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OneDrive\Desktop\dipankana_regularwork\ebooks list 2026\"/>
    </mc:Choice>
  </mc:AlternateContent>
  <bookViews>
    <workbookView xWindow="-105" yWindow="-105" windowWidth="23250" windowHeight="12450"/>
  </bookViews>
  <sheets>
    <sheet name="January 2026 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935" i="1" l="1"/>
  <c r="E26935" i="1"/>
  <c r="F26934" i="1"/>
  <c r="E26934" i="1"/>
  <c r="F26933" i="1"/>
  <c r="E26933" i="1"/>
  <c r="F26932" i="1"/>
  <c r="E26932" i="1"/>
  <c r="F26931" i="1"/>
  <c r="E26931" i="1"/>
  <c r="F26930" i="1"/>
  <c r="E26930" i="1"/>
  <c r="F26929" i="1"/>
  <c r="E26929" i="1"/>
  <c r="F26928" i="1"/>
  <c r="E26928" i="1"/>
  <c r="F26927" i="1"/>
  <c r="E26927" i="1"/>
  <c r="F26926" i="1"/>
  <c r="E26926" i="1"/>
  <c r="F26925" i="1"/>
  <c r="E26925" i="1"/>
  <c r="F26924" i="1"/>
  <c r="E26924" i="1"/>
  <c r="F26923" i="1"/>
  <c r="E26923" i="1"/>
  <c r="F26922" i="1"/>
  <c r="E26922" i="1"/>
  <c r="F26921" i="1"/>
  <c r="E26921" i="1"/>
  <c r="F26920" i="1"/>
  <c r="E26920" i="1"/>
  <c r="F26919" i="1"/>
  <c r="E26919" i="1"/>
  <c r="F26918" i="1"/>
  <c r="E26918" i="1"/>
  <c r="F26917" i="1"/>
  <c r="E26917" i="1"/>
  <c r="F26916" i="1"/>
  <c r="E26916" i="1"/>
  <c r="F26915" i="1"/>
  <c r="E26915" i="1"/>
  <c r="F26914" i="1"/>
  <c r="E26914" i="1"/>
  <c r="F26913" i="1"/>
  <c r="E26913" i="1"/>
  <c r="F26912" i="1"/>
  <c r="E26912" i="1"/>
  <c r="F26911" i="1"/>
  <c r="E26911" i="1"/>
  <c r="F26910" i="1"/>
  <c r="E26910" i="1"/>
  <c r="F26909" i="1"/>
  <c r="E26909" i="1"/>
  <c r="F26908" i="1"/>
  <c r="E26908" i="1"/>
  <c r="F26907" i="1"/>
  <c r="E26907" i="1"/>
  <c r="F26906" i="1"/>
  <c r="E26906" i="1"/>
  <c r="F26905" i="1"/>
  <c r="E26905" i="1"/>
  <c r="F26904" i="1"/>
  <c r="E26904" i="1"/>
  <c r="F26903" i="1"/>
  <c r="E26903" i="1"/>
  <c r="F26902" i="1"/>
  <c r="E26902" i="1"/>
  <c r="F26901" i="1"/>
  <c r="E26901" i="1"/>
  <c r="F26900" i="1"/>
  <c r="E26900" i="1"/>
  <c r="F26899" i="1"/>
  <c r="E26899" i="1"/>
  <c r="F26898" i="1"/>
  <c r="E26898" i="1"/>
  <c r="F26897" i="1"/>
  <c r="E26897" i="1"/>
  <c r="F26896" i="1"/>
  <c r="E26896" i="1"/>
  <c r="F26895" i="1"/>
  <c r="E26895" i="1"/>
  <c r="F26894" i="1"/>
  <c r="E26894" i="1"/>
  <c r="F26893" i="1"/>
  <c r="E26893" i="1"/>
  <c r="F26892" i="1"/>
  <c r="E26892" i="1"/>
  <c r="F26891" i="1"/>
  <c r="E26891" i="1"/>
  <c r="F26890" i="1"/>
  <c r="E26890" i="1"/>
  <c r="F26889" i="1"/>
  <c r="E26889" i="1"/>
  <c r="F26888" i="1"/>
  <c r="E26888" i="1"/>
  <c r="F26887" i="1"/>
  <c r="E26887" i="1"/>
  <c r="F26886" i="1"/>
  <c r="E26886" i="1"/>
  <c r="F26885" i="1"/>
  <c r="E26885" i="1"/>
  <c r="F26884" i="1"/>
  <c r="E26884" i="1"/>
  <c r="F26883" i="1"/>
  <c r="E26883" i="1"/>
  <c r="F26882" i="1"/>
  <c r="E26882" i="1"/>
  <c r="F26881" i="1"/>
  <c r="E26881" i="1"/>
  <c r="F26880" i="1"/>
  <c r="E26880" i="1"/>
  <c r="F26879" i="1"/>
  <c r="E26879" i="1"/>
  <c r="F26878" i="1"/>
  <c r="E26878" i="1"/>
  <c r="F26877" i="1"/>
  <c r="E26877" i="1"/>
  <c r="F26876" i="1"/>
  <c r="E26876" i="1"/>
  <c r="F26875" i="1"/>
  <c r="E26875" i="1"/>
  <c r="F26874" i="1"/>
  <c r="E26874" i="1"/>
  <c r="F26873" i="1"/>
  <c r="E26873" i="1"/>
  <c r="F26872" i="1"/>
  <c r="E26872" i="1"/>
  <c r="F26871" i="1"/>
  <c r="E26871" i="1"/>
  <c r="F26870" i="1"/>
  <c r="E26870" i="1"/>
  <c r="F26869" i="1"/>
  <c r="E26869" i="1"/>
  <c r="F26868" i="1"/>
  <c r="E26868" i="1"/>
  <c r="F26867" i="1"/>
  <c r="E26867" i="1"/>
  <c r="F26866" i="1"/>
  <c r="E26866" i="1"/>
  <c r="F26865" i="1"/>
  <c r="E26865" i="1"/>
  <c r="F26864" i="1"/>
  <c r="E26864" i="1"/>
  <c r="F26863" i="1"/>
  <c r="E26863" i="1"/>
  <c r="F26862" i="1"/>
  <c r="E26862" i="1"/>
  <c r="F26861" i="1"/>
  <c r="E26861" i="1"/>
  <c r="F26860" i="1"/>
  <c r="E26860" i="1"/>
  <c r="F26859" i="1"/>
  <c r="E26859" i="1"/>
  <c r="F26858" i="1"/>
  <c r="E26858" i="1"/>
  <c r="F26857" i="1"/>
  <c r="E26857" i="1"/>
  <c r="F26856" i="1"/>
  <c r="E26856" i="1"/>
  <c r="F26855" i="1"/>
  <c r="E26855" i="1"/>
  <c r="F26854" i="1"/>
  <c r="E26854" i="1"/>
  <c r="F26853" i="1"/>
  <c r="E26853" i="1"/>
  <c r="F26852" i="1"/>
  <c r="E26852" i="1"/>
  <c r="F26851" i="1"/>
  <c r="E26851" i="1"/>
  <c r="F26850" i="1"/>
  <c r="E26850" i="1"/>
  <c r="F26849" i="1"/>
  <c r="E26849" i="1"/>
  <c r="F26848" i="1"/>
  <c r="E26848" i="1"/>
  <c r="F26847" i="1"/>
  <c r="E26847" i="1"/>
  <c r="F26846" i="1"/>
  <c r="E26846" i="1"/>
  <c r="F26845" i="1"/>
  <c r="E26845" i="1"/>
  <c r="F26844" i="1"/>
  <c r="E26844" i="1"/>
  <c r="F26843" i="1"/>
  <c r="E26843" i="1"/>
  <c r="F26842" i="1"/>
  <c r="E26842" i="1"/>
  <c r="F26841" i="1"/>
  <c r="E26841" i="1"/>
  <c r="F26840" i="1"/>
  <c r="E26840" i="1"/>
  <c r="F26839" i="1"/>
  <c r="E26839" i="1"/>
  <c r="F26838" i="1"/>
  <c r="E26838" i="1"/>
  <c r="F26837" i="1"/>
  <c r="E26837" i="1"/>
  <c r="F26836" i="1"/>
  <c r="E26836" i="1"/>
  <c r="F26835" i="1"/>
  <c r="E26835" i="1"/>
  <c r="F26834" i="1"/>
  <c r="E26834" i="1"/>
  <c r="F26833" i="1"/>
  <c r="E26833" i="1"/>
  <c r="F26832" i="1"/>
  <c r="E26832" i="1"/>
  <c r="F26830" i="1"/>
  <c r="E26830" i="1"/>
  <c r="F26829" i="1"/>
  <c r="E26829" i="1"/>
  <c r="F26828" i="1"/>
  <c r="E26828" i="1"/>
  <c r="F26827" i="1"/>
  <c r="E26827" i="1"/>
  <c r="F26826" i="1"/>
  <c r="E26826" i="1"/>
  <c r="F26825" i="1"/>
  <c r="E26825" i="1"/>
  <c r="F26824" i="1"/>
  <c r="E26824" i="1"/>
  <c r="F26823" i="1"/>
  <c r="E26823" i="1"/>
  <c r="F26822" i="1"/>
  <c r="E26822" i="1"/>
  <c r="F26821" i="1"/>
  <c r="E26821" i="1"/>
  <c r="F26820" i="1"/>
  <c r="E26820" i="1"/>
  <c r="F26819" i="1"/>
  <c r="E26819" i="1"/>
  <c r="F26818" i="1"/>
  <c r="E26818" i="1"/>
  <c r="F26817" i="1"/>
  <c r="E26817" i="1"/>
  <c r="F26816" i="1"/>
  <c r="E26816" i="1"/>
  <c r="F26815" i="1"/>
  <c r="E26815" i="1"/>
  <c r="F26814" i="1"/>
  <c r="E26814" i="1"/>
  <c r="F26813" i="1"/>
  <c r="E26813" i="1"/>
  <c r="F26812" i="1"/>
  <c r="E26812" i="1"/>
  <c r="F26811" i="1"/>
  <c r="E26811" i="1"/>
  <c r="F26810" i="1"/>
  <c r="E26810" i="1"/>
  <c r="F26809" i="1"/>
  <c r="E26809" i="1"/>
  <c r="F26808" i="1"/>
  <c r="E26808" i="1"/>
  <c r="F26807" i="1"/>
  <c r="E26807" i="1"/>
  <c r="F26806" i="1"/>
  <c r="E26806" i="1"/>
  <c r="F26805" i="1"/>
  <c r="E26805" i="1"/>
  <c r="F26804" i="1"/>
  <c r="E26804" i="1"/>
  <c r="F26803" i="1"/>
  <c r="E26803" i="1"/>
  <c r="F26802" i="1"/>
  <c r="E26802" i="1"/>
  <c r="F26801" i="1"/>
  <c r="E26801" i="1"/>
  <c r="F26800" i="1"/>
  <c r="E26800" i="1"/>
  <c r="F26799" i="1"/>
  <c r="E26799" i="1"/>
  <c r="F26798" i="1"/>
  <c r="E26798" i="1"/>
  <c r="F26797" i="1"/>
  <c r="E26797" i="1"/>
  <c r="F26796" i="1"/>
  <c r="E26796" i="1"/>
  <c r="F26795" i="1"/>
  <c r="E26795" i="1"/>
  <c r="F26794" i="1"/>
  <c r="E26794" i="1"/>
  <c r="F26793" i="1"/>
  <c r="E26793" i="1"/>
  <c r="F26792" i="1"/>
  <c r="E26792" i="1"/>
  <c r="F26791" i="1"/>
  <c r="E26791" i="1"/>
  <c r="F26790" i="1"/>
  <c r="E26790" i="1"/>
  <c r="F26789" i="1"/>
  <c r="E26789" i="1"/>
  <c r="F26788" i="1"/>
  <c r="E26788" i="1"/>
  <c r="F26787" i="1"/>
  <c r="E26787" i="1"/>
  <c r="F26786" i="1"/>
  <c r="E26786" i="1"/>
  <c r="F26785" i="1"/>
  <c r="E26785" i="1"/>
  <c r="F26784" i="1"/>
  <c r="E26784" i="1"/>
  <c r="F26783" i="1"/>
  <c r="E26783" i="1"/>
  <c r="F26782" i="1"/>
  <c r="E26782" i="1"/>
  <c r="F26781" i="1"/>
  <c r="E26781" i="1"/>
  <c r="F26780" i="1"/>
  <c r="E26780" i="1"/>
  <c r="F26779" i="1"/>
  <c r="E26779" i="1"/>
  <c r="F26778" i="1"/>
  <c r="E26778" i="1"/>
  <c r="F26777" i="1"/>
  <c r="E26777" i="1"/>
  <c r="F26776" i="1"/>
  <c r="E26776" i="1"/>
  <c r="F26775" i="1"/>
  <c r="E26775" i="1"/>
  <c r="F26774" i="1"/>
  <c r="E26774" i="1"/>
  <c r="F26773" i="1"/>
  <c r="E26773" i="1"/>
  <c r="F26772" i="1"/>
  <c r="E26772" i="1"/>
  <c r="F26771" i="1"/>
  <c r="E26771" i="1"/>
  <c r="F26770" i="1"/>
  <c r="E26770" i="1"/>
  <c r="F26769" i="1"/>
  <c r="E26769" i="1"/>
  <c r="F26768" i="1"/>
  <c r="E26768" i="1"/>
  <c r="F26767" i="1"/>
  <c r="E26767" i="1"/>
  <c r="F26766" i="1"/>
  <c r="E26766" i="1"/>
  <c r="F26765" i="1"/>
  <c r="E26765" i="1"/>
  <c r="F26764" i="1"/>
  <c r="E26764" i="1"/>
  <c r="F26763" i="1"/>
  <c r="E26763" i="1"/>
  <c r="F26762" i="1"/>
  <c r="E26762" i="1"/>
  <c r="F26761" i="1"/>
  <c r="E26761" i="1"/>
  <c r="F26760" i="1"/>
  <c r="E26760" i="1"/>
  <c r="F26759" i="1"/>
  <c r="E26759" i="1"/>
  <c r="F26758" i="1"/>
  <c r="E26758" i="1"/>
  <c r="F26757" i="1"/>
  <c r="E26757" i="1"/>
  <c r="F26756" i="1"/>
  <c r="E26756" i="1"/>
  <c r="F26755" i="1"/>
  <c r="E26755" i="1"/>
  <c r="F26754" i="1"/>
  <c r="E26754" i="1"/>
  <c r="F26753" i="1"/>
  <c r="E26753" i="1"/>
  <c r="F26752" i="1"/>
  <c r="E26752" i="1"/>
  <c r="F26751" i="1"/>
  <c r="E26751" i="1"/>
  <c r="F26750" i="1"/>
  <c r="E26750" i="1"/>
  <c r="F26749" i="1"/>
  <c r="E26749" i="1"/>
  <c r="F26748" i="1"/>
  <c r="E26748" i="1"/>
  <c r="F26747" i="1"/>
  <c r="E26747" i="1"/>
  <c r="F26746" i="1"/>
  <c r="E26746" i="1"/>
  <c r="F26745" i="1"/>
  <c r="E26745" i="1"/>
  <c r="F26744" i="1"/>
  <c r="E26744" i="1"/>
  <c r="F26743" i="1"/>
  <c r="E26743" i="1"/>
  <c r="F26742" i="1"/>
  <c r="E26742" i="1"/>
  <c r="F26741" i="1"/>
  <c r="E26741" i="1"/>
  <c r="F26740" i="1"/>
  <c r="E26740" i="1"/>
  <c r="F26739" i="1"/>
  <c r="E26739" i="1"/>
  <c r="F26738" i="1"/>
  <c r="E26738" i="1"/>
  <c r="F26737" i="1"/>
  <c r="E26737" i="1"/>
  <c r="F26736" i="1"/>
  <c r="E26736" i="1"/>
  <c r="F26735" i="1"/>
  <c r="E26735" i="1"/>
  <c r="F26734" i="1"/>
  <c r="E26734" i="1"/>
  <c r="F26733" i="1"/>
  <c r="E26733" i="1"/>
  <c r="F26732" i="1"/>
  <c r="E26732" i="1"/>
  <c r="F26731" i="1"/>
  <c r="E26731" i="1"/>
  <c r="F26730" i="1"/>
  <c r="E26730" i="1"/>
  <c r="F26729" i="1"/>
  <c r="E26729" i="1"/>
  <c r="F26728" i="1"/>
  <c r="E26728" i="1"/>
  <c r="F26727" i="1"/>
  <c r="E26727" i="1"/>
  <c r="F26726" i="1"/>
  <c r="E26726" i="1"/>
  <c r="F26725" i="1"/>
  <c r="E26725" i="1"/>
  <c r="F26724" i="1"/>
  <c r="E26724" i="1"/>
  <c r="F26723" i="1"/>
  <c r="E26723" i="1"/>
  <c r="F26722" i="1"/>
  <c r="E26722" i="1"/>
  <c r="F26721" i="1"/>
  <c r="E26721" i="1"/>
  <c r="F26720" i="1"/>
  <c r="E26720" i="1"/>
  <c r="F26719" i="1"/>
  <c r="E26719" i="1"/>
  <c r="F26718" i="1"/>
  <c r="E26718" i="1"/>
  <c r="F26717" i="1"/>
  <c r="E26717" i="1"/>
  <c r="F26716" i="1"/>
  <c r="E26716" i="1"/>
  <c r="F26715" i="1"/>
  <c r="E26715" i="1"/>
  <c r="F26714" i="1"/>
  <c r="E26714" i="1"/>
  <c r="F26713" i="1"/>
  <c r="E26713" i="1"/>
  <c r="F26712" i="1"/>
  <c r="E26712" i="1"/>
  <c r="F26711" i="1"/>
  <c r="E26711" i="1"/>
  <c r="F26710" i="1"/>
  <c r="E26710" i="1"/>
  <c r="F26709" i="1"/>
  <c r="E26709" i="1"/>
  <c r="F26708" i="1"/>
  <c r="E26708" i="1"/>
  <c r="F26707" i="1"/>
  <c r="E26707" i="1"/>
  <c r="F26706" i="1"/>
  <c r="E26706" i="1"/>
  <c r="F26705" i="1"/>
  <c r="E26705" i="1"/>
  <c r="F26704" i="1"/>
  <c r="E26704" i="1"/>
  <c r="F26703" i="1"/>
  <c r="E26703" i="1"/>
  <c r="F26702" i="1"/>
  <c r="E26702" i="1"/>
  <c r="F26701" i="1"/>
  <c r="E26701" i="1"/>
  <c r="F26700" i="1"/>
  <c r="E26700" i="1"/>
  <c r="F26699" i="1"/>
  <c r="E26699" i="1"/>
  <c r="F26698" i="1"/>
  <c r="E26698" i="1"/>
  <c r="F26697" i="1"/>
  <c r="E26697" i="1"/>
  <c r="F26696" i="1"/>
  <c r="E26696" i="1"/>
  <c r="F26695" i="1"/>
  <c r="E26695" i="1"/>
  <c r="F26694" i="1"/>
  <c r="E26694" i="1"/>
  <c r="F26693" i="1"/>
  <c r="E26693" i="1"/>
  <c r="F26692" i="1"/>
  <c r="E26692" i="1"/>
  <c r="F26691" i="1"/>
  <c r="E26691" i="1"/>
  <c r="F26690" i="1"/>
  <c r="E26690" i="1"/>
  <c r="F26689" i="1"/>
  <c r="E26689" i="1"/>
  <c r="F26688" i="1"/>
  <c r="E26688" i="1"/>
  <c r="F26687" i="1"/>
  <c r="E26687" i="1"/>
  <c r="F26686" i="1"/>
  <c r="E26686" i="1"/>
  <c r="F26685" i="1"/>
  <c r="E26685" i="1"/>
  <c r="F26684" i="1"/>
  <c r="E26684" i="1"/>
  <c r="F26683" i="1"/>
  <c r="E26683" i="1"/>
  <c r="F26682" i="1"/>
  <c r="E26682" i="1"/>
  <c r="F26681" i="1"/>
  <c r="E26681" i="1"/>
  <c r="F26680" i="1"/>
  <c r="E26680" i="1"/>
  <c r="F26679" i="1"/>
  <c r="E26679" i="1"/>
  <c r="F26678" i="1"/>
  <c r="E26678" i="1"/>
  <c r="F26677" i="1"/>
  <c r="E26677" i="1"/>
  <c r="F26676" i="1"/>
  <c r="E26676" i="1"/>
  <c r="F26675" i="1"/>
  <c r="E26675" i="1"/>
  <c r="F26674" i="1"/>
  <c r="E26674" i="1"/>
  <c r="F26673" i="1"/>
  <c r="E26673" i="1"/>
  <c r="F26672" i="1"/>
  <c r="E26672" i="1"/>
  <c r="F26671" i="1"/>
  <c r="E26671" i="1"/>
  <c r="F26670" i="1"/>
  <c r="E26670" i="1"/>
  <c r="F26669" i="1"/>
  <c r="E26669" i="1"/>
  <c r="F26668" i="1"/>
  <c r="E26668" i="1"/>
  <c r="F26667" i="1"/>
  <c r="E26667" i="1"/>
  <c r="F26666" i="1"/>
  <c r="E26666" i="1"/>
  <c r="F26665" i="1"/>
  <c r="E26665" i="1"/>
  <c r="F26664" i="1"/>
  <c r="E26664" i="1"/>
  <c r="F26663" i="1"/>
  <c r="E26663" i="1"/>
  <c r="F26662" i="1"/>
  <c r="E26662" i="1"/>
  <c r="F26661" i="1"/>
  <c r="E26661" i="1"/>
  <c r="F26660" i="1"/>
  <c r="E26660" i="1"/>
  <c r="F26659" i="1"/>
  <c r="E26659" i="1"/>
  <c r="F26658" i="1"/>
  <c r="E26658" i="1"/>
  <c r="F26657" i="1"/>
  <c r="E26657" i="1"/>
  <c r="F26656" i="1"/>
  <c r="E26656" i="1"/>
  <c r="F26655" i="1"/>
  <c r="E26655" i="1"/>
  <c r="F26654" i="1"/>
  <c r="E26654" i="1"/>
  <c r="F26653" i="1"/>
  <c r="E26653" i="1"/>
  <c r="F26652" i="1"/>
  <c r="E26652" i="1"/>
  <c r="F26651" i="1"/>
  <c r="E26651" i="1"/>
  <c r="F26650" i="1"/>
  <c r="E26650" i="1"/>
  <c r="F26649" i="1"/>
  <c r="E26649" i="1"/>
  <c r="F26648" i="1"/>
  <c r="E26648" i="1"/>
  <c r="F26647" i="1"/>
  <c r="E26647" i="1"/>
  <c r="F26646" i="1"/>
  <c r="E26646" i="1"/>
  <c r="F26645" i="1"/>
  <c r="E26645" i="1"/>
  <c r="F26644" i="1"/>
  <c r="E26644" i="1"/>
  <c r="F26643" i="1"/>
  <c r="E26643" i="1"/>
  <c r="F26642" i="1"/>
  <c r="E26642" i="1"/>
  <c r="F26641" i="1"/>
  <c r="E26641" i="1"/>
  <c r="F26640" i="1"/>
  <c r="E26640" i="1"/>
  <c r="F26639" i="1"/>
  <c r="E26639" i="1"/>
  <c r="F26638" i="1"/>
  <c r="E26638" i="1"/>
  <c r="F26637" i="1"/>
  <c r="E26637" i="1"/>
  <c r="F26636" i="1"/>
  <c r="E26636" i="1"/>
  <c r="F26635" i="1"/>
  <c r="E26635" i="1"/>
  <c r="F26634" i="1"/>
  <c r="E26634" i="1"/>
  <c r="F26633" i="1"/>
  <c r="E26633" i="1"/>
  <c r="F26632" i="1"/>
  <c r="E26632" i="1"/>
  <c r="F26631" i="1"/>
  <c r="E26631" i="1"/>
  <c r="F26630" i="1"/>
  <c r="E26630" i="1"/>
  <c r="F26629" i="1"/>
  <c r="E26629" i="1"/>
  <c r="F26628" i="1"/>
  <c r="E26628" i="1"/>
  <c r="F26627" i="1"/>
  <c r="E26627" i="1"/>
  <c r="F26626" i="1"/>
  <c r="E26626" i="1"/>
  <c r="F26625" i="1"/>
  <c r="E26625" i="1"/>
  <c r="F26624" i="1"/>
  <c r="E26624" i="1"/>
  <c r="F26623" i="1"/>
  <c r="E26623" i="1"/>
  <c r="F26622" i="1"/>
  <c r="E26622" i="1"/>
  <c r="F26621" i="1"/>
  <c r="E26621" i="1"/>
  <c r="F26620" i="1"/>
  <c r="E26620" i="1"/>
  <c r="F26619" i="1"/>
  <c r="E26619" i="1"/>
  <c r="F26618" i="1"/>
  <c r="E26618" i="1"/>
  <c r="F26617" i="1"/>
  <c r="E26617" i="1"/>
  <c r="F26616" i="1"/>
  <c r="E26616" i="1"/>
  <c r="F26615" i="1"/>
  <c r="E26615" i="1"/>
  <c r="F26614" i="1"/>
  <c r="E26614" i="1"/>
  <c r="F26613" i="1"/>
  <c r="E26613" i="1"/>
  <c r="F26612" i="1"/>
  <c r="E26612" i="1"/>
  <c r="F26611" i="1"/>
  <c r="E26611" i="1"/>
  <c r="F26610" i="1"/>
  <c r="E26610" i="1"/>
  <c r="F26609" i="1"/>
  <c r="E26609" i="1"/>
  <c r="F26608" i="1"/>
  <c r="E26608" i="1"/>
  <c r="F26607" i="1"/>
  <c r="E26607" i="1"/>
  <c r="F26606" i="1"/>
  <c r="E26606" i="1"/>
  <c r="F26605" i="1"/>
  <c r="E26605" i="1"/>
  <c r="F26604" i="1"/>
  <c r="E26604" i="1"/>
  <c r="F26603" i="1"/>
  <c r="E26603" i="1"/>
  <c r="F26602" i="1"/>
  <c r="E26602" i="1"/>
  <c r="F26601" i="1"/>
  <c r="E26601" i="1"/>
  <c r="F26600" i="1"/>
  <c r="E26600" i="1"/>
  <c r="F26599" i="1"/>
  <c r="E26599" i="1"/>
  <c r="F26598" i="1"/>
  <c r="E26598" i="1"/>
  <c r="F26597" i="1"/>
  <c r="E26597" i="1"/>
  <c r="F26596" i="1"/>
  <c r="E26596" i="1"/>
  <c r="F26595" i="1"/>
  <c r="E26595" i="1"/>
  <c r="F26594" i="1"/>
  <c r="E26594" i="1"/>
  <c r="F26593" i="1"/>
  <c r="E26593" i="1"/>
  <c r="F26592" i="1"/>
  <c r="E26592" i="1"/>
  <c r="F26591" i="1"/>
  <c r="E26591" i="1"/>
  <c r="F26590" i="1"/>
  <c r="E26590" i="1"/>
  <c r="F26589" i="1"/>
  <c r="E26589" i="1"/>
  <c r="F26588" i="1"/>
  <c r="E26588" i="1"/>
  <c r="F26587" i="1"/>
  <c r="E26587" i="1"/>
  <c r="F26586" i="1"/>
  <c r="E26586" i="1"/>
  <c r="F26585" i="1"/>
  <c r="E26585" i="1"/>
  <c r="F26584" i="1"/>
  <c r="E26584" i="1"/>
  <c r="F26583" i="1"/>
  <c r="E26583" i="1"/>
  <c r="F26582" i="1"/>
  <c r="E26582" i="1"/>
  <c r="F26581" i="1"/>
  <c r="E26581" i="1"/>
  <c r="F26580" i="1"/>
  <c r="E26580" i="1"/>
  <c r="F26579" i="1"/>
  <c r="E26579" i="1"/>
  <c r="F26578" i="1"/>
  <c r="E26578" i="1"/>
  <c r="F26577" i="1"/>
  <c r="E26577" i="1"/>
  <c r="F26576" i="1"/>
  <c r="E26576" i="1"/>
  <c r="F26575" i="1"/>
  <c r="E26575" i="1"/>
  <c r="F26574" i="1"/>
  <c r="E26574" i="1"/>
  <c r="F26573" i="1"/>
  <c r="E26573" i="1"/>
  <c r="F26572" i="1"/>
  <c r="E26572" i="1"/>
  <c r="F26571" i="1"/>
  <c r="E26571" i="1"/>
  <c r="F26570" i="1"/>
  <c r="E26570" i="1"/>
  <c r="F26569" i="1"/>
  <c r="E26569" i="1"/>
  <c r="F26568" i="1"/>
  <c r="E26568" i="1"/>
  <c r="F26567" i="1"/>
  <c r="E26567" i="1"/>
  <c r="F26566" i="1"/>
  <c r="E26566" i="1"/>
  <c r="F26565" i="1"/>
  <c r="E26565" i="1"/>
  <c r="F26564" i="1"/>
  <c r="E26564" i="1"/>
  <c r="F26563" i="1"/>
  <c r="E26563" i="1"/>
  <c r="F26562" i="1"/>
  <c r="E26562" i="1"/>
  <c r="F26561" i="1"/>
  <c r="E26561" i="1"/>
  <c r="F26560" i="1"/>
  <c r="E26560" i="1"/>
  <c r="F26559" i="1"/>
  <c r="E26559" i="1"/>
  <c r="F26558" i="1"/>
  <c r="E26558" i="1"/>
  <c r="F26557" i="1"/>
  <c r="E26557" i="1"/>
  <c r="F26556" i="1"/>
  <c r="E26556" i="1"/>
  <c r="F26555" i="1"/>
  <c r="E26555" i="1"/>
  <c r="F26554" i="1"/>
  <c r="E26554" i="1"/>
  <c r="F26553" i="1"/>
  <c r="E26553" i="1"/>
  <c r="F26552" i="1"/>
  <c r="E26552" i="1"/>
  <c r="F26551" i="1"/>
  <c r="E26551" i="1"/>
  <c r="F26550" i="1"/>
  <c r="E26550" i="1"/>
  <c r="F26549" i="1"/>
  <c r="E26549" i="1"/>
  <c r="F26548" i="1"/>
  <c r="E26548" i="1"/>
  <c r="F26547" i="1"/>
  <c r="E26547" i="1"/>
  <c r="F26546" i="1"/>
  <c r="E26546" i="1"/>
  <c r="F26545" i="1"/>
  <c r="E26545" i="1"/>
  <c r="F26544" i="1"/>
  <c r="E26544" i="1"/>
  <c r="F26543" i="1"/>
  <c r="E26543" i="1"/>
  <c r="F26542" i="1"/>
  <c r="E26542" i="1"/>
  <c r="F26541" i="1"/>
  <c r="E26541" i="1"/>
  <c r="F26540" i="1"/>
  <c r="E26540" i="1"/>
  <c r="F26539" i="1"/>
  <c r="E26539" i="1"/>
  <c r="E26538" i="1"/>
  <c r="F26537" i="1"/>
  <c r="E26537" i="1"/>
  <c r="F26536" i="1"/>
  <c r="E26536" i="1"/>
  <c r="F26535" i="1"/>
  <c r="E26535" i="1"/>
  <c r="F26534" i="1"/>
  <c r="E26534" i="1"/>
  <c r="F26533" i="1"/>
  <c r="E26533" i="1"/>
  <c r="F26532" i="1"/>
  <c r="E26532" i="1"/>
  <c r="F26531" i="1"/>
  <c r="E26531" i="1"/>
  <c r="F26530" i="1"/>
  <c r="E26530" i="1"/>
  <c r="F26529" i="1"/>
  <c r="E26529" i="1"/>
  <c r="F26528" i="1"/>
  <c r="E26528" i="1"/>
  <c r="F26527" i="1"/>
  <c r="E26527" i="1"/>
  <c r="F26526" i="1"/>
  <c r="E26526" i="1"/>
  <c r="F26525" i="1"/>
  <c r="E26525" i="1"/>
  <c r="F26524" i="1"/>
  <c r="E26524" i="1"/>
  <c r="F26523" i="1"/>
  <c r="E26523" i="1"/>
  <c r="F26522" i="1"/>
  <c r="E26522" i="1"/>
  <c r="F26521" i="1"/>
  <c r="E26521" i="1"/>
  <c r="F26520" i="1"/>
  <c r="E26520" i="1"/>
  <c r="F26519" i="1"/>
  <c r="E26519" i="1"/>
  <c r="F26518" i="1"/>
  <c r="E26518" i="1"/>
  <c r="F26517" i="1"/>
  <c r="E26517" i="1"/>
  <c r="F26516" i="1"/>
  <c r="E26516" i="1"/>
  <c r="F26515" i="1"/>
  <c r="E26515" i="1"/>
  <c r="F26514" i="1"/>
  <c r="E26514" i="1"/>
  <c r="F26513" i="1"/>
  <c r="E26513" i="1"/>
  <c r="F26512" i="1"/>
  <c r="E26512" i="1"/>
  <c r="F26511" i="1"/>
  <c r="E26511" i="1"/>
  <c r="F26510" i="1"/>
  <c r="E26510" i="1"/>
  <c r="F26509" i="1"/>
  <c r="E26509" i="1"/>
  <c r="F26508" i="1"/>
  <c r="E26508" i="1"/>
  <c r="F26507" i="1"/>
  <c r="E26507" i="1"/>
  <c r="F26506" i="1"/>
  <c r="E26506" i="1"/>
  <c r="F26505" i="1"/>
  <c r="E26505" i="1"/>
  <c r="F26504" i="1"/>
  <c r="E26504" i="1"/>
  <c r="F26503" i="1"/>
  <c r="E26503" i="1"/>
  <c r="F26502" i="1"/>
  <c r="E26502" i="1"/>
  <c r="F26501" i="1"/>
  <c r="E26501" i="1"/>
  <c r="F26500" i="1"/>
  <c r="E26500" i="1"/>
  <c r="F26499" i="1"/>
  <c r="E26499" i="1"/>
  <c r="F26498" i="1"/>
  <c r="E26498" i="1"/>
  <c r="F26497" i="1"/>
  <c r="E26497" i="1"/>
  <c r="F26496" i="1"/>
  <c r="E26496" i="1"/>
  <c r="F26495" i="1"/>
  <c r="E26495" i="1"/>
  <c r="F26494" i="1"/>
  <c r="E26494" i="1"/>
  <c r="F26493" i="1"/>
  <c r="E26493" i="1"/>
  <c r="F26492" i="1"/>
  <c r="E26492" i="1"/>
  <c r="F26491" i="1"/>
  <c r="E26491" i="1"/>
  <c r="F26490" i="1"/>
  <c r="E26490" i="1"/>
  <c r="F26489" i="1"/>
  <c r="E26489" i="1"/>
  <c r="F26488" i="1"/>
  <c r="E26488" i="1"/>
  <c r="F26487" i="1"/>
  <c r="E26487" i="1"/>
  <c r="F26486" i="1"/>
  <c r="E26486" i="1"/>
  <c r="F26485" i="1"/>
  <c r="E26485" i="1"/>
  <c r="F26484" i="1"/>
  <c r="E26484" i="1"/>
  <c r="F26483" i="1"/>
  <c r="E26483" i="1"/>
  <c r="F26482" i="1"/>
  <c r="E26482" i="1"/>
  <c r="F26481" i="1"/>
  <c r="E26481" i="1"/>
  <c r="F26480" i="1"/>
  <c r="E26480" i="1"/>
  <c r="F26479" i="1"/>
  <c r="E26479" i="1"/>
  <c r="F26478" i="1"/>
  <c r="E26478" i="1"/>
  <c r="F26477" i="1"/>
  <c r="E26477" i="1"/>
  <c r="F26476" i="1"/>
  <c r="E26476" i="1"/>
  <c r="F26475" i="1"/>
  <c r="E26475" i="1"/>
  <c r="F26474" i="1"/>
  <c r="E26474" i="1"/>
  <c r="F26473" i="1"/>
  <c r="E26473" i="1"/>
  <c r="F26472" i="1"/>
  <c r="E26472" i="1"/>
  <c r="F26471" i="1"/>
  <c r="E26471" i="1"/>
  <c r="F26470" i="1"/>
  <c r="E26470" i="1"/>
  <c r="F26469" i="1"/>
  <c r="E26469" i="1"/>
  <c r="F26468" i="1"/>
  <c r="E26468" i="1"/>
  <c r="F26467" i="1"/>
  <c r="E26467" i="1"/>
  <c r="F26466" i="1"/>
  <c r="E26466" i="1"/>
  <c r="F26465" i="1"/>
  <c r="E26465" i="1"/>
  <c r="F26464" i="1"/>
  <c r="E26464" i="1"/>
  <c r="F26463" i="1"/>
  <c r="E26463" i="1"/>
  <c r="F26462" i="1"/>
  <c r="E26462" i="1"/>
  <c r="F26461" i="1"/>
  <c r="E26461" i="1"/>
  <c r="F26460" i="1"/>
  <c r="E26460" i="1"/>
  <c r="F26459" i="1"/>
  <c r="E26459" i="1"/>
  <c r="F26458" i="1"/>
  <c r="E26458" i="1"/>
  <c r="F26457" i="1"/>
  <c r="E26457" i="1"/>
  <c r="F26456" i="1"/>
  <c r="E26456" i="1"/>
  <c r="F26455" i="1"/>
  <c r="E26455" i="1"/>
  <c r="F26454" i="1"/>
  <c r="E26454" i="1"/>
  <c r="F26453" i="1"/>
  <c r="E26453" i="1"/>
  <c r="F26452" i="1"/>
  <c r="E26452" i="1"/>
  <c r="F26451" i="1"/>
  <c r="E26451" i="1"/>
  <c r="F26450" i="1"/>
  <c r="E26450" i="1"/>
  <c r="F26449" i="1"/>
  <c r="E26449" i="1"/>
  <c r="F26448" i="1"/>
  <c r="E26448" i="1"/>
  <c r="F26447" i="1"/>
  <c r="E26447" i="1"/>
  <c r="F26446" i="1"/>
  <c r="E26446" i="1"/>
  <c r="F26445" i="1"/>
  <c r="E26445" i="1"/>
  <c r="F26444" i="1"/>
  <c r="E26444" i="1"/>
  <c r="F26443" i="1"/>
  <c r="E26443" i="1"/>
  <c r="F26442" i="1"/>
  <c r="E26442" i="1"/>
  <c r="F26441" i="1"/>
  <c r="E26441" i="1"/>
  <c r="F26440" i="1"/>
  <c r="E26440" i="1"/>
  <c r="F26439" i="1"/>
  <c r="E26439" i="1"/>
  <c r="F26438" i="1"/>
  <c r="E26438" i="1"/>
  <c r="F26437" i="1"/>
  <c r="E26437" i="1"/>
  <c r="F26436" i="1"/>
  <c r="E26436" i="1"/>
  <c r="F26435" i="1"/>
  <c r="E26435" i="1"/>
  <c r="F26434" i="1"/>
  <c r="E26434" i="1"/>
  <c r="F26433" i="1"/>
  <c r="E26433" i="1"/>
  <c r="F26432" i="1"/>
  <c r="E26432" i="1"/>
  <c r="F26431" i="1"/>
  <c r="E26431" i="1"/>
  <c r="F26430" i="1"/>
  <c r="E26430" i="1"/>
  <c r="F26429" i="1"/>
  <c r="E26429" i="1"/>
  <c r="F26428" i="1"/>
  <c r="E26428" i="1"/>
  <c r="F26427" i="1"/>
  <c r="E26427" i="1"/>
  <c r="F26426" i="1"/>
  <c r="E26426" i="1"/>
  <c r="F26425" i="1"/>
  <c r="E26425" i="1"/>
  <c r="F26424" i="1"/>
  <c r="E26424" i="1"/>
  <c r="F26423" i="1"/>
  <c r="E26423" i="1"/>
  <c r="F26422" i="1"/>
  <c r="E26422" i="1"/>
  <c r="F26421" i="1"/>
  <c r="E26421" i="1"/>
  <c r="F26420" i="1"/>
  <c r="E26420" i="1"/>
  <c r="F26419" i="1"/>
  <c r="E26419" i="1"/>
  <c r="F26418" i="1"/>
  <c r="E26418" i="1"/>
  <c r="F26417" i="1"/>
  <c r="E26417" i="1"/>
  <c r="F26416" i="1"/>
  <c r="E26416" i="1"/>
  <c r="F26415" i="1"/>
  <c r="E26415" i="1"/>
  <c r="F26414" i="1"/>
  <c r="E26414" i="1"/>
  <c r="F26413" i="1"/>
  <c r="E26413" i="1"/>
  <c r="F26412" i="1"/>
  <c r="E26412" i="1"/>
  <c r="F26411" i="1"/>
  <c r="E26411" i="1"/>
  <c r="F26410" i="1"/>
  <c r="E26410" i="1"/>
  <c r="F26409" i="1"/>
  <c r="E26409" i="1"/>
  <c r="F26408" i="1"/>
  <c r="E26408" i="1"/>
  <c r="F26407" i="1"/>
  <c r="E26407" i="1"/>
  <c r="F26406" i="1"/>
  <c r="E26406" i="1"/>
  <c r="F26405" i="1"/>
  <c r="E26405" i="1"/>
  <c r="F26404" i="1"/>
  <c r="E26404" i="1"/>
  <c r="F26403" i="1"/>
  <c r="E26403" i="1"/>
  <c r="F26402" i="1"/>
  <c r="E26402" i="1"/>
  <c r="F26401" i="1"/>
  <c r="E26401" i="1"/>
  <c r="F26400" i="1"/>
  <c r="E26400" i="1"/>
  <c r="F26399" i="1"/>
  <c r="E26399" i="1"/>
  <c r="F26398" i="1"/>
  <c r="E26398" i="1"/>
  <c r="F26397" i="1"/>
  <c r="E26397" i="1"/>
  <c r="F26396" i="1"/>
  <c r="E26396" i="1"/>
  <c r="F26395" i="1"/>
  <c r="E26395" i="1"/>
  <c r="F26394" i="1"/>
  <c r="E26394" i="1"/>
  <c r="F26393" i="1"/>
  <c r="E26393" i="1"/>
  <c r="F26392" i="1"/>
  <c r="E26392" i="1"/>
  <c r="F26391" i="1"/>
  <c r="E26391" i="1"/>
  <c r="F26390" i="1"/>
  <c r="E26390" i="1"/>
  <c r="F26389" i="1"/>
  <c r="E26389" i="1"/>
  <c r="F26388" i="1"/>
  <c r="E26388" i="1"/>
  <c r="F26387" i="1"/>
  <c r="E26387" i="1"/>
  <c r="F26386" i="1"/>
  <c r="E26386" i="1"/>
  <c r="F26385" i="1"/>
  <c r="E26385" i="1"/>
  <c r="F26384" i="1"/>
  <c r="E26384" i="1"/>
  <c r="F26383" i="1"/>
  <c r="E26383" i="1"/>
  <c r="F26382" i="1"/>
  <c r="E26382" i="1"/>
  <c r="F26381" i="1"/>
  <c r="E26381" i="1"/>
  <c r="F26380" i="1"/>
  <c r="E26380" i="1"/>
  <c r="F26379" i="1"/>
  <c r="E26379" i="1"/>
  <c r="F26378" i="1"/>
  <c r="E26378" i="1"/>
  <c r="F26377" i="1"/>
  <c r="E26377" i="1"/>
  <c r="F26376" i="1"/>
  <c r="E26376" i="1"/>
  <c r="F26375" i="1"/>
  <c r="E26375" i="1"/>
  <c r="F26374" i="1"/>
  <c r="E26374" i="1"/>
  <c r="F26373" i="1"/>
  <c r="E26373" i="1"/>
  <c r="F26372" i="1"/>
  <c r="E26372" i="1"/>
  <c r="F26371" i="1"/>
  <c r="E26371" i="1"/>
  <c r="F26370" i="1"/>
  <c r="E26370" i="1"/>
  <c r="F26369" i="1"/>
  <c r="E26369" i="1"/>
  <c r="F26368" i="1"/>
  <c r="E26368" i="1"/>
  <c r="F26367" i="1"/>
  <c r="E26367" i="1"/>
  <c r="F26366" i="1"/>
  <c r="E26366" i="1"/>
  <c r="F26365" i="1"/>
  <c r="E26365" i="1"/>
  <c r="F26364" i="1"/>
  <c r="E26364" i="1"/>
  <c r="F26363" i="1"/>
  <c r="E26363" i="1"/>
  <c r="F26362" i="1"/>
  <c r="E26362" i="1"/>
  <c r="F26361" i="1"/>
  <c r="E26361" i="1"/>
  <c r="F26360" i="1"/>
  <c r="E26360" i="1"/>
  <c r="F26359" i="1"/>
  <c r="E26359" i="1"/>
  <c r="F26358" i="1"/>
  <c r="E26358" i="1"/>
  <c r="F26357" i="1"/>
  <c r="E26357" i="1"/>
  <c r="F26356" i="1"/>
  <c r="E26356" i="1"/>
  <c r="F26355" i="1"/>
  <c r="E26355" i="1"/>
  <c r="F26354" i="1"/>
  <c r="E26354" i="1"/>
  <c r="F26353" i="1"/>
  <c r="E26353" i="1"/>
  <c r="F26352" i="1"/>
  <c r="E26352" i="1"/>
  <c r="F26351" i="1"/>
  <c r="E26351" i="1"/>
  <c r="F26350" i="1"/>
  <c r="E26350" i="1"/>
  <c r="F26349" i="1"/>
  <c r="E26349" i="1"/>
  <c r="F26348" i="1"/>
  <c r="E26348" i="1"/>
  <c r="F26347" i="1"/>
  <c r="E26347" i="1"/>
  <c r="F26346" i="1"/>
  <c r="E26346" i="1"/>
  <c r="F26345" i="1"/>
  <c r="E26345" i="1"/>
  <c r="F26344" i="1"/>
  <c r="E26344" i="1"/>
  <c r="F26343" i="1"/>
  <c r="E26343" i="1"/>
  <c r="F26342" i="1"/>
  <c r="E26342" i="1"/>
  <c r="F26341" i="1"/>
  <c r="E26341" i="1"/>
  <c r="F26340" i="1"/>
  <c r="E26340" i="1"/>
  <c r="F26339" i="1"/>
  <c r="E26339" i="1"/>
  <c r="F26338" i="1"/>
  <c r="E26338" i="1"/>
  <c r="F26337" i="1"/>
  <c r="E26337" i="1"/>
  <c r="F26336" i="1"/>
  <c r="E26336" i="1"/>
  <c r="F26335" i="1"/>
  <c r="E26335" i="1"/>
  <c r="F26334" i="1"/>
  <c r="E26334" i="1"/>
  <c r="F26333" i="1"/>
  <c r="E26333" i="1"/>
  <c r="F26332" i="1"/>
  <c r="E26332" i="1"/>
  <c r="F26331" i="1"/>
  <c r="E26331" i="1"/>
  <c r="F26330" i="1"/>
  <c r="E26330" i="1"/>
  <c r="F26329" i="1"/>
  <c r="E26329" i="1"/>
  <c r="F26328" i="1"/>
  <c r="E26328" i="1"/>
  <c r="F26327" i="1"/>
  <c r="E26327" i="1"/>
  <c r="F26326" i="1"/>
  <c r="E26326" i="1"/>
  <c r="F26325" i="1"/>
  <c r="E26325" i="1"/>
  <c r="F26324" i="1"/>
  <c r="E26324" i="1"/>
  <c r="F26323" i="1"/>
  <c r="E26323" i="1"/>
  <c r="F26322" i="1"/>
  <c r="E26322" i="1"/>
  <c r="F26321" i="1"/>
  <c r="E26321" i="1"/>
  <c r="F26320" i="1"/>
  <c r="E26320" i="1"/>
  <c r="F26319" i="1"/>
  <c r="E26319" i="1"/>
  <c r="F26318" i="1"/>
  <c r="E26318" i="1"/>
  <c r="F26317" i="1"/>
  <c r="E26317" i="1"/>
  <c r="F26316" i="1"/>
  <c r="E26316" i="1"/>
  <c r="F26315" i="1"/>
  <c r="E26315" i="1"/>
  <c r="F26314" i="1"/>
  <c r="E26314" i="1"/>
  <c r="F26313" i="1"/>
  <c r="E26313" i="1"/>
  <c r="F26312" i="1"/>
  <c r="E26312" i="1"/>
  <c r="F26311" i="1"/>
  <c r="E26311" i="1"/>
  <c r="F26310" i="1"/>
  <c r="E26310" i="1"/>
  <c r="F26309" i="1"/>
  <c r="E26309" i="1"/>
  <c r="F26308" i="1"/>
  <c r="E26308" i="1"/>
  <c r="F26307" i="1"/>
  <c r="E26307" i="1"/>
  <c r="F26306" i="1"/>
  <c r="E26306" i="1"/>
  <c r="F26305" i="1"/>
  <c r="E26305" i="1"/>
  <c r="F26304" i="1"/>
  <c r="E26304" i="1"/>
  <c r="F26303" i="1"/>
  <c r="E26303" i="1"/>
  <c r="F26302" i="1"/>
  <c r="E26302" i="1"/>
  <c r="F26301" i="1"/>
  <c r="E26301" i="1"/>
  <c r="F26300" i="1"/>
  <c r="E26300" i="1"/>
  <c r="F26299" i="1"/>
  <c r="E26299" i="1"/>
  <c r="F26298" i="1"/>
  <c r="E26298" i="1"/>
  <c r="F26297" i="1"/>
  <c r="E26297" i="1"/>
  <c r="F26296" i="1"/>
  <c r="E26296" i="1"/>
  <c r="F26295" i="1"/>
  <c r="E26295" i="1"/>
  <c r="F26294" i="1"/>
  <c r="E26294" i="1"/>
  <c r="F26293" i="1"/>
  <c r="E26293" i="1"/>
  <c r="F26292" i="1"/>
  <c r="E26292" i="1"/>
  <c r="F26291" i="1"/>
  <c r="E26291" i="1"/>
  <c r="F26290" i="1"/>
  <c r="E26290" i="1"/>
  <c r="F26289" i="1"/>
  <c r="E26289" i="1"/>
  <c r="F26288" i="1"/>
  <c r="E26288" i="1"/>
  <c r="F26287" i="1"/>
  <c r="E26287" i="1"/>
  <c r="F26286" i="1"/>
  <c r="E26286" i="1"/>
  <c r="F26285" i="1"/>
  <c r="E26285" i="1"/>
  <c r="F26284" i="1"/>
  <c r="E26284" i="1"/>
  <c r="F26283" i="1"/>
  <c r="E26283" i="1"/>
  <c r="F26282" i="1"/>
  <c r="E26282" i="1"/>
  <c r="F26281" i="1"/>
  <c r="E26281" i="1"/>
  <c r="F26280" i="1"/>
  <c r="E26280" i="1"/>
  <c r="F26279" i="1"/>
  <c r="E26279" i="1"/>
  <c r="F26278" i="1"/>
  <c r="E26278" i="1"/>
  <c r="F26277" i="1"/>
  <c r="E26277" i="1"/>
  <c r="F26276" i="1"/>
  <c r="E26276" i="1"/>
  <c r="F26275" i="1"/>
  <c r="E26275" i="1"/>
  <c r="F26274" i="1"/>
  <c r="E26274" i="1"/>
  <c r="F26273" i="1"/>
  <c r="E26273" i="1"/>
  <c r="F26272" i="1"/>
  <c r="E26272" i="1"/>
  <c r="F26271" i="1"/>
  <c r="E26271" i="1"/>
  <c r="F26270" i="1"/>
  <c r="E26270" i="1"/>
  <c r="F26269" i="1"/>
  <c r="E26269" i="1"/>
  <c r="F26268" i="1"/>
  <c r="E26268" i="1"/>
  <c r="F26267" i="1"/>
  <c r="E26267" i="1"/>
  <c r="F26266" i="1"/>
  <c r="E26266" i="1"/>
  <c r="F26265" i="1"/>
  <c r="E26265" i="1"/>
  <c r="F26264" i="1"/>
  <c r="E26264" i="1"/>
  <c r="F26263" i="1"/>
  <c r="E26263" i="1"/>
  <c r="F26262" i="1"/>
  <c r="E26262" i="1"/>
  <c r="F26261" i="1"/>
  <c r="E26261" i="1"/>
  <c r="F26260" i="1"/>
  <c r="E26260" i="1"/>
  <c r="F26259" i="1"/>
  <c r="E26259" i="1"/>
  <c r="F26258" i="1"/>
  <c r="E26258" i="1"/>
  <c r="F26257" i="1"/>
  <c r="E26257" i="1"/>
  <c r="F26256" i="1"/>
  <c r="E26256" i="1"/>
  <c r="F26255" i="1"/>
  <c r="E26255" i="1"/>
  <c r="F26254" i="1"/>
  <c r="E26254" i="1"/>
  <c r="F26253" i="1"/>
  <c r="E26253" i="1"/>
  <c r="F26252" i="1"/>
  <c r="E26252" i="1"/>
  <c r="F26251" i="1"/>
  <c r="E26251" i="1"/>
  <c r="F26250" i="1"/>
  <c r="E26250" i="1"/>
  <c r="F26249" i="1"/>
  <c r="E26249" i="1"/>
  <c r="F26248" i="1"/>
  <c r="E26248" i="1"/>
  <c r="F26247" i="1"/>
  <c r="E26247" i="1"/>
  <c r="F26246" i="1"/>
  <c r="E26246" i="1"/>
  <c r="F26245" i="1"/>
  <c r="E26245" i="1"/>
  <c r="F26244" i="1"/>
  <c r="E26244" i="1"/>
  <c r="F26243" i="1"/>
  <c r="E26243" i="1"/>
  <c r="F26242" i="1"/>
  <c r="E26242" i="1"/>
  <c r="F26241" i="1"/>
  <c r="E26241" i="1"/>
  <c r="F26240" i="1"/>
  <c r="E26240" i="1"/>
  <c r="F26239" i="1"/>
  <c r="E26239" i="1"/>
  <c r="F26238" i="1"/>
  <c r="E26238" i="1"/>
  <c r="F26237" i="1"/>
  <c r="E26237" i="1"/>
  <c r="F26236" i="1"/>
  <c r="E26236" i="1"/>
  <c r="F26235" i="1"/>
  <c r="E26235" i="1"/>
  <c r="F26234" i="1"/>
  <c r="E26234" i="1"/>
  <c r="F26233" i="1"/>
  <c r="E26233" i="1"/>
  <c r="F26232" i="1"/>
  <c r="E26232" i="1"/>
  <c r="F26231" i="1"/>
  <c r="E26231" i="1"/>
  <c r="F26230" i="1"/>
  <c r="E26230" i="1"/>
  <c r="F26229" i="1"/>
  <c r="E26229" i="1"/>
  <c r="F26228" i="1"/>
  <c r="E26228" i="1"/>
  <c r="F26227" i="1"/>
  <c r="E26227" i="1"/>
  <c r="F26226" i="1"/>
  <c r="E26226" i="1"/>
  <c r="F26225" i="1"/>
  <c r="E26225" i="1"/>
  <c r="F26224" i="1"/>
  <c r="E26224" i="1"/>
  <c r="F26223" i="1"/>
  <c r="E26223" i="1"/>
  <c r="F26222" i="1"/>
  <c r="E26222" i="1"/>
  <c r="F26221" i="1"/>
  <c r="E26221" i="1"/>
  <c r="F26220" i="1"/>
  <c r="E26220" i="1"/>
  <c r="F26219" i="1"/>
  <c r="E26219" i="1"/>
  <c r="F26218" i="1"/>
  <c r="E26218" i="1"/>
  <c r="F26217" i="1"/>
  <c r="E26217" i="1"/>
  <c r="F26216" i="1"/>
  <c r="E26216" i="1"/>
  <c r="F26215" i="1"/>
  <c r="E26215" i="1"/>
  <c r="F26214" i="1"/>
  <c r="E26214" i="1"/>
  <c r="F26213" i="1"/>
  <c r="E26213" i="1"/>
  <c r="F26212" i="1"/>
  <c r="E26212" i="1"/>
  <c r="F26211" i="1"/>
  <c r="E26211" i="1"/>
  <c r="F26210" i="1"/>
  <c r="E26210" i="1"/>
  <c r="F26209" i="1"/>
  <c r="E26209" i="1"/>
  <c r="F26208" i="1"/>
  <c r="E26208" i="1"/>
  <c r="F26207" i="1"/>
  <c r="E26207" i="1"/>
  <c r="F26206" i="1"/>
  <c r="E26206" i="1"/>
  <c r="F26205" i="1"/>
  <c r="E26205" i="1"/>
  <c r="F26204" i="1"/>
  <c r="E26204" i="1"/>
  <c r="F26203" i="1"/>
  <c r="E26203" i="1"/>
  <c r="F26202" i="1"/>
  <c r="E26202" i="1"/>
  <c r="F26201" i="1"/>
  <c r="E26201" i="1"/>
  <c r="F26200" i="1"/>
  <c r="E26200" i="1"/>
  <c r="F26199" i="1"/>
  <c r="E26199" i="1"/>
  <c r="F26198" i="1"/>
  <c r="E26198" i="1"/>
  <c r="F26197" i="1"/>
  <c r="E26197" i="1"/>
  <c r="F26196" i="1"/>
  <c r="E26196" i="1"/>
  <c r="F26195" i="1"/>
  <c r="E26195" i="1"/>
  <c r="F26194" i="1"/>
  <c r="E26194" i="1"/>
  <c r="F26193" i="1"/>
  <c r="E26193" i="1"/>
  <c r="F26192" i="1"/>
  <c r="E26192" i="1"/>
  <c r="F26191" i="1"/>
  <c r="E26191" i="1"/>
  <c r="F26190" i="1"/>
  <c r="E26190" i="1"/>
  <c r="F26189" i="1"/>
  <c r="E26189" i="1"/>
  <c r="F26188" i="1"/>
  <c r="E26188" i="1"/>
  <c r="F26187" i="1"/>
  <c r="E26187" i="1"/>
  <c r="F26186" i="1"/>
  <c r="E26186" i="1"/>
  <c r="F26185" i="1"/>
  <c r="E26185" i="1"/>
  <c r="F26184" i="1"/>
  <c r="E26184" i="1"/>
  <c r="F26183" i="1"/>
  <c r="E26183" i="1"/>
  <c r="F26182" i="1"/>
  <c r="E26182" i="1"/>
  <c r="F26181" i="1"/>
  <c r="E26181" i="1"/>
  <c r="F26180" i="1"/>
  <c r="E26180" i="1"/>
  <c r="F26179" i="1"/>
  <c r="E26179" i="1"/>
  <c r="F26178" i="1"/>
  <c r="E26178" i="1"/>
  <c r="F26177" i="1"/>
  <c r="E26177" i="1"/>
  <c r="F26176" i="1"/>
  <c r="E26176" i="1"/>
  <c r="F26175" i="1"/>
  <c r="E26175" i="1"/>
  <c r="F26174" i="1"/>
  <c r="E26174" i="1"/>
  <c r="F26173" i="1"/>
  <c r="E26173" i="1"/>
  <c r="F26172" i="1"/>
  <c r="E26172" i="1"/>
  <c r="F26171" i="1"/>
  <c r="E26171" i="1"/>
  <c r="F26170" i="1"/>
  <c r="E26170" i="1"/>
  <c r="F26169" i="1"/>
  <c r="E26169" i="1"/>
  <c r="F26168" i="1"/>
  <c r="E26168" i="1"/>
  <c r="F26167" i="1"/>
  <c r="E26167" i="1"/>
  <c r="F26166" i="1"/>
  <c r="E26166" i="1"/>
  <c r="F26165" i="1"/>
  <c r="E26165" i="1"/>
  <c r="F26164" i="1"/>
  <c r="E26164" i="1"/>
  <c r="F26163" i="1"/>
  <c r="E26163" i="1"/>
  <c r="F26162" i="1"/>
  <c r="E26162" i="1"/>
  <c r="F26161" i="1"/>
  <c r="E26161" i="1"/>
  <c r="F26160" i="1"/>
  <c r="E26160" i="1"/>
  <c r="F26159" i="1"/>
  <c r="E26159" i="1"/>
  <c r="F26158" i="1"/>
  <c r="E26158" i="1"/>
  <c r="F26157" i="1"/>
  <c r="E26157" i="1"/>
  <c r="F26156" i="1"/>
  <c r="E26156" i="1"/>
  <c r="F26155" i="1"/>
  <c r="E26155" i="1"/>
  <c r="F26154" i="1"/>
  <c r="E26154" i="1"/>
  <c r="F26153" i="1"/>
  <c r="E26153" i="1"/>
  <c r="F26152" i="1"/>
  <c r="E26152" i="1"/>
  <c r="F26151" i="1"/>
  <c r="E26151" i="1"/>
  <c r="F26150" i="1"/>
  <c r="E26150" i="1"/>
  <c r="F26149" i="1"/>
  <c r="E26149" i="1"/>
  <c r="F26148" i="1"/>
  <c r="E26148" i="1"/>
  <c r="F26147" i="1"/>
  <c r="E26147" i="1"/>
  <c r="F26146" i="1"/>
  <c r="E26146" i="1"/>
  <c r="F26145" i="1"/>
  <c r="E26145" i="1"/>
  <c r="F26144" i="1"/>
  <c r="E26144" i="1"/>
  <c r="F26143" i="1"/>
  <c r="E26143" i="1"/>
  <c r="F26142" i="1"/>
  <c r="E26142" i="1"/>
  <c r="F26141" i="1"/>
  <c r="E26141" i="1"/>
  <c r="F26140" i="1"/>
  <c r="E26140" i="1"/>
  <c r="F26139" i="1"/>
  <c r="E26139" i="1"/>
  <c r="F26138" i="1"/>
  <c r="E26138" i="1"/>
  <c r="F26137" i="1"/>
  <c r="E26137" i="1"/>
  <c r="F26136" i="1"/>
  <c r="E26136" i="1"/>
  <c r="F26135" i="1"/>
  <c r="E26135" i="1"/>
  <c r="F26134" i="1"/>
  <c r="E26134" i="1"/>
  <c r="F26133" i="1"/>
  <c r="E26133" i="1"/>
  <c r="F26132" i="1"/>
  <c r="E26132" i="1"/>
  <c r="F26131" i="1"/>
  <c r="E26131" i="1"/>
  <c r="F26130" i="1"/>
  <c r="E26130" i="1"/>
  <c r="F26129" i="1"/>
  <c r="E26129" i="1"/>
  <c r="F26128" i="1"/>
  <c r="E26128" i="1"/>
  <c r="F26127" i="1"/>
  <c r="E26127" i="1"/>
  <c r="F26126" i="1"/>
  <c r="E26126" i="1"/>
  <c r="F26125" i="1"/>
  <c r="E26125" i="1"/>
  <c r="F26124" i="1"/>
  <c r="E26124" i="1"/>
  <c r="F26123" i="1"/>
  <c r="E26123" i="1"/>
  <c r="F26122" i="1"/>
  <c r="E26122" i="1"/>
  <c r="F26121" i="1"/>
  <c r="E26121" i="1"/>
  <c r="F26120" i="1"/>
  <c r="E26120" i="1"/>
  <c r="F26119" i="1"/>
  <c r="E26119" i="1"/>
  <c r="F26118" i="1"/>
  <c r="E26118" i="1"/>
  <c r="F26117" i="1"/>
  <c r="E26117" i="1"/>
  <c r="F26116" i="1"/>
  <c r="E26116" i="1"/>
  <c r="F26115" i="1"/>
  <c r="E26115" i="1"/>
  <c r="F26114" i="1"/>
  <c r="E26114" i="1"/>
  <c r="F26113" i="1"/>
  <c r="E26113" i="1"/>
  <c r="F26112" i="1"/>
  <c r="E26112" i="1"/>
  <c r="F26111" i="1"/>
  <c r="E26111" i="1"/>
  <c r="F26110" i="1"/>
  <c r="E26110" i="1"/>
  <c r="F26109" i="1"/>
  <c r="E26109" i="1"/>
  <c r="F26108" i="1"/>
  <c r="E26108" i="1"/>
  <c r="F26107" i="1"/>
  <c r="E26107" i="1"/>
  <c r="F26106" i="1"/>
  <c r="E26106" i="1"/>
  <c r="F26105" i="1"/>
  <c r="E26105" i="1"/>
  <c r="F26104" i="1"/>
  <c r="E26104" i="1"/>
  <c r="F26103" i="1"/>
  <c r="E26103" i="1"/>
  <c r="F26102" i="1"/>
  <c r="E26102" i="1"/>
  <c r="F26101" i="1"/>
  <c r="E26101" i="1"/>
  <c r="F26100" i="1"/>
  <c r="E26100" i="1"/>
  <c r="F26099" i="1"/>
  <c r="E26099" i="1"/>
  <c r="F26098" i="1"/>
  <c r="E26098" i="1"/>
  <c r="F26097" i="1"/>
  <c r="E26097" i="1"/>
  <c r="F26096" i="1"/>
  <c r="E26096" i="1"/>
  <c r="F26095" i="1"/>
  <c r="E26095" i="1"/>
  <c r="F26094" i="1"/>
  <c r="E26094" i="1"/>
  <c r="F26093" i="1"/>
  <c r="E26093" i="1"/>
  <c r="F26092" i="1"/>
  <c r="E26092" i="1"/>
  <c r="F26091" i="1"/>
  <c r="E26091" i="1"/>
  <c r="F26090" i="1"/>
  <c r="E26090" i="1"/>
  <c r="F26089" i="1"/>
  <c r="E26089" i="1"/>
  <c r="F26088" i="1"/>
  <c r="E26088" i="1"/>
  <c r="F26087" i="1"/>
  <c r="E26087" i="1"/>
  <c r="F26086" i="1"/>
  <c r="E26086" i="1"/>
  <c r="F26085" i="1"/>
  <c r="E26085" i="1"/>
  <c r="F26084" i="1"/>
  <c r="E26084" i="1"/>
  <c r="F26083" i="1"/>
  <c r="E26083" i="1"/>
  <c r="F26082" i="1"/>
  <c r="E26082" i="1"/>
  <c r="F26081" i="1"/>
  <c r="E26081" i="1"/>
  <c r="F26080" i="1"/>
  <c r="E26080" i="1"/>
  <c r="F26079" i="1"/>
  <c r="E26079" i="1"/>
  <c r="F26078" i="1"/>
  <c r="E26078" i="1"/>
  <c r="F26077" i="1"/>
  <c r="E26077" i="1"/>
  <c r="F26076" i="1"/>
  <c r="E26076" i="1"/>
  <c r="F26075" i="1"/>
  <c r="E26075" i="1"/>
  <c r="F26074" i="1"/>
  <c r="E26074" i="1"/>
  <c r="F26073" i="1"/>
  <c r="E26073" i="1"/>
  <c r="F26072" i="1"/>
  <c r="E26072" i="1"/>
  <c r="F26071" i="1"/>
  <c r="E26071" i="1"/>
  <c r="F26070" i="1"/>
  <c r="E26070" i="1"/>
  <c r="F26069" i="1"/>
  <c r="E26069" i="1"/>
  <c r="F26068" i="1"/>
  <c r="E26068" i="1"/>
  <c r="F26067" i="1"/>
  <c r="E26067" i="1"/>
  <c r="F26066" i="1"/>
  <c r="E26066" i="1"/>
  <c r="F26065" i="1"/>
  <c r="E26065" i="1"/>
  <c r="F26064" i="1"/>
  <c r="E26064" i="1"/>
  <c r="F26063" i="1"/>
  <c r="E26063" i="1"/>
  <c r="F26062" i="1"/>
  <c r="E26062" i="1"/>
  <c r="F26061" i="1"/>
  <c r="E26061" i="1"/>
  <c r="F26060" i="1"/>
  <c r="E26060" i="1"/>
  <c r="F26059" i="1"/>
  <c r="E26059" i="1"/>
  <c r="F26058" i="1"/>
  <c r="E26058" i="1"/>
  <c r="F26057" i="1"/>
  <c r="E26057" i="1"/>
  <c r="F26056" i="1"/>
  <c r="E26056" i="1"/>
  <c r="F26055" i="1"/>
  <c r="E26055" i="1"/>
  <c r="F26054" i="1"/>
  <c r="E26054" i="1"/>
  <c r="F26053" i="1"/>
  <c r="E26053" i="1"/>
  <c r="F26052" i="1"/>
  <c r="E26052" i="1"/>
  <c r="F26051" i="1"/>
  <c r="E26051" i="1"/>
  <c r="F26050" i="1"/>
  <c r="E26050" i="1"/>
  <c r="F26049" i="1"/>
  <c r="E26049" i="1"/>
  <c r="F26048" i="1"/>
  <c r="E26048" i="1"/>
  <c r="F26047" i="1"/>
  <c r="E26047" i="1"/>
  <c r="F26046" i="1"/>
  <c r="E26046" i="1"/>
  <c r="F26045" i="1"/>
  <c r="E26045" i="1"/>
  <c r="F26044" i="1"/>
  <c r="E26044" i="1"/>
  <c r="F26043" i="1"/>
  <c r="E26043" i="1"/>
  <c r="F26042" i="1"/>
  <c r="E26042" i="1"/>
  <c r="F26041" i="1"/>
  <c r="E26041" i="1"/>
  <c r="F26040" i="1"/>
  <c r="E26040" i="1"/>
  <c r="F26039" i="1"/>
  <c r="E26039" i="1"/>
  <c r="F26038" i="1"/>
  <c r="E26038" i="1"/>
  <c r="F26037" i="1"/>
  <c r="E26037" i="1"/>
  <c r="F26036" i="1"/>
  <c r="E26036" i="1"/>
  <c r="F26035" i="1"/>
  <c r="E26035" i="1"/>
  <c r="F26034" i="1"/>
  <c r="E26034" i="1"/>
  <c r="F26033" i="1"/>
  <c r="E26033" i="1"/>
  <c r="F26032" i="1"/>
  <c r="E26032" i="1"/>
  <c r="F26031" i="1"/>
  <c r="E26031" i="1"/>
  <c r="F26030" i="1"/>
  <c r="E26030" i="1"/>
  <c r="F26029" i="1"/>
  <c r="E26029" i="1"/>
  <c r="F26028" i="1"/>
  <c r="E26028" i="1"/>
  <c r="F26027" i="1"/>
  <c r="E26027" i="1"/>
  <c r="F26026" i="1"/>
  <c r="E26026" i="1"/>
  <c r="F26025" i="1"/>
  <c r="E26025" i="1"/>
  <c r="F26024" i="1"/>
  <c r="E26024" i="1"/>
  <c r="F26023" i="1"/>
  <c r="E26023" i="1"/>
  <c r="F26022" i="1"/>
  <c r="E26022" i="1"/>
  <c r="F26021" i="1"/>
  <c r="E26021" i="1"/>
  <c r="F26020" i="1"/>
  <c r="E26020" i="1"/>
  <c r="F26019" i="1"/>
  <c r="E26019" i="1"/>
  <c r="F26018" i="1"/>
  <c r="E26018" i="1"/>
  <c r="F26017" i="1"/>
  <c r="E26017" i="1"/>
  <c r="F26016" i="1"/>
  <c r="E26016" i="1"/>
  <c r="F26015" i="1"/>
  <c r="E26015" i="1"/>
  <c r="F26014" i="1"/>
  <c r="E26014" i="1"/>
  <c r="F26013" i="1"/>
  <c r="E26013" i="1"/>
  <c r="F26012" i="1"/>
  <c r="E26012" i="1"/>
  <c r="F26011" i="1"/>
  <c r="E26011" i="1"/>
  <c r="F26010" i="1"/>
  <c r="E26010" i="1"/>
  <c r="F26009" i="1"/>
  <c r="E26009" i="1"/>
  <c r="F26008" i="1"/>
  <c r="E26008" i="1"/>
  <c r="F26007" i="1"/>
  <c r="E26007" i="1"/>
  <c r="F26006" i="1"/>
  <c r="E26006" i="1"/>
  <c r="F26005" i="1"/>
  <c r="E26005" i="1"/>
  <c r="F26004" i="1"/>
  <c r="E26004" i="1"/>
  <c r="F26003" i="1"/>
  <c r="E26003" i="1"/>
  <c r="F26002" i="1"/>
  <c r="E26002" i="1"/>
  <c r="F26001" i="1"/>
  <c r="E26001" i="1"/>
  <c r="F26000" i="1"/>
  <c r="E26000" i="1"/>
  <c r="F25999" i="1"/>
  <c r="E25999" i="1"/>
  <c r="F25998" i="1"/>
  <c r="E25998" i="1"/>
  <c r="F25997" i="1"/>
  <c r="E25997" i="1"/>
  <c r="F25996" i="1"/>
  <c r="E25996" i="1"/>
  <c r="F25995" i="1"/>
  <c r="E25995" i="1"/>
  <c r="F25994" i="1"/>
  <c r="E25994" i="1"/>
  <c r="F25993" i="1"/>
  <c r="E25993" i="1"/>
  <c r="F25992" i="1"/>
  <c r="E25992" i="1"/>
  <c r="F25991" i="1"/>
  <c r="E25991" i="1"/>
  <c r="F25990" i="1"/>
  <c r="E25990" i="1"/>
  <c r="F25989" i="1"/>
  <c r="E25989" i="1"/>
  <c r="F25988" i="1"/>
  <c r="E25988" i="1"/>
  <c r="F25987" i="1"/>
  <c r="E25987" i="1"/>
  <c r="F25986" i="1"/>
  <c r="E25986" i="1"/>
  <c r="F25985" i="1"/>
  <c r="E25985" i="1"/>
  <c r="F25984" i="1"/>
  <c r="E25984" i="1"/>
  <c r="F25983" i="1"/>
  <c r="E25983" i="1"/>
  <c r="F25982" i="1"/>
  <c r="E25982" i="1"/>
  <c r="F25981" i="1"/>
  <c r="E25981" i="1"/>
  <c r="F25980" i="1"/>
  <c r="E25980" i="1"/>
  <c r="F25979" i="1"/>
  <c r="E25979" i="1"/>
  <c r="F25978" i="1"/>
  <c r="E25978" i="1"/>
  <c r="F25977" i="1"/>
  <c r="E25977" i="1"/>
  <c r="F25976" i="1"/>
  <c r="E25976" i="1"/>
  <c r="F25975" i="1"/>
  <c r="E25975" i="1"/>
  <c r="F25974" i="1"/>
  <c r="E25974" i="1"/>
  <c r="F25973" i="1"/>
  <c r="E25973" i="1"/>
  <c r="F25972" i="1"/>
  <c r="E25972" i="1"/>
  <c r="F25971" i="1"/>
  <c r="E25971" i="1"/>
  <c r="F25970" i="1"/>
  <c r="E25970" i="1"/>
  <c r="F25969" i="1"/>
  <c r="E25969" i="1"/>
  <c r="F25968" i="1"/>
  <c r="E25968" i="1"/>
  <c r="F25967" i="1"/>
  <c r="E25967" i="1"/>
  <c r="F25966" i="1"/>
  <c r="E25966" i="1"/>
  <c r="F25965" i="1"/>
  <c r="E25965" i="1"/>
  <c r="F25964" i="1"/>
  <c r="E25964" i="1"/>
  <c r="F25963" i="1"/>
  <c r="E25963" i="1"/>
  <c r="F25962" i="1"/>
  <c r="E25962" i="1"/>
  <c r="F25961" i="1"/>
  <c r="E25961" i="1"/>
  <c r="F25960" i="1"/>
  <c r="E25960" i="1"/>
  <c r="F25959" i="1"/>
  <c r="E25959" i="1"/>
  <c r="F25958" i="1"/>
  <c r="E25958" i="1"/>
  <c r="F25957" i="1"/>
  <c r="E25957" i="1"/>
  <c r="F25956" i="1"/>
  <c r="E25956" i="1"/>
  <c r="F25955" i="1"/>
  <c r="E25955" i="1"/>
  <c r="F25954" i="1"/>
  <c r="E25954" i="1"/>
  <c r="F25953" i="1"/>
  <c r="E25953" i="1"/>
  <c r="F25952" i="1"/>
  <c r="E25952" i="1"/>
  <c r="F25951" i="1"/>
  <c r="E25951" i="1"/>
  <c r="F25950" i="1"/>
  <c r="E25950" i="1"/>
  <c r="F25949" i="1"/>
  <c r="E25949" i="1"/>
  <c r="F25948" i="1"/>
  <c r="E25948" i="1"/>
  <c r="F25947" i="1"/>
  <c r="E25947" i="1"/>
  <c r="F25946" i="1"/>
  <c r="E25946" i="1"/>
  <c r="F25945" i="1"/>
  <c r="E25945" i="1"/>
  <c r="F25944" i="1"/>
  <c r="E25944" i="1"/>
  <c r="F25943" i="1"/>
  <c r="E25943" i="1"/>
  <c r="F25942" i="1"/>
  <c r="E25942" i="1"/>
  <c r="F25941" i="1"/>
  <c r="E25941" i="1"/>
  <c r="F25940" i="1"/>
  <c r="E25940" i="1"/>
  <c r="F25939" i="1"/>
  <c r="E25939" i="1"/>
  <c r="F25938" i="1"/>
  <c r="E25938" i="1"/>
  <c r="F25937" i="1"/>
  <c r="E25937" i="1"/>
  <c r="F25936" i="1"/>
  <c r="E25936" i="1"/>
  <c r="F25935" i="1"/>
  <c r="E25935" i="1"/>
  <c r="F25934" i="1"/>
  <c r="E25934" i="1"/>
  <c r="F25933" i="1"/>
  <c r="E25933" i="1"/>
  <c r="F25932" i="1"/>
  <c r="E25932" i="1"/>
  <c r="F25931" i="1"/>
  <c r="E25931" i="1"/>
  <c r="F25930" i="1"/>
  <c r="E25930" i="1"/>
  <c r="F25929" i="1"/>
  <c r="E25929" i="1"/>
  <c r="F25928" i="1"/>
  <c r="E25928" i="1"/>
  <c r="F25927" i="1"/>
  <c r="E25927" i="1"/>
  <c r="F25926" i="1"/>
  <c r="E25926" i="1"/>
  <c r="F25925" i="1"/>
  <c r="E25925" i="1"/>
  <c r="F25924" i="1"/>
  <c r="E25924" i="1"/>
  <c r="F25923" i="1"/>
  <c r="E25923" i="1"/>
  <c r="F25922" i="1"/>
  <c r="E25922" i="1"/>
  <c r="F25921" i="1"/>
  <c r="E25921" i="1"/>
  <c r="F25920" i="1"/>
  <c r="E25920" i="1"/>
  <c r="F25919" i="1"/>
  <c r="E25919" i="1"/>
  <c r="F25918" i="1"/>
  <c r="F25917" i="1"/>
  <c r="F25916" i="1"/>
  <c r="E25916" i="1"/>
  <c r="F25915" i="1"/>
  <c r="E25915" i="1"/>
  <c r="F25914" i="1"/>
  <c r="E25914" i="1"/>
  <c r="F25913" i="1"/>
  <c r="E25913" i="1"/>
  <c r="F25912" i="1"/>
  <c r="E25912" i="1"/>
  <c r="F25911" i="1"/>
  <c r="E25911" i="1"/>
  <c r="F25910" i="1"/>
  <c r="E25910" i="1"/>
  <c r="F25909" i="1"/>
  <c r="E25909" i="1"/>
  <c r="F25908" i="1"/>
  <c r="E25908" i="1"/>
  <c r="F25907" i="1"/>
  <c r="E25907" i="1"/>
  <c r="F25906" i="1"/>
  <c r="E25906" i="1"/>
  <c r="F25905" i="1"/>
  <c r="E25905" i="1"/>
  <c r="F25904" i="1"/>
  <c r="E25904" i="1"/>
  <c r="F25903" i="1"/>
  <c r="E25903" i="1"/>
  <c r="F25902" i="1"/>
  <c r="E25902" i="1"/>
  <c r="F25901" i="1"/>
  <c r="E25901" i="1"/>
  <c r="F25900" i="1"/>
  <c r="E25900" i="1"/>
  <c r="F25899" i="1"/>
  <c r="E25899" i="1"/>
  <c r="F25898" i="1"/>
  <c r="E25898" i="1"/>
  <c r="F25897" i="1"/>
  <c r="E25897" i="1"/>
  <c r="F25896" i="1"/>
  <c r="E25896" i="1"/>
  <c r="F25895" i="1"/>
  <c r="E25895" i="1"/>
  <c r="F25894" i="1"/>
  <c r="E25894" i="1"/>
  <c r="F25893" i="1"/>
  <c r="E25893" i="1"/>
  <c r="F25892" i="1"/>
  <c r="E25892" i="1"/>
  <c r="F25891" i="1"/>
  <c r="E25891" i="1"/>
  <c r="F25890" i="1"/>
  <c r="E25890" i="1"/>
  <c r="F25889" i="1"/>
  <c r="E25889" i="1"/>
  <c r="F25888" i="1"/>
  <c r="E25888" i="1"/>
  <c r="F25887" i="1"/>
  <c r="E25887" i="1"/>
  <c r="F25886" i="1"/>
  <c r="E25886" i="1"/>
  <c r="F25885" i="1"/>
  <c r="E25885" i="1"/>
  <c r="F25884" i="1"/>
  <c r="E25884" i="1"/>
  <c r="F25883" i="1"/>
  <c r="E25883" i="1"/>
  <c r="F25882" i="1"/>
  <c r="E25882" i="1"/>
  <c r="F25881" i="1"/>
  <c r="E25881" i="1"/>
  <c r="F25880" i="1"/>
  <c r="E25880" i="1"/>
  <c r="F25879" i="1"/>
  <c r="E25879" i="1"/>
  <c r="F25878" i="1"/>
  <c r="E25878" i="1"/>
  <c r="F25877" i="1"/>
  <c r="E25877" i="1"/>
  <c r="F25876" i="1"/>
  <c r="E25876" i="1"/>
  <c r="F25875" i="1"/>
  <c r="E25875" i="1"/>
  <c r="F25874" i="1"/>
  <c r="E25874" i="1"/>
  <c r="F25873" i="1"/>
  <c r="E25873" i="1"/>
  <c r="F25872" i="1"/>
  <c r="E25872" i="1"/>
  <c r="F25871" i="1"/>
  <c r="E25871" i="1"/>
  <c r="F25870" i="1"/>
  <c r="E25870" i="1"/>
  <c r="F25869" i="1"/>
  <c r="E25869" i="1"/>
  <c r="F25868" i="1"/>
  <c r="E25868" i="1"/>
  <c r="F25867" i="1"/>
  <c r="E25867" i="1"/>
  <c r="F25866" i="1"/>
  <c r="E25866" i="1"/>
  <c r="F25865" i="1"/>
  <c r="E25865" i="1"/>
  <c r="F25864" i="1"/>
  <c r="E25864" i="1"/>
  <c r="F25863" i="1"/>
  <c r="E25863" i="1"/>
  <c r="F25862" i="1"/>
  <c r="E25862" i="1"/>
  <c r="F25861" i="1"/>
  <c r="E25861" i="1"/>
  <c r="F25860" i="1"/>
  <c r="E25860" i="1"/>
  <c r="F25859" i="1"/>
  <c r="E25859" i="1"/>
  <c r="F25858" i="1"/>
  <c r="E25858" i="1"/>
  <c r="F25857" i="1"/>
  <c r="E25857" i="1"/>
  <c r="F25856" i="1"/>
  <c r="E25856" i="1"/>
  <c r="F25855" i="1"/>
  <c r="E25855" i="1"/>
  <c r="F25854" i="1"/>
  <c r="E25854" i="1"/>
  <c r="F25853" i="1"/>
  <c r="E25853" i="1"/>
  <c r="F25852" i="1"/>
  <c r="E25852" i="1"/>
  <c r="F25851" i="1"/>
  <c r="E25851" i="1"/>
  <c r="F25850" i="1"/>
  <c r="E25850" i="1"/>
  <c r="F25849" i="1"/>
  <c r="E25849" i="1"/>
  <c r="F25848" i="1"/>
  <c r="E25848" i="1"/>
  <c r="F25847" i="1"/>
  <c r="E25847" i="1"/>
  <c r="F25846" i="1"/>
  <c r="E25846" i="1"/>
  <c r="F25845" i="1"/>
  <c r="E25845" i="1"/>
  <c r="F25844" i="1"/>
  <c r="E25844" i="1"/>
  <c r="F25843" i="1"/>
  <c r="E25843" i="1"/>
  <c r="F25842" i="1"/>
  <c r="E25842" i="1"/>
  <c r="F25841" i="1"/>
  <c r="E25841" i="1"/>
  <c r="F25840" i="1"/>
  <c r="E25840" i="1"/>
  <c r="F25839" i="1"/>
  <c r="E25839" i="1"/>
  <c r="F25838" i="1"/>
  <c r="E25838" i="1"/>
  <c r="F25837" i="1"/>
  <c r="E25837" i="1"/>
  <c r="F25836" i="1"/>
  <c r="E25836" i="1"/>
  <c r="F25835" i="1"/>
  <c r="E25835" i="1"/>
  <c r="F25834" i="1"/>
  <c r="E25834" i="1"/>
  <c r="F25833" i="1"/>
  <c r="E25833" i="1"/>
  <c r="F25832" i="1"/>
  <c r="E25832" i="1"/>
  <c r="F25831" i="1"/>
  <c r="E25831" i="1"/>
  <c r="F25830" i="1"/>
  <c r="E25830" i="1"/>
  <c r="F25829" i="1"/>
  <c r="E25829" i="1"/>
  <c r="F25828" i="1"/>
  <c r="E25828" i="1"/>
  <c r="F25827" i="1"/>
  <c r="E25827" i="1"/>
  <c r="F25826" i="1"/>
  <c r="E25826" i="1"/>
  <c r="F25825" i="1"/>
  <c r="E25825" i="1"/>
  <c r="F25824" i="1"/>
  <c r="E25824" i="1"/>
  <c r="F25823" i="1"/>
  <c r="E25823" i="1"/>
  <c r="F25822" i="1"/>
  <c r="E25822" i="1"/>
  <c r="F25821" i="1"/>
  <c r="E25821" i="1"/>
  <c r="F25820" i="1"/>
  <c r="E25820" i="1"/>
  <c r="F25819" i="1"/>
  <c r="E25819" i="1"/>
  <c r="F25818" i="1"/>
  <c r="E25818" i="1"/>
  <c r="F25817" i="1"/>
  <c r="E25817" i="1"/>
  <c r="F25816" i="1"/>
  <c r="E25816" i="1"/>
  <c r="F25815" i="1"/>
  <c r="E25815" i="1"/>
  <c r="F25814" i="1"/>
  <c r="E25814" i="1"/>
  <c r="F25813" i="1"/>
  <c r="E25813" i="1"/>
  <c r="F25812" i="1"/>
  <c r="E25812" i="1"/>
  <c r="F25811" i="1"/>
  <c r="E25811" i="1"/>
  <c r="F25810" i="1"/>
  <c r="E25810" i="1"/>
  <c r="F25809" i="1"/>
  <c r="E25809" i="1"/>
  <c r="F25808" i="1"/>
  <c r="E25808" i="1"/>
  <c r="F25807" i="1"/>
  <c r="E25807" i="1"/>
  <c r="F25806" i="1"/>
  <c r="E25806" i="1"/>
  <c r="F25805" i="1"/>
  <c r="E25805" i="1"/>
  <c r="F25804" i="1"/>
  <c r="E25804" i="1"/>
  <c r="F25803" i="1"/>
  <c r="E25803" i="1"/>
  <c r="F25802" i="1"/>
  <c r="E25802" i="1"/>
  <c r="F25801" i="1"/>
  <c r="E25801" i="1"/>
  <c r="F25800" i="1"/>
  <c r="E25800" i="1"/>
  <c r="F25799" i="1"/>
  <c r="E25799" i="1"/>
  <c r="F25798" i="1"/>
  <c r="E25798" i="1"/>
  <c r="F25797" i="1"/>
  <c r="E25797" i="1"/>
  <c r="F25796" i="1"/>
  <c r="E25796" i="1"/>
  <c r="F25795" i="1"/>
  <c r="E25795" i="1"/>
  <c r="F25794" i="1"/>
  <c r="E25794" i="1"/>
  <c r="F25793" i="1"/>
  <c r="E25793" i="1"/>
  <c r="F25792" i="1"/>
  <c r="E25792" i="1"/>
  <c r="F25791" i="1"/>
  <c r="E25791" i="1"/>
  <c r="F25790" i="1"/>
  <c r="E25790" i="1"/>
  <c r="F25789" i="1"/>
  <c r="E25789" i="1"/>
  <c r="F25788" i="1"/>
  <c r="E25788" i="1"/>
  <c r="F25787" i="1"/>
  <c r="E25787" i="1"/>
  <c r="F25786" i="1"/>
  <c r="E25786" i="1"/>
  <c r="F25785" i="1"/>
  <c r="E25785" i="1"/>
  <c r="F25784" i="1"/>
  <c r="E25784" i="1"/>
  <c r="F25783" i="1"/>
  <c r="E25783" i="1"/>
  <c r="F25782" i="1"/>
  <c r="E25782" i="1"/>
  <c r="F25781" i="1"/>
  <c r="E25781" i="1"/>
  <c r="F25780" i="1"/>
  <c r="E25780" i="1"/>
  <c r="F25779" i="1"/>
  <c r="E25779" i="1"/>
  <c r="F25778" i="1"/>
  <c r="E25778" i="1"/>
  <c r="F25777" i="1"/>
  <c r="E25777" i="1"/>
  <c r="F25776" i="1"/>
  <c r="E25776" i="1"/>
  <c r="F25775" i="1"/>
  <c r="E25775" i="1"/>
  <c r="F25774" i="1"/>
  <c r="E25774" i="1"/>
  <c r="F25773" i="1"/>
  <c r="E25773" i="1"/>
  <c r="F25772" i="1"/>
  <c r="E25772" i="1"/>
  <c r="F25771" i="1"/>
  <c r="E25771" i="1"/>
  <c r="F25770" i="1"/>
  <c r="E25770" i="1"/>
  <c r="F25769" i="1"/>
  <c r="E25769" i="1"/>
  <c r="F25768" i="1"/>
  <c r="E25768" i="1"/>
  <c r="F25767" i="1"/>
  <c r="E25767" i="1"/>
  <c r="F25766" i="1"/>
  <c r="E25766" i="1"/>
  <c r="F25765" i="1"/>
  <c r="E25765" i="1"/>
  <c r="F25764" i="1"/>
  <c r="E25764" i="1"/>
  <c r="F25763" i="1"/>
  <c r="E25763" i="1"/>
  <c r="F25762" i="1"/>
  <c r="E25762" i="1"/>
  <c r="F25761" i="1"/>
  <c r="E25761" i="1"/>
  <c r="F25760" i="1"/>
  <c r="E25760" i="1"/>
  <c r="F25759" i="1"/>
  <c r="E25759" i="1"/>
  <c r="F25758" i="1"/>
  <c r="E25758" i="1"/>
  <c r="F25757" i="1"/>
  <c r="E25757" i="1"/>
  <c r="F25756" i="1"/>
  <c r="E25756" i="1"/>
  <c r="F25755" i="1"/>
  <c r="E25755" i="1"/>
  <c r="F25754" i="1"/>
  <c r="E25754" i="1"/>
  <c r="F25753" i="1"/>
  <c r="E25753" i="1"/>
  <c r="F25752" i="1"/>
  <c r="E25752" i="1"/>
  <c r="F25751" i="1"/>
  <c r="E25751" i="1"/>
  <c r="F25750" i="1"/>
  <c r="E25750" i="1"/>
  <c r="F25749" i="1"/>
  <c r="E25749" i="1"/>
  <c r="F25748" i="1"/>
  <c r="E25748" i="1"/>
  <c r="F25747" i="1"/>
  <c r="E25747" i="1"/>
  <c r="F25746" i="1"/>
  <c r="E25746" i="1"/>
  <c r="F25745" i="1"/>
  <c r="E25745" i="1"/>
  <c r="F25744" i="1"/>
  <c r="E25744" i="1"/>
  <c r="F25743" i="1"/>
  <c r="E25743" i="1"/>
  <c r="F25742" i="1"/>
  <c r="E25742" i="1"/>
  <c r="F25741" i="1"/>
  <c r="E25741" i="1"/>
  <c r="F25740" i="1"/>
  <c r="E25740" i="1"/>
  <c r="F25739" i="1"/>
  <c r="E25739" i="1"/>
  <c r="F25738" i="1"/>
  <c r="E25738" i="1"/>
  <c r="F25737" i="1"/>
  <c r="E25737" i="1"/>
  <c r="F25736" i="1"/>
  <c r="E25736" i="1"/>
  <c r="F25735" i="1"/>
  <c r="E25735" i="1"/>
  <c r="F25734" i="1"/>
  <c r="E25734" i="1"/>
  <c r="F25733" i="1"/>
  <c r="E25733" i="1"/>
  <c r="F25732" i="1"/>
  <c r="E25732" i="1"/>
  <c r="F25731" i="1"/>
  <c r="E25731" i="1"/>
  <c r="F25730" i="1"/>
  <c r="E25730" i="1"/>
  <c r="F25729" i="1"/>
  <c r="E25729" i="1"/>
  <c r="F25728" i="1"/>
  <c r="E25728" i="1"/>
  <c r="F25727" i="1"/>
  <c r="E25727" i="1"/>
  <c r="F25726" i="1"/>
  <c r="E25726" i="1"/>
  <c r="F25725" i="1"/>
  <c r="E25725" i="1"/>
  <c r="F25724" i="1"/>
  <c r="E25724" i="1"/>
  <c r="F25723" i="1"/>
  <c r="E25723" i="1"/>
  <c r="F25722" i="1"/>
  <c r="E25722" i="1"/>
  <c r="F25721" i="1"/>
  <c r="E25721" i="1"/>
  <c r="F25720" i="1"/>
  <c r="E25720" i="1"/>
  <c r="F25719" i="1"/>
  <c r="E25719" i="1"/>
  <c r="F25718" i="1"/>
  <c r="E25718" i="1"/>
  <c r="F25717" i="1"/>
  <c r="E25717" i="1"/>
  <c r="F25716" i="1"/>
  <c r="E25716" i="1"/>
  <c r="F25715" i="1"/>
  <c r="E25715" i="1"/>
  <c r="F25714" i="1"/>
  <c r="E25714" i="1"/>
  <c r="F25713" i="1"/>
  <c r="E25713" i="1"/>
  <c r="F25712" i="1"/>
  <c r="E25712" i="1"/>
  <c r="F25711" i="1"/>
  <c r="E25711" i="1"/>
  <c r="F25710" i="1"/>
  <c r="E25710" i="1"/>
  <c r="F25709" i="1"/>
  <c r="E25709" i="1"/>
  <c r="F25708" i="1"/>
  <c r="E25708" i="1"/>
  <c r="F25707" i="1"/>
  <c r="E25707" i="1"/>
  <c r="F25706" i="1"/>
  <c r="E25706" i="1"/>
  <c r="F25705" i="1"/>
  <c r="E25705" i="1"/>
  <c r="F25704" i="1"/>
  <c r="E25704" i="1"/>
  <c r="F25703" i="1"/>
  <c r="E25703" i="1"/>
  <c r="F25702" i="1"/>
  <c r="E25702" i="1"/>
  <c r="F25701" i="1"/>
  <c r="E25701" i="1"/>
  <c r="F25700" i="1"/>
  <c r="E25700" i="1"/>
  <c r="F25699" i="1"/>
  <c r="E25699" i="1"/>
  <c r="F25698" i="1"/>
  <c r="E25698" i="1"/>
  <c r="F25697" i="1"/>
  <c r="E25697" i="1"/>
  <c r="F25696" i="1"/>
  <c r="E25696" i="1"/>
  <c r="F25695" i="1"/>
  <c r="E25695" i="1"/>
  <c r="F25694" i="1"/>
  <c r="E25694" i="1"/>
  <c r="F25693" i="1"/>
  <c r="E25693" i="1"/>
  <c r="F25692" i="1"/>
  <c r="E25692" i="1"/>
  <c r="F25691" i="1"/>
  <c r="E25691" i="1"/>
  <c r="F25690" i="1"/>
  <c r="E25690" i="1"/>
  <c r="F25689" i="1"/>
  <c r="E25689" i="1"/>
  <c r="F25688" i="1"/>
  <c r="E25688" i="1"/>
  <c r="F25687" i="1"/>
  <c r="E25687" i="1"/>
  <c r="F25686" i="1"/>
  <c r="E25686" i="1"/>
  <c r="F25685" i="1"/>
  <c r="E25685" i="1"/>
  <c r="F25684" i="1"/>
  <c r="E25684" i="1"/>
  <c r="F25683" i="1"/>
  <c r="E25683" i="1"/>
  <c r="F25682" i="1"/>
  <c r="E25682" i="1"/>
  <c r="F25681" i="1"/>
  <c r="E25681" i="1"/>
  <c r="F25680" i="1"/>
  <c r="E25680" i="1"/>
  <c r="F25679" i="1"/>
  <c r="E25679" i="1"/>
  <c r="F25678" i="1"/>
  <c r="E25678" i="1"/>
  <c r="F25677" i="1"/>
  <c r="E25677" i="1"/>
  <c r="F25676" i="1"/>
  <c r="E25676" i="1"/>
  <c r="F25675" i="1"/>
  <c r="E25675" i="1"/>
  <c r="F25674" i="1"/>
  <c r="E25674" i="1"/>
  <c r="F25673" i="1"/>
  <c r="E25673" i="1"/>
  <c r="F25672" i="1"/>
  <c r="E25672" i="1"/>
  <c r="F25671" i="1"/>
  <c r="E25671" i="1"/>
  <c r="F25670" i="1"/>
  <c r="E25670" i="1"/>
  <c r="F25669" i="1"/>
  <c r="E25669" i="1"/>
  <c r="F25668" i="1"/>
  <c r="E25668" i="1"/>
  <c r="F25667" i="1"/>
  <c r="E25667" i="1"/>
  <c r="F25666" i="1"/>
  <c r="E25666" i="1"/>
  <c r="F25665" i="1"/>
  <c r="E25665" i="1"/>
  <c r="F25664" i="1"/>
  <c r="E25664" i="1"/>
  <c r="F25663" i="1"/>
  <c r="E25663" i="1"/>
  <c r="F25662" i="1"/>
  <c r="E25662" i="1"/>
  <c r="F25661" i="1"/>
  <c r="E25661" i="1"/>
  <c r="F25660" i="1"/>
  <c r="E25660" i="1"/>
  <c r="F25659" i="1"/>
  <c r="E25659" i="1"/>
  <c r="F25658" i="1"/>
  <c r="E25658" i="1"/>
  <c r="F25657" i="1"/>
  <c r="E25657" i="1"/>
  <c r="F25656" i="1"/>
  <c r="E25656" i="1"/>
  <c r="F25655" i="1"/>
  <c r="E25655" i="1"/>
  <c r="F25654" i="1"/>
  <c r="E25654" i="1"/>
  <c r="F25653" i="1"/>
  <c r="E25653" i="1"/>
  <c r="F25652" i="1"/>
  <c r="E25652" i="1"/>
  <c r="F25651" i="1"/>
  <c r="E25651" i="1"/>
  <c r="F25650" i="1"/>
  <c r="E25650" i="1"/>
  <c r="F25649" i="1"/>
  <c r="E25649" i="1"/>
  <c r="F25648" i="1"/>
  <c r="E25648" i="1"/>
  <c r="F25647" i="1"/>
  <c r="E25647" i="1"/>
  <c r="F25646" i="1"/>
  <c r="E25646" i="1"/>
  <c r="F25645" i="1"/>
  <c r="E25645" i="1"/>
  <c r="F25644" i="1"/>
  <c r="E25644" i="1"/>
  <c r="F25643" i="1"/>
  <c r="E25643" i="1"/>
  <c r="F25642" i="1"/>
  <c r="E25642" i="1"/>
  <c r="F25641" i="1"/>
  <c r="E25641" i="1"/>
  <c r="F25640" i="1"/>
  <c r="E25640" i="1"/>
  <c r="F25639" i="1"/>
  <c r="E25639" i="1"/>
  <c r="F25638" i="1"/>
  <c r="E25638" i="1"/>
  <c r="F25637" i="1"/>
  <c r="E25637" i="1"/>
  <c r="F25636" i="1"/>
  <c r="E25636" i="1"/>
  <c r="F25635" i="1"/>
  <c r="E25635" i="1"/>
  <c r="F25634" i="1"/>
  <c r="E25634" i="1"/>
  <c r="F25633" i="1"/>
  <c r="E25633" i="1"/>
  <c r="F25632" i="1"/>
  <c r="E25632" i="1"/>
  <c r="F25631" i="1"/>
  <c r="E25631" i="1"/>
  <c r="F25630" i="1"/>
  <c r="E25630" i="1"/>
  <c r="F25629" i="1"/>
  <c r="E25629" i="1"/>
  <c r="F25628" i="1"/>
  <c r="E25628" i="1"/>
  <c r="F25627" i="1"/>
  <c r="E25627" i="1"/>
  <c r="F25626" i="1"/>
  <c r="E25626" i="1"/>
  <c r="F25625" i="1"/>
  <c r="E25625" i="1"/>
  <c r="F25624" i="1"/>
  <c r="E25624" i="1"/>
  <c r="F25623" i="1"/>
  <c r="E25623" i="1"/>
  <c r="F25622" i="1"/>
  <c r="E25622" i="1"/>
  <c r="F25621" i="1"/>
  <c r="E25621" i="1"/>
  <c r="F25620" i="1"/>
  <c r="F25619" i="1"/>
  <c r="E25619" i="1"/>
  <c r="F25618" i="1"/>
  <c r="E25618" i="1"/>
  <c r="F25617" i="1"/>
  <c r="E25617" i="1"/>
  <c r="F25616" i="1"/>
  <c r="E25616" i="1"/>
  <c r="F25615" i="1"/>
  <c r="E25615" i="1"/>
  <c r="F25614" i="1"/>
  <c r="E25614" i="1"/>
  <c r="F25613" i="1"/>
  <c r="E25613" i="1"/>
  <c r="F25612" i="1"/>
  <c r="E25612" i="1"/>
  <c r="F25611" i="1"/>
  <c r="E25611" i="1"/>
  <c r="F25610" i="1"/>
  <c r="E25610" i="1"/>
  <c r="F25609" i="1"/>
  <c r="E25609" i="1"/>
  <c r="F25608" i="1"/>
  <c r="E25608" i="1"/>
  <c r="F25607" i="1"/>
  <c r="E25607" i="1"/>
  <c r="F25606" i="1"/>
  <c r="E25606" i="1"/>
  <c r="F25605" i="1"/>
  <c r="E25605" i="1"/>
  <c r="F25604" i="1"/>
  <c r="E25604" i="1"/>
  <c r="F25603" i="1"/>
  <c r="E25603" i="1"/>
  <c r="F25602" i="1"/>
  <c r="E25602" i="1"/>
  <c r="F25601" i="1"/>
  <c r="E25601" i="1"/>
  <c r="F25600" i="1"/>
  <c r="E25600" i="1"/>
  <c r="F25599" i="1"/>
  <c r="E25599" i="1"/>
  <c r="F25598" i="1"/>
  <c r="E25598" i="1"/>
  <c r="F25597" i="1"/>
  <c r="E25597" i="1"/>
  <c r="F25596" i="1"/>
  <c r="E25596" i="1"/>
  <c r="F25595" i="1"/>
  <c r="E25595" i="1"/>
  <c r="F25594" i="1"/>
  <c r="E25594" i="1"/>
  <c r="F25593" i="1"/>
  <c r="E25593" i="1"/>
  <c r="F25592" i="1"/>
  <c r="E25592" i="1"/>
  <c r="F25591" i="1"/>
  <c r="E25591" i="1"/>
  <c r="F25590" i="1"/>
  <c r="E25590" i="1"/>
  <c r="F25589" i="1"/>
  <c r="E25589" i="1"/>
  <c r="F25588" i="1"/>
  <c r="E25588" i="1"/>
  <c r="F25587" i="1"/>
  <c r="E25587" i="1"/>
  <c r="F25586" i="1"/>
  <c r="E25586" i="1"/>
  <c r="F25585" i="1"/>
  <c r="E25585" i="1"/>
  <c r="F25584" i="1"/>
  <c r="E25584" i="1"/>
  <c r="F25583" i="1"/>
  <c r="E25583" i="1"/>
  <c r="F25582" i="1"/>
  <c r="E25582" i="1"/>
  <c r="F25581" i="1"/>
  <c r="E25581" i="1"/>
  <c r="F25580" i="1"/>
  <c r="E25580" i="1"/>
  <c r="F25579" i="1"/>
  <c r="E25579" i="1"/>
  <c r="F25578" i="1"/>
  <c r="E25578" i="1"/>
  <c r="F25577" i="1"/>
  <c r="E25577" i="1"/>
  <c r="F25576" i="1"/>
  <c r="E25576" i="1"/>
  <c r="F25575" i="1"/>
  <c r="E25575" i="1"/>
  <c r="F25574" i="1"/>
  <c r="E25574" i="1"/>
  <c r="F25573" i="1"/>
  <c r="E25573" i="1"/>
  <c r="F25572" i="1"/>
  <c r="E25572" i="1"/>
  <c r="F25571" i="1"/>
  <c r="E25571" i="1"/>
  <c r="F25570" i="1"/>
  <c r="E25570" i="1"/>
  <c r="F25569" i="1"/>
  <c r="E25569" i="1"/>
  <c r="F25568" i="1"/>
  <c r="E25568" i="1"/>
  <c r="F25567" i="1"/>
  <c r="E25567" i="1"/>
  <c r="F25566" i="1"/>
  <c r="E25566" i="1"/>
  <c r="F25565" i="1"/>
  <c r="E25565" i="1"/>
  <c r="F25564" i="1"/>
  <c r="E25564" i="1"/>
  <c r="F25563" i="1"/>
  <c r="E25563" i="1"/>
  <c r="F25562" i="1"/>
  <c r="E25562" i="1"/>
  <c r="F25561" i="1"/>
  <c r="E25561" i="1"/>
  <c r="F25560" i="1"/>
  <c r="E25560" i="1"/>
  <c r="F25559" i="1"/>
  <c r="E25559" i="1"/>
  <c r="F25558" i="1"/>
  <c r="E25558" i="1"/>
  <c r="F25557" i="1"/>
  <c r="E25557" i="1"/>
  <c r="F25556" i="1"/>
  <c r="E25556" i="1"/>
  <c r="F25555" i="1"/>
  <c r="E25555" i="1"/>
  <c r="F25554" i="1"/>
  <c r="E25554" i="1"/>
  <c r="F25553" i="1"/>
  <c r="E25553" i="1"/>
  <c r="F25552" i="1"/>
  <c r="E25552" i="1"/>
  <c r="F25551" i="1"/>
  <c r="E25551" i="1"/>
  <c r="F25550" i="1"/>
  <c r="E25550" i="1"/>
  <c r="F25549" i="1"/>
  <c r="E25549" i="1"/>
  <c r="F25548" i="1"/>
  <c r="E25548" i="1"/>
  <c r="F25547" i="1"/>
  <c r="E25547" i="1"/>
  <c r="F25546" i="1"/>
  <c r="E25546" i="1"/>
  <c r="F25545" i="1"/>
  <c r="E25545" i="1"/>
  <c r="F25544" i="1"/>
  <c r="E25544" i="1"/>
  <c r="F25543" i="1"/>
  <c r="E25543" i="1"/>
  <c r="F25542" i="1"/>
  <c r="E25542" i="1"/>
  <c r="F25541" i="1"/>
  <c r="E25541" i="1"/>
  <c r="F25540" i="1"/>
  <c r="E25540" i="1"/>
  <c r="F25539" i="1"/>
  <c r="E25539" i="1"/>
  <c r="F25538" i="1"/>
  <c r="E25538" i="1"/>
  <c r="F25537" i="1"/>
  <c r="E25537" i="1"/>
  <c r="F25536" i="1"/>
  <c r="E25536" i="1"/>
  <c r="F25535" i="1"/>
  <c r="E25535" i="1"/>
  <c r="F25534" i="1"/>
  <c r="E25534" i="1"/>
  <c r="F25533" i="1"/>
  <c r="E25533" i="1"/>
  <c r="F25532" i="1"/>
  <c r="E25532" i="1"/>
  <c r="F25531" i="1"/>
  <c r="E25531" i="1"/>
  <c r="F25530" i="1"/>
  <c r="E25530" i="1"/>
  <c r="F25529" i="1"/>
  <c r="E25529" i="1"/>
  <c r="F25528" i="1"/>
  <c r="E25528" i="1"/>
  <c r="F25527" i="1"/>
  <c r="E25527" i="1"/>
  <c r="F25526" i="1"/>
  <c r="E25526" i="1"/>
  <c r="F25525" i="1"/>
  <c r="E25525" i="1"/>
  <c r="F25524" i="1"/>
  <c r="E25524" i="1"/>
  <c r="F25523" i="1"/>
  <c r="E25523" i="1"/>
  <c r="F25522" i="1"/>
  <c r="E25522" i="1"/>
  <c r="F25521" i="1"/>
  <c r="E25521" i="1"/>
  <c r="F25520" i="1"/>
  <c r="E25520" i="1"/>
  <c r="F25519" i="1"/>
  <c r="E25519" i="1"/>
  <c r="F25518" i="1"/>
  <c r="E25518" i="1"/>
  <c r="F25517" i="1"/>
  <c r="E25517" i="1"/>
  <c r="F25516" i="1"/>
  <c r="E25516" i="1"/>
  <c r="F25515" i="1"/>
  <c r="E25515" i="1"/>
  <c r="F25514" i="1"/>
  <c r="E25514" i="1"/>
  <c r="F25513" i="1"/>
  <c r="E25513" i="1"/>
  <c r="F25512" i="1"/>
  <c r="E25512" i="1"/>
  <c r="F25511" i="1"/>
  <c r="E25511" i="1"/>
  <c r="F25510" i="1"/>
  <c r="E25510" i="1"/>
  <c r="F25509" i="1"/>
  <c r="E25509" i="1"/>
  <c r="F25508" i="1"/>
  <c r="E25508" i="1"/>
  <c r="F25507" i="1"/>
  <c r="E25507" i="1"/>
  <c r="F25506" i="1"/>
  <c r="E25506" i="1"/>
  <c r="F25505" i="1"/>
  <c r="E25505" i="1"/>
  <c r="F25504" i="1"/>
  <c r="E25504" i="1"/>
  <c r="F25503" i="1"/>
  <c r="E25503" i="1"/>
  <c r="F25502" i="1"/>
  <c r="E25502" i="1"/>
  <c r="F25501" i="1"/>
  <c r="E25501" i="1"/>
  <c r="F25500" i="1"/>
  <c r="E25500" i="1"/>
  <c r="F25499" i="1"/>
  <c r="E25499" i="1"/>
  <c r="F25498" i="1"/>
  <c r="E25498" i="1"/>
  <c r="F25497" i="1"/>
  <c r="E25497" i="1"/>
  <c r="F25496" i="1"/>
  <c r="E25496" i="1"/>
  <c r="F25495" i="1"/>
  <c r="E25495" i="1"/>
  <c r="F25494" i="1"/>
  <c r="E25494" i="1"/>
  <c r="F25493" i="1"/>
  <c r="E25493" i="1"/>
  <c r="F25492" i="1"/>
  <c r="E25492" i="1"/>
  <c r="F25491" i="1"/>
  <c r="E25491" i="1"/>
  <c r="F25490" i="1"/>
  <c r="E25490" i="1"/>
  <c r="F25489" i="1"/>
  <c r="E25489" i="1"/>
  <c r="F25488" i="1"/>
  <c r="E25488" i="1"/>
  <c r="F25487" i="1"/>
  <c r="E25487" i="1"/>
  <c r="F25486" i="1"/>
  <c r="E25486" i="1"/>
  <c r="F25485" i="1"/>
  <c r="E25485" i="1"/>
  <c r="F25484" i="1"/>
  <c r="E25484" i="1"/>
  <c r="F25483" i="1"/>
  <c r="E25483" i="1"/>
  <c r="F25482" i="1"/>
  <c r="E25482" i="1"/>
  <c r="F25481" i="1"/>
  <c r="E25481" i="1"/>
  <c r="F25480" i="1"/>
  <c r="E25480" i="1"/>
  <c r="F25479" i="1"/>
  <c r="E25479" i="1"/>
  <c r="F25478" i="1"/>
  <c r="E25478" i="1"/>
  <c r="F25477" i="1"/>
  <c r="E25477" i="1"/>
  <c r="F25476" i="1"/>
  <c r="E25476" i="1"/>
  <c r="F25475" i="1"/>
  <c r="E25475" i="1"/>
  <c r="F25474" i="1"/>
  <c r="E25474" i="1"/>
  <c r="F25473" i="1"/>
  <c r="E25473" i="1"/>
  <c r="F25472" i="1"/>
  <c r="E25472" i="1"/>
  <c r="F25471" i="1"/>
  <c r="E25471" i="1"/>
  <c r="F25470" i="1"/>
  <c r="E25470" i="1"/>
  <c r="F25469" i="1"/>
  <c r="E25469" i="1"/>
  <c r="F25468" i="1"/>
  <c r="E25468" i="1"/>
  <c r="F25467" i="1"/>
  <c r="E25467" i="1"/>
  <c r="F25466" i="1"/>
  <c r="E25466" i="1"/>
  <c r="F25465" i="1"/>
  <c r="E25465" i="1"/>
  <c r="F25464" i="1"/>
  <c r="E25464" i="1"/>
  <c r="F25463" i="1"/>
  <c r="E25463" i="1"/>
  <c r="F25462" i="1"/>
  <c r="E25462" i="1"/>
  <c r="F25461" i="1"/>
  <c r="E25461" i="1"/>
  <c r="F25460" i="1"/>
  <c r="E25460" i="1"/>
  <c r="F25459" i="1"/>
  <c r="E25459" i="1"/>
  <c r="F25458" i="1"/>
  <c r="E25458" i="1"/>
  <c r="F25457" i="1"/>
  <c r="E25457" i="1"/>
  <c r="F25456" i="1"/>
  <c r="E25456" i="1"/>
  <c r="F25455" i="1"/>
  <c r="E25455" i="1"/>
  <c r="F25454" i="1"/>
  <c r="E25454" i="1"/>
  <c r="F25453" i="1"/>
  <c r="E25453" i="1"/>
  <c r="F25452" i="1"/>
  <c r="E25452" i="1"/>
  <c r="F25451" i="1"/>
  <c r="E25451" i="1"/>
  <c r="F25450" i="1"/>
  <c r="E25450" i="1"/>
  <c r="F25449" i="1"/>
  <c r="E25449" i="1"/>
  <c r="F25448" i="1"/>
  <c r="E25448" i="1"/>
  <c r="F25447" i="1"/>
  <c r="E25447" i="1"/>
  <c r="F25446" i="1"/>
  <c r="E25446" i="1"/>
  <c r="F25445" i="1"/>
  <c r="E25445" i="1"/>
  <c r="F25444" i="1"/>
  <c r="E25444" i="1"/>
  <c r="F25443" i="1"/>
  <c r="E25443" i="1"/>
  <c r="F25442" i="1"/>
  <c r="E25442" i="1"/>
  <c r="F25441" i="1"/>
  <c r="E25441" i="1"/>
  <c r="F25440" i="1"/>
  <c r="E25440" i="1"/>
  <c r="F25439" i="1"/>
  <c r="E25439" i="1"/>
  <c r="F25438" i="1"/>
  <c r="E25438" i="1"/>
  <c r="F25437" i="1"/>
  <c r="E25437" i="1"/>
  <c r="F25436" i="1"/>
  <c r="E25436" i="1"/>
  <c r="F25435" i="1"/>
  <c r="E25435" i="1"/>
  <c r="F25434" i="1"/>
  <c r="E25434" i="1"/>
  <c r="F25433" i="1"/>
  <c r="E25433" i="1"/>
  <c r="F25432" i="1"/>
  <c r="E25432" i="1"/>
  <c r="F25431" i="1"/>
  <c r="E25431" i="1"/>
  <c r="F25430" i="1"/>
  <c r="E25430" i="1"/>
  <c r="F25429" i="1"/>
  <c r="E25429" i="1"/>
  <c r="F25428" i="1"/>
  <c r="E25428" i="1"/>
  <c r="F25427" i="1"/>
  <c r="E25427" i="1"/>
  <c r="F25426" i="1"/>
  <c r="E25426" i="1"/>
  <c r="F25425" i="1"/>
  <c r="E25425" i="1"/>
  <c r="F25424" i="1"/>
  <c r="E25424" i="1"/>
  <c r="F25423" i="1"/>
  <c r="E25423" i="1"/>
  <c r="F25422" i="1"/>
  <c r="E25422" i="1"/>
  <c r="F25421" i="1"/>
  <c r="E25421" i="1"/>
  <c r="F25420" i="1"/>
  <c r="E25420" i="1"/>
  <c r="F25419" i="1"/>
  <c r="E25419" i="1"/>
  <c r="F25418" i="1"/>
  <c r="E25418" i="1"/>
  <c r="F25417" i="1"/>
  <c r="E25417" i="1"/>
  <c r="F25416" i="1"/>
  <c r="E25416" i="1"/>
  <c r="F25415" i="1"/>
  <c r="E25415" i="1"/>
  <c r="F25414" i="1"/>
  <c r="E25414" i="1"/>
  <c r="F25413" i="1"/>
  <c r="E25413" i="1"/>
  <c r="F25412" i="1"/>
  <c r="E25412" i="1"/>
  <c r="F25411" i="1"/>
  <c r="E25411" i="1"/>
  <c r="F25410" i="1"/>
  <c r="E25410" i="1"/>
  <c r="F25409" i="1"/>
  <c r="E25409" i="1"/>
  <c r="F25408" i="1"/>
  <c r="E25408" i="1"/>
  <c r="F25407" i="1"/>
  <c r="E25407" i="1"/>
  <c r="F25406" i="1"/>
  <c r="E25406" i="1"/>
  <c r="F25405" i="1"/>
  <c r="E25405" i="1"/>
  <c r="F25404" i="1"/>
  <c r="F25403" i="1"/>
  <c r="E25403" i="1"/>
  <c r="F25402" i="1"/>
  <c r="F25401" i="1"/>
  <c r="F25400" i="1"/>
  <c r="F25399" i="1"/>
  <c r="F25398" i="1"/>
  <c r="F25397" i="1"/>
  <c r="F25396" i="1"/>
  <c r="E25396" i="1"/>
  <c r="F25395" i="1"/>
  <c r="E25395" i="1"/>
  <c r="F25394" i="1"/>
  <c r="E25394" i="1"/>
  <c r="F25393" i="1"/>
  <c r="E25393" i="1"/>
  <c r="F25392" i="1"/>
  <c r="E25392" i="1"/>
  <c r="F25391" i="1"/>
  <c r="E25391" i="1"/>
  <c r="F25390" i="1"/>
  <c r="E25390" i="1"/>
  <c r="F25389" i="1"/>
  <c r="E25389" i="1"/>
  <c r="F25388" i="1"/>
  <c r="E25388" i="1"/>
  <c r="F25387" i="1"/>
  <c r="E25387" i="1"/>
  <c r="F25386" i="1"/>
  <c r="E25386" i="1"/>
  <c r="F25385" i="1"/>
  <c r="E25385" i="1"/>
  <c r="F25384" i="1"/>
  <c r="E25384" i="1"/>
  <c r="F25383" i="1"/>
  <c r="E25383" i="1"/>
  <c r="F25382" i="1"/>
  <c r="E25382" i="1"/>
  <c r="F25381" i="1"/>
  <c r="E25381" i="1"/>
  <c r="F25380" i="1"/>
  <c r="E25380" i="1"/>
  <c r="F25379" i="1"/>
  <c r="E25379" i="1"/>
  <c r="F25378" i="1"/>
  <c r="E25378" i="1"/>
  <c r="F25377" i="1"/>
  <c r="F25376" i="1"/>
  <c r="F25375" i="1"/>
  <c r="F25374" i="1"/>
  <c r="E25374" i="1"/>
  <c r="F25373" i="1"/>
  <c r="E25373" i="1"/>
  <c r="F25372" i="1"/>
  <c r="E25372" i="1"/>
  <c r="F25371" i="1"/>
  <c r="E25371" i="1"/>
  <c r="F25370" i="1"/>
  <c r="E25370" i="1"/>
  <c r="F25369" i="1"/>
  <c r="E25369" i="1"/>
  <c r="F25368" i="1"/>
  <c r="E25368" i="1"/>
  <c r="F25367" i="1"/>
  <c r="F25366" i="1"/>
  <c r="E25366" i="1"/>
  <c r="F25365" i="1"/>
  <c r="E25365" i="1"/>
  <c r="F25364" i="1"/>
  <c r="E25364" i="1"/>
  <c r="F25363" i="1"/>
  <c r="E25363" i="1"/>
  <c r="F25362" i="1"/>
  <c r="E25362" i="1"/>
  <c r="F25361" i="1"/>
  <c r="E25361" i="1"/>
  <c r="F25360" i="1"/>
  <c r="E25360" i="1"/>
  <c r="F25359" i="1"/>
  <c r="E25359" i="1"/>
  <c r="F25358" i="1"/>
  <c r="E25358" i="1"/>
  <c r="F25357" i="1"/>
  <c r="E25357" i="1"/>
  <c r="F25356" i="1"/>
  <c r="E25356" i="1"/>
  <c r="F25355" i="1"/>
  <c r="E25355" i="1"/>
  <c r="F25354" i="1"/>
  <c r="E25354" i="1"/>
  <c r="F25353" i="1"/>
  <c r="E25353" i="1"/>
  <c r="F25352" i="1"/>
  <c r="E25352" i="1"/>
  <c r="F25351" i="1"/>
  <c r="E25351" i="1"/>
  <c r="F25350" i="1"/>
  <c r="E25350" i="1"/>
  <c r="F25349" i="1"/>
  <c r="E25349" i="1"/>
  <c r="F25348" i="1"/>
  <c r="E25348" i="1"/>
  <c r="F25347" i="1"/>
  <c r="F25346" i="1"/>
  <c r="F25345" i="1"/>
  <c r="F25344" i="1"/>
  <c r="E25344" i="1"/>
  <c r="F25343" i="1"/>
  <c r="E25343" i="1"/>
  <c r="F25342" i="1"/>
  <c r="F25341" i="1"/>
  <c r="F25340" i="1"/>
  <c r="F25339" i="1"/>
  <c r="E25339" i="1"/>
  <c r="F25338" i="1"/>
  <c r="E25338" i="1"/>
  <c r="F25337" i="1"/>
  <c r="E25337" i="1"/>
  <c r="F25336" i="1"/>
  <c r="E25336" i="1"/>
  <c r="F25335" i="1"/>
  <c r="E25335" i="1"/>
  <c r="F25334" i="1"/>
  <c r="E25334" i="1"/>
  <c r="F25333" i="1"/>
  <c r="E25333" i="1"/>
  <c r="F25332" i="1"/>
  <c r="E25332" i="1"/>
  <c r="F25331" i="1"/>
  <c r="E25331" i="1"/>
  <c r="F25330" i="1"/>
  <c r="E25330" i="1"/>
  <c r="F25329" i="1"/>
  <c r="E25329" i="1"/>
  <c r="F25328" i="1"/>
  <c r="E25328" i="1"/>
  <c r="F25327" i="1"/>
  <c r="E25327" i="1"/>
  <c r="F25326" i="1"/>
  <c r="E25326" i="1"/>
  <c r="F25325" i="1"/>
  <c r="E25325" i="1"/>
  <c r="F25324" i="1"/>
  <c r="E25324" i="1"/>
  <c r="F25323" i="1"/>
  <c r="E25323" i="1"/>
  <c r="F25322" i="1"/>
  <c r="E25322" i="1"/>
  <c r="F25321" i="1"/>
  <c r="E25321" i="1"/>
  <c r="F25320" i="1"/>
  <c r="E25320" i="1"/>
  <c r="F25319" i="1"/>
  <c r="E25319" i="1"/>
  <c r="F25318" i="1"/>
  <c r="E25318" i="1"/>
  <c r="F25317" i="1"/>
  <c r="E25317" i="1"/>
  <c r="F25316" i="1"/>
  <c r="E25316" i="1"/>
  <c r="F25315" i="1"/>
  <c r="E25315" i="1"/>
  <c r="F25314" i="1"/>
  <c r="E25314" i="1"/>
  <c r="F25313" i="1"/>
  <c r="E25313" i="1"/>
  <c r="F25312" i="1"/>
  <c r="E25312" i="1"/>
  <c r="F25311" i="1"/>
  <c r="F25310" i="1"/>
  <c r="F25309" i="1"/>
  <c r="F25308" i="1"/>
  <c r="F25307" i="1"/>
  <c r="F25306" i="1"/>
  <c r="F25305" i="1"/>
  <c r="F25304" i="1"/>
  <c r="F25303" i="1"/>
  <c r="E25303" i="1"/>
  <c r="F25302" i="1"/>
  <c r="E25302" i="1"/>
  <c r="F25301" i="1"/>
  <c r="E25301" i="1"/>
  <c r="F25300" i="1"/>
  <c r="E25300" i="1"/>
  <c r="F25299" i="1"/>
  <c r="E25299" i="1"/>
  <c r="F25298" i="1"/>
  <c r="E25298" i="1"/>
  <c r="F25297" i="1"/>
  <c r="E25297" i="1"/>
  <c r="F25296" i="1"/>
  <c r="E25296" i="1"/>
  <c r="F25295" i="1"/>
  <c r="E25295" i="1"/>
  <c r="F25294" i="1"/>
  <c r="E25294" i="1"/>
  <c r="F25293" i="1"/>
  <c r="E25293" i="1"/>
  <c r="F25292" i="1"/>
  <c r="E25292" i="1"/>
  <c r="F25291" i="1"/>
  <c r="E25291" i="1"/>
  <c r="F25290" i="1"/>
  <c r="E25290" i="1"/>
  <c r="F25289" i="1"/>
  <c r="E25289" i="1"/>
  <c r="F25288" i="1"/>
  <c r="E25288" i="1"/>
  <c r="F25287" i="1"/>
  <c r="E25287" i="1"/>
  <c r="F25286" i="1"/>
  <c r="E25286" i="1"/>
  <c r="F25285" i="1"/>
  <c r="E25285" i="1"/>
  <c r="F25284" i="1"/>
  <c r="E25284" i="1"/>
  <c r="F25283" i="1"/>
  <c r="E25283" i="1"/>
  <c r="F25282" i="1"/>
  <c r="E25282" i="1"/>
  <c r="F25281" i="1"/>
  <c r="E25281" i="1"/>
  <c r="F25280" i="1"/>
  <c r="E25280" i="1"/>
  <c r="F25279" i="1"/>
  <c r="E25279" i="1"/>
  <c r="F25278" i="1"/>
  <c r="E25278" i="1"/>
  <c r="F25277" i="1"/>
  <c r="E25277" i="1"/>
  <c r="F25276" i="1"/>
  <c r="E25276" i="1"/>
  <c r="F25275" i="1"/>
  <c r="E25275" i="1"/>
  <c r="F25274" i="1"/>
  <c r="E25274" i="1"/>
  <c r="F25273" i="1"/>
  <c r="E25273" i="1"/>
  <c r="F25272" i="1"/>
  <c r="E25272" i="1"/>
  <c r="F25271" i="1"/>
  <c r="E25271" i="1"/>
  <c r="F25270" i="1"/>
  <c r="E25270" i="1"/>
  <c r="F25269" i="1"/>
  <c r="E25269" i="1"/>
  <c r="F25268" i="1"/>
  <c r="F25267" i="1"/>
  <c r="F25266" i="1"/>
  <c r="F25265" i="1"/>
  <c r="F25264" i="1"/>
  <c r="F25263" i="1"/>
  <c r="F25262" i="1"/>
  <c r="F25261" i="1"/>
  <c r="E25261" i="1"/>
  <c r="F25260" i="1"/>
  <c r="E25260" i="1"/>
  <c r="F25259" i="1"/>
  <c r="E25259" i="1"/>
  <c r="F25258" i="1"/>
  <c r="E25258" i="1"/>
  <c r="F25257" i="1"/>
  <c r="E25257" i="1"/>
  <c r="F25256" i="1"/>
  <c r="E25256" i="1"/>
  <c r="F25255" i="1"/>
  <c r="E25255" i="1"/>
  <c r="F25254" i="1"/>
  <c r="E25254" i="1"/>
  <c r="F25253" i="1"/>
  <c r="E25253" i="1"/>
  <c r="F25252" i="1"/>
  <c r="E25252" i="1"/>
  <c r="F25251" i="1"/>
  <c r="E25251" i="1"/>
  <c r="F25250" i="1"/>
  <c r="E25250" i="1"/>
  <c r="F25249" i="1"/>
  <c r="E25249" i="1"/>
  <c r="F25248" i="1"/>
  <c r="E25248" i="1"/>
  <c r="F25247" i="1"/>
  <c r="E25247" i="1"/>
  <c r="F25246" i="1"/>
  <c r="E25246" i="1"/>
  <c r="F25245" i="1"/>
  <c r="E25245" i="1"/>
  <c r="F25244" i="1"/>
  <c r="E25244" i="1"/>
  <c r="F25243" i="1"/>
  <c r="E25243" i="1"/>
  <c r="F25242" i="1"/>
  <c r="E25242" i="1"/>
  <c r="F25241" i="1"/>
  <c r="E25241" i="1"/>
  <c r="F25240" i="1"/>
  <c r="E25240" i="1"/>
  <c r="F25239" i="1"/>
  <c r="E25239" i="1"/>
  <c r="F25238" i="1"/>
  <c r="E25238" i="1"/>
  <c r="F25237" i="1"/>
  <c r="E25237" i="1"/>
  <c r="F25236" i="1"/>
  <c r="F25235" i="1"/>
  <c r="F25234" i="1"/>
  <c r="F25233" i="1"/>
  <c r="F25232" i="1"/>
  <c r="F25231" i="1"/>
  <c r="F25230" i="1"/>
  <c r="F25229" i="1"/>
  <c r="F25228" i="1"/>
  <c r="F25227" i="1"/>
  <c r="F25226" i="1"/>
  <c r="E25226" i="1"/>
  <c r="F25225" i="1"/>
  <c r="E25225" i="1"/>
  <c r="F25224" i="1"/>
  <c r="E25224" i="1"/>
  <c r="F25223" i="1"/>
  <c r="E25223" i="1"/>
  <c r="F25222" i="1"/>
  <c r="E25222" i="1"/>
  <c r="F25221" i="1"/>
  <c r="E25221" i="1"/>
  <c r="F25220" i="1"/>
  <c r="E25220" i="1"/>
  <c r="F25219" i="1"/>
  <c r="E25219" i="1"/>
  <c r="F25218" i="1"/>
  <c r="E25218" i="1"/>
  <c r="F25217" i="1"/>
  <c r="E25217" i="1"/>
  <c r="F25216" i="1"/>
  <c r="E25216" i="1"/>
  <c r="F25215" i="1"/>
  <c r="E25215" i="1"/>
  <c r="F25214" i="1"/>
  <c r="E25214" i="1"/>
  <c r="F25213" i="1"/>
  <c r="E25213" i="1"/>
  <c r="F25212" i="1"/>
  <c r="E25212" i="1"/>
  <c r="F25211" i="1"/>
  <c r="E25211" i="1"/>
  <c r="F25210" i="1"/>
  <c r="E25210" i="1"/>
  <c r="F25209" i="1"/>
  <c r="F25208" i="1"/>
  <c r="F25207" i="1"/>
  <c r="F25206" i="1"/>
  <c r="E25206" i="1"/>
  <c r="F25205" i="1"/>
  <c r="E25205" i="1"/>
  <c r="F25204" i="1"/>
  <c r="E25204" i="1"/>
  <c r="F25203" i="1"/>
  <c r="E25203" i="1"/>
  <c r="F25202" i="1"/>
  <c r="E25202" i="1"/>
  <c r="F25201" i="1"/>
  <c r="E25201" i="1"/>
  <c r="F25200" i="1"/>
  <c r="E25200" i="1"/>
  <c r="F25199" i="1"/>
  <c r="E25199" i="1"/>
  <c r="F25198" i="1"/>
  <c r="E25198" i="1"/>
  <c r="F25197" i="1"/>
  <c r="E25197" i="1"/>
  <c r="F25196" i="1"/>
  <c r="E25196" i="1"/>
  <c r="F25195" i="1"/>
  <c r="E25195" i="1"/>
  <c r="F25194" i="1"/>
  <c r="E25194" i="1"/>
  <c r="F25193" i="1"/>
  <c r="E25193" i="1"/>
  <c r="F25192" i="1"/>
  <c r="E25192" i="1"/>
  <c r="F25191" i="1"/>
  <c r="E25191" i="1"/>
  <c r="F25190" i="1"/>
  <c r="E25190" i="1"/>
  <c r="F25189" i="1"/>
  <c r="E25189" i="1"/>
  <c r="F25188" i="1"/>
  <c r="E25188" i="1"/>
  <c r="F25187" i="1"/>
  <c r="E25187" i="1"/>
  <c r="F25186" i="1"/>
  <c r="E25186" i="1"/>
  <c r="F25185" i="1"/>
  <c r="F25184" i="1"/>
  <c r="E25184" i="1"/>
  <c r="F25183" i="1"/>
  <c r="F25182" i="1"/>
  <c r="E25182" i="1"/>
  <c r="F25181" i="1"/>
  <c r="E25181" i="1"/>
  <c r="F25180" i="1"/>
  <c r="E25180" i="1"/>
  <c r="F25179" i="1"/>
  <c r="F25178" i="1"/>
  <c r="F25177" i="1"/>
  <c r="F25176" i="1"/>
  <c r="F25175" i="1"/>
  <c r="F25174" i="1"/>
  <c r="E25174" i="1"/>
  <c r="F25173" i="1"/>
  <c r="E25173" i="1"/>
  <c r="F25172" i="1"/>
  <c r="E25172" i="1"/>
  <c r="F25171" i="1"/>
  <c r="E25171" i="1"/>
  <c r="F25170" i="1"/>
  <c r="E25170" i="1"/>
  <c r="F25169" i="1"/>
  <c r="E25169" i="1"/>
  <c r="F25168" i="1"/>
  <c r="E25168" i="1"/>
  <c r="F25167" i="1"/>
  <c r="E25167" i="1"/>
  <c r="F25166" i="1"/>
  <c r="E25166" i="1"/>
  <c r="F25165" i="1"/>
  <c r="F25164" i="1"/>
  <c r="F25163" i="1"/>
  <c r="E25163" i="1"/>
  <c r="F25162" i="1"/>
  <c r="E25162" i="1"/>
  <c r="F25161" i="1"/>
  <c r="E25161" i="1"/>
  <c r="F25160" i="1"/>
  <c r="E25160" i="1"/>
  <c r="F25159" i="1"/>
  <c r="E25159" i="1"/>
  <c r="F25158" i="1"/>
  <c r="E25158" i="1"/>
  <c r="F25157" i="1"/>
  <c r="E25157" i="1"/>
  <c r="F25156" i="1"/>
  <c r="E25156" i="1"/>
  <c r="F25155" i="1"/>
  <c r="E25155" i="1"/>
  <c r="F25154" i="1"/>
  <c r="E25154" i="1"/>
  <c r="F25153" i="1"/>
  <c r="E25153" i="1"/>
  <c r="F25152" i="1"/>
  <c r="E25152" i="1"/>
  <c r="F25151" i="1"/>
  <c r="E25151" i="1"/>
  <c r="F25150" i="1"/>
  <c r="E25150" i="1"/>
  <c r="F25149" i="1"/>
  <c r="E25149" i="1"/>
  <c r="F25148" i="1"/>
  <c r="E25148" i="1"/>
  <c r="F25147" i="1"/>
  <c r="E25147" i="1"/>
  <c r="F25146" i="1"/>
  <c r="E25146" i="1"/>
  <c r="F25145" i="1"/>
  <c r="E25145" i="1"/>
  <c r="F25144" i="1"/>
  <c r="E25144" i="1"/>
  <c r="F25143" i="1"/>
  <c r="E25143" i="1"/>
  <c r="F25142" i="1"/>
  <c r="E25142" i="1"/>
  <c r="F25141" i="1"/>
  <c r="E25141" i="1"/>
  <c r="F25140" i="1"/>
  <c r="E25140" i="1"/>
  <c r="F25139" i="1"/>
  <c r="E25139" i="1"/>
  <c r="F25138" i="1"/>
  <c r="E25138" i="1"/>
  <c r="F25137" i="1"/>
  <c r="E25137" i="1"/>
  <c r="F25136" i="1"/>
  <c r="E25136" i="1"/>
  <c r="F25135" i="1"/>
  <c r="E25135" i="1"/>
  <c r="F25134" i="1"/>
  <c r="E25134" i="1"/>
  <c r="F25133" i="1"/>
  <c r="E25133" i="1"/>
  <c r="F25132" i="1"/>
  <c r="E25132" i="1"/>
  <c r="F25131" i="1"/>
  <c r="E25131" i="1"/>
  <c r="F25130" i="1"/>
  <c r="E25130" i="1"/>
  <c r="F25129" i="1"/>
  <c r="E25129" i="1"/>
  <c r="F25128" i="1"/>
  <c r="E25128" i="1"/>
  <c r="F25127" i="1"/>
  <c r="E25127" i="1"/>
  <c r="F25126" i="1"/>
  <c r="E25126" i="1"/>
  <c r="F25125" i="1"/>
  <c r="E25125" i="1"/>
  <c r="F25124" i="1"/>
  <c r="E25124" i="1"/>
  <c r="F25123" i="1"/>
  <c r="E25123" i="1"/>
  <c r="F25122" i="1"/>
  <c r="E25122" i="1"/>
  <c r="F25121" i="1"/>
  <c r="E25121" i="1"/>
  <c r="F25120" i="1"/>
  <c r="E25120" i="1"/>
  <c r="F25119" i="1"/>
  <c r="E25119" i="1"/>
  <c r="F25118" i="1"/>
  <c r="E25118" i="1"/>
  <c r="F25117" i="1"/>
  <c r="E25117" i="1"/>
  <c r="F25116" i="1"/>
  <c r="E25116" i="1"/>
  <c r="F25115" i="1"/>
  <c r="E25115" i="1"/>
  <c r="F25114" i="1"/>
  <c r="E25114" i="1"/>
  <c r="F25113" i="1"/>
  <c r="E25113" i="1"/>
  <c r="F25112" i="1"/>
  <c r="E25112" i="1"/>
  <c r="F25111" i="1"/>
  <c r="E25111" i="1"/>
  <c r="F25110" i="1"/>
  <c r="E25110" i="1"/>
  <c r="F25109" i="1"/>
  <c r="E25109" i="1"/>
  <c r="F25108" i="1"/>
  <c r="E25108" i="1"/>
  <c r="F25107" i="1"/>
  <c r="E25107" i="1"/>
  <c r="F25106" i="1"/>
  <c r="E25106" i="1"/>
  <c r="F25105" i="1"/>
  <c r="E25105" i="1"/>
  <c r="F25104" i="1"/>
  <c r="E25104" i="1"/>
  <c r="F25103" i="1"/>
  <c r="E25103" i="1"/>
  <c r="F25102" i="1"/>
  <c r="E25102" i="1"/>
  <c r="F25101" i="1"/>
  <c r="E25101" i="1"/>
  <c r="F25100" i="1"/>
  <c r="E25100" i="1"/>
  <c r="F25099" i="1"/>
  <c r="E25099" i="1"/>
  <c r="F25098" i="1"/>
  <c r="E25098" i="1"/>
  <c r="F25097" i="1"/>
  <c r="E25097" i="1"/>
  <c r="F25096" i="1"/>
  <c r="E25096" i="1"/>
  <c r="F25095" i="1"/>
  <c r="E25095" i="1"/>
  <c r="F25094" i="1"/>
  <c r="E25094" i="1"/>
  <c r="F25093" i="1"/>
  <c r="E25093" i="1"/>
  <c r="F25092" i="1"/>
  <c r="E25092" i="1"/>
  <c r="F25091" i="1"/>
  <c r="E25091" i="1"/>
  <c r="F25090" i="1"/>
  <c r="E25090" i="1"/>
  <c r="F25089" i="1"/>
  <c r="E25089" i="1"/>
  <c r="F25088" i="1"/>
  <c r="E25088" i="1"/>
  <c r="F25087" i="1"/>
  <c r="E25087" i="1"/>
  <c r="F25086" i="1"/>
  <c r="E25086" i="1"/>
  <c r="F25085" i="1"/>
  <c r="E25085" i="1"/>
  <c r="F25084" i="1"/>
  <c r="E25084" i="1"/>
  <c r="F25083" i="1"/>
  <c r="E25083" i="1"/>
  <c r="F25082" i="1"/>
  <c r="E25082" i="1"/>
  <c r="F25081" i="1"/>
  <c r="E25081" i="1"/>
  <c r="F25080" i="1"/>
  <c r="E25080" i="1"/>
  <c r="F25079" i="1"/>
  <c r="E25079" i="1"/>
  <c r="F25078" i="1"/>
  <c r="E25078" i="1"/>
  <c r="F25077" i="1"/>
  <c r="E25077" i="1"/>
  <c r="F25076" i="1"/>
  <c r="E25076" i="1"/>
  <c r="F25075" i="1"/>
  <c r="E25075" i="1"/>
  <c r="F25074" i="1"/>
  <c r="E25074" i="1"/>
  <c r="F25073" i="1"/>
  <c r="E25073" i="1"/>
  <c r="F25072" i="1"/>
  <c r="E25072" i="1"/>
  <c r="F25071" i="1"/>
  <c r="E25071" i="1"/>
  <c r="F25070" i="1"/>
  <c r="E25070" i="1"/>
  <c r="F25069" i="1"/>
  <c r="E25069" i="1"/>
  <c r="F25068" i="1"/>
  <c r="E25068" i="1"/>
  <c r="F25067" i="1"/>
  <c r="E25067" i="1"/>
  <c r="F25066" i="1"/>
  <c r="E25066" i="1"/>
  <c r="F25065" i="1"/>
  <c r="E25065" i="1"/>
  <c r="F25064" i="1"/>
  <c r="E25064" i="1"/>
  <c r="F25063" i="1"/>
  <c r="E25063" i="1"/>
  <c r="F25062" i="1"/>
  <c r="E25062" i="1"/>
  <c r="F25061" i="1"/>
  <c r="E25061" i="1"/>
  <c r="F25060" i="1"/>
  <c r="E25060" i="1"/>
  <c r="F25059" i="1"/>
  <c r="E25059" i="1"/>
  <c r="F25058" i="1"/>
  <c r="E25058" i="1"/>
  <c r="F25057" i="1"/>
  <c r="E25057" i="1"/>
  <c r="F25056" i="1"/>
  <c r="E25056" i="1"/>
  <c r="F25055" i="1"/>
  <c r="E25055" i="1"/>
  <c r="F25054" i="1"/>
  <c r="E25054" i="1"/>
  <c r="F25053" i="1"/>
  <c r="E25053" i="1"/>
  <c r="F25052" i="1"/>
  <c r="E25052" i="1"/>
  <c r="F25051" i="1"/>
  <c r="E25051" i="1"/>
  <c r="F25050" i="1"/>
  <c r="E25050" i="1"/>
  <c r="F25049" i="1"/>
  <c r="E25049" i="1"/>
  <c r="F25048" i="1"/>
  <c r="E25048" i="1"/>
  <c r="F25047" i="1"/>
  <c r="E25047" i="1"/>
  <c r="F25046" i="1"/>
  <c r="E25046" i="1"/>
  <c r="F25045" i="1"/>
  <c r="E25045" i="1"/>
  <c r="F25044" i="1"/>
  <c r="E25044" i="1"/>
  <c r="F25043" i="1"/>
  <c r="E25043" i="1"/>
  <c r="F25042" i="1"/>
  <c r="E25042" i="1"/>
  <c r="F25041" i="1"/>
  <c r="E25041" i="1"/>
  <c r="F25040" i="1"/>
  <c r="E25040" i="1"/>
  <c r="F25039" i="1"/>
  <c r="E25039" i="1"/>
  <c r="F25038" i="1"/>
  <c r="E25038" i="1"/>
  <c r="F25037" i="1"/>
  <c r="E25037" i="1"/>
  <c r="F25036" i="1"/>
  <c r="E25036" i="1"/>
  <c r="F25035" i="1"/>
  <c r="E25035" i="1"/>
  <c r="F25034" i="1"/>
  <c r="E25034" i="1"/>
  <c r="F25033" i="1"/>
  <c r="E25033" i="1"/>
  <c r="F25032" i="1"/>
  <c r="E25032" i="1"/>
  <c r="F25031" i="1"/>
  <c r="E25031" i="1"/>
  <c r="F25030" i="1"/>
  <c r="E25030" i="1"/>
  <c r="F25029" i="1"/>
  <c r="E25029" i="1"/>
  <c r="F25028" i="1"/>
  <c r="E25028" i="1"/>
  <c r="F25027" i="1"/>
  <c r="E25027" i="1"/>
  <c r="F25026" i="1"/>
  <c r="E25026" i="1"/>
  <c r="F25025" i="1"/>
  <c r="E25025" i="1"/>
  <c r="F25024" i="1"/>
  <c r="E25024" i="1"/>
  <c r="F25023" i="1"/>
  <c r="E25023" i="1"/>
  <c r="F25022" i="1"/>
  <c r="E25022" i="1"/>
  <c r="F25021" i="1"/>
  <c r="E25021" i="1"/>
  <c r="F25020" i="1"/>
  <c r="E25020" i="1"/>
  <c r="F25019" i="1"/>
  <c r="E25019" i="1"/>
  <c r="F25018" i="1"/>
  <c r="E25018" i="1"/>
  <c r="F25017" i="1"/>
  <c r="E25017" i="1"/>
  <c r="F25016" i="1"/>
  <c r="E25016" i="1"/>
  <c r="F25015" i="1"/>
  <c r="E25015" i="1"/>
  <c r="F25014" i="1"/>
  <c r="E25014" i="1"/>
  <c r="F25013" i="1"/>
  <c r="E25013" i="1"/>
  <c r="F25012" i="1"/>
  <c r="E25012" i="1"/>
  <c r="F25011" i="1"/>
  <c r="E25011" i="1"/>
  <c r="F25010" i="1"/>
  <c r="E25010" i="1"/>
  <c r="F25009" i="1"/>
  <c r="E25009" i="1"/>
  <c r="F25008" i="1"/>
  <c r="E25008" i="1"/>
  <c r="F25007" i="1"/>
  <c r="E25007" i="1"/>
  <c r="F25006" i="1"/>
  <c r="E25006" i="1"/>
  <c r="F25005" i="1"/>
  <c r="E25005" i="1"/>
  <c r="F25004" i="1"/>
  <c r="E25004" i="1"/>
  <c r="F25003" i="1"/>
  <c r="E25003" i="1"/>
  <c r="F25002" i="1"/>
  <c r="E25002" i="1"/>
  <c r="F25001" i="1"/>
  <c r="E25001" i="1"/>
  <c r="F25000" i="1"/>
  <c r="E25000" i="1"/>
  <c r="F24999" i="1"/>
  <c r="E24999" i="1"/>
  <c r="F24998" i="1"/>
  <c r="E24998" i="1"/>
  <c r="F24997" i="1"/>
  <c r="E24997" i="1"/>
  <c r="F24996" i="1"/>
  <c r="E24996" i="1"/>
  <c r="F24995" i="1"/>
  <c r="E24995" i="1"/>
  <c r="F24994" i="1"/>
  <c r="E24994" i="1"/>
  <c r="F24993" i="1"/>
  <c r="E24993" i="1"/>
  <c r="F24992" i="1"/>
  <c r="E24992" i="1"/>
  <c r="F24991" i="1"/>
  <c r="E24991" i="1"/>
  <c r="F24990" i="1"/>
  <c r="E24990" i="1"/>
  <c r="F24989" i="1"/>
  <c r="E24989" i="1"/>
  <c r="F24988" i="1"/>
  <c r="E24988" i="1"/>
  <c r="F24987" i="1"/>
  <c r="E24987" i="1"/>
  <c r="F24986" i="1"/>
  <c r="E24986" i="1"/>
  <c r="F24985" i="1"/>
  <c r="E24985" i="1"/>
  <c r="F24984" i="1"/>
  <c r="E24984" i="1"/>
  <c r="F24983" i="1"/>
  <c r="E24983" i="1"/>
  <c r="F24982" i="1"/>
  <c r="E24982" i="1"/>
  <c r="F24981" i="1"/>
  <c r="E24981" i="1"/>
  <c r="F24980" i="1"/>
  <c r="E24980" i="1"/>
  <c r="F24979" i="1"/>
  <c r="E24979" i="1"/>
  <c r="F24978" i="1"/>
  <c r="E24978" i="1"/>
  <c r="F24977" i="1"/>
  <c r="E24977" i="1"/>
  <c r="F24976" i="1"/>
  <c r="E24976" i="1"/>
  <c r="F24975" i="1"/>
  <c r="E24975" i="1"/>
  <c r="F24974" i="1"/>
  <c r="E24974" i="1"/>
  <c r="F24973" i="1"/>
  <c r="E24973" i="1"/>
  <c r="F24972" i="1"/>
  <c r="E24972" i="1"/>
  <c r="F24971" i="1"/>
  <c r="E24971" i="1"/>
  <c r="F24970" i="1"/>
  <c r="E24970" i="1"/>
  <c r="F24969" i="1"/>
  <c r="E24969" i="1"/>
  <c r="F24968" i="1"/>
  <c r="F24967" i="1"/>
  <c r="E24967" i="1"/>
  <c r="F24966" i="1"/>
  <c r="E24966" i="1"/>
  <c r="F24965" i="1"/>
  <c r="E24965" i="1"/>
  <c r="F24964" i="1"/>
  <c r="E24964" i="1"/>
  <c r="F24963" i="1"/>
  <c r="E24963" i="1"/>
  <c r="F24962" i="1"/>
  <c r="E24962" i="1"/>
  <c r="F24961" i="1"/>
  <c r="E24961" i="1"/>
  <c r="F24960" i="1"/>
  <c r="E24960" i="1"/>
  <c r="F24959" i="1"/>
  <c r="E24959" i="1"/>
  <c r="F24958" i="1"/>
  <c r="E24958" i="1"/>
  <c r="F24957" i="1"/>
  <c r="E24957" i="1"/>
  <c r="F24956" i="1"/>
  <c r="E24956" i="1"/>
  <c r="F24955" i="1"/>
  <c r="E24955" i="1"/>
  <c r="F24954" i="1"/>
  <c r="E24954" i="1"/>
  <c r="F24953" i="1"/>
  <c r="E24953" i="1"/>
  <c r="F24952" i="1"/>
  <c r="E24952" i="1"/>
  <c r="F24951" i="1"/>
  <c r="E24951" i="1"/>
  <c r="F24950" i="1"/>
  <c r="E24950" i="1"/>
  <c r="F24949" i="1"/>
  <c r="E24949" i="1"/>
  <c r="F24948" i="1"/>
  <c r="E24948" i="1"/>
  <c r="F24947" i="1"/>
  <c r="E24947" i="1"/>
  <c r="F24946" i="1"/>
  <c r="E24946" i="1"/>
  <c r="F24945" i="1"/>
  <c r="E24945" i="1"/>
  <c r="F24944" i="1"/>
  <c r="E24944" i="1"/>
  <c r="F24943" i="1"/>
  <c r="E24943" i="1"/>
  <c r="F24942" i="1"/>
  <c r="E24942" i="1"/>
  <c r="F24941" i="1"/>
  <c r="E24941" i="1"/>
  <c r="F24940" i="1"/>
  <c r="E24940" i="1"/>
  <c r="F24939" i="1"/>
  <c r="E24939" i="1"/>
  <c r="F24938" i="1"/>
  <c r="E24938" i="1"/>
  <c r="F24937" i="1"/>
  <c r="E24937" i="1"/>
  <c r="F24936" i="1"/>
  <c r="E24936" i="1"/>
  <c r="F24935" i="1"/>
  <c r="E24935" i="1"/>
  <c r="F24934" i="1"/>
  <c r="E24934" i="1"/>
  <c r="F24933" i="1"/>
  <c r="E24933" i="1"/>
  <c r="F24932" i="1"/>
  <c r="E24932" i="1"/>
  <c r="F24931" i="1"/>
  <c r="E24931" i="1"/>
  <c r="F24930" i="1"/>
  <c r="E24930" i="1"/>
  <c r="F24929" i="1"/>
  <c r="E24929" i="1"/>
  <c r="F24928" i="1"/>
  <c r="E24928" i="1"/>
  <c r="F24927" i="1"/>
  <c r="E24927" i="1"/>
  <c r="F24926" i="1"/>
  <c r="E24926" i="1"/>
  <c r="F24925" i="1"/>
  <c r="E24925" i="1"/>
  <c r="F24924" i="1"/>
  <c r="E24924" i="1"/>
  <c r="F24923" i="1"/>
  <c r="E24923" i="1"/>
  <c r="F24922" i="1"/>
  <c r="E24922" i="1"/>
  <c r="F24921" i="1"/>
  <c r="E24921" i="1"/>
  <c r="F24920" i="1"/>
  <c r="E24920" i="1"/>
  <c r="F24919" i="1"/>
  <c r="E24919" i="1"/>
  <c r="F24918" i="1"/>
  <c r="E24918" i="1"/>
  <c r="F24917" i="1"/>
  <c r="E24917" i="1"/>
  <c r="F24916" i="1"/>
  <c r="E24916" i="1"/>
  <c r="F24915" i="1"/>
  <c r="E24915" i="1"/>
  <c r="F24914" i="1"/>
  <c r="E24914" i="1"/>
  <c r="F24913" i="1"/>
  <c r="E24913" i="1"/>
  <c r="F24912" i="1"/>
  <c r="E24912" i="1"/>
  <c r="F24911" i="1"/>
  <c r="E24911" i="1"/>
  <c r="F24910" i="1"/>
  <c r="E24910" i="1"/>
  <c r="F24909" i="1"/>
  <c r="E24909" i="1"/>
  <c r="F24908" i="1"/>
  <c r="E24908" i="1"/>
  <c r="F24907" i="1"/>
  <c r="E24907" i="1"/>
  <c r="F24906" i="1"/>
  <c r="E24906" i="1"/>
  <c r="F24905" i="1"/>
  <c r="E24905" i="1"/>
  <c r="F24904" i="1"/>
  <c r="E24904" i="1"/>
  <c r="F24903" i="1"/>
  <c r="E24903" i="1"/>
  <c r="F24902" i="1"/>
  <c r="E24902" i="1"/>
  <c r="F24901" i="1"/>
  <c r="E24901" i="1"/>
  <c r="F24900" i="1"/>
  <c r="E24900" i="1"/>
  <c r="F24899" i="1"/>
  <c r="E24899" i="1"/>
  <c r="F24898" i="1"/>
  <c r="E24898" i="1"/>
  <c r="F24897" i="1"/>
  <c r="E24897" i="1"/>
  <c r="F24896" i="1"/>
  <c r="E24896" i="1"/>
  <c r="F24895" i="1"/>
  <c r="E24895" i="1"/>
  <c r="F24894" i="1"/>
  <c r="E24894" i="1"/>
  <c r="F24893" i="1"/>
  <c r="E24893" i="1"/>
  <c r="F24892" i="1"/>
  <c r="E24892" i="1"/>
  <c r="F24891" i="1"/>
  <c r="E24891" i="1"/>
  <c r="F24890" i="1"/>
  <c r="E24890" i="1"/>
  <c r="F24889" i="1"/>
  <c r="E24889" i="1"/>
  <c r="F24888" i="1"/>
  <c r="E24888" i="1"/>
  <c r="F24887" i="1"/>
  <c r="E24887" i="1"/>
  <c r="F24886" i="1"/>
  <c r="E24886" i="1"/>
  <c r="F24885" i="1"/>
  <c r="E24885" i="1"/>
  <c r="F24884" i="1"/>
  <c r="E24884" i="1"/>
  <c r="F24883" i="1"/>
  <c r="E24883" i="1"/>
  <c r="F24882" i="1"/>
  <c r="E24882" i="1"/>
  <c r="F24881" i="1"/>
  <c r="E24881" i="1"/>
  <c r="F24880" i="1"/>
  <c r="E24880" i="1"/>
  <c r="F24879" i="1"/>
  <c r="E24879" i="1"/>
  <c r="F24878" i="1"/>
  <c r="E24878" i="1"/>
  <c r="F24877" i="1"/>
  <c r="E24877" i="1"/>
  <c r="F24876" i="1"/>
  <c r="E24876" i="1"/>
  <c r="F24875" i="1"/>
  <c r="E24875" i="1"/>
  <c r="F24874" i="1"/>
  <c r="E24874" i="1"/>
  <c r="F24873" i="1"/>
  <c r="E24873" i="1"/>
  <c r="F24872" i="1"/>
  <c r="E24872" i="1"/>
  <c r="F24871" i="1"/>
  <c r="E24871" i="1"/>
  <c r="F24870" i="1"/>
  <c r="E24870" i="1"/>
  <c r="F24869" i="1"/>
  <c r="E24869" i="1"/>
  <c r="F24868" i="1"/>
  <c r="E24868" i="1"/>
  <c r="F24867" i="1"/>
  <c r="E24867" i="1"/>
  <c r="F24866" i="1"/>
  <c r="E24866" i="1"/>
  <c r="F24865" i="1"/>
  <c r="E24865" i="1"/>
  <c r="F24864" i="1"/>
  <c r="E24864" i="1"/>
  <c r="F24863" i="1"/>
  <c r="E24863" i="1"/>
  <c r="F24862" i="1"/>
  <c r="E24862" i="1"/>
  <c r="F24861" i="1"/>
  <c r="E24861" i="1"/>
  <c r="F24860" i="1"/>
  <c r="E24860" i="1"/>
  <c r="F24859" i="1"/>
  <c r="E24859" i="1"/>
  <c r="F24858" i="1"/>
  <c r="E24858" i="1"/>
  <c r="F24857" i="1"/>
  <c r="E24857" i="1"/>
  <c r="F24856" i="1"/>
  <c r="E24856" i="1"/>
  <c r="F24855" i="1"/>
  <c r="E24855" i="1"/>
  <c r="F24854" i="1"/>
  <c r="E24854" i="1"/>
  <c r="F24853" i="1"/>
  <c r="E24853" i="1"/>
  <c r="F24852" i="1"/>
  <c r="E24852" i="1"/>
  <c r="F24851" i="1"/>
  <c r="E24851" i="1"/>
  <c r="F24850" i="1"/>
  <c r="E24850" i="1"/>
  <c r="F24849" i="1"/>
  <c r="E24849" i="1"/>
  <c r="F24848" i="1"/>
  <c r="E24848" i="1"/>
  <c r="F24847" i="1"/>
  <c r="E24847" i="1"/>
  <c r="F24846" i="1"/>
  <c r="E24846" i="1"/>
  <c r="F24845" i="1"/>
  <c r="E24845" i="1"/>
  <c r="F24844" i="1"/>
  <c r="E24844" i="1"/>
  <c r="F24843" i="1"/>
  <c r="E24843" i="1"/>
  <c r="F24842" i="1"/>
  <c r="E24842" i="1"/>
  <c r="F24841" i="1"/>
  <c r="E24841" i="1"/>
  <c r="F24840" i="1"/>
  <c r="E24840" i="1"/>
  <c r="F24839" i="1"/>
  <c r="E24839" i="1"/>
  <c r="F24838" i="1"/>
  <c r="E24838" i="1"/>
  <c r="F24837" i="1"/>
  <c r="E24837" i="1"/>
  <c r="F24836" i="1"/>
  <c r="E24836" i="1"/>
  <c r="F24835" i="1"/>
  <c r="E24835" i="1"/>
  <c r="F24834" i="1"/>
  <c r="E24834" i="1"/>
  <c r="F24833" i="1"/>
  <c r="E24833" i="1"/>
  <c r="F24832" i="1"/>
  <c r="E24832" i="1"/>
  <c r="F24831" i="1"/>
  <c r="E24831" i="1"/>
  <c r="F24830" i="1"/>
  <c r="E24830" i="1"/>
  <c r="F24829" i="1"/>
  <c r="E24829" i="1"/>
  <c r="F24828" i="1"/>
  <c r="E24828" i="1"/>
  <c r="F24827" i="1"/>
  <c r="E24827" i="1"/>
  <c r="F24826" i="1"/>
  <c r="E24826" i="1"/>
  <c r="F24825" i="1"/>
  <c r="E24825" i="1"/>
  <c r="F24824" i="1"/>
  <c r="E24824" i="1"/>
  <c r="F24823" i="1"/>
  <c r="E24823" i="1"/>
  <c r="F24822" i="1"/>
  <c r="E24822" i="1"/>
  <c r="F24821" i="1"/>
  <c r="E24821" i="1"/>
  <c r="F24820" i="1"/>
  <c r="E24820" i="1"/>
  <c r="F24819" i="1"/>
  <c r="E24819" i="1"/>
  <c r="F24818" i="1"/>
  <c r="E24818" i="1"/>
  <c r="F24817" i="1"/>
  <c r="E24817" i="1"/>
  <c r="F24816" i="1"/>
  <c r="E24816" i="1"/>
  <c r="F24815" i="1"/>
  <c r="E24815" i="1"/>
  <c r="F24814" i="1"/>
  <c r="E24814" i="1"/>
  <c r="F24813" i="1"/>
  <c r="E24813" i="1"/>
  <c r="F24812" i="1"/>
  <c r="E24812" i="1"/>
  <c r="F24811" i="1"/>
  <c r="E24811" i="1"/>
  <c r="F24810" i="1"/>
  <c r="E24810" i="1"/>
  <c r="F24809" i="1"/>
  <c r="E24809" i="1"/>
  <c r="F24808" i="1"/>
  <c r="E24808" i="1"/>
  <c r="F24807" i="1"/>
  <c r="E24807" i="1"/>
  <c r="F24806" i="1"/>
  <c r="E24806" i="1"/>
  <c r="F24805" i="1"/>
  <c r="E24805" i="1"/>
  <c r="F24804" i="1"/>
  <c r="E24804" i="1"/>
  <c r="F24803" i="1"/>
  <c r="E24803" i="1"/>
  <c r="F24802" i="1"/>
  <c r="E24802" i="1"/>
  <c r="F24801" i="1"/>
  <c r="E24801" i="1"/>
  <c r="F24800" i="1"/>
  <c r="E24800" i="1"/>
  <c r="F24799" i="1"/>
  <c r="E24799" i="1"/>
  <c r="F24798" i="1"/>
  <c r="E24798" i="1"/>
  <c r="F24797" i="1"/>
  <c r="E24797" i="1"/>
  <c r="F24796" i="1"/>
  <c r="E24796" i="1"/>
  <c r="F24795" i="1"/>
  <c r="E24795" i="1"/>
  <c r="F24794" i="1"/>
  <c r="E24794" i="1"/>
  <c r="F24793" i="1"/>
  <c r="E24793" i="1"/>
  <c r="F24792" i="1"/>
  <c r="E24792" i="1"/>
  <c r="F24791" i="1"/>
  <c r="E24791" i="1"/>
  <c r="F24790" i="1"/>
  <c r="E24790" i="1"/>
  <c r="F24789" i="1"/>
  <c r="E24789" i="1"/>
  <c r="F24788" i="1"/>
  <c r="E24788" i="1"/>
  <c r="F24787" i="1"/>
  <c r="E24787" i="1"/>
  <c r="F24786" i="1"/>
  <c r="E24786" i="1"/>
  <c r="F24785" i="1"/>
  <c r="E24785" i="1"/>
  <c r="F24784" i="1"/>
  <c r="E24784" i="1"/>
  <c r="F24783" i="1"/>
  <c r="E24783" i="1"/>
  <c r="F24782" i="1"/>
  <c r="E24782" i="1"/>
  <c r="F24781" i="1"/>
  <c r="E24781" i="1"/>
  <c r="F24780" i="1"/>
  <c r="E24780" i="1"/>
  <c r="F24779" i="1"/>
  <c r="E24779" i="1"/>
  <c r="F24778" i="1"/>
  <c r="E24778" i="1"/>
  <c r="F24777" i="1"/>
  <c r="E24777" i="1"/>
  <c r="F24776" i="1"/>
  <c r="E24776" i="1"/>
  <c r="F24775" i="1"/>
  <c r="E24775" i="1"/>
  <c r="F24774" i="1"/>
  <c r="E24774" i="1"/>
  <c r="F24773" i="1"/>
  <c r="E24773" i="1"/>
  <c r="F24772" i="1"/>
  <c r="E24772" i="1"/>
  <c r="F24771" i="1"/>
  <c r="E24771" i="1"/>
  <c r="F24770" i="1"/>
  <c r="E24770" i="1"/>
  <c r="F24769" i="1"/>
  <c r="E24769" i="1"/>
  <c r="F24768" i="1"/>
  <c r="E24768" i="1"/>
  <c r="F24767" i="1"/>
  <c r="E24767" i="1"/>
  <c r="F24766" i="1"/>
  <c r="E24766" i="1"/>
  <c r="F24765" i="1"/>
  <c r="E24765" i="1"/>
  <c r="F24764" i="1"/>
  <c r="E24764" i="1"/>
  <c r="F24763" i="1"/>
  <c r="E24763" i="1"/>
  <c r="F24762" i="1"/>
  <c r="E24762" i="1"/>
  <c r="F24761" i="1"/>
  <c r="E24761" i="1"/>
  <c r="F24760" i="1"/>
  <c r="E24760" i="1"/>
  <c r="F24759" i="1"/>
  <c r="E24759" i="1"/>
  <c r="F24758" i="1"/>
  <c r="E24758" i="1"/>
  <c r="F24757" i="1"/>
  <c r="E24757" i="1"/>
  <c r="F24756" i="1"/>
  <c r="E24756" i="1"/>
  <c r="F24755" i="1"/>
  <c r="E24755" i="1"/>
  <c r="F24754" i="1"/>
  <c r="E24754" i="1"/>
  <c r="F24753" i="1"/>
  <c r="E24753" i="1"/>
  <c r="F24752" i="1"/>
  <c r="E24752" i="1"/>
  <c r="F24751" i="1"/>
  <c r="E24751" i="1"/>
  <c r="F24750" i="1"/>
  <c r="E24750" i="1"/>
  <c r="F24749" i="1"/>
  <c r="E24749" i="1"/>
  <c r="F24748" i="1"/>
  <c r="E24748" i="1"/>
  <c r="F24747" i="1"/>
  <c r="E24747" i="1"/>
  <c r="F24746" i="1"/>
  <c r="E24746" i="1"/>
  <c r="F24745" i="1"/>
  <c r="E24745" i="1"/>
  <c r="F24744" i="1"/>
  <c r="E24744" i="1"/>
  <c r="F24743" i="1"/>
  <c r="E24743" i="1"/>
  <c r="F24742" i="1"/>
  <c r="E24742" i="1"/>
  <c r="F24741" i="1"/>
  <c r="E24741" i="1"/>
  <c r="F24740" i="1"/>
  <c r="E24740" i="1"/>
  <c r="F24739" i="1"/>
  <c r="E24739" i="1"/>
  <c r="F24738" i="1"/>
  <c r="E24738" i="1"/>
  <c r="F24737" i="1"/>
  <c r="E24737" i="1"/>
  <c r="F24736" i="1"/>
  <c r="E24736" i="1"/>
  <c r="F24735" i="1"/>
  <c r="E24735" i="1"/>
  <c r="F24734" i="1"/>
  <c r="E24734" i="1"/>
  <c r="F24733" i="1"/>
  <c r="E24733" i="1"/>
  <c r="F24732" i="1"/>
  <c r="E24732" i="1"/>
  <c r="F24731" i="1"/>
  <c r="E24731" i="1"/>
  <c r="F24730" i="1"/>
  <c r="E24730" i="1"/>
  <c r="F24729" i="1"/>
  <c r="E24729" i="1"/>
  <c r="F24728" i="1"/>
  <c r="E24728" i="1"/>
  <c r="F24727" i="1"/>
  <c r="E24727" i="1"/>
  <c r="F24726" i="1"/>
  <c r="E24726" i="1"/>
  <c r="F24725" i="1"/>
  <c r="E24725" i="1"/>
  <c r="F24724" i="1"/>
  <c r="E24724" i="1"/>
  <c r="F24723" i="1"/>
  <c r="E24723" i="1"/>
  <c r="F24722" i="1"/>
  <c r="E24722" i="1"/>
  <c r="F24721" i="1"/>
  <c r="E24721" i="1"/>
  <c r="F24720" i="1"/>
  <c r="E24720" i="1"/>
  <c r="F24719" i="1"/>
  <c r="E24719" i="1"/>
  <c r="F24718" i="1"/>
  <c r="E24718" i="1"/>
  <c r="F24717" i="1"/>
  <c r="E24717" i="1"/>
  <c r="F24716" i="1"/>
  <c r="E24716" i="1"/>
  <c r="F24715" i="1"/>
  <c r="E24715" i="1"/>
  <c r="F24714" i="1"/>
  <c r="E24714" i="1"/>
  <c r="F24713" i="1"/>
  <c r="E24713" i="1"/>
  <c r="F24712" i="1"/>
  <c r="E24712" i="1"/>
  <c r="F24711" i="1"/>
  <c r="E24711" i="1"/>
  <c r="F24710" i="1"/>
  <c r="E24710" i="1"/>
  <c r="F24709" i="1"/>
  <c r="E24709" i="1"/>
  <c r="F24708" i="1"/>
  <c r="E24708" i="1"/>
  <c r="F24707" i="1"/>
  <c r="E24707" i="1"/>
  <c r="F24706" i="1"/>
  <c r="E24706" i="1"/>
  <c r="F24705" i="1"/>
  <c r="E24705" i="1"/>
  <c r="F24704" i="1"/>
  <c r="E24704" i="1"/>
  <c r="F24703" i="1"/>
  <c r="E24703" i="1"/>
  <c r="F24702" i="1"/>
  <c r="E24702" i="1"/>
  <c r="F24701" i="1"/>
  <c r="E24701" i="1"/>
  <c r="F24700" i="1"/>
  <c r="E24700" i="1"/>
  <c r="F24699" i="1"/>
  <c r="E24699" i="1"/>
  <c r="F24698" i="1"/>
  <c r="E24698" i="1"/>
  <c r="F24697" i="1"/>
  <c r="E24697" i="1"/>
  <c r="F24696" i="1"/>
  <c r="E24696" i="1"/>
  <c r="F24695" i="1"/>
  <c r="E24695" i="1"/>
  <c r="F24694" i="1"/>
  <c r="E24694" i="1"/>
  <c r="F24693" i="1"/>
  <c r="E24693" i="1"/>
  <c r="F24692" i="1"/>
  <c r="E24692" i="1"/>
  <c r="F24691" i="1"/>
  <c r="E24691" i="1"/>
  <c r="F24690" i="1"/>
  <c r="E24690" i="1"/>
  <c r="F24689" i="1"/>
  <c r="E24689" i="1"/>
  <c r="F24688" i="1"/>
  <c r="E24688" i="1"/>
  <c r="F24687" i="1"/>
  <c r="E24687" i="1"/>
  <c r="F24686" i="1"/>
  <c r="E24686" i="1"/>
  <c r="F24685" i="1"/>
  <c r="E24685" i="1"/>
  <c r="F24684" i="1"/>
  <c r="E24684" i="1"/>
  <c r="F24683" i="1"/>
  <c r="E24683" i="1"/>
  <c r="F24682" i="1"/>
  <c r="E24682" i="1"/>
  <c r="F24681" i="1"/>
  <c r="E24681" i="1"/>
  <c r="F24680" i="1"/>
  <c r="E24680" i="1"/>
  <c r="F24679" i="1"/>
  <c r="E24679" i="1"/>
  <c r="F24678" i="1"/>
  <c r="E24678" i="1"/>
  <c r="F24677" i="1"/>
  <c r="E24677" i="1"/>
  <c r="F24676" i="1"/>
  <c r="E24676" i="1"/>
  <c r="F24675" i="1"/>
  <c r="E24675" i="1"/>
  <c r="F24674" i="1"/>
  <c r="E24674" i="1"/>
  <c r="F24673" i="1"/>
  <c r="E24673" i="1"/>
  <c r="F24672" i="1"/>
  <c r="E24672" i="1"/>
  <c r="F24671" i="1"/>
  <c r="E24671" i="1"/>
  <c r="F24670" i="1"/>
  <c r="E24670" i="1"/>
  <c r="F24669" i="1"/>
  <c r="E24669" i="1"/>
  <c r="F24668" i="1"/>
  <c r="E24668" i="1"/>
  <c r="F24667" i="1"/>
  <c r="E24667" i="1"/>
  <c r="F24666" i="1"/>
  <c r="E24666" i="1"/>
  <c r="F24665" i="1"/>
  <c r="E24665" i="1"/>
  <c r="F24664" i="1"/>
  <c r="E24664" i="1"/>
  <c r="F24663" i="1"/>
  <c r="E24663" i="1"/>
  <c r="F24662" i="1"/>
  <c r="E24662" i="1"/>
  <c r="F24661" i="1"/>
  <c r="E24661" i="1"/>
  <c r="F24660" i="1"/>
  <c r="E24660" i="1"/>
  <c r="F24659" i="1"/>
  <c r="E24659" i="1"/>
  <c r="F24658" i="1"/>
  <c r="E24658" i="1"/>
  <c r="F24657" i="1"/>
  <c r="E24657" i="1"/>
  <c r="F24656" i="1"/>
  <c r="E24656" i="1"/>
  <c r="F24655" i="1"/>
  <c r="E24655" i="1"/>
  <c r="F24654" i="1"/>
  <c r="E24654" i="1"/>
  <c r="F24653" i="1"/>
  <c r="E24653" i="1"/>
  <c r="F24652" i="1"/>
  <c r="E24652" i="1"/>
  <c r="F24651" i="1"/>
  <c r="E24651" i="1"/>
  <c r="F24650" i="1"/>
  <c r="E24650" i="1"/>
  <c r="F24649" i="1"/>
  <c r="E24649" i="1"/>
  <c r="F24648" i="1"/>
  <c r="E24648" i="1"/>
  <c r="F24647" i="1"/>
  <c r="E24647" i="1"/>
  <c r="F24646" i="1"/>
  <c r="E24646" i="1"/>
  <c r="F24645" i="1"/>
  <c r="E24645" i="1"/>
  <c r="F24644" i="1"/>
  <c r="E24644" i="1"/>
  <c r="F24643" i="1"/>
  <c r="E24643" i="1"/>
  <c r="F24642" i="1"/>
  <c r="E24642" i="1"/>
  <c r="F24641" i="1"/>
  <c r="E24641" i="1"/>
  <c r="F24640" i="1"/>
  <c r="E24640" i="1"/>
  <c r="F24639" i="1"/>
  <c r="E24639" i="1"/>
  <c r="F24638" i="1"/>
  <c r="E24638" i="1"/>
  <c r="F24637" i="1"/>
  <c r="E24637" i="1"/>
  <c r="F24636" i="1"/>
  <c r="E24636" i="1"/>
  <c r="F24635" i="1"/>
  <c r="E24635" i="1"/>
  <c r="F24634" i="1"/>
  <c r="E24634" i="1"/>
  <c r="F24633" i="1"/>
  <c r="E24633" i="1"/>
  <c r="F24632" i="1"/>
  <c r="E24632" i="1"/>
  <c r="F24631" i="1"/>
  <c r="E24631" i="1"/>
  <c r="F24630" i="1"/>
  <c r="E24630" i="1"/>
  <c r="F24629" i="1"/>
  <c r="E24629" i="1"/>
  <c r="F24628" i="1"/>
  <c r="E24628" i="1"/>
  <c r="F24627" i="1"/>
  <c r="E24627" i="1"/>
  <c r="F24626" i="1"/>
  <c r="E24626" i="1"/>
  <c r="F24625" i="1"/>
  <c r="E24625" i="1"/>
  <c r="F24624" i="1"/>
  <c r="E24624" i="1"/>
  <c r="F24623" i="1"/>
  <c r="E24623" i="1"/>
  <c r="F24622" i="1"/>
  <c r="E24622" i="1"/>
  <c r="F24621" i="1"/>
  <c r="E24621" i="1"/>
  <c r="F24620" i="1"/>
  <c r="E24620" i="1"/>
  <c r="F24619" i="1"/>
  <c r="E24619" i="1"/>
  <c r="F24618" i="1"/>
  <c r="E24618" i="1"/>
  <c r="F24617" i="1"/>
  <c r="E24617" i="1"/>
  <c r="F24616" i="1"/>
  <c r="E24616" i="1"/>
  <c r="F24615" i="1"/>
  <c r="E24615" i="1"/>
  <c r="F24614" i="1"/>
  <c r="E24614" i="1"/>
  <c r="F24613" i="1"/>
  <c r="E24613" i="1"/>
  <c r="F24612" i="1"/>
  <c r="E24612" i="1"/>
  <c r="F24611" i="1"/>
  <c r="E24611" i="1"/>
  <c r="F24610" i="1"/>
  <c r="E24610" i="1"/>
  <c r="F24609" i="1"/>
  <c r="E24609" i="1"/>
  <c r="F24608" i="1"/>
  <c r="E24608" i="1"/>
  <c r="F24607" i="1"/>
  <c r="E24607" i="1"/>
  <c r="F24606" i="1"/>
  <c r="E24606" i="1"/>
  <c r="F24605" i="1"/>
  <c r="E24605" i="1"/>
  <c r="F24604" i="1"/>
  <c r="E24604" i="1"/>
  <c r="F24603" i="1"/>
  <c r="E24603" i="1"/>
  <c r="F24602" i="1"/>
  <c r="E24602" i="1"/>
  <c r="F24601" i="1"/>
  <c r="E24601" i="1"/>
  <c r="F24600" i="1"/>
  <c r="E24600" i="1"/>
  <c r="F24599" i="1"/>
  <c r="E24599" i="1"/>
  <c r="F24598" i="1"/>
  <c r="E24598" i="1"/>
  <c r="F24597" i="1"/>
  <c r="E24597" i="1"/>
  <c r="F24596" i="1"/>
  <c r="E24596" i="1"/>
  <c r="F24595" i="1"/>
  <c r="E24595" i="1"/>
  <c r="F24594" i="1"/>
  <c r="E24594" i="1"/>
  <c r="F24593" i="1"/>
  <c r="E24593" i="1"/>
  <c r="F24592" i="1"/>
  <c r="E24592" i="1"/>
  <c r="F24591" i="1"/>
  <c r="E24591" i="1"/>
  <c r="F24590" i="1"/>
  <c r="E24590" i="1"/>
  <c r="F24589" i="1"/>
  <c r="E24589" i="1"/>
  <c r="F24588" i="1"/>
  <c r="E24588" i="1"/>
  <c r="F24587" i="1"/>
  <c r="E24587" i="1"/>
  <c r="F24586" i="1"/>
  <c r="E24586" i="1"/>
  <c r="F24585" i="1"/>
  <c r="E24585" i="1"/>
  <c r="F24584" i="1"/>
  <c r="E24584" i="1"/>
  <c r="F24583" i="1"/>
  <c r="E24583" i="1"/>
  <c r="F24582" i="1"/>
  <c r="E24582" i="1"/>
  <c r="F24581" i="1"/>
  <c r="E24581" i="1"/>
  <c r="F24580" i="1"/>
  <c r="E24580" i="1"/>
  <c r="F24579" i="1"/>
  <c r="E24579" i="1"/>
  <c r="F24578" i="1"/>
  <c r="E24578" i="1"/>
  <c r="F24577" i="1"/>
  <c r="E24577" i="1"/>
  <c r="F24576" i="1"/>
  <c r="E24576" i="1"/>
  <c r="F24575" i="1"/>
  <c r="E24575" i="1"/>
  <c r="F24574" i="1"/>
  <c r="E24574" i="1"/>
  <c r="F24573" i="1"/>
  <c r="E24573" i="1"/>
  <c r="F24572" i="1"/>
  <c r="E24572" i="1"/>
  <c r="F24571" i="1"/>
  <c r="E24571" i="1"/>
  <c r="F24570" i="1"/>
  <c r="E24570" i="1"/>
  <c r="F24569" i="1"/>
  <c r="E24569" i="1"/>
  <c r="F24568" i="1"/>
  <c r="E24568" i="1"/>
  <c r="F24567" i="1"/>
  <c r="E24567" i="1"/>
  <c r="F24566" i="1"/>
  <c r="E24566" i="1"/>
  <c r="F24565" i="1"/>
  <c r="E24565" i="1"/>
  <c r="F24564" i="1"/>
  <c r="E24564" i="1"/>
  <c r="F24563" i="1"/>
  <c r="E24563" i="1"/>
  <c r="F24562" i="1"/>
  <c r="E24562" i="1"/>
  <c r="F24561" i="1"/>
  <c r="E24561" i="1"/>
  <c r="F24560" i="1"/>
  <c r="E24560" i="1"/>
  <c r="F24559" i="1"/>
  <c r="E24559" i="1"/>
  <c r="F24558" i="1"/>
  <c r="E24558" i="1"/>
  <c r="F24557" i="1"/>
  <c r="E24557" i="1"/>
  <c r="F24556" i="1"/>
  <c r="E24556" i="1"/>
  <c r="F24555" i="1"/>
  <c r="E24555" i="1"/>
  <c r="F24554" i="1"/>
  <c r="E24554" i="1"/>
  <c r="F24553" i="1"/>
  <c r="E24553" i="1"/>
  <c r="F24552" i="1"/>
  <c r="E24552" i="1"/>
  <c r="F24551" i="1"/>
  <c r="E24551" i="1"/>
  <c r="F24550" i="1"/>
  <c r="E24550" i="1"/>
  <c r="F24549" i="1"/>
  <c r="E24549" i="1"/>
  <c r="F24548" i="1"/>
  <c r="E24548" i="1"/>
  <c r="F24547" i="1"/>
  <c r="E24547" i="1"/>
  <c r="F24546" i="1"/>
  <c r="E24546" i="1"/>
  <c r="F24545" i="1"/>
  <c r="E24545" i="1"/>
  <c r="F24544" i="1"/>
  <c r="E24544" i="1"/>
  <c r="F24543" i="1"/>
  <c r="E24543" i="1"/>
  <c r="F24542" i="1"/>
  <c r="E24542" i="1"/>
  <c r="F24541" i="1"/>
  <c r="E24541" i="1"/>
  <c r="F24540" i="1"/>
  <c r="E24540" i="1"/>
  <c r="F24539" i="1"/>
  <c r="E24539" i="1"/>
  <c r="F24538" i="1"/>
  <c r="E24538" i="1"/>
  <c r="F24537" i="1"/>
  <c r="E24537" i="1"/>
  <c r="F24536" i="1"/>
  <c r="E24536" i="1"/>
  <c r="F24535" i="1"/>
  <c r="E24535" i="1"/>
  <c r="F24534" i="1"/>
  <c r="E24534" i="1"/>
  <c r="F24533" i="1"/>
  <c r="E24533" i="1"/>
  <c r="F24532" i="1"/>
  <c r="E24532" i="1"/>
  <c r="F24531" i="1"/>
  <c r="E24531" i="1"/>
  <c r="F24530" i="1"/>
  <c r="E24530" i="1"/>
  <c r="F24529" i="1"/>
  <c r="E24529" i="1"/>
  <c r="F24528" i="1"/>
  <c r="E24528" i="1"/>
  <c r="F24527" i="1"/>
  <c r="E24527" i="1"/>
  <c r="F24526" i="1"/>
  <c r="E24526" i="1"/>
  <c r="F24525" i="1"/>
  <c r="E24525" i="1"/>
  <c r="F24524" i="1"/>
  <c r="E24524" i="1"/>
  <c r="F24523" i="1"/>
  <c r="E24523" i="1"/>
  <c r="F24522" i="1"/>
  <c r="E24522" i="1"/>
  <c r="F24521" i="1"/>
  <c r="E24521" i="1"/>
  <c r="F24520" i="1"/>
  <c r="E24520" i="1"/>
  <c r="F24519" i="1"/>
  <c r="E24519" i="1"/>
  <c r="F24518" i="1"/>
  <c r="E24518" i="1"/>
  <c r="F24517" i="1"/>
  <c r="E24517" i="1"/>
  <c r="F24516" i="1"/>
  <c r="E24516" i="1"/>
  <c r="F24515" i="1"/>
  <c r="E24515" i="1"/>
  <c r="F24514" i="1"/>
  <c r="E24514" i="1"/>
  <c r="F24513" i="1"/>
  <c r="E24513" i="1"/>
  <c r="F24512" i="1"/>
  <c r="E24512" i="1"/>
  <c r="F24511" i="1"/>
  <c r="E24511" i="1"/>
  <c r="F24510" i="1"/>
  <c r="E24510" i="1"/>
  <c r="F24509" i="1"/>
  <c r="E24509" i="1"/>
  <c r="F24508" i="1"/>
  <c r="E24508" i="1"/>
  <c r="F24507" i="1"/>
  <c r="E24507" i="1"/>
  <c r="F24506" i="1"/>
  <c r="E24506" i="1"/>
  <c r="F24505" i="1"/>
  <c r="E24505" i="1"/>
  <c r="F24504" i="1"/>
  <c r="E24504" i="1"/>
  <c r="F24503" i="1"/>
  <c r="E24503" i="1"/>
  <c r="F24502" i="1"/>
  <c r="E24502" i="1"/>
  <c r="F24501" i="1"/>
  <c r="E24501" i="1"/>
  <c r="F24500" i="1"/>
  <c r="E24500" i="1"/>
  <c r="F24499" i="1"/>
  <c r="E24499" i="1"/>
  <c r="F24498" i="1"/>
  <c r="E24498" i="1"/>
  <c r="F24497" i="1"/>
  <c r="E24497" i="1"/>
  <c r="F24496" i="1"/>
  <c r="E24496" i="1"/>
  <c r="F24495" i="1"/>
  <c r="E24495" i="1"/>
  <c r="F24494" i="1"/>
  <c r="E24494" i="1"/>
  <c r="F24493" i="1"/>
  <c r="E24493" i="1"/>
  <c r="F24492" i="1"/>
  <c r="E24492" i="1"/>
  <c r="F24491" i="1"/>
  <c r="E24491" i="1"/>
  <c r="F24490" i="1"/>
  <c r="E24490" i="1"/>
  <c r="F24489" i="1"/>
  <c r="E24489" i="1"/>
  <c r="F24488" i="1"/>
  <c r="E24488" i="1"/>
  <c r="F24487" i="1"/>
  <c r="E24487" i="1"/>
  <c r="F24486" i="1"/>
  <c r="E24486" i="1"/>
  <c r="F24485" i="1"/>
  <c r="E24485" i="1"/>
  <c r="F24484" i="1"/>
  <c r="E24484" i="1"/>
  <c r="F24483" i="1"/>
  <c r="E24483" i="1"/>
  <c r="F24482" i="1"/>
  <c r="E24482" i="1"/>
  <c r="F24481" i="1"/>
  <c r="E24481" i="1"/>
  <c r="F24480" i="1"/>
  <c r="E24480" i="1"/>
  <c r="F24479" i="1"/>
  <c r="E24479" i="1"/>
  <c r="F24478" i="1"/>
  <c r="E24478" i="1"/>
  <c r="F24477" i="1"/>
  <c r="E24477" i="1"/>
  <c r="F24476" i="1"/>
  <c r="E24476" i="1"/>
  <c r="F24475" i="1"/>
  <c r="E24475" i="1"/>
  <c r="F24474" i="1"/>
  <c r="E24474" i="1"/>
  <c r="F24473" i="1"/>
  <c r="E24473" i="1"/>
  <c r="F24472" i="1"/>
  <c r="E24472" i="1"/>
  <c r="F24471" i="1"/>
  <c r="E24471" i="1"/>
  <c r="F24470" i="1"/>
  <c r="E24470" i="1"/>
  <c r="F24469" i="1"/>
  <c r="E24469" i="1"/>
  <c r="F24468" i="1"/>
  <c r="E24468" i="1"/>
  <c r="F24467" i="1"/>
  <c r="E24467" i="1"/>
  <c r="F24466" i="1"/>
  <c r="E24466" i="1"/>
  <c r="F24465" i="1"/>
  <c r="E24465" i="1"/>
  <c r="F24464" i="1"/>
  <c r="E24464" i="1"/>
  <c r="F24463" i="1"/>
  <c r="E24463" i="1"/>
  <c r="F24462" i="1"/>
  <c r="E24462" i="1"/>
  <c r="F24461" i="1"/>
  <c r="E24461" i="1"/>
  <c r="F24460" i="1"/>
  <c r="E24460" i="1"/>
  <c r="F24459" i="1"/>
  <c r="E24459" i="1"/>
  <c r="F24458" i="1"/>
  <c r="E24458" i="1"/>
  <c r="F24457" i="1"/>
  <c r="E24457" i="1"/>
  <c r="F24456" i="1"/>
  <c r="E24456" i="1"/>
  <c r="F24455" i="1"/>
  <c r="E24455" i="1"/>
  <c r="F24454" i="1"/>
  <c r="E24454" i="1"/>
  <c r="F24453" i="1"/>
  <c r="E24453" i="1"/>
  <c r="F24452" i="1"/>
  <c r="E24452" i="1"/>
  <c r="F24451" i="1"/>
  <c r="E24451" i="1"/>
  <c r="F24450" i="1"/>
  <c r="E24450" i="1"/>
  <c r="F24449" i="1"/>
  <c r="E24449" i="1"/>
  <c r="F24448" i="1"/>
  <c r="E24448" i="1"/>
  <c r="F24447" i="1"/>
  <c r="E24447" i="1"/>
  <c r="F24446" i="1"/>
  <c r="E24446" i="1"/>
  <c r="F24445" i="1"/>
  <c r="E24445" i="1"/>
  <c r="F24444" i="1"/>
  <c r="E24444" i="1"/>
  <c r="F24443" i="1"/>
  <c r="E24443" i="1"/>
  <c r="F24442" i="1"/>
  <c r="E24442" i="1"/>
  <c r="F24441" i="1"/>
  <c r="E24441" i="1"/>
  <c r="F24440" i="1"/>
  <c r="E24440" i="1"/>
  <c r="F24439" i="1"/>
  <c r="E24439" i="1"/>
  <c r="F24438" i="1"/>
  <c r="E24438" i="1"/>
  <c r="F24437" i="1"/>
  <c r="E24437" i="1"/>
  <c r="F24436" i="1"/>
  <c r="E24436" i="1"/>
  <c r="F24435" i="1"/>
  <c r="E24435" i="1"/>
  <c r="F24434" i="1"/>
  <c r="E24434" i="1"/>
  <c r="F24433" i="1"/>
  <c r="E24433" i="1"/>
  <c r="F24432" i="1"/>
  <c r="E24432" i="1"/>
  <c r="F24431" i="1"/>
  <c r="E24431" i="1"/>
  <c r="F24430" i="1"/>
  <c r="E24430" i="1"/>
  <c r="F24429" i="1"/>
  <c r="E24429" i="1"/>
  <c r="F24428" i="1"/>
  <c r="E24428" i="1"/>
  <c r="F24427" i="1"/>
  <c r="E24427" i="1"/>
  <c r="F24426" i="1"/>
  <c r="E24426" i="1"/>
  <c r="F24425" i="1"/>
  <c r="E24425" i="1"/>
  <c r="F24424" i="1"/>
  <c r="E24424" i="1"/>
  <c r="F24423" i="1"/>
  <c r="E24423" i="1"/>
  <c r="F24422" i="1"/>
  <c r="E24422" i="1"/>
  <c r="F24421" i="1"/>
  <c r="E24421" i="1"/>
  <c r="F24420" i="1"/>
  <c r="E24420" i="1"/>
  <c r="F24419" i="1"/>
  <c r="E24419" i="1"/>
  <c r="F24418" i="1"/>
  <c r="E24418" i="1"/>
  <c r="F24417" i="1"/>
  <c r="E24417" i="1"/>
  <c r="F24416" i="1"/>
  <c r="E24416" i="1"/>
  <c r="F24415" i="1"/>
  <c r="E24415" i="1"/>
  <c r="F24414" i="1"/>
  <c r="E24414" i="1"/>
  <c r="F24413" i="1"/>
  <c r="E24413" i="1"/>
  <c r="F24412" i="1"/>
  <c r="E24412" i="1"/>
  <c r="F24411" i="1"/>
  <c r="E24411" i="1"/>
  <c r="F24410" i="1"/>
  <c r="E24410" i="1"/>
  <c r="F24409" i="1"/>
  <c r="E24409" i="1"/>
  <c r="F24408" i="1"/>
  <c r="E24408" i="1"/>
  <c r="F24407" i="1"/>
  <c r="E24407" i="1"/>
  <c r="F24406" i="1"/>
  <c r="E24406" i="1"/>
  <c r="F24405" i="1"/>
  <c r="E24405" i="1"/>
  <c r="F24404" i="1"/>
  <c r="E24404" i="1"/>
  <c r="F24403" i="1"/>
  <c r="E24403" i="1"/>
  <c r="F24402" i="1"/>
  <c r="E24402" i="1"/>
  <c r="F24401" i="1"/>
  <c r="E24401" i="1"/>
  <c r="F24400" i="1"/>
  <c r="E24400" i="1"/>
  <c r="F24399" i="1"/>
  <c r="E24399" i="1"/>
  <c r="F24398" i="1"/>
  <c r="E24398" i="1"/>
  <c r="F24397" i="1"/>
  <c r="E24397" i="1"/>
  <c r="F24396" i="1"/>
  <c r="F24395" i="1"/>
  <c r="E24395" i="1"/>
  <c r="F24394" i="1"/>
  <c r="E24394" i="1"/>
  <c r="F24393" i="1"/>
  <c r="E24393" i="1"/>
  <c r="F24392" i="1"/>
  <c r="E24392" i="1"/>
  <c r="F24391" i="1"/>
  <c r="E24391" i="1"/>
  <c r="F24390" i="1"/>
  <c r="E24390" i="1"/>
  <c r="F24389" i="1"/>
  <c r="E24389" i="1"/>
  <c r="F24388" i="1"/>
  <c r="E24388" i="1"/>
  <c r="F24387" i="1"/>
  <c r="E24387" i="1"/>
  <c r="F24386" i="1"/>
  <c r="E24386" i="1"/>
  <c r="F24385" i="1"/>
  <c r="E24385" i="1"/>
  <c r="F24384" i="1"/>
  <c r="E24384" i="1"/>
  <c r="F24383" i="1"/>
  <c r="E24383" i="1"/>
  <c r="F24382" i="1"/>
  <c r="E24382" i="1"/>
  <c r="F24381" i="1"/>
  <c r="E24381" i="1"/>
  <c r="F24380" i="1"/>
  <c r="E24380" i="1"/>
  <c r="F24379" i="1"/>
  <c r="E24379" i="1"/>
  <c r="F24378" i="1"/>
  <c r="E24378" i="1"/>
  <c r="F24377" i="1"/>
  <c r="E24377" i="1"/>
  <c r="F24376" i="1"/>
  <c r="E24376" i="1"/>
  <c r="F24375" i="1"/>
  <c r="E24375" i="1"/>
  <c r="F24374" i="1"/>
  <c r="E24374" i="1"/>
  <c r="F24373" i="1"/>
  <c r="E24373" i="1"/>
  <c r="F24372" i="1"/>
  <c r="E24372" i="1"/>
  <c r="F24371" i="1"/>
  <c r="E24371" i="1"/>
  <c r="F24370" i="1"/>
  <c r="E24370" i="1"/>
  <c r="F24369" i="1"/>
  <c r="E24369" i="1"/>
  <c r="F24368" i="1"/>
  <c r="E24368" i="1"/>
  <c r="F24367" i="1"/>
  <c r="E24367" i="1"/>
  <c r="F24366" i="1"/>
  <c r="E24366" i="1"/>
  <c r="F24365" i="1"/>
  <c r="E24365" i="1"/>
  <c r="F24364" i="1"/>
  <c r="E24364" i="1"/>
  <c r="F24363" i="1"/>
  <c r="E24363" i="1"/>
  <c r="F24362" i="1"/>
  <c r="E24362" i="1"/>
  <c r="F24361" i="1"/>
  <c r="E24361" i="1"/>
  <c r="F24360" i="1"/>
  <c r="E24360" i="1"/>
  <c r="F24359" i="1"/>
  <c r="E24359" i="1"/>
  <c r="F24358" i="1"/>
  <c r="E24358" i="1"/>
  <c r="F24357" i="1"/>
  <c r="E24357" i="1"/>
  <c r="F24356" i="1"/>
  <c r="E24356" i="1"/>
  <c r="F24355" i="1"/>
  <c r="E24355" i="1"/>
  <c r="F24354" i="1"/>
  <c r="E24354" i="1"/>
  <c r="F24353" i="1"/>
  <c r="E24353" i="1"/>
  <c r="F24352" i="1"/>
  <c r="E24352" i="1"/>
  <c r="F24351" i="1"/>
  <c r="E24351" i="1"/>
  <c r="F24350" i="1"/>
  <c r="E24350" i="1"/>
  <c r="F24349" i="1"/>
  <c r="E24349" i="1"/>
  <c r="F24348" i="1"/>
  <c r="E24348" i="1"/>
  <c r="F24347" i="1"/>
  <c r="E24347" i="1"/>
  <c r="F24346" i="1"/>
  <c r="E24346" i="1"/>
  <c r="F24345" i="1"/>
  <c r="E24345" i="1"/>
  <c r="F24344" i="1"/>
  <c r="E24344" i="1"/>
  <c r="F24343" i="1"/>
  <c r="E24343" i="1"/>
  <c r="F24342" i="1"/>
  <c r="E24342" i="1"/>
  <c r="F24341" i="1"/>
  <c r="E24341" i="1"/>
  <c r="F24340" i="1"/>
  <c r="E24340" i="1"/>
  <c r="F24339" i="1"/>
  <c r="E24339" i="1"/>
  <c r="F24338" i="1"/>
  <c r="E24338" i="1"/>
  <c r="F24337" i="1"/>
  <c r="E24337" i="1"/>
  <c r="F24336" i="1"/>
  <c r="E24336" i="1"/>
  <c r="F24335" i="1"/>
  <c r="E24335" i="1"/>
  <c r="F24334" i="1"/>
  <c r="E24334" i="1"/>
  <c r="F24333" i="1"/>
  <c r="E24333" i="1"/>
  <c r="F24332" i="1"/>
  <c r="E24332" i="1"/>
  <c r="F24331" i="1"/>
  <c r="E24331" i="1"/>
  <c r="F24330" i="1"/>
  <c r="E24330" i="1"/>
  <c r="F24329" i="1"/>
  <c r="E24329" i="1"/>
  <c r="F24328" i="1"/>
  <c r="E24328" i="1"/>
  <c r="F24327" i="1"/>
  <c r="E24327" i="1"/>
  <c r="F24326" i="1"/>
  <c r="E24326" i="1"/>
  <c r="F24325" i="1"/>
  <c r="E24325" i="1"/>
  <c r="F24324" i="1"/>
  <c r="E24324" i="1"/>
  <c r="F24323" i="1"/>
  <c r="E24323" i="1"/>
  <c r="F24322" i="1"/>
  <c r="E24322" i="1"/>
  <c r="F24321" i="1"/>
  <c r="E24321" i="1"/>
  <c r="F24320" i="1"/>
  <c r="E24320" i="1"/>
  <c r="F24319" i="1"/>
  <c r="E24319" i="1"/>
  <c r="F24318" i="1"/>
  <c r="E24318" i="1"/>
  <c r="F24317" i="1"/>
  <c r="E24317" i="1"/>
  <c r="F24316" i="1"/>
  <c r="E24316" i="1"/>
  <c r="F24315" i="1"/>
  <c r="E24315" i="1"/>
  <c r="F24314" i="1"/>
  <c r="E24314" i="1"/>
  <c r="F24313" i="1"/>
  <c r="E24313" i="1"/>
  <c r="F24312" i="1"/>
  <c r="E24312" i="1"/>
  <c r="F24311" i="1"/>
  <c r="E24311" i="1"/>
  <c r="F24310" i="1"/>
  <c r="E24310" i="1"/>
  <c r="F24309" i="1"/>
  <c r="E24309" i="1"/>
  <c r="F24308" i="1"/>
  <c r="E24308" i="1"/>
  <c r="F24307" i="1"/>
  <c r="E24307" i="1"/>
  <c r="F24306" i="1"/>
  <c r="E24306" i="1"/>
  <c r="F24305" i="1"/>
  <c r="E24305" i="1"/>
  <c r="F24304" i="1"/>
  <c r="E24304" i="1"/>
  <c r="F24303" i="1"/>
  <c r="E24303" i="1"/>
  <c r="F24302" i="1"/>
  <c r="E24302" i="1"/>
  <c r="F24301" i="1"/>
  <c r="E24301" i="1"/>
  <c r="F24300" i="1"/>
  <c r="E24300" i="1"/>
  <c r="F24299" i="1"/>
  <c r="E24299" i="1"/>
  <c r="F24298" i="1"/>
  <c r="E24298" i="1"/>
  <c r="F24297" i="1"/>
  <c r="E24297" i="1"/>
  <c r="F24296" i="1"/>
  <c r="E24296" i="1"/>
  <c r="F24295" i="1"/>
  <c r="E24295" i="1"/>
  <c r="F24294" i="1"/>
  <c r="E24294" i="1"/>
  <c r="F24293" i="1"/>
  <c r="E24293" i="1"/>
  <c r="F24292" i="1"/>
  <c r="E24292" i="1"/>
  <c r="F24291" i="1"/>
  <c r="E24291" i="1"/>
  <c r="F24290" i="1"/>
  <c r="E24290" i="1"/>
  <c r="F24289" i="1"/>
  <c r="E24289" i="1"/>
  <c r="F24288" i="1"/>
  <c r="E24288" i="1"/>
  <c r="F24287" i="1"/>
  <c r="E24287" i="1"/>
  <c r="F24286" i="1"/>
  <c r="E24286" i="1"/>
  <c r="F24285" i="1"/>
  <c r="E24285" i="1"/>
  <c r="F24284" i="1"/>
  <c r="E24284" i="1"/>
  <c r="F24283" i="1"/>
  <c r="F24282" i="1"/>
  <c r="F24281" i="1"/>
  <c r="F24280" i="1"/>
  <c r="F24279" i="1"/>
  <c r="E24279" i="1"/>
  <c r="F24278" i="1"/>
  <c r="E24278" i="1"/>
  <c r="F24277" i="1"/>
  <c r="E24277" i="1"/>
  <c r="F24276" i="1"/>
  <c r="E24276" i="1"/>
  <c r="F24275" i="1"/>
  <c r="E24275" i="1"/>
  <c r="F24274" i="1"/>
  <c r="E24274" i="1"/>
  <c r="F24273" i="1"/>
  <c r="E24273" i="1"/>
  <c r="F24272" i="1"/>
  <c r="E24272" i="1"/>
  <c r="F24271" i="1"/>
  <c r="E24271" i="1"/>
  <c r="F24270" i="1"/>
  <c r="E24270" i="1"/>
  <c r="F24269" i="1"/>
  <c r="E24269" i="1"/>
  <c r="F24268" i="1"/>
  <c r="F24267" i="1"/>
  <c r="F24266" i="1"/>
  <c r="E24266" i="1"/>
  <c r="F24265" i="1"/>
  <c r="E24265" i="1"/>
  <c r="F24264" i="1"/>
  <c r="E24264" i="1"/>
  <c r="F24263" i="1"/>
  <c r="E24263" i="1"/>
  <c r="F24262" i="1"/>
  <c r="E24262" i="1"/>
  <c r="F24261" i="1"/>
  <c r="E24261" i="1"/>
  <c r="F24260" i="1"/>
  <c r="E24260" i="1"/>
  <c r="F24259" i="1"/>
  <c r="E24259" i="1"/>
  <c r="F24258" i="1"/>
  <c r="E24258" i="1"/>
  <c r="F24257" i="1"/>
  <c r="E24257" i="1"/>
  <c r="F24256" i="1"/>
  <c r="E24256" i="1"/>
  <c r="F24255" i="1"/>
  <c r="E24255" i="1"/>
  <c r="F24254" i="1"/>
  <c r="E24254" i="1"/>
  <c r="F24253" i="1"/>
  <c r="E24253" i="1"/>
  <c r="F24252" i="1"/>
  <c r="E24252" i="1"/>
  <c r="F24251" i="1"/>
  <c r="E24251" i="1"/>
  <c r="F24250" i="1"/>
  <c r="E24250" i="1"/>
  <c r="F24249" i="1"/>
  <c r="E24249" i="1"/>
  <c r="F24248" i="1"/>
  <c r="E24248" i="1"/>
  <c r="F24247" i="1"/>
  <c r="E24247" i="1"/>
  <c r="F24246" i="1"/>
  <c r="E24246" i="1"/>
  <c r="F24245" i="1"/>
  <c r="E24245" i="1"/>
  <c r="F24244" i="1"/>
  <c r="F24243" i="1"/>
  <c r="F24242" i="1"/>
  <c r="F24241" i="1"/>
  <c r="F24240" i="1"/>
  <c r="E24240" i="1"/>
  <c r="F24239" i="1"/>
  <c r="E24239" i="1"/>
  <c r="F24238" i="1"/>
  <c r="E24238" i="1"/>
  <c r="F24237" i="1"/>
  <c r="E24237" i="1"/>
  <c r="F24236" i="1"/>
  <c r="E24236" i="1"/>
  <c r="F24235" i="1"/>
  <c r="E24235" i="1"/>
  <c r="F24234" i="1"/>
  <c r="E24234" i="1"/>
  <c r="F24233" i="1"/>
  <c r="E24233" i="1"/>
  <c r="F24232" i="1"/>
  <c r="E24232" i="1"/>
  <c r="F24231" i="1"/>
  <c r="E24231" i="1"/>
  <c r="F24230" i="1"/>
  <c r="E24230" i="1"/>
  <c r="F24229" i="1"/>
  <c r="E24229" i="1"/>
  <c r="F24228" i="1"/>
  <c r="E24228" i="1"/>
  <c r="F24227" i="1"/>
  <c r="E24227" i="1"/>
  <c r="F24226" i="1"/>
  <c r="E24226" i="1"/>
  <c r="F24225" i="1"/>
  <c r="E24225" i="1"/>
  <c r="F24224" i="1"/>
  <c r="E24224" i="1"/>
  <c r="F24223" i="1"/>
  <c r="E24223" i="1"/>
  <c r="F24222" i="1"/>
  <c r="E24222" i="1"/>
  <c r="F24221" i="1"/>
  <c r="E24221" i="1"/>
  <c r="F24220" i="1"/>
  <c r="E24220" i="1"/>
  <c r="F24219" i="1"/>
  <c r="E24219" i="1"/>
  <c r="F24218" i="1"/>
  <c r="E24218" i="1"/>
  <c r="F24217" i="1"/>
  <c r="E24217" i="1"/>
  <c r="F24216" i="1"/>
  <c r="E24216" i="1"/>
  <c r="F24215" i="1"/>
  <c r="E24215" i="1"/>
  <c r="F24214" i="1"/>
  <c r="F24213" i="1"/>
  <c r="F24212" i="1"/>
  <c r="E24212" i="1"/>
  <c r="F24211" i="1"/>
  <c r="E24211" i="1"/>
  <c r="F24210" i="1"/>
  <c r="F24209" i="1"/>
  <c r="E24209" i="1"/>
  <c r="F24208" i="1"/>
  <c r="E24208" i="1"/>
  <c r="F24207" i="1"/>
  <c r="F24206" i="1"/>
  <c r="F24205" i="1"/>
  <c r="E24205" i="1"/>
  <c r="F24204" i="1"/>
  <c r="E24204" i="1"/>
  <c r="F24203" i="1"/>
  <c r="E24203" i="1"/>
  <c r="F24202" i="1"/>
  <c r="E24202" i="1"/>
  <c r="F24201" i="1"/>
  <c r="E24201" i="1"/>
  <c r="F24200" i="1"/>
  <c r="E24200" i="1"/>
  <c r="F24199" i="1"/>
  <c r="E24199" i="1"/>
  <c r="F24198" i="1"/>
  <c r="E24198" i="1"/>
  <c r="F24197" i="1"/>
  <c r="E24197" i="1"/>
  <c r="F24196" i="1"/>
  <c r="E24196" i="1"/>
  <c r="F24195" i="1"/>
  <c r="E24195" i="1"/>
  <c r="F24194" i="1"/>
  <c r="E24194" i="1"/>
  <c r="F24193" i="1"/>
  <c r="E24193" i="1"/>
  <c r="F24192" i="1"/>
  <c r="E24192" i="1"/>
  <c r="F24191" i="1"/>
  <c r="E24191" i="1"/>
  <c r="F24190" i="1"/>
  <c r="E24190" i="1"/>
  <c r="F24189" i="1"/>
  <c r="E24189" i="1"/>
  <c r="F24188" i="1"/>
  <c r="E24188" i="1"/>
  <c r="F24187" i="1"/>
  <c r="E24187" i="1"/>
  <c r="F24186" i="1"/>
  <c r="E24186" i="1"/>
  <c r="F24185" i="1"/>
  <c r="E24185" i="1"/>
  <c r="F24184" i="1"/>
  <c r="E24184" i="1"/>
  <c r="F24183" i="1"/>
  <c r="E24183" i="1"/>
  <c r="F24182" i="1"/>
  <c r="E24182" i="1"/>
  <c r="F24181" i="1"/>
  <c r="E24181" i="1"/>
  <c r="F24180" i="1"/>
  <c r="E24180" i="1"/>
  <c r="F24179" i="1"/>
  <c r="E24179" i="1"/>
  <c r="F24178" i="1"/>
  <c r="E24178" i="1"/>
  <c r="F24177" i="1"/>
  <c r="E24177" i="1"/>
  <c r="F24176" i="1"/>
  <c r="E24176" i="1"/>
  <c r="F24175" i="1"/>
  <c r="E24175" i="1"/>
  <c r="F24174" i="1"/>
  <c r="E24174" i="1"/>
  <c r="F24173" i="1"/>
  <c r="E24173" i="1"/>
  <c r="F24172" i="1"/>
  <c r="E24172" i="1"/>
  <c r="F24171" i="1"/>
  <c r="E24171" i="1"/>
  <c r="F24170" i="1"/>
  <c r="E24170" i="1"/>
  <c r="F24169" i="1"/>
  <c r="E24169" i="1"/>
  <c r="F24168" i="1"/>
  <c r="E24168" i="1"/>
  <c r="F24167" i="1"/>
  <c r="E24167" i="1"/>
  <c r="F24166" i="1"/>
  <c r="E24166" i="1"/>
  <c r="F24165" i="1"/>
  <c r="E24165" i="1"/>
  <c r="F24164" i="1"/>
  <c r="E24164" i="1"/>
  <c r="F24163" i="1"/>
  <c r="E24163" i="1"/>
  <c r="F24162" i="1"/>
  <c r="E24162" i="1"/>
  <c r="F24161" i="1"/>
  <c r="E24161" i="1"/>
  <c r="F24160" i="1"/>
  <c r="E24160" i="1"/>
  <c r="F24159" i="1"/>
  <c r="E24159" i="1"/>
  <c r="F24158" i="1"/>
  <c r="E24158" i="1"/>
  <c r="F24157" i="1"/>
  <c r="E24157" i="1"/>
  <c r="F24156" i="1"/>
  <c r="E24156" i="1"/>
  <c r="F24155" i="1"/>
  <c r="E24155" i="1"/>
  <c r="F24154" i="1"/>
  <c r="E24154" i="1"/>
  <c r="F24153" i="1"/>
  <c r="E24153" i="1"/>
  <c r="F24152" i="1"/>
  <c r="E24152" i="1"/>
  <c r="F24151" i="1"/>
  <c r="E24151" i="1"/>
  <c r="F24150" i="1"/>
  <c r="E24150" i="1"/>
  <c r="F24149" i="1"/>
  <c r="E24149" i="1"/>
  <c r="F24148" i="1"/>
  <c r="E24148" i="1"/>
  <c r="F24147" i="1"/>
  <c r="E24147" i="1"/>
  <c r="F24146" i="1"/>
  <c r="E24146" i="1"/>
  <c r="F24145" i="1"/>
  <c r="E24145" i="1"/>
  <c r="F24144" i="1"/>
  <c r="E24144" i="1"/>
  <c r="F24143" i="1"/>
  <c r="E24143" i="1"/>
  <c r="F24142" i="1"/>
  <c r="E24142" i="1"/>
  <c r="F24141" i="1"/>
  <c r="E24141" i="1"/>
  <c r="F24140" i="1"/>
  <c r="E24140" i="1"/>
  <c r="F24139" i="1"/>
  <c r="E24139" i="1"/>
  <c r="F24138" i="1"/>
  <c r="E24138" i="1"/>
  <c r="F24137" i="1"/>
  <c r="E24137" i="1"/>
  <c r="F24136" i="1"/>
  <c r="E24136" i="1"/>
  <c r="F24135" i="1"/>
  <c r="E24135" i="1"/>
  <c r="F24134" i="1"/>
  <c r="E24134" i="1"/>
  <c r="F24133" i="1"/>
  <c r="E24133" i="1"/>
  <c r="F24132" i="1"/>
  <c r="E24132" i="1"/>
  <c r="F24131" i="1"/>
  <c r="E24131" i="1"/>
  <c r="F24130" i="1"/>
  <c r="E24130" i="1"/>
  <c r="F24129" i="1"/>
  <c r="E24129" i="1"/>
  <c r="F24128" i="1"/>
  <c r="E24128" i="1"/>
  <c r="F24127" i="1"/>
  <c r="E24127" i="1"/>
  <c r="F24126" i="1"/>
  <c r="E24126" i="1"/>
  <c r="F24125" i="1"/>
  <c r="E24125" i="1"/>
  <c r="F24124" i="1"/>
  <c r="E24124" i="1"/>
  <c r="F24123" i="1"/>
  <c r="E24123" i="1"/>
  <c r="F24122" i="1"/>
  <c r="E24122" i="1"/>
  <c r="F24121" i="1"/>
  <c r="E24121" i="1"/>
  <c r="F24120" i="1"/>
  <c r="E24120" i="1"/>
  <c r="F24119" i="1"/>
  <c r="E24119" i="1"/>
  <c r="F24118" i="1"/>
  <c r="E24118" i="1"/>
  <c r="F24117" i="1"/>
  <c r="E24117" i="1"/>
  <c r="F24116" i="1"/>
  <c r="E24116" i="1"/>
  <c r="F24115" i="1"/>
  <c r="E24115" i="1"/>
  <c r="F24114" i="1"/>
  <c r="E24114" i="1"/>
  <c r="F24113" i="1"/>
  <c r="E24113" i="1"/>
  <c r="F24112" i="1"/>
  <c r="E24112" i="1"/>
  <c r="F24111" i="1"/>
  <c r="E24111" i="1"/>
  <c r="F24110" i="1"/>
  <c r="E24110" i="1"/>
  <c r="F24109" i="1"/>
  <c r="E24109" i="1"/>
  <c r="F24108" i="1"/>
  <c r="E24108" i="1"/>
  <c r="F24107" i="1"/>
  <c r="E24107" i="1"/>
  <c r="F24106" i="1"/>
  <c r="E24106" i="1"/>
  <c r="F24105" i="1"/>
  <c r="E24105" i="1"/>
  <c r="F24104" i="1"/>
  <c r="E24104" i="1"/>
  <c r="F24103" i="1"/>
  <c r="E24103" i="1"/>
  <c r="F24102" i="1"/>
  <c r="E24102" i="1"/>
  <c r="F24101" i="1"/>
  <c r="E24101" i="1"/>
  <c r="F24100" i="1"/>
  <c r="E24100" i="1"/>
  <c r="F24099" i="1"/>
  <c r="E24099" i="1"/>
  <c r="F24098" i="1"/>
  <c r="E24098" i="1"/>
  <c r="F24097" i="1"/>
  <c r="E24097" i="1"/>
  <c r="F24096" i="1"/>
  <c r="E24096" i="1"/>
  <c r="F24095" i="1"/>
  <c r="E24095" i="1"/>
  <c r="F24094" i="1"/>
  <c r="E24094" i="1"/>
  <c r="F24093" i="1"/>
  <c r="E24093" i="1"/>
  <c r="F24092" i="1"/>
  <c r="E24092" i="1"/>
  <c r="F24091" i="1"/>
  <c r="E24091" i="1"/>
  <c r="F24090" i="1"/>
  <c r="E24090" i="1"/>
  <c r="F24089" i="1"/>
  <c r="E24089" i="1"/>
  <c r="F24088" i="1"/>
  <c r="E24088" i="1"/>
  <c r="F24087" i="1"/>
  <c r="E24087" i="1"/>
  <c r="F24086" i="1"/>
  <c r="E24086" i="1"/>
  <c r="F24085" i="1"/>
  <c r="E24085" i="1"/>
  <c r="F24084" i="1"/>
  <c r="E24084" i="1"/>
  <c r="F24083" i="1"/>
  <c r="E24083" i="1"/>
  <c r="F24082" i="1"/>
  <c r="E24082" i="1"/>
  <c r="F24081" i="1"/>
  <c r="E24081" i="1"/>
  <c r="F24080" i="1"/>
  <c r="E24080" i="1"/>
  <c r="F24079" i="1"/>
  <c r="E24079" i="1"/>
  <c r="F24078" i="1"/>
  <c r="E24078" i="1"/>
  <c r="F24077" i="1"/>
  <c r="E24077" i="1"/>
  <c r="F24076" i="1"/>
  <c r="E24076" i="1"/>
  <c r="F24075" i="1"/>
  <c r="E24075" i="1"/>
  <c r="F24074" i="1"/>
  <c r="E24074" i="1"/>
  <c r="F24073" i="1"/>
  <c r="E24073" i="1"/>
  <c r="F24072" i="1"/>
  <c r="E24072" i="1"/>
  <c r="F24071" i="1"/>
  <c r="E24071" i="1"/>
  <c r="F24070" i="1"/>
  <c r="E24070" i="1"/>
  <c r="F24069" i="1"/>
  <c r="E24069" i="1"/>
  <c r="F24068" i="1"/>
  <c r="E24068" i="1"/>
  <c r="F24067" i="1"/>
  <c r="E24067" i="1"/>
  <c r="F24066" i="1"/>
  <c r="E24066" i="1"/>
  <c r="F24065" i="1"/>
  <c r="E24065" i="1"/>
  <c r="F24064" i="1"/>
  <c r="E24064" i="1"/>
  <c r="F24063" i="1"/>
  <c r="E24063" i="1"/>
  <c r="F24062" i="1"/>
  <c r="E24062" i="1"/>
  <c r="F24061" i="1"/>
  <c r="E24061" i="1"/>
  <c r="F24060" i="1"/>
  <c r="E24060" i="1"/>
  <c r="F24059" i="1"/>
  <c r="E24059" i="1"/>
  <c r="F24058" i="1"/>
  <c r="E24058" i="1"/>
  <c r="F24057" i="1"/>
  <c r="E24057" i="1"/>
  <c r="F24056" i="1"/>
  <c r="E24056" i="1"/>
  <c r="F24055" i="1"/>
  <c r="E24055" i="1"/>
  <c r="F24054" i="1"/>
  <c r="E24054" i="1"/>
  <c r="F24053" i="1"/>
  <c r="E24053" i="1"/>
  <c r="F24052" i="1"/>
  <c r="E24052" i="1"/>
  <c r="F24051" i="1"/>
  <c r="E24051" i="1"/>
  <c r="F24050" i="1"/>
  <c r="E24050" i="1"/>
  <c r="F24049" i="1"/>
  <c r="E24049" i="1"/>
  <c r="F24048" i="1"/>
  <c r="E24048" i="1"/>
  <c r="F24047" i="1"/>
  <c r="E24047" i="1"/>
  <c r="F24046" i="1"/>
  <c r="E24046" i="1"/>
  <c r="F24045" i="1"/>
  <c r="E24045" i="1"/>
  <c r="F24044" i="1"/>
  <c r="E24044" i="1"/>
  <c r="F24043" i="1"/>
  <c r="E24043" i="1"/>
  <c r="F24042" i="1"/>
  <c r="E24042" i="1"/>
  <c r="F24041" i="1"/>
  <c r="E24041" i="1"/>
  <c r="F24040" i="1"/>
  <c r="E24040" i="1"/>
  <c r="F24039" i="1"/>
  <c r="E24039" i="1"/>
  <c r="F24038" i="1"/>
  <c r="E24038" i="1"/>
  <c r="F24037" i="1"/>
  <c r="E24037" i="1"/>
  <c r="F24036" i="1"/>
  <c r="E24036" i="1"/>
  <c r="F24035" i="1"/>
  <c r="E24035" i="1"/>
  <c r="F24034" i="1"/>
  <c r="E24034" i="1"/>
  <c r="F24033" i="1"/>
  <c r="E24033" i="1"/>
  <c r="F24032" i="1"/>
  <c r="E24032" i="1"/>
  <c r="F24031" i="1"/>
  <c r="E24031" i="1"/>
  <c r="F24030" i="1"/>
  <c r="E24030" i="1"/>
  <c r="F24029" i="1"/>
  <c r="E24029" i="1"/>
  <c r="F24028" i="1"/>
  <c r="E24028" i="1"/>
  <c r="F24027" i="1"/>
  <c r="E24027" i="1"/>
  <c r="F24026" i="1"/>
  <c r="E24026" i="1"/>
  <c r="F24025" i="1"/>
  <c r="E24025" i="1"/>
  <c r="F24024" i="1"/>
  <c r="E24024" i="1"/>
  <c r="F24023" i="1"/>
  <c r="E24023" i="1"/>
  <c r="F24022" i="1"/>
  <c r="E24022" i="1"/>
  <c r="F24021" i="1"/>
  <c r="E24021" i="1"/>
  <c r="F24020" i="1"/>
  <c r="E24020" i="1"/>
  <c r="F24019" i="1"/>
  <c r="E24019" i="1"/>
  <c r="F24018" i="1"/>
  <c r="E24018" i="1"/>
  <c r="F24017" i="1"/>
  <c r="E24017" i="1"/>
  <c r="F24016" i="1"/>
  <c r="E24016" i="1"/>
  <c r="F24015" i="1"/>
  <c r="E24015" i="1"/>
  <c r="F24014" i="1"/>
  <c r="E24014" i="1"/>
  <c r="F24013" i="1"/>
  <c r="E24013" i="1"/>
  <c r="F24012" i="1"/>
  <c r="E24012" i="1"/>
  <c r="F24011" i="1"/>
  <c r="E24011" i="1"/>
  <c r="F24010" i="1"/>
  <c r="E24010" i="1"/>
  <c r="F24009" i="1"/>
  <c r="E24009" i="1"/>
  <c r="F24008" i="1"/>
  <c r="E24008" i="1"/>
  <c r="F24007" i="1"/>
  <c r="E24007" i="1"/>
  <c r="F24006" i="1"/>
  <c r="E24006" i="1"/>
  <c r="F24005" i="1"/>
  <c r="E24005" i="1"/>
  <c r="F24004" i="1"/>
  <c r="E24004" i="1"/>
  <c r="F24003" i="1"/>
  <c r="E24003" i="1"/>
  <c r="F24002" i="1"/>
  <c r="E24002" i="1"/>
  <c r="F24001" i="1"/>
  <c r="E24001" i="1"/>
  <c r="F24000" i="1"/>
  <c r="E24000" i="1"/>
  <c r="F23999" i="1"/>
  <c r="E23999" i="1"/>
  <c r="F23998" i="1"/>
  <c r="E23998" i="1"/>
  <c r="F23997" i="1"/>
  <c r="E23997" i="1"/>
  <c r="F23996" i="1"/>
  <c r="E23996" i="1"/>
  <c r="F23995" i="1"/>
  <c r="E23995" i="1"/>
  <c r="F23994" i="1"/>
  <c r="E23994" i="1"/>
  <c r="F23993" i="1"/>
  <c r="E23993" i="1"/>
  <c r="F23992" i="1"/>
  <c r="E23992" i="1"/>
  <c r="F23991" i="1"/>
  <c r="E23991" i="1"/>
  <c r="F23990" i="1"/>
  <c r="E23990" i="1"/>
  <c r="F23989" i="1"/>
  <c r="E23989" i="1"/>
  <c r="F23988" i="1"/>
  <c r="E23988" i="1"/>
  <c r="F23987" i="1"/>
  <c r="E23987" i="1"/>
  <c r="F23986" i="1"/>
  <c r="E23986" i="1"/>
  <c r="F23985" i="1"/>
  <c r="E23985" i="1"/>
  <c r="F23984" i="1"/>
  <c r="E23984" i="1"/>
  <c r="F23983" i="1"/>
  <c r="E23983" i="1"/>
  <c r="F23982" i="1"/>
  <c r="E23982" i="1"/>
  <c r="F23981" i="1"/>
  <c r="E23981" i="1"/>
  <c r="F23980" i="1"/>
  <c r="E23980" i="1"/>
  <c r="F23979" i="1"/>
  <c r="E23979" i="1"/>
  <c r="F23978" i="1"/>
  <c r="E23978" i="1"/>
  <c r="F23977" i="1"/>
  <c r="E23977" i="1"/>
  <c r="F23976" i="1"/>
  <c r="E23976" i="1"/>
  <c r="F23975" i="1"/>
  <c r="E23975" i="1"/>
  <c r="F23974" i="1"/>
  <c r="E23974" i="1"/>
  <c r="F23973" i="1"/>
  <c r="E23973" i="1"/>
  <c r="F23972" i="1"/>
  <c r="E23972" i="1"/>
  <c r="F23971" i="1"/>
  <c r="E23971" i="1"/>
  <c r="F23970" i="1"/>
  <c r="E23970" i="1"/>
  <c r="F23969" i="1"/>
  <c r="E23969" i="1"/>
  <c r="F23968" i="1"/>
  <c r="E23968" i="1"/>
  <c r="F23967" i="1"/>
  <c r="E23967" i="1"/>
  <c r="F23966" i="1"/>
  <c r="E23966" i="1"/>
  <c r="F23965" i="1"/>
  <c r="E23965" i="1"/>
  <c r="F23964" i="1"/>
  <c r="E23964" i="1"/>
  <c r="F23963" i="1"/>
  <c r="E23963" i="1"/>
  <c r="F23962" i="1"/>
  <c r="E23962" i="1"/>
  <c r="F23961" i="1"/>
  <c r="E23961" i="1"/>
  <c r="F23960" i="1"/>
  <c r="E23960" i="1"/>
  <c r="F23959" i="1"/>
  <c r="E23959" i="1"/>
  <c r="F23958" i="1"/>
  <c r="E23958" i="1"/>
  <c r="F23957" i="1"/>
  <c r="E23957" i="1"/>
  <c r="F23956" i="1"/>
  <c r="E23956" i="1"/>
  <c r="F23955" i="1"/>
  <c r="E23955" i="1"/>
  <c r="F23954" i="1"/>
  <c r="E23954" i="1"/>
  <c r="F23953" i="1"/>
  <c r="E23953" i="1"/>
  <c r="F23952" i="1"/>
  <c r="E23952" i="1"/>
  <c r="F23951" i="1"/>
  <c r="E23951" i="1"/>
  <c r="F23950" i="1"/>
  <c r="E23950" i="1"/>
  <c r="F23949" i="1"/>
  <c r="E23949" i="1"/>
  <c r="F23948" i="1"/>
  <c r="E23948" i="1"/>
  <c r="F23947" i="1"/>
  <c r="E23947" i="1"/>
  <c r="F23946" i="1"/>
  <c r="E23946" i="1"/>
  <c r="F23945" i="1"/>
  <c r="E23945" i="1"/>
  <c r="F23944" i="1"/>
  <c r="E23944" i="1"/>
  <c r="F23943" i="1"/>
  <c r="E23943" i="1"/>
  <c r="F23942" i="1"/>
  <c r="E23942" i="1"/>
  <c r="F23941" i="1"/>
  <c r="E23941" i="1"/>
  <c r="F23940" i="1"/>
  <c r="E23940" i="1"/>
  <c r="F23939" i="1"/>
  <c r="E23939" i="1"/>
  <c r="F23938" i="1"/>
  <c r="E23938" i="1"/>
  <c r="F23937" i="1"/>
  <c r="E23937" i="1"/>
  <c r="F23936" i="1"/>
  <c r="E23936" i="1"/>
  <c r="F23935" i="1"/>
  <c r="E23935" i="1"/>
  <c r="F23934" i="1"/>
  <c r="E23934" i="1"/>
  <c r="F23933" i="1"/>
  <c r="E23933" i="1"/>
  <c r="F23932" i="1"/>
  <c r="E23932" i="1"/>
  <c r="F23931" i="1"/>
  <c r="E23931" i="1"/>
  <c r="F23930" i="1"/>
  <c r="E23930" i="1"/>
  <c r="F23929" i="1"/>
  <c r="E23929" i="1"/>
  <c r="F23928" i="1"/>
  <c r="E23928" i="1"/>
  <c r="F23927" i="1"/>
  <c r="E23927" i="1"/>
  <c r="F23926" i="1"/>
  <c r="E23926" i="1"/>
  <c r="F23925" i="1"/>
  <c r="E23925" i="1"/>
  <c r="F23924" i="1"/>
  <c r="E23924" i="1"/>
  <c r="F23923" i="1"/>
  <c r="E23923" i="1"/>
  <c r="F23922" i="1"/>
  <c r="E23922" i="1"/>
  <c r="F23921" i="1"/>
  <c r="E23921" i="1"/>
  <c r="F23920" i="1"/>
  <c r="E23920" i="1"/>
  <c r="F23919" i="1"/>
  <c r="E23919" i="1"/>
  <c r="F23918" i="1"/>
  <c r="E23918" i="1"/>
  <c r="F23917" i="1"/>
  <c r="E23917" i="1"/>
  <c r="F23916" i="1"/>
  <c r="E23916" i="1"/>
  <c r="F23915" i="1"/>
  <c r="E23915" i="1"/>
  <c r="F23914" i="1"/>
  <c r="E23914" i="1"/>
  <c r="F23913" i="1"/>
  <c r="E23913" i="1"/>
  <c r="F23912" i="1"/>
  <c r="E23912" i="1"/>
  <c r="F23911" i="1"/>
  <c r="E23911" i="1"/>
  <c r="F23910" i="1"/>
  <c r="E23910" i="1"/>
  <c r="F23909" i="1"/>
  <c r="E23909" i="1"/>
  <c r="F23908" i="1"/>
  <c r="E23908" i="1"/>
  <c r="F23907" i="1"/>
  <c r="E23907" i="1"/>
  <c r="F23906" i="1"/>
  <c r="E23906" i="1"/>
  <c r="F23905" i="1"/>
  <c r="E23905" i="1"/>
  <c r="F23904" i="1"/>
  <c r="E23904" i="1"/>
  <c r="F23903" i="1"/>
  <c r="E23903" i="1"/>
  <c r="F23902" i="1"/>
  <c r="E23902" i="1"/>
  <c r="F23901" i="1"/>
  <c r="E23901" i="1"/>
  <c r="F23900" i="1"/>
  <c r="E23900" i="1"/>
  <c r="F23899" i="1"/>
  <c r="E23899" i="1"/>
  <c r="F23898" i="1"/>
  <c r="E23898" i="1"/>
  <c r="F23897" i="1"/>
  <c r="E23897" i="1"/>
  <c r="F23896" i="1"/>
  <c r="E23896" i="1"/>
  <c r="F23895" i="1"/>
  <c r="E23895" i="1"/>
  <c r="F23894" i="1"/>
  <c r="E23894" i="1"/>
  <c r="F23893" i="1"/>
  <c r="E23893" i="1"/>
  <c r="F23892" i="1"/>
  <c r="E23892" i="1"/>
  <c r="F23891" i="1"/>
  <c r="E23891" i="1"/>
  <c r="F23890" i="1"/>
  <c r="E23890" i="1"/>
  <c r="F23889" i="1"/>
  <c r="E23889" i="1"/>
  <c r="F23888" i="1"/>
  <c r="E23888" i="1"/>
  <c r="F23887" i="1"/>
  <c r="E23887" i="1"/>
  <c r="F23886" i="1"/>
  <c r="E23886" i="1"/>
  <c r="F23885" i="1"/>
  <c r="E23885" i="1"/>
  <c r="F23884" i="1"/>
  <c r="E23884" i="1"/>
  <c r="F23883" i="1"/>
  <c r="E23883" i="1"/>
  <c r="F23882" i="1"/>
  <c r="E23882" i="1"/>
  <c r="F23881" i="1"/>
  <c r="E23881" i="1"/>
  <c r="F23880" i="1"/>
  <c r="E23880" i="1"/>
  <c r="F23879" i="1"/>
  <c r="E23879" i="1"/>
  <c r="F23878" i="1"/>
  <c r="E23878" i="1"/>
  <c r="F23877" i="1"/>
  <c r="E23877" i="1"/>
  <c r="F23876" i="1"/>
  <c r="E23876" i="1"/>
  <c r="F23875" i="1"/>
  <c r="E23875" i="1"/>
  <c r="F23874" i="1"/>
  <c r="E23874" i="1"/>
  <c r="F23873" i="1"/>
  <c r="E23873" i="1"/>
  <c r="F23872" i="1"/>
  <c r="E23872" i="1"/>
  <c r="F23871" i="1"/>
  <c r="E23871" i="1"/>
  <c r="F23870" i="1"/>
  <c r="E23870" i="1"/>
  <c r="F23869" i="1"/>
  <c r="E23869" i="1"/>
  <c r="F23868" i="1"/>
  <c r="E23868" i="1"/>
  <c r="F23867" i="1"/>
  <c r="E23867" i="1"/>
  <c r="F23866" i="1"/>
  <c r="E23866" i="1"/>
  <c r="F23865" i="1"/>
  <c r="E23865" i="1"/>
  <c r="F23864" i="1"/>
  <c r="E23864" i="1"/>
  <c r="F23863" i="1"/>
  <c r="E23863" i="1"/>
  <c r="F23862" i="1"/>
  <c r="E23862" i="1"/>
  <c r="F23861" i="1"/>
  <c r="E23861" i="1"/>
  <c r="F23860" i="1"/>
  <c r="E23860" i="1"/>
  <c r="F23859" i="1"/>
  <c r="E23859" i="1"/>
  <c r="F23858" i="1"/>
  <c r="E23858" i="1"/>
  <c r="F23857" i="1"/>
  <c r="E23857" i="1"/>
  <c r="F23856" i="1"/>
  <c r="E23856" i="1"/>
  <c r="F23855" i="1"/>
  <c r="E23855" i="1"/>
  <c r="F23854" i="1"/>
  <c r="E23854" i="1"/>
  <c r="F23853" i="1"/>
  <c r="E23853" i="1"/>
  <c r="F23852" i="1"/>
  <c r="E23852" i="1"/>
  <c r="F23851" i="1"/>
  <c r="E23851" i="1"/>
  <c r="F23850" i="1"/>
  <c r="E23850" i="1"/>
  <c r="F23849" i="1"/>
  <c r="E23849" i="1"/>
  <c r="F23848" i="1"/>
  <c r="E23848" i="1"/>
  <c r="F23847" i="1"/>
  <c r="E23847" i="1"/>
  <c r="F23846" i="1"/>
  <c r="E23846" i="1"/>
  <c r="F23845" i="1"/>
  <c r="E23845" i="1"/>
  <c r="F23844" i="1"/>
  <c r="E23844" i="1"/>
  <c r="F23843" i="1"/>
  <c r="E23843" i="1"/>
  <c r="F23842" i="1"/>
  <c r="E23842" i="1"/>
  <c r="F23841" i="1"/>
  <c r="E23841" i="1"/>
  <c r="F23840" i="1"/>
  <c r="E23840" i="1"/>
  <c r="F23839" i="1"/>
  <c r="E23839" i="1"/>
  <c r="F23838" i="1"/>
  <c r="E23838" i="1"/>
  <c r="F23837" i="1"/>
  <c r="E23837" i="1"/>
  <c r="F23836" i="1"/>
  <c r="E23836" i="1"/>
  <c r="F23835" i="1"/>
  <c r="E23835" i="1"/>
  <c r="F23834" i="1"/>
  <c r="E23834" i="1"/>
  <c r="F23833" i="1"/>
  <c r="E23833" i="1"/>
  <c r="F23832" i="1"/>
  <c r="E23832" i="1"/>
  <c r="F23831" i="1"/>
  <c r="E23831" i="1"/>
  <c r="F23830" i="1"/>
  <c r="E23830" i="1"/>
  <c r="F23829" i="1"/>
  <c r="E23829" i="1"/>
  <c r="F23828" i="1"/>
  <c r="E23828" i="1"/>
  <c r="F23827" i="1"/>
  <c r="E23827" i="1"/>
  <c r="F23826" i="1"/>
  <c r="E23826" i="1"/>
  <c r="F23825" i="1"/>
  <c r="E23825" i="1"/>
  <c r="F23824" i="1"/>
  <c r="E23824" i="1"/>
  <c r="F23823" i="1"/>
  <c r="E23823" i="1"/>
  <c r="F23822" i="1"/>
  <c r="E23822" i="1"/>
  <c r="F23821" i="1"/>
  <c r="E23821" i="1"/>
  <c r="F23820" i="1"/>
  <c r="E23820" i="1"/>
  <c r="F23819" i="1"/>
  <c r="E23819" i="1"/>
  <c r="F23818" i="1"/>
  <c r="E23818" i="1"/>
  <c r="F23817" i="1"/>
  <c r="E23817" i="1"/>
  <c r="F23816" i="1"/>
  <c r="E23816" i="1"/>
  <c r="F23815" i="1"/>
  <c r="E23815" i="1"/>
  <c r="F23814" i="1"/>
  <c r="E23814" i="1"/>
  <c r="F23813" i="1"/>
  <c r="E23813" i="1"/>
  <c r="F23812" i="1"/>
  <c r="E23812" i="1"/>
  <c r="F23811" i="1"/>
  <c r="E23811" i="1"/>
  <c r="F23810" i="1"/>
  <c r="E23810" i="1"/>
  <c r="F23809" i="1"/>
  <c r="E23809" i="1"/>
  <c r="F23808" i="1"/>
  <c r="E23808" i="1"/>
  <c r="F23807" i="1"/>
  <c r="E23807" i="1"/>
  <c r="F23806" i="1"/>
  <c r="E23806" i="1"/>
  <c r="F23805" i="1"/>
  <c r="E23805" i="1"/>
  <c r="F23804" i="1"/>
  <c r="E23804" i="1"/>
  <c r="F23803" i="1"/>
  <c r="E23803" i="1"/>
  <c r="F23802" i="1"/>
  <c r="E23802" i="1"/>
  <c r="F23801" i="1"/>
  <c r="E23801" i="1"/>
  <c r="F23800" i="1"/>
  <c r="E23800" i="1"/>
  <c r="F23799" i="1"/>
  <c r="E23799" i="1"/>
  <c r="F23798" i="1"/>
  <c r="E23798" i="1"/>
  <c r="F23797" i="1"/>
  <c r="E23797" i="1"/>
  <c r="F23796" i="1"/>
  <c r="E23796" i="1"/>
  <c r="F23795" i="1"/>
  <c r="E23795" i="1"/>
  <c r="F23794" i="1"/>
  <c r="E23794" i="1"/>
  <c r="F23793" i="1"/>
  <c r="E23793" i="1"/>
  <c r="F23792" i="1"/>
  <c r="E23792" i="1"/>
  <c r="F23791" i="1"/>
  <c r="E23791" i="1"/>
  <c r="F23790" i="1"/>
  <c r="E23790" i="1"/>
  <c r="F23789" i="1"/>
  <c r="E23789" i="1"/>
  <c r="F23788" i="1"/>
  <c r="E23788" i="1"/>
  <c r="F23787" i="1"/>
  <c r="E23787" i="1"/>
  <c r="F23786" i="1"/>
  <c r="E23786" i="1"/>
  <c r="F23785" i="1"/>
  <c r="E23785" i="1"/>
  <c r="F23784" i="1"/>
  <c r="E23784" i="1"/>
  <c r="F23783" i="1"/>
  <c r="E23783" i="1"/>
  <c r="F23782" i="1"/>
  <c r="E23782" i="1"/>
  <c r="F23781" i="1"/>
  <c r="E23781" i="1"/>
  <c r="F23780" i="1"/>
  <c r="E23780" i="1"/>
  <c r="F23779" i="1"/>
  <c r="E23779" i="1"/>
  <c r="F23778" i="1"/>
  <c r="E23778" i="1"/>
  <c r="F23777" i="1"/>
  <c r="E23777" i="1"/>
  <c r="F23776" i="1"/>
  <c r="E23776" i="1"/>
  <c r="F23775" i="1"/>
  <c r="E23775" i="1"/>
  <c r="F23774" i="1"/>
  <c r="E23774" i="1"/>
  <c r="F23773" i="1"/>
  <c r="E23773" i="1"/>
  <c r="F23772" i="1"/>
  <c r="E23772" i="1"/>
  <c r="F23771" i="1"/>
  <c r="E23771" i="1"/>
  <c r="F23770" i="1"/>
  <c r="E23770" i="1"/>
  <c r="F23769" i="1"/>
  <c r="E23769" i="1"/>
  <c r="F23768" i="1"/>
  <c r="E23768" i="1"/>
  <c r="F23767" i="1"/>
  <c r="E23767" i="1"/>
  <c r="F23766" i="1"/>
  <c r="E23766" i="1"/>
  <c r="F23765" i="1"/>
  <c r="E23765" i="1"/>
  <c r="F23764" i="1"/>
  <c r="E23764" i="1"/>
  <c r="F23763" i="1"/>
  <c r="E23763" i="1"/>
  <c r="F23762" i="1"/>
  <c r="E23762" i="1"/>
  <c r="F23761" i="1"/>
  <c r="E23761" i="1"/>
  <c r="F23760" i="1"/>
  <c r="E23760" i="1"/>
  <c r="F23759" i="1"/>
  <c r="E23759" i="1"/>
  <c r="F23758" i="1"/>
  <c r="E23758" i="1"/>
  <c r="F23757" i="1"/>
  <c r="E23757" i="1"/>
  <c r="F23756" i="1"/>
  <c r="E23756" i="1"/>
  <c r="F23755" i="1"/>
  <c r="E23755" i="1"/>
  <c r="F23754" i="1"/>
  <c r="E23754" i="1"/>
  <c r="F23753" i="1"/>
  <c r="E23753" i="1"/>
  <c r="F23752" i="1"/>
  <c r="E23752" i="1"/>
  <c r="F23751" i="1"/>
  <c r="E23751" i="1"/>
  <c r="F23750" i="1"/>
  <c r="E23750" i="1"/>
  <c r="F23749" i="1"/>
  <c r="E23749" i="1"/>
  <c r="F23748" i="1"/>
  <c r="E23748" i="1"/>
  <c r="F23747" i="1"/>
  <c r="E23747" i="1"/>
  <c r="F23746" i="1"/>
  <c r="E23746" i="1"/>
  <c r="F23745" i="1"/>
  <c r="E23745" i="1"/>
  <c r="F23744" i="1"/>
  <c r="E23744" i="1"/>
  <c r="F23743" i="1"/>
  <c r="E23743" i="1"/>
  <c r="F23742" i="1"/>
  <c r="E23742" i="1"/>
  <c r="F23741" i="1"/>
  <c r="E23741" i="1"/>
  <c r="F23740" i="1"/>
  <c r="E23740" i="1"/>
  <c r="F23739" i="1"/>
  <c r="E23739" i="1"/>
  <c r="F23738" i="1"/>
  <c r="E23738" i="1"/>
  <c r="F23737" i="1"/>
  <c r="E23737" i="1"/>
  <c r="F23736" i="1"/>
  <c r="E23736" i="1"/>
  <c r="F23735" i="1"/>
  <c r="E23735" i="1"/>
  <c r="F23734" i="1"/>
  <c r="E23734" i="1"/>
  <c r="F23733" i="1"/>
  <c r="E23733" i="1"/>
  <c r="F23732" i="1"/>
  <c r="E23732" i="1"/>
  <c r="F23731" i="1"/>
  <c r="E23731" i="1"/>
  <c r="F23730" i="1"/>
  <c r="E23730" i="1"/>
  <c r="F23729" i="1"/>
  <c r="E23729" i="1"/>
  <c r="F23728" i="1"/>
  <c r="E23728" i="1"/>
  <c r="F23727" i="1"/>
  <c r="E23727" i="1"/>
  <c r="F23726" i="1"/>
  <c r="E23726" i="1"/>
  <c r="F23725" i="1"/>
  <c r="E23725" i="1"/>
  <c r="F23724" i="1"/>
  <c r="E23724" i="1"/>
  <c r="F23723" i="1"/>
  <c r="E23723" i="1"/>
  <c r="F23722" i="1"/>
  <c r="E23722" i="1"/>
  <c r="F23721" i="1"/>
  <c r="E23721" i="1"/>
  <c r="F23720" i="1"/>
  <c r="E23720" i="1"/>
  <c r="F23719" i="1"/>
  <c r="E23719" i="1"/>
  <c r="F23718" i="1"/>
  <c r="E23718" i="1"/>
  <c r="F23717" i="1"/>
  <c r="E23717" i="1"/>
  <c r="F23716" i="1"/>
  <c r="E23716" i="1"/>
  <c r="F23715" i="1"/>
  <c r="E23715" i="1"/>
  <c r="F23714" i="1"/>
  <c r="E23714" i="1"/>
  <c r="F23713" i="1"/>
  <c r="E23713" i="1"/>
  <c r="F23712" i="1"/>
  <c r="E23712" i="1"/>
  <c r="F23711" i="1"/>
  <c r="E23711" i="1"/>
  <c r="F23710" i="1"/>
  <c r="E23710" i="1"/>
  <c r="F23709" i="1"/>
  <c r="E23709" i="1"/>
  <c r="F23708" i="1"/>
  <c r="E23708" i="1"/>
  <c r="F23707" i="1"/>
  <c r="E23707" i="1"/>
  <c r="F23706" i="1"/>
  <c r="E23706" i="1"/>
  <c r="F23705" i="1"/>
  <c r="E23705" i="1"/>
  <c r="F23704" i="1"/>
  <c r="E23704" i="1"/>
  <c r="F23703" i="1"/>
  <c r="E23703" i="1"/>
  <c r="F23702" i="1"/>
  <c r="E23702" i="1"/>
  <c r="F23701" i="1"/>
  <c r="E23701" i="1"/>
  <c r="F23700" i="1"/>
  <c r="E23700" i="1"/>
  <c r="F23699" i="1"/>
  <c r="E23699" i="1"/>
  <c r="F23698" i="1"/>
  <c r="E23698" i="1"/>
  <c r="F23697" i="1"/>
  <c r="E23697" i="1"/>
  <c r="F23696" i="1"/>
  <c r="E23696" i="1"/>
  <c r="F23695" i="1"/>
  <c r="E23695" i="1"/>
  <c r="F23694" i="1"/>
  <c r="E23694" i="1"/>
  <c r="F23693" i="1"/>
  <c r="E23693" i="1"/>
  <c r="F23692" i="1"/>
  <c r="E23692" i="1"/>
  <c r="F23691" i="1"/>
  <c r="E23691" i="1"/>
  <c r="F23690" i="1"/>
  <c r="E23690" i="1"/>
  <c r="F23689" i="1"/>
  <c r="E23689" i="1"/>
  <c r="F23688" i="1"/>
  <c r="E23688" i="1"/>
  <c r="F23687" i="1"/>
  <c r="E23687" i="1"/>
  <c r="F23686" i="1"/>
  <c r="E23686" i="1"/>
  <c r="F23685" i="1"/>
  <c r="E23685" i="1"/>
  <c r="F23684" i="1"/>
  <c r="E23684" i="1"/>
  <c r="F23683" i="1"/>
  <c r="E23683" i="1"/>
  <c r="F23682" i="1"/>
  <c r="E23682" i="1"/>
  <c r="F23681" i="1"/>
  <c r="E23681" i="1"/>
  <c r="F23680" i="1"/>
  <c r="E23680" i="1"/>
  <c r="F23679" i="1"/>
  <c r="E23679" i="1"/>
  <c r="F23678" i="1"/>
  <c r="E23678" i="1"/>
  <c r="F23677" i="1"/>
  <c r="E23677" i="1"/>
  <c r="F23676" i="1"/>
  <c r="E23676" i="1"/>
  <c r="F23675" i="1"/>
  <c r="E23675" i="1"/>
  <c r="F23674" i="1"/>
  <c r="E23674" i="1"/>
  <c r="F23673" i="1"/>
  <c r="E23673" i="1"/>
  <c r="F23672" i="1"/>
  <c r="E23672" i="1"/>
  <c r="F23671" i="1"/>
  <c r="E23671" i="1"/>
  <c r="F23670" i="1"/>
  <c r="E23670" i="1"/>
  <c r="F23669" i="1"/>
  <c r="E23669" i="1"/>
  <c r="F23668" i="1"/>
  <c r="E23668" i="1"/>
  <c r="F23667" i="1"/>
  <c r="E23667" i="1"/>
  <c r="F23666" i="1"/>
  <c r="E23666" i="1"/>
  <c r="F23665" i="1"/>
  <c r="E23665" i="1"/>
  <c r="F23664" i="1"/>
  <c r="E23664" i="1"/>
  <c r="F23663" i="1"/>
  <c r="E23663" i="1"/>
  <c r="F23662" i="1"/>
  <c r="E23662" i="1"/>
  <c r="F23661" i="1"/>
  <c r="E23661" i="1"/>
  <c r="F23660" i="1"/>
  <c r="E23660" i="1"/>
  <c r="F23659" i="1"/>
  <c r="E23659" i="1"/>
  <c r="F23658" i="1"/>
  <c r="E23658" i="1"/>
  <c r="F23657" i="1"/>
  <c r="E23657" i="1"/>
  <c r="F23656" i="1"/>
  <c r="E23656" i="1"/>
  <c r="F23655" i="1"/>
  <c r="E23655" i="1"/>
  <c r="F23654" i="1"/>
  <c r="E23654" i="1"/>
  <c r="F23653" i="1"/>
  <c r="E23653" i="1"/>
  <c r="F23652" i="1"/>
  <c r="E23652" i="1"/>
  <c r="F23651" i="1"/>
  <c r="E23651" i="1"/>
  <c r="F23650" i="1"/>
  <c r="E23650" i="1"/>
  <c r="F23649" i="1"/>
  <c r="E23649" i="1"/>
  <c r="F23648" i="1"/>
  <c r="E23648" i="1"/>
  <c r="F23647" i="1"/>
  <c r="E23647" i="1"/>
  <c r="F23646" i="1"/>
  <c r="E23646" i="1"/>
  <c r="F23645" i="1"/>
  <c r="E23645" i="1"/>
  <c r="F23644" i="1"/>
  <c r="E23644" i="1"/>
  <c r="F23643" i="1"/>
  <c r="E23643" i="1"/>
  <c r="F23642" i="1"/>
  <c r="E23642" i="1"/>
  <c r="F23641" i="1"/>
  <c r="E23641" i="1"/>
  <c r="F23640" i="1"/>
  <c r="E23640" i="1"/>
  <c r="F23639" i="1"/>
  <c r="E23639" i="1"/>
  <c r="F23638" i="1"/>
  <c r="E23638" i="1"/>
  <c r="F23637" i="1"/>
  <c r="E23637" i="1"/>
  <c r="F23636" i="1"/>
  <c r="E23636" i="1"/>
  <c r="F23635" i="1"/>
  <c r="E23635" i="1"/>
  <c r="F23634" i="1"/>
  <c r="E23634" i="1"/>
  <c r="F23633" i="1"/>
  <c r="E23633" i="1"/>
  <c r="F23632" i="1"/>
  <c r="E23632" i="1"/>
  <c r="F23631" i="1"/>
  <c r="E23631" i="1"/>
  <c r="F23630" i="1"/>
  <c r="E23630" i="1"/>
  <c r="F23629" i="1"/>
  <c r="E23629" i="1"/>
  <c r="F23628" i="1"/>
  <c r="E23628" i="1"/>
  <c r="F23627" i="1"/>
  <c r="E23627" i="1"/>
  <c r="F23626" i="1"/>
  <c r="E23626" i="1"/>
  <c r="F23625" i="1"/>
  <c r="E23625" i="1"/>
  <c r="F23624" i="1"/>
  <c r="E23624" i="1"/>
  <c r="F23623" i="1"/>
  <c r="E23623" i="1"/>
  <c r="F23622" i="1"/>
  <c r="E23622" i="1"/>
  <c r="F23621" i="1"/>
  <c r="E23621" i="1"/>
  <c r="F23620" i="1"/>
  <c r="E23620" i="1"/>
  <c r="F23619" i="1"/>
  <c r="E23619" i="1"/>
  <c r="F23618" i="1"/>
  <c r="E23618" i="1"/>
  <c r="F23617" i="1"/>
  <c r="E23617" i="1"/>
  <c r="F23616" i="1"/>
  <c r="E23616" i="1"/>
  <c r="F23615" i="1"/>
  <c r="E23615" i="1"/>
  <c r="F23614" i="1"/>
  <c r="E23614" i="1"/>
  <c r="F23613" i="1"/>
  <c r="E23613" i="1"/>
  <c r="F23612" i="1"/>
  <c r="E23612" i="1"/>
  <c r="F23611" i="1"/>
  <c r="E23611" i="1"/>
  <c r="F23610" i="1"/>
  <c r="E23610" i="1"/>
  <c r="F23609" i="1"/>
  <c r="E23609" i="1"/>
  <c r="F23608" i="1"/>
  <c r="E23608" i="1"/>
  <c r="F23607" i="1"/>
  <c r="E23607" i="1"/>
  <c r="F23606" i="1"/>
  <c r="E23606" i="1"/>
  <c r="F23605" i="1"/>
  <c r="E23605" i="1"/>
  <c r="F23604" i="1"/>
  <c r="E23604" i="1"/>
  <c r="F23603" i="1"/>
  <c r="E23603" i="1"/>
  <c r="F23602" i="1"/>
  <c r="E23602" i="1"/>
  <c r="F23601" i="1"/>
  <c r="E23601" i="1"/>
  <c r="F23600" i="1"/>
  <c r="E23600" i="1"/>
  <c r="F23599" i="1"/>
  <c r="E23599" i="1"/>
  <c r="F23598" i="1"/>
  <c r="E23598" i="1"/>
  <c r="F23597" i="1"/>
  <c r="E23597" i="1"/>
  <c r="F23596" i="1"/>
  <c r="E23596" i="1"/>
  <c r="F23595" i="1"/>
  <c r="E23595" i="1"/>
  <c r="F23594" i="1"/>
  <c r="E23594" i="1"/>
  <c r="F23593" i="1"/>
  <c r="E23593" i="1"/>
  <c r="F23592" i="1"/>
  <c r="E23592" i="1"/>
  <c r="F23591" i="1"/>
  <c r="E23591" i="1"/>
  <c r="F23590" i="1"/>
  <c r="E23590" i="1"/>
  <c r="F23589" i="1"/>
  <c r="E23589" i="1"/>
  <c r="F23588" i="1"/>
  <c r="E23588" i="1"/>
  <c r="F23587" i="1"/>
  <c r="E23587" i="1"/>
  <c r="F23586" i="1"/>
  <c r="E23586" i="1"/>
  <c r="F23585" i="1"/>
  <c r="E23585" i="1"/>
  <c r="F23584" i="1"/>
  <c r="E23584" i="1"/>
  <c r="F23583" i="1"/>
  <c r="E23583" i="1"/>
  <c r="F23582" i="1"/>
  <c r="E23582" i="1"/>
  <c r="F23581" i="1"/>
  <c r="E23581" i="1"/>
  <c r="F23580" i="1"/>
  <c r="E23580" i="1"/>
  <c r="F23579" i="1"/>
  <c r="E23579" i="1"/>
  <c r="F23578" i="1"/>
  <c r="E23578" i="1"/>
  <c r="F23577" i="1"/>
  <c r="E23577" i="1"/>
  <c r="F23576" i="1"/>
  <c r="E23576" i="1"/>
  <c r="F23575" i="1"/>
  <c r="E23575" i="1"/>
  <c r="F23574" i="1"/>
  <c r="E23574" i="1"/>
  <c r="F23573" i="1"/>
  <c r="E23573" i="1"/>
  <c r="F23572" i="1"/>
  <c r="E23572" i="1"/>
  <c r="F23571" i="1"/>
  <c r="E23571" i="1"/>
  <c r="F23570" i="1"/>
  <c r="E23570" i="1"/>
  <c r="F23569" i="1"/>
  <c r="E23569" i="1"/>
  <c r="F23568" i="1"/>
  <c r="E23568" i="1"/>
  <c r="F23567" i="1"/>
  <c r="E23567" i="1"/>
  <c r="F23566" i="1"/>
  <c r="E23566" i="1"/>
  <c r="F23565" i="1"/>
  <c r="E23565" i="1"/>
  <c r="F23564" i="1"/>
  <c r="E23564" i="1"/>
  <c r="F23563" i="1"/>
  <c r="E23563" i="1"/>
  <c r="F23562" i="1"/>
  <c r="E23562" i="1"/>
  <c r="F23561" i="1"/>
  <c r="E23561" i="1"/>
  <c r="F23560" i="1"/>
  <c r="E23560" i="1"/>
  <c r="F23559" i="1"/>
  <c r="E23559" i="1"/>
  <c r="F23558" i="1"/>
  <c r="E23558" i="1"/>
  <c r="F23557" i="1"/>
  <c r="E23557" i="1"/>
  <c r="F23556" i="1"/>
  <c r="E23556" i="1"/>
  <c r="F23555" i="1"/>
  <c r="E23555" i="1"/>
  <c r="F23554" i="1"/>
  <c r="E23554" i="1"/>
  <c r="F23553" i="1"/>
  <c r="E23553" i="1"/>
  <c r="F23552" i="1"/>
  <c r="E23552" i="1"/>
  <c r="F23551" i="1"/>
  <c r="E23551" i="1"/>
  <c r="F23550" i="1"/>
  <c r="E23550" i="1"/>
  <c r="F23549" i="1"/>
  <c r="E23549" i="1"/>
  <c r="F23548" i="1"/>
  <c r="E23548" i="1"/>
  <c r="F23547" i="1"/>
  <c r="E23547" i="1"/>
  <c r="F23546" i="1"/>
  <c r="E23546" i="1"/>
  <c r="F23545" i="1"/>
  <c r="E23545" i="1"/>
  <c r="F23544" i="1"/>
  <c r="E23544" i="1"/>
  <c r="F23543" i="1"/>
  <c r="E23543" i="1"/>
  <c r="F23542" i="1"/>
  <c r="E23542" i="1"/>
  <c r="F23541" i="1"/>
  <c r="E23541" i="1"/>
  <c r="F23540" i="1"/>
  <c r="E23540" i="1"/>
  <c r="F23539" i="1"/>
  <c r="E23539" i="1"/>
  <c r="F23538" i="1"/>
  <c r="E23538" i="1"/>
  <c r="F23537" i="1"/>
  <c r="E23537" i="1"/>
  <c r="F23536" i="1"/>
  <c r="E23536" i="1"/>
  <c r="F23535" i="1"/>
  <c r="E23535" i="1"/>
  <c r="F23534" i="1"/>
  <c r="E23534" i="1"/>
  <c r="F23533" i="1"/>
  <c r="E23533" i="1"/>
  <c r="F23532" i="1"/>
  <c r="E23532" i="1"/>
  <c r="F23531" i="1"/>
  <c r="E23531" i="1"/>
  <c r="F23530" i="1"/>
  <c r="E23530" i="1"/>
  <c r="F23529" i="1"/>
  <c r="E23529" i="1"/>
  <c r="F23528" i="1"/>
  <c r="E23528" i="1"/>
  <c r="F23527" i="1"/>
  <c r="E23527" i="1"/>
  <c r="F23526" i="1"/>
  <c r="E23526" i="1"/>
  <c r="F23525" i="1"/>
  <c r="E23525" i="1"/>
  <c r="F23524" i="1"/>
  <c r="E23524" i="1"/>
  <c r="F23523" i="1"/>
  <c r="E23523" i="1"/>
  <c r="F23522" i="1"/>
  <c r="E23522" i="1"/>
  <c r="F23521" i="1"/>
  <c r="E23521" i="1"/>
  <c r="F23520" i="1"/>
  <c r="E23520" i="1"/>
  <c r="F23519" i="1"/>
  <c r="E23519" i="1"/>
  <c r="F23518" i="1"/>
  <c r="E23518" i="1"/>
  <c r="F23517" i="1"/>
  <c r="E23517" i="1"/>
  <c r="F23516" i="1"/>
  <c r="E23516" i="1"/>
  <c r="F23515" i="1"/>
  <c r="E23515" i="1"/>
  <c r="F23514" i="1"/>
  <c r="E23514" i="1"/>
  <c r="F23513" i="1"/>
  <c r="E23513" i="1"/>
  <c r="F23512" i="1"/>
  <c r="E23512" i="1"/>
  <c r="F23511" i="1"/>
  <c r="E23511" i="1"/>
  <c r="F23510" i="1"/>
  <c r="E23510" i="1"/>
  <c r="F23509" i="1"/>
  <c r="E23509" i="1"/>
  <c r="F23508" i="1"/>
  <c r="E23508" i="1"/>
  <c r="F23507" i="1"/>
  <c r="E23507" i="1"/>
  <c r="F23506" i="1"/>
  <c r="E23506" i="1"/>
  <c r="F23505" i="1"/>
  <c r="E23505" i="1"/>
  <c r="F23504" i="1"/>
  <c r="E23504" i="1"/>
  <c r="F23503" i="1"/>
  <c r="E23503" i="1"/>
  <c r="F23502" i="1"/>
  <c r="E23502" i="1"/>
  <c r="F23501" i="1"/>
  <c r="E23501" i="1"/>
  <c r="F23500" i="1"/>
  <c r="E23500" i="1"/>
  <c r="F23499" i="1"/>
  <c r="E23499" i="1"/>
  <c r="F23498" i="1"/>
  <c r="E23498" i="1"/>
  <c r="F23497" i="1"/>
  <c r="E23497" i="1"/>
  <c r="F23496" i="1"/>
  <c r="E23496" i="1"/>
  <c r="F23495" i="1"/>
  <c r="E23495" i="1"/>
  <c r="F23494" i="1"/>
  <c r="E23494" i="1"/>
  <c r="F23493" i="1"/>
  <c r="E23493" i="1"/>
  <c r="F23492" i="1"/>
  <c r="E23492" i="1"/>
  <c r="F23491" i="1"/>
  <c r="E23491" i="1"/>
  <c r="F23490" i="1"/>
  <c r="E23490" i="1"/>
  <c r="F23489" i="1"/>
  <c r="E23489" i="1"/>
  <c r="F23488" i="1"/>
  <c r="E23488" i="1"/>
  <c r="F23487" i="1"/>
  <c r="E23487" i="1"/>
  <c r="F23486" i="1"/>
  <c r="E23486" i="1"/>
  <c r="F23485" i="1"/>
  <c r="E23485" i="1"/>
  <c r="F23484" i="1"/>
  <c r="E23484" i="1"/>
  <c r="F23483" i="1"/>
  <c r="E23483" i="1"/>
  <c r="F23482" i="1"/>
  <c r="E23482" i="1"/>
  <c r="F23481" i="1"/>
  <c r="E23481" i="1"/>
  <c r="F23480" i="1"/>
  <c r="E23480" i="1"/>
  <c r="F23479" i="1"/>
  <c r="E23479" i="1"/>
  <c r="F23478" i="1"/>
  <c r="E23478" i="1"/>
  <c r="F23477" i="1"/>
  <c r="E23477" i="1"/>
  <c r="F23476" i="1"/>
  <c r="E23476" i="1"/>
  <c r="F23475" i="1"/>
  <c r="E23475" i="1"/>
  <c r="F23474" i="1"/>
  <c r="E23474" i="1"/>
  <c r="F23473" i="1"/>
  <c r="E23473" i="1"/>
  <c r="F23472" i="1"/>
  <c r="E23472" i="1"/>
  <c r="F23471" i="1"/>
  <c r="E23471" i="1"/>
  <c r="F23470" i="1"/>
  <c r="E23470" i="1"/>
  <c r="F23469" i="1"/>
  <c r="E23469" i="1"/>
  <c r="F23468" i="1"/>
  <c r="E23468" i="1"/>
  <c r="F23467" i="1"/>
  <c r="E23467" i="1"/>
  <c r="F23466" i="1"/>
  <c r="E23466" i="1"/>
  <c r="F23465" i="1"/>
  <c r="E23465" i="1"/>
  <c r="F23464" i="1"/>
  <c r="E23464" i="1"/>
  <c r="F23463" i="1"/>
  <c r="E23463" i="1"/>
  <c r="F23462" i="1"/>
  <c r="E23462" i="1"/>
  <c r="F23461" i="1"/>
  <c r="E23461" i="1"/>
  <c r="F23460" i="1"/>
  <c r="E23460" i="1"/>
  <c r="F23459" i="1"/>
  <c r="E23459" i="1"/>
  <c r="F23458" i="1"/>
  <c r="E23458" i="1"/>
  <c r="F23457" i="1"/>
  <c r="E23457" i="1"/>
  <c r="F23456" i="1"/>
  <c r="E23456" i="1"/>
  <c r="F23455" i="1"/>
  <c r="E23455" i="1"/>
  <c r="F23454" i="1"/>
  <c r="E23454" i="1"/>
  <c r="F23453" i="1"/>
  <c r="E23453" i="1"/>
  <c r="F23452" i="1"/>
  <c r="E23452" i="1"/>
  <c r="F23451" i="1"/>
  <c r="E23451" i="1"/>
  <c r="F23450" i="1"/>
  <c r="E23450" i="1"/>
  <c r="F23449" i="1"/>
  <c r="E23449" i="1"/>
  <c r="F23448" i="1"/>
  <c r="E23448" i="1"/>
  <c r="F23447" i="1"/>
  <c r="E23447" i="1"/>
  <c r="F23446" i="1"/>
  <c r="E23446" i="1"/>
  <c r="F23445" i="1"/>
  <c r="E23445" i="1"/>
  <c r="F23444" i="1"/>
  <c r="F23443" i="1"/>
  <c r="E23443" i="1"/>
  <c r="F23442" i="1"/>
  <c r="E23442" i="1"/>
  <c r="F23441" i="1"/>
  <c r="E23441" i="1"/>
  <c r="F23440" i="1"/>
  <c r="E23440" i="1"/>
  <c r="F23439" i="1"/>
  <c r="E23439" i="1"/>
  <c r="F23438" i="1"/>
  <c r="E23438" i="1"/>
  <c r="F23437" i="1"/>
  <c r="E23437" i="1"/>
  <c r="F23436" i="1"/>
  <c r="E23436" i="1"/>
  <c r="F23435" i="1"/>
  <c r="E23435" i="1"/>
  <c r="F23434" i="1"/>
  <c r="E23434" i="1"/>
  <c r="F23433" i="1"/>
  <c r="E23433" i="1"/>
  <c r="F23432" i="1"/>
  <c r="E23432" i="1"/>
  <c r="F23431" i="1"/>
  <c r="E23431" i="1"/>
  <c r="F23430" i="1"/>
  <c r="E23430" i="1"/>
  <c r="F23429" i="1"/>
  <c r="E23429" i="1"/>
  <c r="F23428" i="1"/>
  <c r="F23427" i="1"/>
  <c r="E23427" i="1"/>
  <c r="F23426" i="1"/>
  <c r="E23426" i="1"/>
  <c r="F23425" i="1"/>
  <c r="E23425" i="1"/>
  <c r="F23424" i="1"/>
  <c r="E23424" i="1"/>
  <c r="F23423" i="1"/>
  <c r="E23423" i="1"/>
  <c r="F23422" i="1"/>
  <c r="E23422" i="1"/>
  <c r="F23421" i="1"/>
  <c r="E23421" i="1"/>
  <c r="F23420" i="1"/>
  <c r="E23420" i="1"/>
  <c r="F23419" i="1"/>
  <c r="E23419" i="1"/>
  <c r="F23418" i="1"/>
  <c r="E23418" i="1"/>
  <c r="F23417" i="1"/>
  <c r="E23417" i="1"/>
  <c r="F23416" i="1"/>
  <c r="E23416" i="1"/>
  <c r="F23415" i="1"/>
  <c r="E23415" i="1"/>
  <c r="F23414" i="1"/>
  <c r="E23414" i="1"/>
  <c r="F23413" i="1"/>
  <c r="E23413" i="1"/>
  <c r="F23412" i="1"/>
  <c r="E23412" i="1"/>
  <c r="F23411" i="1"/>
  <c r="E23411" i="1"/>
  <c r="F23410" i="1"/>
  <c r="E23410" i="1"/>
  <c r="F23409" i="1"/>
  <c r="F23408" i="1"/>
  <c r="E23408" i="1"/>
  <c r="F23407" i="1"/>
  <c r="E23407" i="1"/>
  <c r="F23406" i="1"/>
  <c r="E23406" i="1"/>
  <c r="F23405" i="1"/>
  <c r="E23405" i="1"/>
  <c r="F23404" i="1"/>
  <c r="E23404" i="1"/>
  <c r="F23403" i="1"/>
  <c r="E23403" i="1"/>
  <c r="F23402" i="1"/>
  <c r="E23402" i="1"/>
  <c r="F23401" i="1"/>
  <c r="E23401" i="1"/>
  <c r="F23400" i="1"/>
  <c r="E23400" i="1"/>
  <c r="F23399" i="1"/>
  <c r="E23399" i="1"/>
  <c r="F23398" i="1"/>
  <c r="E23398" i="1"/>
  <c r="F23397" i="1"/>
  <c r="E23397" i="1"/>
  <c r="F23396" i="1"/>
  <c r="E23396" i="1"/>
  <c r="F23395" i="1"/>
  <c r="E23395" i="1"/>
  <c r="F23394" i="1"/>
  <c r="E23394" i="1"/>
  <c r="F23393" i="1"/>
  <c r="E23393" i="1"/>
  <c r="F23392" i="1"/>
  <c r="E23392" i="1"/>
  <c r="F23391" i="1"/>
  <c r="E23391" i="1"/>
  <c r="F23390" i="1"/>
  <c r="E23390" i="1"/>
  <c r="F23389" i="1"/>
  <c r="E23389" i="1"/>
  <c r="F23388" i="1"/>
  <c r="E23388" i="1"/>
  <c r="F23387" i="1"/>
  <c r="E23387" i="1"/>
  <c r="F23386" i="1"/>
  <c r="E23386" i="1"/>
  <c r="F23385" i="1"/>
  <c r="E23385" i="1"/>
  <c r="F23384" i="1"/>
  <c r="E23384" i="1"/>
  <c r="F23383" i="1"/>
  <c r="E23383" i="1"/>
  <c r="F23382" i="1"/>
  <c r="E23382" i="1"/>
  <c r="F23381" i="1"/>
  <c r="E23381" i="1"/>
  <c r="F23380" i="1"/>
  <c r="E23380" i="1"/>
  <c r="F23379" i="1"/>
  <c r="E23379" i="1"/>
  <c r="F23378" i="1"/>
  <c r="E23378" i="1"/>
  <c r="F23377" i="1"/>
  <c r="E23377" i="1"/>
  <c r="F23376" i="1"/>
  <c r="E23376" i="1"/>
  <c r="F23375" i="1"/>
  <c r="E23375" i="1"/>
  <c r="F23374" i="1"/>
  <c r="E23374" i="1"/>
  <c r="F23373" i="1"/>
  <c r="E23373" i="1"/>
  <c r="F23372" i="1"/>
  <c r="E23372" i="1"/>
  <c r="F23371" i="1"/>
  <c r="E23371" i="1"/>
  <c r="F23370" i="1"/>
  <c r="E23370" i="1"/>
  <c r="F23369" i="1"/>
  <c r="E23369" i="1"/>
  <c r="F23368" i="1"/>
  <c r="E23368" i="1"/>
  <c r="F23367" i="1"/>
  <c r="E23367" i="1"/>
  <c r="F23366" i="1"/>
  <c r="E23366" i="1"/>
  <c r="F23365" i="1"/>
  <c r="E23365" i="1"/>
  <c r="F23364" i="1"/>
  <c r="E23364" i="1"/>
  <c r="F23363" i="1"/>
  <c r="E23363" i="1"/>
  <c r="F23362" i="1"/>
  <c r="E23362" i="1"/>
  <c r="F23361" i="1"/>
  <c r="E23361" i="1"/>
  <c r="F23360" i="1"/>
  <c r="E23360" i="1"/>
  <c r="F23359" i="1"/>
  <c r="E23359" i="1"/>
  <c r="F23358" i="1"/>
  <c r="E23358" i="1"/>
  <c r="F23357" i="1"/>
  <c r="E23357" i="1"/>
  <c r="F23356" i="1"/>
  <c r="E23356" i="1"/>
  <c r="F23355" i="1"/>
  <c r="E23355" i="1"/>
  <c r="F23354" i="1"/>
  <c r="E23354" i="1"/>
  <c r="F23353" i="1"/>
  <c r="F23352" i="1"/>
  <c r="E23352" i="1"/>
  <c r="F23351" i="1"/>
  <c r="E23351" i="1"/>
  <c r="F23350" i="1"/>
  <c r="E23350" i="1"/>
  <c r="F23349" i="1"/>
  <c r="F23348" i="1"/>
  <c r="E23348" i="1"/>
  <c r="F23347" i="1"/>
  <c r="E23347" i="1"/>
  <c r="F23346" i="1"/>
  <c r="E23346" i="1"/>
  <c r="F23345" i="1"/>
  <c r="E23345" i="1"/>
  <c r="F23344" i="1"/>
  <c r="E23344" i="1"/>
  <c r="F23343" i="1"/>
  <c r="E23343" i="1"/>
  <c r="F23342" i="1"/>
  <c r="E23342" i="1"/>
  <c r="F23341" i="1"/>
  <c r="E23341" i="1"/>
  <c r="F23340" i="1"/>
  <c r="E23340" i="1"/>
  <c r="F23339" i="1"/>
  <c r="E23339" i="1"/>
  <c r="F23338" i="1"/>
  <c r="E23338" i="1"/>
  <c r="F23337" i="1"/>
  <c r="E23337" i="1"/>
  <c r="F23336" i="1"/>
  <c r="E23336" i="1"/>
  <c r="F23335" i="1"/>
  <c r="E23335" i="1"/>
  <c r="F23334" i="1"/>
  <c r="E23334" i="1"/>
  <c r="F23333" i="1"/>
  <c r="E23333" i="1"/>
  <c r="F23332" i="1"/>
  <c r="E23332" i="1"/>
  <c r="F23331" i="1"/>
  <c r="E23331" i="1"/>
  <c r="F23330" i="1"/>
  <c r="E23330" i="1"/>
  <c r="F23329" i="1"/>
  <c r="E23329" i="1"/>
  <c r="F23328" i="1"/>
  <c r="E23328" i="1"/>
  <c r="F23327" i="1"/>
  <c r="E23327" i="1"/>
  <c r="F23326" i="1"/>
  <c r="E23326" i="1"/>
  <c r="F23325" i="1"/>
  <c r="E23325" i="1"/>
  <c r="F23324" i="1"/>
  <c r="E23324" i="1"/>
  <c r="F23323" i="1"/>
  <c r="E23323" i="1"/>
  <c r="F23322" i="1"/>
  <c r="E23322" i="1"/>
  <c r="F23321" i="1"/>
  <c r="E23321" i="1"/>
  <c r="F23320" i="1"/>
  <c r="E23320" i="1"/>
  <c r="F23319" i="1"/>
  <c r="E23319" i="1"/>
  <c r="F23318" i="1"/>
  <c r="E23318" i="1"/>
  <c r="F23317" i="1"/>
  <c r="E23317" i="1"/>
  <c r="F23316" i="1"/>
  <c r="E23316" i="1"/>
  <c r="F23315" i="1"/>
  <c r="E23315" i="1"/>
  <c r="F23314" i="1"/>
  <c r="E23314" i="1"/>
  <c r="F23313" i="1"/>
  <c r="E23313" i="1"/>
  <c r="F23312" i="1"/>
  <c r="E23312" i="1"/>
  <c r="F23311" i="1"/>
  <c r="E23311" i="1"/>
  <c r="F23310" i="1"/>
  <c r="E23310" i="1"/>
  <c r="F23309" i="1"/>
  <c r="E23309" i="1"/>
  <c r="F23308" i="1"/>
  <c r="E23308" i="1"/>
  <c r="F23307" i="1"/>
  <c r="E23307" i="1"/>
  <c r="F23306" i="1"/>
  <c r="E23306" i="1"/>
  <c r="F23305" i="1"/>
  <c r="E23305" i="1"/>
  <c r="F23304" i="1"/>
  <c r="E23304" i="1"/>
  <c r="F23303" i="1"/>
  <c r="E23303" i="1"/>
  <c r="F23302" i="1"/>
  <c r="E23302" i="1"/>
  <c r="F23301" i="1"/>
  <c r="E23301" i="1"/>
  <c r="F23300" i="1"/>
  <c r="E23300" i="1"/>
  <c r="F23299" i="1"/>
  <c r="E23299" i="1"/>
  <c r="F23298" i="1"/>
  <c r="E23298" i="1"/>
  <c r="F23297" i="1"/>
  <c r="E23297" i="1"/>
  <c r="F23296" i="1"/>
  <c r="E23296" i="1"/>
  <c r="F23295" i="1"/>
  <c r="E23295" i="1"/>
  <c r="F23294" i="1"/>
  <c r="E23294" i="1"/>
  <c r="F23293" i="1"/>
  <c r="E23293" i="1"/>
  <c r="F23292" i="1"/>
  <c r="E23292" i="1"/>
  <c r="F23291" i="1"/>
  <c r="E23291" i="1"/>
  <c r="F23290" i="1"/>
  <c r="E23290" i="1"/>
  <c r="F23289" i="1"/>
  <c r="E23289" i="1"/>
  <c r="F23288" i="1"/>
  <c r="E23288" i="1"/>
  <c r="F23287" i="1"/>
  <c r="E23287" i="1"/>
  <c r="F23286" i="1"/>
  <c r="E23286" i="1"/>
  <c r="F23285" i="1"/>
  <c r="E23285" i="1"/>
  <c r="F23284" i="1"/>
  <c r="E23284" i="1"/>
  <c r="F23283" i="1"/>
  <c r="E23283" i="1"/>
  <c r="F23282" i="1"/>
  <c r="E23282" i="1"/>
  <c r="F23281" i="1"/>
  <c r="E23281" i="1"/>
  <c r="F23280" i="1"/>
  <c r="E23280" i="1"/>
  <c r="F23279" i="1"/>
  <c r="E23279" i="1"/>
  <c r="F23278" i="1"/>
  <c r="E23278" i="1"/>
  <c r="F23277" i="1"/>
  <c r="E23277" i="1"/>
  <c r="F23276" i="1"/>
  <c r="E23276" i="1"/>
  <c r="F23275" i="1"/>
  <c r="E23275" i="1"/>
  <c r="F23274" i="1"/>
  <c r="E23274" i="1"/>
  <c r="F23273" i="1"/>
  <c r="E23273" i="1"/>
  <c r="F23272" i="1"/>
  <c r="E23272" i="1"/>
  <c r="F23271" i="1"/>
  <c r="E23271" i="1"/>
  <c r="F23270" i="1"/>
  <c r="E23270" i="1"/>
  <c r="F23269" i="1"/>
  <c r="E23269" i="1"/>
  <c r="F23268" i="1"/>
  <c r="E23268" i="1"/>
  <c r="F23267" i="1"/>
  <c r="E23267" i="1"/>
  <c r="F23266" i="1"/>
  <c r="E23266" i="1"/>
  <c r="F23265" i="1"/>
  <c r="E23265" i="1"/>
  <c r="F23264" i="1"/>
  <c r="E23264" i="1"/>
  <c r="F23263" i="1"/>
  <c r="E23263" i="1"/>
  <c r="F23262" i="1"/>
  <c r="E23262" i="1"/>
  <c r="F23261" i="1"/>
  <c r="E23261" i="1"/>
  <c r="F23260" i="1"/>
  <c r="E23260" i="1"/>
  <c r="F23259" i="1"/>
  <c r="E23259" i="1"/>
  <c r="F23258" i="1"/>
  <c r="E23258" i="1"/>
  <c r="F23257" i="1"/>
  <c r="E23257" i="1"/>
  <c r="F23256" i="1"/>
  <c r="E23256" i="1"/>
  <c r="F23255" i="1"/>
  <c r="E23255" i="1"/>
  <c r="F23254" i="1"/>
  <c r="E23254" i="1"/>
  <c r="F23253" i="1"/>
  <c r="E23253" i="1"/>
  <c r="F23252" i="1"/>
  <c r="E23252" i="1"/>
  <c r="F23251" i="1"/>
  <c r="E23251" i="1"/>
  <c r="F23250" i="1"/>
  <c r="E23250" i="1"/>
  <c r="F23249" i="1"/>
  <c r="E23249" i="1"/>
  <c r="F23248" i="1"/>
  <c r="E23248" i="1"/>
  <c r="F23247" i="1"/>
  <c r="E23247" i="1"/>
  <c r="F23246" i="1"/>
  <c r="E23246" i="1"/>
  <c r="F23245" i="1"/>
  <c r="E23245" i="1"/>
  <c r="F23244" i="1"/>
  <c r="E23244" i="1"/>
  <c r="F23243" i="1"/>
  <c r="E23243" i="1"/>
  <c r="F23242" i="1"/>
  <c r="E23242" i="1"/>
  <c r="F23241" i="1"/>
  <c r="E23241" i="1"/>
  <c r="F23240" i="1"/>
  <c r="E23240" i="1"/>
  <c r="F23239" i="1"/>
  <c r="E23239" i="1"/>
  <c r="F23238" i="1"/>
  <c r="E23238" i="1"/>
  <c r="F23237" i="1"/>
  <c r="E23237" i="1"/>
  <c r="F23236" i="1"/>
  <c r="E23236" i="1"/>
  <c r="F23235" i="1"/>
  <c r="E23235" i="1"/>
  <c r="F23234" i="1"/>
  <c r="E23234" i="1"/>
  <c r="F23233" i="1"/>
  <c r="E23233" i="1"/>
  <c r="F23232" i="1"/>
  <c r="E23232" i="1"/>
  <c r="F23231" i="1"/>
  <c r="E23231" i="1"/>
  <c r="F23230" i="1"/>
  <c r="E23230" i="1"/>
  <c r="F23229" i="1"/>
  <c r="E23229" i="1"/>
  <c r="F23228" i="1"/>
  <c r="E23228" i="1"/>
  <c r="F23227" i="1"/>
  <c r="E23227" i="1"/>
  <c r="F23226" i="1"/>
  <c r="E23226" i="1"/>
  <c r="F23225" i="1"/>
  <c r="E23225" i="1"/>
  <c r="F23224" i="1"/>
  <c r="E23224" i="1"/>
  <c r="F23223" i="1"/>
  <c r="E23223" i="1"/>
  <c r="F23222" i="1"/>
  <c r="E23222" i="1"/>
  <c r="F23221" i="1"/>
  <c r="E23221" i="1"/>
  <c r="F23220" i="1"/>
  <c r="E23220" i="1"/>
  <c r="F23219" i="1"/>
  <c r="E23219" i="1"/>
  <c r="F23218" i="1"/>
  <c r="E23218" i="1"/>
  <c r="F23217" i="1"/>
  <c r="E23217" i="1"/>
  <c r="F23216" i="1"/>
  <c r="E23216" i="1"/>
  <c r="F23215" i="1"/>
  <c r="E23215" i="1"/>
  <c r="F23214" i="1"/>
  <c r="E23214" i="1"/>
  <c r="F23213" i="1"/>
  <c r="E23213" i="1"/>
  <c r="F23212" i="1"/>
  <c r="E23212" i="1"/>
  <c r="F23211" i="1"/>
  <c r="E23211" i="1"/>
  <c r="F23210" i="1"/>
  <c r="E23210" i="1"/>
  <c r="F23209" i="1"/>
  <c r="E23209" i="1"/>
  <c r="F23208" i="1"/>
  <c r="E23208" i="1"/>
  <c r="F23207" i="1"/>
  <c r="E23207" i="1"/>
  <c r="F23206" i="1"/>
  <c r="E23206" i="1"/>
  <c r="F23205" i="1"/>
  <c r="E23205" i="1"/>
  <c r="F23204" i="1"/>
  <c r="E23204" i="1"/>
  <c r="F23203" i="1"/>
  <c r="E23203" i="1"/>
  <c r="F23202" i="1"/>
  <c r="E23202" i="1"/>
  <c r="F23201" i="1"/>
  <c r="E23201" i="1"/>
  <c r="F23200" i="1"/>
  <c r="E23200" i="1"/>
  <c r="F23199" i="1"/>
  <c r="E23199" i="1"/>
  <c r="F23198" i="1"/>
  <c r="E23198" i="1"/>
  <c r="F23197" i="1"/>
  <c r="E23197" i="1"/>
  <c r="F23196" i="1"/>
  <c r="E23196" i="1"/>
  <c r="F23195" i="1"/>
  <c r="E23195" i="1"/>
  <c r="F23194" i="1"/>
  <c r="E23194" i="1"/>
  <c r="F23193" i="1"/>
  <c r="E23193" i="1"/>
  <c r="F23192" i="1"/>
  <c r="E23192" i="1"/>
  <c r="F23191" i="1"/>
  <c r="E23191" i="1"/>
  <c r="F23190" i="1"/>
  <c r="E23190" i="1"/>
  <c r="F23189" i="1"/>
  <c r="E23189" i="1"/>
  <c r="F23188" i="1"/>
  <c r="E23188" i="1"/>
  <c r="F23187" i="1"/>
  <c r="E23187" i="1"/>
  <c r="F23186" i="1"/>
  <c r="E23186" i="1"/>
  <c r="F23185" i="1"/>
  <c r="E23185" i="1"/>
  <c r="F23184" i="1"/>
  <c r="E23184" i="1"/>
  <c r="F23183" i="1"/>
  <c r="E23183" i="1"/>
  <c r="F23182" i="1"/>
  <c r="E23182" i="1"/>
  <c r="F23181" i="1"/>
  <c r="E23181" i="1"/>
  <c r="F23180" i="1"/>
  <c r="E23180" i="1"/>
  <c r="F23179" i="1"/>
  <c r="E23179" i="1"/>
  <c r="F23178" i="1"/>
  <c r="E23178" i="1"/>
  <c r="F23177" i="1"/>
  <c r="E23177" i="1"/>
  <c r="F23176" i="1"/>
  <c r="E23176" i="1"/>
  <c r="F23175" i="1"/>
  <c r="E23175" i="1"/>
  <c r="F23174" i="1"/>
  <c r="E23174" i="1"/>
  <c r="F23173" i="1"/>
  <c r="E23173" i="1"/>
  <c r="F23172" i="1"/>
  <c r="E23172" i="1"/>
  <c r="F23171" i="1"/>
  <c r="E23171" i="1"/>
  <c r="F23170" i="1"/>
  <c r="E23170" i="1"/>
  <c r="F23169" i="1"/>
  <c r="E23169" i="1"/>
  <c r="F23168" i="1"/>
  <c r="E23168" i="1"/>
  <c r="F23167" i="1"/>
  <c r="E23167" i="1"/>
  <c r="F23166" i="1"/>
  <c r="E23166" i="1"/>
  <c r="F23165" i="1"/>
  <c r="E23165" i="1"/>
  <c r="F23164" i="1"/>
  <c r="E23164" i="1"/>
  <c r="F23163" i="1"/>
  <c r="E23163" i="1"/>
  <c r="F23162" i="1"/>
  <c r="E23162" i="1"/>
  <c r="F23161" i="1"/>
  <c r="E23161" i="1"/>
  <c r="F23160" i="1"/>
  <c r="E23160" i="1"/>
  <c r="F23159" i="1"/>
  <c r="E23159" i="1"/>
  <c r="F23158" i="1"/>
  <c r="E23158" i="1"/>
  <c r="F23157" i="1"/>
  <c r="E23157" i="1"/>
  <c r="F23156" i="1"/>
  <c r="E23156" i="1"/>
  <c r="F23155" i="1"/>
  <c r="E23155" i="1"/>
  <c r="F23154" i="1"/>
  <c r="E23154" i="1"/>
  <c r="F23153" i="1"/>
  <c r="E23153" i="1"/>
  <c r="F23152" i="1"/>
  <c r="E23152" i="1"/>
  <c r="F23151" i="1"/>
  <c r="E23151" i="1"/>
  <c r="F23150" i="1"/>
  <c r="E23150" i="1"/>
  <c r="F23149" i="1"/>
  <c r="E23149" i="1"/>
  <c r="F23148" i="1"/>
  <c r="E23148" i="1"/>
  <c r="F23147" i="1"/>
  <c r="E23147" i="1"/>
  <c r="F23146" i="1"/>
  <c r="E23146" i="1"/>
  <c r="F23145" i="1"/>
  <c r="E23145" i="1"/>
  <c r="F23144" i="1"/>
  <c r="E23144" i="1"/>
  <c r="F23143" i="1"/>
  <c r="E23143" i="1"/>
  <c r="F23142" i="1"/>
  <c r="E23142" i="1"/>
  <c r="F23141" i="1"/>
  <c r="E23141" i="1"/>
  <c r="F23140" i="1"/>
  <c r="E23140" i="1"/>
  <c r="F23139" i="1"/>
  <c r="E23139" i="1"/>
  <c r="F23138" i="1"/>
  <c r="E23138" i="1"/>
  <c r="F23137" i="1"/>
  <c r="E23137" i="1"/>
  <c r="F23136" i="1"/>
  <c r="E23136" i="1"/>
  <c r="F23135" i="1"/>
  <c r="E23135" i="1"/>
  <c r="F23134" i="1"/>
  <c r="E23134" i="1"/>
  <c r="F23133" i="1"/>
  <c r="E23133" i="1"/>
  <c r="F23132" i="1"/>
  <c r="E23132" i="1"/>
  <c r="F23131" i="1"/>
  <c r="E23131" i="1"/>
  <c r="F23130" i="1"/>
  <c r="E23130" i="1"/>
  <c r="F23129" i="1"/>
  <c r="E23129" i="1"/>
  <c r="F23128" i="1"/>
  <c r="E23128" i="1"/>
  <c r="F23127" i="1"/>
  <c r="E23127" i="1"/>
  <c r="F23126" i="1"/>
  <c r="E23126" i="1"/>
  <c r="F23125" i="1"/>
  <c r="E23125" i="1"/>
  <c r="F23124" i="1"/>
  <c r="E23124" i="1"/>
  <c r="F23123" i="1"/>
  <c r="E23123" i="1"/>
  <c r="F23122" i="1"/>
  <c r="E23122" i="1"/>
  <c r="F23121" i="1"/>
  <c r="E23121" i="1"/>
  <c r="F23120" i="1"/>
  <c r="E23120" i="1"/>
  <c r="F23119" i="1"/>
  <c r="E23119" i="1"/>
  <c r="F23118" i="1"/>
  <c r="E23118" i="1"/>
  <c r="F23117" i="1"/>
  <c r="E23117" i="1"/>
  <c r="F23116" i="1"/>
  <c r="E23116" i="1"/>
  <c r="F23115" i="1"/>
  <c r="E23115" i="1"/>
  <c r="F23114" i="1"/>
  <c r="E23114" i="1"/>
  <c r="F23113" i="1"/>
  <c r="E23113" i="1"/>
  <c r="F23112" i="1"/>
  <c r="E23112" i="1"/>
  <c r="F23111" i="1"/>
  <c r="E23111" i="1"/>
  <c r="F23110" i="1"/>
  <c r="E23110" i="1"/>
  <c r="F23109" i="1"/>
  <c r="E23109" i="1"/>
  <c r="F23108" i="1"/>
  <c r="E23108" i="1"/>
  <c r="F23107" i="1"/>
  <c r="E23107" i="1"/>
  <c r="F23106" i="1"/>
  <c r="E23106" i="1"/>
  <c r="F23105" i="1"/>
  <c r="E23105" i="1"/>
  <c r="F23104" i="1"/>
  <c r="E23104" i="1"/>
  <c r="F23103" i="1"/>
  <c r="E23103" i="1"/>
  <c r="F23102" i="1"/>
  <c r="E23102" i="1"/>
  <c r="F23101" i="1"/>
  <c r="E23101" i="1"/>
  <c r="F23100" i="1"/>
  <c r="E23100" i="1"/>
  <c r="F23099" i="1"/>
  <c r="E23099" i="1"/>
  <c r="F23098" i="1"/>
  <c r="E23098" i="1"/>
  <c r="F23097" i="1"/>
  <c r="E23097" i="1"/>
  <c r="F23096" i="1"/>
  <c r="E23096" i="1"/>
  <c r="F23095" i="1"/>
  <c r="E23095" i="1"/>
  <c r="F23094" i="1"/>
  <c r="E23094" i="1"/>
  <c r="F23093" i="1"/>
  <c r="E23093" i="1"/>
  <c r="F23092" i="1"/>
  <c r="E23092" i="1"/>
  <c r="F23091" i="1"/>
  <c r="E23091" i="1"/>
  <c r="F23090" i="1"/>
  <c r="E23090" i="1"/>
  <c r="F23089" i="1"/>
  <c r="E23089" i="1"/>
  <c r="F23088" i="1"/>
  <c r="E23088" i="1"/>
  <c r="F23087" i="1"/>
  <c r="E23087" i="1"/>
  <c r="F23086" i="1"/>
  <c r="E23086" i="1"/>
  <c r="F23085" i="1"/>
  <c r="E23085" i="1"/>
  <c r="F23084" i="1"/>
  <c r="E23084" i="1"/>
  <c r="F23083" i="1"/>
  <c r="E23083" i="1"/>
  <c r="F23082" i="1"/>
  <c r="E23082" i="1"/>
  <c r="F23081" i="1"/>
  <c r="E23081" i="1"/>
  <c r="F23080" i="1"/>
  <c r="E23080" i="1"/>
  <c r="F23079" i="1"/>
  <c r="E23079" i="1"/>
  <c r="F23078" i="1"/>
  <c r="E23078" i="1"/>
  <c r="F23077" i="1"/>
  <c r="E23077" i="1"/>
  <c r="F23076" i="1"/>
  <c r="E23076" i="1"/>
  <c r="F23075" i="1"/>
  <c r="E23075" i="1"/>
  <c r="F23074" i="1"/>
  <c r="E23074" i="1"/>
  <c r="F23073" i="1"/>
  <c r="E23073" i="1"/>
  <c r="F23072" i="1"/>
  <c r="E23072" i="1"/>
  <c r="F23071" i="1"/>
  <c r="E23071" i="1"/>
  <c r="F23070" i="1"/>
  <c r="E23070" i="1"/>
  <c r="F23069" i="1"/>
  <c r="E23069" i="1"/>
  <c r="F23068" i="1"/>
  <c r="E23068" i="1"/>
  <c r="F23067" i="1"/>
  <c r="E23067" i="1"/>
  <c r="F23066" i="1"/>
  <c r="E23066" i="1"/>
  <c r="F23065" i="1"/>
  <c r="E23065" i="1"/>
  <c r="F23064" i="1"/>
  <c r="E23064" i="1"/>
  <c r="F23063" i="1"/>
  <c r="E23063" i="1"/>
  <c r="F23062" i="1"/>
  <c r="F23061" i="1"/>
  <c r="F23060" i="1"/>
  <c r="E23060" i="1"/>
  <c r="F23059" i="1"/>
  <c r="E23059" i="1"/>
  <c r="F23058" i="1"/>
  <c r="E23058" i="1"/>
  <c r="F23057" i="1"/>
  <c r="E23057" i="1"/>
  <c r="F23056" i="1"/>
  <c r="E23056" i="1"/>
  <c r="F23055" i="1"/>
  <c r="E23055" i="1"/>
  <c r="F23054" i="1"/>
  <c r="E23054" i="1"/>
  <c r="F23053" i="1"/>
  <c r="E23053" i="1"/>
  <c r="F23052" i="1"/>
  <c r="E23052" i="1"/>
  <c r="F23051" i="1"/>
  <c r="E23051" i="1"/>
  <c r="F23050" i="1"/>
  <c r="E23050" i="1"/>
  <c r="F23049" i="1"/>
  <c r="E23049" i="1"/>
  <c r="F23048" i="1"/>
  <c r="E23048" i="1"/>
  <c r="F23047" i="1"/>
  <c r="E23047" i="1"/>
  <c r="F23046" i="1"/>
  <c r="E23046" i="1"/>
  <c r="F23045" i="1"/>
  <c r="F23044" i="1"/>
  <c r="E23044" i="1"/>
  <c r="F23043" i="1"/>
  <c r="E23043" i="1"/>
  <c r="F23042" i="1"/>
  <c r="F23041" i="1"/>
  <c r="E23041" i="1"/>
  <c r="F23040" i="1"/>
  <c r="E23040" i="1"/>
  <c r="F23039" i="1"/>
  <c r="E23039" i="1"/>
  <c r="F23038" i="1"/>
  <c r="E23038" i="1"/>
  <c r="F23037" i="1"/>
  <c r="E23037" i="1"/>
  <c r="F23036" i="1"/>
  <c r="E23036" i="1"/>
  <c r="F23035" i="1"/>
  <c r="E23035" i="1"/>
  <c r="F23034" i="1"/>
  <c r="E23034" i="1"/>
  <c r="F23033" i="1"/>
  <c r="E23033" i="1"/>
  <c r="F23032" i="1"/>
  <c r="E23032" i="1"/>
  <c r="F23031" i="1"/>
  <c r="E23031" i="1"/>
  <c r="F23030" i="1"/>
  <c r="E23030" i="1"/>
  <c r="F23029" i="1"/>
  <c r="E23029" i="1"/>
  <c r="F23028" i="1"/>
  <c r="E23028" i="1"/>
  <c r="F23027" i="1"/>
  <c r="E23027" i="1"/>
  <c r="F23026" i="1"/>
  <c r="E23026" i="1"/>
  <c r="F23025" i="1"/>
  <c r="E23025" i="1"/>
  <c r="F23024" i="1"/>
  <c r="E23024" i="1"/>
  <c r="F23023" i="1"/>
  <c r="E23023" i="1"/>
  <c r="F23022" i="1"/>
  <c r="E23022" i="1"/>
  <c r="F23021" i="1"/>
  <c r="E23021" i="1"/>
  <c r="F23020" i="1"/>
  <c r="E23020" i="1"/>
  <c r="F23019" i="1"/>
  <c r="E23019" i="1"/>
  <c r="F23018" i="1"/>
  <c r="E23018" i="1"/>
  <c r="F23017" i="1"/>
  <c r="E23017" i="1"/>
  <c r="F23016" i="1"/>
  <c r="E23016" i="1"/>
  <c r="F23015" i="1"/>
  <c r="E23015" i="1"/>
  <c r="F23014" i="1"/>
  <c r="E23014" i="1"/>
  <c r="F23013" i="1"/>
  <c r="E23013" i="1"/>
  <c r="F23012" i="1"/>
  <c r="E23012" i="1"/>
  <c r="F23011" i="1"/>
  <c r="E23011" i="1"/>
  <c r="F23010" i="1"/>
  <c r="E23010" i="1"/>
  <c r="F23009" i="1"/>
  <c r="E23009" i="1"/>
  <c r="F23008" i="1"/>
  <c r="E23008" i="1"/>
  <c r="F23007" i="1"/>
  <c r="E23007" i="1"/>
  <c r="F23006" i="1"/>
  <c r="E23006" i="1"/>
  <c r="F23005" i="1"/>
  <c r="E23005" i="1"/>
  <c r="F23004" i="1"/>
  <c r="E23004" i="1"/>
  <c r="F23003" i="1"/>
  <c r="E23003" i="1"/>
  <c r="F23002" i="1"/>
  <c r="E23002" i="1"/>
  <c r="F23001" i="1"/>
  <c r="E23001" i="1"/>
  <c r="F23000" i="1"/>
  <c r="E23000" i="1"/>
  <c r="F22999" i="1"/>
  <c r="E22999" i="1"/>
  <c r="F22998" i="1"/>
  <c r="E22998" i="1"/>
  <c r="F22997" i="1"/>
  <c r="E22997" i="1"/>
  <c r="F22996" i="1"/>
  <c r="E22996" i="1"/>
  <c r="F22995" i="1"/>
  <c r="E22995" i="1"/>
  <c r="F22994" i="1"/>
  <c r="E22994" i="1"/>
  <c r="F22993" i="1"/>
  <c r="E22993" i="1"/>
  <c r="F22992" i="1"/>
  <c r="E22992" i="1"/>
  <c r="F22991" i="1"/>
  <c r="E22991" i="1"/>
  <c r="F22990" i="1"/>
  <c r="E22990" i="1"/>
  <c r="F22989" i="1"/>
  <c r="E22989" i="1"/>
  <c r="F22988" i="1"/>
  <c r="E22988" i="1"/>
  <c r="F22987" i="1"/>
  <c r="E22987" i="1"/>
  <c r="F22986" i="1"/>
  <c r="E22986" i="1"/>
  <c r="F22985" i="1"/>
  <c r="E22985" i="1"/>
  <c r="F22984" i="1"/>
  <c r="E22984" i="1"/>
  <c r="F22983" i="1"/>
  <c r="E22983" i="1"/>
  <c r="F22982" i="1"/>
  <c r="E22982" i="1"/>
  <c r="F22981" i="1"/>
  <c r="E22981" i="1"/>
  <c r="F22980" i="1"/>
  <c r="E22980" i="1"/>
  <c r="F22979" i="1"/>
  <c r="E22979" i="1"/>
  <c r="F22978" i="1"/>
  <c r="E22978" i="1"/>
  <c r="F22977" i="1"/>
  <c r="E22977" i="1"/>
  <c r="F22976" i="1"/>
  <c r="E22976" i="1"/>
  <c r="F22975" i="1"/>
  <c r="E22975" i="1"/>
  <c r="F22974" i="1"/>
  <c r="E22974" i="1"/>
  <c r="F22973" i="1"/>
  <c r="E22973" i="1"/>
  <c r="F22972" i="1"/>
  <c r="E22972" i="1"/>
  <c r="F22971" i="1"/>
  <c r="E22971" i="1"/>
  <c r="F22970" i="1"/>
  <c r="F22969" i="1"/>
  <c r="F22968" i="1"/>
  <c r="F22967" i="1"/>
  <c r="E22967" i="1"/>
  <c r="F22966" i="1"/>
  <c r="E22966" i="1"/>
  <c r="F22965" i="1"/>
  <c r="E22965" i="1"/>
  <c r="F22964" i="1"/>
  <c r="E22964" i="1"/>
  <c r="F22963" i="1"/>
  <c r="E22963" i="1"/>
  <c r="F22962" i="1"/>
  <c r="E22962" i="1"/>
  <c r="F22961" i="1"/>
  <c r="E22961" i="1"/>
  <c r="F22960" i="1"/>
  <c r="E22960" i="1"/>
  <c r="F22959" i="1"/>
  <c r="E22959" i="1"/>
  <c r="F22958" i="1"/>
  <c r="E22958" i="1"/>
  <c r="F22957" i="1"/>
  <c r="E22957" i="1"/>
  <c r="F22956" i="1"/>
  <c r="E22956" i="1"/>
  <c r="F22955" i="1"/>
  <c r="E22955" i="1"/>
  <c r="F22954" i="1"/>
  <c r="E22954" i="1"/>
  <c r="F22953" i="1"/>
  <c r="E22953" i="1"/>
  <c r="F22952" i="1"/>
  <c r="E22952" i="1"/>
  <c r="F22951" i="1"/>
  <c r="E22951" i="1"/>
  <c r="F22950" i="1"/>
  <c r="E22950" i="1"/>
  <c r="F22949" i="1"/>
  <c r="E22949" i="1"/>
  <c r="F22948" i="1"/>
  <c r="E22948" i="1"/>
  <c r="F22947" i="1"/>
  <c r="E22947" i="1"/>
  <c r="F22946" i="1"/>
  <c r="E22946" i="1"/>
  <c r="F22945" i="1"/>
  <c r="E22945" i="1"/>
  <c r="F22944" i="1"/>
  <c r="E22944" i="1"/>
  <c r="F22943" i="1"/>
  <c r="E22943" i="1"/>
  <c r="F22942" i="1"/>
  <c r="E22942" i="1"/>
  <c r="F22941" i="1"/>
  <c r="E22941" i="1"/>
  <c r="F22940" i="1"/>
  <c r="E22940" i="1"/>
  <c r="F22939" i="1"/>
  <c r="E22939" i="1"/>
  <c r="F22938" i="1"/>
  <c r="E22938" i="1"/>
  <c r="F22937" i="1"/>
  <c r="E22937" i="1"/>
  <c r="F22936" i="1"/>
  <c r="E22936" i="1"/>
  <c r="F22935" i="1"/>
  <c r="E22935" i="1"/>
  <c r="F22934" i="1"/>
  <c r="E22934" i="1"/>
  <c r="F22933" i="1"/>
  <c r="E22933" i="1"/>
  <c r="F22932" i="1"/>
  <c r="E22932" i="1"/>
  <c r="F22931" i="1"/>
  <c r="E22931" i="1"/>
  <c r="F22930" i="1"/>
  <c r="E22930" i="1"/>
  <c r="F22929" i="1"/>
  <c r="E22929" i="1"/>
  <c r="F22928" i="1"/>
  <c r="E22928" i="1"/>
  <c r="F22927" i="1"/>
  <c r="E22927" i="1"/>
  <c r="F22926" i="1"/>
  <c r="E22926" i="1"/>
  <c r="F22925" i="1"/>
  <c r="E22925" i="1"/>
  <c r="F22924" i="1"/>
  <c r="E22924" i="1"/>
  <c r="F22923" i="1"/>
  <c r="E22923" i="1"/>
  <c r="F22922" i="1"/>
  <c r="E22922" i="1"/>
  <c r="F22921" i="1"/>
  <c r="E22921" i="1"/>
  <c r="F22920" i="1"/>
  <c r="E22920" i="1"/>
  <c r="F22919" i="1"/>
  <c r="E22919" i="1"/>
  <c r="F22918" i="1"/>
  <c r="E22918" i="1"/>
  <c r="F22917" i="1"/>
  <c r="E22917" i="1"/>
  <c r="F22916" i="1"/>
  <c r="E22916" i="1"/>
  <c r="F22915" i="1"/>
  <c r="E22915" i="1"/>
  <c r="F22914" i="1"/>
  <c r="E22914" i="1"/>
  <c r="F22913" i="1"/>
  <c r="E22913" i="1"/>
  <c r="F22912" i="1"/>
  <c r="E22912" i="1"/>
  <c r="F22911" i="1"/>
  <c r="E22911" i="1"/>
  <c r="F22910" i="1"/>
  <c r="E22910" i="1"/>
  <c r="F22909" i="1"/>
  <c r="E22909" i="1"/>
  <c r="F22908" i="1"/>
  <c r="E22908" i="1"/>
  <c r="F22907" i="1"/>
  <c r="E22907" i="1"/>
  <c r="F22906" i="1"/>
  <c r="E22906" i="1"/>
  <c r="F22905" i="1"/>
  <c r="E22905" i="1"/>
  <c r="F22904" i="1"/>
  <c r="E22904" i="1"/>
  <c r="F22903" i="1"/>
  <c r="E22903" i="1"/>
  <c r="F22902" i="1"/>
  <c r="E22902" i="1"/>
  <c r="F22901" i="1"/>
  <c r="E22901" i="1"/>
  <c r="F22900" i="1"/>
  <c r="E22900" i="1"/>
  <c r="F22899" i="1"/>
  <c r="E22899" i="1"/>
  <c r="F22898" i="1"/>
  <c r="E22898" i="1"/>
  <c r="F22897" i="1"/>
  <c r="E22897" i="1"/>
  <c r="F22896" i="1"/>
  <c r="E22896" i="1"/>
  <c r="F22895" i="1"/>
  <c r="E22895" i="1"/>
  <c r="F22894" i="1"/>
  <c r="E22894" i="1"/>
  <c r="F22893" i="1"/>
  <c r="E22893" i="1"/>
  <c r="F22892" i="1"/>
  <c r="E22892" i="1"/>
  <c r="F22891" i="1"/>
  <c r="E22891" i="1"/>
  <c r="F22890" i="1"/>
  <c r="E22890" i="1"/>
  <c r="F22889" i="1"/>
  <c r="E22889" i="1"/>
  <c r="F22888" i="1"/>
  <c r="E22888" i="1"/>
  <c r="F22887" i="1"/>
  <c r="E22887" i="1"/>
  <c r="F22886" i="1"/>
  <c r="E22886" i="1"/>
  <c r="F22885" i="1"/>
  <c r="E22885" i="1"/>
  <c r="F22884" i="1"/>
  <c r="E22884" i="1"/>
  <c r="F22883" i="1"/>
  <c r="E22883" i="1"/>
  <c r="F22882" i="1"/>
  <c r="E22882" i="1"/>
  <c r="F22881" i="1"/>
  <c r="E22881" i="1"/>
  <c r="F22880" i="1"/>
  <c r="E22880" i="1"/>
  <c r="F22879" i="1"/>
  <c r="E22879" i="1"/>
  <c r="F22878" i="1"/>
  <c r="E22878" i="1"/>
  <c r="F22877" i="1"/>
  <c r="E22877" i="1"/>
  <c r="F22876" i="1"/>
  <c r="E22876" i="1"/>
  <c r="F22875" i="1"/>
  <c r="E22875" i="1"/>
  <c r="F22874" i="1"/>
  <c r="E22874" i="1"/>
  <c r="F22873" i="1"/>
  <c r="E22873" i="1"/>
  <c r="F22872" i="1"/>
  <c r="E22872" i="1"/>
  <c r="F22871" i="1"/>
  <c r="E22871" i="1"/>
  <c r="F22870" i="1"/>
  <c r="E22870" i="1"/>
  <c r="F22869" i="1"/>
  <c r="E22869" i="1"/>
  <c r="F22868" i="1"/>
  <c r="E22868" i="1"/>
  <c r="F22867" i="1"/>
  <c r="E22867" i="1"/>
  <c r="F22866" i="1"/>
  <c r="E22866" i="1"/>
  <c r="F22865" i="1"/>
  <c r="E22865" i="1"/>
  <c r="F22864" i="1"/>
  <c r="E22864" i="1"/>
  <c r="F22863" i="1"/>
  <c r="E22863" i="1"/>
  <c r="F22862" i="1"/>
  <c r="E22862" i="1"/>
  <c r="F22861" i="1"/>
  <c r="E22861" i="1"/>
  <c r="F22860" i="1"/>
  <c r="E22860" i="1"/>
  <c r="F22859" i="1"/>
  <c r="E22859" i="1"/>
  <c r="F22858" i="1"/>
  <c r="E22858" i="1"/>
  <c r="F22857" i="1"/>
  <c r="E22857" i="1"/>
  <c r="F22856" i="1"/>
  <c r="E22856" i="1"/>
  <c r="F22855" i="1"/>
  <c r="E22855" i="1"/>
  <c r="F22854" i="1"/>
  <c r="E22854" i="1"/>
  <c r="F22853" i="1"/>
  <c r="E22853" i="1"/>
  <c r="F22852" i="1"/>
  <c r="E22852" i="1"/>
  <c r="F22851" i="1"/>
  <c r="E22851" i="1"/>
  <c r="F22850" i="1"/>
  <c r="E22850" i="1"/>
  <c r="F22849" i="1"/>
  <c r="E22849" i="1"/>
  <c r="F22848" i="1"/>
  <c r="E22848" i="1"/>
  <c r="F22847" i="1"/>
  <c r="E22847" i="1"/>
  <c r="F22846" i="1"/>
  <c r="E22846" i="1"/>
  <c r="F22845" i="1"/>
  <c r="E22845" i="1"/>
  <c r="F22844" i="1"/>
  <c r="E22844" i="1"/>
  <c r="F22843" i="1"/>
  <c r="E22843" i="1"/>
  <c r="F22842" i="1"/>
  <c r="E22842" i="1"/>
  <c r="F22841" i="1"/>
  <c r="E22841" i="1"/>
  <c r="F22840" i="1"/>
  <c r="E22840" i="1"/>
  <c r="F22839" i="1"/>
  <c r="E22839" i="1"/>
  <c r="F22838" i="1"/>
  <c r="E22838" i="1"/>
  <c r="F22837" i="1"/>
  <c r="E22837" i="1"/>
  <c r="F22836" i="1"/>
  <c r="E22836" i="1"/>
  <c r="F22835" i="1"/>
  <c r="E22835" i="1"/>
  <c r="F22834" i="1"/>
  <c r="E22834" i="1"/>
  <c r="F22833" i="1"/>
  <c r="E22833" i="1"/>
  <c r="F22832" i="1"/>
  <c r="E22832" i="1"/>
  <c r="F22831" i="1"/>
  <c r="E22831" i="1"/>
  <c r="F22830" i="1"/>
  <c r="E22830" i="1"/>
  <c r="F22829" i="1"/>
  <c r="E22829" i="1"/>
  <c r="F22828" i="1"/>
  <c r="E22828" i="1"/>
  <c r="F22827" i="1"/>
  <c r="E22827" i="1"/>
  <c r="F22826" i="1"/>
  <c r="E22826" i="1"/>
  <c r="F22825" i="1"/>
  <c r="E22825" i="1"/>
  <c r="F22824" i="1"/>
  <c r="E22824" i="1"/>
  <c r="F22823" i="1"/>
  <c r="E22823" i="1"/>
  <c r="F22822" i="1"/>
  <c r="E22822" i="1"/>
  <c r="F22821" i="1"/>
  <c r="E22821" i="1"/>
  <c r="F22820" i="1"/>
  <c r="E22820" i="1"/>
  <c r="F22819" i="1"/>
  <c r="E22819" i="1"/>
  <c r="F22818" i="1"/>
  <c r="E22818" i="1"/>
  <c r="F22817" i="1"/>
  <c r="E22817" i="1"/>
  <c r="F22816" i="1"/>
  <c r="E22816" i="1"/>
  <c r="F22815" i="1"/>
  <c r="E22815" i="1"/>
  <c r="F22814" i="1"/>
  <c r="E22814" i="1"/>
  <c r="F22813" i="1"/>
  <c r="E22813" i="1"/>
  <c r="F22812" i="1"/>
  <c r="E22812" i="1"/>
  <c r="F22811" i="1"/>
  <c r="E22811" i="1"/>
  <c r="F22810" i="1"/>
  <c r="E22810" i="1"/>
  <c r="F22809" i="1"/>
  <c r="E22809" i="1"/>
  <c r="F22808" i="1"/>
  <c r="E22808" i="1"/>
  <c r="F22807" i="1"/>
  <c r="E22807" i="1"/>
  <c r="F22806" i="1"/>
  <c r="E22806" i="1"/>
  <c r="F22805" i="1"/>
  <c r="E22805" i="1"/>
  <c r="F22804" i="1"/>
  <c r="E22804" i="1"/>
  <c r="F22803" i="1"/>
  <c r="E22803" i="1"/>
  <c r="F22802" i="1"/>
  <c r="E22802" i="1"/>
  <c r="F22801" i="1"/>
  <c r="E22801" i="1"/>
  <c r="F22800" i="1"/>
  <c r="E22800" i="1"/>
  <c r="F22799" i="1"/>
  <c r="E22799" i="1"/>
  <c r="F22798" i="1"/>
  <c r="E22798" i="1"/>
  <c r="F22797" i="1"/>
  <c r="E22797" i="1"/>
  <c r="F22796" i="1"/>
  <c r="E22796" i="1"/>
  <c r="F22795" i="1"/>
  <c r="E22795" i="1"/>
  <c r="F22794" i="1"/>
  <c r="E22794" i="1"/>
  <c r="F22793" i="1"/>
  <c r="E22793" i="1"/>
  <c r="F22792" i="1"/>
  <c r="E22792" i="1"/>
  <c r="F22791" i="1"/>
  <c r="F22790" i="1"/>
  <c r="E22790" i="1"/>
  <c r="F22789" i="1"/>
  <c r="E22789" i="1"/>
  <c r="F22788" i="1"/>
  <c r="E22788" i="1"/>
  <c r="F22787" i="1"/>
  <c r="E22787" i="1"/>
  <c r="F22786" i="1"/>
  <c r="E22786" i="1"/>
  <c r="F22785" i="1"/>
  <c r="E22785" i="1"/>
  <c r="F22784" i="1"/>
  <c r="E22784" i="1"/>
  <c r="F22783" i="1"/>
  <c r="E22783" i="1"/>
  <c r="F22782" i="1"/>
  <c r="E22782" i="1"/>
  <c r="F22781" i="1"/>
  <c r="E22781" i="1"/>
  <c r="F22780" i="1"/>
  <c r="E22780" i="1"/>
  <c r="F22779" i="1"/>
  <c r="E22779" i="1"/>
  <c r="F22778" i="1"/>
  <c r="E22778" i="1"/>
  <c r="F22777" i="1"/>
  <c r="E22777" i="1"/>
  <c r="F22776" i="1"/>
  <c r="E22776" i="1"/>
  <c r="F22775" i="1"/>
  <c r="E22775" i="1"/>
  <c r="F22774" i="1"/>
  <c r="E22774" i="1"/>
  <c r="F22773" i="1"/>
  <c r="E22773" i="1"/>
  <c r="F22772" i="1"/>
  <c r="E22772" i="1"/>
  <c r="F22771" i="1"/>
  <c r="E22771" i="1"/>
  <c r="F22770" i="1"/>
  <c r="E22770" i="1"/>
  <c r="F22769" i="1"/>
  <c r="E22769" i="1"/>
  <c r="F22768" i="1"/>
  <c r="E22768" i="1"/>
  <c r="F22767" i="1"/>
  <c r="E22767" i="1"/>
  <c r="F22766" i="1"/>
  <c r="E22766" i="1"/>
  <c r="F22765" i="1"/>
  <c r="E22765" i="1"/>
  <c r="F22764" i="1"/>
  <c r="E22764" i="1"/>
  <c r="F22763" i="1"/>
  <c r="E22763" i="1"/>
  <c r="F22762" i="1"/>
  <c r="F22761" i="1"/>
  <c r="E22761" i="1"/>
  <c r="F22760" i="1"/>
  <c r="E22760" i="1"/>
  <c r="F22759" i="1"/>
  <c r="E22759" i="1"/>
  <c r="F22758" i="1"/>
  <c r="E22758" i="1"/>
  <c r="F22757" i="1"/>
  <c r="E22757" i="1"/>
  <c r="F22756" i="1"/>
  <c r="E22756" i="1"/>
  <c r="F22755" i="1"/>
  <c r="E22755" i="1"/>
  <c r="F22754" i="1"/>
  <c r="E22754" i="1"/>
  <c r="F22753" i="1"/>
  <c r="E22753" i="1"/>
  <c r="F22752" i="1"/>
  <c r="E22752" i="1"/>
  <c r="F22751" i="1"/>
  <c r="E22751" i="1"/>
  <c r="F22750" i="1"/>
  <c r="E22750" i="1"/>
  <c r="F22749" i="1"/>
  <c r="E22749" i="1"/>
  <c r="F22748" i="1"/>
  <c r="E22748" i="1"/>
  <c r="F22747" i="1"/>
  <c r="E22747" i="1"/>
  <c r="F22746" i="1"/>
  <c r="E22746" i="1"/>
  <c r="F22745" i="1"/>
  <c r="E22745" i="1"/>
  <c r="F22744" i="1"/>
  <c r="F22743" i="1"/>
  <c r="E22743" i="1"/>
  <c r="F22742" i="1"/>
  <c r="E22742" i="1"/>
  <c r="F22741" i="1"/>
  <c r="E22741" i="1"/>
  <c r="F22740" i="1"/>
  <c r="E22740" i="1"/>
  <c r="F22739" i="1"/>
  <c r="E22739" i="1"/>
  <c r="F22738" i="1"/>
  <c r="E22738" i="1"/>
  <c r="F22737" i="1"/>
  <c r="E22737" i="1"/>
  <c r="F22736" i="1"/>
  <c r="E22736" i="1"/>
  <c r="F22735" i="1"/>
  <c r="E22735" i="1"/>
  <c r="F22734" i="1"/>
  <c r="E22734" i="1"/>
  <c r="F22733" i="1"/>
  <c r="E22733" i="1"/>
  <c r="F22732" i="1"/>
  <c r="E22732" i="1"/>
  <c r="F22731" i="1"/>
  <c r="E22731" i="1"/>
  <c r="F22730" i="1"/>
  <c r="E22730" i="1"/>
  <c r="F22729" i="1"/>
  <c r="E22729" i="1"/>
  <c r="F22728" i="1"/>
  <c r="E22728" i="1"/>
  <c r="F22727" i="1"/>
  <c r="E22727" i="1"/>
  <c r="F22726" i="1"/>
  <c r="E22726" i="1"/>
  <c r="F22725" i="1"/>
  <c r="E22725" i="1"/>
  <c r="F22724" i="1"/>
  <c r="E22724" i="1"/>
  <c r="F22723" i="1"/>
  <c r="E22723" i="1"/>
  <c r="F22722" i="1"/>
  <c r="E22722" i="1"/>
  <c r="F22721" i="1"/>
  <c r="E22721" i="1"/>
  <c r="F22720" i="1"/>
  <c r="E22720" i="1"/>
  <c r="F22719" i="1"/>
  <c r="E22719" i="1"/>
  <c r="F22718" i="1"/>
  <c r="E22718" i="1"/>
  <c r="F22717" i="1"/>
  <c r="F22716" i="1"/>
  <c r="E22716" i="1"/>
  <c r="F22715" i="1"/>
  <c r="E22715" i="1"/>
  <c r="F22714" i="1"/>
  <c r="E22714" i="1"/>
  <c r="F22713" i="1"/>
  <c r="E22713" i="1"/>
  <c r="F22712" i="1"/>
  <c r="E22712" i="1"/>
  <c r="F22711" i="1"/>
  <c r="E22711" i="1"/>
  <c r="F22710" i="1"/>
  <c r="E22710" i="1"/>
  <c r="F22709" i="1"/>
  <c r="E22709" i="1"/>
  <c r="F22708" i="1"/>
  <c r="E22708" i="1"/>
  <c r="F22707" i="1"/>
  <c r="E22707" i="1"/>
  <c r="F22706" i="1"/>
  <c r="E22706" i="1"/>
  <c r="F22705" i="1"/>
  <c r="E22705" i="1"/>
  <c r="F22704" i="1"/>
  <c r="E22704" i="1"/>
  <c r="F22703" i="1"/>
  <c r="E22703" i="1"/>
  <c r="F22702" i="1"/>
  <c r="E22702" i="1"/>
  <c r="F22701" i="1"/>
  <c r="E22701" i="1"/>
  <c r="F22700" i="1"/>
  <c r="E22700" i="1"/>
  <c r="F22699" i="1"/>
  <c r="E22699" i="1"/>
  <c r="F22698" i="1"/>
  <c r="E22698" i="1"/>
  <c r="F22697" i="1"/>
  <c r="E22697" i="1"/>
  <c r="F22696" i="1"/>
  <c r="E22696" i="1"/>
  <c r="F22695" i="1"/>
  <c r="E22695" i="1"/>
  <c r="F22694" i="1"/>
  <c r="E22694" i="1"/>
  <c r="F22693" i="1"/>
  <c r="E22693" i="1"/>
  <c r="F22692" i="1"/>
  <c r="E22692" i="1"/>
  <c r="F22691" i="1"/>
  <c r="E22691" i="1"/>
  <c r="F22690" i="1"/>
  <c r="E22690" i="1"/>
  <c r="F22689" i="1"/>
  <c r="E22689" i="1"/>
  <c r="F22688" i="1"/>
  <c r="E22688" i="1"/>
  <c r="F22687" i="1"/>
  <c r="E22687" i="1"/>
  <c r="F22686" i="1"/>
  <c r="E22686" i="1"/>
  <c r="F22685" i="1"/>
  <c r="E22685" i="1"/>
  <c r="F22684" i="1"/>
  <c r="F22683" i="1"/>
  <c r="E22683" i="1"/>
  <c r="F22682" i="1"/>
  <c r="E22682" i="1"/>
  <c r="F22681" i="1"/>
  <c r="E22681" i="1"/>
  <c r="F22680" i="1"/>
  <c r="E22680" i="1"/>
  <c r="F22679" i="1"/>
  <c r="E22679" i="1"/>
  <c r="F22678" i="1"/>
  <c r="E22678" i="1"/>
  <c r="F22677" i="1"/>
  <c r="E22677" i="1"/>
  <c r="F22676" i="1"/>
  <c r="E22676" i="1"/>
  <c r="F22675" i="1"/>
  <c r="E22675" i="1"/>
  <c r="F22674" i="1"/>
  <c r="E22674" i="1"/>
  <c r="F22673" i="1"/>
  <c r="E22673" i="1"/>
  <c r="F22672" i="1"/>
  <c r="E22672" i="1"/>
  <c r="F22671" i="1"/>
  <c r="E22671" i="1"/>
  <c r="F22670" i="1"/>
  <c r="E22670" i="1"/>
  <c r="F22669" i="1"/>
  <c r="E22669" i="1"/>
  <c r="F22668" i="1"/>
  <c r="E22668" i="1"/>
  <c r="F22667" i="1"/>
  <c r="E22667" i="1"/>
  <c r="F22666" i="1"/>
  <c r="E22666" i="1"/>
  <c r="F22665" i="1"/>
  <c r="E22665" i="1"/>
  <c r="F22664" i="1"/>
  <c r="E22664" i="1"/>
  <c r="F22663" i="1"/>
  <c r="E22663" i="1"/>
  <c r="F22662" i="1"/>
  <c r="E22662" i="1"/>
  <c r="F22661" i="1"/>
  <c r="E22661" i="1"/>
  <c r="F22660" i="1"/>
  <c r="E22660" i="1"/>
  <c r="F22659" i="1"/>
  <c r="E22659" i="1"/>
  <c r="F22658" i="1"/>
  <c r="E22658" i="1"/>
  <c r="F22657" i="1"/>
  <c r="E22657" i="1"/>
  <c r="F22656" i="1"/>
  <c r="E22656" i="1"/>
  <c r="F22655" i="1"/>
  <c r="E22655" i="1"/>
  <c r="F22654" i="1"/>
  <c r="F22653" i="1"/>
  <c r="F22652" i="1"/>
  <c r="E22652" i="1"/>
  <c r="F22651" i="1"/>
  <c r="E22651" i="1"/>
  <c r="F22650" i="1"/>
  <c r="E22650" i="1"/>
  <c r="F22649" i="1"/>
  <c r="E22649" i="1"/>
  <c r="F22648" i="1"/>
  <c r="E22648" i="1"/>
  <c r="F22647" i="1"/>
  <c r="E22647" i="1"/>
  <c r="F22646" i="1"/>
  <c r="E22646" i="1"/>
  <c r="F22645" i="1"/>
  <c r="E22645" i="1"/>
  <c r="F22644" i="1"/>
  <c r="E22644" i="1"/>
  <c r="F22643" i="1"/>
  <c r="E22643" i="1"/>
  <c r="F22642" i="1"/>
  <c r="E22642" i="1"/>
  <c r="F22641" i="1"/>
  <c r="E22641" i="1"/>
  <c r="F22640" i="1"/>
  <c r="E22640" i="1"/>
  <c r="F22639" i="1"/>
  <c r="E22639" i="1"/>
  <c r="F22638" i="1"/>
  <c r="E22638" i="1"/>
  <c r="F22637" i="1"/>
  <c r="E22637" i="1"/>
  <c r="F22636" i="1"/>
  <c r="E22636" i="1"/>
  <c r="F22635" i="1"/>
  <c r="E22635" i="1"/>
  <c r="F22634" i="1"/>
  <c r="E22634" i="1"/>
  <c r="F22633" i="1"/>
  <c r="E22633" i="1"/>
  <c r="F22632" i="1"/>
  <c r="E22632" i="1"/>
  <c r="F22631" i="1"/>
  <c r="E22631" i="1"/>
  <c r="F22630" i="1"/>
  <c r="E22630" i="1"/>
  <c r="F22629" i="1"/>
  <c r="E22629" i="1"/>
  <c r="F22628" i="1"/>
  <c r="E22628" i="1"/>
  <c r="F22627" i="1"/>
  <c r="E22627" i="1"/>
  <c r="F22626" i="1"/>
  <c r="E22626" i="1"/>
  <c r="F22625" i="1"/>
  <c r="E22625" i="1"/>
  <c r="F22624" i="1"/>
  <c r="E22624" i="1"/>
  <c r="F22623" i="1"/>
  <c r="F22622" i="1"/>
  <c r="E22622" i="1"/>
  <c r="F22621" i="1"/>
  <c r="E22621" i="1"/>
  <c r="F22620" i="1"/>
  <c r="E22620" i="1"/>
  <c r="F22619" i="1"/>
  <c r="E22619" i="1"/>
  <c r="F22618" i="1"/>
  <c r="E22618" i="1"/>
  <c r="F22617" i="1"/>
  <c r="E22617" i="1"/>
  <c r="F22616" i="1"/>
  <c r="E22616" i="1"/>
  <c r="F22615" i="1"/>
  <c r="E22615" i="1"/>
  <c r="F22614" i="1"/>
  <c r="E22614" i="1"/>
  <c r="F22613" i="1"/>
  <c r="E22613" i="1"/>
  <c r="F22612" i="1"/>
  <c r="E22612" i="1"/>
  <c r="F22611" i="1"/>
  <c r="E22611" i="1"/>
  <c r="F22610" i="1"/>
  <c r="E22610" i="1"/>
  <c r="F22609" i="1"/>
  <c r="E22609" i="1"/>
  <c r="F22608" i="1"/>
  <c r="E22608" i="1"/>
  <c r="F22607" i="1"/>
  <c r="E22607" i="1"/>
  <c r="F22606" i="1"/>
  <c r="E22606" i="1"/>
  <c r="F22605" i="1"/>
  <c r="E22605" i="1"/>
  <c r="F22604" i="1"/>
  <c r="E22604" i="1"/>
  <c r="F22603" i="1"/>
  <c r="E22603" i="1"/>
  <c r="F22602" i="1"/>
  <c r="E22602" i="1"/>
  <c r="F22601" i="1"/>
  <c r="E22601" i="1"/>
  <c r="F22600" i="1"/>
  <c r="E22600" i="1"/>
  <c r="F22599" i="1"/>
  <c r="E22599" i="1"/>
  <c r="F22598" i="1"/>
  <c r="E22598" i="1"/>
  <c r="F22597" i="1"/>
  <c r="E22597" i="1"/>
  <c r="F22596" i="1"/>
  <c r="E22596" i="1"/>
  <c r="F22595" i="1"/>
  <c r="E22595" i="1"/>
  <c r="F22594" i="1"/>
  <c r="E22594" i="1"/>
  <c r="F22593" i="1"/>
  <c r="E22593" i="1"/>
  <c r="F22592" i="1"/>
  <c r="E22592" i="1"/>
  <c r="F22591" i="1"/>
  <c r="E22591" i="1"/>
  <c r="F22590" i="1"/>
  <c r="E22590" i="1"/>
  <c r="F22589" i="1"/>
  <c r="E22589" i="1"/>
  <c r="F22588" i="1"/>
  <c r="E22588" i="1"/>
  <c r="F22587" i="1"/>
  <c r="E22587" i="1"/>
  <c r="F22586" i="1"/>
  <c r="E22586" i="1"/>
  <c r="F22585" i="1"/>
  <c r="E22585" i="1"/>
  <c r="F22584" i="1"/>
  <c r="E22584" i="1"/>
  <c r="F22583" i="1"/>
  <c r="E22583" i="1"/>
  <c r="F22582" i="1"/>
  <c r="E22582" i="1"/>
  <c r="F22581" i="1"/>
  <c r="E22581" i="1"/>
  <c r="F22580" i="1"/>
  <c r="E22580" i="1"/>
  <c r="F22579" i="1"/>
  <c r="E22579" i="1"/>
  <c r="F22578" i="1"/>
  <c r="E22578" i="1"/>
  <c r="F22577" i="1"/>
  <c r="E22577" i="1"/>
  <c r="F22576" i="1"/>
  <c r="E22576" i="1"/>
  <c r="F22575" i="1"/>
  <c r="E22575" i="1"/>
  <c r="F22574" i="1"/>
  <c r="E22574" i="1"/>
  <c r="F22573" i="1"/>
  <c r="E22573" i="1"/>
  <c r="F22572" i="1"/>
  <c r="E22572" i="1"/>
  <c r="F22571" i="1"/>
  <c r="E22571" i="1"/>
  <c r="F22570" i="1"/>
  <c r="E22570" i="1"/>
  <c r="F22569" i="1"/>
  <c r="E22569" i="1"/>
  <c r="F22568" i="1"/>
  <c r="E22568" i="1"/>
  <c r="F22567" i="1"/>
  <c r="E22567" i="1"/>
  <c r="F22566" i="1"/>
  <c r="E22566" i="1"/>
  <c r="F22565" i="1"/>
  <c r="E22565" i="1"/>
  <c r="F22564" i="1"/>
  <c r="E22564" i="1"/>
  <c r="F22563" i="1"/>
  <c r="E22563" i="1"/>
  <c r="F22562" i="1"/>
  <c r="E22562" i="1"/>
  <c r="F22561" i="1"/>
  <c r="E22561" i="1"/>
  <c r="F22560" i="1"/>
  <c r="E22560" i="1"/>
  <c r="F22559" i="1"/>
  <c r="E22559" i="1"/>
  <c r="F22558" i="1"/>
  <c r="E22558" i="1"/>
  <c r="F22557" i="1"/>
  <c r="E22557" i="1"/>
  <c r="F22556" i="1"/>
  <c r="E22556" i="1"/>
  <c r="F22555" i="1"/>
  <c r="E22555" i="1"/>
  <c r="F22554" i="1"/>
  <c r="F22553" i="1"/>
  <c r="E22553" i="1"/>
  <c r="F22552" i="1"/>
  <c r="E22552" i="1"/>
  <c r="F22551" i="1"/>
  <c r="E22551" i="1"/>
  <c r="F22550" i="1"/>
  <c r="E22550" i="1"/>
  <c r="F22549" i="1"/>
  <c r="E22549" i="1"/>
  <c r="F22548" i="1"/>
  <c r="E22548" i="1"/>
  <c r="F22547" i="1"/>
  <c r="E22547" i="1"/>
  <c r="F22546" i="1"/>
  <c r="E22546" i="1"/>
  <c r="F22545" i="1"/>
  <c r="E22545" i="1"/>
  <c r="F22544" i="1"/>
  <c r="E22544" i="1"/>
  <c r="F22543" i="1"/>
  <c r="E22543" i="1"/>
  <c r="F22542" i="1"/>
  <c r="E22542" i="1"/>
  <c r="F22541" i="1"/>
  <c r="E22541" i="1"/>
  <c r="F22540" i="1"/>
  <c r="E22540" i="1"/>
  <c r="F22539" i="1"/>
  <c r="E22539" i="1"/>
  <c r="F22538" i="1"/>
  <c r="E22538" i="1"/>
  <c r="F22537" i="1"/>
  <c r="E22537" i="1"/>
  <c r="F22536" i="1"/>
  <c r="E22536" i="1"/>
  <c r="F22535" i="1"/>
  <c r="E22535" i="1"/>
  <c r="F22534" i="1"/>
  <c r="E22534" i="1"/>
  <c r="F22533" i="1"/>
  <c r="E22533" i="1"/>
  <c r="F22532" i="1"/>
  <c r="E22532" i="1"/>
  <c r="F22531" i="1"/>
  <c r="E22531" i="1"/>
  <c r="F22530" i="1"/>
  <c r="E22530" i="1"/>
  <c r="F22529" i="1"/>
  <c r="E22529" i="1"/>
  <c r="F22528" i="1"/>
  <c r="E22528" i="1"/>
  <c r="F22527" i="1"/>
  <c r="E22527" i="1"/>
  <c r="F22526" i="1"/>
  <c r="E22526" i="1"/>
  <c r="F22525" i="1"/>
  <c r="E22525" i="1"/>
  <c r="F22524" i="1"/>
  <c r="E22524" i="1"/>
  <c r="F22523" i="1"/>
  <c r="E22523" i="1"/>
  <c r="F22522" i="1"/>
  <c r="E22522" i="1"/>
  <c r="F22521" i="1"/>
  <c r="E22521" i="1"/>
  <c r="F22520" i="1"/>
  <c r="E22520" i="1"/>
  <c r="F22519" i="1"/>
  <c r="E22519" i="1"/>
  <c r="F22518" i="1"/>
  <c r="E22518" i="1"/>
  <c r="F22517" i="1"/>
  <c r="E22517" i="1"/>
  <c r="F22516" i="1"/>
  <c r="E22516" i="1"/>
  <c r="F22515" i="1"/>
  <c r="E22515" i="1"/>
  <c r="F22514" i="1"/>
  <c r="E22514" i="1"/>
  <c r="F22513" i="1"/>
  <c r="E22513" i="1"/>
  <c r="F22512" i="1"/>
  <c r="E22512" i="1"/>
  <c r="F22511" i="1"/>
  <c r="E22511" i="1"/>
  <c r="F22510" i="1"/>
  <c r="E22510" i="1"/>
  <c r="F22509" i="1"/>
  <c r="E22509" i="1"/>
  <c r="F22508" i="1"/>
  <c r="E22508" i="1"/>
  <c r="F22507" i="1"/>
  <c r="E22507" i="1"/>
  <c r="F22506" i="1"/>
  <c r="E22506" i="1"/>
  <c r="F22505" i="1"/>
  <c r="E22505" i="1"/>
  <c r="F22504" i="1"/>
  <c r="E22504" i="1"/>
  <c r="F22503" i="1"/>
  <c r="E22503" i="1"/>
  <c r="F22502" i="1"/>
  <c r="E22502" i="1"/>
  <c r="F22501" i="1"/>
  <c r="E22501" i="1"/>
  <c r="F22500" i="1"/>
  <c r="E22500" i="1"/>
  <c r="F22499" i="1"/>
  <c r="E22499" i="1"/>
  <c r="F22498" i="1"/>
  <c r="E22498" i="1"/>
  <c r="F22497" i="1"/>
  <c r="E22497" i="1"/>
  <c r="F22496" i="1"/>
  <c r="E22496" i="1"/>
  <c r="F22495" i="1"/>
  <c r="E22495" i="1"/>
  <c r="F22494" i="1"/>
  <c r="E22494" i="1"/>
  <c r="F22493" i="1"/>
  <c r="E22493" i="1"/>
  <c r="F22492" i="1"/>
  <c r="E22492" i="1"/>
  <c r="F22491" i="1"/>
  <c r="E22491" i="1"/>
  <c r="F22490" i="1"/>
  <c r="E22490" i="1"/>
  <c r="F22489" i="1"/>
  <c r="E22489" i="1"/>
  <c r="F22488" i="1"/>
  <c r="E22488" i="1"/>
  <c r="F22487" i="1"/>
  <c r="E22487" i="1"/>
  <c r="F22486" i="1"/>
  <c r="E22486" i="1"/>
  <c r="F22485" i="1"/>
  <c r="E22485" i="1"/>
  <c r="F22484" i="1"/>
  <c r="E22484" i="1"/>
  <c r="F22483" i="1"/>
  <c r="E22483" i="1"/>
  <c r="F22482" i="1"/>
  <c r="E22482" i="1"/>
  <c r="F22481" i="1"/>
  <c r="E22481" i="1"/>
  <c r="F22480" i="1"/>
  <c r="E22480" i="1"/>
  <c r="F22479" i="1"/>
  <c r="E22479" i="1"/>
  <c r="F22478" i="1"/>
  <c r="E22478" i="1"/>
  <c r="F22477" i="1"/>
  <c r="F22476" i="1"/>
  <c r="E22476" i="1"/>
  <c r="F22475" i="1"/>
  <c r="E22475" i="1"/>
  <c r="F22474" i="1"/>
  <c r="F22473" i="1"/>
  <c r="E22473" i="1"/>
  <c r="F22472" i="1"/>
  <c r="E22472" i="1"/>
  <c r="F22471" i="1"/>
  <c r="E22471" i="1"/>
  <c r="F22470" i="1"/>
  <c r="E22470" i="1"/>
  <c r="F22469" i="1"/>
  <c r="E22469" i="1"/>
  <c r="F22468" i="1"/>
  <c r="E22468" i="1"/>
  <c r="F22467" i="1"/>
  <c r="E22467" i="1"/>
  <c r="F22466" i="1"/>
  <c r="E22466" i="1"/>
  <c r="F22465" i="1"/>
  <c r="E22465" i="1"/>
  <c r="F22464" i="1"/>
  <c r="E22464" i="1"/>
  <c r="F22463" i="1"/>
  <c r="E22463" i="1"/>
  <c r="F22462" i="1"/>
  <c r="E22462" i="1"/>
  <c r="F22461" i="1"/>
  <c r="E22461" i="1"/>
  <c r="F22460" i="1"/>
  <c r="E22460" i="1"/>
  <c r="F22459" i="1"/>
  <c r="E22459" i="1"/>
  <c r="F22458" i="1"/>
  <c r="E22458" i="1"/>
  <c r="F22457" i="1"/>
  <c r="E22457" i="1"/>
  <c r="F22456" i="1"/>
  <c r="E22456" i="1"/>
  <c r="F22455" i="1"/>
  <c r="E22455" i="1"/>
  <c r="F22454" i="1"/>
  <c r="E22454" i="1"/>
  <c r="F22453" i="1"/>
  <c r="F22452" i="1"/>
  <c r="E22452" i="1"/>
  <c r="F22451" i="1"/>
  <c r="E22451" i="1"/>
  <c r="F22450" i="1"/>
  <c r="E22450" i="1"/>
  <c r="F22449" i="1"/>
  <c r="E22449" i="1"/>
  <c r="F22448" i="1"/>
  <c r="E22448" i="1"/>
  <c r="F22447" i="1"/>
  <c r="E22447" i="1"/>
  <c r="F22446" i="1"/>
  <c r="E22446" i="1"/>
  <c r="F22445" i="1"/>
  <c r="E22445" i="1"/>
  <c r="F22444" i="1"/>
  <c r="E22444" i="1"/>
  <c r="F22443" i="1"/>
  <c r="E22443" i="1"/>
  <c r="F22442" i="1"/>
  <c r="E22442" i="1"/>
  <c r="F22441" i="1"/>
  <c r="E22441" i="1"/>
  <c r="F22440" i="1"/>
  <c r="E22440" i="1"/>
  <c r="F22439" i="1"/>
  <c r="E22439" i="1"/>
  <c r="F22438" i="1"/>
  <c r="E22438" i="1"/>
  <c r="F22437" i="1"/>
  <c r="E22437" i="1"/>
  <c r="F22436" i="1"/>
  <c r="E22436" i="1"/>
  <c r="F22435" i="1"/>
  <c r="E22435" i="1"/>
  <c r="F22434" i="1"/>
  <c r="E22434" i="1"/>
  <c r="F22433" i="1"/>
  <c r="E22433" i="1"/>
  <c r="F22432" i="1"/>
  <c r="E22432" i="1"/>
  <c r="F22431" i="1"/>
  <c r="E22431" i="1"/>
  <c r="F22430" i="1"/>
  <c r="E22430" i="1"/>
  <c r="F22429" i="1"/>
  <c r="E22429" i="1"/>
  <c r="F22428" i="1"/>
  <c r="E22428" i="1"/>
  <c r="F22427" i="1"/>
  <c r="E22427" i="1"/>
  <c r="F22426" i="1"/>
  <c r="E22426" i="1"/>
  <c r="F22425" i="1"/>
  <c r="E22425" i="1"/>
  <c r="F22424" i="1"/>
  <c r="E22424" i="1"/>
  <c r="F22423" i="1"/>
  <c r="E22423" i="1"/>
  <c r="F22422" i="1"/>
  <c r="E22422" i="1"/>
  <c r="F22421" i="1"/>
  <c r="E22421" i="1"/>
  <c r="F22420" i="1"/>
  <c r="E22420" i="1"/>
  <c r="F22419" i="1"/>
  <c r="E22419" i="1"/>
  <c r="F22418" i="1"/>
  <c r="E22418" i="1"/>
  <c r="F22417" i="1"/>
  <c r="E22417" i="1"/>
  <c r="F22416" i="1"/>
  <c r="E22416" i="1"/>
  <c r="F22415" i="1"/>
  <c r="E22415" i="1"/>
  <c r="F22414" i="1"/>
  <c r="E22414" i="1"/>
  <c r="F22413" i="1"/>
  <c r="E22413" i="1"/>
  <c r="F22412" i="1"/>
  <c r="E22412" i="1"/>
  <c r="F22411" i="1"/>
  <c r="E22411" i="1"/>
  <c r="F22410" i="1"/>
  <c r="E22410" i="1"/>
  <c r="F22409" i="1"/>
  <c r="E22409" i="1"/>
  <c r="F22408" i="1"/>
  <c r="E22408" i="1"/>
  <c r="F22407" i="1"/>
  <c r="E22407" i="1"/>
  <c r="F22406" i="1"/>
  <c r="E22406" i="1"/>
  <c r="F22405" i="1"/>
  <c r="E22405" i="1"/>
  <c r="F22404" i="1"/>
  <c r="E22404" i="1"/>
  <c r="F22403" i="1"/>
  <c r="E22403" i="1"/>
  <c r="F22402" i="1"/>
  <c r="E22402" i="1"/>
  <c r="F22401" i="1"/>
  <c r="E22401" i="1"/>
  <c r="F22400" i="1"/>
  <c r="E22400" i="1"/>
  <c r="F22399" i="1"/>
  <c r="E22399" i="1"/>
  <c r="F22398" i="1"/>
  <c r="E22398" i="1"/>
  <c r="F22397" i="1"/>
  <c r="E22397" i="1"/>
  <c r="F22396" i="1"/>
  <c r="E22396" i="1"/>
  <c r="F22395" i="1"/>
  <c r="E22395" i="1"/>
  <c r="F22394" i="1"/>
  <c r="E22394" i="1"/>
  <c r="F22393" i="1"/>
  <c r="E22393" i="1"/>
  <c r="F22392" i="1"/>
  <c r="E22392" i="1"/>
  <c r="F22391" i="1"/>
  <c r="E22391" i="1"/>
  <c r="F22390" i="1"/>
  <c r="E22390" i="1"/>
  <c r="F22389" i="1"/>
  <c r="E22389" i="1"/>
  <c r="F22388" i="1"/>
  <c r="E22388" i="1"/>
  <c r="F22387" i="1"/>
  <c r="E22387" i="1"/>
  <c r="F22386" i="1"/>
  <c r="E22386" i="1"/>
  <c r="F22385" i="1"/>
  <c r="E22385" i="1"/>
  <c r="F22384" i="1"/>
  <c r="E22384" i="1"/>
  <c r="F22383" i="1"/>
  <c r="E22383" i="1"/>
  <c r="F22382" i="1"/>
  <c r="E22382" i="1"/>
  <c r="F22381" i="1"/>
  <c r="E22381" i="1"/>
  <c r="F22380" i="1"/>
  <c r="E22380" i="1"/>
  <c r="F22379" i="1"/>
  <c r="E22379" i="1"/>
  <c r="F22378" i="1"/>
  <c r="E22378" i="1"/>
  <c r="F22377" i="1"/>
  <c r="E22377" i="1"/>
  <c r="F22376" i="1"/>
  <c r="E22376" i="1"/>
  <c r="F22375" i="1"/>
  <c r="E22375" i="1"/>
  <c r="F22374" i="1"/>
  <c r="E22374" i="1"/>
  <c r="F22373" i="1"/>
  <c r="E22373" i="1"/>
  <c r="F22372" i="1"/>
  <c r="E22372" i="1"/>
  <c r="F22371" i="1"/>
  <c r="E22371" i="1"/>
  <c r="F22370" i="1"/>
  <c r="E22370" i="1"/>
  <c r="F22369" i="1"/>
  <c r="E22369" i="1"/>
  <c r="F22368" i="1"/>
  <c r="E22368" i="1"/>
  <c r="F22367" i="1"/>
  <c r="E22367" i="1"/>
  <c r="F22366" i="1"/>
  <c r="E22366" i="1"/>
  <c r="F22365" i="1"/>
  <c r="E22365" i="1"/>
  <c r="F22364" i="1"/>
  <c r="E22364" i="1"/>
  <c r="F22363" i="1"/>
  <c r="E22363" i="1"/>
  <c r="F22362" i="1"/>
  <c r="E22362" i="1"/>
  <c r="F22361" i="1"/>
  <c r="E22361" i="1"/>
  <c r="F22360" i="1"/>
  <c r="E22360" i="1"/>
  <c r="F22359" i="1"/>
  <c r="E22359" i="1"/>
  <c r="F22358" i="1"/>
  <c r="E22358" i="1"/>
  <c r="F22357" i="1"/>
  <c r="E22357" i="1"/>
  <c r="F22356" i="1"/>
  <c r="E22356" i="1"/>
  <c r="F22355" i="1"/>
  <c r="E22355" i="1"/>
  <c r="F22354" i="1"/>
  <c r="E22354" i="1"/>
  <c r="F22353" i="1"/>
  <c r="E22353" i="1"/>
  <c r="F22352" i="1"/>
  <c r="E22352" i="1"/>
  <c r="F22351" i="1"/>
  <c r="E22351" i="1"/>
  <c r="F22350" i="1"/>
  <c r="E22350" i="1"/>
  <c r="F22349" i="1"/>
  <c r="E22349" i="1"/>
  <c r="F22348" i="1"/>
  <c r="E22348" i="1"/>
  <c r="F22347" i="1"/>
  <c r="E22347" i="1"/>
  <c r="F22346" i="1"/>
  <c r="E22346" i="1"/>
  <c r="F22345" i="1"/>
  <c r="E22345" i="1"/>
  <c r="F22344" i="1"/>
  <c r="E22344" i="1"/>
  <c r="F22343" i="1"/>
  <c r="E22343" i="1"/>
  <c r="F22342" i="1"/>
  <c r="E22342" i="1"/>
  <c r="F22341" i="1"/>
  <c r="E22341" i="1"/>
  <c r="F22340" i="1"/>
  <c r="E22340" i="1"/>
  <c r="F22339" i="1"/>
  <c r="E22339" i="1"/>
  <c r="F22338" i="1"/>
  <c r="E22338" i="1"/>
  <c r="F22337" i="1"/>
  <c r="E22337" i="1"/>
  <c r="F22336" i="1"/>
  <c r="E22336" i="1"/>
  <c r="F22335" i="1"/>
  <c r="E22335" i="1"/>
  <c r="F22334" i="1"/>
  <c r="E22334" i="1"/>
  <c r="F22333" i="1"/>
  <c r="E22333" i="1"/>
  <c r="F22332" i="1"/>
  <c r="E22332" i="1"/>
  <c r="F22331" i="1"/>
  <c r="E22331" i="1"/>
  <c r="F22330" i="1"/>
  <c r="E22330" i="1"/>
  <c r="F22329" i="1"/>
  <c r="E22329" i="1"/>
  <c r="F22328" i="1"/>
  <c r="E22328" i="1"/>
  <c r="F22327" i="1"/>
  <c r="E22327" i="1"/>
  <c r="F22326" i="1"/>
  <c r="E22326" i="1"/>
  <c r="F22325" i="1"/>
  <c r="E22325" i="1"/>
  <c r="F22324" i="1"/>
  <c r="E22324" i="1"/>
  <c r="F22323" i="1"/>
  <c r="E22323" i="1"/>
  <c r="F22322" i="1"/>
  <c r="E22322" i="1"/>
  <c r="F22321" i="1"/>
  <c r="E22321" i="1"/>
  <c r="F22320" i="1"/>
  <c r="E22320" i="1"/>
  <c r="F22319" i="1"/>
  <c r="E22319" i="1"/>
  <c r="F22318" i="1"/>
  <c r="E22318" i="1"/>
  <c r="F22317" i="1"/>
  <c r="E22317" i="1"/>
  <c r="F22316" i="1"/>
  <c r="E22316" i="1"/>
  <c r="F22315" i="1"/>
  <c r="E22315" i="1"/>
  <c r="F22314" i="1"/>
  <c r="E22314" i="1"/>
  <c r="F22313" i="1"/>
  <c r="E22313" i="1"/>
  <c r="F22312" i="1"/>
  <c r="E22312" i="1"/>
  <c r="F22311" i="1"/>
  <c r="E22311" i="1"/>
  <c r="F22310" i="1"/>
  <c r="E22310" i="1"/>
  <c r="F22309" i="1"/>
  <c r="E22309" i="1"/>
  <c r="F22308" i="1"/>
  <c r="E22308" i="1"/>
  <c r="F22307" i="1"/>
  <c r="E22307" i="1"/>
  <c r="F22306" i="1"/>
  <c r="E22306" i="1"/>
  <c r="F22305" i="1"/>
  <c r="E22305" i="1"/>
  <c r="F22304" i="1"/>
  <c r="E22304" i="1"/>
  <c r="F22303" i="1"/>
  <c r="E22303" i="1"/>
  <c r="F22302" i="1"/>
  <c r="E22302" i="1"/>
  <c r="F22301" i="1"/>
  <c r="E22301" i="1"/>
  <c r="F22300" i="1"/>
  <c r="E22300" i="1"/>
  <c r="F22299" i="1"/>
  <c r="E22299" i="1"/>
  <c r="F22298" i="1"/>
  <c r="E22298" i="1"/>
  <c r="F22297" i="1"/>
  <c r="E22297" i="1"/>
  <c r="F22296" i="1"/>
  <c r="E22296" i="1"/>
  <c r="F22295" i="1"/>
  <c r="E22295" i="1"/>
  <c r="F22294" i="1"/>
  <c r="E22294" i="1"/>
  <c r="F22293" i="1"/>
  <c r="E22293" i="1"/>
  <c r="F22292" i="1"/>
  <c r="E22292" i="1"/>
  <c r="F22291" i="1"/>
  <c r="E22291" i="1"/>
  <c r="F22290" i="1"/>
  <c r="E22290" i="1"/>
  <c r="F22289" i="1"/>
  <c r="E22289" i="1"/>
  <c r="F22288" i="1"/>
  <c r="E22288" i="1"/>
  <c r="F22287" i="1"/>
  <c r="E22287" i="1"/>
  <c r="F22286" i="1"/>
  <c r="E22286" i="1"/>
  <c r="F22285" i="1"/>
  <c r="E22285" i="1"/>
  <c r="F22284" i="1"/>
  <c r="E22284" i="1"/>
  <c r="F22283" i="1"/>
  <c r="E22283" i="1"/>
  <c r="F22282" i="1"/>
  <c r="E22282" i="1"/>
  <c r="F22281" i="1"/>
  <c r="E22281" i="1"/>
  <c r="F22280" i="1"/>
  <c r="E22280" i="1"/>
  <c r="F22279" i="1"/>
  <c r="E22279" i="1"/>
  <c r="F22278" i="1"/>
  <c r="E22278" i="1"/>
  <c r="F22277" i="1"/>
  <c r="E22277" i="1"/>
  <c r="F22276" i="1"/>
  <c r="E22276" i="1"/>
  <c r="F22275" i="1"/>
  <c r="E22275" i="1"/>
  <c r="F22274" i="1"/>
  <c r="E22274" i="1"/>
  <c r="F22273" i="1"/>
  <c r="E22273" i="1"/>
  <c r="F22272" i="1"/>
  <c r="E22272" i="1"/>
  <c r="F22271" i="1"/>
  <c r="E22271" i="1"/>
  <c r="F22270" i="1"/>
  <c r="E22270" i="1"/>
  <c r="F22269" i="1"/>
  <c r="E22269" i="1"/>
  <c r="F22268" i="1"/>
  <c r="E22268" i="1"/>
  <c r="F22267" i="1"/>
  <c r="E22267" i="1"/>
  <c r="F22266" i="1"/>
  <c r="E22266" i="1"/>
  <c r="F22265" i="1"/>
  <c r="E22265" i="1"/>
  <c r="F22264" i="1"/>
  <c r="E22264" i="1"/>
  <c r="F22263" i="1"/>
  <c r="E22263" i="1"/>
  <c r="F22262" i="1"/>
  <c r="E22262" i="1"/>
  <c r="F22261" i="1"/>
  <c r="E22261" i="1"/>
  <c r="F22260" i="1"/>
  <c r="E22260" i="1"/>
  <c r="F22259" i="1"/>
  <c r="E22259" i="1"/>
  <c r="F22258" i="1"/>
  <c r="E22258" i="1"/>
  <c r="F22257" i="1"/>
  <c r="E22257" i="1"/>
  <c r="F22256" i="1"/>
  <c r="E22256" i="1"/>
  <c r="F22255" i="1"/>
  <c r="E22255" i="1"/>
  <c r="F22254" i="1"/>
  <c r="E22254" i="1"/>
  <c r="F22253" i="1"/>
  <c r="E22253" i="1"/>
  <c r="F22252" i="1"/>
  <c r="E22252" i="1"/>
  <c r="F22251" i="1"/>
  <c r="E22251" i="1"/>
  <c r="F22250" i="1"/>
  <c r="E22250" i="1"/>
  <c r="F22249" i="1"/>
  <c r="E22249" i="1"/>
  <c r="F22248" i="1"/>
  <c r="F22247" i="1"/>
  <c r="E22247" i="1"/>
  <c r="F22246" i="1"/>
  <c r="E22246" i="1"/>
  <c r="F22245" i="1"/>
  <c r="E22245" i="1"/>
  <c r="F22244" i="1"/>
  <c r="E22244" i="1"/>
  <c r="F22243" i="1"/>
  <c r="F22242" i="1"/>
  <c r="E22242" i="1"/>
  <c r="F22241" i="1"/>
  <c r="E22241" i="1"/>
  <c r="F22240" i="1"/>
  <c r="E22240" i="1"/>
  <c r="F22239" i="1"/>
  <c r="E22239" i="1"/>
  <c r="F22238" i="1"/>
  <c r="E22238" i="1"/>
  <c r="F22237" i="1"/>
  <c r="E22237" i="1"/>
  <c r="F22236" i="1"/>
  <c r="E22236" i="1"/>
  <c r="F22235" i="1"/>
  <c r="E22235" i="1"/>
  <c r="F22234" i="1"/>
  <c r="E22234" i="1"/>
  <c r="F22233" i="1"/>
  <c r="E22233" i="1"/>
  <c r="F22232" i="1"/>
  <c r="E22232" i="1"/>
  <c r="F22231" i="1"/>
  <c r="E22231" i="1"/>
  <c r="F22230" i="1"/>
  <c r="E22230" i="1"/>
  <c r="F22229" i="1"/>
  <c r="E22229" i="1"/>
  <c r="F22228" i="1"/>
  <c r="E22228" i="1"/>
  <c r="F22227" i="1"/>
  <c r="E22227" i="1"/>
  <c r="F22226" i="1"/>
  <c r="E22226" i="1"/>
  <c r="F22225" i="1"/>
  <c r="E22225" i="1"/>
  <c r="F22224" i="1"/>
  <c r="E22224" i="1"/>
  <c r="F22223" i="1"/>
  <c r="E22223" i="1"/>
  <c r="F22222" i="1"/>
  <c r="E22222" i="1"/>
  <c r="F22221" i="1"/>
  <c r="E22221" i="1"/>
  <c r="F22220" i="1"/>
  <c r="E22220" i="1"/>
  <c r="F22219" i="1"/>
  <c r="E22219" i="1"/>
  <c r="F22218" i="1"/>
  <c r="E22218" i="1"/>
  <c r="F22217" i="1"/>
  <c r="E22217" i="1"/>
  <c r="F22216" i="1"/>
  <c r="E22216" i="1"/>
  <c r="F22215" i="1"/>
  <c r="E22215" i="1"/>
  <c r="F22214" i="1"/>
  <c r="E22214" i="1"/>
  <c r="F22213" i="1"/>
  <c r="E22213" i="1"/>
  <c r="F22212" i="1"/>
  <c r="E22212" i="1"/>
  <c r="F22211" i="1"/>
  <c r="F22210" i="1"/>
  <c r="E22210" i="1"/>
  <c r="F22209" i="1"/>
  <c r="E22209" i="1"/>
  <c r="F22208" i="1"/>
  <c r="E22208" i="1"/>
  <c r="F22207" i="1"/>
  <c r="E22207" i="1"/>
  <c r="F22206" i="1"/>
  <c r="E22206" i="1"/>
  <c r="F22205" i="1"/>
  <c r="E22205" i="1"/>
  <c r="F22204" i="1"/>
  <c r="E22204" i="1"/>
  <c r="F22203" i="1"/>
  <c r="E22203" i="1"/>
  <c r="F22202" i="1"/>
  <c r="E22202" i="1"/>
  <c r="F22201" i="1"/>
  <c r="E22201" i="1"/>
  <c r="F22200" i="1"/>
  <c r="E22200" i="1"/>
  <c r="F22199" i="1"/>
  <c r="E22199" i="1"/>
  <c r="F22198" i="1"/>
  <c r="E22198" i="1"/>
  <c r="F22197" i="1"/>
  <c r="E22197" i="1"/>
  <c r="F22196" i="1"/>
  <c r="E22196" i="1"/>
  <c r="F22195" i="1"/>
  <c r="E22195" i="1"/>
  <c r="F22194" i="1"/>
  <c r="E22194" i="1"/>
  <c r="F22193" i="1"/>
  <c r="E22193" i="1"/>
  <c r="F22192" i="1"/>
  <c r="E22192" i="1"/>
  <c r="F22191" i="1"/>
  <c r="E22191" i="1"/>
  <c r="F22190" i="1"/>
  <c r="E22190" i="1"/>
  <c r="F22189" i="1"/>
  <c r="E22189" i="1"/>
  <c r="F22188" i="1"/>
  <c r="E22188" i="1"/>
  <c r="F22187" i="1"/>
  <c r="E22187" i="1"/>
  <c r="F22186" i="1"/>
  <c r="E22186" i="1"/>
  <c r="F22185" i="1"/>
  <c r="E22185" i="1"/>
  <c r="F22184" i="1"/>
  <c r="E22184" i="1"/>
  <c r="F22183" i="1"/>
  <c r="E22183" i="1"/>
  <c r="F22182" i="1"/>
  <c r="E22182" i="1"/>
  <c r="F22181" i="1"/>
  <c r="E22181" i="1"/>
  <c r="F22180" i="1"/>
  <c r="E22180" i="1"/>
  <c r="F22179" i="1"/>
  <c r="E22179" i="1"/>
  <c r="F22178" i="1"/>
  <c r="E22178" i="1"/>
  <c r="F22177" i="1"/>
  <c r="E22177" i="1"/>
  <c r="F22176" i="1"/>
  <c r="E22176" i="1"/>
  <c r="F22175" i="1"/>
  <c r="E22175" i="1"/>
  <c r="F22174" i="1"/>
  <c r="E22174" i="1"/>
  <c r="F22173" i="1"/>
  <c r="E22173" i="1"/>
  <c r="F22172" i="1"/>
  <c r="E22172" i="1"/>
  <c r="F22171" i="1"/>
  <c r="E22171" i="1"/>
  <c r="F22170" i="1"/>
  <c r="E22170" i="1"/>
  <c r="F22169" i="1"/>
  <c r="E22169" i="1"/>
  <c r="F22168" i="1"/>
  <c r="E22168" i="1"/>
  <c r="F22167" i="1"/>
  <c r="E22167" i="1"/>
  <c r="F22166" i="1"/>
  <c r="E22166" i="1"/>
  <c r="F22165" i="1"/>
  <c r="E22165" i="1"/>
  <c r="F22164" i="1"/>
  <c r="E22164" i="1"/>
  <c r="F22163" i="1"/>
  <c r="E22163" i="1"/>
  <c r="F22162" i="1"/>
  <c r="E22162" i="1"/>
  <c r="F22161" i="1"/>
  <c r="E22161" i="1"/>
  <c r="F22160" i="1"/>
  <c r="E22160" i="1"/>
  <c r="F22159" i="1"/>
  <c r="E22159" i="1"/>
  <c r="F22158" i="1"/>
  <c r="E22158" i="1"/>
  <c r="F22157" i="1"/>
  <c r="E22157" i="1"/>
  <c r="F22156" i="1"/>
  <c r="E22156" i="1"/>
  <c r="F22155" i="1"/>
  <c r="E22155" i="1"/>
  <c r="F22154" i="1"/>
  <c r="E22154" i="1"/>
  <c r="F22153" i="1"/>
  <c r="E22153" i="1"/>
  <c r="F22152" i="1"/>
  <c r="E22152" i="1"/>
  <c r="F22151" i="1"/>
  <c r="E22151" i="1"/>
  <c r="F22150" i="1"/>
  <c r="E22150" i="1"/>
  <c r="F22149" i="1"/>
  <c r="E22149" i="1"/>
  <c r="F22148" i="1"/>
  <c r="E22148" i="1"/>
  <c r="F22147" i="1"/>
  <c r="E22147" i="1"/>
  <c r="F22146" i="1"/>
  <c r="E22146" i="1"/>
  <c r="F22145" i="1"/>
  <c r="E22145" i="1"/>
  <c r="F22144" i="1"/>
  <c r="E22144" i="1"/>
  <c r="F22143" i="1"/>
  <c r="E22143" i="1"/>
  <c r="F22142" i="1"/>
  <c r="F22141" i="1"/>
  <c r="E22141" i="1"/>
  <c r="F22140" i="1"/>
  <c r="E22140" i="1"/>
  <c r="F22139" i="1"/>
  <c r="E22139" i="1"/>
  <c r="F22138" i="1"/>
  <c r="E22138" i="1"/>
  <c r="F22137" i="1"/>
  <c r="F22136" i="1"/>
  <c r="E22136" i="1"/>
  <c r="F22135" i="1"/>
  <c r="E22135" i="1"/>
  <c r="F22134" i="1"/>
  <c r="E22134" i="1"/>
  <c r="F22133" i="1"/>
  <c r="E22133" i="1"/>
  <c r="F22132" i="1"/>
  <c r="E22132" i="1"/>
  <c r="F22131" i="1"/>
  <c r="E22131" i="1"/>
  <c r="F22130" i="1"/>
  <c r="E22130" i="1"/>
  <c r="F22129" i="1"/>
  <c r="E22129" i="1"/>
  <c r="F22128" i="1"/>
  <c r="E22128" i="1"/>
  <c r="F22127" i="1"/>
  <c r="E22127" i="1"/>
  <c r="F22126" i="1"/>
  <c r="E22126" i="1"/>
  <c r="F22125" i="1"/>
  <c r="E22125" i="1"/>
  <c r="F22124" i="1"/>
  <c r="E22124" i="1"/>
  <c r="F22123" i="1"/>
  <c r="E22123" i="1"/>
  <c r="F22122" i="1"/>
  <c r="E22122" i="1"/>
  <c r="F22121" i="1"/>
  <c r="E22121" i="1"/>
  <c r="F22120" i="1"/>
  <c r="E22120" i="1"/>
  <c r="F22119" i="1"/>
  <c r="E22119" i="1"/>
  <c r="F22118" i="1"/>
  <c r="E22118" i="1"/>
  <c r="F22117" i="1"/>
  <c r="E22117" i="1"/>
  <c r="F22116" i="1"/>
  <c r="E22116" i="1"/>
  <c r="F22115" i="1"/>
  <c r="E22115" i="1"/>
  <c r="F22114" i="1"/>
  <c r="E22114" i="1"/>
  <c r="F22113" i="1"/>
  <c r="E22113" i="1"/>
  <c r="F22112" i="1"/>
  <c r="E22112" i="1"/>
  <c r="F22111" i="1"/>
  <c r="E22111" i="1"/>
  <c r="F22110" i="1"/>
  <c r="E22110" i="1"/>
  <c r="F22109" i="1"/>
  <c r="E22109" i="1"/>
  <c r="F22108" i="1"/>
  <c r="E22108" i="1"/>
  <c r="F22107" i="1"/>
  <c r="E22107" i="1"/>
  <c r="F22106" i="1"/>
  <c r="E22106" i="1"/>
  <c r="F22105" i="1"/>
  <c r="E22105" i="1"/>
  <c r="F22104" i="1"/>
  <c r="E22104" i="1"/>
  <c r="F22103" i="1"/>
  <c r="E22103" i="1"/>
  <c r="F22102" i="1"/>
  <c r="E22102" i="1"/>
  <c r="F22101" i="1"/>
  <c r="E22101" i="1"/>
  <c r="F22100" i="1"/>
  <c r="E22100" i="1"/>
  <c r="F22099" i="1"/>
  <c r="E22099" i="1"/>
  <c r="F22098" i="1"/>
  <c r="E22098" i="1"/>
  <c r="F22097" i="1"/>
  <c r="E22097" i="1"/>
  <c r="F22096" i="1"/>
  <c r="E22096" i="1"/>
  <c r="F22095" i="1"/>
  <c r="E22095" i="1"/>
  <c r="F22094" i="1"/>
  <c r="E22094" i="1"/>
  <c r="F22093" i="1"/>
  <c r="E22093" i="1"/>
  <c r="F22092" i="1"/>
  <c r="E22092" i="1"/>
  <c r="F22091" i="1"/>
  <c r="E22091" i="1"/>
  <c r="F22090" i="1"/>
  <c r="E22090" i="1"/>
  <c r="F22089" i="1"/>
  <c r="E22089" i="1"/>
  <c r="F22088" i="1"/>
  <c r="E22088" i="1"/>
  <c r="F22087" i="1"/>
  <c r="E22087" i="1"/>
  <c r="F22086" i="1"/>
  <c r="E22086" i="1"/>
  <c r="F22085" i="1"/>
  <c r="E22085" i="1"/>
  <c r="F22084" i="1"/>
  <c r="E22084" i="1"/>
  <c r="F22083" i="1"/>
  <c r="E22083" i="1"/>
  <c r="F22082" i="1"/>
  <c r="E22082" i="1"/>
  <c r="F22081" i="1"/>
  <c r="E22081" i="1"/>
  <c r="F22080" i="1"/>
  <c r="E22080" i="1"/>
  <c r="F22079" i="1"/>
  <c r="E22079" i="1"/>
  <c r="F22078" i="1"/>
  <c r="E22078" i="1"/>
  <c r="F22077" i="1"/>
  <c r="E22077" i="1"/>
  <c r="F22076" i="1"/>
  <c r="E22076" i="1"/>
  <c r="F22075" i="1"/>
  <c r="E22075" i="1"/>
  <c r="F22074" i="1"/>
  <c r="E22074" i="1"/>
  <c r="F22073" i="1"/>
  <c r="E22073" i="1"/>
  <c r="F22072" i="1"/>
  <c r="E22072" i="1"/>
  <c r="F22071" i="1"/>
  <c r="E22071" i="1"/>
  <c r="F22070" i="1"/>
  <c r="E22070" i="1"/>
  <c r="F22069" i="1"/>
  <c r="E22069" i="1"/>
  <c r="F22068" i="1"/>
  <c r="E22068" i="1"/>
  <c r="F22067" i="1"/>
  <c r="E22067" i="1"/>
  <c r="F22066" i="1"/>
  <c r="E22066" i="1"/>
  <c r="F22065" i="1"/>
  <c r="E22065" i="1"/>
  <c r="F22064" i="1"/>
  <c r="E22064" i="1"/>
  <c r="F22063" i="1"/>
  <c r="E22063" i="1"/>
  <c r="F22062" i="1"/>
  <c r="E22062" i="1"/>
  <c r="F22061" i="1"/>
  <c r="E22061" i="1"/>
  <c r="F22060" i="1"/>
  <c r="E22060" i="1"/>
  <c r="F22059" i="1"/>
  <c r="E22059" i="1"/>
  <c r="F22058" i="1"/>
  <c r="E22058" i="1"/>
  <c r="F22057" i="1"/>
  <c r="E22057" i="1"/>
  <c r="F22056" i="1"/>
  <c r="E22056" i="1"/>
  <c r="F22055" i="1"/>
  <c r="E22055" i="1"/>
  <c r="F22054" i="1"/>
  <c r="E22054" i="1"/>
  <c r="F22053" i="1"/>
  <c r="E22053" i="1"/>
  <c r="F22052" i="1"/>
  <c r="E22052" i="1"/>
  <c r="F22051" i="1"/>
  <c r="E22051" i="1"/>
  <c r="F22050" i="1"/>
  <c r="E22050" i="1"/>
  <c r="F22049" i="1"/>
  <c r="E22049" i="1"/>
  <c r="F22048" i="1"/>
  <c r="E22048" i="1"/>
  <c r="F22047" i="1"/>
  <c r="E22047" i="1"/>
  <c r="F22046" i="1"/>
  <c r="E22046" i="1"/>
  <c r="F22045" i="1"/>
  <c r="E22045" i="1"/>
  <c r="F22044" i="1"/>
  <c r="E22044" i="1"/>
  <c r="F22043" i="1"/>
  <c r="E22043" i="1"/>
  <c r="F22042" i="1"/>
  <c r="E22042" i="1"/>
  <c r="F22041" i="1"/>
  <c r="E22041" i="1"/>
  <c r="F22040" i="1"/>
  <c r="E22040" i="1"/>
  <c r="F22039" i="1"/>
  <c r="E22039" i="1"/>
  <c r="F22038" i="1"/>
  <c r="E22038" i="1"/>
  <c r="F22037" i="1"/>
  <c r="E22037" i="1"/>
  <c r="F22036" i="1"/>
  <c r="E22036" i="1"/>
  <c r="F22035" i="1"/>
  <c r="E22035" i="1"/>
  <c r="F22034" i="1"/>
  <c r="E22034" i="1"/>
  <c r="F22033" i="1"/>
  <c r="E22033" i="1"/>
  <c r="F22032" i="1"/>
  <c r="E22032" i="1"/>
  <c r="F22031" i="1"/>
  <c r="E22031" i="1"/>
  <c r="F22030" i="1"/>
  <c r="E22030" i="1"/>
  <c r="F22029" i="1"/>
  <c r="E22029" i="1"/>
  <c r="F22028" i="1"/>
  <c r="E22028" i="1"/>
  <c r="F22027" i="1"/>
  <c r="E22027" i="1"/>
  <c r="F22026" i="1"/>
  <c r="E22026" i="1"/>
  <c r="F22025" i="1"/>
  <c r="E22025" i="1"/>
  <c r="F22024" i="1"/>
  <c r="E22024" i="1"/>
  <c r="F22023" i="1"/>
  <c r="E22023" i="1"/>
  <c r="F22022" i="1"/>
  <c r="E22022" i="1"/>
  <c r="F22021" i="1"/>
  <c r="F22020" i="1"/>
  <c r="E22020" i="1"/>
  <c r="F22019" i="1"/>
  <c r="E22019" i="1"/>
  <c r="F22018" i="1"/>
  <c r="E22018" i="1"/>
  <c r="F22017" i="1"/>
  <c r="E22017" i="1"/>
  <c r="F22016" i="1"/>
  <c r="E22016" i="1"/>
  <c r="F22015" i="1"/>
  <c r="E22015" i="1"/>
  <c r="F22014" i="1"/>
  <c r="E22014" i="1"/>
  <c r="F22013" i="1"/>
  <c r="E22013" i="1"/>
  <c r="F22012" i="1"/>
  <c r="E22012" i="1"/>
  <c r="F22011" i="1"/>
  <c r="E22011" i="1"/>
  <c r="F22010" i="1"/>
  <c r="E22010" i="1"/>
  <c r="F22009" i="1"/>
  <c r="E22009" i="1"/>
  <c r="F22008" i="1"/>
  <c r="E22008" i="1"/>
  <c r="F22007" i="1"/>
  <c r="F22006" i="1"/>
  <c r="E22006" i="1"/>
  <c r="F22005" i="1"/>
  <c r="E22005" i="1"/>
  <c r="F22004" i="1"/>
  <c r="E22004" i="1"/>
  <c r="F22003" i="1"/>
  <c r="E22003" i="1"/>
  <c r="F22002" i="1"/>
  <c r="E22002" i="1"/>
  <c r="F22001" i="1"/>
  <c r="E22001" i="1"/>
  <c r="F22000" i="1"/>
  <c r="E22000" i="1"/>
  <c r="F21999" i="1"/>
  <c r="E21999" i="1"/>
  <c r="F21998" i="1"/>
  <c r="E21998" i="1"/>
  <c r="F21997" i="1"/>
  <c r="E21997" i="1"/>
  <c r="F21996" i="1"/>
  <c r="E21996" i="1"/>
  <c r="F21995" i="1"/>
  <c r="E21995" i="1"/>
  <c r="F21994" i="1"/>
  <c r="E21994" i="1"/>
  <c r="F21993" i="1"/>
  <c r="E21993" i="1"/>
  <c r="F21992" i="1"/>
  <c r="E21992" i="1"/>
  <c r="F21991" i="1"/>
  <c r="E21991" i="1"/>
  <c r="F21990" i="1"/>
  <c r="E21990" i="1"/>
  <c r="F21989" i="1"/>
  <c r="E21989" i="1"/>
  <c r="F21988" i="1"/>
  <c r="E21988" i="1"/>
  <c r="F21987" i="1"/>
  <c r="E21987" i="1"/>
  <c r="F21986" i="1"/>
  <c r="E21986" i="1"/>
  <c r="F21985" i="1"/>
  <c r="E21985" i="1"/>
  <c r="F21984" i="1"/>
  <c r="E21984" i="1"/>
  <c r="F21983" i="1"/>
  <c r="E21983" i="1"/>
  <c r="F21982" i="1"/>
  <c r="E21982" i="1"/>
  <c r="F21981" i="1"/>
  <c r="E21981" i="1"/>
  <c r="F21980" i="1"/>
  <c r="E21980" i="1"/>
  <c r="F21979" i="1"/>
  <c r="E21979" i="1"/>
  <c r="F21978" i="1"/>
  <c r="E21978" i="1"/>
  <c r="F21977" i="1"/>
  <c r="E21977" i="1"/>
  <c r="F21976" i="1"/>
  <c r="E21976" i="1"/>
  <c r="F21975" i="1"/>
  <c r="E21975" i="1"/>
  <c r="F21974" i="1"/>
  <c r="E21974" i="1"/>
  <c r="F21973" i="1"/>
  <c r="E21973" i="1"/>
  <c r="F21972" i="1"/>
  <c r="E21972" i="1"/>
  <c r="F21971" i="1"/>
  <c r="E21971" i="1"/>
  <c r="F21970" i="1"/>
  <c r="E21970" i="1"/>
  <c r="F21969" i="1"/>
  <c r="E21969" i="1"/>
  <c r="F21968" i="1"/>
  <c r="E21968" i="1"/>
  <c r="F21967" i="1"/>
  <c r="E21967" i="1"/>
  <c r="F21966" i="1"/>
  <c r="E21966" i="1"/>
  <c r="F21965" i="1"/>
  <c r="E21965" i="1"/>
  <c r="F21964" i="1"/>
  <c r="E21964" i="1"/>
  <c r="F21963" i="1"/>
  <c r="E21963" i="1"/>
  <c r="F21962" i="1"/>
  <c r="E21962" i="1"/>
  <c r="F21961" i="1"/>
  <c r="E21961" i="1"/>
  <c r="F21960" i="1"/>
  <c r="E21960" i="1"/>
  <c r="F21959" i="1"/>
  <c r="E21959" i="1"/>
  <c r="F21958" i="1"/>
  <c r="E21958" i="1"/>
  <c r="F21957" i="1"/>
  <c r="E21957" i="1"/>
  <c r="F21956" i="1"/>
  <c r="E21956" i="1"/>
  <c r="F21955" i="1"/>
  <c r="E21955" i="1"/>
  <c r="F21954" i="1"/>
  <c r="E21954" i="1"/>
  <c r="F21953" i="1"/>
  <c r="E21953" i="1"/>
  <c r="F21952" i="1"/>
  <c r="F21951" i="1"/>
  <c r="E21951" i="1"/>
  <c r="F21950" i="1"/>
  <c r="E21950" i="1"/>
  <c r="F21949" i="1"/>
  <c r="E21949" i="1"/>
  <c r="F21948" i="1"/>
  <c r="F21947" i="1"/>
  <c r="F21946" i="1"/>
  <c r="F21945" i="1"/>
  <c r="F21944" i="1"/>
  <c r="E21944" i="1"/>
  <c r="F21943" i="1"/>
  <c r="F21942" i="1"/>
  <c r="F21941" i="1"/>
  <c r="F21940" i="1"/>
  <c r="F21939" i="1"/>
  <c r="F21938" i="1"/>
  <c r="F21937" i="1"/>
  <c r="E21937" i="1"/>
  <c r="F21936" i="1"/>
  <c r="E21936" i="1"/>
  <c r="F21935" i="1"/>
  <c r="F21934" i="1"/>
  <c r="E21934" i="1"/>
  <c r="F21933" i="1"/>
  <c r="F21932" i="1"/>
  <c r="E21932" i="1"/>
  <c r="F21931" i="1"/>
  <c r="E21931" i="1"/>
  <c r="F21930" i="1"/>
  <c r="F21929" i="1"/>
  <c r="E21929" i="1"/>
  <c r="F21928" i="1"/>
  <c r="E21928" i="1"/>
  <c r="F21927" i="1"/>
  <c r="E21927" i="1"/>
  <c r="F21926" i="1"/>
  <c r="E21926" i="1"/>
  <c r="F21925" i="1"/>
  <c r="E21925" i="1"/>
  <c r="F21924" i="1"/>
  <c r="E21924" i="1"/>
  <c r="F21923" i="1"/>
  <c r="E21923" i="1"/>
  <c r="F21922" i="1"/>
  <c r="E21922" i="1"/>
  <c r="F21921" i="1"/>
  <c r="E21921" i="1"/>
  <c r="F21920" i="1"/>
  <c r="E21920" i="1"/>
  <c r="F21919" i="1"/>
  <c r="E21919" i="1"/>
  <c r="F21918" i="1"/>
  <c r="E21918" i="1"/>
  <c r="F21917" i="1"/>
  <c r="E21917" i="1"/>
  <c r="F21916" i="1"/>
  <c r="E21916" i="1"/>
  <c r="F21915" i="1"/>
  <c r="E21915" i="1"/>
  <c r="F21914" i="1"/>
  <c r="E21914" i="1"/>
  <c r="F21913" i="1"/>
  <c r="E21913" i="1"/>
  <c r="F21912" i="1"/>
  <c r="E21912" i="1"/>
  <c r="F21911" i="1"/>
  <c r="E21911" i="1"/>
  <c r="F21910" i="1"/>
  <c r="E21910" i="1"/>
  <c r="F21909" i="1"/>
  <c r="E21909" i="1"/>
  <c r="F21908" i="1"/>
  <c r="E21908" i="1"/>
  <c r="F21907" i="1"/>
  <c r="E21907" i="1"/>
  <c r="E21906" i="1"/>
  <c r="F21905" i="1"/>
  <c r="E21905" i="1"/>
  <c r="F21904" i="1"/>
  <c r="E21904" i="1"/>
  <c r="F21903" i="1"/>
  <c r="E21903" i="1"/>
  <c r="F21902" i="1"/>
  <c r="E21902" i="1"/>
  <c r="F21901" i="1"/>
  <c r="E21901" i="1"/>
  <c r="F21900" i="1"/>
  <c r="E21900" i="1"/>
  <c r="F21899" i="1"/>
  <c r="E21899" i="1"/>
  <c r="F21898" i="1"/>
  <c r="E21898" i="1"/>
  <c r="F21897" i="1"/>
  <c r="E21897" i="1"/>
  <c r="F21896" i="1"/>
  <c r="E21896" i="1"/>
  <c r="F21895" i="1"/>
  <c r="E21895" i="1"/>
  <c r="F21894" i="1"/>
  <c r="E21894" i="1"/>
  <c r="F21893" i="1"/>
  <c r="E21893" i="1"/>
  <c r="F21892" i="1"/>
  <c r="E21892" i="1"/>
  <c r="F21891" i="1"/>
  <c r="E21891" i="1"/>
  <c r="F21890" i="1"/>
  <c r="E21890" i="1"/>
  <c r="F21889" i="1"/>
  <c r="E21889" i="1"/>
  <c r="F21888" i="1"/>
  <c r="E21888" i="1"/>
  <c r="F21887" i="1"/>
  <c r="E21887" i="1"/>
  <c r="F21886" i="1"/>
  <c r="E21886" i="1"/>
  <c r="F21885" i="1"/>
  <c r="E21885" i="1"/>
  <c r="F21884" i="1"/>
  <c r="E21884" i="1"/>
  <c r="F21883" i="1"/>
  <c r="E21883" i="1"/>
  <c r="F21882" i="1"/>
  <c r="E21882" i="1"/>
  <c r="F21881" i="1"/>
  <c r="E21881" i="1"/>
  <c r="F21880" i="1"/>
  <c r="E21880" i="1"/>
  <c r="F21879" i="1"/>
  <c r="E21879" i="1"/>
  <c r="F21878" i="1"/>
  <c r="E21878" i="1"/>
  <c r="F21877" i="1"/>
  <c r="E21877" i="1"/>
  <c r="F21876" i="1"/>
  <c r="E21876" i="1"/>
  <c r="F21875" i="1"/>
  <c r="E21875" i="1"/>
  <c r="F21874" i="1"/>
  <c r="E21874" i="1"/>
  <c r="F21873" i="1"/>
  <c r="E21873" i="1"/>
  <c r="F21872" i="1"/>
  <c r="E21872" i="1"/>
  <c r="F21871" i="1"/>
  <c r="E21871" i="1"/>
  <c r="F21870" i="1"/>
  <c r="E21870" i="1"/>
  <c r="F21869" i="1"/>
  <c r="E21869" i="1"/>
  <c r="F21868" i="1"/>
  <c r="E21868" i="1"/>
  <c r="F21867" i="1"/>
  <c r="E21867" i="1"/>
  <c r="F21866" i="1"/>
  <c r="E21866" i="1"/>
  <c r="F21865" i="1"/>
  <c r="E21865" i="1"/>
  <c r="F21864" i="1"/>
  <c r="E21864" i="1"/>
  <c r="F21863" i="1"/>
  <c r="E21863" i="1"/>
  <c r="F21862" i="1"/>
  <c r="E21862" i="1"/>
  <c r="F21861" i="1"/>
  <c r="E21861" i="1"/>
  <c r="F21860" i="1"/>
  <c r="E21860" i="1"/>
  <c r="F21859" i="1"/>
  <c r="E21859" i="1"/>
  <c r="F21858" i="1"/>
  <c r="E21858" i="1"/>
  <c r="F21857" i="1"/>
  <c r="E21857" i="1"/>
  <c r="F21856" i="1"/>
  <c r="E21856" i="1"/>
  <c r="F21855" i="1"/>
  <c r="E21855" i="1"/>
  <c r="F21854" i="1"/>
  <c r="E21854" i="1"/>
  <c r="F21853" i="1"/>
  <c r="E21853" i="1"/>
  <c r="F21852" i="1"/>
  <c r="E21852" i="1"/>
  <c r="F21851" i="1"/>
  <c r="E21851" i="1"/>
  <c r="F21850" i="1"/>
  <c r="E21850" i="1"/>
  <c r="F21849" i="1"/>
  <c r="E21849" i="1"/>
  <c r="F21848" i="1"/>
  <c r="E21848" i="1"/>
  <c r="F21847" i="1"/>
  <c r="E21847" i="1"/>
  <c r="F21846" i="1"/>
  <c r="E21846" i="1"/>
  <c r="F21845" i="1"/>
  <c r="E21845" i="1"/>
  <c r="F21844" i="1"/>
  <c r="E21844" i="1"/>
  <c r="F21843" i="1"/>
  <c r="E21843" i="1"/>
  <c r="F21842" i="1"/>
  <c r="E21842" i="1"/>
  <c r="F21841" i="1"/>
  <c r="E21841" i="1"/>
  <c r="F21840" i="1"/>
  <c r="E21840" i="1"/>
  <c r="F21839" i="1"/>
  <c r="E21839" i="1"/>
  <c r="F21838" i="1"/>
  <c r="E21838" i="1"/>
  <c r="F21837" i="1"/>
  <c r="E21837" i="1"/>
  <c r="F21836" i="1"/>
  <c r="E21836" i="1"/>
  <c r="F21835" i="1"/>
  <c r="E21835" i="1"/>
  <c r="F21834" i="1"/>
  <c r="E21834" i="1"/>
  <c r="F21833" i="1"/>
  <c r="E21833" i="1"/>
  <c r="F21832" i="1"/>
  <c r="F21831" i="1"/>
  <c r="E21831" i="1"/>
  <c r="F21830" i="1"/>
  <c r="E21830" i="1"/>
  <c r="F21829" i="1"/>
  <c r="E21829" i="1"/>
  <c r="F21828" i="1"/>
  <c r="E21828" i="1"/>
  <c r="F21827" i="1"/>
  <c r="E21827" i="1"/>
  <c r="F21826" i="1"/>
  <c r="E21826" i="1"/>
  <c r="F21825" i="1"/>
  <c r="E21825" i="1"/>
  <c r="F21824" i="1"/>
  <c r="E21824" i="1"/>
  <c r="F21823" i="1"/>
  <c r="E21823" i="1"/>
  <c r="F21822" i="1"/>
  <c r="E21822" i="1"/>
  <c r="F21821" i="1"/>
  <c r="E21821" i="1"/>
  <c r="F21820" i="1"/>
  <c r="E21820" i="1"/>
  <c r="F21819" i="1"/>
  <c r="E21819" i="1"/>
  <c r="F21818" i="1"/>
  <c r="E21818" i="1"/>
  <c r="F21817" i="1"/>
  <c r="E21817" i="1"/>
  <c r="F21816" i="1"/>
  <c r="E21816" i="1"/>
  <c r="F21815" i="1"/>
  <c r="E21815" i="1"/>
  <c r="F21814" i="1"/>
  <c r="E21814" i="1"/>
  <c r="F21813" i="1"/>
  <c r="E21813" i="1"/>
  <c r="F21812" i="1"/>
  <c r="E21812" i="1"/>
  <c r="F21811" i="1"/>
  <c r="E21811" i="1"/>
  <c r="F21810" i="1"/>
  <c r="E21810" i="1"/>
  <c r="F21809" i="1"/>
  <c r="E21809" i="1"/>
  <c r="F21808" i="1"/>
  <c r="E21808" i="1"/>
  <c r="F21807" i="1"/>
  <c r="E21807" i="1"/>
  <c r="F21806" i="1"/>
  <c r="E21806" i="1"/>
  <c r="F21805" i="1"/>
  <c r="E21805" i="1"/>
  <c r="F21804" i="1"/>
  <c r="E21804" i="1"/>
  <c r="F21803" i="1"/>
  <c r="E21803" i="1"/>
  <c r="F21802" i="1"/>
  <c r="E21802" i="1"/>
  <c r="F21801" i="1"/>
  <c r="E21801" i="1"/>
  <c r="F21800" i="1"/>
  <c r="E21800" i="1"/>
  <c r="F21799" i="1"/>
  <c r="E21799" i="1"/>
  <c r="F21798" i="1"/>
  <c r="E21798" i="1"/>
  <c r="F21797" i="1"/>
  <c r="E21797" i="1"/>
  <c r="F21796" i="1"/>
  <c r="E21796" i="1"/>
  <c r="F21795" i="1"/>
  <c r="E21795" i="1"/>
  <c r="F21794" i="1"/>
  <c r="E21794" i="1"/>
  <c r="F21793" i="1"/>
  <c r="E21793" i="1"/>
  <c r="F21792" i="1"/>
  <c r="E21792" i="1"/>
  <c r="F21791" i="1"/>
  <c r="E21791" i="1"/>
  <c r="F21790" i="1"/>
  <c r="E21790" i="1"/>
  <c r="F21789" i="1"/>
  <c r="E21789" i="1"/>
  <c r="F21788" i="1"/>
  <c r="E21788" i="1"/>
  <c r="F21787" i="1"/>
  <c r="E21787" i="1"/>
  <c r="F21786" i="1"/>
  <c r="E21786" i="1"/>
  <c r="F21785" i="1"/>
  <c r="E21785" i="1"/>
  <c r="F21784" i="1"/>
  <c r="E21784" i="1"/>
  <c r="F21783" i="1"/>
  <c r="E21783" i="1"/>
  <c r="F21782" i="1"/>
  <c r="E21782" i="1"/>
  <c r="F21781" i="1"/>
  <c r="E21781" i="1"/>
  <c r="F21780" i="1"/>
  <c r="E21780" i="1"/>
  <c r="F21779" i="1"/>
  <c r="E21779" i="1"/>
  <c r="F21778" i="1"/>
  <c r="E21778" i="1"/>
  <c r="F21777" i="1"/>
  <c r="E21777" i="1"/>
  <c r="F21776" i="1"/>
  <c r="E21776" i="1"/>
  <c r="F21775" i="1"/>
  <c r="E21775" i="1"/>
  <c r="F21774" i="1"/>
  <c r="E21774" i="1"/>
  <c r="F21773" i="1"/>
  <c r="E21773" i="1"/>
  <c r="F21772" i="1"/>
  <c r="E21772" i="1"/>
  <c r="F21771" i="1"/>
  <c r="E21771" i="1"/>
  <c r="F21770" i="1"/>
  <c r="E21770" i="1"/>
  <c r="F21769" i="1"/>
  <c r="E21769" i="1"/>
  <c r="F21768" i="1"/>
  <c r="E21768" i="1"/>
  <c r="F21767" i="1"/>
  <c r="E21767" i="1"/>
  <c r="F21766" i="1"/>
  <c r="E21766" i="1"/>
  <c r="F21765" i="1"/>
  <c r="E21765" i="1"/>
  <c r="F21764" i="1"/>
  <c r="E21764" i="1"/>
  <c r="F21763" i="1"/>
  <c r="E21763" i="1"/>
  <c r="F21762" i="1"/>
  <c r="E21762" i="1"/>
  <c r="F21761" i="1"/>
  <c r="E21761" i="1"/>
  <c r="F21760" i="1"/>
  <c r="E21760" i="1"/>
  <c r="F21759" i="1"/>
  <c r="E21759" i="1"/>
  <c r="F21758" i="1"/>
  <c r="E21758" i="1"/>
  <c r="F21757" i="1"/>
  <c r="E21757" i="1"/>
  <c r="F21756" i="1"/>
  <c r="E21756" i="1"/>
  <c r="F21755" i="1"/>
  <c r="E21755" i="1"/>
  <c r="F21754" i="1"/>
  <c r="E21754" i="1"/>
  <c r="F21753" i="1"/>
  <c r="E21753" i="1"/>
  <c r="F21752" i="1"/>
  <c r="E21752" i="1"/>
  <c r="F21751" i="1"/>
  <c r="E21751" i="1"/>
  <c r="F21750" i="1"/>
  <c r="E21750" i="1"/>
  <c r="F21749" i="1"/>
  <c r="E21749" i="1"/>
  <c r="F21748" i="1"/>
  <c r="E21748" i="1"/>
  <c r="F21747" i="1"/>
  <c r="E21747" i="1"/>
  <c r="F21746" i="1"/>
  <c r="E21746" i="1"/>
  <c r="F21745" i="1"/>
  <c r="E21745" i="1"/>
  <c r="F21744" i="1"/>
  <c r="E21744" i="1"/>
  <c r="F21743" i="1"/>
  <c r="E21743" i="1"/>
  <c r="F21742" i="1"/>
  <c r="E21742" i="1"/>
  <c r="F21741" i="1"/>
  <c r="E21741" i="1"/>
  <c r="F21740" i="1"/>
  <c r="E21740" i="1"/>
  <c r="F21739" i="1"/>
  <c r="E21739" i="1"/>
  <c r="F21738" i="1"/>
  <c r="E21738" i="1"/>
  <c r="F21737" i="1"/>
  <c r="E21737" i="1"/>
  <c r="F21736" i="1"/>
  <c r="E21736" i="1"/>
  <c r="F21735" i="1"/>
  <c r="F21734" i="1"/>
  <c r="E21734" i="1"/>
  <c r="F21733" i="1"/>
  <c r="E21733" i="1"/>
  <c r="F21732" i="1"/>
  <c r="E21732" i="1"/>
  <c r="F21731" i="1"/>
  <c r="E21731" i="1"/>
  <c r="F21730" i="1"/>
  <c r="E21730" i="1"/>
  <c r="F21729" i="1"/>
  <c r="E21729" i="1"/>
  <c r="F21728" i="1"/>
  <c r="E21728" i="1"/>
  <c r="F21727" i="1"/>
  <c r="E21727" i="1"/>
  <c r="F21726" i="1"/>
  <c r="E21726" i="1"/>
  <c r="F21725" i="1"/>
  <c r="E21725" i="1"/>
  <c r="F21724" i="1"/>
  <c r="E21724" i="1"/>
  <c r="F21723" i="1"/>
  <c r="E21723" i="1"/>
  <c r="F21722" i="1"/>
  <c r="F21721" i="1"/>
  <c r="E21721" i="1"/>
  <c r="F21720" i="1"/>
  <c r="E21720" i="1"/>
  <c r="F21719" i="1"/>
  <c r="E21719" i="1"/>
  <c r="F21718" i="1"/>
  <c r="E21718" i="1"/>
  <c r="F21717" i="1"/>
  <c r="E21717" i="1"/>
  <c r="F21716" i="1"/>
  <c r="E21716" i="1"/>
  <c r="F21715" i="1"/>
  <c r="E21715" i="1"/>
  <c r="F21714" i="1"/>
  <c r="E21714" i="1"/>
  <c r="F21713" i="1"/>
  <c r="E21713" i="1"/>
  <c r="F21712" i="1"/>
  <c r="E21712" i="1"/>
  <c r="F21711" i="1"/>
  <c r="E21711" i="1"/>
  <c r="F21710" i="1"/>
  <c r="E21710" i="1"/>
  <c r="F21709" i="1"/>
  <c r="E21709" i="1"/>
  <c r="F21708" i="1"/>
  <c r="E21708" i="1"/>
  <c r="F21707" i="1"/>
  <c r="E21707" i="1"/>
  <c r="F21706" i="1"/>
  <c r="E21706" i="1"/>
  <c r="F21705" i="1"/>
  <c r="E21705" i="1"/>
  <c r="F21704" i="1"/>
  <c r="E21704" i="1"/>
  <c r="F21703" i="1"/>
  <c r="E21703" i="1"/>
  <c r="F21702" i="1"/>
  <c r="E21702" i="1"/>
  <c r="F21701" i="1"/>
  <c r="E21701" i="1"/>
  <c r="F21700" i="1"/>
  <c r="E21700" i="1"/>
  <c r="F21699" i="1"/>
  <c r="E21699" i="1"/>
  <c r="F21698" i="1"/>
  <c r="E21698" i="1"/>
  <c r="F21697" i="1"/>
  <c r="E21697" i="1"/>
  <c r="F21696" i="1"/>
  <c r="E21696" i="1"/>
  <c r="F21695" i="1"/>
  <c r="E21695" i="1"/>
  <c r="F21694" i="1"/>
  <c r="E21694" i="1"/>
  <c r="F21693" i="1"/>
  <c r="E21693" i="1"/>
  <c r="F21692" i="1"/>
  <c r="E21692" i="1"/>
  <c r="F21691" i="1"/>
  <c r="E21691" i="1"/>
  <c r="F21690" i="1"/>
  <c r="E21690" i="1"/>
  <c r="F21689" i="1"/>
  <c r="E21689" i="1"/>
  <c r="F21688" i="1"/>
  <c r="E21688" i="1"/>
  <c r="F21687" i="1"/>
  <c r="E21687" i="1"/>
  <c r="F21686" i="1"/>
  <c r="E21686" i="1"/>
  <c r="F21685" i="1"/>
  <c r="E21685" i="1"/>
  <c r="F21684" i="1"/>
  <c r="E21684" i="1"/>
  <c r="F21683" i="1"/>
  <c r="E21683" i="1"/>
  <c r="F21682" i="1"/>
  <c r="E21682" i="1"/>
  <c r="F21681" i="1"/>
  <c r="E21681" i="1"/>
  <c r="F21680" i="1"/>
  <c r="E21680" i="1"/>
  <c r="F21679" i="1"/>
  <c r="E21679" i="1"/>
  <c r="F21678" i="1"/>
  <c r="E21678" i="1"/>
  <c r="F21677" i="1"/>
  <c r="E21677" i="1"/>
  <c r="F21676" i="1"/>
  <c r="E21676" i="1"/>
  <c r="F21675" i="1"/>
  <c r="E21675" i="1"/>
  <c r="F21674" i="1"/>
  <c r="E21674" i="1"/>
  <c r="F21673" i="1"/>
  <c r="E21673" i="1"/>
  <c r="F21672" i="1"/>
  <c r="E21672" i="1"/>
  <c r="F21671" i="1"/>
  <c r="E21671" i="1"/>
  <c r="F21670" i="1"/>
  <c r="E21670" i="1"/>
  <c r="F21669" i="1"/>
  <c r="E21669" i="1"/>
  <c r="F21668" i="1"/>
  <c r="E21668" i="1"/>
  <c r="F21667" i="1"/>
  <c r="E21667" i="1"/>
  <c r="F21666" i="1"/>
  <c r="E21666" i="1"/>
  <c r="F21665" i="1"/>
  <c r="E21665" i="1"/>
  <c r="F21664" i="1"/>
  <c r="F21663" i="1"/>
  <c r="E21663" i="1"/>
  <c r="F21662" i="1"/>
  <c r="E21662" i="1"/>
  <c r="F21661" i="1"/>
  <c r="E21661" i="1"/>
  <c r="F21660" i="1"/>
  <c r="E21660" i="1"/>
  <c r="F21659" i="1"/>
  <c r="E21659" i="1"/>
  <c r="F21658" i="1"/>
  <c r="E21658" i="1"/>
  <c r="F21657" i="1"/>
  <c r="E21657" i="1"/>
  <c r="F21656" i="1"/>
  <c r="F21655" i="1"/>
  <c r="E21655" i="1"/>
  <c r="F21654" i="1"/>
  <c r="E21654" i="1"/>
  <c r="F21653" i="1"/>
  <c r="E21653" i="1"/>
  <c r="F21652" i="1"/>
  <c r="E21652" i="1"/>
  <c r="F21651" i="1"/>
  <c r="E21651" i="1"/>
  <c r="F21650" i="1"/>
  <c r="E21650" i="1"/>
  <c r="F21649" i="1"/>
  <c r="E21649" i="1"/>
  <c r="F21648" i="1"/>
  <c r="E21648" i="1"/>
  <c r="F21647" i="1"/>
  <c r="E21647" i="1"/>
  <c r="F21646" i="1"/>
  <c r="E21646" i="1"/>
  <c r="F21645" i="1"/>
  <c r="E21645" i="1"/>
  <c r="F21644" i="1"/>
  <c r="E21644" i="1"/>
  <c r="F21643" i="1"/>
  <c r="E21643" i="1"/>
  <c r="F21642" i="1"/>
  <c r="E21642" i="1"/>
  <c r="F21641" i="1"/>
  <c r="E21641" i="1"/>
  <c r="F21640" i="1"/>
  <c r="E21640" i="1"/>
  <c r="F21639" i="1"/>
  <c r="E21639" i="1"/>
  <c r="F21638" i="1"/>
  <c r="E21638" i="1"/>
  <c r="F21637" i="1"/>
  <c r="E21637" i="1"/>
  <c r="F21636" i="1"/>
  <c r="E21636" i="1"/>
  <c r="F21635" i="1"/>
  <c r="E21635" i="1"/>
  <c r="F21634" i="1"/>
  <c r="E21634" i="1"/>
  <c r="F21633" i="1"/>
  <c r="E21633" i="1"/>
  <c r="F21632" i="1"/>
  <c r="E21632" i="1"/>
  <c r="F21631" i="1"/>
  <c r="E21631" i="1"/>
  <c r="F21630" i="1"/>
  <c r="E21630" i="1"/>
  <c r="F21629" i="1"/>
  <c r="E21629" i="1"/>
  <c r="F21628" i="1"/>
  <c r="E21628" i="1"/>
  <c r="F21627" i="1"/>
  <c r="E21627" i="1"/>
  <c r="F21626" i="1"/>
  <c r="E21626" i="1"/>
  <c r="F21625" i="1"/>
  <c r="E21625" i="1"/>
  <c r="F21624" i="1"/>
  <c r="E21624" i="1"/>
  <c r="F21623" i="1"/>
  <c r="E21623" i="1"/>
  <c r="F21622" i="1"/>
  <c r="E21622" i="1"/>
  <c r="F21621" i="1"/>
  <c r="E21621" i="1"/>
  <c r="F21620" i="1"/>
  <c r="E21620" i="1"/>
  <c r="F21619" i="1"/>
  <c r="E21619" i="1"/>
  <c r="F21618" i="1"/>
  <c r="E21618" i="1"/>
  <c r="F21617" i="1"/>
  <c r="E21617" i="1"/>
  <c r="F21616" i="1"/>
  <c r="E21616" i="1"/>
  <c r="F21615" i="1"/>
  <c r="E21615" i="1"/>
  <c r="F21614" i="1"/>
  <c r="E21614" i="1"/>
  <c r="F21613" i="1"/>
  <c r="E21613" i="1"/>
  <c r="F21612" i="1"/>
  <c r="E21612" i="1"/>
  <c r="F21611" i="1"/>
  <c r="E21611" i="1"/>
  <c r="F21610" i="1"/>
  <c r="E21610" i="1"/>
  <c r="F21609" i="1"/>
  <c r="E21609" i="1"/>
  <c r="F21608" i="1"/>
  <c r="E21608" i="1"/>
  <c r="F21607" i="1"/>
  <c r="E21607" i="1"/>
  <c r="F21606" i="1"/>
  <c r="E21606" i="1"/>
  <c r="F21605" i="1"/>
  <c r="E21605" i="1"/>
  <c r="F21604" i="1"/>
  <c r="E21604" i="1"/>
  <c r="F21603" i="1"/>
  <c r="E21603" i="1"/>
  <c r="F21602" i="1"/>
  <c r="E21602" i="1"/>
  <c r="F21601" i="1"/>
  <c r="E21601" i="1"/>
  <c r="F21600" i="1"/>
  <c r="E21600" i="1"/>
  <c r="F21599" i="1"/>
  <c r="E21599" i="1"/>
  <c r="F21598" i="1"/>
  <c r="E21598" i="1"/>
  <c r="F21597" i="1"/>
  <c r="E21597" i="1"/>
  <c r="F21596" i="1"/>
  <c r="E21596" i="1"/>
  <c r="F21595" i="1"/>
  <c r="E21595" i="1"/>
  <c r="F21594" i="1"/>
  <c r="E21594" i="1"/>
  <c r="F21593" i="1"/>
  <c r="E21593" i="1"/>
  <c r="F21592" i="1"/>
  <c r="E21592" i="1"/>
  <c r="F21591" i="1"/>
  <c r="E21591" i="1"/>
  <c r="F21590" i="1"/>
  <c r="E21590" i="1"/>
  <c r="F21589" i="1"/>
  <c r="E21589" i="1"/>
  <c r="F21588" i="1"/>
  <c r="E21588" i="1"/>
  <c r="F21587" i="1"/>
  <c r="E21587" i="1"/>
  <c r="F21586" i="1"/>
  <c r="E21586" i="1"/>
  <c r="F21585" i="1"/>
  <c r="E21585" i="1"/>
  <c r="F21584" i="1"/>
  <c r="E21584" i="1"/>
  <c r="F21583" i="1"/>
  <c r="E21583" i="1"/>
  <c r="F21582" i="1"/>
  <c r="E21582" i="1"/>
  <c r="F21581" i="1"/>
  <c r="E21581" i="1"/>
  <c r="F21580" i="1"/>
  <c r="E21580" i="1"/>
  <c r="F21579" i="1"/>
  <c r="E21579" i="1"/>
  <c r="F21578" i="1"/>
  <c r="E21578" i="1"/>
  <c r="F21577" i="1"/>
  <c r="E21577" i="1"/>
  <c r="F21576" i="1"/>
  <c r="E21576" i="1"/>
  <c r="F21575" i="1"/>
  <c r="E21575" i="1"/>
  <c r="F21574" i="1"/>
  <c r="E21574" i="1"/>
  <c r="F21573" i="1"/>
  <c r="E21573" i="1"/>
  <c r="F21572" i="1"/>
  <c r="E21572" i="1"/>
  <c r="F21571" i="1"/>
  <c r="E21571" i="1"/>
  <c r="F21570" i="1"/>
  <c r="E21570" i="1"/>
  <c r="F21569" i="1"/>
  <c r="E21569" i="1"/>
  <c r="F21568" i="1"/>
  <c r="E21568" i="1"/>
  <c r="F21567" i="1"/>
  <c r="E21567" i="1"/>
  <c r="F21566" i="1"/>
  <c r="E21566" i="1"/>
  <c r="F21565" i="1"/>
  <c r="E21565" i="1"/>
  <c r="F21564" i="1"/>
  <c r="E21564" i="1"/>
  <c r="F21563" i="1"/>
  <c r="E21563" i="1"/>
  <c r="F21562" i="1"/>
  <c r="E21562" i="1"/>
  <c r="F21561" i="1"/>
  <c r="E21561" i="1"/>
  <c r="F21560" i="1"/>
  <c r="E21560" i="1"/>
  <c r="F21559" i="1"/>
  <c r="E21559" i="1"/>
  <c r="F21558" i="1"/>
  <c r="E21558" i="1"/>
  <c r="F21557" i="1"/>
  <c r="E21557" i="1"/>
  <c r="F21556" i="1"/>
  <c r="E21556" i="1"/>
  <c r="F21555" i="1"/>
  <c r="E21555" i="1"/>
  <c r="F21554" i="1"/>
  <c r="E21554" i="1"/>
  <c r="F21553" i="1"/>
  <c r="E21553" i="1"/>
  <c r="F21552" i="1"/>
  <c r="E21552" i="1"/>
  <c r="F21551" i="1"/>
  <c r="E21551" i="1"/>
  <c r="F21550" i="1"/>
  <c r="E21550" i="1"/>
  <c r="F21549" i="1"/>
  <c r="E21549" i="1"/>
  <c r="F21548" i="1"/>
  <c r="E21548" i="1"/>
  <c r="F21547" i="1"/>
  <c r="E21547" i="1"/>
  <c r="F21546" i="1"/>
  <c r="E21546" i="1"/>
  <c r="F21545" i="1"/>
  <c r="E21545" i="1"/>
  <c r="F21544" i="1"/>
  <c r="E21544" i="1"/>
  <c r="F21543" i="1"/>
  <c r="E21543" i="1"/>
  <c r="F21542" i="1"/>
  <c r="E21542" i="1"/>
  <c r="F21541" i="1"/>
  <c r="E21541" i="1"/>
  <c r="F21540" i="1"/>
  <c r="E21540" i="1"/>
  <c r="F21539" i="1"/>
  <c r="E21539" i="1"/>
  <c r="F21538" i="1"/>
  <c r="E21538" i="1"/>
  <c r="F21537" i="1"/>
  <c r="E21537" i="1"/>
  <c r="F21536" i="1"/>
  <c r="E21536" i="1"/>
  <c r="F21535" i="1"/>
  <c r="E21535" i="1"/>
  <c r="F21534" i="1"/>
  <c r="E21534" i="1"/>
  <c r="F21533" i="1"/>
  <c r="E21533" i="1"/>
  <c r="F21532" i="1"/>
  <c r="E21532" i="1"/>
  <c r="F21531" i="1"/>
  <c r="E21531" i="1"/>
  <c r="F21530" i="1"/>
  <c r="E21530" i="1"/>
  <c r="F21529" i="1"/>
  <c r="E21529" i="1"/>
  <c r="F21528" i="1"/>
  <c r="E21528" i="1"/>
  <c r="F21527" i="1"/>
  <c r="E21527" i="1"/>
  <c r="F21526" i="1"/>
  <c r="E21526" i="1"/>
  <c r="F21525" i="1"/>
  <c r="E21525" i="1"/>
  <c r="F21524" i="1"/>
  <c r="E21524" i="1"/>
  <c r="F21523" i="1"/>
  <c r="E21523" i="1"/>
  <c r="F21522" i="1"/>
  <c r="E21522" i="1"/>
  <c r="F21521" i="1"/>
  <c r="E21521" i="1"/>
  <c r="F21520" i="1"/>
  <c r="E21520" i="1"/>
  <c r="F21519" i="1"/>
  <c r="F21518" i="1"/>
  <c r="E21518" i="1"/>
  <c r="F21517" i="1"/>
  <c r="E21517" i="1"/>
  <c r="F21516" i="1"/>
  <c r="E21516" i="1"/>
  <c r="F21515" i="1"/>
  <c r="E21515" i="1"/>
  <c r="F21514" i="1"/>
  <c r="E21514" i="1"/>
  <c r="F21513" i="1"/>
  <c r="E21513" i="1"/>
  <c r="F21512" i="1"/>
  <c r="E21512" i="1"/>
  <c r="F21511" i="1"/>
  <c r="E21511" i="1"/>
  <c r="F21510" i="1"/>
  <c r="E21510" i="1"/>
  <c r="F21509" i="1"/>
  <c r="E21509" i="1"/>
  <c r="F21508" i="1"/>
  <c r="E21508" i="1"/>
  <c r="F21507" i="1"/>
  <c r="E21507" i="1"/>
  <c r="F21506" i="1"/>
  <c r="E21506" i="1"/>
  <c r="F21505" i="1"/>
  <c r="E21505" i="1"/>
  <c r="F21504" i="1"/>
  <c r="E21504" i="1"/>
  <c r="F21503" i="1"/>
  <c r="E21503" i="1"/>
  <c r="F21502" i="1"/>
  <c r="E21502" i="1"/>
  <c r="F21501" i="1"/>
  <c r="E21501" i="1"/>
  <c r="F21500" i="1"/>
  <c r="E21500" i="1"/>
  <c r="F21499" i="1"/>
  <c r="E21499" i="1"/>
  <c r="F21498" i="1"/>
  <c r="E21498" i="1"/>
  <c r="F21497" i="1"/>
  <c r="E21497" i="1"/>
  <c r="F21496" i="1"/>
  <c r="E21496" i="1"/>
  <c r="F21495" i="1"/>
  <c r="E21495" i="1"/>
  <c r="F21494" i="1"/>
  <c r="E21494" i="1"/>
  <c r="F21493" i="1"/>
  <c r="E21493" i="1"/>
  <c r="F21492" i="1"/>
  <c r="E21492" i="1"/>
  <c r="F21491" i="1"/>
  <c r="E21491" i="1"/>
  <c r="F21490" i="1"/>
  <c r="E21490" i="1"/>
  <c r="F21489" i="1"/>
  <c r="F21488" i="1"/>
  <c r="F21487" i="1"/>
  <c r="F21486" i="1"/>
  <c r="F21485" i="1"/>
  <c r="F21484" i="1"/>
  <c r="F21483" i="1"/>
  <c r="F21482" i="1"/>
  <c r="F21481" i="1"/>
  <c r="F21480" i="1"/>
  <c r="F21479" i="1"/>
  <c r="E21479" i="1"/>
  <c r="F21478" i="1"/>
  <c r="F21477" i="1"/>
  <c r="F21476" i="1"/>
  <c r="F21475" i="1"/>
  <c r="F21474" i="1"/>
  <c r="F21473" i="1"/>
  <c r="F21472" i="1"/>
  <c r="F21471" i="1"/>
  <c r="F21470" i="1"/>
  <c r="F21469" i="1"/>
  <c r="F21468" i="1"/>
  <c r="F21467" i="1"/>
  <c r="F21466" i="1"/>
  <c r="F21465" i="1"/>
  <c r="F21464" i="1"/>
  <c r="E21464" i="1"/>
  <c r="F21463" i="1"/>
  <c r="F21462" i="1"/>
  <c r="F21461" i="1"/>
  <c r="F21460" i="1"/>
  <c r="F21459" i="1"/>
  <c r="F21458" i="1"/>
  <c r="F21457" i="1"/>
  <c r="F21456" i="1"/>
  <c r="F21455" i="1"/>
  <c r="E21455" i="1"/>
  <c r="F21454" i="1"/>
  <c r="F21453" i="1"/>
  <c r="F21452" i="1"/>
  <c r="F21451" i="1"/>
  <c r="F21450" i="1"/>
  <c r="E21450" i="1"/>
  <c r="F21449" i="1"/>
  <c r="E21449" i="1"/>
  <c r="F21448" i="1"/>
  <c r="E21448" i="1"/>
  <c r="F21447" i="1"/>
  <c r="E21447" i="1"/>
  <c r="F21446" i="1"/>
  <c r="E21446" i="1"/>
  <c r="F21445" i="1"/>
  <c r="E21445" i="1"/>
  <c r="F21444" i="1"/>
  <c r="E21444" i="1"/>
  <c r="F21443" i="1"/>
  <c r="E21443" i="1"/>
  <c r="F21442" i="1"/>
  <c r="E21442" i="1"/>
  <c r="F21441" i="1"/>
  <c r="E21441" i="1"/>
  <c r="F21440" i="1"/>
  <c r="E21440" i="1"/>
  <c r="F21439" i="1"/>
  <c r="E21439" i="1"/>
  <c r="F21438" i="1"/>
  <c r="E21438" i="1"/>
  <c r="F21437" i="1"/>
  <c r="E21437" i="1"/>
  <c r="F21436" i="1"/>
  <c r="E21436" i="1"/>
  <c r="F21435" i="1"/>
  <c r="E21435" i="1"/>
  <c r="F21434" i="1"/>
  <c r="E21434" i="1"/>
  <c r="F21433" i="1"/>
  <c r="E21433" i="1"/>
  <c r="F21432" i="1"/>
  <c r="E21432" i="1"/>
  <c r="F21431" i="1"/>
  <c r="E21431" i="1"/>
  <c r="F21430" i="1"/>
  <c r="E21430" i="1"/>
  <c r="F21429" i="1"/>
  <c r="E21429" i="1"/>
  <c r="F21428" i="1"/>
  <c r="E21428" i="1"/>
  <c r="F21427" i="1"/>
  <c r="E21427" i="1"/>
  <c r="F21426" i="1"/>
  <c r="E21426" i="1"/>
  <c r="F21425" i="1"/>
  <c r="E21425" i="1"/>
  <c r="F21424" i="1"/>
  <c r="E21424" i="1"/>
  <c r="F21423" i="1"/>
  <c r="E21423" i="1"/>
  <c r="F21422" i="1"/>
  <c r="E21422" i="1"/>
  <c r="F21421" i="1"/>
  <c r="E21421" i="1"/>
  <c r="F21420" i="1"/>
  <c r="E21420" i="1"/>
  <c r="F21419" i="1"/>
  <c r="E21419" i="1"/>
  <c r="F21418" i="1"/>
  <c r="E21418" i="1"/>
  <c r="F21417" i="1"/>
  <c r="F21416" i="1"/>
  <c r="E21416" i="1"/>
  <c r="F21415" i="1"/>
  <c r="E21415" i="1"/>
  <c r="F21414" i="1"/>
  <c r="E21414" i="1"/>
  <c r="F21413" i="1"/>
  <c r="E21413" i="1"/>
  <c r="F21412" i="1"/>
  <c r="E21412" i="1"/>
  <c r="F21411" i="1"/>
  <c r="E21411" i="1"/>
  <c r="F21410" i="1"/>
  <c r="E21410" i="1"/>
  <c r="F21409" i="1"/>
  <c r="E21409" i="1"/>
  <c r="F21408" i="1"/>
  <c r="E21408" i="1"/>
  <c r="F21407" i="1"/>
  <c r="E21407" i="1"/>
  <c r="F21406" i="1"/>
  <c r="E21406" i="1"/>
  <c r="F21405" i="1"/>
  <c r="E21405" i="1"/>
  <c r="F21404" i="1"/>
  <c r="E21404" i="1"/>
  <c r="F21403" i="1"/>
  <c r="E21403" i="1"/>
  <c r="F21402" i="1"/>
  <c r="E21402" i="1"/>
  <c r="F21401" i="1"/>
  <c r="E21401" i="1"/>
  <c r="F21400" i="1"/>
  <c r="E21400" i="1"/>
  <c r="F21399" i="1"/>
  <c r="E21399" i="1"/>
  <c r="F21398" i="1"/>
  <c r="E21398" i="1"/>
  <c r="F21397" i="1"/>
  <c r="E21397" i="1"/>
  <c r="F21396" i="1"/>
  <c r="E21396" i="1"/>
  <c r="F21395" i="1"/>
  <c r="E21395" i="1"/>
  <c r="F21394" i="1"/>
  <c r="E21394" i="1"/>
  <c r="F21393" i="1"/>
  <c r="E21393" i="1"/>
  <c r="F21392" i="1"/>
  <c r="E21392" i="1"/>
  <c r="F21391" i="1"/>
  <c r="E21391" i="1"/>
  <c r="F21390" i="1"/>
  <c r="E21390" i="1"/>
  <c r="F21389" i="1"/>
  <c r="E21389" i="1"/>
  <c r="F21388" i="1"/>
  <c r="E21388" i="1"/>
  <c r="F21387" i="1"/>
  <c r="E21387" i="1"/>
  <c r="F21386" i="1"/>
  <c r="E21386" i="1"/>
  <c r="F21385" i="1"/>
  <c r="E21385" i="1"/>
  <c r="F21384" i="1"/>
  <c r="E21384" i="1"/>
  <c r="F21383" i="1"/>
  <c r="E21383" i="1"/>
  <c r="F21382" i="1"/>
  <c r="E21382" i="1"/>
  <c r="F21381" i="1"/>
  <c r="E21381" i="1"/>
  <c r="F21380" i="1"/>
  <c r="E21380" i="1"/>
  <c r="F21379" i="1"/>
  <c r="E21379" i="1"/>
  <c r="F21378" i="1"/>
  <c r="E21378" i="1"/>
  <c r="F21377" i="1"/>
  <c r="E21377" i="1"/>
  <c r="F21376" i="1"/>
  <c r="E21376" i="1"/>
  <c r="F21375" i="1"/>
  <c r="F21374" i="1"/>
  <c r="E21374" i="1"/>
  <c r="F21373" i="1"/>
  <c r="E21373" i="1"/>
  <c r="F21372" i="1"/>
  <c r="E21372" i="1"/>
  <c r="F21371" i="1"/>
  <c r="F21370" i="1"/>
  <c r="F21369" i="1"/>
  <c r="E21369" i="1"/>
  <c r="F21368" i="1"/>
  <c r="E21368" i="1"/>
  <c r="F21367" i="1"/>
  <c r="E21367" i="1"/>
  <c r="F21366" i="1"/>
  <c r="E21366" i="1"/>
  <c r="F21365" i="1"/>
  <c r="E21365" i="1"/>
  <c r="F21364" i="1"/>
  <c r="E21364" i="1"/>
  <c r="F21363" i="1"/>
  <c r="E21363" i="1"/>
  <c r="F21362" i="1"/>
  <c r="E21362" i="1"/>
  <c r="F21361" i="1"/>
  <c r="F21360" i="1"/>
  <c r="E21360" i="1"/>
  <c r="F21359" i="1"/>
  <c r="E21359" i="1"/>
  <c r="F21358" i="1"/>
  <c r="E21358" i="1"/>
  <c r="F21357" i="1"/>
  <c r="E21357" i="1"/>
  <c r="F21356" i="1"/>
  <c r="E21356" i="1"/>
  <c r="F21355" i="1"/>
  <c r="E21355" i="1"/>
  <c r="F21354" i="1"/>
  <c r="E21354" i="1"/>
  <c r="F21353" i="1"/>
  <c r="E21353" i="1"/>
  <c r="F21352" i="1"/>
  <c r="E21352" i="1"/>
  <c r="F21351" i="1"/>
  <c r="E21351" i="1"/>
  <c r="F21350" i="1"/>
  <c r="E21350" i="1"/>
  <c r="F21349" i="1"/>
  <c r="E21349" i="1"/>
  <c r="F21348" i="1"/>
  <c r="E21348" i="1"/>
  <c r="F21347" i="1"/>
  <c r="E21347" i="1"/>
  <c r="F21346" i="1"/>
  <c r="E21346" i="1"/>
  <c r="F21345" i="1"/>
  <c r="E21345" i="1"/>
  <c r="F21344" i="1"/>
  <c r="E21344" i="1"/>
  <c r="F21343" i="1"/>
  <c r="E21343" i="1"/>
  <c r="F21342" i="1"/>
  <c r="E21342" i="1"/>
  <c r="F21341" i="1"/>
  <c r="E21341" i="1"/>
  <c r="F21340" i="1"/>
  <c r="E21340" i="1"/>
  <c r="F21339" i="1"/>
  <c r="E21339" i="1"/>
  <c r="F21338" i="1"/>
  <c r="E21338" i="1"/>
  <c r="F21337" i="1"/>
  <c r="E21337" i="1"/>
  <c r="F21336" i="1"/>
  <c r="E21336" i="1"/>
  <c r="F21335" i="1"/>
  <c r="E21335" i="1"/>
  <c r="F21334" i="1"/>
  <c r="E21334" i="1"/>
  <c r="F21333" i="1"/>
  <c r="E21333" i="1"/>
  <c r="F21332" i="1"/>
  <c r="E21332" i="1"/>
  <c r="F21331" i="1"/>
  <c r="E21331" i="1"/>
  <c r="F21330" i="1"/>
  <c r="E21330" i="1"/>
  <c r="F21329" i="1"/>
  <c r="E21329" i="1"/>
  <c r="F21328" i="1"/>
  <c r="E21328" i="1"/>
  <c r="F21327" i="1"/>
  <c r="E21327" i="1"/>
  <c r="F21326" i="1"/>
  <c r="E21326" i="1"/>
  <c r="F21325" i="1"/>
  <c r="E21325" i="1"/>
  <c r="F21324" i="1"/>
  <c r="E21324" i="1"/>
  <c r="F21323" i="1"/>
  <c r="E21323" i="1"/>
  <c r="F21322" i="1"/>
  <c r="E21322" i="1"/>
  <c r="F21321" i="1"/>
  <c r="E21321" i="1"/>
  <c r="F21320" i="1"/>
  <c r="E21320" i="1"/>
  <c r="F21319" i="1"/>
  <c r="E21319" i="1"/>
  <c r="F21318" i="1"/>
  <c r="E21318" i="1"/>
  <c r="F21317" i="1"/>
  <c r="E21317" i="1"/>
  <c r="F21316" i="1"/>
  <c r="E21316" i="1"/>
  <c r="F21315" i="1"/>
  <c r="E21315" i="1"/>
  <c r="F21314" i="1"/>
  <c r="E21314" i="1"/>
  <c r="F21313" i="1"/>
  <c r="E21313" i="1"/>
  <c r="F21312" i="1"/>
  <c r="E21312" i="1"/>
  <c r="F21311" i="1"/>
  <c r="E21311" i="1"/>
  <c r="F21310" i="1"/>
  <c r="E21310" i="1"/>
  <c r="F21309" i="1"/>
  <c r="E21309" i="1"/>
  <c r="F21308" i="1"/>
  <c r="E21308" i="1"/>
  <c r="F21307" i="1"/>
  <c r="E21307" i="1"/>
  <c r="F21306" i="1"/>
  <c r="E21306" i="1"/>
  <c r="F21305" i="1"/>
  <c r="E21305" i="1"/>
  <c r="F21304" i="1"/>
  <c r="E21304" i="1"/>
  <c r="F21303" i="1"/>
  <c r="E21303" i="1"/>
  <c r="F21302" i="1"/>
  <c r="E21302" i="1"/>
  <c r="F21301" i="1"/>
  <c r="E21301" i="1"/>
  <c r="F21300" i="1"/>
  <c r="E21300" i="1"/>
  <c r="F21299" i="1"/>
  <c r="F21298" i="1"/>
  <c r="E21298" i="1"/>
  <c r="F21297" i="1"/>
  <c r="E21297" i="1"/>
  <c r="F21296" i="1"/>
  <c r="E21296" i="1"/>
  <c r="F21295" i="1"/>
  <c r="E21295" i="1"/>
  <c r="F21294" i="1"/>
  <c r="E21294" i="1"/>
  <c r="F21293" i="1"/>
  <c r="E21293" i="1"/>
  <c r="F21292" i="1"/>
  <c r="E21292" i="1"/>
  <c r="F21291" i="1"/>
  <c r="E21291" i="1"/>
  <c r="F21290" i="1"/>
  <c r="E21290" i="1"/>
  <c r="F21289" i="1"/>
  <c r="E21289" i="1"/>
  <c r="F21288" i="1"/>
  <c r="E21288" i="1"/>
  <c r="F21287" i="1"/>
  <c r="E21287" i="1"/>
  <c r="F21286" i="1"/>
  <c r="E21286" i="1"/>
  <c r="F21285" i="1"/>
  <c r="E21285" i="1"/>
  <c r="F21284" i="1"/>
  <c r="E21284" i="1"/>
  <c r="F21283" i="1"/>
  <c r="E21283" i="1"/>
  <c r="F21282" i="1"/>
  <c r="E21282" i="1"/>
  <c r="F21281" i="1"/>
  <c r="E21281" i="1"/>
  <c r="F21280" i="1"/>
  <c r="E21280" i="1"/>
  <c r="F21279" i="1"/>
  <c r="E21279" i="1"/>
  <c r="F21278" i="1"/>
  <c r="E21278" i="1"/>
  <c r="F21277" i="1"/>
  <c r="F21276" i="1"/>
  <c r="E21276" i="1"/>
  <c r="F21275" i="1"/>
  <c r="E21275" i="1"/>
  <c r="F21274" i="1"/>
  <c r="E21274" i="1"/>
  <c r="F21273" i="1"/>
  <c r="E21273" i="1"/>
  <c r="F21272" i="1"/>
  <c r="E21272" i="1"/>
  <c r="F21271" i="1"/>
  <c r="E21271" i="1"/>
  <c r="F21270" i="1"/>
  <c r="E21270" i="1"/>
  <c r="F21269" i="1"/>
  <c r="E21269" i="1"/>
  <c r="F21268" i="1"/>
  <c r="E21268" i="1"/>
  <c r="F21267" i="1"/>
  <c r="E21267" i="1"/>
  <c r="F21266" i="1"/>
  <c r="E21266" i="1"/>
  <c r="F21265" i="1"/>
  <c r="E21265" i="1"/>
  <c r="F21264" i="1"/>
  <c r="E21264" i="1"/>
  <c r="F21263" i="1"/>
  <c r="E21263" i="1"/>
  <c r="F21262" i="1"/>
  <c r="E21262" i="1"/>
  <c r="F21261" i="1"/>
  <c r="E21261" i="1"/>
  <c r="F21260" i="1"/>
  <c r="E21260" i="1"/>
  <c r="F21259" i="1"/>
  <c r="E21259" i="1"/>
  <c r="F21258" i="1"/>
  <c r="E21258" i="1"/>
  <c r="F21257" i="1"/>
  <c r="E21257" i="1"/>
  <c r="F21256" i="1"/>
  <c r="E21256" i="1"/>
  <c r="F21255" i="1"/>
  <c r="E21255" i="1"/>
  <c r="F21254" i="1"/>
  <c r="E21254" i="1"/>
  <c r="F21253" i="1"/>
  <c r="E21253" i="1"/>
  <c r="F21252" i="1"/>
  <c r="E21252" i="1"/>
  <c r="F21251" i="1"/>
  <c r="E21251" i="1"/>
  <c r="F21250" i="1"/>
  <c r="E21250" i="1"/>
  <c r="F21249" i="1"/>
  <c r="E21249" i="1"/>
  <c r="F21248" i="1"/>
  <c r="E21248" i="1"/>
  <c r="F21247" i="1"/>
  <c r="E21247" i="1"/>
  <c r="F21246" i="1"/>
  <c r="E21246" i="1"/>
  <c r="F21245" i="1"/>
  <c r="E21245" i="1"/>
  <c r="F21244" i="1"/>
  <c r="E21244" i="1"/>
  <c r="F21243" i="1"/>
  <c r="E21243" i="1"/>
  <c r="F21242" i="1"/>
  <c r="E21242" i="1"/>
  <c r="F21241" i="1"/>
  <c r="E21241" i="1"/>
  <c r="F21240" i="1"/>
  <c r="E21240" i="1"/>
  <c r="F21239" i="1"/>
  <c r="E21239" i="1"/>
  <c r="F21238" i="1"/>
  <c r="E21238" i="1"/>
  <c r="F21237" i="1"/>
  <c r="E21237" i="1"/>
  <c r="F21236" i="1"/>
  <c r="E21236" i="1"/>
  <c r="F21235" i="1"/>
  <c r="E21235" i="1"/>
  <c r="F21234" i="1"/>
  <c r="E21234" i="1"/>
  <c r="F21233" i="1"/>
  <c r="E21233" i="1"/>
  <c r="F21232" i="1"/>
  <c r="E21232" i="1"/>
  <c r="F21231" i="1"/>
  <c r="E21231" i="1"/>
  <c r="F21230" i="1"/>
  <c r="E21230" i="1"/>
  <c r="F21229" i="1"/>
  <c r="E21229" i="1"/>
  <c r="F21228" i="1"/>
  <c r="E21228" i="1"/>
  <c r="F21227" i="1"/>
  <c r="E21227" i="1"/>
  <c r="F21226" i="1"/>
  <c r="E21226" i="1"/>
  <c r="F21225" i="1"/>
  <c r="E21225" i="1"/>
  <c r="F21224" i="1"/>
  <c r="E21224" i="1"/>
  <c r="F21223" i="1"/>
  <c r="E21223" i="1"/>
  <c r="F21222" i="1"/>
  <c r="E21222" i="1"/>
  <c r="F21221" i="1"/>
  <c r="E21221" i="1"/>
  <c r="F21220" i="1"/>
  <c r="E21220" i="1"/>
  <c r="F21219" i="1"/>
  <c r="E21219" i="1"/>
  <c r="F21218" i="1"/>
  <c r="E21218" i="1"/>
  <c r="F21217" i="1"/>
  <c r="E21217" i="1"/>
  <c r="F21216" i="1"/>
  <c r="E21216" i="1"/>
  <c r="F21215" i="1"/>
  <c r="E21215" i="1"/>
  <c r="F21214" i="1"/>
  <c r="E21214" i="1"/>
  <c r="F21213" i="1"/>
  <c r="E21213" i="1"/>
  <c r="F21212" i="1"/>
  <c r="E21212" i="1"/>
  <c r="F21211" i="1"/>
  <c r="E21211" i="1"/>
  <c r="F21210" i="1"/>
  <c r="E21210" i="1"/>
  <c r="F21209" i="1"/>
  <c r="E21209" i="1"/>
  <c r="F21208" i="1"/>
  <c r="E21208" i="1"/>
  <c r="F21207" i="1"/>
  <c r="E21207" i="1"/>
  <c r="F21206" i="1"/>
  <c r="E21206" i="1"/>
  <c r="F21205" i="1"/>
  <c r="E21205" i="1"/>
  <c r="F21204" i="1"/>
  <c r="E21204" i="1"/>
  <c r="F21203" i="1"/>
  <c r="E21203" i="1"/>
  <c r="F21202" i="1"/>
  <c r="E21202" i="1"/>
  <c r="F21201" i="1"/>
  <c r="E21201" i="1"/>
  <c r="F21200" i="1"/>
  <c r="E21200" i="1"/>
  <c r="F21199" i="1"/>
  <c r="E21199" i="1"/>
  <c r="F21198" i="1"/>
  <c r="E21198" i="1"/>
  <c r="F21197" i="1"/>
  <c r="E21197" i="1"/>
  <c r="F21196" i="1"/>
  <c r="E21196" i="1"/>
  <c r="F21195" i="1"/>
  <c r="E21195" i="1"/>
  <c r="F21194" i="1"/>
  <c r="E21194" i="1"/>
  <c r="F21193" i="1"/>
  <c r="E21193" i="1"/>
  <c r="F21192" i="1"/>
  <c r="E21192" i="1"/>
  <c r="F21191" i="1"/>
  <c r="E21191" i="1"/>
  <c r="F21190" i="1"/>
  <c r="E21190" i="1"/>
  <c r="F21189" i="1"/>
  <c r="E21189" i="1"/>
  <c r="F21188" i="1"/>
  <c r="E21188" i="1"/>
  <c r="F21187" i="1"/>
  <c r="E21187" i="1"/>
  <c r="F21186" i="1"/>
  <c r="E21186" i="1"/>
  <c r="F21185" i="1"/>
  <c r="E21185" i="1"/>
  <c r="F21184" i="1"/>
  <c r="E21184" i="1"/>
  <c r="F21183" i="1"/>
  <c r="E21183" i="1"/>
  <c r="F21182" i="1"/>
  <c r="E21182" i="1"/>
  <c r="F21181" i="1"/>
  <c r="E21181" i="1"/>
  <c r="F21180" i="1"/>
  <c r="E21180" i="1"/>
  <c r="F21179" i="1"/>
  <c r="E21179" i="1"/>
  <c r="F21178" i="1"/>
  <c r="E21178" i="1"/>
  <c r="F21177" i="1"/>
  <c r="E21177" i="1"/>
  <c r="F21176" i="1"/>
  <c r="E21176" i="1"/>
  <c r="F21175" i="1"/>
  <c r="E21175" i="1"/>
  <c r="F21174" i="1"/>
  <c r="E21174" i="1"/>
  <c r="F21173" i="1"/>
  <c r="E21173" i="1"/>
  <c r="F21172" i="1"/>
  <c r="E21172" i="1"/>
  <c r="F21171" i="1"/>
  <c r="E21171" i="1"/>
  <c r="F21170" i="1"/>
  <c r="E21170" i="1"/>
  <c r="F21169" i="1"/>
  <c r="E21169" i="1"/>
  <c r="F21168" i="1"/>
  <c r="E21168" i="1"/>
  <c r="F21167" i="1"/>
  <c r="E21167" i="1"/>
  <c r="F21166" i="1"/>
  <c r="E21166" i="1"/>
  <c r="F21165" i="1"/>
  <c r="E21165" i="1"/>
  <c r="F21164" i="1"/>
  <c r="E21164" i="1"/>
  <c r="F21163" i="1"/>
  <c r="E21163" i="1"/>
  <c r="F21162" i="1"/>
  <c r="E21162" i="1"/>
  <c r="F21161" i="1"/>
  <c r="E21161" i="1"/>
  <c r="F21160" i="1"/>
  <c r="E21160" i="1"/>
  <c r="F21159" i="1"/>
  <c r="E21159" i="1"/>
  <c r="F21158" i="1"/>
  <c r="E21158" i="1"/>
  <c r="F21157" i="1"/>
  <c r="E21157" i="1"/>
  <c r="F21156" i="1"/>
  <c r="E21156" i="1"/>
  <c r="F21155" i="1"/>
  <c r="E21155" i="1"/>
  <c r="F21154" i="1"/>
  <c r="E21154" i="1"/>
  <c r="F21153" i="1"/>
  <c r="E21153" i="1"/>
  <c r="F21152" i="1"/>
  <c r="E21152" i="1"/>
  <c r="F21151" i="1"/>
  <c r="E21151" i="1"/>
  <c r="F21150" i="1"/>
  <c r="E21150" i="1"/>
  <c r="F21149" i="1"/>
  <c r="E21149" i="1"/>
  <c r="F21148" i="1"/>
  <c r="E21148" i="1"/>
  <c r="F21147" i="1"/>
  <c r="E21147" i="1"/>
  <c r="F21146" i="1"/>
  <c r="E21146" i="1"/>
  <c r="F21145" i="1"/>
  <c r="E21145" i="1"/>
  <c r="F21144" i="1"/>
  <c r="E21144" i="1"/>
  <c r="F21143" i="1"/>
  <c r="E21143" i="1"/>
  <c r="F21142" i="1"/>
  <c r="E21142" i="1"/>
  <c r="F21141" i="1"/>
  <c r="E21141" i="1"/>
  <c r="F21140" i="1"/>
  <c r="E21140" i="1"/>
  <c r="F21139" i="1"/>
  <c r="E21139" i="1"/>
  <c r="F21138" i="1"/>
  <c r="E21138" i="1"/>
  <c r="F21137" i="1"/>
  <c r="E21137" i="1"/>
  <c r="F21136" i="1"/>
  <c r="E21136" i="1"/>
  <c r="F21135" i="1"/>
  <c r="E21135" i="1"/>
  <c r="F21134" i="1"/>
  <c r="E21134" i="1"/>
  <c r="F21133" i="1"/>
  <c r="E21133" i="1"/>
  <c r="F21132" i="1"/>
  <c r="E21132" i="1"/>
  <c r="F21131" i="1"/>
  <c r="E21131" i="1"/>
  <c r="F21130" i="1"/>
  <c r="E21130" i="1"/>
  <c r="F21129" i="1"/>
  <c r="E21129" i="1"/>
  <c r="F21128" i="1"/>
  <c r="E21128" i="1"/>
  <c r="F21127" i="1"/>
  <c r="E21127" i="1"/>
  <c r="F21126" i="1"/>
  <c r="E21126" i="1"/>
  <c r="F21125" i="1"/>
  <c r="E21125" i="1"/>
  <c r="F21124" i="1"/>
  <c r="E21124" i="1"/>
  <c r="F21123" i="1"/>
  <c r="E21123" i="1"/>
  <c r="F21122" i="1"/>
  <c r="E21122" i="1"/>
  <c r="F21121" i="1"/>
  <c r="E21121" i="1"/>
  <c r="F21120" i="1"/>
  <c r="E21120" i="1"/>
  <c r="F21119" i="1"/>
  <c r="E21119" i="1"/>
  <c r="F21118" i="1"/>
  <c r="E21118" i="1"/>
  <c r="F21117" i="1"/>
  <c r="E21117" i="1"/>
  <c r="F21116" i="1"/>
  <c r="E21116" i="1"/>
  <c r="F21115" i="1"/>
  <c r="E21115" i="1"/>
  <c r="F21114" i="1"/>
  <c r="E21114" i="1"/>
  <c r="F21113" i="1"/>
  <c r="E21113" i="1"/>
  <c r="F21112" i="1"/>
  <c r="E21112" i="1"/>
  <c r="F21111" i="1"/>
  <c r="E21111" i="1"/>
  <c r="F21110" i="1"/>
  <c r="E21110" i="1"/>
  <c r="F21109" i="1"/>
  <c r="E21109" i="1"/>
  <c r="F21108" i="1"/>
  <c r="E21108" i="1"/>
  <c r="F21107" i="1"/>
  <c r="E21107" i="1"/>
  <c r="F21106" i="1"/>
  <c r="E21106" i="1"/>
  <c r="F21105" i="1"/>
  <c r="E21105" i="1"/>
  <c r="F21104" i="1"/>
  <c r="E21104" i="1"/>
  <c r="F21103" i="1"/>
  <c r="E21103" i="1"/>
  <c r="F21102" i="1"/>
  <c r="E21102" i="1"/>
  <c r="F21101" i="1"/>
  <c r="E21101" i="1"/>
  <c r="F21100" i="1"/>
  <c r="E21100" i="1"/>
  <c r="F21099" i="1"/>
  <c r="E21099" i="1"/>
  <c r="F21098" i="1"/>
  <c r="E21098" i="1"/>
  <c r="F21097" i="1"/>
  <c r="E21097" i="1"/>
  <c r="F21096" i="1"/>
  <c r="E21096" i="1"/>
  <c r="F21095" i="1"/>
  <c r="E21095" i="1"/>
  <c r="F21094" i="1"/>
  <c r="E21094" i="1"/>
  <c r="F21093" i="1"/>
  <c r="E21093" i="1"/>
  <c r="F21092" i="1"/>
  <c r="E21092" i="1"/>
  <c r="F21091" i="1"/>
  <c r="E21091" i="1"/>
  <c r="F21090" i="1"/>
  <c r="E21090" i="1"/>
  <c r="F21089" i="1"/>
  <c r="E21089" i="1"/>
  <c r="F21088" i="1"/>
  <c r="E21088" i="1"/>
  <c r="F21087" i="1"/>
  <c r="E21087" i="1"/>
  <c r="F21086" i="1"/>
  <c r="E21086" i="1"/>
  <c r="F21085" i="1"/>
  <c r="E21085" i="1"/>
  <c r="F21084" i="1"/>
  <c r="E21084" i="1"/>
  <c r="F21083" i="1"/>
  <c r="E21083" i="1"/>
  <c r="F21082" i="1"/>
  <c r="E21082" i="1"/>
  <c r="F21081" i="1"/>
  <c r="E21081" i="1"/>
  <c r="F21080" i="1"/>
  <c r="E21080" i="1"/>
  <c r="F21079" i="1"/>
  <c r="E21079" i="1"/>
  <c r="F21078" i="1"/>
  <c r="E21078" i="1"/>
  <c r="F21077" i="1"/>
  <c r="E21077" i="1"/>
  <c r="F21076" i="1"/>
  <c r="E21076" i="1"/>
  <c r="F21075" i="1"/>
  <c r="E21075" i="1"/>
  <c r="F21074" i="1"/>
  <c r="E21074" i="1"/>
  <c r="F21073" i="1"/>
  <c r="E21073" i="1"/>
  <c r="F21072" i="1"/>
  <c r="E21072" i="1"/>
  <c r="F21071" i="1"/>
  <c r="E21071" i="1"/>
  <c r="F21070" i="1"/>
  <c r="E21070" i="1"/>
  <c r="F21069" i="1"/>
  <c r="E21069" i="1"/>
  <c r="F21068" i="1"/>
  <c r="E21068" i="1"/>
  <c r="F21067" i="1"/>
  <c r="E21067" i="1"/>
  <c r="F21066" i="1"/>
  <c r="E21066" i="1"/>
  <c r="F21065" i="1"/>
  <c r="E21065" i="1"/>
  <c r="F21064" i="1"/>
  <c r="E21064" i="1"/>
  <c r="F21063" i="1"/>
  <c r="E21063" i="1"/>
  <c r="F21062" i="1"/>
  <c r="E21062" i="1"/>
  <c r="F21061" i="1"/>
  <c r="E21061" i="1"/>
  <c r="F21060" i="1"/>
  <c r="E21060" i="1"/>
  <c r="F21059" i="1"/>
  <c r="E21059" i="1"/>
  <c r="F21058" i="1"/>
  <c r="E21058" i="1"/>
  <c r="F21057" i="1"/>
  <c r="E21057" i="1"/>
  <c r="F21056" i="1"/>
  <c r="E21056" i="1"/>
  <c r="F21055" i="1"/>
  <c r="E21055" i="1"/>
  <c r="F21054" i="1"/>
  <c r="E21054" i="1"/>
  <c r="F21053" i="1"/>
  <c r="E21053" i="1"/>
  <c r="F21052" i="1"/>
  <c r="E21052" i="1"/>
  <c r="F21051" i="1"/>
  <c r="E21051" i="1"/>
  <c r="F21050" i="1"/>
  <c r="E21050" i="1"/>
  <c r="F21049" i="1"/>
  <c r="E21049" i="1"/>
  <c r="F21048" i="1"/>
  <c r="E21048" i="1"/>
  <c r="F21047" i="1"/>
  <c r="E21047" i="1"/>
  <c r="F21046" i="1"/>
  <c r="E21046" i="1"/>
  <c r="F21045" i="1"/>
  <c r="E21045" i="1"/>
  <c r="F21044" i="1"/>
  <c r="E21044" i="1"/>
  <c r="F21043" i="1"/>
  <c r="E21043" i="1"/>
  <c r="F21042" i="1"/>
  <c r="E21042" i="1"/>
  <c r="F21041" i="1"/>
  <c r="E21041" i="1"/>
  <c r="F21040" i="1"/>
  <c r="E21040" i="1"/>
  <c r="F21039" i="1"/>
  <c r="E21039" i="1"/>
  <c r="F21038" i="1"/>
  <c r="E21038" i="1"/>
  <c r="F21037" i="1"/>
  <c r="E21037" i="1"/>
  <c r="F21036" i="1"/>
  <c r="E21036" i="1"/>
  <c r="F21035" i="1"/>
  <c r="E21035" i="1"/>
  <c r="F21034" i="1"/>
  <c r="E21034" i="1"/>
  <c r="F21033" i="1"/>
  <c r="E21033" i="1"/>
  <c r="F21032" i="1"/>
  <c r="E21032" i="1"/>
  <c r="F21031" i="1"/>
  <c r="E21031" i="1"/>
  <c r="F21030" i="1"/>
  <c r="E21030" i="1"/>
  <c r="F21029" i="1"/>
  <c r="E21029" i="1"/>
  <c r="F21028" i="1"/>
  <c r="E21028" i="1"/>
  <c r="F21027" i="1"/>
  <c r="E21027" i="1"/>
  <c r="F21026" i="1"/>
  <c r="E21026" i="1"/>
  <c r="F21025" i="1"/>
  <c r="E21025" i="1"/>
  <c r="F21024" i="1"/>
  <c r="E21024" i="1"/>
  <c r="F21023" i="1"/>
  <c r="E21023" i="1"/>
  <c r="F21022" i="1"/>
  <c r="E21022" i="1"/>
  <c r="F21021" i="1"/>
  <c r="E21021" i="1"/>
  <c r="F21020" i="1"/>
  <c r="E21020" i="1"/>
  <c r="F21019" i="1"/>
  <c r="E21019" i="1"/>
  <c r="F21018" i="1"/>
  <c r="E21018" i="1"/>
  <c r="F21017" i="1"/>
  <c r="E21017" i="1"/>
  <c r="F21016" i="1"/>
  <c r="E21016" i="1"/>
  <c r="F21015" i="1"/>
  <c r="E21015" i="1"/>
  <c r="F21014" i="1"/>
  <c r="E21014" i="1"/>
  <c r="F21013" i="1"/>
  <c r="E21013" i="1"/>
  <c r="F21012" i="1"/>
  <c r="E21012" i="1"/>
  <c r="F21011" i="1"/>
  <c r="E21011" i="1"/>
  <c r="F21010" i="1"/>
  <c r="E21010" i="1"/>
  <c r="F21009" i="1"/>
  <c r="E21009" i="1"/>
  <c r="F21008" i="1"/>
  <c r="E21008" i="1"/>
  <c r="F21007" i="1"/>
  <c r="E21007" i="1"/>
  <c r="F21006" i="1"/>
  <c r="E21006" i="1"/>
  <c r="F21005" i="1"/>
  <c r="E21005" i="1"/>
  <c r="F21004" i="1"/>
  <c r="E21004" i="1"/>
  <c r="F21003" i="1"/>
  <c r="E21003" i="1"/>
  <c r="F21002" i="1"/>
  <c r="E21002" i="1"/>
  <c r="F21001" i="1"/>
  <c r="E21001" i="1"/>
  <c r="F21000" i="1"/>
  <c r="F20999" i="1"/>
  <c r="F20998" i="1"/>
  <c r="E20998" i="1"/>
  <c r="F20997" i="1"/>
  <c r="E20997" i="1"/>
  <c r="F20996" i="1"/>
  <c r="E20996" i="1"/>
  <c r="F20995" i="1"/>
  <c r="E20995" i="1"/>
  <c r="F20994" i="1"/>
  <c r="E20994" i="1"/>
  <c r="F20993" i="1"/>
  <c r="E20993" i="1"/>
  <c r="F20992" i="1"/>
  <c r="E20992" i="1"/>
  <c r="F20991" i="1"/>
  <c r="E20991" i="1"/>
  <c r="F20990" i="1"/>
  <c r="E20990" i="1"/>
  <c r="F20989" i="1"/>
  <c r="E20989" i="1"/>
  <c r="F20988" i="1"/>
  <c r="E20988" i="1"/>
  <c r="F20987" i="1"/>
  <c r="E20987" i="1"/>
  <c r="F20986" i="1"/>
  <c r="E20986" i="1"/>
  <c r="F20985" i="1"/>
  <c r="E20985" i="1"/>
  <c r="F20984" i="1"/>
  <c r="E20984" i="1"/>
  <c r="F20983" i="1"/>
  <c r="E20983" i="1"/>
  <c r="F20982" i="1"/>
  <c r="E20982" i="1"/>
  <c r="F20981" i="1"/>
  <c r="E20981" i="1"/>
  <c r="F20980" i="1"/>
  <c r="E20980" i="1"/>
  <c r="F20979" i="1"/>
  <c r="E20979" i="1"/>
  <c r="F20978" i="1"/>
  <c r="E20978" i="1"/>
  <c r="F20977" i="1"/>
  <c r="E20977" i="1"/>
  <c r="F20976" i="1"/>
  <c r="E20976" i="1"/>
  <c r="F20975" i="1"/>
  <c r="E20975" i="1"/>
  <c r="F20974" i="1"/>
  <c r="E20974" i="1"/>
  <c r="F20973" i="1"/>
  <c r="E20973" i="1"/>
  <c r="F20972" i="1"/>
  <c r="E20972" i="1"/>
  <c r="F20971" i="1"/>
  <c r="E20971" i="1"/>
  <c r="F20970" i="1"/>
  <c r="E20970" i="1"/>
  <c r="F20969" i="1"/>
  <c r="E20969" i="1"/>
  <c r="F20968" i="1"/>
  <c r="E20968" i="1"/>
  <c r="F20967" i="1"/>
  <c r="E20967" i="1"/>
  <c r="F20966" i="1"/>
  <c r="E20966" i="1"/>
  <c r="F20965" i="1"/>
  <c r="E20965" i="1"/>
  <c r="F20964" i="1"/>
  <c r="E20964" i="1"/>
  <c r="F20963" i="1"/>
  <c r="E20963" i="1"/>
  <c r="F20962" i="1"/>
  <c r="E20962" i="1"/>
  <c r="F20961" i="1"/>
  <c r="E20961" i="1"/>
  <c r="F20960" i="1"/>
  <c r="E20960" i="1"/>
  <c r="F20959" i="1"/>
  <c r="E20959" i="1"/>
  <c r="F20958" i="1"/>
  <c r="E20958" i="1"/>
  <c r="F20957" i="1"/>
  <c r="E20957" i="1"/>
  <c r="F20956" i="1"/>
  <c r="E20956" i="1"/>
  <c r="F20955" i="1"/>
  <c r="E20955" i="1"/>
  <c r="F20954" i="1"/>
  <c r="E20954" i="1"/>
  <c r="F20953" i="1"/>
  <c r="E20953" i="1"/>
  <c r="F20952" i="1"/>
  <c r="E20952" i="1"/>
  <c r="F20951" i="1"/>
  <c r="E20951" i="1"/>
  <c r="F20950" i="1"/>
  <c r="E20950" i="1"/>
  <c r="F20949" i="1"/>
  <c r="F20948" i="1"/>
  <c r="E20948" i="1"/>
  <c r="F20947" i="1"/>
  <c r="E20947" i="1"/>
  <c r="F20946" i="1"/>
  <c r="E20946" i="1"/>
  <c r="F20945" i="1"/>
  <c r="E20945" i="1"/>
  <c r="F20944" i="1"/>
  <c r="E20944" i="1"/>
  <c r="F20943" i="1"/>
  <c r="E20943" i="1"/>
  <c r="F20942" i="1"/>
  <c r="E20942" i="1"/>
  <c r="F20941" i="1"/>
  <c r="F20940" i="1"/>
  <c r="E20940" i="1"/>
  <c r="F20939" i="1"/>
  <c r="E20939" i="1"/>
  <c r="F20938" i="1"/>
  <c r="E20938" i="1"/>
  <c r="F20937" i="1"/>
  <c r="E20937" i="1"/>
  <c r="F20936" i="1"/>
  <c r="E20936" i="1"/>
  <c r="F20935" i="1"/>
  <c r="E20935" i="1"/>
  <c r="F20934" i="1"/>
  <c r="E20934" i="1"/>
  <c r="F20933" i="1"/>
  <c r="E20933" i="1"/>
  <c r="F20932" i="1"/>
  <c r="E20932" i="1"/>
  <c r="F20931" i="1"/>
  <c r="E20931" i="1"/>
  <c r="F20930" i="1"/>
  <c r="E20930" i="1"/>
  <c r="F20929" i="1"/>
  <c r="E20929" i="1"/>
  <c r="F20928" i="1"/>
  <c r="E20928" i="1"/>
  <c r="F20927" i="1"/>
  <c r="E20927" i="1"/>
  <c r="F20926" i="1"/>
  <c r="E20926" i="1"/>
  <c r="F20925" i="1"/>
  <c r="E20925" i="1"/>
  <c r="F20924" i="1"/>
  <c r="E20924" i="1"/>
  <c r="F20923" i="1"/>
  <c r="E20923" i="1"/>
  <c r="F20922" i="1"/>
  <c r="E20922" i="1"/>
  <c r="F20921" i="1"/>
  <c r="E20921" i="1"/>
  <c r="F20920" i="1"/>
  <c r="E20920" i="1"/>
  <c r="F20919" i="1"/>
  <c r="E20919" i="1"/>
  <c r="F20918" i="1"/>
  <c r="E20918" i="1"/>
  <c r="F20917" i="1"/>
  <c r="E20917" i="1"/>
  <c r="F20916" i="1"/>
  <c r="E20916" i="1"/>
  <c r="F20915" i="1"/>
  <c r="E20915" i="1"/>
  <c r="F20914" i="1"/>
  <c r="E20914" i="1"/>
  <c r="F20913" i="1"/>
  <c r="E20913" i="1"/>
  <c r="F20912" i="1"/>
  <c r="E20912" i="1"/>
  <c r="F20911" i="1"/>
  <c r="E20911" i="1"/>
  <c r="F20910" i="1"/>
  <c r="E20910" i="1"/>
  <c r="F20909" i="1"/>
  <c r="E20909" i="1"/>
  <c r="F20908" i="1"/>
  <c r="E20908" i="1"/>
  <c r="F20907" i="1"/>
  <c r="E20907" i="1"/>
  <c r="F20906" i="1"/>
  <c r="E20906" i="1"/>
  <c r="F20905" i="1"/>
  <c r="E20905" i="1"/>
  <c r="F20904" i="1"/>
  <c r="E20904" i="1"/>
  <c r="F20903" i="1"/>
  <c r="E20903" i="1"/>
  <c r="F20902" i="1"/>
  <c r="E20902" i="1"/>
  <c r="F20901" i="1"/>
  <c r="E20901" i="1"/>
  <c r="F20900" i="1"/>
  <c r="E20900" i="1"/>
  <c r="F20899" i="1"/>
  <c r="E20899" i="1"/>
  <c r="F20898" i="1"/>
  <c r="E20898" i="1"/>
  <c r="F20897" i="1"/>
  <c r="E20897" i="1"/>
  <c r="F20896" i="1"/>
  <c r="E20896" i="1"/>
  <c r="F20895" i="1"/>
  <c r="E20895" i="1"/>
  <c r="F20894" i="1"/>
  <c r="E20894" i="1"/>
  <c r="F20893" i="1"/>
  <c r="E20893" i="1"/>
  <c r="F20892" i="1"/>
  <c r="E20892" i="1"/>
  <c r="F20891" i="1"/>
  <c r="E20891" i="1"/>
  <c r="F20890" i="1"/>
  <c r="E20890" i="1"/>
  <c r="F20889" i="1"/>
  <c r="E20889" i="1"/>
  <c r="F20888" i="1"/>
  <c r="E20888" i="1"/>
  <c r="F20887" i="1"/>
  <c r="E20887" i="1"/>
  <c r="F20886" i="1"/>
  <c r="E20886" i="1"/>
  <c r="F20885" i="1"/>
  <c r="E20885" i="1"/>
  <c r="F20884" i="1"/>
  <c r="E20884" i="1"/>
  <c r="F20883" i="1"/>
  <c r="E20883" i="1"/>
  <c r="F20882" i="1"/>
  <c r="E20882" i="1"/>
  <c r="F20881" i="1"/>
  <c r="E20881" i="1"/>
  <c r="F20880" i="1"/>
  <c r="E20880" i="1"/>
  <c r="F20879" i="1"/>
  <c r="E20879" i="1"/>
  <c r="F20878" i="1"/>
  <c r="E20878" i="1"/>
  <c r="F20877" i="1"/>
  <c r="E20877" i="1"/>
  <c r="F20876" i="1"/>
  <c r="E20876" i="1"/>
  <c r="F20875" i="1"/>
  <c r="E20875" i="1"/>
  <c r="F20874" i="1"/>
  <c r="E20874" i="1"/>
  <c r="F20873" i="1"/>
  <c r="E20873" i="1"/>
  <c r="F20872" i="1"/>
  <c r="E20872" i="1"/>
  <c r="F20871" i="1"/>
  <c r="E20871" i="1"/>
  <c r="F20870" i="1"/>
  <c r="E20870" i="1"/>
  <c r="F20869" i="1"/>
  <c r="E20869" i="1"/>
  <c r="F20868" i="1"/>
  <c r="E20868" i="1"/>
  <c r="F20867" i="1"/>
  <c r="E20867" i="1"/>
  <c r="F20866" i="1"/>
  <c r="E20866" i="1"/>
  <c r="F20865" i="1"/>
  <c r="E20865" i="1"/>
  <c r="F20864" i="1"/>
  <c r="E20864" i="1"/>
  <c r="F20863" i="1"/>
  <c r="E20863" i="1"/>
  <c r="F20862" i="1"/>
  <c r="E20862" i="1"/>
  <c r="F20861" i="1"/>
  <c r="E20861" i="1"/>
  <c r="F20860" i="1"/>
  <c r="E20860" i="1"/>
  <c r="F20859" i="1"/>
  <c r="E20859" i="1"/>
  <c r="F20858" i="1"/>
  <c r="E20858" i="1"/>
  <c r="F20857" i="1"/>
  <c r="E20857" i="1"/>
  <c r="F20856" i="1"/>
  <c r="E20856" i="1"/>
  <c r="F20855" i="1"/>
  <c r="E20855" i="1"/>
  <c r="F20854" i="1"/>
  <c r="E20854" i="1"/>
  <c r="F20853" i="1"/>
  <c r="E20853" i="1"/>
  <c r="F20852" i="1"/>
  <c r="E20852" i="1"/>
  <c r="F20851" i="1"/>
  <c r="E20851" i="1"/>
  <c r="F20850" i="1"/>
  <c r="E20850" i="1"/>
  <c r="F20849" i="1"/>
  <c r="E20849" i="1"/>
  <c r="F20848" i="1"/>
  <c r="E20848" i="1"/>
  <c r="F20847" i="1"/>
  <c r="E20847" i="1"/>
  <c r="F20846" i="1"/>
  <c r="E20846" i="1"/>
  <c r="F20845" i="1"/>
  <c r="E20845" i="1"/>
  <c r="F20844" i="1"/>
  <c r="E20844" i="1"/>
  <c r="F20843" i="1"/>
  <c r="E20843" i="1"/>
  <c r="F20842" i="1"/>
  <c r="E20842" i="1"/>
  <c r="F20841" i="1"/>
  <c r="E20841" i="1"/>
  <c r="F20840" i="1"/>
  <c r="E20840" i="1"/>
  <c r="F20839" i="1"/>
  <c r="E20839" i="1"/>
  <c r="F20838" i="1"/>
  <c r="E20838" i="1"/>
  <c r="F20837" i="1"/>
  <c r="E20837" i="1"/>
  <c r="F20836" i="1"/>
  <c r="E20836" i="1"/>
  <c r="F20835" i="1"/>
  <c r="E20835" i="1"/>
  <c r="F20834" i="1"/>
  <c r="E20834" i="1"/>
  <c r="F20833" i="1"/>
  <c r="E20833" i="1"/>
  <c r="F20832" i="1"/>
  <c r="E20832" i="1"/>
  <c r="F20831" i="1"/>
  <c r="E20831" i="1"/>
  <c r="F20830" i="1"/>
  <c r="E20830" i="1"/>
  <c r="F20829" i="1"/>
  <c r="E20829" i="1"/>
  <c r="F20828" i="1"/>
  <c r="E20828" i="1"/>
  <c r="F20827" i="1"/>
  <c r="E20827" i="1"/>
  <c r="F20826" i="1"/>
  <c r="E20826" i="1"/>
  <c r="F20825" i="1"/>
  <c r="E20825" i="1"/>
  <c r="F20824" i="1"/>
  <c r="E20824" i="1"/>
  <c r="F20823" i="1"/>
  <c r="E20823" i="1"/>
  <c r="F20822" i="1"/>
  <c r="E20822" i="1"/>
  <c r="F20821" i="1"/>
  <c r="E20821" i="1"/>
  <c r="F20820" i="1"/>
  <c r="E20820" i="1"/>
  <c r="F20819" i="1"/>
  <c r="E20819" i="1"/>
  <c r="F20818" i="1"/>
  <c r="E20818" i="1"/>
  <c r="F20817" i="1"/>
  <c r="E20817" i="1"/>
  <c r="F20816" i="1"/>
  <c r="E20816" i="1"/>
  <c r="F20815" i="1"/>
  <c r="E20815" i="1"/>
  <c r="F20814" i="1"/>
  <c r="E20814" i="1"/>
  <c r="F20813" i="1"/>
  <c r="E20813" i="1"/>
  <c r="F20812" i="1"/>
  <c r="E20812" i="1"/>
  <c r="F20811" i="1"/>
  <c r="E20811" i="1"/>
  <c r="F20810" i="1"/>
  <c r="E20810" i="1"/>
  <c r="F20809" i="1"/>
  <c r="E20809" i="1"/>
  <c r="F20808" i="1"/>
  <c r="E20808" i="1"/>
  <c r="F20807" i="1"/>
  <c r="E20807" i="1"/>
  <c r="F20806" i="1"/>
  <c r="E20806" i="1"/>
  <c r="F20805" i="1"/>
  <c r="E20805" i="1"/>
  <c r="F20804" i="1"/>
  <c r="E20804" i="1"/>
  <c r="F20803" i="1"/>
  <c r="E20803" i="1"/>
  <c r="F20802" i="1"/>
  <c r="E20802" i="1"/>
  <c r="F20801" i="1"/>
  <c r="E20801" i="1"/>
  <c r="F20800" i="1"/>
  <c r="E20800" i="1"/>
  <c r="F20799" i="1"/>
  <c r="E20799" i="1"/>
  <c r="F20798" i="1"/>
  <c r="E20798" i="1"/>
  <c r="F20797" i="1"/>
  <c r="E20797" i="1"/>
  <c r="F20796" i="1"/>
  <c r="E20796" i="1"/>
  <c r="F20795" i="1"/>
  <c r="E20795" i="1"/>
  <c r="F20794" i="1"/>
  <c r="E20794" i="1"/>
  <c r="F20793" i="1"/>
  <c r="E20793" i="1"/>
  <c r="F20792" i="1"/>
  <c r="E20792" i="1"/>
  <c r="F20791" i="1"/>
  <c r="E20791" i="1"/>
  <c r="F20790" i="1"/>
  <c r="E20790" i="1"/>
  <c r="F20789" i="1"/>
  <c r="E20789" i="1"/>
  <c r="F20788" i="1"/>
  <c r="E20788" i="1"/>
  <c r="F20787" i="1"/>
  <c r="E20787" i="1"/>
  <c r="F20786" i="1"/>
  <c r="E20786" i="1"/>
  <c r="F20785" i="1"/>
  <c r="E20785" i="1"/>
  <c r="F20784" i="1"/>
  <c r="E20784" i="1"/>
  <c r="F20783" i="1"/>
  <c r="E20783" i="1"/>
  <c r="F20782" i="1"/>
  <c r="E20782" i="1"/>
  <c r="F20781" i="1"/>
  <c r="E20781" i="1"/>
  <c r="F20780" i="1"/>
  <c r="E20780" i="1"/>
  <c r="F20779" i="1"/>
  <c r="E20779" i="1"/>
  <c r="F20778" i="1"/>
  <c r="E20778" i="1"/>
  <c r="F20777" i="1"/>
  <c r="E20777" i="1"/>
  <c r="F20776" i="1"/>
  <c r="E20776" i="1"/>
  <c r="F20775" i="1"/>
  <c r="E20775" i="1"/>
  <c r="F20774" i="1"/>
  <c r="E20774" i="1"/>
  <c r="F20773" i="1"/>
  <c r="E20773" i="1"/>
  <c r="F20772" i="1"/>
  <c r="E20772" i="1"/>
  <c r="F20771" i="1"/>
  <c r="E20771" i="1"/>
  <c r="F20770" i="1"/>
  <c r="E20770" i="1"/>
  <c r="F20769" i="1"/>
  <c r="E20769" i="1"/>
  <c r="F20768" i="1"/>
  <c r="E20768" i="1"/>
  <c r="F20767" i="1"/>
  <c r="E20767" i="1"/>
  <c r="F20766" i="1"/>
  <c r="E20766" i="1"/>
  <c r="F20765" i="1"/>
  <c r="E20765" i="1"/>
  <c r="F20764" i="1"/>
  <c r="E20764" i="1"/>
  <c r="F20763" i="1"/>
  <c r="E20763" i="1"/>
  <c r="F20762" i="1"/>
  <c r="E20762" i="1"/>
  <c r="F20761" i="1"/>
  <c r="E20761" i="1"/>
  <c r="F20760" i="1"/>
  <c r="E20760" i="1"/>
  <c r="F20759" i="1"/>
  <c r="E20759" i="1"/>
  <c r="F20758" i="1"/>
  <c r="E20758" i="1"/>
  <c r="F20757" i="1"/>
  <c r="E20757" i="1"/>
  <c r="F20756" i="1"/>
  <c r="E20756" i="1"/>
  <c r="F20755" i="1"/>
  <c r="E20755" i="1"/>
  <c r="F20754" i="1"/>
  <c r="E20754" i="1"/>
  <c r="F20753" i="1"/>
  <c r="E20753" i="1"/>
  <c r="F20752" i="1"/>
  <c r="E20752" i="1"/>
  <c r="F20751" i="1"/>
  <c r="E20751" i="1"/>
  <c r="F20750" i="1"/>
  <c r="E20750" i="1"/>
  <c r="F20749" i="1"/>
  <c r="E20749" i="1"/>
  <c r="F20748" i="1"/>
  <c r="E20748" i="1"/>
  <c r="F20747" i="1"/>
  <c r="E20747" i="1"/>
  <c r="F20746" i="1"/>
  <c r="E20746" i="1"/>
  <c r="F20745" i="1"/>
  <c r="E20745" i="1"/>
  <c r="F20744" i="1"/>
  <c r="E20744" i="1"/>
  <c r="F20743" i="1"/>
  <c r="E20743" i="1"/>
  <c r="F20742" i="1"/>
  <c r="E20742" i="1"/>
  <c r="F20741" i="1"/>
  <c r="E20741" i="1"/>
  <c r="F20740" i="1"/>
  <c r="E20740" i="1"/>
  <c r="F20739" i="1"/>
  <c r="E20739" i="1"/>
  <c r="F20738" i="1"/>
  <c r="E20738" i="1"/>
  <c r="F20737" i="1"/>
  <c r="E20737" i="1"/>
  <c r="F20736" i="1"/>
  <c r="E20736" i="1"/>
  <c r="F20735" i="1"/>
  <c r="E20735" i="1"/>
  <c r="F20734" i="1"/>
  <c r="E20734" i="1"/>
  <c r="F20733" i="1"/>
  <c r="E20733" i="1"/>
  <c r="F20732" i="1"/>
  <c r="E20732" i="1"/>
  <c r="F20731" i="1"/>
  <c r="E20731" i="1"/>
  <c r="F20730" i="1"/>
  <c r="E20730" i="1"/>
  <c r="F20729" i="1"/>
  <c r="E20729" i="1"/>
  <c r="F20728" i="1"/>
  <c r="E20728" i="1"/>
  <c r="F20727" i="1"/>
  <c r="E20727" i="1"/>
  <c r="F20726" i="1"/>
  <c r="E20726" i="1"/>
  <c r="F20725" i="1"/>
  <c r="E20725" i="1"/>
  <c r="F20724" i="1"/>
  <c r="E20724" i="1"/>
  <c r="F20723" i="1"/>
  <c r="E20723" i="1"/>
  <c r="F20722" i="1"/>
  <c r="E20722" i="1"/>
  <c r="F20721" i="1"/>
  <c r="E20721" i="1"/>
  <c r="F20720" i="1"/>
  <c r="E20720" i="1"/>
  <c r="F20719" i="1"/>
  <c r="E20719" i="1"/>
  <c r="F20718" i="1"/>
  <c r="E20718" i="1"/>
  <c r="F20717" i="1"/>
  <c r="E20717" i="1"/>
  <c r="F20716" i="1"/>
  <c r="E20716" i="1"/>
  <c r="F20715" i="1"/>
  <c r="E20715" i="1"/>
  <c r="F20714" i="1"/>
  <c r="E20714" i="1"/>
  <c r="F20713" i="1"/>
  <c r="E20713" i="1"/>
  <c r="F20712" i="1"/>
  <c r="E20712" i="1"/>
  <c r="F20711" i="1"/>
  <c r="E20711" i="1"/>
  <c r="F20710" i="1"/>
  <c r="E20710" i="1"/>
  <c r="F20709" i="1"/>
  <c r="E20709" i="1"/>
  <c r="F20708" i="1"/>
  <c r="E20708" i="1"/>
  <c r="F20707" i="1"/>
  <c r="E20707" i="1"/>
  <c r="F20706" i="1"/>
  <c r="E20706" i="1"/>
  <c r="F20705" i="1"/>
  <c r="E20705" i="1"/>
  <c r="F20704" i="1"/>
  <c r="E20704" i="1"/>
  <c r="F20703" i="1"/>
  <c r="E20703" i="1"/>
  <c r="F20702" i="1"/>
  <c r="E20702" i="1"/>
  <c r="F20701" i="1"/>
  <c r="E20701" i="1"/>
  <c r="F20700" i="1"/>
  <c r="E20700" i="1"/>
  <c r="F20699" i="1"/>
  <c r="E20699" i="1"/>
  <c r="F20698" i="1"/>
  <c r="E20698" i="1"/>
  <c r="F20697" i="1"/>
  <c r="E20697" i="1"/>
  <c r="F20696" i="1"/>
  <c r="E20696" i="1"/>
  <c r="F20695" i="1"/>
  <c r="E20695" i="1"/>
  <c r="F20694" i="1"/>
  <c r="E20694" i="1"/>
  <c r="F20693" i="1"/>
  <c r="E20693" i="1"/>
  <c r="F20692" i="1"/>
  <c r="E20692" i="1"/>
  <c r="F20691" i="1"/>
  <c r="E20691" i="1"/>
  <c r="F20690" i="1"/>
  <c r="E20690" i="1"/>
  <c r="F20689" i="1"/>
  <c r="E20689" i="1"/>
  <c r="F20688" i="1"/>
  <c r="E20688" i="1"/>
  <c r="F20687" i="1"/>
  <c r="E20687" i="1"/>
  <c r="F20686" i="1"/>
  <c r="E20686" i="1"/>
  <c r="F20685" i="1"/>
  <c r="E20685" i="1"/>
  <c r="F20684" i="1"/>
  <c r="E20684" i="1"/>
  <c r="F20683" i="1"/>
  <c r="E20683" i="1"/>
  <c r="F20682" i="1"/>
  <c r="E20682" i="1"/>
  <c r="F20681" i="1"/>
  <c r="E20681" i="1"/>
  <c r="F20680" i="1"/>
  <c r="E20680" i="1"/>
  <c r="F20679" i="1"/>
  <c r="E20679" i="1"/>
  <c r="F20678" i="1"/>
  <c r="E20678" i="1"/>
  <c r="F20677" i="1"/>
  <c r="E20677" i="1"/>
  <c r="F20676" i="1"/>
  <c r="E20676" i="1"/>
  <c r="F20675" i="1"/>
  <c r="E20675" i="1"/>
  <c r="F20674" i="1"/>
  <c r="E20674" i="1"/>
  <c r="F20673" i="1"/>
  <c r="E20673" i="1"/>
  <c r="F20672" i="1"/>
  <c r="E20672" i="1"/>
  <c r="F20671" i="1"/>
  <c r="E20671" i="1"/>
  <c r="F20670" i="1"/>
  <c r="E20670" i="1"/>
  <c r="F20669" i="1"/>
  <c r="E20669" i="1"/>
  <c r="F20668" i="1"/>
  <c r="E20668" i="1"/>
  <c r="F20667" i="1"/>
  <c r="E20667" i="1"/>
  <c r="F20666" i="1"/>
  <c r="E20666" i="1"/>
  <c r="F20665" i="1"/>
  <c r="E20665" i="1"/>
  <c r="F20664" i="1"/>
  <c r="E20664" i="1"/>
  <c r="F20663" i="1"/>
  <c r="E20663" i="1"/>
  <c r="F20662" i="1"/>
  <c r="E20662" i="1"/>
  <c r="F20661" i="1"/>
  <c r="E20661" i="1"/>
  <c r="F20660" i="1"/>
  <c r="E20660" i="1"/>
  <c r="F20659" i="1"/>
  <c r="E20659" i="1"/>
  <c r="F20658" i="1"/>
  <c r="E20658" i="1"/>
  <c r="F20657" i="1"/>
  <c r="E20657" i="1"/>
  <c r="F20656" i="1"/>
  <c r="E20656" i="1"/>
  <c r="F20655" i="1"/>
  <c r="E20655" i="1"/>
  <c r="F20654" i="1"/>
  <c r="E20654" i="1"/>
  <c r="F20653" i="1"/>
  <c r="E20653" i="1"/>
  <c r="F20652" i="1"/>
  <c r="E20652" i="1"/>
  <c r="F20651" i="1"/>
  <c r="E20651" i="1"/>
  <c r="F20650" i="1"/>
  <c r="E20650" i="1"/>
  <c r="F20649" i="1"/>
  <c r="E20649" i="1"/>
  <c r="F20648" i="1"/>
  <c r="E20648" i="1"/>
  <c r="F20647" i="1"/>
  <c r="E20647" i="1"/>
  <c r="F20646" i="1"/>
  <c r="E20646" i="1"/>
  <c r="F20645" i="1"/>
  <c r="E20645" i="1"/>
  <c r="F20644" i="1"/>
  <c r="E20644" i="1"/>
  <c r="F20643" i="1"/>
  <c r="E20643" i="1"/>
  <c r="F20642" i="1"/>
  <c r="E20642" i="1"/>
  <c r="F20641" i="1"/>
  <c r="E20641" i="1"/>
  <c r="F20640" i="1"/>
  <c r="E20640" i="1"/>
  <c r="F20639" i="1"/>
  <c r="E20639" i="1"/>
  <c r="F20638" i="1"/>
  <c r="E20638" i="1"/>
  <c r="F20637" i="1"/>
  <c r="E20637" i="1"/>
  <c r="F20636" i="1"/>
  <c r="E20636" i="1"/>
  <c r="F20635" i="1"/>
  <c r="E20635" i="1"/>
  <c r="F20634" i="1"/>
  <c r="E20634" i="1"/>
  <c r="F20633" i="1"/>
  <c r="E20633" i="1"/>
  <c r="F20632" i="1"/>
  <c r="E20632" i="1"/>
  <c r="F20631" i="1"/>
  <c r="E20631" i="1"/>
  <c r="F20630" i="1"/>
  <c r="E20630" i="1"/>
  <c r="F20629" i="1"/>
  <c r="E20629" i="1"/>
  <c r="F20628" i="1"/>
  <c r="E20628" i="1"/>
  <c r="F20627" i="1"/>
  <c r="E20627" i="1"/>
  <c r="F20626" i="1"/>
  <c r="E20626" i="1"/>
  <c r="F20625" i="1"/>
  <c r="E20625" i="1"/>
  <c r="F20624" i="1"/>
  <c r="E20624" i="1"/>
  <c r="F20623" i="1"/>
  <c r="E20623" i="1"/>
  <c r="F20622" i="1"/>
  <c r="E20622" i="1"/>
  <c r="F20621" i="1"/>
  <c r="E20621" i="1"/>
  <c r="F20620" i="1"/>
  <c r="E20620" i="1"/>
  <c r="F20619" i="1"/>
  <c r="E20619" i="1"/>
  <c r="F20618" i="1"/>
  <c r="E20618" i="1"/>
  <c r="F20617" i="1"/>
  <c r="E20617" i="1"/>
  <c r="F20616" i="1"/>
  <c r="E20616" i="1"/>
  <c r="F20615" i="1"/>
  <c r="E20615" i="1"/>
  <c r="F20614" i="1"/>
  <c r="E20614" i="1"/>
  <c r="F20613" i="1"/>
  <c r="E20613" i="1"/>
  <c r="F20612" i="1"/>
  <c r="E20612" i="1"/>
  <c r="F20611" i="1"/>
  <c r="E20611" i="1"/>
  <c r="F20610" i="1"/>
  <c r="E20610" i="1"/>
  <c r="F20609" i="1"/>
  <c r="E20609" i="1"/>
  <c r="F20608" i="1"/>
  <c r="E20608" i="1"/>
  <c r="F20607" i="1"/>
  <c r="E20607" i="1"/>
  <c r="F20606" i="1"/>
  <c r="E20606" i="1"/>
  <c r="F20605" i="1"/>
  <c r="E20605" i="1"/>
  <c r="F20604" i="1"/>
  <c r="E20604" i="1"/>
  <c r="F20603" i="1"/>
  <c r="E20603" i="1"/>
  <c r="F20602" i="1"/>
  <c r="E20602" i="1"/>
  <c r="F20601" i="1"/>
  <c r="E20601" i="1"/>
  <c r="F20600" i="1"/>
  <c r="E20600" i="1"/>
  <c r="F20599" i="1"/>
  <c r="E20599" i="1"/>
  <c r="F20598" i="1"/>
  <c r="E20598" i="1"/>
  <c r="F20597" i="1"/>
  <c r="E20597" i="1"/>
  <c r="F20596" i="1"/>
  <c r="E20596" i="1"/>
  <c r="F20595" i="1"/>
  <c r="E20595" i="1"/>
  <c r="F20594" i="1"/>
  <c r="E20594" i="1"/>
  <c r="F20593" i="1"/>
  <c r="E20593" i="1"/>
  <c r="F20592" i="1"/>
  <c r="E20592" i="1"/>
  <c r="F20591" i="1"/>
  <c r="E20591" i="1"/>
  <c r="F20590" i="1"/>
  <c r="E20590" i="1"/>
  <c r="F20589" i="1"/>
  <c r="E20589" i="1"/>
  <c r="F20588" i="1"/>
  <c r="E20588" i="1"/>
  <c r="F20587" i="1"/>
  <c r="E20587" i="1"/>
  <c r="F20586" i="1"/>
  <c r="E20586" i="1"/>
  <c r="F20585" i="1"/>
  <c r="E20585" i="1"/>
  <c r="F20584" i="1"/>
  <c r="E20584" i="1"/>
  <c r="F20583" i="1"/>
  <c r="E20583" i="1"/>
  <c r="F20582" i="1"/>
  <c r="E20582" i="1"/>
  <c r="F20581" i="1"/>
  <c r="E20581" i="1"/>
  <c r="F20580" i="1"/>
  <c r="F20579" i="1"/>
  <c r="E20579" i="1"/>
  <c r="F20578" i="1"/>
  <c r="E20578" i="1"/>
  <c r="F20577" i="1"/>
  <c r="E20577" i="1"/>
  <c r="F20576" i="1"/>
  <c r="E20576" i="1"/>
  <c r="F20575" i="1"/>
  <c r="E20575" i="1"/>
  <c r="F20574" i="1"/>
  <c r="E20574" i="1"/>
  <c r="F20573" i="1"/>
  <c r="E20573" i="1"/>
  <c r="F20572" i="1"/>
  <c r="E20572" i="1"/>
  <c r="F20571" i="1"/>
  <c r="E20571" i="1"/>
  <c r="F20570" i="1"/>
  <c r="E20570" i="1"/>
  <c r="F20569" i="1"/>
  <c r="E20569" i="1"/>
  <c r="F20568" i="1"/>
  <c r="F20567" i="1"/>
  <c r="E20567" i="1"/>
  <c r="F20566" i="1"/>
  <c r="E20566" i="1"/>
  <c r="F20565" i="1"/>
  <c r="E20565" i="1"/>
  <c r="F20564" i="1"/>
  <c r="E20564" i="1"/>
  <c r="F20563" i="1"/>
  <c r="E20563" i="1"/>
  <c r="F20562" i="1"/>
  <c r="E20562" i="1"/>
  <c r="F20561" i="1"/>
  <c r="E20561" i="1"/>
  <c r="F20560" i="1"/>
  <c r="E20560" i="1"/>
  <c r="F20559" i="1"/>
  <c r="E20559" i="1"/>
  <c r="F20558" i="1"/>
  <c r="E20558" i="1"/>
  <c r="F20557" i="1"/>
  <c r="E20557" i="1"/>
  <c r="F20556" i="1"/>
  <c r="E20556" i="1"/>
  <c r="F20555" i="1"/>
  <c r="E20555" i="1"/>
  <c r="F20554" i="1"/>
  <c r="E20554" i="1"/>
  <c r="F20553" i="1"/>
  <c r="E20553" i="1"/>
  <c r="F20552" i="1"/>
  <c r="E20552" i="1"/>
  <c r="F20551" i="1"/>
  <c r="E20551" i="1"/>
  <c r="F20550" i="1"/>
  <c r="E20550" i="1"/>
  <c r="F20549" i="1"/>
  <c r="E20549" i="1"/>
  <c r="F20548" i="1"/>
  <c r="E20548" i="1"/>
  <c r="F20547" i="1"/>
  <c r="E20547" i="1"/>
  <c r="F20546" i="1"/>
  <c r="E20546" i="1"/>
  <c r="F20545" i="1"/>
  <c r="E20545" i="1"/>
  <c r="F20544" i="1"/>
  <c r="E20544" i="1"/>
  <c r="F20543" i="1"/>
  <c r="E20543" i="1"/>
  <c r="F20542" i="1"/>
  <c r="E20542" i="1"/>
  <c r="F20541" i="1"/>
  <c r="E20541" i="1"/>
  <c r="F20540" i="1"/>
  <c r="E20540" i="1"/>
  <c r="F20539" i="1"/>
  <c r="E20539" i="1"/>
  <c r="F20538" i="1"/>
  <c r="E20538" i="1"/>
  <c r="F20537" i="1"/>
  <c r="E20537" i="1"/>
  <c r="F20536" i="1"/>
  <c r="E20536" i="1"/>
  <c r="F20535" i="1"/>
  <c r="E20535" i="1"/>
  <c r="F20534" i="1"/>
  <c r="E20534" i="1"/>
  <c r="F20533" i="1"/>
  <c r="E20533" i="1"/>
  <c r="F20532" i="1"/>
  <c r="E20532" i="1"/>
  <c r="F20531" i="1"/>
  <c r="E20531" i="1"/>
  <c r="F20530" i="1"/>
  <c r="E20530" i="1"/>
  <c r="F20529" i="1"/>
  <c r="E20529" i="1"/>
  <c r="F20528" i="1"/>
  <c r="E20528" i="1"/>
  <c r="F20527" i="1"/>
  <c r="E20527" i="1"/>
  <c r="F20526" i="1"/>
  <c r="E20526" i="1"/>
  <c r="F20525" i="1"/>
  <c r="E20525" i="1"/>
  <c r="F20524" i="1"/>
  <c r="E20524" i="1"/>
  <c r="F20523" i="1"/>
  <c r="E20523" i="1"/>
  <c r="F20522" i="1"/>
  <c r="E20522" i="1"/>
  <c r="F20521" i="1"/>
  <c r="E20521" i="1"/>
  <c r="F20520" i="1"/>
  <c r="E20520" i="1"/>
  <c r="F20519" i="1"/>
  <c r="E20519" i="1"/>
  <c r="F20518" i="1"/>
  <c r="F20517" i="1"/>
  <c r="E20517" i="1"/>
  <c r="F20516" i="1"/>
  <c r="F20515" i="1"/>
  <c r="E20515" i="1"/>
  <c r="F20514" i="1"/>
  <c r="E20514" i="1"/>
  <c r="F20513" i="1"/>
  <c r="E20513" i="1"/>
  <c r="F20512" i="1"/>
  <c r="E20512" i="1"/>
  <c r="F20511" i="1"/>
  <c r="E20511" i="1"/>
  <c r="F20510" i="1"/>
  <c r="E20510" i="1"/>
  <c r="F20509" i="1"/>
  <c r="E20509" i="1"/>
  <c r="F20508" i="1"/>
  <c r="E20508" i="1"/>
  <c r="F20507" i="1"/>
  <c r="E20507" i="1"/>
  <c r="F20506" i="1"/>
  <c r="E20506" i="1"/>
  <c r="F20505" i="1"/>
  <c r="E20505" i="1"/>
  <c r="F20504" i="1"/>
  <c r="E20504" i="1"/>
  <c r="F20503" i="1"/>
  <c r="E20503" i="1"/>
  <c r="F20502" i="1"/>
  <c r="E20502" i="1"/>
  <c r="F20501" i="1"/>
  <c r="E20501" i="1"/>
  <c r="F20500" i="1"/>
  <c r="E20500" i="1"/>
  <c r="F20499" i="1"/>
  <c r="E20499" i="1"/>
  <c r="F20498" i="1"/>
  <c r="E20498" i="1"/>
  <c r="F20497" i="1"/>
  <c r="E20497" i="1"/>
  <c r="F20496" i="1"/>
  <c r="E20496" i="1"/>
  <c r="F20495" i="1"/>
  <c r="E20495" i="1"/>
  <c r="F20494" i="1"/>
  <c r="E20494" i="1"/>
  <c r="F20493" i="1"/>
  <c r="E20493" i="1"/>
  <c r="F20492" i="1"/>
  <c r="E20492" i="1"/>
  <c r="F20491" i="1"/>
  <c r="E20491" i="1"/>
  <c r="F20490" i="1"/>
  <c r="E20490" i="1"/>
  <c r="F20489" i="1"/>
  <c r="E20489" i="1"/>
  <c r="F20488" i="1"/>
  <c r="E20488" i="1"/>
  <c r="F20487" i="1"/>
  <c r="E20487" i="1"/>
  <c r="F20486" i="1"/>
  <c r="E20486" i="1"/>
  <c r="F20485" i="1"/>
  <c r="E20485" i="1"/>
  <c r="F20484" i="1"/>
  <c r="E20484" i="1"/>
  <c r="F20483" i="1"/>
  <c r="E20483" i="1"/>
  <c r="F20482" i="1"/>
  <c r="E20482" i="1"/>
  <c r="F20481" i="1"/>
  <c r="E20481" i="1"/>
  <c r="F20480" i="1"/>
  <c r="E20480" i="1"/>
  <c r="F20479" i="1"/>
  <c r="E20479" i="1"/>
  <c r="F20478" i="1"/>
  <c r="E20478" i="1"/>
  <c r="F20477" i="1"/>
  <c r="E20477" i="1"/>
  <c r="F20476" i="1"/>
  <c r="E20476" i="1"/>
  <c r="F20475" i="1"/>
  <c r="E20475" i="1"/>
  <c r="F20474" i="1"/>
  <c r="E20474" i="1"/>
  <c r="F20473" i="1"/>
  <c r="E20473" i="1"/>
  <c r="F20472" i="1"/>
  <c r="E20472" i="1"/>
  <c r="F20471" i="1"/>
  <c r="E20471" i="1"/>
  <c r="F20470" i="1"/>
  <c r="E20470" i="1"/>
  <c r="F20469" i="1"/>
  <c r="E20469" i="1"/>
  <c r="F20468" i="1"/>
  <c r="E20468" i="1"/>
  <c r="F20467" i="1"/>
  <c r="E20467" i="1"/>
  <c r="F20466" i="1"/>
  <c r="E20466" i="1"/>
  <c r="F20465" i="1"/>
  <c r="E20465" i="1"/>
  <c r="F20464" i="1"/>
  <c r="E20464" i="1"/>
  <c r="F20463" i="1"/>
  <c r="E20463" i="1"/>
  <c r="F20462" i="1"/>
  <c r="E20462" i="1"/>
  <c r="F20461" i="1"/>
  <c r="E20461" i="1"/>
  <c r="F20460" i="1"/>
  <c r="E20460" i="1"/>
  <c r="F20459" i="1"/>
  <c r="E20459" i="1"/>
  <c r="F20458" i="1"/>
  <c r="E20458" i="1"/>
  <c r="F20457" i="1"/>
  <c r="E20457" i="1"/>
  <c r="F20456" i="1"/>
  <c r="E20456" i="1"/>
  <c r="F20455" i="1"/>
  <c r="E20455" i="1"/>
  <c r="F20454" i="1"/>
  <c r="E20454" i="1"/>
  <c r="F20453" i="1"/>
  <c r="F20452" i="1"/>
  <c r="E20452" i="1"/>
  <c r="F20451" i="1"/>
  <c r="F20450" i="1"/>
  <c r="F20449" i="1"/>
  <c r="E20449" i="1"/>
  <c r="F20448" i="1"/>
  <c r="E20448" i="1"/>
  <c r="F20447" i="1"/>
  <c r="E20447" i="1"/>
  <c r="F20446" i="1"/>
  <c r="E20446" i="1"/>
  <c r="F20445" i="1"/>
  <c r="E20445" i="1"/>
  <c r="F20444" i="1"/>
  <c r="E20444" i="1"/>
  <c r="F20443" i="1"/>
  <c r="E20443" i="1"/>
  <c r="F20442" i="1"/>
  <c r="E20442" i="1"/>
  <c r="F20441" i="1"/>
  <c r="E20441" i="1"/>
  <c r="F20440" i="1"/>
  <c r="E20440" i="1"/>
  <c r="F20439" i="1"/>
  <c r="E20439" i="1"/>
  <c r="F20438" i="1"/>
  <c r="E20438" i="1"/>
  <c r="F20437" i="1"/>
  <c r="E20437" i="1"/>
  <c r="F20436" i="1"/>
  <c r="E20436" i="1"/>
  <c r="F20435" i="1"/>
  <c r="E20435" i="1"/>
  <c r="F20434" i="1"/>
  <c r="E20434" i="1"/>
  <c r="F20433" i="1"/>
  <c r="E20433" i="1"/>
  <c r="F20432" i="1"/>
  <c r="E20432" i="1"/>
  <c r="F20431" i="1"/>
  <c r="E20431" i="1"/>
  <c r="F20430" i="1"/>
  <c r="E20430" i="1"/>
  <c r="F20429" i="1"/>
  <c r="E20429" i="1"/>
  <c r="F20428" i="1"/>
  <c r="E20428" i="1"/>
  <c r="F20427" i="1"/>
  <c r="E20427" i="1"/>
  <c r="F20426" i="1"/>
  <c r="E20426" i="1"/>
  <c r="F20425" i="1"/>
  <c r="E20425" i="1"/>
  <c r="F20424" i="1"/>
  <c r="E20424" i="1"/>
  <c r="F20423" i="1"/>
  <c r="E20423" i="1"/>
  <c r="F20422" i="1"/>
  <c r="E20422" i="1"/>
  <c r="F20421" i="1"/>
  <c r="E20421" i="1"/>
  <c r="F20420" i="1"/>
  <c r="E20420" i="1"/>
  <c r="F20419" i="1"/>
  <c r="E20419" i="1"/>
  <c r="F20418" i="1"/>
  <c r="E20418" i="1"/>
  <c r="F20417" i="1"/>
  <c r="E20417" i="1"/>
  <c r="F20416" i="1"/>
  <c r="E20416" i="1"/>
  <c r="F20415" i="1"/>
  <c r="E20415" i="1"/>
  <c r="F20414" i="1"/>
  <c r="E20414" i="1"/>
  <c r="F20413" i="1"/>
  <c r="E20413" i="1"/>
  <c r="F20412" i="1"/>
  <c r="E20412" i="1"/>
  <c r="F20411" i="1"/>
  <c r="E20411" i="1"/>
  <c r="F20410" i="1"/>
  <c r="E20410" i="1"/>
  <c r="F20409" i="1"/>
  <c r="E20409" i="1"/>
  <c r="F20408" i="1"/>
  <c r="E20408" i="1"/>
  <c r="F20407" i="1"/>
  <c r="E20407" i="1"/>
  <c r="F20406" i="1"/>
  <c r="E20406" i="1"/>
  <c r="F20405" i="1"/>
  <c r="E20405" i="1"/>
  <c r="F20404" i="1"/>
  <c r="E20404" i="1"/>
  <c r="F20403" i="1"/>
  <c r="E20403" i="1"/>
  <c r="F20402" i="1"/>
  <c r="E20402" i="1"/>
  <c r="F20401" i="1"/>
  <c r="E20401" i="1"/>
  <c r="F20400" i="1"/>
  <c r="E20400" i="1"/>
  <c r="F20399" i="1"/>
  <c r="E20399" i="1"/>
  <c r="F20398" i="1"/>
  <c r="E20398" i="1"/>
  <c r="F20397" i="1"/>
  <c r="E20397" i="1"/>
  <c r="F20396" i="1"/>
  <c r="E20396" i="1"/>
  <c r="F20395" i="1"/>
  <c r="E20395" i="1"/>
  <c r="F20394" i="1"/>
  <c r="E20394" i="1"/>
  <c r="F20393" i="1"/>
  <c r="E20393" i="1"/>
  <c r="F20392" i="1"/>
  <c r="F20391" i="1"/>
  <c r="E20391" i="1"/>
  <c r="F20390" i="1"/>
  <c r="E20390" i="1"/>
  <c r="F20389" i="1"/>
  <c r="E20389" i="1"/>
  <c r="F20388" i="1"/>
  <c r="E20388" i="1"/>
  <c r="F20387" i="1"/>
  <c r="E20387" i="1"/>
  <c r="F20386" i="1"/>
  <c r="E20386" i="1"/>
  <c r="F20385" i="1"/>
  <c r="E20385" i="1"/>
  <c r="F20384" i="1"/>
  <c r="E20384" i="1"/>
  <c r="F20383" i="1"/>
  <c r="E20383" i="1"/>
  <c r="F20382" i="1"/>
  <c r="E20382" i="1"/>
  <c r="F20381" i="1"/>
  <c r="E20381" i="1"/>
  <c r="F20380" i="1"/>
  <c r="E20380" i="1"/>
  <c r="F20379" i="1"/>
  <c r="E20379" i="1"/>
  <c r="F20378" i="1"/>
  <c r="E20378" i="1"/>
  <c r="F20377" i="1"/>
  <c r="E20377" i="1"/>
  <c r="F20376" i="1"/>
  <c r="E20376" i="1"/>
  <c r="F20375" i="1"/>
  <c r="E20375" i="1"/>
  <c r="F20374" i="1"/>
  <c r="E20374" i="1"/>
  <c r="F20373" i="1"/>
  <c r="E20373" i="1"/>
  <c r="F20372" i="1"/>
  <c r="E20372" i="1"/>
  <c r="F20371" i="1"/>
  <c r="E20371" i="1"/>
  <c r="F20370" i="1"/>
  <c r="E20370" i="1"/>
  <c r="F20369" i="1"/>
  <c r="E20369" i="1"/>
  <c r="F20368" i="1"/>
  <c r="E20368" i="1"/>
  <c r="F20367" i="1"/>
  <c r="E20367" i="1"/>
  <c r="F20366" i="1"/>
  <c r="E20366" i="1"/>
  <c r="F20365" i="1"/>
  <c r="E20365" i="1"/>
  <c r="F20364" i="1"/>
  <c r="E20364" i="1"/>
  <c r="F20363" i="1"/>
  <c r="E20363" i="1"/>
  <c r="F20362" i="1"/>
  <c r="E20362" i="1"/>
  <c r="F20361" i="1"/>
  <c r="E20361" i="1"/>
  <c r="F20360" i="1"/>
  <c r="E20360" i="1"/>
  <c r="F20359" i="1"/>
  <c r="E20359" i="1"/>
  <c r="F20358" i="1"/>
  <c r="E20358" i="1"/>
  <c r="F20357" i="1"/>
  <c r="E20357" i="1"/>
  <c r="F20356" i="1"/>
  <c r="E20356" i="1"/>
  <c r="F20355" i="1"/>
  <c r="E20355" i="1"/>
  <c r="F20354" i="1"/>
  <c r="E20354" i="1"/>
  <c r="F20353" i="1"/>
  <c r="E20353" i="1"/>
  <c r="F20352" i="1"/>
  <c r="E20352" i="1"/>
  <c r="F20351" i="1"/>
  <c r="E20351" i="1"/>
  <c r="F20350" i="1"/>
  <c r="E20350" i="1"/>
  <c r="F20349" i="1"/>
  <c r="E20349" i="1"/>
  <c r="F20348" i="1"/>
  <c r="E20348" i="1"/>
  <c r="F20347" i="1"/>
  <c r="E20347" i="1"/>
  <c r="F20346" i="1"/>
  <c r="E20346" i="1"/>
  <c r="F20345" i="1"/>
  <c r="E20345" i="1"/>
  <c r="F20344" i="1"/>
  <c r="E20344" i="1"/>
  <c r="F20343" i="1"/>
  <c r="E20343" i="1"/>
  <c r="F20342" i="1"/>
  <c r="E20342" i="1"/>
  <c r="F20341" i="1"/>
  <c r="E20341" i="1"/>
  <c r="F20340" i="1"/>
  <c r="E20340" i="1"/>
  <c r="F20339" i="1"/>
  <c r="E20339" i="1"/>
  <c r="F20338" i="1"/>
  <c r="E20338" i="1"/>
  <c r="F20337" i="1"/>
  <c r="E20337" i="1"/>
  <c r="F20336" i="1"/>
  <c r="E20336" i="1"/>
  <c r="F20335" i="1"/>
  <c r="E20335" i="1"/>
  <c r="F20334" i="1"/>
  <c r="E20334" i="1"/>
  <c r="F20333" i="1"/>
  <c r="E20333" i="1"/>
  <c r="F20332" i="1"/>
  <c r="E20332" i="1"/>
  <c r="F20331" i="1"/>
  <c r="E20331" i="1"/>
  <c r="F20330" i="1"/>
  <c r="E20330" i="1"/>
  <c r="F20329" i="1"/>
  <c r="E20329" i="1"/>
  <c r="F20328" i="1"/>
  <c r="E20328" i="1"/>
  <c r="F20327" i="1"/>
  <c r="E20327" i="1"/>
  <c r="F20326" i="1"/>
  <c r="E20326" i="1"/>
  <c r="F20325" i="1"/>
  <c r="E20325" i="1"/>
  <c r="F20324" i="1"/>
  <c r="E20324" i="1"/>
  <c r="F20323" i="1"/>
  <c r="E20323" i="1"/>
  <c r="F20322" i="1"/>
  <c r="E20322" i="1"/>
  <c r="F20321" i="1"/>
  <c r="E20321" i="1"/>
  <c r="F20320" i="1"/>
  <c r="E20320" i="1"/>
  <c r="F20319" i="1"/>
  <c r="E20319" i="1"/>
  <c r="F20318" i="1"/>
  <c r="E20318" i="1"/>
  <c r="F20317" i="1"/>
  <c r="E20317" i="1"/>
  <c r="F20316" i="1"/>
  <c r="E20316" i="1"/>
  <c r="F20315" i="1"/>
  <c r="E20315" i="1"/>
  <c r="F20314" i="1"/>
  <c r="E20314" i="1"/>
  <c r="F20313" i="1"/>
  <c r="E20313" i="1"/>
  <c r="F20312" i="1"/>
  <c r="E20312" i="1"/>
  <c r="F20311" i="1"/>
  <c r="E20311" i="1"/>
  <c r="F20310" i="1"/>
  <c r="E20310" i="1"/>
  <c r="F20309" i="1"/>
  <c r="E20309" i="1"/>
  <c r="F20308" i="1"/>
  <c r="E20308" i="1"/>
  <c r="F20307" i="1"/>
  <c r="E20307" i="1"/>
  <c r="F20306" i="1"/>
  <c r="E20306" i="1"/>
  <c r="F20305" i="1"/>
  <c r="E20305" i="1"/>
  <c r="F20304" i="1"/>
  <c r="E20304" i="1"/>
  <c r="F20303" i="1"/>
  <c r="E20303" i="1"/>
  <c r="F20302" i="1"/>
  <c r="E20302" i="1"/>
  <c r="F20301" i="1"/>
  <c r="E20301" i="1"/>
  <c r="F20300" i="1"/>
  <c r="E20300" i="1"/>
  <c r="F20299" i="1"/>
  <c r="E20299" i="1"/>
  <c r="F20298" i="1"/>
  <c r="E20298" i="1"/>
  <c r="F20297" i="1"/>
  <c r="E20297" i="1"/>
  <c r="F20296" i="1"/>
  <c r="E20296" i="1"/>
  <c r="F20295" i="1"/>
  <c r="E20295" i="1"/>
  <c r="F20294" i="1"/>
  <c r="E20294" i="1"/>
  <c r="F20293" i="1"/>
  <c r="E20293" i="1"/>
  <c r="F20292" i="1"/>
  <c r="E20292" i="1"/>
  <c r="F20291" i="1"/>
  <c r="E20291" i="1"/>
  <c r="F20290" i="1"/>
  <c r="E20290" i="1"/>
  <c r="F20289" i="1"/>
  <c r="E20289" i="1"/>
  <c r="F20288" i="1"/>
  <c r="E20288" i="1"/>
  <c r="F20287" i="1"/>
  <c r="E20287" i="1"/>
  <c r="F20286" i="1"/>
  <c r="E20286" i="1"/>
  <c r="F20285" i="1"/>
  <c r="E20285" i="1"/>
  <c r="F20284" i="1"/>
  <c r="E20284" i="1"/>
  <c r="F20283" i="1"/>
  <c r="E20283" i="1"/>
  <c r="F20282" i="1"/>
  <c r="E20282" i="1"/>
  <c r="F20281" i="1"/>
  <c r="E20281" i="1"/>
  <c r="F20280" i="1"/>
  <c r="E20280" i="1"/>
  <c r="F20279" i="1"/>
  <c r="E20279" i="1"/>
  <c r="F20278" i="1"/>
  <c r="E20278" i="1"/>
  <c r="F20277" i="1"/>
  <c r="E20277" i="1"/>
  <c r="F20276" i="1"/>
  <c r="E20276" i="1"/>
  <c r="F20275" i="1"/>
  <c r="E20275" i="1"/>
  <c r="F20274" i="1"/>
  <c r="E20274" i="1"/>
  <c r="F20273" i="1"/>
  <c r="E20273" i="1"/>
  <c r="F20272" i="1"/>
  <c r="E20272" i="1"/>
  <c r="F20271" i="1"/>
  <c r="E20271" i="1"/>
  <c r="F20270" i="1"/>
  <c r="E20270" i="1"/>
  <c r="F20269" i="1"/>
  <c r="E20269" i="1"/>
  <c r="F20268" i="1"/>
  <c r="E20268" i="1"/>
  <c r="F20267" i="1"/>
  <c r="E20267" i="1"/>
  <c r="F20266" i="1"/>
  <c r="E20266" i="1"/>
  <c r="F20265" i="1"/>
  <c r="E20265" i="1"/>
  <c r="F20264" i="1"/>
  <c r="E20264" i="1"/>
  <c r="F20263" i="1"/>
  <c r="E20263" i="1"/>
  <c r="F20262" i="1"/>
  <c r="E20262" i="1"/>
  <c r="F20261" i="1"/>
  <c r="E20261" i="1"/>
  <c r="F20260" i="1"/>
  <c r="E20260" i="1"/>
  <c r="F20259" i="1"/>
  <c r="E20259" i="1"/>
  <c r="F20258" i="1"/>
  <c r="E20258" i="1"/>
  <c r="F20257" i="1"/>
  <c r="E20257" i="1"/>
  <c r="F20256" i="1"/>
  <c r="E20256" i="1"/>
  <c r="F20255" i="1"/>
  <c r="E20255" i="1"/>
  <c r="F20254" i="1"/>
  <c r="E20254" i="1"/>
  <c r="F20253" i="1"/>
  <c r="E20253" i="1"/>
  <c r="F20252" i="1"/>
  <c r="E20252" i="1"/>
  <c r="F20251" i="1"/>
  <c r="E20251" i="1"/>
  <c r="F20250" i="1"/>
  <c r="E20250" i="1"/>
  <c r="F20249" i="1"/>
  <c r="E20249" i="1"/>
  <c r="F20248" i="1"/>
  <c r="E20248" i="1"/>
  <c r="F20247" i="1"/>
  <c r="E20247" i="1"/>
  <c r="F20246" i="1"/>
  <c r="E20246" i="1"/>
  <c r="F20245" i="1"/>
  <c r="E20245" i="1"/>
  <c r="F20244" i="1"/>
  <c r="E20244" i="1"/>
  <c r="F20243" i="1"/>
  <c r="E20243" i="1"/>
  <c r="F20242" i="1"/>
  <c r="E20242" i="1"/>
  <c r="F20241" i="1"/>
  <c r="E20241" i="1"/>
  <c r="F20240" i="1"/>
  <c r="E20240" i="1"/>
  <c r="F20239" i="1"/>
  <c r="E20239" i="1"/>
  <c r="F20238" i="1"/>
  <c r="E20238" i="1"/>
  <c r="F20237" i="1"/>
  <c r="E20237" i="1"/>
  <c r="F20236" i="1"/>
  <c r="E20236" i="1"/>
  <c r="F20235" i="1"/>
  <c r="E20235" i="1"/>
  <c r="F20234" i="1"/>
  <c r="E20234" i="1"/>
  <c r="F20233" i="1"/>
  <c r="E20233" i="1"/>
  <c r="F20232" i="1"/>
  <c r="E20232" i="1"/>
  <c r="F20231" i="1"/>
  <c r="E20231" i="1"/>
  <c r="F20230" i="1"/>
  <c r="E20230" i="1"/>
  <c r="F20229" i="1"/>
  <c r="E20229" i="1"/>
  <c r="F20228" i="1"/>
  <c r="E20228" i="1"/>
  <c r="F20227" i="1"/>
  <c r="E20227" i="1"/>
  <c r="F20226" i="1"/>
  <c r="E20226" i="1"/>
  <c r="F20225" i="1"/>
  <c r="E20225" i="1"/>
  <c r="F20224" i="1"/>
  <c r="E20224" i="1"/>
  <c r="F20223" i="1"/>
  <c r="E20223" i="1"/>
  <c r="F20222" i="1"/>
  <c r="E20222" i="1"/>
  <c r="F20221" i="1"/>
  <c r="E20221" i="1"/>
  <c r="F20220" i="1"/>
  <c r="E20220" i="1"/>
  <c r="F20219" i="1"/>
  <c r="E20219" i="1"/>
  <c r="F20218" i="1"/>
  <c r="E20218" i="1"/>
  <c r="F20217" i="1"/>
  <c r="E20217" i="1"/>
  <c r="F20216" i="1"/>
  <c r="E20216" i="1"/>
  <c r="F20215" i="1"/>
  <c r="E20215" i="1"/>
  <c r="F20214" i="1"/>
  <c r="E20214" i="1"/>
  <c r="F20213" i="1"/>
  <c r="E20213" i="1"/>
  <c r="F20212" i="1"/>
  <c r="E20212" i="1"/>
  <c r="F20211" i="1"/>
  <c r="E20211" i="1"/>
  <c r="F20210" i="1"/>
  <c r="E20210" i="1"/>
  <c r="F20209" i="1"/>
  <c r="E20209" i="1"/>
  <c r="F20208" i="1"/>
  <c r="E20208" i="1"/>
  <c r="F20207" i="1"/>
  <c r="E20207" i="1"/>
  <c r="F20206" i="1"/>
  <c r="E20206" i="1"/>
  <c r="F20205" i="1"/>
  <c r="E20205" i="1"/>
  <c r="F20204" i="1"/>
  <c r="E20204" i="1"/>
  <c r="F20203" i="1"/>
  <c r="E20203" i="1"/>
  <c r="F20202" i="1"/>
  <c r="E20202" i="1"/>
  <c r="F20201" i="1"/>
  <c r="E20201" i="1"/>
  <c r="F20200" i="1"/>
  <c r="E20200" i="1"/>
  <c r="F20199" i="1"/>
  <c r="E20199" i="1"/>
  <c r="F20198" i="1"/>
  <c r="E20198" i="1"/>
  <c r="F20197" i="1"/>
  <c r="E20197" i="1"/>
  <c r="F20196" i="1"/>
  <c r="E20196" i="1"/>
  <c r="F20195" i="1"/>
  <c r="E20195" i="1"/>
  <c r="F20194" i="1"/>
  <c r="E20194" i="1"/>
  <c r="F20193" i="1"/>
  <c r="E20193" i="1"/>
  <c r="F20192" i="1"/>
  <c r="E20192" i="1"/>
  <c r="F20191" i="1"/>
  <c r="E20191" i="1"/>
  <c r="F20190" i="1"/>
  <c r="E20190" i="1"/>
  <c r="F20189" i="1"/>
  <c r="E20189" i="1"/>
  <c r="F20188" i="1"/>
  <c r="E20188" i="1"/>
  <c r="F20187" i="1"/>
  <c r="E20187" i="1"/>
  <c r="F20186" i="1"/>
  <c r="E20186" i="1"/>
  <c r="F20185" i="1"/>
  <c r="E20185" i="1"/>
  <c r="F20184" i="1"/>
  <c r="E20184" i="1"/>
  <c r="F20183" i="1"/>
  <c r="E20183" i="1"/>
  <c r="F20182" i="1"/>
  <c r="E20182" i="1"/>
  <c r="F20181" i="1"/>
  <c r="E20181" i="1"/>
  <c r="F20180" i="1"/>
  <c r="E20180" i="1"/>
  <c r="F20179" i="1"/>
  <c r="E20179" i="1"/>
  <c r="F20178" i="1"/>
  <c r="E20178" i="1"/>
  <c r="F20177" i="1"/>
  <c r="E20177" i="1"/>
  <c r="F20176" i="1"/>
  <c r="E20176" i="1"/>
  <c r="F20175" i="1"/>
  <c r="E20175" i="1"/>
  <c r="F20174" i="1"/>
  <c r="E20174" i="1"/>
  <c r="F20173" i="1"/>
  <c r="E20173" i="1"/>
  <c r="F20172" i="1"/>
  <c r="E20172" i="1"/>
  <c r="F20171" i="1"/>
  <c r="E20171" i="1"/>
  <c r="F20170" i="1"/>
  <c r="E20170" i="1"/>
  <c r="F20169" i="1"/>
  <c r="E20169" i="1"/>
  <c r="F20168" i="1"/>
  <c r="E20168" i="1"/>
  <c r="F20167" i="1"/>
  <c r="E20167" i="1"/>
  <c r="F20166" i="1"/>
  <c r="E20166" i="1"/>
  <c r="F20165" i="1"/>
  <c r="E20165" i="1"/>
  <c r="F20164" i="1"/>
  <c r="E20164" i="1"/>
  <c r="F20163" i="1"/>
  <c r="E20163" i="1"/>
  <c r="F20162" i="1"/>
  <c r="E20162" i="1"/>
  <c r="F20161" i="1"/>
  <c r="E20161" i="1"/>
  <c r="F20160" i="1"/>
  <c r="E20160" i="1"/>
  <c r="F20159" i="1"/>
  <c r="E20159" i="1"/>
  <c r="F20158" i="1"/>
  <c r="E20158" i="1"/>
  <c r="F20157" i="1"/>
  <c r="E20157" i="1"/>
  <c r="F20156" i="1"/>
  <c r="E20156" i="1"/>
  <c r="F20155" i="1"/>
  <c r="E20155" i="1"/>
  <c r="F20154" i="1"/>
  <c r="E20154" i="1"/>
  <c r="F20153" i="1"/>
  <c r="E20153" i="1"/>
  <c r="F20152" i="1"/>
  <c r="E20152" i="1"/>
  <c r="F20151" i="1"/>
  <c r="E20151" i="1"/>
  <c r="F20150" i="1"/>
  <c r="E20150" i="1"/>
  <c r="F20149" i="1"/>
  <c r="E20149" i="1"/>
  <c r="F20148" i="1"/>
  <c r="E20148" i="1"/>
  <c r="F20147" i="1"/>
  <c r="E20147" i="1"/>
  <c r="F20146" i="1"/>
  <c r="E20146" i="1"/>
  <c r="F20145" i="1"/>
  <c r="E20145" i="1"/>
  <c r="F20144" i="1"/>
  <c r="E20144" i="1"/>
  <c r="F20143" i="1"/>
  <c r="E20143" i="1"/>
  <c r="F20142" i="1"/>
  <c r="E20142" i="1"/>
  <c r="F20141" i="1"/>
  <c r="E20141" i="1"/>
  <c r="F20140" i="1"/>
  <c r="E20140" i="1"/>
  <c r="F20139" i="1"/>
  <c r="E20139" i="1"/>
  <c r="F20138" i="1"/>
  <c r="E20138" i="1"/>
  <c r="F20137" i="1"/>
  <c r="E20137" i="1"/>
  <c r="F20136" i="1"/>
  <c r="E20136" i="1"/>
  <c r="F20135" i="1"/>
  <c r="E20135" i="1"/>
  <c r="F20134" i="1"/>
  <c r="E20134" i="1"/>
  <c r="F20133" i="1"/>
  <c r="E20133" i="1"/>
  <c r="F20132" i="1"/>
  <c r="F20131" i="1"/>
  <c r="E20131" i="1"/>
  <c r="F20130" i="1"/>
  <c r="E20130" i="1"/>
  <c r="F20129" i="1"/>
  <c r="E20129" i="1"/>
  <c r="F20128" i="1"/>
  <c r="E20128" i="1"/>
  <c r="F20127" i="1"/>
  <c r="E20127" i="1"/>
  <c r="F20126" i="1"/>
  <c r="E20126" i="1"/>
  <c r="F20125" i="1"/>
  <c r="E20125" i="1"/>
  <c r="F20124" i="1"/>
  <c r="E20124" i="1"/>
  <c r="F20123" i="1"/>
  <c r="E20123" i="1"/>
  <c r="F20122" i="1"/>
  <c r="E20122" i="1"/>
  <c r="F20121" i="1"/>
  <c r="E20121" i="1"/>
  <c r="F20120" i="1"/>
  <c r="E20120" i="1"/>
  <c r="F20119" i="1"/>
  <c r="E20119" i="1"/>
  <c r="F20118" i="1"/>
  <c r="E20118" i="1"/>
  <c r="F20117" i="1"/>
  <c r="E20117" i="1"/>
  <c r="F20116" i="1"/>
  <c r="E20116" i="1"/>
  <c r="F20115" i="1"/>
  <c r="E20115" i="1"/>
  <c r="F20114" i="1"/>
  <c r="E20114" i="1"/>
  <c r="F20113" i="1"/>
  <c r="E20113" i="1"/>
  <c r="F20112" i="1"/>
  <c r="E20112" i="1"/>
  <c r="F20111" i="1"/>
  <c r="E20111" i="1"/>
  <c r="F20110" i="1"/>
  <c r="E20110" i="1"/>
  <c r="F20109" i="1"/>
  <c r="E20109" i="1"/>
  <c r="F20108" i="1"/>
  <c r="E20108" i="1"/>
  <c r="F20107" i="1"/>
  <c r="E20107" i="1"/>
  <c r="F20106" i="1"/>
  <c r="E20106" i="1"/>
  <c r="F20105" i="1"/>
  <c r="E20105" i="1"/>
  <c r="F20104" i="1"/>
  <c r="E20104" i="1"/>
  <c r="F20103" i="1"/>
  <c r="E20103" i="1"/>
  <c r="F20102" i="1"/>
  <c r="E20102" i="1"/>
  <c r="F20101" i="1"/>
  <c r="E20101" i="1"/>
  <c r="F20100" i="1"/>
  <c r="E20100" i="1"/>
  <c r="F20099" i="1"/>
  <c r="E20099" i="1"/>
  <c r="F20098" i="1"/>
  <c r="E20098" i="1"/>
  <c r="F20097" i="1"/>
  <c r="E20097" i="1"/>
  <c r="F20096" i="1"/>
  <c r="E20096" i="1"/>
  <c r="F20095" i="1"/>
  <c r="E20095" i="1"/>
  <c r="F20094" i="1"/>
  <c r="E20094" i="1"/>
  <c r="F20093" i="1"/>
  <c r="E20093" i="1"/>
  <c r="F20092" i="1"/>
  <c r="E20092" i="1"/>
  <c r="F20091" i="1"/>
  <c r="E20091" i="1"/>
  <c r="F20090" i="1"/>
  <c r="E20090" i="1"/>
  <c r="F20089" i="1"/>
  <c r="E20089" i="1"/>
  <c r="F20088" i="1"/>
  <c r="E20088" i="1"/>
  <c r="F20087" i="1"/>
  <c r="E20087" i="1"/>
  <c r="F20086" i="1"/>
  <c r="E20086" i="1"/>
  <c r="F20085" i="1"/>
  <c r="E20085" i="1"/>
  <c r="F20084" i="1"/>
  <c r="E20084" i="1"/>
  <c r="F20083" i="1"/>
  <c r="E20083" i="1"/>
  <c r="F20082" i="1"/>
  <c r="E20082" i="1"/>
  <c r="F20081" i="1"/>
  <c r="E20081" i="1"/>
  <c r="F20080" i="1"/>
  <c r="E20080" i="1"/>
  <c r="F20079" i="1"/>
  <c r="E20079" i="1"/>
  <c r="F20078" i="1"/>
  <c r="E20078" i="1"/>
  <c r="F20077" i="1"/>
  <c r="E20077" i="1"/>
  <c r="F20076" i="1"/>
  <c r="E20076" i="1"/>
  <c r="F20075" i="1"/>
  <c r="E20075" i="1"/>
  <c r="F20074" i="1"/>
  <c r="E20074" i="1"/>
  <c r="F20073" i="1"/>
  <c r="E20073" i="1"/>
  <c r="F20072" i="1"/>
  <c r="E20072" i="1"/>
  <c r="F20071" i="1"/>
  <c r="E20071" i="1"/>
  <c r="F20070" i="1"/>
  <c r="E20070" i="1"/>
  <c r="F20069" i="1"/>
  <c r="E20069" i="1"/>
  <c r="F20068" i="1"/>
  <c r="E20068" i="1"/>
  <c r="F20067" i="1"/>
  <c r="E20067" i="1"/>
  <c r="F20066" i="1"/>
  <c r="E20066" i="1"/>
  <c r="F20065" i="1"/>
  <c r="E20065" i="1"/>
  <c r="F20064" i="1"/>
  <c r="E20064" i="1"/>
  <c r="F20063" i="1"/>
  <c r="E20063" i="1"/>
  <c r="F20062" i="1"/>
  <c r="E20062" i="1"/>
  <c r="F20061" i="1"/>
  <c r="E20061" i="1"/>
  <c r="F20060" i="1"/>
  <c r="E20060" i="1"/>
  <c r="F20059" i="1"/>
  <c r="E20059" i="1"/>
  <c r="F20058" i="1"/>
  <c r="E20058" i="1"/>
  <c r="F20057" i="1"/>
  <c r="E20057" i="1"/>
  <c r="F20056" i="1"/>
  <c r="E20056" i="1"/>
  <c r="F20055" i="1"/>
  <c r="E20055" i="1"/>
  <c r="F20054" i="1"/>
  <c r="E20054" i="1"/>
  <c r="F20053" i="1"/>
  <c r="E20053" i="1"/>
  <c r="F20052" i="1"/>
  <c r="E20052" i="1"/>
  <c r="F20051" i="1"/>
  <c r="E20051" i="1"/>
  <c r="F20050" i="1"/>
  <c r="E20050" i="1"/>
  <c r="F20049" i="1"/>
  <c r="E20049" i="1"/>
  <c r="F20048" i="1"/>
  <c r="E20048" i="1"/>
  <c r="F20047" i="1"/>
  <c r="E20047" i="1"/>
  <c r="F20046" i="1"/>
  <c r="E20046" i="1"/>
  <c r="F20045" i="1"/>
  <c r="E20045" i="1"/>
  <c r="F20044" i="1"/>
  <c r="E20044" i="1"/>
  <c r="F20043" i="1"/>
  <c r="E20043" i="1"/>
  <c r="F20042" i="1"/>
  <c r="E20042" i="1"/>
  <c r="F20041" i="1"/>
  <c r="E20041" i="1"/>
  <c r="F20040" i="1"/>
  <c r="E20040" i="1"/>
  <c r="F20039" i="1"/>
  <c r="E20039" i="1"/>
  <c r="F20038" i="1"/>
  <c r="E20038" i="1"/>
  <c r="F20037" i="1"/>
  <c r="E20037" i="1"/>
  <c r="F20036" i="1"/>
  <c r="E20036" i="1"/>
  <c r="F20035" i="1"/>
  <c r="E20035" i="1"/>
  <c r="F20034" i="1"/>
  <c r="E20034" i="1"/>
  <c r="F20033" i="1"/>
  <c r="E20033" i="1"/>
  <c r="F20032" i="1"/>
  <c r="E20032" i="1"/>
  <c r="F20031" i="1"/>
  <c r="E20031" i="1"/>
  <c r="F20030" i="1"/>
  <c r="E20030" i="1"/>
  <c r="F20029" i="1"/>
  <c r="E20029" i="1"/>
  <c r="F20028" i="1"/>
  <c r="E20028" i="1"/>
  <c r="F20027" i="1"/>
  <c r="E20027" i="1"/>
  <c r="F20026" i="1"/>
  <c r="E20026" i="1"/>
  <c r="F20025" i="1"/>
  <c r="E20025" i="1"/>
  <c r="F20024" i="1"/>
  <c r="E20024" i="1"/>
  <c r="F20023" i="1"/>
  <c r="E20023" i="1"/>
  <c r="F20022" i="1"/>
  <c r="E20022" i="1"/>
  <c r="F20021" i="1"/>
  <c r="E20021" i="1"/>
  <c r="F20020" i="1"/>
  <c r="E20020" i="1"/>
  <c r="F20019" i="1"/>
  <c r="E20019" i="1"/>
  <c r="F20018" i="1"/>
  <c r="E20018" i="1"/>
  <c r="F20017" i="1"/>
  <c r="E20017" i="1"/>
  <c r="F20016" i="1"/>
  <c r="E20016" i="1"/>
  <c r="F20015" i="1"/>
  <c r="E20015" i="1"/>
  <c r="F20014" i="1"/>
  <c r="E20014" i="1"/>
  <c r="F20013" i="1"/>
  <c r="E20013" i="1"/>
  <c r="F20012" i="1"/>
  <c r="E20012" i="1"/>
  <c r="F20011" i="1"/>
  <c r="E20011" i="1"/>
  <c r="F20010" i="1"/>
  <c r="E20010" i="1"/>
  <c r="F20009" i="1"/>
  <c r="E20009" i="1"/>
  <c r="F20008" i="1"/>
  <c r="E20008" i="1"/>
  <c r="F20007" i="1"/>
  <c r="E20007" i="1"/>
  <c r="F20006" i="1"/>
  <c r="E20006" i="1"/>
  <c r="F20005" i="1"/>
  <c r="E20005" i="1"/>
  <c r="F20004" i="1"/>
  <c r="E20004" i="1"/>
  <c r="F20003" i="1"/>
  <c r="E20003" i="1"/>
  <c r="F20002" i="1"/>
  <c r="E20002" i="1"/>
  <c r="F20001" i="1"/>
  <c r="E20001" i="1"/>
  <c r="F20000" i="1"/>
  <c r="E20000" i="1"/>
  <c r="F19999" i="1"/>
  <c r="E19999" i="1"/>
  <c r="F19998" i="1"/>
  <c r="E19998" i="1"/>
  <c r="F19997" i="1"/>
  <c r="E19997" i="1"/>
  <c r="F19996" i="1"/>
  <c r="E19996" i="1"/>
  <c r="F19995" i="1"/>
  <c r="E19995" i="1"/>
  <c r="F19994" i="1"/>
  <c r="E19994" i="1"/>
  <c r="F19993" i="1"/>
  <c r="E19993" i="1"/>
  <c r="F19992" i="1"/>
  <c r="E19992" i="1"/>
  <c r="F19991" i="1"/>
  <c r="E19991" i="1"/>
  <c r="F19990" i="1"/>
  <c r="E19990" i="1"/>
  <c r="F19989" i="1"/>
  <c r="E19989" i="1"/>
  <c r="F19988" i="1"/>
  <c r="E19988" i="1"/>
  <c r="F19987" i="1"/>
  <c r="E19987" i="1"/>
  <c r="F19986" i="1"/>
  <c r="E19986" i="1"/>
  <c r="F19985" i="1"/>
  <c r="E19985" i="1"/>
  <c r="F19984" i="1"/>
  <c r="E19984" i="1"/>
  <c r="F19983" i="1"/>
  <c r="E19983" i="1"/>
  <c r="F19982" i="1"/>
  <c r="E19982" i="1"/>
  <c r="F19981" i="1"/>
  <c r="E19981" i="1"/>
  <c r="F19980" i="1"/>
  <c r="E19980" i="1"/>
  <c r="F19979" i="1"/>
  <c r="E19979" i="1"/>
  <c r="F19978" i="1"/>
  <c r="E19978" i="1"/>
  <c r="F19977" i="1"/>
  <c r="E19977" i="1"/>
  <c r="F19976" i="1"/>
  <c r="E19976" i="1"/>
  <c r="F19975" i="1"/>
  <c r="E19975" i="1"/>
  <c r="F19974" i="1"/>
  <c r="E19974" i="1"/>
  <c r="F19973" i="1"/>
  <c r="E19973" i="1"/>
  <c r="F19972" i="1"/>
  <c r="E19972" i="1"/>
  <c r="F19971" i="1"/>
  <c r="E19971" i="1"/>
  <c r="F19970" i="1"/>
  <c r="E19970" i="1"/>
  <c r="F19969" i="1"/>
  <c r="E19969" i="1"/>
  <c r="F19968" i="1"/>
  <c r="E19968" i="1"/>
  <c r="F19967" i="1"/>
  <c r="E19967" i="1"/>
  <c r="F19966" i="1"/>
  <c r="E19966" i="1"/>
  <c r="F19965" i="1"/>
  <c r="E19965" i="1"/>
  <c r="F19964" i="1"/>
  <c r="E19964" i="1"/>
  <c r="F19963" i="1"/>
  <c r="E19963" i="1"/>
  <c r="F19962" i="1"/>
  <c r="E19962" i="1"/>
  <c r="F19961" i="1"/>
  <c r="E19961" i="1"/>
  <c r="F19960" i="1"/>
  <c r="E19960" i="1"/>
  <c r="F19959" i="1"/>
  <c r="E19959" i="1"/>
  <c r="F19958" i="1"/>
  <c r="E19958" i="1"/>
  <c r="F19957" i="1"/>
  <c r="E19957" i="1"/>
  <c r="F19956" i="1"/>
  <c r="E19956" i="1"/>
  <c r="F19955" i="1"/>
  <c r="E19955" i="1"/>
  <c r="F19954" i="1"/>
  <c r="E19954" i="1"/>
  <c r="F19953" i="1"/>
  <c r="E19953" i="1"/>
  <c r="F19952" i="1"/>
  <c r="E19952" i="1"/>
  <c r="F19951" i="1"/>
  <c r="E19951" i="1"/>
  <c r="F19950" i="1"/>
  <c r="E19950" i="1"/>
  <c r="F19949" i="1"/>
  <c r="E19949" i="1"/>
  <c r="F19948" i="1"/>
  <c r="E19948" i="1"/>
  <c r="F19947" i="1"/>
  <c r="E19947" i="1"/>
  <c r="F19946" i="1"/>
  <c r="E19946" i="1"/>
  <c r="F19945" i="1"/>
  <c r="E19945" i="1"/>
  <c r="F19944" i="1"/>
  <c r="E19944" i="1"/>
  <c r="F19943" i="1"/>
  <c r="E19943" i="1"/>
  <c r="F19942" i="1"/>
  <c r="E19942" i="1"/>
  <c r="F19941" i="1"/>
  <c r="E19941" i="1"/>
  <c r="F19940" i="1"/>
  <c r="E19940" i="1"/>
  <c r="F19939" i="1"/>
  <c r="E19939" i="1"/>
  <c r="F19938" i="1"/>
  <c r="E19938" i="1"/>
  <c r="F19937" i="1"/>
  <c r="E19937" i="1"/>
  <c r="F19936" i="1"/>
  <c r="E19936" i="1"/>
  <c r="F19935" i="1"/>
  <c r="E19935" i="1"/>
  <c r="F19934" i="1"/>
  <c r="E19934" i="1"/>
  <c r="F19933" i="1"/>
  <c r="E19933" i="1"/>
  <c r="F19932" i="1"/>
  <c r="E19932" i="1"/>
  <c r="F19931" i="1"/>
  <c r="E19931" i="1"/>
  <c r="F19930" i="1"/>
  <c r="E19930" i="1"/>
  <c r="F19929" i="1"/>
  <c r="E19929" i="1"/>
  <c r="F19928" i="1"/>
  <c r="E19928" i="1"/>
  <c r="F19927" i="1"/>
  <c r="E19927" i="1"/>
  <c r="F19926" i="1"/>
  <c r="E19926" i="1"/>
  <c r="F19925" i="1"/>
  <c r="E19925" i="1"/>
  <c r="F19924" i="1"/>
  <c r="E19924" i="1"/>
  <c r="F19923" i="1"/>
  <c r="E19923" i="1"/>
  <c r="F19922" i="1"/>
  <c r="E19922" i="1"/>
  <c r="F19921" i="1"/>
  <c r="E19921" i="1"/>
  <c r="F19920" i="1"/>
  <c r="E19920" i="1"/>
  <c r="F19919" i="1"/>
  <c r="E19919" i="1"/>
  <c r="F19918" i="1"/>
  <c r="E19918" i="1"/>
  <c r="F19917" i="1"/>
  <c r="E19917" i="1"/>
  <c r="F19916" i="1"/>
  <c r="E19916" i="1"/>
  <c r="F19915" i="1"/>
  <c r="E19915" i="1"/>
  <c r="F19914" i="1"/>
  <c r="E19914" i="1"/>
  <c r="F19913" i="1"/>
  <c r="E19913" i="1"/>
  <c r="F19912" i="1"/>
  <c r="E19912" i="1"/>
  <c r="F19911" i="1"/>
  <c r="E19911" i="1"/>
  <c r="F19910" i="1"/>
  <c r="E19910" i="1"/>
  <c r="F19909" i="1"/>
  <c r="E19909" i="1"/>
  <c r="F19908" i="1"/>
  <c r="E19908" i="1"/>
  <c r="F19907" i="1"/>
  <c r="E19907" i="1"/>
  <c r="F19906" i="1"/>
  <c r="E19906" i="1"/>
  <c r="F19905" i="1"/>
  <c r="E19905" i="1"/>
  <c r="F19904" i="1"/>
  <c r="E19904" i="1"/>
  <c r="F19903" i="1"/>
  <c r="E19903" i="1"/>
  <c r="F19902" i="1"/>
  <c r="E19902" i="1"/>
  <c r="F19901" i="1"/>
  <c r="E19901" i="1"/>
  <c r="F19900" i="1"/>
  <c r="E19900" i="1"/>
  <c r="F19899" i="1"/>
  <c r="E19899" i="1"/>
  <c r="F19898" i="1"/>
  <c r="E19898" i="1"/>
  <c r="F19897" i="1"/>
  <c r="E19897" i="1"/>
  <c r="F19896" i="1"/>
  <c r="E19896" i="1"/>
  <c r="F19895" i="1"/>
  <c r="E19895" i="1"/>
  <c r="F19894" i="1"/>
  <c r="E19894" i="1"/>
  <c r="F19893" i="1"/>
  <c r="E19893" i="1"/>
  <c r="F19892" i="1"/>
  <c r="E19892" i="1"/>
  <c r="F19891" i="1"/>
  <c r="E19891" i="1"/>
  <c r="F19890" i="1"/>
  <c r="E19890" i="1"/>
  <c r="F19889" i="1"/>
  <c r="E19889" i="1"/>
  <c r="F19888" i="1"/>
  <c r="E19888" i="1"/>
  <c r="F19887" i="1"/>
  <c r="E19887" i="1"/>
  <c r="F19886" i="1"/>
  <c r="E19886" i="1"/>
  <c r="F19885" i="1"/>
  <c r="E19885" i="1"/>
  <c r="F19884" i="1"/>
  <c r="E19884" i="1"/>
  <c r="F19883" i="1"/>
  <c r="E19883" i="1"/>
  <c r="F19882" i="1"/>
  <c r="E19882" i="1"/>
  <c r="F19881" i="1"/>
  <c r="E19881" i="1"/>
  <c r="F19880" i="1"/>
  <c r="E19880" i="1"/>
  <c r="F19879" i="1"/>
  <c r="E19879" i="1"/>
  <c r="F19878" i="1"/>
  <c r="E19878" i="1"/>
  <c r="F19877" i="1"/>
  <c r="E19877" i="1"/>
  <c r="F19876" i="1"/>
  <c r="E19876" i="1"/>
  <c r="F19875" i="1"/>
  <c r="E19875" i="1"/>
  <c r="F19874" i="1"/>
  <c r="E19874" i="1"/>
  <c r="F19873" i="1"/>
  <c r="E19873" i="1"/>
  <c r="F19872" i="1"/>
  <c r="E19872" i="1"/>
  <c r="F19871" i="1"/>
  <c r="E19871" i="1"/>
  <c r="F19870" i="1"/>
  <c r="E19870" i="1"/>
  <c r="F19869" i="1"/>
  <c r="E19869" i="1"/>
  <c r="F19868" i="1"/>
  <c r="E19868" i="1"/>
  <c r="F19867" i="1"/>
  <c r="E19867" i="1"/>
  <c r="F19866" i="1"/>
  <c r="E19866" i="1"/>
  <c r="F19865" i="1"/>
  <c r="E19865" i="1"/>
  <c r="F19864" i="1"/>
  <c r="E19864" i="1"/>
  <c r="F19863" i="1"/>
  <c r="E19863" i="1"/>
  <c r="F19862" i="1"/>
  <c r="E19862" i="1"/>
  <c r="F19861" i="1"/>
  <c r="E19861" i="1"/>
  <c r="F19860" i="1"/>
  <c r="E19860" i="1"/>
  <c r="F19859" i="1"/>
  <c r="E19859" i="1"/>
  <c r="F19858" i="1"/>
  <c r="E19858" i="1"/>
  <c r="F19857" i="1"/>
  <c r="E19857" i="1"/>
  <c r="F19856" i="1"/>
  <c r="E19856" i="1"/>
  <c r="F19855" i="1"/>
  <c r="E19855" i="1"/>
  <c r="F19854" i="1"/>
  <c r="E19854" i="1"/>
  <c r="F19853" i="1"/>
  <c r="E19853" i="1"/>
  <c r="F19852" i="1"/>
  <c r="E19852" i="1"/>
  <c r="F19851" i="1"/>
  <c r="E19851" i="1"/>
  <c r="F19850" i="1"/>
  <c r="E19850" i="1"/>
  <c r="F19849" i="1"/>
  <c r="E19849" i="1"/>
  <c r="F19848" i="1"/>
  <c r="E19848" i="1"/>
  <c r="F19847" i="1"/>
  <c r="E19847" i="1"/>
  <c r="F19846" i="1"/>
  <c r="E19846" i="1"/>
  <c r="F19845" i="1"/>
  <c r="E19845" i="1"/>
  <c r="F19844" i="1"/>
  <c r="E19844" i="1"/>
  <c r="F19843" i="1"/>
  <c r="E19843" i="1"/>
  <c r="F19842" i="1"/>
  <c r="E19842" i="1"/>
  <c r="F19841" i="1"/>
  <c r="E19841" i="1"/>
  <c r="F19840" i="1"/>
  <c r="E19840" i="1"/>
  <c r="F19839" i="1"/>
  <c r="E19839" i="1"/>
  <c r="F19838" i="1"/>
  <c r="E19838" i="1"/>
  <c r="F19837" i="1"/>
  <c r="E19837" i="1"/>
  <c r="F19836" i="1"/>
  <c r="E19836" i="1"/>
  <c r="F19835" i="1"/>
  <c r="E19835" i="1"/>
  <c r="F19834" i="1"/>
  <c r="E19834" i="1"/>
  <c r="F19833" i="1"/>
  <c r="E19833" i="1"/>
  <c r="F19832" i="1"/>
  <c r="E19832" i="1"/>
  <c r="F19831" i="1"/>
  <c r="E19831" i="1"/>
  <c r="F19830" i="1"/>
  <c r="E19830" i="1"/>
  <c r="F19829" i="1"/>
  <c r="E19829" i="1"/>
  <c r="F19828" i="1"/>
  <c r="E19828" i="1"/>
  <c r="F19827" i="1"/>
  <c r="E19827" i="1"/>
  <c r="F19826" i="1"/>
  <c r="E19826" i="1"/>
  <c r="F19825" i="1"/>
  <c r="E19825" i="1"/>
  <c r="F19824" i="1"/>
  <c r="E19824" i="1"/>
  <c r="F19823" i="1"/>
  <c r="E19823" i="1"/>
  <c r="F19822" i="1"/>
  <c r="E19822" i="1"/>
  <c r="F19821" i="1"/>
  <c r="E19821" i="1"/>
  <c r="F19820" i="1"/>
  <c r="E19820" i="1"/>
  <c r="F19819" i="1"/>
  <c r="E19819" i="1"/>
  <c r="F19818" i="1"/>
  <c r="E19818" i="1"/>
  <c r="F19817" i="1"/>
  <c r="E19817" i="1"/>
  <c r="F19816" i="1"/>
  <c r="E19816" i="1"/>
  <c r="F19815" i="1"/>
  <c r="E19815" i="1"/>
  <c r="F19814" i="1"/>
  <c r="E19814" i="1"/>
  <c r="F19813" i="1"/>
  <c r="E19813" i="1"/>
  <c r="F19812" i="1"/>
  <c r="E19812" i="1"/>
  <c r="F19811" i="1"/>
  <c r="E19811" i="1"/>
  <c r="F19810" i="1"/>
  <c r="E19810" i="1"/>
  <c r="F19809" i="1"/>
  <c r="E19809" i="1"/>
  <c r="F19808" i="1"/>
  <c r="E19808" i="1"/>
  <c r="F19807" i="1"/>
  <c r="E19807" i="1"/>
  <c r="F19806" i="1"/>
  <c r="E19806" i="1"/>
  <c r="F19805" i="1"/>
  <c r="E19805" i="1"/>
  <c r="F19804" i="1"/>
  <c r="E19804" i="1"/>
  <c r="F19803" i="1"/>
  <c r="E19803" i="1"/>
  <c r="F19802" i="1"/>
  <c r="E19802" i="1"/>
  <c r="F19801" i="1"/>
  <c r="E19801" i="1"/>
  <c r="F19800" i="1"/>
  <c r="E19800" i="1"/>
  <c r="F19799" i="1"/>
  <c r="E19799" i="1"/>
  <c r="F19798" i="1"/>
  <c r="E19798" i="1"/>
  <c r="F19797" i="1"/>
  <c r="E19797" i="1"/>
  <c r="F19796" i="1"/>
  <c r="E19796" i="1"/>
  <c r="F19795" i="1"/>
  <c r="E19795" i="1"/>
  <c r="F19794" i="1"/>
  <c r="E19794" i="1"/>
  <c r="F19793" i="1"/>
  <c r="E19793" i="1"/>
  <c r="F19792" i="1"/>
  <c r="E19792" i="1"/>
  <c r="F19791" i="1"/>
  <c r="E19791" i="1"/>
  <c r="F19790" i="1"/>
  <c r="E19790" i="1"/>
  <c r="F19789" i="1"/>
  <c r="E19789" i="1"/>
  <c r="F19788" i="1"/>
  <c r="E19788" i="1"/>
  <c r="F19787" i="1"/>
  <c r="E19787" i="1"/>
  <c r="F19786" i="1"/>
  <c r="F19785" i="1"/>
  <c r="E19785" i="1"/>
  <c r="F19784" i="1"/>
  <c r="F19783" i="1"/>
  <c r="E19783" i="1"/>
  <c r="F19782" i="1"/>
  <c r="E19782" i="1"/>
  <c r="F19781" i="1"/>
  <c r="E19781" i="1"/>
  <c r="F19780" i="1"/>
  <c r="E19780" i="1"/>
  <c r="F19779" i="1"/>
  <c r="E19779" i="1"/>
  <c r="F19778" i="1"/>
  <c r="F19777" i="1"/>
  <c r="E19777" i="1"/>
  <c r="F19776" i="1"/>
  <c r="E19776" i="1"/>
  <c r="F19775" i="1"/>
  <c r="E19775" i="1"/>
  <c r="F19774" i="1"/>
  <c r="E19774" i="1"/>
  <c r="F19773" i="1"/>
  <c r="E19773" i="1"/>
  <c r="F19772" i="1"/>
  <c r="E19772" i="1"/>
  <c r="F19771" i="1"/>
  <c r="E19771" i="1"/>
  <c r="F19770" i="1"/>
  <c r="E19770" i="1"/>
  <c r="F19769" i="1"/>
  <c r="E19769" i="1"/>
  <c r="F19768" i="1"/>
  <c r="E19768" i="1"/>
  <c r="F19767" i="1"/>
  <c r="E19767" i="1"/>
  <c r="F19766" i="1"/>
  <c r="E19766" i="1"/>
  <c r="F19765" i="1"/>
  <c r="E19765" i="1"/>
  <c r="F19764" i="1"/>
  <c r="E19764" i="1"/>
  <c r="F19763" i="1"/>
  <c r="E19763" i="1"/>
  <c r="F19762" i="1"/>
  <c r="E19762" i="1"/>
  <c r="F19761" i="1"/>
  <c r="E19761" i="1"/>
  <c r="F19760" i="1"/>
  <c r="E19760" i="1"/>
  <c r="F19759" i="1"/>
  <c r="E19759" i="1"/>
  <c r="F19758" i="1"/>
  <c r="E19758" i="1"/>
  <c r="F19757" i="1"/>
  <c r="E19757" i="1"/>
  <c r="F19756" i="1"/>
  <c r="E19756" i="1"/>
  <c r="F19755" i="1"/>
  <c r="E19755" i="1"/>
  <c r="F19754" i="1"/>
  <c r="E19754" i="1"/>
  <c r="F19753" i="1"/>
  <c r="E19753" i="1"/>
  <c r="F19752" i="1"/>
  <c r="E19752" i="1"/>
  <c r="F19751" i="1"/>
  <c r="E19751" i="1"/>
  <c r="F19750" i="1"/>
  <c r="E19750" i="1"/>
  <c r="F19749" i="1"/>
  <c r="E19749" i="1"/>
  <c r="F19748" i="1"/>
  <c r="E19748" i="1"/>
  <c r="F19747" i="1"/>
  <c r="E19747" i="1"/>
  <c r="F19746" i="1"/>
  <c r="E19746" i="1"/>
  <c r="F19745" i="1"/>
  <c r="E19745" i="1"/>
  <c r="F19744" i="1"/>
  <c r="E19744" i="1"/>
  <c r="F19743" i="1"/>
  <c r="E19743" i="1"/>
  <c r="F19742" i="1"/>
  <c r="E19742" i="1"/>
  <c r="F19741" i="1"/>
  <c r="E19741" i="1"/>
  <c r="F19740" i="1"/>
  <c r="E19740" i="1"/>
  <c r="F19739" i="1"/>
  <c r="E19739" i="1"/>
  <c r="F19738" i="1"/>
  <c r="E19738" i="1"/>
  <c r="F19737" i="1"/>
  <c r="E19737" i="1"/>
  <c r="F19736" i="1"/>
  <c r="F19735" i="1"/>
  <c r="E19735" i="1"/>
  <c r="F19734" i="1"/>
  <c r="E19734" i="1"/>
  <c r="F19733" i="1"/>
  <c r="E19733" i="1"/>
  <c r="F19732" i="1"/>
  <c r="E19732" i="1"/>
  <c r="F19731" i="1"/>
  <c r="F19730" i="1"/>
  <c r="F19729" i="1"/>
  <c r="F19728" i="1"/>
  <c r="F19727" i="1"/>
  <c r="E19727" i="1"/>
  <c r="F19726" i="1"/>
  <c r="E19726" i="1"/>
  <c r="F19725" i="1"/>
  <c r="E19725" i="1"/>
  <c r="F19724" i="1"/>
  <c r="E19724" i="1"/>
  <c r="F19723" i="1"/>
  <c r="E19723" i="1"/>
  <c r="F19722" i="1"/>
  <c r="E19722" i="1"/>
  <c r="F19721" i="1"/>
  <c r="E19721" i="1"/>
  <c r="F19720" i="1"/>
  <c r="E19720" i="1"/>
  <c r="F19719" i="1"/>
  <c r="E19719" i="1"/>
  <c r="F19718" i="1"/>
  <c r="E19718" i="1"/>
  <c r="F19717" i="1"/>
  <c r="E19717" i="1"/>
  <c r="F19716" i="1"/>
  <c r="E19716" i="1"/>
  <c r="F19715" i="1"/>
  <c r="E19715" i="1"/>
  <c r="F19714" i="1"/>
  <c r="F19713" i="1"/>
  <c r="F19712" i="1"/>
  <c r="E19712" i="1"/>
  <c r="F19711" i="1"/>
  <c r="E19711" i="1"/>
  <c r="F19710" i="1"/>
  <c r="E19710" i="1"/>
  <c r="F19709" i="1"/>
  <c r="E19709" i="1"/>
  <c r="F19708" i="1"/>
  <c r="E19708" i="1"/>
  <c r="F19707" i="1"/>
  <c r="E19707" i="1"/>
  <c r="F19706" i="1"/>
  <c r="E19706" i="1"/>
  <c r="F19705" i="1"/>
  <c r="E19705" i="1"/>
  <c r="F19704" i="1"/>
  <c r="E19704" i="1"/>
  <c r="F19703" i="1"/>
  <c r="E19703" i="1"/>
  <c r="F19702" i="1"/>
  <c r="E19702" i="1"/>
  <c r="F19701" i="1"/>
  <c r="E19701" i="1"/>
  <c r="F19700" i="1"/>
  <c r="E19700" i="1"/>
  <c r="F19699" i="1"/>
  <c r="E19699" i="1"/>
  <c r="F19698" i="1"/>
  <c r="E19698" i="1"/>
  <c r="F19697" i="1"/>
  <c r="E19697" i="1"/>
  <c r="F19696" i="1"/>
  <c r="E19696" i="1"/>
  <c r="F19695" i="1"/>
  <c r="E19695" i="1"/>
  <c r="F19694" i="1"/>
  <c r="E19694" i="1"/>
  <c r="F19693" i="1"/>
  <c r="E19693" i="1"/>
  <c r="F19692" i="1"/>
  <c r="E19692" i="1"/>
  <c r="F19691" i="1"/>
  <c r="E19691" i="1"/>
  <c r="F19690" i="1"/>
  <c r="E19690" i="1"/>
  <c r="F19689" i="1"/>
  <c r="E19689" i="1"/>
  <c r="F19688" i="1"/>
  <c r="E19688" i="1"/>
  <c r="F19687" i="1"/>
  <c r="E19687" i="1"/>
  <c r="F19686" i="1"/>
  <c r="E19686" i="1"/>
  <c r="F19685" i="1"/>
  <c r="E19685" i="1"/>
  <c r="F19684" i="1"/>
  <c r="E19684" i="1"/>
  <c r="F19683" i="1"/>
  <c r="E19683" i="1"/>
  <c r="F19682" i="1"/>
  <c r="E19682" i="1"/>
  <c r="F19681" i="1"/>
  <c r="E19681" i="1"/>
  <c r="F19680" i="1"/>
  <c r="E19680" i="1"/>
  <c r="F19679" i="1"/>
  <c r="E19679" i="1"/>
  <c r="F19678" i="1"/>
  <c r="E19678" i="1"/>
  <c r="F19677" i="1"/>
  <c r="E19677" i="1"/>
  <c r="F19676" i="1"/>
  <c r="E19676" i="1"/>
  <c r="F19675" i="1"/>
  <c r="E19675" i="1"/>
  <c r="F19674" i="1"/>
  <c r="E19674" i="1"/>
  <c r="F19673" i="1"/>
  <c r="E19673" i="1"/>
  <c r="F19672" i="1"/>
  <c r="E19672" i="1"/>
  <c r="F19671" i="1"/>
  <c r="E19671" i="1"/>
  <c r="F19670" i="1"/>
  <c r="E19670" i="1"/>
  <c r="F19669" i="1"/>
  <c r="E19669" i="1"/>
  <c r="F19668" i="1"/>
  <c r="E19668" i="1"/>
  <c r="F19667" i="1"/>
  <c r="E19667" i="1"/>
  <c r="F19666" i="1"/>
  <c r="E19666" i="1"/>
  <c r="F19665" i="1"/>
  <c r="E19665" i="1"/>
  <c r="F19664" i="1"/>
  <c r="E19664" i="1"/>
  <c r="F19663" i="1"/>
  <c r="E19663" i="1"/>
  <c r="F19662" i="1"/>
  <c r="E19662" i="1"/>
  <c r="F19661" i="1"/>
  <c r="E19661" i="1"/>
  <c r="F19660" i="1"/>
  <c r="E19660" i="1"/>
  <c r="F19659" i="1"/>
  <c r="E19659" i="1"/>
  <c r="F19658" i="1"/>
  <c r="E19658" i="1"/>
  <c r="F19657" i="1"/>
  <c r="E19657" i="1"/>
  <c r="F19656" i="1"/>
  <c r="E19656" i="1"/>
  <c r="F19655" i="1"/>
  <c r="E19655" i="1"/>
  <c r="F19654" i="1"/>
  <c r="E19654" i="1"/>
  <c r="F19653" i="1"/>
  <c r="E19653" i="1"/>
  <c r="F19652" i="1"/>
  <c r="E19652" i="1"/>
  <c r="F19651" i="1"/>
  <c r="E19651" i="1"/>
  <c r="F19650" i="1"/>
  <c r="E19650" i="1"/>
  <c r="F19649" i="1"/>
  <c r="E19649" i="1"/>
  <c r="F19648" i="1"/>
  <c r="E19648" i="1"/>
  <c r="F19647" i="1"/>
  <c r="E19647" i="1"/>
  <c r="F19646" i="1"/>
  <c r="E19646" i="1"/>
  <c r="F19645" i="1"/>
  <c r="E19645" i="1"/>
  <c r="F19644" i="1"/>
  <c r="E19644" i="1"/>
  <c r="F19643" i="1"/>
  <c r="E19643" i="1"/>
  <c r="F19642" i="1"/>
  <c r="E19642" i="1"/>
  <c r="F19641" i="1"/>
  <c r="E19641" i="1"/>
  <c r="F19640" i="1"/>
  <c r="E19640" i="1"/>
  <c r="F19639" i="1"/>
  <c r="E19639" i="1"/>
  <c r="F19638" i="1"/>
  <c r="E19638" i="1"/>
  <c r="F19637" i="1"/>
  <c r="E19637" i="1"/>
  <c r="F19636" i="1"/>
  <c r="E19636" i="1"/>
  <c r="F19635" i="1"/>
  <c r="E19635" i="1"/>
  <c r="F19634" i="1"/>
  <c r="E19634" i="1"/>
  <c r="F19633" i="1"/>
  <c r="E19633" i="1"/>
  <c r="F19632" i="1"/>
  <c r="E19632" i="1"/>
  <c r="F19631" i="1"/>
  <c r="E19631" i="1"/>
  <c r="F19630" i="1"/>
  <c r="E19630" i="1"/>
  <c r="F19629" i="1"/>
  <c r="E19629" i="1"/>
  <c r="F19628" i="1"/>
  <c r="E19628" i="1"/>
  <c r="F19627" i="1"/>
  <c r="E19627" i="1"/>
  <c r="F19626" i="1"/>
  <c r="E19626" i="1"/>
  <c r="F19625" i="1"/>
  <c r="E19625" i="1"/>
  <c r="F19624" i="1"/>
  <c r="E19624" i="1"/>
  <c r="F19623" i="1"/>
  <c r="E19623" i="1"/>
  <c r="F19622" i="1"/>
  <c r="E19622" i="1"/>
  <c r="F19621" i="1"/>
  <c r="E19621" i="1"/>
  <c r="F19620" i="1"/>
  <c r="E19620" i="1"/>
  <c r="F19619" i="1"/>
  <c r="E19619" i="1"/>
  <c r="F19618" i="1"/>
  <c r="E19618" i="1"/>
  <c r="F19617" i="1"/>
  <c r="E19617" i="1"/>
  <c r="F19616" i="1"/>
  <c r="E19616" i="1"/>
  <c r="F19615" i="1"/>
  <c r="E19615" i="1"/>
  <c r="F19614" i="1"/>
  <c r="E19614" i="1"/>
  <c r="F19613" i="1"/>
  <c r="E19613" i="1"/>
  <c r="F19612" i="1"/>
  <c r="E19612" i="1"/>
  <c r="F19611" i="1"/>
  <c r="E19611" i="1"/>
  <c r="F19610" i="1"/>
  <c r="E19610" i="1"/>
  <c r="F19609" i="1"/>
  <c r="E19609" i="1"/>
  <c r="F19608" i="1"/>
  <c r="E19608" i="1"/>
  <c r="F19607" i="1"/>
  <c r="E19607" i="1"/>
  <c r="F19606" i="1"/>
  <c r="E19606" i="1"/>
  <c r="F19605" i="1"/>
  <c r="E19605" i="1"/>
  <c r="F19604" i="1"/>
  <c r="E19604" i="1"/>
  <c r="F19603" i="1"/>
  <c r="E19603" i="1"/>
  <c r="F19602" i="1"/>
  <c r="E19602" i="1"/>
  <c r="F19601" i="1"/>
  <c r="E19601" i="1"/>
  <c r="F19600" i="1"/>
  <c r="E19600" i="1"/>
  <c r="F19599" i="1"/>
  <c r="E19599" i="1"/>
  <c r="F19598" i="1"/>
  <c r="E19598" i="1"/>
  <c r="F19597" i="1"/>
  <c r="E19597" i="1"/>
  <c r="F19596" i="1"/>
  <c r="E19596" i="1"/>
  <c r="F19595" i="1"/>
  <c r="E19595" i="1"/>
  <c r="F19594" i="1"/>
  <c r="E19594" i="1"/>
  <c r="F19593" i="1"/>
  <c r="E19593" i="1"/>
  <c r="F19592" i="1"/>
  <c r="E19592" i="1"/>
  <c r="F19591" i="1"/>
  <c r="E19591" i="1"/>
  <c r="F19590" i="1"/>
  <c r="E19590" i="1"/>
  <c r="F19589" i="1"/>
  <c r="E19589" i="1"/>
  <c r="F19588" i="1"/>
  <c r="E19588" i="1"/>
  <c r="F19587" i="1"/>
  <c r="E19587" i="1"/>
  <c r="F19586" i="1"/>
  <c r="E19586" i="1"/>
  <c r="F19585" i="1"/>
  <c r="E19585" i="1"/>
  <c r="F19584" i="1"/>
  <c r="E19584" i="1"/>
  <c r="F19583" i="1"/>
  <c r="E19583" i="1"/>
  <c r="F19582" i="1"/>
  <c r="E19582" i="1"/>
  <c r="F19581" i="1"/>
  <c r="E19581" i="1"/>
  <c r="F19580" i="1"/>
  <c r="E19580" i="1"/>
  <c r="F19579" i="1"/>
  <c r="E19579" i="1"/>
  <c r="F19578" i="1"/>
  <c r="E19578" i="1"/>
  <c r="F19577" i="1"/>
  <c r="E19577" i="1"/>
  <c r="F19576" i="1"/>
  <c r="E19576" i="1"/>
  <c r="F19575" i="1"/>
  <c r="E19575" i="1"/>
  <c r="F19574" i="1"/>
  <c r="E19574" i="1"/>
  <c r="F19573" i="1"/>
  <c r="E19573" i="1"/>
  <c r="F19572" i="1"/>
  <c r="E19572" i="1"/>
  <c r="F19571" i="1"/>
  <c r="E19571" i="1"/>
  <c r="F19570" i="1"/>
  <c r="E19570" i="1"/>
  <c r="F19569" i="1"/>
  <c r="E19569" i="1"/>
  <c r="F19568" i="1"/>
  <c r="E19568" i="1"/>
  <c r="F19567" i="1"/>
  <c r="E19567" i="1"/>
  <c r="F19566" i="1"/>
  <c r="E19566" i="1"/>
  <c r="F19565" i="1"/>
  <c r="E19565" i="1"/>
  <c r="F19564" i="1"/>
  <c r="E19564" i="1"/>
  <c r="F19563" i="1"/>
  <c r="E19563" i="1"/>
  <c r="F19562" i="1"/>
  <c r="E19562" i="1"/>
  <c r="F19561" i="1"/>
  <c r="E19561" i="1"/>
  <c r="F19560" i="1"/>
  <c r="E19560" i="1"/>
  <c r="F19559" i="1"/>
  <c r="E19559" i="1"/>
  <c r="F19558" i="1"/>
  <c r="E19558" i="1"/>
  <c r="F19557" i="1"/>
  <c r="E19557" i="1"/>
  <c r="F19556" i="1"/>
  <c r="E19556" i="1"/>
  <c r="F19555" i="1"/>
  <c r="E19555" i="1"/>
  <c r="F19554" i="1"/>
  <c r="E19554" i="1"/>
  <c r="F19553" i="1"/>
  <c r="E19553" i="1"/>
  <c r="F19552" i="1"/>
  <c r="E19552" i="1"/>
  <c r="F19551" i="1"/>
  <c r="E19551" i="1"/>
  <c r="F19550" i="1"/>
  <c r="E19550" i="1"/>
  <c r="F19549" i="1"/>
  <c r="E19549" i="1"/>
  <c r="F19548" i="1"/>
  <c r="E19548" i="1"/>
  <c r="F19547" i="1"/>
  <c r="E19547" i="1"/>
  <c r="F19546" i="1"/>
  <c r="E19546" i="1"/>
  <c r="F19545" i="1"/>
  <c r="E19545" i="1"/>
  <c r="F19544" i="1"/>
  <c r="E19544" i="1"/>
  <c r="F19543" i="1"/>
  <c r="E19543" i="1"/>
  <c r="F19542" i="1"/>
  <c r="E19542" i="1"/>
  <c r="F19541" i="1"/>
  <c r="E19541" i="1"/>
  <c r="F19540" i="1"/>
  <c r="E19540" i="1"/>
  <c r="F19539" i="1"/>
  <c r="E19539" i="1"/>
  <c r="F19538" i="1"/>
  <c r="E19538" i="1"/>
  <c r="F19537" i="1"/>
  <c r="E19537" i="1"/>
  <c r="F19536" i="1"/>
  <c r="E19536" i="1"/>
  <c r="F19535" i="1"/>
  <c r="E19535" i="1"/>
  <c r="F19534" i="1"/>
  <c r="E19534" i="1"/>
  <c r="F19533" i="1"/>
  <c r="E19533" i="1"/>
  <c r="F19532" i="1"/>
  <c r="E19532" i="1"/>
  <c r="F19531" i="1"/>
  <c r="E19531" i="1"/>
  <c r="F19530" i="1"/>
  <c r="E19530" i="1"/>
  <c r="F19529" i="1"/>
  <c r="E19529" i="1"/>
  <c r="F19528" i="1"/>
  <c r="E19528" i="1"/>
  <c r="F19527" i="1"/>
  <c r="E19527" i="1"/>
  <c r="F19526" i="1"/>
  <c r="E19526" i="1"/>
  <c r="F19525" i="1"/>
  <c r="E19525" i="1"/>
  <c r="F19524" i="1"/>
  <c r="E19524" i="1"/>
  <c r="F19523" i="1"/>
  <c r="E19523" i="1"/>
  <c r="F19522" i="1"/>
  <c r="E19522" i="1"/>
  <c r="F19521" i="1"/>
  <c r="E19521" i="1"/>
  <c r="F19520" i="1"/>
  <c r="E19520" i="1"/>
  <c r="F19519" i="1"/>
  <c r="E19519" i="1"/>
  <c r="F19518" i="1"/>
  <c r="E19518" i="1"/>
  <c r="F19517" i="1"/>
  <c r="E19517" i="1"/>
  <c r="F19516" i="1"/>
  <c r="E19516" i="1"/>
  <c r="F19515" i="1"/>
  <c r="E19515" i="1"/>
  <c r="F19514" i="1"/>
  <c r="E19514" i="1"/>
  <c r="F19513" i="1"/>
  <c r="E19513" i="1"/>
  <c r="F19512" i="1"/>
  <c r="E19512" i="1"/>
  <c r="F19511" i="1"/>
  <c r="E19511" i="1"/>
  <c r="F19510" i="1"/>
  <c r="E19510" i="1"/>
  <c r="F19509" i="1"/>
  <c r="E19509" i="1"/>
  <c r="F19508" i="1"/>
  <c r="E19508" i="1"/>
  <c r="F19507" i="1"/>
  <c r="E19507" i="1"/>
  <c r="F19506" i="1"/>
  <c r="E19506" i="1"/>
  <c r="F19505" i="1"/>
  <c r="E19505" i="1"/>
  <c r="F19504" i="1"/>
  <c r="E19504" i="1"/>
  <c r="F19503" i="1"/>
  <c r="E19503" i="1"/>
  <c r="F19502" i="1"/>
  <c r="E19502" i="1"/>
  <c r="F19501" i="1"/>
  <c r="E19501" i="1"/>
  <c r="F19500" i="1"/>
  <c r="E19500" i="1"/>
  <c r="F19499" i="1"/>
  <c r="E19499" i="1"/>
  <c r="F19498" i="1"/>
  <c r="E19498" i="1"/>
  <c r="F19497" i="1"/>
  <c r="E19497" i="1"/>
  <c r="F19496" i="1"/>
  <c r="E19496" i="1"/>
  <c r="F19495" i="1"/>
  <c r="E19495" i="1"/>
  <c r="F19494" i="1"/>
  <c r="E19494" i="1"/>
  <c r="F19493" i="1"/>
  <c r="E19493" i="1"/>
  <c r="F19492" i="1"/>
  <c r="E19492" i="1"/>
  <c r="F19491" i="1"/>
  <c r="E19491" i="1"/>
  <c r="F19490" i="1"/>
  <c r="E19490" i="1"/>
  <c r="F19489" i="1"/>
  <c r="E19489" i="1"/>
  <c r="F19488" i="1"/>
  <c r="E19488" i="1"/>
  <c r="F19487" i="1"/>
  <c r="E19487" i="1"/>
  <c r="F19486" i="1"/>
  <c r="E19486" i="1"/>
  <c r="F19485" i="1"/>
  <c r="E19485" i="1"/>
  <c r="F19484" i="1"/>
  <c r="E19484" i="1"/>
  <c r="F19483" i="1"/>
  <c r="E19483" i="1"/>
  <c r="F19482" i="1"/>
  <c r="E19482" i="1"/>
  <c r="F19481" i="1"/>
  <c r="E19481" i="1"/>
  <c r="F19480" i="1"/>
  <c r="E19480" i="1"/>
  <c r="F19479" i="1"/>
  <c r="E19479" i="1"/>
  <c r="F19478" i="1"/>
  <c r="E19478" i="1"/>
  <c r="F19477" i="1"/>
  <c r="F19476" i="1"/>
  <c r="E19476" i="1"/>
  <c r="F19475" i="1"/>
  <c r="E19475" i="1"/>
  <c r="F19474" i="1"/>
  <c r="E19474" i="1"/>
  <c r="F19473" i="1"/>
  <c r="E19473" i="1"/>
  <c r="F19472" i="1"/>
  <c r="E19472" i="1"/>
  <c r="F19471" i="1"/>
  <c r="F19470" i="1"/>
  <c r="E19470" i="1"/>
  <c r="F19469" i="1"/>
  <c r="E19469" i="1"/>
  <c r="F19468" i="1"/>
  <c r="E19468" i="1"/>
  <c r="F19467" i="1"/>
  <c r="E19467" i="1"/>
  <c r="F19466" i="1"/>
  <c r="E19466" i="1"/>
  <c r="F19465" i="1"/>
  <c r="E19465" i="1"/>
  <c r="F19464" i="1"/>
  <c r="E19464" i="1"/>
  <c r="F19463" i="1"/>
  <c r="E19463" i="1"/>
  <c r="F19462" i="1"/>
  <c r="E19462" i="1"/>
  <c r="F19461" i="1"/>
  <c r="E19461" i="1"/>
  <c r="F19460" i="1"/>
  <c r="E19460" i="1"/>
  <c r="F19459" i="1"/>
  <c r="E19459" i="1"/>
  <c r="F19458" i="1"/>
  <c r="E19458" i="1"/>
  <c r="F19457" i="1"/>
  <c r="F19456" i="1"/>
  <c r="E19456" i="1"/>
  <c r="F19455" i="1"/>
  <c r="E19455" i="1"/>
  <c r="F19454" i="1"/>
  <c r="E19454" i="1"/>
  <c r="F19453" i="1"/>
  <c r="E19453" i="1"/>
  <c r="F19452" i="1"/>
  <c r="E19452" i="1"/>
  <c r="F19451" i="1"/>
  <c r="E19451" i="1"/>
  <c r="F19450" i="1"/>
  <c r="E19450" i="1"/>
  <c r="F19449" i="1"/>
  <c r="E19449" i="1"/>
  <c r="F19448" i="1"/>
  <c r="E19448" i="1"/>
  <c r="F19447" i="1"/>
  <c r="E19447" i="1"/>
  <c r="F19446" i="1"/>
  <c r="E19446" i="1"/>
  <c r="F19445" i="1"/>
  <c r="E19445" i="1"/>
  <c r="F19444" i="1"/>
  <c r="F19443" i="1"/>
  <c r="E19443" i="1"/>
  <c r="F19442" i="1"/>
  <c r="E19442" i="1"/>
  <c r="F19441" i="1"/>
  <c r="E19441" i="1"/>
  <c r="F19440" i="1"/>
  <c r="F19439" i="1"/>
  <c r="E19439" i="1"/>
  <c r="F19438" i="1"/>
  <c r="E19438" i="1"/>
  <c r="F19437" i="1"/>
  <c r="F19436" i="1"/>
  <c r="F19435" i="1"/>
  <c r="E19435" i="1"/>
  <c r="F19434" i="1"/>
  <c r="F19433" i="1"/>
  <c r="F19432" i="1"/>
  <c r="F19431" i="1"/>
  <c r="F19430" i="1"/>
  <c r="E19430" i="1"/>
  <c r="F19429" i="1"/>
  <c r="F19428" i="1"/>
  <c r="F19427" i="1"/>
  <c r="F19426" i="1"/>
  <c r="E19426" i="1"/>
  <c r="F19425" i="1"/>
  <c r="E19425" i="1"/>
  <c r="F19424" i="1"/>
  <c r="F19423" i="1"/>
  <c r="F19422" i="1"/>
  <c r="F19421" i="1"/>
  <c r="F19420" i="1"/>
  <c r="F19419" i="1"/>
  <c r="F19418" i="1"/>
  <c r="F19417" i="1"/>
  <c r="E19417" i="1"/>
  <c r="F19416" i="1"/>
  <c r="F19415" i="1"/>
  <c r="E19415" i="1"/>
  <c r="F19414" i="1"/>
  <c r="E19414" i="1"/>
  <c r="F19413" i="1"/>
  <c r="F19412" i="1"/>
  <c r="F19411" i="1"/>
  <c r="F19410" i="1"/>
  <c r="F19409" i="1"/>
  <c r="F19408" i="1"/>
  <c r="E19408" i="1"/>
  <c r="F19407" i="1"/>
  <c r="F19406" i="1"/>
  <c r="E19406" i="1"/>
  <c r="F19405" i="1"/>
  <c r="E19405" i="1"/>
  <c r="F19404" i="1"/>
  <c r="E19404" i="1"/>
  <c r="F19403" i="1"/>
  <c r="E19403" i="1"/>
  <c r="F19402" i="1"/>
  <c r="E19402" i="1"/>
  <c r="F19401" i="1"/>
  <c r="E19401" i="1"/>
  <c r="F19400" i="1"/>
  <c r="E19400" i="1"/>
  <c r="F19399" i="1"/>
  <c r="E19399" i="1"/>
  <c r="F19398" i="1"/>
  <c r="E19398" i="1"/>
  <c r="F19397" i="1"/>
  <c r="E19397" i="1"/>
  <c r="F19396" i="1"/>
  <c r="E19396" i="1"/>
  <c r="F19395" i="1"/>
  <c r="E19395" i="1"/>
  <c r="F19394" i="1"/>
  <c r="E19394" i="1"/>
  <c r="F19393" i="1"/>
  <c r="E19393" i="1"/>
  <c r="F19392" i="1"/>
  <c r="E19392" i="1"/>
  <c r="F19391" i="1"/>
  <c r="E19391" i="1"/>
  <c r="F19390" i="1"/>
  <c r="E19390" i="1"/>
  <c r="F19389" i="1"/>
  <c r="E19389" i="1"/>
  <c r="F19388" i="1"/>
  <c r="E19388" i="1"/>
  <c r="F19387" i="1"/>
  <c r="E19387" i="1"/>
  <c r="F19386" i="1"/>
  <c r="E19386" i="1"/>
  <c r="F19385" i="1"/>
  <c r="E19385" i="1"/>
  <c r="F19384" i="1"/>
  <c r="E19384" i="1"/>
  <c r="F19383" i="1"/>
  <c r="E19383" i="1"/>
  <c r="F19382" i="1"/>
  <c r="E19382" i="1"/>
  <c r="F19381" i="1"/>
  <c r="E19381" i="1"/>
  <c r="F19380" i="1"/>
  <c r="E19380" i="1"/>
  <c r="F19379" i="1"/>
  <c r="E19379" i="1"/>
  <c r="F19378" i="1"/>
  <c r="E19378" i="1"/>
  <c r="F19377" i="1"/>
  <c r="E19377" i="1"/>
  <c r="F19376" i="1"/>
  <c r="E19376" i="1"/>
  <c r="F19375" i="1"/>
  <c r="E19375" i="1"/>
  <c r="F19374" i="1"/>
  <c r="E19374" i="1"/>
  <c r="F19373" i="1"/>
  <c r="E19373" i="1"/>
  <c r="F19372" i="1"/>
  <c r="E19372" i="1"/>
  <c r="F19371" i="1"/>
  <c r="E19371" i="1"/>
  <c r="F19370" i="1"/>
  <c r="E19370" i="1"/>
  <c r="F19369" i="1"/>
  <c r="E19369" i="1"/>
  <c r="F19368" i="1"/>
  <c r="E19368" i="1"/>
  <c r="F19367" i="1"/>
  <c r="E19367" i="1"/>
  <c r="F19366" i="1"/>
  <c r="E19366" i="1"/>
  <c r="F19365" i="1"/>
  <c r="E19365" i="1"/>
  <c r="F19364" i="1"/>
  <c r="E19364" i="1"/>
  <c r="F19363" i="1"/>
  <c r="E19363" i="1"/>
  <c r="F19362" i="1"/>
  <c r="E19362" i="1"/>
  <c r="F19361" i="1"/>
  <c r="E19361" i="1"/>
  <c r="F19360" i="1"/>
  <c r="E19360" i="1"/>
  <c r="F19359" i="1"/>
  <c r="E19359" i="1"/>
  <c r="F19358" i="1"/>
  <c r="E19358" i="1"/>
  <c r="F19357" i="1"/>
  <c r="E19357" i="1"/>
  <c r="F19356" i="1"/>
  <c r="E19356" i="1"/>
  <c r="F19355" i="1"/>
  <c r="E19355" i="1"/>
  <c r="F19354" i="1"/>
  <c r="E19354" i="1"/>
  <c r="F19353" i="1"/>
  <c r="E19353" i="1"/>
  <c r="F19352" i="1"/>
  <c r="E19352" i="1"/>
  <c r="F19351" i="1"/>
  <c r="E19351" i="1"/>
  <c r="F19350" i="1"/>
  <c r="E19350" i="1"/>
  <c r="F19349" i="1"/>
  <c r="E19349" i="1"/>
  <c r="F19348" i="1"/>
  <c r="E19348" i="1"/>
  <c r="F19347" i="1"/>
  <c r="E19347" i="1"/>
  <c r="F19346" i="1"/>
  <c r="E19346" i="1"/>
  <c r="F19345" i="1"/>
  <c r="E19345" i="1"/>
  <c r="F19344" i="1"/>
  <c r="E19344" i="1"/>
  <c r="F19343" i="1"/>
  <c r="E19343" i="1"/>
  <c r="F19342" i="1"/>
  <c r="E19342" i="1"/>
  <c r="F19341" i="1"/>
  <c r="E19341" i="1"/>
  <c r="F19340" i="1"/>
  <c r="E19340" i="1"/>
  <c r="F19339" i="1"/>
  <c r="E19339" i="1"/>
  <c r="F19338" i="1"/>
  <c r="E19338" i="1"/>
  <c r="F19337" i="1"/>
  <c r="E19337" i="1"/>
  <c r="F19336" i="1"/>
  <c r="E19336" i="1"/>
  <c r="F19335" i="1"/>
  <c r="E19335" i="1"/>
  <c r="F19334" i="1"/>
  <c r="E19334" i="1"/>
  <c r="F19333" i="1"/>
  <c r="E19333" i="1"/>
  <c r="F19332" i="1"/>
  <c r="E19332" i="1"/>
  <c r="F19331" i="1"/>
  <c r="E19331" i="1"/>
  <c r="F19330" i="1"/>
  <c r="E19330" i="1"/>
  <c r="F19329" i="1"/>
  <c r="E19329" i="1"/>
  <c r="F19328" i="1"/>
  <c r="E19328" i="1"/>
  <c r="F19327" i="1"/>
  <c r="E19327" i="1"/>
  <c r="F19326" i="1"/>
  <c r="E19326" i="1"/>
  <c r="F19325" i="1"/>
  <c r="E19325" i="1"/>
  <c r="F19324" i="1"/>
  <c r="E19324" i="1"/>
  <c r="F19323" i="1"/>
  <c r="E19323" i="1"/>
  <c r="F19322" i="1"/>
  <c r="E19322" i="1"/>
  <c r="F19321" i="1"/>
  <c r="E19321" i="1"/>
  <c r="F19320" i="1"/>
  <c r="E19320" i="1"/>
  <c r="F19319" i="1"/>
  <c r="E19319" i="1"/>
  <c r="F19318" i="1"/>
  <c r="E19318" i="1"/>
  <c r="F19317" i="1"/>
  <c r="E19317" i="1"/>
  <c r="F19316" i="1"/>
  <c r="E19316" i="1"/>
  <c r="F19315" i="1"/>
  <c r="E19315" i="1"/>
  <c r="F19314" i="1"/>
  <c r="E19314" i="1"/>
  <c r="F19313" i="1"/>
  <c r="E19313" i="1"/>
  <c r="F19312" i="1"/>
  <c r="E19312" i="1"/>
  <c r="F19311" i="1"/>
  <c r="E19311" i="1"/>
  <c r="F19310" i="1"/>
  <c r="E19310" i="1"/>
  <c r="F19309" i="1"/>
  <c r="E19309" i="1"/>
  <c r="F19308" i="1"/>
  <c r="E19308" i="1"/>
  <c r="F19307" i="1"/>
  <c r="E19307" i="1"/>
  <c r="F19306" i="1"/>
  <c r="E19306" i="1"/>
  <c r="F19305" i="1"/>
  <c r="E19305" i="1"/>
  <c r="F19304" i="1"/>
  <c r="E19304" i="1"/>
  <c r="F19303" i="1"/>
  <c r="E19303" i="1"/>
  <c r="F19302" i="1"/>
  <c r="E19302" i="1"/>
  <c r="F19301" i="1"/>
  <c r="E19301" i="1"/>
  <c r="F19300" i="1"/>
  <c r="E19300" i="1"/>
  <c r="F19299" i="1"/>
  <c r="E19299" i="1"/>
  <c r="F19298" i="1"/>
  <c r="E19298" i="1"/>
  <c r="F19297" i="1"/>
  <c r="E19297" i="1"/>
  <c r="F19296" i="1"/>
  <c r="E19296" i="1"/>
  <c r="F19295" i="1"/>
  <c r="E19295" i="1"/>
  <c r="F19294" i="1"/>
  <c r="E19294" i="1"/>
  <c r="F19293" i="1"/>
  <c r="E19293" i="1"/>
  <c r="F19292" i="1"/>
  <c r="E19292" i="1"/>
  <c r="F19291" i="1"/>
  <c r="E19291" i="1"/>
  <c r="F19290" i="1"/>
  <c r="E19290" i="1"/>
  <c r="F19289" i="1"/>
  <c r="E19289" i="1"/>
  <c r="F19288" i="1"/>
  <c r="E19288" i="1"/>
  <c r="F19287" i="1"/>
  <c r="E19287" i="1"/>
  <c r="F19286" i="1"/>
  <c r="E19286" i="1"/>
  <c r="F19285" i="1"/>
  <c r="E19285" i="1"/>
  <c r="F19284" i="1"/>
  <c r="E19284" i="1"/>
  <c r="F19283" i="1"/>
  <c r="E19283" i="1"/>
  <c r="F19282" i="1"/>
  <c r="E19282" i="1"/>
  <c r="F19281" i="1"/>
  <c r="E19281" i="1"/>
  <c r="F19280" i="1"/>
  <c r="E19280" i="1"/>
  <c r="F19279" i="1"/>
  <c r="E19279" i="1"/>
  <c r="F19278" i="1"/>
  <c r="E19278" i="1"/>
  <c r="F19277" i="1"/>
  <c r="E19277" i="1"/>
  <c r="F19276" i="1"/>
  <c r="E19276" i="1"/>
  <c r="F19275" i="1"/>
  <c r="E19275" i="1"/>
  <c r="F19274" i="1"/>
  <c r="E19274" i="1"/>
  <c r="F19273" i="1"/>
  <c r="E19273" i="1"/>
  <c r="F19272" i="1"/>
  <c r="E19272" i="1"/>
  <c r="F19271" i="1"/>
  <c r="E19271" i="1"/>
  <c r="F19270" i="1"/>
  <c r="E19270" i="1"/>
  <c r="F19269" i="1"/>
  <c r="E19269" i="1"/>
  <c r="F19268" i="1"/>
  <c r="E19268" i="1"/>
  <c r="F19267" i="1"/>
  <c r="E19267" i="1"/>
  <c r="F19266" i="1"/>
  <c r="E19266" i="1"/>
  <c r="F19265" i="1"/>
  <c r="E19265" i="1"/>
  <c r="F19264" i="1"/>
  <c r="E19264" i="1"/>
  <c r="F19263" i="1"/>
  <c r="E19263" i="1"/>
  <c r="F19262" i="1"/>
  <c r="E19262" i="1"/>
  <c r="F19261" i="1"/>
  <c r="E19261" i="1"/>
  <c r="F19260" i="1"/>
  <c r="E19260" i="1"/>
  <c r="F19259" i="1"/>
  <c r="E19259" i="1"/>
  <c r="F19258" i="1"/>
  <c r="E19258" i="1"/>
  <c r="F19257" i="1"/>
  <c r="E19257" i="1"/>
  <c r="F19256" i="1"/>
  <c r="E19256" i="1"/>
  <c r="F19255" i="1"/>
  <c r="E19255" i="1"/>
  <c r="F19254" i="1"/>
  <c r="E19254" i="1"/>
  <c r="F19253" i="1"/>
  <c r="E19253" i="1"/>
  <c r="F19252" i="1"/>
  <c r="E19252" i="1"/>
  <c r="F19251" i="1"/>
  <c r="E19251" i="1"/>
  <c r="F19250" i="1"/>
  <c r="E19250" i="1"/>
  <c r="F19249" i="1"/>
  <c r="E19249" i="1"/>
  <c r="F19248" i="1"/>
  <c r="E19248" i="1"/>
  <c r="F19247" i="1"/>
  <c r="E19247" i="1"/>
  <c r="F19246" i="1"/>
  <c r="E19246" i="1"/>
  <c r="F19245" i="1"/>
  <c r="E19245" i="1"/>
  <c r="F19244" i="1"/>
  <c r="E19244" i="1"/>
  <c r="F19243" i="1"/>
  <c r="E19243" i="1"/>
  <c r="F19242" i="1"/>
  <c r="E19242" i="1"/>
  <c r="F19241" i="1"/>
  <c r="E19241" i="1"/>
  <c r="F19240" i="1"/>
  <c r="E19240" i="1"/>
  <c r="F19239" i="1"/>
  <c r="E19239" i="1"/>
  <c r="F19238" i="1"/>
  <c r="E19238" i="1"/>
  <c r="F19237" i="1"/>
  <c r="E19237" i="1"/>
  <c r="F19236" i="1"/>
  <c r="E19236" i="1"/>
  <c r="F19235" i="1"/>
  <c r="E19235" i="1"/>
  <c r="F19234" i="1"/>
  <c r="E19234" i="1"/>
  <c r="F19233" i="1"/>
  <c r="E19233" i="1"/>
  <c r="F19232" i="1"/>
  <c r="E19232" i="1"/>
  <c r="F19231" i="1"/>
  <c r="E19231" i="1"/>
  <c r="F19230" i="1"/>
  <c r="E19230" i="1"/>
  <c r="F19229" i="1"/>
  <c r="E19229" i="1"/>
  <c r="F19228" i="1"/>
  <c r="E19228" i="1"/>
  <c r="F19227" i="1"/>
  <c r="E19227" i="1"/>
  <c r="F19226" i="1"/>
  <c r="E19226" i="1"/>
  <c r="F19225" i="1"/>
  <c r="E19225" i="1"/>
  <c r="F19224" i="1"/>
  <c r="E19224" i="1"/>
  <c r="F19223" i="1"/>
  <c r="E19223" i="1"/>
  <c r="F19222" i="1"/>
  <c r="E19222" i="1"/>
  <c r="F19221" i="1"/>
  <c r="E19221" i="1"/>
  <c r="F19220" i="1"/>
  <c r="E19220" i="1"/>
  <c r="F19219" i="1"/>
  <c r="E19219" i="1"/>
  <c r="F19218" i="1"/>
  <c r="E19218" i="1"/>
  <c r="F19217" i="1"/>
  <c r="E19217" i="1"/>
  <c r="F19216" i="1"/>
  <c r="E19216" i="1"/>
  <c r="F19215" i="1"/>
  <c r="E19215" i="1"/>
  <c r="F19214" i="1"/>
  <c r="E19214" i="1"/>
  <c r="F19213" i="1"/>
  <c r="E19213" i="1"/>
  <c r="F19212" i="1"/>
  <c r="E19212" i="1"/>
  <c r="F19211" i="1"/>
  <c r="E19211" i="1"/>
  <c r="F19210" i="1"/>
  <c r="E19210" i="1"/>
  <c r="F19209" i="1"/>
  <c r="E19209" i="1"/>
  <c r="F19208" i="1"/>
  <c r="E19208" i="1"/>
  <c r="F19207" i="1"/>
  <c r="E19207" i="1"/>
  <c r="F19206" i="1"/>
  <c r="E19206" i="1"/>
  <c r="F19205" i="1"/>
  <c r="E19205" i="1"/>
  <c r="F19204" i="1"/>
  <c r="E19204" i="1"/>
  <c r="F19203" i="1"/>
  <c r="E19203" i="1"/>
  <c r="F19202" i="1"/>
  <c r="E19202" i="1"/>
  <c r="F19201" i="1"/>
  <c r="E19201" i="1"/>
  <c r="F19200" i="1"/>
  <c r="E19200" i="1"/>
  <c r="F19199" i="1"/>
  <c r="E19199" i="1"/>
  <c r="F19198" i="1"/>
  <c r="E19198" i="1"/>
  <c r="F19197" i="1"/>
  <c r="E19197" i="1"/>
  <c r="F19196" i="1"/>
  <c r="E19196" i="1"/>
  <c r="F19195" i="1"/>
  <c r="E19195" i="1"/>
  <c r="F19194" i="1"/>
  <c r="E19194" i="1"/>
  <c r="F19193" i="1"/>
  <c r="E19193" i="1"/>
  <c r="F19192" i="1"/>
  <c r="E19192" i="1"/>
  <c r="F19191" i="1"/>
  <c r="E19191" i="1"/>
  <c r="F19190" i="1"/>
  <c r="E19190" i="1"/>
  <c r="F19189" i="1"/>
  <c r="E19189" i="1"/>
  <c r="F19188" i="1"/>
  <c r="E19188" i="1"/>
  <c r="F19187" i="1"/>
  <c r="E19187" i="1"/>
  <c r="F19186" i="1"/>
  <c r="E19186" i="1"/>
  <c r="F19185" i="1"/>
  <c r="E19185" i="1"/>
  <c r="F19184" i="1"/>
  <c r="E19184" i="1"/>
  <c r="F19183" i="1"/>
  <c r="E19183" i="1"/>
  <c r="F19182" i="1"/>
  <c r="E19182" i="1"/>
  <c r="F19181" i="1"/>
  <c r="E19181" i="1"/>
  <c r="F19180" i="1"/>
  <c r="E19180" i="1"/>
  <c r="F19179" i="1"/>
  <c r="E19179" i="1"/>
  <c r="F19178" i="1"/>
  <c r="E19178" i="1"/>
  <c r="F19177" i="1"/>
  <c r="E19177" i="1"/>
  <c r="F19176" i="1"/>
  <c r="E19176" i="1"/>
  <c r="F19175" i="1"/>
  <c r="E19175" i="1"/>
  <c r="F19174" i="1"/>
  <c r="E19174" i="1"/>
  <c r="F19173" i="1"/>
  <c r="E19173" i="1"/>
  <c r="F19172" i="1"/>
  <c r="E19172" i="1"/>
  <c r="F19171" i="1"/>
  <c r="E19171" i="1"/>
  <c r="F19170" i="1"/>
  <c r="E19170" i="1"/>
  <c r="F19169" i="1"/>
  <c r="E19169" i="1"/>
  <c r="F19168" i="1"/>
  <c r="E19168" i="1"/>
  <c r="F19167" i="1"/>
  <c r="E19167" i="1"/>
  <c r="F19166" i="1"/>
  <c r="E19166" i="1"/>
  <c r="F19165" i="1"/>
  <c r="E19165" i="1"/>
  <c r="F19164" i="1"/>
  <c r="E19164" i="1"/>
  <c r="F19163" i="1"/>
  <c r="E19163" i="1"/>
  <c r="F19162" i="1"/>
  <c r="E19162" i="1"/>
  <c r="F19161" i="1"/>
  <c r="E19161" i="1"/>
  <c r="F19160" i="1"/>
  <c r="E19160" i="1"/>
  <c r="F19159" i="1"/>
  <c r="E19159" i="1"/>
  <c r="F19158" i="1"/>
  <c r="E19158" i="1"/>
  <c r="F19157" i="1"/>
  <c r="E19157" i="1"/>
  <c r="F19156" i="1"/>
  <c r="E19156" i="1"/>
  <c r="F19155" i="1"/>
  <c r="E19155" i="1"/>
  <c r="F19154" i="1"/>
  <c r="E19154" i="1"/>
  <c r="F19153" i="1"/>
  <c r="E19153" i="1"/>
  <c r="F19152" i="1"/>
  <c r="E19152" i="1"/>
  <c r="F19151" i="1"/>
  <c r="E19151" i="1"/>
  <c r="F19150" i="1"/>
  <c r="E19150" i="1"/>
  <c r="F19149" i="1"/>
  <c r="E19149" i="1"/>
  <c r="F19148" i="1"/>
  <c r="E19148" i="1"/>
  <c r="F19147" i="1"/>
  <c r="E19147" i="1"/>
  <c r="F19146" i="1"/>
  <c r="E19146" i="1"/>
  <c r="F19145" i="1"/>
  <c r="E19145" i="1"/>
  <c r="F19144" i="1"/>
  <c r="E19144" i="1"/>
  <c r="F19143" i="1"/>
  <c r="E19143" i="1"/>
  <c r="F19142" i="1"/>
  <c r="E19142" i="1"/>
  <c r="F19141" i="1"/>
  <c r="E19141" i="1"/>
  <c r="F19140" i="1"/>
  <c r="E19140" i="1"/>
  <c r="F19139" i="1"/>
  <c r="E19139" i="1"/>
  <c r="F19138" i="1"/>
  <c r="E19138" i="1"/>
  <c r="F19137" i="1"/>
  <c r="E19137" i="1"/>
  <c r="F19136" i="1"/>
  <c r="E19136" i="1"/>
  <c r="F19135" i="1"/>
  <c r="E19135" i="1"/>
  <c r="F19134" i="1"/>
  <c r="E19134" i="1"/>
  <c r="F19133" i="1"/>
  <c r="E19133" i="1"/>
  <c r="F19132" i="1"/>
  <c r="E19132" i="1"/>
  <c r="F19131" i="1"/>
  <c r="E19131" i="1"/>
  <c r="F19130" i="1"/>
  <c r="E19130" i="1"/>
  <c r="F19129" i="1"/>
  <c r="E19129" i="1"/>
  <c r="F19128" i="1"/>
  <c r="E19128" i="1"/>
  <c r="F19127" i="1"/>
  <c r="E19127" i="1"/>
  <c r="F19126" i="1"/>
  <c r="E19126" i="1"/>
  <c r="F19125" i="1"/>
  <c r="E19125" i="1"/>
  <c r="F19124" i="1"/>
  <c r="E19124" i="1"/>
  <c r="F19123" i="1"/>
  <c r="E19123" i="1"/>
  <c r="F19122" i="1"/>
  <c r="E19122" i="1"/>
  <c r="F19121" i="1"/>
  <c r="E19121" i="1"/>
  <c r="F19120" i="1"/>
  <c r="E19120" i="1"/>
  <c r="F19119" i="1"/>
  <c r="E19119" i="1"/>
  <c r="F19118" i="1"/>
  <c r="E19118" i="1"/>
  <c r="F19117" i="1"/>
  <c r="E19117" i="1"/>
  <c r="F19116" i="1"/>
  <c r="E19116" i="1"/>
  <c r="F19115" i="1"/>
  <c r="E19115" i="1"/>
  <c r="F19114" i="1"/>
  <c r="E19114" i="1"/>
  <c r="F19113" i="1"/>
  <c r="E19113" i="1"/>
  <c r="F19112" i="1"/>
  <c r="E19112" i="1"/>
  <c r="F19111" i="1"/>
  <c r="E19111" i="1"/>
  <c r="F19110" i="1"/>
  <c r="E19110" i="1"/>
  <c r="F19109" i="1"/>
  <c r="E19109" i="1"/>
  <c r="F19108" i="1"/>
  <c r="E19108" i="1"/>
  <c r="F19107" i="1"/>
  <c r="E19107" i="1"/>
  <c r="F19106" i="1"/>
  <c r="E19106" i="1"/>
  <c r="F19105" i="1"/>
  <c r="E19105" i="1"/>
  <c r="F19104" i="1"/>
  <c r="E19104" i="1"/>
  <c r="F19103" i="1"/>
  <c r="E19103" i="1"/>
  <c r="F19102" i="1"/>
  <c r="E19102" i="1"/>
  <c r="F19101" i="1"/>
  <c r="E19101" i="1"/>
  <c r="F19100" i="1"/>
  <c r="E19100" i="1"/>
  <c r="F19099" i="1"/>
  <c r="E19099" i="1"/>
  <c r="F19098" i="1"/>
  <c r="E19098" i="1"/>
  <c r="F19097" i="1"/>
  <c r="E19097" i="1"/>
  <c r="F19096" i="1"/>
  <c r="E19096" i="1"/>
  <c r="F19095" i="1"/>
  <c r="E19095" i="1"/>
  <c r="F19094" i="1"/>
  <c r="E19094" i="1"/>
  <c r="F19093" i="1"/>
  <c r="E19093" i="1"/>
  <c r="F19092" i="1"/>
  <c r="E19092" i="1"/>
  <c r="F19091" i="1"/>
  <c r="E19091" i="1"/>
  <c r="F19090" i="1"/>
  <c r="E19090" i="1"/>
  <c r="F19089" i="1"/>
  <c r="E19089" i="1"/>
  <c r="F19088" i="1"/>
  <c r="E19088" i="1"/>
  <c r="F19087" i="1"/>
  <c r="E19087" i="1"/>
  <c r="F19086" i="1"/>
  <c r="E19086" i="1"/>
  <c r="F19085" i="1"/>
  <c r="E19085" i="1"/>
  <c r="F19084" i="1"/>
  <c r="E19084" i="1"/>
  <c r="F19083" i="1"/>
  <c r="E19083" i="1"/>
  <c r="F19082" i="1"/>
  <c r="E19082" i="1"/>
  <c r="F19081" i="1"/>
  <c r="E19081" i="1"/>
  <c r="F19080" i="1"/>
  <c r="E19080" i="1"/>
  <c r="F19079" i="1"/>
  <c r="E19079" i="1"/>
  <c r="F19078" i="1"/>
  <c r="E19078" i="1"/>
  <c r="F19077" i="1"/>
  <c r="E19077" i="1"/>
  <c r="F19076" i="1"/>
  <c r="E19076" i="1"/>
  <c r="F19075" i="1"/>
  <c r="E19075" i="1"/>
  <c r="F19074" i="1"/>
  <c r="E19074" i="1"/>
  <c r="F19073" i="1"/>
  <c r="E19073" i="1"/>
  <c r="F19072" i="1"/>
  <c r="E19072" i="1"/>
  <c r="F19071" i="1"/>
  <c r="E19071" i="1"/>
  <c r="F19070" i="1"/>
  <c r="E19070" i="1"/>
  <c r="F19069" i="1"/>
  <c r="E19069" i="1"/>
  <c r="F19068" i="1"/>
  <c r="E19068" i="1"/>
  <c r="F19067" i="1"/>
  <c r="E19067" i="1"/>
  <c r="F19066" i="1"/>
  <c r="E19066" i="1"/>
  <c r="F19065" i="1"/>
  <c r="E19065" i="1"/>
  <c r="F19064" i="1"/>
  <c r="E19064" i="1"/>
  <c r="F19063" i="1"/>
  <c r="E19063" i="1"/>
  <c r="F19062" i="1"/>
  <c r="E19062" i="1"/>
  <c r="F19061" i="1"/>
  <c r="E19061" i="1"/>
  <c r="F19060" i="1"/>
  <c r="E19060" i="1"/>
  <c r="F19059" i="1"/>
  <c r="E19059" i="1"/>
  <c r="F19058" i="1"/>
  <c r="E19058" i="1"/>
  <c r="F19057" i="1"/>
  <c r="E19057" i="1"/>
  <c r="F19056" i="1"/>
  <c r="E19056" i="1"/>
  <c r="F19055" i="1"/>
  <c r="E19055" i="1"/>
  <c r="F19054" i="1"/>
  <c r="E19054" i="1"/>
  <c r="F19053" i="1"/>
  <c r="E19053" i="1"/>
  <c r="F19052" i="1"/>
  <c r="E19052" i="1"/>
  <c r="F19051" i="1"/>
  <c r="E19051" i="1"/>
  <c r="F19050" i="1"/>
  <c r="E19050" i="1"/>
  <c r="F19049" i="1"/>
  <c r="E19049" i="1"/>
  <c r="F19048" i="1"/>
  <c r="E19048" i="1"/>
  <c r="F19047" i="1"/>
  <c r="E19047" i="1"/>
  <c r="F19046" i="1"/>
  <c r="E19046" i="1"/>
  <c r="F19045" i="1"/>
  <c r="E19045" i="1"/>
  <c r="F19044" i="1"/>
  <c r="E19044" i="1"/>
  <c r="F19043" i="1"/>
  <c r="E19043" i="1"/>
  <c r="F19042" i="1"/>
  <c r="E19042" i="1"/>
  <c r="F19041" i="1"/>
  <c r="E19041" i="1"/>
  <c r="F19040" i="1"/>
  <c r="E19040" i="1"/>
  <c r="F19039" i="1"/>
  <c r="E19039" i="1"/>
  <c r="F19038" i="1"/>
  <c r="E19038" i="1"/>
  <c r="F19037" i="1"/>
  <c r="E19037" i="1"/>
  <c r="F19036" i="1"/>
  <c r="E19036" i="1"/>
  <c r="F19035" i="1"/>
  <c r="E19035" i="1"/>
  <c r="F19034" i="1"/>
  <c r="E19034" i="1"/>
  <c r="F19033" i="1"/>
  <c r="E19033" i="1"/>
  <c r="F19032" i="1"/>
  <c r="E19032" i="1"/>
  <c r="F19031" i="1"/>
  <c r="E19031" i="1"/>
  <c r="F19030" i="1"/>
  <c r="E19030" i="1"/>
  <c r="F19029" i="1"/>
  <c r="E19029" i="1"/>
  <c r="F19028" i="1"/>
  <c r="E19028" i="1"/>
  <c r="F19027" i="1"/>
  <c r="E19027" i="1"/>
  <c r="F19026" i="1"/>
  <c r="E19026" i="1"/>
  <c r="F19025" i="1"/>
  <c r="E19025" i="1"/>
  <c r="F19024" i="1"/>
  <c r="E19024" i="1"/>
  <c r="F19023" i="1"/>
  <c r="E19023" i="1"/>
  <c r="F19022" i="1"/>
  <c r="E19022" i="1"/>
  <c r="F19021" i="1"/>
  <c r="E19021" i="1"/>
  <c r="F19020" i="1"/>
  <c r="E19020" i="1"/>
  <c r="F19019" i="1"/>
  <c r="E19019" i="1"/>
  <c r="F19018" i="1"/>
  <c r="E19018" i="1"/>
  <c r="F19017" i="1"/>
  <c r="E19017" i="1"/>
  <c r="F19016" i="1"/>
  <c r="E19016" i="1"/>
  <c r="F19015" i="1"/>
  <c r="E19015" i="1"/>
  <c r="F19014" i="1"/>
  <c r="E19014" i="1"/>
  <c r="F19013" i="1"/>
  <c r="E19013" i="1"/>
  <c r="F19012" i="1"/>
  <c r="E19012" i="1"/>
  <c r="F19011" i="1"/>
  <c r="E19011" i="1"/>
  <c r="F19010" i="1"/>
  <c r="E19010" i="1"/>
  <c r="F19009" i="1"/>
  <c r="E19009" i="1"/>
  <c r="F19008" i="1"/>
  <c r="E19008" i="1"/>
  <c r="F19007" i="1"/>
  <c r="E19007" i="1"/>
  <c r="F19006" i="1"/>
  <c r="E19006" i="1"/>
  <c r="F19005" i="1"/>
  <c r="E19005" i="1"/>
  <c r="F19004" i="1"/>
  <c r="E19004" i="1"/>
  <c r="F19003" i="1"/>
  <c r="E19003" i="1"/>
  <c r="F19002" i="1"/>
  <c r="E19002" i="1"/>
  <c r="F19001" i="1"/>
  <c r="E19001" i="1"/>
  <c r="F19000" i="1"/>
  <c r="E19000" i="1"/>
  <c r="F18999" i="1"/>
  <c r="E18999" i="1"/>
  <c r="F18998" i="1"/>
  <c r="E18998" i="1"/>
  <c r="F18997" i="1"/>
  <c r="E18997" i="1"/>
  <c r="F18996" i="1"/>
  <c r="E18996" i="1"/>
  <c r="F18995" i="1"/>
  <c r="E18995" i="1"/>
  <c r="F18994" i="1"/>
  <c r="E18994" i="1"/>
  <c r="F18993" i="1"/>
  <c r="E18993" i="1"/>
  <c r="F18992" i="1"/>
  <c r="E18992" i="1"/>
  <c r="F18991" i="1"/>
  <c r="E18991" i="1"/>
  <c r="F18990" i="1"/>
  <c r="E18990" i="1"/>
  <c r="F18989" i="1"/>
  <c r="E18989" i="1"/>
  <c r="F18988" i="1"/>
  <c r="E18988" i="1"/>
  <c r="F18987" i="1"/>
  <c r="E18987" i="1"/>
  <c r="F18986" i="1"/>
  <c r="E18986" i="1"/>
  <c r="F18985" i="1"/>
  <c r="E18985" i="1"/>
  <c r="F18984" i="1"/>
  <c r="E18984" i="1"/>
  <c r="F18983" i="1"/>
  <c r="E18983" i="1"/>
  <c r="F18982" i="1"/>
  <c r="E18982" i="1"/>
  <c r="F18981" i="1"/>
  <c r="E18981" i="1"/>
  <c r="F18980" i="1"/>
  <c r="E18980" i="1"/>
  <c r="F18979" i="1"/>
  <c r="E18979" i="1"/>
  <c r="F18978" i="1"/>
  <c r="E18978" i="1"/>
  <c r="F18977" i="1"/>
  <c r="E18977" i="1"/>
  <c r="F18976" i="1"/>
  <c r="E18976" i="1"/>
  <c r="F18975" i="1"/>
  <c r="E18975" i="1"/>
  <c r="F18974" i="1"/>
  <c r="E18974" i="1"/>
  <c r="F18973" i="1"/>
  <c r="E18973" i="1"/>
  <c r="F18972" i="1"/>
  <c r="E18972" i="1"/>
  <c r="F18971" i="1"/>
  <c r="E18971" i="1"/>
  <c r="F18970" i="1"/>
  <c r="E18970" i="1"/>
  <c r="F18969" i="1"/>
  <c r="E18969" i="1"/>
  <c r="F18968" i="1"/>
  <c r="E18968" i="1"/>
  <c r="F18967" i="1"/>
  <c r="E18967" i="1"/>
  <c r="F18966" i="1"/>
  <c r="E18966" i="1"/>
  <c r="F18965" i="1"/>
  <c r="E18965" i="1"/>
  <c r="F18964" i="1"/>
  <c r="E18964" i="1"/>
  <c r="F18963" i="1"/>
  <c r="E18963" i="1"/>
  <c r="F18962" i="1"/>
  <c r="E18962" i="1"/>
  <c r="F18961" i="1"/>
  <c r="E18961" i="1"/>
  <c r="F18960" i="1"/>
  <c r="E18960" i="1"/>
  <c r="F18959" i="1"/>
  <c r="E18959" i="1"/>
  <c r="F18958" i="1"/>
  <c r="E18958" i="1"/>
  <c r="F18957" i="1"/>
  <c r="E18957" i="1"/>
  <c r="F18956" i="1"/>
  <c r="E18956" i="1"/>
  <c r="F18955" i="1"/>
  <c r="E18955" i="1"/>
  <c r="F18954" i="1"/>
  <c r="E18954" i="1"/>
  <c r="F18953" i="1"/>
  <c r="E18953" i="1"/>
  <c r="F18952" i="1"/>
  <c r="E18952" i="1"/>
  <c r="F18951" i="1"/>
  <c r="E18951" i="1"/>
  <c r="F18950" i="1"/>
  <c r="E18950" i="1"/>
  <c r="F18949" i="1"/>
  <c r="E18949" i="1"/>
  <c r="F18948" i="1"/>
  <c r="E18948" i="1"/>
  <c r="F18947" i="1"/>
  <c r="E18947" i="1"/>
  <c r="F18946" i="1"/>
  <c r="E18946" i="1"/>
  <c r="F18945" i="1"/>
  <c r="E18945" i="1"/>
  <c r="F18944" i="1"/>
  <c r="E18944" i="1"/>
  <c r="F18943" i="1"/>
  <c r="E18943" i="1"/>
  <c r="F18942" i="1"/>
  <c r="E18942" i="1"/>
  <c r="F18941" i="1"/>
  <c r="E18941" i="1"/>
  <c r="F18940" i="1"/>
  <c r="E18940" i="1"/>
  <c r="F18939" i="1"/>
  <c r="E18939" i="1"/>
  <c r="F18938" i="1"/>
  <c r="E18938" i="1"/>
  <c r="F18937" i="1"/>
  <c r="E18937" i="1"/>
  <c r="F18936" i="1"/>
  <c r="E18936" i="1"/>
  <c r="F18935" i="1"/>
  <c r="E18935" i="1"/>
  <c r="F18934" i="1"/>
  <c r="E18934" i="1"/>
  <c r="F18933" i="1"/>
  <c r="E18933" i="1"/>
  <c r="F18932" i="1"/>
  <c r="E18932" i="1"/>
  <c r="F18931" i="1"/>
  <c r="E18931" i="1"/>
  <c r="F18930" i="1"/>
  <c r="E18930" i="1"/>
  <c r="F18929" i="1"/>
  <c r="E18929" i="1"/>
  <c r="F18928" i="1"/>
  <c r="E18928" i="1"/>
  <c r="F18927" i="1"/>
  <c r="E18927" i="1"/>
  <c r="F18926" i="1"/>
  <c r="E18926" i="1"/>
  <c r="F18925" i="1"/>
  <c r="E18925" i="1"/>
  <c r="F18924" i="1"/>
  <c r="E18924" i="1"/>
  <c r="F18923" i="1"/>
  <c r="E18923" i="1"/>
  <c r="F18922" i="1"/>
  <c r="E18922" i="1"/>
  <c r="F18921" i="1"/>
  <c r="E18921" i="1"/>
  <c r="F18920" i="1"/>
  <c r="E18920" i="1"/>
  <c r="F18919" i="1"/>
  <c r="E18919" i="1"/>
  <c r="F18918" i="1"/>
  <c r="E18918" i="1"/>
  <c r="F18917" i="1"/>
  <c r="E18917" i="1"/>
  <c r="F18916" i="1"/>
  <c r="E18916" i="1"/>
  <c r="F18915" i="1"/>
  <c r="E18915" i="1"/>
  <c r="F18914" i="1"/>
  <c r="E18914" i="1"/>
  <c r="F18913" i="1"/>
  <c r="E18913" i="1"/>
  <c r="F18912" i="1"/>
  <c r="E18912" i="1"/>
  <c r="F18911" i="1"/>
  <c r="E18911" i="1"/>
  <c r="F18910" i="1"/>
  <c r="E18910" i="1"/>
  <c r="F18909" i="1"/>
  <c r="E18909" i="1"/>
  <c r="F18908" i="1"/>
  <c r="E18908" i="1"/>
  <c r="F18907" i="1"/>
  <c r="E18907" i="1"/>
  <c r="F18906" i="1"/>
  <c r="E18906" i="1"/>
  <c r="F18905" i="1"/>
  <c r="E18905" i="1"/>
  <c r="F18904" i="1"/>
  <c r="E18904" i="1"/>
  <c r="F18903" i="1"/>
  <c r="E18903" i="1"/>
  <c r="F18902" i="1"/>
  <c r="E18902" i="1"/>
  <c r="F18901" i="1"/>
  <c r="E18901" i="1"/>
  <c r="F18900" i="1"/>
  <c r="E18900" i="1"/>
  <c r="F18899" i="1"/>
  <c r="E18899" i="1"/>
  <c r="F18898" i="1"/>
  <c r="E18898" i="1"/>
  <c r="F18897" i="1"/>
  <c r="E18897" i="1"/>
  <c r="F18896" i="1"/>
  <c r="E18896" i="1"/>
  <c r="F18895" i="1"/>
  <c r="E18895" i="1"/>
  <c r="F18894" i="1"/>
  <c r="E18894" i="1"/>
  <c r="F18893" i="1"/>
  <c r="E18893" i="1"/>
  <c r="F18892" i="1"/>
  <c r="E18892" i="1"/>
  <c r="F18891" i="1"/>
  <c r="E18891" i="1"/>
  <c r="F18890" i="1"/>
  <c r="E18890" i="1"/>
  <c r="F18889" i="1"/>
  <c r="E18889" i="1"/>
  <c r="F18888" i="1"/>
  <c r="E18888" i="1"/>
  <c r="F18887" i="1"/>
  <c r="E18887" i="1"/>
  <c r="F18886" i="1"/>
  <c r="E18886" i="1"/>
  <c r="F18885" i="1"/>
  <c r="E18885" i="1"/>
  <c r="F18884" i="1"/>
  <c r="E18884" i="1"/>
  <c r="F18883" i="1"/>
  <c r="E18883" i="1"/>
  <c r="F18882" i="1"/>
  <c r="E18882" i="1"/>
  <c r="F18881" i="1"/>
  <c r="E18881" i="1"/>
  <c r="F18880" i="1"/>
  <c r="E18880" i="1"/>
  <c r="F18879" i="1"/>
  <c r="E18879" i="1"/>
  <c r="F18878" i="1"/>
  <c r="E18878" i="1"/>
  <c r="F18877" i="1"/>
  <c r="E18877" i="1"/>
  <c r="F18876" i="1"/>
  <c r="E18876" i="1"/>
  <c r="F18875" i="1"/>
  <c r="E18875" i="1"/>
  <c r="F18874" i="1"/>
  <c r="E18874" i="1"/>
  <c r="F18873" i="1"/>
  <c r="E18873" i="1"/>
  <c r="F18872" i="1"/>
  <c r="E18872" i="1"/>
  <c r="F18871" i="1"/>
  <c r="E18871" i="1"/>
  <c r="F18870" i="1"/>
  <c r="E18870" i="1"/>
  <c r="F18869" i="1"/>
  <c r="E18869" i="1"/>
  <c r="F18868" i="1"/>
  <c r="E18868" i="1"/>
  <c r="F18867" i="1"/>
  <c r="E18867" i="1"/>
  <c r="F18866" i="1"/>
  <c r="E18866" i="1"/>
  <c r="F18865" i="1"/>
  <c r="E18865" i="1"/>
  <c r="F18864" i="1"/>
  <c r="E18864" i="1"/>
  <c r="F18863" i="1"/>
  <c r="E18863" i="1"/>
  <c r="F18862" i="1"/>
  <c r="E18862" i="1"/>
  <c r="F18861" i="1"/>
  <c r="E18861" i="1"/>
  <c r="F18860" i="1"/>
  <c r="E18860" i="1"/>
  <c r="F18859" i="1"/>
  <c r="E18859" i="1"/>
  <c r="F18858" i="1"/>
  <c r="E18858" i="1"/>
  <c r="F18857" i="1"/>
  <c r="E18857" i="1"/>
  <c r="F18856" i="1"/>
  <c r="E18856" i="1"/>
  <c r="F18855" i="1"/>
  <c r="E18855" i="1"/>
  <c r="F18854" i="1"/>
  <c r="E18854" i="1"/>
  <c r="F18853" i="1"/>
  <c r="E18853" i="1"/>
  <c r="F18852" i="1"/>
  <c r="E18852" i="1"/>
  <c r="F18851" i="1"/>
  <c r="E18851" i="1"/>
  <c r="F18850" i="1"/>
  <c r="E18850" i="1"/>
  <c r="F18849" i="1"/>
  <c r="E18849" i="1"/>
  <c r="F18848" i="1"/>
  <c r="E18848" i="1"/>
  <c r="F18847" i="1"/>
  <c r="E18847" i="1"/>
  <c r="F18846" i="1"/>
  <c r="E18846" i="1"/>
  <c r="F18845" i="1"/>
  <c r="E18845" i="1"/>
  <c r="F18844" i="1"/>
  <c r="E18844" i="1"/>
  <c r="F18843" i="1"/>
  <c r="E18843" i="1"/>
  <c r="F18842" i="1"/>
  <c r="E18842" i="1"/>
  <c r="F18841" i="1"/>
  <c r="E18841" i="1"/>
  <c r="F18840" i="1"/>
  <c r="E18840" i="1"/>
  <c r="F18839" i="1"/>
  <c r="E18839" i="1"/>
  <c r="F18838" i="1"/>
  <c r="E18838" i="1"/>
  <c r="F18837" i="1"/>
  <c r="E18837" i="1"/>
  <c r="F18836" i="1"/>
  <c r="E18836" i="1"/>
  <c r="F18835" i="1"/>
  <c r="E18835" i="1"/>
  <c r="F18834" i="1"/>
  <c r="E18834" i="1"/>
  <c r="F18833" i="1"/>
  <c r="E18833" i="1"/>
  <c r="F18832" i="1"/>
  <c r="E18832" i="1"/>
  <c r="F18831" i="1"/>
  <c r="E18831" i="1"/>
  <c r="F18830" i="1"/>
  <c r="E18830" i="1"/>
  <c r="F18829" i="1"/>
  <c r="E18829" i="1"/>
  <c r="F18828" i="1"/>
  <c r="E18828" i="1"/>
  <c r="F18827" i="1"/>
  <c r="E18827" i="1"/>
  <c r="F18826" i="1"/>
  <c r="E18826" i="1"/>
  <c r="F18825" i="1"/>
  <c r="E18825" i="1"/>
  <c r="F18824" i="1"/>
  <c r="E18824" i="1"/>
  <c r="F18823" i="1"/>
  <c r="E18823" i="1"/>
  <c r="F18822" i="1"/>
  <c r="E18822" i="1"/>
  <c r="F18821" i="1"/>
  <c r="E18821" i="1"/>
  <c r="F18820" i="1"/>
  <c r="E18820" i="1"/>
  <c r="F18819" i="1"/>
  <c r="E18819" i="1"/>
  <c r="F18818" i="1"/>
  <c r="E18818" i="1"/>
  <c r="F18817" i="1"/>
  <c r="E18817" i="1"/>
  <c r="F18816" i="1"/>
  <c r="E18816" i="1"/>
  <c r="F18815" i="1"/>
  <c r="E18815" i="1"/>
  <c r="F18814" i="1"/>
  <c r="E18814" i="1"/>
  <c r="F18813" i="1"/>
  <c r="E18813" i="1"/>
  <c r="F18812" i="1"/>
  <c r="E18812" i="1"/>
  <c r="F18811" i="1"/>
  <c r="E18811" i="1"/>
  <c r="F18810" i="1"/>
  <c r="E18810" i="1"/>
  <c r="F18809" i="1"/>
  <c r="E18809" i="1"/>
  <c r="F18808" i="1"/>
  <c r="E18808" i="1"/>
  <c r="F18807" i="1"/>
  <c r="E18807" i="1"/>
  <c r="F18806" i="1"/>
  <c r="E18806" i="1"/>
  <c r="F18805" i="1"/>
  <c r="E18805" i="1"/>
  <c r="F18804" i="1"/>
  <c r="E18804" i="1"/>
  <c r="F18803" i="1"/>
  <c r="E18803" i="1"/>
  <c r="F18802" i="1"/>
  <c r="E18802" i="1"/>
  <c r="F18801" i="1"/>
  <c r="E18801" i="1"/>
  <c r="F18800" i="1"/>
  <c r="E18800" i="1"/>
  <c r="F18799" i="1"/>
  <c r="E18799" i="1"/>
  <c r="F18798" i="1"/>
  <c r="E18798" i="1"/>
  <c r="F18797" i="1"/>
  <c r="E18797" i="1"/>
  <c r="F18796" i="1"/>
  <c r="E18796" i="1"/>
  <c r="F18795" i="1"/>
  <c r="E18795" i="1"/>
  <c r="F18794" i="1"/>
  <c r="E18794" i="1"/>
  <c r="F18793" i="1"/>
  <c r="E18793" i="1"/>
  <c r="F18792" i="1"/>
  <c r="E18792" i="1"/>
  <c r="F18791" i="1"/>
  <c r="E18791" i="1"/>
  <c r="F18790" i="1"/>
  <c r="E18790" i="1"/>
  <c r="F18789" i="1"/>
  <c r="E18789" i="1"/>
  <c r="F18788" i="1"/>
  <c r="E18788" i="1"/>
  <c r="F18787" i="1"/>
  <c r="E18787" i="1"/>
  <c r="F18786" i="1"/>
  <c r="E18786" i="1"/>
  <c r="F18785" i="1"/>
  <c r="E18785" i="1"/>
  <c r="F18784" i="1"/>
  <c r="E18784" i="1"/>
  <c r="F18783" i="1"/>
  <c r="E18783" i="1"/>
  <c r="F18782" i="1"/>
  <c r="E18782" i="1"/>
  <c r="F18781" i="1"/>
  <c r="E18781" i="1"/>
  <c r="F18780" i="1"/>
  <c r="E18780" i="1"/>
  <c r="F18779" i="1"/>
  <c r="E18779" i="1"/>
  <c r="F18778" i="1"/>
  <c r="E18778" i="1"/>
  <c r="F18777" i="1"/>
  <c r="E18777" i="1"/>
  <c r="F18776" i="1"/>
  <c r="E18776" i="1"/>
  <c r="F18775" i="1"/>
  <c r="E18775" i="1"/>
  <c r="F18774" i="1"/>
  <c r="E18774" i="1"/>
  <c r="F18773" i="1"/>
  <c r="E18773" i="1"/>
  <c r="F18772" i="1"/>
  <c r="E18772" i="1"/>
  <c r="F18771" i="1"/>
  <c r="E18771" i="1"/>
  <c r="F18770" i="1"/>
  <c r="E18770" i="1"/>
  <c r="F18769" i="1"/>
  <c r="E18769" i="1"/>
  <c r="F18768" i="1"/>
  <c r="E18768" i="1"/>
  <c r="F18767" i="1"/>
  <c r="E18767" i="1"/>
  <c r="F18766" i="1"/>
  <c r="E18766" i="1"/>
  <c r="F18765" i="1"/>
  <c r="E18765" i="1"/>
  <c r="F18764" i="1"/>
  <c r="E18764" i="1"/>
  <c r="F18763" i="1"/>
  <c r="E18763" i="1"/>
  <c r="F18762" i="1"/>
  <c r="E18762" i="1"/>
  <c r="F18761" i="1"/>
  <c r="E18761" i="1"/>
  <c r="F18760" i="1"/>
  <c r="E18760" i="1"/>
  <c r="F18759" i="1"/>
  <c r="E18759" i="1"/>
  <c r="F18758" i="1"/>
  <c r="E18758" i="1"/>
  <c r="F18757" i="1"/>
  <c r="E18757" i="1"/>
  <c r="F18756" i="1"/>
  <c r="E18756" i="1"/>
  <c r="F18755" i="1"/>
  <c r="E18755" i="1"/>
  <c r="F18754" i="1"/>
  <c r="E18754" i="1"/>
  <c r="F18753" i="1"/>
  <c r="E18753" i="1"/>
  <c r="F18752" i="1"/>
  <c r="E18752" i="1"/>
  <c r="F18751" i="1"/>
  <c r="E18751" i="1"/>
  <c r="F18750" i="1"/>
  <c r="E18750" i="1"/>
  <c r="F18749" i="1"/>
  <c r="E18749" i="1"/>
  <c r="F18748" i="1"/>
  <c r="E18748" i="1"/>
  <c r="F18747" i="1"/>
  <c r="E18747" i="1"/>
  <c r="F18746" i="1"/>
  <c r="E18746" i="1"/>
  <c r="F18745" i="1"/>
  <c r="E18745" i="1"/>
  <c r="F18744" i="1"/>
  <c r="E18744" i="1"/>
  <c r="F18743" i="1"/>
  <c r="E18743" i="1"/>
  <c r="F18742" i="1"/>
  <c r="E18742" i="1"/>
  <c r="F18741" i="1"/>
  <c r="E18741" i="1"/>
  <c r="F18740" i="1"/>
  <c r="E18740" i="1"/>
  <c r="F18739" i="1"/>
  <c r="E18739" i="1"/>
  <c r="F18738" i="1"/>
  <c r="E18738" i="1"/>
  <c r="F18737" i="1"/>
  <c r="E18737" i="1"/>
  <c r="F18736" i="1"/>
  <c r="E18736" i="1"/>
  <c r="F18735" i="1"/>
  <c r="E18735" i="1"/>
  <c r="F18734" i="1"/>
  <c r="E18734" i="1"/>
  <c r="F18733" i="1"/>
  <c r="E18733" i="1"/>
  <c r="F18732" i="1"/>
  <c r="E18732" i="1"/>
  <c r="F18731" i="1"/>
  <c r="E18731" i="1"/>
  <c r="F18730" i="1"/>
  <c r="E18730" i="1"/>
  <c r="F18729" i="1"/>
  <c r="E18729" i="1"/>
  <c r="F18728" i="1"/>
  <c r="E18728" i="1"/>
  <c r="F18727" i="1"/>
  <c r="E18727" i="1"/>
  <c r="F18726" i="1"/>
  <c r="E18726" i="1"/>
  <c r="F18725" i="1"/>
  <c r="E18725" i="1"/>
  <c r="F18724" i="1"/>
  <c r="E18724" i="1"/>
  <c r="F18723" i="1"/>
  <c r="E18723" i="1"/>
  <c r="F18722" i="1"/>
  <c r="E18722" i="1"/>
  <c r="F18721" i="1"/>
  <c r="E18721" i="1"/>
  <c r="F18720" i="1"/>
  <c r="E18720" i="1"/>
  <c r="F18719" i="1"/>
  <c r="E18719" i="1"/>
  <c r="F18718" i="1"/>
  <c r="E18718" i="1"/>
  <c r="F18717" i="1"/>
  <c r="E18717" i="1"/>
  <c r="F18716" i="1"/>
  <c r="E18716" i="1"/>
  <c r="F18715" i="1"/>
  <c r="E18715" i="1"/>
  <c r="F18714" i="1"/>
  <c r="E18714" i="1"/>
  <c r="F18713" i="1"/>
  <c r="E18713" i="1"/>
  <c r="F18712" i="1"/>
  <c r="E18712" i="1"/>
  <c r="F18711" i="1"/>
  <c r="E18711" i="1"/>
  <c r="F18710" i="1"/>
  <c r="E18710" i="1"/>
  <c r="F18709" i="1"/>
  <c r="E18709" i="1"/>
  <c r="F18708" i="1"/>
  <c r="E18708" i="1"/>
  <c r="F18707" i="1"/>
  <c r="E18707" i="1"/>
  <c r="F18706" i="1"/>
  <c r="E18706" i="1"/>
  <c r="F18705" i="1"/>
  <c r="E18705" i="1"/>
  <c r="F18704" i="1"/>
  <c r="E18704" i="1"/>
  <c r="F18703" i="1"/>
  <c r="E18703" i="1"/>
  <c r="F18702" i="1"/>
  <c r="E18702" i="1"/>
  <c r="F18701" i="1"/>
  <c r="E18701" i="1"/>
  <c r="F18700" i="1"/>
  <c r="E18700" i="1"/>
  <c r="F18699" i="1"/>
  <c r="E18699" i="1"/>
  <c r="F18698" i="1"/>
  <c r="E18698" i="1"/>
  <c r="F18697" i="1"/>
  <c r="E18697" i="1"/>
  <c r="F18696" i="1"/>
  <c r="E18696" i="1"/>
  <c r="F18695" i="1"/>
  <c r="E18695" i="1"/>
  <c r="F18694" i="1"/>
  <c r="E18694" i="1"/>
  <c r="F18693" i="1"/>
  <c r="E18693" i="1"/>
  <c r="F18692" i="1"/>
  <c r="E18692" i="1"/>
  <c r="F18691" i="1"/>
  <c r="E18691" i="1"/>
  <c r="F18690" i="1"/>
  <c r="E18690" i="1"/>
  <c r="F18689" i="1"/>
  <c r="E18689" i="1"/>
  <c r="F18688" i="1"/>
  <c r="E18688" i="1"/>
  <c r="F18687" i="1"/>
  <c r="E18687" i="1"/>
  <c r="F18686" i="1"/>
  <c r="E18686" i="1"/>
  <c r="F18685" i="1"/>
  <c r="E18685" i="1"/>
  <c r="F18684" i="1"/>
  <c r="E18684" i="1"/>
  <c r="F18683" i="1"/>
  <c r="E18683" i="1"/>
  <c r="F18682" i="1"/>
  <c r="E18682" i="1"/>
  <c r="F18681" i="1"/>
  <c r="E18681" i="1"/>
  <c r="F18680" i="1"/>
  <c r="E18680" i="1"/>
  <c r="F18679" i="1"/>
  <c r="F18678" i="1"/>
  <c r="E18678" i="1"/>
  <c r="F18677" i="1"/>
  <c r="E18677" i="1"/>
  <c r="F18676" i="1"/>
  <c r="E18676" i="1"/>
  <c r="F18675" i="1"/>
  <c r="E18675" i="1"/>
  <c r="F18674" i="1"/>
  <c r="E18674" i="1"/>
  <c r="F18673" i="1"/>
  <c r="E18673" i="1"/>
  <c r="F18672" i="1"/>
  <c r="E18672" i="1"/>
  <c r="F18671" i="1"/>
  <c r="E18671" i="1"/>
  <c r="F18670" i="1"/>
  <c r="E18670" i="1"/>
  <c r="F18669" i="1"/>
  <c r="E18669" i="1"/>
  <c r="F18668" i="1"/>
  <c r="E18668" i="1"/>
  <c r="F18667" i="1"/>
  <c r="E18667" i="1"/>
  <c r="F18666" i="1"/>
  <c r="E18666" i="1"/>
  <c r="F18665" i="1"/>
  <c r="E18665" i="1"/>
  <c r="F18664" i="1"/>
  <c r="E18664" i="1"/>
  <c r="F18663" i="1"/>
  <c r="E18663" i="1"/>
  <c r="F18662" i="1"/>
  <c r="E18662" i="1"/>
  <c r="F18661" i="1"/>
  <c r="E18661" i="1"/>
  <c r="F18660" i="1"/>
  <c r="E18660" i="1"/>
  <c r="F18659" i="1"/>
  <c r="E18659" i="1"/>
  <c r="F18658" i="1"/>
  <c r="E18658" i="1"/>
  <c r="F18657" i="1"/>
  <c r="E18657" i="1"/>
  <c r="F18656" i="1"/>
  <c r="E18656" i="1"/>
  <c r="F18655" i="1"/>
  <c r="E18655" i="1"/>
  <c r="F18654" i="1"/>
  <c r="E18654" i="1"/>
  <c r="F18653" i="1"/>
  <c r="E18653" i="1"/>
  <c r="F18652" i="1"/>
  <c r="E18652" i="1"/>
  <c r="F18651" i="1"/>
  <c r="E18651" i="1"/>
  <c r="F18650" i="1"/>
  <c r="E18650" i="1"/>
  <c r="F18649" i="1"/>
  <c r="E18649" i="1"/>
  <c r="F18648" i="1"/>
  <c r="E18648" i="1"/>
  <c r="F18647" i="1"/>
  <c r="E18647" i="1"/>
  <c r="F18646" i="1"/>
  <c r="E18646" i="1"/>
  <c r="F18645" i="1"/>
  <c r="E18645" i="1"/>
  <c r="F18644" i="1"/>
  <c r="E18644" i="1"/>
  <c r="F18643" i="1"/>
  <c r="E18643" i="1"/>
  <c r="F18642" i="1"/>
  <c r="E18642" i="1"/>
  <c r="F18641" i="1"/>
  <c r="E18641" i="1"/>
  <c r="F18640" i="1"/>
  <c r="E18640" i="1"/>
  <c r="F18639" i="1"/>
  <c r="E18639" i="1"/>
  <c r="F18638" i="1"/>
  <c r="E18638" i="1"/>
  <c r="F18637" i="1"/>
  <c r="E18637" i="1"/>
  <c r="F18636" i="1"/>
  <c r="E18636" i="1"/>
  <c r="F18635" i="1"/>
  <c r="E18635" i="1"/>
  <c r="F18634" i="1"/>
  <c r="E18634" i="1"/>
  <c r="F18633" i="1"/>
  <c r="E18633" i="1"/>
  <c r="F18632" i="1"/>
  <c r="E18632" i="1"/>
  <c r="F18631" i="1"/>
  <c r="E18631" i="1"/>
  <c r="F18630" i="1"/>
  <c r="E18630" i="1"/>
  <c r="F18629" i="1"/>
  <c r="E18629" i="1"/>
  <c r="F18628" i="1"/>
  <c r="E18628" i="1"/>
  <c r="F18627" i="1"/>
  <c r="E18627" i="1"/>
  <c r="F18626" i="1"/>
  <c r="E18626" i="1"/>
  <c r="F18625" i="1"/>
  <c r="E18625" i="1"/>
  <c r="F18624" i="1"/>
  <c r="E18624" i="1"/>
  <c r="F18623" i="1"/>
  <c r="E18623" i="1"/>
  <c r="F18622" i="1"/>
  <c r="E18622" i="1"/>
  <c r="F18621" i="1"/>
  <c r="E18621" i="1"/>
  <c r="F18620" i="1"/>
  <c r="E18620" i="1"/>
  <c r="F18619" i="1"/>
  <c r="E18619" i="1"/>
  <c r="F18618" i="1"/>
  <c r="E18618" i="1"/>
  <c r="F18617" i="1"/>
  <c r="E18617" i="1"/>
  <c r="F18616" i="1"/>
  <c r="E18616" i="1"/>
  <c r="F18615" i="1"/>
  <c r="E18615" i="1"/>
  <c r="F18614" i="1"/>
  <c r="E18614" i="1"/>
  <c r="F18613" i="1"/>
  <c r="E18613" i="1"/>
  <c r="F18612" i="1"/>
  <c r="E18612" i="1"/>
  <c r="F18611" i="1"/>
  <c r="E18611" i="1"/>
  <c r="F18610" i="1"/>
  <c r="E18610" i="1"/>
  <c r="F18609" i="1"/>
  <c r="E18609" i="1"/>
  <c r="F18608" i="1"/>
  <c r="E18608" i="1"/>
  <c r="F18607" i="1"/>
  <c r="E18607" i="1"/>
  <c r="F18606" i="1"/>
  <c r="E18606" i="1"/>
  <c r="F18605" i="1"/>
  <c r="E18605" i="1"/>
  <c r="F18604" i="1"/>
  <c r="E18604" i="1"/>
  <c r="F18603" i="1"/>
  <c r="E18603" i="1"/>
  <c r="F18602" i="1"/>
  <c r="E18602" i="1"/>
  <c r="F18601" i="1"/>
  <c r="E18601" i="1"/>
  <c r="F18600" i="1"/>
  <c r="E18600" i="1"/>
  <c r="F18599" i="1"/>
  <c r="E18599" i="1"/>
  <c r="F18598" i="1"/>
  <c r="E18598" i="1"/>
  <c r="F18597" i="1"/>
  <c r="E18597" i="1"/>
  <c r="F18596" i="1"/>
  <c r="E18596" i="1"/>
  <c r="F18595" i="1"/>
  <c r="E18595" i="1"/>
  <c r="F18594" i="1"/>
  <c r="E18594" i="1"/>
  <c r="F18593" i="1"/>
  <c r="E18593" i="1"/>
  <c r="F18592" i="1"/>
  <c r="E18592" i="1"/>
  <c r="F18591" i="1"/>
  <c r="E18591" i="1"/>
  <c r="F18590" i="1"/>
  <c r="E18590" i="1"/>
  <c r="F18589" i="1"/>
  <c r="E18589" i="1"/>
  <c r="F18588" i="1"/>
  <c r="E18588" i="1"/>
  <c r="F18587" i="1"/>
  <c r="E18587" i="1"/>
  <c r="F18586" i="1"/>
  <c r="E18586" i="1"/>
  <c r="F18585" i="1"/>
  <c r="E18585" i="1"/>
  <c r="F18584" i="1"/>
  <c r="E18584" i="1"/>
  <c r="F18583" i="1"/>
  <c r="E18583" i="1"/>
  <c r="F18582" i="1"/>
  <c r="E18582" i="1"/>
  <c r="F18581" i="1"/>
  <c r="E18581" i="1"/>
  <c r="F18580" i="1"/>
  <c r="E18580" i="1"/>
  <c r="F18579" i="1"/>
  <c r="E18579" i="1"/>
  <c r="F18578" i="1"/>
  <c r="E18578" i="1"/>
  <c r="F18577" i="1"/>
  <c r="E18577" i="1"/>
  <c r="F18576" i="1"/>
  <c r="E18576" i="1"/>
  <c r="F18575" i="1"/>
  <c r="E18575" i="1"/>
  <c r="F18574" i="1"/>
  <c r="E18574" i="1"/>
  <c r="F18573" i="1"/>
  <c r="E18573" i="1"/>
  <c r="F18572" i="1"/>
  <c r="E18572" i="1"/>
  <c r="F18571" i="1"/>
  <c r="E18571" i="1"/>
  <c r="F18570" i="1"/>
  <c r="E18570" i="1"/>
  <c r="F18569" i="1"/>
  <c r="E18569" i="1"/>
  <c r="F18568" i="1"/>
  <c r="E18568" i="1"/>
  <c r="F18567" i="1"/>
  <c r="E18567" i="1"/>
  <c r="F18566" i="1"/>
  <c r="E18566" i="1"/>
  <c r="F18565" i="1"/>
  <c r="E18565" i="1"/>
  <c r="F18564" i="1"/>
  <c r="E18564" i="1"/>
  <c r="F18563" i="1"/>
  <c r="E18563" i="1"/>
  <c r="F18562" i="1"/>
  <c r="E18562" i="1"/>
  <c r="F18561" i="1"/>
  <c r="E18561" i="1"/>
  <c r="F18560" i="1"/>
  <c r="E18560" i="1"/>
  <c r="F18559" i="1"/>
  <c r="E18559" i="1"/>
  <c r="F18558" i="1"/>
  <c r="E18558" i="1"/>
  <c r="F18557" i="1"/>
  <c r="E18557" i="1"/>
  <c r="F18556" i="1"/>
  <c r="E18556" i="1"/>
  <c r="F18555" i="1"/>
  <c r="E18555" i="1"/>
  <c r="F18554" i="1"/>
  <c r="E18554" i="1"/>
  <c r="F18553" i="1"/>
  <c r="E18553" i="1"/>
  <c r="F18552" i="1"/>
  <c r="E18552" i="1"/>
  <c r="F18551" i="1"/>
  <c r="E18551" i="1"/>
  <c r="F18550" i="1"/>
  <c r="E18550" i="1"/>
  <c r="F18549" i="1"/>
  <c r="E18549" i="1"/>
  <c r="F18548" i="1"/>
  <c r="E18548" i="1"/>
  <c r="F18547" i="1"/>
  <c r="E18547" i="1"/>
  <c r="F18546" i="1"/>
  <c r="E18546" i="1"/>
  <c r="F18545" i="1"/>
  <c r="E18545" i="1"/>
  <c r="F18544" i="1"/>
  <c r="E18544" i="1"/>
  <c r="F18543" i="1"/>
  <c r="E18543" i="1"/>
  <c r="F18542" i="1"/>
  <c r="E18542" i="1"/>
  <c r="F18541" i="1"/>
  <c r="E18541" i="1"/>
  <c r="F18540" i="1"/>
  <c r="E18540" i="1"/>
  <c r="F18539" i="1"/>
  <c r="E18539" i="1"/>
  <c r="F18538" i="1"/>
  <c r="E18538" i="1"/>
  <c r="F18537" i="1"/>
  <c r="E18537" i="1"/>
  <c r="F18536" i="1"/>
  <c r="E18536" i="1"/>
  <c r="F18535" i="1"/>
  <c r="E18535" i="1"/>
  <c r="F18534" i="1"/>
  <c r="E18534" i="1"/>
  <c r="F18533" i="1"/>
  <c r="E18533" i="1"/>
  <c r="F18532" i="1"/>
  <c r="E18532" i="1"/>
  <c r="F18531" i="1"/>
  <c r="E18531" i="1"/>
  <c r="F18530" i="1"/>
  <c r="E18530" i="1"/>
  <c r="F18529" i="1"/>
  <c r="E18529" i="1"/>
  <c r="F18528" i="1"/>
  <c r="E18528" i="1"/>
  <c r="F18527" i="1"/>
  <c r="E18527" i="1"/>
  <c r="F18526" i="1"/>
  <c r="E18526" i="1"/>
  <c r="F18525" i="1"/>
  <c r="E18525" i="1"/>
  <c r="F18524" i="1"/>
  <c r="E18524" i="1"/>
  <c r="F18523" i="1"/>
  <c r="E18523" i="1"/>
  <c r="F18522" i="1"/>
  <c r="E18522" i="1"/>
  <c r="F18521" i="1"/>
  <c r="E18521" i="1"/>
  <c r="F18520" i="1"/>
  <c r="E18520" i="1"/>
  <c r="F18519" i="1"/>
  <c r="E18519" i="1"/>
  <c r="F18518" i="1"/>
  <c r="E18518" i="1"/>
  <c r="F18517" i="1"/>
  <c r="E18517" i="1"/>
  <c r="F18516" i="1"/>
  <c r="E18516" i="1"/>
  <c r="F18515" i="1"/>
  <c r="E18515" i="1"/>
  <c r="F18514" i="1"/>
  <c r="E18514" i="1"/>
  <c r="F18513" i="1"/>
  <c r="E18513" i="1"/>
  <c r="F18512" i="1"/>
  <c r="E18512" i="1"/>
  <c r="F18511" i="1"/>
  <c r="E18511" i="1"/>
  <c r="F18510" i="1"/>
  <c r="E18510" i="1"/>
  <c r="F18509" i="1"/>
  <c r="E18509" i="1"/>
  <c r="F18508" i="1"/>
  <c r="E18508" i="1"/>
  <c r="F18507" i="1"/>
  <c r="E18507" i="1"/>
  <c r="F18506" i="1"/>
  <c r="E18506" i="1"/>
  <c r="F18505" i="1"/>
  <c r="E18505" i="1"/>
  <c r="F18504" i="1"/>
  <c r="E18504" i="1"/>
  <c r="F18503" i="1"/>
  <c r="E18503" i="1"/>
  <c r="F18502" i="1"/>
  <c r="E18502" i="1"/>
  <c r="F18501" i="1"/>
  <c r="E18501" i="1"/>
  <c r="F18500" i="1"/>
  <c r="E18500" i="1"/>
  <c r="F18499" i="1"/>
  <c r="E18499" i="1"/>
  <c r="F18498" i="1"/>
  <c r="E18498" i="1"/>
  <c r="F18497" i="1"/>
  <c r="E18497" i="1"/>
  <c r="F18496" i="1"/>
  <c r="E18496" i="1"/>
  <c r="F18495" i="1"/>
  <c r="E18495" i="1"/>
  <c r="F18494" i="1"/>
  <c r="E18494" i="1"/>
  <c r="F18493" i="1"/>
  <c r="E18493" i="1"/>
  <c r="F18492" i="1"/>
  <c r="E18492" i="1"/>
  <c r="F18491" i="1"/>
  <c r="E18491" i="1"/>
  <c r="F18490" i="1"/>
  <c r="E18490" i="1"/>
  <c r="F18489" i="1"/>
  <c r="E18489" i="1"/>
  <c r="F18488" i="1"/>
  <c r="E18488" i="1"/>
  <c r="F18487" i="1"/>
  <c r="E18487" i="1"/>
  <c r="F18486" i="1"/>
  <c r="E18486" i="1"/>
  <c r="F18485" i="1"/>
  <c r="E18485" i="1"/>
  <c r="F18484" i="1"/>
  <c r="E18484" i="1"/>
  <c r="F18483" i="1"/>
  <c r="E18483" i="1"/>
  <c r="F18482" i="1"/>
  <c r="E18482" i="1"/>
  <c r="F18481" i="1"/>
  <c r="E18481" i="1"/>
  <c r="F18480" i="1"/>
  <c r="E18480" i="1"/>
  <c r="F18479" i="1"/>
  <c r="E18479" i="1"/>
  <c r="F18478" i="1"/>
  <c r="E18478" i="1"/>
  <c r="F18477" i="1"/>
  <c r="E18477" i="1"/>
  <c r="F18476" i="1"/>
  <c r="E18476" i="1"/>
  <c r="F18475" i="1"/>
  <c r="E18475" i="1"/>
  <c r="F18474" i="1"/>
  <c r="E18474" i="1"/>
  <c r="F18473" i="1"/>
  <c r="E18473" i="1"/>
  <c r="F18472" i="1"/>
  <c r="E18472" i="1"/>
  <c r="F18471" i="1"/>
  <c r="E18471" i="1"/>
  <c r="F18470" i="1"/>
  <c r="E18470" i="1"/>
  <c r="F18469" i="1"/>
  <c r="E18469" i="1"/>
  <c r="F18468" i="1"/>
  <c r="E18468" i="1"/>
  <c r="F18467" i="1"/>
  <c r="E18467" i="1"/>
  <c r="F18466" i="1"/>
  <c r="E18466" i="1"/>
  <c r="F18465" i="1"/>
  <c r="E18465" i="1"/>
  <c r="F18464" i="1"/>
  <c r="E18464" i="1"/>
  <c r="F18463" i="1"/>
  <c r="E18463" i="1"/>
  <c r="F18462" i="1"/>
  <c r="E18462" i="1"/>
  <c r="F18461" i="1"/>
  <c r="E18461" i="1"/>
  <c r="F18460" i="1"/>
  <c r="E18460" i="1"/>
  <c r="F18459" i="1"/>
  <c r="E18459" i="1"/>
  <c r="F18458" i="1"/>
  <c r="E18458" i="1"/>
  <c r="F18457" i="1"/>
  <c r="E18457" i="1"/>
  <c r="F18456" i="1"/>
  <c r="E18456" i="1"/>
  <c r="F18455" i="1"/>
  <c r="E18455" i="1"/>
  <c r="F18454" i="1"/>
  <c r="E18454" i="1"/>
  <c r="F18453" i="1"/>
  <c r="E18453" i="1"/>
  <c r="F18452" i="1"/>
  <c r="E18452" i="1"/>
  <c r="F18451" i="1"/>
  <c r="E18451" i="1"/>
  <c r="F18450" i="1"/>
  <c r="E18450" i="1"/>
  <c r="F18449" i="1"/>
  <c r="E18449" i="1"/>
  <c r="F18448" i="1"/>
  <c r="E18448" i="1"/>
  <c r="F18447" i="1"/>
  <c r="E18447" i="1"/>
  <c r="F18446" i="1"/>
  <c r="E18446" i="1"/>
  <c r="F18445" i="1"/>
  <c r="E18445" i="1"/>
  <c r="F18444" i="1"/>
  <c r="E18444" i="1"/>
  <c r="F18443" i="1"/>
  <c r="E18443" i="1"/>
  <c r="F18442" i="1"/>
  <c r="E18442" i="1"/>
  <c r="F18441" i="1"/>
  <c r="E18441" i="1"/>
  <c r="F18440" i="1"/>
  <c r="E18440" i="1"/>
  <c r="F18439" i="1"/>
  <c r="E18439" i="1"/>
  <c r="F18438" i="1"/>
  <c r="E18438" i="1"/>
  <c r="F18437" i="1"/>
  <c r="E18437" i="1"/>
  <c r="F18436" i="1"/>
  <c r="E18436" i="1"/>
  <c r="F18435" i="1"/>
  <c r="E18435" i="1"/>
  <c r="F18434" i="1"/>
  <c r="E18434" i="1"/>
  <c r="F18433" i="1"/>
  <c r="E18433" i="1"/>
  <c r="F18432" i="1"/>
  <c r="E18432" i="1"/>
  <c r="F18431" i="1"/>
  <c r="E18431" i="1"/>
  <c r="F18430" i="1"/>
  <c r="E18430" i="1"/>
  <c r="F18429" i="1"/>
  <c r="E18429" i="1"/>
  <c r="F18428" i="1"/>
  <c r="E18428" i="1"/>
  <c r="F18427" i="1"/>
  <c r="E18427" i="1"/>
  <c r="F18426" i="1"/>
  <c r="E18426" i="1"/>
  <c r="F18425" i="1"/>
  <c r="E18425" i="1"/>
  <c r="F18424" i="1"/>
  <c r="E18424" i="1"/>
  <c r="F18423" i="1"/>
  <c r="E18423" i="1"/>
  <c r="F18422" i="1"/>
  <c r="E18422" i="1"/>
  <c r="F18421" i="1"/>
  <c r="E18421" i="1"/>
  <c r="F18420" i="1"/>
  <c r="E18420" i="1"/>
  <c r="F18419" i="1"/>
  <c r="E18419" i="1"/>
  <c r="F18418" i="1"/>
  <c r="E18418" i="1"/>
  <c r="F18417" i="1"/>
  <c r="E18417" i="1"/>
  <c r="F18416" i="1"/>
  <c r="E18416" i="1"/>
  <c r="F18415" i="1"/>
  <c r="E18415" i="1"/>
  <c r="F18414" i="1"/>
  <c r="E18414" i="1"/>
  <c r="F18413" i="1"/>
  <c r="E18413" i="1"/>
  <c r="F18412" i="1"/>
  <c r="E18412" i="1"/>
  <c r="F18411" i="1"/>
  <c r="E18411" i="1"/>
  <c r="F18410" i="1"/>
  <c r="E18410" i="1"/>
  <c r="F18409" i="1"/>
  <c r="E18409" i="1"/>
  <c r="F18408" i="1"/>
  <c r="E18408" i="1"/>
  <c r="F18407" i="1"/>
  <c r="E18407" i="1"/>
  <c r="F18406" i="1"/>
  <c r="E18406" i="1"/>
  <c r="F18405" i="1"/>
  <c r="E18405" i="1"/>
  <c r="F18404" i="1"/>
  <c r="E18404" i="1"/>
  <c r="F18403" i="1"/>
  <c r="E18403" i="1"/>
  <c r="F18402" i="1"/>
  <c r="E18402" i="1"/>
  <c r="F18401" i="1"/>
  <c r="E18401" i="1"/>
  <c r="F18400" i="1"/>
  <c r="E18400" i="1"/>
  <c r="F18399" i="1"/>
  <c r="F18398" i="1"/>
  <c r="E18398" i="1"/>
  <c r="F18397" i="1"/>
  <c r="E18397" i="1"/>
  <c r="F18396" i="1"/>
  <c r="E18396" i="1"/>
  <c r="F18395" i="1"/>
  <c r="E18395" i="1"/>
  <c r="F18394" i="1"/>
  <c r="E18394" i="1"/>
  <c r="F18393" i="1"/>
  <c r="E18393" i="1"/>
  <c r="F18392" i="1"/>
  <c r="E18392" i="1"/>
  <c r="F18391" i="1"/>
  <c r="E18391" i="1"/>
  <c r="F18390" i="1"/>
  <c r="E18390" i="1"/>
  <c r="F18389" i="1"/>
  <c r="E18389" i="1"/>
  <c r="F18388" i="1"/>
  <c r="E18388" i="1"/>
  <c r="F18387" i="1"/>
  <c r="E18387" i="1"/>
  <c r="F18386" i="1"/>
  <c r="E18386" i="1"/>
  <c r="F18385" i="1"/>
  <c r="E18385" i="1"/>
  <c r="F18384" i="1"/>
  <c r="E18384" i="1"/>
  <c r="F18383" i="1"/>
  <c r="E18383" i="1"/>
  <c r="F18382" i="1"/>
  <c r="E18382" i="1"/>
  <c r="F18381" i="1"/>
  <c r="E18381" i="1"/>
  <c r="F18380" i="1"/>
  <c r="E18380" i="1"/>
  <c r="F18379" i="1"/>
  <c r="E18379" i="1"/>
  <c r="F18378" i="1"/>
  <c r="E18378" i="1"/>
  <c r="F18377" i="1"/>
  <c r="E18377" i="1"/>
  <c r="F18376" i="1"/>
  <c r="E18376" i="1"/>
  <c r="F18375" i="1"/>
  <c r="E18375" i="1"/>
  <c r="F18374" i="1"/>
  <c r="E18374" i="1"/>
  <c r="F18373" i="1"/>
  <c r="E18373" i="1"/>
  <c r="F18372" i="1"/>
  <c r="E18372" i="1"/>
  <c r="F18371" i="1"/>
  <c r="E18371" i="1"/>
  <c r="F18370" i="1"/>
  <c r="E18370" i="1"/>
  <c r="F18369" i="1"/>
  <c r="E18369" i="1"/>
  <c r="F18368" i="1"/>
  <c r="E18368" i="1"/>
  <c r="F18367" i="1"/>
  <c r="E18367" i="1"/>
  <c r="F18366" i="1"/>
  <c r="E18366" i="1"/>
  <c r="F18365" i="1"/>
  <c r="E18365" i="1"/>
  <c r="F18364" i="1"/>
  <c r="E18364" i="1"/>
  <c r="F18363" i="1"/>
  <c r="E18363" i="1"/>
  <c r="F18362" i="1"/>
  <c r="E18362" i="1"/>
  <c r="F18361" i="1"/>
  <c r="E18361" i="1"/>
  <c r="F18360" i="1"/>
  <c r="E18360" i="1"/>
  <c r="F18359" i="1"/>
  <c r="E18359" i="1"/>
  <c r="F18358" i="1"/>
  <c r="E18358" i="1"/>
  <c r="F18357" i="1"/>
  <c r="E18357" i="1"/>
  <c r="F18356" i="1"/>
  <c r="E18356" i="1"/>
  <c r="F18355" i="1"/>
  <c r="E18355" i="1"/>
  <c r="F18354" i="1"/>
  <c r="E18354" i="1"/>
  <c r="F18353" i="1"/>
  <c r="E18353" i="1"/>
  <c r="F18352" i="1"/>
  <c r="E18352" i="1"/>
  <c r="F18351" i="1"/>
  <c r="E18351" i="1"/>
  <c r="F18350" i="1"/>
  <c r="E18350" i="1"/>
  <c r="F18349" i="1"/>
  <c r="E18349" i="1"/>
  <c r="F18348" i="1"/>
  <c r="E18348" i="1"/>
  <c r="F18347" i="1"/>
  <c r="E18347" i="1"/>
  <c r="F18346" i="1"/>
  <c r="E18346" i="1"/>
  <c r="F18345" i="1"/>
  <c r="E18345" i="1"/>
  <c r="F18344" i="1"/>
  <c r="E18344" i="1"/>
  <c r="F18343" i="1"/>
  <c r="E18343" i="1"/>
  <c r="F18342" i="1"/>
  <c r="E18342" i="1"/>
  <c r="F18341" i="1"/>
  <c r="E18341" i="1"/>
  <c r="F18340" i="1"/>
  <c r="E18340" i="1"/>
  <c r="F18339" i="1"/>
  <c r="E18339" i="1"/>
  <c r="F18338" i="1"/>
  <c r="E18338" i="1"/>
  <c r="F18337" i="1"/>
  <c r="E18337" i="1"/>
  <c r="F18336" i="1"/>
  <c r="E18336" i="1"/>
  <c r="F18335" i="1"/>
  <c r="E18335" i="1"/>
  <c r="F18334" i="1"/>
  <c r="E18334" i="1"/>
  <c r="F18333" i="1"/>
  <c r="E18333" i="1"/>
  <c r="F18332" i="1"/>
  <c r="E18332" i="1"/>
  <c r="F18331" i="1"/>
  <c r="E18331" i="1"/>
  <c r="F18330" i="1"/>
  <c r="E18330" i="1"/>
  <c r="F18329" i="1"/>
  <c r="E18329" i="1"/>
  <c r="F18328" i="1"/>
  <c r="E18328" i="1"/>
  <c r="F18327" i="1"/>
  <c r="E18327" i="1"/>
  <c r="F18326" i="1"/>
  <c r="E18326" i="1"/>
  <c r="F18325" i="1"/>
  <c r="E18325" i="1"/>
  <c r="F18324" i="1"/>
  <c r="E18324" i="1"/>
  <c r="F18323" i="1"/>
  <c r="E18323" i="1"/>
  <c r="F18322" i="1"/>
  <c r="E18322" i="1"/>
  <c r="F18321" i="1"/>
  <c r="E18321" i="1"/>
  <c r="F18320" i="1"/>
  <c r="E18320" i="1"/>
  <c r="F18319" i="1"/>
  <c r="E18319" i="1"/>
  <c r="F18318" i="1"/>
  <c r="E18318" i="1"/>
  <c r="F18317" i="1"/>
  <c r="E18317" i="1"/>
  <c r="F18316" i="1"/>
  <c r="E18316" i="1"/>
  <c r="F18315" i="1"/>
  <c r="E18315" i="1"/>
  <c r="F18314" i="1"/>
  <c r="E18314" i="1"/>
  <c r="F18313" i="1"/>
  <c r="E18313" i="1"/>
  <c r="F18312" i="1"/>
  <c r="E18312" i="1"/>
  <c r="F18311" i="1"/>
  <c r="E18311" i="1"/>
  <c r="F18310" i="1"/>
  <c r="E18310" i="1"/>
  <c r="F18309" i="1"/>
  <c r="E18309" i="1"/>
  <c r="F18308" i="1"/>
  <c r="E18308" i="1"/>
  <c r="F18307" i="1"/>
  <c r="E18307" i="1"/>
  <c r="F18306" i="1"/>
  <c r="E18306" i="1"/>
  <c r="F18305" i="1"/>
  <c r="E18305" i="1"/>
  <c r="F18304" i="1"/>
  <c r="E18304" i="1"/>
  <c r="F18303" i="1"/>
  <c r="E18303" i="1"/>
  <c r="F18302" i="1"/>
  <c r="E18302" i="1"/>
  <c r="F18301" i="1"/>
  <c r="E18301" i="1"/>
  <c r="F18300" i="1"/>
  <c r="E18300" i="1"/>
  <c r="F18299" i="1"/>
  <c r="E18299" i="1"/>
  <c r="F18298" i="1"/>
  <c r="E18298" i="1"/>
  <c r="F18297" i="1"/>
  <c r="E18297" i="1"/>
  <c r="F18296" i="1"/>
  <c r="E18296" i="1"/>
  <c r="F18295" i="1"/>
  <c r="E18295" i="1"/>
  <c r="F18294" i="1"/>
  <c r="E18294" i="1"/>
  <c r="F18293" i="1"/>
  <c r="E18293" i="1"/>
  <c r="F18292" i="1"/>
  <c r="E18292" i="1"/>
  <c r="F18291" i="1"/>
  <c r="E18291" i="1"/>
  <c r="F18290" i="1"/>
  <c r="E18290" i="1"/>
  <c r="F18289" i="1"/>
  <c r="E18289" i="1"/>
  <c r="F18288" i="1"/>
  <c r="E18288" i="1"/>
  <c r="F18287" i="1"/>
  <c r="E18287" i="1"/>
  <c r="F18286" i="1"/>
  <c r="E18286" i="1"/>
  <c r="F18285" i="1"/>
  <c r="E18285" i="1"/>
  <c r="F18284" i="1"/>
  <c r="E18284" i="1"/>
  <c r="F18283" i="1"/>
  <c r="E18283" i="1"/>
  <c r="F18282" i="1"/>
  <c r="E18282" i="1"/>
  <c r="F18281" i="1"/>
  <c r="E18281" i="1"/>
  <c r="F18280" i="1"/>
  <c r="E18280" i="1"/>
  <c r="F18279" i="1"/>
  <c r="E18279" i="1"/>
  <c r="F18278" i="1"/>
  <c r="E18278" i="1"/>
  <c r="F18277" i="1"/>
  <c r="E18277" i="1"/>
  <c r="F18276" i="1"/>
  <c r="E18276" i="1"/>
  <c r="F18275" i="1"/>
  <c r="E18275" i="1"/>
  <c r="F18274" i="1"/>
  <c r="E18274" i="1"/>
  <c r="F18273" i="1"/>
  <c r="E18273" i="1"/>
  <c r="F18272" i="1"/>
  <c r="E18272" i="1"/>
  <c r="F18271" i="1"/>
  <c r="E18271" i="1"/>
  <c r="F18270" i="1"/>
  <c r="E18270" i="1"/>
  <c r="F18269" i="1"/>
  <c r="E18269" i="1"/>
  <c r="F18268" i="1"/>
  <c r="E18268" i="1"/>
  <c r="F18267" i="1"/>
  <c r="E18267" i="1"/>
  <c r="F18266" i="1"/>
  <c r="E18266" i="1"/>
  <c r="F18265" i="1"/>
  <c r="E18265" i="1"/>
  <c r="F18264" i="1"/>
  <c r="E18264" i="1"/>
  <c r="F18263" i="1"/>
  <c r="E18263" i="1"/>
  <c r="F18262" i="1"/>
  <c r="E18262" i="1"/>
  <c r="F18261" i="1"/>
  <c r="E18261" i="1"/>
  <c r="F18260" i="1"/>
  <c r="E18260" i="1"/>
  <c r="F18259" i="1"/>
  <c r="E18259" i="1"/>
  <c r="F18258" i="1"/>
  <c r="E18258" i="1"/>
  <c r="F18257" i="1"/>
  <c r="E18257" i="1"/>
  <c r="F18256" i="1"/>
  <c r="E18256" i="1"/>
  <c r="F18255" i="1"/>
  <c r="E18255" i="1"/>
  <c r="F18254" i="1"/>
  <c r="E18254" i="1"/>
  <c r="F18253" i="1"/>
  <c r="E18253" i="1"/>
  <c r="F18252" i="1"/>
  <c r="E18252" i="1"/>
  <c r="F18251" i="1"/>
  <c r="E18251" i="1"/>
  <c r="F18250" i="1"/>
  <c r="E18250" i="1"/>
  <c r="F18249" i="1"/>
  <c r="E18249" i="1"/>
  <c r="F18248" i="1"/>
  <c r="E18248" i="1"/>
  <c r="F18247" i="1"/>
  <c r="E18247" i="1"/>
  <c r="F18246" i="1"/>
  <c r="E18246" i="1"/>
  <c r="F18245" i="1"/>
  <c r="E18245" i="1"/>
  <c r="F18244" i="1"/>
  <c r="E18244" i="1"/>
  <c r="F18243" i="1"/>
  <c r="E18243" i="1"/>
  <c r="F18242" i="1"/>
  <c r="E18242" i="1"/>
  <c r="F18241" i="1"/>
  <c r="E18241" i="1"/>
  <c r="F18240" i="1"/>
  <c r="E18240" i="1"/>
  <c r="F18239" i="1"/>
  <c r="E18239" i="1"/>
  <c r="F18238" i="1"/>
  <c r="E18238" i="1"/>
  <c r="F18237" i="1"/>
  <c r="E18237" i="1"/>
  <c r="F18236" i="1"/>
  <c r="E18236" i="1"/>
  <c r="F18235" i="1"/>
  <c r="E18235" i="1"/>
  <c r="F18234" i="1"/>
  <c r="E18234" i="1"/>
  <c r="F18233" i="1"/>
  <c r="E18233" i="1"/>
  <c r="F18232" i="1"/>
  <c r="E18232" i="1"/>
  <c r="F18231" i="1"/>
  <c r="E18231" i="1"/>
  <c r="F18230" i="1"/>
  <c r="E18230" i="1"/>
  <c r="F18229" i="1"/>
  <c r="F18228" i="1"/>
  <c r="E18228" i="1"/>
  <c r="F18227" i="1"/>
  <c r="E18227" i="1"/>
  <c r="F18226" i="1"/>
  <c r="E18226" i="1"/>
  <c r="F18225" i="1"/>
  <c r="E18225" i="1"/>
  <c r="F18224" i="1"/>
  <c r="E18224" i="1"/>
  <c r="F18223" i="1"/>
  <c r="E18223" i="1"/>
  <c r="F18222" i="1"/>
  <c r="E18222" i="1"/>
  <c r="F18221" i="1"/>
  <c r="F18220" i="1"/>
  <c r="F18219" i="1"/>
  <c r="E18219" i="1"/>
  <c r="F18218" i="1"/>
  <c r="E18218" i="1"/>
  <c r="F18217" i="1"/>
  <c r="E18217" i="1"/>
  <c r="F18216" i="1"/>
  <c r="E18216" i="1"/>
  <c r="F18215" i="1"/>
  <c r="E18215" i="1"/>
  <c r="F18214" i="1"/>
  <c r="E18214" i="1"/>
  <c r="F18213" i="1"/>
  <c r="E18213" i="1"/>
  <c r="F18212" i="1"/>
  <c r="E18212" i="1"/>
  <c r="F18211" i="1"/>
  <c r="E18211" i="1"/>
  <c r="F18210" i="1"/>
  <c r="E18210" i="1"/>
  <c r="F18209" i="1"/>
  <c r="E18209" i="1"/>
  <c r="F18208" i="1"/>
  <c r="E18208" i="1"/>
  <c r="F18207" i="1"/>
  <c r="E18207" i="1"/>
  <c r="F18206" i="1"/>
  <c r="E18206" i="1"/>
  <c r="F18205" i="1"/>
  <c r="E18205" i="1"/>
  <c r="F18204" i="1"/>
  <c r="E18204" i="1"/>
  <c r="F18203" i="1"/>
  <c r="E18203" i="1"/>
  <c r="F18202" i="1"/>
  <c r="E18202" i="1"/>
  <c r="F18201" i="1"/>
  <c r="E18201" i="1"/>
  <c r="F18200" i="1"/>
  <c r="E18200" i="1"/>
  <c r="F18199" i="1"/>
  <c r="E18199" i="1"/>
  <c r="F18198" i="1"/>
  <c r="E18198" i="1"/>
  <c r="F18197" i="1"/>
  <c r="E18197" i="1"/>
  <c r="F18196" i="1"/>
  <c r="E18196" i="1"/>
  <c r="F18195" i="1"/>
  <c r="E18195" i="1"/>
  <c r="F18194" i="1"/>
  <c r="E18194" i="1"/>
  <c r="F18193" i="1"/>
  <c r="E18193" i="1"/>
  <c r="F18192" i="1"/>
  <c r="E18192" i="1"/>
  <c r="F18191" i="1"/>
  <c r="E18191" i="1"/>
  <c r="F18190" i="1"/>
  <c r="E18190" i="1"/>
  <c r="F18189" i="1"/>
  <c r="E18189" i="1"/>
  <c r="F18188" i="1"/>
  <c r="E18188" i="1"/>
  <c r="F18187" i="1"/>
  <c r="E18187" i="1"/>
  <c r="F18186" i="1"/>
  <c r="E18186" i="1"/>
  <c r="F18185" i="1"/>
  <c r="E18185" i="1"/>
  <c r="F18184" i="1"/>
  <c r="E18184" i="1"/>
  <c r="F18183" i="1"/>
  <c r="E18183" i="1"/>
  <c r="F18182" i="1"/>
  <c r="F18181" i="1"/>
  <c r="E18181" i="1"/>
  <c r="F18180" i="1"/>
  <c r="E18180" i="1"/>
  <c r="F18179" i="1"/>
  <c r="E18179" i="1"/>
  <c r="F18178" i="1"/>
  <c r="E18178" i="1"/>
  <c r="F18177" i="1"/>
  <c r="E18177" i="1"/>
  <c r="F18176" i="1"/>
  <c r="E18176" i="1"/>
  <c r="F18175" i="1"/>
  <c r="E18175" i="1"/>
  <c r="F18174" i="1"/>
  <c r="E18174" i="1"/>
  <c r="F18173" i="1"/>
  <c r="E18173" i="1"/>
  <c r="F18172" i="1"/>
  <c r="E18172" i="1"/>
  <c r="F18171" i="1"/>
  <c r="E18171" i="1"/>
  <c r="F18170" i="1"/>
  <c r="F18169" i="1"/>
  <c r="E18169" i="1"/>
  <c r="F18168" i="1"/>
  <c r="E18168" i="1"/>
  <c r="F18167" i="1"/>
  <c r="E18167" i="1"/>
  <c r="F18166" i="1"/>
  <c r="E18166" i="1"/>
  <c r="F18165" i="1"/>
  <c r="E18165" i="1"/>
  <c r="F18164" i="1"/>
  <c r="E18164" i="1"/>
  <c r="F18163" i="1"/>
  <c r="E18163" i="1"/>
  <c r="F18162" i="1"/>
  <c r="E18162" i="1"/>
  <c r="F18161" i="1"/>
  <c r="E18161" i="1"/>
  <c r="F18160" i="1"/>
  <c r="E18160" i="1"/>
  <c r="F18159" i="1"/>
  <c r="E18159" i="1"/>
  <c r="F18158" i="1"/>
  <c r="E18158" i="1"/>
  <c r="F18157" i="1"/>
  <c r="E18157" i="1"/>
  <c r="F18156" i="1"/>
  <c r="E18156" i="1"/>
  <c r="F18155" i="1"/>
  <c r="E18155" i="1"/>
  <c r="F18154" i="1"/>
  <c r="E18154" i="1"/>
  <c r="F18153" i="1"/>
  <c r="E18153" i="1"/>
  <c r="F18152" i="1"/>
  <c r="E18152" i="1"/>
  <c r="F18151" i="1"/>
  <c r="E18151" i="1"/>
  <c r="F18150" i="1"/>
  <c r="E18150" i="1"/>
  <c r="F18149" i="1"/>
  <c r="E18149" i="1"/>
  <c r="F18148" i="1"/>
  <c r="E18148" i="1"/>
  <c r="F18147" i="1"/>
  <c r="E18147" i="1"/>
  <c r="F18146" i="1"/>
  <c r="E18146" i="1"/>
  <c r="F18145" i="1"/>
  <c r="E18145" i="1"/>
  <c r="F18144" i="1"/>
  <c r="E18144" i="1"/>
  <c r="F18143" i="1"/>
  <c r="E18143" i="1"/>
  <c r="F18142" i="1"/>
  <c r="E18142" i="1"/>
  <c r="F18141" i="1"/>
  <c r="E18141" i="1"/>
  <c r="F18140" i="1"/>
  <c r="E18140" i="1"/>
  <c r="F18139" i="1"/>
  <c r="E18139" i="1"/>
  <c r="F18138" i="1"/>
  <c r="E18138" i="1"/>
  <c r="F18137" i="1"/>
  <c r="E18137" i="1"/>
  <c r="F18136" i="1"/>
  <c r="E18136" i="1"/>
  <c r="F18135" i="1"/>
  <c r="E18135" i="1"/>
  <c r="F18134" i="1"/>
  <c r="E18134" i="1"/>
  <c r="F18133" i="1"/>
  <c r="E18133" i="1"/>
  <c r="F18132" i="1"/>
  <c r="E18132" i="1"/>
  <c r="F18131" i="1"/>
  <c r="E18131" i="1"/>
  <c r="F18130" i="1"/>
  <c r="E18130" i="1"/>
  <c r="F18129" i="1"/>
  <c r="E18129" i="1"/>
  <c r="F18128" i="1"/>
  <c r="E18128" i="1"/>
  <c r="F18127" i="1"/>
  <c r="E18127" i="1"/>
  <c r="F18126" i="1"/>
  <c r="E18126" i="1"/>
  <c r="F18125" i="1"/>
  <c r="E18125" i="1"/>
  <c r="F18124" i="1"/>
  <c r="E18124" i="1"/>
  <c r="F18123" i="1"/>
  <c r="E18123" i="1"/>
  <c r="F18122" i="1"/>
  <c r="E18122" i="1"/>
  <c r="F18121" i="1"/>
  <c r="E18121" i="1"/>
  <c r="F18120" i="1"/>
  <c r="E18120" i="1"/>
  <c r="F18119" i="1"/>
  <c r="E18119" i="1"/>
  <c r="F18118" i="1"/>
  <c r="E18118" i="1"/>
  <c r="F18117" i="1"/>
  <c r="E18117" i="1"/>
  <c r="F18116" i="1"/>
  <c r="E18116" i="1"/>
  <c r="F18115" i="1"/>
  <c r="E18115" i="1"/>
  <c r="F18114" i="1"/>
  <c r="E18114" i="1"/>
  <c r="F18113" i="1"/>
  <c r="E18113" i="1"/>
  <c r="F18112" i="1"/>
  <c r="E18112" i="1"/>
  <c r="F18111" i="1"/>
  <c r="E18111" i="1"/>
  <c r="F18110" i="1"/>
  <c r="E18110" i="1"/>
  <c r="F18109" i="1"/>
  <c r="E18109" i="1"/>
  <c r="F18108" i="1"/>
  <c r="E18108" i="1"/>
  <c r="F18107" i="1"/>
  <c r="E18107" i="1"/>
  <c r="F18106" i="1"/>
  <c r="E18106" i="1"/>
  <c r="F18105" i="1"/>
  <c r="E18105" i="1"/>
  <c r="F18104" i="1"/>
  <c r="E18104" i="1"/>
  <c r="F18103" i="1"/>
  <c r="E18103" i="1"/>
  <c r="F18102" i="1"/>
  <c r="E18102" i="1"/>
  <c r="F18101" i="1"/>
  <c r="E18101" i="1"/>
  <c r="F18100" i="1"/>
  <c r="E18100" i="1"/>
  <c r="F18099" i="1"/>
  <c r="E18099" i="1"/>
  <c r="F18098" i="1"/>
  <c r="E18098" i="1"/>
  <c r="F18097" i="1"/>
  <c r="E18097" i="1"/>
  <c r="F18096" i="1"/>
  <c r="E18096" i="1"/>
  <c r="F18095" i="1"/>
  <c r="E18095" i="1"/>
  <c r="F18094" i="1"/>
  <c r="E18094" i="1"/>
  <c r="F18093" i="1"/>
  <c r="E18093" i="1"/>
  <c r="F18092" i="1"/>
  <c r="E18092" i="1"/>
  <c r="F18091" i="1"/>
  <c r="E18091" i="1"/>
  <c r="F18090" i="1"/>
  <c r="E18090" i="1"/>
  <c r="F18089" i="1"/>
  <c r="E18089" i="1"/>
  <c r="F18088" i="1"/>
  <c r="E18088" i="1"/>
  <c r="F18087" i="1"/>
  <c r="E18087" i="1"/>
  <c r="F18086" i="1"/>
  <c r="E18086" i="1"/>
  <c r="F18085" i="1"/>
  <c r="E18085" i="1"/>
  <c r="F18084" i="1"/>
  <c r="E18084" i="1"/>
  <c r="F18083" i="1"/>
  <c r="E18083" i="1"/>
  <c r="F18082" i="1"/>
  <c r="E18082" i="1"/>
  <c r="F18081" i="1"/>
  <c r="E18081" i="1"/>
  <c r="F18080" i="1"/>
  <c r="E18080" i="1"/>
  <c r="F18079" i="1"/>
  <c r="E18079" i="1"/>
  <c r="F18078" i="1"/>
  <c r="E18078" i="1"/>
  <c r="F18077" i="1"/>
  <c r="F18076" i="1"/>
  <c r="E18076" i="1"/>
  <c r="F18075" i="1"/>
  <c r="E18075" i="1"/>
  <c r="F18074" i="1"/>
  <c r="E18074" i="1"/>
  <c r="F18073" i="1"/>
  <c r="E18073" i="1"/>
  <c r="F18072" i="1"/>
  <c r="E18072" i="1"/>
  <c r="F18071" i="1"/>
  <c r="E18071" i="1"/>
  <c r="F18070" i="1"/>
  <c r="E18070" i="1"/>
  <c r="F18069" i="1"/>
  <c r="E18069" i="1"/>
  <c r="F18068" i="1"/>
  <c r="E18068" i="1"/>
  <c r="F18067" i="1"/>
  <c r="E18067" i="1"/>
  <c r="F18066" i="1"/>
  <c r="E18066" i="1"/>
  <c r="F18065" i="1"/>
  <c r="E18065" i="1"/>
  <c r="F18064" i="1"/>
  <c r="E18064" i="1"/>
  <c r="F18063" i="1"/>
  <c r="E18063" i="1"/>
  <c r="F18062" i="1"/>
  <c r="E18062" i="1"/>
  <c r="F18061" i="1"/>
  <c r="E18061" i="1"/>
  <c r="F18060" i="1"/>
  <c r="E18060" i="1"/>
  <c r="F18059" i="1"/>
  <c r="E18059" i="1"/>
  <c r="F18058" i="1"/>
  <c r="E18058" i="1"/>
  <c r="F18057" i="1"/>
  <c r="E18057" i="1"/>
  <c r="F18056" i="1"/>
  <c r="E18056" i="1"/>
  <c r="F18055" i="1"/>
  <c r="E18055" i="1"/>
  <c r="F18054" i="1"/>
  <c r="E18054" i="1"/>
  <c r="F18053" i="1"/>
  <c r="E18053" i="1"/>
  <c r="F18052" i="1"/>
  <c r="E18052" i="1"/>
  <c r="F18051" i="1"/>
  <c r="E18051" i="1"/>
  <c r="F18050" i="1"/>
  <c r="E18050" i="1"/>
  <c r="F18049" i="1"/>
  <c r="E18049" i="1"/>
  <c r="F18048" i="1"/>
  <c r="E18048" i="1"/>
  <c r="F18047" i="1"/>
  <c r="E18047" i="1"/>
  <c r="F18046" i="1"/>
  <c r="E18046" i="1"/>
  <c r="F18045" i="1"/>
  <c r="E18045" i="1"/>
  <c r="F18044" i="1"/>
  <c r="E18044" i="1"/>
  <c r="F18043" i="1"/>
  <c r="E18043" i="1"/>
  <c r="F18042" i="1"/>
  <c r="E18042" i="1"/>
  <c r="F18041" i="1"/>
  <c r="E18041" i="1"/>
  <c r="F18040" i="1"/>
  <c r="E18040" i="1"/>
  <c r="F18039" i="1"/>
  <c r="E18039" i="1"/>
  <c r="F18038" i="1"/>
  <c r="E18038" i="1"/>
  <c r="F18037" i="1"/>
  <c r="E18037" i="1"/>
  <c r="F18036" i="1"/>
  <c r="E18036" i="1"/>
  <c r="F18035" i="1"/>
  <c r="E18035" i="1"/>
  <c r="F18034" i="1"/>
  <c r="E18034" i="1"/>
  <c r="F18033" i="1"/>
  <c r="E18033" i="1"/>
  <c r="F18032" i="1"/>
  <c r="E18032" i="1"/>
  <c r="F18031" i="1"/>
  <c r="E18031" i="1"/>
  <c r="F18030" i="1"/>
  <c r="E18030" i="1"/>
  <c r="F18029" i="1"/>
  <c r="E18029" i="1"/>
  <c r="F18028" i="1"/>
  <c r="E18028" i="1"/>
  <c r="F18027" i="1"/>
  <c r="E18027" i="1"/>
  <c r="F18026" i="1"/>
  <c r="E18026" i="1"/>
  <c r="F18025" i="1"/>
  <c r="E18025" i="1"/>
  <c r="F18024" i="1"/>
  <c r="E18024" i="1"/>
  <c r="F18023" i="1"/>
  <c r="E18023" i="1"/>
  <c r="F18022" i="1"/>
  <c r="E18022" i="1"/>
  <c r="F18021" i="1"/>
  <c r="E18021" i="1"/>
  <c r="F18020" i="1"/>
  <c r="E18020" i="1"/>
  <c r="F18019" i="1"/>
  <c r="E18019" i="1"/>
  <c r="F18018" i="1"/>
  <c r="E18018" i="1"/>
  <c r="F18017" i="1"/>
  <c r="E18017" i="1"/>
  <c r="F18016" i="1"/>
  <c r="E18016" i="1"/>
  <c r="F18015" i="1"/>
  <c r="E18015" i="1"/>
  <c r="F18014" i="1"/>
  <c r="E18014" i="1"/>
  <c r="F18013" i="1"/>
  <c r="E18013" i="1"/>
  <c r="F18012" i="1"/>
  <c r="E18012" i="1"/>
  <c r="F18011" i="1"/>
  <c r="E18011" i="1"/>
  <c r="F18010" i="1"/>
  <c r="E18010" i="1"/>
  <c r="F18009" i="1"/>
  <c r="E18009" i="1"/>
  <c r="F18008" i="1"/>
  <c r="E18008" i="1"/>
  <c r="F18007" i="1"/>
  <c r="E18007" i="1"/>
  <c r="F18006" i="1"/>
  <c r="E18006" i="1"/>
  <c r="F18005" i="1"/>
  <c r="E18005" i="1"/>
  <c r="F18004" i="1"/>
  <c r="E18004" i="1"/>
  <c r="F18003" i="1"/>
  <c r="E18003" i="1"/>
  <c r="F18002" i="1"/>
  <c r="E18002" i="1"/>
  <c r="F18001" i="1"/>
  <c r="E18001" i="1"/>
  <c r="F18000" i="1"/>
  <c r="E18000" i="1"/>
  <c r="F17999" i="1"/>
  <c r="E17999" i="1"/>
  <c r="F17998" i="1"/>
  <c r="E17998" i="1"/>
  <c r="F17997" i="1"/>
  <c r="E17997" i="1"/>
  <c r="F17995" i="1"/>
  <c r="E17995" i="1"/>
  <c r="F17994" i="1"/>
  <c r="E17994" i="1"/>
  <c r="F17993" i="1"/>
  <c r="E17993" i="1"/>
  <c r="F17992" i="1"/>
  <c r="E17992" i="1"/>
  <c r="F17991" i="1"/>
  <c r="E17991" i="1"/>
  <c r="F17990" i="1"/>
  <c r="E17990" i="1"/>
  <c r="F17989" i="1"/>
  <c r="E17989" i="1"/>
  <c r="F17988" i="1"/>
  <c r="E17988" i="1"/>
  <c r="F17987" i="1"/>
  <c r="E17987" i="1"/>
  <c r="F17986" i="1"/>
  <c r="F17985" i="1"/>
  <c r="E17985" i="1"/>
  <c r="F17984" i="1"/>
  <c r="E17984" i="1"/>
  <c r="F17983" i="1"/>
  <c r="E17983" i="1"/>
  <c r="F17982" i="1"/>
  <c r="E17982" i="1"/>
  <c r="F17981" i="1"/>
  <c r="E17981" i="1"/>
  <c r="F17980" i="1"/>
  <c r="E17980" i="1"/>
  <c r="F17979" i="1"/>
  <c r="E17979" i="1"/>
  <c r="F17978" i="1"/>
  <c r="E17978" i="1"/>
  <c r="F17977" i="1"/>
  <c r="E17977" i="1"/>
  <c r="F17976" i="1"/>
  <c r="E17976" i="1"/>
  <c r="F17975" i="1"/>
  <c r="E17975" i="1"/>
  <c r="F17974" i="1"/>
  <c r="E17974" i="1"/>
  <c r="F17973" i="1"/>
  <c r="E17973" i="1"/>
  <c r="F17972" i="1"/>
  <c r="E17972" i="1"/>
  <c r="F17971" i="1"/>
  <c r="E17971" i="1"/>
  <c r="F17970" i="1"/>
  <c r="E17970" i="1"/>
  <c r="F17969" i="1"/>
  <c r="E17969" i="1"/>
  <c r="F17968" i="1"/>
  <c r="E17968" i="1"/>
  <c r="F17967" i="1"/>
  <c r="E17967" i="1"/>
  <c r="F17966" i="1"/>
  <c r="E17966" i="1"/>
  <c r="F17965" i="1"/>
  <c r="F17964" i="1"/>
  <c r="F17963" i="1"/>
  <c r="F17962" i="1"/>
  <c r="F17961" i="1"/>
  <c r="F17960" i="1"/>
  <c r="F17959" i="1"/>
  <c r="F17958" i="1"/>
  <c r="F17957" i="1"/>
  <c r="F17956" i="1"/>
  <c r="F17955" i="1"/>
  <c r="F17954" i="1"/>
  <c r="F17953" i="1"/>
  <c r="E17953" i="1"/>
  <c r="F17952" i="1"/>
  <c r="F17951" i="1"/>
  <c r="F17950" i="1"/>
  <c r="F17949" i="1"/>
  <c r="F17948" i="1"/>
  <c r="F17947" i="1"/>
  <c r="E17947" i="1"/>
  <c r="F17946" i="1"/>
  <c r="E17946" i="1"/>
  <c r="F17945" i="1"/>
  <c r="F17944" i="1"/>
  <c r="F17943" i="1"/>
  <c r="F17942" i="1"/>
  <c r="F17941" i="1"/>
  <c r="F17940" i="1"/>
  <c r="E17940" i="1"/>
  <c r="F17939" i="1"/>
  <c r="F17938" i="1"/>
  <c r="E17938" i="1"/>
  <c r="F17937" i="1"/>
  <c r="F17936" i="1"/>
  <c r="F17935" i="1"/>
  <c r="E17935" i="1"/>
  <c r="F17934" i="1"/>
  <c r="F17933" i="1"/>
  <c r="E17933" i="1"/>
  <c r="F17932" i="1"/>
  <c r="F17931" i="1"/>
  <c r="F17930" i="1"/>
  <c r="F17929" i="1"/>
  <c r="F17928" i="1"/>
  <c r="F17927" i="1"/>
  <c r="F17926" i="1"/>
  <c r="F17925" i="1"/>
  <c r="F17924" i="1"/>
  <c r="F17923" i="1"/>
  <c r="F17922" i="1"/>
  <c r="F17921" i="1"/>
  <c r="F17920" i="1"/>
  <c r="F17919" i="1"/>
  <c r="F17918" i="1"/>
  <c r="F17917" i="1"/>
  <c r="F17916" i="1"/>
  <c r="F17915" i="1"/>
  <c r="F17914" i="1"/>
  <c r="F17913" i="1"/>
  <c r="F17912" i="1"/>
  <c r="F17911" i="1"/>
  <c r="F17910" i="1"/>
  <c r="F17909" i="1"/>
  <c r="F17908" i="1"/>
  <c r="F17907" i="1"/>
  <c r="F17906" i="1"/>
  <c r="F17905" i="1"/>
  <c r="F17904" i="1"/>
  <c r="F17903" i="1"/>
  <c r="F17902" i="1"/>
  <c r="F17901" i="1"/>
  <c r="F17900" i="1"/>
  <c r="F17899" i="1"/>
  <c r="F17898" i="1"/>
  <c r="F17897" i="1"/>
  <c r="F17896" i="1"/>
  <c r="F17895" i="1"/>
  <c r="F17894" i="1"/>
  <c r="F17893" i="1"/>
  <c r="F17892" i="1"/>
  <c r="F17891" i="1"/>
  <c r="F17890" i="1"/>
  <c r="F17889" i="1"/>
  <c r="E17889" i="1"/>
  <c r="F17888" i="1"/>
  <c r="E17888" i="1"/>
  <c r="F17887" i="1"/>
  <c r="F17886" i="1"/>
  <c r="F17885" i="1"/>
  <c r="F17884" i="1"/>
  <c r="F17883" i="1"/>
  <c r="F17882" i="1"/>
  <c r="E17882" i="1"/>
  <c r="F17881" i="1"/>
  <c r="F17880" i="1"/>
  <c r="F17879" i="1"/>
  <c r="E17879" i="1"/>
  <c r="F17878" i="1"/>
  <c r="E17878" i="1"/>
  <c r="F17877" i="1"/>
  <c r="F17876" i="1"/>
  <c r="F17875" i="1"/>
  <c r="E17875" i="1"/>
  <c r="F17874" i="1"/>
  <c r="E17874" i="1"/>
  <c r="F17873" i="1"/>
  <c r="E17873" i="1"/>
  <c r="F17872" i="1"/>
  <c r="E17872" i="1"/>
  <c r="F17871" i="1"/>
  <c r="E17871" i="1"/>
  <c r="F17870" i="1"/>
  <c r="E17870" i="1"/>
  <c r="F17869" i="1"/>
  <c r="E17869" i="1"/>
  <c r="F17868" i="1"/>
  <c r="E17868" i="1"/>
  <c r="F17867" i="1"/>
  <c r="E17867" i="1"/>
  <c r="F17866" i="1"/>
  <c r="E17866" i="1"/>
  <c r="F17865" i="1"/>
  <c r="E17865" i="1"/>
  <c r="F17864" i="1"/>
  <c r="F17863" i="1"/>
  <c r="F17862" i="1"/>
  <c r="E17862" i="1"/>
  <c r="F17861" i="1"/>
  <c r="F17860" i="1"/>
  <c r="F17859" i="1"/>
  <c r="F17858" i="1"/>
  <c r="F17857" i="1"/>
  <c r="F17856" i="1"/>
  <c r="F17855" i="1"/>
  <c r="F17854" i="1"/>
  <c r="F17853" i="1"/>
  <c r="F17852" i="1"/>
  <c r="E17852" i="1"/>
  <c r="F17851" i="1"/>
  <c r="F17850" i="1"/>
  <c r="F17849" i="1"/>
  <c r="F17848" i="1"/>
  <c r="F17847" i="1"/>
  <c r="F17846" i="1"/>
  <c r="F17845" i="1"/>
  <c r="F17844" i="1"/>
  <c r="F17843" i="1"/>
  <c r="F17842" i="1"/>
  <c r="F17841" i="1"/>
  <c r="F17840" i="1"/>
  <c r="F17839" i="1"/>
  <c r="F17838" i="1"/>
  <c r="F17837" i="1"/>
  <c r="F17836" i="1"/>
  <c r="F17835" i="1"/>
  <c r="F17834" i="1"/>
  <c r="F17833" i="1"/>
  <c r="F17832" i="1"/>
  <c r="F17831" i="1"/>
  <c r="F17830" i="1"/>
  <c r="F17829" i="1"/>
  <c r="F17828" i="1"/>
  <c r="F17827" i="1"/>
  <c r="F17826" i="1"/>
  <c r="F17825" i="1"/>
  <c r="F17824" i="1"/>
  <c r="F17823" i="1"/>
  <c r="F17822" i="1"/>
  <c r="F17821" i="1"/>
  <c r="F17820" i="1"/>
  <c r="F17819" i="1"/>
  <c r="F17818" i="1"/>
  <c r="F17817" i="1"/>
  <c r="F17816" i="1"/>
  <c r="F17815" i="1"/>
  <c r="F17814" i="1"/>
  <c r="F17813" i="1"/>
  <c r="F17812" i="1"/>
  <c r="F17811" i="1"/>
  <c r="F17810" i="1"/>
  <c r="F17809" i="1"/>
  <c r="F17808" i="1"/>
  <c r="F17807" i="1"/>
  <c r="F17806" i="1"/>
  <c r="F17805" i="1"/>
  <c r="E17805" i="1"/>
  <c r="F17804" i="1"/>
  <c r="F17803" i="1"/>
  <c r="F17802" i="1"/>
  <c r="F17801" i="1"/>
  <c r="F17800" i="1"/>
  <c r="F17799" i="1"/>
  <c r="F17798" i="1"/>
  <c r="F17797" i="1"/>
  <c r="F17796" i="1"/>
  <c r="F17795" i="1"/>
  <c r="E17795" i="1"/>
  <c r="F17794" i="1"/>
  <c r="F17793" i="1"/>
  <c r="F17792" i="1"/>
  <c r="F17791" i="1"/>
  <c r="F17790" i="1"/>
  <c r="F17789" i="1"/>
  <c r="F17788" i="1"/>
  <c r="F17787" i="1"/>
  <c r="F17786" i="1"/>
  <c r="F17785" i="1"/>
  <c r="F17784" i="1"/>
  <c r="F17783" i="1"/>
  <c r="F17782" i="1"/>
  <c r="F17781" i="1"/>
  <c r="E17781" i="1"/>
  <c r="F17780" i="1"/>
  <c r="F17779" i="1"/>
  <c r="F17778" i="1"/>
  <c r="F17777" i="1"/>
  <c r="F17776" i="1"/>
  <c r="F17775" i="1"/>
  <c r="F17774" i="1"/>
  <c r="F17773" i="1"/>
  <c r="F17772" i="1"/>
  <c r="F17771" i="1"/>
  <c r="F17770" i="1"/>
  <c r="F17769" i="1"/>
  <c r="F17768" i="1"/>
  <c r="F17767" i="1"/>
  <c r="F17766" i="1"/>
  <c r="F17765" i="1"/>
  <c r="F17764" i="1"/>
  <c r="F17763" i="1"/>
  <c r="E17763" i="1"/>
  <c r="F17762" i="1"/>
  <c r="F17761" i="1"/>
  <c r="F17760" i="1"/>
  <c r="F17759" i="1"/>
  <c r="F17758" i="1"/>
  <c r="F17757" i="1"/>
  <c r="F17756" i="1"/>
  <c r="F17755" i="1"/>
  <c r="F17754" i="1"/>
  <c r="F17753" i="1"/>
  <c r="F17752" i="1"/>
  <c r="F17751" i="1"/>
  <c r="F17750" i="1"/>
  <c r="F17749" i="1"/>
  <c r="F17748" i="1"/>
  <c r="F17747" i="1"/>
  <c r="F17746" i="1"/>
  <c r="F17745" i="1"/>
  <c r="F17744" i="1"/>
  <c r="E17744" i="1"/>
  <c r="F17743" i="1"/>
  <c r="F17742" i="1"/>
  <c r="F17741" i="1"/>
  <c r="E17741" i="1"/>
  <c r="F17740" i="1"/>
  <c r="F17739" i="1"/>
  <c r="F17738" i="1"/>
  <c r="F17737" i="1"/>
  <c r="F17736" i="1"/>
  <c r="F17735" i="1"/>
  <c r="F17734" i="1"/>
  <c r="F17733" i="1"/>
  <c r="F17732" i="1"/>
  <c r="F17731" i="1"/>
  <c r="F17730" i="1"/>
  <c r="F17729" i="1"/>
  <c r="F17728" i="1"/>
  <c r="F17727" i="1"/>
  <c r="F17726" i="1"/>
  <c r="F17725" i="1"/>
  <c r="F17724" i="1"/>
  <c r="E17724" i="1"/>
  <c r="F17723" i="1"/>
  <c r="F17722" i="1"/>
  <c r="F17721" i="1"/>
  <c r="F17720" i="1"/>
  <c r="F17719" i="1"/>
  <c r="F17718" i="1"/>
  <c r="F17717" i="1"/>
  <c r="F17716" i="1"/>
  <c r="F17715" i="1"/>
  <c r="F17714" i="1"/>
  <c r="F17713" i="1"/>
  <c r="F17712" i="1"/>
  <c r="F17711" i="1"/>
  <c r="F17710" i="1"/>
  <c r="F17709" i="1"/>
  <c r="F17708" i="1"/>
  <c r="F17707" i="1"/>
  <c r="F17706" i="1"/>
  <c r="F17705" i="1"/>
  <c r="F17704" i="1"/>
  <c r="F17703" i="1"/>
  <c r="F17702" i="1"/>
  <c r="F17701" i="1"/>
  <c r="F17700" i="1"/>
  <c r="F17699" i="1"/>
  <c r="F17698" i="1"/>
  <c r="F17697" i="1"/>
  <c r="F17696" i="1"/>
  <c r="F17695" i="1"/>
  <c r="F17694" i="1"/>
  <c r="F17693" i="1"/>
  <c r="F17692" i="1"/>
  <c r="E17692" i="1"/>
  <c r="F17691" i="1"/>
  <c r="F17690" i="1"/>
  <c r="E17690" i="1"/>
  <c r="F17689" i="1"/>
  <c r="F17688" i="1"/>
  <c r="F17687" i="1"/>
  <c r="F17686" i="1"/>
  <c r="F17685" i="1"/>
  <c r="F17684" i="1"/>
  <c r="F17683" i="1"/>
  <c r="F17682" i="1"/>
  <c r="F17681" i="1"/>
  <c r="F17680" i="1"/>
  <c r="F17679" i="1"/>
  <c r="F17678" i="1"/>
  <c r="F17677" i="1"/>
  <c r="F17676" i="1"/>
  <c r="F17675" i="1"/>
  <c r="F17674" i="1"/>
  <c r="F17673" i="1"/>
  <c r="F17672" i="1"/>
  <c r="F17671" i="1"/>
  <c r="F17670" i="1"/>
  <c r="F17669" i="1"/>
  <c r="F17668" i="1"/>
  <c r="F17667" i="1"/>
  <c r="F17666" i="1"/>
  <c r="F17665" i="1"/>
  <c r="F17664" i="1"/>
  <c r="F17663" i="1"/>
  <c r="F17662" i="1"/>
  <c r="F17661" i="1"/>
  <c r="F17660" i="1"/>
  <c r="F17659" i="1"/>
  <c r="F17658" i="1"/>
  <c r="F17657" i="1"/>
  <c r="F17656" i="1"/>
  <c r="F17655" i="1"/>
  <c r="F17654" i="1"/>
  <c r="F17653" i="1"/>
  <c r="E17653" i="1"/>
  <c r="F17652" i="1"/>
  <c r="F17651" i="1"/>
  <c r="F17650" i="1"/>
  <c r="F17649" i="1"/>
  <c r="F17648" i="1"/>
  <c r="F17647" i="1"/>
  <c r="F17646" i="1"/>
  <c r="F17645" i="1"/>
  <c r="F17644" i="1"/>
  <c r="F17643" i="1"/>
  <c r="F17642" i="1"/>
  <c r="F17641" i="1"/>
  <c r="F17640" i="1"/>
  <c r="F17639" i="1"/>
  <c r="F17638" i="1"/>
  <c r="F17637" i="1"/>
  <c r="F17636" i="1"/>
  <c r="F17635" i="1"/>
  <c r="F17634" i="1"/>
  <c r="F17633" i="1"/>
  <c r="F17632" i="1"/>
  <c r="F17631" i="1"/>
  <c r="F17630" i="1"/>
  <c r="F17629" i="1"/>
  <c r="F17628" i="1"/>
  <c r="F17627" i="1"/>
  <c r="F17626" i="1"/>
  <c r="F17625" i="1"/>
  <c r="F17624" i="1"/>
  <c r="E17624" i="1"/>
  <c r="F17623" i="1"/>
  <c r="F17622" i="1"/>
  <c r="F17621" i="1"/>
  <c r="F17620" i="1"/>
  <c r="F17619" i="1"/>
  <c r="E17619" i="1"/>
  <c r="F17618" i="1"/>
  <c r="F17617" i="1"/>
  <c r="F17616" i="1"/>
  <c r="E17616" i="1"/>
  <c r="F17615" i="1"/>
  <c r="F17614" i="1"/>
  <c r="F17613" i="1"/>
  <c r="F17612" i="1"/>
  <c r="E17612" i="1"/>
  <c r="F17611" i="1"/>
  <c r="E17611" i="1"/>
  <c r="F17610" i="1"/>
  <c r="E17610" i="1"/>
  <c r="F17609" i="1"/>
  <c r="F17608" i="1"/>
  <c r="F17607" i="1"/>
  <c r="E17607" i="1"/>
  <c r="F17606" i="1"/>
  <c r="F17605" i="1"/>
  <c r="F17604" i="1"/>
  <c r="F17603" i="1"/>
  <c r="F17602" i="1"/>
  <c r="F17601" i="1"/>
  <c r="F17600" i="1"/>
  <c r="F17599" i="1"/>
  <c r="F17598" i="1"/>
  <c r="F17597" i="1"/>
  <c r="F17596" i="1"/>
  <c r="F17595" i="1"/>
  <c r="F17594" i="1"/>
  <c r="F17593" i="1"/>
  <c r="F17592" i="1"/>
  <c r="F17591" i="1"/>
  <c r="F17590" i="1"/>
  <c r="F17589" i="1"/>
  <c r="F17588" i="1"/>
  <c r="F17587" i="1"/>
  <c r="F17586" i="1"/>
  <c r="F17585" i="1"/>
  <c r="E17585" i="1"/>
  <c r="F17584" i="1"/>
  <c r="F17583" i="1"/>
  <c r="F17582" i="1"/>
  <c r="F17581" i="1"/>
  <c r="F17580" i="1"/>
  <c r="F17579" i="1"/>
  <c r="F17578" i="1"/>
  <c r="F17577" i="1"/>
  <c r="F17576" i="1"/>
  <c r="F17575" i="1"/>
  <c r="F17574" i="1"/>
  <c r="F17573" i="1"/>
  <c r="F17572" i="1"/>
  <c r="F17571" i="1"/>
  <c r="F17570" i="1"/>
  <c r="F17569" i="1"/>
  <c r="F17568" i="1"/>
  <c r="F17567" i="1"/>
  <c r="F17566" i="1"/>
  <c r="F17565" i="1"/>
  <c r="F17564" i="1"/>
  <c r="F17563" i="1"/>
  <c r="F17562" i="1"/>
  <c r="F17561" i="1"/>
  <c r="F17560" i="1"/>
  <c r="F17559" i="1"/>
  <c r="F17558" i="1"/>
  <c r="F17557" i="1"/>
  <c r="F17556" i="1"/>
  <c r="F17555" i="1"/>
  <c r="F17554" i="1"/>
  <c r="E17554" i="1"/>
  <c r="F17553" i="1"/>
  <c r="E17553" i="1"/>
  <c r="F17552" i="1"/>
  <c r="E17552" i="1"/>
  <c r="F17551" i="1"/>
  <c r="F17550" i="1"/>
  <c r="F17549" i="1"/>
  <c r="F17548" i="1"/>
  <c r="F17547" i="1"/>
  <c r="F17546" i="1"/>
  <c r="F17545" i="1"/>
  <c r="F17544" i="1"/>
  <c r="F17543" i="1"/>
  <c r="F17542" i="1"/>
  <c r="F17541" i="1"/>
  <c r="F17540" i="1"/>
  <c r="F17539" i="1"/>
  <c r="F17538" i="1"/>
  <c r="F17537" i="1"/>
  <c r="F17536" i="1"/>
  <c r="F17535" i="1"/>
  <c r="F17534" i="1"/>
  <c r="E17534" i="1"/>
  <c r="F17533" i="1"/>
  <c r="F17532" i="1"/>
  <c r="F17531" i="1"/>
  <c r="F17530" i="1"/>
  <c r="F17529" i="1"/>
  <c r="E17529" i="1"/>
  <c r="F17528" i="1"/>
  <c r="E17528" i="1"/>
  <c r="F17527" i="1"/>
  <c r="E17527" i="1"/>
  <c r="F17526" i="1"/>
  <c r="F17525" i="1"/>
  <c r="E17525" i="1"/>
  <c r="F17524" i="1"/>
  <c r="F17523" i="1"/>
  <c r="F17522" i="1"/>
  <c r="F17521" i="1"/>
  <c r="F17520" i="1"/>
  <c r="E17520" i="1"/>
  <c r="F17519" i="1"/>
  <c r="F17518" i="1"/>
  <c r="E17518" i="1"/>
  <c r="F17517" i="1"/>
  <c r="E17517" i="1"/>
  <c r="F17516" i="1"/>
  <c r="E17516" i="1"/>
  <c r="F17515" i="1"/>
  <c r="E17515" i="1"/>
  <c r="F17514" i="1"/>
  <c r="E17514" i="1"/>
  <c r="F17513" i="1"/>
  <c r="E17513" i="1"/>
  <c r="F17512" i="1"/>
  <c r="E17512" i="1"/>
  <c r="F17511" i="1"/>
  <c r="E17511" i="1"/>
  <c r="F17510" i="1"/>
  <c r="E17510" i="1"/>
  <c r="F17509" i="1"/>
  <c r="E17509" i="1"/>
  <c r="F17508" i="1"/>
  <c r="E17508" i="1"/>
  <c r="F17507" i="1"/>
  <c r="E17507" i="1"/>
  <c r="F17506" i="1"/>
  <c r="E17506" i="1"/>
  <c r="F17505" i="1"/>
  <c r="E17505" i="1"/>
  <c r="F17504" i="1"/>
  <c r="E17504" i="1"/>
  <c r="F17503" i="1"/>
  <c r="E17503" i="1"/>
  <c r="F17502" i="1"/>
  <c r="E17502" i="1"/>
  <c r="F17501" i="1"/>
  <c r="E17501" i="1"/>
  <c r="F17500" i="1"/>
  <c r="E17500" i="1"/>
  <c r="F17499" i="1"/>
  <c r="E17499" i="1"/>
  <c r="F17498" i="1"/>
  <c r="E17498" i="1"/>
  <c r="F17497" i="1"/>
  <c r="E17497" i="1"/>
  <c r="F17496" i="1"/>
  <c r="E17496" i="1"/>
  <c r="F17495" i="1"/>
  <c r="E17495" i="1"/>
  <c r="F17494" i="1"/>
  <c r="E17494" i="1"/>
  <c r="F17493" i="1"/>
  <c r="E17493" i="1"/>
  <c r="F17492" i="1"/>
  <c r="E17492" i="1"/>
  <c r="F17491" i="1"/>
  <c r="E17491" i="1"/>
  <c r="F17490" i="1"/>
  <c r="E17490" i="1"/>
  <c r="F17489" i="1"/>
  <c r="E17489" i="1"/>
  <c r="F17488" i="1"/>
  <c r="E17488" i="1"/>
  <c r="F17487" i="1"/>
  <c r="E17487" i="1"/>
  <c r="F17486" i="1"/>
  <c r="E17486" i="1"/>
  <c r="F17485" i="1"/>
  <c r="E17485" i="1"/>
  <c r="F17484" i="1"/>
  <c r="E17484" i="1"/>
  <c r="F17483" i="1"/>
  <c r="E17483" i="1"/>
  <c r="F17482" i="1"/>
  <c r="E17482" i="1"/>
  <c r="F17481" i="1"/>
  <c r="E17481" i="1"/>
  <c r="F17480" i="1"/>
  <c r="E17480" i="1"/>
  <c r="F17479" i="1"/>
  <c r="E17479" i="1"/>
  <c r="F17478" i="1"/>
  <c r="E17478" i="1"/>
  <c r="F17477" i="1"/>
  <c r="E17477" i="1"/>
  <c r="F17476" i="1"/>
  <c r="E17476" i="1"/>
  <c r="F17475" i="1"/>
  <c r="E17475" i="1"/>
  <c r="F17474" i="1"/>
  <c r="E17474" i="1"/>
  <c r="F17473" i="1"/>
  <c r="E17473" i="1"/>
  <c r="F17472" i="1"/>
  <c r="E17472" i="1"/>
  <c r="F17471" i="1"/>
  <c r="E17471" i="1"/>
  <c r="F17470" i="1"/>
  <c r="E17470" i="1"/>
  <c r="F17469" i="1"/>
  <c r="E17469" i="1"/>
  <c r="F17468" i="1"/>
  <c r="E17468" i="1"/>
  <c r="F17467" i="1"/>
  <c r="E17467" i="1"/>
  <c r="F17466" i="1"/>
  <c r="E17466" i="1"/>
  <c r="F17465" i="1"/>
  <c r="E17465" i="1"/>
  <c r="F17464" i="1"/>
  <c r="E17464" i="1"/>
  <c r="F17463" i="1"/>
  <c r="E17463" i="1"/>
  <c r="F17462" i="1"/>
  <c r="E17462" i="1"/>
  <c r="F17461" i="1"/>
  <c r="E17461" i="1"/>
  <c r="F17460" i="1"/>
  <c r="E17460" i="1"/>
  <c r="F17459" i="1"/>
  <c r="E17459" i="1"/>
  <c r="F17458" i="1"/>
  <c r="E17458" i="1"/>
  <c r="F17457" i="1"/>
  <c r="E17457" i="1"/>
  <c r="F17456" i="1"/>
  <c r="E17456" i="1"/>
  <c r="F17455" i="1"/>
  <c r="E17455" i="1"/>
  <c r="F17454" i="1"/>
  <c r="E17454" i="1"/>
  <c r="F17453" i="1"/>
  <c r="E17453" i="1"/>
  <c r="F17452" i="1"/>
  <c r="E17452" i="1"/>
  <c r="F17451" i="1"/>
  <c r="E17451" i="1"/>
  <c r="F17450" i="1"/>
  <c r="E17450" i="1"/>
  <c r="F17449" i="1"/>
  <c r="E17449" i="1"/>
  <c r="F17448" i="1"/>
  <c r="E17448" i="1"/>
  <c r="F17447" i="1"/>
  <c r="E17447" i="1"/>
  <c r="F17446" i="1"/>
  <c r="E17446" i="1"/>
  <c r="F17445" i="1"/>
  <c r="E17445" i="1"/>
  <c r="F17444" i="1"/>
  <c r="E17444" i="1"/>
  <c r="F17443" i="1"/>
  <c r="E17443" i="1"/>
  <c r="F17442" i="1"/>
  <c r="E17442" i="1"/>
  <c r="F17441" i="1"/>
  <c r="E17441" i="1"/>
  <c r="F17440" i="1"/>
  <c r="E17440" i="1"/>
  <c r="F17439" i="1"/>
  <c r="E17439" i="1"/>
  <c r="F17438" i="1"/>
  <c r="E17438" i="1"/>
  <c r="F17437" i="1"/>
  <c r="E17437" i="1"/>
  <c r="F17436" i="1"/>
  <c r="E17436" i="1"/>
  <c r="F17435" i="1"/>
  <c r="E17435" i="1"/>
  <c r="F17434" i="1"/>
  <c r="E17434" i="1"/>
  <c r="F17433" i="1"/>
  <c r="E17433" i="1"/>
  <c r="F17432" i="1"/>
  <c r="E17432" i="1"/>
  <c r="F17431" i="1"/>
  <c r="E17431" i="1"/>
  <c r="F17430" i="1"/>
  <c r="E17430" i="1"/>
  <c r="F17429" i="1"/>
  <c r="F17428" i="1"/>
  <c r="F17427" i="1"/>
  <c r="F17426" i="1"/>
  <c r="F17425" i="1"/>
  <c r="F17424" i="1"/>
  <c r="F17423" i="1"/>
  <c r="F17422" i="1"/>
  <c r="F17421" i="1"/>
  <c r="F17420" i="1"/>
  <c r="F17419" i="1"/>
  <c r="F17418" i="1"/>
  <c r="F17417" i="1"/>
  <c r="F17416" i="1"/>
  <c r="F17415" i="1"/>
  <c r="F17414" i="1"/>
  <c r="F17413" i="1"/>
  <c r="F17412" i="1"/>
  <c r="F17411" i="1"/>
  <c r="F17410" i="1"/>
  <c r="F17409" i="1"/>
  <c r="F17408" i="1"/>
  <c r="F17407" i="1"/>
  <c r="F17406" i="1"/>
  <c r="F17405" i="1"/>
  <c r="F17404" i="1"/>
  <c r="F17403" i="1"/>
  <c r="F17402" i="1"/>
  <c r="F17401" i="1"/>
  <c r="F17400" i="1"/>
  <c r="F17399" i="1"/>
  <c r="F17398" i="1"/>
  <c r="F17397" i="1"/>
  <c r="F17396" i="1"/>
  <c r="F17395" i="1"/>
  <c r="F17394" i="1"/>
  <c r="F17393" i="1"/>
  <c r="F17392" i="1"/>
  <c r="F17391" i="1"/>
  <c r="E17391" i="1"/>
  <c r="F17390" i="1"/>
  <c r="F17389" i="1"/>
  <c r="F17388" i="1"/>
  <c r="E17388" i="1"/>
  <c r="F17387" i="1"/>
  <c r="E17387" i="1"/>
  <c r="F17386" i="1"/>
  <c r="E17386" i="1"/>
  <c r="F17385" i="1"/>
  <c r="E17385" i="1"/>
  <c r="F17384" i="1"/>
  <c r="E17384" i="1"/>
  <c r="F17383" i="1"/>
  <c r="E17383" i="1"/>
  <c r="F17382" i="1"/>
  <c r="E17382" i="1"/>
  <c r="F17381" i="1"/>
  <c r="E17381" i="1"/>
  <c r="F17380" i="1"/>
  <c r="E17380" i="1"/>
  <c r="F17379" i="1"/>
  <c r="E17379" i="1"/>
  <c r="F17378" i="1"/>
  <c r="E17378" i="1"/>
  <c r="F17377" i="1"/>
  <c r="E17377" i="1"/>
  <c r="F17376" i="1"/>
  <c r="E17376" i="1"/>
  <c r="F17375" i="1"/>
  <c r="E17375" i="1"/>
  <c r="F17374" i="1"/>
  <c r="E17374" i="1"/>
  <c r="F17373" i="1"/>
  <c r="E17373" i="1"/>
  <c r="F17372" i="1"/>
  <c r="E17372" i="1"/>
  <c r="F17371" i="1"/>
  <c r="E17371" i="1"/>
  <c r="F17370" i="1"/>
  <c r="E17370" i="1"/>
  <c r="F17369" i="1"/>
  <c r="E17369" i="1"/>
  <c r="F17368" i="1"/>
  <c r="F17367" i="1"/>
  <c r="F17366" i="1"/>
  <c r="F17365" i="1"/>
  <c r="F17364" i="1"/>
  <c r="F17363" i="1"/>
  <c r="F17362" i="1"/>
  <c r="F17361" i="1"/>
  <c r="F17360" i="1"/>
  <c r="F17359" i="1"/>
  <c r="F17358" i="1"/>
  <c r="F17357" i="1"/>
  <c r="F17356" i="1"/>
  <c r="F17355" i="1"/>
  <c r="F17354" i="1"/>
  <c r="F17353" i="1"/>
  <c r="F17352" i="1"/>
  <c r="F17351" i="1"/>
  <c r="F17350" i="1"/>
  <c r="F17349" i="1"/>
  <c r="F17348" i="1"/>
  <c r="F17347" i="1"/>
  <c r="F17346" i="1"/>
  <c r="F17345" i="1"/>
  <c r="F17344" i="1"/>
  <c r="F17343" i="1"/>
  <c r="F17342" i="1"/>
  <c r="F17341" i="1"/>
  <c r="F17340" i="1"/>
  <c r="F17339" i="1"/>
  <c r="F17338" i="1"/>
  <c r="F17337" i="1"/>
  <c r="F17336" i="1"/>
  <c r="E17336" i="1"/>
  <c r="F17335" i="1"/>
  <c r="E17335" i="1"/>
  <c r="F17334" i="1"/>
  <c r="E17334" i="1"/>
  <c r="F17333" i="1"/>
  <c r="E17333" i="1"/>
  <c r="F17332" i="1"/>
  <c r="E17332" i="1"/>
  <c r="F17331" i="1"/>
  <c r="E17331" i="1"/>
  <c r="F17330" i="1"/>
  <c r="E17330" i="1"/>
  <c r="F17329" i="1"/>
  <c r="E17329" i="1"/>
  <c r="F17328" i="1"/>
  <c r="E17328" i="1"/>
  <c r="F17327" i="1"/>
  <c r="E17327" i="1"/>
  <c r="F17326" i="1"/>
  <c r="E17326" i="1"/>
  <c r="F17325" i="1"/>
  <c r="E17325" i="1"/>
  <c r="F17324" i="1"/>
  <c r="F17323" i="1"/>
  <c r="F17322" i="1"/>
  <c r="E17322" i="1"/>
  <c r="F17321" i="1"/>
  <c r="E17321" i="1"/>
  <c r="F17320" i="1"/>
  <c r="E17320" i="1"/>
  <c r="F17319" i="1"/>
  <c r="F17318" i="1"/>
  <c r="E17318" i="1"/>
  <c r="F17317" i="1"/>
  <c r="E17317" i="1"/>
  <c r="F17316" i="1"/>
  <c r="F17315" i="1"/>
  <c r="E17315" i="1"/>
  <c r="F17314" i="1"/>
  <c r="F17313" i="1"/>
  <c r="F17312" i="1"/>
  <c r="F17311" i="1"/>
  <c r="F17310" i="1"/>
  <c r="F17309" i="1"/>
  <c r="F17308" i="1"/>
  <c r="F17307" i="1"/>
  <c r="F17306" i="1"/>
  <c r="F17305" i="1"/>
  <c r="F17304" i="1"/>
  <c r="F17303" i="1"/>
  <c r="F17302" i="1"/>
  <c r="F17301" i="1"/>
  <c r="F17300" i="1"/>
  <c r="F17299" i="1"/>
  <c r="F17298" i="1"/>
  <c r="F17297" i="1"/>
  <c r="F17296" i="1"/>
  <c r="F17295" i="1"/>
  <c r="F17294" i="1"/>
  <c r="F17293" i="1"/>
  <c r="F17292" i="1"/>
  <c r="F17291" i="1"/>
  <c r="F17290" i="1"/>
  <c r="F17289" i="1"/>
  <c r="F17288" i="1"/>
  <c r="F17287" i="1"/>
  <c r="F17286" i="1"/>
  <c r="F17285" i="1"/>
  <c r="F17284" i="1"/>
  <c r="F17283" i="1"/>
  <c r="F17282" i="1"/>
  <c r="F17281" i="1"/>
  <c r="F17280" i="1"/>
  <c r="F17279" i="1"/>
  <c r="F17278" i="1"/>
  <c r="F17277" i="1"/>
  <c r="F17276" i="1"/>
  <c r="F17275" i="1"/>
  <c r="F17274" i="1"/>
  <c r="F17273" i="1"/>
  <c r="F17272" i="1"/>
  <c r="F17271" i="1"/>
  <c r="F17270" i="1"/>
  <c r="F17269" i="1"/>
  <c r="F17268" i="1"/>
  <c r="F17267" i="1"/>
  <c r="F17266" i="1"/>
  <c r="F17265" i="1"/>
  <c r="F17264" i="1"/>
  <c r="F17263" i="1"/>
  <c r="F17262" i="1"/>
  <c r="F17261" i="1"/>
  <c r="F17260" i="1"/>
  <c r="F17259" i="1"/>
  <c r="F17258" i="1"/>
  <c r="F17257" i="1"/>
  <c r="F17256" i="1"/>
  <c r="F17255" i="1"/>
  <c r="F17254" i="1"/>
  <c r="F17253" i="1"/>
  <c r="F17252" i="1"/>
  <c r="F17251" i="1"/>
  <c r="F17250" i="1"/>
  <c r="F17249" i="1"/>
  <c r="F17248" i="1"/>
  <c r="F17247" i="1"/>
  <c r="F17246" i="1"/>
  <c r="F17245" i="1"/>
  <c r="F17244" i="1"/>
  <c r="F17243" i="1"/>
  <c r="F17242" i="1"/>
  <c r="F17241" i="1"/>
  <c r="F17240" i="1"/>
  <c r="F17239" i="1"/>
  <c r="F17238" i="1"/>
  <c r="F17237" i="1"/>
  <c r="F17236" i="1"/>
  <c r="F17235" i="1"/>
  <c r="F17234" i="1"/>
  <c r="F17233" i="1"/>
  <c r="F17232" i="1"/>
  <c r="F17231" i="1"/>
  <c r="F17230" i="1"/>
  <c r="F17229" i="1"/>
  <c r="F17228" i="1"/>
  <c r="F17227" i="1"/>
  <c r="F17226" i="1"/>
  <c r="F17225" i="1"/>
  <c r="F17224" i="1"/>
  <c r="F17223" i="1"/>
  <c r="F17222" i="1"/>
  <c r="F17221" i="1"/>
  <c r="F17220" i="1"/>
  <c r="F17219" i="1"/>
  <c r="F17218" i="1"/>
  <c r="F17217" i="1"/>
  <c r="F17216" i="1"/>
  <c r="F17215" i="1"/>
  <c r="F17214" i="1"/>
  <c r="F17213" i="1"/>
  <c r="F17212" i="1"/>
  <c r="F17211" i="1"/>
  <c r="F17210" i="1"/>
  <c r="F17209" i="1"/>
  <c r="F17208" i="1"/>
  <c r="F17207" i="1"/>
  <c r="F17206" i="1"/>
  <c r="F17205" i="1"/>
  <c r="F17204" i="1"/>
  <c r="F17203" i="1"/>
  <c r="F17202" i="1"/>
  <c r="F17201" i="1"/>
  <c r="F17200" i="1"/>
  <c r="F17199" i="1"/>
  <c r="F17198" i="1"/>
  <c r="F17197" i="1"/>
  <c r="F17196" i="1"/>
  <c r="F17195" i="1"/>
  <c r="F17194" i="1"/>
  <c r="F17193" i="1"/>
  <c r="F17192" i="1"/>
  <c r="F17191" i="1"/>
  <c r="F17190" i="1"/>
  <c r="F17189" i="1"/>
  <c r="F17188" i="1"/>
  <c r="F17187" i="1"/>
  <c r="F17186" i="1"/>
  <c r="F17185" i="1"/>
  <c r="F17184" i="1"/>
  <c r="F17183" i="1"/>
  <c r="F17182" i="1"/>
  <c r="E17182" i="1"/>
  <c r="F17181" i="1"/>
  <c r="E17181" i="1"/>
  <c r="F17180" i="1"/>
  <c r="E17180" i="1"/>
  <c r="F17179" i="1"/>
  <c r="E17179" i="1"/>
  <c r="F17178" i="1"/>
  <c r="E17178" i="1"/>
  <c r="F17177" i="1"/>
  <c r="E17177" i="1"/>
  <c r="F17176" i="1"/>
  <c r="E17176" i="1"/>
  <c r="F17175" i="1"/>
  <c r="E17175" i="1"/>
  <c r="F17174" i="1"/>
  <c r="E17174" i="1"/>
  <c r="F17173" i="1"/>
  <c r="E17173" i="1"/>
  <c r="F17172" i="1"/>
  <c r="E17172" i="1"/>
  <c r="F17171" i="1"/>
  <c r="E17171" i="1"/>
  <c r="F17170" i="1"/>
  <c r="E17170" i="1"/>
  <c r="F17169" i="1"/>
  <c r="E17169" i="1"/>
  <c r="F17168" i="1"/>
  <c r="E17168" i="1"/>
  <c r="F17167" i="1"/>
  <c r="E17167" i="1"/>
  <c r="F17166" i="1"/>
  <c r="E17166" i="1"/>
  <c r="F17165" i="1"/>
  <c r="E17165" i="1"/>
  <c r="F17164" i="1"/>
  <c r="E17164" i="1"/>
  <c r="F17163" i="1"/>
  <c r="E17163" i="1"/>
  <c r="F17162" i="1"/>
  <c r="E17162" i="1"/>
  <c r="F17161" i="1"/>
  <c r="E17161" i="1"/>
  <c r="F17160" i="1"/>
  <c r="E17160" i="1"/>
  <c r="F17159" i="1"/>
  <c r="E17159" i="1"/>
  <c r="F17158" i="1"/>
  <c r="E17158" i="1"/>
  <c r="F17157" i="1"/>
  <c r="E17157" i="1"/>
  <c r="F17156" i="1"/>
  <c r="E17156" i="1"/>
  <c r="F17155" i="1"/>
  <c r="E17155" i="1"/>
  <c r="F17154" i="1"/>
  <c r="E17154" i="1"/>
  <c r="F17153" i="1"/>
  <c r="E17153" i="1"/>
  <c r="F17152" i="1"/>
  <c r="E17152" i="1"/>
  <c r="F17151" i="1"/>
  <c r="E17151" i="1"/>
  <c r="F17150" i="1"/>
  <c r="E17150" i="1"/>
  <c r="F17149" i="1"/>
  <c r="E17149" i="1"/>
  <c r="F17148" i="1"/>
  <c r="E17148" i="1"/>
  <c r="F17147" i="1"/>
  <c r="E17147" i="1"/>
  <c r="F17146" i="1"/>
  <c r="E17146" i="1"/>
  <c r="F17145" i="1"/>
  <c r="E17145" i="1"/>
  <c r="F17144" i="1"/>
  <c r="E17144" i="1"/>
  <c r="F17143" i="1"/>
  <c r="E17143" i="1"/>
  <c r="F17142" i="1"/>
  <c r="E17142" i="1"/>
  <c r="F17141" i="1"/>
  <c r="E17141" i="1"/>
  <c r="F17140" i="1"/>
  <c r="E17140" i="1"/>
  <c r="F17139" i="1"/>
  <c r="E17139" i="1"/>
  <c r="F17138" i="1"/>
  <c r="E17138" i="1"/>
  <c r="F17137" i="1"/>
  <c r="E17137" i="1"/>
  <c r="F17136" i="1"/>
  <c r="E17136" i="1"/>
  <c r="F17135" i="1"/>
  <c r="E17135" i="1"/>
  <c r="F17134" i="1"/>
  <c r="E17134" i="1"/>
  <c r="F17133" i="1"/>
  <c r="E17133" i="1"/>
  <c r="F17132" i="1"/>
  <c r="E17132" i="1"/>
  <c r="F17131" i="1"/>
  <c r="E17131" i="1"/>
  <c r="F17130" i="1"/>
  <c r="E17130" i="1"/>
  <c r="F17129" i="1"/>
  <c r="E17129" i="1"/>
  <c r="F17128" i="1"/>
  <c r="E17128" i="1"/>
  <c r="F17127" i="1"/>
  <c r="E17127" i="1"/>
  <c r="F17126" i="1"/>
  <c r="E17126" i="1"/>
  <c r="F17125" i="1"/>
  <c r="E17125" i="1"/>
  <c r="F17124" i="1"/>
  <c r="E17124" i="1"/>
  <c r="F17123" i="1"/>
  <c r="E17123" i="1"/>
  <c r="F17122" i="1"/>
  <c r="E17122" i="1"/>
  <c r="F17121" i="1"/>
  <c r="E17121" i="1"/>
  <c r="F17120" i="1"/>
  <c r="E17120" i="1"/>
  <c r="F17119" i="1"/>
  <c r="E17119" i="1"/>
  <c r="F17118" i="1"/>
  <c r="E17118" i="1"/>
  <c r="F17117" i="1"/>
  <c r="E17117" i="1"/>
  <c r="F17116" i="1"/>
  <c r="E17116" i="1"/>
  <c r="F17115" i="1"/>
  <c r="E17115" i="1"/>
  <c r="F17114" i="1"/>
  <c r="E17114" i="1"/>
  <c r="F17113" i="1"/>
  <c r="E17113" i="1"/>
  <c r="F17112" i="1"/>
  <c r="E17112" i="1"/>
  <c r="F17111" i="1"/>
  <c r="E17111" i="1"/>
  <c r="F17110" i="1"/>
  <c r="E17110" i="1"/>
  <c r="F17109" i="1"/>
  <c r="E17109" i="1"/>
  <c r="F17108" i="1"/>
  <c r="E17108" i="1"/>
  <c r="F17107" i="1"/>
  <c r="E17107" i="1"/>
  <c r="F17106" i="1"/>
  <c r="E17106" i="1"/>
  <c r="F17105" i="1"/>
  <c r="E17105" i="1"/>
  <c r="F17104" i="1"/>
  <c r="E17104" i="1"/>
  <c r="F17103" i="1"/>
  <c r="E17103" i="1"/>
  <c r="F17102" i="1"/>
  <c r="E17102" i="1"/>
  <c r="F17101" i="1"/>
  <c r="E17101" i="1"/>
  <c r="F17100" i="1"/>
  <c r="E17100" i="1"/>
  <c r="F17099" i="1"/>
  <c r="E17099" i="1"/>
  <c r="F17098" i="1"/>
  <c r="E17098" i="1"/>
  <c r="F17097" i="1"/>
  <c r="E17097" i="1"/>
  <c r="F17096" i="1"/>
  <c r="E17096" i="1"/>
  <c r="F17095" i="1"/>
  <c r="E17095" i="1"/>
  <c r="F17094" i="1"/>
  <c r="E17094" i="1"/>
  <c r="F17093" i="1"/>
  <c r="E17093" i="1"/>
  <c r="F17092" i="1"/>
  <c r="E17092" i="1"/>
  <c r="F17091" i="1"/>
  <c r="E17091" i="1"/>
  <c r="F17090" i="1"/>
  <c r="E17090" i="1"/>
  <c r="F17089" i="1"/>
  <c r="E17089" i="1"/>
  <c r="F17088" i="1"/>
  <c r="E17088" i="1"/>
  <c r="F17087" i="1"/>
  <c r="E17087" i="1"/>
  <c r="F17086" i="1"/>
  <c r="E17086" i="1"/>
  <c r="F17085" i="1"/>
  <c r="E17085" i="1"/>
  <c r="F17084" i="1"/>
  <c r="E17084" i="1"/>
  <c r="F17083" i="1"/>
  <c r="E17083" i="1"/>
  <c r="F17082" i="1"/>
  <c r="E17082" i="1"/>
  <c r="F17081" i="1"/>
  <c r="E17081" i="1"/>
  <c r="F17080" i="1"/>
  <c r="E17080" i="1"/>
  <c r="F17079" i="1"/>
  <c r="E17079" i="1"/>
  <c r="F17078" i="1"/>
  <c r="E17078" i="1"/>
  <c r="F17077" i="1"/>
  <c r="E17077" i="1"/>
  <c r="F17076" i="1"/>
  <c r="E17076" i="1"/>
  <c r="F17075" i="1"/>
  <c r="E17075" i="1"/>
  <c r="F17074" i="1"/>
  <c r="E17074" i="1"/>
  <c r="F17073" i="1"/>
  <c r="E17073" i="1"/>
  <c r="F17072" i="1"/>
  <c r="F17071" i="1"/>
  <c r="F17070" i="1"/>
  <c r="F17069" i="1"/>
  <c r="F17068" i="1"/>
  <c r="F17067" i="1"/>
  <c r="F17066" i="1"/>
  <c r="F17065" i="1"/>
  <c r="F17064" i="1"/>
  <c r="F17063" i="1"/>
  <c r="F17062" i="1"/>
  <c r="F17061" i="1"/>
  <c r="F17060" i="1"/>
  <c r="F17059" i="1"/>
  <c r="F17058" i="1"/>
  <c r="F17057" i="1"/>
  <c r="F17056" i="1"/>
  <c r="F17055" i="1"/>
  <c r="F17054" i="1"/>
  <c r="E17054" i="1"/>
  <c r="F17053" i="1"/>
  <c r="E17053" i="1"/>
  <c r="F17052" i="1"/>
  <c r="E17052" i="1"/>
  <c r="F17051" i="1"/>
  <c r="E17051" i="1"/>
  <c r="F17050" i="1"/>
  <c r="E17050" i="1"/>
  <c r="F17049" i="1"/>
  <c r="E17049" i="1"/>
  <c r="F17048" i="1"/>
  <c r="E17048" i="1"/>
  <c r="F17047" i="1"/>
  <c r="E17047" i="1"/>
  <c r="F17046" i="1"/>
  <c r="E17046" i="1"/>
  <c r="F17045" i="1"/>
  <c r="E17045" i="1"/>
  <c r="F17044" i="1"/>
  <c r="E17044" i="1"/>
  <c r="F17043" i="1"/>
  <c r="E17043" i="1"/>
  <c r="F17042" i="1"/>
  <c r="E17042" i="1"/>
  <c r="F17041" i="1"/>
  <c r="E17041" i="1"/>
  <c r="F17040" i="1"/>
  <c r="E17040" i="1"/>
  <c r="F17039" i="1"/>
  <c r="E17039" i="1"/>
  <c r="F17038" i="1"/>
  <c r="E17038" i="1"/>
  <c r="F17037" i="1"/>
  <c r="E17037" i="1"/>
  <c r="F17036" i="1"/>
  <c r="E17036" i="1"/>
  <c r="F17035" i="1"/>
  <c r="E17035" i="1"/>
  <c r="F17034" i="1"/>
  <c r="E17034" i="1"/>
  <c r="F17033" i="1"/>
  <c r="E17033" i="1"/>
  <c r="F17032" i="1"/>
  <c r="E17032" i="1"/>
  <c r="F17031" i="1"/>
  <c r="E17031" i="1"/>
  <c r="F17030" i="1"/>
  <c r="E17030" i="1"/>
  <c r="F17029" i="1"/>
  <c r="E17029" i="1"/>
  <c r="F17028" i="1"/>
  <c r="E17028" i="1"/>
  <c r="F17027" i="1"/>
  <c r="E17027" i="1"/>
  <c r="F17026" i="1"/>
  <c r="E17026" i="1"/>
  <c r="F17025" i="1"/>
  <c r="E17025" i="1"/>
  <c r="F17024" i="1"/>
  <c r="E17024" i="1"/>
  <c r="F17023" i="1"/>
  <c r="E17023" i="1"/>
  <c r="F17022" i="1"/>
  <c r="E17022" i="1"/>
  <c r="F17021" i="1"/>
  <c r="E17021" i="1"/>
  <c r="F17020" i="1"/>
  <c r="E17020" i="1"/>
  <c r="F17019" i="1"/>
  <c r="E17019" i="1"/>
  <c r="F17018" i="1"/>
  <c r="E17018" i="1"/>
  <c r="F17017" i="1"/>
  <c r="E17017" i="1"/>
  <c r="F17016" i="1"/>
  <c r="E17016" i="1"/>
  <c r="F17015" i="1"/>
  <c r="E17015" i="1"/>
  <c r="F17014" i="1"/>
  <c r="E17014" i="1"/>
  <c r="F17013" i="1"/>
  <c r="E17013" i="1"/>
  <c r="F17012" i="1"/>
  <c r="E17012" i="1"/>
  <c r="F17011" i="1"/>
  <c r="E17011" i="1"/>
  <c r="F17010" i="1"/>
  <c r="E17010" i="1"/>
  <c r="F17009" i="1"/>
  <c r="F17008" i="1"/>
  <c r="E17008" i="1"/>
  <c r="F17007" i="1"/>
  <c r="E17007" i="1"/>
  <c r="F17006" i="1"/>
  <c r="E17006" i="1"/>
  <c r="F17005" i="1"/>
  <c r="E17005" i="1"/>
  <c r="F17004" i="1"/>
  <c r="E17004" i="1"/>
  <c r="F17003" i="1"/>
  <c r="E17003" i="1"/>
  <c r="F17002" i="1"/>
  <c r="E17002" i="1"/>
  <c r="F17001" i="1"/>
  <c r="E17001" i="1"/>
  <c r="F17000" i="1"/>
  <c r="E17000" i="1"/>
  <c r="F16999" i="1"/>
  <c r="E16999" i="1"/>
  <c r="F16998" i="1"/>
  <c r="E16998" i="1"/>
  <c r="F16997" i="1"/>
  <c r="F16996" i="1"/>
  <c r="E16996" i="1"/>
  <c r="F16995" i="1"/>
  <c r="E16995" i="1"/>
  <c r="F16994" i="1"/>
  <c r="E16994" i="1"/>
  <c r="F16993" i="1"/>
  <c r="F16992" i="1"/>
  <c r="F16991" i="1"/>
  <c r="F16990" i="1"/>
  <c r="E16990" i="1"/>
  <c r="F16989" i="1"/>
  <c r="E16989" i="1"/>
  <c r="F16988" i="1"/>
  <c r="F16987" i="1"/>
  <c r="E16987" i="1"/>
  <c r="F16986" i="1"/>
  <c r="E16986" i="1"/>
  <c r="F16985" i="1"/>
  <c r="E16985" i="1"/>
  <c r="F16984" i="1"/>
  <c r="E16984" i="1"/>
  <c r="F16983" i="1"/>
  <c r="E16983" i="1"/>
  <c r="F16982" i="1"/>
  <c r="E16982" i="1"/>
  <c r="F16981" i="1"/>
  <c r="E16981" i="1"/>
  <c r="F16980" i="1"/>
  <c r="E16980" i="1"/>
  <c r="F16979" i="1"/>
  <c r="E16979" i="1"/>
  <c r="F16978" i="1"/>
  <c r="E16978" i="1"/>
  <c r="F16977" i="1"/>
  <c r="E16977" i="1"/>
  <c r="F16976" i="1"/>
  <c r="E16976" i="1"/>
  <c r="F16975" i="1"/>
  <c r="E16975" i="1"/>
  <c r="F16974" i="1"/>
  <c r="E16974" i="1"/>
  <c r="F16973" i="1"/>
  <c r="E16973" i="1"/>
  <c r="F16972" i="1"/>
  <c r="E16972" i="1"/>
  <c r="F16971" i="1"/>
  <c r="E16971" i="1"/>
  <c r="F16970" i="1"/>
  <c r="E16970" i="1"/>
  <c r="F16969" i="1"/>
  <c r="E16969" i="1"/>
  <c r="F16968" i="1"/>
  <c r="E16968" i="1"/>
  <c r="F16967" i="1"/>
  <c r="E16967" i="1"/>
  <c r="F16966" i="1"/>
  <c r="E16966" i="1"/>
  <c r="F16965" i="1"/>
  <c r="E16965" i="1"/>
  <c r="F16964" i="1"/>
  <c r="E16964" i="1"/>
  <c r="F16963" i="1"/>
  <c r="E16963" i="1"/>
  <c r="F16962" i="1"/>
  <c r="E16962" i="1"/>
  <c r="F16961" i="1"/>
  <c r="E16961" i="1"/>
  <c r="F16960" i="1"/>
  <c r="E16960" i="1"/>
  <c r="F16959" i="1"/>
  <c r="E16959" i="1"/>
  <c r="F16958" i="1"/>
  <c r="E16958" i="1"/>
  <c r="F16957" i="1"/>
  <c r="E16957" i="1"/>
  <c r="F16956" i="1"/>
  <c r="E16956" i="1"/>
  <c r="F16955" i="1"/>
  <c r="E16955" i="1"/>
  <c r="F16954" i="1"/>
  <c r="E16954" i="1"/>
  <c r="F16953" i="1"/>
  <c r="E16953" i="1"/>
  <c r="F16952" i="1"/>
  <c r="E16952" i="1"/>
  <c r="F16951" i="1"/>
  <c r="E16951" i="1"/>
  <c r="F16950" i="1"/>
  <c r="E16950" i="1"/>
  <c r="F16949" i="1"/>
  <c r="E16949" i="1"/>
  <c r="F16948" i="1"/>
  <c r="E16948" i="1"/>
  <c r="F16947" i="1"/>
  <c r="E16947" i="1"/>
  <c r="F16946" i="1"/>
  <c r="E16946" i="1"/>
  <c r="F16945" i="1"/>
  <c r="E16945" i="1"/>
  <c r="F16944" i="1"/>
  <c r="E16944" i="1"/>
  <c r="F16943" i="1"/>
  <c r="E16943" i="1"/>
  <c r="F16942" i="1"/>
  <c r="E16942" i="1"/>
  <c r="F16941" i="1"/>
  <c r="E16941" i="1"/>
  <c r="F16940" i="1"/>
  <c r="E16940" i="1"/>
  <c r="F16939" i="1"/>
  <c r="E16939" i="1"/>
  <c r="F16938" i="1"/>
  <c r="E16938" i="1"/>
  <c r="F16937" i="1"/>
  <c r="E16937" i="1"/>
  <c r="F16936" i="1"/>
  <c r="E16936" i="1"/>
  <c r="F16935" i="1"/>
  <c r="E16935" i="1"/>
  <c r="F16934" i="1"/>
  <c r="E16934" i="1"/>
  <c r="F16933" i="1"/>
  <c r="E16933" i="1"/>
  <c r="F16932" i="1"/>
  <c r="E16932" i="1"/>
  <c r="F16931" i="1"/>
  <c r="E16931" i="1"/>
  <c r="F16930" i="1"/>
  <c r="E16930" i="1"/>
  <c r="F16929" i="1"/>
  <c r="E16929" i="1"/>
  <c r="F16928" i="1"/>
  <c r="E16928" i="1"/>
  <c r="F16927" i="1"/>
  <c r="E16927" i="1"/>
  <c r="F16926" i="1"/>
  <c r="E16926" i="1"/>
  <c r="F16925" i="1"/>
  <c r="E16925" i="1"/>
  <c r="F16924" i="1"/>
  <c r="E16924" i="1"/>
  <c r="F16923" i="1"/>
  <c r="E16923" i="1"/>
  <c r="F16922" i="1"/>
  <c r="E16922" i="1"/>
  <c r="F16921" i="1"/>
  <c r="E16921" i="1"/>
  <c r="F16920" i="1"/>
  <c r="E16920" i="1"/>
  <c r="F16919" i="1"/>
  <c r="E16919" i="1"/>
  <c r="F16918" i="1"/>
  <c r="E16918" i="1"/>
  <c r="F16917" i="1"/>
  <c r="E16917" i="1"/>
  <c r="F16916" i="1"/>
  <c r="E16916" i="1"/>
  <c r="F16915" i="1"/>
  <c r="E16915" i="1"/>
  <c r="F16914" i="1"/>
  <c r="E16914" i="1"/>
  <c r="F16913" i="1"/>
  <c r="E16913" i="1"/>
  <c r="F16912" i="1"/>
  <c r="E16912" i="1"/>
  <c r="F16911" i="1"/>
  <c r="E16911" i="1"/>
  <c r="F16910" i="1"/>
  <c r="E16910" i="1"/>
  <c r="F16909" i="1"/>
  <c r="E16909" i="1"/>
  <c r="F16908" i="1"/>
  <c r="E16908" i="1"/>
  <c r="F16907" i="1"/>
  <c r="E16907" i="1"/>
  <c r="F16906" i="1"/>
  <c r="E16906" i="1"/>
  <c r="F16905" i="1"/>
  <c r="E16905" i="1"/>
  <c r="F16904" i="1"/>
  <c r="E16904" i="1"/>
  <c r="F16903" i="1"/>
  <c r="E16903" i="1"/>
  <c r="F16902" i="1"/>
  <c r="E16902" i="1"/>
  <c r="F16901" i="1"/>
  <c r="E16901" i="1"/>
  <c r="F16900" i="1"/>
  <c r="E16900" i="1"/>
  <c r="F16899" i="1"/>
  <c r="E16899" i="1"/>
  <c r="F16898" i="1"/>
  <c r="E16898" i="1"/>
  <c r="F16897" i="1"/>
  <c r="E16897" i="1"/>
  <c r="F16896" i="1"/>
  <c r="E16896" i="1"/>
  <c r="F16895" i="1"/>
  <c r="E16895" i="1"/>
  <c r="F16894" i="1"/>
  <c r="E16894" i="1"/>
  <c r="F16893" i="1"/>
  <c r="E16893" i="1"/>
  <c r="F16892" i="1"/>
  <c r="E16892" i="1"/>
  <c r="F16891" i="1"/>
  <c r="E16891" i="1"/>
  <c r="F16890" i="1"/>
  <c r="E16890" i="1"/>
  <c r="F16889" i="1"/>
  <c r="E16889" i="1"/>
  <c r="F16888" i="1"/>
  <c r="E16888" i="1"/>
  <c r="F16887" i="1"/>
  <c r="E16887" i="1"/>
  <c r="F16886" i="1"/>
  <c r="E16886" i="1"/>
  <c r="F16885" i="1"/>
  <c r="E16885" i="1"/>
  <c r="F16884" i="1"/>
  <c r="E16884" i="1"/>
  <c r="F16883" i="1"/>
  <c r="E16883" i="1"/>
  <c r="F16882" i="1"/>
  <c r="E16882" i="1"/>
  <c r="F16881" i="1"/>
  <c r="E16881" i="1"/>
  <c r="F16880" i="1"/>
  <c r="F16879" i="1"/>
  <c r="E16879" i="1"/>
  <c r="F16878" i="1"/>
  <c r="E16878" i="1"/>
  <c r="F16877" i="1"/>
  <c r="E16877" i="1"/>
  <c r="F16876" i="1"/>
  <c r="E16876" i="1"/>
  <c r="F16875" i="1"/>
  <c r="E16875" i="1"/>
  <c r="F16874" i="1"/>
  <c r="E16874" i="1"/>
  <c r="F16873" i="1"/>
  <c r="E16873" i="1"/>
  <c r="F16872" i="1"/>
  <c r="E16872" i="1"/>
  <c r="F16871" i="1"/>
  <c r="E16871" i="1"/>
  <c r="F16870" i="1"/>
  <c r="E16870" i="1"/>
  <c r="F16869" i="1"/>
  <c r="F16868" i="1"/>
  <c r="E16868" i="1"/>
  <c r="F16867" i="1"/>
  <c r="E16867" i="1"/>
  <c r="F16866" i="1"/>
  <c r="E16866" i="1"/>
  <c r="F16865" i="1"/>
  <c r="E16865" i="1"/>
  <c r="F16864" i="1"/>
  <c r="E16864" i="1"/>
  <c r="F16863" i="1"/>
  <c r="E16863" i="1"/>
  <c r="F16862" i="1"/>
  <c r="E16862" i="1"/>
  <c r="F16861" i="1"/>
  <c r="E16861" i="1"/>
  <c r="F16860" i="1"/>
  <c r="E16860" i="1"/>
  <c r="F16859" i="1"/>
  <c r="E16859" i="1"/>
  <c r="F16858" i="1"/>
  <c r="E16858" i="1"/>
  <c r="F16857" i="1"/>
  <c r="E16857" i="1"/>
  <c r="F16856" i="1"/>
  <c r="E16856" i="1"/>
  <c r="F16855" i="1"/>
  <c r="E16855" i="1"/>
  <c r="F16854" i="1"/>
  <c r="E16854" i="1"/>
  <c r="F16853" i="1"/>
  <c r="E16853" i="1"/>
  <c r="F16852" i="1"/>
  <c r="E16852" i="1"/>
  <c r="F16851" i="1"/>
  <c r="E16851" i="1"/>
  <c r="F16850" i="1"/>
  <c r="E16850" i="1"/>
  <c r="F16849" i="1"/>
  <c r="E16849" i="1"/>
  <c r="F16848" i="1"/>
  <c r="E16848" i="1"/>
  <c r="F16847" i="1"/>
  <c r="E16847" i="1"/>
  <c r="F16846" i="1"/>
  <c r="E16846" i="1"/>
  <c r="F16845" i="1"/>
  <c r="E16845" i="1"/>
  <c r="F16844" i="1"/>
  <c r="E16844" i="1"/>
  <c r="F16843" i="1"/>
  <c r="E16843" i="1"/>
  <c r="F16842" i="1"/>
  <c r="E16842" i="1"/>
  <c r="F16841" i="1"/>
  <c r="E16841" i="1"/>
  <c r="F16840" i="1"/>
  <c r="E16840" i="1"/>
  <c r="F16839" i="1"/>
  <c r="E16839" i="1"/>
  <c r="F16838" i="1"/>
  <c r="E16838" i="1"/>
  <c r="F16837" i="1"/>
  <c r="E16837" i="1"/>
  <c r="F16836" i="1"/>
  <c r="E16836" i="1"/>
  <c r="F16835" i="1"/>
  <c r="E16835" i="1"/>
  <c r="F16834" i="1"/>
  <c r="E16834" i="1"/>
  <c r="F16833" i="1"/>
  <c r="E16833" i="1"/>
  <c r="F16832" i="1"/>
  <c r="E16832" i="1"/>
  <c r="F16831" i="1"/>
  <c r="E16831" i="1"/>
  <c r="F16830" i="1"/>
  <c r="E16830" i="1"/>
  <c r="F16829" i="1"/>
  <c r="E16829" i="1"/>
  <c r="F16828" i="1"/>
  <c r="E16828" i="1"/>
  <c r="F16827" i="1"/>
  <c r="E16827" i="1"/>
  <c r="F16826" i="1"/>
  <c r="E16826" i="1"/>
  <c r="F16825" i="1"/>
  <c r="E16825" i="1"/>
  <c r="F16824" i="1"/>
  <c r="E16824" i="1"/>
  <c r="F16823" i="1"/>
  <c r="E16823" i="1"/>
  <c r="F16822" i="1"/>
  <c r="E16822" i="1"/>
  <c r="F16821" i="1"/>
  <c r="E16821" i="1"/>
  <c r="F16820" i="1"/>
  <c r="E16820" i="1"/>
  <c r="F16819" i="1"/>
  <c r="E16819" i="1"/>
  <c r="F16818" i="1"/>
  <c r="E16818" i="1"/>
  <c r="F16817" i="1"/>
  <c r="E16817" i="1"/>
  <c r="F16816" i="1"/>
  <c r="E16816" i="1"/>
  <c r="F16815" i="1"/>
  <c r="E16815" i="1"/>
  <c r="F16814" i="1"/>
  <c r="E16814" i="1"/>
  <c r="F16813" i="1"/>
  <c r="E16813" i="1"/>
  <c r="F16812" i="1"/>
  <c r="E16812" i="1"/>
  <c r="F16811" i="1"/>
  <c r="E16811" i="1"/>
  <c r="F16810" i="1"/>
  <c r="F16809" i="1"/>
  <c r="F16808" i="1"/>
  <c r="F16807" i="1"/>
  <c r="F16806" i="1"/>
  <c r="F16805" i="1"/>
  <c r="F16804" i="1"/>
  <c r="F16803" i="1"/>
  <c r="F16802" i="1"/>
  <c r="F16801" i="1"/>
  <c r="F16800" i="1"/>
  <c r="F16799" i="1"/>
  <c r="E16799" i="1"/>
  <c r="F16798" i="1"/>
  <c r="E16798" i="1"/>
  <c r="F16797" i="1"/>
  <c r="E16797" i="1"/>
  <c r="F16796" i="1"/>
  <c r="E16796" i="1"/>
  <c r="F16795" i="1"/>
  <c r="E16795" i="1"/>
  <c r="F16794" i="1"/>
  <c r="E16794" i="1"/>
  <c r="F16793" i="1"/>
  <c r="E16793" i="1"/>
  <c r="F16792" i="1"/>
  <c r="E16792" i="1"/>
  <c r="F16791" i="1"/>
  <c r="E16791" i="1"/>
  <c r="F16790" i="1"/>
  <c r="E16790" i="1"/>
  <c r="F16789" i="1"/>
  <c r="E16789" i="1"/>
  <c r="F16788" i="1"/>
  <c r="E16788" i="1"/>
  <c r="F16787" i="1"/>
  <c r="E16787" i="1"/>
  <c r="F16786" i="1"/>
  <c r="E16786" i="1"/>
  <c r="F16785" i="1"/>
  <c r="E16785" i="1"/>
  <c r="F16784" i="1"/>
  <c r="E16784" i="1"/>
  <c r="F16783" i="1"/>
  <c r="E16783" i="1"/>
  <c r="F16782" i="1"/>
  <c r="E16782" i="1"/>
  <c r="F16781" i="1"/>
  <c r="E16781" i="1"/>
  <c r="F16780" i="1"/>
  <c r="E16780" i="1"/>
  <c r="F16779" i="1"/>
  <c r="E16779" i="1"/>
  <c r="F16778" i="1"/>
  <c r="E16778" i="1"/>
  <c r="F16777" i="1"/>
  <c r="E16777" i="1"/>
  <c r="F16776" i="1"/>
  <c r="E16776" i="1"/>
  <c r="F16775" i="1"/>
  <c r="E16775" i="1"/>
  <c r="F16774" i="1"/>
  <c r="E16774" i="1"/>
  <c r="F16773" i="1"/>
  <c r="E16773" i="1"/>
  <c r="F16772" i="1"/>
  <c r="E16772" i="1"/>
  <c r="F16771" i="1"/>
  <c r="E16771" i="1"/>
  <c r="F16770" i="1"/>
  <c r="E16770" i="1"/>
  <c r="F16769" i="1"/>
  <c r="E16769" i="1"/>
  <c r="F16768" i="1"/>
  <c r="E16768" i="1"/>
  <c r="F16767" i="1"/>
  <c r="E16767" i="1"/>
  <c r="F16766" i="1"/>
  <c r="E16766" i="1"/>
  <c r="F16765" i="1"/>
  <c r="E16765" i="1"/>
  <c r="F16764" i="1"/>
  <c r="E16764" i="1"/>
  <c r="F16763" i="1"/>
  <c r="E16763" i="1"/>
  <c r="F16762" i="1"/>
  <c r="E16762" i="1"/>
  <c r="F16761" i="1"/>
  <c r="E16761" i="1"/>
  <c r="F16760" i="1"/>
  <c r="E16760" i="1"/>
  <c r="F16759" i="1"/>
  <c r="E16759" i="1"/>
  <c r="F16758" i="1"/>
  <c r="E16758" i="1"/>
  <c r="F16757" i="1"/>
  <c r="E16757" i="1"/>
  <c r="F16756" i="1"/>
  <c r="E16756" i="1"/>
  <c r="F16755" i="1"/>
  <c r="E16755" i="1"/>
  <c r="F16754" i="1"/>
  <c r="E16754" i="1"/>
  <c r="F16753" i="1"/>
  <c r="E16753" i="1"/>
  <c r="F16752" i="1"/>
  <c r="F16751" i="1"/>
  <c r="E16751" i="1"/>
  <c r="F16750" i="1"/>
  <c r="E16750" i="1"/>
  <c r="F16749" i="1"/>
  <c r="E16749" i="1"/>
  <c r="F16748" i="1"/>
  <c r="E16748" i="1"/>
  <c r="F16747" i="1"/>
  <c r="E16747" i="1"/>
  <c r="F16746" i="1"/>
  <c r="F16745" i="1"/>
  <c r="F16744" i="1"/>
  <c r="F16743" i="1"/>
  <c r="F16742" i="1"/>
  <c r="F16741" i="1"/>
  <c r="F16740" i="1"/>
  <c r="F16739" i="1"/>
  <c r="F16738" i="1"/>
  <c r="F16737" i="1"/>
  <c r="F16736" i="1"/>
  <c r="E16736" i="1"/>
  <c r="F16735" i="1"/>
  <c r="E16735" i="1"/>
  <c r="F16734" i="1"/>
  <c r="E16734" i="1"/>
  <c r="F16733" i="1"/>
  <c r="E16733" i="1"/>
  <c r="F16732" i="1"/>
  <c r="F16731" i="1"/>
  <c r="E16731" i="1"/>
  <c r="F16730" i="1"/>
  <c r="E16730" i="1"/>
  <c r="F16729" i="1"/>
  <c r="E16729" i="1"/>
  <c r="F16728" i="1"/>
  <c r="E16728" i="1"/>
  <c r="F16727" i="1"/>
  <c r="E16727" i="1"/>
  <c r="F16726" i="1"/>
  <c r="E16726" i="1"/>
  <c r="F16725" i="1"/>
  <c r="E16725" i="1"/>
  <c r="F16724" i="1"/>
  <c r="E16724" i="1"/>
  <c r="F16723" i="1"/>
  <c r="E16723" i="1"/>
  <c r="F16722" i="1"/>
  <c r="E16722" i="1"/>
  <c r="F16721" i="1"/>
  <c r="E16721" i="1"/>
  <c r="F16720" i="1"/>
  <c r="E16720" i="1"/>
  <c r="F16719" i="1"/>
  <c r="E16719" i="1"/>
  <c r="F16718" i="1"/>
  <c r="E16718" i="1"/>
  <c r="F16717" i="1"/>
  <c r="E16717" i="1"/>
  <c r="F16716" i="1"/>
  <c r="E16716" i="1"/>
  <c r="F16715" i="1"/>
  <c r="E16715" i="1"/>
  <c r="F16714" i="1"/>
  <c r="E16714" i="1"/>
  <c r="F16713" i="1"/>
  <c r="E16713" i="1"/>
  <c r="F16712" i="1"/>
  <c r="E16712" i="1"/>
  <c r="F16711" i="1"/>
  <c r="E16711" i="1"/>
  <c r="F16710" i="1"/>
  <c r="E16710" i="1"/>
  <c r="F16709" i="1"/>
  <c r="E16709" i="1"/>
  <c r="F16708" i="1"/>
  <c r="E16708" i="1"/>
  <c r="F16707" i="1"/>
  <c r="E16707" i="1"/>
  <c r="F16706" i="1"/>
  <c r="E16706" i="1"/>
  <c r="F16705" i="1"/>
  <c r="E16705" i="1"/>
  <c r="F16704" i="1"/>
  <c r="E16704" i="1"/>
  <c r="F16703" i="1"/>
  <c r="F16702" i="1"/>
  <c r="F16701" i="1"/>
  <c r="F16700" i="1"/>
  <c r="F16699" i="1"/>
  <c r="F16698" i="1"/>
  <c r="F16697" i="1"/>
  <c r="F16696" i="1"/>
  <c r="F16695" i="1"/>
  <c r="F16694" i="1"/>
  <c r="F16693" i="1"/>
  <c r="F16692" i="1"/>
  <c r="F16691" i="1"/>
  <c r="F16690" i="1"/>
  <c r="F16689" i="1"/>
  <c r="F16688" i="1"/>
  <c r="F16687" i="1"/>
  <c r="F16686" i="1"/>
  <c r="F16685" i="1"/>
  <c r="F16684" i="1"/>
  <c r="F16683" i="1"/>
  <c r="F16682" i="1"/>
  <c r="F16681" i="1"/>
  <c r="F16680" i="1"/>
  <c r="F16679" i="1"/>
  <c r="F16678" i="1"/>
  <c r="E16678" i="1"/>
  <c r="F16677" i="1"/>
  <c r="E16677" i="1"/>
  <c r="F16676" i="1"/>
  <c r="E16676" i="1"/>
  <c r="F16675" i="1"/>
  <c r="E16675" i="1"/>
  <c r="F16674" i="1"/>
  <c r="E16674" i="1"/>
  <c r="F16673" i="1"/>
  <c r="E16673" i="1"/>
  <c r="F16672" i="1"/>
  <c r="E16672" i="1"/>
  <c r="F16671" i="1"/>
  <c r="E16671" i="1"/>
  <c r="F16670" i="1"/>
  <c r="E16670" i="1"/>
  <c r="F16669" i="1"/>
  <c r="E16669" i="1"/>
  <c r="F16668" i="1"/>
  <c r="E16668" i="1"/>
  <c r="F16667" i="1"/>
  <c r="E16667" i="1"/>
  <c r="F16666" i="1"/>
  <c r="E16666" i="1"/>
  <c r="F16665" i="1"/>
  <c r="E16665" i="1"/>
  <c r="F16664" i="1"/>
  <c r="E16664" i="1"/>
  <c r="F16663" i="1"/>
  <c r="E16663" i="1"/>
  <c r="F16662" i="1"/>
  <c r="E16662" i="1"/>
  <c r="F16661" i="1"/>
  <c r="E16661" i="1"/>
  <c r="F16660" i="1"/>
  <c r="E16660" i="1"/>
  <c r="F16659" i="1"/>
  <c r="E16659" i="1"/>
  <c r="F16658" i="1"/>
  <c r="E16658" i="1"/>
  <c r="F16657" i="1"/>
  <c r="E16657" i="1"/>
  <c r="F16656" i="1"/>
  <c r="E16656" i="1"/>
  <c r="F16655" i="1"/>
  <c r="E16655" i="1"/>
  <c r="F16654" i="1"/>
  <c r="F16653" i="1"/>
  <c r="E16653" i="1"/>
  <c r="F16652" i="1"/>
  <c r="E16652" i="1"/>
  <c r="F16651" i="1"/>
  <c r="E16651" i="1"/>
  <c r="F16650" i="1"/>
  <c r="E16650" i="1"/>
  <c r="F16649" i="1"/>
  <c r="E16649" i="1"/>
  <c r="F16648" i="1"/>
  <c r="E16648" i="1"/>
  <c r="F16647" i="1"/>
  <c r="E16647" i="1"/>
  <c r="F16646" i="1"/>
  <c r="E16646" i="1"/>
  <c r="F16645" i="1"/>
  <c r="E16645" i="1"/>
  <c r="F16644" i="1"/>
  <c r="E16644" i="1"/>
  <c r="F16643" i="1"/>
  <c r="E16643" i="1"/>
  <c r="F16642" i="1"/>
  <c r="E16642" i="1"/>
  <c r="F16641" i="1"/>
  <c r="E16641" i="1"/>
  <c r="F16640" i="1"/>
  <c r="E16640" i="1"/>
  <c r="F16639" i="1"/>
  <c r="E16639" i="1"/>
  <c r="F16638" i="1"/>
  <c r="E16638" i="1"/>
  <c r="F16637" i="1"/>
  <c r="E16637" i="1"/>
  <c r="F16636" i="1"/>
  <c r="E16636" i="1"/>
  <c r="F16635" i="1"/>
  <c r="E16635" i="1"/>
  <c r="F16634" i="1"/>
  <c r="E16634" i="1"/>
  <c r="F16633" i="1"/>
  <c r="E16633" i="1"/>
  <c r="F16632" i="1"/>
  <c r="E16632" i="1"/>
  <c r="F16631" i="1"/>
  <c r="E16631" i="1"/>
  <c r="F16630" i="1"/>
  <c r="E16630" i="1"/>
  <c r="F16629" i="1"/>
  <c r="E16629" i="1"/>
  <c r="F16628" i="1"/>
  <c r="E16628" i="1"/>
  <c r="F16627" i="1"/>
  <c r="E16627" i="1"/>
  <c r="F16626" i="1"/>
  <c r="E16626" i="1"/>
  <c r="F16625" i="1"/>
  <c r="E16625" i="1"/>
  <c r="F16624" i="1"/>
  <c r="E16624" i="1"/>
  <c r="F16623" i="1"/>
  <c r="E16623" i="1"/>
  <c r="F16622" i="1"/>
  <c r="E16622" i="1"/>
  <c r="F16621" i="1"/>
  <c r="E16621" i="1"/>
  <c r="F16620" i="1"/>
  <c r="E16620" i="1"/>
  <c r="F16619" i="1"/>
  <c r="E16619" i="1"/>
  <c r="F16618" i="1"/>
  <c r="E16618" i="1"/>
  <c r="F16617" i="1"/>
  <c r="E16617" i="1"/>
  <c r="F16616" i="1"/>
  <c r="E16616" i="1"/>
  <c r="F16615" i="1"/>
  <c r="E16615" i="1"/>
  <c r="F16614" i="1"/>
  <c r="E16614" i="1"/>
  <c r="F16613" i="1"/>
  <c r="E16613" i="1"/>
  <c r="F16612" i="1"/>
  <c r="E16612" i="1"/>
  <c r="F16611" i="1"/>
  <c r="E16611" i="1"/>
  <c r="F16610" i="1"/>
  <c r="E16610" i="1"/>
  <c r="F16609" i="1"/>
  <c r="E16609" i="1"/>
  <c r="F16608" i="1"/>
  <c r="E16608" i="1"/>
  <c r="F16607" i="1"/>
  <c r="E16607" i="1"/>
  <c r="F16606" i="1"/>
  <c r="E16606" i="1"/>
  <c r="F16605" i="1"/>
  <c r="E16605" i="1"/>
  <c r="F16604" i="1"/>
  <c r="E16604" i="1"/>
  <c r="F16603" i="1"/>
  <c r="E16603" i="1"/>
  <c r="F16602" i="1"/>
  <c r="E16602" i="1"/>
  <c r="F16601" i="1"/>
  <c r="E16601" i="1"/>
  <c r="F16600" i="1"/>
  <c r="E16600" i="1"/>
  <c r="F16599" i="1"/>
  <c r="E16599" i="1"/>
  <c r="F16598" i="1"/>
  <c r="E16598" i="1"/>
  <c r="F16597" i="1"/>
  <c r="E16597" i="1"/>
  <c r="F16596" i="1"/>
  <c r="E16596" i="1"/>
  <c r="F16595" i="1"/>
  <c r="E16595" i="1"/>
  <c r="F16594" i="1"/>
  <c r="E16594" i="1"/>
  <c r="F16593" i="1"/>
  <c r="F16592" i="1"/>
  <c r="E16592" i="1"/>
  <c r="F16591" i="1"/>
  <c r="E16591" i="1"/>
  <c r="F16590" i="1"/>
  <c r="E16590" i="1"/>
  <c r="F16589" i="1"/>
  <c r="E16589" i="1"/>
  <c r="F16588" i="1"/>
  <c r="E16588" i="1"/>
  <c r="F16587" i="1"/>
  <c r="E16587" i="1"/>
  <c r="F16586" i="1"/>
  <c r="E16586" i="1"/>
  <c r="F16585" i="1"/>
  <c r="F16584" i="1"/>
  <c r="F16583" i="1"/>
  <c r="E16583" i="1"/>
  <c r="F16582" i="1"/>
  <c r="E16582" i="1"/>
  <c r="F16581" i="1"/>
  <c r="E16581" i="1"/>
  <c r="F16580" i="1"/>
  <c r="E16580" i="1"/>
  <c r="F16579" i="1"/>
  <c r="E16579" i="1"/>
  <c r="F16578" i="1"/>
  <c r="E16578" i="1"/>
  <c r="F16577" i="1"/>
  <c r="E16577" i="1"/>
  <c r="F16576" i="1"/>
  <c r="E16576" i="1"/>
  <c r="F16575" i="1"/>
  <c r="E16575" i="1"/>
  <c r="F16574" i="1"/>
  <c r="E16574" i="1"/>
  <c r="F16573" i="1"/>
  <c r="F16572" i="1"/>
  <c r="E16572" i="1"/>
  <c r="F16571" i="1"/>
  <c r="E16571" i="1"/>
  <c r="F16570" i="1"/>
  <c r="E16570" i="1"/>
  <c r="F16569" i="1"/>
  <c r="F16568" i="1"/>
  <c r="E16568" i="1"/>
  <c r="F16567" i="1"/>
  <c r="E16567" i="1"/>
  <c r="F16566" i="1"/>
  <c r="E16566" i="1"/>
  <c r="F16565" i="1"/>
  <c r="E16565" i="1"/>
  <c r="F16564" i="1"/>
  <c r="E16564" i="1"/>
  <c r="F16563" i="1"/>
  <c r="E16563" i="1"/>
  <c r="F16562" i="1"/>
  <c r="E16562" i="1"/>
  <c r="F16561" i="1"/>
  <c r="E16561" i="1"/>
  <c r="F16560" i="1"/>
  <c r="E16560" i="1"/>
  <c r="F16559" i="1"/>
  <c r="E16559" i="1"/>
  <c r="F16558" i="1"/>
  <c r="E16558" i="1"/>
  <c r="F16557" i="1"/>
  <c r="F16556" i="1"/>
  <c r="E16556" i="1"/>
  <c r="F16555" i="1"/>
  <c r="E16555" i="1"/>
  <c r="F16554" i="1"/>
  <c r="E16554" i="1"/>
  <c r="F16553" i="1"/>
  <c r="E16553" i="1"/>
  <c r="F16552" i="1"/>
  <c r="E16552" i="1"/>
  <c r="F16551" i="1"/>
  <c r="F16550" i="1"/>
  <c r="E16550" i="1"/>
  <c r="F16549" i="1"/>
  <c r="E16549" i="1"/>
  <c r="F16548" i="1"/>
  <c r="E16548" i="1"/>
  <c r="F16547" i="1"/>
  <c r="E16547" i="1"/>
  <c r="F16546" i="1"/>
  <c r="E16546" i="1"/>
  <c r="F16545" i="1"/>
  <c r="E16545" i="1"/>
  <c r="F16544" i="1"/>
  <c r="E16544" i="1"/>
  <c r="F16543" i="1"/>
  <c r="E16543" i="1"/>
  <c r="F16542" i="1"/>
  <c r="E16542" i="1"/>
  <c r="F16541" i="1"/>
  <c r="E16541" i="1"/>
  <c r="F16540" i="1"/>
  <c r="E16540" i="1"/>
  <c r="F16539" i="1"/>
  <c r="E16539" i="1"/>
  <c r="F16538" i="1"/>
  <c r="E16538" i="1"/>
  <c r="F16537" i="1"/>
  <c r="E16537" i="1"/>
  <c r="F16536" i="1"/>
  <c r="E16536" i="1"/>
  <c r="F16535" i="1"/>
  <c r="E16535" i="1"/>
  <c r="F16534" i="1"/>
  <c r="E16534" i="1"/>
  <c r="F16533" i="1"/>
  <c r="E16533" i="1"/>
  <c r="F16532" i="1"/>
  <c r="E16532" i="1"/>
  <c r="F16531" i="1"/>
  <c r="E16531" i="1"/>
  <c r="F16530" i="1"/>
  <c r="E16530" i="1"/>
  <c r="F16529" i="1"/>
  <c r="E16529" i="1"/>
  <c r="F16528" i="1"/>
  <c r="E16528" i="1"/>
  <c r="F16527" i="1"/>
  <c r="E16527" i="1"/>
  <c r="F16526" i="1"/>
  <c r="E16526" i="1"/>
  <c r="F16525" i="1"/>
  <c r="E16525" i="1"/>
  <c r="F16524" i="1"/>
  <c r="E16524" i="1"/>
  <c r="F16523" i="1"/>
  <c r="E16523" i="1"/>
  <c r="F16522" i="1"/>
  <c r="F16521" i="1"/>
  <c r="E16521" i="1"/>
  <c r="F16520" i="1"/>
  <c r="E16520" i="1"/>
  <c r="F16519" i="1"/>
  <c r="E16519" i="1"/>
  <c r="F16518" i="1"/>
  <c r="E16518" i="1"/>
  <c r="F16517" i="1"/>
  <c r="E16517" i="1"/>
  <c r="F16516" i="1"/>
  <c r="E16516" i="1"/>
  <c r="F16515" i="1"/>
  <c r="E16515" i="1"/>
  <c r="F16514" i="1"/>
  <c r="E16514" i="1"/>
  <c r="F16513" i="1"/>
  <c r="E16513" i="1"/>
  <c r="F16512" i="1"/>
  <c r="E16512" i="1"/>
  <c r="F16511" i="1"/>
  <c r="E16511" i="1"/>
  <c r="F16510" i="1"/>
  <c r="E16510" i="1"/>
  <c r="F16509" i="1"/>
  <c r="F16508" i="1"/>
  <c r="E16508" i="1"/>
  <c r="F16507" i="1"/>
  <c r="E16507" i="1"/>
  <c r="F16506" i="1"/>
  <c r="E16506" i="1"/>
  <c r="F16505" i="1"/>
  <c r="E16505" i="1"/>
  <c r="F16504" i="1"/>
  <c r="E16504" i="1"/>
  <c r="F16503" i="1"/>
  <c r="E16503" i="1"/>
  <c r="F16502" i="1"/>
  <c r="E16502" i="1"/>
  <c r="F16501" i="1"/>
  <c r="E16501" i="1"/>
  <c r="F16500" i="1"/>
  <c r="E16500" i="1"/>
  <c r="F16499" i="1"/>
  <c r="E16499" i="1"/>
  <c r="F16498" i="1"/>
  <c r="E16498" i="1"/>
  <c r="F16497" i="1"/>
  <c r="E16497" i="1"/>
  <c r="F16496" i="1"/>
  <c r="E16496" i="1"/>
  <c r="F16495" i="1"/>
  <c r="E16495" i="1"/>
  <c r="F16494" i="1"/>
  <c r="E16494" i="1"/>
  <c r="F16493" i="1"/>
  <c r="F16492" i="1"/>
  <c r="E16492" i="1"/>
  <c r="F16491" i="1"/>
  <c r="E16491" i="1"/>
  <c r="F16490" i="1"/>
  <c r="E16490" i="1"/>
  <c r="F16489" i="1"/>
  <c r="E16489" i="1"/>
  <c r="F16488" i="1"/>
  <c r="E16488" i="1"/>
  <c r="F16487" i="1"/>
  <c r="F16486" i="1"/>
  <c r="F16485" i="1"/>
  <c r="E16485" i="1"/>
  <c r="F16484" i="1"/>
  <c r="E16484" i="1"/>
  <c r="F16483" i="1"/>
  <c r="E16483" i="1"/>
  <c r="F16482" i="1"/>
  <c r="E16482" i="1"/>
  <c r="F16481" i="1"/>
  <c r="E16481" i="1"/>
  <c r="F16480" i="1"/>
  <c r="E16480" i="1"/>
  <c r="F16479" i="1"/>
  <c r="E16479" i="1"/>
  <c r="F16478" i="1"/>
  <c r="E16478" i="1"/>
  <c r="F16477" i="1"/>
  <c r="E16477" i="1"/>
  <c r="F16476" i="1"/>
  <c r="E16476" i="1"/>
  <c r="F16475" i="1"/>
  <c r="E16475" i="1"/>
  <c r="F16474" i="1"/>
  <c r="E16474" i="1"/>
  <c r="F16473" i="1"/>
  <c r="E16473" i="1"/>
  <c r="F16472" i="1"/>
  <c r="E16472" i="1"/>
  <c r="F16471" i="1"/>
  <c r="E16471" i="1"/>
  <c r="F16470" i="1"/>
  <c r="E16470" i="1"/>
  <c r="F16469" i="1"/>
  <c r="E16469" i="1"/>
  <c r="F16468" i="1"/>
  <c r="E16468" i="1"/>
  <c r="F16467" i="1"/>
  <c r="E16467" i="1"/>
  <c r="F16466" i="1"/>
  <c r="E16466" i="1"/>
  <c r="F16465" i="1"/>
  <c r="E16465" i="1"/>
  <c r="F16464" i="1"/>
  <c r="E16464" i="1"/>
  <c r="F16463" i="1"/>
  <c r="E16463" i="1"/>
  <c r="F16462" i="1"/>
  <c r="E16462" i="1"/>
  <c r="F16461" i="1"/>
  <c r="E16461" i="1"/>
  <c r="F16460" i="1"/>
  <c r="E16460" i="1"/>
  <c r="F16459" i="1"/>
  <c r="E16459" i="1"/>
  <c r="F16458" i="1"/>
  <c r="E16458" i="1"/>
  <c r="F16457" i="1"/>
  <c r="E16457" i="1"/>
  <c r="F16456" i="1"/>
  <c r="E16456" i="1"/>
  <c r="F16455" i="1"/>
  <c r="E16455" i="1"/>
  <c r="F16454" i="1"/>
  <c r="E16454" i="1"/>
  <c r="F16453" i="1"/>
  <c r="E16453" i="1"/>
  <c r="F16452" i="1"/>
  <c r="E16452" i="1"/>
  <c r="F16451" i="1"/>
  <c r="E16451" i="1"/>
  <c r="F16450" i="1"/>
  <c r="E16450" i="1"/>
  <c r="F16449" i="1"/>
  <c r="E16449" i="1"/>
  <c r="F16448" i="1"/>
  <c r="F16447" i="1"/>
  <c r="E16447" i="1"/>
  <c r="F16446" i="1"/>
  <c r="F16445" i="1"/>
  <c r="F16444" i="1"/>
  <c r="F16443" i="1"/>
  <c r="E16443" i="1"/>
  <c r="F16442" i="1"/>
  <c r="E16442" i="1"/>
  <c r="F16441" i="1"/>
  <c r="E16441" i="1"/>
  <c r="F16440" i="1"/>
  <c r="E16440" i="1"/>
  <c r="F16439" i="1"/>
  <c r="E16439" i="1"/>
  <c r="F16438" i="1"/>
  <c r="E16438" i="1"/>
  <c r="F16437" i="1"/>
  <c r="E16437" i="1"/>
  <c r="F16436" i="1"/>
  <c r="E16436" i="1"/>
  <c r="F16435" i="1"/>
  <c r="E16435" i="1"/>
  <c r="F16434" i="1"/>
  <c r="E16434" i="1"/>
  <c r="F16433" i="1"/>
  <c r="E16433" i="1"/>
  <c r="F16432" i="1"/>
  <c r="E16432" i="1"/>
  <c r="F16431" i="1"/>
  <c r="E16431" i="1"/>
  <c r="F16430" i="1"/>
  <c r="E16430" i="1"/>
  <c r="F16429" i="1"/>
  <c r="E16429" i="1"/>
  <c r="F16428" i="1"/>
  <c r="F16427" i="1"/>
  <c r="E16427" i="1"/>
  <c r="F16426" i="1"/>
  <c r="E16426" i="1"/>
  <c r="F16425" i="1"/>
  <c r="E16425" i="1"/>
  <c r="F16424" i="1"/>
  <c r="E16424" i="1"/>
  <c r="F16423" i="1"/>
  <c r="E16423" i="1"/>
  <c r="F16422" i="1"/>
  <c r="E16422" i="1"/>
  <c r="F16421" i="1"/>
  <c r="E16421" i="1"/>
  <c r="F16420" i="1"/>
  <c r="E16420" i="1"/>
  <c r="F16419" i="1"/>
  <c r="E16419" i="1"/>
  <c r="F16418" i="1"/>
  <c r="E16418" i="1"/>
  <c r="F16417" i="1"/>
  <c r="E16417" i="1"/>
  <c r="F16416" i="1"/>
  <c r="E16416" i="1"/>
  <c r="F16415" i="1"/>
  <c r="E16415" i="1"/>
  <c r="F16414" i="1"/>
  <c r="E16414" i="1"/>
  <c r="F16413" i="1"/>
  <c r="E16413" i="1"/>
  <c r="F16412" i="1"/>
  <c r="E16412" i="1"/>
  <c r="F16411" i="1"/>
  <c r="E16411" i="1"/>
  <c r="F16410" i="1"/>
  <c r="F16409" i="1"/>
  <c r="E16409" i="1"/>
  <c r="F16408" i="1"/>
  <c r="E16408" i="1"/>
  <c r="F16407" i="1"/>
  <c r="E16407" i="1"/>
  <c r="F16406" i="1"/>
  <c r="E16406" i="1"/>
  <c r="F16405" i="1"/>
  <c r="E16405" i="1"/>
  <c r="F16404" i="1"/>
  <c r="E16404" i="1"/>
  <c r="F16403" i="1"/>
  <c r="E16403" i="1"/>
  <c r="F16402" i="1"/>
  <c r="E16402" i="1"/>
  <c r="F16401" i="1"/>
  <c r="E16401" i="1"/>
  <c r="F16400" i="1"/>
  <c r="E16400" i="1"/>
  <c r="F16399" i="1"/>
  <c r="E16399" i="1"/>
  <c r="F16398" i="1"/>
  <c r="E16398" i="1"/>
  <c r="F16397" i="1"/>
  <c r="E16397" i="1"/>
  <c r="F16396" i="1"/>
  <c r="E16396" i="1"/>
  <c r="F16395" i="1"/>
  <c r="E16395" i="1"/>
  <c r="F16394" i="1"/>
  <c r="E16394" i="1"/>
  <c r="F16393" i="1"/>
  <c r="E16393" i="1"/>
  <c r="F16392" i="1"/>
  <c r="E16392" i="1"/>
  <c r="F16391" i="1"/>
  <c r="E16391" i="1"/>
  <c r="F16390" i="1"/>
  <c r="E16390" i="1"/>
  <c r="F16389" i="1"/>
  <c r="E16389" i="1"/>
  <c r="F16388" i="1"/>
  <c r="E16388" i="1"/>
  <c r="F16387" i="1"/>
  <c r="E16387" i="1"/>
  <c r="F16386" i="1"/>
  <c r="E16386" i="1"/>
  <c r="F16385" i="1"/>
  <c r="E16385" i="1"/>
  <c r="F16384" i="1"/>
  <c r="E16384" i="1"/>
  <c r="F16383" i="1"/>
  <c r="E16383" i="1"/>
  <c r="F16382" i="1"/>
  <c r="E16382" i="1"/>
  <c r="F16381" i="1"/>
  <c r="E16381" i="1"/>
  <c r="F16380" i="1"/>
  <c r="E16380" i="1"/>
  <c r="F16379" i="1"/>
  <c r="E16379" i="1"/>
  <c r="F16378" i="1"/>
  <c r="E16378" i="1"/>
  <c r="F16377" i="1"/>
  <c r="E16377" i="1"/>
  <c r="F16376" i="1"/>
  <c r="E16376" i="1"/>
  <c r="F16375" i="1"/>
  <c r="E16375" i="1"/>
  <c r="F16374" i="1"/>
  <c r="E16374" i="1"/>
  <c r="F16373" i="1"/>
  <c r="E16373" i="1"/>
  <c r="F16372" i="1"/>
  <c r="F16371" i="1"/>
  <c r="E16371" i="1"/>
  <c r="F16370" i="1"/>
  <c r="E16370" i="1"/>
  <c r="F16369" i="1"/>
  <c r="E16369" i="1"/>
  <c r="F16368" i="1"/>
  <c r="F16367" i="1"/>
  <c r="E16367" i="1"/>
  <c r="F16366" i="1"/>
  <c r="E16366" i="1"/>
  <c r="F16365" i="1"/>
  <c r="E16365" i="1"/>
  <c r="F16364" i="1"/>
  <c r="E16364" i="1"/>
  <c r="F16363" i="1"/>
  <c r="E16363" i="1"/>
  <c r="F16362" i="1"/>
  <c r="E16362" i="1"/>
  <c r="F16361" i="1"/>
  <c r="E16361" i="1"/>
  <c r="F16360" i="1"/>
  <c r="E16360" i="1"/>
  <c r="F16359" i="1"/>
  <c r="F16358" i="1"/>
  <c r="E16358" i="1"/>
  <c r="F16357" i="1"/>
  <c r="F16356" i="1"/>
  <c r="E16356" i="1"/>
  <c r="F16355" i="1"/>
  <c r="E16355" i="1"/>
  <c r="F16354" i="1"/>
  <c r="E16354" i="1"/>
  <c r="F16353" i="1"/>
  <c r="F16352" i="1"/>
  <c r="E16352" i="1"/>
  <c r="F16351" i="1"/>
  <c r="E16351" i="1"/>
  <c r="F16350" i="1"/>
  <c r="E16350" i="1"/>
  <c r="F16349" i="1"/>
  <c r="E16349" i="1"/>
  <c r="F16348" i="1"/>
  <c r="E16348" i="1"/>
  <c r="F16347" i="1"/>
  <c r="E16347" i="1"/>
  <c r="F16346" i="1"/>
  <c r="E16346" i="1"/>
  <c r="F16345" i="1"/>
  <c r="E16345" i="1"/>
  <c r="F16344" i="1"/>
  <c r="E16344" i="1"/>
  <c r="F16343" i="1"/>
  <c r="E16343" i="1"/>
  <c r="F16342" i="1"/>
  <c r="E16342" i="1"/>
  <c r="F16341" i="1"/>
  <c r="E16341" i="1"/>
  <c r="F16340" i="1"/>
  <c r="E16340" i="1"/>
  <c r="F16339" i="1"/>
  <c r="E16339" i="1"/>
  <c r="F16338" i="1"/>
  <c r="E16338" i="1"/>
  <c r="F16337" i="1"/>
  <c r="F16336" i="1"/>
  <c r="E16336" i="1"/>
  <c r="F16335" i="1"/>
  <c r="E16335" i="1"/>
  <c r="F16334" i="1"/>
  <c r="E16334" i="1"/>
  <c r="F16333" i="1"/>
  <c r="E16333" i="1"/>
  <c r="F16332" i="1"/>
  <c r="F16331" i="1"/>
  <c r="F16330" i="1"/>
  <c r="F16329" i="1"/>
  <c r="F16328" i="1"/>
  <c r="E16328" i="1"/>
  <c r="F16327" i="1"/>
  <c r="E16327" i="1"/>
  <c r="F16326" i="1"/>
  <c r="E16326" i="1"/>
  <c r="F16325" i="1"/>
  <c r="E16325" i="1"/>
  <c r="F16324" i="1"/>
  <c r="E16324" i="1"/>
  <c r="F16323" i="1"/>
  <c r="E16323" i="1"/>
  <c r="F16322" i="1"/>
  <c r="E16322" i="1"/>
  <c r="F16321" i="1"/>
  <c r="E16321" i="1"/>
  <c r="F16320" i="1"/>
  <c r="E16320" i="1"/>
  <c r="F16319" i="1"/>
  <c r="E16319" i="1"/>
  <c r="F16318" i="1"/>
  <c r="E16318" i="1"/>
  <c r="F16317" i="1"/>
  <c r="E16317" i="1"/>
  <c r="F16316" i="1"/>
  <c r="E16316" i="1"/>
  <c r="F16315" i="1"/>
  <c r="E16315" i="1"/>
  <c r="F16314" i="1"/>
  <c r="E16314" i="1"/>
  <c r="F16313" i="1"/>
  <c r="E16313" i="1"/>
  <c r="F16312" i="1"/>
  <c r="E16312" i="1"/>
  <c r="F16311" i="1"/>
  <c r="E16311" i="1"/>
  <c r="F16310" i="1"/>
  <c r="E16310" i="1"/>
  <c r="F16309" i="1"/>
  <c r="E16309" i="1"/>
  <c r="F16308" i="1"/>
  <c r="E16308" i="1"/>
  <c r="F16307" i="1"/>
  <c r="E16307" i="1"/>
  <c r="F16306" i="1"/>
  <c r="E16306" i="1"/>
  <c r="F16305" i="1"/>
  <c r="E16305" i="1"/>
  <c r="F16304" i="1"/>
  <c r="E16304" i="1"/>
  <c r="F16303" i="1"/>
  <c r="E16303" i="1"/>
  <c r="F16302" i="1"/>
  <c r="E16302" i="1"/>
  <c r="F16301" i="1"/>
  <c r="E16301" i="1"/>
  <c r="F16300" i="1"/>
  <c r="E16300" i="1"/>
  <c r="F16299" i="1"/>
  <c r="E16299" i="1"/>
  <c r="F16298" i="1"/>
  <c r="E16298" i="1"/>
  <c r="F16297" i="1"/>
  <c r="E16297" i="1"/>
  <c r="F16296" i="1"/>
  <c r="E16296" i="1"/>
  <c r="F16295" i="1"/>
  <c r="E16295" i="1"/>
  <c r="F16294" i="1"/>
  <c r="E16294" i="1"/>
  <c r="F16293" i="1"/>
  <c r="E16293" i="1"/>
  <c r="F16292" i="1"/>
  <c r="E16292" i="1"/>
  <c r="F16291" i="1"/>
  <c r="E16291" i="1"/>
  <c r="F16290" i="1"/>
  <c r="E16290" i="1"/>
  <c r="F16289" i="1"/>
  <c r="E16289" i="1"/>
  <c r="F16288" i="1"/>
  <c r="E16288" i="1"/>
  <c r="F16287" i="1"/>
  <c r="E16287" i="1"/>
  <c r="F16286" i="1"/>
  <c r="E16286" i="1"/>
  <c r="F16285" i="1"/>
  <c r="E16285" i="1"/>
  <c r="F16284" i="1"/>
  <c r="E16284" i="1"/>
  <c r="F16283" i="1"/>
  <c r="E16283" i="1"/>
  <c r="F16282" i="1"/>
  <c r="E16282" i="1"/>
  <c r="F16281" i="1"/>
  <c r="E16281" i="1"/>
  <c r="F16280" i="1"/>
  <c r="E16280" i="1"/>
  <c r="F16279" i="1"/>
  <c r="E16279" i="1"/>
  <c r="F16278" i="1"/>
  <c r="E16278" i="1"/>
  <c r="F16277" i="1"/>
  <c r="E16277" i="1"/>
  <c r="F16276" i="1"/>
  <c r="E16276" i="1"/>
  <c r="F16275" i="1"/>
  <c r="E16275" i="1"/>
  <c r="F16274" i="1"/>
  <c r="E16274" i="1"/>
  <c r="F16273" i="1"/>
  <c r="E16273" i="1"/>
  <c r="F16272" i="1"/>
  <c r="E16272" i="1"/>
  <c r="F16271" i="1"/>
  <c r="E16271" i="1"/>
  <c r="F16270" i="1"/>
  <c r="E16270" i="1"/>
  <c r="F16269" i="1"/>
  <c r="E16269" i="1"/>
  <c r="F16268" i="1"/>
  <c r="E16268" i="1"/>
  <c r="F16267" i="1"/>
  <c r="E16267" i="1"/>
  <c r="F16266" i="1"/>
  <c r="E16266" i="1"/>
  <c r="F16265" i="1"/>
  <c r="E16265" i="1"/>
  <c r="F16264" i="1"/>
  <c r="E16264" i="1"/>
  <c r="F16263" i="1"/>
  <c r="E16263" i="1"/>
  <c r="F16262" i="1"/>
  <c r="E16262" i="1"/>
  <c r="F16261" i="1"/>
  <c r="E16261" i="1"/>
  <c r="F16260" i="1"/>
  <c r="E16260" i="1"/>
  <c r="F16259" i="1"/>
  <c r="E16259" i="1"/>
  <c r="F16258" i="1"/>
  <c r="E16258" i="1"/>
  <c r="F16257" i="1"/>
  <c r="E16257" i="1"/>
  <c r="F16256" i="1"/>
  <c r="E16256" i="1"/>
  <c r="F16255" i="1"/>
  <c r="E16255" i="1"/>
  <c r="F16254" i="1"/>
  <c r="E16254" i="1"/>
  <c r="F16253" i="1"/>
  <c r="E16253" i="1"/>
  <c r="F16252" i="1"/>
  <c r="E16252" i="1"/>
  <c r="F16251" i="1"/>
  <c r="E16251" i="1"/>
  <c r="F16250" i="1"/>
  <c r="E16250" i="1"/>
  <c r="F16249" i="1"/>
  <c r="E16249" i="1"/>
  <c r="F16248" i="1"/>
  <c r="E16248" i="1"/>
  <c r="F16247" i="1"/>
  <c r="E16247" i="1"/>
  <c r="F16246" i="1"/>
  <c r="E16246" i="1"/>
  <c r="F16245" i="1"/>
  <c r="E16245" i="1"/>
  <c r="F16244" i="1"/>
  <c r="E16244" i="1"/>
  <c r="F16243" i="1"/>
  <c r="E16243" i="1"/>
  <c r="F16242" i="1"/>
  <c r="E16242" i="1"/>
  <c r="F16241" i="1"/>
  <c r="E16241" i="1"/>
  <c r="F16240" i="1"/>
  <c r="E16240" i="1"/>
  <c r="F16239" i="1"/>
  <c r="E16239" i="1"/>
  <c r="F16238" i="1"/>
  <c r="E16238" i="1"/>
  <c r="F16237" i="1"/>
  <c r="E16237" i="1"/>
  <c r="F16236" i="1"/>
  <c r="E16236" i="1"/>
  <c r="F16235" i="1"/>
  <c r="E16235" i="1"/>
  <c r="F16234" i="1"/>
  <c r="E16234" i="1"/>
  <c r="F16233" i="1"/>
  <c r="E16233" i="1"/>
  <c r="F16232" i="1"/>
  <c r="E16232" i="1"/>
  <c r="F16231" i="1"/>
  <c r="E16231" i="1"/>
  <c r="F16230" i="1"/>
  <c r="E16230" i="1"/>
  <c r="F16229" i="1"/>
  <c r="E16229" i="1"/>
  <c r="F16228" i="1"/>
  <c r="E16228" i="1"/>
  <c r="F16227" i="1"/>
  <c r="E16227" i="1"/>
  <c r="F16226" i="1"/>
  <c r="E16226" i="1"/>
  <c r="F16225" i="1"/>
  <c r="E16225" i="1"/>
  <c r="F16224" i="1"/>
  <c r="E16224" i="1"/>
  <c r="F16223" i="1"/>
  <c r="E16223" i="1"/>
  <c r="F16222" i="1"/>
  <c r="E16222" i="1"/>
  <c r="F16221" i="1"/>
  <c r="E16221" i="1"/>
  <c r="F16220" i="1"/>
  <c r="E16220" i="1"/>
  <c r="F16219" i="1"/>
  <c r="E16219" i="1"/>
  <c r="F16218" i="1"/>
  <c r="E16218" i="1"/>
  <c r="F16217" i="1"/>
  <c r="E16217" i="1"/>
  <c r="F16216" i="1"/>
  <c r="E16216" i="1"/>
  <c r="F16215" i="1"/>
  <c r="E16215" i="1"/>
  <c r="F16214" i="1"/>
  <c r="E16214" i="1"/>
  <c r="F16213" i="1"/>
  <c r="E16213" i="1"/>
  <c r="F16212" i="1"/>
  <c r="E16212" i="1"/>
  <c r="F16211" i="1"/>
  <c r="E16211" i="1"/>
  <c r="F16210" i="1"/>
  <c r="E16210" i="1"/>
  <c r="F16209" i="1"/>
  <c r="E16209" i="1"/>
  <c r="F16208" i="1"/>
  <c r="E16208" i="1"/>
  <c r="F16207" i="1"/>
  <c r="E16207" i="1"/>
  <c r="F16206" i="1"/>
  <c r="E16206" i="1"/>
  <c r="F16205" i="1"/>
  <c r="E16205" i="1"/>
  <c r="F16204" i="1"/>
  <c r="E16204" i="1"/>
  <c r="F16203" i="1"/>
  <c r="E16203" i="1"/>
  <c r="F16202" i="1"/>
  <c r="E16202" i="1"/>
  <c r="F16201" i="1"/>
  <c r="E16201" i="1"/>
  <c r="F16200" i="1"/>
  <c r="E16200" i="1"/>
  <c r="F16199" i="1"/>
  <c r="E16199" i="1"/>
  <c r="F16198" i="1"/>
  <c r="E16198" i="1"/>
  <c r="F16197" i="1"/>
  <c r="E16197" i="1"/>
  <c r="F16196" i="1"/>
  <c r="E16196" i="1"/>
  <c r="F16195" i="1"/>
  <c r="E16195" i="1"/>
  <c r="F16194" i="1"/>
  <c r="E16194" i="1"/>
  <c r="F16193" i="1"/>
  <c r="E16193" i="1"/>
  <c r="F16192" i="1"/>
  <c r="E16192" i="1"/>
  <c r="F16191" i="1"/>
  <c r="E16191" i="1"/>
  <c r="F16190" i="1"/>
  <c r="E16190" i="1"/>
  <c r="F16189" i="1"/>
  <c r="E16189" i="1"/>
  <c r="F16188" i="1"/>
  <c r="E16188" i="1"/>
  <c r="F16187" i="1"/>
  <c r="E16187" i="1"/>
  <c r="F16186" i="1"/>
  <c r="E16186" i="1"/>
  <c r="F16185" i="1"/>
  <c r="E16185" i="1"/>
  <c r="F16184" i="1"/>
  <c r="E16184" i="1"/>
  <c r="F16183" i="1"/>
  <c r="E16183" i="1"/>
  <c r="F16182" i="1"/>
  <c r="E16182" i="1"/>
  <c r="F16181" i="1"/>
  <c r="E16181" i="1"/>
  <c r="F16180" i="1"/>
  <c r="E16180" i="1"/>
  <c r="F16179" i="1"/>
  <c r="E16179" i="1"/>
  <c r="F16178" i="1"/>
  <c r="E16178" i="1"/>
  <c r="F16177" i="1"/>
  <c r="E16177" i="1"/>
  <c r="F16176" i="1"/>
  <c r="E16176" i="1"/>
  <c r="F16175" i="1"/>
  <c r="E16175" i="1"/>
  <c r="F16174" i="1"/>
  <c r="E16174" i="1"/>
  <c r="F16173" i="1"/>
  <c r="E16173" i="1"/>
  <c r="F16172" i="1"/>
  <c r="E16172" i="1"/>
  <c r="F16171" i="1"/>
  <c r="E16171" i="1"/>
  <c r="F16170" i="1"/>
  <c r="E16170" i="1"/>
  <c r="F16169" i="1"/>
  <c r="E16169" i="1"/>
  <c r="F16168" i="1"/>
  <c r="E16168" i="1"/>
  <c r="F16167" i="1"/>
  <c r="E16167" i="1"/>
  <c r="F16166" i="1"/>
  <c r="E16166" i="1"/>
  <c r="F16165" i="1"/>
  <c r="E16165" i="1"/>
  <c r="F16164" i="1"/>
  <c r="E16164" i="1"/>
  <c r="F16163" i="1"/>
  <c r="E16163" i="1"/>
  <c r="F16162" i="1"/>
  <c r="E16162" i="1"/>
  <c r="F16161" i="1"/>
  <c r="E16161" i="1"/>
  <c r="F16160" i="1"/>
  <c r="E16160" i="1"/>
  <c r="F16159" i="1"/>
  <c r="E16159" i="1"/>
  <c r="F16158" i="1"/>
  <c r="E16158" i="1"/>
  <c r="F16157" i="1"/>
  <c r="E16157" i="1"/>
  <c r="F16156" i="1"/>
  <c r="E16156" i="1"/>
  <c r="F16155" i="1"/>
  <c r="E16155" i="1"/>
  <c r="F16154" i="1"/>
  <c r="E16154" i="1"/>
  <c r="F16153" i="1"/>
  <c r="E16153" i="1"/>
  <c r="F16152" i="1"/>
  <c r="E16152" i="1"/>
  <c r="F16151" i="1"/>
  <c r="E16151" i="1"/>
  <c r="F16150" i="1"/>
  <c r="E16150" i="1"/>
  <c r="F16149" i="1"/>
  <c r="E16149" i="1"/>
  <c r="F16148" i="1"/>
  <c r="E16148" i="1"/>
  <c r="F16147" i="1"/>
  <c r="E16147" i="1"/>
  <c r="F16146" i="1"/>
  <c r="E16146" i="1"/>
  <c r="F16145" i="1"/>
  <c r="F16144" i="1"/>
  <c r="E16144" i="1"/>
  <c r="F16143" i="1"/>
  <c r="E16143" i="1"/>
  <c r="F16142" i="1"/>
  <c r="E16142" i="1"/>
  <c r="F16141" i="1"/>
  <c r="E16141" i="1"/>
  <c r="F16140" i="1"/>
  <c r="E16140" i="1"/>
  <c r="F16139" i="1"/>
  <c r="E16139" i="1"/>
  <c r="F16138" i="1"/>
  <c r="E16138" i="1"/>
  <c r="F16137" i="1"/>
  <c r="E16137" i="1"/>
  <c r="F16136" i="1"/>
  <c r="E16136" i="1"/>
  <c r="F16135" i="1"/>
  <c r="E16135" i="1"/>
  <c r="F16134" i="1"/>
  <c r="F16133" i="1"/>
  <c r="F16132" i="1"/>
  <c r="E16132" i="1"/>
  <c r="F16131" i="1"/>
  <c r="E16131" i="1"/>
  <c r="F16130" i="1"/>
  <c r="E16130" i="1"/>
  <c r="F16129" i="1"/>
  <c r="E16129" i="1"/>
  <c r="F16128" i="1"/>
  <c r="E16128" i="1"/>
  <c r="F16127" i="1"/>
  <c r="E16127" i="1"/>
  <c r="F16126" i="1"/>
  <c r="E16126" i="1"/>
  <c r="F16125" i="1"/>
  <c r="E16125" i="1"/>
  <c r="F16124" i="1"/>
  <c r="E16124" i="1"/>
  <c r="F16123" i="1"/>
  <c r="E16123" i="1"/>
  <c r="F16122" i="1"/>
  <c r="E16122" i="1"/>
  <c r="F16121" i="1"/>
  <c r="E16121" i="1"/>
  <c r="F16120" i="1"/>
  <c r="E16120" i="1"/>
  <c r="F16119" i="1"/>
  <c r="E16119" i="1"/>
  <c r="F16118" i="1"/>
  <c r="E16118" i="1"/>
  <c r="F16117" i="1"/>
  <c r="E16117" i="1"/>
  <c r="F16116" i="1"/>
  <c r="E16116" i="1"/>
  <c r="F16115" i="1"/>
  <c r="E16115" i="1"/>
  <c r="F16114" i="1"/>
  <c r="E16114" i="1"/>
  <c r="F16113" i="1"/>
  <c r="E16113" i="1"/>
  <c r="F16112" i="1"/>
  <c r="E16112" i="1"/>
  <c r="F16111" i="1"/>
  <c r="E16111" i="1"/>
  <c r="F16110" i="1"/>
  <c r="E16110" i="1"/>
  <c r="F16109" i="1"/>
  <c r="E16109" i="1"/>
  <c r="F16108" i="1"/>
  <c r="E16108" i="1"/>
  <c r="F16107" i="1"/>
  <c r="E16107" i="1"/>
  <c r="F16106" i="1"/>
  <c r="E16106" i="1"/>
  <c r="F16105" i="1"/>
  <c r="E16105" i="1"/>
  <c r="F16104" i="1"/>
  <c r="E16104" i="1"/>
  <c r="F16103" i="1"/>
  <c r="E16103" i="1"/>
  <c r="F16102" i="1"/>
  <c r="E16102" i="1"/>
  <c r="F16101" i="1"/>
  <c r="E16101" i="1"/>
  <c r="F16100" i="1"/>
  <c r="E16100" i="1"/>
  <c r="F16099" i="1"/>
  <c r="E16099" i="1"/>
  <c r="F16098" i="1"/>
  <c r="E16098" i="1"/>
  <c r="F16097" i="1"/>
  <c r="E16097" i="1"/>
  <c r="F16096" i="1"/>
  <c r="E16096" i="1"/>
  <c r="F16095" i="1"/>
  <c r="E16095" i="1"/>
  <c r="F16094" i="1"/>
  <c r="E16094" i="1"/>
  <c r="F16093" i="1"/>
  <c r="E16093" i="1"/>
  <c r="F16092" i="1"/>
  <c r="E16092" i="1"/>
  <c r="F16091" i="1"/>
  <c r="F16090" i="1"/>
  <c r="E16090" i="1"/>
  <c r="F16089" i="1"/>
  <c r="E16089" i="1"/>
  <c r="F16088" i="1"/>
  <c r="E16088" i="1"/>
  <c r="F16087" i="1"/>
  <c r="E16087" i="1"/>
  <c r="F16086" i="1"/>
  <c r="E16086" i="1"/>
  <c r="F16085" i="1"/>
  <c r="E16085" i="1"/>
  <c r="F16084" i="1"/>
  <c r="E16084" i="1"/>
  <c r="F16083" i="1"/>
  <c r="E16083" i="1"/>
  <c r="F16082" i="1"/>
  <c r="E16082" i="1"/>
  <c r="F16081" i="1"/>
  <c r="E16081" i="1"/>
  <c r="F16080" i="1"/>
  <c r="F16079" i="1"/>
  <c r="E16079" i="1"/>
  <c r="F16078" i="1"/>
  <c r="E16078" i="1"/>
  <c r="F16077" i="1"/>
  <c r="E16077" i="1"/>
  <c r="F16076" i="1"/>
  <c r="E16076" i="1"/>
  <c r="F16075" i="1"/>
  <c r="E16075" i="1"/>
  <c r="F16074" i="1"/>
  <c r="E16074" i="1"/>
  <c r="F16073" i="1"/>
  <c r="E16073" i="1"/>
  <c r="F16072" i="1"/>
  <c r="E16072" i="1"/>
  <c r="F16071" i="1"/>
  <c r="E16071" i="1"/>
  <c r="F16070" i="1"/>
  <c r="E16070" i="1"/>
  <c r="F16069" i="1"/>
  <c r="E16069" i="1"/>
  <c r="F16068" i="1"/>
  <c r="E16068" i="1"/>
  <c r="F16067" i="1"/>
  <c r="E16067" i="1"/>
  <c r="F16066" i="1"/>
  <c r="E16066" i="1"/>
  <c r="F16065" i="1"/>
  <c r="E16065" i="1"/>
  <c r="F16064" i="1"/>
  <c r="E16064" i="1"/>
  <c r="F16063" i="1"/>
  <c r="E16063" i="1"/>
  <c r="F16062" i="1"/>
  <c r="E16062" i="1"/>
  <c r="F16061" i="1"/>
  <c r="E16061" i="1"/>
  <c r="F16060" i="1"/>
  <c r="E16060" i="1"/>
  <c r="F16059" i="1"/>
  <c r="E16059" i="1"/>
  <c r="F16058" i="1"/>
  <c r="E16058" i="1"/>
  <c r="F16057" i="1"/>
  <c r="E16057" i="1"/>
  <c r="F16056" i="1"/>
  <c r="E16056" i="1"/>
  <c r="F16055" i="1"/>
  <c r="E16055" i="1"/>
  <c r="F16054" i="1"/>
  <c r="E16054" i="1"/>
  <c r="F16053" i="1"/>
  <c r="F16052" i="1"/>
  <c r="E16052" i="1"/>
  <c r="F16051" i="1"/>
  <c r="E16051" i="1"/>
  <c r="F16050" i="1"/>
  <c r="E16050" i="1"/>
  <c r="F16049" i="1"/>
  <c r="E16049" i="1"/>
  <c r="F16048" i="1"/>
  <c r="E16048" i="1"/>
  <c r="F16047" i="1"/>
  <c r="E16047" i="1"/>
  <c r="F16046" i="1"/>
  <c r="E16046" i="1"/>
  <c r="F16045" i="1"/>
  <c r="E16045" i="1"/>
  <c r="F16044" i="1"/>
  <c r="E16044" i="1"/>
  <c r="F16043" i="1"/>
  <c r="E16043" i="1"/>
  <c r="F16042" i="1"/>
  <c r="E16042" i="1"/>
  <c r="F16041" i="1"/>
  <c r="E16041" i="1"/>
  <c r="F16040" i="1"/>
  <c r="E16040" i="1"/>
  <c r="F16039" i="1"/>
  <c r="E16039" i="1"/>
  <c r="F16038" i="1"/>
  <c r="F16037" i="1"/>
  <c r="E16037" i="1"/>
  <c r="F16036" i="1"/>
  <c r="E16036" i="1"/>
  <c r="F16035" i="1"/>
  <c r="E16035" i="1"/>
  <c r="F16034" i="1"/>
  <c r="F16033" i="1"/>
  <c r="E16033" i="1"/>
  <c r="F16032" i="1"/>
  <c r="E16032" i="1"/>
  <c r="F16031" i="1"/>
  <c r="E16031" i="1"/>
  <c r="F16030" i="1"/>
  <c r="E16030" i="1"/>
  <c r="F16029" i="1"/>
  <c r="E16029" i="1"/>
  <c r="F16028" i="1"/>
  <c r="E16028" i="1"/>
  <c r="F16027" i="1"/>
  <c r="E16027" i="1"/>
  <c r="F16026" i="1"/>
  <c r="E16026" i="1"/>
  <c r="F16025" i="1"/>
  <c r="E16025" i="1"/>
  <c r="F16024" i="1"/>
  <c r="E16024" i="1"/>
  <c r="F16023" i="1"/>
  <c r="E16023" i="1"/>
  <c r="F16022" i="1"/>
  <c r="E16022" i="1"/>
  <c r="F16021" i="1"/>
  <c r="E16021" i="1"/>
  <c r="F16020" i="1"/>
  <c r="E16020" i="1"/>
  <c r="F16019" i="1"/>
  <c r="E16019" i="1"/>
  <c r="F16018" i="1"/>
  <c r="E16018" i="1"/>
  <c r="F16017" i="1"/>
  <c r="E16017" i="1"/>
  <c r="F16016" i="1"/>
  <c r="E16016" i="1"/>
  <c r="F16015" i="1"/>
  <c r="E16015" i="1"/>
  <c r="F16014" i="1"/>
  <c r="E16014" i="1"/>
  <c r="F16013" i="1"/>
  <c r="E16013" i="1"/>
  <c r="F16012" i="1"/>
  <c r="E16012" i="1"/>
  <c r="F16011" i="1"/>
  <c r="E16011" i="1"/>
  <c r="F16010" i="1"/>
  <c r="E16010" i="1"/>
  <c r="F16009" i="1"/>
  <c r="E16009" i="1"/>
  <c r="F16008" i="1"/>
  <c r="E16008" i="1"/>
  <c r="F16007" i="1"/>
  <c r="F16006" i="1"/>
  <c r="E16006" i="1"/>
  <c r="F16005" i="1"/>
  <c r="F16004" i="1"/>
  <c r="E16004" i="1"/>
  <c r="F16003" i="1"/>
  <c r="E16003" i="1"/>
  <c r="F16002" i="1"/>
  <c r="E16002" i="1"/>
  <c r="F16001" i="1"/>
  <c r="E16001" i="1"/>
  <c r="F16000" i="1"/>
  <c r="E16000" i="1"/>
  <c r="F15999" i="1"/>
  <c r="E15999" i="1"/>
  <c r="F15998" i="1"/>
  <c r="E15998" i="1"/>
  <c r="F15997" i="1"/>
  <c r="E15997" i="1"/>
  <c r="F15996" i="1"/>
  <c r="E15996" i="1"/>
  <c r="F15995" i="1"/>
  <c r="E15995" i="1"/>
  <c r="F15994" i="1"/>
  <c r="E15994" i="1"/>
  <c r="F15993" i="1"/>
  <c r="E15993" i="1"/>
  <c r="F15992" i="1"/>
  <c r="E15992" i="1"/>
  <c r="F15991" i="1"/>
  <c r="E15991" i="1"/>
  <c r="F15990" i="1"/>
  <c r="F15989" i="1"/>
  <c r="E15989" i="1"/>
  <c r="F15988" i="1"/>
  <c r="E15988" i="1"/>
  <c r="F15987" i="1"/>
  <c r="E15987" i="1"/>
  <c r="F15986" i="1"/>
  <c r="E15986" i="1"/>
  <c r="F15985" i="1"/>
  <c r="E15985" i="1"/>
  <c r="F15984" i="1"/>
  <c r="E15984" i="1"/>
  <c r="F15983" i="1"/>
  <c r="E15983" i="1"/>
  <c r="F15982" i="1"/>
  <c r="E15982" i="1"/>
  <c r="F15981" i="1"/>
  <c r="E15981" i="1"/>
  <c r="F15980" i="1"/>
  <c r="E15980" i="1"/>
  <c r="F15979" i="1"/>
  <c r="E15979" i="1"/>
  <c r="F15978" i="1"/>
  <c r="E15978" i="1"/>
  <c r="F15977" i="1"/>
  <c r="E15977" i="1"/>
  <c r="F15976" i="1"/>
  <c r="E15976" i="1"/>
  <c r="F15975" i="1"/>
  <c r="E15975" i="1"/>
  <c r="F15974" i="1"/>
  <c r="E15974" i="1"/>
  <c r="F15973" i="1"/>
  <c r="E15973" i="1"/>
  <c r="F15972" i="1"/>
  <c r="E15972" i="1"/>
  <c r="F15971" i="1"/>
  <c r="E15971" i="1"/>
  <c r="F15970" i="1"/>
  <c r="E15970" i="1"/>
  <c r="F15969" i="1"/>
  <c r="E15969" i="1"/>
  <c r="F15968" i="1"/>
  <c r="E15968" i="1"/>
  <c r="F15967" i="1"/>
  <c r="E15967" i="1"/>
  <c r="F15966" i="1"/>
  <c r="E15966" i="1"/>
  <c r="F15965" i="1"/>
  <c r="E15965" i="1"/>
  <c r="F15964" i="1"/>
  <c r="E15964" i="1"/>
  <c r="F15963" i="1"/>
  <c r="E15963" i="1"/>
  <c r="F15962" i="1"/>
  <c r="E15962" i="1"/>
  <c r="F15961" i="1"/>
  <c r="E15961" i="1"/>
  <c r="F15960" i="1"/>
  <c r="E15960" i="1"/>
  <c r="F15959" i="1"/>
  <c r="E15959" i="1"/>
  <c r="F15958" i="1"/>
  <c r="E15958" i="1"/>
  <c r="F15957" i="1"/>
  <c r="E15957" i="1"/>
  <c r="F15956" i="1"/>
  <c r="E15956" i="1"/>
  <c r="F15955" i="1"/>
  <c r="E15955" i="1"/>
  <c r="F15954" i="1"/>
  <c r="E15954" i="1"/>
  <c r="F15953" i="1"/>
  <c r="E15953" i="1"/>
  <c r="F15952" i="1"/>
  <c r="E15952" i="1"/>
  <c r="F15951" i="1"/>
  <c r="E15951" i="1"/>
  <c r="F15950" i="1"/>
  <c r="E15950" i="1"/>
  <c r="F15949" i="1"/>
  <c r="E15949" i="1"/>
  <c r="F15948" i="1"/>
  <c r="E15948" i="1"/>
  <c r="F15947" i="1"/>
  <c r="E15947" i="1"/>
  <c r="F15946" i="1"/>
  <c r="E15946" i="1"/>
  <c r="F15945" i="1"/>
  <c r="E15945" i="1"/>
  <c r="F15944" i="1"/>
  <c r="E15944" i="1"/>
  <c r="F15943" i="1"/>
  <c r="E15943" i="1"/>
  <c r="F15942" i="1"/>
  <c r="E15942" i="1"/>
  <c r="F15941" i="1"/>
  <c r="E15941" i="1"/>
  <c r="F15940" i="1"/>
  <c r="E15940" i="1"/>
  <c r="F15939" i="1"/>
  <c r="E15939" i="1"/>
  <c r="F15938" i="1"/>
  <c r="E15938" i="1"/>
  <c r="F15937" i="1"/>
  <c r="E15937" i="1"/>
  <c r="F15936" i="1"/>
  <c r="E15936" i="1"/>
  <c r="F15935" i="1"/>
  <c r="E15935" i="1"/>
  <c r="F15934" i="1"/>
  <c r="E15934" i="1"/>
  <c r="F15933" i="1"/>
  <c r="E15933" i="1"/>
  <c r="F15932" i="1"/>
  <c r="E15932" i="1"/>
  <c r="F15931" i="1"/>
  <c r="E15931" i="1"/>
  <c r="F15930" i="1"/>
  <c r="E15930" i="1"/>
  <c r="F15929" i="1"/>
  <c r="E15929" i="1"/>
  <c r="F15928" i="1"/>
  <c r="E15928" i="1"/>
  <c r="F15927" i="1"/>
  <c r="E15927" i="1"/>
  <c r="F15926" i="1"/>
  <c r="E15926" i="1"/>
  <c r="F15925" i="1"/>
  <c r="E15925" i="1"/>
  <c r="F15924" i="1"/>
  <c r="E15924" i="1"/>
  <c r="F15923" i="1"/>
  <c r="E15923" i="1"/>
  <c r="F15922" i="1"/>
  <c r="E15922" i="1"/>
  <c r="F15921" i="1"/>
  <c r="E15921" i="1"/>
  <c r="F15920" i="1"/>
  <c r="E15920" i="1"/>
  <c r="F15919" i="1"/>
  <c r="E15919" i="1"/>
  <c r="F15918" i="1"/>
  <c r="E15918" i="1"/>
  <c r="F15917" i="1"/>
  <c r="E15917" i="1"/>
  <c r="F15916" i="1"/>
  <c r="E15916" i="1"/>
  <c r="F15915" i="1"/>
  <c r="E15915" i="1"/>
  <c r="F15914" i="1"/>
  <c r="E15914" i="1"/>
  <c r="F15913" i="1"/>
  <c r="E15913" i="1"/>
  <c r="F15912" i="1"/>
  <c r="E15912" i="1"/>
  <c r="F15911" i="1"/>
  <c r="E15911" i="1"/>
  <c r="F15910" i="1"/>
  <c r="E15910" i="1"/>
  <c r="F15909" i="1"/>
  <c r="E15909" i="1"/>
  <c r="F15908" i="1"/>
  <c r="E15908" i="1"/>
  <c r="F15907" i="1"/>
  <c r="E15907" i="1"/>
  <c r="F15906" i="1"/>
  <c r="E15906" i="1"/>
  <c r="F15905" i="1"/>
  <c r="E15905" i="1"/>
  <c r="F15904" i="1"/>
  <c r="E15904" i="1"/>
  <c r="F15903" i="1"/>
  <c r="E15903" i="1"/>
  <c r="F15902" i="1"/>
  <c r="E15902" i="1"/>
  <c r="F15901" i="1"/>
  <c r="E15901" i="1"/>
  <c r="F15900" i="1"/>
  <c r="E15900" i="1"/>
  <c r="F15899" i="1"/>
  <c r="E15899" i="1"/>
  <c r="F15898" i="1"/>
  <c r="E15898" i="1"/>
  <c r="F15897" i="1"/>
  <c r="E15897" i="1"/>
  <c r="F15896" i="1"/>
  <c r="E15896" i="1"/>
  <c r="F15895" i="1"/>
  <c r="E15895" i="1"/>
  <c r="F15894" i="1"/>
  <c r="E15894" i="1"/>
  <c r="F15893" i="1"/>
  <c r="E15893" i="1"/>
  <c r="F15892" i="1"/>
  <c r="E15892" i="1"/>
  <c r="F15891" i="1"/>
  <c r="E15891" i="1"/>
  <c r="F15890" i="1"/>
  <c r="E15890" i="1"/>
  <c r="F15889" i="1"/>
  <c r="E15889" i="1"/>
  <c r="F15888" i="1"/>
  <c r="E15888" i="1"/>
  <c r="F15887" i="1"/>
  <c r="E15887" i="1"/>
  <c r="F15886" i="1"/>
  <c r="E15886" i="1"/>
  <c r="F15885" i="1"/>
  <c r="E15885" i="1"/>
  <c r="F15884" i="1"/>
  <c r="E15884" i="1"/>
  <c r="F15883" i="1"/>
  <c r="E15883" i="1"/>
  <c r="F15882" i="1"/>
  <c r="E15882" i="1"/>
  <c r="F15881" i="1"/>
  <c r="E15881" i="1"/>
  <c r="F15880" i="1"/>
  <c r="E15880" i="1"/>
  <c r="F15879" i="1"/>
  <c r="E15879" i="1"/>
  <c r="F15878" i="1"/>
  <c r="E15878" i="1"/>
  <c r="F15877" i="1"/>
  <c r="E15877" i="1"/>
  <c r="F15876" i="1"/>
  <c r="E15876" i="1"/>
  <c r="F15875" i="1"/>
  <c r="E15875" i="1"/>
  <c r="F15874" i="1"/>
  <c r="E15874" i="1"/>
  <c r="F15873" i="1"/>
  <c r="E15873" i="1"/>
  <c r="F15872" i="1"/>
  <c r="E15872" i="1"/>
  <c r="F15871" i="1"/>
  <c r="E15871" i="1"/>
  <c r="F15870" i="1"/>
  <c r="E15870" i="1"/>
  <c r="F15869" i="1"/>
  <c r="E15869" i="1"/>
  <c r="F15868" i="1"/>
  <c r="E15868" i="1"/>
  <c r="F15867" i="1"/>
  <c r="E15867" i="1"/>
  <c r="F15866" i="1"/>
  <c r="E15866" i="1"/>
  <c r="F15865" i="1"/>
  <c r="E15865" i="1"/>
  <c r="F15864" i="1"/>
  <c r="E15864" i="1"/>
  <c r="F15863" i="1"/>
  <c r="E15863" i="1"/>
  <c r="F15862" i="1"/>
  <c r="E15862" i="1"/>
  <c r="F15861" i="1"/>
  <c r="E15861" i="1"/>
  <c r="F15860" i="1"/>
  <c r="E15860" i="1"/>
  <c r="F15859" i="1"/>
  <c r="E15859" i="1"/>
  <c r="F15858" i="1"/>
  <c r="E15858" i="1"/>
  <c r="F15857" i="1"/>
  <c r="E15857" i="1"/>
  <c r="F15856" i="1"/>
  <c r="E15856" i="1"/>
  <c r="F15855" i="1"/>
  <c r="E15855" i="1"/>
  <c r="F15854" i="1"/>
  <c r="E15854" i="1"/>
  <c r="F15853" i="1"/>
  <c r="E15853" i="1"/>
  <c r="F15852" i="1"/>
  <c r="E15852" i="1"/>
  <c r="F15851" i="1"/>
  <c r="E15851" i="1"/>
  <c r="F15850" i="1"/>
  <c r="E15850" i="1"/>
  <c r="F15849" i="1"/>
  <c r="E15849" i="1"/>
  <c r="F15848" i="1"/>
  <c r="E15848" i="1"/>
  <c r="F15847" i="1"/>
  <c r="E15847" i="1"/>
  <c r="F15846" i="1"/>
  <c r="E15846" i="1"/>
  <c r="F15845" i="1"/>
  <c r="E15845" i="1"/>
  <c r="F15844" i="1"/>
  <c r="E15844" i="1"/>
  <c r="F15843" i="1"/>
  <c r="E15843" i="1"/>
  <c r="F15842" i="1"/>
  <c r="E15842" i="1"/>
  <c r="F15841" i="1"/>
  <c r="E15841" i="1"/>
  <c r="F15840" i="1"/>
  <c r="E15840" i="1"/>
  <c r="F15839" i="1"/>
  <c r="E15839" i="1"/>
  <c r="F15838" i="1"/>
  <c r="E15838" i="1"/>
  <c r="F15837" i="1"/>
  <c r="E15837" i="1"/>
  <c r="F15836" i="1"/>
  <c r="E15836" i="1"/>
  <c r="F15835" i="1"/>
  <c r="E15835" i="1"/>
  <c r="F15834" i="1"/>
  <c r="E15834" i="1"/>
  <c r="F15833" i="1"/>
  <c r="E15833" i="1"/>
  <c r="F15832" i="1"/>
  <c r="E15832" i="1"/>
  <c r="F15831" i="1"/>
  <c r="E15831" i="1"/>
  <c r="F15830" i="1"/>
  <c r="E15830" i="1"/>
  <c r="F15829" i="1"/>
  <c r="E15829" i="1"/>
  <c r="F15828" i="1"/>
  <c r="E15828" i="1"/>
  <c r="F15827" i="1"/>
  <c r="E15827" i="1"/>
  <c r="F15826" i="1"/>
  <c r="E15826" i="1"/>
  <c r="F15825" i="1"/>
  <c r="E15825" i="1"/>
  <c r="F15824" i="1"/>
  <c r="E15824" i="1"/>
  <c r="F15823" i="1"/>
  <c r="E15823" i="1"/>
  <c r="F15822" i="1"/>
  <c r="E15822" i="1"/>
  <c r="F15821" i="1"/>
  <c r="E15821" i="1"/>
  <c r="F15820" i="1"/>
  <c r="E15820" i="1"/>
  <c r="F15819" i="1"/>
  <c r="E15819" i="1"/>
  <c r="F15818" i="1"/>
  <c r="E15818" i="1"/>
  <c r="F15817" i="1"/>
  <c r="E15817" i="1"/>
  <c r="F15816" i="1"/>
  <c r="E15816" i="1"/>
  <c r="F15815" i="1"/>
  <c r="E15815" i="1"/>
  <c r="F15814" i="1"/>
  <c r="E15814" i="1"/>
  <c r="F15813" i="1"/>
  <c r="E15813" i="1"/>
  <c r="F15812" i="1"/>
  <c r="E15812" i="1"/>
  <c r="F15811" i="1"/>
  <c r="E15811" i="1"/>
  <c r="F15810" i="1"/>
  <c r="E15810" i="1"/>
  <c r="F15809" i="1"/>
  <c r="E15809" i="1"/>
  <c r="F15808" i="1"/>
  <c r="E15808" i="1"/>
  <c r="F15807" i="1"/>
  <c r="E15807" i="1"/>
  <c r="F15806" i="1"/>
  <c r="E15806" i="1"/>
  <c r="F15805" i="1"/>
  <c r="E15805" i="1"/>
  <c r="F15804" i="1"/>
  <c r="E15804" i="1"/>
  <c r="F15803" i="1"/>
  <c r="E15803" i="1"/>
  <c r="F15802" i="1"/>
  <c r="E15802" i="1"/>
  <c r="F15801" i="1"/>
  <c r="E15801" i="1"/>
  <c r="F15800" i="1"/>
  <c r="E15800" i="1"/>
  <c r="F15799" i="1"/>
  <c r="E15799" i="1"/>
  <c r="F15798" i="1"/>
  <c r="E15798" i="1"/>
  <c r="F15797" i="1"/>
  <c r="E15797" i="1"/>
  <c r="F15796" i="1"/>
  <c r="E15796" i="1"/>
  <c r="F15795" i="1"/>
  <c r="E15795" i="1"/>
  <c r="F15794" i="1"/>
  <c r="E15794" i="1"/>
  <c r="F15793" i="1"/>
  <c r="E15793" i="1"/>
  <c r="F15792" i="1"/>
  <c r="E15792" i="1"/>
  <c r="F15791" i="1"/>
  <c r="E15791" i="1"/>
  <c r="F15790" i="1"/>
  <c r="E15790" i="1"/>
  <c r="F15789" i="1"/>
  <c r="E15789" i="1"/>
  <c r="F15788" i="1"/>
  <c r="E15788" i="1"/>
  <c r="F15787" i="1"/>
  <c r="E15787" i="1"/>
  <c r="F15786" i="1"/>
  <c r="E15786" i="1"/>
  <c r="F15785" i="1"/>
  <c r="E15785" i="1"/>
  <c r="F15784" i="1"/>
  <c r="E15784" i="1"/>
  <c r="F15783" i="1"/>
  <c r="E15783" i="1"/>
  <c r="F15782" i="1"/>
  <c r="E15782" i="1"/>
  <c r="F15781" i="1"/>
  <c r="E15781" i="1"/>
  <c r="F15780" i="1"/>
  <c r="E15780" i="1"/>
  <c r="F15779" i="1"/>
  <c r="E15779" i="1"/>
  <c r="F15778" i="1"/>
  <c r="E15778" i="1"/>
  <c r="F15777" i="1"/>
  <c r="E15777" i="1"/>
  <c r="F15776" i="1"/>
  <c r="E15776" i="1"/>
  <c r="F15775" i="1"/>
  <c r="E15775" i="1"/>
  <c r="F15774" i="1"/>
  <c r="E15774" i="1"/>
  <c r="F15773" i="1"/>
  <c r="E15773" i="1"/>
  <c r="F15772" i="1"/>
  <c r="E15772" i="1"/>
  <c r="F15771" i="1"/>
  <c r="E15771" i="1"/>
  <c r="F15770" i="1"/>
  <c r="E15770" i="1"/>
  <c r="F15769" i="1"/>
  <c r="E15769" i="1"/>
  <c r="F15768" i="1"/>
  <c r="E15768" i="1"/>
  <c r="F15767" i="1"/>
  <c r="E15767" i="1"/>
  <c r="F15766" i="1"/>
  <c r="E15766" i="1"/>
  <c r="F15765" i="1"/>
  <c r="E15765" i="1"/>
  <c r="F15764" i="1"/>
  <c r="E15764" i="1"/>
  <c r="F15763" i="1"/>
  <c r="E15763" i="1"/>
  <c r="F15762" i="1"/>
  <c r="E15762" i="1"/>
  <c r="F15761" i="1"/>
  <c r="E15761" i="1"/>
  <c r="F15760" i="1"/>
  <c r="E15760" i="1"/>
  <c r="F15759" i="1"/>
  <c r="E15759" i="1"/>
  <c r="F15758" i="1"/>
  <c r="E15758" i="1"/>
  <c r="F15757" i="1"/>
  <c r="E15757" i="1"/>
  <c r="F15756" i="1"/>
  <c r="E15756" i="1"/>
  <c r="F15755" i="1"/>
  <c r="E15755" i="1"/>
  <c r="F15754" i="1"/>
  <c r="E15754" i="1"/>
  <c r="F15753" i="1"/>
  <c r="E15753" i="1"/>
  <c r="F15752" i="1"/>
  <c r="E15752" i="1"/>
  <c r="F15751" i="1"/>
  <c r="E15751" i="1"/>
  <c r="F15750" i="1"/>
  <c r="E15750" i="1"/>
  <c r="F15749" i="1"/>
  <c r="E15749" i="1"/>
  <c r="F15748" i="1"/>
  <c r="E15748" i="1"/>
  <c r="F15747" i="1"/>
  <c r="E15747" i="1"/>
  <c r="F15746" i="1"/>
  <c r="E15746" i="1"/>
  <c r="F15745" i="1"/>
  <c r="E15745" i="1"/>
  <c r="F15744" i="1"/>
  <c r="E15744" i="1"/>
  <c r="F15743" i="1"/>
  <c r="E15743" i="1"/>
  <c r="F15742" i="1"/>
  <c r="F15741" i="1"/>
  <c r="F15740" i="1"/>
  <c r="F15739" i="1"/>
  <c r="F15738" i="1"/>
  <c r="E15738" i="1"/>
  <c r="F15737" i="1"/>
  <c r="E15737" i="1"/>
  <c r="F15736" i="1"/>
  <c r="E15736" i="1"/>
  <c r="F15735" i="1"/>
  <c r="E15735" i="1"/>
  <c r="F15734" i="1"/>
  <c r="E15734" i="1"/>
  <c r="F15733" i="1"/>
  <c r="E15733" i="1"/>
  <c r="F15732" i="1"/>
  <c r="E15732" i="1"/>
  <c r="F15731" i="1"/>
  <c r="E15731" i="1"/>
  <c r="F15730" i="1"/>
  <c r="E15730" i="1"/>
  <c r="F15729" i="1"/>
  <c r="E15729" i="1"/>
  <c r="F15728" i="1"/>
  <c r="F15727" i="1"/>
  <c r="F15726" i="1"/>
  <c r="E15726" i="1"/>
  <c r="F15725" i="1"/>
  <c r="F15724" i="1"/>
  <c r="F15723" i="1"/>
  <c r="F15722" i="1"/>
  <c r="F15721" i="1"/>
  <c r="F15720" i="1"/>
  <c r="E15720" i="1"/>
  <c r="F15719" i="1"/>
  <c r="E15719" i="1"/>
  <c r="F15718" i="1"/>
  <c r="E15718" i="1"/>
  <c r="F15717" i="1"/>
  <c r="E15717" i="1"/>
  <c r="F15716" i="1"/>
  <c r="E15716" i="1"/>
  <c r="F15715" i="1"/>
  <c r="E15715" i="1"/>
  <c r="F15714" i="1"/>
  <c r="E15714" i="1"/>
  <c r="F15713" i="1"/>
  <c r="E15713" i="1"/>
  <c r="F15712" i="1"/>
  <c r="E15712" i="1"/>
  <c r="F15711" i="1"/>
  <c r="E15711" i="1"/>
  <c r="F15710" i="1"/>
  <c r="E15710" i="1"/>
  <c r="F15709" i="1"/>
  <c r="E15709" i="1"/>
  <c r="F15708" i="1"/>
  <c r="F15707" i="1"/>
  <c r="F15706" i="1"/>
  <c r="F15705" i="1"/>
  <c r="E15705" i="1"/>
  <c r="F15704" i="1"/>
  <c r="E15704" i="1"/>
  <c r="F15703" i="1"/>
  <c r="E15703" i="1"/>
  <c r="F15702" i="1"/>
  <c r="E15702" i="1"/>
  <c r="F15701" i="1"/>
  <c r="E15701" i="1"/>
  <c r="F15700" i="1"/>
  <c r="E15700" i="1"/>
  <c r="F15699" i="1"/>
  <c r="E15699" i="1"/>
  <c r="F15698" i="1"/>
  <c r="E15698" i="1"/>
  <c r="F15697" i="1"/>
  <c r="E15697" i="1"/>
  <c r="F15696" i="1"/>
  <c r="E15696" i="1"/>
  <c r="F15695" i="1"/>
  <c r="E15695" i="1"/>
  <c r="F15694" i="1"/>
  <c r="E15694" i="1"/>
  <c r="F15693" i="1"/>
  <c r="E15693" i="1"/>
  <c r="F15692" i="1"/>
  <c r="E15692" i="1"/>
  <c r="F15691" i="1"/>
  <c r="E15691" i="1"/>
  <c r="F15690" i="1"/>
  <c r="E15690" i="1"/>
  <c r="F15689" i="1"/>
  <c r="E15689" i="1"/>
  <c r="F15688" i="1"/>
  <c r="E15688" i="1"/>
  <c r="F15687" i="1"/>
  <c r="E15687" i="1"/>
  <c r="F15686" i="1"/>
  <c r="E15686" i="1"/>
  <c r="F15685" i="1"/>
  <c r="E15685" i="1"/>
  <c r="F15684" i="1"/>
  <c r="E15684" i="1"/>
  <c r="F15683" i="1"/>
  <c r="E15683" i="1"/>
  <c r="F15682" i="1"/>
  <c r="E15682" i="1"/>
  <c r="F15681" i="1"/>
  <c r="E15681" i="1"/>
  <c r="F15680" i="1"/>
  <c r="E15680" i="1"/>
  <c r="F15679" i="1"/>
  <c r="E15679" i="1"/>
  <c r="F15678" i="1"/>
  <c r="E15678" i="1"/>
  <c r="F15677" i="1"/>
  <c r="E15677" i="1"/>
  <c r="F15676" i="1"/>
  <c r="E15676" i="1"/>
  <c r="F15675" i="1"/>
  <c r="E15675" i="1"/>
  <c r="F15674" i="1"/>
  <c r="E15674" i="1"/>
  <c r="F15673" i="1"/>
  <c r="E15673" i="1"/>
  <c r="F15672" i="1"/>
  <c r="E15672" i="1"/>
  <c r="F15671" i="1"/>
  <c r="E15671" i="1"/>
  <c r="F15670" i="1"/>
  <c r="E15670" i="1"/>
  <c r="F15669" i="1"/>
  <c r="E15669" i="1"/>
  <c r="F15668" i="1"/>
  <c r="E15668" i="1"/>
  <c r="F15667" i="1"/>
  <c r="E15667" i="1"/>
  <c r="F15666" i="1"/>
  <c r="E15666" i="1"/>
  <c r="F15665" i="1"/>
  <c r="E15665" i="1"/>
  <c r="F15664" i="1"/>
  <c r="E15664" i="1"/>
  <c r="F15663" i="1"/>
  <c r="E15663" i="1"/>
  <c r="F15662" i="1"/>
  <c r="E15662" i="1"/>
  <c r="F15661" i="1"/>
  <c r="E15661" i="1"/>
  <c r="F15660" i="1"/>
  <c r="E15660" i="1"/>
  <c r="F15659" i="1"/>
  <c r="E15659" i="1"/>
  <c r="F15658" i="1"/>
  <c r="E15658" i="1"/>
  <c r="F15657" i="1"/>
  <c r="E15657" i="1"/>
  <c r="F15656" i="1"/>
  <c r="E15656" i="1"/>
  <c r="F15655" i="1"/>
  <c r="E15655" i="1"/>
  <c r="F15654" i="1"/>
  <c r="E15654" i="1"/>
  <c r="F15653" i="1"/>
  <c r="E15653" i="1"/>
  <c r="F15652" i="1"/>
  <c r="E15652" i="1"/>
  <c r="F15651" i="1"/>
  <c r="F15650" i="1"/>
  <c r="F15649" i="1"/>
  <c r="E15649" i="1"/>
  <c r="F15648" i="1"/>
  <c r="E15648" i="1"/>
  <c r="F15647" i="1"/>
  <c r="E15647" i="1"/>
  <c r="F15646" i="1"/>
  <c r="E15646" i="1"/>
  <c r="F15645" i="1"/>
  <c r="E15645" i="1"/>
  <c r="F15644" i="1"/>
  <c r="E15644" i="1"/>
  <c r="F15643" i="1"/>
  <c r="E15643" i="1"/>
  <c r="F15642" i="1"/>
  <c r="E15642" i="1"/>
  <c r="F15641" i="1"/>
  <c r="E15641" i="1"/>
  <c r="F15640" i="1"/>
  <c r="E15640" i="1"/>
  <c r="F15639" i="1"/>
  <c r="E15639" i="1"/>
  <c r="F15638" i="1"/>
  <c r="E15638" i="1"/>
  <c r="F15637" i="1"/>
  <c r="E15637" i="1"/>
  <c r="F15636" i="1"/>
  <c r="E15636" i="1"/>
  <c r="F15635" i="1"/>
  <c r="E15635" i="1"/>
  <c r="F15634" i="1"/>
  <c r="E15634" i="1"/>
  <c r="F15633" i="1"/>
  <c r="E15633" i="1"/>
  <c r="F15632" i="1"/>
  <c r="E15632" i="1"/>
  <c r="F15631" i="1"/>
  <c r="E15631" i="1"/>
  <c r="F15630" i="1"/>
  <c r="E15630" i="1"/>
  <c r="F15629" i="1"/>
  <c r="E15629" i="1"/>
  <c r="F15628" i="1"/>
  <c r="E15628" i="1"/>
  <c r="F15627" i="1"/>
  <c r="E15627" i="1"/>
  <c r="F15626" i="1"/>
  <c r="E15626" i="1"/>
  <c r="F15625" i="1"/>
  <c r="E15625" i="1"/>
  <c r="F15624" i="1"/>
  <c r="E15624" i="1"/>
  <c r="F15623" i="1"/>
  <c r="E15623" i="1"/>
  <c r="F15622" i="1"/>
  <c r="E15622" i="1"/>
  <c r="F15621" i="1"/>
  <c r="E15621" i="1"/>
  <c r="F15620" i="1"/>
  <c r="E15620" i="1"/>
  <c r="F15619" i="1"/>
  <c r="E15619" i="1"/>
  <c r="F15618" i="1"/>
  <c r="E15618" i="1"/>
  <c r="F15617" i="1"/>
  <c r="E15617" i="1"/>
  <c r="F15616" i="1"/>
  <c r="E15616" i="1"/>
  <c r="F15615" i="1"/>
  <c r="E15615" i="1"/>
  <c r="F15614" i="1"/>
  <c r="E15614" i="1"/>
  <c r="F15613" i="1"/>
  <c r="E15613" i="1"/>
  <c r="F15612" i="1"/>
  <c r="E15612" i="1"/>
  <c r="F15611" i="1"/>
  <c r="E15611" i="1"/>
  <c r="F15610" i="1"/>
  <c r="E15610" i="1"/>
  <c r="F15609" i="1"/>
  <c r="E15609" i="1"/>
  <c r="F15608" i="1"/>
  <c r="E15608" i="1"/>
  <c r="F15607" i="1"/>
  <c r="E15607" i="1"/>
  <c r="F15606" i="1"/>
  <c r="E15606" i="1"/>
  <c r="F15605" i="1"/>
  <c r="E15605" i="1"/>
  <c r="F15604" i="1"/>
  <c r="E15604" i="1"/>
  <c r="F15603" i="1"/>
  <c r="E15603" i="1"/>
  <c r="F15602" i="1"/>
  <c r="E15602" i="1"/>
  <c r="F15601" i="1"/>
  <c r="E15601" i="1"/>
  <c r="F15600" i="1"/>
  <c r="E15600" i="1"/>
  <c r="F15599" i="1"/>
  <c r="E15599" i="1"/>
  <c r="F15598" i="1"/>
  <c r="E15598" i="1"/>
  <c r="F15597" i="1"/>
  <c r="E15597" i="1"/>
  <c r="F15596" i="1"/>
  <c r="E15596" i="1"/>
  <c r="F15595" i="1"/>
  <c r="E15595" i="1"/>
  <c r="F15594" i="1"/>
  <c r="E15594" i="1"/>
  <c r="F15593" i="1"/>
  <c r="E15593" i="1"/>
  <c r="F15592" i="1"/>
  <c r="E15592" i="1"/>
  <c r="F15591" i="1"/>
  <c r="E15591" i="1"/>
  <c r="F15590" i="1"/>
  <c r="E15590" i="1"/>
  <c r="F15589" i="1"/>
  <c r="E15589" i="1"/>
  <c r="F15588" i="1"/>
  <c r="E15588" i="1"/>
  <c r="F15587" i="1"/>
  <c r="E15587" i="1"/>
  <c r="F15586" i="1"/>
  <c r="E15586" i="1"/>
  <c r="F15585" i="1"/>
  <c r="E15585" i="1"/>
  <c r="F15584" i="1"/>
  <c r="E15584" i="1"/>
  <c r="F15583" i="1"/>
  <c r="E15583" i="1"/>
  <c r="F15582" i="1"/>
  <c r="E15582" i="1"/>
  <c r="F15581" i="1"/>
  <c r="E15581" i="1"/>
  <c r="F15580" i="1"/>
  <c r="E15580" i="1"/>
  <c r="F15579" i="1"/>
  <c r="E15579" i="1"/>
  <c r="F15578" i="1"/>
  <c r="E15578" i="1"/>
  <c r="F15577" i="1"/>
  <c r="E15577" i="1"/>
  <c r="F15576" i="1"/>
  <c r="E15576" i="1"/>
  <c r="F15575" i="1"/>
  <c r="E15575" i="1"/>
  <c r="F15574" i="1"/>
  <c r="E15574" i="1"/>
  <c r="F15573" i="1"/>
  <c r="E15573" i="1"/>
  <c r="F15572" i="1"/>
  <c r="E15572" i="1"/>
  <c r="F15571" i="1"/>
  <c r="E15571" i="1"/>
  <c r="F15570" i="1"/>
  <c r="F15569" i="1"/>
  <c r="E15569" i="1"/>
  <c r="F15568" i="1"/>
  <c r="E15568" i="1"/>
  <c r="F15567" i="1"/>
  <c r="E15567" i="1"/>
  <c r="F15566" i="1"/>
  <c r="E15566" i="1"/>
  <c r="F15565" i="1"/>
  <c r="E15565" i="1"/>
  <c r="F15564" i="1"/>
  <c r="E15564" i="1"/>
  <c r="F15563" i="1"/>
  <c r="E15563" i="1"/>
  <c r="F15562" i="1"/>
  <c r="E15562" i="1"/>
  <c r="F15561" i="1"/>
  <c r="E15561" i="1"/>
  <c r="F15560" i="1"/>
  <c r="E15560" i="1"/>
  <c r="F15559" i="1"/>
  <c r="E15559" i="1"/>
  <c r="F15558" i="1"/>
  <c r="E15558" i="1"/>
  <c r="F15557" i="1"/>
  <c r="E15557" i="1"/>
  <c r="F15556" i="1"/>
  <c r="E15556" i="1"/>
  <c r="F15555" i="1"/>
  <c r="E15555" i="1"/>
  <c r="F15554" i="1"/>
  <c r="E15554" i="1"/>
  <c r="F15553" i="1"/>
  <c r="E15553" i="1"/>
  <c r="F15552" i="1"/>
  <c r="E15552" i="1"/>
  <c r="F15551" i="1"/>
  <c r="E15551" i="1"/>
  <c r="F15550" i="1"/>
  <c r="E15550" i="1"/>
  <c r="F15549" i="1"/>
  <c r="E15549" i="1"/>
  <c r="F15548" i="1"/>
  <c r="E15548" i="1"/>
  <c r="F15547" i="1"/>
  <c r="E15547" i="1"/>
  <c r="F15546" i="1"/>
  <c r="E15546" i="1"/>
  <c r="F15545" i="1"/>
  <c r="E15545" i="1"/>
  <c r="F15544" i="1"/>
  <c r="E15544" i="1"/>
  <c r="F15543" i="1"/>
  <c r="E15543" i="1"/>
  <c r="F15542" i="1"/>
  <c r="E15542" i="1"/>
  <c r="F15541" i="1"/>
  <c r="E15541" i="1"/>
  <c r="F15540" i="1"/>
  <c r="E15540" i="1"/>
  <c r="F15539" i="1"/>
  <c r="E15539" i="1"/>
  <c r="F15538" i="1"/>
  <c r="E15538" i="1"/>
  <c r="F15537" i="1"/>
  <c r="E15537" i="1"/>
  <c r="F15536" i="1"/>
  <c r="E15536" i="1"/>
  <c r="F15535" i="1"/>
  <c r="E15535" i="1"/>
  <c r="F15534" i="1"/>
  <c r="E15534" i="1"/>
  <c r="F15533" i="1"/>
  <c r="E15533" i="1"/>
  <c r="F15532" i="1"/>
  <c r="E15532" i="1"/>
  <c r="F15531" i="1"/>
  <c r="E15531" i="1"/>
  <c r="F15530" i="1"/>
  <c r="E15530" i="1"/>
  <c r="F15529" i="1"/>
  <c r="E15529" i="1"/>
  <c r="F15528" i="1"/>
  <c r="E15528" i="1"/>
  <c r="F15527" i="1"/>
  <c r="E15527" i="1"/>
  <c r="F15526" i="1"/>
  <c r="E15526" i="1"/>
  <c r="F15525" i="1"/>
  <c r="E15525" i="1"/>
  <c r="F15524" i="1"/>
  <c r="E15524" i="1"/>
  <c r="F15523" i="1"/>
  <c r="E15523" i="1"/>
  <c r="F15522" i="1"/>
  <c r="E15522" i="1"/>
  <c r="F15521" i="1"/>
  <c r="E15521" i="1"/>
  <c r="F15520" i="1"/>
  <c r="E15520" i="1"/>
  <c r="F15519" i="1"/>
  <c r="E15519" i="1"/>
  <c r="F15518" i="1"/>
  <c r="F15517" i="1"/>
  <c r="E15517" i="1"/>
  <c r="F15516" i="1"/>
  <c r="E15516" i="1"/>
  <c r="F15515" i="1"/>
  <c r="E15515" i="1"/>
  <c r="F15514" i="1"/>
  <c r="E15514" i="1"/>
  <c r="F15513" i="1"/>
  <c r="E15513" i="1"/>
  <c r="F15512" i="1"/>
  <c r="E15512" i="1"/>
  <c r="F15511" i="1"/>
  <c r="E15511" i="1"/>
  <c r="F15510" i="1"/>
  <c r="E15510" i="1"/>
  <c r="F15509" i="1"/>
  <c r="E15509" i="1"/>
  <c r="F15508" i="1"/>
  <c r="E15508" i="1"/>
  <c r="F15507" i="1"/>
  <c r="E15507" i="1"/>
  <c r="F15506" i="1"/>
  <c r="E15506" i="1"/>
  <c r="F15505" i="1"/>
  <c r="E15505" i="1"/>
  <c r="F15504" i="1"/>
  <c r="E15504" i="1"/>
  <c r="F15503" i="1"/>
  <c r="E15503" i="1"/>
  <c r="F15502" i="1"/>
  <c r="E15502" i="1"/>
  <c r="F15501" i="1"/>
  <c r="E15501" i="1"/>
  <c r="F15500" i="1"/>
  <c r="E15500" i="1"/>
  <c r="F15499" i="1"/>
  <c r="E15499" i="1"/>
  <c r="F15498" i="1"/>
  <c r="E15498" i="1"/>
  <c r="F15497" i="1"/>
  <c r="E15497" i="1"/>
  <c r="F15496" i="1"/>
  <c r="E15496" i="1"/>
  <c r="F15495" i="1"/>
  <c r="E15495" i="1"/>
  <c r="F15494" i="1"/>
  <c r="E15494" i="1"/>
  <c r="F15493" i="1"/>
  <c r="E15493" i="1"/>
  <c r="F15492" i="1"/>
  <c r="E15492" i="1"/>
  <c r="F15491" i="1"/>
  <c r="E15491" i="1"/>
  <c r="F15490" i="1"/>
  <c r="E15490" i="1"/>
  <c r="F15489" i="1"/>
  <c r="E15489" i="1"/>
  <c r="F15488" i="1"/>
  <c r="E15488" i="1"/>
  <c r="F15487" i="1"/>
  <c r="E15487" i="1"/>
  <c r="F15486" i="1"/>
  <c r="E15486" i="1"/>
  <c r="F15485" i="1"/>
  <c r="E15485" i="1"/>
  <c r="F15484" i="1"/>
  <c r="E15484" i="1"/>
  <c r="F15483" i="1"/>
  <c r="E15483" i="1"/>
  <c r="F15482" i="1"/>
  <c r="E15482" i="1"/>
  <c r="F15481" i="1"/>
  <c r="E15481" i="1"/>
  <c r="F15480" i="1"/>
  <c r="E15480" i="1"/>
  <c r="F15479" i="1"/>
  <c r="E15479" i="1"/>
  <c r="F15478" i="1"/>
  <c r="E15478" i="1"/>
  <c r="F15477" i="1"/>
  <c r="E15477" i="1"/>
  <c r="F15476" i="1"/>
  <c r="E15476" i="1"/>
  <c r="F15475" i="1"/>
  <c r="F15474" i="1"/>
  <c r="E15474" i="1"/>
  <c r="F15473" i="1"/>
  <c r="E15473" i="1"/>
  <c r="F15472" i="1"/>
  <c r="E15472" i="1"/>
  <c r="F15471" i="1"/>
  <c r="E15471" i="1"/>
  <c r="F15470" i="1"/>
  <c r="E15470" i="1"/>
  <c r="F15469" i="1"/>
  <c r="E15469" i="1"/>
  <c r="F15468" i="1"/>
  <c r="E15468" i="1"/>
  <c r="F15467" i="1"/>
  <c r="E15467" i="1"/>
  <c r="F15466" i="1"/>
  <c r="E15466" i="1"/>
  <c r="F15465" i="1"/>
  <c r="E15465" i="1"/>
  <c r="F15464" i="1"/>
  <c r="E15464" i="1"/>
  <c r="F15463" i="1"/>
  <c r="E15463" i="1"/>
  <c r="F15462" i="1"/>
  <c r="E15462" i="1"/>
  <c r="F15461" i="1"/>
  <c r="E15461" i="1"/>
  <c r="F15460" i="1"/>
  <c r="E15460" i="1"/>
  <c r="F15459" i="1"/>
  <c r="E15459" i="1"/>
  <c r="F15458" i="1"/>
  <c r="E15458" i="1"/>
  <c r="F15457" i="1"/>
  <c r="E15457" i="1"/>
  <c r="F15456" i="1"/>
  <c r="E15456" i="1"/>
  <c r="F15455" i="1"/>
  <c r="E15455" i="1"/>
  <c r="F15454" i="1"/>
  <c r="E15454" i="1"/>
  <c r="F15453" i="1"/>
  <c r="E15453" i="1"/>
  <c r="F15452" i="1"/>
  <c r="E15452" i="1"/>
  <c r="F15451" i="1"/>
  <c r="E15451" i="1"/>
  <c r="F15450" i="1"/>
  <c r="E15450" i="1"/>
  <c r="F15449" i="1"/>
  <c r="E15449" i="1"/>
  <c r="F15448" i="1"/>
  <c r="E15448" i="1"/>
  <c r="F15447" i="1"/>
  <c r="E15447" i="1"/>
  <c r="F15446" i="1"/>
  <c r="E15446" i="1"/>
  <c r="F15445" i="1"/>
  <c r="E15445" i="1"/>
  <c r="F15444" i="1"/>
  <c r="E15444" i="1"/>
  <c r="F15443" i="1"/>
  <c r="E15443" i="1"/>
  <c r="F15442" i="1"/>
  <c r="E15442" i="1"/>
  <c r="F15441" i="1"/>
  <c r="E15441" i="1"/>
  <c r="F15440" i="1"/>
  <c r="E15440" i="1"/>
  <c r="F15439" i="1"/>
  <c r="E15439" i="1"/>
  <c r="F15438" i="1"/>
  <c r="E15438" i="1"/>
  <c r="F15437" i="1"/>
  <c r="E15437" i="1"/>
  <c r="F15436" i="1"/>
  <c r="E15436" i="1"/>
  <c r="F15435" i="1"/>
  <c r="E15435" i="1"/>
  <c r="F15434" i="1"/>
  <c r="E15434" i="1"/>
  <c r="F15433" i="1"/>
  <c r="E15433" i="1"/>
  <c r="F15432" i="1"/>
  <c r="E15432" i="1"/>
  <c r="F15431" i="1"/>
  <c r="E15431" i="1"/>
  <c r="F15430" i="1"/>
  <c r="E15430" i="1"/>
  <c r="F15429" i="1"/>
  <c r="E15429" i="1"/>
  <c r="F15428" i="1"/>
  <c r="E15428" i="1"/>
  <c r="F15427" i="1"/>
  <c r="E15427" i="1"/>
  <c r="F15426" i="1"/>
  <c r="E15426" i="1"/>
  <c r="F15425" i="1"/>
  <c r="E15425" i="1"/>
  <c r="F15424" i="1"/>
  <c r="E15424" i="1"/>
  <c r="F15423" i="1"/>
  <c r="E15423" i="1"/>
  <c r="F15422" i="1"/>
  <c r="E15422" i="1"/>
  <c r="F15421" i="1"/>
  <c r="E15421" i="1"/>
  <c r="F15420" i="1"/>
  <c r="E15420" i="1"/>
  <c r="F15419" i="1"/>
  <c r="E15419" i="1"/>
  <c r="F15418" i="1"/>
  <c r="E15418" i="1"/>
  <c r="F15417" i="1"/>
  <c r="E15417" i="1"/>
  <c r="F15416" i="1"/>
  <c r="E15416" i="1"/>
  <c r="F15415" i="1"/>
  <c r="E15415" i="1"/>
  <c r="F15414" i="1"/>
  <c r="E15414" i="1"/>
  <c r="F15413" i="1"/>
  <c r="E15413" i="1"/>
  <c r="F15412" i="1"/>
  <c r="E15412" i="1"/>
  <c r="F15411" i="1"/>
  <c r="E15411" i="1"/>
  <c r="F15410" i="1"/>
  <c r="E15410" i="1"/>
  <c r="F15409" i="1"/>
  <c r="E15409" i="1"/>
  <c r="F15408" i="1"/>
  <c r="E15408" i="1"/>
  <c r="F15407" i="1"/>
  <c r="E15407" i="1"/>
  <c r="F15406" i="1"/>
  <c r="E15406" i="1"/>
  <c r="F15405" i="1"/>
  <c r="E15405" i="1"/>
  <c r="F15404" i="1"/>
  <c r="E15404" i="1"/>
  <c r="F15403" i="1"/>
  <c r="E15403" i="1"/>
  <c r="F15402" i="1"/>
  <c r="E15402" i="1"/>
  <c r="F15401" i="1"/>
  <c r="E15401" i="1"/>
  <c r="F15400" i="1"/>
  <c r="E15400" i="1"/>
  <c r="F15399" i="1"/>
  <c r="E15399" i="1"/>
  <c r="F15398" i="1"/>
  <c r="E15398" i="1"/>
  <c r="F15397" i="1"/>
  <c r="E15397" i="1"/>
  <c r="F15396" i="1"/>
  <c r="E15396" i="1"/>
  <c r="F15395" i="1"/>
  <c r="E15395" i="1"/>
  <c r="F15394" i="1"/>
  <c r="E15394" i="1"/>
  <c r="F15393" i="1"/>
  <c r="E15393" i="1"/>
  <c r="F15392" i="1"/>
  <c r="E15392" i="1"/>
  <c r="F15391" i="1"/>
  <c r="E15391" i="1"/>
  <c r="F15390" i="1"/>
  <c r="E15390" i="1"/>
  <c r="F15389" i="1"/>
  <c r="E15389" i="1"/>
  <c r="F15388" i="1"/>
  <c r="E15388" i="1"/>
  <c r="F15387" i="1"/>
  <c r="E15387" i="1"/>
  <c r="F15386" i="1"/>
  <c r="E15386" i="1"/>
  <c r="F15385" i="1"/>
  <c r="E15385" i="1"/>
  <c r="F15384" i="1"/>
  <c r="E15384" i="1"/>
  <c r="F15383" i="1"/>
  <c r="E15383" i="1"/>
  <c r="F15382" i="1"/>
  <c r="E15382" i="1"/>
  <c r="F15381" i="1"/>
  <c r="E15381" i="1"/>
  <c r="F15380" i="1"/>
  <c r="E15380" i="1"/>
  <c r="F15379" i="1"/>
  <c r="E15379" i="1"/>
  <c r="F15378" i="1"/>
  <c r="E15378" i="1"/>
  <c r="F15377" i="1"/>
  <c r="E15377" i="1"/>
  <c r="F15376" i="1"/>
  <c r="E15376" i="1"/>
  <c r="F15375" i="1"/>
  <c r="E15375" i="1"/>
  <c r="F15374" i="1"/>
  <c r="E15374" i="1"/>
  <c r="F15373" i="1"/>
  <c r="E15373" i="1"/>
  <c r="F15372" i="1"/>
  <c r="E15372" i="1"/>
  <c r="F15371" i="1"/>
  <c r="E15371" i="1"/>
  <c r="F15370" i="1"/>
  <c r="E15370" i="1"/>
  <c r="F15369" i="1"/>
  <c r="E15369" i="1"/>
  <c r="F15368" i="1"/>
  <c r="E15368" i="1"/>
  <c r="F15367" i="1"/>
  <c r="E15367" i="1"/>
  <c r="F15366" i="1"/>
  <c r="E15366" i="1"/>
  <c r="F15365" i="1"/>
  <c r="E15365" i="1"/>
  <c r="F15364" i="1"/>
  <c r="E15364" i="1"/>
  <c r="F15363" i="1"/>
  <c r="E15363" i="1"/>
  <c r="F15362" i="1"/>
  <c r="E15362" i="1"/>
  <c r="F15361" i="1"/>
  <c r="E15361" i="1"/>
  <c r="F15360" i="1"/>
  <c r="E15360" i="1"/>
  <c r="F15359" i="1"/>
  <c r="E15359" i="1"/>
  <c r="F15358" i="1"/>
  <c r="E15358" i="1"/>
  <c r="F15357" i="1"/>
  <c r="E15357" i="1"/>
  <c r="F15356" i="1"/>
  <c r="E15356" i="1"/>
  <c r="F15355" i="1"/>
  <c r="E15355" i="1"/>
  <c r="F15354" i="1"/>
  <c r="E15354" i="1"/>
  <c r="F15353" i="1"/>
  <c r="E15353" i="1"/>
  <c r="F15352" i="1"/>
  <c r="E15352" i="1"/>
  <c r="F15351" i="1"/>
  <c r="E15351" i="1"/>
  <c r="F15350" i="1"/>
  <c r="E15350" i="1"/>
  <c r="F15349" i="1"/>
  <c r="E15349" i="1"/>
  <c r="F15348" i="1"/>
  <c r="E15348" i="1"/>
  <c r="F15347" i="1"/>
  <c r="E15347" i="1"/>
  <c r="F15346" i="1"/>
  <c r="E15346" i="1"/>
  <c r="F15345" i="1"/>
  <c r="E15345" i="1"/>
  <c r="F15344" i="1"/>
  <c r="E15344" i="1"/>
  <c r="F15343" i="1"/>
  <c r="E15343" i="1"/>
  <c r="F15342" i="1"/>
  <c r="E15342" i="1"/>
  <c r="F15341" i="1"/>
  <c r="E15341" i="1"/>
  <c r="F15340" i="1"/>
  <c r="E15340" i="1"/>
  <c r="F15339" i="1"/>
  <c r="E15339" i="1"/>
  <c r="F15338" i="1"/>
  <c r="E15338" i="1"/>
  <c r="F15337" i="1"/>
  <c r="E15337" i="1"/>
  <c r="F15336" i="1"/>
  <c r="E15336" i="1"/>
  <c r="F15335" i="1"/>
  <c r="F15334" i="1"/>
  <c r="E15334" i="1"/>
  <c r="F15333" i="1"/>
  <c r="E15333" i="1"/>
  <c r="F15332" i="1"/>
  <c r="E15332" i="1"/>
  <c r="F15331" i="1"/>
  <c r="E15331" i="1"/>
  <c r="F15330" i="1"/>
  <c r="E15330" i="1"/>
  <c r="F15329" i="1"/>
  <c r="E15329" i="1"/>
  <c r="F15328" i="1"/>
  <c r="E15328" i="1"/>
  <c r="F15327" i="1"/>
  <c r="E15327" i="1"/>
  <c r="F15326" i="1"/>
  <c r="E15326" i="1"/>
  <c r="F15325" i="1"/>
  <c r="E15325" i="1"/>
  <c r="F15324" i="1"/>
  <c r="E15324" i="1"/>
  <c r="F15323" i="1"/>
  <c r="E15323" i="1"/>
  <c r="F15322" i="1"/>
  <c r="E15322" i="1"/>
  <c r="F15321" i="1"/>
  <c r="E15321" i="1"/>
  <c r="F15320" i="1"/>
  <c r="E15320" i="1"/>
  <c r="F15319" i="1"/>
  <c r="E15319" i="1"/>
  <c r="F15318" i="1"/>
  <c r="E15318" i="1"/>
  <c r="F15317" i="1"/>
  <c r="E15317" i="1"/>
  <c r="F15316" i="1"/>
  <c r="E15316" i="1"/>
  <c r="F15315" i="1"/>
  <c r="E15315" i="1"/>
  <c r="F15314" i="1"/>
  <c r="E15314" i="1"/>
  <c r="F15313" i="1"/>
  <c r="E15313" i="1"/>
  <c r="F15312" i="1"/>
  <c r="E15312" i="1"/>
  <c r="F15311" i="1"/>
  <c r="E15311" i="1"/>
  <c r="F15310" i="1"/>
  <c r="E15310" i="1"/>
  <c r="F15309" i="1"/>
  <c r="E15309" i="1"/>
  <c r="F15308" i="1"/>
  <c r="E15308" i="1"/>
  <c r="F15307" i="1"/>
  <c r="E15307" i="1"/>
  <c r="F15306" i="1"/>
  <c r="E15306" i="1"/>
  <c r="F15305" i="1"/>
  <c r="E15305" i="1"/>
  <c r="F15304" i="1"/>
  <c r="E15304" i="1"/>
  <c r="F15303" i="1"/>
  <c r="E15303" i="1"/>
  <c r="F15302" i="1"/>
  <c r="E15302" i="1"/>
  <c r="F15301" i="1"/>
  <c r="E15301" i="1"/>
  <c r="F15300" i="1"/>
  <c r="E15300" i="1"/>
  <c r="F15299" i="1"/>
  <c r="E15299" i="1"/>
  <c r="F15298" i="1"/>
  <c r="E15298" i="1"/>
  <c r="F15297" i="1"/>
  <c r="E15297" i="1"/>
  <c r="F15296" i="1"/>
  <c r="E15296" i="1"/>
  <c r="F15295" i="1"/>
  <c r="E15295" i="1"/>
  <c r="F15294" i="1"/>
  <c r="E15294" i="1"/>
  <c r="F15293" i="1"/>
  <c r="E15293" i="1"/>
  <c r="F15292" i="1"/>
  <c r="E15292" i="1"/>
  <c r="F15291" i="1"/>
  <c r="E15291" i="1"/>
  <c r="F15290" i="1"/>
  <c r="E15290" i="1"/>
  <c r="F15289" i="1"/>
  <c r="E15289" i="1"/>
  <c r="F15288" i="1"/>
  <c r="E15288" i="1"/>
  <c r="F15287" i="1"/>
  <c r="E15287" i="1"/>
  <c r="F15286" i="1"/>
  <c r="E15286" i="1"/>
  <c r="F15285" i="1"/>
  <c r="E15285" i="1"/>
  <c r="F15284" i="1"/>
  <c r="E15284" i="1"/>
  <c r="F15283" i="1"/>
  <c r="E15283" i="1"/>
  <c r="F15282" i="1"/>
  <c r="E15282" i="1"/>
  <c r="F15281" i="1"/>
  <c r="E15281" i="1"/>
  <c r="F15280" i="1"/>
  <c r="E15280" i="1"/>
  <c r="F15279" i="1"/>
  <c r="E15279" i="1"/>
  <c r="F15278" i="1"/>
  <c r="E15278" i="1"/>
  <c r="F15277" i="1"/>
  <c r="E15277" i="1"/>
  <c r="F15276" i="1"/>
  <c r="E15276" i="1"/>
  <c r="F15275" i="1"/>
  <c r="E15275" i="1"/>
  <c r="F15274" i="1"/>
  <c r="E15274" i="1"/>
  <c r="F15273" i="1"/>
  <c r="E15273" i="1"/>
  <c r="F15272" i="1"/>
  <c r="E15272" i="1"/>
  <c r="F15271" i="1"/>
  <c r="E15271" i="1"/>
  <c r="F15270" i="1"/>
  <c r="E15270" i="1"/>
  <c r="F15269" i="1"/>
  <c r="E15269" i="1"/>
  <c r="F15268" i="1"/>
  <c r="E15268" i="1"/>
  <c r="F15267" i="1"/>
  <c r="E15267" i="1"/>
  <c r="F15266" i="1"/>
  <c r="E15266" i="1"/>
  <c r="F15265" i="1"/>
  <c r="E15265" i="1"/>
  <c r="F15264" i="1"/>
  <c r="E15264" i="1"/>
  <c r="F15263" i="1"/>
  <c r="E15263" i="1"/>
  <c r="F15262" i="1"/>
  <c r="E15262" i="1"/>
  <c r="F15261" i="1"/>
  <c r="E15261" i="1"/>
  <c r="F15260" i="1"/>
  <c r="E15260" i="1"/>
  <c r="F15259" i="1"/>
  <c r="E15259" i="1"/>
  <c r="F15258" i="1"/>
  <c r="E15258" i="1"/>
  <c r="F15257" i="1"/>
  <c r="E15257" i="1"/>
  <c r="F15256" i="1"/>
  <c r="E15256" i="1"/>
  <c r="F15255" i="1"/>
  <c r="E15255" i="1"/>
  <c r="F15254" i="1"/>
  <c r="E15254" i="1"/>
  <c r="F15253" i="1"/>
  <c r="E15253" i="1"/>
  <c r="F15252" i="1"/>
  <c r="E15252" i="1"/>
  <c r="F15251" i="1"/>
  <c r="E15251" i="1"/>
  <c r="F15250" i="1"/>
  <c r="E15250" i="1"/>
  <c r="F15249" i="1"/>
  <c r="E15249" i="1"/>
  <c r="F15248" i="1"/>
  <c r="E15248" i="1"/>
  <c r="F15247" i="1"/>
  <c r="E15247" i="1"/>
  <c r="F15246" i="1"/>
  <c r="E15246" i="1"/>
  <c r="F15245" i="1"/>
  <c r="E15245" i="1"/>
  <c r="F15244" i="1"/>
  <c r="E15244" i="1"/>
  <c r="F15243" i="1"/>
  <c r="E15243" i="1"/>
  <c r="F15242" i="1"/>
  <c r="E15242" i="1"/>
  <c r="F15241" i="1"/>
  <c r="E15241" i="1"/>
  <c r="F15240" i="1"/>
  <c r="E15240" i="1"/>
  <c r="F15239" i="1"/>
  <c r="E15239" i="1"/>
  <c r="F15238" i="1"/>
  <c r="E15238" i="1"/>
  <c r="F15237" i="1"/>
  <c r="E15237" i="1"/>
  <c r="F15236" i="1"/>
  <c r="E15236" i="1"/>
  <c r="F15235" i="1"/>
  <c r="E15235" i="1"/>
  <c r="F15234" i="1"/>
  <c r="E15234" i="1"/>
  <c r="F15233" i="1"/>
  <c r="E15233" i="1"/>
  <c r="F15232" i="1"/>
  <c r="E15232" i="1"/>
  <c r="F15231" i="1"/>
  <c r="E15231" i="1"/>
  <c r="F15230" i="1"/>
  <c r="E15230" i="1"/>
  <c r="F15229" i="1"/>
  <c r="F15228" i="1"/>
  <c r="F15227" i="1"/>
  <c r="F15226" i="1"/>
  <c r="F15225" i="1"/>
  <c r="E15225" i="1"/>
  <c r="F15224" i="1"/>
  <c r="E15224" i="1"/>
  <c r="F15223" i="1"/>
  <c r="E15223" i="1"/>
  <c r="F15222" i="1"/>
  <c r="E15222" i="1"/>
  <c r="F15221" i="1"/>
  <c r="E15221" i="1"/>
  <c r="F15220" i="1"/>
  <c r="E15220" i="1"/>
  <c r="F15219" i="1"/>
  <c r="E15219" i="1"/>
  <c r="F15218" i="1"/>
  <c r="E15218" i="1"/>
  <c r="F15217" i="1"/>
  <c r="E15217" i="1"/>
  <c r="F15216" i="1"/>
  <c r="F15215" i="1"/>
  <c r="E15215" i="1"/>
  <c r="F15214" i="1"/>
  <c r="E15214" i="1"/>
  <c r="F15213" i="1"/>
  <c r="E15213" i="1"/>
  <c r="F15212" i="1"/>
  <c r="E15212" i="1"/>
  <c r="F15211" i="1"/>
  <c r="E15211" i="1"/>
  <c r="F15210" i="1"/>
  <c r="E15210" i="1"/>
  <c r="F15209" i="1"/>
  <c r="E15209" i="1"/>
  <c r="F15208" i="1"/>
  <c r="E15208" i="1"/>
  <c r="F15207" i="1"/>
  <c r="E15207" i="1"/>
  <c r="F15206" i="1"/>
  <c r="E15206" i="1"/>
  <c r="F15205" i="1"/>
  <c r="F15204" i="1"/>
  <c r="E15204" i="1"/>
  <c r="F15203" i="1"/>
  <c r="E15203" i="1"/>
  <c r="F15202" i="1"/>
  <c r="E15202" i="1"/>
  <c r="F15201" i="1"/>
  <c r="E15201" i="1"/>
  <c r="F15200" i="1"/>
  <c r="E15200" i="1"/>
  <c r="F15199" i="1"/>
  <c r="E15199" i="1"/>
  <c r="F15198" i="1"/>
  <c r="E15198" i="1"/>
  <c r="F15197" i="1"/>
  <c r="E15197" i="1"/>
  <c r="F15196" i="1"/>
  <c r="E15196" i="1"/>
  <c r="F15195" i="1"/>
  <c r="E15195" i="1"/>
  <c r="F15194" i="1"/>
  <c r="E15194" i="1"/>
  <c r="F15193" i="1"/>
  <c r="E15193" i="1"/>
  <c r="F15192" i="1"/>
  <c r="E15192" i="1"/>
  <c r="F15191" i="1"/>
  <c r="E15191" i="1"/>
  <c r="F15190" i="1"/>
  <c r="E15190" i="1"/>
  <c r="F15189" i="1"/>
  <c r="E15189" i="1"/>
  <c r="F15188" i="1"/>
  <c r="E15188" i="1"/>
  <c r="F15187" i="1"/>
  <c r="E15187" i="1"/>
  <c r="F15186" i="1"/>
  <c r="E15186" i="1"/>
  <c r="F15185" i="1"/>
  <c r="E15185" i="1"/>
  <c r="F15184" i="1"/>
  <c r="E15184" i="1"/>
  <c r="F15183" i="1"/>
  <c r="E15183" i="1"/>
  <c r="F15182" i="1"/>
  <c r="E15182" i="1"/>
  <c r="F15181" i="1"/>
  <c r="E15181" i="1"/>
  <c r="F15180" i="1"/>
  <c r="E15180" i="1"/>
  <c r="F15179" i="1"/>
  <c r="E15179" i="1"/>
  <c r="F15178" i="1"/>
  <c r="E15178" i="1"/>
  <c r="F15177" i="1"/>
  <c r="E15177" i="1"/>
  <c r="F15176" i="1"/>
  <c r="E15176" i="1"/>
  <c r="F15175" i="1"/>
  <c r="E15175" i="1"/>
  <c r="F15174" i="1"/>
  <c r="E15174" i="1"/>
  <c r="F15173" i="1"/>
  <c r="E15173" i="1"/>
  <c r="F15172" i="1"/>
  <c r="E15172" i="1"/>
  <c r="F15171" i="1"/>
  <c r="E15171" i="1"/>
  <c r="F15170" i="1"/>
  <c r="E15170" i="1"/>
  <c r="F15169" i="1"/>
  <c r="E15169" i="1"/>
  <c r="F15168" i="1"/>
  <c r="E15168" i="1"/>
  <c r="F15167" i="1"/>
  <c r="E15167" i="1"/>
  <c r="F15166" i="1"/>
  <c r="E15166" i="1"/>
  <c r="F15165" i="1"/>
  <c r="E15165" i="1"/>
  <c r="F15164" i="1"/>
  <c r="E15164" i="1"/>
  <c r="F15163" i="1"/>
  <c r="E15163" i="1"/>
  <c r="F15162" i="1"/>
  <c r="E15162" i="1"/>
  <c r="F15161" i="1"/>
  <c r="E15161" i="1"/>
  <c r="F15160" i="1"/>
  <c r="E15160" i="1"/>
  <c r="F15159" i="1"/>
  <c r="E15159" i="1"/>
  <c r="F15158" i="1"/>
  <c r="E15158" i="1"/>
  <c r="F15157" i="1"/>
  <c r="E15157" i="1"/>
  <c r="F15156" i="1"/>
  <c r="E15156" i="1"/>
  <c r="F15155" i="1"/>
  <c r="E15155" i="1"/>
  <c r="F15154" i="1"/>
  <c r="E15154" i="1"/>
  <c r="F15153" i="1"/>
  <c r="E15153" i="1"/>
  <c r="F15152" i="1"/>
  <c r="E15152" i="1"/>
  <c r="F15151" i="1"/>
  <c r="E15151" i="1"/>
  <c r="F15150" i="1"/>
  <c r="E15150" i="1"/>
  <c r="F15149" i="1"/>
  <c r="E15149" i="1"/>
  <c r="F15148" i="1"/>
  <c r="E15148" i="1"/>
  <c r="F15147" i="1"/>
  <c r="E15147" i="1"/>
  <c r="F15146" i="1"/>
  <c r="E15146" i="1"/>
  <c r="F15145" i="1"/>
  <c r="E15145" i="1"/>
  <c r="F15144" i="1"/>
  <c r="E15144" i="1"/>
  <c r="F15143" i="1"/>
  <c r="E15143" i="1"/>
  <c r="F15142" i="1"/>
  <c r="E15142" i="1"/>
  <c r="F15141" i="1"/>
  <c r="E15141" i="1"/>
  <c r="F15140" i="1"/>
  <c r="E15140" i="1"/>
  <c r="F15139" i="1"/>
  <c r="E15139" i="1"/>
  <c r="F15138" i="1"/>
  <c r="E15138" i="1"/>
  <c r="F15137" i="1"/>
  <c r="E15137" i="1"/>
  <c r="F15136" i="1"/>
  <c r="E15136" i="1"/>
  <c r="F15135" i="1"/>
  <c r="E15135" i="1"/>
  <c r="F15134" i="1"/>
  <c r="E15134" i="1"/>
  <c r="F15133" i="1"/>
  <c r="E15133" i="1"/>
  <c r="F15132" i="1"/>
  <c r="E15132" i="1"/>
  <c r="F15131" i="1"/>
  <c r="E15131" i="1"/>
  <c r="F15130" i="1"/>
  <c r="E15130" i="1"/>
  <c r="F15129" i="1"/>
  <c r="E15129" i="1"/>
  <c r="F15128" i="1"/>
  <c r="E15128" i="1"/>
  <c r="F15127" i="1"/>
  <c r="E15127" i="1"/>
  <c r="F15126" i="1"/>
  <c r="E15126" i="1"/>
  <c r="F15125" i="1"/>
  <c r="E15125" i="1"/>
  <c r="F15124" i="1"/>
  <c r="E15124" i="1"/>
  <c r="F15123" i="1"/>
  <c r="E15123" i="1"/>
  <c r="F15122" i="1"/>
  <c r="F15121" i="1"/>
  <c r="E15121" i="1"/>
  <c r="F15120" i="1"/>
  <c r="E15120" i="1"/>
  <c r="F15119" i="1"/>
  <c r="E15119" i="1"/>
  <c r="F15118" i="1"/>
  <c r="E15118" i="1"/>
  <c r="F15117" i="1"/>
  <c r="E15117" i="1"/>
  <c r="F15116" i="1"/>
  <c r="E15116" i="1"/>
  <c r="F15115" i="1"/>
  <c r="E15115" i="1"/>
  <c r="F15114" i="1"/>
  <c r="E15114" i="1"/>
  <c r="F15113" i="1"/>
  <c r="E15113" i="1"/>
  <c r="F15112" i="1"/>
  <c r="E15112" i="1"/>
  <c r="F15111" i="1"/>
  <c r="E15111" i="1"/>
  <c r="F15110" i="1"/>
  <c r="E15110" i="1"/>
  <c r="F15109" i="1"/>
  <c r="E15109" i="1"/>
  <c r="F15108" i="1"/>
  <c r="E15108" i="1"/>
  <c r="F15107" i="1"/>
  <c r="E15107" i="1"/>
  <c r="F15106" i="1"/>
  <c r="E15106" i="1"/>
  <c r="F15105" i="1"/>
  <c r="E15105" i="1"/>
  <c r="F15104" i="1"/>
  <c r="E15104" i="1"/>
  <c r="F15103" i="1"/>
  <c r="E15103" i="1"/>
  <c r="F15102" i="1"/>
  <c r="E15102" i="1"/>
  <c r="F15101" i="1"/>
  <c r="E15101" i="1"/>
  <c r="F15100" i="1"/>
  <c r="E15100" i="1"/>
  <c r="F15099" i="1"/>
  <c r="E15099" i="1"/>
  <c r="F15098" i="1"/>
  <c r="E15098" i="1"/>
  <c r="F15097" i="1"/>
  <c r="E15097" i="1"/>
  <c r="F15096" i="1"/>
  <c r="E15096" i="1"/>
  <c r="F15095" i="1"/>
  <c r="E15095" i="1"/>
  <c r="F15094" i="1"/>
  <c r="E15094" i="1"/>
  <c r="F15093" i="1"/>
  <c r="E15093" i="1"/>
  <c r="F15092" i="1"/>
  <c r="E15092" i="1"/>
  <c r="F15091" i="1"/>
  <c r="E15091" i="1"/>
  <c r="F15090" i="1"/>
  <c r="E15090" i="1"/>
  <c r="F15089" i="1"/>
  <c r="E15089" i="1"/>
  <c r="F15088" i="1"/>
  <c r="E15088" i="1"/>
  <c r="F15087" i="1"/>
  <c r="E15087" i="1"/>
  <c r="F15086" i="1"/>
  <c r="E15086" i="1"/>
  <c r="F15085" i="1"/>
  <c r="E15085" i="1"/>
  <c r="F15084" i="1"/>
  <c r="E15084" i="1"/>
  <c r="F15083" i="1"/>
  <c r="E15083" i="1"/>
  <c r="F15082" i="1"/>
  <c r="E15082" i="1"/>
  <c r="F15081" i="1"/>
  <c r="E15081" i="1"/>
  <c r="F15080" i="1"/>
  <c r="E15080" i="1"/>
  <c r="F15079" i="1"/>
  <c r="E15079" i="1"/>
  <c r="F15078" i="1"/>
  <c r="E15078" i="1"/>
  <c r="F15077" i="1"/>
  <c r="E15077" i="1"/>
  <c r="F15076" i="1"/>
  <c r="E15076" i="1"/>
  <c r="F15075" i="1"/>
  <c r="E15075" i="1"/>
  <c r="F15074" i="1"/>
  <c r="E15074" i="1"/>
  <c r="F15073" i="1"/>
  <c r="E15073" i="1"/>
  <c r="F15072" i="1"/>
  <c r="E15072" i="1"/>
  <c r="F15071" i="1"/>
  <c r="E15071" i="1"/>
  <c r="F15070" i="1"/>
  <c r="E15070" i="1"/>
  <c r="F15069" i="1"/>
  <c r="E15069" i="1"/>
  <c r="F15068" i="1"/>
  <c r="E15068" i="1"/>
  <c r="F15067" i="1"/>
  <c r="E15067" i="1"/>
  <c r="F15066" i="1"/>
  <c r="E15066" i="1"/>
  <c r="F15065" i="1"/>
  <c r="E15065" i="1"/>
  <c r="F15064" i="1"/>
  <c r="E15064" i="1"/>
  <c r="F15063" i="1"/>
  <c r="E15063" i="1"/>
  <c r="F15062" i="1"/>
  <c r="E15062" i="1"/>
  <c r="F15061" i="1"/>
  <c r="E15061" i="1"/>
  <c r="F15060" i="1"/>
  <c r="E15060" i="1"/>
  <c r="F15059" i="1"/>
  <c r="E15059" i="1"/>
  <c r="F15058" i="1"/>
  <c r="E15058" i="1"/>
  <c r="F15057" i="1"/>
  <c r="E15057" i="1"/>
  <c r="F15056" i="1"/>
  <c r="E15056" i="1"/>
  <c r="F15055" i="1"/>
  <c r="E15055" i="1"/>
  <c r="F15054" i="1"/>
  <c r="E15054" i="1"/>
  <c r="F15053" i="1"/>
  <c r="E15053" i="1"/>
  <c r="F15052" i="1"/>
  <c r="E15052" i="1"/>
  <c r="F15051" i="1"/>
  <c r="E15051" i="1"/>
  <c r="F15050" i="1"/>
  <c r="E15050" i="1"/>
  <c r="F15049" i="1"/>
  <c r="E15049" i="1"/>
  <c r="F15048" i="1"/>
  <c r="E15048" i="1"/>
  <c r="F15047" i="1"/>
  <c r="E15047" i="1"/>
  <c r="F15046" i="1"/>
  <c r="E15046" i="1"/>
  <c r="F15045" i="1"/>
  <c r="E15045" i="1"/>
  <c r="F15044" i="1"/>
  <c r="E15044" i="1"/>
  <c r="F15043" i="1"/>
  <c r="E15043" i="1"/>
  <c r="F15042" i="1"/>
  <c r="E15042" i="1"/>
  <c r="F15041" i="1"/>
  <c r="E15041" i="1"/>
  <c r="F15040" i="1"/>
  <c r="E15040" i="1"/>
  <c r="F15039" i="1"/>
  <c r="E15039" i="1"/>
  <c r="F15038" i="1"/>
  <c r="E15038" i="1"/>
  <c r="F15037" i="1"/>
  <c r="E15037" i="1"/>
  <c r="F15036" i="1"/>
  <c r="E15036" i="1"/>
  <c r="F15035" i="1"/>
  <c r="E15035" i="1"/>
  <c r="F15034" i="1"/>
  <c r="E15034" i="1"/>
  <c r="F15033" i="1"/>
  <c r="E15033" i="1"/>
  <c r="F15032" i="1"/>
  <c r="E15032" i="1"/>
  <c r="F15031" i="1"/>
  <c r="E15031" i="1"/>
  <c r="F15030" i="1"/>
  <c r="E15030" i="1"/>
  <c r="F15029" i="1"/>
  <c r="E15029" i="1"/>
  <c r="F15028" i="1"/>
  <c r="E15028" i="1"/>
  <c r="F15027" i="1"/>
  <c r="E15027" i="1"/>
  <c r="F15026" i="1"/>
  <c r="E15026" i="1"/>
  <c r="F15025" i="1"/>
  <c r="E15025" i="1"/>
  <c r="F15024" i="1"/>
  <c r="E15024" i="1"/>
  <c r="F15023" i="1"/>
  <c r="E15023" i="1"/>
  <c r="F15022" i="1"/>
  <c r="E15022" i="1"/>
  <c r="F15021" i="1"/>
  <c r="E15021" i="1"/>
  <c r="F15020" i="1"/>
  <c r="E15020" i="1"/>
  <c r="F15019" i="1"/>
  <c r="E15019" i="1"/>
  <c r="F15018" i="1"/>
  <c r="E15018" i="1"/>
  <c r="F15017" i="1"/>
  <c r="E15017" i="1"/>
  <c r="F15016" i="1"/>
  <c r="E15016" i="1"/>
  <c r="F15015" i="1"/>
  <c r="E15015" i="1"/>
  <c r="F15014" i="1"/>
  <c r="E15014" i="1"/>
  <c r="F15013" i="1"/>
  <c r="E15013" i="1"/>
  <c r="F15012" i="1"/>
  <c r="E15012" i="1"/>
  <c r="F15011" i="1"/>
  <c r="E15011" i="1"/>
  <c r="F15010" i="1"/>
  <c r="F15009" i="1"/>
  <c r="E15009" i="1"/>
  <c r="F15008" i="1"/>
  <c r="E15008" i="1"/>
  <c r="F15007" i="1"/>
  <c r="E15007" i="1"/>
  <c r="F15006" i="1"/>
  <c r="E15006" i="1"/>
  <c r="F15005" i="1"/>
  <c r="E15005" i="1"/>
  <c r="F15004" i="1"/>
  <c r="E15004" i="1"/>
  <c r="F15003" i="1"/>
  <c r="E15003" i="1"/>
  <c r="F15002" i="1"/>
  <c r="E15002" i="1"/>
  <c r="F15001" i="1"/>
  <c r="E15001" i="1"/>
  <c r="F15000" i="1"/>
  <c r="E15000" i="1"/>
  <c r="F14999" i="1"/>
  <c r="E14999" i="1"/>
  <c r="F14998" i="1"/>
  <c r="E14998" i="1"/>
  <c r="F14997" i="1"/>
  <c r="E14997" i="1"/>
  <c r="F14996" i="1"/>
  <c r="E14996" i="1"/>
  <c r="F14995" i="1"/>
  <c r="E14995" i="1"/>
  <c r="F14994" i="1"/>
  <c r="E14994" i="1"/>
  <c r="F14993" i="1"/>
  <c r="E14993" i="1"/>
  <c r="F14992" i="1"/>
  <c r="E14992" i="1"/>
  <c r="F14991" i="1"/>
  <c r="E14991" i="1"/>
  <c r="F14990" i="1"/>
  <c r="E14990" i="1"/>
  <c r="F14989" i="1"/>
  <c r="E14989" i="1"/>
  <c r="F14988" i="1"/>
  <c r="E14988" i="1"/>
  <c r="F14987" i="1"/>
  <c r="E14987" i="1"/>
  <c r="F14986" i="1"/>
  <c r="E14986" i="1"/>
  <c r="F14985" i="1"/>
  <c r="E14985" i="1"/>
  <c r="F14984" i="1"/>
  <c r="E14984" i="1"/>
  <c r="F14983" i="1"/>
  <c r="E14983" i="1"/>
  <c r="F14982" i="1"/>
  <c r="E14982" i="1"/>
  <c r="F14981" i="1"/>
  <c r="E14981" i="1"/>
  <c r="F14980" i="1"/>
  <c r="E14980" i="1"/>
  <c r="F14979" i="1"/>
  <c r="E14979" i="1"/>
  <c r="F14978" i="1"/>
  <c r="E14978" i="1"/>
  <c r="F14977" i="1"/>
  <c r="E14977" i="1"/>
  <c r="F14976" i="1"/>
  <c r="E14976" i="1"/>
  <c r="F14975" i="1"/>
  <c r="E14975" i="1"/>
  <c r="F14974" i="1"/>
  <c r="E14974" i="1"/>
  <c r="F14973" i="1"/>
  <c r="E14973" i="1"/>
  <c r="F14972" i="1"/>
  <c r="E14972" i="1"/>
  <c r="F14971" i="1"/>
  <c r="E14971" i="1"/>
  <c r="F14970" i="1"/>
  <c r="E14970" i="1"/>
  <c r="F14969" i="1"/>
  <c r="E14969" i="1"/>
  <c r="F14968" i="1"/>
  <c r="E14968" i="1"/>
  <c r="F14967" i="1"/>
  <c r="E14967" i="1"/>
  <c r="F14966" i="1"/>
  <c r="E14966" i="1"/>
  <c r="F14965" i="1"/>
  <c r="E14965" i="1"/>
  <c r="F14964" i="1"/>
  <c r="E14964" i="1"/>
  <c r="F14963" i="1"/>
  <c r="F14962" i="1"/>
  <c r="F14961" i="1"/>
  <c r="F14960" i="1"/>
  <c r="F14959" i="1"/>
  <c r="F14958" i="1"/>
  <c r="E14958" i="1"/>
  <c r="F14957" i="1"/>
  <c r="E14957" i="1"/>
  <c r="F14956" i="1"/>
  <c r="E14956" i="1"/>
  <c r="F14955" i="1"/>
  <c r="E14955" i="1"/>
  <c r="F14954" i="1"/>
  <c r="E14954" i="1"/>
  <c r="F14953" i="1"/>
  <c r="E14953" i="1"/>
  <c r="F14952" i="1"/>
  <c r="E14952" i="1"/>
  <c r="F14951" i="1"/>
  <c r="E14951" i="1"/>
  <c r="F14950" i="1"/>
  <c r="E14950" i="1"/>
  <c r="F14949" i="1"/>
  <c r="E14949" i="1"/>
  <c r="F14948" i="1"/>
  <c r="E14948" i="1"/>
  <c r="F14947" i="1"/>
  <c r="E14947" i="1"/>
  <c r="F14946" i="1"/>
  <c r="E14946" i="1"/>
  <c r="F14945" i="1"/>
  <c r="E14945" i="1"/>
  <c r="F14944" i="1"/>
  <c r="E14944" i="1"/>
  <c r="F14943" i="1"/>
  <c r="E14943" i="1"/>
  <c r="F14942" i="1"/>
  <c r="E14942" i="1"/>
  <c r="F14941" i="1"/>
  <c r="E14941" i="1"/>
  <c r="F14940" i="1"/>
  <c r="E14940" i="1"/>
  <c r="F14939" i="1"/>
  <c r="E14939" i="1"/>
  <c r="F14938" i="1"/>
  <c r="E14938" i="1"/>
  <c r="F14937" i="1"/>
  <c r="E14937" i="1"/>
  <c r="F14936" i="1"/>
  <c r="E14936" i="1"/>
  <c r="F14935" i="1"/>
  <c r="E14935" i="1"/>
  <c r="F14934" i="1"/>
  <c r="E14934" i="1"/>
  <c r="F14933" i="1"/>
  <c r="E14933" i="1"/>
  <c r="F14932" i="1"/>
  <c r="E14932" i="1"/>
  <c r="F14931" i="1"/>
  <c r="E14931" i="1"/>
  <c r="F14930" i="1"/>
  <c r="E14930" i="1"/>
  <c r="F14929" i="1"/>
  <c r="E14929" i="1"/>
  <c r="F14928" i="1"/>
  <c r="E14928" i="1"/>
  <c r="F14927" i="1"/>
  <c r="E14927" i="1"/>
  <c r="F14926" i="1"/>
  <c r="E14926" i="1"/>
  <c r="F14925" i="1"/>
  <c r="E14925" i="1"/>
  <c r="F14924" i="1"/>
  <c r="E14924" i="1"/>
  <c r="F14923" i="1"/>
  <c r="E14923" i="1"/>
  <c r="F14922" i="1"/>
  <c r="E14922" i="1"/>
  <c r="F14921" i="1"/>
  <c r="E14921" i="1"/>
  <c r="F14920" i="1"/>
  <c r="E14920" i="1"/>
  <c r="F14919" i="1"/>
  <c r="E14919" i="1"/>
  <c r="F14918" i="1"/>
  <c r="E14918" i="1"/>
  <c r="F14917" i="1"/>
  <c r="E14917" i="1"/>
  <c r="F14916" i="1"/>
  <c r="E14916" i="1"/>
  <c r="F14915" i="1"/>
  <c r="E14915" i="1"/>
  <c r="F14914" i="1"/>
  <c r="E14914" i="1"/>
  <c r="F14913" i="1"/>
  <c r="E14913" i="1"/>
  <c r="F14912" i="1"/>
  <c r="E14912" i="1"/>
  <c r="F14911" i="1"/>
  <c r="E14911" i="1"/>
  <c r="F14910" i="1"/>
  <c r="E14910" i="1"/>
  <c r="F14909" i="1"/>
  <c r="E14909" i="1"/>
  <c r="F14908" i="1"/>
  <c r="E14908" i="1"/>
  <c r="F14907" i="1"/>
  <c r="E14907" i="1"/>
  <c r="F14906" i="1"/>
  <c r="E14906" i="1"/>
  <c r="F14905" i="1"/>
  <c r="E14905" i="1"/>
  <c r="F14904" i="1"/>
  <c r="E14904" i="1"/>
  <c r="F14903" i="1"/>
  <c r="E14903" i="1"/>
  <c r="F14902" i="1"/>
  <c r="E14902" i="1"/>
  <c r="F14901" i="1"/>
  <c r="E14901" i="1"/>
  <c r="F14900" i="1"/>
  <c r="E14900" i="1"/>
  <c r="F14899" i="1"/>
  <c r="E14899" i="1"/>
  <c r="F14898" i="1"/>
  <c r="E14898" i="1"/>
  <c r="F14897" i="1"/>
  <c r="E14897" i="1"/>
  <c r="F14896" i="1"/>
  <c r="E14896" i="1"/>
  <c r="F14895" i="1"/>
  <c r="E14895" i="1"/>
  <c r="F14894" i="1"/>
  <c r="E14894" i="1"/>
  <c r="F14893" i="1"/>
  <c r="E14893" i="1"/>
  <c r="F14892" i="1"/>
  <c r="E14892" i="1"/>
  <c r="F14891" i="1"/>
  <c r="E14891" i="1"/>
  <c r="F14890" i="1"/>
  <c r="E14890" i="1"/>
  <c r="F14889" i="1"/>
  <c r="E14889" i="1"/>
  <c r="F14888" i="1"/>
  <c r="E14888" i="1"/>
  <c r="F14887" i="1"/>
  <c r="E14887" i="1"/>
  <c r="F14886" i="1"/>
  <c r="E14886" i="1"/>
  <c r="F14885" i="1"/>
  <c r="E14885" i="1"/>
  <c r="F14884" i="1"/>
  <c r="E14884" i="1"/>
  <c r="F14883" i="1"/>
  <c r="E14883" i="1"/>
  <c r="F14882" i="1"/>
  <c r="E14882" i="1"/>
  <c r="F14881" i="1"/>
  <c r="E14881" i="1"/>
  <c r="F14880" i="1"/>
  <c r="E14880" i="1"/>
  <c r="F14879" i="1"/>
  <c r="E14879" i="1"/>
  <c r="F14878" i="1"/>
  <c r="E14878" i="1"/>
  <c r="F14877" i="1"/>
  <c r="E14877" i="1"/>
  <c r="F14876" i="1"/>
  <c r="E14876" i="1"/>
  <c r="F14875" i="1"/>
  <c r="E14875" i="1"/>
  <c r="F14874" i="1"/>
  <c r="E14874" i="1"/>
  <c r="F14873" i="1"/>
  <c r="E14873" i="1"/>
  <c r="F14872" i="1"/>
  <c r="E14872" i="1"/>
  <c r="F14871" i="1"/>
  <c r="E14871" i="1"/>
  <c r="F14870" i="1"/>
  <c r="E14870" i="1"/>
  <c r="F14869" i="1"/>
  <c r="E14869" i="1"/>
  <c r="F14868" i="1"/>
  <c r="E14868" i="1"/>
  <c r="F14867" i="1"/>
  <c r="E14867" i="1"/>
  <c r="F14866" i="1"/>
  <c r="E14866" i="1"/>
  <c r="F14865" i="1"/>
  <c r="E14865" i="1"/>
  <c r="F14864" i="1"/>
  <c r="E14864" i="1"/>
  <c r="F14863" i="1"/>
  <c r="E14863" i="1"/>
  <c r="F14862" i="1"/>
  <c r="E14862" i="1"/>
  <c r="F14861" i="1"/>
  <c r="E14861" i="1"/>
  <c r="F14860" i="1"/>
  <c r="E14860" i="1"/>
  <c r="F14859" i="1"/>
  <c r="E14859" i="1"/>
  <c r="F14858" i="1"/>
  <c r="E14858" i="1"/>
  <c r="F14857" i="1"/>
  <c r="E14857" i="1"/>
  <c r="F14856" i="1"/>
  <c r="E14856" i="1"/>
  <c r="F14855" i="1"/>
  <c r="E14855" i="1"/>
  <c r="F14854" i="1"/>
  <c r="E14854" i="1"/>
  <c r="F14853" i="1"/>
  <c r="E14853" i="1"/>
  <c r="F14852" i="1"/>
  <c r="E14852" i="1"/>
  <c r="F14851" i="1"/>
  <c r="E14851" i="1"/>
  <c r="F14850" i="1"/>
  <c r="E14850" i="1"/>
  <c r="F14849" i="1"/>
  <c r="E14849" i="1"/>
  <c r="F14848" i="1"/>
  <c r="E14848" i="1"/>
  <c r="F14847" i="1"/>
  <c r="E14847" i="1"/>
  <c r="F14846" i="1"/>
  <c r="E14846" i="1"/>
  <c r="F14845" i="1"/>
  <c r="E14845" i="1"/>
  <c r="F14844" i="1"/>
  <c r="E14844" i="1"/>
  <c r="F14843" i="1"/>
  <c r="E14843" i="1"/>
  <c r="F14842" i="1"/>
  <c r="E14842" i="1"/>
  <c r="F14841" i="1"/>
  <c r="E14841" i="1"/>
  <c r="F14840" i="1"/>
  <c r="E14840" i="1"/>
  <c r="F14839" i="1"/>
  <c r="E14839" i="1"/>
  <c r="F14838" i="1"/>
  <c r="E14838" i="1"/>
  <c r="F14837" i="1"/>
  <c r="E14837" i="1"/>
  <c r="F14836" i="1"/>
  <c r="E14836" i="1"/>
  <c r="F14835" i="1"/>
  <c r="E14835" i="1"/>
  <c r="F14834" i="1"/>
  <c r="E14834" i="1"/>
  <c r="F14833" i="1"/>
  <c r="E14833" i="1"/>
  <c r="F14832" i="1"/>
  <c r="E14832" i="1"/>
  <c r="F14831" i="1"/>
  <c r="E14831" i="1"/>
  <c r="F14830" i="1"/>
  <c r="F14829" i="1"/>
  <c r="E14829" i="1"/>
  <c r="F14828" i="1"/>
  <c r="E14828" i="1"/>
  <c r="F14827" i="1"/>
  <c r="E14827" i="1"/>
  <c r="F14826" i="1"/>
  <c r="E14826" i="1"/>
  <c r="F14825" i="1"/>
  <c r="E14825" i="1"/>
  <c r="F14824" i="1"/>
  <c r="E14824" i="1"/>
  <c r="F14823" i="1"/>
  <c r="E14823" i="1"/>
  <c r="F14822" i="1"/>
  <c r="E14822" i="1"/>
  <c r="F14821" i="1"/>
  <c r="E14821" i="1"/>
  <c r="F14820" i="1"/>
  <c r="E14820" i="1"/>
  <c r="F14819" i="1"/>
  <c r="E14819" i="1"/>
  <c r="F14818" i="1"/>
  <c r="E14818" i="1"/>
  <c r="F14817" i="1"/>
  <c r="E14817" i="1"/>
  <c r="F14816" i="1"/>
  <c r="E14816" i="1"/>
  <c r="F14815" i="1"/>
  <c r="E14815" i="1"/>
  <c r="F14814" i="1"/>
  <c r="E14814" i="1"/>
  <c r="F14813" i="1"/>
  <c r="E14813" i="1"/>
  <c r="F14812" i="1"/>
  <c r="E14812" i="1"/>
  <c r="F14811" i="1"/>
  <c r="E14811" i="1"/>
  <c r="F14810" i="1"/>
  <c r="E14810" i="1"/>
  <c r="F14809" i="1"/>
  <c r="E14809" i="1"/>
  <c r="F14808" i="1"/>
  <c r="E14808" i="1"/>
  <c r="F14807" i="1"/>
  <c r="E14807" i="1"/>
  <c r="F14806" i="1"/>
  <c r="E14806" i="1"/>
  <c r="F14805" i="1"/>
  <c r="E14805" i="1"/>
  <c r="F14804" i="1"/>
  <c r="E14804" i="1"/>
  <c r="F14803" i="1"/>
  <c r="E14803" i="1"/>
  <c r="F14802" i="1"/>
  <c r="E14802" i="1"/>
  <c r="F14801" i="1"/>
  <c r="E14801" i="1"/>
  <c r="F14800" i="1"/>
  <c r="E14800" i="1"/>
  <c r="F14799" i="1"/>
  <c r="E14799" i="1"/>
  <c r="F14798" i="1"/>
  <c r="E14798" i="1"/>
  <c r="F14797" i="1"/>
  <c r="E14797" i="1"/>
  <c r="F14796" i="1"/>
  <c r="E14796" i="1"/>
  <c r="F14795" i="1"/>
  <c r="E14795" i="1"/>
  <c r="F14794" i="1"/>
  <c r="E14794" i="1"/>
  <c r="F14793" i="1"/>
  <c r="E14793" i="1"/>
  <c r="F14792" i="1"/>
  <c r="E14792" i="1"/>
  <c r="F14791" i="1"/>
  <c r="E14791" i="1"/>
  <c r="F14790" i="1"/>
  <c r="E14790" i="1"/>
  <c r="F14789" i="1"/>
  <c r="E14789" i="1"/>
  <c r="F14788" i="1"/>
  <c r="E14788" i="1"/>
  <c r="F14787" i="1"/>
  <c r="E14787" i="1"/>
  <c r="F14786" i="1"/>
  <c r="E14786" i="1"/>
  <c r="F14785" i="1"/>
  <c r="E14785" i="1"/>
  <c r="F14784" i="1"/>
  <c r="E14784" i="1"/>
  <c r="F14783" i="1"/>
  <c r="E14783" i="1"/>
  <c r="F14782" i="1"/>
  <c r="E14782" i="1"/>
  <c r="F14781" i="1"/>
  <c r="E14781" i="1"/>
  <c r="F14780" i="1"/>
  <c r="E14780" i="1"/>
  <c r="F14779" i="1"/>
  <c r="E14779" i="1"/>
  <c r="F14778" i="1"/>
  <c r="E14778" i="1"/>
  <c r="F14777" i="1"/>
  <c r="E14777" i="1"/>
  <c r="F14776" i="1"/>
  <c r="E14776" i="1"/>
  <c r="F14775" i="1"/>
  <c r="E14775" i="1"/>
  <c r="F14774" i="1"/>
  <c r="E14774" i="1"/>
  <c r="F14773" i="1"/>
  <c r="E14773" i="1"/>
  <c r="F14772" i="1"/>
  <c r="E14772" i="1"/>
  <c r="F14771" i="1"/>
  <c r="E14771" i="1"/>
  <c r="F14770" i="1"/>
  <c r="E14770" i="1"/>
  <c r="F14769" i="1"/>
  <c r="F14768" i="1"/>
  <c r="E14768" i="1"/>
  <c r="F14767" i="1"/>
  <c r="E14767" i="1"/>
  <c r="F14766" i="1"/>
  <c r="E14766" i="1"/>
  <c r="F14765" i="1"/>
  <c r="E14765" i="1"/>
  <c r="F14764" i="1"/>
  <c r="E14764" i="1"/>
  <c r="F14763" i="1"/>
  <c r="F14762" i="1"/>
  <c r="E14762" i="1"/>
  <c r="F14761" i="1"/>
  <c r="E14761" i="1"/>
  <c r="F14760" i="1"/>
  <c r="E14760" i="1"/>
  <c r="F14759" i="1"/>
  <c r="E14759" i="1"/>
  <c r="F14758" i="1"/>
  <c r="E14758" i="1"/>
  <c r="F14757" i="1"/>
  <c r="F14756" i="1"/>
  <c r="F14755" i="1"/>
  <c r="F14754" i="1"/>
  <c r="E14754" i="1"/>
  <c r="F14753" i="1"/>
  <c r="E14753" i="1"/>
  <c r="F14752" i="1"/>
  <c r="E14752" i="1"/>
  <c r="F14751" i="1"/>
  <c r="E14751" i="1"/>
  <c r="F14750" i="1"/>
  <c r="E14750" i="1"/>
  <c r="F14749" i="1"/>
  <c r="E14749" i="1"/>
  <c r="F14748" i="1"/>
  <c r="E14748" i="1"/>
  <c r="F14747" i="1"/>
  <c r="E14747" i="1"/>
  <c r="F14746" i="1"/>
  <c r="E14746" i="1"/>
  <c r="F14745" i="1"/>
  <c r="E14745" i="1"/>
  <c r="F14744" i="1"/>
  <c r="E14744" i="1"/>
  <c r="F14743" i="1"/>
  <c r="E14743" i="1"/>
  <c r="F14742" i="1"/>
  <c r="E14742" i="1"/>
  <c r="F14741" i="1"/>
  <c r="E14741" i="1"/>
  <c r="F14740" i="1"/>
  <c r="E14740" i="1"/>
  <c r="F14739" i="1"/>
  <c r="E14739" i="1"/>
  <c r="F14738" i="1"/>
  <c r="E14738" i="1"/>
  <c r="F14737" i="1"/>
  <c r="E14737" i="1"/>
  <c r="F14736" i="1"/>
  <c r="E14736" i="1"/>
  <c r="F14735" i="1"/>
  <c r="E14735" i="1"/>
  <c r="F14734" i="1"/>
  <c r="E14734" i="1"/>
  <c r="F14733" i="1"/>
  <c r="E14733" i="1"/>
  <c r="F14732" i="1"/>
  <c r="E14732" i="1"/>
  <c r="F14731" i="1"/>
  <c r="E14731" i="1"/>
  <c r="F14730" i="1"/>
  <c r="E14730" i="1"/>
  <c r="F14729" i="1"/>
  <c r="E14729" i="1"/>
  <c r="F14728" i="1"/>
  <c r="E14728" i="1"/>
  <c r="F14727" i="1"/>
  <c r="E14727" i="1"/>
  <c r="F14726" i="1"/>
  <c r="E14726" i="1"/>
  <c r="F14725" i="1"/>
  <c r="E14725" i="1"/>
  <c r="F14724" i="1"/>
  <c r="E14724" i="1"/>
  <c r="F14723" i="1"/>
  <c r="E14723" i="1"/>
  <c r="F14722" i="1"/>
  <c r="E14722" i="1"/>
  <c r="F14721" i="1"/>
  <c r="E14721" i="1"/>
  <c r="F14720" i="1"/>
  <c r="E14720" i="1"/>
  <c r="F14719" i="1"/>
  <c r="F14718" i="1"/>
  <c r="E14718" i="1"/>
  <c r="F14717" i="1"/>
  <c r="E14717" i="1"/>
  <c r="F14716" i="1"/>
  <c r="E14716" i="1"/>
  <c r="F14715" i="1"/>
  <c r="E14715" i="1"/>
  <c r="F14714" i="1"/>
  <c r="E14714" i="1"/>
  <c r="F14713" i="1"/>
  <c r="E14713" i="1"/>
  <c r="F14712" i="1"/>
  <c r="E14712" i="1"/>
  <c r="F14711" i="1"/>
  <c r="E14711" i="1"/>
  <c r="F14710" i="1"/>
  <c r="E14710" i="1"/>
  <c r="F14709" i="1"/>
  <c r="E14709" i="1"/>
  <c r="F14708" i="1"/>
  <c r="E14708" i="1"/>
  <c r="F14707" i="1"/>
  <c r="E14707" i="1"/>
  <c r="F14706" i="1"/>
  <c r="E14706" i="1"/>
  <c r="F14705" i="1"/>
  <c r="E14705" i="1"/>
  <c r="F14704" i="1"/>
  <c r="E14704" i="1"/>
  <c r="F14703" i="1"/>
  <c r="E14703" i="1"/>
  <c r="F14702" i="1"/>
  <c r="E14702" i="1"/>
  <c r="F14701" i="1"/>
  <c r="E14701" i="1"/>
  <c r="F14700" i="1"/>
  <c r="E14700" i="1"/>
  <c r="F14699" i="1"/>
  <c r="E14699" i="1"/>
  <c r="F14698" i="1"/>
  <c r="E14698" i="1"/>
  <c r="F14697" i="1"/>
  <c r="E14697" i="1"/>
  <c r="F14696" i="1"/>
  <c r="E14696" i="1"/>
  <c r="F14695" i="1"/>
  <c r="E14695" i="1"/>
  <c r="F14694" i="1"/>
  <c r="E14694" i="1"/>
  <c r="F14693" i="1"/>
  <c r="E14693" i="1"/>
  <c r="F14692" i="1"/>
  <c r="F14691" i="1"/>
  <c r="F14690" i="1"/>
  <c r="F14689" i="1"/>
  <c r="F14688" i="1"/>
  <c r="F14687" i="1"/>
  <c r="F14686" i="1"/>
  <c r="F14685" i="1"/>
  <c r="F14684" i="1"/>
  <c r="F14683" i="1"/>
  <c r="F14682" i="1"/>
  <c r="F14681" i="1"/>
  <c r="F14680" i="1"/>
  <c r="F14679" i="1"/>
  <c r="F14678" i="1"/>
  <c r="F14677" i="1"/>
  <c r="F14676" i="1"/>
  <c r="E14675" i="1"/>
  <c r="F14674" i="1"/>
  <c r="F14673" i="1"/>
  <c r="F14672" i="1"/>
  <c r="F14671" i="1"/>
  <c r="F14670" i="1"/>
  <c r="F14669" i="1"/>
  <c r="F14668" i="1"/>
  <c r="F14667" i="1"/>
  <c r="F14666" i="1"/>
  <c r="F14665" i="1"/>
  <c r="F14664" i="1"/>
  <c r="F14663" i="1"/>
  <c r="F14662" i="1"/>
  <c r="F14661" i="1"/>
  <c r="F14660" i="1"/>
  <c r="F14659" i="1"/>
  <c r="F14658" i="1"/>
  <c r="F14657" i="1"/>
  <c r="F14656" i="1"/>
  <c r="F14655" i="1"/>
  <c r="F14654" i="1"/>
  <c r="F14653" i="1"/>
  <c r="F14652" i="1"/>
  <c r="F14651" i="1"/>
  <c r="F14650" i="1"/>
  <c r="F14649" i="1"/>
  <c r="F14648" i="1"/>
  <c r="F14647" i="1"/>
  <c r="F14646" i="1"/>
  <c r="F14645" i="1"/>
  <c r="F14644" i="1"/>
  <c r="F14643" i="1"/>
  <c r="F14642" i="1"/>
  <c r="F14641" i="1"/>
  <c r="F14640" i="1"/>
  <c r="F14639" i="1"/>
  <c r="F14638" i="1"/>
  <c r="F14637" i="1"/>
  <c r="F14636" i="1"/>
  <c r="F14635" i="1"/>
  <c r="F14634" i="1"/>
  <c r="F14633" i="1"/>
  <c r="F14632" i="1"/>
  <c r="F14631" i="1"/>
  <c r="F14630" i="1"/>
  <c r="F14629" i="1"/>
  <c r="F14628" i="1"/>
  <c r="F14627" i="1"/>
  <c r="F14626" i="1"/>
  <c r="F14625" i="1"/>
  <c r="F14624" i="1"/>
  <c r="F14623" i="1"/>
  <c r="F14622" i="1"/>
  <c r="F14621" i="1"/>
  <c r="F14620" i="1"/>
  <c r="F14619" i="1"/>
  <c r="F14618" i="1"/>
  <c r="F14617" i="1"/>
  <c r="F14616" i="1"/>
  <c r="F14615" i="1"/>
  <c r="F14614" i="1"/>
  <c r="F14613" i="1"/>
  <c r="F14612" i="1"/>
  <c r="F14611" i="1"/>
  <c r="F14610" i="1"/>
  <c r="F14609" i="1"/>
  <c r="F14608" i="1"/>
  <c r="F14607" i="1"/>
  <c r="F14606" i="1"/>
  <c r="F14605" i="1"/>
  <c r="F14604" i="1"/>
  <c r="F14603" i="1"/>
  <c r="F14602" i="1"/>
  <c r="F14601" i="1"/>
  <c r="F14600" i="1"/>
  <c r="F14599" i="1"/>
  <c r="F14598" i="1"/>
  <c r="F14597" i="1"/>
  <c r="F14596" i="1"/>
  <c r="F14595" i="1"/>
  <c r="F14594" i="1"/>
  <c r="F14593" i="1"/>
  <c r="F14592" i="1"/>
  <c r="F14591" i="1"/>
  <c r="F14590" i="1"/>
  <c r="F14589" i="1"/>
  <c r="F14588" i="1"/>
  <c r="F14587" i="1"/>
  <c r="F14586" i="1"/>
  <c r="F14585" i="1"/>
  <c r="F14584" i="1"/>
  <c r="F14583" i="1"/>
  <c r="F14582" i="1"/>
  <c r="F14581" i="1"/>
  <c r="F14580" i="1"/>
  <c r="F14579" i="1"/>
  <c r="F14578" i="1"/>
  <c r="F14577" i="1"/>
  <c r="F14576" i="1"/>
  <c r="F14575" i="1"/>
  <c r="F14574" i="1"/>
  <c r="F14573" i="1"/>
  <c r="F14572" i="1"/>
  <c r="F14571" i="1"/>
  <c r="F14570" i="1"/>
  <c r="F14569" i="1"/>
  <c r="F14568" i="1"/>
  <c r="F14567" i="1"/>
  <c r="F14566" i="1"/>
  <c r="F14565" i="1"/>
  <c r="F14564" i="1"/>
  <c r="F14563" i="1"/>
  <c r="F14562" i="1"/>
  <c r="F14561" i="1"/>
  <c r="F14560" i="1"/>
  <c r="F14559" i="1"/>
  <c r="F14558" i="1"/>
  <c r="F14557" i="1"/>
  <c r="F14556" i="1"/>
  <c r="F14555" i="1"/>
  <c r="F14554" i="1"/>
  <c r="F14553" i="1"/>
  <c r="F14552" i="1"/>
  <c r="F14551" i="1"/>
  <c r="F14550" i="1"/>
  <c r="F14549" i="1"/>
  <c r="F14548" i="1"/>
  <c r="F14547" i="1"/>
  <c r="F14546" i="1"/>
  <c r="F14545" i="1"/>
  <c r="F14544" i="1"/>
  <c r="F14543" i="1"/>
  <c r="F14542" i="1"/>
  <c r="F14541" i="1"/>
  <c r="F14540" i="1"/>
  <c r="F14539" i="1"/>
  <c r="F14538" i="1"/>
  <c r="F14537" i="1"/>
  <c r="F14536" i="1"/>
  <c r="F14535" i="1"/>
  <c r="F14534" i="1"/>
  <c r="F14533" i="1"/>
  <c r="F14532" i="1"/>
  <c r="F14531" i="1"/>
  <c r="F14530" i="1"/>
  <c r="F14529" i="1"/>
  <c r="F14528" i="1"/>
  <c r="F14527" i="1"/>
  <c r="F14526" i="1"/>
  <c r="F14525" i="1"/>
  <c r="F14524" i="1"/>
  <c r="F14523" i="1"/>
  <c r="F14522" i="1"/>
  <c r="F14521" i="1"/>
  <c r="F14520" i="1"/>
  <c r="F14519" i="1"/>
  <c r="F14518" i="1"/>
  <c r="F14517" i="1"/>
  <c r="F14516" i="1"/>
  <c r="F14515" i="1"/>
  <c r="F14514" i="1"/>
  <c r="F14513" i="1"/>
  <c r="F14512" i="1"/>
  <c r="F14511" i="1"/>
  <c r="F14510" i="1"/>
  <c r="F14509" i="1"/>
  <c r="F14508" i="1"/>
  <c r="F14507" i="1"/>
  <c r="F14506" i="1"/>
  <c r="F14505" i="1"/>
  <c r="F14504" i="1"/>
  <c r="F14503" i="1"/>
  <c r="F14502" i="1"/>
  <c r="F14501" i="1"/>
  <c r="F14500" i="1"/>
  <c r="F14499" i="1"/>
  <c r="F14498" i="1"/>
  <c r="F14497" i="1"/>
  <c r="F14496" i="1"/>
  <c r="F14495" i="1"/>
  <c r="F14494" i="1"/>
  <c r="F14493" i="1"/>
  <c r="F14492" i="1"/>
  <c r="F14491" i="1"/>
  <c r="F14490" i="1"/>
  <c r="F14489" i="1"/>
  <c r="E14489" i="1"/>
  <c r="F14488" i="1"/>
  <c r="E14488" i="1"/>
  <c r="F14487" i="1"/>
  <c r="E14487" i="1"/>
  <c r="F14486" i="1"/>
  <c r="E14486" i="1"/>
  <c r="F14485" i="1"/>
  <c r="E14485" i="1"/>
  <c r="F14484" i="1"/>
  <c r="F14483" i="1"/>
  <c r="E14483" i="1"/>
  <c r="F14482" i="1"/>
  <c r="E14482" i="1"/>
  <c r="F14481" i="1"/>
  <c r="E14481" i="1"/>
  <c r="F14480" i="1"/>
  <c r="E14480" i="1"/>
  <c r="F14479" i="1"/>
  <c r="E14479" i="1"/>
  <c r="F14478" i="1"/>
  <c r="E14478" i="1"/>
  <c r="F14477" i="1"/>
  <c r="E14477" i="1"/>
  <c r="F14476" i="1"/>
  <c r="E14476" i="1"/>
  <c r="F14475" i="1"/>
  <c r="E14475" i="1"/>
  <c r="F14474" i="1"/>
  <c r="E14474" i="1"/>
  <c r="F14473" i="1"/>
  <c r="E14473" i="1"/>
  <c r="F14472" i="1"/>
  <c r="E14472" i="1"/>
  <c r="F14471" i="1"/>
  <c r="E14471" i="1"/>
  <c r="F14470" i="1"/>
  <c r="E14470" i="1"/>
  <c r="F14469" i="1"/>
  <c r="E14469" i="1"/>
  <c r="F14468" i="1"/>
  <c r="E14468" i="1"/>
  <c r="F14467" i="1"/>
  <c r="E14467" i="1"/>
  <c r="F14466" i="1"/>
  <c r="E14466" i="1"/>
  <c r="F14465" i="1"/>
  <c r="E14465" i="1"/>
  <c r="F14464" i="1"/>
  <c r="E14464" i="1"/>
  <c r="F14463" i="1"/>
  <c r="E14463" i="1"/>
  <c r="F14462" i="1"/>
  <c r="E14462" i="1"/>
  <c r="F14461" i="1"/>
  <c r="F14460" i="1"/>
  <c r="F14459" i="1"/>
  <c r="F14458" i="1"/>
  <c r="F14457" i="1"/>
  <c r="F14456" i="1"/>
  <c r="F14455" i="1"/>
  <c r="E14455" i="1"/>
  <c r="F14454" i="1"/>
  <c r="E14454" i="1"/>
  <c r="F14453" i="1"/>
  <c r="E14453" i="1"/>
  <c r="F14452" i="1"/>
  <c r="E14452" i="1"/>
  <c r="F14451" i="1"/>
  <c r="E14451" i="1"/>
  <c r="F14450" i="1"/>
  <c r="E14450" i="1"/>
  <c r="F14449" i="1"/>
  <c r="E14449" i="1"/>
  <c r="F14448" i="1"/>
  <c r="E14448" i="1"/>
  <c r="F14447" i="1"/>
  <c r="E14447" i="1"/>
  <c r="F14446" i="1"/>
  <c r="E14446" i="1"/>
  <c r="F14445" i="1"/>
  <c r="E14445" i="1"/>
  <c r="F14444" i="1"/>
  <c r="E14444" i="1"/>
  <c r="F14443" i="1"/>
  <c r="E14443" i="1"/>
  <c r="F14442" i="1"/>
  <c r="E14442" i="1"/>
  <c r="F14441" i="1"/>
  <c r="E14441" i="1"/>
  <c r="F14440" i="1"/>
  <c r="E14440" i="1"/>
  <c r="F14439" i="1"/>
  <c r="E14439" i="1"/>
  <c r="F14438" i="1"/>
  <c r="E14438" i="1"/>
  <c r="F14437" i="1"/>
  <c r="E14437" i="1"/>
  <c r="F14436" i="1"/>
  <c r="E14436" i="1"/>
  <c r="F14435" i="1"/>
  <c r="E14435" i="1"/>
  <c r="F14434" i="1"/>
  <c r="E14434" i="1"/>
  <c r="F14433" i="1"/>
  <c r="E14433" i="1"/>
  <c r="F14432" i="1"/>
  <c r="E14432" i="1"/>
  <c r="F14431" i="1"/>
  <c r="F14430" i="1"/>
  <c r="F14429" i="1"/>
  <c r="E14429" i="1"/>
  <c r="F14428" i="1"/>
  <c r="E14428" i="1"/>
  <c r="F14427" i="1"/>
  <c r="E14427" i="1"/>
  <c r="F14426" i="1"/>
  <c r="E14426" i="1"/>
  <c r="F14425" i="1"/>
  <c r="E14425" i="1"/>
  <c r="F14424" i="1"/>
  <c r="E14424" i="1"/>
  <c r="F14423" i="1"/>
  <c r="E14423" i="1"/>
  <c r="F14422" i="1"/>
  <c r="E14422" i="1"/>
  <c r="F14421" i="1"/>
  <c r="E14421" i="1"/>
  <c r="F14420" i="1"/>
  <c r="E14420" i="1"/>
  <c r="F14419" i="1"/>
  <c r="E14419" i="1"/>
  <c r="F14418" i="1"/>
  <c r="E14418" i="1"/>
  <c r="F14417" i="1"/>
  <c r="F14416" i="1"/>
  <c r="F14415" i="1"/>
  <c r="F14414" i="1"/>
  <c r="E14414" i="1"/>
  <c r="F14413" i="1"/>
  <c r="E14413" i="1"/>
  <c r="F14412" i="1"/>
  <c r="E14412" i="1"/>
  <c r="F14411" i="1"/>
  <c r="E14411" i="1"/>
  <c r="F14410" i="1"/>
  <c r="E14410" i="1"/>
  <c r="F14409" i="1"/>
  <c r="E14409" i="1"/>
  <c r="F14408" i="1"/>
  <c r="E14408" i="1"/>
  <c r="F14407" i="1"/>
  <c r="E14407" i="1"/>
  <c r="F14406" i="1"/>
  <c r="E14406" i="1"/>
  <c r="F14405" i="1"/>
  <c r="E14405" i="1"/>
  <c r="F14404" i="1"/>
  <c r="E14404" i="1"/>
  <c r="F14403" i="1"/>
  <c r="E14403" i="1"/>
  <c r="F14402" i="1"/>
  <c r="E14402" i="1"/>
  <c r="F14401" i="1"/>
  <c r="E14401" i="1"/>
  <c r="F14400" i="1"/>
  <c r="E14400" i="1"/>
  <c r="F14399" i="1"/>
  <c r="E14399" i="1"/>
  <c r="F14398" i="1"/>
  <c r="E14398" i="1"/>
  <c r="F14397" i="1"/>
  <c r="E14397" i="1"/>
  <c r="F14396" i="1"/>
  <c r="E14396" i="1"/>
  <c r="F14395" i="1"/>
  <c r="E14395" i="1"/>
  <c r="F14394" i="1"/>
  <c r="E14394" i="1"/>
  <c r="F14393" i="1"/>
  <c r="E14393" i="1"/>
  <c r="F14392" i="1"/>
  <c r="E14392" i="1"/>
  <c r="F14391" i="1"/>
  <c r="E14391" i="1"/>
  <c r="F14390" i="1"/>
  <c r="E14390" i="1"/>
  <c r="F14389" i="1"/>
  <c r="E14389" i="1"/>
  <c r="F14388" i="1"/>
  <c r="E14388" i="1"/>
  <c r="F14387" i="1"/>
  <c r="E14387" i="1"/>
  <c r="F14386" i="1"/>
  <c r="E14386" i="1"/>
  <c r="F14385" i="1"/>
  <c r="E14385" i="1"/>
  <c r="F14384" i="1"/>
  <c r="E14384" i="1"/>
  <c r="F14383" i="1"/>
  <c r="E14383" i="1"/>
  <c r="F14382" i="1"/>
  <c r="E14382" i="1"/>
  <c r="F14381" i="1"/>
  <c r="E14381" i="1"/>
  <c r="F14380" i="1"/>
  <c r="E14380" i="1"/>
  <c r="F14379" i="1"/>
  <c r="E14379" i="1"/>
  <c r="F14378" i="1"/>
  <c r="E14378" i="1"/>
  <c r="F14377" i="1"/>
  <c r="E14377" i="1"/>
  <c r="F14376" i="1"/>
  <c r="E14376" i="1"/>
  <c r="F14375" i="1"/>
  <c r="E14375" i="1"/>
  <c r="F14374" i="1"/>
  <c r="E14374" i="1"/>
  <c r="F14373" i="1"/>
  <c r="E14373" i="1"/>
  <c r="F14372" i="1"/>
  <c r="E14372" i="1"/>
  <c r="F14371" i="1"/>
  <c r="E14371" i="1"/>
  <c r="F14370" i="1"/>
  <c r="E14370" i="1"/>
  <c r="F14369" i="1"/>
  <c r="F14368" i="1"/>
  <c r="E14368" i="1"/>
  <c r="F14367" i="1"/>
  <c r="E14367" i="1"/>
  <c r="F14366" i="1"/>
  <c r="E14366" i="1"/>
  <c r="F14365" i="1"/>
  <c r="E14365" i="1"/>
  <c r="F14364" i="1"/>
  <c r="E14364" i="1"/>
  <c r="F14363" i="1"/>
  <c r="E14363" i="1"/>
  <c r="F14362" i="1"/>
  <c r="E14362" i="1"/>
  <c r="F14361" i="1"/>
  <c r="E14361" i="1"/>
  <c r="F14360" i="1"/>
  <c r="E14360" i="1"/>
  <c r="F14359" i="1"/>
  <c r="E14359" i="1"/>
  <c r="F14358" i="1"/>
  <c r="E14358" i="1"/>
  <c r="F14357" i="1"/>
  <c r="F14356" i="1"/>
  <c r="F14355" i="1"/>
  <c r="E14355" i="1"/>
  <c r="F14354" i="1"/>
  <c r="E14354" i="1"/>
  <c r="F14353" i="1"/>
  <c r="E14353" i="1"/>
  <c r="F14352" i="1"/>
  <c r="E14352" i="1"/>
  <c r="F14351" i="1"/>
  <c r="E14351" i="1"/>
  <c r="F14350" i="1"/>
  <c r="E14350" i="1"/>
  <c r="F14349" i="1"/>
  <c r="E14349" i="1"/>
  <c r="F14348" i="1"/>
  <c r="E14348" i="1"/>
  <c r="F14347" i="1"/>
  <c r="E14347" i="1"/>
  <c r="F14346" i="1"/>
  <c r="E14346" i="1"/>
  <c r="F14345" i="1"/>
  <c r="E14345" i="1"/>
  <c r="F14344" i="1"/>
  <c r="E14344" i="1"/>
  <c r="F14343" i="1"/>
  <c r="E14343" i="1"/>
  <c r="F14342" i="1"/>
  <c r="E14342" i="1"/>
  <c r="F14341" i="1"/>
  <c r="E14341" i="1"/>
  <c r="F14340" i="1"/>
  <c r="E14340" i="1"/>
  <c r="F14339" i="1"/>
  <c r="E14339" i="1"/>
  <c r="F14338" i="1"/>
  <c r="E14338" i="1"/>
  <c r="F14337" i="1"/>
  <c r="E14337" i="1"/>
  <c r="F14336" i="1"/>
  <c r="E14336" i="1"/>
  <c r="F14335" i="1"/>
  <c r="E14335" i="1"/>
  <c r="F14334" i="1"/>
  <c r="E14334" i="1"/>
  <c r="F14333" i="1"/>
  <c r="E14333" i="1"/>
  <c r="F14332" i="1"/>
  <c r="E14332" i="1"/>
  <c r="F14331" i="1"/>
  <c r="E14331" i="1"/>
  <c r="F14330" i="1"/>
  <c r="E14330" i="1"/>
  <c r="F14329" i="1"/>
  <c r="E14329" i="1"/>
  <c r="F14328" i="1"/>
  <c r="E14328" i="1"/>
  <c r="F14327" i="1"/>
  <c r="E14327" i="1"/>
  <c r="F14326" i="1"/>
  <c r="E14326" i="1"/>
  <c r="F14325" i="1"/>
  <c r="E14325" i="1"/>
  <c r="F14324" i="1"/>
  <c r="E14324" i="1"/>
  <c r="F14323" i="1"/>
  <c r="E14323" i="1"/>
  <c r="F14322" i="1"/>
  <c r="E14322" i="1"/>
  <c r="F14321" i="1"/>
  <c r="E14321" i="1"/>
  <c r="F14320" i="1"/>
  <c r="E14320" i="1"/>
  <c r="F14319" i="1"/>
  <c r="E14319" i="1"/>
  <c r="F14318" i="1"/>
  <c r="E14318" i="1"/>
  <c r="F14317" i="1"/>
  <c r="E14317" i="1"/>
  <c r="F14316" i="1"/>
  <c r="E14316" i="1"/>
  <c r="F14315" i="1"/>
  <c r="E14315" i="1"/>
  <c r="F14314" i="1"/>
  <c r="E14314" i="1"/>
  <c r="F14313" i="1"/>
  <c r="E14313" i="1"/>
  <c r="F14312" i="1"/>
  <c r="E14312" i="1"/>
  <c r="F14311" i="1"/>
  <c r="E14311" i="1"/>
  <c r="F14310" i="1"/>
  <c r="E14310" i="1"/>
  <c r="F14309" i="1"/>
  <c r="E14309" i="1"/>
  <c r="F14308" i="1"/>
  <c r="E14308" i="1"/>
  <c r="F14307" i="1"/>
  <c r="E14307" i="1"/>
  <c r="F14306" i="1"/>
  <c r="E14306" i="1"/>
  <c r="F14305" i="1"/>
  <c r="E14305" i="1"/>
  <c r="F14304" i="1"/>
  <c r="E14304" i="1"/>
  <c r="F14303" i="1"/>
  <c r="E14303" i="1"/>
  <c r="F14302" i="1"/>
  <c r="E14302" i="1"/>
  <c r="F14301" i="1"/>
  <c r="E14301" i="1"/>
  <c r="F14300" i="1"/>
  <c r="E14300" i="1"/>
  <c r="F14299" i="1"/>
  <c r="E14299" i="1"/>
  <c r="F14298" i="1"/>
  <c r="E14298" i="1"/>
  <c r="F14297" i="1"/>
  <c r="E14297" i="1"/>
  <c r="F14296" i="1"/>
  <c r="E14296" i="1"/>
  <c r="F14295" i="1"/>
  <c r="E14295" i="1"/>
  <c r="F14294" i="1"/>
  <c r="E14294" i="1"/>
  <c r="F14293" i="1"/>
  <c r="E14293" i="1"/>
  <c r="F14292" i="1"/>
  <c r="E14292" i="1"/>
  <c r="F14291" i="1"/>
  <c r="E14291" i="1"/>
  <c r="F14290" i="1"/>
  <c r="E14290" i="1"/>
  <c r="F14289" i="1"/>
  <c r="E14289" i="1"/>
  <c r="F14288" i="1"/>
  <c r="F14287" i="1"/>
  <c r="F14286" i="1"/>
  <c r="E14286" i="1"/>
  <c r="F14285" i="1"/>
  <c r="E14285" i="1"/>
  <c r="F14284" i="1"/>
  <c r="E14284" i="1"/>
  <c r="F14283" i="1"/>
  <c r="E14283" i="1"/>
  <c r="F14282" i="1"/>
  <c r="E14282" i="1"/>
  <c r="F14281" i="1"/>
  <c r="E14281" i="1"/>
  <c r="F14280" i="1"/>
  <c r="E14280" i="1"/>
  <c r="F14279" i="1"/>
  <c r="E14279" i="1"/>
  <c r="F14278" i="1"/>
  <c r="E14278" i="1"/>
  <c r="F14277" i="1"/>
  <c r="F14276" i="1"/>
  <c r="F14275" i="1"/>
  <c r="E14275" i="1"/>
  <c r="F14274" i="1"/>
  <c r="E14274" i="1"/>
  <c r="F14273" i="1"/>
  <c r="E14273" i="1"/>
  <c r="F14272" i="1"/>
  <c r="E14272" i="1"/>
  <c r="F14271" i="1"/>
  <c r="E14271" i="1"/>
  <c r="F14270" i="1"/>
  <c r="E14270" i="1"/>
  <c r="F14269" i="1"/>
  <c r="E14269" i="1"/>
  <c r="F14268" i="1"/>
  <c r="E14268" i="1"/>
  <c r="F14267" i="1"/>
  <c r="E14267" i="1"/>
  <c r="F14266" i="1"/>
  <c r="E14266" i="1"/>
  <c r="F14265" i="1"/>
  <c r="E14265" i="1"/>
  <c r="F14264" i="1"/>
  <c r="E14264" i="1"/>
  <c r="F14263" i="1"/>
  <c r="E14263" i="1"/>
  <c r="F14262" i="1"/>
  <c r="E14262" i="1"/>
  <c r="F14261" i="1"/>
  <c r="E14261" i="1"/>
  <c r="F14260" i="1"/>
  <c r="E14260" i="1"/>
  <c r="F14259" i="1"/>
  <c r="E14259" i="1"/>
  <c r="F14258" i="1"/>
  <c r="F14257" i="1"/>
  <c r="E14257" i="1"/>
  <c r="F14256" i="1"/>
  <c r="E14256" i="1"/>
  <c r="F14255" i="1"/>
  <c r="E14255" i="1"/>
  <c r="F14254" i="1"/>
  <c r="E14254" i="1"/>
  <c r="F14253" i="1"/>
  <c r="E14253" i="1"/>
  <c r="F14252" i="1"/>
  <c r="E14252" i="1"/>
  <c r="F14251" i="1"/>
  <c r="E14251" i="1"/>
  <c r="F14250" i="1"/>
  <c r="E14250" i="1"/>
  <c r="F14249" i="1"/>
  <c r="E14249" i="1"/>
  <c r="F14248" i="1"/>
  <c r="F14247" i="1"/>
  <c r="E14247" i="1"/>
  <c r="F14246" i="1"/>
  <c r="E14246" i="1"/>
  <c r="F14245" i="1"/>
  <c r="E14245" i="1"/>
  <c r="F14244" i="1"/>
  <c r="E14244" i="1"/>
  <c r="F14243" i="1"/>
  <c r="E14243" i="1"/>
  <c r="F14242" i="1"/>
  <c r="E14242" i="1"/>
  <c r="F14241" i="1"/>
  <c r="E14241" i="1"/>
  <c r="F14240" i="1"/>
  <c r="E14240" i="1"/>
  <c r="F14239" i="1"/>
  <c r="E14239" i="1"/>
  <c r="F14238" i="1"/>
  <c r="E14238" i="1"/>
  <c r="F14237" i="1"/>
  <c r="E14237" i="1"/>
  <c r="F14236" i="1"/>
  <c r="E14236" i="1"/>
  <c r="F14235" i="1"/>
  <c r="E14235" i="1"/>
  <c r="F14234" i="1"/>
  <c r="E14234" i="1"/>
  <c r="F14233" i="1"/>
  <c r="E14233" i="1"/>
  <c r="F14232" i="1"/>
  <c r="E14232" i="1"/>
  <c r="F14231" i="1"/>
  <c r="E14231" i="1"/>
  <c r="F14230" i="1"/>
  <c r="E14230" i="1"/>
  <c r="F14229" i="1"/>
  <c r="E14229" i="1"/>
  <c r="F14228" i="1"/>
  <c r="F14227" i="1"/>
  <c r="E14227" i="1"/>
  <c r="F14226" i="1"/>
  <c r="E14226" i="1"/>
  <c r="F14225" i="1"/>
  <c r="F14224" i="1"/>
  <c r="E14224" i="1"/>
  <c r="F14223" i="1"/>
  <c r="F14222" i="1"/>
  <c r="E14222" i="1"/>
  <c r="F14221" i="1"/>
  <c r="E14221" i="1"/>
  <c r="F14220" i="1"/>
  <c r="E14220" i="1"/>
  <c r="F14219" i="1"/>
  <c r="E14219" i="1"/>
  <c r="F14218" i="1"/>
  <c r="E14218" i="1"/>
  <c r="F14217" i="1"/>
  <c r="E14217" i="1"/>
  <c r="F14216" i="1"/>
  <c r="E14216" i="1"/>
  <c r="F14215" i="1"/>
  <c r="E14215" i="1"/>
  <c r="F14214" i="1"/>
  <c r="F14213" i="1"/>
  <c r="F14212" i="1"/>
  <c r="F14211" i="1"/>
  <c r="F14210" i="1"/>
  <c r="F14209" i="1"/>
  <c r="F14208" i="1"/>
  <c r="F14207" i="1"/>
  <c r="F14206" i="1"/>
  <c r="F14205" i="1"/>
  <c r="F14204" i="1"/>
  <c r="F14203" i="1"/>
  <c r="F14202" i="1"/>
  <c r="F14201" i="1"/>
  <c r="F14200" i="1"/>
  <c r="F14199" i="1"/>
  <c r="F14198" i="1"/>
  <c r="F14197" i="1"/>
  <c r="F14196" i="1"/>
  <c r="F14195" i="1"/>
  <c r="F14194" i="1"/>
  <c r="F14193" i="1"/>
  <c r="F14192" i="1"/>
  <c r="F14191" i="1"/>
  <c r="F14190" i="1"/>
  <c r="F14189" i="1"/>
  <c r="F14188" i="1"/>
  <c r="F14187" i="1"/>
  <c r="F14186" i="1"/>
  <c r="F14185" i="1"/>
  <c r="F14184" i="1"/>
  <c r="F14183" i="1"/>
  <c r="F14182" i="1"/>
  <c r="F14181" i="1"/>
  <c r="F14180" i="1"/>
  <c r="F14179" i="1"/>
  <c r="F14178" i="1"/>
  <c r="F14177" i="1"/>
  <c r="F14176" i="1"/>
  <c r="F14175" i="1"/>
  <c r="F14174" i="1"/>
  <c r="E14174" i="1"/>
  <c r="F14173" i="1"/>
  <c r="E14173" i="1"/>
  <c r="F14172" i="1"/>
  <c r="E14172" i="1"/>
  <c r="F14171" i="1"/>
  <c r="E14171" i="1"/>
  <c r="F14170" i="1"/>
  <c r="E14170" i="1"/>
  <c r="F14169" i="1"/>
  <c r="E14169" i="1"/>
  <c r="F14168" i="1"/>
  <c r="E14168" i="1"/>
  <c r="F14167" i="1"/>
  <c r="E14167" i="1"/>
  <c r="F14166" i="1"/>
  <c r="E14166" i="1"/>
  <c r="F14165" i="1"/>
  <c r="E14165" i="1"/>
  <c r="F14164" i="1"/>
  <c r="F14163" i="1"/>
  <c r="E14163" i="1"/>
  <c r="F14162" i="1"/>
  <c r="E14162" i="1"/>
  <c r="F14161" i="1"/>
  <c r="E14161" i="1"/>
  <c r="F14160" i="1"/>
  <c r="E14160" i="1"/>
  <c r="F14159" i="1"/>
  <c r="E14159" i="1"/>
  <c r="F14158" i="1"/>
  <c r="E14158" i="1"/>
  <c r="F14157" i="1"/>
  <c r="E14157" i="1"/>
  <c r="F14156" i="1"/>
  <c r="E14156" i="1"/>
  <c r="F14155" i="1"/>
  <c r="E14155" i="1"/>
  <c r="F14154" i="1"/>
  <c r="E14154" i="1"/>
  <c r="F14153" i="1"/>
  <c r="E14153" i="1"/>
  <c r="F14152" i="1"/>
  <c r="E14152" i="1"/>
  <c r="F14151" i="1"/>
  <c r="E14151" i="1"/>
  <c r="F14150" i="1"/>
  <c r="E14150" i="1"/>
  <c r="F14149" i="1"/>
  <c r="E14149" i="1"/>
  <c r="F14148" i="1"/>
  <c r="F14147" i="1"/>
  <c r="E14147" i="1"/>
  <c r="F14146" i="1"/>
  <c r="E14146" i="1"/>
  <c r="F14145" i="1"/>
  <c r="E14145" i="1"/>
  <c r="F14144" i="1"/>
  <c r="E14144" i="1"/>
  <c r="F14143" i="1"/>
  <c r="E14143" i="1"/>
  <c r="F14142" i="1"/>
  <c r="E14142" i="1"/>
  <c r="F14141" i="1"/>
  <c r="E14141" i="1"/>
  <c r="F14140" i="1"/>
  <c r="E14140" i="1"/>
  <c r="F14139" i="1"/>
  <c r="E14139" i="1"/>
  <c r="F14138" i="1"/>
  <c r="E14138" i="1"/>
  <c r="F14137" i="1"/>
  <c r="E14137" i="1"/>
  <c r="F14136" i="1"/>
  <c r="E14136" i="1"/>
  <c r="F14135" i="1"/>
  <c r="E14135" i="1"/>
  <c r="F14134" i="1"/>
  <c r="E14134" i="1"/>
  <c r="F14133" i="1"/>
  <c r="E14133" i="1"/>
  <c r="F14132" i="1"/>
  <c r="E14132" i="1"/>
  <c r="F14131" i="1"/>
  <c r="E14131" i="1"/>
  <c r="F14130" i="1"/>
  <c r="E14130" i="1"/>
  <c r="F14129" i="1"/>
  <c r="E14129" i="1"/>
  <c r="F14128" i="1"/>
  <c r="E14128" i="1"/>
  <c r="F14127" i="1"/>
  <c r="E14127" i="1"/>
  <c r="F14126" i="1"/>
  <c r="E14126" i="1"/>
  <c r="F14125" i="1"/>
  <c r="E14125" i="1"/>
  <c r="F14124" i="1"/>
  <c r="F14123" i="1"/>
  <c r="F14122" i="1"/>
  <c r="F14121" i="1"/>
  <c r="F14120" i="1"/>
  <c r="F14119" i="1"/>
  <c r="F14118" i="1"/>
  <c r="F14117" i="1"/>
  <c r="F14116" i="1"/>
  <c r="F14115" i="1"/>
  <c r="F14114" i="1"/>
  <c r="F14113" i="1"/>
  <c r="F14112" i="1"/>
  <c r="F14111" i="1"/>
  <c r="F14110" i="1"/>
  <c r="F14109" i="1"/>
  <c r="F14108" i="1"/>
  <c r="F14107" i="1"/>
  <c r="F14106" i="1"/>
  <c r="F14105" i="1"/>
  <c r="F14104" i="1"/>
  <c r="F14103" i="1"/>
  <c r="F14102" i="1"/>
  <c r="F14101" i="1"/>
  <c r="F14100" i="1"/>
  <c r="F14099" i="1"/>
  <c r="F14098" i="1"/>
  <c r="F14097" i="1"/>
  <c r="F14096" i="1"/>
  <c r="F14095" i="1"/>
  <c r="F14094" i="1"/>
  <c r="F14093" i="1"/>
  <c r="F14092" i="1"/>
  <c r="F14091" i="1"/>
  <c r="F14090" i="1"/>
  <c r="F14089" i="1"/>
  <c r="F14088" i="1"/>
  <c r="E14088" i="1"/>
  <c r="F14087" i="1"/>
  <c r="E14087" i="1"/>
  <c r="F14086" i="1"/>
  <c r="E14086" i="1"/>
  <c r="F14085" i="1"/>
  <c r="E14085" i="1"/>
  <c r="F14084" i="1"/>
  <c r="E14084" i="1"/>
  <c r="F14083" i="1"/>
  <c r="E14083" i="1"/>
  <c r="F14082" i="1"/>
  <c r="E14082" i="1"/>
  <c r="F14081" i="1"/>
  <c r="F14080" i="1"/>
  <c r="F14079" i="1"/>
  <c r="F14078" i="1"/>
  <c r="F14077" i="1"/>
  <c r="F14076" i="1"/>
  <c r="F14075" i="1"/>
  <c r="F14074" i="1"/>
  <c r="E14074" i="1"/>
  <c r="F14073" i="1"/>
  <c r="E14073" i="1"/>
  <c r="F14072" i="1"/>
  <c r="E14072" i="1"/>
  <c r="F14071" i="1"/>
  <c r="E14071" i="1"/>
  <c r="F14070" i="1"/>
  <c r="E14070" i="1"/>
  <c r="F14069" i="1"/>
  <c r="E14069" i="1"/>
  <c r="F14068" i="1"/>
  <c r="E14068" i="1"/>
  <c r="F14067" i="1"/>
  <c r="E14067" i="1"/>
  <c r="F14066" i="1"/>
  <c r="E14066" i="1"/>
  <c r="F14065" i="1"/>
  <c r="E14065" i="1"/>
  <c r="F14064" i="1"/>
  <c r="E14064" i="1"/>
  <c r="F14063" i="1"/>
  <c r="E14063" i="1"/>
  <c r="F14062" i="1"/>
  <c r="E14062" i="1"/>
  <c r="F14061" i="1"/>
  <c r="F14060" i="1"/>
  <c r="F14059" i="1"/>
  <c r="F14058" i="1"/>
  <c r="F14057" i="1"/>
  <c r="E14057" i="1"/>
  <c r="F14056" i="1"/>
  <c r="E14056" i="1"/>
  <c r="F14055" i="1"/>
  <c r="E14055" i="1"/>
  <c r="F14054" i="1"/>
  <c r="E14054" i="1"/>
  <c r="F14053" i="1"/>
  <c r="E14053" i="1"/>
  <c r="F14052" i="1"/>
  <c r="F14051" i="1"/>
  <c r="E14051" i="1"/>
  <c r="F14050" i="1"/>
  <c r="F14049" i="1"/>
  <c r="E14049" i="1"/>
  <c r="F14048" i="1"/>
  <c r="E14048" i="1"/>
  <c r="F14047" i="1"/>
  <c r="E14047" i="1"/>
  <c r="F14046" i="1"/>
  <c r="E14046" i="1"/>
  <c r="F14045" i="1"/>
  <c r="E14045" i="1"/>
  <c r="F14044" i="1"/>
  <c r="E14044" i="1"/>
  <c r="E14043" i="1"/>
  <c r="E14042" i="1"/>
  <c r="E14041" i="1"/>
  <c r="E14040" i="1"/>
  <c r="E14039" i="1"/>
  <c r="E14038" i="1"/>
  <c r="E14037" i="1"/>
  <c r="F14036" i="1"/>
  <c r="E14036" i="1"/>
  <c r="E14035" i="1"/>
  <c r="E14034" i="1"/>
  <c r="E14033" i="1"/>
  <c r="E14032" i="1"/>
  <c r="E14031" i="1"/>
  <c r="E14030" i="1"/>
  <c r="E14029" i="1"/>
  <c r="E14028" i="1"/>
  <c r="E14027" i="1"/>
  <c r="E14026" i="1"/>
  <c r="E14025" i="1"/>
  <c r="E14024" i="1"/>
  <c r="E14023" i="1"/>
  <c r="E14022" i="1"/>
  <c r="E14021" i="1"/>
  <c r="E14020" i="1"/>
  <c r="E14019" i="1"/>
  <c r="E14018" i="1"/>
  <c r="E14017" i="1"/>
  <c r="E14016" i="1"/>
  <c r="E14015" i="1"/>
  <c r="E14014" i="1"/>
  <c r="E14013" i="1"/>
  <c r="E14012" i="1"/>
  <c r="E14011" i="1"/>
  <c r="E14010" i="1"/>
  <c r="E14009" i="1"/>
  <c r="E14008" i="1"/>
  <c r="E14007" i="1"/>
  <c r="E14006" i="1"/>
  <c r="E14005" i="1"/>
  <c r="E14004" i="1"/>
  <c r="E14003" i="1"/>
  <c r="E14002" i="1"/>
  <c r="E14001" i="1"/>
  <c r="E14000" i="1"/>
  <c r="E13999" i="1"/>
  <c r="E13998" i="1"/>
  <c r="E13997" i="1"/>
  <c r="E13996" i="1"/>
  <c r="E13995" i="1"/>
  <c r="E13994" i="1"/>
  <c r="E13993" i="1"/>
  <c r="E13992" i="1"/>
  <c r="E13991" i="1"/>
  <c r="E13990" i="1"/>
  <c r="E13989" i="1"/>
  <c r="E13988" i="1"/>
  <c r="E13987" i="1"/>
  <c r="E13986" i="1"/>
  <c r="E13985" i="1"/>
  <c r="E13984" i="1"/>
  <c r="E13983" i="1"/>
  <c r="E13982" i="1"/>
  <c r="E13981" i="1"/>
  <c r="E13980" i="1"/>
  <c r="E13979" i="1"/>
  <c r="E13978" i="1"/>
  <c r="E13977" i="1"/>
  <c r="E13976" i="1"/>
  <c r="E13975" i="1"/>
  <c r="E13974" i="1"/>
  <c r="E13973" i="1"/>
  <c r="E13972" i="1"/>
  <c r="E13971" i="1"/>
  <c r="F13970" i="1"/>
  <c r="F13969" i="1"/>
  <c r="F13968" i="1"/>
  <c r="F13967" i="1"/>
  <c r="F13966" i="1"/>
  <c r="F13965" i="1"/>
  <c r="F13964" i="1"/>
  <c r="E13963" i="1"/>
  <c r="F13962" i="1"/>
  <c r="E13961" i="1"/>
  <c r="F13960" i="1"/>
  <c r="F13959" i="1"/>
  <c r="E13958" i="1"/>
  <c r="E13957" i="1"/>
  <c r="E13956" i="1"/>
  <c r="F13955" i="1"/>
  <c r="E13954" i="1"/>
  <c r="E13953" i="1"/>
  <c r="E13952" i="1"/>
  <c r="E13951" i="1"/>
  <c r="E13950" i="1"/>
  <c r="E13949" i="1"/>
  <c r="E13948" i="1"/>
  <c r="E13947" i="1"/>
  <c r="E13946" i="1"/>
  <c r="E13945" i="1"/>
  <c r="E13944" i="1"/>
  <c r="E13943" i="1"/>
  <c r="E13942" i="1"/>
  <c r="E13941" i="1"/>
  <c r="E13940" i="1"/>
  <c r="E13939" i="1"/>
  <c r="E13938" i="1"/>
  <c r="E13937" i="1"/>
  <c r="E13936" i="1"/>
  <c r="E13935" i="1"/>
  <c r="E13934" i="1"/>
  <c r="E13933" i="1"/>
  <c r="E13932" i="1"/>
  <c r="E13931" i="1"/>
  <c r="E13930" i="1"/>
  <c r="E13929" i="1"/>
  <c r="E13928" i="1"/>
  <c r="E13927" i="1"/>
  <c r="F13926" i="1"/>
  <c r="E13925" i="1"/>
  <c r="E13924" i="1"/>
  <c r="E13923" i="1"/>
  <c r="E13922" i="1"/>
  <c r="E13921" i="1"/>
  <c r="E13920" i="1"/>
  <c r="E13919" i="1"/>
  <c r="E13918" i="1"/>
  <c r="E13917" i="1"/>
  <c r="E13916" i="1"/>
  <c r="E13915" i="1"/>
  <c r="F13914" i="1"/>
  <c r="E13913" i="1"/>
  <c r="E13912" i="1"/>
  <c r="F13911" i="1"/>
  <c r="E13910" i="1"/>
  <c r="E13909" i="1"/>
  <c r="F13908" i="1"/>
  <c r="E13907" i="1"/>
  <c r="F13906" i="1"/>
  <c r="E13905" i="1"/>
  <c r="E13904" i="1"/>
  <c r="F13903" i="1"/>
  <c r="E13902" i="1"/>
  <c r="E13901" i="1"/>
  <c r="F13900" i="1"/>
  <c r="E13899" i="1"/>
  <c r="E13898" i="1"/>
  <c r="E13897" i="1"/>
  <c r="E13896" i="1"/>
  <c r="E13895" i="1"/>
  <c r="E13894" i="1"/>
  <c r="E13893" i="1"/>
  <c r="E13892" i="1"/>
  <c r="E13891" i="1"/>
  <c r="E13890" i="1"/>
  <c r="E13889" i="1"/>
  <c r="E13888" i="1"/>
  <c r="E13887" i="1"/>
  <c r="E13886" i="1"/>
  <c r="F13885" i="1"/>
  <c r="E13884" i="1"/>
  <c r="F13883" i="1"/>
  <c r="E13883" i="1"/>
  <c r="F13882" i="1"/>
  <c r="E13882" i="1"/>
  <c r="F13881" i="1"/>
  <c r="E13881" i="1"/>
  <c r="F13880" i="1"/>
  <c r="E13880" i="1"/>
  <c r="F13879" i="1"/>
  <c r="E13879" i="1"/>
  <c r="F13878" i="1"/>
  <c r="E13878" i="1"/>
  <c r="F13877" i="1"/>
  <c r="E13877" i="1"/>
  <c r="F13876" i="1"/>
  <c r="E13876" i="1"/>
  <c r="F13875" i="1"/>
  <c r="E13875" i="1"/>
  <c r="F13874" i="1"/>
  <c r="E13874" i="1"/>
  <c r="F13873" i="1"/>
  <c r="E13873" i="1"/>
  <c r="F13872" i="1"/>
  <c r="E13872" i="1"/>
  <c r="F13871" i="1"/>
  <c r="E13871" i="1"/>
  <c r="F13870" i="1"/>
  <c r="E13870" i="1"/>
  <c r="F13869" i="1"/>
  <c r="E13869" i="1"/>
  <c r="F13868" i="1"/>
  <c r="E13868" i="1"/>
  <c r="F13867" i="1"/>
  <c r="E13867" i="1"/>
  <c r="F13866" i="1"/>
  <c r="E13866" i="1"/>
  <c r="F13865" i="1"/>
  <c r="E13865" i="1"/>
  <c r="F13864" i="1"/>
  <c r="E13864" i="1"/>
  <c r="F13863" i="1"/>
  <c r="E13863" i="1"/>
  <c r="F13862" i="1"/>
  <c r="E13862" i="1"/>
  <c r="F13861" i="1"/>
  <c r="E13861" i="1"/>
  <c r="F13860" i="1"/>
  <c r="E13860" i="1"/>
  <c r="F13859" i="1"/>
  <c r="E13859" i="1"/>
  <c r="F13858" i="1"/>
  <c r="F13857" i="1"/>
  <c r="E13857" i="1"/>
  <c r="F13856" i="1"/>
  <c r="E13856" i="1"/>
  <c r="F13855" i="1"/>
  <c r="E13855" i="1"/>
  <c r="F13854" i="1"/>
  <c r="E13854" i="1"/>
  <c r="F13853" i="1"/>
  <c r="E13853" i="1"/>
  <c r="F13852" i="1"/>
  <c r="E13852" i="1"/>
  <c r="F13851" i="1"/>
  <c r="E13851" i="1"/>
  <c r="F13850" i="1"/>
  <c r="E13850" i="1"/>
  <c r="F13849" i="1"/>
  <c r="E13849" i="1"/>
  <c r="F13848" i="1"/>
  <c r="E13848" i="1"/>
  <c r="F13847" i="1"/>
  <c r="E13847" i="1"/>
  <c r="F13846" i="1"/>
  <c r="E13846" i="1"/>
  <c r="F13845" i="1"/>
  <c r="E13845" i="1"/>
  <c r="F13844" i="1"/>
  <c r="E13844" i="1"/>
  <c r="F13843" i="1"/>
  <c r="E13843" i="1"/>
  <c r="F13842" i="1"/>
  <c r="E13842" i="1"/>
  <c r="F13841" i="1"/>
  <c r="E13841" i="1"/>
  <c r="F13840" i="1"/>
  <c r="E13840" i="1"/>
  <c r="F13839" i="1"/>
  <c r="E13839" i="1"/>
  <c r="F13838" i="1"/>
  <c r="E13838" i="1"/>
  <c r="F13837" i="1"/>
  <c r="E13837" i="1"/>
  <c r="F13836" i="1"/>
  <c r="E13836" i="1"/>
  <c r="F13835" i="1"/>
  <c r="E13835" i="1"/>
  <c r="F13834" i="1"/>
  <c r="E13834" i="1"/>
  <c r="F13833" i="1"/>
  <c r="E13833" i="1"/>
  <c r="F13832" i="1"/>
  <c r="E13832" i="1"/>
  <c r="F13831" i="1"/>
  <c r="E13831" i="1"/>
  <c r="F13830" i="1"/>
  <c r="E13830" i="1"/>
  <c r="F13829" i="1"/>
  <c r="E13829" i="1"/>
  <c r="F13828" i="1"/>
  <c r="E13828" i="1"/>
  <c r="F13827" i="1"/>
  <c r="E13827" i="1"/>
  <c r="F13826" i="1"/>
  <c r="E13826" i="1"/>
  <c r="F13825" i="1"/>
  <c r="E13825" i="1"/>
  <c r="F13824" i="1"/>
  <c r="E13824" i="1"/>
  <c r="F13823" i="1"/>
  <c r="E13823" i="1"/>
  <c r="F13822" i="1"/>
  <c r="E13822" i="1"/>
  <c r="F13821" i="1"/>
  <c r="E13821" i="1"/>
  <c r="F13820" i="1"/>
  <c r="F13819" i="1"/>
  <c r="E13819" i="1"/>
  <c r="F13818" i="1"/>
  <c r="E13818" i="1"/>
  <c r="F13817" i="1"/>
  <c r="E13817" i="1"/>
  <c r="F13816" i="1"/>
  <c r="E13816" i="1"/>
  <c r="F13815" i="1"/>
  <c r="E13815" i="1"/>
  <c r="F13814" i="1"/>
  <c r="E13814" i="1"/>
  <c r="F13813" i="1"/>
  <c r="E13813" i="1"/>
  <c r="F13812" i="1"/>
  <c r="E13812" i="1"/>
  <c r="F13811" i="1"/>
  <c r="E13811" i="1"/>
  <c r="F13810" i="1"/>
  <c r="E13810" i="1"/>
  <c r="F13809" i="1"/>
  <c r="F13808" i="1"/>
  <c r="F13807" i="1"/>
  <c r="E13807" i="1"/>
  <c r="F13806" i="1"/>
  <c r="E13806" i="1"/>
  <c r="F13805" i="1"/>
  <c r="E13805" i="1"/>
  <c r="F13804" i="1"/>
  <c r="F13803" i="1"/>
  <c r="E13803" i="1"/>
  <c r="F13802" i="1"/>
  <c r="E13802" i="1"/>
  <c r="F13801" i="1"/>
  <c r="E13801" i="1"/>
  <c r="F13800" i="1"/>
  <c r="E13800" i="1"/>
  <c r="F13799" i="1"/>
  <c r="E13799" i="1"/>
  <c r="F13798" i="1"/>
  <c r="E13798" i="1"/>
  <c r="F13797" i="1"/>
  <c r="E13797" i="1"/>
  <c r="F13796" i="1"/>
  <c r="E13796" i="1"/>
  <c r="F13795" i="1"/>
  <c r="E13795" i="1"/>
  <c r="F13794" i="1"/>
  <c r="E13794" i="1"/>
  <c r="F13793" i="1"/>
  <c r="E13793" i="1"/>
  <c r="F13792" i="1"/>
  <c r="E13792" i="1"/>
  <c r="F13791" i="1"/>
  <c r="E13791" i="1"/>
  <c r="F13790" i="1"/>
  <c r="E13790" i="1"/>
  <c r="F13789" i="1"/>
  <c r="E13789" i="1"/>
  <c r="F13788" i="1"/>
  <c r="E13788" i="1"/>
  <c r="F13787" i="1"/>
  <c r="F13786" i="1"/>
  <c r="E13786" i="1"/>
  <c r="F13785" i="1"/>
  <c r="E13785" i="1"/>
  <c r="F13784" i="1"/>
  <c r="E13784" i="1"/>
  <c r="F13783" i="1"/>
  <c r="E13783" i="1"/>
  <c r="F13782" i="1"/>
  <c r="E13782" i="1"/>
  <c r="F13781" i="1"/>
  <c r="F13780" i="1"/>
  <c r="E13780" i="1"/>
  <c r="F13779" i="1"/>
  <c r="E13779" i="1"/>
  <c r="F13778" i="1"/>
  <c r="E13778" i="1"/>
  <c r="F13777" i="1"/>
  <c r="E13777" i="1"/>
  <c r="F13776" i="1"/>
  <c r="E13776" i="1"/>
  <c r="F13775" i="1"/>
  <c r="E13775" i="1"/>
  <c r="F13774" i="1"/>
  <c r="E13774" i="1"/>
  <c r="F13773" i="1"/>
  <c r="E13773" i="1"/>
  <c r="F13772" i="1"/>
  <c r="E13772" i="1"/>
  <c r="F13771" i="1"/>
  <c r="E13771" i="1"/>
  <c r="F13770" i="1"/>
  <c r="E13770" i="1"/>
  <c r="F13769" i="1"/>
  <c r="E13769" i="1"/>
  <c r="F13768" i="1"/>
  <c r="E13768" i="1"/>
  <c r="F13767" i="1"/>
  <c r="E13767" i="1"/>
  <c r="F13766" i="1"/>
  <c r="E13766" i="1"/>
  <c r="F13765" i="1"/>
  <c r="E13765" i="1"/>
  <c r="F13764" i="1"/>
  <c r="E13764" i="1"/>
  <c r="F13763" i="1"/>
  <c r="E13763" i="1"/>
  <c r="F13762" i="1"/>
  <c r="E13762" i="1"/>
  <c r="F13761" i="1"/>
  <c r="E13761" i="1"/>
  <c r="F13760" i="1"/>
  <c r="E13760" i="1"/>
  <c r="F13759" i="1"/>
  <c r="E13759" i="1"/>
  <c r="F13758" i="1"/>
  <c r="E13758" i="1"/>
  <c r="F13757" i="1"/>
  <c r="F13756" i="1"/>
  <c r="F13755" i="1"/>
  <c r="F13754" i="1"/>
  <c r="F13753" i="1"/>
  <c r="E13753" i="1"/>
  <c r="F13752" i="1"/>
  <c r="E13752" i="1"/>
  <c r="F13751" i="1"/>
  <c r="E13751" i="1"/>
  <c r="F13750" i="1"/>
  <c r="E13750" i="1"/>
  <c r="F13749" i="1"/>
  <c r="E13749" i="1"/>
  <c r="F13748" i="1"/>
  <c r="E13748" i="1"/>
  <c r="F13747" i="1"/>
  <c r="E13747" i="1"/>
  <c r="F13746" i="1"/>
  <c r="E13746" i="1"/>
  <c r="F13745" i="1"/>
  <c r="E13745" i="1"/>
  <c r="F13744" i="1"/>
  <c r="E13744" i="1"/>
  <c r="F13743" i="1"/>
  <c r="E13743" i="1"/>
  <c r="F13742" i="1"/>
  <c r="E13742" i="1"/>
  <c r="F13741" i="1"/>
  <c r="E13741" i="1"/>
  <c r="F13740" i="1"/>
  <c r="E13740" i="1"/>
  <c r="F13739" i="1"/>
  <c r="E13739" i="1"/>
  <c r="F13738" i="1"/>
  <c r="E13738" i="1"/>
  <c r="F13737" i="1"/>
  <c r="E13737" i="1"/>
  <c r="F13736" i="1"/>
  <c r="E13736" i="1"/>
  <c r="F13735" i="1"/>
  <c r="E13735" i="1"/>
  <c r="F13734" i="1"/>
  <c r="E13734" i="1"/>
  <c r="F13733" i="1"/>
  <c r="E13733" i="1"/>
  <c r="F13732" i="1"/>
  <c r="E13732" i="1"/>
  <c r="F13731" i="1"/>
  <c r="E13731" i="1"/>
  <c r="F13730" i="1"/>
  <c r="E13730" i="1"/>
  <c r="F13729" i="1"/>
  <c r="E13729" i="1"/>
  <c r="F13728" i="1"/>
  <c r="E13728" i="1"/>
  <c r="F13727" i="1"/>
  <c r="E13727" i="1"/>
  <c r="F13726" i="1"/>
  <c r="E13726" i="1"/>
  <c r="F13725" i="1"/>
  <c r="E13725" i="1"/>
  <c r="F13724" i="1"/>
  <c r="F13723" i="1"/>
  <c r="E13723" i="1"/>
  <c r="F13722" i="1"/>
  <c r="E13722" i="1"/>
  <c r="F13721" i="1"/>
  <c r="F13720" i="1"/>
  <c r="F13719" i="1"/>
  <c r="E13719" i="1"/>
  <c r="F13718" i="1"/>
  <c r="F13717" i="1"/>
  <c r="E13717" i="1"/>
  <c r="F13716" i="1"/>
  <c r="E13716" i="1"/>
  <c r="F13715" i="1"/>
  <c r="E13715" i="1"/>
  <c r="F13714" i="1"/>
  <c r="E13714" i="1"/>
  <c r="F13713" i="1"/>
  <c r="E13713" i="1"/>
  <c r="F13712" i="1"/>
  <c r="E13712" i="1"/>
  <c r="F13711" i="1"/>
  <c r="E13711" i="1"/>
  <c r="F13710" i="1"/>
  <c r="E13710" i="1"/>
  <c r="F13709" i="1"/>
  <c r="E13709" i="1"/>
  <c r="F13708" i="1"/>
  <c r="E13708" i="1"/>
  <c r="F13707" i="1"/>
  <c r="E13707" i="1"/>
  <c r="F13706" i="1"/>
  <c r="E13706" i="1"/>
  <c r="F13705" i="1"/>
  <c r="E13705" i="1"/>
  <c r="F13704" i="1"/>
  <c r="E13704" i="1"/>
  <c r="F13703" i="1"/>
  <c r="E13703" i="1"/>
  <c r="F13702" i="1"/>
  <c r="E13702" i="1"/>
  <c r="F13701" i="1"/>
  <c r="E13701" i="1"/>
  <c r="F13700" i="1"/>
  <c r="E13700" i="1"/>
  <c r="F13699" i="1"/>
  <c r="E13699" i="1"/>
  <c r="F13698" i="1"/>
  <c r="E13698" i="1"/>
  <c r="F13697" i="1"/>
  <c r="E13697" i="1"/>
  <c r="F13696" i="1"/>
  <c r="E13696" i="1"/>
  <c r="F13695" i="1"/>
  <c r="E13695" i="1"/>
  <c r="F13694" i="1"/>
  <c r="E13694" i="1"/>
  <c r="F13693" i="1"/>
  <c r="E13693" i="1"/>
  <c r="F13692" i="1"/>
  <c r="E13692" i="1"/>
  <c r="F13691" i="1"/>
  <c r="E13691" i="1"/>
  <c r="F13690" i="1"/>
  <c r="E13690" i="1"/>
  <c r="F13689" i="1"/>
  <c r="E13689" i="1"/>
  <c r="F13688" i="1"/>
  <c r="E13688" i="1"/>
  <c r="F13687" i="1"/>
  <c r="F13686" i="1"/>
  <c r="E13686" i="1"/>
  <c r="F13685" i="1"/>
  <c r="E13685" i="1"/>
  <c r="F13684" i="1"/>
  <c r="E13684" i="1"/>
  <c r="F13683" i="1"/>
  <c r="E13683" i="1"/>
  <c r="F13682" i="1"/>
  <c r="F13681" i="1"/>
  <c r="E13681" i="1"/>
  <c r="F13680" i="1"/>
  <c r="E13680" i="1"/>
  <c r="F13679" i="1"/>
  <c r="E13679" i="1"/>
  <c r="F13678" i="1"/>
  <c r="F13677" i="1"/>
  <c r="E13677" i="1"/>
  <c r="F13676" i="1"/>
  <c r="E13676" i="1"/>
  <c r="F13675" i="1"/>
  <c r="F13674" i="1"/>
  <c r="E13674" i="1"/>
  <c r="F13673" i="1"/>
  <c r="F13672" i="1"/>
  <c r="F13671" i="1"/>
  <c r="F13670" i="1"/>
  <c r="F13669" i="1"/>
  <c r="F13668" i="1"/>
  <c r="F13667" i="1"/>
  <c r="F13666" i="1"/>
  <c r="F13665" i="1"/>
  <c r="F13664" i="1"/>
  <c r="F13663" i="1"/>
  <c r="F13662" i="1"/>
  <c r="F13661" i="1"/>
  <c r="F13660" i="1"/>
  <c r="F13659" i="1"/>
  <c r="F13658" i="1"/>
  <c r="F13657" i="1"/>
  <c r="F13656" i="1"/>
  <c r="F13655" i="1"/>
  <c r="F13654" i="1"/>
  <c r="E13654" i="1"/>
  <c r="F13653" i="1"/>
  <c r="E13653" i="1"/>
  <c r="F13652" i="1"/>
  <c r="E13652" i="1"/>
  <c r="F13651" i="1"/>
  <c r="E13651" i="1"/>
  <c r="F13650" i="1"/>
  <c r="E13650" i="1"/>
  <c r="F13649" i="1"/>
  <c r="E13649" i="1"/>
  <c r="F13648" i="1"/>
  <c r="E13648" i="1"/>
  <c r="F13647" i="1"/>
  <c r="E13647" i="1"/>
  <c r="F13646" i="1"/>
  <c r="E13646" i="1"/>
  <c r="F13645" i="1"/>
  <c r="E13645" i="1"/>
  <c r="F13644" i="1"/>
  <c r="E13644" i="1"/>
  <c r="F13643" i="1"/>
  <c r="E13643" i="1"/>
  <c r="F13642" i="1"/>
  <c r="F13641" i="1"/>
  <c r="E13641" i="1"/>
  <c r="F13640" i="1"/>
  <c r="E13640" i="1"/>
  <c r="F13639" i="1"/>
  <c r="E13639" i="1"/>
  <c r="F13638" i="1"/>
  <c r="E13638" i="1"/>
  <c r="F13637" i="1"/>
  <c r="E13637" i="1"/>
  <c r="F13636" i="1"/>
  <c r="E13636" i="1"/>
  <c r="F13635" i="1"/>
  <c r="E13635" i="1"/>
  <c r="F13634" i="1"/>
  <c r="E13634" i="1"/>
  <c r="F13633" i="1"/>
  <c r="E13633" i="1"/>
  <c r="F13632" i="1"/>
  <c r="E13632" i="1"/>
  <c r="F13631" i="1"/>
  <c r="E13631" i="1"/>
  <c r="F13630" i="1"/>
  <c r="E13630" i="1"/>
  <c r="F13629" i="1"/>
  <c r="E13629" i="1"/>
  <c r="F13628" i="1"/>
  <c r="E13628" i="1"/>
  <c r="F13627" i="1"/>
  <c r="E13627" i="1"/>
  <c r="F13626" i="1"/>
  <c r="E13626" i="1"/>
  <c r="F13625" i="1"/>
  <c r="E13625" i="1"/>
  <c r="F13624" i="1"/>
  <c r="E13624" i="1"/>
  <c r="F13623" i="1"/>
  <c r="E13623" i="1"/>
  <c r="F13622" i="1"/>
  <c r="E13622" i="1"/>
  <c r="F13621" i="1"/>
  <c r="E13621" i="1"/>
  <c r="F13620" i="1"/>
  <c r="E13620" i="1"/>
  <c r="F13619" i="1"/>
  <c r="E13619" i="1"/>
  <c r="F13618" i="1"/>
  <c r="E13618" i="1"/>
  <c r="F13617" i="1"/>
  <c r="E13617" i="1"/>
  <c r="F13616" i="1"/>
  <c r="E13616" i="1"/>
  <c r="F13615" i="1"/>
  <c r="E13615" i="1"/>
  <c r="F13614" i="1"/>
  <c r="E13614" i="1"/>
  <c r="F13613" i="1"/>
  <c r="E13613" i="1"/>
  <c r="F13612" i="1"/>
  <c r="E13612" i="1"/>
  <c r="F13611" i="1"/>
  <c r="F13610" i="1"/>
  <c r="E13610" i="1"/>
  <c r="F13609" i="1"/>
  <c r="E13609" i="1"/>
  <c r="F13608" i="1"/>
  <c r="E13608" i="1"/>
  <c r="F13607" i="1"/>
  <c r="E13607" i="1"/>
  <c r="F13606" i="1"/>
  <c r="E13606" i="1"/>
  <c r="F13605" i="1"/>
  <c r="E13605" i="1"/>
  <c r="F13604" i="1"/>
  <c r="E13604" i="1"/>
  <c r="F13603" i="1"/>
  <c r="E13603" i="1"/>
  <c r="F13602" i="1"/>
  <c r="E13602" i="1"/>
  <c r="F13601" i="1"/>
  <c r="E13601" i="1"/>
  <c r="F13600" i="1"/>
  <c r="E13600" i="1"/>
  <c r="F13599" i="1"/>
  <c r="E13599" i="1"/>
  <c r="F13598" i="1"/>
  <c r="F13597" i="1"/>
  <c r="E13597" i="1"/>
  <c r="F13596" i="1"/>
  <c r="F13594" i="1"/>
  <c r="E13594" i="1"/>
  <c r="F13593" i="1"/>
  <c r="E13593" i="1"/>
  <c r="F13592" i="1"/>
  <c r="E13592" i="1"/>
  <c r="F13591" i="1"/>
  <c r="E13591" i="1"/>
  <c r="F13590" i="1"/>
  <c r="E13590" i="1"/>
  <c r="F13589" i="1"/>
  <c r="E13589" i="1"/>
  <c r="F13588" i="1"/>
  <c r="E13588" i="1"/>
  <c r="F13587" i="1"/>
  <c r="E13587" i="1"/>
  <c r="F13586" i="1"/>
  <c r="E13586" i="1"/>
  <c r="F13585" i="1"/>
  <c r="E13585" i="1"/>
  <c r="F13584" i="1"/>
  <c r="E13584" i="1"/>
  <c r="F13583" i="1"/>
  <c r="E13583" i="1"/>
  <c r="F13582" i="1"/>
  <c r="F13581" i="1"/>
  <c r="E13581" i="1"/>
  <c r="F13580" i="1"/>
  <c r="E13580" i="1"/>
  <c r="F13579" i="1"/>
  <c r="E13579" i="1"/>
  <c r="F13578" i="1"/>
  <c r="E13578" i="1"/>
  <c r="F13577" i="1"/>
  <c r="E13577" i="1"/>
  <c r="F13576" i="1"/>
  <c r="E13576" i="1"/>
  <c r="F13575" i="1"/>
  <c r="E13575" i="1"/>
  <c r="F13574" i="1"/>
  <c r="E13574" i="1"/>
  <c r="F13573" i="1"/>
  <c r="E13573" i="1"/>
  <c r="F13572" i="1"/>
  <c r="E13572" i="1"/>
  <c r="F13571" i="1"/>
  <c r="E13571" i="1"/>
  <c r="F13570" i="1"/>
  <c r="E13570" i="1"/>
  <c r="F13569" i="1"/>
  <c r="E13569" i="1"/>
  <c r="F13568" i="1"/>
  <c r="E13568" i="1"/>
  <c r="F13567" i="1"/>
  <c r="E13567" i="1"/>
  <c r="F13566" i="1"/>
  <c r="E13566" i="1"/>
  <c r="F13565" i="1"/>
  <c r="E13565" i="1"/>
  <c r="F13564" i="1"/>
  <c r="E13564" i="1"/>
  <c r="F13563" i="1"/>
  <c r="E13563" i="1"/>
  <c r="F13562" i="1"/>
  <c r="E13562" i="1"/>
  <c r="F13561" i="1"/>
  <c r="E13561" i="1"/>
  <c r="F13560" i="1"/>
  <c r="E13560" i="1"/>
  <c r="F13559" i="1"/>
  <c r="E13559" i="1"/>
  <c r="F13558" i="1"/>
  <c r="E13558" i="1"/>
  <c r="F13557" i="1"/>
  <c r="E13557" i="1"/>
  <c r="F13556" i="1"/>
  <c r="E13556" i="1"/>
  <c r="F13555" i="1"/>
  <c r="E13555" i="1"/>
  <c r="F13554" i="1"/>
  <c r="E13554" i="1"/>
  <c r="F13553" i="1"/>
  <c r="E13553" i="1"/>
  <c r="F13552" i="1"/>
  <c r="E13552" i="1"/>
  <c r="F13551" i="1"/>
  <c r="E13551" i="1"/>
  <c r="F13550" i="1"/>
  <c r="E13550" i="1"/>
  <c r="F13549" i="1"/>
  <c r="E13549" i="1"/>
  <c r="F13548" i="1"/>
  <c r="E13548" i="1"/>
  <c r="F13547" i="1"/>
  <c r="E13547" i="1"/>
  <c r="F13546" i="1"/>
  <c r="E13546" i="1"/>
  <c r="F13545" i="1"/>
  <c r="E13545" i="1"/>
  <c r="F13544" i="1"/>
  <c r="E13544" i="1"/>
  <c r="F13543" i="1"/>
  <c r="E13543" i="1"/>
  <c r="F13542" i="1"/>
  <c r="E13542" i="1"/>
  <c r="F13541" i="1"/>
  <c r="E13541" i="1"/>
  <c r="F13540" i="1"/>
  <c r="E13540" i="1"/>
  <c r="F13539" i="1"/>
  <c r="E13539" i="1"/>
  <c r="F13538" i="1"/>
  <c r="E13538" i="1"/>
  <c r="F13537" i="1"/>
  <c r="E13537" i="1"/>
  <c r="F13536" i="1"/>
  <c r="E13536" i="1"/>
  <c r="F13535" i="1"/>
  <c r="E13535" i="1"/>
  <c r="F13534" i="1"/>
  <c r="E13534" i="1"/>
  <c r="F13533" i="1"/>
  <c r="E13533" i="1"/>
  <c r="F13532" i="1"/>
  <c r="E13532" i="1"/>
  <c r="F13531" i="1"/>
  <c r="E13531" i="1"/>
  <c r="F13530" i="1"/>
  <c r="E13530" i="1"/>
  <c r="F13529" i="1"/>
  <c r="E13529" i="1"/>
  <c r="F13528" i="1"/>
  <c r="E13528" i="1"/>
  <c r="F13527" i="1"/>
  <c r="E13527" i="1"/>
  <c r="F13526" i="1"/>
  <c r="E13526" i="1"/>
  <c r="F13525" i="1"/>
  <c r="E13525" i="1"/>
  <c r="F13524" i="1"/>
  <c r="E13524" i="1"/>
  <c r="F13523" i="1"/>
  <c r="E13523" i="1"/>
  <c r="F13522" i="1"/>
  <c r="E13522" i="1"/>
  <c r="F13521" i="1"/>
  <c r="E13521" i="1"/>
  <c r="F13520" i="1"/>
  <c r="E13520" i="1"/>
  <c r="F13519" i="1"/>
  <c r="E13519" i="1"/>
  <c r="F13518" i="1"/>
  <c r="E13518" i="1"/>
  <c r="F13517" i="1"/>
  <c r="E13517" i="1"/>
  <c r="F13516" i="1"/>
  <c r="E13516" i="1"/>
  <c r="F13515" i="1"/>
  <c r="E13515" i="1"/>
  <c r="F13514" i="1"/>
  <c r="E13514" i="1"/>
  <c r="F13513" i="1"/>
  <c r="E13513" i="1"/>
  <c r="F13512" i="1"/>
  <c r="F13511" i="1"/>
  <c r="F13510" i="1"/>
  <c r="E13510" i="1"/>
  <c r="F13508" i="1"/>
  <c r="F13507" i="1"/>
  <c r="F13506" i="1"/>
  <c r="F13505" i="1"/>
  <c r="E13505" i="1"/>
  <c r="F13504" i="1"/>
  <c r="E13504" i="1"/>
  <c r="F13503" i="1"/>
  <c r="E13503" i="1"/>
  <c r="F13502" i="1"/>
  <c r="E13502" i="1"/>
  <c r="F13501" i="1"/>
  <c r="E13501" i="1"/>
  <c r="F13500" i="1"/>
  <c r="E13500" i="1"/>
  <c r="F13499" i="1"/>
  <c r="E13499" i="1"/>
  <c r="F13498" i="1"/>
  <c r="E13498" i="1"/>
  <c r="F13497" i="1"/>
  <c r="E13497" i="1"/>
  <c r="F13496" i="1"/>
  <c r="E13496" i="1"/>
  <c r="F13495" i="1"/>
  <c r="E13495" i="1"/>
  <c r="F13494" i="1"/>
  <c r="F13493" i="1"/>
  <c r="E13493" i="1"/>
  <c r="F13492" i="1"/>
  <c r="F13491" i="1"/>
  <c r="E13491" i="1"/>
  <c r="F13490" i="1"/>
  <c r="F13489" i="1"/>
  <c r="E13489" i="1"/>
  <c r="F13488" i="1"/>
  <c r="E13488" i="1"/>
  <c r="F13487" i="1"/>
  <c r="E13487" i="1"/>
  <c r="F13486" i="1"/>
  <c r="E13486" i="1"/>
  <c r="F13485" i="1"/>
  <c r="E13485" i="1"/>
  <c r="F13484" i="1"/>
  <c r="E13484" i="1"/>
  <c r="F13483" i="1"/>
  <c r="E13483" i="1"/>
  <c r="F13482" i="1"/>
  <c r="E13482" i="1"/>
  <c r="F13481" i="1"/>
  <c r="E13481" i="1"/>
  <c r="F13480" i="1"/>
  <c r="E13480" i="1"/>
  <c r="F13479" i="1"/>
  <c r="E13479" i="1"/>
  <c r="F13478" i="1"/>
  <c r="E13478" i="1"/>
  <c r="F13477" i="1"/>
  <c r="E13477" i="1"/>
  <c r="F13476" i="1"/>
  <c r="E13476" i="1"/>
  <c r="F13475" i="1"/>
  <c r="E13475" i="1"/>
  <c r="F13474" i="1"/>
  <c r="E13474" i="1"/>
  <c r="F13473" i="1"/>
  <c r="E13473" i="1"/>
  <c r="F13472" i="1"/>
  <c r="E13472" i="1"/>
  <c r="F13471" i="1"/>
  <c r="E13471" i="1"/>
  <c r="F13470" i="1"/>
  <c r="E13470" i="1"/>
  <c r="F13469" i="1"/>
  <c r="E13469" i="1"/>
  <c r="F13468" i="1"/>
  <c r="E13468" i="1"/>
  <c r="F13467" i="1"/>
  <c r="E13467" i="1"/>
  <c r="F13466" i="1"/>
  <c r="E13466" i="1"/>
  <c r="F13465" i="1"/>
  <c r="E13465" i="1"/>
  <c r="F13464" i="1"/>
  <c r="E13464" i="1"/>
  <c r="F13463" i="1"/>
  <c r="E13463" i="1"/>
  <c r="F13462" i="1"/>
  <c r="E13462" i="1"/>
  <c r="F13461" i="1"/>
  <c r="E13461" i="1"/>
  <c r="F13460" i="1"/>
  <c r="E13460" i="1"/>
  <c r="F13459" i="1"/>
  <c r="F13458" i="1"/>
  <c r="E13458" i="1"/>
  <c r="F13457" i="1"/>
  <c r="E13457" i="1"/>
  <c r="F13456" i="1"/>
  <c r="E13456" i="1"/>
  <c r="F13455" i="1"/>
  <c r="F13454" i="1"/>
  <c r="F13453" i="1"/>
  <c r="F13452" i="1"/>
  <c r="F13451" i="1"/>
  <c r="F13450" i="1"/>
  <c r="F13449" i="1"/>
  <c r="F13448" i="1"/>
  <c r="E13448" i="1"/>
  <c r="F13447" i="1"/>
  <c r="E13447" i="1"/>
  <c r="F13446" i="1"/>
  <c r="F13445" i="1"/>
  <c r="F13444" i="1"/>
  <c r="E13444" i="1"/>
  <c r="F13443" i="1"/>
  <c r="E13443" i="1"/>
  <c r="F13442" i="1"/>
  <c r="E13442" i="1"/>
  <c r="F13441" i="1"/>
  <c r="E13441" i="1"/>
  <c r="F13440" i="1"/>
  <c r="E13440" i="1"/>
  <c r="F13439" i="1"/>
  <c r="E13439" i="1"/>
  <c r="F13438" i="1"/>
  <c r="E13438" i="1"/>
  <c r="F13437" i="1"/>
  <c r="E13437" i="1"/>
  <c r="F13436" i="1"/>
  <c r="E13436" i="1"/>
  <c r="F13435" i="1"/>
  <c r="E13435" i="1"/>
  <c r="F13434" i="1"/>
  <c r="E13434" i="1"/>
  <c r="F13433" i="1"/>
  <c r="E13433" i="1"/>
  <c r="F13432" i="1"/>
  <c r="E13432" i="1"/>
  <c r="F13431" i="1"/>
  <c r="E13431" i="1"/>
  <c r="F13430" i="1"/>
  <c r="E13430" i="1"/>
  <c r="F13429" i="1"/>
  <c r="E13429" i="1"/>
  <c r="F13428" i="1"/>
  <c r="F13427" i="1"/>
  <c r="E13427" i="1"/>
  <c r="F13426" i="1"/>
  <c r="F13425" i="1"/>
  <c r="F13424" i="1"/>
  <c r="F13423" i="1"/>
  <c r="F13422" i="1"/>
  <c r="E13422" i="1"/>
  <c r="F13421" i="1"/>
  <c r="E13421" i="1"/>
  <c r="F13420" i="1"/>
  <c r="E13420" i="1"/>
  <c r="F13419" i="1"/>
  <c r="E13419" i="1"/>
  <c r="F13418" i="1"/>
  <c r="E13418" i="1"/>
  <c r="F13417" i="1"/>
  <c r="E13417" i="1"/>
  <c r="F13416" i="1"/>
  <c r="E13416" i="1"/>
  <c r="F13415" i="1"/>
  <c r="E13415" i="1"/>
  <c r="F13414" i="1"/>
  <c r="E13414" i="1"/>
  <c r="F13413" i="1"/>
  <c r="E13413" i="1"/>
  <c r="F13412" i="1"/>
  <c r="E13412" i="1"/>
  <c r="F13411" i="1"/>
  <c r="E13411" i="1"/>
  <c r="F13410" i="1"/>
  <c r="E13410" i="1"/>
  <c r="F13409" i="1"/>
  <c r="E13409" i="1"/>
  <c r="F13408" i="1"/>
  <c r="E13408" i="1"/>
  <c r="F13407" i="1"/>
  <c r="E13407" i="1"/>
  <c r="F13406" i="1"/>
  <c r="E13406" i="1"/>
  <c r="F13405" i="1"/>
  <c r="E13405" i="1"/>
  <c r="F13404" i="1"/>
  <c r="E13404" i="1"/>
  <c r="F13403" i="1"/>
  <c r="E13403" i="1"/>
  <c r="F13402" i="1"/>
  <c r="F13401" i="1"/>
  <c r="F13400" i="1"/>
  <c r="F13399" i="1"/>
  <c r="F13398" i="1"/>
  <c r="E13398" i="1"/>
  <c r="F13397" i="1"/>
  <c r="E13397" i="1"/>
  <c r="F13396" i="1"/>
  <c r="E13396" i="1"/>
  <c r="F13395" i="1"/>
  <c r="E13395" i="1"/>
  <c r="F13394" i="1"/>
  <c r="E13394" i="1"/>
  <c r="F13393" i="1"/>
  <c r="E13393" i="1"/>
  <c r="F13392" i="1"/>
  <c r="E13392" i="1"/>
  <c r="F13391" i="1"/>
  <c r="F13390" i="1"/>
  <c r="F13389" i="1"/>
  <c r="F13388" i="1"/>
  <c r="E13388" i="1"/>
  <c r="F13387" i="1"/>
  <c r="E13387" i="1"/>
  <c r="F13386" i="1"/>
  <c r="E13386" i="1"/>
  <c r="F13385" i="1"/>
  <c r="E13385" i="1"/>
  <c r="F13384" i="1"/>
  <c r="F13383" i="1"/>
  <c r="F13382" i="1"/>
  <c r="F13381" i="1"/>
  <c r="F13380" i="1"/>
  <c r="E13380" i="1"/>
  <c r="F13379" i="1"/>
  <c r="E13379" i="1"/>
  <c r="F13378" i="1"/>
  <c r="E13378" i="1"/>
  <c r="F13377" i="1"/>
  <c r="E13377" i="1"/>
  <c r="F13376" i="1"/>
  <c r="F13375" i="1"/>
  <c r="F13374" i="1"/>
  <c r="F13373" i="1"/>
  <c r="F13372" i="1"/>
  <c r="F13371" i="1"/>
  <c r="F13370" i="1"/>
  <c r="F13369" i="1"/>
  <c r="F13368" i="1"/>
  <c r="F13367" i="1"/>
  <c r="F13366" i="1"/>
  <c r="F13365" i="1"/>
  <c r="F13364" i="1"/>
  <c r="F13363" i="1"/>
  <c r="F13362" i="1"/>
  <c r="F13361" i="1"/>
  <c r="F13360" i="1"/>
  <c r="F13359" i="1"/>
  <c r="F13358" i="1"/>
  <c r="F13357" i="1"/>
  <c r="F13356" i="1"/>
  <c r="F13355" i="1"/>
  <c r="F13354" i="1"/>
  <c r="F13353" i="1"/>
  <c r="E13353" i="1"/>
  <c r="F13352" i="1"/>
  <c r="E13352" i="1"/>
  <c r="F13351" i="1"/>
  <c r="E13351" i="1"/>
  <c r="F13350" i="1"/>
  <c r="F13349" i="1"/>
  <c r="F13348" i="1"/>
  <c r="E13348" i="1"/>
  <c r="F13347" i="1"/>
  <c r="E13347" i="1"/>
  <c r="F13346" i="1"/>
  <c r="E13346" i="1"/>
  <c r="F13345" i="1"/>
  <c r="E13345" i="1"/>
  <c r="F13344" i="1"/>
  <c r="E13344" i="1"/>
  <c r="F13343" i="1"/>
  <c r="E13343" i="1"/>
  <c r="F13342" i="1"/>
  <c r="E13342" i="1"/>
  <c r="F13341" i="1"/>
  <c r="E13341" i="1"/>
  <c r="F13340" i="1"/>
  <c r="E13340" i="1"/>
  <c r="F13339" i="1"/>
  <c r="E13339" i="1"/>
  <c r="F13338" i="1"/>
  <c r="E13338" i="1"/>
  <c r="F13337" i="1"/>
  <c r="E13337" i="1"/>
  <c r="F13336" i="1"/>
  <c r="E13336" i="1"/>
  <c r="F13335" i="1"/>
  <c r="E13335" i="1"/>
  <c r="F13334" i="1"/>
  <c r="E13334" i="1"/>
  <c r="F13333" i="1"/>
  <c r="E13333" i="1"/>
  <c r="F13332" i="1"/>
  <c r="E13332" i="1"/>
  <c r="F13331" i="1"/>
  <c r="E13331" i="1"/>
  <c r="F13330" i="1"/>
  <c r="E13330" i="1"/>
  <c r="F13329" i="1"/>
  <c r="E13329" i="1"/>
  <c r="F13328" i="1"/>
  <c r="E13328" i="1"/>
  <c r="F13327" i="1"/>
  <c r="E13327" i="1"/>
  <c r="F13326" i="1"/>
  <c r="E13326" i="1"/>
  <c r="F13325" i="1"/>
  <c r="E13325" i="1"/>
  <c r="F13324" i="1"/>
  <c r="E13324" i="1"/>
  <c r="F13323" i="1"/>
  <c r="E13323" i="1"/>
  <c r="F13322" i="1"/>
  <c r="E13322" i="1"/>
  <c r="F13321" i="1"/>
  <c r="E13321" i="1"/>
  <c r="F13320" i="1"/>
  <c r="E13320" i="1"/>
  <c r="F13319" i="1"/>
  <c r="E13319" i="1"/>
  <c r="F13318" i="1"/>
  <c r="E13318" i="1"/>
  <c r="F13317" i="1"/>
  <c r="E13317" i="1"/>
  <c r="F13316" i="1"/>
  <c r="E13316" i="1"/>
  <c r="F13315" i="1"/>
  <c r="E13315" i="1"/>
  <c r="F13314" i="1"/>
  <c r="E13314" i="1"/>
  <c r="F13313" i="1"/>
  <c r="E13313" i="1"/>
  <c r="F13312" i="1"/>
  <c r="E13312" i="1"/>
  <c r="F13311" i="1"/>
  <c r="E13311" i="1"/>
  <c r="F13310" i="1"/>
  <c r="E13310" i="1"/>
  <c r="F13309" i="1"/>
  <c r="E13309" i="1"/>
  <c r="F13308" i="1"/>
  <c r="E13308" i="1"/>
  <c r="F13307" i="1"/>
  <c r="E13307" i="1"/>
  <c r="F13306" i="1"/>
  <c r="E13306" i="1"/>
  <c r="F13305" i="1"/>
  <c r="E13305" i="1"/>
  <c r="F13304" i="1"/>
  <c r="E13304" i="1"/>
  <c r="F13303" i="1"/>
  <c r="E13303" i="1"/>
  <c r="F13302" i="1"/>
  <c r="F13301" i="1"/>
  <c r="E13301" i="1"/>
  <c r="F13300" i="1"/>
  <c r="E13300" i="1"/>
  <c r="F13299" i="1"/>
  <c r="E13299" i="1"/>
  <c r="F13298" i="1"/>
  <c r="E13298" i="1"/>
  <c r="F13297" i="1"/>
  <c r="E13297" i="1"/>
  <c r="F13296" i="1"/>
  <c r="E13296" i="1"/>
  <c r="F13295" i="1"/>
  <c r="E13295" i="1"/>
  <c r="F13294" i="1"/>
  <c r="E13294" i="1"/>
  <c r="F13293" i="1"/>
  <c r="E13293" i="1"/>
  <c r="F13292" i="1"/>
  <c r="E13292" i="1"/>
  <c r="F13291" i="1"/>
  <c r="E13291" i="1"/>
  <c r="F13290" i="1"/>
  <c r="E13290" i="1"/>
  <c r="F13289" i="1"/>
  <c r="E13289" i="1"/>
  <c r="F13288" i="1"/>
  <c r="E13288" i="1"/>
  <c r="F13287" i="1"/>
  <c r="E13287" i="1"/>
  <c r="F13286" i="1"/>
  <c r="F13285" i="1"/>
  <c r="E13285" i="1"/>
  <c r="F13284" i="1"/>
  <c r="E13284" i="1"/>
  <c r="F13283" i="1"/>
  <c r="E13283" i="1"/>
  <c r="F13282" i="1"/>
  <c r="E13282" i="1"/>
  <c r="F13281" i="1"/>
  <c r="F13280" i="1"/>
  <c r="F13279" i="1"/>
  <c r="E13279" i="1"/>
  <c r="F13278" i="1"/>
  <c r="E13278" i="1"/>
  <c r="F13277" i="1"/>
  <c r="E13277" i="1"/>
  <c r="F13276" i="1"/>
  <c r="F13275" i="1"/>
  <c r="E13275" i="1"/>
  <c r="F13274" i="1"/>
  <c r="F13273" i="1"/>
  <c r="E13273" i="1"/>
  <c r="F13272" i="1"/>
  <c r="E13272" i="1"/>
  <c r="F13271" i="1"/>
  <c r="E13271" i="1"/>
  <c r="F13270" i="1"/>
  <c r="E13270" i="1"/>
  <c r="F13269" i="1"/>
  <c r="E13269" i="1"/>
  <c r="F13268" i="1"/>
  <c r="E13268" i="1"/>
  <c r="F13267" i="1"/>
  <c r="E13267" i="1"/>
  <c r="F13266" i="1"/>
  <c r="E13266" i="1"/>
  <c r="F13265" i="1"/>
  <c r="E13265" i="1"/>
  <c r="F13264" i="1"/>
  <c r="E13264" i="1"/>
  <c r="F13263" i="1"/>
  <c r="E13263" i="1"/>
  <c r="F13262" i="1"/>
  <c r="E13262" i="1"/>
  <c r="F13261" i="1"/>
  <c r="E13261" i="1"/>
  <c r="F13260" i="1"/>
  <c r="F13259" i="1"/>
  <c r="E13259" i="1"/>
  <c r="F13258" i="1"/>
  <c r="E13258" i="1"/>
  <c r="F13257" i="1"/>
  <c r="E13257" i="1"/>
  <c r="F13256" i="1"/>
  <c r="F13255" i="1"/>
  <c r="F13254" i="1"/>
  <c r="E13254" i="1"/>
  <c r="F13253" i="1"/>
  <c r="E13253" i="1"/>
  <c r="F13252" i="1"/>
  <c r="E13252" i="1"/>
  <c r="F13251" i="1"/>
  <c r="E13251" i="1"/>
  <c r="F13250" i="1"/>
  <c r="E13250" i="1"/>
  <c r="F13249" i="1"/>
  <c r="E13249" i="1"/>
  <c r="F13248" i="1"/>
  <c r="E13248" i="1"/>
  <c r="F13247" i="1"/>
  <c r="E13247" i="1"/>
  <c r="F13246" i="1"/>
  <c r="E13246" i="1"/>
  <c r="F13245" i="1"/>
  <c r="E13245" i="1"/>
  <c r="F13244" i="1"/>
  <c r="E13244" i="1"/>
  <c r="F13243" i="1"/>
  <c r="E13243" i="1"/>
  <c r="F13242" i="1"/>
  <c r="E13242" i="1"/>
  <c r="F13241" i="1"/>
  <c r="E13241" i="1"/>
  <c r="F13240" i="1"/>
  <c r="E13240" i="1"/>
  <c r="F13239" i="1"/>
  <c r="E13239" i="1"/>
  <c r="F13238" i="1"/>
  <c r="E13238" i="1"/>
  <c r="F13237" i="1"/>
  <c r="E13237" i="1"/>
  <c r="F13236" i="1"/>
  <c r="E13236" i="1"/>
  <c r="F13235" i="1"/>
  <c r="E13235" i="1"/>
  <c r="F13234" i="1"/>
  <c r="E13234" i="1"/>
  <c r="F13233" i="1"/>
  <c r="E13233" i="1"/>
  <c r="F13232" i="1"/>
  <c r="E13232" i="1"/>
  <c r="F13231" i="1"/>
  <c r="E13231" i="1"/>
  <c r="F13230" i="1"/>
  <c r="F13229" i="1"/>
  <c r="F13228" i="1"/>
  <c r="F13227" i="1"/>
  <c r="F13226" i="1"/>
  <c r="E13226" i="1"/>
  <c r="F13225" i="1"/>
  <c r="F13224" i="1"/>
  <c r="F13223" i="1"/>
  <c r="E13223" i="1"/>
  <c r="F13222" i="1"/>
  <c r="E13222" i="1"/>
  <c r="F13221" i="1"/>
  <c r="F13220" i="1"/>
  <c r="F13219" i="1"/>
  <c r="E13219" i="1"/>
  <c r="F13218" i="1"/>
  <c r="F13217" i="1"/>
  <c r="F13216" i="1"/>
  <c r="E13216" i="1"/>
  <c r="F13215" i="1"/>
  <c r="F13214" i="1"/>
  <c r="E13214" i="1"/>
  <c r="F13213" i="1"/>
  <c r="E13213" i="1"/>
  <c r="F13212" i="1"/>
  <c r="F13211" i="1"/>
  <c r="E13211" i="1"/>
  <c r="F13210" i="1"/>
  <c r="F13209" i="1"/>
  <c r="E13209" i="1"/>
  <c r="F13208" i="1"/>
  <c r="F13207" i="1"/>
  <c r="E13207" i="1"/>
  <c r="F13206" i="1"/>
  <c r="E13206" i="1"/>
  <c r="F13205" i="1"/>
  <c r="E13205" i="1"/>
  <c r="F13204" i="1"/>
  <c r="F13203" i="1"/>
  <c r="E13203" i="1"/>
  <c r="F13202" i="1"/>
  <c r="E13202" i="1"/>
  <c r="F13201" i="1"/>
  <c r="F13200" i="1"/>
  <c r="F13199" i="1"/>
  <c r="E13199" i="1"/>
  <c r="F13198" i="1"/>
  <c r="F13197" i="1"/>
  <c r="F13196" i="1"/>
  <c r="E13196" i="1"/>
  <c r="F13195" i="1"/>
  <c r="F13194" i="1"/>
  <c r="F13193" i="1"/>
  <c r="E13193" i="1"/>
  <c r="F13192" i="1"/>
  <c r="E13192" i="1"/>
  <c r="F13191" i="1"/>
  <c r="E13191" i="1"/>
  <c r="F13190" i="1"/>
  <c r="F13189" i="1"/>
  <c r="E13189" i="1"/>
  <c r="F13188" i="1"/>
  <c r="F13187" i="1"/>
  <c r="F13186" i="1"/>
  <c r="F13185" i="1"/>
  <c r="F13184" i="1"/>
  <c r="F13183" i="1"/>
  <c r="E13183" i="1"/>
  <c r="F13182" i="1"/>
  <c r="E13182" i="1"/>
  <c r="F13181" i="1"/>
  <c r="E13181" i="1"/>
  <c r="F13180" i="1"/>
  <c r="E13180" i="1"/>
  <c r="F13179" i="1"/>
  <c r="E13179" i="1"/>
  <c r="F13178" i="1"/>
  <c r="F13177" i="1"/>
  <c r="F13176" i="1"/>
  <c r="F13175" i="1"/>
  <c r="E13175" i="1"/>
  <c r="F13174" i="1"/>
  <c r="F13173" i="1"/>
  <c r="E13173" i="1"/>
  <c r="F13172" i="1"/>
  <c r="E13172" i="1"/>
  <c r="F13171" i="1"/>
  <c r="F13170" i="1"/>
  <c r="F13169" i="1"/>
  <c r="E13169" i="1"/>
  <c r="F13168" i="1"/>
  <c r="F13167" i="1"/>
  <c r="E13167" i="1"/>
  <c r="F13166" i="1"/>
  <c r="F13165" i="1"/>
  <c r="F13164" i="1"/>
  <c r="E13164" i="1"/>
  <c r="F13163" i="1"/>
  <c r="E13163" i="1"/>
  <c r="F13162" i="1"/>
  <c r="E13162" i="1"/>
  <c r="F13161" i="1"/>
  <c r="E13161" i="1"/>
  <c r="F13160" i="1"/>
  <c r="E13160" i="1"/>
  <c r="F13159" i="1"/>
  <c r="E13159" i="1"/>
  <c r="F13158" i="1"/>
  <c r="E13158" i="1"/>
  <c r="F13157" i="1"/>
  <c r="E13157" i="1"/>
  <c r="F13156" i="1"/>
  <c r="E13156" i="1"/>
  <c r="F13155" i="1"/>
  <c r="E13155" i="1"/>
  <c r="F13154" i="1"/>
  <c r="E13154" i="1"/>
  <c r="F13153" i="1"/>
  <c r="E13153" i="1"/>
  <c r="F13152" i="1"/>
  <c r="E13152" i="1"/>
  <c r="F13151" i="1"/>
  <c r="E13151" i="1"/>
  <c r="F13150" i="1"/>
  <c r="E13150" i="1"/>
  <c r="F13149" i="1"/>
  <c r="E13149" i="1"/>
  <c r="F13148" i="1"/>
  <c r="E13148" i="1"/>
  <c r="F13147" i="1"/>
  <c r="E13147" i="1"/>
  <c r="F13146" i="1"/>
  <c r="E13146" i="1"/>
  <c r="F13145" i="1"/>
  <c r="E13145" i="1"/>
  <c r="F13144" i="1"/>
  <c r="E13144" i="1"/>
  <c r="F13143" i="1"/>
  <c r="E13143" i="1"/>
  <c r="F13142" i="1"/>
  <c r="E13142" i="1"/>
  <c r="F13141" i="1"/>
  <c r="E13141" i="1"/>
  <c r="F13140" i="1"/>
  <c r="E13140" i="1"/>
  <c r="F13139" i="1"/>
  <c r="E13139" i="1"/>
  <c r="F13138" i="1"/>
  <c r="E13138" i="1"/>
  <c r="F13137" i="1"/>
  <c r="E13137" i="1"/>
  <c r="F13136" i="1"/>
  <c r="E13136" i="1"/>
  <c r="F13135" i="1"/>
  <c r="E13135" i="1"/>
  <c r="F13134" i="1"/>
  <c r="E13134" i="1"/>
  <c r="F13133" i="1"/>
  <c r="E13133" i="1"/>
  <c r="F13132" i="1"/>
  <c r="E13132" i="1"/>
  <c r="F13131" i="1"/>
  <c r="E13131" i="1"/>
  <c r="F13130" i="1"/>
  <c r="E13130" i="1"/>
  <c r="F13129" i="1"/>
  <c r="E13129" i="1"/>
  <c r="F13128" i="1"/>
  <c r="E13128" i="1"/>
  <c r="F13127" i="1"/>
  <c r="E13127" i="1"/>
  <c r="F13126" i="1"/>
  <c r="E13126" i="1"/>
  <c r="F13125" i="1"/>
  <c r="F13124" i="1"/>
  <c r="E13124" i="1"/>
  <c r="F13123" i="1"/>
  <c r="E13123" i="1"/>
  <c r="F13122" i="1"/>
  <c r="E13122" i="1"/>
  <c r="F13121" i="1"/>
  <c r="E13121" i="1"/>
  <c r="F13120" i="1"/>
  <c r="E13120" i="1"/>
  <c r="F13119" i="1"/>
  <c r="E13119" i="1"/>
  <c r="F13118" i="1"/>
  <c r="E13118" i="1"/>
  <c r="F13117" i="1"/>
  <c r="F13116" i="1"/>
  <c r="F13115" i="1"/>
  <c r="F13114" i="1"/>
  <c r="F13113" i="1"/>
  <c r="F13112" i="1"/>
  <c r="E13112" i="1"/>
  <c r="F13111" i="1"/>
  <c r="E13111" i="1"/>
  <c r="F13110" i="1"/>
  <c r="E13110" i="1"/>
  <c r="F13109" i="1"/>
  <c r="E13109" i="1"/>
  <c r="F13108" i="1"/>
  <c r="E13108" i="1"/>
  <c r="F13107" i="1"/>
  <c r="E13107" i="1"/>
  <c r="F13106" i="1"/>
  <c r="E13106" i="1"/>
  <c r="F13105" i="1"/>
  <c r="E13105" i="1"/>
  <c r="F13104" i="1"/>
  <c r="E13104" i="1"/>
  <c r="F13103" i="1"/>
  <c r="E13103" i="1"/>
  <c r="F13102" i="1"/>
  <c r="E13102" i="1"/>
  <c r="F13101" i="1"/>
  <c r="E13101" i="1"/>
  <c r="F13100" i="1"/>
  <c r="E13100" i="1"/>
  <c r="F13099" i="1"/>
  <c r="E13099" i="1"/>
  <c r="F13098" i="1"/>
  <c r="E13098" i="1"/>
  <c r="F13097" i="1"/>
  <c r="E13097" i="1"/>
  <c r="F13096" i="1"/>
  <c r="E13096" i="1"/>
  <c r="F13095" i="1"/>
  <c r="E13095" i="1"/>
  <c r="F13094" i="1"/>
  <c r="E13094" i="1"/>
  <c r="F13093" i="1"/>
  <c r="E13093" i="1"/>
  <c r="F13092" i="1"/>
  <c r="E13092" i="1"/>
  <c r="F13091" i="1"/>
  <c r="E13091" i="1"/>
  <c r="F13090" i="1"/>
  <c r="E13090" i="1"/>
  <c r="F13089" i="1"/>
  <c r="E13089" i="1"/>
  <c r="F13088" i="1"/>
  <c r="E13088" i="1"/>
  <c r="F13087" i="1"/>
  <c r="E13087" i="1"/>
  <c r="F13086" i="1"/>
  <c r="E13086" i="1"/>
  <c r="F13085" i="1"/>
  <c r="E13085" i="1"/>
  <c r="F13084" i="1"/>
  <c r="E13084" i="1"/>
  <c r="F13083" i="1"/>
  <c r="E13083" i="1"/>
  <c r="F13082" i="1"/>
  <c r="E13082" i="1"/>
  <c r="F13081" i="1"/>
  <c r="E13081" i="1"/>
  <c r="F13080" i="1"/>
  <c r="F13079" i="1"/>
  <c r="F13078" i="1"/>
  <c r="F13077" i="1"/>
  <c r="F13076" i="1"/>
  <c r="F13075" i="1"/>
  <c r="F13074" i="1"/>
  <c r="F13073" i="1"/>
  <c r="F13072" i="1"/>
  <c r="F13071" i="1"/>
  <c r="F13070" i="1"/>
  <c r="F13069" i="1"/>
  <c r="F13068" i="1"/>
  <c r="F13067" i="1"/>
  <c r="F13066" i="1"/>
  <c r="F13065" i="1"/>
  <c r="F13064" i="1"/>
  <c r="E13064" i="1"/>
  <c r="F13063" i="1"/>
  <c r="E13063" i="1"/>
  <c r="F13062" i="1"/>
  <c r="E13062" i="1"/>
  <c r="F13061" i="1"/>
  <c r="E13061" i="1"/>
  <c r="F13060" i="1"/>
  <c r="E13060" i="1"/>
  <c r="F13059" i="1"/>
  <c r="E13059" i="1"/>
  <c r="F13058" i="1"/>
  <c r="E13058" i="1"/>
  <c r="F13057" i="1"/>
  <c r="E13057" i="1"/>
  <c r="F13056" i="1"/>
  <c r="E13056" i="1"/>
  <c r="F13055" i="1"/>
  <c r="E13055" i="1"/>
  <c r="F13054" i="1"/>
  <c r="E13054" i="1"/>
  <c r="F13053" i="1"/>
  <c r="E13053" i="1"/>
  <c r="F13052" i="1"/>
  <c r="F13051" i="1"/>
  <c r="E13051" i="1"/>
  <c r="F13050" i="1"/>
  <c r="E13050" i="1"/>
  <c r="F13049" i="1"/>
  <c r="E13049" i="1"/>
  <c r="F13048" i="1"/>
  <c r="E13048" i="1"/>
  <c r="F13047" i="1"/>
  <c r="E13047" i="1"/>
  <c r="F13046" i="1"/>
  <c r="E13046" i="1"/>
  <c r="F13045" i="1"/>
  <c r="E13045" i="1"/>
  <c r="F13044" i="1"/>
  <c r="E13044" i="1"/>
  <c r="F13043" i="1"/>
  <c r="E13043" i="1"/>
  <c r="F13042" i="1"/>
  <c r="E13042" i="1"/>
  <c r="F13041" i="1"/>
  <c r="E13041" i="1"/>
  <c r="F13040" i="1"/>
  <c r="E13040" i="1"/>
  <c r="F13039" i="1"/>
  <c r="E13039" i="1"/>
  <c r="F13038" i="1"/>
  <c r="E13038" i="1"/>
  <c r="F13037" i="1"/>
  <c r="E13037" i="1"/>
  <c r="F13036" i="1"/>
  <c r="E13036" i="1"/>
  <c r="F13035" i="1"/>
  <c r="E13035" i="1"/>
  <c r="F13034" i="1"/>
  <c r="E13034" i="1"/>
  <c r="F13033" i="1"/>
  <c r="E13033" i="1"/>
  <c r="F13032" i="1"/>
  <c r="E13032" i="1"/>
  <c r="F13031" i="1"/>
  <c r="E13031" i="1"/>
  <c r="F13030" i="1"/>
  <c r="E13030" i="1"/>
  <c r="F13029" i="1"/>
  <c r="E13029" i="1"/>
  <c r="F13028" i="1"/>
  <c r="E13028" i="1"/>
  <c r="F13027" i="1"/>
  <c r="E13027" i="1"/>
  <c r="F13026" i="1"/>
  <c r="E13026" i="1"/>
  <c r="F13025" i="1"/>
  <c r="E13025" i="1"/>
  <c r="F13024" i="1"/>
  <c r="E13024" i="1"/>
  <c r="F13023" i="1"/>
  <c r="E13023" i="1"/>
  <c r="F13022" i="1"/>
  <c r="F13021" i="1"/>
  <c r="E13021" i="1"/>
  <c r="F13020" i="1"/>
  <c r="E13020" i="1"/>
  <c r="F13019" i="1"/>
  <c r="E13019" i="1"/>
  <c r="F13018" i="1"/>
  <c r="E13018" i="1"/>
  <c r="F13017" i="1"/>
  <c r="E13017" i="1"/>
  <c r="F13016" i="1"/>
  <c r="E13016" i="1"/>
  <c r="F13015" i="1"/>
  <c r="E13015" i="1"/>
  <c r="F13014" i="1"/>
  <c r="E13014" i="1"/>
  <c r="F13013" i="1"/>
  <c r="E13013" i="1"/>
  <c r="F13012" i="1"/>
  <c r="E13012" i="1"/>
  <c r="F13011" i="1"/>
  <c r="E13011" i="1"/>
  <c r="F13010" i="1"/>
  <c r="E13010" i="1"/>
  <c r="F13009" i="1"/>
  <c r="E13009" i="1"/>
  <c r="F13008" i="1"/>
  <c r="E13008" i="1"/>
  <c r="F13007" i="1"/>
  <c r="E13007" i="1"/>
  <c r="F13006" i="1"/>
  <c r="E13006" i="1"/>
  <c r="F13005" i="1"/>
  <c r="E13005" i="1"/>
  <c r="F13004" i="1"/>
  <c r="E13004" i="1"/>
  <c r="F13003" i="1"/>
  <c r="E13003" i="1"/>
  <c r="F13002" i="1"/>
  <c r="E13002" i="1"/>
  <c r="F13001" i="1"/>
  <c r="E13001" i="1"/>
  <c r="F13000" i="1"/>
  <c r="E13000" i="1"/>
  <c r="F12999" i="1"/>
  <c r="E12999" i="1"/>
  <c r="F12998" i="1"/>
  <c r="E12998" i="1"/>
  <c r="F12997" i="1"/>
  <c r="E12997" i="1"/>
  <c r="F12996" i="1"/>
  <c r="E12996" i="1"/>
  <c r="F12995" i="1"/>
  <c r="E12995" i="1"/>
  <c r="F12994" i="1"/>
  <c r="E12994" i="1"/>
  <c r="F12993" i="1"/>
  <c r="E12993" i="1"/>
  <c r="F12992" i="1"/>
  <c r="E12992" i="1"/>
  <c r="F12991" i="1"/>
  <c r="E12991" i="1"/>
  <c r="F12990" i="1"/>
  <c r="E12990" i="1"/>
  <c r="F12989" i="1"/>
  <c r="E12989" i="1"/>
  <c r="F12988" i="1"/>
  <c r="E12988" i="1"/>
  <c r="F12987" i="1"/>
  <c r="E12987" i="1"/>
  <c r="F12986" i="1"/>
  <c r="E12986" i="1"/>
  <c r="F12985" i="1"/>
  <c r="E12985" i="1"/>
  <c r="F12984" i="1"/>
  <c r="E12984" i="1"/>
  <c r="F12983" i="1"/>
  <c r="E12983" i="1"/>
  <c r="F12982" i="1"/>
  <c r="E12982" i="1"/>
  <c r="F12981" i="1"/>
  <c r="F12980" i="1"/>
  <c r="F12979" i="1"/>
  <c r="F12978" i="1"/>
  <c r="F12977" i="1"/>
  <c r="E12977" i="1"/>
  <c r="F12976" i="1"/>
  <c r="E12976" i="1"/>
  <c r="F12975" i="1"/>
  <c r="E12975" i="1"/>
  <c r="F12974" i="1"/>
  <c r="E12974" i="1"/>
  <c r="F12973" i="1"/>
  <c r="E12973" i="1"/>
  <c r="F12972" i="1"/>
  <c r="E12972" i="1"/>
  <c r="F12971" i="1"/>
  <c r="E12971" i="1"/>
  <c r="F12970" i="1"/>
  <c r="E12970" i="1"/>
  <c r="F12969" i="1"/>
  <c r="E12969" i="1"/>
  <c r="F12968" i="1"/>
  <c r="E12968" i="1"/>
  <c r="F12967" i="1"/>
  <c r="E12967" i="1"/>
  <c r="F12966" i="1"/>
  <c r="E12966" i="1"/>
  <c r="F12965" i="1"/>
  <c r="F12964" i="1"/>
  <c r="E12964" i="1"/>
  <c r="F12963" i="1"/>
  <c r="E12963" i="1"/>
  <c r="F12962" i="1"/>
  <c r="E12962" i="1"/>
  <c r="F12961" i="1"/>
  <c r="E12961" i="1"/>
  <c r="F12960" i="1"/>
  <c r="E12960" i="1"/>
  <c r="F12959" i="1"/>
  <c r="E12959" i="1"/>
  <c r="F12958" i="1"/>
  <c r="E12958" i="1"/>
  <c r="E12957" i="1"/>
  <c r="F12956" i="1"/>
  <c r="E12956" i="1"/>
  <c r="F12955" i="1"/>
  <c r="E12955" i="1"/>
  <c r="F12954" i="1"/>
  <c r="E12954" i="1"/>
  <c r="F12953" i="1"/>
  <c r="E12953" i="1"/>
  <c r="F12952" i="1"/>
  <c r="E12952" i="1"/>
  <c r="F12951" i="1"/>
  <c r="E12951" i="1"/>
  <c r="F12950" i="1"/>
  <c r="E12950" i="1"/>
  <c r="F12949" i="1"/>
  <c r="E12949" i="1"/>
  <c r="F12948" i="1"/>
  <c r="F12947" i="1"/>
  <c r="E12947" i="1"/>
  <c r="F12946" i="1"/>
  <c r="E12946" i="1"/>
  <c r="F12945" i="1"/>
  <c r="E12945" i="1"/>
  <c r="F12944" i="1"/>
  <c r="E12944" i="1"/>
  <c r="F12943" i="1"/>
  <c r="E12943" i="1"/>
  <c r="F12942" i="1"/>
  <c r="E12942" i="1"/>
  <c r="F12941" i="1"/>
  <c r="E12941" i="1"/>
  <c r="F12940" i="1"/>
  <c r="E12940" i="1"/>
  <c r="F12939" i="1"/>
  <c r="F12938" i="1"/>
  <c r="E12938" i="1"/>
  <c r="F12937" i="1"/>
  <c r="E12937" i="1"/>
  <c r="F12936" i="1"/>
  <c r="E12936" i="1"/>
  <c r="F12935" i="1"/>
  <c r="E12935" i="1"/>
  <c r="F12934" i="1"/>
  <c r="E12934" i="1"/>
  <c r="F12933" i="1"/>
  <c r="E12933" i="1"/>
  <c r="F12932" i="1"/>
  <c r="E12932" i="1"/>
  <c r="F12931" i="1"/>
  <c r="E12931" i="1"/>
  <c r="F12930" i="1"/>
  <c r="E12930" i="1"/>
  <c r="F12929" i="1"/>
  <c r="E12929" i="1"/>
  <c r="F12928" i="1"/>
  <c r="E12928" i="1"/>
  <c r="F12927" i="1"/>
  <c r="E12927" i="1"/>
  <c r="F12926" i="1"/>
  <c r="E12926" i="1"/>
  <c r="F12925" i="1"/>
  <c r="E12925" i="1"/>
  <c r="F12924" i="1"/>
  <c r="E12924" i="1"/>
  <c r="F12923" i="1"/>
  <c r="E12923" i="1"/>
  <c r="F12922" i="1"/>
  <c r="F12921" i="1"/>
  <c r="E12921" i="1"/>
  <c r="F12920" i="1"/>
  <c r="E12920" i="1"/>
  <c r="F12919" i="1"/>
  <c r="E12919" i="1"/>
  <c r="F12918" i="1"/>
  <c r="E12918" i="1"/>
  <c r="F12917" i="1"/>
  <c r="E12917" i="1"/>
  <c r="F12916" i="1"/>
  <c r="E12916" i="1"/>
  <c r="F12915" i="1"/>
  <c r="E12915" i="1"/>
  <c r="F12914" i="1"/>
  <c r="E12914" i="1"/>
  <c r="F12913" i="1"/>
  <c r="E12913" i="1"/>
  <c r="F12912" i="1"/>
  <c r="E12912" i="1"/>
  <c r="F12911" i="1"/>
  <c r="E12911" i="1"/>
  <c r="F12910" i="1"/>
  <c r="E12910" i="1"/>
  <c r="F12909" i="1"/>
  <c r="E12909" i="1"/>
  <c r="F12908" i="1"/>
  <c r="E12908" i="1"/>
  <c r="F12907" i="1"/>
  <c r="E12907" i="1"/>
  <c r="F12906" i="1"/>
  <c r="E12906" i="1"/>
  <c r="F12905" i="1"/>
  <c r="E12905" i="1"/>
  <c r="F12904" i="1"/>
  <c r="E12903" i="1"/>
  <c r="F12902" i="1"/>
  <c r="E12902" i="1"/>
  <c r="F12901" i="1"/>
  <c r="E12901" i="1"/>
  <c r="F12900" i="1"/>
  <c r="F12899" i="1"/>
  <c r="E12899" i="1"/>
  <c r="F12898" i="1"/>
  <c r="E12898" i="1"/>
  <c r="F12897" i="1"/>
  <c r="F12896" i="1"/>
  <c r="E12896" i="1"/>
  <c r="F12895" i="1"/>
  <c r="E12895" i="1"/>
  <c r="F12894" i="1"/>
  <c r="E12894" i="1"/>
  <c r="F12893" i="1"/>
  <c r="E12893" i="1"/>
  <c r="F12892" i="1"/>
  <c r="E12892" i="1"/>
  <c r="F12891" i="1"/>
  <c r="E12891" i="1"/>
  <c r="F12890" i="1"/>
  <c r="E12890" i="1"/>
  <c r="F12889" i="1"/>
  <c r="E12889" i="1"/>
  <c r="F12888" i="1"/>
  <c r="E12888" i="1"/>
  <c r="F12887" i="1"/>
  <c r="E12887" i="1"/>
  <c r="F12886" i="1"/>
  <c r="E12886" i="1"/>
  <c r="F12885" i="1"/>
  <c r="E12884" i="1"/>
  <c r="F12883" i="1"/>
  <c r="E12883" i="1"/>
  <c r="F12882" i="1"/>
  <c r="E12882" i="1"/>
  <c r="F12881" i="1"/>
  <c r="E12881" i="1"/>
  <c r="F12880" i="1"/>
  <c r="F12879" i="1"/>
  <c r="F12878" i="1"/>
  <c r="E12878" i="1"/>
  <c r="F12877" i="1"/>
  <c r="E12877" i="1"/>
  <c r="F12876" i="1"/>
  <c r="E12876" i="1"/>
  <c r="F12875" i="1"/>
  <c r="E12875" i="1"/>
  <c r="F12874" i="1"/>
  <c r="E12874" i="1"/>
  <c r="F12873" i="1"/>
  <c r="E12873" i="1"/>
  <c r="F12872" i="1"/>
  <c r="E12872" i="1"/>
  <c r="F12871" i="1"/>
  <c r="E12871" i="1"/>
  <c r="F12870" i="1"/>
  <c r="E12869" i="1"/>
  <c r="F12868" i="1"/>
  <c r="E12868" i="1"/>
  <c r="F12867" i="1"/>
  <c r="E12867" i="1"/>
  <c r="F12866" i="1"/>
  <c r="F12865" i="1"/>
  <c r="E12865" i="1"/>
  <c r="F12864" i="1"/>
  <c r="E12864" i="1"/>
  <c r="F12863" i="1"/>
  <c r="E12863" i="1"/>
  <c r="F12862" i="1"/>
  <c r="E12862" i="1"/>
  <c r="F12861" i="1"/>
  <c r="E12861" i="1"/>
  <c r="F12860" i="1"/>
  <c r="E12860" i="1"/>
  <c r="F12859" i="1"/>
  <c r="E12859" i="1"/>
  <c r="F12858" i="1"/>
  <c r="E12857" i="1"/>
  <c r="F12856" i="1"/>
  <c r="E12856" i="1"/>
  <c r="F12855" i="1"/>
  <c r="E12855" i="1"/>
  <c r="F12854" i="1"/>
  <c r="E12854" i="1"/>
  <c r="F12853" i="1"/>
  <c r="E12853" i="1"/>
  <c r="F12852" i="1"/>
  <c r="E12852" i="1"/>
  <c r="F12851" i="1"/>
  <c r="E12851" i="1"/>
  <c r="F12850" i="1"/>
  <c r="E12850" i="1"/>
  <c r="F12849" i="1"/>
  <c r="E12849" i="1"/>
  <c r="F12848" i="1"/>
  <c r="E12848" i="1"/>
  <c r="F12847" i="1"/>
  <c r="E12847" i="1"/>
  <c r="F12846" i="1"/>
  <c r="E12846" i="1"/>
  <c r="F12845" i="1"/>
  <c r="F12844" i="1"/>
  <c r="E12844" i="1"/>
  <c r="F12843" i="1"/>
  <c r="E12843" i="1"/>
  <c r="F12842" i="1"/>
  <c r="E12842" i="1"/>
  <c r="F12841" i="1"/>
  <c r="E12841" i="1"/>
  <c r="F12840" i="1"/>
  <c r="E12840" i="1"/>
  <c r="F12839" i="1"/>
  <c r="E12839" i="1"/>
  <c r="F12838" i="1"/>
  <c r="E12838" i="1"/>
  <c r="F12837" i="1"/>
  <c r="E12837" i="1"/>
  <c r="F12836" i="1"/>
  <c r="E12836" i="1"/>
  <c r="F12835" i="1"/>
  <c r="E12835" i="1"/>
  <c r="F12834" i="1"/>
  <c r="E12834" i="1"/>
  <c r="F12833" i="1"/>
  <c r="E12833" i="1"/>
  <c r="F12832" i="1"/>
  <c r="E12832" i="1"/>
  <c r="F12831" i="1"/>
  <c r="E12831" i="1"/>
  <c r="F12830" i="1"/>
  <c r="E12830" i="1"/>
  <c r="F12829" i="1"/>
  <c r="E12829" i="1"/>
  <c r="F12828" i="1"/>
  <c r="E12828" i="1"/>
  <c r="F12827" i="1"/>
  <c r="E12827" i="1"/>
  <c r="F12826" i="1"/>
  <c r="E12826" i="1"/>
  <c r="F12825" i="1"/>
  <c r="E12825" i="1"/>
  <c r="F12824" i="1"/>
  <c r="E12824" i="1"/>
  <c r="F12823" i="1"/>
  <c r="E12823" i="1"/>
  <c r="F12822" i="1"/>
  <c r="E12822" i="1"/>
  <c r="F12821" i="1"/>
  <c r="E12821" i="1"/>
  <c r="F12820" i="1"/>
  <c r="E12820" i="1"/>
  <c r="F12819" i="1"/>
  <c r="E12819" i="1"/>
  <c r="F12818" i="1"/>
  <c r="E12818" i="1"/>
  <c r="F12817" i="1"/>
  <c r="E12817" i="1"/>
  <c r="F12816" i="1"/>
  <c r="E12816" i="1"/>
  <c r="F12815" i="1"/>
  <c r="E12815" i="1"/>
  <c r="F12814" i="1"/>
  <c r="E12814" i="1"/>
  <c r="F12813" i="1"/>
  <c r="E12813" i="1"/>
  <c r="F12812" i="1"/>
  <c r="E12812" i="1"/>
  <c r="F12811" i="1"/>
  <c r="E12811" i="1"/>
  <c r="F12810" i="1"/>
  <c r="E12810" i="1"/>
  <c r="F12809" i="1"/>
  <c r="E12809" i="1"/>
  <c r="F12808" i="1"/>
  <c r="E12808" i="1"/>
  <c r="F12807" i="1"/>
  <c r="E12807" i="1"/>
  <c r="F12806" i="1"/>
  <c r="E12806" i="1"/>
  <c r="F12805" i="1"/>
  <c r="E12805" i="1"/>
  <c r="F12804" i="1"/>
  <c r="E12804" i="1"/>
  <c r="F12803" i="1"/>
  <c r="E12803" i="1"/>
  <c r="F12802" i="1"/>
  <c r="E12802" i="1"/>
  <c r="F12801" i="1"/>
  <c r="E12801" i="1"/>
  <c r="F12800" i="1"/>
  <c r="E12800" i="1"/>
  <c r="F12799" i="1"/>
  <c r="E12799" i="1"/>
  <c r="F12798" i="1"/>
  <c r="E12798" i="1"/>
  <c r="F12797" i="1"/>
  <c r="E12797" i="1"/>
  <c r="F12796" i="1"/>
  <c r="E12796" i="1"/>
  <c r="F12795" i="1"/>
  <c r="E12795" i="1"/>
  <c r="F12794" i="1"/>
  <c r="E12794" i="1"/>
  <c r="F12793" i="1"/>
  <c r="E12793" i="1"/>
  <c r="F12792" i="1"/>
  <c r="E12792" i="1"/>
  <c r="F12791" i="1"/>
  <c r="E12791" i="1"/>
  <c r="F12790" i="1"/>
  <c r="E12790" i="1"/>
  <c r="F12789" i="1"/>
  <c r="E12789" i="1"/>
  <c r="F12788" i="1"/>
  <c r="E12788" i="1"/>
  <c r="F12787" i="1"/>
  <c r="E12787" i="1"/>
  <c r="F12786" i="1"/>
  <c r="F12785" i="1"/>
  <c r="F12784" i="1"/>
  <c r="F12783" i="1"/>
  <c r="F12782" i="1"/>
  <c r="F12781" i="1"/>
  <c r="F12780" i="1"/>
  <c r="F12779" i="1"/>
  <c r="F12778" i="1"/>
  <c r="F12777" i="1"/>
  <c r="F12776" i="1"/>
  <c r="F12775" i="1"/>
  <c r="F12774" i="1"/>
  <c r="F12773" i="1"/>
  <c r="F12772" i="1"/>
  <c r="F12771" i="1"/>
  <c r="F12770" i="1"/>
  <c r="F12769" i="1"/>
  <c r="F12768" i="1"/>
  <c r="F12767" i="1"/>
  <c r="F12766" i="1"/>
  <c r="F12765" i="1"/>
  <c r="F12764" i="1"/>
  <c r="F12763" i="1"/>
  <c r="F12762" i="1"/>
  <c r="F12761" i="1"/>
  <c r="F12760" i="1"/>
  <c r="F12759" i="1"/>
  <c r="F12758" i="1"/>
  <c r="F12757" i="1"/>
  <c r="F12756" i="1"/>
  <c r="F12755" i="1"/>
  <c r="F12754" i="1"/>
  <c r="F12753" i="1"/>
  <c r="F12752" i="1"/>
  <c r="F12751" i="1"/>
  <c r="F12750" i="1"/>
  <c r="F12749" i="1"/>
  <c r="F12748" i="1"/>
  <c r="F12747" i="1"/>
  <c r="F12746" i="1"/>
  <c r="F12745" i="1"/>
  <c r="F12744" i="1"/>
  <c r="F12743" i="1"/>
  <c r="F12742" i="1"/>
  <c r="F12741" i="1"/>
  <c r="F12740" i="1"/>
  <c r="F12739" i="1"/>
  <c r="F12738" i="1"/>
  <c r="F12737" i="1"/>
  <c r="F12736" i="1"/>
  <c r="F12735" i="1"/>
  <c r="F12734" i="1"/>
  <c r="F12733" i="1"/>
  <c r="F12732" i="1"/>
  <c r="F12731" i="1"/>
  <c r="F12730" i="1"/>
  <c r="F12729" i="1"/>
  <c r="F12728" i="1"/>
  <c r="F12727" i="1"/>
  <c r="F12726" i="1"/>
  <c r="F12725" i="1"/>
  <c r="F12724" i="1"/>
  <c r="F12723" i="1"/>
  <c r="F12722" i="1"/>
  <c r="F12721" i="1"/>
  <c r="F12720" i="1"/>
  <c r="E12720" i="1"/>
  <c r="F12719" i="1"/>
  <c r="F12718" i="1"/>
  <c r="F12717" i="1"/>
  <c r="F12716" i="1"/>
  <c r="F12715" i="1"/>
  <c r="F12714" i="1"/>
  <c r="F12713" i="1"/>
  <c r="E12713" i="1"/>
  <c r="F12712" i="1"/>
  <c r="F12711" i="1"/>
  <c r="F12710" i="1"/>
  <c r="F12709" i="1"/>
  <c r="F12708" i="1"/>
  <c r="E12708" i="1"/>
  <c r="F12707" i="1"/>
  <c r="E12707" i="1"/>
  <c r="F12706" i="1"/>
  <c r="F12705" i="1"/>
  <c r="F12704" i="1"/>
  <c r="E12704" i="1"/>
  <c r="F12703" i="1"/>
  <c r="F12702" i="1"/>
  <c r="F12701" i="1"/>
  <c r="E12701" i="1"/>
  <c r="F12700" i="1"/>
  <c r="E12700" i="1"/>
  <c r="F12699" i="1"/>
  <c r="F12698" i="1"/>
  <c r="F12697" i="1"/>
  <c r="F12696" i="1"/>
  <c r="E12696" i="1"/>
  <c r="F12695" i="1"/>
  <c r="E12695" i="1"/>
  <c r="F12694" i="1"/>
  <c r="F12693" i="1"/>
  <c r="F12692" i="1"/>
  <c r="F12691" i="1"/>
  <c r="F12690" i="1"/>
  <c r="F12689" i="1"/>
  <c r="F12688" i="1"/>
  <c r="F12687" i="1"/>
  <c r="F12686" i="1"/>
  <c r="F12685" i="1"/>
  <c r="F12684" i="1"/>
  <c r="F12683" i="1"/>
  <c r="F12682" i="1"/>
  <c r="F12681" i="1"/>
  <c r="E12681" i="1"/>
  <c r="F12680" i="1"/>
  <c r="F12679" i="1"/>
  <c r="F12678" i="1"/>
  <c r="E12678" i="1"/>
  <c r="F12677" i="1"/>
  <c r="F12676" i="1"/>
  <c r="F12675" i="1"/>
  <c r="F12674" i="1"/>
  <c r="F12673" i="1"/>
  <c r="F12672" i="1"/>
  <c r="F12671" i="1"/>
  <c r="F12670" i="1"/>
  <c r="F12669" i="1"/>
  <c r="E12669" i="1"/>
  <c r="F12668" i="1"/>
  <c r="F12667" i="1"/>
  <c r="E12667" i="1"/>
  <c r="F12666" i="1"/>
  <c r="E12666" i="1"/>
  <c r="F12665" i="1"/>
  <c r="F12664" i="1"/>
  <c r="F12663" i="1"/>
  <c r="F12662" i="1"/>
  <c r="F12661" i="1"/>
  <c r="F12660" i="1"/>
  <c r="F12659" i="1"/>
  <c r="F12658" i="1"/>
  <c r="F12657" i="1"/>
  <c r="F12656" i="1"/>
  <c r="F12655" i="1"/>
  <c r="F12654" i="1"/>
  <c r="F12653" i="1"/>
  <c r="F12652" i="1"/>
  <c r="F12651" i="1"/>
  <c r="F12650" i="1"/>
  <c r="F12649" i="1"/>
  <c r="F12648" i="1"/>
  <c r="F12647" i="1"/>
  <c r="F12646" i="1"/>
  <c r="F12645" i="1"/>
  <c r="F12644" i="1"/>
  <c r="F12643" i="1"/>
  <c r="F12642" i="1"/>
  <c r="E12642" i="1"/>
  <c r="F12641" i="1"/>
  <c r="F12640" i="1"/>
  <c r="F12639" i="1"/>
  <c r="F12638" i="1"/>
  <c r="F12637" i="1"/>
  <c r="F12636" i="1"/>
  <c r="F12635" i="1"/>
  <c r="F12634" i="1"/>
  <c r="F12633" i="1"/>
  <c r="F12632" i="1"/>
  <c r="F12631" i="1"/>
  <c r="F12630" i="1"/>
  <c r="F12629" i="1"/>
  <c r="F12628" i="1"/>
  <c r="F12627" i="1"/>
  <c r="E12627" i="1"/>
  <c r="F12626" i="1"/>
  <c r="F12625" i="1"/>
  <c r="E12625" i="1"/>
  <c r="F12624" i="1"/>
  <c r="E12624" i="1"/>
  <c r="F12623" i="1"/>
  <c r="E12623" i="1"/>
  <c r="F12622" i="1"/>
  <c r="E12622" i="1"/>
  <c r="F12621" i="1"/>
  <c r="E12621" i="1"/>
  <c r="F12620" i="1"/>
  <c r="E12620" i="1"/>
  <c r="F12619" i="1"/>
  <c r="E12619" i="1"/>
  <c r="F12618" i="1"/>
  <c r="E12618" i="1"/>
  <c r="F12617" i="1"/>
  <c r="E12617" i="1"/>
  <c r="F12616" i="1"/>
  <c r="F12615" i="1"/>
  <c r="E12615" i="1"/>
  <c r="F12614" i="1"/>
  <c r="E12614" i="1"/>
  <c r="F12613" i="1"/>
  <c r="F12612" i="1"/>
  <c r="E12612" i="1"/>
  <c r="F12611" i="1"/>
  <c r="F12610" i="1"/>
  <c r="E12610" i="1"/>
  <c r="F12609" i="1"/>
  <c r="E12609" i="1"/>
  <c r="F12608" i="1"/>
  <c r="E12608" i="1"/>
  <c r="F12607" i="1"/>
  <c r="E12607" i="1"/>
  <c r="F12606" i="1"/>
  <c r="E12606" i="1"/>
  <c r="F12605" i="1"/>
  <c r="F12604" i="1"/>
  <c r="E12604" i="1"/>
  <c r="F12603" i="1"/>
  <c r="E12603" i="1"/>
  <c r="F12602" i="1"/>
  <c r="E12602" i="1"/>
  <c r="F12601" i="1"/>
  <c r="E12601" i="1"/>
  <c r="F12600" i="1"/>
  <c r="E12600" i="1"/>
  <c r="F12599" i="1"/>
  <c r="E12599" i="1"/>
  <c r="F12598" i="1"/>
  <c r="F12597" i="1"/>
  <c r="E12597" i="1"/>
  <c r="F12596" i="1"/>
  <c r="E12596" i="1"/>
  <c r="F12595" i="1"/>
  <c r="E12595" i="1"/>
  <c r="F12594" i="1"/>
  <c r="F12593" i="1"/>
  <c r="E12593" i="1"/>
  <c r="F12592" i="1"/>
  <c r="E12592" i="1"/>
  <c r="F12591" i="1"/>
  <c r="E12591" i="1"/>
  <c r="F12590" i="1"/>
  <c r="E12590" i="1"/>
  <c r="F12589" i="1"/>
  <c r="E12589" i="1"/>
  <c r="F12588" i="1"/>
  <c r="E12588" i="1"/>
  <c r="F12587" i="1"/>
  <c r="E12587" i="1"/>
  <c r="F12586" i="1"/>
  <c r="E12586" i="1"/>
  <c r="F12585" i="1"/>
  <c r="E12585" i="1"/>
  <c r="F12584" i="1"/>
  <c r="E12584" i="1"/>
  <c r="F12583" i="1"/>
  <c r="E12583" i="1"/>
  <c r="F12582" i="1"/>
  <c r="E12582" i="1"/>
  <c r="F12581" i="1"/>
  <c r="E12581" i="1"/>
  <c r="F12580" i="1"/>
  <c r="E12580" i="1"/>
  <c r="F12579" i="1"/>
  <c r="E12579" i="1"/>
  <c r="F12578" i="1"/>
  <c r="E12578" i="1"/>
  <c r="F12577" i="1"/>
  <c r="E12577" i="1"/>
  <c r="F12576" i="1"/>
  <c r="E12576" i="1"/>
  <c r="F12575" i="1"/>
  <c r="E12575" i="1"/>
  <c r="F12574" i="1"/>
  <c r="E12574" i="1"/>
  <c r="F12573" i="1"/>
  <c r="E12573" i="1"/>
  <c r="F12572" i="1"/>
  <c r="E12572" i="1"/>
  <c r="F12571" i="1"/>
  <c r="E12571" i="1"/>
  <c r="F12570" i="1"/>
  <c r="E12570" i="1"/>
  <c r="F12569" i="1"/>
  <c r="E12569" i="1"/>
  <c r="F12568" i="1"/>
  <c r="E12568" i="1"/>
  <c r="F12567" i="1"/>
  <c r="E12567" i="1"/>
  <c r="F12566" i="1"/>
  <c r="E12566" i="1"/>
  <c r="F12565" i="1"/>
  <c r="E12565" i="1"/>
  <c r="F12564" i="1"/>
  <c r="F12563" i="1"/>
  <c r="F12562" i="1"/>
  <c r="F12561" i="1"/>
  <c r="F12560" i="1"/>
  <c r="F12559" i="1"/>
  <c r="F12558" i="1"/>
  <c r="F12557" i="1"/>
  <c r="F12556" i="1"/>
  <c r="F12555" i="1"/>
  <c r="F12554" i="1"/>
  <c r="F12553" i="1"/>
  <c r="F12552" i="1"/>
  <c r="F12551" i="1"/>
  <c r="F12550" i="1"/>
  <c r="F12549" i="1"/>
  <c r="F12548" i="1"/>
  <c r="E12548" i="1"/>
  <c r="F12547" i="1"/>
  <c r="E12547" i="1"/>
  <c r="F12546" i="1"/>
  <c r="E12546" i="1"/>
  <c r="F12545" i="1"/>
  <c r="E12545" i="1"/>
  <c r="F12544" i="1"/>
  <c r="E12544" i="1"/>
  <c r="F12543" i="1"/>
  <c r="E12543" i="1"/>
  <c r="F12542" i="1"/>
  <c r="E12542" i="1"/>
  <c r="F12541" i="1"/>
  <c r="F12540" i="1"/>
  <c r="E12540" i="1"/>
  <c r="F12539" i="1"/>
  <c r="E12539" i="1"/>
  <c r="F12538" i="1"/>
  <c r="E12538" i="1"/>
  <c r="F12537" i="1"/>
  <c r="E12537" i="1"/>
  <c r="F12536" i="1"/>
  <c r="E12536" i="1"/>
  <c r="F12535" i="1"/>
  <c r="E12535" i="1"/>
  <c r="F12534" i="1"/>
  <c r="F12533" i="1"/>
  <c r="F12532" i="1"/>
  <c r="F12531" i="1"/>
  <c r="E12531" i="1"/>
  <c r="F12530" i="1"/>
  <c r="F12529" i="1"/>
  <c r="E12529" i="1"/>
  <c r="F12528" i="1"/>
  <c r="E12528" i="1"/>
  <c r="F12527" i="1"/>
  <c r="E12527" i="1"/>
  <c r="F12526" i="1"/>
  <c r="E12526" i="1"/>
  <c r="F12525" i="1"/>
  <c r="F12524" i="1"/>
  <c r="F12523" i="1"/>
  <c r="E12523" i="1"/>
  <c r="F12522" i="1"/>
  <c r="E12522" i="1"/>
  <c r="F12521" i="1"/>
  <c r="E12521" i="1"/>
  <c r="F12520" i="1"/>
  <c r="E12520" i="1"/>
  <c r="F12519" i="1"/>
  <c r="E12519" i="1"/>
  <c r="F12518" i="1"/>
  <c r="E12518" i="1"/>
  <c r="F12517" i="1"/>
  <c r="E12517" i="1"/>
  <c r="F12516" i="1"/>
  <c r="E12516" i="1"/>
  <c r="F12515" i="1"/>
  <c r="E12515" i="1"/>
  <c r="F12514" i="1"/>
  <c r="E12514" i="1"/>
  <c r="F12513" i="1"/>
  <c r="E12513" i="1"/>
  <c r="F12512" i="1"/>
  <c r="E12512" i="1"/>
  <c r="F12511" i="1"/>
  <c r="E12511" i="1"/>
  <c r="F12510" i="1"/>
  <c r="E12510" i="1"/>
  <c r="F12509" i="1"/>
  <c r="E12509" i="1"/>
  <c r="F12508" i="1"/>
  <c r="E12508" i="1"/>
  <c r="F12507" i="1"/>
  <c r="E12507" i="1"/>
  <c r="F12506" i="1"/>
  <c r="E12506" i="1"/>
  <c r="F12505" i="1"/>
  <c r="E12505" i="1"/>
  <c r="F12504" i="1"/>
  <c r="E12504" i="1"/>
  <c r="F12503" i="1"/>
  <c r="F12502" i="1"/>
  <c r="E12502" i="1"/>
  <c r="F12501" i="1"/>
  <c r="F12500" i="1"/>
  <c r="F12499" i="1"/>
  <c r="E12499" i="1"/>
  <c r="F12498" i="1"/>
  <c r="E12498" i="1"/>
  <c r="F12497" i="1"/>
  <c r="E12497" i="1"/>
  <c r="F12496" i="1"/>
  <c r="E12496" i="1"/>
  <c r="F12495" i="1"/>
  <c r="E12495" i="1"/>
  <c r="F12494" i="1"/>
  <c r="E12494" i="1"/>
  <c r="F12493" i="1"/>
  <c r="F12492" i="1"/>
  <c r="E12492" i="1"/>
  <c r="F12491" i="1"/>
  <c r="E12491" i="1"/>
  <c r="F12490" i="1"/>
  <c r="E12490" i="1"/>
  <c r="F12489" i="1"/>
  <c r="E12489" i="1"/>
  <c r="F12488" i="1"/>
  <c r="E12488" i="1"/>
  <c r="F12487" i="1"/>
  <c r="E12487" i="1"/>
  <c r="F12486" i="1"/>
  <c r="E12486" i="1"/>
  <c r="F12485" i="1"/>
  <c r="E12485" i="1"/>
  <c r="F12484" i="1"/>
  <c r="F12483" i="1"/>
  <c r="E12483" i="1"/>
  <c r="F12482" i="1"/>
  <c r="F12481" i="1"/>
  <c r="E12481" i="1"/>
  <c r="F12480" i="1"/>
  <c r="E12480" i="1"/>
  <c r="F12479" i="1"/>
  <c r="E12479" i="1"/>
  <c r="F12478" i="1"/>
  <c r="E12478" i="1"/>
  <c r="F12477" i="1"/>
  <c r="E12477" i="1"/>
  <c r="F12476" i="1"/>
  <c r="E12476" i="1"/>
  <c r="F12475" i="1"/>
  <c r="E12475" i="1"/>
  <c r="F12474" i="1"/>
  <c r="E12474" i="1"/>
  <c r="F12473" i="1"/>
  <c r="E12473" i="1"/>
  <c r="F12472" i="1"/>
  <c r="E12472" i="1"/>
  <c r="F12471" i="1"/>
  <c r="E12471" i="1"/>
  <c r="F12470" i="1"/>
  <c r="E12470" i="1"/>
  <c r="F12469" i="1"/>
  <c r="E12469" i="1"/>
  <c r="F12468" i="1"/>
  <c r="F12467" i="1"/>
  <c r="E12467" i="1"/>
  <c r="F12466" i="1"/>
  <c r="E12466" i="1"/>
  <c r="F12465" i="1"/>
  <c r="E12465" i="1"/>
  <c r="F12464" i="1"/>
  <c r="E12464" i="1"/>
  <c r="F12462" i="1"/>
  <c r="E12462" i="1"/>
  <c r="F12461" i="1"/>
  <c r="E12461" i="1"/>
  <c r="F12460" i="1"/>
  <c r="E12460" i="1"/>
  <c r="F12458" i="1"/>
  <c r="E12458" i="1"/>
  <c r="F12457" i="1"/>
  <c r="E12457" i="1"/>
  <c r="F12454" i="1"/>
  <c r="E12454" i="1"/>
  <c r="F12448" i="1"/>
  <c r="E12448" i="1"/>
  <c r="F12447" i="1"/>
  <c r="E12447" i="1"/>
  <c r="F12446" i="1"/>
  <c r="E12446" i="1"/>
  <c r="F12445" i="1"/>
  <c r="E12445" i="1"/>
  <c r="F12441" i="1"/>
  <c r="E12438" i="1"/>
  <c r="E12437" i="1"/>
  <c r="F12426" i="1"/>
  <c r="F12424" i="1"/>
  <c r="E12424" i="1"/>
  <c r="F12418" i="1"/>
  <c r="E12418" i="1"/>
  <c r="F12417" i="1"/>
  <c r="E12417" i="1"/>
  <c r="F12416" i="1"/>
  <c r="E12416" i="1"/>
  <c r="F12415" i="1"/>
  <c r="E12415" i="1"/>
  <c r="F12413" i="1"/>
  <c r="E12413" i="1"/>
  <c r="F12412" i="1"/>
  <c r="E12412" i="1"/>
  <c r="F12411" i="1"/>
  <c r="E12411" i="1"/>
  <c r="F12404" i="1"/>
  <c r="F12403" i="1"/>
  <c r="F12402" i="1"/>
  <c r="E12398" i="1"/>
  <c r="E12397" i="1"/>
  <c r="F12396" i="1"/>
  <c r="F12395" i="1"/>
  <c r="E12395" i="1"/>
  <c r="E12388" i="1"/>
  <c r="F12387" i="1"/>
  <c r="F12386" i="1"/>
  <c r="F12383" i="1"/>
  <c r="F12382" i="1"/>
  <c r="F12381" i="1"/>
  <c r="F12380" i="1"/>
  <c r="F12375" i="1"/>
  <c r="F12374" i="1"/>
  <c r="F12373" i="1"/>
  <c r="F12359" i="1"/>
  <c r="F12354" i="1"/>
  <c r="F12353" i="1"/>
  <c r="F12352" i="1"/>
  <c r="E12351" i="1"/>
  <c r="F12350" i="1"/>
  <c r="F12349" i="1"/>
  <c r="F12348" i="1"/>
  <c r="F12347" i="1"/>
  <c r="F12346" i="1"/>
  <c r="F12345" i="1"/>
  <c r="F12338" i="1"/>
  <c r="E12338" i="1"/>
  <c r="F12334" i="1"/>
  <c r="F12333" i="1"/>
  <c r="F12332" i="1"/>
  <c r="F12331" i="1"/>
  <c r="F12330" i="1"/>
  <c r="F12329" i="1"/>
  <c r="F12328" i="1"/>
  <c r="F12327" i="1"/>
  <c r="F12326" i="1"/>
  <c r="F12320" i="1"/>
  <c r="F12319" i="1"/>
  <c r="F12318" i="1"/>
  <c r="F12317" i="1"/>
  <c r="F12315" i="1"/>
  <c r="E12315" i="1"/>
  <c r="F12311" i="1"/>
  <c r="E12311" i="1"/>
  <c r="F12310" i="1"/>
  <c r="E12310" i="1"/>
  <c r="F12302" i="1"/>
  <c r="E12302" i="1"/>
  <c r="F12301" i="1"/>
  <c r="E12301" i="1"/>
  <c r="E12300" i="1"/>
  <c r="E12296" i="1"/>
  <c r="E12290" i="1"/>
  <c r="F12284" i="1"/>
  <c r="F12283" i="1"/>
  <c r="F12282" i="1"/>
  <c r="F12281" i="1"/>
  <c r="F12280" i="1"/>
  <c r="F12279" i="1"/>
  <c r="F12278" i="1"/>
  <c r="F12277" i="1"/>
  <c r="F12270" i="1"/>
  <c r="F12269" i="1"/>
  <c r="F12268" i="1"/>
  <c r="E12264" i="1"/>
  <c r="E12263" i="1"/>
  <c r="E12262" i="1"/>
  <c r="E12229" i="1"/>
  <c r="F12228" i="1"/>
  <c r="E12228" i="1"/>
  <c r="F12227" i="1"/>
  <c r="E12227" i="1"/>
  <c r="F12226" i="1"/>
  <c r="E12226" i="1"/>
  <c r="F12225" i="1"/>
  <c r="F12224" i="1"/>
  <c r="E12224" i="1"/>
  <c r="F12223" i="1"/>
  <c r="F12222" i="1"/>
  <c r="E12222" i="1"/>
  <c r="F12221" i="1"/>
  <c r="E12221" i="1"/>
  <c r="F12220" i="1"/>
  <c r="E12220" i="1"/>
  <c r="F12219" i="1"/>
  <c r="E12219" i="1"/>
  <c r="F12218" i="1"/>
  <c r="E12218" i="1"/>
  <c r="F12217" i="1"/>
  <c r="E12217" i="1"/>
  <c r="F12216" i="1"/>
  <c r="E12216" i="1"/>
  <c r="F12215" i="1"/>
  <c r="E12215" i="1"/>
  <c r="F12214" i="1"/>
  <c r="E12214" i="1"/>
  <c r="F12213" i="1"/>
  <c r="E12213" i="1"/>
  <c r="F12212" i="1"/>
  <c r="E12212" i="1"/>
  <c r="F12211" i="1"/>
  <c r="E12211" i="1"/>
  <c r="F12210" i="1"/>
  <c r="E12210" i="1"/>
  <c r="F12209" i="1"/>
  <c r="E12209" i="1"/>
  <c r="F12208" i="1"/>
  <c r="E12208" i="1"/>
  <c r="F12207" i="1"/>
  <c r="E12207" i="1"/>
  <c r="F12206" i="1"/>
  <c r="E12206" i="1"/>
  <c r="F12205" i="1"/>
  <c r="E12205" i="1"/>
  <c r="F12204" i="1"/>
  <c r="F12203" i="1"/>
  <c r="F12202" i="1"/>
  <c r="F12201" i="1"/>
  <c r="E12201" i="1"/>
  <c r="F12200" i="1"/>
  <c r="E12200" i="1"/>
  <c r="F12199" i="1"/>
  <c r="E12199" i="1"/>
  <c r="F12198" i="1"/>
  <c r="E12198" i="1"/>
  <c r="F12197" i="1"/>
  <c r="E12197" i="1"/>
  <c r="F12196" i="1"/>
  <c r="E12196" i="1"/>
  <c r="F12195" i="1"/>
  <c r="E12195" i="1"/>
  <c r="F12194" i="1"/>
  <c r="E12194" i="1"/>
  <c r="F12193" i="1"/>
  <c r="E12193" i="1"/>
  <c r="F12192" i="1"/>
  <c r="E12192" i="1"/>
  <c r="F12191" i="1"/>
  <c r="E12191" i="1"/>
  <c r="F12190" i="1"/>
  <c r="E12190" i="1"/>
  <c r="F12189" i="1"/>
  <c r="E12189" i="1"/>
  <c r="F12188" i="1"/>
  <c r="E12188" i="1"/>
  <c r="F12187" i="1"/>
  <c r="E12187" i="1"/>
  <c r="F12186" i="1"/>
  <c r="E12186" i="1"/>
  <c r="F12185" i="1"/>
  <c r="E12185" i="1"/>
  <c r="F12184" i="1"/>
  <c r="E12184" i="1"/>
  <c r="F12183" i="1"/>
  <c r="E12183" i="1"/>
  <c r="F12182" i="1"/>
  <c r="E12182" i="1"/>
  <c r="F12181" i="1"/>
  <c r="E12181" i="1"/>
  <c r="F12180" i="1"/>
  <c r="E12180" i="1"/>
  <c r="F12179" i="1"/>
  <c r="E12179" i="1"/>
  <c r="F12178" i="1"/>
  <c r="E12178" i="1"/>
  <c r="F12177" i="1"/>
  <c r="E12177" i="1"/>
  <c r="F12176" i="1"/>
  <c r="E12176" i="1"/>
  <c r="F12175" i="1"/>
  <c r="E12175" i="1"/>
  <c r="F12174" i="1"/>
  <c r="E12174" i="1"/>
  <c r="F12173" i="1"/>
  <c r="E12173" i="1"/>
  <c r="F12172" i="1"/>
  <c r="E12172" i="1"/>
  <c r="F12171" i="1"/>
  <c r="E12171" i="1"/>
  <c r="F12170" i="1"/>
  <c r="E12170" i="1"/>
  <c r="F12169" i="1"/>
  <c r="E12169" i="1"/>
  <c r="F12168" i="1"/>
  <c r="E12168" i="1"/>
  <c r="F12167" i="1"/>
  <c r="E12167" i="1"/>
  <c r="F12166" i="1"/>
  <c r="E12166" i="1"/>
  <c r="F12165" i="1"/>
  <c r="E12165" i="1"/>
  <c r="F12164" i="1"/>
  <c r="E12164" i="1"/>
  <c r="F12163" i="1"/>
  <c r="E12163" i="1"/>
  <c r="F12162" i="1"/>
  <c r="E12162" i="1"/>
  <c r="F12161" i="1"/>
  <c r="E12161" i="1"/>
  <c r="F12160" i="1"/>
  <c r="E12160" i="1"/>
  <c r="F12159" i="1"/>
  <c r="E12159" i="1"/>
  <c r="F12158" i="1"/>
  <c r="E12158" i="1"/>
  <c r="F12157" i="1"/>
  <c r="E12157" i="1"/>
  <c r="F12156" i="1"/>
  <c r="E12156" i="1"/>
  <c r="F12155" i="1"/>
  <c r="E12155" i="1"/>
  <c r="F12154" i="1"/>
  <c r="E12154" i="1"/>
  <c r="F12153" i="1"/>
  <c r="E12153" i="1"/>
  <c r="F12152" i="1"/>
  <c r="E12152" i="1"/>
  <c r="F12151" i="1"/>
  <c r="E12151" i="1"/>
  <c r="F12150" i="1"/>
  <c r="E12150" i="1"/>
  <c r="F12149" i="1"/>
  <c r="E12149" i="1"/>
  <c r="F12148" i="1"/>
  <c r="E12148" i="1"/>
  <c r="F12147" i="1"/>
  <c r="E12147" i="1"/>
  <c r="F12146" i="1"/>
  <c r="E12146" i="1"/>
  <c r="F12145" i="1"/>
  <c r="E12145" i="1"/>
  <c r="F12144" i="1"/>
  <c r="E12144" i="1"/>
  <c r="F12143" i="1"/>
  <c r="E12143" i="1"/>
  <c r="F12142" i="1"/>
  <c r="E12142" i="1"/>
  <c r="F12141" i="1"/>
  <c r="E12141" i="1"/>
  <c r="F12140" i="1"/>
  <c r="E12140" i="1"/>
  <c r="F12139" i="1"/>
  <c r="E12139" i="1"/>
  <c r="F12138" i="1"/>
  <c r="E12138" i="1"/>
  <c r="F12137" i="1"/>
  <c r="E12137" i="1"/>
  <c r="F12136" i="1"/>
  <c r="E12136" i="1"/>
  <c r="F12135" i="1"/>
  <c r="E12135" i="1"/>
  <c r="F12134" i="1"/>
  <c r="E12134" i="1"/>
  <c r="F12133" i="1"/>
  <c r="E12133" i="1"/>
  <c r="F12132" i="1"/>
  <c r="E12132" i="1"/>
  <c r="F12131" i="1"/>
  <c r="E12131" i="1"/>
  <c r="F12130" i="1"/>
  <c r="E12130" i="1"/>
  <c r="F12129" i="1"/>
  <c r="E12129" i="1"/>
  <c r="F12128" i="1"/>
  <c r="E12128" i="1"/>
  <c r="F12127" i="1"/>
  <c r="E12127" i="1"/>
  <c r="F12126" i="1"/>
  <c r="E12126" i="1"/>
  <c r="F12125" i="1"/>
  <c r="E12125" i="1"/>
  <c r="F12124" i="1"/>
  <c r="E12124" i="1"/>
  <c r="F12123" i="1"/>
  <c r="E12123" i="1"/>
  <c r="F12122" i="1"/>
  <c r="E12122" i="1"/>
  <c r="F12121" i="1"/>
  <c r="E12121" i="1"/>
  <c r="F12120" i="1"/>
  <c r="E12120" i="1"/>
  <c r="F12119" i="1"/>
  <c r="E12119" i="1"/>
  <c r="F12118" i="1"/>
  <c r="E12118" i="1"/>
  <c r="F12117" i="1"/>
  <c r="E12117" i="1"/>
  <c r="F12116" i="1"/>
  <c r="E12116" i="1"/>
  <c r="F12115" i="1"/>
  <c r="E12115" i="1"/>
  <c r="F12114" i="1"/>
  <c r="E12114" i="1"/>
  <c r="F12113" i="1"/>
  <c r="E12113" i="1"/>
  <c r="F12112" i="1"/>
  <c r="E12112" i="1"/>
  <c r="F12111" i="1"/>
  <c r="E12111" i="1"/>
  <c r="F12110" i="1"/>
  <c r="E12110" i="1"/>
  <c r="F12109" i="1"/>
  <c r="E12109" i="1"/>
  <c r="F12108" i="1"/>
  <c r="E12108" i="1"/>
  <c r="F12107" i="1"/>
  <c r="E12107" i="1"/>
  <c r="F12106" i="1"/>
  <c r="E12106" i="1"/>
  <c r="F12105" i="1"/>
  <c r="E12105" i="1"/>
  <c r="F12104" i="1"/>
  <c r="E12104" i="1"/>
  <c r="F12103" i="1"/>
  <c r="E12103" i="1"/>
  <c r="F12102" i="1"/>
  <c r="E12102" i="1"/>
  <c r="F12101" i="1"/>
  <c r="E12101" i="1"/>
  <c r="F12100" i="1"/>
  <c r="E12100" i="1"/>
  <c r="F12099" i="1"/>
  <c r="E12099" i="1"/>
  <c r="F12098" i="1"/>
  <c r="E12098" i="1"/>
  <c r="F12097" i="1"/>
  <c r="E12097" i="1"/>
  <c r="F12096" i="1"/>
  <c r="E12096" i="1"/>
  <c r="F12095" i="1"/>
  <c r="E12095" i="1"/>
  <c r="F12094" i="1"/>
  <c r="E12094" i="1"/>
  <c r="F12093" i="1"/>
  <c r="E12093" i="1"/>
  <c r="F12092" i="1"/>
  <c r="E12092" i="1"/>
  <c r="F12091" i="1"/>
  <c r="E12091" i="1"/>
  <c r="F12090" i="1"/>
  <c r="E12090" i="1"/>
  <c r="F12089" i="1"/>
  <c r="E12089" i="1"/>
  <c r="F12088" i="1"/>
  <c r="E12088" i="1"/>
  <c r="F12087" i="1"/>
  <c r="E12087" i="1"/>
  <c r="F12086" i="1"/>
  <c r="E12086" i="1"/>
  <c r="F12085" i="1"/>
  <c r="E12085" i="1"/>
  <c r="F12084" i="1"/>
  <c r="E12084" i="1"/>
  <c r="F12083" i="1"/>
  <c r="E12083" i="1"/>
  <c r="F12082" i="1"/>
  <c r="E12082" i="1"/>
  <c r="F12081" i="1"/>
  <c r="E12081" i="1"/>
  <c r="F12080" i="1"/>
  <c r="E12080" i="1"/>
  <c r="F12079" i="1"/>
  <c r="E12079" i="1"/>
  <c r="F12078" i="1"/>
  <c r="E12078" i="1"/>
  <c r="F12077" i="1"/>
  <c r="E12077" i="1"/>
  <c r="F12076" i="1"/>
  <c r="E12076" i="1"/>
  <c r="F12075" i="1"/>
  <c r="E12075" i="1"/>
  <c r="F12074" i="1"/>
  <c r="E12074" i="1"/>
  <c r="F12073" i="1"/>
  <c r="E12073" i="1"/>
  <c r="F12072" i="1"/>
  <c r="E12072" i="1"/>
  <c r="F12071" i="1"/>
  <c r="E12071" i="1"/>
  <c r="F12070" i="1"/>
  <c r="E12070" i="1"/>
  <c r="F12069" i="1"/>
  <c r="E12069" i="1"/>
  <c r="F12068" i="1"/>
  <c r="E12068" i="1"/>
  <c r="F12067" i="1"/>
  <c r="E12067" i="1"/>
  <c r="F12066" i="1"/>
  <c r="E12066" i="1"/>
  <c r="F12065" i="1"/>
  <c r="E12065" i="1"/>
  <c r="F12064" i="1"/>
  <c r="E12064" i="1"/>
  <c r="F12063" i="1"/>
  <c r="E12063" i="1"/>
  <c r="F12062" i="1"/>
  <c r="E12062" i="1"/>
  <c r="F12061" i="1"/>
  <c r="E12061" i="1"/>
  <c r="F12060" i="1"/>
  <c r="E12060" i="1"/>
  <c r="F12059" i="1"/>
  <c r="E12059" i="1"/>
  <c r="F12058" i="1"/>
  <c r="E12058" i="1"/>
  <c r="F12057" i="1"/>
  <c r="E12057" i="1"/>
  <c r="F12056" i="1"/>
  <c r="E12056" i="1"/>
  <c r="F12055" i="1"/>
  <c r="E12055" i="1"/>
  <c r="F12054" i="1"/>
  <c r="E12054" i="1"/>
  <c r="F12053" i="1"/>
  <c r="E12053" i="1"/>
  <c r="F12052" i="1"/>
  <c r="E12052" i="1"/>
  <c r="F12051" i="1"/>
  <c r="E12051" i="1"/>
  <c r="F12050" i="1"/>
  <c r="E12050" i="1"/>
  <c r="F12049" i="1"/>
  <c r="E12049" i="1"/>
  <c r="F12048" i="1"/>
  <c r="E12048" i="1"/>
  <c r="F12047" i="1"/>
  <c r="E12047" i="1"/>
  <c r="F12046" i="1"/>
  <c r="E12046" i="1"/>
  <c r="F12045" i="1"/>
  <c r="E12045" i="1"/>
  <c r="F12044" i="1"/>
  <c r="E12044" i="1"/>
  <c r="F12043" i="1"/>
  <c r="E12043" i="1"/>
  <c r="F12042" i="1"/>
  <c r="E12042" i="1"/>
  <c r="F12041" i="1"/>
  <c r="E12041" i="1"/>
  <c r="F12040" i="1"/>
  <c r="E12040" i="1"/>
  <c r="F12039" i="1"/>
  <c r="E12039" i="1"/>
  <c r="F12038" i="1"/>
  <c r="E12038" i="1"/>
  <c r="F12037" i="1"/>
  <c r="E12037" i="1"/>
  <c r="F12036" i="1"/>
  <c r="E12036" i="1"/>
  <c r="F12035" i="1"/>
  <c r="E12035" i="1"/>
  <c r="F12034" i="1"/>
  <c r="E12034" i="1"/>
  <c r="F12033" i="1"/>
  <c r="E12033" i="1"/>
  <c r="F12032" i="1"/>
  <c r="E12032" i="1"/>
  <c r="F12031" i="1"/>
  <c r="E12031" i="1"/>
  <c r="F12030" i="1"/>
  <c r="E12030" i="1"/>
  <c r="F12029" i="1"/>
  <c r="E12029" i="1"/>
  <c r="F12028" i="1"/>
  <c r="E12028" i="1"/>
  <c r="F12027" i="1"/>
  <c r="E12027" i="1"/>
  <c r="F12026" i="1"/>
  <c r="E12026" i="1"/>
  <c r="F12025" i="1"/>
  <c r="E12025" i="1"/>
  <c r="F12024" i="1"/>
  <c r="E12024" i="1"/>
  <c r="F12023" i="1"/>
  <c r="E12023" i="1"/>
  <c r="F12022" i="1"/>
  <c r="E12022" i="1"/>
  <c r="F12021" i="1"/>
  <c r="E12021" i="1"/>
  <c r="F12020" i="1"/>
  <c r="E12020" i="1"/>
  <c r="F12019" i="1"/>
  <c r="E12019" i="1"/>
  <c r="F12018" i="1"/>
  <c r="E12018" i="1"/>
  <c r="F12017" i="1"/>
  <c r="E12017" i="1"/>
  <c r="F12016" i="1"/>
  <c r="E12016" i="1"/>
  <c r="F12015" i="1"/>
  <c r="E12015" i="1"/>
  <c r="F12014" i="1"/>
  <c r="E12014" i="1"/>
  <c r="F12013" i="1"/>
  <c r="E12013" i="1"/>
  <c r="F12012" i="1"/>
  <c r="E12012" i="1"/>
  <c r="F12011" i="1"/>
  <c r="E12011" i="1"/>
  <c r="F12010" i="1"/>
  <c r="E12010" i="1"/>
  <c r="F12009" i="1"/>
  <c r="E12009" i="1"/>
  <c r="F12008" i="1"/>
  <c r="E12008" i="1"/>
  <c r="F12007" i="1"/>
  <c r="E12007" i="1"/>
  <c r="F12006" i="1"/>
  <c r="E12006" i="1"/>
  <c r="F12005" i="1"/>
  <c r="E12005" i="1"/>
  <c r="F12004" i="1"/>
  <c r="E12004" i="1"/>
  <c r="F12003" i="1"/>
  <c r="E12003" i="1"/>
  <c r="F12002" i="1"/>
  <c r="E12002" i="1"/>
  <c r="F12001" i="1"/>
  <c r="E12001" i="1"/>
  <c r="F12000" i="1"/>
  <c r="E12000" i="1"/>
  <c r="F11999" i="1"/>
  <c r="E11999" i="1"/>
  <c r="F11998" i="1"/>
  <c r="E11998" i="1"/>
  <c r="F11997" i="1"/>
  <c r="E11997" i="1"/>
  <c r="F11996" i="1"/>
  <c r="E11996" i="1"/>
  <c r="F11995" i="1"/>
  <c r="E11995" i="1"/>
  <c r="F11994" i="1"/>
  <c r="E11994" i="1"/>
  <c r="F11993" i="1"/>
  <c r="E11993" i="1"/>
  <c r="F11992" i="1"/>
  <c r="E11992" i="1"/>
  <c r="F11991" i="1"/>
  <c r="E11991" i="1"/>
  <c r="F11990" i="1"/>
  <c r="E11990" i="1"/>
  <c r="F11989" i="1"/>
  <c r="E11989" i="1"/>
  <c r="F11988" i="1"/>
  <c r="E11988" i="1"/>
  <c r="F11987" i="1"/>
  <c r="E11987" i="1"/>
  <c r="F11986" i="1"/>
  <c r="E11986" i="1"/>
  <c r="F11985" i="1"/>
  <c r="E11985" i="1"/>
  <c r="F11984" i="1"/>
  <c r="E11984" i="1"/>
  <c r="F11983" i="1"/>
  <c r="E11983" i="1"/>
  <c r="F11982" i="1"/>
  <c r="E11982" i="1"/>
  <c r="F11981" i="1"/>
  <c r="E11981" i="1"/>
  <c r="F11980" i="1"/>
  <c r="E11980" i="1"/>
  <c r="F11979" i="1"/>
  <c r="E11979" i="1"/>
  <c r="F11978" i="1"/>
  <c r="E11978" i="1"/>
  <c r="F11977" i="1"/>
  <c r="E11977" i="1"/>
  <c r="F11976" i="1"/>
  <c r="E11976" i="1"/>
  <c r="F11975" i="1"/>
  <c r="E11975" i="1"/>
  <c r="F11974" i="1"/>
  <c r="E11974" i="1"/>
  <c r="F11973" i="1"/>
  <c r="E11973" i="1"/>
  <c r="F11972" i="1"/>
  <c r="E11972" i="1"/>
  <c r="F11971" i="1"/>
  <c r="E11971" i="1"/>
  <c r="F11970" i="1"/>
  <c r="E11970" i="1"/>
  <c r="F11969" i="1"/>
  <c r="E11969" i="1"/>
  <c r="F11968" i="1"/>
  <c r="E11968" i="1"/>
  <c r="F11967" i="1"/>
  <c r="E11967" i="1"/>
  <c r="F11966" i="1"/>
  <c r="E11966" i="1"/>
  <c r="F11965" i="1"/>
  <c r="E11965" i="1"/>
  <c r="F11964" i="1"/>
  <c r="E11964" i="1"/>
  <c r="F11963" i="1"/>
  <c r="E11963" i="1"/>
  <c r="F11962" i="1"/>
  <c r="E11962" i="1"/>
  <c r="F11961" i="1"/>
  <c r="E11961" i="1"/>
  <c r="F11960" i="1"/>
  <c r="E11960" i="1"/>
  <c r="F11959" i="1"/>
  <c r="E11959" i="1"/>
  <c r="F11958" i="1"/>
  <c r="E11958" i="1"/>
  <c r="F11957" i="1"/>
  <c r="E11957" i="1"/>
  <c r="F11956" i="1"/>
  <c r="E11956" i="1"/>
  <c r="F11955" i="1"/>
  <c r="E11955" i="1"/>
  <c r="F11954" i="1"/>
  <c r="E11954" i="1"/>
  <c r="F11953" i="1"/>
  <c r="E11953" i="1"/>
  <c r="F11952" i="1"/>
  <c r="E11952" i="1"/>
  <c r="F11951" i="1"/>
  <c r="E11951" i="1"/>
  <c r="F11950" i="1"/>
  <c r="E11950" i="1"/>
  <c r="F11949" i="1"/>
  <c r="E11949" i="1"/>
  <c r="F11948" i="1"/>
  <c r="E11948" i="1"/>
  <c r="F11947" i="1"/>
  <c r="E11947" i="1"/>
  <c r="F11946" i="1"/>
  <c r="E11946" i="1"/>
  <c r="F11945" i="1"/>
  <c r="E11945" i="1"/>
  <c r="F11944" i="1"/>
  <c r="E11944" i="1"/>
  <c r="F11943" i="1"/>
  <c r="E11943" i="1"/>
  <c r="F11942" i="1"/>
  <c r="E11942" i="1"/>
  <c r="F11941" i="1"/>
  <c r="E11941" i="1"/>
  <c r="F11940" i="1"/>
  <c r="E11940" i="1"/>
  <c r="F11939" i="1"/>
  <c r="F11938" i="1"/>
  <c r="F11937" i="1"/>
  <c r="E11937" i="1"/>
  <c r="F11936" i="1"/>
  <c r="E11936" i="1"/>
  <c r="F11935" i="1"/>
  <c r="E11935" i="1"/>
  <c r="F11934" i="1"/>
  <c r="E11934" i="1"/>
  <c r="F11933" i="1"/>
  <c r="E11933" i="1"/>
  <c r="F11932" i="1"/>
  <c r="E11932" i="1"/>
  <c r="F11931" i="1"/>
  <c r="E11931" i="1"/>
  <c r="F11930" i="1"/>
  <c r="E11930" i="1"/>
  <c r="F11929" i="1"/>
  <c r="E11929" i="1"/>
  <c r="F11928" i="1"/>
  <c r="E11928" i="1"/>
  <c r="F11927" i="1"/>
  <c r="E11927" i="1"/>
  <c r="F11926" i="1"/>
  <c r="E11926" i="1"/>
  <c r="F11925" i="1"/>
  <c r="E11925" i="1"/>
  <c r="F11924" i="1"/>
  <c r="E11924" i="1"/>
  <c r="F11923" i="1"/>
  <c r="E11923" i="1"/>
  <c r="F11922" i="1"/>
  <c r="E11922" i="1"/>
  <c r="F11921" i="1"/>
  <c r="E11921" i="1"/>
  <c r="F11920" i="1"/>
  <c r="E11920" i="1"/>
  <c r="F11919" i="1"/>
  <c r="E11919" i="1"/>
  <c r="F11918" i="1"/>
  <c r="E11918" i="1"/>
  <c r="F11917" i="1"/>
  <c r="E11917" i="1"/>
  <c r="F11916" i="1"/>
  <c r="E11916" i="1"/>
  <c r="F11915" i="1"/>
  <c r="E11915" i="1"/>
  <c r="F11914" i="1"/>
  <c r="E11914" i="1"/>
  <c r="F11913" i="1"/>
  <c r="F11912" i="1"/>
  <c r="E11912" i="1"/>
  <c r="F11911" i="1"/>
  <c r="E11911" i="1"/>
  <c r="F11910" i="1"/>
  <c r="E11910" i="1"/>
  <c r="F11909" i="1"/>
  <c r="E11909" i="1"/>
  <c r="F11908" i="1"/>
  <c r="E11908" i="1"/>
  <c r="F11907" i="1"/>
  <c r="E11907" i="1"/>
  <c r="F11906" i="1"/>
  <c r="E11906" i="1"/>
  <c r="F11905" i="1"/>
  <c r="E11905" i="1"/>
  <c r="F11904" i="1"/>
  <c r="E11904" i="1"/>
  <c r="F11903" i="1"/>
  <c r="E11903" i="1"/>
  <c r="F11902" i="1"/>
  <c r="E11902" i="1"/>
  <c r="F11901" i="1"/>
  <c r="E11901" i="1"/>
  <c r="F11900" i="1"/>
  <c r="E11900" i="1"/>
  <c r="F11899" i="1"/>
  <c r="E11899" i="1"/>
  <c r="F11898" i="1"/>
  <c r="E11898" i="1"/>
  <c r="F11897" i="1"/>
  <c r="E11897" i="1"/>
  <c r="F11896" i="1"/>
  <c r="E11896" i="1"/>
  <c r="F11895" i="1"/>
  <c r="E11895" i="1"/>
  <c r="F11894" i="1"/>
  <c r="E11894" i="1"/>
  <c r="F11893" i="1"/>
  <c r="E11893" i="1"/>
  <c r="F11892" i="1"/>
  <c r="E11892" i="1"/>
  <c r="F11891" i="1"/>
  <c r="E11891" i="1"/>
  <c r="F11890" i="1"/>
  <c r="E11890" i="1"/>
  <c r="F11889" i="1"/>
  <c r="E11889" i="1"/>
  <c r="F11888" i="1"/>
  <c r="E11888" i="1"/>
  <c r="F11887" i="1"/>
  <c r="E11887" i="1"/>
  <c r="F11886" i="1"/>
  <c r="E11886" i="1"/>
  <c r="F11885" i="1"/>
  <c r="E11885" i="1"/>
  <c r="F11884" i="1"/>
  <c r="E11884" i="1"/>
  <c r="F11883" i="1"/>
  <c r="E11883" i="1"/>
  <c r="F11882" i="1"/>
  <c r="E11882" i="1"/>
  <c r="F11881" i="1"/>
  <c r="E11881" i="1"/>
  <c r="F11880" i="1"/>
  <c r="E11880" i="1"/>
  <c r="F11879" i="1"/>
  <c r="E11879" i="1"/>
  <c r="F11878" i="1"/>
  <c r="E11878" i="1"/>
  <c r="F11877" i="1"/>
  <c r="E11877" i="1"/>
  <c r="F11876" i="1"/>
  <c r="E11876" i="1"/>
  <c r="F11875" i="1"/>
  <c r="E11875" i="1"/>
  <c r="F11874" i="1"/>
  <c r="E11874" i="1"/>
  <c r="F11873" i="1"/>
  <c r="E11873" i="1"/>
  <c r="F11872" i="1"/>
  <c r="E11872" i="1"/>
  <c r="F11871" i="1"/>
  <c r="E11871" i="1"/>
  <c r="F11870" i="1"/>
  <c r="E11870" i="1"/>
  <c r="F11869" i="1"/>
  <c r="E11869" i="1"/>
  <c r="F11868" i="1"/>
  <c r="E11868" i="1"/>
  <c r="F11867" i="1"/>
  <c r="E11867" i="1"/>
  <c r="F11866" i="1"/>
  <c r="E11866" i="1"/>
  <c r="F11865" i="1"/>
  <c r="E11865" i="1"/>
  <c r="F11864" i="1"/>
  <c r="E11864" i="1"/>
  <c r="F11863" i="1"/>
  <c r="E11863" i="1"/>
  <c r="F11862" i="1"/>
  <c r="E11862" i="1"/>
  <c r="F11861" i="1"/>
  <c r="E11861" i="1"/>
  <c r="F11860" i="1"/>
  <c r="E11860" i="1"/>
  <c r="F11859" i="1"/>
  <c r="E11859" i="1"/>
  <c r="F11858" i="1"/>
  <c r="E11858" i="1"/>
  <c r="F11857" i="1"/>
  <c r="E11857" i="1"/>
  <c r="F11856" i="1"/>
  <c r="E11856" i="1"/>
  <c r="F11855" i="1"/>
  <c r="E11855" i="1"/>
  <c r="F11854" i="1"/>
  <c r="E11854" i="1"/>
  <c r="F11853" i="1"/>
  <c r="E11853" i="1"/>
  <c r="F11852" i="1"/>
  <c r="E11852" i="1"/>
  <c r="F11851" i="1"/>
  <c r="E11851" i="1"/>
  <c r="F11850" i="1"/>
  <c r="E11850" i="1"/>
  <c r="F11849" i="1"/>
  <c r="E11849" i="1"/>
  <c r="F11848" i="1"/>
  <c r="E11848" i="1"/>
  <c r="F11847" i="1"/>
  <c r="E11847" i="1"/>
  <c r="F11846" i="1"/>
  <c r="E11846" i="1"/>
  <c r="F11845" i="1"/>
  <c r="E11845" i="1"/>
  <c r="F11844" i="1"/>
  <c r="E11844" i="1"/>
  <c r="F11843" i="1"/>
  <c r="E11843" i="1"/>
  <c r="F11842" i="1"/>
  <c r="E11842" i="1"/>
  <c r="F11841" i="1"/>
  <c r="E11841" i="1"/>
  <c r="F11840" i="1"/>
  <c r="E11840" i="1"/>
  <c r="F11839" i="1"/>
  <c r="E11839" i="1"/>
  <c r="F11838" i="1"/>
  <c r="E11838" i="1"/>
  <c r="F11837" i="1"/>
  <c r="E11837" i="1"/>
  <c r="F11836" i="1"/>
  <c r="E11836" i="1"/>
  <c r="F11835" i="1"/>
  <c r="E11835" i="1"/>
  <c r="F11834" i="1"/>
  <c r="E11834" i="1"/>
  <c r="F11833" i="1"/>
  <c r="E11833" i="1"/>
  <c r="F11832" i="1"/>
  <c r="E11832" i="1"/>
  <c r="F11831" i="1"/>
  <c r="E11831" i="1"/>
  <c r="F11830" i="1"/>
  <c r="E11830" i="1"/>
  <c r="F11829" i="1"/>
  <c r="E11829" i="1"/>
  <c r="F11828" i="1"/>
  <c r="E11828" i="1"/>
  <c r="F11827" i="1"/>
  <c r="E11827" i="1"/>
  <c r="F11826" i="1"/>
  <c r="E11826" i="1"/>
  <c r="F11825" i="1"/>
  <c r="E11825" i="1"/>
  <c r="F11824" i="1"/>
  <c r="E11824" i="1"/>
  <c r="F11823" i="1"/>
  <c r="E11823" i="1"/>
  <c r="F11822" i="1"/>
  <c r="E11822" i="1"/>
  <c r="F11821" i="1"/>
  <c r="E11821" i="1"/>
  <c r="F11820" i="1"/>
  <c r="E11820" i="1"/>
  <c r="F11819" i="1"/>
  <c r="E11819" i="1"/>
  <c r="F11818" i="1"/>
  <c r="E11818" i="1"/>
  <c r="F11817" i="1"/>
  <c r="E11817" i="1"/>
  <c r="F11816" i="1"/>
  <c r="E11816" i="1"/>
  <c r="F11815" i="1"/>
  <c r="E11815" i="1"/>
  <c r="F11814" i="1"/>
  <c r="E11814" i="1"/>
  <c r="F11813" i="1"/>
  <c r="E11813" i="1"/>
  <c r="F11812" i="1"/>
  <c r="E11812" i="1"/>
  <c r="F11811" i="1"/>
  <c r="E11811" i="1"/>
  <c r="F11810" i="1"/>
  <c r="E11810" i="1"/>
  <c r="F11809" i="1"/>
  <c r="E11809" i="1"/>
  <c r="F11808" i="1"/>
  <c r="E11808" i="1"/>
  <c r="F11807" i="1"/>
  <c r="E11807" i="1"/>
  <c r="F11806" i="1"/>
  <c r="E11806" i="1"/>
  <c r="F11805" i="1"/>
  <c r="E11805" i="1"/>
  <c r="F11804" i="1"/>
  <c r="E11804" i="1"/>
  <c r="F11803" i="1"/>
  <c r="E11803" i="1"/>
  <c r="F11802" i="1"/>
  <c r="E11802" i="1"/>
  <c r="F11801" i="1"/>
  <c r="E11801" i="1"/>
  <c r="F11800" i="1"/>
  <c r="E11800" i="1"/>
  <c r="F11799" i="1"/>
  <c r="E11799" i="1"/>
  <c r="F11798" i="1"/>
  <c r="E11798" i="1"/>
  <c r="F11797" i="1"/>
  <c r="E11797" i="1"/>
  <c r="F11796" i="1"/>
  <c r="E11796" i="1"/>
  <c r="F11795" i="1"/>
  <c r="E11795" i="1"/>
  <c r="F11794" i="1"/>
  <c r="E11794" i="1"/>
  <c r="F11793" i="1"/>
  <c r="E11793" i="1"/>
  <c r="F11792" i="1"/>
  <c r="E11792" i="1"/>
  <c r="F11791" i="1"/>
  <c r="E11791" i="1"/>
  <c r="F11790" i="1"/>
  <c r="E11790" i="1"/>
  <c r="F11789" i="1"/>
  <c r="E11789" i="1"/>
  <c r="F11788" i="1"/>
  <c r="E11788" i="1"/>
  <c r="F11787" i="1"/>
  <c r="E11787" i="1"/>
  <c r="F11786" i="1"/>
  <c r="E11786" i="1"/>
  <c r="F11785" i="1"/>
  <c r="E11785" i="1"/>
  <c r="F11784" i="1"/>
  <c r="E11784" i="1"/>
  <c r="F11783" i="1"/>
  <c r="E11783" i="1"/>
  <c r="F11782" i="1"/>
  <c r="E11782" i="1"/>
  <c r="F11781" i="1"/>
  <c r="E11781" i="1"/>
  <c r="F11780" i="1"/>
  <c r="E11780" i="1"/>
  <c r="F11779" i="1"/>
  <c r="E11779" i="1"/>
  <c r="F11778" i="1"/>
  <c r="E11778" i="1"/>
  <c r="F11777" i="1"/>
  <c r="E11777" i="1"/>
  <c r="F11776" i="1"/>
  <c r="E11776" i="1"/>
  <c r="F11775" i="1"/>
  <c r="E11775" i="1"/>
  <c r="F11774" i="1"/>
  <c r="E11774" i="1"/>
  <c r="F11773" i="1"/>
  <c r="E11773" i="1"/>
  <c r="F11772" i="1"/>
  <c r="E11772" i="1"/>
  <c r="F11771" i="1"/>
  <c r="E11771" i="1"/>
  <c r="F11770" i="1"/>
  <c r="E11770" i="1"/>
  <c r="F11769" i="1"/>
  <c r="E11769" i="1"/>
  <c r="F11768" i="1"/>
  <c r="E11768" i="1"/>
  <c r="F11767" i="1"/>
  <c r="E11767" i="1"/>
  <c r="F11766" i="1"/>
  <c r="E11766" i="1"/>
  <c r="F11765" i="1"/>
  <c r="E11765" i="1"/>
  <c r="F11764" i="1"/>
  <c r="E11764" i="1"/>
  <c r="F11763" i="1"/>
  <c r="E11763" i="1"/>
  <c r="F11762" i="1"/>
  <c r="E11762" i="1"/>
  <c r="F11761" i="1"/>
  <c r="E11761" i="1"/>
  <c r="F11760" i="1"/>
  <c r="E11760" i="1"/>
  <c r="F11759" i="1"/>
  <c r="E11759" i="1"/>
  <c r="F11758" i="1"/>
  <c r="E11758" i="1"/>
  <c r="F11757" i="1"/>
  <c r="E11757" i="1"/>
  <c r="F11756" i="1"/>
  <c r="E11756" i="1"/>
  <c r="F11755" i="1"/>
  <c r="E11755" i="1"/>
  <c r="F11754" i="1"/>
  <c r="E11754" i="1"/>
  <c r="F11753" i="1"/>
  <c r="E11753" i="1"/>
  <c r="F11752" i="1"/>
  <c r="E11752" i="1"/>
  <c r="F11751" i="1"/>
  <c r="E11751" i="1"/>
  <c r="F11750" i="1"/>
  <c r="E11750" i="1"/>
  <c r="F11749" i="1"/>
  <c r="E11749" i="1"/>
  <c r="F11748" i="1"/>
  <c r="E11748" i="1"/>
  <c r="F11747" i="1"/>
  <c r="E11747" i="1"/>
  <c r="F11746" i="1"/>
  <c r="E11746" i="1"/>
  <c r="F11745" i="1"/>
  <c r="E11745" i="1"/>
  <c r="F11744" i="1"/>
  <c r="E11744" i="1"/>
  <c r="F11743" i="1"/>
  <c r="E11743" i="1"/>
  <c r="F11742" i="1"/>
  <c r="E11742" i="1"/>
  <c r="F11741" i="1"/>
  <c r="E11741" i="1"/>
  <c r="F11740" i="1"/>
  <c r="E11740" i="1"/>
  <c r="F11739" i="1"/>
  <c r="E11739" i="1"/>
  <c r="F11738" i="1"/>
  <c r="E11738" i="1"/>
  <c r="F11737" i="1"/>
  <c r="E11737" i="1"/>
  <c r="F11736" i="1"/>
  <c r="E11736" i="1"/>
  <c r="F11735" i="1"/>
  <c r="E11735" i="1"/>
  <c r="F11734" i="1"/>
  <c r="E11734" i="1"/>
  <c r="F11733" i="1"/>
  <c r="E11733" i="1"/>
  <c r="F11732" i="1"/>
  <c r="E11732" i="1"/>
  <c r="F11731" i="1"/>
  <c r="E11731" i="1"/>
  <c r="F11730" i="1"/>
  <c r="E11730" i="1"/>
  <c r="F11729" i="1"/>
  <c r="E11729" i="1"/>
  <c r="F11728" i="1"/>
  <c r="E11728" i="1"/>
  <c r="F11727" i="1"/>
  <c r="E11727" i="1"/>
  <c r="F11726" i="1"/>
  <c r="E11726" i="1"/>
  <c r="F11725" i="1"/>
  <c r="E11725" i="1"/>
  <c r="F11724" i="1"/>
  <c r="E11724" i="1"/>
  <c r="F11723" i="1"/>
  <c r="E11723" i="1"/>
  <c r="F11722" i="1"/>
  <c r="E11722" i="1"/>
  <c r="F11721" i="1"/>
  <c r="E11721" i="1"/>
  <c r="F11720" i="1"/>
  <c r="E11720" i="1"/>
  <c r="F11719" i="1"/>
  <c r="E11719" i="1"/>
  <c r="F11718" i="1"/>
  <c r="E11718" i="1"/>
  <c r="F11717" i="1"/>
  <c r="E11717" i="1"/>
  <c r="F11716" i="1"/>
  <c r="E11716" i="1"/>
  <c r="F11715" i="1"/>
  <c r="E11715" i="1"/>
  <c r="F11714" i="1"/>
  <c r="E11714" i="1"/>
  <c r="F11713" i="1"/>
  <c r="E11713" i="1"/>
  <c r="F11712" i="1"/>
  <c r="E11712" i="1"/>
  <c r="F11711" i="1"/>
  <c r="E11711" i="1"/>
  <c r="F11710" i="1"/>
  <c r="E11710" i="1"/>
  <c r="F11709" i="1"/>
  <c r="E11709" i="1"/>
  <c r="F11708" i="1"/>
  <c r="E11708" i="1"/>
  <c r="F11707" i="1"/>
  <c r="E11707" i="1"/>
  <c r="F11706" i="1"/>
  <c r="E11706" i="1"/>
  <c r="F11705" i="1"/>
  <c r="E11705" i="1"/>
  <c r="F11704" i="1"/>
  <c r="E11704" i="1"/>
  <c r="F11703" i="1"/>
  <c r="E11703" i="1"/>
  <c r="F11702" i="1"/>
  <c r="E11702" i="1"/>
  <c r="F11701" i="1"/>
  <c r="E11701" i="1"/>
  <c r="F11700" i="1"/>
  <c r="E11700" i="1"/>
  <c r="F11699" i="1"/>
  <c r="E11699" i="1"/>
  <c r="F11698" i="1"/>
  <c r="E11698" i="1"/>
  <c r="F11697" i="1"/>
  <c r="E11697" i="1"/>
  <c r="F11696" i="1"/>
  <c r="E11696" i="1"/>
  <c r="F11695" i="1"/>
  <c r="E11695" i="1"/>
  <c r="F11694" i="1"/>
  <c r="E11694" i="1"/>
  <c r="F11693" i="1"/>
  <c r="E11693" i="1"/>
  <c r="F11692" i="1"/>
  <c r="E11692" i="1"/>
  <c r="F11691" i="1"/>
  <c r="E11691" i="1"/>
  <c r="F11690" i="1"/>
  <c r="E11690" i="1"/>
  <c r="F11689" i="1"/>
  <c r="E11689" i="1"/>
  <c r="F11688" i="1"/>
  <c r="E11688" i="1"/>
  <c r="F11687" i="1"/>
  <c r="E11687" i="1"/>
  <c r="F11686" i="1"/>
  <c r="E11686" i="1"/>
  <c r="F11685" i="1"/>
  <c r="E11685" i="1"/>
  <c r="F11684" i="1"/>
  <c r="E11684" i="1"/>
  <c r="F11683" i="1"/>
  <c r="E11683" i="1"/>
  <c r="F11682" i="1"/>
  <c r="E11682" i="1"/>
  <c r="F11681" i="1"/>
  <c r="E11681" i="1"/>
  <c r="F11680" i="1"/>
  <c r="E11680" i="1"/>
  <c r="F11679" i="1"/>
  <c r="E11679" i="1"/>
  <c r="F11678" i="1"/>
  <c r="E11678" i="1"/>
  <c r="F11677" i="1"/>
  <c r="E11677" i="1"/>
  <c r="F11676" i="1"/>
  <c r="E11676" i="1"/>
  <c r="F11675" i="1"/>
  <c r="E11675" i="1"/>
  <c r="F11674" i="1"/>
  <c r="E11674" i="1"/>
  <c r="F11673" i="1"/>
  <c r="E11673" i="1"/>
  <c r="F11672" i="1"/>
  <c r="E11672" i="1"/>
  <c r="F11671" i="1"/>
  <c r="E11671" i="1"/>
  <c r="F11670" i="1"/>
  <c r="E11670" i="1"/>
  <c r="F11669" i="1"/>
  <c r="E11669" i="1"/>
  <c r="F11668" i="1"/>
  <c r="E11668" i="1"/>
  <c r="F11667" i="1"/>
  <c r="E11667" i="1"/>
  <c r="F11666" i="1"/>
  <c r="E11666" i="1"/>
  <c r="F11665" i="1"/>
  <c r="E11665" i="1"/>
  <c r="F11664" i="1"/>
  <c r="E11664" i="1"/>
  <c r="F11663" i="1"/>
  <c r="E11663" i="1"/>
  <c r="F11662" i="1"/>
  <c r="E11662" i="1"/>
  <c r="F11661" i="1"/>
  <c r="E11661" i="1"/>
  <c r="F11660" i="1"/>
  <c r="E11660" i="1"/>
  <c r="F11659" i="1"/>
  <c r="E11659" i="1"/>
  <c r="F11658" i="1"/>
  <c r="E11658" i="1"/>
  <c r="F11657" i="1"/>
  <c r="E11657" i="1"/>
  <c r="F11656" i="1"/>
  <c r="E11656" i="1"/>
  <c r="F11655" i="1"/>
  <c r="E11655" i="1"/>
  <c r="F11654" i="1"/>
  <c r="E11654" i="1"/>
  <c r="F11653" i="1"/>
  <c r="E11653" i="1"/>
  <c r="F11652" i="1"/>
  <c r="E11652" i="1"/>
  <c r="F11651" i="1"/>
  <c r="E11651" i="1"/>
  <c r="F11650" i="1"/>
  <c r="E11650" i="1"/>
  <c r="F11649" i="1"/>
  <c r="E11649" i="1"/>
  <c r="F11648" i="1"/>
  <c r="E11648" i="1"/>
  <c r="F11647" i="1"/>
  <c r="E11647" i="1"/>
  <c r="F11646" i="1"/>
  <c r="E11646" i="1"/>
  <c r="F11645" i="1"/>
  <c r="E11645" i="1"/>
  <c r="F11644" i="1"/>
  <c r="E11644" i="1"/>
  <c r="F11643" i="1"/>
  <c r="E11643" i="1"/>
  <c r="F11642" i="1"/>
  <c r="E11642" i="1"/>
  <c r="F11641" i="1"/>
  <c r="E11641" i="1"/>
  <c r="F11640" i="1"/>
  <c r="E11640" i="1"/>
  <c r="F11639" i="1"/>
  <c r="E11639" i="1"/>
  <c r="F11638" i="1"/>
  <c r="E11638" i="1"/>
  <c r="F11637" i="1"/>
  <c r="E11637" i="1"/>
  <c r="F11636" i="1"/>
  <c r="E11636" i="1"/>
  <c r="F11635" i="1"/>
  <c r="E11635" i="1"/>
  <c r="F11634" i="1"/>
  <c r="E11634" i="1"/>
  <c r="F11633" i="1"/>
  <c r="E11633" i="1"/>
  <c r="F11632" i="1"/>
  <c r="E11632" i="1"/>
  <c r="F11631" i="1"/>
  <c r="E11631" i="1"/>
  <c r="F11630" i="1"/>
  <c r="E11630" i="1"/>
  <c r="F11629" i="1"/>
  <c r="E11629" i="1"/>
  <c r="F11628" i="1"/>
  <c r="E11628" i="1"/>
  <c r="F11627" i="1"/>
  <c r="E11627" i="1"/>
  <c r="F11626" i="1"/>
  <c r="E11626" i="1"/>
  <c r="F11625" i="1"/>
  <c r="E11625" i="1"/>
  <c r="F11624" i="1"/>
  <c r="E11624" i="1"/>
  <c r="F11623" i="1"/>
  <c r="E11623" i="1"/>
  <c r="F11622" i="1"/>
  <c r="E11622" i="1"/>
  <c r="F11621" i="1"/>
  <c r="E11621" i="1"/>
  <c r="F11620" i="1"/>
  <c r="E11620" i="1"/>
  <c r="F11619" i="1"/>
  <c r="E11619" i="1"/>
  <c r="F11618" i="1"/>
  <c r="E11618" i="1"/>
  <c r="F11617" i="1"/>
  <c r="E11617" i="1"/>
  <c r="F11616" i="1"/>
  <c r="E11616" i="1"/>
  <c r="F11615" i="1"/>
  <c r="E11615" i="1"/>
  <c r="F11614" i="1"/>
  <c r="E11614" i="1"/>
  <c r="F11613" i="1"/>
  <c r="E11613" i="1"/>
  <c r="F11612" i="1"/>
  <c r="E11612" i="1"/>
  <c r="F11611" i="1"/>
  <c r="E11611" i="1"/>
  <c r="F11610" i="1"/>
  <c r="E11610" i="1"/>
  <c r="F11609" i="1"/>
  <c r="E11609" i="1"/>
  <c r="F11608" i="1"/>
  <c r="E11608" i="1"/>
  <c r="F11607" i="1"/>
  <c r="E11607" i="1"/>
  <c r="F11606" i="1"/>
  <c r="E11606" i="1"/>
  <c r="F11605" i="1"/>
  <c r="E11605" i="1"/>
  <c r="F11604" i="1"/>
  <c r="E11604" i="1"/>
  <c r="F11603" i="1"/>
  <c r="E11603" i="1"/>
  <c r="F11602" i="1"/>
  <c r="E11602" i="1"/>
  <c r="F11601" i="1"/>
  <c r="E11601" i="1"/>
  <c r="F11600" i="1"/>
  <c r="E11600" i="1"/>
  <c r="F11599" i="1"/>
  <c r="E11599" i="1"/>
  <c r="F11598" i="1"/>
  <c r="E11598" i="1"/>
  <c r="F11597" i="1"/>
  <c r="E11597" i="1"/>
  <c r="F11596" i="1"/>
  <c r="E11596" i="1"/>
  <c r="F11595" i="1"/>
  <c r="E11595" i="1"/>
  <c r="F11594" i="1"/>
  <c r="E11594" i="1"/>
  <c r="F11593" i="1"/>
  <c r="E11593" i="1"/>
  <c r="F11592" i="1"/>
  <c r="E11592" i="1"/>
  <c r="F11591" i="1"/>
  <c r="E11591" i="1"/>
  <c r="F11590" i="1"/>
  <c r="E11590" i="1"/>
  <c r="F11589" i="1"/>
  <c r="E11589" i="1"/>
  <c r="F11588" i="1"/>
  <c r="E11588" i="1"/>
  <c r="F11587" i="1"/>
  <c r="E11587" i="1"/>
  <c r="F11586" i="1"/>
  <c r="E11586" i="1"/>
  <c r="F11585" i="1"/>
  <c r="E11585" i="1"/>
  <c r="F11584" i="1"/>
  <c r="E11584" i="1"/>
  <c r="F11583" i="1"/>
  <c r="E11583" i="1"/>
  <c r="F11582" i="1"/>
  <c r="E11582" i="1"/>
  <c r="F11581" i="1"/>
  <c r="E11581" i="1"/>
  <c r="F11580" i="1"/>
  <c r="E11580" i="1"/>
  <c r="F11579" i="1"/>
  <c r="E11579" i="1"/>
  <c r="F11578" i="1"/>
  <c r="E11578" i="1"/>
  <c r="F11577" i="1"/>
  <c r="E11577" i="1"/>
  <c r="F11576" i="1"/>
  <c r="E11576" i="1"/>
  <c r="F11575" i="1"/>
  <c r="E11575" i="1"/>
  <c r="F11574" i="1"/>
  <c r="E11574" i="1"/>
  <c r="F11573" i="1"/>
  <c r="E11573" i="1"/>
  <c r="F11572" i="1"/>
  <c r="E11572" i="1"/>
  <c r="F11571" i="1"/>
  <c r="E11571" i="1"/>
  <c r="F11570" i="1"/>
  <c r="E11570" i="1"/>
  <c r="F11569" i="1"/>
  <c r="E11569" i="1"/>
  <c r="F11568" i="1"/>
  <c r="E11568" i="1"/>
  <c r="F11567" i="1"/>
  <c r="E11567" i="1"/>
  <c r="F11566" i="1"/>
  <c r="E11566" i="1"/>
  <c r="F11565" i="1"/>
  <c r="E11565" i="1"/>
  <c r="F11564" i="1"/>
  <c r="E11564" i="1"/>
  <c r="F11563" i="1"/>
  <c r="E11563" i="1"/>
  <c r="F11562" i="1"/>
  <c r="E11562" i="1"/>
  <c r="F11561" i="1"/>
  <c r="E11561" i="1"/>
  <c r="F11560" i="1"/>
  <c r="E11560" i="1"/>
  <c r="F11559" i="1"/>
  <c r="E11559" i="1"/>
  <c r="F11558" i="1"/>
  <c r="E11558" i="1"/>
  <c r="F11557" i="1"/>
  <c r="E11557" i="1"/>
  <c r="F11556" i="1"/>
  <c r="E11556" i="1"/>
  <c r="F11555" i="1"/>
  <c r="E11555" i="1"/>
  <c r="F11554" i="1"/>
  <c r="E11554" i="1"/>
  <c r="F11553" i="1"/>
  <c r="E11553" i="1"/>
  <c r="F11552" i="1"/>
  <c r="E11552" i="1"/>
  <c r="F11551" i="1"/>
  <c r="E11551" i="1"/>
  <c r="F11550" i="1"/>
  <c r="E11550" i="1"/>
  <c r="F11549" i="1"/>
  <c r="E11549" i="1"/>
  <c r="F11548" i="1"/>
  <c r="E11548" i="1"/>
  <c r="F11547" i="1"/>
  <c r="E11547" i="1"/>
  <c r="F11546" i="1"/>
  <c r="E11546" i="1"/>
  <c r="F11545" i="1"/>
  <c r="E11545" i="1"/>
  <c r="F11544" i="1"/>
  <c r="E11544" i="1"/>
  <c r="F11543" i="1"/>
  <c r="E11543" i="1"/>
  <c r="F11542" i="1"/>
  <c r="E11542" i="1"/>
  <c r="F11541" i="1"/>
  <c r="E11541" i="1"/>
  <c r="F11540" i="1"/>
  <c r="E11540" i="1"/>
  <c r="F11539" i="1"/>
  <c r="E11539" i="1"/>
  <c r="F11538" i="1"/>
  <c r="E11538" i="1"/>
  <c r="F11537" i="1"/>
  <c r="E11537" i="1"/>
  <c r="F11536" i="1"/>
  <c r="E11536" i="1"/>
  <c r="F11535" i="1"/>
  <c r="E11535" i="1"/>
  <c r="F11534" i="1"/>
  <c r="E11534" i="1"/>
  <c r="F11533" i="1"/>
  <c r="E11533" i="1"/>
  <c r="F11532" i="1"/>
  <c r="E11532" i="1"/>
  <c r="F11531" i="1"/>
  <c r="E11531" i="1"/>
  <c r="F11530" i="1"/>
  <c r="E11530" i="1"/>
  <c r="F11529" i="1"/>
  <c r="E11529" i="1"/>
  <c r="F11528" i="1"/>
  <c r="E11528" i="1"/>
  <c r="F11527" i="1"/>
  <c r="E11527" i="1"/>
  <c r="F11526" i="1"/>
  <c r="E11526" i="1"/>
  <c r="F11525" i="1"/>
  <c r="E11525" i="1"/>
  <c r="F11524" i="1"/>
  <c r="E11524" i="1"/>
  <c r="F11523" i="1"/>
  <c r="E11523" i="1"/>
  <c r="F11522" i="1"/>
  <c r="E11522" i="1"/>
  <c r="F11521" i="1"/>
  <c r="E11521" i="1"/>
  <c r="F11520" i="1"/>
  <c r="E11520" i="1"/>
  <c r="F11519" i="1"/>
  <c r="E11519" i="1"/>
  <c r="F11518" i="1"/>
  <c r="E11518" i="1"/>
  <c r="F11517" i="1"/>
  <c r="E11517" i="1"/>
  <c r="F11516" i="1"/>
  <c r="E11516" i="1"/>
  <c r="F11515" i="1"/>
  <c r="E11515" i="1"/>
  <c r="F11514" i="1"/>
  <c r="E11514" i="1"/>
  <c r="F11513" i="1"/>
  <c r="E11513" i="1"/>
  <c r="F11512" i="1"/>
  <c r="E11512" i="1"/>
  <c r="F11511" i="1"/>
  <c r="E11511" i="1"/>
  <c r="F11510" i="1"/>
  <c r="E11510" i="1"/>
  <c r="F11509" i="1"/>
  <c r="E11509" i="1"/>
  <c r="F11508" i="1"/>
  <c r="E11508" i="1"/>
  <c r="F11507" i="1"/>
  <c r="E11507" i="1"/>
  <c r="F11506" i="1"/>
  <c r="E11506" i="1"/>
  <c r="F11505" i="1"/>
  <c r="E11505" i="1"/>
  <c r="F11504" i="1"/>
  <c r="E11504" i="1"/>
  <c r="F11503" i="1"/>
  <c r="E11503" i="1"/>
  <c r="F11502" i="1"/>
  <c r="E11502" i="1"/>
  <c r="F11501" i="1"/>
  <c r="E11501" i="1"/>
  <c r="F11500" i="1"/>
  <c r="E11500" i="1"/>
  <c r="F11499" i="1"/>
  <c r="E11499" i="1"/>
  <c r="F11498" i="1"/>
  <c r="E11498" i="1"/>
  <c r="F11497" i="1"/>
  <c r="E11497" i="1"/>
  <c r="F11496" i="1"/>
  <c r="E11496" i="1"/>
  <c r="F11495" i="1"/>
  <c r="E11495" i="1"/>
  <c r="F11494" i="1"/>
  <c r="E11494" i="1"/>
  <c r="F11493" i="1"/>
  <c r="E11493" i="1"/>
  <c r="F11492" i="1"/>
  <c r="E11492" i="1"/>
  <c r="F11491" i="1"/>
  <c r="E11491" i="1"/>
  <c r="F11490" i="1"/>
  <c r="E11490" i="1"/>
  <c r="F11489" i="1"/>
  <c r="E11489" i="1"/>
  <c r="F11488" i="1"/>
  <c r="E11488" i="1"/>
  <c r="F11487" i="1"/>
  <c r="E11487" i="1"/>
  <c r="F11486" i="1"/>
  <c r="E11486" i="1"/>
  <c r="F11485" i="1"/>
  <c r="E11485" i="1"/>
  <c r="F11484" i="1"/>
  <c r="E11484" i="1"/>
  <c r="F11483" i="1"/>
  <c r="E11483" i="1"/>
  <c r="F11482" i="1"/>
  <c r="E11482" i="1"/>
  <c r="F11481" i="1"/>
  <c r="E11481" i="1"/>
  <c r="F11480" i="1"/>
  <c r="E11480" i="1"/>
  <c r="F11479" i="1"/>
  <c r="E11479" i="1"/>
  <c r="F11478" i="1"/>
  <c r="E11478" i="1"/>
  <c r="F11477" i="1"/>
  <c r="E11477" i="1"/>
  <c r="F11476" i="1"/>
  <c r="E11476" i="1"/>
  <c r="F11475" i="1"/>
  <c r="E11475" i="1"/>
  <c r="F11474" i="1"/>
  <c r="E11474" i="1"/>
  <c r="F11473" i="1"/>
  <c r="E11473" i="1"/>
  <c r="F11472" i="1"/>
  <c r="E11472" i="1"/>
  <c r="F11471" i="1"/>
  <c r="E11471" i="1"/>
  <c r="F11470" i="1"/>
  <c r="E11470" i="1"/>
  <c r="F11469" i="1"/>
  <c r="E11469" i="1"/>
  <c r="F11468" i="1"/>
  <c r="E11468" i="1"/>
  <c r="F11467" i="1"/>
  <c r="E11467" i="1"/>
  <c r="F11466" i="1"/>
  <c r="E11466" i="1"/>
  <c r="F11465" i="1"/>
  <c r="E11465" i="1"/>
  <c r="F11464" i="1"/>
  <c r="E11464" i="1"/>
  <c r="F11463" i="1"/>
  <c r="E11463" i="1"/>
  <c r="F11462" i="1"/>
  <c r="E11462" i="1"/>
  <c r="F11461" i="1"/>
  <c r="E11461" i="1"/>
  <c r="F11460" i="1"/>
  <c r="E11460" i="1"/>
  <c r="F11459" i="1"/>
  <c r="E11459" i="1"/>
  <c r="F11458" i="1"/>
  <c r="E11458" i="1"/>
  <c r="F11457" i="1"/>
  <c r="E11457" i="1"/>
  <c r="F11456" i="1"/>
  <c r="E11456" i="1"/>
  <c r="F11455" i="1"/>
  <c r="E11455" i="1"/>
  <c r="F11454" i="1"/>
  <c r="E11454" i="1"/>
  <c r="F11453" i="1"/>
  <c r="E11453" i="1"/>
  <c r="F11452" i="1"/>
  <c r="E11452" i="1"/>
  <c r="F11451" i="1"/>
  <c r="E11451" i="1"/>
  <c r="F11450" i="1"/>
  <c r="E11450" i="1"/>
  <c r="F11449" i="1"/>
  <c r="E11449" i="1"/>
  <c r="F11448" i="1"/>
  <c r="E11448" i="1"/>
  <c r="F11447" i="1"/>
  <c r="E11447" i="1"/>
  <c r="F11446" i="1"/>
  <c r="E11446" i="1"/>
  <c r="F11445" i="1"/>
  <c r="E11445" i="1"/>
  <c r="F11444" i="1"/>
  <c r="E11444" i="1"/>
  <c r="F11443" i="1"/>
  <c r="E11443" i="1"/>
  <c r="F11442" i="1"/>
  <c r="E11442" i="1"/>
  <c r="F11441" i="1"/>
  <c r="E11441" i="1"/>
  <c r="F11440" i="1"/>
  <c r="E11440" i="1"/>
  <c r="F11439" i="1"/>
  <c r="E11439" i="1"/>
  <c r="F11438" i="1"/>
  <c r="E11438" i="1"/>
  <c r="F11437" i="1"/>
  <c r="E11437" i="1"/>
  <c r="F11436" i="1"/>
  <c r="E11436" i="1"/>
  <c r="F11435" i="1"/>
  <c r="E11435" i="1"/>
  <c r="F11434" i="1"/>
  <c r="E11434" i="1"/>
  <c r="F11433" i="1"/>
  <c r="E11433" i="1"/>
  <c r="F11432" i="1"/>
  <c r="E11432" i="1"/>
  <c r="F11431" i="1"/>
  <c r="E11431" i="1"/>
  <c r="F11430" i="1"/>
  <c r="E11430" i="1"/>
  <c r="F11429" i="1"/>
  <c r="E11429" i="1"/>
  <c r="F11428" i="1"/>
  <c r="E11428" i="1"/>
  <c r="F11427" i="1"/>
  <c r="E11427" i="1"/>
  <c r="F11426" i="1"/>
  <c r="E11426" i="1"/>
  <c r="F11425" i="1"/>
  <c r="E11425" i="1"/>
  <c r="F11424" i="1"/>
  <c r="E11424" i="1"/>
  <c r="F11423" i="1"/>
  <c r="E11423" i="1"/>
  <c r="F11422" i="1"/>
  <c r="E11422" i="1"/>
  <c r="F11421" i="1"/>
  <c r="E11421" i="1"/>
  <c r="F11420" i="1"/>
  <c r="E11420" i="1"/>
  <c r="F11419" i="1"/>
  <c r="E11419" i="1"/>
  <c r="F11418" i="1"/>
  <c r="E11418" i="1"/>
  <c r="F11417" i="1"/>
  <c r="E11417" i="1"/>
  <c r="F11416" i="1"/>
  <c r="E11416" i="1"/>
  <c r="F11415" i="1"/>
  <c r="E11415" i="1"/>
  <c r="F11414" i="1"/>
  <c r="E11414" i="1"/>
  <c r="F11413" i="1"/>
  <c r="E11413" i="1"/>
  <c r="F11412" i="1"/>
  <c r="E11412" i="1"/>
  <c r="F11411" i="1"/>
  <c r="E11411" i="1"/>
  <c r="F11410" i="1"/>
  <c r="E11410" i="1"/>
  <c r="F11409" i="1"/>
  <c r="E11409" i="1"/>
  <c r="F11408" i="1"/>
  <c r="E11408" i="1"/>
  <c r="F11407" i="1"/>
  <c r="E11407" i="1"/>
  <c r="F11406" i="1"/>
  <c r="E11406" i="1"/>
  <c r="F11405" i="1"/>
  <c r="E11405" i="1"/>
  <c r="F11404" i="1"/>
  <c r="E11404" i="1"/>
  <c r="F11403" i="1"/>
  <c r="E11403" i="1"/>
  <c r="F11402" i="1"/>
  <c r="E11402" i="1"/>
  <c r="F11401" i="1"/>
  <c r="E11401" i="1"/>
  <c r="F11400" i="1"/>
  <c r="E11400" i="1"/>
  <c r="F11399" i="1"/>
  <c r="E11399" i="1"/>
  <c r="F11398" i="1"/>
  <c r="E11398" i="1"/>
  <c r="F11397" i="1"/>
  <c r="E11397" i="1"/>
  <c r="F11396" i="1"/>
  <c r="E11396" i="1"/>
  <c r="F11395" i="1"/>
  <c r="E11395" i="1"/>
  <c r="F11394" i="1"/>
  <c r="E11394" i="1"/>
  <c r="F11393" i="1"/>
  <c r="E11393" i="1"/>
  <c r="F11392" i="1"/>
  <c r="E11392" i="1"/>
  <c r="F11391" i="1"/>
  <c r="E11391" i="1"/>
  <c r="F11390" i="1"/>
  <c r="E11390" i="1"/>
  <c r="F11389" i="1"/>
  <c r="E11389" i="1"/>
  <c r="F11388" i="1"/>
  <c r="E11388" i="1"/>
  <c r="F11387" i="1"/>
  <c r="E11387" i="1"/>
  <c r="F11386" i="1"/>
  <c r="E11386" i="1"/>
  <c r="F11385" i="1"/>
  <c r="E11385" i="1"/>
  <c r="F11384" i="1"/>
  <c r="E11384" i="1"/>
  <c r="F11383" i="1"/>
  <c r="E11383" i="1"/>
  <c r="F11382" i="1"/>
  <c r="E11382" i="1"/>
  <c r="F11381" i="1"/>
  <c r="E11381" i="1"/>
  <c r="F11380" i="1"/>
  <c r="E11380" i="1"/>
  <c r="F11379" i="1"/>
  <c r="E11379" i="1"/>
  <c r="F11378" i="1"/>
  <c r="E11378" i="1"/>
  <c r="F11377" i="1"/>
  <c r="E11377" i="1"/>
  <c r="F11376" i="1"/>
  <c r="E11376" i="1"/>
  <c r="F11375" i="1"/>
  <c r="E11375" i="1"/>
  <c r="F11374" i="1"/>
  <c r="E11374" i="1"/>
  <c r="F11373" i="1"/>
  <c r="E11373" i="1"/>
  <c r="F11372" i="1"/>
  <c r="E11372" i="1"/>
  <c r="F11371" i="1"/>
  <c r="E11371" i="1"/>
  <c r="F11370" i="1"/>
  <c r="E11370" i="1"/>
  <c r="F11369" i="1"/>
  <c r="E11369" i="1"/>
  <c r="F11368" i="1"/>
  <c r="E11368" i="1"/>
  <c r="F11367" i="1"/>
  <c r="E11367" i="1"/>
  <c r="F11366" i="1"/>
  <c r="E11366" i="1"/>
  <c r="F11365" i="1"/>
  <c r="E11365" i="1"/>
  <c r="F11364" i="1"/>
  <c r="E11364" i="1"/>
  <c r="F11363" i="1"/>
  <c r="E11363" i="1"/>
  <c r="F11362" i="1"/>
  <c r="E11362" i="1"/>
  <c r="F11361" i="1"/>
  <c r="E11361" i="1"/>
  <c r="F11360" i="1"/>
  <c r="E11360" i="1"/>
  <c r="F11359" i="1"/>
  <c r="E11359" i="1"/>
  <c r="F11358" i="1"/>
  <c r="E11358" i="1"/>
  <c r="F11357" i="1"/>
  <c r="E11357" i="1"/>
  <c r="F11356" i="1"/>
  <c r="E11356" i="1"/>
  <c r="F11355" i="1"/>
  <c r="E11355" i="1"/>
  <c r="F11354" i="1"/>
  <c r="E11354" i="1"/>
  <c r="F11353" i="1"/>
  <c r="E11353" i="1"/>
  <c r="F11352" i="1"/>
  <c r="E11352" i="1"/>
  <c r="F11351" i="1"/>
  <c r="E11351" i="1"/>
  <c r="F11350" i="1"/>
  <c r="E11350" i="1"/>
  <c r="F11349" i="1"/>
  <c r="E11349" i="1"/>
  <c r="F11348" i="1"/>
  <c r="E11348" i="1"/>
  <c r="F11347" i="1"/>
  <c r="E11347" i="1"/>
  <c r="F11346" i="1"/>
  <c r="E11346" i="1"/>
  <c r="F11345" i="1"/>
  <c r="E11345" i="1"/>
  <c r="F11344" i="1"/>
  <c r="E11344" i="1"/>
  <c r="F11343" i="1"/>
  <c r="E11343" i="1"/>
  <c r="F11342" i="1"/>
  <c r="E11342" i="1"/>
  <c r="F11341" i="1"/>
  <c r="E11341" i="1"/>
  <c r="F11340" i="1"/>
  <c r="E11340" i="1"/>
  <c r="F11339" i="1"/>
  <c r="E11339" i="1"/>
  <c r="F11338" i="1"/>
  <c r="E11338" i="1"/>
  <c r="F11337" i="1"/>
  <c r="E11337" i="1"/>
  <c r="F11336" i="1"/>
  <c r="E11336" i="1"/>
  <c r="F11335" i="1"/>
  <c r="E11335" i="1"/>
  <c r="F11334" i="1"/>
  <c r="E11334" i="1"/>
  <c r="F11333" i="1"/>
  <c r="E11333" i="1"/>
  <c r="F11332" i="1"/>
  <c r="E11332" i="1"/>
  <c r="F11331" i="1"/>
  <c r="E11331" i="1"/>
  <c r="F11330" i="1"/>
  <c r="E11330" i="1"/>
  <c r="F11329" i="1"/>
  <c r="E11329" i="1"/>
  <c r="F11328" i="1"/>
  <c r="E11328" i="1"/>
  <c r="F11327" i="1"/>
  <c r="E11327" i="1"/>
  <c r="F11326" i="1"/>
  <c r="E11326" i="1"/>
  <c r="F11325" i="1"/>
  <c r="E11325" i="1"/>
  <c r="F11324" i="1"/>
  <c r="E11324" i="1"/>
  <c r="F11323" i="1"/>
  <c r="E11323" i="1"/>
  <c r="F11322" i="1"/>
  <c r="E11322" i="1"/>
  <c r="F11321" i="1"/>
  <c r="E11321" i="1"/>
  <c r="F11320" i="1"/>
  <c r="E11320" i="1"/>
  <c r="F11319" i="1"/>
  <c r="E11319" i="1"/>
  <c r="F11318" i="1"/>
  <c r="E11318" i="1"/>
  <c r="F11317" i="1"/>
  <c r="E11317" i="1"/>
  <c r="F11316" i="1"/>
  <c r="E11316" i="1"/>
  <c r="F11315" i="1"/>
  <c r="E11315" i="1"/>
  <c r="F11314" i="1"/>
  <c r="E11314" i="1"/>
  <c r="F11313" i="1"/>
  <c r="E11313" i="1"/>
  <c r="F11312" i="1"/>
  <c r="E11312" i="1"/>
  <c r="F11311" i="1"/>
  <c r="E11311" i="1"/>
  <c r="F11310" i="1"/>
  <c r="E11310" i="1"/>
  <c r="F11309" i="1"/>
  <c r="E11309" i="1"/>
  <c r="F11308" i="1"/>
  <c r="E11308" i="1"/>
  <c r="F11307" i="1"/>
  <c r="E11307" i="1"/>
  <c r="F11306" i="1"/>
  <c r="E11306" i="1"/>
  <c r="F11305" i="1"/>
  <c r="E11305" i="1"/>
  <c r="F11304" i="1"/>
  <c r="E11304" i="1"/>
  <c r="F11303" i="1"/>
  <c r="E11303" i="1"/>
  <c r="F11302" i="1"/>
  <c r="E11302" i="1"/>
  <c r="F11301" i="1"/>
  <c r="E11301" i="1"/>
  <c r="F11300" i="1"/>
  <c r="E11300" i="1"/>
  <c r="F11299" i="1"/>
  <c r="E11299" i="1"/>
  <c r="F11298" i="1"/>
  <c r="E11298" i="1"/>
  <c r="F11297" i="1"/>
  <c r="E11297" i="1"/>
  <c r="F11296" i="1"/>
  <c r="E11296" i="1"/>
  <c r="F11295" i="1"/>
  <c r="E11295" i="1"/>
  <c r="F11294" i="1"/>
  <c r="E11294" i="1"/>
  <c r="F11293" i="1"/>
  <c r="E11293" i="1"/>
  <c r="F11292" i="1"/>
  <c r="E11292" i="1"/>
  <c r="F11291" i="1"/>
  <c r="E11291" i="1"/>
  <c r="F11290" i="1"/>
  <c r="E11290" i="1"/>
  <c r="F11289" i="1"/>
  <c r="E11289" i="1"/>
  <c r="F11288" i="1"/>
  <c r="E11288" i="1"/>
  <c r="F11287" i="1"/>
  <c r="E11287" i="1"/>
  <c r="F11286" i="1"/>
  <c r="E11286" i="1"/>
  <c r="F11285" i="1"/>
  <c r="E11285" i="1"/>
  <c r="F11284" i="1"/>
  <c r="E11284" i="1"/>
  <c r="F11283" i="1"/>
  <c r="E11283" i="1"/>
  <c r="F11282" i="1"/>
  <c r="E11282" i="1"/>
  <c r="F11281" i="1"/>
  <c r="E11281" i="1"/>
  <c r="F11280" i="1"/>
  <c r="E11280" i="1"/>
  <c r="F11279" i="1"/>
  <c r="E11279" i="1"/>
  <c r="F11278" i="1"/>
  <c r="E11278" i="1"/>
  <c r="F11277" i="1"/>
  <c r="E11277" i="1"/>
  <c r="F11276" i="1"/>
  <c r="E11276" i="1"/>
  <c r="F11275" i="1"/>
  <c r="E11275" i="1"/>
  <c r="F11274" i="1"/>
  <c r="E11274" i="1"/>
  <c r="F11273" i="1"/>
  <c r="E11273" i="1"/>
  <c r="F11272" i="1"/>
  <c r="E11272" i="1"/>
  <c r="F11271" i="1"/>
  <c r="E11271" i="1"/>
  <c r="F11270" i="1"/>
  <c r="E11270" i="1"/>
  <c r="F11269" i="1"/>
  <c r="E11269" i="1"/>
  <c r="F11268" i="1"/>
  <c r="E11268" i="1"/>
  <c r="F11267" i="1"/>
  <c r="E11267" i="1"/>
  <c r="F11266" i="1"/>
  <c r="E11266" i="1"/>
  <c r="F11265" i="1"/>
  <c r="E11265" i="1"/>
  <c r="F11264" i="1"/>
  <c r="E11264" i="1"/>
  <c r="F11263" i="1"/>
  <c r="E11263" i="1"/>
  <c r="F11262" i="1"/>
  <c r="E11262" i="1"/>
  <c r="F11261" i="1"/>
  <c r="E11261" i="1"/>
  <c r="F11260" i="1"/>
  <c r="E11260" i="1"/>
  <c r="F11259" i="1"/>
  <c r="E11259" i="1"/>
  <c r="F11258" i="1"/>
  <c r="E11258" i="1"/>
  <c r="F11257" i="1"/>
  <c r="E11257" i="1"/>
  <c r="F11256" i="1"/>
  <c r="E11256" i="1"/>
  <c r="F11255" i="1"/>
  <c r="E11255" i="1"/>
  <c r="F11254" i="1"/>
  <c r="E11254" i="1"/>
  <c r="F11253" i="1"/>
  <c r="E11253" i="1"/>
  <c r="F11252" i="1"/>
  <c r="E11252" i="1"/>
  <c r="F11251" i="1"/>
  <c r="E11251" i="1"/>
  <c r="F11250" i="1"/>
  <c r="E11250" i="1"/>
  <c r="F11249" i="1"/>
  <c r="E11249" i="1"/>
  <c r="F11248" i="1"/>
  <c r="E11248" i="1"/>
  <c r="F11247" i="1"/>
  <c r="E11247" i="1"/>
  <c r="F11246" i="1"/>
  <c r="E11246" i="1"/>
  <c r="F11245" i="1"/>
  <c r="E11245" i="1"/>
  <c r="F11244" i="1"/>
  <c r="E11244" i="1"/>
  <c r="F11243" i="1"/>
  <c r="E11243" i="1"/>
  <c r="F11242" i="1"/>
  <c r="E11242" i="1"/>
  <c r="F11241" i="1"/>
  <c r="E11241" i="1"/>
  <c r="F11240" i="1"/>
  <c r="E11240" i="1"/>
  <c r="F11239" i="1"/>
  <c r="E11239" i="1"/>
  <c r="F11238" i="1"/>
  <c r="E11238" i="1"/>
  <c r="F11237" i="1"/>
  <c r="E11237" i="1"/>
  <c r="F11236" i="1"/>
  <c r="E11236" i="1"/>
  <c r="F11235" i="1"/>
  <c r="E11235" i="1"/>
  <c r="F11234" i="1"/>
  <c r="E11234" i="1"/>
  <c r="F11233" i="1"/>
  <c r="E11233" i="1"/>
  <c r="F11232" i="1"/>
  <c r="E11232" i="1"/>
  <c r="F11231" i="1"/>
  <c r="E11231" i="1"/>
  <c r="F11230" i="1"/>
  <c r="E11230" i="1"/>
  <c r="F11229" i="1"/>
  <c r="E11229" i="1"/>
  <c r="F11228" i="1"/>
  <c r="E11228" i="1"/>
  <c r="F11227" i="1"/>
  <c r="E11227" i="1"/>
  <c r="F11226" i="1"/>
  <c r="E11226" i="1"/>
  <c r="F11225" i="1"/>
  <c r="E11225" i="1"/>
  <c r="F11224" i="1"/>
  <c r="E11224" i="1"/>
  <c r="F11223" i="1"/>
  <c r="E11223" i="1"/>
  <c r="F11222" i="1"/>
  <c r="E11222" i="1"/>
  <c r="F11221" i="1"/>
  <c r="E11221" i="1"/>
  <c r="F11220" i="1"/>
  <c r="E11220" i="1"/>
  <c r="F11219" i="1"/>
  <c r="E11219" i="1"/>
  <c r="F11218" i="1"/>
  <c r="E11218" i="1"/>
  <c r="F11217" i="1"/>
  <c r="E11217" i="1"/>
  <c r="F11216" i="1"/>
  <c r="E11216" i="1"/>
  <c r="F11215" i="1"/>
  <c r="E11215" i="1"/>
  <c r="F11214" i="1"/>
  <c r="E11214" i="1"/>
  <c r="F11213" i="1"/>
  <c r="E11213" i="1"/>
  <c r="F11212" i="1"/>
  <c r="E11212" i="1"/>
  <c r="F11211" i="1"/>
  <c r="E11211" i="1"/>
  <c r="F11210" i="1"/>
  <c r="E11210" i="1"/>
  <c r="F11209" i="1"/>
  <c r="E11209" i="1"/>
  <c r="F11208" i="1"/>
  <c r="E11208" i="1"/>
  <c r="F11207" i="1"/>
  <c r="E11207" i="1"/>
  <c r="F11206" i="1"/>
  <c r="E11206" i="1"/>
  <c r="F11205" i="1"/>
  <c r="E11205" i="1"/>
  <c r="F11204" i="1"/>
  <c r="E11204" i="1"/>
  <c r="F11203" i="1"/>
  <c r="E11203" i="1"/>
  <c r="F11202" i="1"/>
  <c r="E11202" i="1"/>
  <c r="F11201" i="1"/>
  <c r="E11201" i="1"/>
  <c r="F11200" i="1"/>
  <c r="E11200" i="1"/>
  <c r="F11199" i="1"/>
  <c r="E11199" i="1"/>
  <c r="F11198" i="1"/>
  <c r="E11198" i="1"/>
  <c r="F11197" i="1"/>
  <c r="E11197" i="1"/>
  <c r="F11196" i="1"/>
  <c r="E11196" i="1"/>
  <c r="F11195" i="1"/>
  <c r="E11195" i="1"/>
  <c r="F11194" i="1"/>
  <c r="E11194" i="1"/>
  <c r="F11193" i="1"/>
  <c r="E11193" i="1"/>
  <c r="F11192" i="1"/>
  <c r="E11192" i="1"/>
  <c r="F11191" i="1"/>
  <c r="E11191" i="1"/>
  <c r="F11190" i="1"/>
  <c r="E11190" i="1"/>
  <c r="F11189" i="1"/>
  <c r="E11189" i="1"/>
  <c r="F11188" i="1"/>
  <c r="E11188" i="1"/>
  <c r="F11187" i="1"/>
  <c r="E11187" i="1"/>
  <c r="F11186" i="1"/>
  <c r="E11186" i="1"/>
  <c r="F11185" i="1"/>
  <c r="E11185" i="1"/>
  <c r="F11184" i="1"/>
  <c r="E11184" i="1"/>
  <c r="F11183" i="1"/>
  <c r="E11183" i="1"/>
  <c r="F11182" i="1"/>
  <c r="E11182" i="1"/>
  <c r="F11181" i="1"/>
  <c r="E11181" i="1"/>
  <c r="F11180" i="1"/>
  <c r="E11180" i="1"/>
  <c r="F11179" i="1"/>
  <c r="E11179" i="1"/>
  <c r="F11178" i="1"/>
  <c r="E11178" i="1"/>
  <c r="F11177" i="1"/>
  <c r="E11177" i="1"/>
  <c r="F11176" i="1"/>
  <c r="E11176" i="1"/>
  <c r="F11175" i="1"/>
  <c r="E11175" i="1"/>
  <c r="F11174" i="1"/>
  <c r="E11174" i="1"/>
  <c r="F11173" i="1"/>
  <c r="E11173" i="1"/>
  <c r="F11172" i="1"/>
  <c r="E11172" i="1"/>
  <c r="F11171" i="1"/>
  <c r="E11171" i="1"/>
  <c r="F11170" i="1"/>
  <c r="E11170" i="1"/>
  <c r="F11169" i="1"/>
  <c r="E11169" i="1"/>
  <c r="F11168" i="1"/>
  <c r="E11168" i="1"/>
  <c r="F11167" i="1"/>
  <c r="E11167" i="1"/>
  <c r="F11166" i="1"/>
  <c r="E11166" i="1"/>
  <c r="F11165" i="1"/>
  <c r="E11165" i="1"/>
  <c r="F11164" i="1"/>
  <c r="E11164" i="1"/>
  <c r="F11163" i="1"/>
  <c r="E11163" i="1"/>
  <c r="F11162" i="1"/>
  <c r="E11162" i="1"/>
  <c r="F11161" i="1"/>
  <c r="E11161" i="1"/>
  <c r="F11160" i="1"/>
  <c r="E11160" i="1"/>
  <c r="F11159" i="1"/>
  <c r="E11159" i="1"/>
  <c r="F11158" i="1"/>
  <c r="E11158" i="1"/>
  <c r="F11157" i="1"/>
  <c r="E11157" i="1"/>
  <c r="F11156" i="1"/>
  <c r="E11156" i="1"/>
  <c r="F11155" i="1"/>
  <c r="E11155" i="1"/>
  <c r="F11154" i="1"/>
  <c r="E11154" i="1"/>
  <c r="F11153" i="1"/>
  <c r="E11153" i="1"/>
  <c r="F11152" i="1"/>
  <c r="E11152" i="1"/>
  <c r="F11151" i="1"/>
  <c r="E11151" i="1"/>
  <c r="F11150" i="1"/>
  <c r="E11150" i="1"/>
  <c r="F11149" i="1"/>
  <c r="E11149" i="1"/>
  <c r="F11148" i="1"/>
  <c r="E11148" i="1"/>
  <c r="F11147" i="1"/>
  <c r="E11147" i="1"/>
  <c r="F11146" i="1"/>
  <c r="E11146" i="1"/>
  <c r="F11145" i="1"/>
  <c r="E11145" i="1"/>
  <c r="F11144" i="1"/>
  <c r="E11144" i="1"/>
  <c r="F11143" i="1"/>
  <c r="E11143" i="1"/>
  <c r="F11142" i="1"/>
  <c r="E11142" i="1"/>
  <c r="F11141" i="1"/>
  <c r="E11141" i="1"/>
  <c r="F11140" i="1"/>
  <c r="E11140" i="1"/>
  <c r="F11139" i="1"/>
  <c r="E11139" i="1"/>
  <c r="F11138" i="1"/>
  <c r="E11138" i="1"/>
  <c r="F11137" i="1"/>
  <c r="E11137" i="1"/>
  <c r="F11136" i="1"/>
  <c r="E11136" i="1"/>
  <c r="F11135" i="1"/>
  <c r="E11135" i="1"/>
  <c r="F11134" i="1"/>
  <c r="E11134" i="1"/>
  <c r="F11133" i="1"/>
  <c r="E11133" i="1"/>
  <c r="F11132" i="1"/>
  <c r="E11132" i="1"/>
  <c r="F11131" i="1"/>
  <c r="E11131" i="1"/>
  <c r="F11130" i="1"/>
  <c r="E11130" i="1"/>
  <c r="F11129" i="1"/>
  <c r="E11129" i="1"/>
  <c r="F11128" i="1"/>
  <c r="E11128" i="1"/>
  <c r="F11127" i="1"/>
  <c r="E11127" i="1"/>
  <c r="F11126" i="1"/>
  <c r="E11126" i="1"/>
  <c r="F11125" i="1"/>
  <c r="E11125" i="1"/>
  <c r="F11124" i="1"/>
  <c r="E11124" i="1"/>
  <c r="F11123" i="1"/>
  <c r="E11123" i="1"/>
  <c r="F11122" i="1"/>
  <c r="E11122" i="1"/>
  <c r="F11121" i="1"/>
  <c r="E11121" i="1"/>
  <c r="F11120" i="1"/>
  <c r="E11120" i="1"/>
  <c r="F11119" i="1"/>
  <c r="E11119" i="1"/>
  <c r="F11118" i="1"/>
  <c r="E11118" i="1"/>
  <c r="F11117" i="1"/>
  <c r="E11117" i="1"/>
  <c r="F11116" i="1"/>
  <c r="E11116" i="1"/>
  <c r="F11115" i="1"/>
  <c r="E11115" i="1"/>
  <c r="F11114" i="1"/>
  <c r="E11114" i="1"/>
  <c r="F11113" i="1"/>
  <c r="E11113" i="1"/>
  <c r="F11112" i="1"/>
  <c r="E11112" i="1"/>
  <c r="F11111" i="1"/>
  <c r="E11111" i="1"/>
  <c r="F11110" i="1"/>
  <c r="E11110" i="1"/>
  <c r="F11109" i="1"/>
  <c r="E11109" i="1"/>
  <c r="F11108" i="1"/>
  <c r="E11108" i="1"/>
  <c r="F11107" i="1"/>
  <c r="E11107" i="1"/>
  <c r="F11106" i="1"/>
  <c r="E11106" i="1"/>
  <c r="F11105" i="1"/>
  <c r="E11105" i="1"/>
  <c r="F11104" i="1"/>
  <c r="E11104" i="1"/>
  <c r="F11103" i="1"/>
  <c r="E11103" i="1"/>
  <c r="F11102" i="1"/>
  <c r="E11102" i="1"/>
  <c r="F11101" i="1"/>
  <c r="E11101" i="1"/>
  <c r="F11100" i="1"/>
  <c r="E11100" i="1"/>
  <c r="F11099" i="1"/>
  <c r="E11099" i="1"/>
  <c r="F11098" i="1"/>
  <c r="E11098" i="1"/>
  <c r="F11097" i="1"/>
  <c r="E11097" i="1"/>
  <c r="F11096" i="1"/>
  <c r="E11096" i="1"/>
  <c r="F11095" i="1"/>
  <c r="E11095" i="1"/>
  <c r="F11094" i="1"/>
  <c r="E11094" i="1"/>
  <c r="F11093" i="1"/>
  <c r="E11093" i="1"/>
  <c r="F11092" i="1"/>
  <c r="E11092" i="1"/>
  <c r="F11091" i="1"/>
  <c r="E11091" i="1"/>
  <c r="F11090" i="1"/>
  <c r="E11090" i="1"/>
  <c r="F11089" i="1"/>
  <c r="E11089" i="1"/>
  <c r="F11088" i="1"/>
  <c r="E11088" i="1"/>
  <c r="F11087" i="1"/>
  <c r="E11087" i="1"/>
  <c r="F11086" i="1"/>
  <c r="E11086" i="1"/>
  <c r="F11085" i="1"/>
  <c r="E11085" i="1"/>
  <c r="F11084" i="1"/>
  <c r="E11084" i="1"/>
  <c r="F11083" i="1"/>
  <c r="E11083" i="1"/>
  <c r="F11082" i="1"/>
  <c r="E11082" i="1"/>
  <c r="F11081" i="1"/>
  <c r="E11081" i="1"/>
  <c r="F11080" i="1"/>
  <c r="E11080" i="1"/>
  <c r="F11079" i="1"/>
  <c r="E11079" i="1"/>
  <c r="F11078" i="1"/>
  <c r="E11078" i="1"/>
  <c r="F11077" i="1"/>
  <c r="E11077" i="1"/>
  <c r="F11076" i="1"/>
  <c r="E11076" i="1"/>
  <c r="F11075" i="1"/>
  <c r="E11075" i="1"/>
  <c r="F11074" i="1"/>
  <c r="E11074" i="1"/>
  <c r="F11073" i="1"/>
  <c r="E11073" i="1"/>
  <c r="F11072" i="1"/>
  <c r="E11072" i="1"/>
  <c r="F11071" i="1"/>
  <c r="E11071" i="1"/>
  <c r="F11070" i="1"/>
  <c r="E11070" i="1"/>
  <c r="F11069" i="1"/>
  <c r="E11069" i="1"/>
  <c r="F11068" i="1"/>
  <c r="E11068" i="1"/>
  <c r="F11067" i="1"/>
  <c r="E11067" i="1"/>
  <c r="F11066" i="1"/>
  <c r="E11066" i="1"/>
  <c r="F11065" i="1"/>
  <c r="E11065" i="1"/>
  <c r="F11064" i="1"/>
  <c r="E11064" i="1"/>
  <c r="F11063" i="1"/>
  <c r="E11063" i="1"/>
  <c r="F11062" i="1"/>
  <c r="E11062" i="1"/>
  <c r="F11061" i="1"/>
  <c r="E11061" i="1"/>
  <c r="F11060" i="1"/>
  <c r="E11060" i="1"/>
  <c r="F11059" i="1"/>
  <c r="E11059" i="1"/>
  <c r="F11058" i="1"/>
  <c r="E11058" i="1"/>
  <c r="F11057" i="1"/>
  <c r="E11057" i="1"/>
  <c r="F11056" i="1"/>
  <c r="E11056" i="1"/>
  <c r="F11055" i="1"/>
  <c r="E11055" i="1"/>
  <c r="F11054" i="1"/>
  <c r="E11054" i="1"/>
  <c r="F11053" i="1"/>
  <c r="E11053" i="1"/>
  <c r="F11052" i="1"/>
  <c r="E11052" i="1"/>
  <c r="F11051" i="1"/>
  <c r="E11051" i="1"/>
  <c r="F11050" i="1"/>
  <c r="E11050" i="1"/>
  <c r="F11049" i="1"/>
  <c r="E11049" i="1"/>
  <c r="F11048" i="1"/>
  <c r="E11048" i="1"/>
  <c r="F11047" i="1"/>
  <c r="E11047" i="1"/>
  <c r="F11046" i="1"/>
  <c r="E11046" i="1"/>
  <c r="F11045" i="1"/>
  <c r="E11045" i="1"/>
  <c r="F11044" i="1"/>
  <c r="E11044" i="1"/>
  <c r="F11043" i="1"/>
  <c r="E11043" i="1"/>
  <c r="F11042" i="1"/>
  <c r="E11042" i="1"/>
  <c r="F11041" i="1"/>
  <c r="E11041" i="1"/>
  <c r="F11040" i="1"/>
  <c r="E11040" i="1"/>
  <c r="F11039" i="1"/>
  <c r="E11039" i="1"/>
  <c r="F11038" i="1"/>
  <c r="E11038" i="1"/>
  <c r="F11037" i="1"/>
  <c r="E11037" i="1"/>
  <c r="F11036" i="1"/>
  <c r="E11036" i="1"/>
  <c r="F11035" i="1"/>
  <c r="E11035" i="1"/>
  <c r="F11034" i="1"/>
  <c r="E11034" i="1"/>
  <c r="F11033" i="1"/>
  <c r="E11033" i="1"/>
  <c r="F11032" i="1"/>
  <c r="E11032" i="1"/>
  <c r="F11031" i="1"/>
  <c r="E11031" i="1"/>
  <c r="F11030" i="1"/>
  <c r="E11030" i="1"/>
  <c r="F11029" i="1"/>
  <c r="E11029" i="1"/>
  <c r="F11028" i="1"/>
  <c r="E11028" i="1"/>
  <c r="F11027" i="1"/>
  <c r="E11027" i="1"/>
  <c r="F11026" i="1"/>
  <c r="E11026" i="1"/>
  <c r="F11025" i="1"/>
  <c r="E11025" i="1"/>
  <c r="F11024" i="1"/>
  <c r="E11024" i="1"/>
  <c r="F11023" i="1"/>
  <c r="E11023" i="1"/>
  <c r="F11022" i="1"/>
  <c r="E11022" i="1"/>
  <c r="F11021" i="1"/>
  <c r="E11021" i="1"/>
  <c r="F11020" i="1"/>
  <c r="E11020" i="1"/>
  <c r="F11019" i="1"/>
  <c r="E11019" i="1"/>
  <c r="F11018" i="1"/>
  <c r="E11018" i="1"/>
  <c r="F11017" i="1"/>
  <c r="E11017" i="1"/>
  <c r="F11016" i="1"/>
  <c r="E11016" i="1"/>
  <c r="F11015" i="1"/>
  <c r="E11015" i="1"/>
  <c r="F11014" i="1"/>
  <c r="E11014" i="1"/>
  <c r="F11013" i="1"/>
  <c r="E11013" i="1"/>
  <c r="F11012" i="1"/>
  <c r="E11012" i="1"/>
  <c r="F11011" i="1"/>
  <c r="E11011" i="1"/>
  <c r="F11010" i="1"/>
  <c r="E11010" i="1"/>
  <c r="F11009" i="1"/>
  <c r="E11009" i="1"/>
  <c r="F11008" i="1"/>
  <c r="E11008" i="1"/>
  <c r="F11007" i="1"/>
  <c r="E11007" i="1"/>
  <c r="F11006" i="1"/>
  <c r="E11006" i="1"/>
  <c r="F11005" i="1"/>
  <c r="E11005" i="1"/>
  <c r="F11004" i="1"/>
  <c r="E11004" i="1"/>
  <c r="F11003" i="1"/>
  <c r="E11003" i="1"/>
  <c r="F11002" i="1"/>
  <c r="E11002" i="1"/>
  <c r="F11001" i="1"/>
  <c r="E11001" i="1"/>
  <c r="F11000" i="1"/>
  <c r="E11000" i="1"/>
  <c r="F10999" i="1"/>
  <c r="E10999" i="1"/>
  <c r="F10998" i="1"/>
  <c r="E10998" i="1"/>
  <c r="F10997" i="1"/>
  <c r="E10997" i="1"/>
  <c r="F10996" i="1"/>
  <c r="E10996" i="1"/>
  <c r="F10995" i="1"/>
  <c r="E10995" i="1"/>
  <c r="F10994" i="1"/>
  <c r="E10994" i="1"/>
  <c r="F10993" i="1"/>
  <c r="E10993" i="1"/>
  <c r="F10992" i="1"/>
  <c r="E10992" i="1"/>
  <c r="F10991" i="1"/>
  <c r="E10991" i="1"/>
  <c r="F10990" i="1"/>
  <c r="E10990" i="1"/>
  <c r="F10989" i="1"/>
  <c r="E10989" i="1"/>
  <c r="F10988" i="1"/>
  <c r="E10988" i="1"/>
  <c r="F10987" i="1"/>
  <c r="E10987" i="1"/>
  <c r="F10986" i="1"/>
  <c r="E10986" i="1"/>
  <c r="F10985" i="1"/>
  <c r="E10985" i="1"/>
  <c r="F10984" i="1"/>
  <c r="E10984" i="1"/>
  <c r="F10983" i="1"/>
  <c r="E10983" i="1"/>
  <c r="F10982" i="1"/>
  <c r="E10982" i="1"/>
  <c r="F10981" i="1"/>
  <c r="E10981" i="1"/>
  <c r="F10980" i="1"/>
  <c r="E10980" i="1"/>
  <c r="F10979" i="1"/>
  <c r="E10979" i="1"/>
  <c r="F10978" i="1"/>
  <c r="E10978" i="1"/>
  <c r="F10977" i="1"/>
  <c r="E10977" i="1"/>
  <c r="F10976" i="1"/>
  <c r="E10976" i="1"/>
  <c r="F10975" i="1"/>
  <c r="E10975" i="1"/>
  <c r="F10974" i="1"/>
  <c r="E10974" i="1"/>
  <c r="F10973" i="1"/>
  <c r="E10973" i="1"/>
  <c r="F10972" i="1"/>
  <c r="E10972" i="1"/>
  <c r="F10971" i="1"/>
  <c r="E10971" i="1"/>
  <c r="F10970" i="1"/>
  <c r="E10970" i="1"/>
  <c r="F10969" i="1"/>
  <c r="E10969" i="1"/>
  <c r="F10968" i="1"/>
  <c r="E10968" i="1"/>
  <c r="F10967" i="1"/>
  <c r="E10967" i="1"/>
  <c r="F10966" i="1"/>
  <c r="E10966" i="1"/>
  <c r="F10965" i="1"/>
  <c r="E10965" i="1"/>
  <c r="F10964" i="1"/>
  <c r="E10964" i="1"/>
  <c r="F10963" i="1"/>
  <c r="E10963" i="1"/>
  <c r="F10962" i="1"/>
  <c r="E10962" i="1"/>
  <c r="F10961" i="1"/>
  <c r="E10961" i="1"/>
  <c r="F10960" i="1"/>
  <c r="E10960" i="1"/>
  <c r="F10959" i="1"/>
  <c r="E10959" i="1"/>
  <c r="F10958" i="1"/>
  <c r="E10958" i="1"/>
  <c r="F10957" i="1"/>
  <c r="E10957" i="1"/>
  <c r="F10956" i="1"/>
  <c r="E10956" i="1"/>
  <c r="F10955" i="1"/>
  <c r="E10955" i="1"/>
  <c r="F10954" i="1"/>
  <c r="E10954" i="1"/>
  <c r="F10953" i="1"/>
  <c r="E10953" i="1"/>
  <c r="F10952" i="1"/>
  <c r="E10952" i="1"/>
  <c r="F10951" i="1"/>
  <c r="E10951" i="1"/>
  <c r="F10950" i="1"/>
  <c r="E10950" i="1"/>
  <c r="F10949" i="1"/>
  <c r="E10949" i="1"/>
  <c r="F10948" i="1"/>
  <c r="E10948" i="1"/>
  <c r="F10947" i="1"/>
  <c r="E10947" i="1"/>
  <c r="F10946" i="1"/>
  <c r="E10946" i="1"/>
  <c r="F10945" i="1"/>
  <c r="E10945" i="1"/>
  <c r="F10944" i="1"/>
  <c r="E10944" i="1"/>
  <c r="F10943" i="1"/>
  <c r="E10943" i="1"/>
  <c r="F10942" i="1"/>
  <c r="E10942" i="1"/>
  <c r="F10941" i="1"/>
  <c r="E10941" i="1"/>
  <c r="F10940" i="1"/>
  <c r="E10940" i="1"/>
  <c r="F10939" i="1"/>
  <c r="E10939" i="1"/>
  <c r="F10938" i="1"/>
  <c r="E10938" i="1"/>
  <c r="F10937" i="1"/>
  <c r="E10937" i="1"/>
  <c r="F10936" i="1"/>
  <c r="E10936" i="1"/>
  <c r="F10935" i="1"/>
  <c r="E10935" i="1"/>
  <c r="F10934" i="1"/>
  <c r="E10934" i="1"/>
  <c r="F10933" i="1"/>
  <c r="E10933" i="1"/>
  <c r="F10932" i="1"/>
  <c r="E10932" i="1"/>
  <c r="F10931" i="1"/>
  <c r="E10931" i="1"/>
  <c r="F10930" i="1"/>
  <c r="E10930" i="1"/>
  <c r="F10929" i="1"/>
  <c r="E10929" i="1"/>
  <c r="F10928" i="1"/>
  <c r="E10928" i="1"/>
  <c r="F10927" i="1"/>
  <c r="E10927" i="1"/>
  <c r="F10926" i="1"/>
  <c r="E10926" i="1"/>
  <c r="F10925" i="1"/>
  <c r="E10925" i="1"/>
  <c r="F10924" i="1"/>
  <c r="E10924" i="1"/>
  <c r="F10923" i="1"/>
  <c r="E10923" i="1"/>
  <c r="F10922" i="1"/>
  <c r="E10922" i="1"/>
  <c r="F10921" i="1"/>
  <c r="E10921" i="1"/>
  <c r="F10920" i="1"/>
  <c r="E10920" i="1"/>
  <c r="F10919" i="1"/>
  <c r="E10919" i="1"/>
  <c r="F10918" i="1"/>
  <c r="E10918" i="1"/>
  <c r="F10917" i="1"/>
  <c r="E10917" i="1"/>
  <c r="F10916" i="1"/>
  <c r="E10916" i="1"/>
  <c r="F10915" i="1"/>
  <c r="E10915" i="1"/>
  <c r="F10914" i="1"/>
  <c r="E10914" i="1"/>
  <c r="F10913" i="1"/>
  <c r="E10913" i="1"/>
  <c r="F10912" i="1"/>
  <c r="E10912" i="1"/>
  <c r="F10911" i="1"/>
  <c r="E10911" i="1"/>
  <c r="F10910" i="1"/>
  <c r="E10910" i="1"/>
  <c r="F10909" i="1"/>
  <c r="E10909" i="1"/>
  <c r="F10908" i="1"/>
  <c r="E10908" i="1"/>
  <c r="F10907" i="1"/>
  <c r="E10907" i="1"/>
  <c r="F10906" i="1"/>
  <c r="E10906" i="1"/>
  <c r="F10905" i="1"/>
  <c r="E10905" i="1"/>
  <c r="F10904" i="1"/>
  <c r="E10904" i="1"/>
  <c r="F10903" i="1"/>
  <c r="E10903" i="1"/>
  <c r="F10902" i="1"/>
  <c r="E10902" i="1"/>
  <c r="F10901" i="1"/>
  <c r="E10901" i="1"/>
  <c r="F10900" i="1"/>
  <c r="E10900" i="1"/>
  <c r="F10899" i="1"/>
  <c r="E10899" i="1"/>
  <c r="F10898" i="1"/>
  <c r="E10898" i="1"/>
  <c r="F10897" i="1"/>
  <c r="E10897" i="1"/>
  <c r="F10896" i="1"/>
  <c r="E10896" i="1"/>
  <c r="F10895" i="1"/>
  <c r="E10895" i="1"/>
  <c r="F10894" i="1"/>
  <c r="E10894" i="1"/>
  <c r="F10893" i="1"/>
  <c r="E10893" i="1"/>
  <c r="F10892" i="1"/>
  <c r="E10892" i="1"/>
  <c r="F10891" i="1"/>
  <c r="E10891" i="1"/>
  <c r="F10890" i="1"/>
  <c r="E10890" i="1"/>
  <c r="F10889" i="1"/>
  <c r="E10889" i="1"/>
  <c r="F10888" i="1"/>
  <c r="E10888" i="1"/>
  <c r="F10887" i="1"/>
  <c r="E10887" i="1"/>
  <c r="F10886" i="1"/>
  <c r="E10886" i="1"/>
  <c r="F10885" i="1"/>
  <c r="E10885" i="1"/>
  <c r="F10884" i="1"/>
  <c r="E10884" i="1"/>
  <c r="F10883" i="1"/>
  <c r="E10883" i="1"/>
  <c r="F10882" i="1"/>
  <c r="E10882" i="1"/>
  <c r="F10881" i="1"/>
  <c r="E10881" i="1"/>
  <c r="F10880" i="1"/>
  <c r="E10880" i="1"/>
  <c r="F10879" i="1"/>
  <c r="E10879" i="1"/>
  <c r="F10878" i="1"/>
  <c r="E10878" i="1"/>
  <c r="F10877" i="1"/>
  <c r="E10877" i="1"/>
  <c r="F10876" i="1"/>
  <c r="E10876" i="1"/>
  <c r="F10875" i="1"/>
  <c r="E10875" i="1"/>
  <c r="F10874" i="1"/>
  <c r="E10874" i="1"/>
  <c r="F10873" i="1"/>
  <c r="E10873" i="1"/>
  <c r="F10872" i="1"/>
  <c r="E10872" i="1"/>
  <c r="F10871" i="1"/>
  <c r="E10871" i="1"/>
  <c r="F10870" i="1"/>
  <c r="E10870" i="1"/>
  <c r="F10869" i="1"/>
  <c r="E10869" i="1"/>
  <c r="F10868" i="1"/>
  <c r="E10868" i="1"/>
  <c r="F10867" i="1"/>
  <c r="E10867" i="1"/>
  <c r="F10866" i="1"/>
  <c r="E10866" i="1"/>
  <c r="F10865" i="1"/>
  <c r="E10865" i="1"/>
  <c r="F10864" i="1"/>
  <c r="E10864" i="1"/>
  <c r="F10863" i="1"/>
  <c r="E10863" i="1"/>
  <c r="F10862" i="1"/>
  <c r="E10862" i="1"/>
  <c r="F10861" i="1"/>
  <c r="E10861" i="1"/>
  <c r="F10860" i="1"/>
  <c r="E10860" i="1"/>
  <c r="F10859" i="1"/>
  <c r="E10859" i="1"/>
  <c r="F10858" i="1"/>
  <c r="E10858" i="1"/>
  <c r="F10857" i="1"/>
  <c r="E10857" i="1"/>
  <c r="F10856" i="1"/>
  <c r="E10856" i="1"/>
  <c r="F10855" i="1"/>
  <c r="E10855" i="1"/>
  <c r="F10854" i="1"/>
  <c r="E10854" i="1"/>
  <c r="F10853" i="1"/>
  <c r="E10853" i="1"/>
  <c r="F10852" i="1"/>
  <c r="E10852" i="1"/>
  <c r="F10851" i="1"/>
  <c r="E10851" i="1"/>
  <c r="F10850" i="1"/>
  <c r="E10850" i="1"/>
  <c r="F10849" i="1"/>
  <c r="E10849" i="1"/>
  <c r="F10848" i="1"/>
  <c r="E10848" i="1"/>
  <c r="F10847" i="1"/>
  <c r="E10847" i="1"/>
  <c r="F10846" i="1"/>
  <c r="E10846" i="1"/>
  <c r="F10845" i="1"/>
  <c r="E10845" i="1"/>
  <c r="F10844" i="1"/>
  <c r="E10844" i="1"/>
  <c r="F10843" i="1"/>
  <c r="E10843" i="1"/>
  <c r="F10842" i="1"/>
  <c r="E10842" i="1"/>
  <c r="F10841" i="1"/>
  <c r="E10841" i="1"/>
  <c r="F10840" i="1"/>
  <c r="E10840" i="1"/>
  <c r="F10839" i="1"/>
  <c r="E10839" i="1"/>
  <c r="F10838" i="1"/>
  <c r="E10838" i="1"/>
  <c r="F10837" i="1"/>
  <c r="E10837" i="1"/>
  <c r="F10836" i="1"/>
  <c r="E10836" i="1"/>
  <c r="F10835" i="1"/>
  <c r="E10835" i="1"/>
  <c r="F10834" i="1"/>
  <c r="E10834" i="1"/>
  <c r="F10833" i="1"/>
  <c r="E10833" i="1"/>
  <c r="F10832" i="1"/>
  <c r="E10832" i="1"/>
  <c r="F10831" i="1"/>
  <c r="E10831" i="1"/>
  <c r="F10830" i="1"/>
  <c r="E10830" i="1"/>
  <c r="F10829" i="1"/>
  <c r="E10829" i="1"/>
  <c r="F10828" i="1"/>
  <c r="E10828" i="1"/>
  <c r="F10827" i="1"/>
  <c r="E10827" i="1"/>
  <c r="F10826" i="1"/>
  <c r="E10826" i="1"/>
  <c r="F10825" i="1"/>
  <c r="E10825" i="1"/>
  <c r="F10824" i="1"/>
  <c r="E10824" i="1"/>
  <c r="F10823" i="1"/>
  <c r="E10823" i="1"/>
  <c r="F10822" i="1"/>
  <c r="E10822" i="1"/>
  <c r="F10821" i="1"/>
  <c r="E10821" i="1"/>
  <c r="F10820" i="1"/>
  <c r="E10820" i="1"/>
  <c r="F10819" i="1"/>
  <c r="E10819" i="1"/>
  <c r="F10818" i="1"/>
  <c r="E10818" i="1"/>
  <c r="F10817" i="1"/>
  <c r="E10817" i="1"/>
  <c r="F10816" i="1"/>
  <c r="E10816" i="1"/>
  <c r="F10815" i="1"/>
  <c r="E10815" i="1"/>
  <c r="F10814" i="1"/>
  <c r="E10814" i="1"/>
  <c r="F10813" i="1"/>
  <c r="E10813" i="1"/>
  <c r="F10812" i="1"/>
  <c r="E10812" i="1"/>
  <c r="F10811" i="1"/>
  <c r="E10811" i="1"/>
  <c r="F10810" i="1"/>
  <c r="E10810" i="1"/>
  <c r="F10809" i="1"/>
  <c r="E10809" i="1"/>
  <c r="F10808" i="1"/>
  <c r="E10808" i="1"/>
  <c r="F10807" i="1"/>
  <c r="E10807" i="1"/>
  <c r="F10806" i="1"/>
  <c r="E10806" i="1"/>
  <c r="F10805" i="1"/>
  <c r="E10805" i="1"/>
  <c r="F10804" i="1"/>
  <c r="E10804" i="1"/>
  <c r="F10803" i="1"/>
  <c r="E10803" i="1"/>
  <c r="F10802" i="1"/>
  <c r="E10802" i="1"/>
  <c r="F10801" i="1"/>
  <c r="E10801" i="1"/>
  <c r="F10800" i="1"/>
  <c r="E10800" i="1"/>
  <c r="F10799" i="1"/>
  <c r="E10799" i="1"/>
  <c r="F10798" i="1"/>
  <c r="E10798" i="1"/>
  <c r="F10797" i="1"/>
  <c r="E10797" i="1"/>
  <c r="F10796" i="1"/>
  <c r="E10796" i="1"/>
  <c r="F10795" i="1"/>
  <c r="E10795" i="1"/>
  <c r="F10794" i="1"/>
  <c r="E10794" i="1"/>
  <c r="F10793" i="1"/>
  <c r="E10793" i="1"/>
  <c r="F10792" i="1"/>
  <c r="E10792" i="1"/>
  <c r="F10791" i="1"/>
  <c r="E10791" i="1"/>
  <c r="F10790" i="1"/>
  <c r="E10790" i="1"/>
  <c r="F10789" i="1"/>
  <c r="E10789" i="1"/>
  <c r="F10788" i="1"/>
  <c r="E10788" i="1"/>
  <c r="F10787" i="1"/>
  <c r="E10787" i="1"/>
  <c r="F10786" i="1"/>
  <c r="E10786" i="1"/>
  <c r="F10785" i="1"/>
  <c r="E10785" i="1"/>
  <c r="F10784" i="1"/>
  <c r="E10784" i="1"/>
  <c r="F10783" i="1"/>
  <c r="E10783" i="1"/>
  <c r="F10782" i="1"/>
  <c r="E10782" i="1"/>
  <c r="F10781" i="1"/>
  <c r="E10781" i="1"/>
  <c r="F10780" i="1"/>
  <c r="E10780" i="1"/>
  <c r="F10779" i="1"/>
  <c r="E10779" i="1"/>
  <c r="F10778" i="1"/>
  <c r="E10778" i="1"/>
  <c r="F10777" i="1"/>
  <c r="E10777" i="1"/>
  <c r="F10776" i="1"/>
  <c r="E10776" i="1"/>
  <c r="F10775" i="1"/>
  <c r="E10775" i="1"/>
  <c r="F10774" i="1"/>
  <c r="E10774" i="1"/>
  <c r="F10773" i="1"/>
  <c r="E10773" i="1"/>
  <c r="F10772" i="1"/>
  <c r="E10772" i="1"/>
  <c r="F10771" i="1"/>
  <c r="E10771" i="1"/>
  <c r="F10770" i="1"/>
  <c r="E10770" i="1"/>
  <c r="F10769" i="1"/>
  <c r="E10769" i="1"/>
  <c r="F10768" i="1"/>
  <c r="E10768" i="1"/>
  <c r="F10767" i="1"/>
  <c r="E10767" i="1"/>
  <c r="F10766" i="1"/>
  <c r="E10766" i="1"/>
  <c r="F10765" i="1"/>
  <c r="E10765" i="1"/>
  <c r="F10764" i="1"/>
  <c r="E10764" i="1"/>
  <c r="F10763" i="1"/>
  <c r="E10763" i="1"/>
  <c r="F10762" i="1"/>
  <c r="E10762" i="1"/>
  <c r="F10761" i="1"/>
  <c r="E10761" i="1"/>
  <c r="F10760" i="1"/>
  <c r="E10760" i="1"/>
  <c r="F10759" i="1"/>
  <c r="E10759" i="1"/>
  <c r="F10758" i="1"/>
  <c r="E10758" i="1"/>
  <c r="F10757" i="1"/>
  <c r="E10757" i="1"/>
  <c r="F10756" i="1"/>
  <c r="E10756" i="1"/>
  <c r="F10755" i="1"/>
  <c r="E10755" i="1"/>
  <c r="F10754" i="1"/>
  <c r="E10754" i="1"/>
  <c r="F10753" i="1"/>
  <c r="E10753" i="1"/>
  <c r="F10752" i="1"/>
  <c r="E10752" i="1"/>
  <c r="F10751" i="1"/>
  <c r="E10751" i="1"/>
  <c r="F10750" i="1"/>
  <c r="E10750" i="1"/>
  <c r="F10749" i="1"/>
  <c r="E10749" i="1"/>
  <c r="F10748" i="1"/>
  <c r="E10748" i="1"/>
  <c r="F10747" i="1"/>
  <c r="E10747" i="1"/>
  <c r="F10746" i="1"/>
  <c r="E10746" i="1"/>
  <c r="F10745" i="1"/>
  <c r="E10745" i="1"/>
  <c r="F10744" i="1"/>
  <c r="E10744" i="1"/>
  <c r="F10743" i="1"/>
  <c r="E10743" i="1"/>
  <c r="F10742" i="1"/>
  <c r="E10742" i="1"/>
  <c r="F10741" i="1"/>
  <c r="E10741" i="1"/>
  <c r="F10740" i="1"/>
  <c r="E10740" i="1"/>
  <c r="F10739" i="1"/>
  <c r="E10739" i="1"/>
  <c r="F10738" i="1"/>
  <c r="E10738" i="1"/>
  <c r="F10737" i="1"/>
  <c r="E10737" i="1"/>
  <c r="F10736" i="1"/>
  <c r="E10736" i="1"/>
  <c r="F10735" i="1"/>
  <c r="E10735" i="1"/>
  <c r="F10734" i="1"/>
  <c r="E10734" i="1"/>
  <c r="F10733" i="1"/>
  <c r="E10733" i="1"/>
  <c r="F10732" i="1"/>
  <c r="E10732" i="1"/>
  <c r="F10731" i="1"/>
  <c r="E10731" i="1"/>
  <c r="F10730" i="1"/>
  <c r="E10730" i="1"/>
  <c r="F10729" i="1"/>
  <c r="E10729" i="1"/>
  <c r="F10728" i="1"/>
  <c r="E10728" i="1"/>
  <c r="F10727" i="1"/>
  <c r="E10727" i="1"/>
  <c r="F10726" i="1"/>
  <c r="E10726" i="1"/>
  <c r="F10725" i="1"/>
  <c r="E10725" i="1"/>
  <c r="F10724" i="1"/>
  <c r="E10724" i="1"/>
  <c r="F10723" i="1"/>
  <c r="E10723" i="1"/>
  <c r="F10722" i="1"/>
  <c r="E10722" i="1"/>
  <c r="F10721" i="1"/>
  <c r="E10721" i="1"/>
  <c r="F10720" i="1"/>
  <c r="E10720" i="1"/>
  <c r="F10719" i="1"/>
  <c r="E10719" i="1"/>
  <c r="F10718" i="1"/>
  <c r="E10718" i="1"/>
  <c r="F10717" i="1"/>
  <c r="E10717" i="1"/>
  <c r="F10716" i="1"/>
  <c r="E10716" i="1"/>
  <c r="F10715" i="1"/>
  <c r="E10715" i="1"/>
  <c r="F10714" i="1"/>
  <c r="E10714" i="1"/>
  <c r="F10713" i="1"/>
  <c r="E10713" i="1"/>
  <c r="F10712" i="1"/>
  <c r="E10712" i="1"/>
  <c r="F10711" i="1"/>
  <c r="E10711" i="1"/>
  <c r="F10710" i="1"/>
  <c r="E10710" i="1"/>
  <c r="F10709" i="1"/>
  <c r="E10709" i="1"/>
  <c r="F10708" i="1"/>
  <c r="E10708" i="1"/>
  <c r="F10707" i="1"/>
  <c r="E10707" i="1"/>
  <c r="F10706" i="1"/>
  <c r="E10706" i="1"/>
  <c r="F10705" i="1"/>
  <c r="E10705" i="1"/>
  <c r="F10704" i="1"/>
  <c r="E10704" i="1"/>
  <c r="F10703" i="1"/>
  <c r="E10703" i="1"/>
  <c r="F10702" i="1"/>
  <c r="E10702" i="1"/>
  <c r="F10701" i="1"/>
  <c r="E10701" i="1"/>
  <c r="F10700" i="1"/>
  <c r="E10700" i="1"/>
  <c r="F10699" i="1"/>
  <c r="E10699" i="1"/>
  <c r="F10698" i="1"/>
  <c r="E10698" i="1"/>
  <c r="F10697" i="1"/>
  <c r="E10697" i="1"/>
  <c r="F10696" i="1"/>
  <c r="E10696" i="1"/>
  <c r="F10695" i="1"/>
  <c r="E10695" i="1"/>
  <c r="F10694" i="1"/>
  <c r="E10694" i="1"/>
  <c r="F10693" i="1"/>
  <c r="E10693" i="1"/>
  <c r="F10692" i="1"/>
  <c r="E10692" i="1"/>
  <c r="F10691" i="1"/>
  <c r="E10691" i="1"/>
  <c r="F10690" i="1"/>
  <c r="E10690" i="1"/>
  <c r="F10689" i="1"/>
  <c r="E10689" i="1"/>
  <c r="F10688" i="1"/>
  <c r="E10688" i="1"/>
  <c r="F10687" i="1"/>
  <c r="E10687" i="1"/>
  <c r="F10686" i="1"/>
  <c r="E10686" i="1"/>
  <c r="F10685" i="1"/>
  <c r="E10685" i="1"/>
  <c r="F10684" i="1"/>
  <c r="E10684" i="1"/>
  <c r="F10683" i="1"/>
  <c r="E10683" i="1"/>
  <c r="F10682" i="1"/>
  <c r="E10682" i="1"/>
  <c r="F10681" i="1"/>
  <c r="E10681" i="1"/>
  <c r="F10680" i="1"/>
  <c r="E10680" i="1"/>
  <c r="F10679" i="1"/>
  <c r="E10679" i="1"/>
  <c r="F10678" i="1"/>
  <c r="E10678" i="1"/>
  <c r="F10677" i="1"/>
  <c r="E10677" i="1"/>
  <c r="F10676" i="1"/>
  <c r="E10676" i="1"/>
  <c r="F10675" i="1"/>
  <c r="E10675" i="1"/>
  <c r="F10674" i="1"/>
  <c r="E10674" i="1"/>
  <c r="F10673" i="1"/>
  <c r="E10673" i="1"/>
  <c r="F10672" i="1"/>
  <c r="E10672" i="1"/>
  <c r="F10671" i="1"/>
  <c r="E10671" i="1"/>
  <c r="F10670" i="1"/>
  <c r="E10670" i="1"/>
  <c r="F10669" i="1"/>
  <c r="E10669" i="1"/>
  <c r="F10668" i="1"/>
  <c r="E10668" i="1"/>
  <c r="F10667" i="1"/>
  <c r="E10667" i="1"/>
  <c r="F10666" i="1"/>
  <c r="E10666" i="1"/>
  <c r="F10665" i="1"/>
  <c r="E10665" i="1"/>
  <c r="F10664" i="1"/>
  <c r="E10664" i="1"/>
  <c r="F10663" i="1"/>
  <c r="E10663" i="1"/>
  <c r="F10662" i="1"/>
  <c r="E10662" i="1"/>
  <c r="F10661" i="1"/>
  <c r="E10661" i="1"/>
  <c r="F10660" i="1"/>
  <c r="E10660" i="1"/>
  <c r="F10659" i="1"/>
  <c r="E10659" i="1"/>
  <c r="F10658" i="1"/>
  <c r="E10658" i="1"/>
  <c r="F10657" i="1"/>
  <c r="E10657" i="1"/>
  <c r="F10656" i="1"/>
  <c r="E10656" i="1"/>
  <c r="F10655" i="1"/>
  <c r="E10655" i="1"/>
  <c r="F10654" i="1"/>
  <c r="E10654" i="1"/>
  <c r="F10653" i="1"/>
  <c r="E10653" i="1"/>
  <c r="F10652" i="1"/>
  <c r="E10652" i="1"/>
  <c r="F10651" i="1"/>
  <c r="E10651" i="1"/>
  <c r="F10650" i="1"/>
  <c r="E10650" i="1"/>
  <c r="F10649" i="1"/>
  <c r="E10649" i="1"/>
  <c r="F10648" i="1"/>
  <c r="E10648" i="1"/>
  <c r="F10647" i="1"/>
  <c r="E10647" i="1"/>
  <c r="F10646" i="1"/>
  <c r="E10646" i="1"/>
  <c r="F10645" i="1"/>
  <c r="E10645" i="1"/>
  <c r="F10644" i="1"/>
  <c r="E10644" i="1"/>
  <c r="F10643" i="1"/>
  <c r="E10643" i="1"/>
  <c r="F10642" i="1"/>
  <c r="E10642" i="1"/>
  <c r="F10641" i="1"/>
  <c r="E10641" i="1"/>
  <c r="F10640" i="1"/>
  <c r="E10640" i="1"/>
  <c r="F10639" i="1"/>
  <c r="E10639" i="1"/>
  <c r="F10638" i="1"/>
  <c r="E10638" i="1"/>
  <c r="F10637" i="1"/>
  <c r="E10637" i="1"/>
  <c r="F10636" i="1"/>
  <c r="E10636" i="1"/>
  <c r="F10635" i="1"/>
  <c r="E10635" i="1"/>
  <c r="F10634" i="1"/>
  <c r="E10634" i="1"/>
  <c r="F10633" i="1"/>
  <c r="E10633" i="1"/>
  <c r="F10632" i="1"/>
  <c r="E10632" i="1"/>
  <c r="F10631" i="1"/>
  <c r="E10631" i="1"/>
  <c r="F10630" i="1"/>
  <c r="E10630" i="1"/>
  <c r="F10629" i="1"/>
  <c r="E10629" i="1"/>
  <c r="F10628" i="1"/>
  <c r="E10628" i="1"/>
  <c r="F10627" i="1"/>
  <c r="E10627" i="1"/>
  <c r="F10626" i="1"/>
  <c r="E10626" i="1"/>
  <c r="F10625" i="1"/>
  <c r="E10625" i="1"/>
  <c r="F10624" i="1"/>
  <c r="E10624" i="1"/>
  <c r="F10623" i="1"/>
  <c r="E10623" i="1"/>
  <c r="F10622" i="1"/>
  <c r="E10622" i="1"/>
  <c r="F10621" i="1"/>
  <c r="E10621" i="1"/>
  <c r="F10620" i="1"/>
  <c r="E10620" i="1"/>
  <c r="F10619" i="1"/>
  <c r="E10619" i="1"/>
  <c r="F10618" i="1"/>
  <c r="E10618" i="1"/>
  <c r="F10617" i="1"/>
  <c r="E10617" i="1"/>
  <c r="F10616" i="1"/>
  <c r="E10616" i="1"/>
  <c r="F10615" i="1"/>
  <c r="E10615" i="1"/>
  <c r="F10614" i="1"/>
  <c r="F10613" i="1"/>
  <c r="E10613" i="1"/>
  <c r="F10612" i="1"/>
  <c r="E10612" i="1"/>
  <c r="F10611" i="1"/>
  <c r="E10611" i="1"/>
  <c r="F10610" i="1"/>
  <c r="E10610" i="1"/>
  <c r="F10609" i="1"/>
  <c r="E10609" i="1"/>
  <c r="F10608" i="1"/>
  <c r="E10608" i="1"/>
  <c r="F10607" i="1"/>
  <c r="E10607" i="1"/>
  <c r="F10606" i="1"/>
  <c r="E10606" i="1"/>
  <c r="F10605" i="1"/>
  <c r="E10605" i="1"/>
  <c r="F10604" i="1"/>
  <c r="E10604" i="1"/>
  <c r="F10603" i="1"/>
  <c r="E10603" i="1"/>
  <c r="F10602" i="1"/>
  <c r="E10602" i="1"/>
  <c r="F10601" i="1"/>
  <c r="E10601" i="1"/>
  <c r="F10600" i="1"/>
  <c r="E10600" i="1"/>
  <c r="F10599" i="1"/>
  <c r="E10599" i="1"/>
  <c r="F10598" i="1"/>
  <c r="E10598" i="1"/>
  <c r="F10597" i="1"/>
  <c r="E10597" i="1"/>
  <c r="F10596" i="1"/>
  <c r="E10596" i="1"/>
  <c r="F10595" i="1"/>
  <c r="E10595" i="1"/>
  <c r="F10594" i="1"/>
  <c r="E10594" i="1"/>
  <c r="F10593" i="1"/>
  <c r="E10593" i="1"/>
  <c r="F10592" i="1"/>
  <c r="E10592" i="1"/>
  <c r="F10591" i="1"/>
  <c r="E10591" i="1"/>
  <c r="F10590" i="1"/>
  <c r="E10590" i="1"/>
  <c r="F10589" i="1"/>
  <c r="E10589" i="1"/>
  <c r="F10588" i="1"/>
  <c r="E10588" i="1"/>
  <c r="F10587" i="1"/>
  <c r="E10587" i="1"/>
  <c r="F10586" i="1"/>
  <c r="E10586" i="1"/>
  <c r="F10585" i="1"/>
  <c r="E10585" i="1"/>
  <c r="F10584" i="1"/>
  <c r="E10584" i="1"/>
  <c r="F10583" i="1"/>
  <c r="E10583" i="1"/>
  <c r="F10582" i="1"/>
  <c r="E10582" i="1"/>
  <c r="F10581" i="1"/>
  <c r="E10581" i="1"/>
  <c r="F10580" i="1"/>
  <c r="E10580" i="1"/>
  <c r="F10579" i="1"/>
  <c r="E10579" i="1"/>
  <c r="F10578" i="1"/>
  <c r="E10578" i="1"/>
  <c r="F10577" i="1"/>
  <c r="E10577" i="1"/>
  <c r="F10576" i="1"/>
  <c r="E10576" i="1"/>
  <c r="F10575" i="1"/>
  <c r="E10575" i="1"/>
  <c r="F10574" i="1"/>
  <c r="E10574" i="1"/>
  <c r="F10573" i="1"/>
  <c r="E10573" i="1"/>
  <c r="F10572" i="1"/>
  <c r="E10572" i="1"/>
  <c r="F10571" i="1"/>
  <c r="E10571" i="1"/>
  <c r="F10570" i="1"/>
  <c r="E10570" i="1"/>
  <c r="F10569" i="1"/>
  <c r="E10569" i="1"/>
  <c r="F10568" i="1"/>
  <c r="E10568" i="1"/>
  <c r="F10567" i="1"/>
  <c r="E10567" i="1"/>
  <c r="F10566" i="1"/>
  <c r="E10566" i="1"/>
  <c r="F10565" i="1"/>
  <c r="E10565" i="1"/>
  <c r="F10564" i="1"/>
  <c r="E10564" i="1"/>
  <c r="F10563" i="1"/>
  <c r="E10563" i="1"/>
  <c r="F10562" i="1"/>
  <c r="E10562" i="1"/>
  <c r="F10561" i="1"/>
  <c r="E10561" i="1"/>
  <c r="F10560" i="1"/>
  <c r="E10560" i="1"/>
  <c r="F10559" i="1"/>
  <c r="E10559" i="1"/>
  <c r="F10558" i="1"/>
  <c r="E10558" i="1"/>
  <c r="F10557" i="1"/>
  <c r="E10557" i="1"/>
  <c r="F10556" i="1"/>
  <c r="E10556" i="1"/>
  <c r="F10555" i="1"/>
  <c r="E10555" i="1"/>
  <c r="F10554" i="1"/>
  <c r="E10554" i="1"/>
  <c r="F10553" i="1"/>
  <c r="E10553" i="1"/>
  <c r="F10552" i="1"/>
  <c r="E10552" i="1"/>
  <c r="F10551" i="1"/>
  <c r="E10551" i="1"/>
  <c r="F10550" i="1"/>
  <c r="E10550" i="1"/>
  <c r="F10549" i="1"/>
  <c r="E10549" i="1"/>
  <c r="F10548" i="1"/>
  <c r="E10548" i="1"/>
  <c r="F10547" i="1"/>
  <c r="E10547" i="1"/>
  <c r="F10546" i="1"/>
  <c r="E10546" i="1"/>
  <c r="F10545" i="1"/>
  <c r="E10545" i="1"/>
  <c r="F10544" i="1"/>
  <c r="E10544" i="1"/>
  <c r="F10543" i="1"/>
  <c r="E10543" i="1"/>
  <c r="F10542" i="1"/>
  <c r="E10542" i="1"/>
  <c r="F10541" i="1"/>
  <c r="E10541" i="1"/>
  <c r="F10540" i="1"/>
  <c r="E10540" i="1"/>
  <c r="F10539" i="1"/>
  <c r="E10539" i="1"/>
  <c r="F10538" i="1"/>
  <c r="E10538" i="1"/>
  <c r="F10537" i="1"/>
  <c r="E10537" i="1"/>
  <c r="F10536" i="1"/>
  <c r="E10536" i="1"/>
  <c r="F10535" i="1"/>
  <c r="E10535" i="1"/>
  <c r="F10534" i="1"/>
  <c r="E10534" i="1"/>
  <c r="F10533" i="1"/>
  <c r="E10533" i="1"/>
  <c r="F10532" i="1"/>
  <c r="E10532" i="1"/>
  <c r="F10531" i="1"/>
  <c r="E10531" i="1"/>
  <c r="F10530" i="1"/>
  <c r="E10530" i="1"/>
  <c r="F10529" i="1"/>
  <c r="E10529" i="1"/>
  <c r="F10528" i="1"/>
  <c r="E10528" i="1"/>
  <c r="F10527" i="1"/>
  <c r="E10527" i="1"/>
  <c r="F10526" i="1"/>
  <c r="E10526" i="1"/>
  <c r="F10525" i="1"/>
  <c r="E10525" i="1"/>
  <c r="F10524" i="1"/>
  <c r="E10524" i="1"/>
  <c r="F10523" i="1"/>
  <c r="E10523" i="1"/>
  <c r="F10522" i="1"/>
  <c r="E10522" i="1"/>
  <c r="F10521" i="1"/>
  <c r="E10521" i="1"/>
  <c r="F10520" i="1"/>
  <c r="E10520" i="1"/>
  <c r="F10519" i="1"/>
  <c r="E10519" i="1"/>
  <c r="F10518" i="1"/>
  <c r="E10518" i="1"/>
  <c r="F10517" i="1"/>
  <c r="E10517" i="1"/>
  <c r="F10516" i="1"/>
  <c r="E10516" i="1"/>
  <c r="F10515" i="1"/>
  <c r="E10515" i="1"/>
  <c r="F10514" i="1"/>
  <c r="E10514" i="1"/>
  <c r="F10513" i="1"/>
  <c r="E10513" i="1"/>
  <c r="F10512" i="1"/>
  <c r="E10512" i="1"/>
  <c r="F10511" i="1"/>
  <c r="E10511" i="1"/>
  <c r="F10510" i="1"/>
  <c r="E10510" i="1"/>
  <c r="F10509" i="1"/>
  <c r="E10509" i="1"/>
  <c r="F10508" i="1"/>
  <c r="E10508" i="1"/>
  <c r="F10507" i="1"/>
  <c r="E10507" i="1"/>
  <c r="F10506" i="1"/>
  <c r="E10506" i="1"/>
  <c r="F10505" i="1"/>
  <c r="E10505" i="1"/>
  <c r="F10504" i="1"/>
  <c r="E10504" i="1"/>
  <c r="F10503" i="1"/>
  <c r="E10503" i="1"/>
  <c r="F10502" i="1"/>
  <c r="E10502" i="1"/>
  <c r="F10501" i="1"/>
  <c r="E10501" i="1"/>
  <c r="F10500" i="1"/>
  <c r="E10500" i="1"/>
  <c r="F10499" i="1"/>
  <c r="E10499" i="1"/>
  <c r="F10498" i="1"/>
  <c r="E10498" i="1"/>
  <c r="F10497" i="1"/>
  <c r="E10497" i="1"/>
  <c r="F10496" i="1"/>
  <c r="E10496" i="1"/>
  <c r="F10495" i="1"/>
  <c r="E10495" i="1"/>
  <c r="F10494" i="1"/>
  <c r="E10494" i="1"/>
  <c r="F10493" i="1"/>
  <c r="E10493" i="1"/>
  <c r="F10492" i="1"/>
  <c r="E10492" i="1"/>
  <c r="F10491" i="1"/>
  <c r="E10491" i="1"/>
  <c r="F10490" i="1"/>
  <c r="E10490" i="1"/>
  <c r="F10489" i="1"/>
  <c r="E10489" i="1"/>
  <c r="F10488" i="1"/>
  <c r="E10488" i="1"/>
  <c r="F10487" i="1"/>
  <c r="E10487" i="1"/>
  <c r="F10486" i="1"/>
  <c r="E10486" i="1"/>
  <c r="F10485" i="1"/>
  <c r="E10485" i="1"/>
  <c r="F10484" i="1"/>
  <c r="E10484" i="1"/>
  <c r="F10483" i="1"/>
  <c r="E10483" i="1"/>
  <c r="F10482" i="1"/>
  <c r="E10482" i="1"/>
  <c r="F10481" i="1"/>
  <c r="E10481" i="1"/>
  <c r="F10480" i="1"/>
  <c r="E10480" i="1"/>
  <c r="F10479" i="1"/>
  <c r="E10479" i="1"/>
  <c r="F10478" i="1"/>
  <c r="E10478" i="1"/>
  <c r="F10477" i="1"/>
  <c r="E10477" i="1"/>
  <c r="F10476" i="1"/>
  <c r="E10476" i="1"/>
  <c r="F10475" i="1"/>
  <c r="E10475" i="1"/>
  <c r="F10474" i="1"/>
  <c r="E10474" i="1"/>
  <c r="F10473" i="1"/>
  <c r="E10473" i="1"/>
  <c r="F10472" i="1"/>
  <c r="E10472" i="1"/>
  <c r="F10471" i="1"/>
  <c r="E10471" i="1"/>
  <c r="F10470" i="1"/>
  <c r="E10470" i="1"/>
  <c r="F10469" i="1"/>
  <c r="E10469" i="1"/>
  <c r="F10468" i="1"/>
  <c r="E10468" i="1"/>
  <c r="F10467" i="1"/>
  <c r="E10467" i="1"/>
  <c r="F10466" i="1"/>
  <c r="E10466" i="1"/>
  <c r="F10465" i="1"/>
  <c r="E10465" i="1"/>
  <c r="F10464" i="1"/>
  <c r="E10464" i="1"/>
  <c r="F10463" i="1"/>
  <c r="E10463" i="1"/>
  <c r="F10462" i="1"/>
  <c r="E10462" i="1"/>
  <c r="F10461" i="1"/>
  <c r="E10461" i="1"/>
  <c r="F10460" i="1"/>
  <c r="E10460" i="1"/>
  <c r="F10459" i="1"/>
  <c r="E10459" i="1"/>
  <c r="F10458" i="1"/>
  <c r="E10458" i="1"/>
  <c r="F10457" i="1"/>
  <c r="E10457" i="1"/>
  <c r="F10456" i="1"/>
  <c r="E10456" i="1"/>
  <c r="F10455" i="1"/>
  <c r="E10455" i="1"/>
  <c r="F10454" i="1"/>
  <c r="E10454" i="1"/>
  <c r="F10453" i="1"/>
  <c r="E10453" i="1"/>
  <c r="F10452" i="1"/>
  <c r="E10452" i="1"/>
  <c r="F10451" i="1"/>
  <c r="E10451" i="1"/>
  <c r="F10450" i="1"/>
  <c r="E10450" i="1"/>
  <c r="F10449" i="1"/>
  <c r="E10449" i="1"/>
  <c r="F10448" i="1"/>
  <c r="E10448" i="1"/>
  <c r="F10447" i="1"/>
  <c r="E10447" i="1"/>
  <c r="F10446" i="1"/>
  <c r="E10446" i="1"/>
  <c r="F10445" i="1"/>
  <c r="E10445" i="1"/>
  <c r="F10444" i="1"/>
  <c r="E10444" i="1"/>
  <c r="F10443" i="1"/>
  <c r="E10443" i="1"/>
  <c r="F10442" i="1"/>
  <c r="E10442" i="1"/>
  <c r="F10441" i="1"/>
  <c r="E10441" i="1"/>
  <c r="F10440" i="1"/>
  <c r="E10440" i="1"/>
  <c r="F10439" i="1"/>
  <c r="E10439" i="1"/>
  <c r="F10438" i="1"/>
  <c r="E10438" i="1"/>
  <c r="F10437" i="1"/>
  <c r="E10437" i="1"/>
  <c r="F10436" i="1"/>
  <c r="E10436" i="1"/>
  <c r="F10435" i="1"/>
  <c r="E10435" i="1"/>
  <c r="F10434" i="1"/>
  <c r="E10434" i="1"/>
  <c r="F10433" i="1"/>
  <c r="E10433" i="1"/>
  <c r="F10432" i="1"/>
  <c r="E10432" i="1"/>
  <c r="F10431" i="1"/>
  <c r="E10431" i="1"/>
  <c r="F10430" i="1"/>
  <c r="E10430" i="1"/>
  <c r="F10429" i="1"/>
  <c r="E10429" i="1"/>
  <c r="F10428" i="1"/>
  <c r="E10428" i="1"/>
  <c r="F10427" i="1"/>
  <c r="E10427" i="1"/>
  <c r="F10426" i="1"/>
  <c r="E10426" i="1"/>
  <c r="F10425" i="1"/>
  <c r="E10425" i="1"/>
  <c r="F10424" i="1"/>
  <c r="E10424" i="1"/>
  <c r="F10423" i="1"/>
  <c r="E10423" i="1"/>
  <c r="F10422" i="1"/>
  <c r="E10422" i="1"/>
  <c r="F10421" i="1"/>
  <c r="E10421" i="1"/>
  <c r="F10420" i="1"/>
  <c r="E10420" i="1"/>
  <c r="F10419" i="1"/>
  <c r="E10419" i="1"/>
  <c r="F10418" i="1"/>
  <c r="E10418" i="1"/>
  <c r="F10417" i="1"/>
  <c r="E10417" i="1"/>
  <c r="F10416" i="1"/>
  <c r="E10416" i="1"/>
  <c r="F10415" i="1"/>
  <c r="E10415" i="1"/>
  <c r="F10414" i="1"/>
  <c r="E10414" i="1"/>
  <c r="F10413" i="1"/>
  <c r="E10413" i="1"/>
  <c r="F10412" i="1"/>
  <c r="E10412" i="1"/>
  <c r="F10411" i="1"/>
  <c r="E10411" i="1"/>
  <c r="F10410" i="1"/>
  <c r="E10410" i="1"/>
  <c r="F10409" i="1"/>
  <c r="E10409" i="1"/>
  <c r="F10408" i="1"/>
  <c r="E10408" i="1"/>
  <c r="F10407" i="1"/>
  <c r="E10407" i="1"/>
  <c r="F10406" i="1"/>
  <c r="E10406" i="1"/>
  <c r="F10405" i="1"/>
  <c r="E10405" i="1"/>
  <c r="F10404" i="1"/>
  <c r="E10404" i="1"/>
  <c r="F10403" i="1"/>
  <c r="E10403" i="1"/>
  <c r="F10402" i="1"/>
  <c r="E10402" i="1"/>
  <c r="F10401" i="1"/>
  <c r="E10401" i="1"/>
  <c r="F10400" i="1"/>
  <c r="E10400" i="1"/>
  <c r="F10399" i="1"/>
  <c r="E10399" i="1"/>
  <c r="F10398" i="1"/>
  <c r="E10398" i="1"/>
  <c r="F10397" i="1"/>
  <c r="E10397" i="1"/>
  <c r="F10396" i="1"/>
  <c r="E10396" i="1"/>
  <c r="F10395" i="1"/>
  <c r="E10395" i="1"/>
  <c r="F10394" i="1"/>
  <c r="E10394" i="1"/>
  <c r="F10393" i="1"/>
  <c r="E10393" i="1"/>
  <c r="F10392" i="1"/>
  <c r="E10392" i="1"/>
  <c r="F10391" i="1"/>
  <c r="F10390" i="1"/>
  <c r="E10390" i="1"/>
  <c r="F10389" i="1"/>
  <c r="E10389" i="1"/>
  <c r="F10388" i="1"/>
  <c r="E10388" i="1"/>
  <c r="F10387" i="1"/>
  <c r="E10387" i="1"/>
  <c r="F10386" i="1"/>
  <c r="E10386" i="1"/>
  <c r="F10385" i="1"/>
  <c r="E10385" i="1"/>
  <c r="F10384" i="1"/>
  <c r="E10384" i="1"/>
  <c r="F10383" i="1"/>
  <c r="E10383" i="1"/>
  <c r="F10382" i="1"/>
  <c r="E10382" i="1"/>
  <c r="F10381" i="1"/>
  <c r="E10381" i="1"/>
  <c r="F10380" i="1"/>
  <c r="E10380" i="1"/>
  <c r="F10379" i="1"/>
  <c r="E10379" i="1"/>
  <c r="F10378" i="1"/>
  <c r="E10378" i="1"/>
  <c r="F10377" i="1"/>
  <c r="E10377" i="1"/>
  <c r="F10376" i="1"/>
  <c r="E10376" i="1"/>
  <c r="F10375" i="1"/>
  <c r="E10375" i="1"/>
  <c r="F10374" i="1"/>
  <c r="E10374" i="1"/>
  <c r="F10373" i="1"/>
  <c r="E10373" i="1"/>
  <c r="F10372" i="1"/>
  <c r="E10372" i="1"/>
  <c r="F10371" i="1"/>
  <c r="E10371" i="1"/>
  <c r="F10370" i="1"/>
  <c r="E10370" i="1"/>
  <c r="F10369" i="1"/>
  <c r="E10369" i="1"/>
  <c r="F10368" i="1"/>
  <c r="E10368" i="1"/>
  <c r="F10367" i="1"/>
  <c r="E10367" i="1"/>
  <c r="F10366" i="1"/>
  <c r="E10366" i="1"/>
  <c r="F10365" i="1"/>
  <c r="E10365" i="1"/>
  <c r="F10364" i="1"/>
  <c r="E10364" i="1"/>
  <c r="F10363" i="1"/>
  <c r="E10363" i="1"/>
  <c r="F10362" i="1"/>
  <c r="E10362" i="1"/>
  <c r="F10361" i="1"/>
  <c r="E10361" i="1"/>
  <c r="F10360" i="1"/>
  <c r="E10360" i="1"/>
  <c r="F10359" i="1"/>
  <c r="E10359" i="1"/>
  <c r="F10358" i="1"/>
  <c r="E10358" i="1"/>
  <c r="F10357" i="1"/>
  <c r="E10357" i="1"/>
  <c r="F10356" i="1"/>
  <c r="E10356" i="1"/>
  <c r="F10355" i="1"/>
  <c r="E10355" i="1"/>
  <c r="F10354" i="1"/>
  <c r="E10354" i="1"/>
  <c r="F10353" i="1"/>
  <c r="E10353" i="1"/>
  <c r="F10352" i="1"/>
  <c r="E10352" i="1"/>
  <c r="F10351" i="1"/>
  <c r="E10351" i="1"/>
  <c r="F10350" i="1"/>
  <c r="E10350" i="1"/>
  <c r="F10349" i="1"/>
  <c r="E10349" i="1"/>
  <c r="F10348" i="1"/>
  <c r="E10348" i="1"/>
  <c r="F10347" i="1"/>
  <c r="E10347" i="1"/>
  <c r="F10346" i="1"/>
  <c r="E10346" i="1"/>
  <c r="F10345" i="1"/>
  <c r="E10345" i="1"/>
  <c r="F10344" i="1"/>
  <c r="E10344" i="1"/>
  <c r="F10343" i="1"/>
  <c r="E10343" i="1"/>
  <c r="F10342" i="1"/>
  <c r="E10342" i="1"/>
  <c r="F10341" i="1"/>
  <c r="E10341" i="1"/>
  <c r="F10340" i="1"/>
  <c r="E10340" i="1"/>
  <c r="F10339" i="1"/>
  <c r="E10339" i="1"/>
  <c r="F10338" i="1"/>
  <c r="E10338" i="1"/>
  <c r="F10337" i="1"/>
  <c r="E10337" i="1"/>
  <c r="F10336" i="1"/>
  <c r="E10336" i="1"/>
  <c r="F10335" i="1"/>
  <c r="E10335" i="1"/>
  <c r="F10334" i="1"/>
  <c r="E10334" i="1"/>
  <c r="F10333" i="1"/>
  <c r="E10333" i="1"/>
  <c r="F10332" i="1"/>
  <c r="E10332" i="1"/>
  <c r="F10331" i="1"/>
  <c r="E10331" i="1"/>
  <c r="F10330" i="1"/>
  <c r="E10330" i="1"/>
  <c r="F10329" i="1"/>
  <c r="E10329" i="1"/>
  <c r="F10328" i="1"/>
  <c r="E10328" i="1"/>
  <c r="F10327" i="1"/>
  <c r="E10327" i="1"/>
  <c r="F10326" i="1"/>
  <c r="E10326" i="1"/>
  <c r="F10325" i="1"/>
  <c r="E10325" i="1"/>
  <c r="F10324" i="1"/>
  <c r="E10324" i="1"/>
  <c r="F10323" i="1"/>
  <c r="E10323" i="1"/>
  <c r="F10322" i="1"/>
  <c r="E10322" i="1"/>
  <c r="F10321" i="1"/>
  <c r="E10321" i="1"/>
  <c r="F10320" i="1"/>
  <c r="E10320" i="1"/>
  <c r="F10319" i="1"/>
  <c r="E10319" i="1"/>
  <c r="F10318" i="1"/>
  <c r="E10318" i="1"/>
  <c r="F10317" i="1"/>
  <c r="E10317" i="1"/>
  <c r="F10316" i="1"/>
  <c r="E10316" i="1"/>
  <c r="F10315" i="1"/>
  <c r="E10315" i="1"/>
  <c r="F10314" i="1"/>
  <c r="E10314" i="1"/>
  <c r="F10313" i="1"/>
  <c r="E10313" i="1"/>
  <c r="F10312" i="1"/>
  <c r="E10312" i="1"/>
  <c r="F10311" i="1"/>
  <c r="E10311" i="1"/>
  <c r="F10310" i="1"/>
  <c r="E10310" i="1"/>
  <c r="F10309" i="1"/>
  <c r="E10309" i="1"/>
  <c r="F10308" i="1"/>
  <c r="E10308" i="1"/>
  <c r="F10307" i="1"/>
  <c r="E10307" i="1"/>
  <c r="F10306" i="1"/>
  <c r="E10306" i="1"/>
  <c r="F10305" i="1"/>
  <c r="E10305" i="1"/>
  <c r="F10304" i="1"/>
  <c r="E10304" i="1"/>
  <c r="F10303" i="1"/>
  <c r="E10303" i="1"/>
  <c r="F10302" i="1"/>
  <c r="E10302" i="1"/>
  <c r="F10301" i="1"/>
  <c r="E10301" i="1"/>
  <c r="F10300" i="1"/>
  <c r="E10300" i="1"/>
  <c r="F10299" i="1"/>
  <c r="E10299" i="1"/>
  <c r="F10298" i="1"/>
  <c r="E10298" i="1"/>
  <c r="F10297" i="1"/>
  <c r="E10297" i="1"/>
  <c r="F10296" i="1"/>
  <c r="E10296" i="1"/>
  <c r="F10295" i="1"/>
  <c r="E10295" i="1"/>
  <c r="F10294" i="1"/>
  <c r="E10294" i="1"/>
  <c r="F10293" i="1"/>
  <c r="E10293" i="1"/>
  <c r="F10292" i="1"/>
  <c r="E10292" i="1"/>
  <c r="F10291" i="1"/>
  <c r="E10291" i="1"/>
  <c r="F10290" i="1"/>
  <c r="E10290" i="1"/>
  <c r="F10289" i="1"/>
  <c r="E10289" i="1"/>
  <c r="F10288" i="1"/>
  <c r="E10288" i="1"/>
  <c r="F10287" i="1"/>
  <c r="E10287" i="1"/>
  <c r="F10286" i="1"/>
  <c r="E10286" i="1"/>
  <c r="F10285" i="1"/>
  <c r="E10285" i="1"/>
  <c r="F10284" i="1"/>
  <c r="E10284" i="1"/>
  <c r="F10283" i="1"/>
  <c r="E10283" i="1"/>
  <c r="F10282" i="1"/>
  <c r="E10282" i="1"/>
  <c r="F10281" i="1"/>
  <c r="E10281" i="1"/>
  <c r="F10280" i="1"/>
  <c r="E10280" i="1"/>
  <c r="F10279" i="1"/>
  <c r="E10279" i="1"/>
  <c r="F10278" i="1"/>
  <c r="E10278" i="1"/>
  <c r="F10277" i="1"/>
  <c r="E10277" i="1"/>
  <c r="F10276" i="1"/>
  <c r="E10276" i="1"/>
  <c r="F10275" i="1"/>
  <c r="E10275" i="1"/>
  <c r="F10274" i="1"/>
  <c r="E10274" i="1"/>
  <c r="F10273" i="1"/>
  <c r="E10273" i="1"/>
  <c r="F10272" i="1"/>
  <c r="E10272" i="1"/>
  <c r="F10271" i="1"/>
  <c r="E10271" i="1"/>
  <c r="F10270" i="1"/>
  <c r="E10270" i="1"/>
  <c r="F10269" i="1"/>
  <c r="E10269" i="1"/>
  <c r="F10268" i="1"/>
  <c r="E10268" i="1"/>
  <c r="F10267" i="1"/>
  <c r="E10267" i="1"/>
  <c r="F10266" i="1"/>
  <c r="E10266" i="1"/>
  <c r="F10265" i="1"/>
  <c r="E10265" i="1"/>
  <c r="F10264" i="1"/>
  <c r="E10264" i="1"/>
  <c r="F10263" i="1"/>
  <c r="E10263" i="1"/>
  <c r="F10262" i="1"/>
  <c r="E10262" i="1"/>
  <c r="F10261" i="1"/>
  <c r="E10261" i="1"/>
  <c r="F10260" i="1"/>
  <c r="E10260" i="1"/>
  <c r="F10259" i="1"/>
  <c r="E10259" i="1"/>
  <c r="F10258" i="1"/>
  <c r="E10258" i="1"/>
  <c r="F10257" i="1"/>
  <c r="E10257" i="1"/>
  <c r="F10256" i="1"/>
  <c r="E10256" i="1"/>
  <c r="F10255" i="1"/>
  <c r="E10255" i="1"/>
  <c r="F10254" i="1"/>
  <c r="E10254" i="1"/>
  <c r="F10253" i="1"/>
  <c r="E10253" i="1"/>
  <c r="F10252" i="1"/>
  <c r="E10252" i="1"/>
  <c r="F10251" i="1"/>
  <c r="E10251" i="1"/>
  <c r="F10250" i="1"/>
  <c r="E10250" i="1"/>
  <c r="F10249" i="1"/>
  <c r="E10249" i="1"/>
  <c r="F10248" i="1"/>
  <c r="E10248" i="1"/>
  <c r="F10247" i="1"/>
  <c r="E10247" i="1"/>
  <c r="F10246" i="1"/>
  <c r="E10246" i="1"/>
  <c r="F10245" i="1"/>
  <c r="E10245" i="1"/>
  <c r="F10244" i="1"/>
  <c r="E10244" i="1"/>
  <c r="F10243" i="1"/>
  <c r="E10243" i="1"/>
  <c r="F10242" i="1"/>
  <c r="E10242" i="1"/>
  <c r="F10241" i="1"/>
  <c r="E10241" i="1"/>
  <c r="F10240" i="1"/>
  <c r="E10240" i="1"/>
  <c r="F10239" i="1"/>
  <c r="E10239" i="1"/>
  <c r="F10238" i="1"/>
  <c r="E10238" i="1"/>
  <c r="F10237" i="1"/>
  <c r="E10237" i="1"/>
  <c r="F10236" i="1"/>
  <c r="E10236" i="1"/>
  <c r="F10235" i="1"/>
  <c r="E10235" i="1"/>
  <c r="F10234" i="1"/>
  <c r="E10234" i="1"/>
  <c r="F10233" i="1"/>
  <c r="E10233" i="1"/>
  <c r="F10232" i="1"/>
  <c r="E10232" i="1"/>
  <c r="F10231" i="1"/>
  <c r="E10231" i="1"/>
  <c r="F10230" i="1"/>
  <c r="E10230" i="1"/>
  <c r="F10229" i="1"/>
  <c r="E10229" i="1"/>
  <c r="F10228" i="1"/>
  <c r="E10228" i="1"/>
  <c r="F10227" i="1"/>
  <c r="E10227" i="1"/>
  <c r="F10226" i="1"/>
  <c r="E10226" i="1"/>
  <c r="F10225" i="1"/>
  <c r="E10225" i="1"/>
  <c r="F10224" i="1"/>
  <c r="E10224" i="1"/>
  <c r="F10223" i="1"/>
  <c r="E10223" i="1"/>
  <c r="F10222" i="1"/>
  <c r="E10222" i="1"/>
  <c r="F10221" i="1"/>
  <c r="E10221" i="1"/>
  <c r="F10220" i="1"/>
  <c r="E10220" i="1"/>
  <c r="F10219" i="1"/>
  <c r="E10219" i="1"/>
  <c r="F10218" i="1"/>
  <c r="E10218" i="1"/>
  <c r="F10217" i="1"/>
  <c r="E10217" i="1"/>
  <c r="F10216" i="1"/>
  <c r="E10216" i="1"/>
  <c r="F10215" i="1"/>
  <c r="E10215" i="1"/>
  <c r="F10214" i="1"/>
  <c r="E10214" i="1"/>
  <c r="F10213" i="1"/>
  <c r="E10213" i="1"/>
  <c r="F10212" i="1"/>
  <c r="E10212" i="1"/>
  <c r="F10211" i="1"/>
  <c r="E10211" i="1"/>
  <c r="F10210" i="1"/>
  <c r="E10210" i="1"/>
  <c r="F10209" i="1"/>
  <c r="E10209" i="1"/>
  <c r="F10208" i="1"/>
  <c r="E10208" i="1"/>
  <c r="F10207" i="1"/>
  <c r="E10207" i="1"/>
  <c r="F10206" i="1"/>
  <c r="E10206" i="1"/>
  <c r="F10205" i="1"/>
  <c r="E10205" i="1"/>
  <c r="F10204" i="1"/>
  <c r="E10204" i="1"/>
  <c r="F10203" i="1"/>
  <c r="E10203" i="1"/>
  <c r="F10202" i="1"/>
  <c r="E10202" i="1"/>
  <c r="F10201" i="1"/>
  <c r="E10201" i="1"/>
  <c r="F10200" i="1"/>
  <c r="E10200" i="1"/>
  <c r="F10199" i="1"/>
  <c r="E10199" i="1"/>
  <c r="F10198" i="1"/>
  <c r="E10198" i="1"/>
  <c r="F10197" i="1"/>
  <c r="E10197" i="1"/>
  <c r="F10196" i="1"/>
  <c r="E10196" i="1"/>
  <c r="F10195" i="1"/>
  <c r="E10195" i="1"/>
  <c r="F10194" i="1"/>
  <c r="E10194" i="1"/>
  <c r="F10193" i="1"/>
  <c r="E10193" i="1"/>
  <c r="F10192" i="1"/>
  <c r="E10192" i="1"/>
  <c r="F10191" i="1"/>
  <c r="E10191" i="1"/>
  <c r="F10190" i="1"/>
  <c r="E10190" i="1"/>
  <c r="F10189" i="1"/>
  <c r="E10189" i="1"/>
  <c r="F10188" i="1"/>
  <c r="E10188" i="1"/>
  <c r="F10187" i="1"/>
  <c r="E10187" i="1"/>
  <c r="F10186" i="1"/>
  <c r="E10186" i="1"/>
  <c r="F10185" i="1"/>
  <c r="E10185" i="1"/>
  <c r="F10184" i="1"/>
  <c r="E10184" i="1"/>
  <c r="F10183" i="1"/>
  <c r="E10183" i="1"/>
  <c r="F10182" i="1"/>
  <c r="E10182" i="1"/>
  <c r="F10181" i="1"/>
  <c r="E10181" i="1"/>
  <c r="F10180" i="1"/>
  <c r="E10180" i="1"/>
  <c r="F10179" i="1"/>
  <c r="E10179" i="1"/>
  <c r="F10178" i="1"/>
  <c r="E10178" i="1"/>
  <c r="F10177" i="1"/>
  <c r="E10177" i="1"/>
  <c r="F10176" i="1"/>
  <c r="E10176" i="1"/>
  <c r="F10175" i="1"/>
  <c r="E10175" i="1"/>
  <c r="F10174" i="1"/>
  <c r="E10174" i="1"/>
  <c r="F10173" i="1"/>
  <c r="E10173" i="1"/>
  <c r="F10172" i="1"/>
  <c r="E10172" i="1"/>
  <c r="F10171" i="1"/>
  <c r="E10171" i="1"/>
  <c r="F10170" i="1"/>
  <c r="E10170" i="1"/>
  <c r="F10169" i="1"/>
  <c r="E10169" i="1"/>
  <c r="F10168" i="1"/>
  <c r="E10168" i="1"/>
  <c r="F10167" i="1"/>
  <c r="E10167" i="1"/>
  <c r="F10166" i="1"/>
  <c r="E10166" i="1"/>
  <c r="F10165" i="1"/>
  <c r="E10165" i="1"/>
  <c r="F10164" i="1"/>
  <c r="E10164" i="1"/>
  <c r="F10163" i="1"/>
  <c r="E10163" i="1"/>
  <c r="F10162" i="1"/>
  <c r="E10162" i="1"/>
  <c r="F10161" i="1"/>
  <c r="E10161" i="1"/>
  <c r="F10160" i="1"/>
  <c r="E10160" i="1"/>
  <c r="F10159" i="1"/>
  <c r="E10159" i="1"/>
  <c r="F10158" i="1"/>
  <c r="E10158" i="1"/>
  <c r="F10157" i="1"/>
  <c r="E10157" i="1"/>
  <c r="F10156" i="1"/>
  <c r="E10156" i="1"/>
  <c r="F10155" i="1"/>
  <c r="E10155" i="1"/>
  <c r="F10154" i="1"/>
  <c r="E10154" i="1"/>
  <c r="F10153" i="1"/>
  <c r="E10153" i="1"/>
  <c r="F10152" i="1"/>
  <c r="E10152" i="1"/>
  <c r="F10151" i="1"/>
  <c r="E10151" i="1"/>
  <c r="F10150" i="1"/>
  <c r="E10150" i="1"/>
  <c r="F10149" i="1"/>
  <c r="E10149" i="1"/>
  <c r="F10148" i="1"/>
  <c r="E10148" i="1"/>
  <c r="F10147" i="1"/>
  <c r="E10147" i="1"/>
  <c r="F10146" i="1"/>
  <c r="E10146" i="1"/>
  <c r="F10145" i="1"/>
  <c r="E10145" i="1"/>
  <c r="F10144" i="1"/>
  <c r="E10144" i="1"/>
  <c r="F10143" i="1"/>
  <c r="E10143" i="1"/>
  <c r="F10142" i="1"/>
  <c r="E10142" i="1"/>
  <c r="F10141" i="1"/>
  <c r="E10141" i="1"/>
  <c r="F10140" i="1"/>
  <c r="E10140" i="1"/>
  <c r="F10139" i="1"/>
  <c r="E10139" i="1"/>
  <c r="F10138" i="1"/>
  <c r="E10138" i="1"/>
  <c r="F10137" i="1"/>
  <c r="E10137" i="1"/>
  <c r="F10136" i="1"/>
  <c r="E10136" i="1"/>
  <c r="F10135" i="1"/>
  <c r="E10135" i="1"/>
  <c r="F10134" i="1"/>
  <c r="E10134" i="1"/>
  <c r="F10133" i="1"/>
  <c r="E10133" i="1"/>
  <c r="F10132" i="1"/>
  <c r="E10132" i="1"/>
  <c r="F10131" i="1"/>
  <c r="E10131" i="1"/>
  <c r="F10130" i="1"/>
  <c r="E10130" i="1"/>
  <c r="F10129" i="1"/>
  <c r="E10129" i="1"/>
  <c r="F10128" i="1"/>
  <c r="E10128" i="1"/>
  <c r="F10127" i="1"/>
  <c r="E10127" i="1"/>
  <c r="F10126" i="1"/>
  <c r="E10126" i="1"/>
  <c r="F10125" i="1"/>
  <c r="E10125" i="1"/>
  <c r="F10124" i="1"/>
  <c r="E10124" i="1"/>
  <c r="F10123" i="1"/>
  <c r="E10123" i="1"/>
  <c r="F10122" i="1"/>
  <c r="E10122" i="1"/>
  <c r="F10121" i="1"/>
  <c r="E10121" i="1"/>
  <c r="F10120" i="1"/>
  <c r="E10120" i="1"/>
  <c r="F10119" i="1"/>
  <c r="E10119" i="1"/>
  <c r="F10118" i="1"/>
  <c r="E10118" i="1"/>
  <c r="F10117" i="1"/>
  <c r="E10117" i="1"/>
  <c r="F10116" i="1"/>
  <c r="E10116" i="1"/>
  <c r="F10115" i="1"/>
  <c r="E10115" i="1"/>
  <c r="F10114" i="1"/>
  <c r="E10114" i="1"/>
  <c r="F10113" i="1"/>
  <c r="E10113" i="1"/>
  <c r="F10112" i="1"/>
  <c r="E10112" i="1"/>
  <c r="F10111" i="1"/>
  <c r="E10111" i="1"/>
  <c r="F10110" i="1"/>
  <c r="E10110" i="1"/>
  <c r="F10109" i="1"/>
  <c r="E10109" i="1"/>
  <c r="F10108" i="1"/>
  <c r="E10108" i="1"/>
  <c r="F10107" i="1"/>
  <c r="E10107" i="1"/>
  <c r="F10106" i="1"/>
  <c r="E10106" i="1"/>
  <c r="F10105" i="1"/>
  <c r="E10105" i="1"/>
  <c r="F10104" i="1"/>
  <c r="E10104" i="1"/>
  <c r="F10103" i="1"/>
  <c r="E10103" i="1"/>
  <c r="F10102" i="1"/>
  <c r="E10102" i="1"/>
  <c r="F10101" i="1"/>
  <c r="E10101" i="1"/>
  <c r="F10100" i="1"/>
  <c r="E10100" i="1"/>
  <c r="F10099" i="1"/>
  <c r="E10099" i="1"/>
  <c r="F10098" i="1"/>
  <c r="E10098" i="1"/>
  <c r="F10097" i="1"/>
  <c r="E10097" i="1"/>
  <c r="F10096" i="1"/>
  <c r="E10096" i="1"/>
  <c r="F10095" i="1"/>
  <c r="E10095" i="1"/>
  <c r="F10094" i="1"/>
  <c r="E10094" i="1"/>
  <c r="F10093" i="1"/>
  <c r="E10093" i="1"/>
  <c r="F10092" i="1"/>
  <c r="E10092" i="1"/>
  <c r="F10091" i="1"/>
  <c r="E10091" i="1"/>
  <c r="F10090" i="1"/>
  <c r="E10090" i="1"/>
  <c r="F10089" i="1"/>
  <c r="E10089" i="1"/>
  <c r="F10088" i="1"/>
  <c r="E10088" i="1"/>
  <c r="F10087" i="1"/>
  <c r="E10087" i="1"/>
  <c r="F10086" i="1"/>
  <c r="E10086" i="1"/>
  <c r="F10085" i="1"/>
  <c r="E10085" i="1"/>
  <c r="F10084" i="1"/>
  <c r="E10084" i="1"/>
  <c r="F10083" i="1"/>
  <c r="E10083" i="1"/>
  <c r="F10082" i="1"/>
  <c r="E10082" i="1"/>
  <c r="F10081" i="1"/>
  <c r="E10081" i="1"/>
  <c r="F10080" i="1"/>
  <c r="E10080" i="1"/>
  <c r="F10079" i="1"/>
  <c r="E10079" i="1"/>
  <c r="F10078" i="1"/>
  <c r="E10078" i="1"/>
  <c r="F10077" i="1"/>
  <c r="E10077" i="1"/>
  <c r="F10076" i="1"/>
  <c r="E10076" i="1"/>
  <c r="F10075" i="1"/>
  <c r="E10075" i="1"/>
  <c r="F10074" i="1"/>
  <c r="E10074" i="1"/>
  <c r="F10073" i="1"/>
  <c r="E10073" i="1"/>
  <c r="F10072" i="1"/>
  <c r="E10072" i="1"/>
  <c r="F10071" i="1"/>
  <c r="E10071" i="1"/>
  <c r="F10070" i="1"/>
  <c r="E10070" i="1"/>
  <c r="F10069" i="1"/>
  <c r="E10069" i="1"/>
  <c r="F10068" i="1"/>
  <c r="E10068" i="1"/>
  <c r="F10067" i="1"/>
  <c r="E10067" i="1"/>
  <c r="F10066" i="1"/>
  <c r="E10066" i="1"/>
  <c r="F10065" i="1"/>
  <c r="E10065" i="1"/>
  <c r="F10064" i="1"/>
  <c r="E10064" i="1"/>
  <c r="F10063" i="1"/>
  <c r="E10063" i="1"/>
  <c r="F10062" i="1"/>
  <c r="E10062" i="1"/>
  <c r="F10061" i="1"/>
  <c r="E10061" i="1"/>
  <c r="F10060" i="1"/>
  <c r="E10060" i="1"/>
  <c r="F10059" i="1"/>
  <c r="E10059" i="1"/>
  <c r="F10058" i="1"/>
  <c r="E10058" i="1"/>
  <c r="F10057" i="1"/>
  <c r="E10057" i="1"/>
  <c r="F10056" i="1"/>
  <c r="E10056" i="1"/>
  <c r="F10055" i="1"/>
  <c r="E10055" i="1"/>
  <c r="F10054" i="1"/>
  <c r="E10054" i="1"/>
  <c r="F10053" i="1"/>
  <c r="E10053" i="1"/>
  <c r="F10052" i="1"/>
  <c r="E10052" i="1"/>
  <c r="F10051" i="1"/>
  <c r="E10051" i="1"/>
  <c r="F10050" i="1"/>
  <c r="E10050" i="1"/>
  <c r="F10049" i="1"/>
  <c r="E10049" i="1"/>
  <c r="F10048" i="1"/>
  <c r="E10048" i="1"/>
  <c r="F10047" i="1"/>
  <c r="E10047" i="1"/>
  <c r="F10046" i="1"/>
  <c r="E10046" i="1"/>
  <c r="F10045" i="1"/>
  <c r="E10045" i="1"/>
  <c r="F10044" i="1"/>
  <c r="E10044" i="1"/>
  <c r="F10043" i="1"/>
  <c r="E10043" i="1"/>
  <c r="F10042" i="1"/>
  <c r="E10042" i="1"/>
  <c r="F10041" i="1"/>
  <c r="E10041" i="1"/>
  <c r="F10040" i="1"/>
  <c r="E10040" i="1"/>
  <c r="F10039" i="1"/>
  <c r="E10039" i="1"/>
  <c r="F10038" i="1"/>
  <c r="E10038" i="1"/>
  <c r="F10037" i="1"/>
  <c r="E10037" i="1"/>
  <c r="F10036" i="1"/>
  <c r="E10036" i="1"/>
  <c r="F10035" i="1"/>
  <c r="E10035" i="1"/>
  <c r="F10034" i="1"/>
  <c r="E10034" i="1"/>
  <c r="F10033" i="1"/>
  <c r="E10033" i="1"/>
  <c r="F10032" i="1"/>
  <c r="E10032" i="1"/>
  <c r="F10031" i="1"/>
  <c r="E10031" i="1"/>
  <c r="F10030" i="1"/>
  <c r="E10030" i="1"/>
  <c r="F10029" i="1"/>
  <c r="E10029" i="1"/>
  <c r="F10028" i="1"/>
  <c r="E10028" i="1"/>
  <c r="F10027" i="1"/>
  <c r="E10027" i="1"/>
  <c r="F10026" i="1"/>
  <c r="E10026" i="1"/>
  <c r="F10025" i="1"/>
  <c r="E10025" i="1"/>
  <c r="F10024" i="1"/>
  <c r="E10024" i="1"/>
  <c r="F10023" i="1"/>
  <c r="E10023" i="1"/>
  <c r="F10022" i="1"/>
  <c r="E10022" i="1"/>
  <c r="F10021" i="1"/>
  <c r="E10021" i="1"/>
  <c r="F10020" i="1"/>
  <c r="E10020" i="1"/>
  <c r="F10019" i="1"/>
  <c r="E10019" i="1"/>
  <c r="F10018" i="1"/>
  <c r="E10018" i="1"/>
  <c r="F10017" i="1"/>
  <c r="E10017" i="1"/>
  <c r="F10016" i="1"/>
  <c r="E10016" i="1"/>
  <c r="F10015" i="1"/>
  <c r="E10015" i="1"/>
  <c r="F10014" i="1"/>
  <c r="E10014" i="1"/>
  <c r="F10013" i="1"/>
  <c r="E10013" i="1"/>
  <c r="F10012" i="1"/>
  <c r="E10012" i="1"/>
  <c r="F10011" i="1"/>
  <c r="E10011" i="1"/>
  <c r="F10010" i="1"/>
  <c r="E10010" i="1"/>
  <c r="F10009" i="1"/>
  <c r="E10009" i="1"/>
  <c r="F10008" i="1"/>
  <c r="E10008" i="1"/>
  <c r="F10007" i="1"/>
  <c r="E10007" i="1"/>
  <c r="F10006" i="1"/>
  <c r="E10006" i="1"/>
  <c r="F10005" i="1"/>
  <c r="E10005" i="1"/>
  <c r="F10004" i="1"/>
  <c r="E10004" i="1"/>
  <c r="F10003" i="1"/>
  <c r="E10003" i="1"/>
  <c r="F10002" i="1"/>
  <c r="E10002" i="1"/>
  <c r="F10001" i="1"/>
  <c r="E10001" i="1"/>
  <c r="F10000" i="1"/>
  <c r="E10000" i="1"/>
  <c r="F9999" i="1"/>
  <c r="E9999" i="1"/>
  <c r="F9998" i="1"/>
  <c r="E9998" i="1"/>
  <c r="F9997" i="1"/>
  <c r="E9997" i="1"/>
  <c r="F9996" i="1"/>
  <c r="E9996" i="1"/>
  <c r="F9995" i="1"/>
  <c r="E9995" i="1"/>
  <c r="F9994" i="1"/>
  <c r="E9994" i="1"/>
  <c r="F9993" i="1"/>
  <c r="E9993" i="1"/>
  <c r="F9992" i="1"/>
  <c r="E9992" i="1"/>
  <c r="F9991" i="1"/>
  <c r="E9991" i="1"/>
  <c r="F9990" i="1"/>
  <c r="E9990" i="1"/>
  <c r="F9989" i="1"/>
  <c r="E9989" i="1"/>
  <c r="F9988" i="1"/>
  <c r="E9988" i="1"/>
  <c r="F9987" i="1"/>
  <c r="E9987" i="1"/>
  <c r="F9986" i="1"/>
  <c r="E9986" i="1"/>
  <c r="F9985" i="1"/>
  <c r="E9985" i="1"/>
  <c r="F9984" i="1"/>
  <c r="E9984" i="1"/>
  <c r="F9983" i="1"/>
  <c r="E9983" i="1"/>
  <c r="F9982" i="1"/>
  <c r="E9982" i="1"/>
  <c r="F9981" i="1"/>
  <c r="E9981" i="1"/>
  <c r="F9980" i="1"/>
  <c r="E9980" i="1"/>
  <c r="F9979" i="1"/>
  <c r="E9979" i="1"/>
  <c r="F9978" i="1"/>
  <c r="E9978" i="1"/>
  <c r="F9977" i="1"/>
  <c r="E9977" i="1"/>
  <c r="F9976" i="1"/>
  <c r="E9976" i="1"/>
  <c r="F9975" i="1"/>
  <c r="E9975" i="1"/>
  <c r="F9974" i="1"/>
  <c r="E9974" i="1"/>
  <c r="F9973" i="1"/>
  <c r="E9973" i="1"/>
  <c r="F9972" i="1"/>
  <c r="E9972" i="1"/>
  <c r="F9971" i="1"/>
  <c r="E9971" i="1"/>
  <c r="F9970" i="1"/>
  <c r="E9970" i="1"/>
  <c r="F9969" i="1"/>
  <c r="E9969" i="1"/>
  <c r="F9968" i="1"/>
  <c r="E9968" i="1"/>
  <c r="F9967" i="1"/>
  <c r="E9967" i="1"/>
  <c r="F9966" i="1"/>
  <c r="E9966" i="1"/>
  <c r="F9965" i="1"/>
  <c r="E9965" i="1"/>
  <c r="F9964" i="1"/>
  <c r="E9964" i="1"/>
  <c r="F9963" i="1"/>
  <c r="E9963" i="1"/>
  <c r="F9962" i="1"/>
  <c r="E9962" i="1"/>
  <c r="F9961" i="1"/>
  <c r="E9961" i="1"/>
  <c r="F9960" i="1"/>
  <c r="E9960" i="1"/>
  <c r="F9959" i="1"/>
  <c r="E9959" i="1"/>
  <c r="F9958" i="1"/>
  <c r="E9958" i="1"/>
  <c r="F9957" i="1"/>
  <c r="E9957" i="1"/>
  <c r="F9956" i="1"/>
  <c r="E9956" i="1"/>
  <c r="F9955" i="1"/>
  <c r="E9955" i="1"/>
  <c r="F9954" i="1"/>
  <c r="E9954" i="1"/>
  <c r="F9953" i="1"/>
  <c r="E9953" i="1"/>
  <c r="F9952" i="1"/>
  <c r="E9952" i="1"/>
  <c r="F9951" i="1"/>
  <c r="E9951" i="1"/>
  <c r="F9950" i="1"/>
  <c r="E9950" i="1"/>
  <c r="F9949" i="1"/>
  <c r="E9949" i="1"/>
  <c r="F9948" i="1"/>
  <c r="E9948" i="1"/>
  <c r="F9947" i="1"/>
  <c r="E9947" i="1"/>
  <c r="F9946" i="1"/>
  <c r="E9946" i="1"/>
  <c r="F9945" i="1"/>
  <c r="E9945" i="1"/>
  <c r="F9944" i="1"/>
  <c r="E9944" i="1"/>
  <c r="F9943" i="1"/>
  <c r="E9943" i="1"/>
  <c r="F9942" i="1"/>
  <c r="E9942" i="1"/>
  <c r="F9941" i="1"/>
  <c r="E9941" i="1"/>
  <c r="F9940" i="1"/>
  <c r="E9940" i="1"/>
  <c r="F9939" i="1"/>
  <c r="E9939" i="1"/>
  <c r="F9938" i="1"/>
  <c r="E9938" i="1"/>
  <c r="F9937" i="1"/>
  <c r="E9937" i="1"/>
  <c r="F9936" i="1"/>
  <c r="E9936" i="1"/>
  <c r="F9935" i="1"/>
  <c r="E9935" i="1"/>
  <c r="F9934" i="1"/>
  <c r="E9934" i="1"/>
  <c r="F9933" i="1"/>
  <c r="E9933" i="1"/>
  <c r="F9932" i="1"/>
  <c r="E9932" i="1"/>
  <c r="F9931" i="1"/>
  <c r="E9931" i="1"/>
  <c r="F9930" i="1"/>
  <c r="E9930" i="1"/>
  <c r="F9929" i="1"/>
  <c r="E9929" i="1"/>
  <c r="F9928" i="1"/>
  <c r="E9928" i="1"/>
  <c r="F9927" i="1"/>
  <c r="E9927" i="1"/>
  <c r="F9926" i="1"/>
  <c r="E9926" i="1"/>
  <c r="F9925" i="1"/>
  <c r="E9925" i="1"/>
  <c r="F9924" i="1"/>
  <c r="E9924" i="1"/>
  <c r="F9923" i="1"/>
  <c r="E9923" i="1"/>
  <c r="F9922" i="1"/>
  <c r="E9922" i="1"/>
  <c r="F9921" i="1"/>
  <c r="E9921" i="1"/>
  <c r="F9920" i="1"/>
  <c r="E9920" i="1"/>
  <c r="F9919" i="1"/>
  <c r="E9919" i="1"/>
  <c r="F9918" i="1"/>
  <c r="E9918" i="1"/>
  <c r="F9917" i="1"/>
  <c r="E9917" i="1"/>
  <c r="F9916" i="1"/>
  <c r="E9916" i="1"/>
  <c r="F9915" i="1"/>
  <c r="E9915" i="1"/>
  <c r="F9914" i="1"/>
  <c r="E9914" i="1"/>
  <c r="F9913" i="1"/>
  <c r="E9913" i="1"/>
  <c r="F9912" i="1"/>
  <c r="E9912" i="1"/>
  <c r="F9911" i="1"/>
  <c r="E9911" i="1"/>
  <c r="F9910" i="1"/>
  <c r="E9910" i="1"/>
  <c r="F9909" i="1"/>
  <c r="E9909" i="1"/>
  <c r="F9908" i="1"/>
  <c r="E9908" i="1"/>
  <c r="F9907" i="1"/>
  <c r="E9907" i="1"/>
  <c r="F9906" i="1"/>
  <c r="E9906" i="1"/>
  <c r="F9905" i="1"/>
  <c r="E9905" i="1"/>
  <c r="F9904" i="1"/>
  <c r="E9904" i="1"/>
  <c r="F9903" i="1"/>
  <c r="E9903" i="1"/>
  <c r="F9902" i="1"/>
  <c r="E9902" i="1"/>
  <c r="F9901" i="1"/>
  <c r="E9901" i="1"/>
  <c r="F9900" i="1"/>
  <c r="E9900" i="1"/>
  <c r="F9899" i="1"/>
  <c r="E9899" i="1"/>
  <c r="F9898" i="1"/>
  <c r="E9898" i="1"/>
  <c r="F9897" i="1"/>
  <c r="E9897" i="1"/>
  <c r="F9896" i="1"/>
  <c r="E9896" i="1"/>
  <c r="F9895" i="1"/>
  <c r="E9895" i="1"/>
  <c r="F9894" i="1"/>
  <c r="E9894" i="1"/>
  <c r="F9893" i="1"/>
  <c r="E9893" i="1"/>
  <c r="F9892" i="1"/>
  <c r="E9892" i="1"/>
  <c r="F9891" i="1"/>
  <c r="E9891" i="1"/>
  <c r="F9890" i="1"/>
  <c r="E9890" i="1"/>
  <c r="F9889" i="1"/>
  <c r="E9889" i="1"/>
  <c r="F9888" i="1"/>
  <c r="E9888" i="1"/>
  <c r="F9887" i="1"/>
  <c r="E9887" i="1"/>
  <c r="F9886" i="1"/>
  <c r="E9886" i="1"/>
  <c r="F9885" i="1"/>
  <c r="E9885" i="1"/>
  <c r="F9884" i="1"/>
  <c r="E9884" i="1"/>
  <c r="F9883" i="1"/>
  <c r="E9883" i="1"/>
  <c r="F9882" i="1"/>
  <c r="E9882" i="1"/>
  <c r="F9881" i="1"/>
  <c r="E9881" i="1"/>
  <c r="F9880" i="1"/>
  <c r="E9880" i="1"/>
  <c r="F9879" i="1"/>
  <c r="E9879" i="1"/>
  <c r="F9878" i="1"/>
  <c r="E9878" i="1"/>
  <c r="F9877" i="1"/>
  <c r="E9877" i="1"/>
  <c r="F9876" i="1"/>
  <c r="E9876" i="1"/>
  <c r="F9875" i="1"/>
  <c r="E9875" i="1"/>
  <c r="F9874" i="1"/>
  <c r="E9874" i="1"/>
  <c r="F9873" i="1"/>
  <c r="E9873" i="1"/>
  <c r="F9872" i="1"/>
  <c r="E9872" i="1"/>
  <c r="F9871" i="1"/>
  <c r="E9871" i="1"/>
  <c r="F9870" i="1"/>
  <c r="E9870" i="1"/>
  <c r="F9869" i="1"/>
  <c r="E9869" i="1"/>
  <c r="F9868" i="1"/>
  <c r="E9868" i="1"/>
  <c r="F9867" i="1"/>
  <c r="E9867" i="1"/>
  <c r="F9866" i="1"/>
  <c r="E9866" i="1"/>
  <c r="F9865" i="1"/>
  <c r="E9865" i="1"/>
  <c r="F9864" i="1"/>
  <c r="E9864" i="1"/>
  <c r="F9863" i="1"/>
  <c r="E9863" i="1"/>
  <c r="F9862" i="1"/>
  <c r="E9862" i="1"/>
  <c r="F9861" i="1"/>
  <c r="E9861" i="1"/>
  <c r="F9860" i="1"/>
  <c r="E9860" i="1"/>
  <c r="F9859" i="1"/>
  <c r="E9859" i="1"/>
  <c r="F9858" i="1"/>
  <c r="E9858" i="1"/>
  <c r="F9857" i="1"/>
  <c r="E9857" i="1"/>
  <c r="F9856" i="1"/>
  <c r="E9856" i="1"/>
  <c r="F9855" i="1"/>
  <c r="E9855" i="1"/>
  <c r="F9854" i="1"/>
  <c r="E9854" i="1"/>
  <c r="F9853" i="1"/>
  <c r="E9853" i="1"/>
  <c r="F9852" i="1"/>
  <c r="E9852" i="1"/>
  <c r="F9851" i="1"/>
  <c r="E9851" i="1"/>
  <c r="F9850" i="1"/>
  <c r="E9850" i="1"/>
  <c r="F9849" i="1"/>
  <c r="E9849" i="1"/>
  <c r="F9848" i="1"/>
  <c r="E9848" i="1"/>
  <c r="F9847" i="1"/>
  <c r="E9847" i="1"/>
  <c r="F9846" i="1"/>
  <c r="E9846" i="1"/>
  <c r="F9845" i="1"/>
  <c r="E9845" i="1"/>
  <c r="F9844" i="1"/>
  <c r="E9844" i="1"/>
  <c r="F9843" i="1"/>
  <c r="E9843" i="1"/>
  <c r="F9842" i="1"/>
  <c r="E9842" i="1"/>
  <c r="F9841" i="1"/>
  <c r="E9841" i="1"/>
  <c r="F9840" i="1"/>
  <c r="E9840" i="1"/>
  <c r="F9839" i="1"/>
  <c r="E9839" i="1"/>
  <c r="F9838" i="1"/>
  <c r="E9838" i="1"/>
  <c r="F9837" i="1"/>
  <c r="E9837" i="1"/>
  <c r="F9836" i="1"/>
  <c r="E9836" i="1"/>
  <c r="F9835" i="1"/>
  <c r="E9835" i="1"/>
  <c r="F9834" i="1"/>
  <c r="E9834" i="1"/>
  <c r="F9833" i="1"/>
  <c r="E9833" i="1"/>
  <c r="F9832" i="1"/>
  <c r="E9832" i="1"/>
  <c r="F9831" i="1"/>
  <c r="E9831" i="1"/>
  <c r="F9830" i="1"/>
  <c r="E9830" i="1"/>
  <c r="F9829" i="1"/>
  <c r="E9829" i="1"/>
  <c r="F9828" i="1"/>
  <c r="E9828" i="1"/>
  <c r="F9827" i="1"/>
  <c r="E9827" i="1"/>
  <c r="F9826" i="1"/>
  <c r="E9826" i="1"/>
  <c r="F9825" i="1"/>
  <c r="E9825" i="1"/>
  <c r="F9824" i="1"/>
  <c r="E9824" i="1"/>
  <c r="F9823" i="1"/>
  <c r="E9823" i="1"/>
  <c r="F9822" i="1"/>
  <c r="E9822" i="1"/>
  <c r="F9821" i="1"/>
  <c r="E9821" i="1"/>
  <c r="F9820" i="1"/>
  <c r="E9820" i="1"/>
  <c r="F9819" i="1"/>
  <c r="E9819" i="1"/>
  <c r="F9818" i="1"/>
  <c r="E9818" i="1"/>
  <c r="F9817" i="1"/>
  <c r="E9817" i="1"/>
  <c r="F9816" i="1"/>
  <c r="E9816" i="1"/>
  <c r="F9815" i="1"/>
  <c r="E9815" i="1"/>
  <c r="F9814" i="1"/>
  <c r="E9814" i="1"/>
  <c r="F9813" i="1"/>
  <c r="E9813" i="1"/>
  <c r="F9812" i="1"/>
  <c r="E9812" i="1"/>
  <c r="F9811" i="1"/>
  <c r="E9811" i="1"/>
  <c r="F9810" i="1"/>
  <c r="E9810" i="1"/>
  <c r="F9809" i="1"/>
  <c r="E9809" i="1"/>
  <c r="F9808" i="1"/>
  <c r="E9808" i="1"/>
  <c r="F9807" i="1"/>
  <c r="E9807" i="1"/>
  <c r="F9806" i="1"/>
  <c r="E9806" i="1"/>
  <c r="F9805" i="1"/>
  <c r="E9805" i="1"/>
  <c r="F9804" i="1"/>
  <c r="E9804" i="1"/>
  <c r="F9803" i="1"/>
  <c r="E9803" i="1"/>
  <c r="F9802" i="1"/>
  <c r="E9802" i="1"/>
  <c r="F9801" i="1"/>
  <c r="E9801" i="1"/>
  <c r="F9800" i="1"/>
  <c r="E9800" i="1"/>
  <c r="F9799" i="1"/>
  <c r="E9799" i="1"/>
  <c r="F9798" i="1"/>
  <c r="E9798" i="1"/>
  <c r="F9797" i="1"/>
  <c r="E9797" i="1"/>
  <c r="F9796" i="1"/>
  <c r="E9796" i="1"/>
  <c r="F9795" i="1"/>
  <c r="E9795" i="1"/>
  <c r="F9794" i="1"/>
  <c r="E9794" i="1"/>
  <c r="F9793" i="1"/>
  <c r="E9793" i="1"/>
  <c r="F9792" i="1"/>
  <c r="E9792" i="1"/>
  <c r="F9791" i="1"/>
  <c r="E9791" i="1"/>
  <c r="F9790" i="1"/>
  <c r="E9790" i="1"/>
  <c r="F9789" i="1"/>
  <c r="E9789" i="1"/>
  <c r="F9788" i="1"/>
  <c r="E9788" i="1"/>
  <c r="F9787" i="1"/>
  <c r="E9787" i="1"/>
  <c r="F9786" i="1"/>
  <c r="E9786" i="1"/>
  <c r="F9785" i="1"/>
  <c r="E9785" i="1"/>
  <c r="F9784" i="1"/>
  <c r="E9784" i="1"/>
  <c r="F9783" i="1"/>
  <c r="E9783" i="1"/>
  <c r="F9782" i="1"/>
  <c r="E9782" i="1"/>
  <c r="F9781" i="1"/>
  <c r="E9781" i="1"/>
  <c r="F9780" i="1"/>
  <c r="E9780" i="1"/>
  <c r="F9779" i="1"/>
  <c r="E9779" i="1"/>
  <c r="F9778" i="1"/>
  <c r="E9778" i="1"/>
  <c r="F9777" i="1"/>
  <c r="E9777" i="1"/>
  <c r="F9776" i="1"/>
  <c r="E9776" i="1"/>
  <c r="F9775" i="1"/>
  <c r="E9775" i="1"/>
  <c r="F9774" i="1"/>
  <c r="E9774" i="1"/>
  <c r="F9773" i="1"/>
  <c r="E9773" i="1"/>
  <c r="F9772" i="1"/>
  <c r="E9772" i="1"/>
  <c r="F9771" i="1"/>
  <c r="E9771" i="1"/>
  <c r="F9770" i="1"/>
  <c r="E9770" i="1"/>
  <c r="F9769" i="1"/>
  <c r="E9769" i="1"/>
  <c r="F9768" i="1"/>
  <c r="E9768" i="1"/>
  <c r="F9767" i="1"/>
  <c r="E9767" i="1"/>
  <c r="F9766" i="1"/>
  <c r="E9766" i="1"/>
  <c r="F9765" i="1"/>
  <c r="E9765" i="1"/>
  <c r="F9764" i="1"/>
  <c r="E9764" i="1"/>
  <c r="F9763" i="1"/>
  <c r="E9763" i="1"/>
  <c r="F9762" i="1"/>
  <c r="E9762" i="1"/>
  <c r="F9761" i="1"/>
  <c r="E9761" i="1"/>
  <c r="F9760" i="1"/>
  <c r="E9760" i="1"/>
  <c r="F9759" i="1"/>
  <c r="E9759" i="1"/>
  <c r="F9758" i="1"/>
  <c r="E9758" i="1"/>
  <c r="F9757" i="1"/>
  <c r="E9757" i="1"/>
  <c r="F9756" i="1"/>
  <c r="E9756" i="1"/>
  <c r="F9755" i="1"/>
  <c r="E9755" i="1"/>
  <c r="F9754" i="1"/>
  <c r="E9754" i="1"/>
  <c r="F9753" i="1"/>
  <c r="E9753" i="1"/>
  <c r="F9752" i="1"/>
  <c r="E9752" i="1"/>
  <c r="F9751" i="1"/>
  <c r="E9751" i="1"/>
  <c r="F9750" i="1"/>
  <c r="E9750" i="1"/>
  <c r="F9749" i="1"/>
  <c r="E9749" i="1"/>
  <c r="F9748" i="1"/>
  <c r="E9748" i="1"/>
  <c r="F9747" i="1"/>
  <c r="E9747" i="1"/>
  <c r="F9746" i="1"/>
  <c r="E9746" i="1"/>
  <c r="F9745" i="1"/>
  <c r="E9745" i="1"/>
  <c r="F9744" i="1"/>
  <c r="E9744" i="1"/>
  <c r="F9743" i="1"/>
  <c r="E9743" i="1"/>
  <c r="F9742" i="1"/>
  <c r="E9742" i="1"/>
  <c r="F9741" i="1"/>
  <c r="E9741" i="1"/>
  <c r="F9740" i="1"/>
  <c r="E9740" i="1"/>
  <c r="F9739" i="1"/>
  <c r="E9739" i="1"/>
  <c r="F9738" i="1"/>
  <c r="E9738" i="1"/>
  <c r="F9737" i="1"/>
  <c r="E9737" i="1"/>
  <c r="F9736" i="1"/>
  <c r="E9736" i="1"/>
  <c r="F9735" i="1"/>
  <c r="E9735" i="1"/>
  <c r="F9734" i="1"/>
  <c r="E9734" i="1"/>
  <c r="F9733" i="1"/>
  <c r="E9733" i="1"/>
  <c r="F9732" i="1"/>
  <c r="E9732" i="1"/>
  <c r="F9731" i="1"/>
  <c r="E9731" i="1"/>
  <c r="F9730" i="1"/>
  <c r="E9730" i="1"/>
  <c r="F9729" i="1"/>
  <c r="E9729" i="1"/>
  <c r="F9728" i="1"/>
  <c r="E9728" i="1"/>
  <c r="F9727" i="1"/>
  <c r="E9727" i="1"/>
  <c r="F9726" i="1"/>
  <c r="E9726" i="1"/>
  <c r="F9725" i="1"/>
  <c r="E9725" i="1"/>
  <c r="F9724" i="1"/>
  <c r="E9724" i="1"/>
  <c r="F9723" i="1"/>
  <c r="E9723" i="1"/>
  <c r="F9722" i="1"/>
  <c r="E9722" i="1"/>
  <c r="F9721" i="1"/>
  <c r="E9721" i="1"/>
  <c r="F9720" i="1"/>
  <c r="E9720" i="1"/>
  <c r="F9719" i="1"/>
  <c r="E9719" i="1"/>
  <c r="F9718" i="1"/>
  <c r="E9718" i="1"/>
  <c r="F9717" i="1"/>
  <c r="E9717" i="1"/>
  <c r="F9716" i="1"/>
  <c r="E9716" i="1"/>
  <c r="F9715" i="1"/>
  <c r="E9715" i="1"/>
  <c r="F9714" i="1"/>
  <c r="E9714" i="1"/>
  <c r="F9713" i="1"/>
  <c r="E9713" i="1"/>
  <c r="F9712" i="1"/>
  <c r="E9712" i="1"/>
  <c r="F9711" i="1"/>
  <c r="E9711" i="1"/>
  <c r="F9710" i="1"/>
  <c r="E9710" i="1"/>
  <c r="F9709" i="1"/>
  <c r="E9709" i="1"/>
  <c r="F9708" i="1"/>
  <c r="E9708" i="1"/>
  <c r="F9707" i="1"/>
  <c r="E9707" i="1"/>
  <c r="F9706" i="1"/>
  <c r="E9706" i="1"/>
  <c r="F9705" i="1"/>
  <c r="E9705" i="1"/>
  <c r="F9704" i="1"/>
  <c r="E9704" i="1"/>
  <c r="F9703" i="1"/>
  <c r="E9703" i="1"/>
  <c r="F9702" i="1"/>
  <c r="E9702" i="1"/>
  <c r="F9701" i="1"/>
  <c r="E9701" i="1"/>
  <c r="F9700" i="1"/>
  <c r="E9700" i="1"/>
  <c r="F9699" i="1"/>
  <c r="E9699" i="1"/>
  <c r="F9698" i="1"/>
  <c r="E9698" i="1"/>
  <c r="F9697" i="1"/>
  <c r="E9697" i="1"/>
  <c r="F9696" i="1"/>
  <c r="E9696" i="1"/>
  <c r="F9695" i="1"/>
  <c r="E9695" i="1"/>
  <c r="F9694" i="1"/>
  <c r="E9694" i="1"/>
  <c r="F9693" i="1"/>
  <c r="E9693" i="1"/>
  <c r="F9692" i="1"/>
  <c r="E9692" i="1"/>
  <c r="F9691" i="1"/>
  <c r="E9691" i="1"/>
  <c r="F9690" i="1"/>
  <c r="E9690" i="1"/>
  <c r="F9689" i="1"/>
  <c r="E9689" i="1"/>
  <c r="F9688" i="1"/>
  <c r="E9688" i="1"/>
  <c r="F9687" i="1"/>
  <c r="E9687" i="1"/>
  <c r="F9686" i="1"/>
  <c r="E9686" i="1"/>
  <c r="F9685" i="1"/>
  <c r="E9685" i="1"/>
  <c r="F9684" i="1"/>
  <c r="E9684" i="1"/>
  <c r="F9683" i="1"/>
  <c r="E9683" i="1"/>
  <c r="F9682" i="1"/>
  <c r="E9682" i="1"/>
  <c r="F9681" i="1"/>
  <c r="E9681" i="1"/>
  <c r="F9680" i="1"/>
  <c r="E9680" i="1"/>
  <c r="F9679" i="1"/>
  <c r="E9679" i="1"/>
  <c r="F9678" i="1"/>
  <c r="E9678" i="1"/>
  <c r="F9677" i="1"/>
  <c r="E9677" i="1"/>
  <c r="F9676" i="1"/>
  <c r="E9676" i="1"/>
  <c r="F9675" i="1"/>
  <c r="E9675" i="1"/>
  <c r="F9674" i="1"/>
  <c r="E9674" i="1"/>
  <c r="F9673" i="1"/>
  <c r="E9673" i="1"/>
  <c r="F9672" i="1"/>
  <c r="E9672" i="1"/>
  <c r="F9671" i="1"/>
  <c r="E9671" i="1"/>
  <c r="F9670" i="1"/>
  <c r="E9670" i="1"/>
  <c r="F9669" i="1"/>
  <c r="E9669" i="1"/>
  <c r="F9668" i="1"/>
  <c r="E9668" i="1"/>
  <c r="F9667" i="1"/>
  <c r="E9667" i="1"/>
  <c r="F9666" i="1"/>
  <c r="E9666" i="1"/>
  <c r="F9665" i="1"/>
  <c r="E9665" i="1"/>
  <c r="F9664" i="1"/>
  <c r="E9664" i="1"/>
  <c r="F9663" i="1"/>
  <c r="E9663" i="1"/>
  <c r="F9662" i="1"/>
  <c r="E9662" i="1"/>
  <c r="F9661" i="1"/>
  <c r="E9661" i="1"/>
  <c r="F9660" i="1"/>
  <c r="E9660" i="1"/>
  <c r="F9659" i="1"/>
  <c r="E9659" i="1"/>
  <c r="F9658" i="1"/>
  <c r="E9658" i="1"/>
  <c r="F9657" i="1"/>
  <c r="E9657" i="1"/>
  <c r="F9656" i="1"/>
  <c r="E9656" i="1"/>
  <c r="F9655" i="1"/>
  <c r="E9655" i="1"/>
  <c r="F9654" i="1"/>
  <c r="E9654" i="1"/>
  <c r="F9653" i="1"/>
  <c r="E9653" i="1"/>
  <c r="F9652" i="1"/>
  <c r="E9652" i="1"/>
  <c r="F9651" i="1"/>
  <c r="E9651" i="1"/>
  <c r="F9650" i="1"/>
  <c r="E9650" i="1"/>
  <c r="F9649" i="1"/>
  <c r="E9649" i="1"/>
  <c r="F9648" i="1"/>
  <c r="E9648" i="1"/>
  <c r="F9647" i="1"/>
  <c r="E9647" i="1"/>
  <c r="F9646" i="1"/>
  <c r="E9646" i="1"/>
  <c r="F9645" i="1"/>
  <c r="E9645" i="1"/>
  <c r="F9644" i="1"/>
  <c r="E9644" i="1"/>
  <c r="F9643" i="1"/>
  <c r="E9643" i="1"/>
  <c r="F9642" i="1"/>
  <c r="E9642" i="1"/>
  <c r="F9641" i="1"/>
  <c r="E9641" i="1"/>
  <c r="F9640" i="1"/>
  <c r="E9640" i="1"/>
  <c r="F9639" i="1"/>
  <c r="E9639" i="1"/>
  <c r="F9638" i="1"/>
  <c r="E9638" i="1"/>
  <c r="F9637" i="1"/>
  <c r="E9637" i="1"/>
  <c r="F9636" i="1"/>
  <c r="E9636" i="1"/>
  <c r="F9635" i="1"/>
  <c r="E9635" i="1"/>
  <c r="F9634" i="1"/>
  <c r="E9634" i="1"/>
  <c r="F9633" i="1"/>
  <c r="E9633" i="1"/>
  <c r="F9632" i="1"/>
  <c r="E9632" i="1"/>
  <c r="F9631" i="1"/>
  <c r="E9631" i="1"/>
  <c r="F9630" i="1"/>
  <c r="E9630" i="1"/>
  <c r="F9629" i="1"/>
  <c r="E9629" i="1"/>
  <c r="F9628" i="1"/>
  <c r="E9628" i="1"/>
  <c r="F9627" i="1"/>
  <c r="E9627" i="1"/>
  <c r="F9626" i="1"/>
  <c r="F9625" i="1"/>
  <c r="E9625" i="1"/>
  <c r="F9624" i="1"/>
  <c r="E9624" i="1"/>
  <c r="F9623" i="1"/>
  <c r="E9623" i="1"/>
  <c r="F9622" i="1"/>
  <c r="E9622" i="1"/>
  <c r="F9621" i="1"/>
  <c r="E9621" i="1"/>
  <c r="F9620" i="1"/>
  <c r="E9620" i="1"/>
  <c r="F9619" i="1"/>
  <c r="E9619" i="1"/>
  <c r="F9618" i="1"/>
  <c r="E9618" i="1"/>
  <c r="F9617" i="1"/>
  <c r="E9617" i="1"/>
  <c r="F9616" i="1"/>
  <c r="E9616" i="1"/>
  <c r="F9615" i="1"/>
  <c r="E9615" i="1"/>
  <c r="F9614" i="1"/>
  <c r="E9614" i="1"/>
  <c r="F9613" i="1"/>
  <c r="E9613" i="1"/>
  <c r="F9612" i="1"/>
  <c r="E9612" i="1"/>
  <c r="F9611" i="1"/>
  <c r="E9611" i="1"/>
  <c r="F9610" i="1"/>
  <c r="E9610" i="1"/>
  <c r="F9609" i="1"/>
  <c r="E9609" i="1"/>
  <c r="F9608" i="1"/>
  <c r="E9608" i="1"/>
  <c r="F9607" i="1"/>
  <c r="E9607" i="1"/>
  <c r="F9606" i="1"/>
  <c r="E9606" i="1"/>
  <c r="F9605" i="1"/>
  <c r="E9605" i="1"/>
  <c r="F9604" i="1"/>
  <c r="E9604" i="1"/>
  <c r="F9603" i="1"/>
  <c r="E9603" i="1"/>
  <c r="F9602" i="1"/>
  <c r="E9602" i="1"/>
  <c r="F9601" i="1"/>
  <c r="E9601" i="1"/>
  <c r="F9600" i="1"/>
  <c r="E9600" i="1"/>
  <c r="F9599" i="1"/>
  <c r="E9599" i="1"/>
  <c r="F9598" i="1"/>
  <c r="E9598" i="1"/>
  <c r="F9597" i="1"/>
  <c r="E9597" i="1"/>
  <c r="F9596" i="1"/>
  <c r="E9596" i="1"/>
  <c r="F9595" i="1"/>
  <c r="E9595" i="1"/>
  <c r="F9594" i="1"/>
  <c r="E9594" i="1"/>
  <c r="F9593" i="1"/>
  <c r="E9593" i="1"/>
  <c r="F9592" i="1"/>
  <c r="E9592" i="1"/>
  <c r="F9591" i="1"/>
  <c r="E9591" i="1"/>
  <c r="F9590" i="1"/>
  <c r="E9590" i="1"/>
  <c r="F9589" i="1"/>
  <c r="E9589" i="1"/>
  <c r="F9588" i="1"/>
  <c r="E9588" i="1"/>
  <c r="F9587" i="1"/>
  <c r="E9587" i="1"/>
  <c r="F9586" i="1"/>
  <c r="E9586" i="1"/>
  <c r="F9585" i="1"/>
  <c r="E9585" i="1"/>
  <c r="F9584" i="1"/>
  <c r="E9584" i="1"/>
  <c r="F9583" i="1"/>
  <c r="E9583" i="1"/>
  <c r="F9582" i="1"/>
  <c r="E9582" i="1"/>
  <c r="F9581" i="1"/>
  <c r="E9581" i="1"/>
  <c r="F9580" i="1"/>
  <c r="E9580" i="1"/>
  <c r="F9579" i="1"/>
  <c r="E9579" i="1"/>
  <c r="F9578" i="1"/>
  <c r="E9578" i="1"/>
  <c r="F9577" i="1"/>
  <c r="E9577" i="1"/>
  <c r="F9576" i="1"/>
  <c r="E9576" i="1"/>
  <c r="F9575" i="1"/>
  <c r="E9575" i="1"/>
  <c r="F9574" i="1"/>
  <c r="E9574" i="1"/>
  <c r="F9573" i="1"/>
  <c r="E9573" i="1"/>
  <c r="F9572" i="1"/>
  <c r="F9571" i="1"/>
  <c r="F9570" i="1"/>
  <c r="F9569" i="1"/>
  <c r="E9569" i="1"/>
  <c r="F9568" i="1"/>
  <c r="E9568" i="1"/>
  <c r="F9567" i="1"/>
  <c r="E9567" i="1"/>
  <c r="F9566" i="1"/>
  <c r="E9566" i="1"/>
  <c r="F9565" i="1"/>
  <c r="E9565" i="1"/>
  <c r="F9564" i="1"/>
  <c r="E9564" i="1"/>
  <c r="F9563" i="1"/>
  <c r="E9563" i="1"/>
  <c r="F9562" i="1"/>
  <c r="E9562" i="1"/>
  <c r="F9561" i="1"/>
  <c r="E9561" i="1"/>
  <c r="F9560" i="1"/>
  <c r="E9560" i="1"/>
  <c r="F9559" i="1"/>
  <c r="E9559" i="1"/>
  <c r="F9558" i="1"/>
  <c r="E9558" i="1"/>
  <c r="F9557" i="1"/>
  <c r="E9557" i="1"/>
  <c r="F9556" i="1"/>
  <c r="E9556" i="1"/>
  <c r="F9555" i="1"/>
  <c r="E9555" i="1"/>
  <c r="F9554" i="1"/>
  <c r="E9554" i="1"/>
  <c r="F9553" i="1"/>
  <c r="E9553" i="1"/>
  <c r="F9552" i="1"/>
  <c r="E9552" i="1"/>
  <c r="F9551" i="1"/>
  <c r="E9551" i="1"/>
  <c r="F9550" i="1"/>
  <c r="F9549" i="1"/>
  <c r="E9549" i="1"/>
  <c r="F9548" i="1"/>
  <c r="E9548" i="1"/>
  <c r="F9547" i="1"/>
  <c r="E9547" i="1"/>
  <c r="F9546" i="1"/>
  <c r="E9546" i="1"/>
  <c r="F9545" i="1"/>
  <c r="E9545" i="1"/>
  <c r="F9544" i="1"/>
  <c r="E9544" i="1"/>
  <c r="F9543" i="1"/>
  <c r="E9543" i="1"/>
  <c r="F9542" i="1"/>
  <c r="E9542" i="1"/>
  <c r="F9541" i="1"/>
  <c r="E9541" i="1"/>
  <c r="F9540" i="1"/>
  <c r="E9540" i="1"/>
  <c r="F9539" i="1"/>
  <c r="E9539" i="1"/>
  <c r="F9538" i="1"/>
  <c r="E9538" i="1"/>
  <c r="F9537" i="1"/>
  <c r="E9537" i="1"/>
  <c r="F9536" i="1"/>
  <c r="E9536" i="1"/>
  <c r="F9535" i="1"/>
  <c r="E9535" i="1"/>
  <c r="F9534" i="1"/>
  <c r="E9534" i="1"/>
  <c r="F9533" i="1"/>
  <c r="E9533" i="1"/>
  <c r="F9532" i="1"/>
  <c r="E9532" i="1"/>
  <c r="F9531" i="1"/>
  <c r="E9531" i="1"/>
  <c r="F9530" i="1"/>
  <c r="E9530" i="1"/>
  <c r="F9529" i="1"/>
  <c r="E9529" i="1"/>
  <c r="F9528" i="1"/>
  <c r="E9528" i="1"/>
  <c r="F9527" i="1"/>
  <c r="E9527" i="1"/>
  <c r="F9526" i="1"/>
  <c r="E9526" i="1"/>
  <c r="F9525" i="1"/>
  <c r="E9525" i="1"/>
  <c r="F9524" i="1"/>
  <c r="E9524" i="1"/>
  <c r="F9523" i="1"/>
  <c r="E9523" i="1"/>
  <c r="F9522" i="1"/>
  <c r="E9522" i="1"/>
  <c r="F9521" i="1"/>
  <c r="E9521" i="1"/>
  <c r="F9520" i="1"/>
  <c r="E9520" i="1"/>
  <c r="F9519" i="1"/>
  <c r="E9519" i="1"/>
  <c r="F9518" i="1"/>
  <c r="E9518" i="1"/>
  <c r="F9517" i="1"/>
  <c r="E9517" i="1"/>
  <c r="F9516" i="1"/>
  <c r="E9516" i="1"/>
  <c r="F9515" i="1"/>
  <c r="E9515" i="1"/>
  <c r="F9514" i="1"/>
  <c r="E9514" i="1"/>
  <c r="F9513" i="1"/>
  <c r="E9513" i="1"/>
  <c r="F9512" i="1"/>
  <c r="E9512" i="1"/>
  <c r="F9511" i="1"/>
  <c r="E9511" i="1"/>
  <c r="F9510" i="1"/>
  <c r="E9510" i="1"/>
  <c r="F9509" i="1"/>
  <c r="E9509" i="1"/>
  <c r="F9508" i="1"/>
  <c r="E9508" i="1"/>
  <c r="F9507" i="1"/>
  <c r="E9507" i="1"/>
  <c r="F9506" i="1"/>
  <c r="E9506" i="1"/>
  <c r="F9505" i="1"/>
  <c r="E9505" i="1"/>
  <c r="F9504" i="1"/>
  <c r="E9504" i="1"/>
  <c r="F9503" i="1"/>
  <c r="E9503" i="1"/>
  <c r="F9502" i="1"/>
  <c r="E9502" i="1"/>
  <c r="F9501" i="1"/>
  <c r="E9501" i="1"/>
  <c r="F9500" i="1"/>
  <c r="E9500" i="1"/>
  <c r="F9499" i="1"/>
  <c r="E9499" i="1"/>
  <c r="F9498" i="1"/>
  <c r="E9498" i="1"/>
  <c r="F9497" i="1"/>
  <c r="E9497" i="1"/>
  <c r="F9496" i="1"/>
  <c r="E9496" i="1"/>
  <c r="F9495" i="1"/>
  <c r="E9495" i="1"/>
  <c r="F9494" i="1"/>
  <c r="E9494" i="1"/>
  <c r="F9493" i="1"/>
  <c r="E9493" i="1"/>
  <c r="F9492" i="1"/>
  <c r="E9492" i="1"/>
  <c r="F9491" i="1"/>
  <c r="E9491" i="1"/>
  <c r="F9490" i="1"/>
  <c r="E9490" i="1"/>
  <c r="F9489" i="1"/>
  <c r="E9489" i="1"/>
  <c r="F9488" i="1"/>
  <c r="E9488" i="1"/>
  <c r="F9487" i="1"/>
  <c r="E9487" i="1"/>
  <c r="F9486" i="1"/>
  <c r="E9486" i="1"/>
  <c r="F9485" i="1"/>
  <c r="E9485" i="1"/>
  <c r="F9484" i="1"/>
  <c r="E9484" i="1"/>
  <c r="F9483" i="1"/>
  <c r="E9483" i="1"/>
  <c r="F9482" i="1"/>
  <c r="E9482" i="1"/>
  <c r="F9481" i="1"/>
  <c r="E9481" i="1"/>
  <c r="F9480" i="1"/>
  <c r="E9480" i="1"/>
  <c r="F9479" i="1"/>
  <c r="E9479" i="1"/>
  <c r="F9478" i="1"/>
  <c r="E9478" i="1"/>
  <c r="F9477" i="1"/>
  <c r="E9477" i="1"/>
  <c r="F9476" i="1"/>
  <c r="E9476" i="1"/>
  <c r="F9475" i="1"/>
  <c r="E9475" i="1"/>
  <c r="F9474" i="1"/>
  <c r="E9474" i="1"/>
  <c r="F9473" i="1"/>
  <c r="E9473" i="1"/>
  <c r="F9472" i="1"/>
  <c r="E9472" i="1"/>
  <c r="F9471" i="1"/>
  <c r="E9471" i="1"/>
  <c r="F9470" i="1"/>
  <c r="E9470" i="1"/>
  <c r="F9469" i="1"/>
  <c r="E9469" i="1"/>
  <c r="F9468" i="1"/>
  <c r="E9468" i="1"/>
  <c r="F9467" i="1"/>
  <c r="E9467" i="1"/>
  <c r="F9466" i="1"/>
  <c r="E9466" i="1"/>
  <c r="F9465" i="1"/>
  <c r="E9465" i="1"/>
  <c r="F9464" i="1"/>
  <c r="E9464" i="1"/>
  <c r="F9463" i="1"/>
  <c r="E9463" i="1"/>
  <c r="F9462" i="1"/>
  <c r="E9462" i="1"/>
  <c r="F9461" i="1"/>
  <c r="E9461" i="1"/>
  <c r="F9460" i="1"/>
  <c r="F9459" i="1"/>
  <c r="E9459" i="1"/>
  <c r="F9458" i="1"/>
  <c r="E9458" i="1"/>
  <c r="F9457" i="1"/>
  <c r="E9457" i="1"/>
  <c r="F9456" i="1"/>
  <c r="E9456" i="1"/>
  <c r="F9455" i="1"/>
  <c r="E9455" i="1"/>
  <c r="F9454" i="1"/>
  <c r="E9454" i="1"/>
  <c r="F9453" i="1"/>
  <c r="E9453" i="1"/>
  <c r="F9452" i="1"/>
  <c r="E9452" i="1"/>
  <c r="F9451" i="1"/>
  <c r="E9451" i="1"/>
  <c r="F9450" i="1"/>
  <c r="E9450" i="1"/>
  <c r="F9449" i="1"/>
  <c r="E9449" i="1"/>
  <c r="F9448" i="1"/>
  <c r="E9448" i="1"/>
  <c r="F9447" i="1"/>
  <c r="F9446" i="1"/>
  <c r="F9445" i="1"/>
  <c r="F9444" i="1"/>
  <c r="E9444" i="1"/>
  <c r="F9443" i="1"/>
  <c r="E9443" i="1"/>
  <c r="F9442" i="1"/>
  <c r="E9442" i="1"/>
  <c r="F9441" i="1"/>
  <c r="E9441" i="1"/>
  <c r="F9440" i="1"/>
  <c r="E9440" i="1"/>
  <c r="F9439" i="1"/>
  <c r="E9439" i="1"/>
  <c r="F9438" i="1"/>
  <c r="E9438" i="1"/>
  <c r="F9437" i="1"/>
  <c r="E9437" i="1"/>
  <c r="F9436" i="1"/>
  <c r="E9436" i="1"/>
  <c r="F9435" i="1"/>
  <c r="E9435" i="1"/>
  <c r="F9434" i="1"/>
  <c r="E9434" i="1"/>
  <c r="F9433" i="1"/>
  <c r="E9433" i="1"/>
  <c r="F9432" i="1"/>
  <c r="E9432" i="1"/>
  <c r="F9431" i="1"/>
  <c r="E9431" i="1"/>
  <c r="F9430" i="1"/>
  <c r="E9430" i="1"/>
  <c r="F9429" i="1"/>
  <c r="E9429" i="1"/>
  <c r="F9428" i="1"/>
  <c r="E9428" i="1"/>
  <c r="F9427" i="1"/>
  <c r="E9427" i="1"/>
  <c r="F9426" i="1"/>
  <c r="E9426" i="1"/>
  <c r="F9425" i="1"/>
  <c r="E9425" i="1"/>
  <c r="F9424" i="1"/>
  <c r="E9424" i="1"/>
  <c r="F9423" i="1"/>
  <c r="E9423" i="1"/>
  <c r="F9422" i="1"/>
  <c r="E9422" i="1"/>
  <c r="F9421" i="1"/>
  <c r="E9421" i="1"/>
  <c r="F9420" i="1"/>
  <c r="E9420" i="1"/>
  <c r="F9419" i="1"/>
  <c r="E9419" i="1"/>
  <c r="F9418" i="1"/>
  <c r="E9418" i="1"/>
  <c r="F9417" i="1"/>
  <c r="E9417" i="1"/>
  <c r="F9416" i="1"/>
  <c r="E9416" i="1"/>
  <c r="F9415" i="1"/>
  <c r="E9415" i="1"/>
  <c r="F9414" i="1"/>
  <c r="E9414" i="1"/>
  <c r="F9413" i="1"/>
  <c r="E9413" i="1"/>
  <c r="F9412" i="1"/>
  <c r="E9412" i="1"/>
  <c r="F9411" i="1"/>
  <c r="E9411" i="1"/>
  <c r="F9410" i="1"/>
  <c r="E9410" i="1"/>
  <c r="F9409" i="1"/>
  <c r="E9409" i="1"/>
  <c r="F9408" i="1"/>
  <c r="E9408" i="1"/>
  <c r="F9407" i="1"/>
  <c r="E9407" i="1"/>
  <c r="F9406" i="1"/>
  <c r="E9406" i="1"/>
  <c r="F9405" i="1"/>
  <c r="E9405" i="1"/>
  <c r="F9404" i="1"/>
  <c r="E9404" i="1"/>
  <c r="F9403" i="1"/>
  <c r="E9403" i="1"/>
  <c r="F9402" i="1"/>
  <c r="E9402" i="1"/>
  <c r="F9401" i="1"/>
  <c r="E9401" i="1"/>
  <c r="F9400" i="1"/>
  <c r="E9400" i="1"/>
  <c r="F9399" i="1"/>
  <c r="E9399" i="1"/>
  <c r="F9398" i="1"/>
  <c r="E9398" i="1"/>
  <c r="F9397" i="1"/>
  <c r="E9397" i="1"/>
  <c r="F9396" i="1"/>
  <c r="E9396" i="1"/>
  <c r="F9395" i="1"/>
  <c r="E9395" i="1"/>
  <c r="F9394" i="1"/>
  <c r="E9394" i="1"/>
  <c r="F9393" i="1"/>
  <c r="E9393" i="1"/>
  <c r="F9392" i="1"/>
  <c r="E9392" i="1"/>
  <c r="F9391" i="1"/>
  <c r="E9391" i="1"/>
  <c r="F9390" i="1"/>
  <c r="E9390" i="1"/>
  <c r="F9389" i="1"/>
  <c r="E9389" i="1"/>
  <c r="F9388" i="1"/>
  <c r="E9388" i="1"/>
  <c r="F9387" i="1"/>
  <c r="E9387" i="1"/>
  <c r="F9386" i="1"/>
  <c r="E9386" i="1"/>
  <c r="F9385" i="1"/>
  <c r="E9385" i="1"/>
  <c r="F9384" i="1"/>
  <c r="E9384" i="1"/>
  <c r="F9383" i="1"/>
  <c r="E9383" i="1"/>
  <c r="F9382" i="1"/>
  <c r="E9382" i="1"/>
  <c r="F9381" i="1"/>
  <c r="E9381" i="1"/>
  <c r="F9380" i="1"/>
  <c r="E9380" i="1"/>
  <c r="F9379" i="1"/>
  <c r="E9379" i="1"/>
  <c r="F9378" i="1"/>
  <c r="E9378" i="1"/>
  <c r="F9377" i="1"/>
  <c r="E9377" i="1"/>
  <c r="F9376" i="1"/>
  <c r="E9376" i="1"/>
  <c r="F9375" i="1"/>
  <c r="E9375" i="1"/>
  <c r="F9374" i="1"/>
  <c r="E9374" i="1"/>
  <c r="F9373" i="1"/>
  <c r="E9373" i="1"/>
  <c r="F9372" i="1"/>
  <c r="E9372" i="1"/>
  <c r="F9371" i="1"/>
  <c r="E9371" i="1"/>
  <c r="F9370" i="1"/>
  <c r="E9370" i="1"/>
  <c r="F9369" i="1"/>
  <c r="E9369" i="1"/>
  <c r="F9368" i="1"/>
  <c r="E9368" i="1"/>
  <c r="F9367" i="1"/>
  <c r="E9367" i="1"/>
  <c r="F9366" i="1"/>
  <c r="E9366" i="1"/>
  <c r="F9365" i="1"/>
  <c r="E9365" i="1"/>
  <c r="F9364" i="1"/>
  <c r="E9364" i="1"/>
  <c r="F9363" i="1"/>
  <c r="E9363" i="1"/>
  <c r="F9362" i="1"/>
  <c r="E9362" i="1"/>
  <c r="F9361" i="1"/>
  <c r="E9361" i="1"/>
  <c r="F9360" i="1"/>
  <c r="E9360" i="1"/>
  <c r="F9359" i="1"/>
  <c r="E9359" i="1"/>
  <c r="F9358" i="1"/>
  <c r="E9358" i="1"/>
  <c r="F9357" i="1"/>
  <c r="E9357" i="1"/>
  <c r="F9356" i="1"/>
  <c r="E9356" i="1"/>
  <c r="F9355" i="1"/>
  <c r="E9355" i="1"/>
  <c r="F9354" i="1"/>
  <c r="E9354" i="1"/>
  <c r="F9353" i="1"/>
  <c r="E9353" i="1"/>
  <c r="F9352" i="1"/>
  <c r="E9352" i="1"/>
  <c r="F9351" i="1"/>
  <c r="E9351" i="1"/>
  <c r="F9350" i="1"/>
  <c r="E9350" i="1"/>
  <c r="F9349" i="1"/>
  <c r="E9349" i="1"/>
  <c r="F9348" i="1"/>
  <c r="E9348" i="1"/>
  <c r="F9347" i="1"/>
  <c r="E9347" i="1"/>
  <c r="F9346" i="1"/>
  <c r="E9346" i="1"/>
  <c r="F9345" i="1"/>
  <c r="E9345" i="1"/>
  <c r="F9344" i="1"/>
  <c r="E9344" i="1"/>
  <c r="F9343" i="1"/>
  <c r="E9343" i="1"/>
  <c r="F9342" i="1"/>
  <c r="E9342" i="1"/>
  <c r="F9341" i="1"/>
  <c r="E9341" i="1"/>
  <c r="F9340" i="1"/>
  <c r="E9340" i="1"/>
  <c r="F9339" i="1"/>
  <c r="E9339" i="1"/>
  <c r="F9338" i="1"/>
  <c r="E9338" i="1"/>
  <c r="F9337" i="1"/>
  <c r="E9337" i="1"/>
  <c r="F9336" i="1"/>
  <c r="E9336" i="1"/>
  <c r="F9335" i="1"/>
  <c r="E9335" i="1"/>
  <c r="F9334" i="1"/>
  <c r="E9334" i="1"/>
  <c r="F9333" i="1"/>
  <c r="E9333" i="1"/>
  <c r="F9332" i="1"/>
  <c r="E9332" i="1"/>
  <c r="F9331" i="1"/>
  <c r="E9331" i="1"/>
  <c r="F9330" i="1"/>
  <c r="E9330" i="1"/>
  <c r="F9329" i="1"/>
  <c r="E9329" i="1"/>
  <c r="F9328" i="1"/>
  <c r="E9328" i="1"/>
  <c r="F9327" i="1"/>
  <c r="E9327" i="1"/>
  <c r="F9326" i="1"/>
  <c r="E9326" i="1"/>
  <c r="F9325" i="1"/>
  <c r="E9325" i="1"/>
  <c r="F9324" i="1"/>
  <c r="E9324" i="1"/>
  <c r="F9323" i="1"/>
  <c r="E9323" i="1"/>
  <c r="F9322" i="1"/>
  <c r="E9322" i="1"/>
  <c r="F9321" i="1"/>
  <c r="E9321" i="1"/>
  <c r="F9320" i="1"/>
  <c r="E9320" i="1"/>
  <c r="F9319" i="1"/>
  <c r="E9319" i="1"/>
  <c r="F9318" i="1"/>
  <c r="E9318" i="1"/>
  <c r="F9317" i="1"/>
  <c r="E9317" i="1"/>
  <c r="F9316" i="1"/>
  <c r="E9316" i="1"/>
  <c r="F9315" i="1"/>
  <c r="E9315" i="1"/>
  <c r="F9314" i="1"/>
  <c r="E9314" i="1"/>
  <c r="F9313" i="1"/>
  <c r="E9313" i="1"/>
  <c r="F9312" i="1"/>
  <c r="E9312" i="1"/>
  <c r="F9311" i="1"/>
  <c r="E9311" i="1"/>
  <c r="F9310" i="1"/>
  <c r="E9310" i="1"/>
  <c r="F9309" i="1"/>
  <c r="E9309" i="1"/>
  <c r="F9308" i="1"/>
  <c r="E9308" i="1"/>
  <c r="F9307" i="1"/>
  <c r="E9307" i="1"/>
  <c r="F9306" i="1"/>
  <c r="E9306" i="1"/>
  <c r="F9305" i="1"/>
  <c r="E9305" i="1"/>
  <c r="F9304" i="1"/>
  <c r="E9304" i="1"/>
  <c r="F9303" i="1"/>
  <c r="E9303" i="1"/>
  <c r="F9302" i="1"/>
  <c r="E9302" i="1"/>
  <c r="F9301" i="1"/>
  <c r="E9301" i="1"/>
  <c r="F9300" i="1"/>
  <c r="E9300" i="1"/>
  <c r="F9299" i="1"/>
  <c r="E9299" i="1"/>
  <c r="F9298" i="1"/>
  <c r="E9298" i="1"/>
  <c r="F9297" i="1"/>
  <c r="E9297" i="1"/>
  <c r="F9296" i="1"/>
  <c r="E9296" i="1"/>
  <c r="F9295" i="1"/>
  <c r="E9295" i="1"/>
  <c r="F9294" i="1"/>
  <c r="E9294" i="1"/>
  <c r="F9293" i="1"/>
  <c r="E9293" i="1"/>
  <c r="F9292" i="1"/>
  <c r="E9292" i="1"/>
  <c r="F9291" i="1"/>
  <c r="E9291" i="1"/>
  <c r="F9290" i="1"/>
  <c r="E9290" i="1"/>
  <c r="F9289" i="1"/>
  <c r="E9289" i="1"/>
  <c r="F9288" i="1"/>
  <c r="E9288" i="1"/>
  <c r="F9287" i="1"/>
  <c r="E9287" i="1"/>
  <c r="F9286" i="1"/>
  <c r="E9286" i="1"/>
  <c r="F9285" i="1"/>
  <c r="E9285" i="1"/>
  <c r="F9284" i="1"/>
  <c r="E9284" i="1"/>
  <c r="F9283" i="1"/>
  <c r="E9283" i="1"/>
  <c r="F9282" i="1"/>
  <c r="E9282" i="1"/>
  <c r="F9281" i="1"/>
  <c r="E9281" i="1"/>
  <c r="F9280" i="1"/>
  <c r="E9280" i="1"/>
  <c r="F9279" i="1"/>
  <c r="E9279" i="1"/>
  <c r="F9278" i="1"/>
  <c r="E9278" i="1"/>
  <c r="F9277" i="1"/>
  <c r="E9277" i="1"/>
  <c r="F9276" i="1"/>
  <c r="E9276" i="1"/>
  <c r="F9275" i="1"/>
  <c r="E9275" i="1"/>
  <c r="F9274" i="1"/>
  <c r="E9274" i="1"/>
  <c r="F9273" i="1"/>
  <c r="E9273" i="1"/>
  <c r="F9272" i="1"/>
  <c r="E9272" i="1"/>
  <c r="F9271" i="1"/>
  <c r="E9271" i="1"/>
  <c r="F9270" i="1"/>
  <c r="E9270" i="1"/>
  <c r="F9269" i="1"/>
  <c r="E9269" i="1"/>
  <c r="F9268" i="1"/>
  <c r="E9268" i="1"/>
  <c r="F9267" i="1"/>
  <c r="E9267" i="1"/>
  <c r="F9266" i="1"/>
  <c r="E9266" i="1"/>
  <c r="F9265" i="1"/>
  <c r="E9265" i="1"/>
  <c r="F9264" i="1"/>
  <c r="E9264" i="1"/>
  <c r="F9263" i="1"/>
  <c r="E9263" i="1"/>
  <c r="F9262" i="1"/>
  <c r="E9262" i="1"/>
  <c r="F9261" i="1"/>
  <c r="E9261" i="1"/>
  <c r="F9260" i="1"/>
  <c r="E9260" i="1"/>
  <c r="F9259" i="1"/>
  <c r="E9259" i="1"/>
  <c r="F9258" i="1"/>
  <c r="E9258" i="1"/>
  <c r="F9257" i="1"/>
  <c r="E9257" i="1"/>
  <c r="F9256" i="1"/>
  <c r="E9256" i="1"/>
  <c r="F9255" i="1"/>
  <c r="E9255" i="1"/>
  <c r="F9254" i="1"/>
  <c r="E9254" i="1"/>
  <c r="F9253" i="1"/>
  <c r="E9253" i="1"/>
  <c r="F9252" i="1"/>
  <c r="E9252" i="1"/>
  <c r="F9251" i="1"/>
  <c r="E9251" i="1"/>
  <c r="F9250" i="1"/>
  <c r="E9250" i="1"/>
  <c r="F9249" i="1"/>
  <c r="E9249" i="1"/>
  <c r="F9248" i="1"/>
  <c r="E9248" i="1"/>
  <c r="F9247" i="1"/>
  <c r="E9247" i="1"/>
  <c r="F9246" i="1"/>
  <c r="E9246" i="1"/>
  <c r="F9245" i="1"/>
  <c r="E9245" i="1"/>
  <c r="F9244" i="1"/>
  <c r="E9244" i="1"/>
  <c r="F9243" i="1"/>
  <c r="E9243" i="1"/>
  <c r="F9242" i="1"/>
  <c r="E9242" i="1"/>
  <c r="F9241" i="1"/>
  <c r="E9241" i="1"/>
  <c r="F9240" i="1"/>
  <c r="E9240" i="1"/>
  <c r="F9239" i="1"/>
  <c r="E9239" i="1"/>
  <c r="F9238" i="1"/>
  <c r="E9238" i="1"/>
  <c r="F9237" i="1"/>
  <c r="E9237" i="1"/>
  <c r="F9236" i="1"/>
  <c r="E9236" i="1"/>
  <c r="F9235" i="1"/>
  <c r="E9235" i="1"/>
  <c r="F9234" i="1"/>
  <c r="E9234" i="1"/>
  <c r="F9233" i="1"/>
  <c r="E9233" i="1"/>
  <c r="F9232" i="1"/>
  <c r="E9232" i="1"/>
  <c r="F9231" i="1"/>
  <c r="E9231" i="1"/>
  <c r="F9230" i="1"/>
  <c r="E9230" i="1"/>
  <c r="F9229" i="1"/>
  <c r="E9229" i="1"/>
  <c r="F9228" i="1"/>
  <c r="E9228" i="1"/>
  <c r="F9227" i="1"/>
  <c r="E9227" i="1"/>
  <c r="F9226" i="1"/>
  <c r="E9226" i="1"/>
  <c r="F9225" i="1"/>
  <c r="E9225" i="1"/>
  <c r="F9224" i="1"/>
  <c r="E9224" i="1"/>
  <c r="F9223" i="1"/>
  <c r="E9223" i="1"/>
  <c r="F9222" i="1"/>
  <c r="E9222" i="1"/>
  <c r="F9221" i="1"/>
  <c r="E9221" i="1"/>
  <c r="F9220" i="1"/>
  <c r="E9220" i="1"/>
  <c r="F9219" i="1"/>
  <c r="E9219" i="1"/>
  <c r="F9218" i="1"/>
  <c r="E9218" i="1"/>
  <c r="F9217" i="1"/>
  <c r="E9217" i="1"/>
  <c r="F9216" i="1"/>
  <c r="E9216" i="1"/>
  <c r="F9215" i="1"/>
  <c r="E9215" i="1"/>
  <c r="F9214" i="1"/>
  <c r="E9214" i="1"/>
  <c r="F9213" i="1"/>
  <c r="E9213" i="1"/>
  <c r="F9212" i="1"/>
  <c r="E9212" i="1"/>
  <c r="F9211" i="1"/>
  <c r="E9211" i="1"/>
  <c r="F9210" i="1"/>
  <c r="E9210" i="1"/>
  <c r="F9209" i="1"/>
  <c r="E9209" i="1"/>
  <c r="F9208" i="1"/>
  <c r="E9208" i="1"/>
  <c r="F9207" i="1"/>
  <c r="E9207" i="1"/>
  <c r="F9206" i="1"/>
  <c r="E9206" i="1"/>
  <c r="F9205" i="1"/>
  <c r="E9205" i="1"/>
  <c r="F9204" i="1"/>
  <c r="E9204" i="1"/>
  <c r="F9203" i="1"/>
  <c r="E9203" i="1"/>
  <c r="F9202" i="1"/>
  <c r="E9202" i="1"/>
  <c r="F9201" i="1"/>
  <c r="E9201" i="1"/>
  <c r="F9200" i="1"/>
  <c r="E9200" i="1"/>
  <c r="F9199" i="1"/>
  <c r="E9199" i="1"/>
  <c r="F9198" i="1"/>
  <c r="E9198" i="1"/>
  <c r="F9197" i="1"/>
  <c r="E9197" i="1"/>
  <c r="F9196" i="1"/>
  <c r="E9196" i="1"/>
  <c r="F9195" i="1"/>
  <c r="E9195" i="1"/>
  <c r="F9194" i="1"/>
  <c r="E9194" i="1"/>
  <c r="F9193" i="1"/>
  <c r="E9193" i="1"/>
  <c r="F9192" i="1"/>
  <c r="E9192" i="1"/>
  <c r="F9191" i="1"/>
  <c r="E9191" i="1"/>
  <c r="F9190" i="1"/>
  <c r="E9190" i="1"/>
  <c r="F9189" i="1"/>
  <c r="E9189" i="1"/>
  <c r="F9188" i="1"/>
  <c r="E9188" i="1"/>
  <c r="F9187" i="1"/>
  <c r="E9187" i="1"/>
  <c r="F9186" i="1"/>
  <c r="E9186" i="1"/>
  <c r="F9185" i="1"/>
  <c r="E9185" i="1"/>
  <c r="F9184" i="1"/>
  <c r="E9184" i="1"/>
  <c r="F9183" i="1"/>
  <c r="E9183" i="1"/>
  <c r="F9182" i="1"/>
  <c r="E9182" i="1"/>
  <c r="F9181" i="1"/>
  <c r="E9181" i="1"/>
  <c r="F9180" i="1"/>
  <c r="E9180" i="1"/>
  <c r="F9179" i="1"/>
  <c r="E9179" i="1"/>
  <c r="F9178" i="1"/>
  <c r="E9178" i="1"/>
  <c r="F9177" i="1"/>
  <c r="E9177" i="1"/>
  <c r="F9176" i="1"/>
  <c r="E9176" i="1"/>
  <c r="F9175" i="1"/>
  <c r="E9175" i="1"/>
  <c r="F9174" i="1"/>
  <c r="E9174" i="1"/>
  <c r="F9173" i="1"/>
  <c r="E9173" i="1"/>
  <c r="F9172" i="1"/>
  <c r="E9172" i="1"/>
  <c r="F9171" i="1"/>
  <c r="E9171" i="1"/>
  <c r="F9170" i="1"/>
  <c r="E9170" i="1"/>
  <c r="F9169" i="1"/>
  <c r="E9169" i="1"/>
  <c r="F9168" i="1"/>
  <c r="E9168" i="1"/>
  <c r="F9167" i="1"/>
  <c r="E9167" i="1"/>
  <c r="F9166" i="1"/>
  <c r="E9166" i="1"/>
  <c r="F9165" i="1"/>
  <c r="E9165" i="1"/>
  <c r="F9164" i="1"/>
  <c r="E9164" i="1"/>
  <c r="F9163" i="1"/>
  <c r="E9163" i="1"/>
  <c r="F9162" i="1"/>
  <c r="E9162" i="1"/>
  <c r="F9161" i="1"/>
  <c r="E9161" i="1"/>
  <c r="F9160" i="1"/>
  <c r="E9160" i="1"/>
  <c r="F9159" i="1"/>
  <c r="E9159" i="1"/>
  <c r="F9158" i="1"/>
  <c r="E9158" i="1"/>
  <c r="F9157" i="1"/>
  <c r="E9157" i="1"/>
  <c r="F9156" i="1"/>
  <c r="E9156" i="1"/>
  <c r="F9155" i="1"/>
  <c r="E9155" i="1"/>
  <c r="F9154" i="1"/>
  <c r="E9154" i="1"/>
  <c r="F9153" i="1"/>
  <c r="E9153" i="1"/>
  <c r="F9152" i="1"/>
  <c r="E9152" i="1"/>
  <c r="F9151" i="1"/>
  <c r="E9151" i="1"/>
  <c r="F9150" i="1"/>
  <c r="E9150" i="1"/>
  <c r="F9149" i="1"/>
  <c r="E9149" i="1"/>
  <c r="F9148" i="1"/>
  <c r="E9148" i="1"/>
  <c r="F9147" i="1"/>
  <c r="E9147" i="1"/>
  <c r="F9146" i="1"/>
  <c r="E9146" i="1"/>
  <c r="F9145" i="1"/>
  <c r="E9145" i="1"/>
  <c r="F9144" i="1"/>
  <c r="E9144" i="1"/>
  <c r="F9143" i="1"/>
  <c r="E9143" i="1"/>
  <c r="F9142" i="1"/>
  <c r="E9142" i="1"/>
  <c r="F9141" i="1"/>
  <c r="E9141" i="1"/>
  <c r="F9140" i="1"/>
  <c r="E9140" i="1"/>
  <c r="F9139" i="1"/>
  <c r="E9139" i="1"/>
  <c r="F9138" i="1"/>
  <c r="E9138" i="1"/>
  <c r="F9137" i="1"/>
  <c r="E9137" i="1"/>
  <c r="F9136" i="1"/>
  <c r="E9136" i="1"/>
  <c r="F9135" i="1"/>
  <c r="E9135" i="1"/>
  <c r="F9134" i="1"/>
  <c r="E9134" i="1"/>
  <c r="F9133" i="1"/>
  <c r="E9133" i="1"/>
  <c r="F9132" i="1"/>
  <c r="E9132" i="1"/>
  <c r="F9131" i="1"/>
  <c r="E9131" i="1"/>
  <c r="F9130" i="1"/>
  <c r="E9130" i="1"/>
  <c r="F9129" i="1"/>
  <c r="E9129" i="1"/>
  <c r="F9128" i="1"/>
  <c r="E9128" i="1"/>
  <c r="F9127" i="1"/>
  <c r="E9127" i="1"/>
  <c r="F9126" i="1"/>
  <c r="E9126" i="1"/>
  <c r="F9125" i="1"/>
  <c r="E9125" i="1"/>
  <c r="F9124" i="1"/>
  <c r="E9124" i="1"/>
  <c r="F9123" i="1"/>
  <c r="E9123" i="1"/>
  <c r="F9122" i="1"/>
  <c r="E9122" i="1"/>
  <c r="F9121" i="1"/>
  <c r="E9121" i="1"/>
  <c r="F9120" i="1"/>
  <c r="E9120" i="1"/>
  <c r="F9119" i="1"/>
  <c r="E9119" i="1"/>
  <c r="F9118" i="1"/>
  <c r="E9118" i="1"/>
  <c r="F9117" i="1"/>
  <c r="E9117" i="1"/>
  <c r="F9116" i="1"/>
  <c r="E9116" i="1"/>
  <c r="F9115" i="1"/>
  <c r="E9115" i="1"/>
  <c r="F9114" i="1"/>
  <c r="E9114" i="1"/>
  <c r="F9113" i="1"/>
  <c r="E9113" i="1"/>
  <c r="F9112" i="1"/>
  <c r="E9112" i="1"/>
  <c r="F9111" i="1"/>
  <c r="E9111" i="1"/>
  <c r="F9110" i="1"/>
  <c r="E9110" i="1"/>
  <c r="F9109" i="1"/>
  <c r="E9109" i="1"/>
  <c r="F9108" i="1"/>
  <c r="E9108" i="1"/>
  <c r="F9107" i="1"/>
  <c r="E9107" i="1"/>
  <c r="F9106" i="1"/>
  <c r="E9106" i="1"/>
  <c r="F9105" i="1"/>
  <c r="E9105" i="1"/>
  <c r="F9104" i="1"/>
  <c r="E9104" i="1"/>
  <c r="F9103" i="1"/>
  <c r="E9103" i="1"/>
  <c r="F9102" i="1"/>
  <c r="E9102" i="1"/>
  <c r="F9101" i="1"/>
  <c r="E9101" i="1"/>
  <c r="F9100" i="1"/>
  <c r="E9100" i="1"/>
  <c r="F9099" i="1"/>
  <c r="E9099" i="1"/>
  <c r="F9098" i="1"/>
  <c r="E9098" i="1"/>
  <c r="F9097" i="1"/>
  <c r="E9097" i="1"/>
  <c r="F9096" i="1"/>
  <c r="E9096" i="1"/>
  <c r="F9095" i="1"/>
  <c r="E9095" i="1"/>
  <c r="F9094" i="1"/>
  <c r="E9094" i="1"/>
  <c r="F9093" i="1"/>
  <c r="E9093" i="1"/>
  <c r="F9092" i="1"/>
  <c r="E9092" i="1"/>
  <c r="F9091" i="1"/>
  <c r="E9091" i="1"/>
  <c r="F9090" i="1"/>
  <c r="E9090" i="1"/>
  <c r="F9089" i="1"/>
  <c r="E9089" i="1"/>
  <c r="F9088" i="1"/>
  <c r="E9088" i="1"/>
  <c r="F9087" i="1"/>
  <c r="E9087" i="1"/>
  <c r="F9086" i="1"/>
  <c r="E9086" i="1"/>
  <c r="F9085" i="1"/>
  <c r="E9085" i="1"/>
  <c r="F9084" i="1"/>
  <c r="E9084" i="1"/>
  <c r="F9083" i="1"/>
  <c r="E9083" i="1"/>
  <c r="F9082" i="1"/>
  <c r="E9082" i="1"/>
  <c r="F9081" i="1"/>
  <c r="E9081" i="1"/>
  <c r="F9080" i="1"/>
  <c r="E9080" i="1"/>
  <c r="F9079" i="1"/>
  <c r="E9079" i="1"/>
  <c r="F9078" i="1"/>
  <c r="E9078" i="1"/>
  <c r="F9077" i="1"/>
  <c r="E9077" i="1"/>
  <c r="F9076" i="1"/>
  <c r="E9076" i="1"/>
  <c r="F9075" i="1"/>
  <c r="E9075" i="1"/>
  <c r="F9074" i="1"/>
  <c r="E9074" i="1"/>
  <c r="F9073" i="1"/>
  <c r="E9073" i="1"/>
  <c r="F9072" i="1"/>
  <c r="E9072" i="1"/>
  <c r="F9071" i="1"/>
  <c r="E9071" i="1"/>
  <c r="F9070" i="1"/>
  <c r="E9070" i="1"/>
  <c r="F9069" i="1"/>
  <c r="E9069" i="1"/>
  <c r="F9068" i="1"/>
  <c r="E9068" i="1"/>
  <c r="F9067" i="1"/>
  <c r="E9067" i="1"/>
  <c r="F9066" i="1"/>
  <c r="E9066" i="1"/>
  <c r="F9065" i="1"/>
  <c r="E9065" i="1"/>
  <c r="F9064" i="1"/>
  <c r="E9064" i="1"/>
  <c r="F9063" i="1"/>
  <c r="E9063" i="1"/>
  <c r="F9062" i="1"/>
  <c r="E9062" i="1"/>
  <c r="F9061" i="1"/>
  <c r="E9061" i="1"/>
  <c r="F9060" i="1"/>
  <c r="E9060" i="1"/>
  <c r="F9059" i="1"/>
  <c r="E9059" i="1"/>
  <c r="F9058" i="1"/>
  <c r="E9058" i="1"/>
  <c r="F9057" i="1"/>
  <c r="E9057" i="1"/>
  <c r="F9056" i="1"/>
  <c r="E9056" i="1"/>
  <c r="F9055" i="1"/>
  <c r="E9055" i="1"/>
  <c r="F9054" i="1"/>
  <c r="E9054" i="1"/>
  <c r="F9053" i="1"/>
  <c r="E9053" i="1"/>
  <c r="F9052" i="1"/>
  <c r="E9052" i="1"/>
  <c r="F9051" i="1"/>
  <c r="E9051" i="1"/>
  <c r="F9050" i="1"/>
  <c r="E9050" i="1"/>
  <c r="F9049" i="1"/>
  <c r="E9049" i="1"/>
  <c r="F9048" i="1"/>
  <c r="E9048" i="1"/>
  <c r="F9047" i="1"/>
  <c r="E9047" i="1"/>
  <c r="F9046" i="1"/>
  <c r="E9046" i="1"/>
  <c r="F9045" i="1"/>
  <c r="E9045" i="1"/>
  <c r="F9044" i="1"/>
  <c r="E9044" i="1"/>
  <c r="F9043" i="1"/>
  <c r="E9043" i="1"/>
  <c r="F9042" i="1"/>
  <c r="E9042" i="1"/>
  <c r="F9041" i="1"/>
  <c r="E9041" i="1"/>
  <c r="F9040" i="1"/>
  <c r="E9040" i="1"/>
  <c r="F9039" i="1"/>
  <c r="E9039" i="1"/>
  <c r="F9038" i="1"/>
  <c r="E9038" i="1"/>
  <c r="F9037" i="1"/>
  <c r="E9037" i="1"/>
  <c r="F9036" i="1"/>
  <c r="E9036" i="1"/>
  <c r="F9035" i="1"/>
  <c r="E9035" i="1"/>
  <c r="F9034" i="1"/>
  <c r="E9034" i="1"/>
  <c r="F9033" i="1"/>
  <c r="E9033" i="1"/>
  <c r="F9032" i="1"/>
  <c r="E9032" i="1"/>
  <c r="F9031" i="1"/>
  <c r="E9031" i="1"/>
  <c r="F9030" i="1"/>
  <c r="E9030" i="1"/>
  <c r="F9029" i="1"/>
  <c r="E9029" i="1"/>
  <c r="F9028" i="1"/>
  <c r="E9028" i="1"/>
  <c r="F9027" i="1"/>
  <c r="E9027" i="1"/>
  <c r="F9026" i="1"/>
  <c r="E9026" i="1"/>
  <c r="F9025" i="1"/>
  <c r="E9025" i="1"/>
  <c r="F9024" i="1"/>
  <c r="E9024" i="1"/>
  <c r="F9023" i="1"/>
  <c r="E9023" i="1"/>
  <c r="F9022" i="1"/>
  <c r="E9022" i="1"/>
  <c r="F9021" i="1"/>
  <c r="E9021" i="1"/>
  <c r="F9020" i="1"/>
  <c r="E9020" i="1"/>
  <c r="F9019" i="1"/>
  <c r="E9019" i="1"/>
  <c r="F9018" i="1"/>
  <c r="E9018" i="1"/>
  <c r="F9017" i="1"/>
  <c r="E9017" i="1"/>
  <c r="F9016" i="1"/>
  <c r="E9016" i="1"/>
  <c r="F9015" i="1"/>
  <c r="E9015" i="1"/>
  <c r="F9014" i="1"/>
  <c r="E9014" i="1"/>
  <c r="F9013" i="1"/>
  <c r="E9013" i="1"/>
  <c r="F9012" i="1"/>
  <c r="E9012" i="1"/>
  <c r="F9011" i="1"/>
  <c r="E9011" i="1"/>
  <c r="F9010" i="1"/>
  <c r="E9010" i="1"/>
  <c r="F9009" i="1"/>
  <c r="E9009" i="1"/>
  <c r="F9008" i="1"/>
  <c r="E9008" i="1"/>
  <c r="F9007" i="1"/>
  <c r="E9007" i="1"/>
  <c r="F9006" i="1"/>
  <c r="E9006" i="1"/>
  <c r="F9005" i="1"/>
  <c r="E9005" i="1"/>
  <c r="F9004" i="1"/>
  <c r="E9004" i="1"/>
  <c r="F9003" i="1"/>
  <c r="E9003" i="1"/>
  <c r="F9002" i="1"/>
  <c r="E9002" i="1"/>
  <c r="F9001" i="1"/>
  <c r="E9001" i="1"/>
  <c r="F9000" i="1"/>
  <c r="E9000" i="1"/>
  <c r="F8999" i="1"/>
  <c r="E8999" i="1"/>
  <c r="F8998" i="1"/>
  <c r="E8998" i="1"/>
  <c r="F8997" i="1"/>
  <c r="E8997" i="1"/>
  <c r="F8996" i="1"/>
  <c r="E8996" i="1"/>
  <c r="F8995" i="1"/>
  <c r="E8995" i="1"/>
  <c r="F8994" i="1"/>
  <c r="E8994" i="1"/>
  <c r="F8993" i="1"/>
  <c r="E8993" i="1"/>
  <c r="F8992" i="1"/>
  <c r="E8992" i="1"/>
  <c r="F8991" i="1"/>
  <c r="E8991" i="1"/>
  <c r="F8990" i="1"/>
  <c r="E8990" i="1"/>
  <c r="F8989" i="1"/>
  <c r="E8989" i="1"/>
  <c r="F8988" i="1"/>
  <c r="E8988" i="1"/>
  <c r="F8987" i="1"/>
  <c r="E8987" i="1"/>
  <c r="F8986" i="1"/>
  <c r="E8986" i="1"/>
  <c r="F8985" i="1"/>
  <c r="E8985" i="1"/>
  <c r="F8984" i="1"/>
  <c r="E8984" i="1"/>
  <c r="F8983" i="1"/>
  <c r="E8983" i="1"/>
  <c r="F8982" i="1"/>
  <c r="E8982" i="1"/>
  <c r="F8981" i="1"/>
  <c r="E8981" i="1"/>
  <c r="F8980" i="1"/>
  <c r="E8980" i="1"/>
  <c r="F8979" i="1"/>
  <c r="E8979" i="1"/>
  <c r="F8978" i="1"/>
  <c r="E8978" i="1"/>
  <c r="F8977" i="1"/>
  <c r="E8977" i="1"/>
  <c r="F8976" i="1"/>
  <c r="E8976" i="1"/>
  <c r="F8975" i="1"/>
  <c r="E8975" i="1"/>
  <c r="F8974" i="1"/>
  <c r="E8974" i="1"/>
  <c r="F8973" i="1"/>
  <c r="E8973" i="1"/>
  <c r="F8972" i="1"/>
  <c r="E8972" i="1"/>
  <c r="F8971" i="1"/>
  <c r="E8971" i="1"/>
  <c r="F8970" i="1"/>
  <c r="E8970" i="1"/>
  <c r="F8969" i="1"/>
  <c r="E8969" i="1"/>
  <c r="F8968" i="1"/>
  <c r="E8968" i="1"/>
  <c r="F8967" i="1"/>
  <c r="E8967" i="1"/>
  <c r="F8966" i="1"/>
  <c r="E8966" i="1"/>
  <c r="F8965" i="1"/>
  <c r="E8965" i="1"/>
  <c r="F8964" i="1"/>
  <c r="E8964" i="1"/>
  <c r="F8963" i="1"/>
  <c r="E8963" i="1"/>
  <c r="F8962" i="1"/>
  <c r="E8962" i="1"/>
  <c r="F8961" i="1"/>
  <c r="E8961" i="1"/>
  <c r="F8960" i="1"/>
  <c r="E8960" i="1"/>
  <c r="F8959" i="1"/>
  <c r="E8959" i="1"/>
  <c r="F8958" i="1"/>
  <c r="E8958" i="1"/>
  <c r="F8957" i="1"/>
  <c r="E8957" i="1"/>
  <c r="F8956" i="1"/>
  <c r="E8956" i="1"/>
  <c r="F8955" i="1"/>
  <c r="E8955" i="1"/>
  <c r="F8954" i="1"/>
  <c r="E8954" i="1"/>
  <c r="F8953" i="1"/>
  <c r="F8952" i="1"/>
  <c r="F8951" i="1"/>
  <c r="F8950" i="1"/>
  <c r="F8949" i="1"/>
  <c r="E8949" i="1"/>
  <c r="F8948" i="1"/>
  <c r="E8948" i="1"/>
  <c r="F8947" i="1"/>
  <c r="E8947" i="1"/>
  <c r="F8946" i="1"/>
  <c r="E8946" i="1"/>
  <c r="F8945" i="1"/>
  <c r="E8945" i="1"/>
  <c r="F8944" i="1"/>
  <c r="E8944" i="1"/>
  <c r="F8943" i="1"/>
  <c r="E8943" i="1"/>
  <c r="F8942" i="1"/>
  <c r="E8942" i="1"/>
  <c r="F8941" i="1"/>
  <c r="E8941" i="1"/>
  <c r="F8940" i="1"/>
  <c r="E8940" i="1"/>
  <c r="F8939" i="1"/>
  <c r="E8939" i="1"/>
  <c r="F8938" i="1"/>
  <c r="E8938" i="1"/>
  <c r="F8937" i="1"/>
  <c r="E8937" i="1"/>
  <c r="F8936" i="1"/>
  <c r="E8936" i="1"/>
  <c r="F8935" i="1"/>
  <c r="E8935" i="1"/>
  <c r="F8934" i="1"/>
  <c r="E8934" i="1"/>
  <c r="F8933" i="1"/>
  <c r="E8933" i="1"/>
  <c r="F8932" i="1"/>
  <c r="E8932" i="1"/>
  <c r="F8931" i="1"/>
  <c r="E8931" i="1"/>
  <c r="F8930" i="1"/>
  <c r="E8930" i="1"/>
  <c r="F8929" i="1"/>
  <c r="E8929" i="1"/>
  <c r="F8928" i="1"/>
  <c r="E8928" i="1"/>
  <c r="F8927" i="1"/>
  <c r="E8927" i="1"/>
  <c r="F8926" i="1"/>
  <c r="E8926" i="1"/>
  <c r="F8925" i="1"/>
  <c r="E8925" i="1"/>
  <c r="F8924" i="1"/>
  <c r="E8924" i="1"/>
  <c r="F8923" i="1"/>
  <c r="E8923" i="1"/>
  <c r="F8922" i="1"/>
  <c r="E8922" i="1"/>
  <c r="F8921" i="1"/>
  <c r="E8921" i="1"/>
  <c r="F8920" i="1"/>
  <c r="E8920" i="1"/>
  <c r="F8919" i="1"/>
  <c r="E8919" i="1"/>
  <c r="F8918" i="1"/>
  <c r="E8918" i="1"/>
  <c r="F8917" i="1"/>
  <c r="E8917" i="1"/>
  <c r="F8916" i="1"/>
  <c r="E8916" i="1"/>
  <c r="F8915" i="1"/>
  <c r="E8915" i="1"/>
  <c r="F8914" i="1"/>
  <c r="E8914" i="1"/>
  <c r="F8913" i="1"/>
  <c r="E8913" i="1"/>
  <c r="F8912" i="1"/>
  <c r="E8912" i="1"/>
  <c r="F8911" i="1"/>
  <c r="E8911" i="1"/>
  <c r="F8910" i="1"/>
  <c r="E8910" i="1"/>
  <c r="F8909" i="1"/>
  <c r="E8909" i="1"/>
  <c r="F8908" i="1"/>
  <c r="E8908" i="1"/>
  <c r="F8907" i="1"/>
  <c r="E8907" i="1"/>
  <c r="F8906" i="1"/>
  <c r="E8906" i="1"/>
  <c r="F8905" i="1"/>
  <c r="E8905" i="1"/>
  <c r="F8904" i="1"/>
  <c r="E8904" i="1"/>
  <c r="F8903" i="1"/>
  <c r="E8903" i="1"/>
  <c r="F8902" i="1"/>
  <c r="E8902" i="1"/>
  <c r="F8901" i="1"/>
  <c r="E8901" i="1"/>
  <c r="F8900" i="1"/>
  <c r="E8900" i="1"/>
  <c r="F8899" i="1"/>
  <c r="E8899" i="1"/>
  <c r="F8898" i="1"/>
  <c r="E8898" i="1"/>
  <c r="F8897" i="1"/>
  <c r="E8897" i="1"/>
  <c r="F8896" i="1"/>
  <c r="E8896" i="1"/>
  <c r="F8895" i="1"/>
  <c r="E8895" i="1"/>
  <c r="F8894" i="1"/>
  <c r="E8894" i="1"/>
  <c r="F8893" i="1"/>
  <c r="E8893" i="1"/>
  <c r="F8892" i="1"/>
  <c r="E8892" i="1"/>
  <c r="F8891" i="1"/>
  <c r="E8891" i="1"/>
  <c r="F8890" i="1"/>
  <c r="E8890" i="1"/>
  <c r="F8889" i="1"/>
  <c r="E8889" i="1"/>
  <c r="F8888" i="1"/>
  <c r="E8888" i="1"/>
  <c r="F8887" i="1"/>
  <c r="E8887" i="1"/>
  <c r="F8886" i="1"/>
  <c r="E8886" i="1"/>
  <c r="F8885" i="1"/>
  <c r="E8885" i="1"/>
  <c r="F8884" i="1"/>
  <c r="E8884" i="1"/>
  <c r="F8883" i="1"/>
  <c r="E8883" i="1"/>
  <c r="F8882" i="1"/>
  <c r="E8882" i="1"/>
  <c r="F8881" i="1"/>
  <c r="E8881" i="1"/>
  <c r="F8880" i="1"/>
  <c r="E8880" i="1"/>
  <c r="F8879" i="1"/>
  <c r="E8879" i="1"/>
  <c r="F8878" i="1"/>
  <c r="E8878" i="1"/>
  <c r="F8877" i="1"/>
  <c r="E8877" i="1"/>
  <c r="F8876" i="1"/>
  <c r="E8876" i="1"/>
  <c r="F8875" i="1"/>
  <c r="E8875" i="1"/>
  <c r="F8874" i="1"/>
  <c r="E8874" i="1"/>
  <c r="F8873" i="1"/>
  <c r="E8873" i="1"/>
  <c r="F8872" i="1"/>
  <c r="E8872" i="1"/>
  <c r="F8871" i="1"/>
  <c r="E8871" i="1"/>
  <c r="F8870" i="1"/>
  <c r="E8870" i="1"/>
  <c r="F8869" i="1"/>
  <c r="E8869" i="1"/>
  <c r="F8868" i="1"/>
  <c r="E8868" i="1"/>
  <c r="F8867" i="1"/>
  <c r="E8867" i="1"/>
  <c r="F8866" i="1"/>
  <c r="E8866" i="1"/>
  <c r="F8865" i="1"/>
  <c r="E8865" i="1"/>
  <c r="F8864" i="1"/>
  <c r="E8864" i="1"/>
  <c r="F8863" i="1"/>
  <c r="E8863" i="1"/>
  <c r="F8862" i="1"/>
  <c r="E8862" i="1"/>
  <c r="F8861" i="1"/>
  <c r="E8861" i="1"/>
  <c r="F8860" i="1"/>
  <c r="E8860" i="1"/>
  <c r="F8859" i="1"/>
  <c r="E8859" i="1"/>
  <c r="F8858" i="1"/>
  <c r="E8858" i="1"/>
  <c r="F8857" i="1"/>
  <c r="E8857" i="1"/>
  <c r="F8856" i="1"/>
  <c r="E8856" i="1"/>
  <c r="F8855" i="1"/>
  <c r="E8855" i="1"/>
  <c r="F8854" i="1"/>
  <c r="E8854" i="1"/>
  <c r="F8853" i="1"/>
  <c r="E8853" i="1"/>
  <c r="F8852" i="1"/>
  <c r="F8851" i="1"/>
  <c r="F8850" i="1"/>
  <c r="E8850" i="1"/>
  <c r="F8849" i="1"/>
  <c r="E8849" i="1"/>
  <c r="F8848" i="1"/>
  <c r="E8848" i="1"/>
  <c r="F8847" i="1"/>
  <c r="E8847" i="1"/>
  <c r="F8846" i="1"/>
  <c r="E8846" i="1"/>
  <c r="F8845" i="1"/>
  <c r="E8845" i="1"/>
  <c r="F8844" i="1"/>
  <c r="E8844" i="1"/>
  <c r="F8843" i="1"/>
  <c r="E8843" i="1"/>
  <c r="F8842" i="1"/>
  <c r="E8842" i="1"/>
  <c r="F8841" i="1"/>
  <c r="E8841" i="1"/>
  <c r="F8840" i="1"/>
  <c r="F8839" i="1"/>
  <c r="F8838" i="1"/>
  <c r="E8838" i="1"/>
  <c r="F8837" i="1"/>
  <c r="E8837" i="1"/>
  <c r="F8836" i="1"/>
  <c r="E8836" i="1"/>
  <c r="F8835" i="1"/>
  <c r="E8835" i="1"/>
  <c r="F8834" i="1"/>
  <c r="E8834" i="1"/>
  <c r="F8833" i="1"/>
  <c r="E8833" i="1"/>
  <c r="F8832" i="1"/>
  <c r="E8832" i="1"/>
  <c r="F8831" i="1"/>
  <c r="E8831" i="1"/>
  <c r="F8830" i="1"/>
  <c r="E8830" i="1"/>
  <c r="F8829" i="1"/>
  <c r="E8829" i="1"/>
  <c r="F8828" i="1"/>
  <c r="E8828" i="1"/>
  <c r="F8827" i="1"/>
  <c r="F8826" i="1"/>
  <c r="E8826" i="1"/>
  <c r="F8825" i="1"/>
  <c r="E8825" i="1"/>
  <c r="F8824" i="1"/>
  <c r="E8824" i="1"/>
  <c r="F8823" i="1"/>
  <c r="E8823" i="1"/>
  <c r="F8822" i="1"/>
  <c r="E8822" i="1"/>
  <c r="F8821" i="1"/>
  <c r="E8821" i="1"/>
  <c r="F8820" i="1"/>
  <c r="E8820" i="1"/>
  <c r="F8819" i="1"/>
  <c r="E8819" i="1"/>
  <c r="F8818" i="1"/>
  <c r="E8818" i="1"/>
  <c r="F8817" i="1"/>
  <c r="E8817" i="1"/>
  <c r="F8816" i="1"/>
  <c r="E8816" i="1"/>
  <c r="F8815" i="1"/>
  <c r="E8815" i="1"/>
  <c r="F8814" i="1"/>
  <c r="E8814" i="1"/>
  <c r="F8813" i="1"/>
  <c r="E8813" i="1"/>
  <c r="F8812" i="1"/>
  <c r="E8812" i="1"/>
  <c r="F8811" i="1"/>
  <c r="E8811" i="1"/>
  <c r="F8810" i="1"/>
  <c r="E8810" i="1"/>
  <c r="F8809" i="1"/>
  <c r="E8809" i="1"/>
  <c r="F8808" i="1"/>
  <c r="E8808" i="1"/>
  <c r="F8807" i="1"/>
  <c r="E8807" i="1"/>
  <c r="F8806" i="1"/>
  <c r="E8806" i="1"/>
  <c r="F8805" i="1"/>
  <c r="E8805" i="1"/>
  <c r="F8804" i="1"/>
  <c r="E8804" i="1"/>
  <c r="F8803" i="1"/>
  <c r="E8803" i="1"/>
  <c r="F8802" i="1"/>
  <c r="E8802" i="1"/>
  <c r="F8801" i="1"/>
  <c r="E8801" i="1"/>
  <c r="F8800" i="1"/>
  <c r="E8800" i="1"/>
  <c r="F8799" i="1"/>
  <c r="E8799" i="1"/>
  <c r="F8798" i="1"/>
  <c r="E8798" i="1"/>
  <c r="F8797" i="1"/>
  <c r="E8797" i="1"/>
  <c r="F8796" i="1"/>
  <c r="E8796" i="1"/>
  <c r="F8795" i="1"/>
  <c r="E8795" i="1"/>
  <c r="F8794" i="1"/>
  <c r="E8794" i="1"/>
  <c r="F8793" i="1"/>
  <c r="E8793" i="1"/>
  <c r="F8792" i="1"/>
  <c r="E8792" i="1"/>
  <c r="F8791" i="1"/>
  <c r="E8791" i="1"/>
  <c r="F8790" i="1"/>
  <c r="E8790" i="1"/>
  <c r="F8789" i="1"/>
  <c r="E8789" i="1"/>
  <c r="F8788" i="1"/>
  <c r="E8788" i="1"/>
  <c r="F8787" i="1"/>
  <c r="E8787" i="1"/>
  <c r="F8786" i="1"/>
  <c r="E8786" i="1"/>
  <c r="F8785" i="1"/>
  <c r="E8785" i="1"/>
  <c r="F8784" i="1"/>
  <c r="E8784" i="1"/>
  <c r="F8783" i="1"/>
  <c r="E8783" i="1"/>
  <c r="F8782" i="1"/>
  <c r="E8782" i="1"/>
  <c r="F8781" i="1"/>
  <c r="E8781" i="1"/>
  <c r="F8780" i="1"/>
  <c r="E8780" i="1"/>
  <c r="F8779" i="1"/>
  <c r="E8779" i="1"/>
  <c r="F8778" i="1"/>
  <c r="E8778" i="1"/>
  <c r="F8777" i="1"/>
  <c r="E8777" i="1"/>
  <c r="F8776" i="1"/>
  <c r="E8776" i="1"/>
  <c r="F8775" i="1"/>
  <c r="E8775" i="1"/>
  <c r="F8774" i="1"/>
  <c r="E8774" i="1"/>
  <c r="F8773" i="1"/>
  <c r="E8773" i="1"/>
  <c r="F8772" i="1"/>
  <c r="E8772" i="1"/>
  <c r="F8771" i="1"/>
  <c r="E8771" i="1"/>
  <c r="F8770" i="1"/>
  <c r="E8770" i="1"/>
  <c r="F8769" i="1"/>
  <c r="E8769" i="1"/>
  <c r="F8768" i="1"/>
  <c r="E8768" i="1"/>
  <c r="F8767" i="1"/>
  <c r="E8767" i="1"/>
  <c r="F8766" i="1"/>
  <c r="E8766" i="1"/>
  <c r="F8765" i="1"/>
  <c r="E8765" i="1"/>
  <c r="F8764" i="1"/>
  <c r="E8764" i="1"/>
  <c r="F8763" i="1"/>
  <c r="E8763" i="1"/>
  <c r="F8762" i="1"/>
  <c r="E8762" i="1"/>
  <c r="F8761" i="1"/>
  <c r="E8761" i="1"/>
  <c r="F8760" i="1"/>
  <c r="E8760" i="1"/>
  <c r="F8759" i="1"/>
  <c r="E8759" i="1"/>
  <c r="F8758" i="1"/>
  <c r="E8758" i="1"/>
  <c r="F8757" i="1"/>
  <c r="E8757" i="1"/>
  <c r="F8756" i="1"/>
  <c r="E8756" i="1"/>
  <c r="F8755" i="1"/>
  <c r="E8755" i="1"/>
  <c r="F8754" i="1"/>
  <c r="E8754" i="1"/>
  <c r="F8753" i="1"/>
  <c r="E8753" i="1"/>
  <c r="F8752" i="1"/>
  <c r="E8752" i="1"/>
  <c r="F8751" i="1"/>
  <c r="E8751" i="1"/>
  <c r="F8750" i="1"/>
  <c r="E8750" i="1"/>
  <c r="F8749" i="1"/>
  <c r="E8749" i="1"/>
  <c r="F8748" i="1"/>
  <c r="E8748" i="1"/>
  <c r="F8747" i="1"/>
  <c r="E8747" i="1"/>
  <c r="F8746" i="1"/>
  <c r="E8746" i="1"/>
  <c r="F8745" i="1"/>
  <c r="E8745" i="1"/>
  <c r="F8744" i="1"/>
  <c r="E8744" i="1"/>
  <c r="F8743" i="1"/>
  <c r="E8743" i="1"/>
  <c r="F8742" i="1"/>
  <c r="E8742" i="1"/>
  <c r="F8741" i="1"/>
  <c r="E8741" i="1"/>
  <c r="F8740" i="1"/>
  <c r="E8740" i="1"/>
  <c r="F8739" i="1"/>
  <c r="E8739" i="1"/>
  <c r="F8738" i="1"/>
  <c r="E8738" i="1"/>
  <c r="F8737" i="1"/>
  <c r="E8737" i="1"/>
  <c r="F8736" i="1"/>
  <c r="E8736" i="1"/>
  <c r="F8735" i="1"/>
  <c r="E8735" i="1"/>
  <c r="F8734" i="1"/>
  <c r="E8734" i="1"/>
  <c r="F8733" i="1"/>
  <c r="E8733" i="1"/>
  <c r="F8732" i="1"/>
  <c r="E8732" i="1"/>
  <c r="F8731" i="1"/>
  <c r="E8731" i="1"/>
  <c r="F8730" i="1"/>
  <c r="E8730" i="1"/>
  <c r="F8729" i="1"/>
  <c r="E8729" i="1"/>
  <c r="F8728" i="1"/>
  <c r="E8728" i="1"/>
  <c r="F8727" i="1"/>
  <c r="E8727" i="1"/>
  <c r="F8726" i="1"/>
  <c r="E8726" i="1"/>
  <c r="F8725" i="1"/>
  <c r="E8725" i="1"/>
  <c r="F8724" i="1"/>
  <c r="E8724" i="1"/>
  <c r="F8723" i="1"/>
  <c r="E8723" i="1"/>
  <c r="F8722" i="1"/>
  <c r="E8722" i="1"/>
  <c r="F8721" i="1"/>
  <c r="E8721" i="1"/>
  <c r="F8720" i="1"/>
  <c r="E8720" i="1"/>
  <c r="F8719" i="1"/>
  <c r="E8719" i="1"/>
  <c r="F8718" i="1"/>
  <c r="E8718" i="1"/>
  <c r="F8717" i="1"/>
  <c r="E8717" i="1"/>
  <c r="F8716" i="1"/>
  <c r="E8716" i="1"/>
  <c r="F8715" i="1"/>
  <c r="E8715" i="1"/>
  <c r="F8714" i="1"/>
  <c r="E8714" i="1"/>
  <c r="F8713" i="1"/>
  <c r="E8713" i="1"/>
  <c r="F8712" i="1"/>
  <c r="E8712" i="1"/>
  <c r="F8711" i="1"/>
  <c r="E8711" i="1"/>
  <c r="F8710" i="1"/>
  <c r="E8710" i="1"/>
  <c r="F8709" i="1"/>
  <c r="E8709" i="1"/>
  <c r="F8708" i="1"/>
  <c r="E8708" i="1"/>
  <c r="F8707" i="1"/>
  <c r="E8707" i="1"/>
  <c r="F8706" i="1"/>
  <c r="E8706" i="1"/>
  <c r="F8705" i="1"/>
  <c r="E8705" i="1"/>
  <c r="F8704" i="1"/>
  <c r="E8704" i="1"/>
  <c r="F8703" i="1"/>
  <c r="E8703" i="1"/>
  <c r="F8702" i="1"/>
  <c r="E8702" i="1"/>
  <c r="F8701" i="1"/>
  <c r="E8701" i="1"/>
  <c r="F8700" i="1"/>
  <c r="E8700" i="1"/>
  <c r="F8699" i="1"/>
  <c r="E8699" i="1"/>
  <c r="F8698" i="1"/>
  <c r="E8698" i="1"/>
  <c r="F8697" i="1"/>
  <c r="E8697" i="1"/>
  <c r="F8696" i="1"/>
  <c r="E8696" i="1"/>
  <c r="F8695" i="1"/>
  <c r="E8695" i="1"/>
  <c r="F8694" i="1"/>
  <c r="E8694" i="1"/>
  <c r="F8693" i="1"/>
  <c r="E8693" i="1"/>
  <c r="F8692" i="1"/>
  <c r="E8692" i="1"/>
  <c r="F8691" i="1"/>
  <c r="E8691" i="1"/>
  <c r="F8690" i="1"/>
  <c r="E8690" i="1"/>
  <c r="F8689" i="1"/>
  <c r="E8689" i="1"/>
  <c r="F8688" i="1"/>
  <c r="E8688" i="1"/>
  <c r="F8687" i="1"/>
  <c r="E8687" i="1"/>
  <c r="F8686" i="1"/>
  <c r="E8686" i="1"/>
  <c r="F8685" i="1"/>
  <c r="E8685" i="1"/>
  <c r="F8684" i="1"/>
  <c r="E8684" i="1"/>
  <c r="F8683" i="1"/>
  <c r="E8683" i="1"/>
  <c r="F8682" i="1"/>
  <c r="E8682" i="1"/>
  <c r="F8681" i="1"/>
  <c r="E8681" i="1"/>
  <c r="F8680" i="1"/>
  <c r="E8680" i="1"/>
  <c r="F8679" i="1"/>
  <c r="E8679" i="1"/>
  <c r="F8678" i="1"/>
  <c r="E8678" i="1"/>
  <c r="F8677" i="1"/>
  <c r="E8677" i="1"/>
  <c r="F8676" i="1"/>
  <c r="E8676" i="1"/>
  <c r="F8675" i="1"/>
  <c r="E8675" i="1"/>
  <c r="F8674" i="1"/>
  <c r="E8674" i="1"/>
  <c r="F8673" i="1"/>
  <c r="E8673" i="1"/>
  <c r="F8672" i="1"/>
  <c r="E8672" i="1"/>
  <c r="F8671" i="1"/>
  <c r="E8671" i="1"/>
  <c r="F8670" i="1"/>
  <c r="E8670" i="1"/>
  <c r="F8669" i="1"/>
  <c r="E8669" i="1"/>
  <c r="F8668" i="1"/>
  <c r="E8668" i="1"/>
  <c r="F8667" i="1"/>
  <c r="E8667" i="1"/>
  <c r="F8666" i="1"/>
  <c r="E8666" i="1"/>
  <c r="F8665" i="1"/>
  <c r="E8665" i="1"/>
  <c r="F8664" i="1"/>
  <c r="E8664" i="1"/>
  <c r="F8663" i="1"/>
  <c r="E8663" i="1"/>
  <c r="F8662" i="1"/>
  <c r="E8662" i="1"/>
  <c r="F8661" i="1"/>
  <c r="E8661" i="1"/>
  <c r="F8660" i="1"/>
  <c r="E8660" i="1"/>
  <c r="F8659" i="1"/>
  <c r="E8659" i="1"/>
  <c r="F8658" i="1"/>
  <c r="E8658" i="1"/>
  <c r="F8657" i="1"/>
  <c r="E8657" i="1"/>
  <c r="F8656" i="1"/>
  <c r="E8656" i="1"/>
  <c r="F8655" i="1"/>
  <c r="E8655" i="1"/>
  <c r="F8654" i="1"/>
  <c r="E8654" i="1"/>
  <c r="F8653" i="1"/>
  <c r="E8653" i="1"/>
  <c r="F8652" i="1"/>
  <c r="E8652" i="1"/>
  <c r="F8651" i="1"/>
  <c r="E8651" i="1"/>
  <c r="F8650" i="1"/>
  <c r="E8650" i="1"/>
  <c r="F8649" i="1"/>
  <c r="E8649" i="1"/>
  <c r="F8648" i="1"/>
  <c r="E8648" i="1"/>
  <c r="F8647" i="1"/>
  <c r="E8647" i="1"/>
  <c r="F8646" i="1"/>
  <c r="E8646" i="1"/>
  <c r="F8645" i="1"/>
  <c r="E8645" i="1"/>
  <c r="F8644" i="1"/>
  <c r="E8644" i="1"/>
  <c r="F8643" i="1"/>
  <c r="E8643" i="1"/>
  <c r="F8642" i="1"/>
  <c r="E8642" i="1"/>
  <c r="F8641" i="1"/>
  <c r="E8641" i="1"/>
  <c r="F8640" i="1"/>
  <c r="E8640" i="1"/>
  <c r="F8639" i="1"/>
  <c r="E8639" i="1"/>
  <c r="F8638" i="1"/>
  <c r="E8638" i="1"/>
  <c r="F8637" i="1"/>
  <c r="E8637" i="1"/>
  <c r="F8636" i="1"/>
  <c r="E8636" i="1"/>
  <c r="F8635" i="1"/>
  <c r="E8635" i="1"/>
  <c r="F8634" i="1"/>
  <c r="E8634" i="1"/>
  <c r="F8633" i="1"/>
  <c r="E8633" i="1"/>
  <c r="F8632" i="1"/>
  <c r="E8632" i="1"/>
  <c r="F8631" i="1"/>
  <c r="F8630" i="1"/>
  <c r="F8629" i="1"/>
  <c r="E8629" i="1"/>
  <c r="F8628" i="1"/>
  <c r="E8628" i="1"/>
  <c r="F8627" i="1"/>
  <c r="F8626" i="1"/>
  <c r="F8625" i="1"/>
  <c r="F8624" i="1"/>
  <c r="E8624" i="1"/>
  <c r="F8623" i="1"/>
  <c r="E8623" i="1"/>
  <c r="F8622" i="1"/>
  <c r="E8622" i="1"/>
  <c r="F8621" i="1"/>
  <c r="E8621" i="1"/>
  <c r="F8620" i="1"/>
  <c r="E8620" i="1"/>
  <c r="F8619" i="1"/>
  <c r="E8619" i="1"/>
  <c r="F8618" i="1"/>
  <c r="E8618" i="1"/>
  <c r="F8617" i="1"/>
  <c r="E8617" i="1"/>
  <c r="F8616" i="1"/>
  <c r="E8616" i="1"/>
  <c r="F8615" i="1"/>
  <c r="E8615" i="1"/>
  <c r="F8614" i="1"/>
  <c r="E8614" i="1"/>
  <c r="F8613" i="1"/>
  <c r="E8613" i="1"/>
  <c r="F8612" i="1"/>
  <c r="E8612" i="1"/>
  <c r="F8611" i="1"/>
  <c r="E8611" i="1"/>
  <c r="F8610" i="1"/>
  <c r="E8610" i="1"/>
  <c r="F8609" i="1"/>
  <c r="E8609" i="1"/>
  <c r="F8608" i="1"/>
  <c r="E8608" i="1"/>
  <c r="F8607" i="1"/>
  <c r="E8607" i="1"/>
  <c r="F8606" i="1"/>
  <c r="E8606" i="1"/>
  <c r="F8605" i="1"/>
  <c r="E8605" i="1"/>
  <c r="F8604" i="1"/>
  <c r="E8604" i="1"/>
  <c r="F8603" i="1"/>
  <c r="E8603" i="1"/>
  <c r="F8602" i="1"/>
  <c r="E8602" i="1"/>
  <c r="F8601" i="1"/>
  <c r="E8601" i="1"/>
  <c r="F8600" i="1"/>
  <c r="F8599" i="1"/>
  <c r="F8598" i="1"/>
  <c r="F8597" i="1"/>
  <c r="E8597" i="1"/>
  <c r="F8596" i="1"/>
  <c r="E8596" i="1"/>
  <c r="F8595" i="1"/>
  <c r="F8594" i="1"/>
  <c r="E8594" i="1"/>
  <c r="F8593" i="1"/>
  <c r="E8593" i="1"/>
  <c r="F8592" i="1"/>
  <c r="F8591" i="1"/>
  <c r="E8591" i="1"/>
  <c r="F8590" i="1"/>
  <c r="E8590" i="1"/>
  <c r="F8589" i="1"/>
  <c r="E8589" i="1"/>
  <c r="F8588" i="1"/>
  <c r="E8588" i="1"/>
  <c r="F8587" i="1"/>
  <c r="F8586" i="1"/>
  <c r="E8586" i="1"/>
  <c r="F8585" i="1"/>
  <c r="E8585" i="1"/>
  <c r="F8584" i="1"/>
  <c r="E8584" i="1"/>
  <c r="F8583" i="1"/>
  <c r="E8583" i="1"/>
  <c r="F8582" i="1"/>
  <c r="E8582" i="1"/>
  <c r="F8581" i="1"/>
  <c r="E8581" i="1"/>
  <c r="F8580" i="1"/>
  <c r="F8579" i="1"/>
  <c r="E8579" i="1"/>
  <c r="F8578" i="1"/>
  <c r="E8578" i="1"/>
  <c r="F8577" i="1"/>
  <c r="F8576" i="1"/>
  <c r="E8576" i="1"/>
  <c r="F8575" i="1"/>
  <c r="E8575" i="1"/>
  <c r="F8574" i="1"/>
  <c r="E8574" i="1"/>
  <c r="F8573" i="1"/>
  <c r="E8573" i="1"/>
  <c r="F8572" i="1"/>
  <c r="E8572" i="1"/>
  <c r="F8571" i="1"/>
  <c r="F8570" i="1"/>
  <c r="E8570" i="1"/>
  <c r="F8569" i="1"/>
  <c r="E8569" i="1"/>
  <c r="F8568" i="1"/>
  <c r="E8568" i="1"/>
  <c r="F8567" i="1"/>
  <c r="E8567" i="1"/>
  <c r="F8566" i="1"/>
  <c r="E8566" i="1"/>
  <c r="F8565" i="1"/>
  <c r="E8565" i="1"/>
  <c r="F8564" i="1"/>
  <c r="E8564" i="1"/>
  <c r="F8563" i="1"/>
  <c r="E8563" i="1"/>
  <c r="F8562" i="1"/>
  <c r="E8562" i="1"/>
  <c r="F8561" i="1"/>
  <c r="E8561" i="1"/>
  <c r="F8560" i="1"/>
  <c r="E8560" i="1"/>
  <c r="F8559" i="1"/>
  <c r="E8559" i="1"/>
  <c r="F8558" i="1"/>
  <c r="E8558" i="1"/>
  <c r="F8557" i="1"/>
  <c r="E8557" i="1"/>
  <c r="F8556" i="1"/>
  <c r="E8556" i="1"/>
  <c r="F8555" i="1"/>
  <c r="E8555" i="1"/>
  <c r="F8554" i="1"/>
  <c r="E8554" i="1"/>
  <c r="F8553" i="1"/>
  <c r="E8553" i="1"/>
  <c r="F8552" i="1"/>
  <c r="E8552" i="1"/>
  <c r="F8551" i="1"/>
  <c r="E8551" i="1"/>
  <c r="F8550" i="1"/>
  <c r="E8550" i="1"/>
  <c r="F8549" i="1"/>
  <c r="E8549" i="1"/>
  <c r="F8548" i="1"/>
  <c r="E8548" i="1"/>
  <c r="F8547" i="1"/>
  <c r="E8547" i="1"/>
  <c r="F8546" i="1"/>
  <c r="E8546" i="1"/>
  <c r="F8545" i="1"/>
  <c r="E8545" i="1"/>
  <c r="F8544" i="1"/>
  <c r="E8544" i="1"/>
  <c r="F8543" i="1"/>
  <c r="E8543" i="1"/>
  <c r="F8542" i="1"/>
  <c r="E8542" i="1"/>
  <c r="F8541" i="1"/>
  <c r="E8541" i="1"/>
  <c r="F8540" i="1"/>
  <c r="E8540" i="1"/>
  <c r="F8539" i="1"/>
  <c r="E8539" i="1"/>
  <c r="F8538" i="1"/>
  <c r="E8538" i="1"/>
  <c r="F8537" i="1"/>
  <c r="E8537" i="1"/>
  <c r="F8536" i="1"/>
  <c r="E8536" i="1"/>
  <c r="F8535" i="1"/>
  <c r="E8535" i="1"/>
  <c r="F8534" i="1"/>
  <c r="F8533" i="1"/>
  <c r="F8532" i="1"/>
  <c r="F8531" i="1"/>
  <c r="F8530" i="1"/>
  <c r="F8529" i="1"/>
  <c r="F8528" i="1"/>
  <c r="F8527" i="1"/>
  <c r="F8526" i="1"/>
  <c r="F8525" i="1"/>
  <c r="F8524" i="1"/>
  <c r="F8523" i="1"/>
  <c r="F8522" i="1"/>
  <c r="F8521" i="1"/>
  <c r="F8520" i="1"/>
  <c r="E8520" i="1"/>
  <c r="F8519" i="1"/>
  <c r="F8518" i="1"/>
  <c r="E8518" i="1"/>
  <c r="F8517" i="1"/>
  <c r="E8517" i="1"/>
  <c r="F8516" i="1"/>
  <c r="E8516" i="1"/>
  <c r="F8515" i="1"/>
  <c r="E8515" i="1"/>
  <c r="F8514" i="1"/>
  <c r="E8514" i="1"/>
  <c r="F8513" i="1"/>
  <c r="E8513" i="1"/>
  <c r="F8512" i="1"/>
  <c r="E8512" i="1"/>
  <c r="F8511" i="1"/>
  <c r="E8511" i="1"/>
  <c r="F8510" i="1"/>
  <c r="E8510" i="1"/>
  <c r="F8509" i="1"/>
  <c r="E8509" i="1"/>
  <c r="F8508" i="1"/>
  <c r="E8508" i="1"/>
  <c r="F8507" i="1"/>
  <c r="E8507" i="1"/>
  <c r="F8506" i="1"/>
  <c r="E8506" i="1"/>
  <c r="F8505" i="1"/>
  <c r="E8505" i="1"/>
  <c r="F8504" i="1"/>
  <c r="E8504" i="1"/>
  <c r="F8503" i="1"/>
  <c r="E8503" i="1"/>
  <c r="F8502" i="1"/>
  <c r="E8502" i="1"/>
  <c r="F8501" i="1"/>
  <c r="E8501" i="1"/>
  <c r="F8500" i="1"/>
  <c r="E8500" i="1"/>
  <c r="F8499" i="1"/>
  <c r="E8499" i="1"/>
  <c r="F8498" i="1"/>
  <c r="E8498" i="1"/>
  <c r="F8497" i="1"/>
  <c r="E8497" i="1"/>
  <c r="F8496" i="1"/>
  <c r="E8496" i="1"/>
  <c r="F8495" i="1"/>
  <c r="E8495" i="1"/>
  <c r="F8494" i="1"/>
  <c r="E8494" i="1"/>
  <c r="F8493" i="1"/>
  <c r="E8493" i="1"/>
  <c r="F8492" i="1"/>
  <c r="E8492" i="1"/>
  <c r="F8491" i="1"/>
  <c r="E8491" i="1"/>
  <c r="F8490" i="1"/>
  <c r="E8490" i="1"/>
  <c r="F8489" i="1"/>
  <c r="E8489" i="1"/>
  <c r="F8488" i="1"/>
  <c r="E8488" i="1"/>
  <c r="F8487" i="1"/>
  <c r="E8487" i="1"/>
  <c r="F8486" i="1"/>
  <c r="E8486" i="1"/>
  <c r="F8485" i="1"/>
  <c r="E8485" i="1"/>
  <c r="F8484" i="1"/>
  <c r="E8484" i="1"/>
  <c r="F8483" i="1"/>
  <c r="E8483" i="1"/>
  <c r="F8482" i="1"/>
  <c r="E8482" i="1"/>
  <c r="F8481" i="1"/>
  <c r="E8481" i="1"/>
  <c r="F8480" i="1"/>
  <c r="E8480" i="1"/>
  <c r="F8479" i="1"/>
  <c r="E8479" i="1"/>
  <c r="F8478" i="1"/>
  <c r="E8478" i="1"/>
  <c r="F8477" i="1"/>
  <c r="E8477" i="1"/>
  <c r="F8476" i="1"/>
  <c r="E8476" i="1"/>
  <c r="F8475" i="1"/>
  <c r="E8475" i="1"/>
  <c r="F8474" i="1"/>
  <c r="E8474" i="1"/>
  <c r="F8473" i="1"/>
  <c r="E8473" i="1"/>
  <c r="F8472" i="1"/>
  <c r="E8472" i="1"/>
  <c r="F8471" i="1"/>
  <c r="E8471" i="1"/>
  <c r="F8470" i="1"/>
  <c r="E8470" i="1"/>
  <c r="F8469" i="1"/>
  <c r="E8469" i="1"/>
  <c r="F8468" i="1"/>
  <c r="E8468" i="1"/>
  <c r="F8467" i="1"/>
  <c r="E8467" i="1"/>
  <c r="F8466" i="1"/>
  <c r="E8466" i="1"/>
  <c r="F8465" i="1"/>
  <c r="E8465" i="1"/>
  <c r="F8464" i="1"/>
  <c r="E8464" i="1"/>
  <c r="F8463" i="1"/>
  <c r="E8463" i="1"/>
  <c r="F8462" i="1"/>
  <c r="E8462" i="1"/>
  <c r="F8461" i="1"/>
  <c r="E8461" i="1"/>
  <c r="F8460" i="1"/>
  <c r="E8460" i="1"/>
  <c r="F8459" i="1"/>
  <c r="E8459" i="1"/>
  <c r="F8458" i="1"/>
  <c r="E8458" i="1"/>
  <c r="F8457" i="1"/>
  <c r="E8457" i="1"/>
  <c r="F8456" i="1"/>
  <c r="E8456" i="1"/>
  <c r="F8455" i="1"/>
  <c r="E8455" i="1"/>
  <c r="F8454" i="1"/>
  <c r="E8454" i="1"/>
  <c r="F8453" i="1"/>
  <c r="E8453" i="1"/>
  <c r="F8452" i="1"/>
  <c r="E8452" i="1"/>
  <c r="F8451" i="1"/>
  <c r="E8451" i="1"/>
  <c r="F8450" i="1"/>
  <c r="E8450" i="1"/>
  <c r="F8449" i="1"/>
  <c r="E8449" i="1"/>
  <c r="F8448" i="1"/>
  <c r="E8448" i="1"/>
  <c r="F8447" i="1"/>
  <c r="E8447" i="1"/>
  <c r="F8446" i="1"/>
  <c r="E8446" i="1"/>
  <c r="F8445" i="1"/>
  <c r="E8445" i="1"/>
  <c r="F8444" i="1"/>
  <c r="E8444" i="1"/>
  <c r="F8443" i="1"/>
  <c r="E8443" i="1"/>
  <c r="F8442" i="1"/>
  <c r="E8442" i="1"/>
  <c r="F8441" i="1"/>
  <c r="E8441" i="1"/>
  <c r="F8440" i="1"/>
  <c r="E8440" i="1"/>
  <c r="F8439" i="1"/>
  <c r="E8439" i="1"/>
  <c r="F8438" i="1"/>
  <c r="E8438" i="1"/>
  <c r="F8437" i="1"/>
  <c r="E8437" i="1"/>
  <c r="F8436" i="1"/>
  <c r="E8436" i="1"/>
  <c r="F8435" i="1"/>
  <c r="E8435" i="1"/>
  <c r="F8434" i="1"/>
  <c r="E8434" i="1"/>
  <c r="F8433" i="1"/>
  <c r="E8433" i="1"/>
  <c r="F8432" i="1"/>
  <c r="F8431" i="1"/>
  <c r="F8430" i="1"/>
  <c r="F8429" i="1"/>
  <c r="E8429" i="1"/>
  <c r="F8428" i="1"/>
  <c r="E8428" i="1"/>
  <c r="F8427" i="1"/>
  <c r="E8427" i="1"/>
  <c r="F8426" i="1"/>
  <c r="E8426" i="1"/>
  <c r="F8425" i="1"/>
  <c r="E8425" i="1"/>
  <c r="F8424" i="1"/>
  <c r="E8424" i="1"/>
  <c r="F8423" i="1"/>
  <c r="E8423" i="1"/>
  <c r="F8422" i="1"/>
  <c r="E8422" i="1"/>
  <c r="F8421" i="1"/>
  <c r="E8421" i="1"/>
  <c r="F8420" i="1"/>
  <c r="E8420" i="1"/>
  <c r="F8419" i="1"/>
  <c r="E8419" i="1"/>
  <c r="F8418" i="1"/>
  <c r="E8418" i="1"/>
  <c r="F8417" i="1"/>
  <c r="E8417" i="1"/>
  <c r="F8416" i="1"/>
  <c r="E8416" i="1"/>
  <c r="F8415" i="1"/>
  <c r="E8415" i="1"/>
  <c r="F8414" i="1"/>
  <c r="E8414" i="1"/>
  <c r="F8413" i="1"/>
  <c r="E8413" i="1"/>
  <c r="F8412" i="1"/>
  <c r="E8412" i="1"/>
  <c r="F8411" i="1"/>
  <c r="E8411" i="1"/>
  <c r="F8410" i="1"/>
  <c r="E8410" i="1"/>
  <c r="F8409" i="1"/>
  <c r="E8409" i="1"/>
  <c r="F8408" i="1"/>
  <c r="E8408" i="1"/>
  <c r="F8407" i="1"/>
  <c r="E8407" i="1"/>
  <c r="F8406" i="1"/>
  <c r="E8406" i="1"/>
  <c r="F8405" i="1"/>
  <c r="E8405" i="1"/>
  <c r="F8404" i="1"/>
  <c r="E8404" i="1"/>
  <c r="F8403" i="1"/>
  <c r="E8403" i="1"/>
  <c r="F8402" i="1"/>
  <c r="E8402" i="1"/>
  <c r="F8401" i="1"/>
  <c r="E8401" i="1"/>
  <c r="F8400" i="1"/>
  <c r="E8400" i="1"/>
  <c r="F8399" i="1"/>
  <c r="E8399" i="1"/>
  <c r="F8398" i="1"/>
  <c r="E8398" i="1"/>
  <c r="F8397" i="1"/>
  <c r="E8397" i="1"/>
  <c r="F8396" i="1"/>
  <c r="E8396" i="1"/>
  <c r="F8395" i="1"/>
  <c r="E8395" i="1"/>
  <c r="F8394" i="1"/>
  <c r="E8394" i="1"/>
  <c r="F8393" i="1"/>
  <c r="E8393" i="1"/>
  <c r="F8392" i="1"/>
  <c r="E8392" i="1"/>
  <c r="F8391" i="1"/>
  <c r="E8391" i="1"/>
  <c r="F8390" i="1"/>
  <c r="E8390" i="1"/>
  <c r="F8389" i="1"/>
  <c r="E8389" i="1"/>
  <c r="F8388" i="1"/>
  <c r="E8388" i="1"/>
  <c r="F8387" i="1"/>
  <c r="E8387" i="1"/>
  <c r="F8386" i="1"/>
  <c r="E8386" i="1"/>
  <c r="F8385" i="1"/>
  <c r="E8385" i="1"/>
  <c r="F8384" i="1"/>
  <c r="E8384" i="1"/>
  <c r="F8383" i="1"/>
  <c r="E8383" i="1"/>
  <c r="F8382" i="1"/>
  <c r="E8382" i="1"/>
  <c r="F8381" i="1"/>
  <c r="E8381" i="1"/>
  <c r="F8380" i="1"/>
  <c r="E8380" i="1"/>
  <c r="F8379" i="1"/>
  <c r="E8379" i="1"/>
  <c r="F8378" i="1"/>
  <c r="E8378" i="1"/>
  <c r="F8377" i="1"/>
  <c r="F8376" i="1"/>
  <c r="E8376" i="1"/>
  <c r="F8375" i="1"/>
  <c r="E8375" i="1"/>
  <c r="F8374" i="1"/>
  <c r="E8374" i="1"/>
  <c r="F8373" i="1"/>
  <c r="E8373" i="1"/>
  <c r="F8372" i="1"/>
  <c r="E8372" i="1"/>
  <c r="F8371" i="1"/>
  <c r="F8370" i="1"/>
  <c r="E8370" i="1"/>
  <c r="F8369" i="1"/>
  <c r="E8369" i="1"/>
  <c r="F8368" i="1"/>
  <c r="E8368" i="1"/>
  <c r="F8367" i="1"/>
  <c r="E8367" i="1"/>
  <c r="F8366" i="1"/>
  <c r="E8366" i="1"/>
  <c r="F8365" i="1"/>
  <c r="E8365" i="1"/>
  <c r="F8364" i="1"/>
  <c r="E8364" i="1"/>
  <c r="F8363" i="1"/>
  <c r="E8363" i="1"/>
  <c r="F8362" i="1"/>
  <c r="E8362" i="1"/>
  <c r="F8361" i="1"/>
  <c r="E8361" i="1"/>
  <c r="F8360" i="1"/>
  <c r="E8360" i="1"/>
  <c r="F8359" i="1"/>
  <c r="E8359" i="1"/>
  <c r="F8358" i="1"/>
  <c r="E8358" i="1"/>
  <c r="F8357" i="1"/>
  <c r="E8357" i="1"/>
  <c r="F8356" i="1"/>
  <c r="E8356" i="1"/>
  <c r="F8355" i="1"/>
  <c r="E8355" i="1"/>
  <c r="F8354" i="1"/>
  <c r="E8354" i="1"/>
  <c r="F8353" i="1"/>
  <c r="E8353" i="1"/>
  <c r="F8352" i="1"/>
  <c r="E8352" i="1"/>
  <c r="F8351" i="1"/>
  <c r="E8351" i="1"/>
  <c r="F8350" i="1"/>
  <c r="E8350" i="1"/>
  <c r="F8349" i="1"/>
  <c r="E8349" i="1"/>
  <c r="F8348" i="1"/>
  <c r="E8348" i="1"/>
  <c r="F8347" i="1"/>
  <c r="E8347" i="1"/>
  <c r="F8346" i="1"/>
  <c r="E8346" i="1"/>
  <c r="F8345" i="1"/>
  <c r="E8345" i="1"/>
  <c r="F8344" i="1"/>
  <c r="E8344" i="1"/>
  <c r="F8343" i="1"/>
  <c r="E8343" i="1"/>
  <c r="F8342" i="1"/>
  <c r="E8342" i="1"/>
  <c r="F8341" i="1"/>
  <c r="E8341" i="1"/>
  <c r="F8340" i="1"/>
  <c r="E8340" i="1"/>
  <c r="F8339" i="1"/>
  <c r="E8339" i="1"/>
  <c r="F8338" i="1"/>
  <c r="E8338" i="1"/>
  <c r="F8337" i="1"/>
  <c r="E8337" i="1"/>
  <c r="F8336" i="1"/>
  <c r="E8336" i="1"/>
  <c r="F8335" i="1"/>
  <c r="E8335" i="1"/>
  <c r="F8334" i="1"/>
  <c r="E8334" i="1"/>
  <c r="F8333" i="1"/>
  <c r="E8333" i="1"/>
  <c r="F8332" i="1"/>
  <c r="E8332" i="1"/>
  <c r="F8331" i="1"/>
  <c r="E8331" i="1"/>
  <c r="F8330" i="1"/>
  <c r="E8330" i="1"/>
  <c r="F8329" i="1"/>
  <c r="E8329" i="1"/>
  <c r="F8328" i="1"/>
  <c r="E8328" i="1"/>
  <c r="F8327" i="1"/>
  <c r="E8327" i="1"/>
  <c r="F8326" i="1"/>
  <c r="E8326" i="1"/>
  <c r="F8325" i="1"/>
  <c r="E8325" i="1"/>
  <c r="F8324" i="1"/>
  <c r="E8324" i="1"/>
  <c r="F8323" i="1"/>
  <c r="E8323" i="1"/>
  <c r="F8322" i="1"/>
  <c r="E8322" i="1"/>
  <c r="F8321" i="1"/>
  <c r="E8321" i="1"/>
  <c r="F8320" i="1"/>
  <c r="E8320" i="1"/>
  <c r="F8319" i="1"/>
  <c r="E8319" i="1"/>
  <c r="F8318" i="1"/>
  <c r="E8318" i="1"/>
  <c r="F8317" i="1"/>
  <c r="E8317" i="1"/>
  <c r="F8316" i="1"/>
  <c r="E8316" i="1"/>
  <c r="F8315" i="1"/>
  <c r="E8315" i="1"/>
  <c r="F8314" i="1"/>
  <c r="E8314" i="1"/>
  <c r="F8313" i="1"/>
  <c r="E8313" i="1"/>
  <c r="F8312" i="1"/>
  <c r="E8312" i="1"/>
  <c r="F8311" i="1"/>
  <c r="E8311" i="1"/>
  <c r="F8310" i="1"/>
  <c r="E8310" i="1"/>
  <c r="F8309" i="1"/>
  <c r="E8309" i="1"/>
  <c r="F8308" i="1"/>
  <c r="E8308" i="1"/>
  <c r="F8307" i="1"/>
  <c r="E8307" i="1"/>
  <c r="F8306" i="1"/>
  <c r="E8306" i="1"/>
  <c r="F8305" i="1"/>
  <c r="E8305" i="1"/>
  <c r="F8304" i="1"/>
  <c r="E8304" i="1"/>
  <c r="F8303" i="1"/>
  <c r="E8303" i="1"/>
  <c r="F8302" i="1"/>
  <c r="E8302" i="1"/>
  <c r="F8301" i="1"/>
  <c r="E8301" i="1"/>
  <c r="F8300" i="1"/>
  <c r="E8300" i="1"/>
  <c r="F8299" i="1"/>
  <c r="E8299" i="1"/>
  <c r="F8298" i="1"/>
  <c r="E8298" i="1"/>
  <c r="F8297" i="1"/>
  <c r="E8297" i="1"/>
  <c r="F8296" i="1"/>
  <c r="E8296" i="1"/>
  <c r="F8295" i="1"/>
  <c r="E8295" i="1"/>
  <c r="F8294" i="1"/>
  <c r="E8294" i="1"/>
  <c r="F8293" i="1"/>
  <c r="E8293" i="1"/>
  <c r="F8292" i="1"/>
  <c r="E8292" i="1"/>
  <c r="F8291" i="1"/>
  <c r="E8291" i="1"/>
  <c r="F8290" i="1"/>
  <c r="E8290" i="1"/>
  <c r="F8289" i="1"/>
  <c r="E8289" i="1"/>
  <c r="F8288" i="1"/>
  <c r="E8288" i="1"/>
  <c r="F8287" i="1"/>
  <c r="E8287" i="1"/>
  <c r="F8286" i="1"/>
  <c r="E8286" i="1"/>
  <c r="F8285" i="1"/>
  <c r="E8285" i="1"/>
  <c r="F8284" i="1"/>
  <c r="E8284" i="1"/>
  <c r="F8283" i="1"/>
  <c r="E8283" i="1"/>
  <c r="F8282" i="1"/>
  <c r="E8282" i="1"/>
  <c r="F8281" i="1"/>
  <c r="E8281" i="1"/>
  <c r="F8280" i="1"/>
  <c r="E8280" i="1"/>
  <c r="F8279" i="1"/>
  <c r="E8279" i="1"/>
  <c r="F8278" i="1"/>
  <c r="E8278" i="1"/>
  <c r="F8277" i="1"/>
  <c r="E8277" i="1"/>
  <c r="F8276" i="1"/>
  <c r="E8276" i="1"/>
  <c r="F8275" i="1"/>
  <c r="E8275" i="1"/>
  <c r="F8274" i="1"/>
  <c r="E8274" i="1"/>
  <c r="F8273" i="1"/>
  <c r="E8273" i="1"/>
  <c r="F8272" i="1"/>
  <c r="E8272" i="1"/>
  <c r="F8271" i="1"/>
  <c r="E8271" i="1"/>
  <c r="F8270" i="1"/>
  <c r="E8270" i="1"/>
  <c r="F8269" i="1"/>
  <c r="F8268" i="1"/>
  <c r="F8267" i="1"/>
  <c r="F8266" i="1"/>
  <c r="F8265" i="1"/>
  <c r="E8265" i="1"/>
  <c r="F8264" i="1"/>
  <c r="E8264" i="1"/>
  <c r="F8263" i="1"/>
  <c r="E8263" i="1"/>
  <c r="F8262" i="1"/>
  <c r="E8262" i="1"/>
  <c r="F8261" i="1"/>
  <c r="E8261" i="1"/>
  <c r="F8260" i="1"/>
  <c r="E8260" i="1"/>
  <c r="F8259" i="1"/>
  <c r="E8259" i="1"/>
  <c r="F8258" i="1"/>
  <c r="E8258" i="1"/>
  <c r="F8257" i="1"/>
  <c r="E8257" i="1"/>
  <c r="F8256" i="1"/>
  <c r="E8256" i="1"/>
  <c r="F8255" i="1"/>
  <c r="E8255" i="1"/>
  <c r="F8254" i="1"/>
  <c r="E8254" i="1"/>
  <c r="F8253" i="1"/>
  <c r="E8253" i="1"/>
  <c r="F8252" i="1"/>
  <c r="E8252" i="1"/>
  <c r="F8251" i="1"/>
  <c r="E8251" i="1"/>
  <c r="F8250" i="1"/>
  <c r="E8250" i="1"/>
  <c r="F8249" i="1"/>
  <c r="E8249" i="1"/>
  <c r="F8248" i="1"/>
  <c r="E8248" i="1"/>
  <c r="F8247" i="1"/>
  <c r="E8247" i="1"/>
  <c r="F8246" i="1"/>
  <c r="E8246" i="1"/>
  <c r="F8245" i="1"/>
  <c r="E8245" i="1"/>
  <c r="F8244" i="1"/>
  <c r="E8244" i="1"/>
  <c r="F8243" i="1"/>
  <c r="E8243" i="1"/>
  <c r="F8242" i="1"/>
  <c r="E8242" i="1"/>
  <c r="F8241" i="1"/>
  <c r="E8241" i="1"/>
  <c r="F8240" i="1"/>
  <c r="E8240" i="1"/>
  <c r="F8239" i="1"/>
  <c r="E8239" i="1"/>
  <c r="F8238" i="1"/>
  <c r="E8238" i="1"/>
  <c r="F8237" i="1"/>
  <c r="E8237" i="1"/>
  <c r="F8236" i="1"/>
  <c r="E8236" i="1"/>
  <c r="F8235" i="1"/>
  <c r="E8235" i="1"/>
  <c r="F8234" i="1"/>
  <c r="E8234" i="1"/>
  <c r="F8233" i="1"/>
  <c r="E8233" i="1"/>
  <c r="F8232" i="1"/>
  <c r="E8232" i="1"/>
  <c r="F8231" i="1"/>
  <c r="E8231" i="1"/>
  <c r="F8230" i="1"/>
  <c r="E8230" i="1"/>
  <c r="F8229" i="1"/>
  <c r="E8229" i="1"/>
  <c r="F8228" i="1"/>
  <c r="E8228" i="1"/>
  <c r="F8227" i="1"/>
  <c r="E8227" i="1"/>
  <c r="F8226" i="1"/>
  <c r="E8226" i="1"/>
  <c r="F8225" i="1"/>
  <c r="E8225" i="1"/>
  <c r="F8224" i="1"/>
  <c r="E8224" i="1"/>
  <c r="F8223" i="1"/>
  <c r="E8223" i="1"/>
  <c r="F8222" i="1"/>
  <c r="E8222" i="1"/>
  <c r="F8221" i="1"/>
  <c r="E8221" i="1"/>
  <c r="F8220" i="1"/>
  <c r="E8220" i="1"/>
  <c r="F8219" i="1"/>
  <c r="E8219" i="1"/>
  <c r="F8218" i="1"/>
  <c r="E8218" i="1"/>
  <c r="F8217" i="1"/>
  <c r="E8217" i="1"/>
  <c r="F8216" i="1"/>
  <c r="E8216" i="1"/>
  <c r="F8215" i="1"/>
  <c r="E8215" i="1"/>
  <c r="F8214" i="1"/>
  <c r="E8214" i="1"/>
  <c r="F8213" i="1"/>
  <c r="E8213" i="1"/>
  <c r="F8212" i="1"/>
  <c r="E8212" i="1"/>
  <c r="F8211" i="1"/>
  <c r="E8211" i="1"/>
  <c r="F8210" i="1"/>
  <c r="F8209" i="1"/>
  <c r="E8209" i="1"/>
  <c r="F8208" i="1"/>
  <c r="E8208" i="1"/>
  <c r="F8207" i="1"/>
  <c r="E8207" i="1"/>
  <c r="F8206" i="1"/>
  <c r="E8206" i="1"/>
  <c r="F8205" i="1"/>
  <c r="E8205" i="1"/>
  <c r="F8204" i="1"/>
  <c r="F8203" i="1"/>
  <c r="F8202" i="1"/>
  <c r="E8202" i="1"/>
  <c r="F8201" i="1"/>
  <c r="E8201" i="1"/>
  <c r="F8200" i="1"/>
  <c r="F8199" i="1"/>
  <c r="F8198" i="1"/>
  <c r="F8197" i="1"/>
  <c r="F8196" i="1"/>
  <c r="F8195" i="1"/>
  <c r="F8194" i="1"/>
  <c r="F8193" i="1"/>
  <c r="F8192" i="1"/>
  <c r="F8191" i="1"/>
  <c r="F8190" i="1"/>
  <c r="F8189" i="1"/>
  <c r="F8188" i="1"/>
  <c r="F8187" i="1"/>
  <c r="F8186" i="1"/>
  <c r="F8185" i="1"/>
  <c r="F8184" i="1"/>
  <c r="F8183" i="1"/>
  <c r="F8182" i="1"/>
  <c r="F8181" i="1"/>
  <c r="F8180" i="1"/>
  <c r="F8179" i="1"/>
  <c r="F8178" i="1"/>
  <c r="F8177" i="1"/>
  <c r="F8176" i="1"/>
  <c r="F8175" i="1"/>
  <c r="F8174" i="1"/>
  <c r="F8173" i="1"/>
  <c r="F8172" i="1"/>
  <c r="F8171" i="1"/>
  <c r="F8170" i="1"/>
  <c r="F8169" i="1"/>
  <c r="F8168" i="1"/>
  <c r="F8167" i="1"/>
  <c r="F8166" i="1"/>
  <c r="F8165" i="1"/>
  <c r="F8164" i="1"/>
  <c r="F8163" i="1"/>
  <c r="F8162" i="1"/>
  <c r="F8161" i="1"/>
  <c r="F8160" i="1"/>
  <c r="E8160" i="1"/>
  <c r="F8159" i="1"/>
  <c r="E8159" i="1"/>
  <c r="F8158" i="1"/>
  <c r="E8158" i="1"/>
  <c r="F8157" i="1"/>
  <c r="E8157" i="1"/>
  <c r="F8156" i="1"/>
  <c r="E8156" i="1"/>
  <c r="F8155" i="1"/>
  <c r="F8154" i="1"/>
  <c r="F8153" i="1"/>
  <c r="F8152" i="1"/>
  <c r="F8151" i="1"/>
  <c r="F8150" i="1"/>
  <c r="F8149" i="1"/>
  <c r="F8148" i="1"/>
  <c r="F8147" i="1"/>
  <c r="F8146" i="1"/>
  <c r="F8145" i="1"/>
  <c r="F8144" i="1"/>
  <c r="F8143" i="1"/>
  <c r="F8142" i="1"/>
  <c r="F8141" i="1"/>
  <c r="F8140" i="1"/>
  <c r="F8139" i="1"/>
  <c r="F8138" i="1"/>
  <c r="F8137" i="1"/>
  <c r="F8136" i="1"/>
  <c r="F8135" i="1"/>
  <c r="F8134" i="1"/>
  <c r="F8133" i="1"/>
  <c r="F8132" i="1"/>
  <c r="F8131" i="1"/>
  <c r="F8130" i="1"/>
  <c r="F8129" i="1"/>
  <c r="F8128" i="1"/>
  <c r="F8127" i="1"/>
  <c r="F8126" i="1"/>
  <c r="F8125" i="1"/>
  <c r="F8124" i="1"/>
  <c r="F8123" i="1"/>
  <c r="F8122" i="1"/>
  <c r="F8121" i="1"/>
  <c r="F8120" i="1"/>
  <c r="F8119" i="1"/>
  <c r="F8118" i="1"/>
  <c r="F8117" i="1"/>
  <c r="F8116" i="1"/>
  <c r="F8115" i="1"/>
  <c r="F8114" i="1"/>
  <c r="F8113" i="1"/>
  <c r="F8112" i="1"/>
  <c r="F8111" i="1"/>
  <c r="F8110" i="1"/>
  <c r="F8109" i="1"/>
  <c r="F8108" i="1"/>
  <c r="F8107" i="1"/>
  <c r="F8106" i="1"/>
  <c r="F8105" i="1"/>
  <c r="F8104" i="1"/>
  <c r="F8103" i="1"/>
  <c r="F8102" i="1"/>
  <c r="F8101" i="1"/>
  <c r="F8100" i="1"/>
  <c r="F8099" i="1"/>
  <c r="F8098" i="1"/>
  <c r="F8097" i="1"/>
  <c r="E8097" i="1"/>
  <c r="F8096" i="1"/>
  <c r="E8096" i="1"/>
  <c r="F8095" i="1"/>
  <c r="E8095" i="1"/>
  <c r="F8094" i="1"/>
  <c r="E8094" i="1"/>
  <c r="F8093" i="1"/>
  <c r="E8093" i="1"/>
  <c r="F8092" i="1"/>
  <c r="E8092" i="1"/>
  <c r="F8091" i="1"/>
  <c r="E8091" i="1"/>
  <c r="F8090" i="1"/>
  <c r="E8090" i="1"/>
  <c r="F8089" i="1"/>
  <c r="E8089" i="1"/>
  <c r="F8088" i="1"/>
  <c r="E8088" i="1"/>
  <c r="F8087" i="1"/>
  <c r="F8086" i="1"/>
  <c r="F8085" i="1"/>
  <c r="E8085" i="1"/>
  <c r="F8084" i="1"/>
  <c r="E8084" i="1"/>
  <c r="F8083" i="1"/>
  <c r="E8083" i="1"/>
  <c r="F8082" i="1"/>
  <c r="E8082" i="1"/>
  <c r="F8081" i="1"/>
  <c r="E8081" i="1"/>
  <c r="F8080" i="1"/>
  <c r="E8080" i="1"/>
  <c r="F8079" i="1"/>
  <c r="E8079" i="1"/>
  <c r="F8078" i="1"/>
  <c r="E8078" i="1"/>
  <c r="F8077" i="1"/>
  <c r="E8077" i="1"/>
  <c r="F8076" i="1"/>
  <c r="E8076" i="1"/>
  <c r="F8075" i="1"/>
  <c r="E8075" i="1"/>
  <c r="F8074" i="1"/>
  <c r="E8074" i="1"/>
  <c r="F8073" i="1"/>
  <c r="E8073" i="1"/>
  <c r="F8072" i="1"/>
  <c r="E8072" i="1"/>
  <c r="F8071" i="1"/>
  <c r="E8071" i="1"/>
  <c r="F8070" i="1"/>
  <c r="E8070" i="1"/>
  <c r="F8069" i="1"/>
  <c r="E8069" i="1"/>
  <c r="F8068" i="1"/>
  <c r="E8068" i="1"/>
  <c r="F8067" i="1"/>
  <c r="E8067" i="1"/>
  <c r="F8066" i="1"/>
  <c r="E8066" i="1"/>
  <c r="F8065" i="1"/>
  <c r="E8065" i="1"/>
  <c r="F8064" i="1"/>
  <c r="E8064" i="1"/>
  <c r="F8063" i="1"/>
  <c r="E8063" i="1"/>
  <c r="F8062" i="1"/>
  <c r="E8062" i="1"/>
  <c r="F8061" i="1"/>
  <c r="E8061" i="1"/>
  <c r="F8060" i="1"/>
  <c r="E8060" i="1"/>
  <c r="F8059" i="1"/>
  <c r="E8059" i="1"/>
  <c r="F8058" i="1"/>
  <c r="E8058" i="1"/>
  <c r="F8057" i="1"/>
  <c r="E8057" i="1"/>
  <c r="F8056" i="1"/>
  <c r="E8056" i="1"/>
  <c r="F8055" i="1"/>
  <c r="E8055" i="1"/>
  <c r="F8054" i="1"/>
  <c r="E8054" i="1"/>
  <c r="F8053" i="1"/>
  <c r="E8053" i="1"/>
  <c r="F8052" i="1"/>
  <c r="E8052" i="1"/>
  <c r="F8051" i="1"/>
  <c r="E8051" i="1"/>
  <c r="F8050" i="1"/>
  <c r="E8050" i="1"/>
  <c r="F8049" i="1"/>
  <c r="E8049" i="1"/>
  <c r="F8048" i="1"/>
  <c r="E8048" i="1"/>
  <c r="F8047" i="1"/>
  <c r="E8047" i="1"/>
  <c r="F8046" i="1"/>
  <c r="E8046" i="1"/>
  <c r="F8045" i="1"/>
  <c r="E8045" i="1"/>
  <c r="F8044" i="1"/>
  <c r="E8044" i="1"/>
  <c r="F8043" i="1"/>
  <c r="E8043" i="1"/>
  <c r="F8042" i="1"/>
  <c r="E8042" i="1"/>
  <c r="F8041" i="1"/>
  <c r="E8041" i="1"/>
  <c r="F8040" i="1"/>
  <c r="E8040" i="1"/>
  <c r="F8039" i="1"/>
  <c r="E8039" i="1"/>
  <c r="F8038" i="1"/>
  <c r="E8038" i="1"/>
  <c r="F8037" i="1"/>
  <c r="E8037" i="1"/>
  <c r="F8036" i="1"/>
  <c r="E8036" i="1"/>
  <c r="F8035" i="1"/>
  <c r="E8035" i="1"/>
  <c r="F8034" i="1"/>
  <c r="E8034" i="1"/>
  <c r="F8033" i="1"/>
  <c r="E8033" i="1"/>
  <c r="F8032" i="1"/>
  <c r="E8032" i="1"/>
  <c r="F8031" i="1"/>
  <c r="E8031" i="1"/>
  <c r="F8030" i="1"/>
  <c r="E8030" i="1"/>
  <c r="F8029" i="1"/>
  <c r="E8029" i="1"/>
  <c r="F8028" i="1"/>
  <c r="E8028" i="1"/>
  <c r="F8027" i="1"/>
  <c r="E8027" i="1"/>
  <c r="F8026" i="1"/>
  <c r="E8026" i="1"/>
  <c r="F8025" i="1"/>
  <c r="E8025" i="1"/>
  <c r="F8024" i="1"/>
  <c r="E8024" i="1"/>
  <c r="F8023" i="1"/>
  <c r="E8023" i="1"/>
  <c r="F8022" i="1"/>
  <c r="E8022" i="1"/>
  <c r="F8021" i="1"/>
  <c r="E8021" i="1"/>
  <c r="F8020" i="1"/>
  <c r="E8020" i="1"/>
  <c r="F8019" i="1"/>
  <c r="E8019" i="1"/>
  <c r="F8018" i="1"/>
  <c r="E8018" i="1"/>
  <c r="F8017" i="1"/>
  <c r="E8017" i="1"/>
  <c r="F8016" i="1"/>
  <c r="E8016" i="1"/>
  <c r="F8015" i="1"/>
  <c r="E8015" i="1"/>
  <c r="F8014" i="1"/>
  <c r="E8014" i="1"/>
  <c r="F8013" i="1"/>
  <c r="E8013" i="1"/>
  <c r="F8012" i="1"/>
  <c r="E8012" i="1"/>
  <c r="F8011" i="1"/>
  <c r="E8011" i="1"/>
  <c r="F8010" i="1"/>
  <c r="E8010" i="1"/>
  <c r="F8009" i="1"/>
  <c r="E8009" i="1"/>
  <c r="F8008" i="1"/>
  <c r="E8008" i="1"/>
  <c r="F8007" i="1"/>
  <c r="E8007" i="1"/>
  <c r="F8006" i="1"/>
  <c r="E8006" i="1"/>
  <c r="F8005" i="1"/>
  <c r="E8005" i="1"/>
  <c r="F8004" i="1"/>
  <c r="E8004" i="1"/>
  <c r="F8003" i="1"/>
  <c r="E8003" i="1"/>
  <c r="F8002" i="1"/>
  <c r="E8002" i="1"/>
  <c r="F8001" i="1"/>
  <c r="E8001" i="1"/>
  <c r="F8000" i="1"/>
  <c r="E8000" i="1"/>
  <c r="F7999" i="1"/>
  <c r="E7999" i="1"/>
  <c r="F7998" i="1"/>
  <c r="E7998" i="1"/>
  <c r="F7997" i="1"/>
  <c r="E7997" i="1"/>
  <c r="F7996" i="1"/>
  <c r="E7996" i="1"/>
  <c r="F7995" i="1"/>
  <c r="E7995" i="1"/>
  <c r="F7994" i="1"/>
  <c r="E7994" i="1"/>
  <c r="F7993" i="1"/>
  <c r="E7993" i="1"/>
  <c r="F7992" i="1"/>
  <c r="E7992" i="1"/>
  <c r="F7991" i="1"/>
  <c r="E7991" i="1"/>
  <c r="F7990" i="1"/>
  <c r="E7990" i="1"/>
  <c r="F7989" i="1"/>
  <c r="E7989" i="1"/>
  <c r="F7988" i="1"/>
  <c r="E7988" i="1"/>
  <c r="F7987" i="1"/>
  <c r="E7987" i="1"/>
  <c r="F7986" i="1"/>
  <c r="E7986" i="1"/>
  <c r="F7985" i="1"/>
  <c r="E7985" i="1"/>
  <c r="F7984" i="1"/>
  <c r="E7984" i="1"/>
  <c r="F7983" i="1"/>
  <c r="E7983" i="1"/>
  <c r="F7982" i="1"/>
  <c r="F7981" i="1"/>
  <c r="F7980" i="1"/>
  <c r="F7979" i="1"/>
  <c r="F7978" i="1"/>
  <c r="E7978" i="1"/>
  <c r="F7977" i="1"/>
  <c r="E7977" i="1"/>
  <c r="F7976" i="1"/>
  <c r="F7975" i="1"/>
  <c r="F7974" i="1"/>
  <c r="F7973" i="1"/>
  <c r="F7972" i="1"/>
  <c r="F7971" i="1"/>
  <c r="E7970" i="1"/>
  <c r="E7969" i="1"/>
  <c r="E7968" i="1"/>
  <c r="F7967" i="1"/>
  <c r="E7967" i="1"/>
  <c r="E7965" i="1"/>
  <c r="F7964" i="1"/>
  <c r="E7964" i="1"/>
  <c r="E7963" i="1"/>
  <c r="E7962" i="1"/>
  <c r="E7961" i="1"/>
  <c r="F7960" i="1"/>
  <c r="E7960" i="1"/>
  <c r="E7959" i="1"/>
  <c r="E7958" i="1"/>
  <c r="E7957" i="1"/>
  <c r="E7956" i="1"/>
  <c r="E7955" i="1"/>
  <c r="F7954" i="1"/>
  <c r="E7953" i="1"/>
  <c r="E7952" i="1"/>
  <c r="F7951" i="1"/>
  <c r="E7951" i="1"/>
  <c r="F7950" i="1"/>
  <c r="E7950" i="1"/>
  <c r="F7949" i="1"/>
  <c r="F7948" i="1"/>
  <c r="E7948" i="1"/>
  <c r="F7947" i="1"/>
  <c r="E7947" i="1"/>
  <c r="F7946" i="1"/>
  <c r="E7946" i="1"/>
  <c r="F7945" i="1"/>
  <c r="E7945" i="1"/>
  <c r="F7944" i="1"/>
  <c r="E7944" i="1"/>
  <c r="F7943" i="1"/>
  <c r="E7943" i="1"/>
  <c r="F7942" i="1"/>
  <c r="E7942" i="1"/>
  <c r="F7941" i="1"/>
  <c r="E7941" i="1"/>
  <c r="F7940" i="1"/>
  <c r="E7940" i="1"/>
  <c r="F7939" i="1"/>
  <c r="F7938" i="1"/>
  <c r="E7938" i="1"/>
  <c r="F7937" i="1"/>
  <c r="E7937" i="1"/>
  <c r="F7936" i="1"/>
  <c r="E7936" i="1"/>
  <c r="F7935" i="1"/>
  <c r="E7935" i="1"/>
  <c r="F7934" i="1"/>
  <c r="E7934" i="1"/>
  <c r="F7933" i="1"/>
  <c r="E7933" i="1"/>
  <c r="F7932" i="1"/>
  <c r="E7932" i="1"/>
  <c r="F7931" i="1"/>
  <c r="E7931" i="1"/>
  <c r="F7930" i="1"/>
  <c r="E7930" i="1"/>
  <c r="F7929" i="1"/>
  <c r="E7929" i="1"/>
  <c r="F7928" i="1"/>
  <c r="E7928" i="1"/>
  <c r="F7927" i="1"/>
  <c r="E7927" i="1"/>
  <c r="F7926" i="1"/>
  <c r="E7926" i="1"/>
  <c r="F7925" i="1"/>
  <c r="E7925" i="1"/>
  <c r="F7924" i="1"/>
  <c r="E7924" i="1"/>
  <c r="F7923" i="1"/>
  <c r="E7923" i="1"/>
  <c r="F7922" i="1"/>
  <c r="E7922" i="1"/>
  <c r="F7921" i="1"/>
  <c r="E7921" i="1"/>
  <c r="F7920" i="1"/>
  <c r="E7920" i="1"/>
  <c r="F7919" i="1"/>
  <c r="E7919" i="1"/>
  <c r="F7918" i="1"/>
  <c r="E7918" i="1"/>
  <c r="F7917" i="1"/>
  <c r="E7917" i="1"/>
  <c r="F7916" i="1"/>
  <c r="E7916" i="1"/>
  <c r="F7915" i="1"/>
  <c r="E7915" i="1"/>
  <c r="F7914" i="1"/>
  <c r="E7914" i="1"/>
  <c r="F7913" i="1"/>
  <c r="E7913" i="1"/>
  <c r="F7912" i="1"/>
  <c r="E7912" i="1"/>
  <c r="F7911" i="1"/>
  <c r="E7911" i="1"/>
  <c r="F7910" i="1"/>
  <c r="F7909" i="1"/>
  <c r="E7909" i="1"/>
  <c r="F7908" i="1"/>
  <c r="E7908" i="1"/>
  <c r="F7907" i="1"/>
  <c r="E7907" i="1"/>
  <c r="F7906" i="1"/>
  <c r="F7905" i="1"/>
  <c r="E7905" i="1"/>
  <c r="F7904" i="1"/>
  <c r="E7904" i="1"/>
  <c r="F7903" i="1"/>
  <c r="E7903" i="1"/>
  <c r="F7902" i="1"/>
  <c r="E7902" i="1"/>
  <c r="F7901" i="1"/>
  <c r="E7901" i="1"/>
  <c r="F7900" i="1"/>
  <c r="F7899" i="1"/>
  <c r="E7899" i="1"/>
  <c r="F7898" i="1"/>
  <c r="E7898" i="1"/>
  <c r="F7897" i="1"/>
  <c r="E7897" i="1"/>
  <c r="F7896" i="1"/>
  <c r="E7896" i="1"/>
  <c r="F7895" i="1"/>
  <c r="E7895" i="1"/>
  <c r="F7894" i="1"/>
  <c r="E7894" i="1"/>
  <c r="F7893" i="1"/>
  <c r="E7893" i="1"/>
  <c r="F7892" i="1"/>
  <c r="E7892" i="1"/>
  <c r="F7891" i="1"/>
  <c r="E7891" i="1"/>
  <c r="F7890" i="1"/>
  <c r="E7890" i="1"/>
  <c r="F7889" i="1"/>
  <c r="E7889" i="1"/>
  <c r="F7888" i="1"/>
  <c r="F7887" i="1"/>
  <c r="E7887" i="1"/>
  <c r="F7886" i="1"/>
  <c r="E7886" i="1"/>
  <c r="F7885" i="1"/>
  <c r="E7885" i="1"/>
  <c r="F7884" i="1"/>
  <c r="E7884" i="1"/>
  <c r="F7883" i="1"/>
  <c r="E7883" i="1"/>
  <c r="F7882" i="1"/>
  <c r="E7882" i="1"/>
  <c r="F7881" i="1"/>
  <c r="E7881" i="1"/>
  <c r="F7880" i="1"/>
  <c r="E7880" i="1"/>
  <c r="F7879" i="1"/>
  <c r="F7878" i="1"/>
  <c r="E7878" i="1"/>
  <c r="F7877" i="1"/>
  <c r="E7877" i="1"/>
  <c r="F7876" i="1"/>
  <c r="E7876" i="1"/>
  <c r="F7875" i="1"/>
  <c r="E7875" i="1"/>
  <c r="F7874" i="1"/>
  <c r="E7874" i="1"/>
  <c r="F7873" i="1"/>
  <c r="E7873" i="1"/>
  <c r="F7872" i="1"/>
  <c r="E7872" i="1"/>
  <c r="F7871" i="1"/>
  <c r="E7871" i="1"/>
  <c r="F7870" i="1"/>
  <c r="E7870" i="1"/>
  <c r="F7869" i="1"/>
  <c r="E7869" i="1"/>
  <c r="F7868" i="1"/>
  <c r="E7868" i="1"/>
  <c r="F7867" i="1"/>
  <c r="E7867" i="1"/>
  <c r="F7866" i="1"/>
  <c r="E7866" i="1"/>
  <c r="F7865" i="1"/>
  <c r="E7865" i="1"/>
  <c r="F7864" i="1"/>
  <c r="E7864" i="1"/>
  <c r="F7863" i="1"/>
  <c r="E7863" i="1"/>
  <c r="F7862" i="1"/>
  <c r="E7862" i="1"/>
  <c r="F7861" i="1"/>
  <c r="E7861" i="1"/>
  <c r="F7860" i="1"/>
  <c r="E7860" i="1"/>
  <c r="F7859" i="1"/>
  <c r="E7859" i="1"/>
  <c r="F7858" i="1"/>
  <c r="E7858" i="1"/>
  <c r="F7857" i="1"/>
  <c r="E7857" i="1"/>
  <c r="F7856" i="1"/>
  <c r="E7856" i="1"/>
  <c r="F7855" i="1"/>
  <c r="E7855" i="1"/>
  <c r="F7854" i="1"/>
  <c r="E7854" i="1"/>
  <c r="F7853" i="1"/>
  <c r="E7853" i="1"/>
  <c r="F7852" i="1"/>
  <c r="E7852" i="1"/>
  <c r="F7851" i="1"/>
  <c r="E7851" i="1"/>
  <c r="F7850" i="1"/>
  <c r="E7850" i="1"/>
  <c r="F7849" i="1"/>
  <c r="E7849" i="1"/>
  <c r="F7848" i="1"/>
  <c r="E7848" i="1"/>
  <c r="F7847" i="1"/>
  <c r="E7847" i="1"/>
  <c r="F7846" i="1"/>
  <c r="E7846" i="1"/>
  <c r="F7845" i="1"/>
  <c r="E7845" i="1"/>
  <c r="F7844" i="1"/>
  <c r="E7844" i="1"/>
  <c r="F7843" i="1"/>
  <c r="E7843" i="1"/>
  <c r="F7842" i="1"/>
  <c r="E7842" i="1"/>
  <c r="F7841" i="1"/>
  <c r="E7841" i="1"/>
  <c r="F7840" i="1"/>
  <c r="E7840" i="1"/>
  <c r="F7839" i="1"/>
  <c r="E7839" i="1"/>
  <c r="F7838" i="1"/>
  <c r="E7838" i="1"/>
  <c r="F7837" i="1"/>
  <c r="E7837" i="1"/>
  <c r="F7836" i="1"/>
  <c r="F7835" i="1"/>
  <c r="E7835" i="1"/>
  <c r="F7834" i="1"/>
  <c r="E7834" i="1"/>
  <c r="F7833" i="1"/>
  <c r="E7833" i="1"/>
  <c r="F7832" i="1"/>
  <c r="E7832" i="1"/>
  <c r="F7831" i="1"/>
  <c r="E7831" i="1"/>
  <c r="F7830" i="1"/>
  <c r="E7830" i="1"/>
  <c r="F7829" i="1"/>
  <c r="E7829" i="1"/>
  <c r="F7828" i="1"/>
  <c r="E7828" i="1"/>
  <c r="F7827" i="1"/>
  <c r="E7827" i="1"/>
  <c r="F7826" i="1"/>
  <c r="E7826" i="1"/>
  <c r="F7825" i="1"/>
  <c r="E7825" i="1"/>
  <c r="F7824" i="1"/>
  <c r="E7824" i="1"/>
  <c r="F7823" i="1"/>
  <c r="E7823" i="1"/>
  <c r="F7822" i="1"/>
  <c r="E7822" i="1"/>
  <c r="F7821" i="1"/>
  <c r="E7821" i="1"/>
  <c r="F7820" i="1"/>
  <c r="E7820" i="1"/>
  <c r="F7819" i="1"/>
  <c r="E7819" i="1"/>
  <c r="F7818" i="1"/>
  <c r="E7818" i="1"/>
  <c r="F7817" i="1"/>
  <c r="E7817" i="1"/>
  <c r="F7816" i="1"/>
  <c r="E7816" i="1"/>
  <c r="F7815" i="1"/>
  <c r="E7815" i="1"/>
  <c r="F7814" i="1"/>
  <c r="E7814" i="1"/>
  <c r="F7813" i="1"/>
  <c r="E7813" i="1"/>
  <c r="F7812" i="1"/>
  <c r="E7812" i="1"/>
  <c r="F7811" i="1"/>
  <c r="E7811" i="1"/>
  <c r="F7810" i="1"/>
  <c r="E7810" i="1"/>
  <c r="F7809" i="1"/>
  <c r="E7809" i="1"/>
  <c r="F7808" i="1"/>
  <c r="E7808" i="1"/>
  <c r="F7807" i="1"/>
  <c r="E7807" i="1"/>
  <c r="F7806" i="1"/>
  <c r="E7806" i="1"/>
  <c r="F7805" i="1"/>
  <c r="E7805" i="1"/>
  <c r="F7804" i="1"/>
  <c r="E7804" i="1"/>
  <c r="F7803" i="1"/>
  <c r="E7803" i="1"/>
  <c r="F7802" i="1"/>
  <c r="E7802" i="1"/>
  <c r="F7801" i="1"/>
  <c r="E7801" i="1"/>
  <c r="F7800" i="1"/>
  <c r="E7800" i="1"/>
  <c r="F7799" i="1"/>
  <c r="E7799" i="1"/>
  <c r="F7798" i="1"/>
  <c r="E7798" i="1"/>
  <c r="F7797" i="1"/>
  <c r="E7797" i="1"/>
  <c r="F7796" i="1"/>
  <c r="E7796" i="1"/>
  <c r="F7795" i="1"/>
  <c r="E7795" i="1"/>
  <c r="F7794" i="1"/>
  <c r="E7794" i="1"/>
  <c r="F7793" i="1"/>
  <c r="E7793" i="1"/>
  <c r="F7792" i="1"/>
  <c r="E7792" i="1"/>
  <c r="F7791" i="1"/>
  <c r="E7791" i="1"/>
  <c r="F7790" i="1"/>
  <c r="E7790" i="1"/>
  <c r="F7789" i="1"/>
  <c r="E7789" i="1"/>
  <c r="F7788" i="1"/>
  <c r="E7788" i="1"/>
  <c r="F7787" i="1"/>
  <c r="E7787" i="1"/>
  <c r="F7786" i="1"/>
  <c r="E7786" i="1"/>
  <c r="F7785" i="1"/>
  <c r="E7785" i="1"/>
  <c r="F7784" i="1"/>
  <c r="E7784" i="1"/>
  <c r="F7783" i="1"/>
  <c r="E7783" i="1"/>
  <c r="F7782" i="1"/>
  <c r="E7782" i="1"/>
  <c r="F7781" i="1"/>
  <c r="E7781" i="1"/>
  <c r="F7780" i="1"/>
  <c r="E7780" i="1"/>
  <c r="F7779" i="1"/>
  <c r="E7779" i="1"/>
  <c r="F7778" i="1"/>
  <c r="E7778" i="1"/>
  <c r="F7777" i="1"/>
  <c r="E7777" i="1"/>
  <c r="F7776" i="1"/>
  <c r="E7776" i="1"/>
  <c r="F7775" i="1"/>
  <c r="E7775" i="1"/>
  <c r="F7774" i="1"/>
  <c r="E7774" i="1"/>
  <c r="F7773" i="1"/>
  <c r="E7773" i="1"/>
  <c r="F7772" i="1"/>
  <c r="E7772" i="1"/>
  <c r="F7771" i="1"/>
  <c r="E7771" i="1"/>
  <c r="F7770" i="1"/>
  <c r="E7770" i="1"/>
  <c r="F7769" i="1"/>
  <c r="E7769" i="1"/>
  <c r="F7768" i="1"/>
  <c r="E7768" i="1"/>
  <c r="F7767" i="1"/>
  <c r="F7766" i="1"/>
  <c r="E7766" i="1"/>
  <c r="F7765" i="1"/>
  <c r="E7765" i="1"/>
  <c r="F7764" i="1"/>
  <c r="E7764" i="1"/>
  <c r="F7763" i="1"/>
  <c r="E7763" i="1"/>
  <c r="F7762" i="1"/>
  <c r="E7762" i="1"/>
  <c r="F7761" i="1"/>
  <c r="E7761" i="1"/>
  <c r="F7760" i="1"/>
  <c r="E7760" i="1"/>
  <c r="F7759" i="1"/>
  <c r="E7759" i="1"/>
  <c r="F7758" i="1"/>
  <c r="E7758" i="1"/>
  <c r="F7757" i="1"/>
  <c r="E7757" i="1"/>
  <c r="F7756" i="1"/>
  <c r="E7756" i="1"/>
  <c r="F7755" i="1"/>
  <c r="E7755" i="1"/>
  <c r="F7754" i="1"/>
  <c r="E7754" i="1"/>
  <c r="F7753" i="1"/>
  <c r="E7753" i="1"/>
  <c r="F7752" i="1"/>
  <c r="E7752" i="1"/>
  <c r="F7751" i="1"/>
  <c r="E7751" i="1"/>
  <c r="F7750" i="1"/>
  <c r="E7750" i="1"/>
  <c r="F7749" i="1"/>
  <c r="E7749" i="1"/>
  <c r="F7748" i="1"/>
  <c r="E7748" i="1"/>
  <c r="F7747" i="1"/>
  <c r="E7747" i="1"/>
  <c r="F7746" i="1"/>
  <c r="E7746" i="1"/>
  <c r="F7745" i="1"/>
  <c r="E7745" i="1"/>
  <c r="F7744" i="1"/>
  <c r="E7744" i="1"/>
  <c r="F7743" i="1"/>
  <c r="E7743" i="1"/>
  <c r="F7742" i="1"/>
  <c r="E7742" i="1"/>
  <c r="F7741" i="1"/>
  <c r="E7741" i="1"/>
  <c r="F7740" i="1"/>
  <c r="E7740" i="1"/>
  <c r="F7739" i="1"/>
  <c r="E7739" i="1"/>
  <c r="F7738" i="1"/>
  <c r="E7738" i="1"/>
  <c r="F7737" i="1"/>
  <c r="E7737" i="1"/>
  <c r="F7736" i="1"/>
  <c r="E7736" i="1"/>
  <c r="F7735" i="1"/>
  <c r="E7735" i="1"/>
  <c r="F7734" i="1"/>
  <c r="E7734" i="1"/>
  <c r="F7733" i="1"/>
  <c r="E7733" i="1"/>
  <c r="F7732" i="1"/>
  <c r="F7731" i="1"/>
  <c r="E7731" i="1"/>
  <c r="F7730" i="1"/>
  <c r="E7730" i="1"/>
  <c r="F7729" i="1"/>
  <c r="E7729" i="1"/>
  <c r="F7728" i="1"/>
  <c r="E7728" i="1"/>
  <c r="F7727" i="1"/>
  <c r="E7727" i="1"/>
  <c r="F7726" i="1"/>
  <c r="E7726" i="1"/>
  <c r="F7725" i="1"/>
  <c r="E7725" i="1"/>
  <c r="F7724" i="1"/>
  <c r="E7724" i="1"/>
  <c r="F7723" i="1"/>
  <c r="E7723" i="1"/>
  <c r="F7722" i="1"/>
  <c r="F7721" i="1"/>
  <c r="E7721" i="1"/>
  <c r="F7720" i="1"/>
  <c r="F7719" i="1"/>
  <c r="E7719" i="1"/>
  <c r="F7718" i="1"/>
  <c r="E7718" i="1"/>
  <c r="F7717" i="1"/>
  <c r="E7717" i="1"/>
  <c r="F7716" i="1"/>
  <c r="E7716" i="1"/>
  <c r="F7715" i="1"/>
  <c r="E7715" i="1"/>
  <c r="F7714" i="1"/>
  <c r="E7714" i="1"/>
  <c r="F7713" i="1"/>
  <c r="F7712" i="1"/>
  <c r="E7712" i="1"/>
  <c r="F7711" i="1"/>
  <c r="E7711" i="1"/>
  <c r="F7710" i="1"/>
  <c r="E7710" i="1"/>
  <c r="F7709" i="1"/>
  <c r="E7709" i="1"/>
  <c r="F7708" i="1"/>
  <c r="E7708" i="1"/>
  <c r="F7707" i="1"/>
  <c r="E7707" i="1"/>
  <c r="F7706" i="1"/>
  <c r="E7706" i="1"/>
  <c r="F7705" i="1"/>
  <c r="E7705" i="1"/>
  <c r="F7704" i="1"/>
  <c r="E7704" i="1"/>
  <c r="F7703" i="1"/>
  <c r="E7703" i="1"/>
  <c r="F7702" i="1"/>
  <c r="E7702" i="1"/>
  <c r="F7701" i="1"/>
  <c r="E7701" i="1"/>
  <c r="F7700" i="1"/>
  <c r="E7700" i="1"/>
  <c r="F7699" i="1"/>
  <c r="E7699" i="1"/>
  <c r="F7698" i="1"/>
  <c r="E7698" i="1"/>
  <c r="F7697" i="1"/>
  <c r="E7697" i="1"/>
  <c r="F7696" i="1"/>
  <c r="E7696" i="1"/>
  <c r="F7695" i="1"/>
  <c r="E7695" i="1"/>
  <c r="F7694" i="1"/>
  <c r="E7694" i="1"/>
  <c r="F7693" i="1"/>
  <c r="E7693" i="1"/>
  <c r="F7692" i="1"/>
  <c r="E7692" i="1"/>
  <c r="F7691" i="1"/>
  <c r="E7691" i="1"/>
  <c r="F7690" i="1"/>
  <c r="E7690" i="1"/>
  <c r="F7689" i="1"/>
  <c r="E7689" i="1"/>
  <c r="F7688" i="1"/>
  <c r="E7688" i="1"/>
  <c r="F7687" i="1"/>
  <c r="E7687" i="1"/>
  <c r="F7686" i="1"/>
  <c r="E7686" i="1"/>
  <c r="F7685" i="1"/>
  <c r="E7685" i="1"/>
  <c r="F7684" i="1"/>
  <c r="E7684" i="1"/>
  <c r="F7683" i="1"/>
  <c r="E7683" i="1"/>
  <c r="F7682" i="1"/>
  <c r="E7682" i="1"/>
  <c r="F7681" i="1"/>
  <c r="E7681" i="1"/>
  <c r="F7680" i="1"/>
  <c r="F7679" i="1"/>
  <c r="F7678" i="1"/>
  <c r="F7677" i="1"/>
  <c r="E7677" i="1"/>
  <c r="F7676" i="1"/>
  <c r="E7676" i="1"/>
  <c r="F7675" i="1"/>
  <c r="E7675" i="1"/>
  <c r="F7674" i="1"/>
  <c r="E7674" i="1"/>
  <c r="F7673" i="1"/>
  <c r="E7673" i="1"/>
  <c r="F7672" i="1"/>
  <c r="E7672" i="1"/>
  <c r="F7671" i="1"/>
  <c r="E7671" i="1"/>
  <c r="F7670" i="1"/>
  <c r="E7670" i="1"/>
  <c r="F7669" i="1"/>
  <c r="E7669" i="1"/>
  <c r="F7668" i="1"/>
  <c r="E7668" i="1"/>
  <c r="F7667" i="1"/>
  <c r="E7667" i="1"/>
  <c r="F7666" i="1"/>
  <c r="E7666" i="1"/>
  <c r="F7665" i="1"/>
  <c r="E7665" i="1"/>
  <c r="F7664" i="1"/>
  <c r="E7664" i="1"/>
  <c r="F7663" i="1"/>
  <c r="E7663" i="1"/>
  <c r="F7662" i="1"/>
  <c r="E7662" i="1"/>
  <c r="F7661" i="1"/>
  <c r="E7661" i="1"/>
  <c r="F7660" i="1"/>
  <c r="E7660" i="1"/>
  <c r="F7659" i="1"/>
  <c r="E7659" i="1"/>
  <c r="F7658" i="1"/>
  <c r="E7658" i="1"/>
  <c r="F7657" i="1"/>
  <c r="E7657" i="1"/>
  <c r="F7656" i="1"/>
  <c r="E7656" i="1"/>
  <c r="F7655" i="1"/>
  <c r="E7655" i="1"/>
  <c r="F7654" i="1"/>
  <c r="E7654" i="1"/>
  <c r="F7653" i="1"/>
  <c r="E7653" i="1"/>
  <c r="F7652" i="1"/>
  <c r="E7652" i="1"/>
  <c r="F7651" i="1"/>
  <c r="E7651" i="1"/>
  <c r="F7650" i="1"/>
  <c r="E7650" i="1"/>
  <c r="F7649" i="1"/>
  <c r="E7649" i="1"/>
  <c r="F7648" i="1"/>
  <c r="E7648" i="1"/>
  <c r="F7647" i="1"/>
  <c r="E7647" i="1"/>
  <c r="F7646" i="1"/>
  <c r="E7646" i="1"/>
  <c r="F7645" i="1"/>
  <c r="E7645" i="1"/>
  <c r="F7644" i="1"/>
  <c r="E7644" i="1"/>
  <c r="F7643" i="1"/>
  <c r="E7643" i="1"/>
  <c r="F7642" i="1"/>
  <c r="E7642" i="1"/>
  <c r="F7641" i="1"/>
  <c r="E7641" i="1"/>
  <c r="F7640" i="1"/>
  <c r="E7640" i="1"/>
  <c r="F7639" i="1"/>
  <c r="E7639" i="1"/>
  <c r="F7638" i="1"/>
  <c r="E7638" i="1"/>
  <c r="F7637" i="1"/>
  <c r="E7637" i="1"/>
  <c r="F7636" i="1"/>
  <c r="E7636" i="1"/>
  <c r="F7635" i="1"/>
  <c r="F7634" i="1"/>
  <c r="E7634" i="1"/>
  <c r="F7633" i="1"/>
  <c r="E7633" i="1"/>
  <c r="F7632" i="1"/>
  <c r="E7632" i="1"/>
  <c r="F7631" i="1"/>
  <c r="E7631" i="1"/>
  <c r="F7630" i="1"/>
  <c r="E7630" i="1"/>
  <c r="F7629" i="1"/>
  <c r="E7629" i="1"/>
  <c r="F7628" i="1"/>
  <c r="F7627" i="1"/>
  <c r="E7627" i="1"/>
  <c r="F7626" i="1"/>
  <c r="E7626" i="1"/>
  <c r="F7625" i="1"/>
  <c r="E7625" i="1"/>
  <c r="F7624" i="1"/>
  <c r="E7624" i="1"/>
  <c r="F7623" i="1"/>
  <c r="E7623" i="1"/>
  <c r="F7622" i="1"/>
  <c r="E7622" i="1"/>
  <c r="F7621" i="1"/>
  <c r="E7621" i="1"/>
  <c r="F7620" i="1"/>
  <c r="E7620" i="1"/>
  <c r="F7619" i="1"/>
  <c r="E7619" i="1"/>
  <c r="F7618" i="1"/>
  <c r="E7618" i="1"/>
  <c r="F7617" i="1"/>
  <c r="E7617" i="1"/>
  <c r="F7616" i="1"/>
  <c r="E7616" i="1"/>
  <c r="F7615" i="1"/>
  <c r="E7615" i="1"/>
  <c r="F7614" i="1"/>
  <c r="E7614" i="1"/>
  <c r="F7613" i="1"/>
  <c r="E7613" i="1"/>
  <c r="F7612" i="1"/>
  <c r="F7611" i="1"/>
  <c r="F7610" i="1"/>
  <c r="E7610" i="1"/>
  <c r="F7609" i="1"/>
  <c r="E7609" i="1"/>
  <c r="F7608" i="1"/>
  <c r="E7608" i="1"/>
  <c r="F7607" i="1"/>
  <c r="E7607" i="1"/>
  <c r="F7606" i="1"/>
  <c r="E7606" i="1"/>
  <c r="F7605" i="1"/>
  <c r="E7605" i="1"/>
  <c r="F7604" i="1"/>
  <c r="E7604" i="1"/>
  <c r="F7603" i="1"/>
  <c r="E7603" i="1"/>
  <c r="F7602" i="1"/>
  <c r="E7602" i="1"/>
  <c r="F7601" i="1"/>
  <c r="E7601" i="1"/>
  <c r="F7600" i="1"/>
  <c r="E7600" i="1"/>
  <c r="F7599" i="1"/>
  <c r="E7599" i="1"/>
  <c r="F7598" i="1"/>
  <c r="E7598" i="1"/>
  <c r="F7597" i="1"/>
  <c r="E7597" i="1"/>
  <c r="F7596" i="1"/>
  <c r="F7595" i="1"/>
  <c r="E7595" i="1"/>
  <c r="F7594" i="1"/>
  <c r="E7594" i="1"/>
  <c r="F7593" i="1"/>
  <c r="E7593" i="1"/>
  <c r="F7592" i="1"/>
  <c r="E7592" i="1"/>
  <c r="F7591" i="1"/>
  <c r="E7591" i="1"/>
  <c r="F7590" i="1"/>
  <c r="E7590" i="1"/>
  <c r="F7589" i="1"/>
  <c r="F7588" i="1"/>
  <c r="E7588" i="1"/>
  <c r="F7587" i="1"/>
  <c r="E7587" i="1"/>
  <c r="F7586" i="1"/>
  <c r="E7586" i="1"/>
  <c r="F7585" i="1"/>
  <c r="E7585" i="1"/>
  <c r="F7584" i="1"/>
  <c r="E7584" i="1"/>
  <c r="F7583" i="1"/>
  <c r="E7583" i="1"/>
  <c r="F7582" i="1"/>
  <c r="E7582" i="1"/>
  <c r="F7581" i="1"/>
  <c r="E7581" i="1"/>
  <c r="F7580" i="1"/>
  <c r="F7579" i="1"/>
  <c r="F7578" i="1"/>
  <c r="F7577" i="1"/>
  <c r="F7576" i="1"/>
  <c r="F7575" i="1"/>
  <c r="F7574" i="1"/>
  <c r="F7573" i="1"/>
  <c r="F7572" i="1"/>
  <c r="F7571" i="1"/>
  <c r="F7570" i="1"/>
  <c r="F7569" i="1"/>
  <c r="F7568" i="1"/>
  <c r="F7567" i="1"/>
  <c r="F7566" i="1"/>
  <c r="F7565" i="1"/>
  <c r="E7565" i="1"/>
  <c r="F7564" i="1"/>
  <c r="E7564" i="1"/>
  <c r="F7563" i="1"/>
  <c r="E7563" i="1"/>
  <c r="F7562" i="1"/>
  <c r="E7562" i="1"/>
  <c r="F7561" i="1"/>
  <c r="E7561" i="1"/>
  <c r="F7560" i="1"/>
  <c r="E7560" i="1"/>
  <c r="F7559" i="1"/>
  <c r="E7559" i="1"/>
  <c r="F7558" i="1"/>
  <c r="E7558" i="1"/>
  <c r="F7557" i="1"/>
  <c r="E7557" i="1"/>
  <c r="F7556" i="1"/>
  <c r="E7556" i="1"/>
  <c r="F7555" i="1"/>
  <c r="E7555" i="1"/>
  <c r="F7554" i="1"/>
  <c r="E7554" i="1"/>
  <c r="F7553" i="1"/>
  <c r="E7553" i="1"/>
  <c r="F7552" i="1"/>
  <c r="E7552" i="1"/>
  <c r="F7551" i="1"/>
  <c r="E7551" i="1"/>
  <c r="F7550" i="1"/>
  <c r="E7550" i="1"/>
  <c r="F7549" i="1"/>
  <c r="E7549" i="1"/>
  <c r="F7548" i="1"/>
  <c r="E7548" i="1"/>
  <c r="F7547" i="1"/>
  <c r="E7547" i="1"/>
  <c r="F7546" i="1"/>
  <c r="E7546" i="1"/>
  <c r="F7545" i="1"/>
  <c r="E7545" i="1"/>
  <c r="F7544" i="1"/>
  <c r="F7543" i="1"/>
  <c r="E7543" i="1"/>
  <c r="F7542" i="1"/>
  <c r="E7542" i="1"/>
  <c r="F7541" i="1"/>
  <c r="E7541" i="1"/>
  <c r="F7540" i="1"/>
  <c r="E7540" i="1"/>
  <c r="F7539" i="1"/>
  <c r="E7539" i="1"/>
  <c r="F7538" i="1"/>
  <c r="E7538" i="1"/>
  <c r="F7537" i="1"/>
  <c r="E7537" i="1"/>
  <c r="F7536" i="1"/>
  <c r="E7536" i="1"/>
  <c r="F7535" i="1"/>
  <c r="E7535" i="1"/>
  <c r="F7534" i="1"/>
  <c r="E7534" i="1"/>
  <c r="F7533" i="1"/>
  <c r="E7533" i="1"/>
  <c r="F7532" i="1"/>
  <c r="E7532" i="1"/>
  <c r="F7531" i="1"/>
  <c r="E7531" i="1"/>
  <c r="F7530" i="1"/>
  <c r="E7530" i="1"/>
  <c r="F7529" i="1"/>
  <c r="E7529" i="1"/>
  <c r="F7528" i="1"/>
  <c r="E7528" i="1"/>
  <c r="F7527" i="1"/>
  <c r="E7527" i="1"/>
  <c r="F7526" i="1"/>
  <c r="E7526" i="1"/>
  <c r="F7525" i="1"/>
  <c r="E7525" i="1"/>
  <c r="F7524" i="1"/>
  <c r="E7524" i="1"/>
  <c r="F7523" i="1"/>
  <c r="E7523" i="1"/>
  <c r="F7522" i="1"/>
  <c r="E7522" i="1"/>
  <c r="F7521" i="1"/>
  <c r="E7521" i="1"/>
  <c r="F7520" i="1"/>
  <c r="E7520" i="1"/>
  <c r="F7519" i="1"/>
  <c r="E7519" i="1"/>
  <c r="F7518" i="1"/>
  <c r="E7518" i="1"/>
  <c r="F7517" i="1"/>
  <c r="E7517" i="1"/>
  <c r="F7516" i="1"/>
  <c r="E7516" i="1"/>
  <c r="F7515" i="1"/>
  <c r="E7515" i="1"/>
  <c r="F7514" i="1"/>
  <c r="E7514" i="1"/>
  <c r="F7513" i="1"/>
  <c r="E7513" i="1"/>
  <c r="F7512" i="1"/>
  <c r="E7512" i="1"/>
  <c r="F7511" i="1"/>
  <c r="F7510" i="1"/>
  <c r="F7509" i="1"/>
  <c r="E7509" i="1"/>
  <c r="F7508" i="1"/>
  <c r="E7508" i="1"/>
  <c r="F7507" i="1"/>
  <c r="E7507" i="1"/>
  <c r="F7506" i="1"/>
  <c r="E7506" i="1"/>
  <c r="F7505" i="1"/>
  <c r="E7505" i="1"/>
  <c r="F7504" i="1"/>
  <c r="E7504" i="1"/>
  <c r="F7503" i="1"/>
  <c r="E7503" i="1"/>
  <c r="F7502" i="1"/>
  <c r="E7502" i="1"/>
  <c r="F7501" i="1"/>
  <c r="E7501" i="1"/>
  <c r="F7500" i="1"/>
  <c r="E7500" i="1"/>
  <c r="F7499" i="1"/>
  <c r="E7499" i="1"/>
  <c r="F7498" i="1"/>
  <c r="E7498" i="1"/>
  <c r="F7497" i="1"/>
  <c r="E7497" i="1"/>
  <c r="F7496" i="1"/>
  <c r="E7496" i="1"/>
  <c r="F7495" i="1"/>
  <c r="E7495" i="1"/>
  <c r="F7494" i="1"/>
  <c r="E7494" i="1"/>
  <c r="F7493" i="1"/>
  <c r="E7493" i="1"/>
  <c r="F7492" i="1"/>
  <c r="E7492" i="1"/>
  <c r="F7491" i="1"/>
  <c r="E7491" i="1"/>
  <c r="F7490" i="1"/>
  <c r="F7489" i="1"/>
  <c r="E7489" i="1"/>
  <c r="F7488" i="1"/>
  <c r="E7488" i="1"/>
  <c r="F7487" i="1"/>
  <c r="E7487" i="1"/>
  <c r="F7486" i="1"/>
  <c r="F7485" i="1"/>
  <c r="F7484" i="1"/>
  <c r="E7484" i="1"/>
  <c r="F7483" i="1"/>
  <c r="E7483" i="1"/>
  <c r="F7482" i="1"/>
  <c r="E7482" i="1"/>
  <c r="F7481" i="1"/>
  <c r="E7481" i="1"/>
  <c r="F7480" i="1"/>
  <c r="E7480" i="1"/>
  <c r="F7479" i="1"/>
  <c r="E7479" i="1"/>
  <c r="F7478" i="1"/>
  <c r="E7478" i="1"/>
  <c r="F7477" i="1"/>
  <c r="E7477" i="1"/>
  <c r="F7476" i="1"/>
  <c r="E7476" i="1"/>
  <c r="F7475" i="1"/>
  <c r="E7475" i="1"/>
  <c r="F7474" i="1"/>
  <c r="E7474" i="1"/>
  <c r="F7473" i="1"/>
  <c r="F7472" i="1"/>
  <c r="E7472" i="1"/>
  <c r="F7471" i="1"/>
  <c r="E7471" i="1"/>
  <c r="F7470" i="1"/>
  <c r="E7470" i="1"/>
  <c r="F7469" i="1"/>
  <c r="E7469" i="1"/>
  <c r="F7468" i="1"/>
  <c r="E7468" i="1"/>
  <c r="F7467" i="1"/>
  <c r="E7467" i="1"/>
  <c r="F7466" i="1"/>
  <c r="E7466" i="1"/>
  <c r="F7465" i="1"/>
  <c r="E7465" i="1"/>
  <c r="F7464" i="1"/>
  <c r="E7464" i="1"/>
  <c r="F7463" i="1"/>
  <c r="E7463" i="1"/>
  <c r="F7462" i="1"/>
  <c r="E7462" i="1"/>
  <c r="F7461" i="1"/>
  <c r="E7461" i="1"/>
  <c r="F7460" i="1"/>
  <c r="E7460" i="1"/>
  <c r="F7459" i="1"/>
  <c r="E7459" i="1"/>
  <c r="F7458" i="1"/>
  <c r="E7458" i="1"/>
  <c r="F7457" i="1"/>
  <c r="E7457" i="1"/>
  <c r="F7456" i="1"/>
  <c r="E7456" i="1"/>
  <c r="F7455" i="1"/>
  <c r="E7455" i="1"/>
  <c r="F7454" i="1"/>
  <c r="E7454" i="1"/>
  <c r="F7453" i="1"/>
  <c r="E7453" i="1"/>
  <c r="F7452" i="1"/>
  <c r="E7452" i="1"/>
  <c r="F7451" i="1"/>
  <c r="E7451" i="1"/>
  <c r="F7450" i="1"/>
  <c r="E7450" i="1"/>
  <c r="F7449" i="1"/>
  <c r="E7449" i="1"/>
  <c r="F7448" i="1"/>
  <c r="E7448" i="1"/>
  <c r="F7447" i="1"/>
  <c r="F7446" i="1"/>
  <c r="E7446" i="1"/>
  <c r="F7445" i="1"/>
  <c r="E7445" i="1"/>
  <c r="F7444" i="1"/>
  <c r="E7444" i="1"/>
  <c r="F7443" i="1"/>
  <c r="E7443" i="1"/>
  <c r="F7442" i="1"/>
  <c r="E7442" i="1"/>
  <c r="F7441" i="1"/>
  <c r="E7441" i="1"/>
  <c r="F7440" i="1"/>
  <c r="E7440" i="1"/>
  <c r="F7439" i="1"/>
  <c r="E7439" i="1"/>
  <c r="F7438" i="1"/>
  <c r="E7438" i="1"/>
  <c r="F7437" i="1"/>
  <c r="E7437" i="1"/>
  <c r="F7436" i="1"/>
  <c r="E7436" i="1"/>
  <c r="F7435" i="1"/>
  <c r="E7435" i="1"/>
  <c r="F7434" i="1"/>
  <c r="E7434" i="1"/>
  <c r="F7433" i="1"/>
  <c r="E7433" i="1"/>
  <c r="F7432" i="1"/>
  <c r="E7432" i="1"/>
  <c r="F7431" i="1"/>
  <c r="E7431" i="1"/>
  <c r="F7430" i="1"/>
  <c r="E7430" i="1"/>
  <c r="F7429" i="1"/>
  <c r="E7429" i="1"/>
  <c r="F7428" i="1"/>
  <c r="E7428" i="1"/>
  <c r="F7427" i="1"/>
  <c r="E7427" i="1"/>
  <c r="F7426" i="1"/>
  <c r="E7426" i="1"/>
  <c r="F7425" i="1"/>
  <c r="E7425" i="1"/>
  <c r="F7424" i="1"/>
  <c r="E7424" i="1"/>
  <c r="F7423" i="1"/>
  <c r="E7423" i="1"/>
  <c r="F7422" i="1"/>
  <c r="E7422" i="1"/>
  <c r="F7421" i="1"/>
  <c r="E7421" i="1"/>
  <c r="F7420" i="1"/>
  <c r="E7420" i="1"/>
  <c r="F7419" i="1"/>
  <c r="E7419" i="1"/>
  <c r="F7418" i="1"/>
  <c r="E7418" i="1"/>
  <c r="F7417" i="1"/>
  <c r="E7417" i="1"/>
  <c r="F7416" i="1"/>
  <c r="E7416" i="1"/>
  <c r="F7415" i="1"/>
  <c r="E7415" i="1"/>
  <c r="F7414" i="1"/>
  <c r="E7414" i="1"/>
  <c r="F7413" i="1"/>
  <c r="E7413" i="1"/>
  <c r="F7412" i="1"/>
  <c r="E7412" i="1"/>
  <c r="F7411" i="1"/>
  <c r="E7411" i="1"/>
  <c r="F7410" i="1"/>
  <c r="E7410" i="1"/>
  <c r="F7409" i="1"/>
  <c r="E7409" i="1"/>
  <c r="F7408" i="1"/>
  <c r="E7408" i="1"/>
  <c r="F7407" i="1"/>
  <c r="E7407" i="1"/>
  <c r="F7406" i="1"/>
  <c r="E7406" i="1"/>
  <c r="F7405" i="1"/>
  <c r="E7405" i="1"/>
  <c r="F7404" i="1"/>
  <c r="E7404" i="1"/>
  <c r="F7403" i="1"/>
  <c r="E7403" i="1"/>
  <c r="F7402" i="1"/>
  <c r="E7402" i="1"/>
  <c r="F7401" i="1"/>
  <c r="E7401" i="1"/>
  <c r="F7400" i="1"/>
  <c r="E7400" i="1"/>
  <c r="F7399" i="1"/>
  <c r="E7399" i="1"/>
  <c r="F7398" i="1"/>
  <c r="E7398" i="1"/>
  <c r="F7397" i="1"/>
  <c r="E7397" i="1"/>
  <c r="F7396" i="1"/>
  <c r="E7396" i="1"/>
  <c r="F7395" i="1"/>
  <c r="E7395" i="1"/>
  <c r="F7394" i="1"/>
  <c r="E7394" i="1"/>
  <c r="F7393" i="1"/>
  <c r="E7393" i="1"/>
  <c r="F7392" i="1"/>
  <c r="E7392" i="1"/>
  <c r="F7391" i="1"/>
  <c r="E7391" i="1"/>
  <c r="F7390" i="1"/>
  <c r="E7390" i="1"/>
  <c r="F7389" i="1"/>
  <c r="E7389" i="1"/>
  <c r="F7388" i="1"/>
  <c r="E7388" i="1"/>
  <c r="F7387" i="1"/>
  <c r="E7387" i="1"/>
  <c r="F7386" i="1"/>
  <c r="E7386" i="1"/>
  <c r="F7385" i="1"/>
  <c r="E7385" i="1"/>
  <c r="F7384" i="1"/>
  <c r="E7384" i="1"/>
  <c r="F7383" i="1"/>
  <c r="E7383" i="1"/>
  <c r="F7382" i="1"/>
  <c r="E7382" i="1"/>
  <c r="F7381" i="1"/>
  <c r="E7381" i="1"/>
  <c r="F7380" i="1"/>
  <c r="E7380" i="1"/>
  <c r="F7379" i="1"/>
  <c r="E7379" i="1"/>
  <c r="F7378" i="1"/>
  <c r="E7378" i="1"/>
  <c r="F7377" i="1"/>
  <c r="E7377" i="1"/>
  <c r="F7376" i="1"/>
  <c r="E7376" i="1"/>
  <c r="F7375" i="1"/>
  <c r="E7375" i="1"/>
  <c r="F7374" i="1"/>
  <c r="E7374" i="1"/>
  <c r="F7373" i="1"/>
  <c r="E7373" i="1"/>
  <c r="F7372" i="1"/>
  <c r="E7372" i="1"/>
  <c r="F7371" i="1"/>
  <c r="E7371" i="1"/>
  <c r="F7370" i="1"/>
  <c r="E7370" i="1"/>
  <c r="F7369" i="1"/>
  <c r="E7369" i="1"/>
  <c r="F7368" i="1"/>
  <c r="E7368" i="1"/>
  <c r="F7367" i="1"/>
  <c r="E7367" i="1"/>
  <c r="F7366" i="1"/>
  <c r="E7366" i="1"/>
  <c r="F7365" i="1"/>
  <c r="E7365" i="1"/>
  <c r="F7364" i="1"/>
  <c r="E7364" i="1"/>
  <c r="F7363" i="1"/>
  <c r="E7363" i="1"/>
  <c r="F7362" i="1"/>
  <c r="E7362" i="1"/>
  <c r="F7361" i="1"/>
  <c r="E7361" i="1"/>
  <c r="F7360" i="1"/>
  <c r="E7360" i="1"/>
  <c r="F7359" i="1"/>
  <c r="E7359" i="1"/>
  <c r="F7358" i="1"/>
  <c r="E7358" i="1"/>
  <c r="F7357" i="1"/>
  <c r="E7357" i="1"/>
  <c r="F7356" i="1"/>
  <c r="E7356" i="1"/>
  <c r="F7355" i="1"/>
  <c r="E7355" i="1"/>
  <c r="F7354" i="1"/>
  <c r="E7354" i="1"/>
  <c r="F7353" i="1"/>
  <c r="E7353" i="1"/>
  <c r="F7352" i="1"/>
  <c r="E7352" i="1"/>
  <c r="F7351" i="1"/>
  <c r="E7351" i="1"/>
  <c r="F7350" i="1"/>
  <c r="E7350" i="1"/>
  <c r="F7349" i="1"/>
  <c r="E7349" i="1"/>
  <c r="F7348" i="1"/>
  <c r="E7348" i="1"/>
  <c r="F7347" i="1"/>
  <c r="E7347" i="1"/>
  <c r="F7346" i="1"/>
  <c r="E7346" i="1"/>
  <c r="F7345" i="1"/>
  <c r="E7345" i="1"/>
  <c r="F7344" i="1"/>
  <c r="F7343" i="1"/>
  <c r="F7342" i="1"/>
  <c r="F7341" i="1"/>
  <c r="F7340" i="1"/>
  <c r="E7340" i="1"/>
  <c r="F7339" i="1"/>
  <c r="E7339" i="1"/>
  <c r="F7338" i="1"/>
  <c r="E7338" i="1"/>
  <c r="F7337" i="1"/>
  <c r="E7337" i="1"/>
  <c r="F7336" i="1"/>
  <c r="E7336" i="1"/>
  <c r="F7335" i="1"/>
  <c r="F7334" i="1"/>
  <c r="E7334" i="1"/>
  <c r="F7333" i="1"/>
  <c r="F7332" i="1"/>
  <c r="F7331" i="1"/>
  <c r="F7330" i="1"/>
  <c r="F7329" i="1"/>
  <c r="F7328" i="1"/>
  <c r="F7327" i="1"/>
  <c r="F7326" i="1"/>
  <c r="F7325" i="1"/>
  <c r="F7324" i="1"/>
  <c r="F7323" i="1"/>
  <c r="F7322" i="1"/>
  <c r="F7321" i="1"/>
  <c r="F7320" i="1"/>
  <c r="F7319" i="1"/>
  <c r="F7318" i="1"/>
  <c r="F7317" i="1"/>
  <c r="F7316" i="1"/>
  <c r="F7315" i="1"/>
  <c r="F7314" i="1"/>
  <c r="F7313" i="1"/>
  <c r="E7313" i="1"/>
  <c r="F7312" i="1"/>
  <c r="E7312" i="1"/>
  <c r="F7311" i="1"/>
  <c r="E7311" i="1"/>
  <c r="F7310" i="1"/>
  <c r="E7310" i="1"/>
  <c r="F7309" i="1"/>
  <c r="E7309" i="1"/>
  <c r="F7308" i="1"/>
  <c r="E7308" i="1"/>
  <c r="F7307" i="1"/>
  <c r="E7307" i="1"/>
  <c r="F7306" i="1"/>
  <c r="E7306" i="1"/>
  <c r="F7305" i="1"/>
  <c r="E7305" i="1"/>
  <c r="F7304" i="1"/>
  <c r="E7304" i="1"/>
  <c r="F7303" i="1"/>
  <c r="E7303" i="1"/>
  <c r="F7302" i="1"/>
  <c r="E7302" i="1"/>
  <c r="F7301" i="1"/>
  <c r="E7301" i="1"/>
  <c r="F7300" i="1"/>
  <c r="F7299" i="1"/>
  <c r="F7298" i="1"/>
  <c r="F7297" i="1"/>
  <c r="E7297" i="1"/>
  <c r="F7296" i="1"/>
  <c r="E7296" i="1"/>
  <c r="F7295" i="1"/>
  <c r="E7295" i="1"/>
  <c r="F7294" i="1"/>
  <c r="E7294" i="1"/>
  <c r="F7293" i="1"/>
  <c r="E7293" i="1"/>
  <c r="F7292" i="1"/>
  <c r="E7292" i="1"/>
  <c r="F7291" i="1"/>
  <c r="E7291" i="1"/>
  <c r="F7290" i="1"/>
  <c r="E7290" i="1"/>
  <c r="F7289" i="1"/>
  <c r="E7289" i="1"/>
  <c r="F7288" i="1"/>
  <c r="E7288" i="1"/>
  <c r="F7287" i="1"/>
  <c r="E7287" i="1"/>
  <c r="F7286" i="1"/>
  <c r="E7286" i="1"/>
  <c r="F7285" i="1"/>
  <c r="E7285" i="1"/>
  <c r="F7284" i="1"/>
  <c r="E7284" i="1"/>
  <c r="F7283" i="1"/>
  <c r="E7283" i="1"/>
  <c r="F7282" i="1"/>
  <c r="E7282" i="1"/>
  <c r="F7281" i="1"/>
  <c r="E7281" i="1"/>
  <c r="F7280" i="1"/>
  <c r="E7280" i="1"/>
  <c r="F7279" i="1"/>
  <c r="E7279" i="1"/>
  <c r="F7278" i="1"/>
  <c r="E7278" i="1"/>
  <c r="F7277" i="1"/>
  <c r="E7277" i="1"/>
  <c r="F7276" i="1"/>
  <c r="E7276" i="1"/>
  <c r="F7275" i="1"/>
  <c r="E7275" i="1"/>
  <c r="F7274" i="1"/>
  <c r="E7274" i="1"/>
  <c r="F7273" i="1"/>
  <c r="E7273" i="1"/>
  <c r="F7272" i="1"/>
  <c r="E7272" i="1"/>
  <c r="F7271" i="1"/>
  <c r="E7271" i="1"/>
  <c r="F7270" i="1"/>
  <c r="E7270" i="1"/>
  <c r="F7269" i="1"/>
  <c r="E7269" i="1"/>
  <c r="F7268" i="1"/>
  <c r="E7268" i="1"/>
  <c r="F7267" i="1"/>
  <c r="E7267" i="1"/>
  <c r="F7266" i="1"/>
  <c r="F7265" i="1"/>
  <c r="F7264" i="1"/>
  <c r="F7263" i="1"/>
  <c r="E7263" i="1"/>
  <c r="F7262" i="1"/>
  <c r="E7262" i="1"/>
  <c r="F7261" i="1"/>
  <c r="E7261" i="1"/>
  <c r="F7260" i="1"/>
  <c r="E7260" i="1"/>
  <c r="F7259" i="1"/>
  <c r="E7259" i="1"/>
  <c r="F7258" i="1"/>
  <c r="F7257" i="1"/>
  <c r="E7257" i="1"/>
  <c r="F7256" i="1"/>
  <c r="E7256" i="1"/>
  <c r="F7255" i="1"/>
  <c r="E7255" i="1"/>
  <c r="F7254" i="1"/>
  <c r="E7254" i="1"/>
  <c r="F7253" i="1"/>
  <c r="E7253" i="1"/>
  <c r="F7252" i="1"/>
  <c r="E7252" i="1"/>
  <c r="F7251" i="1"/>
  <c r="E7251" i="1"/>
  <c r="F7250" i="1"/>
  <c r="E7250" i="1"/>
  <c r="F7249" i="1"/>
  <c r="E7249" i="1"/>
  <c r="F7248" i="1"/>
  <c r="E7248" i="1"/>
  <c r="F7247" i="1"/>
  <c r="E7247" i="1"/>
  <c r="F7246" i="1"/>
  <c r="E7246" i="1"/>
  <c r="F7245" i="1"/>
  <c r="E7245" i="1"/>
  <c r="F7244" i="1"/>
  <c r="E7244" i="1"/>
  <c r="F7243" i="1"/>
  <c r="E7243" i="1"/>
  <c r="F7242" i="1"/>
  <c r="E7242" i="1"/>
  <c r="F7241" i="1"/>
  <c r="E7241" i="1"/>
  <c r="F7240" i="1"/>
  <c r="E7240" i="1"/>
  <c r="F7239" i="1"/>
  <c r="E7239" i="1"/>
  <c r="F7238" i="1"/>
  <c r="E7238" i="1"/>
  <c r="F7237" i="1"/>
  <c r="E7237" i="1"/>
  <c r="F7236" i="1"/>
  <c r="E7236" i="1"/>
  <c r="F7235" i="1"/>
  <c r="E7235" i="1"/>
  <c r="F7234" i="1"/>
  <c r="E7234" i="1"/>
  <c r="F7233" i="1"/>
  <c r="E7233" i="1"/>
  <c r="F7232" i="1"/>
  <c r="E7232" i="1"/>
  <c r="F7231" i="1"/>
  <c r="E7231" i="1"/>
  <c r="F7230" i="1"/>
  <c r="E7230" i="1"/>
  <c r="F7229" i="1"/>
  <c r="E7229" i="1"/>
  <c r="F7228" i="1"/>
  <c r="E7228" i="1"/>
  <c r="F7227" i="1"/>
  <c r="E7227" i="1"/>
  <c r="F7226" i="1"/>
  <c r="E7226" i="1"/>
  <c r="F7225" i="1"/>
  <c r="E7225" i="1"/>
  <c r="F7224" i="1"/>
  <c r="E7224" i="1"/>
  <c r="F7223" i="1"/>
  <c r="E7223" i="1"/>
  <c r="F7222" i="1"/>
  <c r="E7222" i="1"/>
  <c r="F7221" i="1"/>
  <c r="E7221" i="1"/>
  <c r="F7220" i="1"/>
  <c r="E7220" i="1"/>
  <c r="F7219" i="1"/>
  <c r="E7219" i="1"/>
  <c r="F7218" i="1"/>
  <c r="E7218" i="1"/>
  <c r="F7217" i="1"/>
  <c r="F7216" i="1"/>
  <c r="E7216" i="1"/>
  <c r="F7215" i="1"/>
  <c r="E7215" i="1"/>
  <c r="F7214" i="1"/>
  <c r="E7214" i="1"/>
  <c r="F7213" i="1"/>
  <c r="E7213" i="1"/>
  <c r="F7212" i="1"/>
  <c r="E7212" i="1"/>
  <c r="F7211" i="1"/>
  <c r="E7211" i="1"/>
  <c r="F7210" i="1"/>
  <c r="E7210" i="1"/>
  <c r="F7209" i="1"/>
  <c r="E7209" i="1"/>
  <c r="F7208" i="1"/>
  <c r="E7208" i="1"/>
  <c r="F7207" i="1"/>
  <c r="E7207" i="1"/>
  <c r="F7206" i="1"/>
  <c r="E7206" i="1"/>
  <c r="F7205" i="1"/>
  <c r="E7205" i="1"/>
  <c r="F7204" i="1"/>
  <c r="E7204" i="1"/>
  <c r="F7203" i="1"/>
  <c r="E7203" i="1"/>
  <c r="F7202" i="1"/>
  <c r="E7202" i="1"/>
  <c r="F7201" i="1"/>
  <c r="E7201" i="1"/>
  <c r="F7200" i="1"/>
  <c r="E7200" i="1"/>
  <c r="F7199" i="1"/>
  <c r="E7199" i="1"/>
  <c r="F7198" i="1"/>
  <c r="E7198" i="1"/>
  <c r="F7197" i="1"/>
  <c r="E7197" i="1"/>
  <c r="F7196" i="1"/>
  <c r="E7196" i="1"/>
  <c r="F7195" i="1"/>
  <c r="E7195" i="1"/>
  <c r="F7194" i="1"/>
  <c r="E7194" i="1"/>
  <c r="F7193" i="1"/>
  <c r="E7193" i="1"/>
  <c r="F7192" i="1"/>
  <c r="E7192" i="1"/>
  <c r="F7191" i="1"/>
  <c r="E7191" i="1"/>
  <c r="F7190" i="1"/>
  <c r="E7190" i="1"/>
  <c r="F7189" i="1"/>
  <c r="E7189" i="1"/>
  <c r="F7188" i="1"/>
  <c r="E7188" i="1"/>
  <c r="F7187" i="1"/>
  <c r="E7187" i="1"/>
  <c r="F7186" i="1"/>
  <c r="E7186" i="1"/>
  <c r="F7185" i="1"/>
  <c r="E7185" i="1"/>
  <c r="F7184" i="1"/>
  <c r="E7184" i="1"/>
  <c r="F7183" i="1"/>
  <c r="E7183" i="1"/>
  <c r="F7182" i="1"/>
  <c r="E7182" i="1"/>
  <c r="F7181" i="1"/>
  <c r="E7181" i="1"/>
  <c r="F7180" i="1"/>
  <c r="E7180" i="1"/>
  <c r="F7179" i="1"/>
  <c r="E7179" i="1"/>
  <c r="F7178" i="1"/>
  <c r="E7178" i="1"/>
  <c r="F7177" i="1"/>
  <c r="E7177" i="1"/>
  <c r="F7176" i="1"/>
  <c r="F7175" i="1"/>
  <c r="F7174" i="1"/>
  <c r="F7173" i="1"/>
  <c r="F7172" i="1"/>
  <c r="F7171" i="1"/>
  <c r="F7170" i="1"/>
  <c r="F7169" i="1"/>
  <c r="F7168" i="1"/>
  <c r="F7167" i="1"/>
  <c r="F7166" i="1"/>
  <c r="E7166" i="1"/>
  <c r="F7165" i="1"/>
  <c r="E7165" i="1"/>
  <c r="F7164" i="1"/>
  <c r="E7164" i="1"/>
  <c r="F7163" i="1"/>
  <c r="E7163" i="1"/>
  <c r="F7162" i="1"/>
  <c r="E7162" i="1"/>
  <c r="F7161" i="1"/>
  <c r="E7161" i="1"/>
  <c r="F7160" i="1"/>
  <c r="E7160" i="1"/>
  <c r="F7159" i="1"/>
  <c r="E7159" i="1"/>
  <c r="F7158" i="1"/>
  <c r="E7158" i="1"/>
  <c r="F7157" i="1"/>
  <c r="E7157" i="1"/>
  <c r="F7156" i="1"/>
  <c r="E7156" i="1"/>
  <c r="F7155" i="1"/>
  <c r="E7155" i="1"/>
  <c r="F7154" i="1"/>
  <c r="E7154" i="1"/>
  <c r="F7153" i="1"/>
  <c r="E7153" i="1"/>
  <c r="F7152" i="1"/>
  <c r="E7152" i="1"/>
  <c r="F7151" i="1"/>
  <c r="E7151" i="1"/>
  <c r="F7150" i="1"/>
  <c r="E7150" i="1"/>
  <c r="F7149" i="1"/>
  <c r="E7149" i="1"/>
  <c r="F7148" i="1"/>
  <c r="E7148" i="1"/>
  <c r="F7147" i="1"/>
  <c r="E7147" i="1"/>
  <c r="F7146" i="1"/>
  <c r="E7146" i="1"/>
  <c r="F7145" i="1"/>
  <c r="E7145" i="1"/>
  <c r="F7144" i="1"/>
  <c r="E7144" i="1"/>
  <c r="F7143" i="1"/>
  <c r="E7143" i="1"/>
  <c r="F7142" i="1"/>
  <c r="E7142" i="1"/>
  <c r="F7141" i="1"/>
  <c r="E7141" i="1"/>
  <c r="F7140" i="1"/>
  <c r="E7140" i="1"/>
  <c r="F7139" i="1"/>
  <c r="E7139" i="1"/>
  <c r="F7138" i="1"/>
  <c r="E7138" i="1"/>
  <c r="F7137" i="1"/>
  <c r="E7137" i="1"/>
  <c r="F7136" i="1"/>
  <c r="E7136" i="1"/>
  <c r="F7135" i="1"/>
  <c r="E7135" i="1"/>
  <c r="F7134" i="1"/>
  <c r="E7134" i="1"/>
  <c r="F7133" i="1"/>
  <c r="E7133" i="1"/>
  <c r="F7132" i="1"/>
  <c r="E7132" i="1"/>
  <c r="F7131" i="1"/>
  <c r="E7131" i="1"/>
  <c r="F7130" i="1"/>
  <c r="E7130" i="1"/>
  <c r="F7129" i="1"/>
  <c r="F7128" i="1"/>
  <c r="F7127" i="1"/>
  <c r="F7126" i="1"/>
  <c r="E7126" i="1"/>
  <c r="F7125" i="1"/>
  <c r="E7125" i="1"/>
  <c r="F7124" i="1"/>
  <c r="E7124" i="1"/>
  <c r="F7123" i="1"/>
  <c r="E7123" i="1"/>
  <c r="F7122" i="1"/>
  <c r="E7122" i="1"/>
  <c r="F7121" i="1"/>
  <c r="E7121" i="1"/>
  <c r="F7120" i="1"/>
  <c r="E7120" i="1"/>
  <c r="F7119" i="1"/>
  <c r="E7119" i="1"/>
  <c r="F7118" i="1"/>
  <c r="E7118" i="1"/>
  <c r="F7117" i="1"/>
  <c r="E7117" i="1"/>
  <c r="F7116" i="1"/>
  <c r="E7116" i="1"/>
  <c r="F7115" i="1"/>
  <c r="E7115" i="1"/>
  <c r="F7114" i="1"/>
  <c r="E7114" i="1"/>
  <c r="F7113" i="1"/>
  <c r="E7113" i="1"/>
  <c r="F7112" i="1"/>
  <c r="E7112" i="1"/>
  <c r="F7111" i="1"/>
  <c r="E7111" i="1"/>
  <c r="F7110" i="1"/>
  <c r="E7110" i="1"/>
  <c r="F7109" i="1"/>
  <c r="E7109" i="1"/>
  <c r="F7108" i="1"/>
  <c r="E7108" i="1"/>
  <c r="F7107" i="1"/>
  <c r="E7107" i="1"/>
  <c r="F7106" i="1"/>
  <c r="E7106" i="1"/>
  <c r="F7105" i="1"/>
  <c r="E7105" i="1"/>
  <c r="F7104" i="1"/>
  <c r="E7104" i="1"/>
  <c r="F7103" i="1"/>
  <c r="E7103" i="1"/>
  <c r="F7102" i="1"/>
  <c r="E7102" i="1"/>
  <c r="F7101" i="1"/>
  <c r="F7100" i="1"/>
  <c r="F7099" i="1"/>
  <c r="E7099" i="1"/>
  <c r="F7098" i="1"/>
  <c r="F7097" i="1"/>
  <c r="F7096" i="1"/>
  <c r="E7096" i="1"/>
  <c r="F7095" i="1"/>
  <c r="E7095" i="1"/>
  <c r="F7094" i="1"/>
  <c r="E7094" i="1"/>
  <c r="F7093" i="1"/>
  <c r="E7093" i="1"/>
  <c r="F7092" i="1"/>
  <c r="E7092" i="1"/>
  <c r="F7091" i="1"/>
  <c r="E7091" i="1"/>
  <c r="F7090" i="1"/>
  <c r="E7090" i="1"/>
  <c r="F7089" i="1"/>
  <c r="E7089" i="1"/>
  <c r="F7088" i="1"/>
  <c r="E7088" i="1"/>
  <c r="F7087" i="1"/>
  <c r="E7087" i="1"/>
  <c r="F7086" i="1"/>
  <c r="E7086" i="1"/>
  <c r="F7085" i="1"/>
  <c r="E7085" i="1"/>
  <c r="F7084" i="1"/>
  <c r="E7084" i="1"/>
  <c r="F7083" i="1"/>
  <c r="E7083" i="1"/>
  <c r="F7082" i="1"/>
  <c r="E7082" i="1"/>
  <c r="F7081" i="1"/>
  <c r="E7081" i="1"/>
  <c r="F7080" i="1"/>
  <c r="E7080" i="1"/>
  <c r="F7079" i="1"/>
  <c r="E7079" i="1"/>
  <c r="F7078" i="1"/>
  <c r="E7078" i="1"/>
  <c r="F7077" i="1"/>
  <c r="E7077" i="1"/>
  <c r="F7076" i="1"/>
  <c r="E7076" i="1"/>
  <c r="F7075" i="1"/>
  <c r="E7075" i="1"/>
  <c r="F7074" i="1"/>
  <c r="E7074" i="1"/>
  <c r="F7073" i="1"/>
  <c r="E7073" i="1"/>
  <c r="F7072" i="1"/>
  <c r="E7072" i="1"/>
  <c r="F7071" i="1"/>
  <c r="E7071" i="1"/>
  <c r="F7070" i="1"/>
  <c r="F7069" i="1"/>
  <c r="E7069" i="1"/>
  <c r="F7068" i="1"/>
  <c r="E7068" i="1"/>
  <c r="F7067" i="1"/>
  <c r="F7066" i="1"/>
  <c r="F7065" i="1"/>
  <c r="E7065" i="1"/>
  <c r="F7064" i="1"/>
  <c r="E7064" i="1"/>
  <c r="F7063" i="1"/>
  <c r="E7063" i="1"/>
  <c r="F7062" i="1"/>
  <c r="E7062" i="1"/>
  <c r="F7061" i="1"/>
  <c r="E7061" i="1"/>
  <c r="F7060" i="1"/>
  <c r="E7060" i="1"/>
  <c r="F7059" i="1"/>
  <c r="E7059" i="1"/>
  <c r="F7058" i="1"/>
  <c r="E7058" i="1"/>
  <c r="F7057" i="1"/>
  <c r="E7057" i="1"/>
  <c r="F7056" i="1"/>
  <c r="E7056" i="1"/>
  <c r="F7055" i="1"/>
  <c r="E7055" i="1"/>
  <c r="F7054" i="1"/>
  <c r="E7054" i="1"/>
  <c r="F7053" i="1"/>
  <c r="E7053" i="1"/>
  <c r="F7052" i="1"/>
  <c r="E7052" i="1"/>
  <c r="F7051" i="1"/>
  <c r="E7051" i="1"/>
  <c r="F7050" i="1"/>
  <c r="E7050" i="1"/>
  <c r="F7049" i="1"/>
  <c r="E7049" i="1"/>
  <c r="F7048" i="1"/>
  <c r="E7048" i="1"/>
  <c r="F7047" i="1"/>
  <c r="E7047" i="1"/>
  <c r="F7046" i="1"/>
  <c r="E7046" i="1"/>
  <c r="F7045" i="1"/>
  <c r="E7045" i="1"/>
  <c r="F7044" i="1"/>
  <c r="E7044" i="1"/>
  <c r="F7043" i="1"/>
  <c r="E7043" i="1"/>
  <c r="F7042" i="1"/>
  <c r="E7042" i="1"/>
  <c r="F7041" i="1"/>
  <c r="E7041" i="1"/>
  <c r="F7040" i="1"/>
  <c r="E7040" i="1"/>
  <c r="F7039" i="1"/>
  <c r="E7039" i="1"/>
  <c r="F7038" i="1"/>
  <c r="F7037" i="1"/>
  <c r="E7037" i="1"/>
  <c r="F7036" i="1"/>
  <c r="F7035" i="1"/>
  <c r="F7034" i="1"/>
  <c r="E7034" i="1"/>
  <c r="F7033" i="1"/>
  <c r="E7033" i="1"/>
  <c r="F7032" i="1"/>
  <c r="E7032" i="1"/>
  <c r="F7031" i="1"/>
  <c r="E7031" i="1"/>
  <c r="F7030" i="1"/>
  <c r="E7030" i="1"/>
  <c r="F7029" i="1"/>
  <c r="E7029" i="1"/>
  <c r="F7028" i="1"/>
  <c r="E7028" i="1"/>
  <c r="F7027" i="1"/>
  <c r="F7026" i="1"/>
  <c r="E7026" i="1"/>
  <c r="F7025" i="1"/>
  <c r="E7025" i="1"/>
  <c r="F7024" i="1"/>
  <c r="E7024" i="1"/>
  <c r="F7023" i="1"/>
  <c r="E7023" i="1"/>
  <c r="F7022" i="1"/>
  <c r="E7022" i="1"/>
  <c r="F7021" i="1"/>
  <c r="E7021" i="1"/>
  <c r="F7020" i="1"/>
  <c r="E7020" i="1"/>
  <c r="F7019" i="1"/>
  <c r="E7019" i="1"/>
  <c r="F7018" i="1"/>
  <c r="E7018" i="1"/>
  <c r="F7017" i="1"/>
  <c r="E7017" i="1"/>
  <c r="F7016" i="1"/>
  <c r="E7016" i="1"/>
  <c r="F7015" i="1"/>
  <c r="E7015" i="1"/>
  <c r="F7014" i="1"/>
  <c r="E7014" i="1"/>
  <c r="F7013" i="1"/>
  <c r="E7013" i="1"/>
  <c r="F7012" i="1"/>
  <c r="E7012" i="1"/>
  <c r="F7011" i="1"/>
  <c r="E7011" i="1"/>
  <c r="F7010" i="1"/>
  <c r="E7010" i="1"/>
  <c r="F7009" i="1"/>
  <c r="E7009" i="1"/>
  <c r="F7008" i="1"/>
  <c r="E7008" i="1"/>
  <c r="F7007" i="1"/>
  <c r="E7007" i="1"/>
  <c r="F7006" i="1"/>
  <c r="E7006" i="1"/>
  <c r="F7005" i="1"/>
  <c r="E7005" i="1"/>
  <c r="F7004" i="1"/>
  <c r="E7004" i="1"/>
  <c r="F7003" i="1"/>
  <c r="E7003" i="1"/>
  <c r="F7002" i="1"/>
  <c r="E7002" i="1"/>
  <c r="F7001" i="1"/>
  <c r="E7001" i="1"/>
  <c r="F7000" i="1"/>
  <c r="E7000" i="1"/>
  <c r="F6999" i="1"/>
  <c r="E6999" i="1"/>
  <c r="F6998" i="1"/>
  <c r="E6998" i="1"/>
  <c r="F6997" i="1"/>
  <c r="E6997" i="1"/>
  <c r="F6996" i="1"/>
  <c r="E6996" i="1"/>
  <c r="F6995" i="1"/>
  <c r="E6995" i="1"/>
  <c r="F6994" i="1"/>
  <c r="E6994" i="1"/>
  <c r="F6993" i="1"/>
  <c r="E6993" i="1"/>
  <c r="F6992" i="1"/>
  <c r="E6992" i="1"/>
  <c r="F6991" i="1"/>
  <c r="E6991" i="1"/>
  <c r="F6990" i="1"/>
  <c r="E6990" i="1"/>
  <c r="F6989" i="1"/>
  <c r="E6989" i="1"/>
  <c r="F6988" i="1"/>
  <c r="E6988" i="1"/>
  <c r="F6987" i="1"/>
  <c r="E6987" i="1"/>
  <c r="F6986" i="1"/>
  <c r="E6986" i="1"/>
  <c r="F6985" i="1"/>
  <c r="E6985" i="1"/>
  <c r="F6984" i="1"/>
  <c r="E6984" i="1"/>
  <c r="F6983" i="1"/>
  <c r="E6983" i="1"/>
  <c r="F6982" i="1"/>
  <c r="E6982" i="1"/>
  <c r="F6981" i="1"/>
  <c r="E6981" i="1"/>
  <c r="F6980" i="1"/>
  <c r="E6980" i="1"/>
  <c r="F6979" i="1"/>
  <c r="E6979" i="1"/>
  <c r="F6978" i="1"/>
  <c r="E6978" i="1"/>
  <c r="F6977" i="1"/>
  <c r="E6977" i="1"/>
  <c r="F6976" i="1"/>
  <c r="E6976" i="1"/>
  <c r="F6975" i="1"/>
  <c r="E6975" i="1"/>
  <c r="F6974" i="1"/>
  <c r="E6974" i="1"/>
  <c r="F6973" i="1"/>
  <c r="E6973" i="1"/>
  <c r="F6972" i="1"/>
  <c r="E6972" i="1"/>
  <c r="F6971" i="1"/>
  <c r="E6971" i="1"/>
  <c r="F6970" i="1"/>
  <c r="E6970" i="1"/>
  <c r="F6969" i="1"/>
  <c r="E6969" i="1"/>
  <c r="F6968" i="1"/>
  <c r="E6968" i="1"/>
  <c r="F6967" i="1"/>
  <c r="E6967" i="1"/>
  <c r="F6966" i="1"/>
  <c r="E6966" i="1"/>
  <c r="F6965" i="1"/>
  <c r="E6965" i="1"/>
  <c r="F6964" i="1"/>
  <c r="E6964" i="1"/>
  <c r="F6963" i="1"/>
  <c r="E6963" i="1"/>
  <c r="F6962" i="1"/>
  <c r="E6962" i="1"/>
  <c r="F6961" i="1"/>
  <c r="E6961" i="1"/>
  <c r="F6960" i="1"/>
  <c r="E6960" i="1"/>
  <c r="F6959" i="1"/>
  <c r="E6959" i="1"/>
  <c r="F6958" i="1"/>
  <c r="E6958" i="1"/>
  <c r="F6957" i="1"/>
  <c r="E6957" i="1"/>
  <c r="F6956" i="1"/>
  <c r="E6956" i="1"/>
  <c r="F6955" i="1"/>
  <c r="E6955" i="1"/>
  <c r="F6954" i="1"/>
  <c r="E6954" i="1"/>
  <c r="F6953" i="1"/>
  <c r="E6953" i="1"/>
  <c r="F6952" i="1"/>
  <c r="E6952" i="1"/>
  <c r="F6951" i="1"/>
  <c r="E6951" i="1"/>
  <c r="F6950" i="1"/>
  <c r="E6950" i="1"/>
  <c r="F6949" i="1"/>
  <c r="E6949" i="1"/>
  <c r="F6948" i="1"/>
  <c r="E6948" i="1"/>
  <c r="F6947" i="1"/>
  <c r="E6947" i="1"/>
  <c r="F6946" i="1"/>
  <c r="E6946" i="1"/>
  <c r="F6945" i="1"/>
  <c r="E6945" i="1"/>
  <c r="F6944" i="1"/>
  <c r="E6944" i="1"/>
  <c r="F6943" i="1"/>
  <c r="E6943" i="1"/>
  <c r="F6942" i="1"/>
  <c r="E6942" i="1"/>
  <c r="F6941" i="1"/>
  <c r="E6941" i="1"/>
  <c r="F6940" i="1"/>
  <c r="E6940" i="1"/>
  <c r="F6939" i="1"/>
  <c r="E6939" i="1"/>
  <c r="F6938" i="1"/>
  <c r="E6938" i="1"/>
  <c r="F6937" i="1"/>
  <c r="E6937" i="1"/>
  <c r="F6936" i="1"/>
  <c r="E6936" i="1"/>
  <c r="F6935" i="1"/>
  <c r="E6935" i="1"/>
  <c r="F6934" i="1"/>
  <c r="E6934" i="1"/>
  <c r="F6933" i="1"/>
  <c r="E6933" i="1"/>
  <c r="F6932" i="1"/>
  <c r="E6932" i="1"/>
  <c r="F6931" i="1"/>
  <c r="E6931" i="1"/>
  <c r="F6930" i="1"/>
  <c r="E6930" i="1"/>
  <c r="F6929" i="1"/>
  <c r="E6929" i="1"/>
  <c r="F6928" i="1"/>
  <c r="E6928" i="1"/>
  <c r="F6927" i="1"/>
  <c r="E6927" i="1"/>
  <c r="F6926" i="1"/>
  <c r="E6926" i="1"/>
  <c r="F6925" i="1"/>
  <c r="E6925" i="1"/>
  <c r="F6924" i="1"/>
  <c r="E6924" i="1"/>
  <c r="F6923" i="1"/>
  <c r="E6923" i="1"/>
  <c r="F6922" i="1"/>
  <c r="E6922" i="1"/>
  <c r="F6921" i="1"/>
  <c r="E6921" i="1"/>
  <c r="F6920" i="1"/>
  <c r="E6920" i="1"/>
  <c r="F6919" i="1"/>
  <c r="E6919" i="1"/>
  <c r="F6918" i="1"/>
  <c r="E6918" i="1"/>
  <c r="F6917" i="1"/>
  <c r="E6917" i="1"/>
  <c r="F6916" i="1"/>
  <c r="F6915" i="1"/>
  <c r="E6915" i="1"/>
  <c r="F6914" i="1"/>
  <c r="E6914" i="1"/>
  <c r="F6913" i="1"/>
  <c r="E6913" i="1"/>
  <c r="F6912" i="1"/>
  <c r="E6912" i="1"/>
  <c r="F6911" i="1"/>
  <c r="E6911" i="1"/>
  <c r="F6910" i="1"/>
  <c r="F6909" i="1"/>
  <c r="E6909" i="1"/>
  <c r="F6908" i="1"/>
  <c r="E6908" i="1"/>
  <c r="F6907" i="1"/>
  <c r="E6907" i="1"/>
  <c r="F6906" i="1"/>
  <c r="E6906" i="1"/>
  <c r="F6905" i="1"/>
  <c r="E6905" i="1"/>
  <c r="F6904" i="1"/>
  <c r="E6904" i="1"/>
  <c r="F6903" i="1"/>
  <c r="E6903" i="1"/>
  <c r="F6902" i="1"/>
  <c r="E6902" i="1"/>
  <c r="F6901" i="1"/>
  <c r="E6901" i="1"/>
  <c r="F6900" i="1"/>
  <c r="E6900" i="1"/>
  <c r="F6899" i="1"/>
  <c r="E6899" i="1"/>
  <c r="F6898" i="1"/>
  <c r="E6898" i="1"/>
  <c r="F6897" i="1"/>
  <c r="E6897" i="1"/>
  <c r="F6896" i="1"/>
  <c r="E6896" i="1"/>
  <c r="F6895" i="1"/>
  <c r="E6895" i="1"/>
  <c r="F6894" i="1"/>
  <c r="E6894" i="1"/>
  <c r="F6893" i="1"/>
  <c r="E6893" i="1"/>
  <c r="F6892" i="1"/>
  <c r="E6892" i="1"/>
  <c r="F6891" i="1"/>
  <c r="E6891" i="1"/>
  <c r="F6890" i="1"/>
  <c r="E6890" i="1"/>
  <c r="F6889" i="1"/>
  <c r="E6889" i="1"/>
  <c r="F6888" i="1"/>
  <c r="E6888" i="1"/>
  <c r="F6887" i="1"/>
  <c r="E6887" i="1"/>
  <c r="F6886" i="1"/>
  <c r="E6886" i="1"/>
  <c r="F6885" i="1"/>
  <c r="E6885" i="1"/>
  <c r="F6884" i="1"/>
  <c r="E6884" i="1"/>
  <c r="F6883" i="1"/>
  <c r="E6883" i="1"/>
  <c r="F6882" i="1"/>
  <c r="E6882" i="1"/>
  <c r="F6881" i="1"/>
  <c r="E6881" i="1"/>
  <c r="F6880" i="1"/>
  <c r="E6880" i="1"/>
  <c r="F6879" i="1"/>
  <c r="E6879" i="1"/>
  <c r="F6878" i="1"/>
  <c r="F6877" i="1"/>
  <c r="E6877" i="1"/>
  <c r="F6876" i="1"/>
  <c r="F6875" i="1"/>
  <c r="F6874" i="1"/>
  <c r="E6874" i="1"/>
  <c r="F6873" i="1"/>
  <c r="E6873" i="1"/>
  <c r="F6872" i="1"/>
  <c r="E6872" i="1"/>
  <c r="F6871" i="1"/>
  <c r="E6871" i="1"/>
  <c r="F6870" i="1"/>
  <c r="E6870" i="1"/>
  <c r="F6869" i="1"/>
  <c r="E6869" i="1"/>
  <c r="F6868" i="1"/>
  <c r="E6868" i="1"/>
  <c r="F6867" i="1"/>
  <c r="E6867" i="1"/>
  <c r="F6866" i="1"/>
  <c r="E6866" i="1"/>
  <c r="F6865" i="1"/>
  <c r="E6865" i="1"/>
  <c r="F6864" i="1"/>
  <c r="E6864" i="1"/>
  <c r="F6863" i="1"/>
  <c r="E6863" i="1"/>
  <c r="F6862" i="1"/>
  <c r="E6862" i="1"/>
  <c r="F6861" i="1"/>
  <c r="E6861" i="1"/>
  <c r="F6860" i="1"/>
  <c r="E6860" i="1"/>
  <c r="F6859" i="1"/>
  <c r="E6859" i="1"/>
  <c r="F6858" i="1"/>
  <c r="E6858" i="1"/>
  <c r="F6857" i="1"/>
  <c r="E6857" i="1"/>
  <c r="F6856" i="1"/>
  <c r="E6856" i="1"/>
  <c r="F6855" i="1"/>
  <c r="E6855" i="1"/>
  <c r="F6854" i="1"/>
  <c r="E6854" i="1"/>
  <c r="F6853" i="1"/>
  <c r="E6853" i="1"/>
  <c r="F6852" i="1"/>
  <c r="E6852" i="1"/>
  <c r="F6851" i="1"/>
  <c r="E6851" i="1"/>
  <c r="F6850" i="1"/>
  <c r="E6850" i="1"/>
  <c r="F6849" i="1"/>
  <c r="E6849" i="1"/>
  <c r="F6848" i="1"/>
  <c r="F6847" i="1"/>
  <c r="E6847" i="1"/>
  <c r="F6846" i="1"/>
  <c r="E6846" i="1"/>
  <c r="F6845" i="1"/>
  <c r="E6845" i="1"/>
  <c r="F6844" i="1"/>
  <c r="E6844" i="1"/>
  <c r="F6843" i="1"/>
  <c r="E6843" i="1"/>
  <c r="F6842" i="1"/>
  <c r="E6842" i="1"/>
  <c r="F6841" i="1"/>
  <c r="E6841" i="1"/>
  <c r="F6840" i="1"/>
  <c r="E6840" i="1"/>
  <c r="F6839" i="1"/>
  <c r="E6839" i="1"/>
  <c r="F6838" i="1"/>
  <c r="E6838" i="1"/>
  <c r="F6837" i="1"/>
  <c r="E6837" i="1"/>
  <c r="F6836" i="1"/>
  <c r="E6836" i="1"/>
  <c r="F6835" i="1"/>
  <c r="E6835" i="1"/>
  <c r="F6834" i="1"/>
  <c r="E6834" i="1"/>
  <c r="F6833" i="1"/>
  <c r="E6833" i="1"/>
  <c r="F6832" i="1"/>
  <c r="E6832" i="1"/>
  <c r="F6831" i="1"/>
  <c r="E6831" i="1"/>
  <c r="F6830" i="1"/>
  <c r="E6830" i="1"/>
  <c r="F6829" i="1"/>
  <c r="E6829" i="1"/>
  <c r="F6828" i="1"/>
  <c r="E6828" i="1"/>
  <c r="F6827" i="1"/>
  <c r="E6827" i="1"/>
  <c r="F6826" i="1"/>
  <c r="E6826" i="1"/>
  <c r="F6825" i="1"/>
  <c r="E6825" i="1"/>
  <c r="F6824" i="1"/>
  <c r="E6824" i="1"/>
  <c r="F6823" i="1"/>
  <c r="E6823" i="1"/>
  <c r="F6822" i="1"/>
  <c r="E6822" i="1"/>
  <c r="F6821" i="1"/>
  <c r="E6821" i="1"/>
  <c r="F6820" i="1"/>
  <c r="E6820" i="1"/>
  <c r="F6819" i="1"/>
  <c r="E6819" i="1"/>
  <c r="F6818" i="1"/>
  <c r="E6818" i="1"/>
  <c r="F6817" i="1"/>
  <c r="E6817" i="1"/>
  <c r="F6816" i="1"/>
  <c r="E6816" i="1"/>
  <c r="F6815" i="1"/>
  <c r="E6815" i="1"/>
  <c r="F6814" i="1"/>
  <c r="F6813" i="1"/>
  <c r="F6812" i="1"/>
  <c r="F6811" i="1"/>
  <c r="E6811" i="1"/>
  <c r="F6810" i="1"/>
  <c r="E6810" i="1"/>
  <c r="F6809" i="1"/>
  <c r="E6809" i="1"/>
  <c r="F6808" i="1"/>
  <c r="E6808" i="1"/>
  <c r="F6807" i="1"/>
  <c r="E6807" i="1"/>
  <c r="F6806" i="1"/>
  <c r="E6806" i="1"/>
  <c r="F6805" i="1"/>
  <c r="E6805" i="1"/>
  <c r="F6804" i="1"/>
  <c r="E6804" i="1"/>
  <c r="F6803" i="1"/>
  <c r="E6803" i="1"/>
  <c r="F6802" i="1"/>
  <c r="E6802" i="1"/>
  <c r="F6801" i="1"/>
  <c r="E6801" i="1"/>
  <c r="F6800" i="1"/>
  <c r="E6800" i="1"/>
  <c r="F6799" i="1"/>
  <c r="E6799" i="1"/>
  <c r="F6798" i="1"/>
  <c r="E6798" i="1"/>
  <c r="F6797" i="1"/>
  <c r="E6797" i="1"/>
  <c r="F6796" i="1"/>
  <c r="E6796" i="1"/>
  <c r="F6795" i="1"/>
  <c r="E6795" i="1"/>
  <c r="F6794" i="1"/>
  <c r="E6794" i="1"/>
  <c r="F6793" i="1"/>
  <c r="E6793" i="1"/>
  <c r="F6792" i="1"/>
  <c r="E6792" i="1"/>
  <c r="F6791" i="1"/>
  <c r="E6791" i="1"/>
  <c r="F6790" i="1"/>
  <c r="E6790" i="1"/>
  <c r="F6789" i="1"/>
  <c r="E6789" i="1"/>
  <c r="F6788" i="1"/>
  <c r="E6788" i="1"/>
  <c r="F6787" i="1"/>
  <c r="E6787" i="1"/>
  <c r="F6786" i="1"/>
  <c r="E6786" i="1"/>
  <c r="F6785" i="1"/>
  <c r="E6785" i="1"/>
  <c r="F6784" i="1"/>
  <c r="E6784" i="1"/>
  <c r="F6783" i="1"/>
  <c r="E6783" i="1"/>
  <c r="F6782" i="1"/>
  <c r="F6781" i="1"/>
  <c r="E6781" i="1"/>
  <c r="F6780" i="1"/>
  <c r="E6780" i="1"/>
  <c r="F6779" i="1"/>
  <c r="E6779" i="1"/>
  <c r="F6778" i="1"/>
  <c r="E6778" i="1"/>
  <c r="F6777" i="1"/>
  <c r="F6776" i="1"/>
  <c r="E6776" i="1"/>
  <c r="F6775" i="1"/>
  <c r="E6775" i="1"/>
  <c r="F6774" i="1"/>
  <c r="E6774" i="1"/>
  <c r="F6773" i="1"/>
  <c r="E6773" i="1"/>
  <c r="F6772" i="1"/>
  <c r="E6772" i="1"/>
  <c r="F6771" i="1"/>
  <c r="E6771" i="1"/>
  <c r="F6770" i="1"/>
  <c r="E6770" i="1"/>
  <c r="F6769" i="1"/>
  <c r="E6769" i="1"/>
  <c r="F6768" i="1"/>
  <c r="E6768" i="1"/>
  <c r="F6767" i="1"/>
  <c r="E6767" i="1"/>
  <c r="F6766" i="1"/>
  <c r="E6766" i="1"/>
  <c r="F6765" i="1"/>
  <c r="E6765" i="1"/>
  <c r="F6764" i="1"/>
  <c r="E6764" i="1"/>
  <c r="F6763" i="1"/>
  <c r="F6762" i="1"/>
  <c r="F6761" i="1"/>
  <c r="F6760" i="1"/>
  <c r="E6760" i="1"/>
  <c r="F6759" i="1"/>
  <c r="E6759" i="1"/>
  <c r="F6758" i="1"/>
  <c r="E6758" i="1"/>
  <c r="F6757" i="1"/>
  <c r="E6757" i="1"/>
  <c r="F6756" i="1"/>
  <c r="E6756" i="1"/>
  <c r="F6755" i="1"/>
  <c r="F6754" i="1"/>
  <c r="E6754" i="1"/>
  <c r="F6753" i="1"/>
  <c r="E6753" i="1"/>
  <c r="F6752" i="1"/>
  <c r="E6752" i="1"/>
  <c r="F6751" i="1"/>
  <c r="E6751" i="1"/>
  <c r="F6750" i="1"/>
  <c r="E6750" i="1"/>
  <c r="F6749" i="1"/>
  <c r="E6749" i="1"/>
  <c r="F6748" i="1"/>
  <c r="E6748" i="1"/>
  <c r="F6747" i="1"/>
  <c r="E6747" i="1"/>
  <c r="F6746" i="1"/>
  <c r="E6746" i="1"/>
  <c r="F6745" i="1"/>
  <c r="E6745" i="1"/>
  <c r="F6744" i="1"/>
  <c r="E6744" i="1"/>
  <c r="F6743" i="1"/>
  <c r="E6743" i="1"/>
  <c r="F6742" i="1"/>
  <c r="E6742" i="1"/>
  <c r="F6741" i="1"/>
  <c r="E6741" i="1"/>
  <c r="F6740" i="1"/>
  <c r="E6740" i="1"/>
  <c r="F6739" i="1"/>
  <c r="E6739" i="1"/>
  <c r="F6738" i="1"/>
  <c r="E6738" i="1"/>
  <c r="F6737" i="1"/>
  <c r="E6737" i="1"/>
  <c r="F6736" i="1"/>
  <c r="F6735" i="1"/>
  <c r="F6734" i="1"/>
  <c r="E6734" i="1"/>
  <c r="F6733" i="1"/>
  <c r="E6733" i="1"/>
  <c r="F6732" i="1"/>
  <c r="E6732" i="1"/>
  <c r="F6731" i="1"/>
  <c r="E6731" i="1"/>
  <c r="F6730" i="1"/>
  <c r="E6730" i="1"/>
  <c r="F6729" i="1"/>
  <c r="F6728" i="1"/>
  <c r="F6727" i="1"/>
  <c r="F6726" i="1"/>
  <c r="F6725" i="1"/>
  <c r="F6724" i="1"/>
  <c r="F6723" i="1"/>
  <c r="F6722" i="1"/>
  <c r="F6721" i="1"/>
  <c r="F6720" i="1"/>
  <c r="F6719" i="1"/>
  <c r="F6718" i="1"/>
  <c r="F6717" i="1"/>
  <c r="F6716" i="1"/>
  <c r="F6715" i="1"/>
  <c r="F6714" i="1"/>
  <c r="F6713" i="1"/>
  <c r="F6712" i="1"/>
  <c r="F6711" i="1"/>
  <c r="F6710" i="1"/>
  <c r="F6709" i="1"/>
  <c r="F6708" i="1"/>
  <c r="F6707" i="1"/>
  <c r="F6706" i="1"/>
  <c r="F6705" i="1"/>
  <c r="F6704" i="1"/>
  <c r="F6703" i="1"/>
  <c r="F6702" i="1"/>
  <c r="F6701" i="1"/>
  <c r="F6700" i="1"/>
  <c r="F6699" i="1"/>
  <c r="F6698" i="1"/>
  <c r="F6697" i="1"/>
  <c r="F6696" i="1"/>
  <c r="F6695" i="1"/>
  <c r="F6694" i="1"/>
  <c r="F6693" i="1"/>
  <c r="F6692" i="1"/>
  <c r="F6691" i="1"/>
  <c r="F6690" i="1"/>
  <c r="F6689" i="1"/>
  <c r="F6688" i="1"/>
  <c r="F6687" i="1"/>
  <c r="F6686" i="1"/>
  <c r="F6685" i="1"/>
  <c r="F6684" i="1"/>
  <c r="F6683" i="1"/>
  <c r="E6683" i="1"/>
  <c r="F6682" i="1"/>
  <c r="F6681" i="1"/>
  <c r="E6681" i="1"/>
  <c r="F6680" i="1"/>
  <c r="E6680" i="1"/>
  <c r="F6679" i="1"/>
  <c r="E6679" i="1"/>
  <c r="F6678" i="1"/>
  <c r="E6678" i="1"/>
  <c r="F6677" i="1"/>
  <c r="E6677" i="1"/>
  <c r="F6676" i="1"/>
  <c r="E6676" i="1"/>
  <c r="F6675" i="1"/>
  <c r="E6675" i="1"/>
  <c r="F6674" i="1"/>
  <c r="E6674" i="1"/>
  <c r="F6673" i="1"/>
  <c r="E6673" i="1"/>
  <c r="F6672" i="1"/>
  <c r="E6672" i="1"/>
  <c r="F6671" i="1"/>
  <c r="E6671" i="1"/>
  <c r="F6670" i="1"/>
  <c r="E6670" i="1"/>
  <c r="F6669" i="1"/>
  <c r="E6669" i="1"/>
  <c r="F6668" i="1"/>
  <c r="E6668" i="1"/>
  <c r="F6667" i="1"/>
  <c r="E6667" i="1"/>
  <c r="F6666" i="1"/>
  <c r="E6666" i="1"/>
  <c r="F6665" i="1"/>
  <c r="E6665" i="1"/>
  <c r="F6664" i="1"/>
  <c r="E6664" i="1"/>
  <c r="F6663" i="1"/>
  <c r="E6663" i="1"/>
  <c r="F6662" i="1"/>
  <c r="E6662" i="1"/>
  <c r="F6661" i="1"/>
  <c r="E6661" i="1"/>
  <c r="F6660" i="1"/>
  <c r="E6660" i="1"/>
  <c r="F6659" i="1"/>
  <c r="E6659" i="1"/>
  <c r="F6658" i="1"/>
  <c r="E6658" i="1"/>
  <c r="F6657" i="1"/>
  <c r="E6657" i="1"/>
  <c r="F6656" i="1"/>
  <c r="E6656" i="1"/>
  <c r="F6655" i="1"/>
  <c r="E6655" i="1"/>
  <c r="F6654" i="1"/>
  <c r="E6654" i="1"/>
  <c r="F6653" i="1"/>
  <c r="E6653" i="1"/>
  <c r="F6652" i="1"/>
  <c r="E6652" i="1"/>
  <c r="F6651" i="1"/>
  <c r="E6651" i="1"/>
  <c r="F6650" i="1"/>
  <c r="E6650" i="1"/>
  <c r="F6649" i="1"/>
  <c r="E6649" i="1"/>
  <c r="F6648" i="1"/>
  <c r="E6648" i="1"/>
  <c r="F6647" i="1"/>
  <c r="E6647" i="1"/>
  <c r="F6646" i="1"/>
  <c r="E6646" i="1"/>
  <c r="F6645" i="1"/>
  <c r="E6645" i="1"/>
  <c r="F6644" i="1"/>
  <c r="E6644" i="1"/>
  <c r="F6643" i="1"/>
  <c r="E6643" i="1"/>
  <c r="F6642" i="1"/>
  <c r="E6642" i="1"/>
  <c r="F6641" i="1"/>
  <c r="E6641" i="1"/>
  <c r="F6640" i="1"/>
  <c r="E6640" i="1"/>
  <c r="F6639" i="1"/>
  <c r="E6639" i="1"/>
  <c r="F6638" i="1"/>
  <c r="E6638" i="1"/>
  <c r="F6637" i="1"/>
  <c r="E6637" i="1"/>
  <c r="F6636" i="1"/>
  <c r="E6636" i="1"/>
  <c r="F6635" i="1"/>
  <c r="E6635" i="1"/>
  <c r="F6634" i="1"/>
  <c r="E6634" i="1"/>
  <c r="F6633" i="1"/>
  <c r="E6633" i="1"/>
  <c r="F6632" i="1"/>
  <c r="E6632" i="1"/>
  <c r="F6631" i="1"/>
  <c r="E6631" i="1"/>
  <c r="F6630" i="1"/>
  <c r="E6630" i="1"/>
  <c r="F6629" i="1"/>
  <c r="E6629" i="1"/>
  <c r="F6628" i="1"/>
  <c r="E6628" i="1"/>
  <c r="F6627" i="1"/>
  <c r="E6627" i="1"/>
  <c r="F6626" i="1"/>
  <c r="E6626" i="1"/>
  <c r="F6625" i="1"/>
  <c r="E6625" i="1"/>
  <c r="F6624" i="1"/>
  <c r="E6624" i="1"/>
  <c r="F6623" i="1"/>
  <c r="E6623" i="1"/>
  <c r="F6622" i="1"/>
  <c r="E6622" i="1"/>
  <c r="F6621" i="1"/>
  <c r="E6621" i="1"/>
  <c r="F6620" i="1"/>
  <c r="E6620" i="1"/>
  <c r="F6619" i="1"/>
  <c r="E6619" i="1"/>
  <c r="F6618" i="1"/>
  <c r="E6618" i="1"/>
  <c r="F6617" i="1"/>
  <c r="E6617" i="1"/>
  <c r="F6616" i="1"/>
  <c r="E6616" i="1"/>
  <c r="F6615" i="1"/>
  <c r="E6615" i="1"/>
  <c r="F6614" i="1"/>
  <c r="E6614" i="1"/>
  <c r="F6613" i="1"/>
  <c r="E6613" i="1"/>
  <c r="F6612" i="1"/>
  <c r="E6612" i="1"/>
  <c r="F6611" i="1"/>
  <c r="E6611" i="1"/>
  <c r="F6610" i="1"/>
  <c r="E6610" i="1"/>
  <c r="F6609" i="1"/>
  <c r="E6609" i="1"/>
  <c r="F6608" i="1"/>
  <c r="E6608" i="1"/>
  <c r="F6607" i="1"/>
  <c r="E6607" i="1"/>
  <c r="F6606" i="1"/>
  <c r="E6606" i="1"/>
  <c r="F6605" i="1"/>
  <c r="E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2" i="1"/>
  <c r="F6591" i="1"/>
  <c r="F6590" i="1"/>
  <c r="E6590" i="1"/>
  <c r="F6589" i="1"/>
  <c r="E6589" i="1"/>
  <c r="F6588" i="1"/>
  <c r="E6588" i="1"/>
  <c r="F6587" i="1"/>
  <c r="E6587" i="1"/>
  <c r="F6586" i="1"/>
  <c r="E6586" i="1"/>
  <c r="F6585" i="1"/>
  <c r="E6585" i="1"/>
  <c r="F6584" i="1"/>
  <c r="E6584" i="1"/>
  <c r="F6583" i="1"/>
  <c r="E6583" i="1"/>
  <c r="F6582" i="1"/>
  <c r="E6582" i="1"/>
  <c r="F6581" i="1"/>
  <c r="E6581" i="1"/>
  <c r="F6580" i="1"/>
  <c r="F6579" i="1"/>
  <c r="E6579" i="1"/>
  <c r="F6578" i="1"/>
  <c r="E6578" i="1"/>
  <c r="F6577" i="1"/>
  <c r="E6577" i="1"/>
  <c r="F6576" i="1"/>
  <c r="E6576" i="1"/>
  <c r="F6575" i="1"/>
  <c r="E6575" i="1"/>
  <c r="F6574" i="1"/>
  <c r="E6574" i="1"/>
  <c r="F6573" i="1"/>
  <c r="E6573" i="1"/>
  <c r="F6572" i="1"/>
  <c r="E6572" i="1"/>
  <c r="F6571" i="1"/>
  <c r="E6571" i="1"/>
  <c r="F6570" i="1"/>
  <c r="E6570" i="1"/>
  <c r="F6569" i="1"/>
  <c r="E6569" i="1"/>
  <c r="F6568" i="1"/>
  <c r="E6568" i="1"/>
  <c r="F6567" i="1"/>
  <c r="E6567" i="1"/>
  <c r="F6566" i="1"/>
  <c r="E6566" i="1"/>
  <c r="F6565" i="1"/>
  <c r="E6565" i="1"/>
  <c r="F6564" i="1"/>
  <c r="E6564" i="1"/>
  <c r="F6563" i="1"/>
  <c r="E6563" i="1"/>
  <c r="F6562" i="1"/>
  <c r="E6562" i="1"/>
  <c r="F6561" i="1"/>
  <c r="E6561" i="1"/>
  <c r="F6560" i="1"/>
  <c r="E6560" i="1"/>
  <c r="F6559" i="1"/>
  <c r="E6559" i="1"/>
  <c r="F6558" i="1"/>
  <c r="E6558" i="1"/>
  <c r="F6557" i="1"/>
  <c r="E6557" i="1"/>
  <c r="F6556" i="1"/>
  <c r="E6556" i="1"/>
  <c r="F6555" i="1"/>
  <c r="E6555" i="1"/>
  <c r="F6554" i="1"/>
  <c r="E6554" i="1"/>
  <c r="F6553" i="1"/>
  <c r="E6553" i="1"/>
  <c r="F6552" i="1"/>
  <c r="E6552" i="1"/>
  <c r="F6551" i="1"/>
  <c r="E6551" i="1"/>
  <c r="F6550" i="1"/>
  <c r="E6550" i="1"/>
  <c r="F6549" i="1"/>
  <c r="E6549" i="1"/>
  <c r="F6548" i="1"/>
  <c r="E6548" i="1"/>
  <c r="F6547" i="1"/>
  <c r="E6547" i="1"/>
  <c r="F6546" i="1"/>
  <c r="E6546" i="1"/>
  <c r="F6545" i="1"/>
  <c r="F6544" i="1"/>
  <c r="E6544" i="1"/>
  <c r="F6543" i="1"/>
  <c r="E6543" i="1"/>
  <c r="F6542" i="1"/>
  <c r="E6542" i="1"/>
  <c r="F6541" i="1"/>
  <c r="E6541" i="1"/>
  <c r="F6540" i="1"/>
  <c r="E6540" i="1"/>
  <c r="F6539" i="1"/>
  <c r="E6539" i="1"/>
  <c r="F6538" i="1"/>
  <c r="E6538" i="1"/>
  <c r="F6537" i="1"/>
  <c r="E6537" i="1"/>
  <c r="F6536" i="1"/>
  <c r="E6536" i="1"/>
  <c r="F6535" i="1"/>
  <c r="E6535" i="1"/>
  <c r="F6534" i="1"/>
  <c r="E6534" i="1"/>
  <c r="F6533" i="1"/>
  <c r="E6533" i="1"/>
  <c r="F6532" i="1"/>
  <c r="E6532" i="1"/>
  <c r="F6531" i="1"/>
  <c r="E6531" i="1"/>
  <c r="F6530" i="1"/>
  <c r="E6530" i="1"/>
  <c r="F6529" i="1"/>
  <c r="E6529" i="1"/>
  <c r="F6528" i="1"/>
  <c r="E6528" i="1"/>
  <c r="F6527" i="1"/>
  <c r="E6527" i="1"/>
  <c r="F6526" i="1"/>
  <c r="E6526" i="1"/>
  <c r="F6525" i="1"/>
  <c r="E6525" i="1"/>
  <c r="F6524" i="1"/>
  <c r="E6524" i="1"/>
  <c r="F6523" i="1"/>
  <c r="E6523" i="1"/>
  <c r="F6522" i="1"/>
  <c r="E6522" i="1"/>
  <c r="F6521" i="1"/>
  <c r="E6521" i="1"/>
  <c r="F6520" i="1"/>
  <c r="E6520" i="1"/>
  <c r="F6519" i="1"/>
  <c r="E6519" i="1"/>
  <c r="F6518" i="1"/>
  <c r="F6517" i="1"/>
  <c r="E6517" i="1"/>
  <c r="F6516" i="1"/>
  <c r="E6516" i="1"/>
  <c r="F6515" i="1"/>
  <c r="E6515" i="1"/>
  <c r="F6514" i="1"/>
  <c r="E6514" i="1"/>
  <c r="F6513" i="1"/>
  <c r="E6513" i="1"/>
  <c r="F6512" i="1"/>
  <c r="E6512" i="1"/>
  <c r="F6511" i="1"/>
  <c r="E6511" i="1"/>
  <c r="F6510" i="1"/>
  <c r="E6510" i="1"/>
  <c r="F6509" i="1"/>
  <c r="E6509" i="1"/>
  <c r="F6508" i="1"/>
  <c r="E6508" i="1"/>
  <c r="F6507" i="1"/>
  <c r="E6507" i="1"/>
  <c r="F6506" i="1"/>
  <c r="E6506" i="1"/>
  <c r="F6505" i="1"/>
  <c r="E6505" i="1"/>
  <c r="F6504" i="1"/>
  <c r="E6504" i="1"/>
  <c r="F6503" i="1"/>
  <c r="E6503" i="1"/>
  <c r="F6502" i="1"/>
  <c r="E6502" i="1"/>
  <c r="F6501" i="1"/>
  <c r="E6501" i="1"/>
  <c r="F6500" i="1"/>
  <c r="E6500" i="1"/>
  <c r="F6499" i="1"/>
  <c r="E6499" i="1"/>
  <c r="F6498" i="1"/>
  <c r="E6498" i="1"/>
  <c r="F6497" i="1"/>
  <c r="E6497" i="1"/>
  <c r="F6496" i="1"/>
  <c r="E6496" i="1"/>
  <c r="F6495" i="1"/>
  <c r="F6494" i="1"/>
  <c r="E6494" i="1"/>
  <c r="F6493" i="1"/>
  <c r="E6493" i="1"/>
  <c r="F6492" i="1"/>
  <c r="E6492" i="1"/>
  <c r="F6491" i="1"/>
  <c r="E6491" i="1"/>
  <c r="F6490" i="1"/>
  <c r="E6490" i="1"/>
  <c r="F6489" i="1"/>
  <c r="E6489" i="1"/>
  <c r="F6488" i="1"/>
  <c r="E6488" i="1"/>
  <c r="F6487" i="1"/>
  <c r="E6487" i="1"/>
  <c r="F6486" i="1"/>
  <c r="F6485" i="1"/>
  <c r="E6485" i="1"/>
  <c r="F6484" i="1"/>
  <c r="E6484" i="1"/>
  <c r="F6483" i="1"/>
  <c r="E6483" i="1"/>
  <c r="F6482" i="1"/>
  <c r="E6482" i="1"/>
  <c r="F6481" i="1"/>
  <c r="E6481" i="1"/>
  <c r="F6480" i="1"/>
  <c r="E6480" i="1"/>
  <c r="F6479" i="1"/>
  <c r="E6479" i="1"/>
  <c r="F6478" i="1"/>
  <c r="E6478" i="1"/>
  <c r="F6477" i="1"/>
  <c r="E6477" i="1"/>
  <c r="F6476" i="1"/>
  <c r="E6476" i="1"/>
  <c r="F6475" i="1"/>
  <c r="E6475" i="1"/>
  <c r="F6474" i="1"/>
  <c r="E6474" i="1"/>
  <c r="F6473" i="1"/>
  <c r="E6473" i="1"/>
  <c r="F6472" i="1"/>
  <c r="E6472" i="1"/>
  <c r="F6471" i="1"/>
  <c r="E6471" i="1"/>
  <c r="F6470" i="1"/>
  <c r="E6470" i="1"/>
  <c r="F6469" i="1"/>
  <c r="E6469" i="1"/>
  <c r="F6468" i="1"/>
  <c r="E6468" i="1"/>
  <c r="F6467" i="1"/>
  <c r="E6467" i="1"/>
  <c r="F6466" i="1"/>
  <c r="E6466" i="1"/>
  <c r="F6465" i="1"/>
  <c r="E6465" i="1"/>
  <c r="F6464" i="1"/>
  <c r="E6464" i="1"/>
  <c r="F6463" i="1"/>
  <c r="E6463" i="1"/>
  <c r="F6462" i="1"/>
  <c r="E6462" i="1"/>
  <c r="F6461" i="1"/>
  <c r="E6461" i="1"/>
  <c r="F6460" i="1"/>
  <c r="E6460" i="1"/>
  <c r="F6459" i="1"/>
  <c r="E6459" i="1"/>
  <c r="F6458" i="1"/>
  <c r="E6458" i="1"/>
  <c r="F6457" i="1"/>
  <c r="E6457" i="1"/>
  <c r="F6456" i="1"/>
  <c r="E6456" i="1"/>
  <c r="F6455" i="1"/>
  <c r="E6455" i="1"/>
  <c r="F6454" i="1"/>
  <c r="E6454" i="1"/>
  <c r="F6453" i="1"/>
  <c r="E6453" i="1"/>
  <c r="F6452" i="1"/>
  <c r="E6452" i="1"/>
  <c r="F6451" i="1"/>
  <c r="E6451" i="1"/>
  <c r="F6450" i="1"/>
  <c r="E6450" i="1"/>
  <c r="F6449" i="1"/>
  <c r="E6449" i="1"/>
  <c r="F6448" i="1"/>
  <c r="E6448" i="1"/>
  <c r="F6447" i="1"/>
  <c r="E6447" i="1"/>
  <c r="F6446" i="1"/>
  <c r="E6446" i="1"/>
  <c r="F6445" i="1"/>
  <c r="E6445" i="1"/>
  <c r="F6444" i="1"/>
  <c r="E6444" i="1"/>
  <c r="F6443" i="1"/>
  <c r="E6443" i="1"/>
  <c r="F6442" i="1"/>
  <c r="E6442" i="1"/>
  <c r="F6441" i="1"/>
  <c r="E6441" i="1"/>
  <c r="F6440" i="1"/>
  <c r="E6440" i="1"/>
  <c r="F6439" i="1"/>
  <c r="E6439" i="1"/>
  <c r="F6438" i="1"/>
  <c r="E6438" i="1"/>
  <c r="F6437" i="1"/>
  <c r="E6437" i="1"/>
  <c r="F6436" i="1"/>
  <c r="E6436" i="1"/>
  <c r="F6435" i="1"/>
  <c r="E6435" i="1"/>
  <c r="F6434" i="1"/>
  <c r="E6434" i="1"/>
  <c r="F6433" i="1"/>
  <c r="E6433" i="1"/>
  <c r="F6432" i="1"/>
  <c r="E6432" i="1"/>
  <c r="F6431" i="1"/>
  <c r="E6431" i="1"/>
  <c r="F6430" i="1"/>
  <c r="E6430" i="1"/>
  <c r="F6429" i="1"/>
  <c r="E6429" i="1"/>
  <c r="F6428" i="1"/>
  <c r="E6428" i="1"/>
  <c r="F6427" i="1"/>
  <c r="E6427" i="1"/>
  <c r="F6426" i="1"/>
  <c r="E6426" i="1"/>
  <c r="F6425" i="1"/>
  <c r="E6425" i="1"/>
  <c r="F6424" i="1"/>
  <c r="E6424" i="1"/>
  <c r="F6423" i="1"/>
  <c r="E6423" i="1"/>
  <c r="F6422" i="1"/>
  <c r="E6422" i="1"/>
  <c r="F6421" i="1"/>
  <c r="E6421" i="1"/>
  <c r="F6420" i="1"/>
  <c r="E6420" i="1"/>
  <c r="F6419" i="1"/>
  <c r="E6419" i="1"/>
  <c r="F6418" i="1"/>
  <c r="E6418" i="1"/>
  <c r="F6417" i="1"/>
  <c r="E6417" i="1"/>
  <c r="F6416" i="1"/>
  <c r="E6416" i="1"/>
  <c r="F6415" i="1"/>
  <c r="E6415" i="1"/>
  <c r="F6414" i="1"/>
  <c r="E6414" i="1"/>
  <c r="F6413" i="1"/>
  <c r="F6412" i="1"/>
  <c r="E6412" i="1"/>
  <c r="F6411" i="1"/>
  <c r="E6411" i="1"/>
  <c r="F6410" i="1"/>
  <c r="E6410" i="1"/>
  <c r="F6409" i="1"/>
  <c r="E6409" i="1"/>
  <c r="F6408" i="1"/>
  <c r="E6408" i="1"/>
  <c r="F6407" i="1"/>
  <c r="F6406" i="1"/>
  <c r="E6406" i="1"/>
  <c r="F6405" i="1"/>
  <c r="E6405" i="1"/>
  <c r="F6404" i="1"/>
  <c r="E6404" i="1"/>
  <c r="F6403" i="1"/>
  <c r="F6402" i="1"/>
  <c r="F6401" i="1"/>
  <c r="E6401" i="1"/>
  <c r="F6400" i="1"/>
  <c r="E6400" i="1"/>
  <c r="F6399" i="1"/>
  <c r="E6399" i="1"/>
  <c r="F6398" i="1"/>
  <c r="E6398" i="1"/>
  <c r="F6397" i="1"/>
  <c r="E6397" i="1"/>
  <c r="F6396" i="1"/>
  <c r="E6396" i="1"/>
  <c r="F6395" i="1"/>
  <c r="E6395" i="1"/>
  <c r="F6394" i="1"/>
  <c r="E6394" i="1"/>
  <c r="F6393" i="1"/>
  <c r="E6393" i="1"/>
  <c r="F6392" i="1"/>
  <c r="E6392" i="1"/>
  <c r="F6391" i="1"/>
  <c r="F6390" i="1"/>
  <c r="E6390" i="1"/>
  <c r="F6389" i="1"/>
  <c r="E6389" i="1"/>
  <c r="F6388" i="1"/>
  <c r="E6388" i="1"/>
  <c r="F6387" i="1"/>
  <c r="E6387" i="1"/>
  <c r="F6386" i="1"/>
  <c r="E6386" i="1"/>
  <c r="F6385" i="1"/>
  <c r="E6385" i="1"/>
  <c r="F6384" i="1"/>
  <c r="E6384" i="1"/>
  <c r="F6383" i="1"/>
  <c r="E6383" i="1"/>
  <c r="F6382" i="1"/>
  <c r="E6382" i="1"/>
  <c r="F6381" i="1"/>
  <c r="E6381" i="1"/>
  <c r="F6380" i="1"/>
  <c r="E6380" i="1"/>
  <c r="F6379" i="1"/>
  <c r="E6379" i="1"/>
  <c r="F6378" i="1"/>
  <c r="E6378" i="1"/>
  <c r="F6377" i="1"/>
  <c r="E6377" i="1"/>
  <c r="F6376" i="1"/>
  <c r="E6376" i="1"/>
  <c r="F6375" i="1"/>
  <c r="E6375" i="1"/>
  <c r="F6374" i="1"/>
  <c r="E6374" i="1"/>
  <c r="F6373" i="1"/>
  <c r="E6373" i="1"/>
  <c r="F6372" i="1"/>
  <c r="E6372" i="1"/>
  <c r="F6371" i="1"/>
  <c r="E6371" i="1"/>
  <c r="F6370" i="1"/>
  <c r="E6370" i="1"/>
  <c r="F6369" i="1"/>
  <c r="E6369" i="1"/>
  <c r="F6368" i="1"/>
  <c r="E6368" i="1"/>
  <c r="F6367" i="1"/>
  <c r="E6367" i="1"/>
  <c r="F6366" i="1"/>
  <c r="E6366" i="1"/>
  <c r="F6365" i="1"/>
  <c r="E6365" i="1"/>
  <c r="F6364" i="1"/>
  <c r="E6364" i="1"/>
  <c r="F6363" i="1"/>
  <c r="E6363" i="1"/>
  <c r="F6362" i="1"/>
  <c r="E6362" i="1"/>
  <c r="F6361" i="1"/>
  <c r="E6361" i="1"/>
  <c r="F6360" i="1"/>
  <c r="E6360" i="1"/>
  <c r="F6359" i="1"/>
  <c r="E6359" i="1"/>
  <c r="F6358" i="1"/>
  <c r="E6358" i="1"/>
  <c r="F6357" i="1"/>
  <c r="E6357" i="1"/>
  <c r="F6356" i="1"/>
  <c r="E6356" i="1"/>
  <c r="F6355" i="1"/>
  <c r="E6355" i="1"/>
  <c r="F6354" i="1"/>
  <c r="E6354" i="1"/>
  <c r="F6353" i="1"/>
  <c r="E6353" i="1"/>
  <c r="F6352" i="1"/>
  <c r="E6352" i="1"/>
  <c r="F6351" i="1"/>
  <c r="E6351" i="1"/>
  <c r="F6350" i="1"/>
  <c r="E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E6323" i="1"/>
  <c r="F6322" i="1"/>
  <c r="F6321" i="1"/>
  <c r="F6320" i="1"/>
  <c r="F6319" i="1"/>
  <c r="F6318" i="1"/>
  <c r="F6317" i="1"/>
  <c r="E6317" i="1"/>
  <c r="F6316" i="1"/>
  <c r="E6316" i="1"/>
  <c r="F6315" i="1"/>
  <c r="E6315" i="1"/>
  <c r="F6314" i="1"/>
  <c r="E6314" i="1"/>
  <c r="F6313" i="1"/>
  <c r="E6313" i="1"/>
  <c r="F6312" i="1"/>
  <c r="E6312" i="1"/>
  <c r="F6311" i="1"/>
  <c r="E6311" i="1"/>
  <c r="F6310" i="1"/>
  <c r="E6310" i="1"/>
  <c r="F6309" i="1"/>
  <c r="E6309" i="1"/>
  <c r="F6308" i="1"/>
  <c r="E6308" i="1"/>
  <c r="F6307" i="1"/>
  <c r="E6307" i="1"/>
  <c r="F6306" i="1"/>
  <c r="E6306" i="1"/>
  <c r="F6305" i="1"/>
  <c r="E6305" i="1"/>
  <c r="F6304" i="1"/>
  <c r="E6304" i="1"/>
  <c r="F6303" i="1"/>
  <c r="F6302" i="1"/>
  <c r="E6302" i="1"/>
  <c r="F6301" i="1"/>
  <c r="E6301" i="1"/>
  <c r="F6300" i="1"/>
  <c r="E6300" i="1"/>
  <c r="F6299" i="1"/>
  <c r="E6299" i="1"/>
  <c r="F6298" i="1"/>
  <c r="E6298" i="1"/>
  <c r="F6297" i="1"/>
  <c r="E6297" i="1"/>
  <c r="F6296" i="1"/>
  <c r="E6296" i="1"/>
  <c r="F6295" i="1"/>
  <c r="E6295" i="1"/>
  <c r="F6294" i="1"/>
  <c r="E6294" i="1"/>
  <c r="F6293" i="1"/>
  <c r="E6293" i="1"/>
  <c r="F6292" i="1"/>
  <c r="E6292" i="1"/>
  <c r="F6291" i="1"/>
  <c r="E6291" i="1"/>
  <c r="F6290" i="1"/>
  <c r="E6290" i="1"/>
  <c r="F6289" i="1"/>
  <c r="E6289" i="1"/>
  <c r="F6288" i="1"/>
  <c r="E6288" i="1"/>
  <c r="F6287" i="1"/>
  <c r="E6287" i="1"/>
  <c r="F6286" i="1"/>
  <c r="E6286" i="1"/>
  <c r="F6285" i="1"/>
  <c r="E6285" i="1"/>
  <c r="F6284" i="1"/>
  <c r="E6284" i="1"/>
  <c r="F6283" i="1"/>
  <c r="E6283" i="1"/>
  <c r="F6282" i="1"/>
  <c r="E6282" i="1"/>
  <c r="F6281" i="1"/>
  <c r="E6281" i="1"/>
  <c r="F6280" i="1"/>
  <c r="E6280" i="1"/>
  <c r="F6279" i="1"/>
  <c r="E6279" i="1"/>
  <c r="F6278" i="1"/>
  <c r="E6278" i="1"/>
  <c r="F6277" i="1"/>
  <c r="E6277" i="1"/>
  <c r="F6276" i="1"/>
  <c r="E6276" i="1"/>
  <c r="F6275" i="1"/>
  <c r="E6275" i="1"/>
  <c r="F6274" i="1"/>
  <c r="E6274" i="1"/>
  <c r="F6273" i="1"/>
  <c r="E6273" i="1"/>
  <c r="F6272" i="1"/>
  <c r="E6272" i="1"/>
  <c r="F6271" i="1"/>
  <c r="E6271" i="1"/>
  <c r="F6270" i="1"/>
  <c r="E6270" i="1"/>
  <c r="F6269" i="1"/>
  <c r="E6269" i="1"/>
  <c r="F6268" i="1"/>
  <c r="E6268" i="1"/>
  <c r="F6267" i="1"/>
  <c r="E6267" i="1"/>
  <c r="F6266" i="1"/>
  <c r="E6266" i="1"/>
  <c r="F6265" i="1"/>
  <c r="E6265" i="1"/>
  <c r="F6264" i="1"/>
  <c r="E6264" i="1"/>
  <c r="F6263" i="1"/>
  <c r="E6263" i="1"/>
  <c r="F6262" i="1"/>
  <c r="E6262" i="1"/>
  <c r="F6261" i="1"/>
  <c r="E6261" i="1"/>
  <c r="F6260" i="1"/>
  <c r="E6260" i="1"/>
  <c r="F6259" i="1"/>
  <c r="E6259" i="1"/>
  <c r="F6258" i="1"/>
  <c r="E6258" i="1"/>
  <c r="F6257" i="1"/>
  <c r="E6257" i="1"/>
  <c r="F6256" i="1"/>
  <c r="E6256" i="1"/>
  <c r="F6255" i="1"/>
  <c r="E6255" i="1"/>
  <c r="F6254" i="1"/>
  <c r="E6254" i="1"/>
  <c r="F6253" i="1"/>
  <c r="E6253" i="1"/>
  <c r="F6252" i="1"/>
  <c r="E6252" i="1"/>
  <c r="F6251" i="1"/>
  <c r="E6251" i="1"/>
  <c r="F6250" i="1"/>
  <c r="E6250" i="1"/>
  <c r="F6249" i="1"/>
  <c r="E6249" i="1"/>
  <c r="F6248" i="1"/>
  <c r="E6248" i="1"/>
  <c r="F6247" i="1"/>
  <c r="E6247" i="1"/>
  <c r="F6246" i="1"/>
  <c r="E6246" i="1"/>
  <c r="F6245" i="1"/>
  <c r="E6245" i="1"/>
  <c r="F6244" i="1"/>
  <c r="E6244" i="1"/>
  <c r="F6243" i="1"/>
  <c r="E6243" i="1"/>
  <c r="F6242" i="1"/>
  <c r="E6242" i="1"/>
  <c r="F6241" i="1"/>
  <c r="E6241" i="1"/>
  <c r="F6240" i="1"/>
  <c r="E6240" i="1"/>
  <c r="F6239" i="1"/>
  <c r="E6239" i="1"/>
  <c r="F6238" i="1"/>
  <c r="E6238" i="1"/>
  <c r="F6237" i="1"/>
  <c r="E6237" i="1"/>
  <c r="F6236" i="1"/>
  <c r="E6236" i="1"/>
  <c r="F6235" i="1"/>
  <c r="E6235" i="1"/>
  <c r="F6234" i="1"/>
  <c r="E6234" i="1"/>
  <c r="F6233" i="1"/>
  <c r="E6233" i="1"/>
  <c r="F6232" i="1"/>
  <c r="E6232" i="1"/>
  <c r="F6231" i="1"/>
  <c r="E6231" i="1"/>
  <c r="F6230" i="1"/>
  <c r="E6230" i="1"/>
  <c r="F6229" i="1"/>
  <c r="E6229" i="1"/>
  <c r="F6228" i="1"/>
  <c r="E6228" i="1"/>
  <c r="F6227" i="1"/>
  <c r="E6227" i="1"/>
  <c r="F6226" i="1"/>
  <c r="E6226" i="1"/>
  <c r="F6225" i="1"/>
  <c r="E6225" i="1"/>
  <c r="F6224" i="1"/>
  <c r="E6224" i="1"/>
  <c r="F6223" i="1"/>
  <c r="E6223" i="1"/>
  <c r="F6222" i="1"/>
  <c r="E6222" i="1"/>
  <c r="F6221" i="1"/>
  <c r="E6221" i="1"/>
  <c r="F6220" i="1"/>
  <c r="E6220" i="1"/>
  <c r="F6219" i="1"/>
  <c r="E6219" i="1"/>
  <c r="F6218" i="1"/>
  <c r="E6218" i="1"/>
  <c r="F6217" i="1"/>
  <c r="E6217" i="1"/>
  <c r="F6216" i="1"/>
  <c r="E6216" i="1"/>
  <c r="F6215" i="1"/>
  <c r="E6215" i="1"/>
  <c r="F6214" i="1"/>
  <c r="E6214" i="1"/>
  <c r="F6213" i="1"/>
  <c r="E6213" i="1"/>
  <c r="F6212" i="1"/>
  <c r="E6212" i="1"/>
  <c r="F6211" i="1"/>
  <c r="E6211" i="1"/>
  <c r="F6210" i="1"/>
  <c r="E6210" i="1"/>
  <c r="F6209" i="1"/>
  <c r="E6209" i="1"/>
  <c r="F6208" i="1"/>
  <c r="E6208" i="1"/>
  <c r="F6207" i="1"/>
  <c r="E6207" i="1"/>
  <c r="F6206" i="1"/>
  <c r="E6206" i="1"/>
  <c r="F6205" i="1"/>
  <c r="E6205" i="1"/>
  <c r="F6204" i="1"/>
  <c r="E6204" i="1"/>
  <c r="F6203" i="1"/>
  <c r="E6203" i="1"/>
  <c r="F6202" i="1"/>
  <c r="E6202" i="1"/>
  <c r="F6201" i="1"/>
  <c r="E6201" i="1"/>
  <c r="F6200" i="1"/>
  <c r="E6200" i="1"/>
  <c r="F6199" i="1"/>
  <c r="E6199" i="1"/>
  <c r="F6198" i="1"/>
  <c r="E6198" i="1"/>
  <c r="F6197" i="1"/>
  <c r="E6197" i="1"/>
  <c r="F6196" i="1"/>
  <c r="E6196" i="1"/>
  <c r="F6195" i="1"/>
  <c r="E6195" i="1"/>
  <c r="F6194" i="1"/>
  <c r="E6194" i="1"/>
  <c r="F6193" i="1"/>
  <c r="E6193" i="1"/>
  <c r="F6192" i="1"/>
  <c r="E6192" i="1"/>
  <c r="F6191" i="1"/>
  <c r="E6191" i="1"/>
  <c r="F6190" i="1"/>
  <c r="E6190" i="1"/>
  <c r="F6189" i="1"/>
  <c r="E6189" i="1"/>
  <c r="F6188" i="1"/>
  <c r="E6188" i="1"/>
  <c r="F6187" i="1"/>
  <c r="E6187" i="1"/>
  <c r="F6186" i="1"/>
  <c r="E6186" i="1"/>
  <c r="F6185" i="1"/>
  <c r="E6185" i="1"/>
  <c r="F6184" i="1"/>
  <c r="E6184" i="1"/>
  <c r="F6183" i="1"/>
  <c r="E6183" i="1"/>
  <c r="F6182" i="1"/>
  <c r="E6182" i="1"/>
  <c r="F6181" i="1"/>
  <c r="E6181" i="1"/>
  <c r="F6180" i="1"/>
  <c r="E6180" i="1"/>
  <c r="F6179" i="1"/>
  <c r="E6179" i="1"/>
  <c r="F6178" i="1"/>
  <c r="E6178" i="1"/>
  <c r="F6177" i="1"/>
  <c r="E6177" i="1"/>
  <c r="F6176" i="1"/>
  <c r="E6176" i="1"/>
  <c r="F6175" i="1"/>
  <c r="E6175" i="1"/>
  <c r="F6174" i="1"/>
  <c r="E6174" i="1"/>
  <c r="F6173" i="1"/>
  <c r="E6173" i="1"/>
  <c r="F6172" i="1"/>
  <c r="E6172" i="1"/>
  <c r="F6171" i="1"/>
  <c r="E6171" i="1"/>
  <c r="F6170" i="1"/>
  <c r="E6170" i="1"/>
  <c r="F6169" i="1"/>
  <c r="E6169" i="1"/>
  <c r="F6168" i="1"/>
  <c r="E6168" i="1"/>
  <c r="F6167" i="1"/>
  <c r="E6167" i="1"/>
  <c r="F6166" i="1"/>
  <c r="E6166" i="1"/>
  <c r="F6165" i="1"/>
  <c r="E6165" i="1"/>
  <c r="F6164" i="1"/>
  <c r="E6164" i="1"/>
  <c r="F6163" i="1"/>
  <c r="E6163" i="1"/>
  <c r="F6162" i="1"/>
  <c r="E6162" i="1"/>
  <c r="F6161" i="1"/>
  <c r="E6161" i="1"/>
  <c r="F6160" i="1"/>
  <c r="E6160" i="1"/>
  <c r="F6159" i="1"/>
  <c r="E6159" i="1"/>
  <c r="F6158" i="1"/>
  <c r="E6158" i="1"/>
  <c r="F6157" i="1"/>
  <c r="E6157" i="1"/>
  <c r="F6156" i="1"/>
  <c r="E6156" i="1"/>
  <c r="F6155" i="1"/>
  <c r="E6155" i="1"/>
  <c r="F6154" i="1"/>
  <c r="E6154" i="1"/>
  <c r="F6153" i="1"/>
  <c r="E6153" i="1"/>
  <c r="F6152" i="1"/>
  <c r="E6152" i="1"/>
  <c r="F6151" i="1"/>
  <c r="E6151" i="1"/>
  <c r="F6150" i="1"/>
  <c r="E6150" i="1"/>
  <c r="F6149" i="1"/>
  <c r="E6149" i="1"/>
  <c r="F6148" i="1"/>
  <c r="E6148" i="1"/>
  <c r="F6147" i="1"/>
  <c r="E6147" i="1"/>
  <c r="F6146" i="1"/>
  <c r="E6146" i="1"/>
  <c r="F6145" i="1"/>
  <c r="E6145" i="1"/>
  <c r="F6144" i="1"/>
  <c r="E6144" i="1"/>
  <c r="F6143" i="1"/>
  <c r="E6143" i="1"/>
  <c r="F6142" i="1"/>
  <c r="E6142" i="1"/>
  <c r="F6141" i="1"/>
  <c r="E6141" i="1"/>
  <c r="F6140" i="1"/>
  <c r="E6140" i="1"/>
  <c r="F6139" i="1"/>
  <c r="E6139" i="1"/>
  <c r="F6138" i="1"/>
  <c r="E6138" i="1"/>
  <c r="F6137" i="1"/>
  <c r="E6137" i="1"/>
  <c r="F6136" i="1"/>
  <c r="E6136" i="1"/>
  <c r="F6135" i="1"/>
  <c r="E6135" i="1"/>
  <c r="F6134" i="1"/>
  <c r="E6134" i="1"/>
  <c r="F6133" i="1"/>
  <c r="E6133" i="1"/>
  <c r="F6132" i="1"/>
  <c r="E6132" i="1"/>
  <c r="F6131" i="1"/>
  <c r="E6131" i="1"/>
  <c r="F6130" i="1"/>
  <c r="E6130" i="1"/>
  <c r="F6129" i="1"/>
  <c r="E6129" i="1"/>
  <c r="F6128" i="1"/>
  <c r="E6128" i="1"/>
  <c r="F6127" i="1"/>
  <c r="E6127" i="1"/>
  <c r="F6126" i="1"/>
  <c r="E6126" i="1"/>
  <c r="F6125" i="1"/>
  <c r="E6125" i="1"/>
  <c r="F6124" i="1"/>
  <c r="E6124" i="1"/>
  <c r="F6123" i="1"/>
  <c r="E6123" i="1"/>
  <c r="F6122" i="1"/>
  <c r="E6122" i="1"/>
  <c r="F6121" i="1"/>
  <c r="E6121" i="1"/>
  <c r="F6120" i="1"/>
  <c r="E6120" i="1"/>
  <c r="F6119" i="1"/>
  <c r="E6119" i="1"/>
  <c r="F6118" i="1"/>
  <c r="E6118" i="1"/>
  <c r="F6117" i="1"/>
  <c r="E6117" i="1"/>
  <c r="F6116" i="1"/>
  <c r="E6116" i="1"/>
  <c r="F6115" i="1"/>
  <c r="E6115" i="1"/>
  <c r="F6114" i="1"/>
  <c r="E6114" i="1"/>
  <c r="F6113" i="1"/>
  <c r="E6113" i="1"/>
  <c r="F6112" i="1"/>
  <c r="E6112" i="1"/>
  <c r="F6111" i="1"/>
  <c r="E6111" i="1"/>
  <c r="F6110" i="1"/>
  <c r="E6110" i="1"/>
  <c r="F6109" i="1"/>
  <c r="E6109" i="1"/>
  <c r="F6108" i="1"/>
  <c r="E6108" i="1"/>
  <c r="F6107" i="1"/>
  <c r="E6107" i="1"/>
  <c r="F6106" i="1"/>
  <c r="E6106" i="1"/>
  <c r="F6105" i="1"/>
  <c r="E6105" i="1"/>
  <c r="F6104" i="1"/>
  <c r="E6104" i="1"/>
  <c r="F6103" i="1"/>
  <c r="E6103" i="1"/>
  <c r="F6102" i="1"/>
  <c r="E6102" i="1"/>
  <c r="F6101" i="1"/>
  <c r="E6101" i="1"/>
  <c r="F6100" i="1"/>
  <c r="E6100" i="1"/>
  <c r="F6099" i="1"/>
  <c r="E6099" i="1"/>
  <c r="F6098" i="1"/>
  <c r="E6098" i="1"/>
  <c r="F6097" i="1"/>
  <c r="E6097" i="1"/>
  <c r="F6096" i="1"/>
  <c r="E6096" i="1"/>
  <c r="F6095" i="1"/>
  <c r="E6095" i="1"/>
  <c r="F6094" i="1"/>
  <c r="E6094" i="1"/>
  <c r="F6093" i="1"/>
  <c r="E6093" i="1"/>
  <c r="F6092" i="1"/>
  <c r="E6092" i="1"/>
  <c r="F6091" i="1"/>
  <c r="E6091" i="1"/>
  <c r="F6090" i="1"/>
  <c r="E6090" i="1"/>
  <c r="F6089" i="1"/>
  <c r="E6089" i="1"/>
  <c r="F6088" i="1"/>
  <c r="E6088" i="1"/>
  <c r="F6087" i="1"/>
  <c r="E6087" i="1"/>
  <c r="F6086" i="1"/>
  <c r="E6086" i="1"/>
  <c r="F6085" i="1"/>
  <c r="E6085" i="1"/>
  <c r="F6084" i="1"/>
  <c r="E6084" i="1"/>
  <c r="F6083" i="1"/>
  <c r="E6083" i="1"/>
  <c r="F6082" i="1"/>
  <c r="E6082" i="1"/>
  <c r="F6081" i="1"/>
  <c r="E6081" i="1"/>
  <c r="F6080" i="1"/>
  <c r="E6080" i="1"/>
  <c r="F6079" i="1"/>
  <c r="E6079" i="1"/>
  <c r="F6078" i="1"/>
  <c r="E6078" i="1"/>
  <c r="F6077" i="1"/>
  <c r="E6077" i="1"/>
  <c r="F6076" i="1"/>
  <c r="E6076" i="1"/>
  <c r="F6075" i="1"/>
  <c r="E6075" i="1"/>
  <c r="F6074" i="1"/>
  <c r="E6074" i="1"/>
  <c r="F6073" i="1"/>
  <c r="E6073" i="1"/>
  <c r="F6072" i="1"/>
  <c r="E6072" i="1"/>
  <c r="F6071" i="1"/>
  <c r="E6071" i="1"/>
  <c r="F6070" i="1"/>
  <c r="E6070" i="1"/>
  <c r="F6069" i="1"/>
  <c r="E6069" i="1"/>
  <c r="F6068" i="1"/>
  <c r="E6068" i="1"/>
  <c r="F6067" i="1"/>
  <c r="E6067" i="1"/>
  <c r="F6066" i="1"/>
  <c r="E6066" i="1"/>
  <c r="F6065" i="1"/>
  <c r="E6065" i="1"/>
  <c r="F6064" i="1"/>
  <c r="E6064" i="1"/>
  <c r="F6063" i="1"/>
  <c r="E6063" i="1"/>
  <c r="F6062" i="1"/>
  <c r="E6062" i="1"/>
  <c r="F6061" i="1"/>
  <c r="E6061" i="1"/>
  <c r="F6060" i="1"/>
  <c r="E6060" i="1"/>
  <c r="F6059" i="1"/>
  <c r="E6059" i="1"/>
  <c r="F6058" i="1"/>
  <c r="E6058" i="1"/>
  <c r="F6057" i="1"/>
  <c r="E6057" i="1"/>
  <c r="F6056" i="1"/>
  <c r="E6056" i="1"/>
  <c r="F6055" i="1"/>
  <c r="E6055" i="1"/>
  <c r="F6054" i="1"/>
  <c r="E6054" i="1"/>
  <c r="F6053" i="1"/>
  <c r="E6053" i="1"/>
  <c r="F6052" i="1"/>
  <c r="E6052" i="1"/>
  <c r="F6051" i="1"/>
  <c r="E6051" i="1"/>
  <c r="F6050" i="1"/>
  <c r="E6050" i="1"/>
  <c r="F6049" i="1"/>
  <c r="E6049" i="1"/>
  <c r="F6048" i="1"/>
  <c r="E6048" i="1"/>
  <c r="F6047" i="1"/>
  <c r="E6047" i="1"/>
  <c r="F6046" i="1"/>
  <c r="E6046" i="1"/>
  <c r="F6045" i="1"/>
  <c r="E6045" i="1"/>
  <c r="F6044" i="1"/>
  <c r="E6044" i="1"/>
  <c r="F6043" i="1"/>
  <c r="E6043" i="1"/>
  <c r="F6042" i="1"/>
  <c r="E6042" i="1"/>
  <c r="F6041" i="1"/>
  <c r="E6041" i="1"/>
  <c r="F6040" i="1"/>
  <c r="E6040" i="1"/>
  <c r="F6039" i="1"/>
  <c r="E6039" i="1"/>
  <c r="F6038" i="1"/>
  <c r="E6038" i="1"/>
  <c r="F6037" i="1"/>
  <c r="E6037" i="1"/>
  <c r="F6036" i="1"/>
  <c r="E6036" i="1"/>
  <c r="F6035" i="1"/>
  <c r="E6035" i="1"/>
  <c r="F6034" i="1"/>
  <c r="E6034" i="1"/>
  <c r="F6033" i="1"/>
  <c r="E6033" i="1"/>
  <c r="F6032" i="1"/>
  <c r="E6032" i="1"/>
  <c r="F6031" i="1"/>
  <c r="E6031" i="1"/>
  <c r="F6030" i="1"/>
  <c r="E6030" i="1"/>
  <c r="F6029" i="1"/>
  <c r="E6029" i="1"/>
  <c r="F6028" i="1"/>
  <c r="E6028" i="1"/>
  <c r="F6027" i="1"/>
  <c r="E6027" i="1"/>
  <c r="F6026" i="1"/>
  <c r="E6026" i="1"/>
  <c r="F6025" i="1"/>
  <c r="E6025" i="1"/>
  <c r="F6024" i="1"/>
  <c r="E6024" i="1"/>
  <c r="F6023" i="1"/>
  <c r="E6023" i="1"/>
  <c r="F6022" i="1"/>
  <c r="E6022" i="1"/>
  <c r="F6021" i="1"/>
  <c r="E6021" i="1"/>
  <c r="F6020" i="1"/>
  <c r="E6020" i="1"/>
  <c r="F6019" i="1"/>
  <c r="E6019" i="1"/>
  <c r="F6018" i="1"/>
  <c r="E6018" i="1"/>
  <c r="F6017" i="1"/>
  <c r="E6017" i="1"/>
  <c r="F6016" i="1"/>
  <c r="E6016" i="1"/>
  <c r="F6015" i="1"/>
  <c r="E6015" i="1"/>
  <c r="F6014" i="1"/>
  <c r="E6014" i="1"/>
  <c r="F6013" i="1"/>
  <c r="E6013" i="1"/>
  <c r="F6012" i="1"/>
  <c r="E6012" i="1"/>
  <c r="F6011" i="1"/>
  <c r="E6011" i="1"/>
  <c r="F6010" i="1"/>
  <c r="E6010" i="1"/>
  <c r="F6009" i="1"/>
  <c r="E6009" i="1"/>
  <c r="F6008" i="1"/>
  <c r="E6008" i="1"/>
  <c r="F6007" i="1"/>
  <c r="E6007" i="1"/>
  <c r="F6006" i="1"/>
  <c r="E6006" i="1"/>
  <c r="F6005" i="1"/>
  <c r="E6005" i="1"/>
  <c r="F6004" i="1"/>
  <c r="E6004" i="1"/>
  <c r="F6003" i="1"/>
  <c r="E6003" i="1"/>
  <c r="F6002" i="1"/>
  <c r="E6002" i="1"/>
  <c r="F6001" i="1"/>
  <c r="E6001" i="1"/>
  <c r="F6000" i="1"/>
  <c r="E6000" i="1"/>
  <c r="F5999" i="1"/>
  <c r="E5999" i="1"/>
  <c r="F5998" i="1"/>
  <c r="E5998" i="1"/>
  <c r="F5997" i="1"/>
  <c r="E5997" i="1"/>
  <c r="F5996" i="1"/>
  <c r="E5996" i="1"/>
  <c r="F5995" i="1"/>
  <c r="E5995" i="1"/>
  <c r="F5994" i="1"/>
  <c r="E5994" i="1"/>
  <c r="F5993" i="1"/>
  <c r="E5993" i="1"/>
  <c r="F5992" i="1"/>
  <c r="E5992" i="1"/>
  <c r="F5991" i="1"/>
  <c r="E5991" i="1"/>
  <c r="F5990" i="1"/>
  <c r="E5990" i="1"/>
  <c r="F5989" i="1"/>
  <c r="E5989" i="1"/>
  <c r="F5988" i="1"/>
  <c r="E5988" i="1"/>
  <c r="F5987" i="1"/>
  <c r="E5987" i="1"/>
  <c r="F5986" i="1"/>
  <c r="E5986" i="1"/>
  <c r="F5985" i="1"/>
  <c r="E5985" i="1"/>
  <c r="F5984" i="1"/>
  <c r="E5984" i="1"/>
  <c r="F5983" i="1"/>
  <c r="E5983" i="1"/>
  <c r="F5982" i="1"/>
  <c r="E5982" i="1"/>
  <c r="F5981" i="1"/>
  <c r="E5981" i="1"/>
  <c r="F5980" i="1"/>
  <c r="E5980" i="1"/>
  <c r="F5979" i="1"/>
  <c r="E5979" i="1"/>
  <c r="F5978" i="1"/>
  <c r="E5978" i="1"/>
  <c r="F5977" i="1"/>
  <c r="E5977" i="1"/>
  <c r="F5976" i="1"/>
  <c r="E5976" i="1"/>
  <c r="F5975" i="1"/>
  <c r="E5975" i="1"/>
  <c r="F5974" i="1"/>
  <c r="E5974" i="1"/>
  <c r="F5973" i="1"/>
  <c r="E5973" i="1"/>
  <c r="F5972" i="1"/>
  <c r="E5972" i="1"/>
  <c r="F5971" i="1"/>
  <c r="E5971" i="1"/>
  <c r="F5970" i="1"/>
  <c r="E5970" i="1"/>
  <c r="F5969" i="1"/>
  <c r="E5969" i="1"/>
  <c r="F5968" i="1"/>
  <c r="E5968" i="1"/>
  <c r="F5967" i="1"/>
  <c r="E5967" i="1"/>
  <c r="F5966" i="1"/>
  <c r="E5966" i="1"/>
  <c r="F5965" i="1"/>
  <c r="E5965" i="1"/>
  <c r="F5964" i="1"/>
  <c r="E5964" i="1"/>
  <c r="F5963" i="1"/>
  <c r="E5963" i="1"/>
  <c r="F5962" i="1"/>
  <c r="E5962" i="1"/>
  <c r="F5961" i="1"/>
  <c r="E5961" i="1"/>
  <c r="F5960" i="1"/>
  <c r="E5960" i="1"/>
  <c r="F5959" i="1"/>
  <c r="E5959" i="1"/>
  <c r="F5958" i="1"/>
  <c r="E5958" i="1"/>
  <c r="F5957" i="1"/>
  <c r="E5957" i="1"/>
  <c r="F5956" i="1"/>
  <c r="E5956" i="1"/>
  <c r="F5955" i="1"/>
  <c r="E5955" i="1"/>
  <c r="F5954" i="1"/>
  <c r="E5954" i="1"/>
  <c r="F5953" i="1"/>
  <c r="E5953" i="1"/>
  <c r="F5952" i="1"/>
  <c r="E5952" i="1"/>
  <c r="F5951" i="1"/>
  <c r="E5951" i="1"/>
  <c r="F5950" i="1"/>
  <c r="E5950" i="1"/>
  <c r="F5949" i="1"/>
  <c r="E5949" i="1"/>
  <c r="F5948" i="1"/>
  <c r="E5948" i="1"/>
  <c r="F5947" i="1"/>
  <c r="E5947" i="1"/>
  <c r="F5946" i="1"/>
  <c r="E5946" i="1"/>
  <c r="F5945" i="1"/>
  <c r="E5945" i="1"/>
  <c r="F5944" i="1"/>
  <c r="E5944" i="1"/>
  <c r="F5943" i="1"/>
  <c r="E5943" i="1"/>
  <c r="F5942" i="1"/>
  <c r="E5942" i="1"/>
  <c r="F5941" i="1"/>
  <c r="E5941" i="1"/>
  <c r="F5940" i="1"/>
  <c r="E5940" i="1"/>
  <c r="F5939" i="1"/>
  <c r="E5939" i="1"/>
  <c r="F5938" i="1"/>
  <c r="E5938" i="1"/>
  <c r="F5937" i="1"/>
  <c r="E5937" i="1"/>
  <c r="F5936" i="1"/>
  <c r="E5936" i="1"/>
  <c r="F5935" i="1"/>
  <c r="E5935" i="1"/>
  <c r="F5934" i="1"/>
  <c r="E5934" i="1"/>
  <c r="F5933" i="1"/>
  <c r="E5933" i="1"/>
  <c r="F5932" i="1"/>
  <c r="E5932" i="1"/>
  <c r="F5931" i="1"/>
  <c r="E5931" i="1"/>
  <c r="F5930" i="1"/>
  <c r="E5930" i="1"/>
  <c r="F5929" i="1"/>
  <c r="E5929" i="1"/>
  <c r="F5928" i="1"/>
  <c r="E5928" i="1"/>
  <c r="F5927" i="1"/>
  <c r="E5927" i="1"/>
  <c r="F5926" i="1"/>
  <c r="E5926" i="1"/>
  <c r="F5925" i="1"/>
  <c r="E5925" i="1"/>
  <c r="F5924" i="1"/>
  <c r="E5924" i="1"/>
  <c r="F5923" i="1"/>
  <c r="E5923" i="1"/>
  <c r="F5922" i="1"/>
  <c r="E5922" i="1"/>
  <c r="F5921" i="1"/>
  <c r="E5921" i="1"/>
  <c r="F5920" i="1"/>
  <c r="E5920" i="1"/>
  <c r="F5919" i="1"/>
  <c r="E5919" i="1"/>
  <c r="F5918" i="1"/>
  <c r="E5918" i="1"/>
  <c r="F5917" i="1"/>
  <c r="E5917" i="1"/>
  <c r="F5916" i="1"/>
  <c r="E5916" i="1"/>
  <c r="F5915" i="1"/>
  <c r="E5915" i="1"/>
  <c r="F5914" i="1"/>
  <c r="E5914" i="1"/>
  <c r="F5913" i="1"/>
  <c r="E5913" i="1"/>
  <c r="F5912" i="1"/>
  <c r="E5912" i="1"/>
  <c r="F5911" i="1"/>
  <c r="E5911" i="1"/>
  <c r="F5910" i="1"/>
  <c r="E5910" i="1"/>
  <c r="F5909" i="1"/>
  <c r="E5909" i="1"/>
  <c r="F5908" i="1"/>
  <c r="E5908" i="1"/>
  <c r="F5907" i="1"/>
  <c r="E5907" i="1"/>
  <c r="F5906" i="1"/>
  <c r="E5906" i="1"/>
  <c r="F5905" i="1"/>
  <c r="E5905" i="1"/>
  <c r="F5904" i="1"/>
  <c r="E5904" i="1"/>
  <c r="F5903" i="1"/>
  <c r="E5903" i="1"/>
  <c r="F5902" i="1"/>
  <c r="E5902" i="1"/>
  <c r="F5901" i="1"/>
  <c r="E5901" i="1"/>
  <c r="F5900" i="1"/>
  <c r="E5900" i="1"/>
  <c r="F5899" i="1"/>
  <c r="E5899" i="1"/>
  <c r="F5898" i="1"/>
  <c r="E5898" i="1"/>
  <c r="F5897" i="1"/>
  <c r="E5897" i="1"/>
  <c r="F5896" i="1"/>
  <c r="E5896" i="1"/>
  <c r="F5895" i="1"/>
  <c r="E5895" i="1"/>
  <c r="F5894" i="1"/>
  <c r="E5894" i="1"/>
  <c r="F5893" i="1"/>
  <c r="E5893" i="1"/>
  <c r="F5892" i="1"/>
  <c r="E5892" i="1"/>
  <c r="F5891" i="1"/>
  <c r="E5891" i="1"/>
  <c r="F5890" i="1"/>
  <c r="E5890" i="1"/>
  <c r="F5889" i="1"/>
  <c r="E5889" i="1"/>
  <c r="F5888" i="1"/>
  <c r="E5888" i="1"/>
  <c r="F5887" i="1"/>
  <c r="E5887" i="1"/>
  <c r="F5886" i="1"/>
  <c r="E5886" i="1"/>
  <c r="F5885" i="1"/>
  <c r="E5885" i="1"/>
  <c r="F5884" i="1"/>
  <c r="E5884" i="1"/>
  <c r="F5883" i="1"/>
  <c r="E5883" i="1"/>
  <c r="F5882" i="1"/>
  <c r="E5882" i="1"/>
  <c r="F5881" i="1"/>
  <c r="E5881" i="1"/>
  <c r="F5880" i="1"/>
  <c r="E5880" i="1"/>
  <c r="F5879" i="1"/>
  <c r="E5879" i="1"/>
  <c r="F5878" i="1"/>
  <c r="E5878" i="1"/>
  <c r="F5877" i="1"/>
  <c r="E5877" i="1"/>
  <c r="F5876" i="1"/>
  <c r="E5876" i="1"/>
  <c r="F5875" i="1"/>
  <c r="E5875" i="1"/>
  <c r="F5874" i="1"/>
  <c r="E5874" i="1"/>
  <c r="F5873" i="1"/>
  <c r="E5873" i="1"/>
  <c r="F5872" i="1"/>
  <c r="E5872" i="1"/>
  <c r="F5871" i="1"/>
  <c r="E5871" i="1"/>
  <c r="F5870" i="1"/>
  <c r="E5870" i="1"/>
  <c r="F5869" i="1"/>
  <c r="E5869" i="1"/>
  <c r="F5868" i="1"/>
  <c r="E5868" i="1"/>
  <c r="F5867" i="1"/>
  <c r="E5867" i="1"/>
  <c r="F5866" i="1"/>
  <c r="E5866" i="1"/>
  <c r="F5865" i="1"/>
  <c r="E5865" i="1"/>
  <c r="F5864" i="1"/>
  <c r="E5864" i="1"/>
  <c r="F5863" i="1"/>
  <c r="E5863" i="1"/>
  <c r="F5862" i="1"/>
  <c r="E5862" i="1"/>
  <c r="F5861" i="1"/>
  <c r="E5861" i="1"/>
  <c r="F5860" i="1"/>
  <c r="E5860" i="1"/>
  <c r="F5859" i="1"/>
  <c r="E5859" i="1"/>
  <c r="F5858" i="1"/>
  <c r="E5858" i="1"/>
  <c r="F5857" i="1"/>
  <c r="E5857" i="1"/>
  <c r="F5856" i="1"/>
  <c r="E5856" i="1"/>
  <c r="F5855" i="1"/>
  <c r="E5855" i="1"/>
  <c r="F5854" i="1"/>
  <c r="E5854" i="1"/>
  <c r="F5853" i="1"/>
  <c r="E5853" i="1"/>
  <c r="F5852" i="1"/>
  <c r="E5852" i="1"/>
  <c r="F5851" i="1"/>
  <c r="E5851" i="1"/>
  <c r="F5850" i="1"/>
  <c r="E5850" i="1"/>
  <c r="F5849" i="1"/>
  <c r="E5849" i="1"/>
  <c r="F5848" i="1"/>
  <c r="E5848" i="1"/>
  <c r="F5847" i="1"/>
  <c r="E5847" i="1"/>
  <c r="F5846" i="1"/>
  <c r="E5846" i="1"/>
  <c r="F5845" i="1"/>
  <c r="E5845" i="1"/>
  <c r="F5844" i="1"/>
  <c r="F5843" i="1"/>
  <c r="E5843" i="1"/>
  <c r="F5842" i="1"/>
  <c r="E5842" i="1"/>
  <c r="F5841" i="1"/>
  <c r="E5841" i="1"/>
  <c r="F5840" i="1"/>
  <c r="E5840" i="1"/>
  <c r="F5839" i="1"/>
  <c r="E5839" i="1"/>
  <c r="F5838" i="1"/>
  <c r="E5838" i="1"/>
  <c r="F5837" i="1"/>
  <c r="E5837" i="1"/>
  <c r="F5836" i="1"/>
  <c r="E5836" i="1"/>
  <c r="F5835" i="1"/>
  <c r="E5835" i="1"/>
  <c r="F5834" i="1"/>
  <c r="E5834" i="1"/>
  <c r="F5833" i="1"/>
  <c r="E5833" i="1"/>
  <c r="F5832" i="1"/>
  <c r="E5832" i="1"/>
  <c r="F5831" i="1"/>
  <c r="E5831" i="1"/>
  <c r="F5830" i="1"/>
  <c r="E5830" i="1"/>
  <c r="F5829" i="1"/>
  <c r="E5829" i="1"/>
  <c r="F5828" i="1"/>
  <c r="E5828" i="1"/>
  <c r="F5827" i="1"/>
  <c r="E5827" i="1"/>
  <c r="F5826" i="1"/>
  <c r="E5826" i="1"/>
  <c r="F5825" i="1"/>
  <c r="E5825" i="1"/>
  <c r="F5824" i="1"/>
  <c r="E5824" i="1"/>
  <c r="F5823" i="1"/>
  <c r="E5823" i="1"/>
  <c r="F5822" i="1"/>
  <c r="E5822" i="1"/>
  <c r="F5821" i="1"/>
  <c r="E5821" i="1"/>
  <c r="F5820" i="1"/>
  <c r="E5820" i="1"/>
  <c r="F5819" i="1"/>
  <c r="E5819" i="1"/>
  <c r="F5818" i="1"/>
  <c r="E5818" i="1"/>
  <c r="F5817" i="1"/>
  <c r="E5817" i="1"/>
  <c r="F5816" i="1"/>
  <c r="E5816" i="1"/>
  <c r="F5815" i="1"/>
  <c r="E5815" i="1"/>
  <c r="F5814" i="1"/>
  <c r="E5814" i="1"/>
  <c r="F5813" i="1"/>
  <c r="E5813" i="1"/>
  <c r="F5812" i="1"/>
  <c r="E5812" i="1"/>
  <c r="F5811" i="1"/>
  <c r="E5811" i="1"/>
  <c r="F5810" i="1"/>
  <c r="E5810" i="1"/>
  <c r="F5809" i="1"/>
  <c r="E5809" i="1"/>
  <c r="F5808" i="1"/>
  <c r="E5808" i="1"/>
  <c r="F5807" i="1"/>
  <c r="E5807" i="1"/>
  <c r="F5806" i="1"/>
  <c r="E5806" i="1"/>
  <c r="F5805" i="1"/>
  <c r="E5805" i="1"/>
  <c r="F5804" i="1"/>
  <c r="E5804" i="1"/>
  <c r="F5803" i="1"/>
  <c r="E5803" i="1"/>
  <c r="F5802" i="1"/>
  <c r="E5802" i="1"/>
  <c r="F5801" i="1"/>
  <c r="E5801" i="1"/>
  <c r="F5800" i="1"/>
  <c r="E5800" i="1"/>
  <c r="F5799" i="1"/>
  <c r="E5799" i="1"/>
  <c r="F5798" i="1"/>
  <c r="E5798" i="1"/>
  <c r="F5797" i="1"/>
  <c r="E5797" i="1"/>
  <c r="F5796" i="1"/>
  <c r="E5796" i="1"/>
  <c r="F5795" i="1"/>
  <c r="E5795" i="1"/>
  <c r="F5794" i="1"/>
  <c r="E5794" i="1"/>
  <c r="F5793" i="1"/>
  <c r="E5793" i="1"/>
  <c r="F5792" i="1"/>
  <c r="E5792" i="1"/>
  <c r="F5791" i="1"/>
  <c r="E5791" i="1"/>
  <c r="F5790" i="1"/>
  <c r="E5790" i="1"/>
  <c r="F5789" i="1"/>
  <c r="E5789" i="1"/>
  <c r="F5788" i="1"/>
  <c r="E5788" i="1"/>
  <c r="F5787" i="1"/>
  <c r="E5787" i="1"/>
  <c r="F5786" i="1"/>
  <c r="E5786" i="1"/>
  <c r="F5785" i="1"/>
  <c r="E5785" i="1"/>
  <c r="F5784" i="1"/>
  <c r="E5784" i="1"/>
  <c r="F5783" i="1"/>
  <c r="E5783" i="1"/>
  <c r="F5782" i="1"/>
  <c r="E5782" i="1"/>
  <c r="F5781" i="1"/>
  <c r="E5781" i="1"/>
  <c r="F5780" i="1"/>
  <c r="E5780" i="1"/>
  <c r="F5779" i="1"/>
  <c r="E5779" i="1"/>
  <c r="F5778" i="1"/>
  <c r="E5778" i="1"/>
  <c r="F5777" i="1"/>
  <c r="E5777" i="1"/>
  <c r="F5776" i="1"/>
  <c r="E5776" i="1"/>
  <c r="F5775" i="1"/>
  <c r="E5775" i="1"/>
  <c r="F5774" i="1"/>
  <c r="E5774" i="1"/>
  <c r="F5773" i="1"/>
  <c r="E5773" i="1"/>
  <c r="F5772" i="1"/>
  <c r="E5772" i="1"/>
  <c r="F5771" i="1"/>
  <c r="E5771" i="1"/>
  <c r="F5770" i="1"/>
  <c r="E5770" i="1"/>
  <c r="F5769" i="1"/>
  <c r="E5769" i="1"/>
  <c r="F5768" i="1"/>
  <c r="E5768" i="1"/>
  <c r="F5767" i="1"/>
  <c r="E5767" i="1"/>
  <c r="F5766" i="1"/>
  <c r="E5766" i="1"/>
  <c r="F5765" i="1"/>
  <c r="E5765" i="1"/>
  <c r="F5764" i="1"/>
  <c r="E5764" i="1"/>
  <c r="F5763" i="1"/>
  <c r="E5763" i="1"/>
  <c r="F5762" i="1"/>
  <c r="E5762" i="1"/>
  <c r="F5761" i="1"/>
  <c r="E5761" i="1"/>
  <c r="F5760" i="1"/>
  <c r="E5760" i="1"/>
  <c r="F5759" i="1"/>
  <c r="E5759" i="1"/>
  <c r="F5758" i="1"/>
  <c r="E5758" i="1"/>
  <c r="F5757" i="1"/>
  <c r="E5757" i="1"/>
  <c r="F5756" i="1"/>
  <c r="E5756" i="1"/>
  <c r="F5755" i="1"/>
  <c r="E5755" i="1"/>
  <c r="F5754" i="1"/>
  <c r="E5754" i="1"/>
  <c r="F5753" i="1"/>
  <c r="E5753" i="1"/>
  <c r="F5752" i="1"/>
  <c r="E5752" i="1"/>
  <c r="F5751" i="1"/>
  <c r="E5751" i="1"/>
  <c r="F5750" i="1"/>
  <c r="E5750" i="1"/>
  <c r="F5749" i="1"/>
  <c r="E5749" i="1"/>
  <c r="F5748" i="1"/>
  <c r="E5748" i="1"/>
  <c r="F5747" i="1"/>
  <c r="E5747" i="1"/>
  <c r="F5746" i="1"/>
  <c r="E5746" i="1"/>
  <c r="F5745" i="1"/>
  <c r="E5745" i="1"/>
  <c r="F5744" i="1"/>
  <c r="E5744" i="1"/>
  <c r="F5743" i="1"/>
  <c r="E5743" i="1"/>
  <c r="F5742" i="1"/>
  <c r="E5742" i="1"/>
  <c r="F5741" i="1"/>
  <c r="E5741" i="1"/>
  <c r="F5740" i="1"/>
  <c r="E5740" i="1"/>
  <c r="F5739" i="1"/>
  <c r="E5739" i="1"/>
  <c r="F5738" i="1"/>
  <c r="E5738" i="1"/>
  <c r="F5737" i="1"/>
  <c r="E5737" i="1"/>
  <c r="F5736" i="1"/>
  <c r="E5736" i="1"/>
  <c r="F5735" i="1"/>
  <c r="E5735" i="1"/>
  <c r="F5734" i="1"/>
  <c r="E5734" i="1"/>
  <c r="F5733" i="1"/>
  <c r="E5733" i="1"/>
  <c r="F5732" i="1"/>
  <c r="E5732" i="1"/>
  <c r="F5731" i="1"/>
  <c r="E5731" i="1"/>
  <c r="F5730" i="1"/>
  <c r="E5730" i="1"/>
  <c r="F5729" i="1"/>
  <c r="E5729" i="1"/>
  <c r="F5728" i="1"/>
  <c r="E5728" i="1"/>
  <c r="F5727" i="1"/>
  <c r="E5727" i="1"/>
  <c r="F5726" i="1"/>
  <c r="E5726" i="1"/>
  <c r="F5725" i="1"/>
  <c r="E5725" i="1"/>
  <c r="F5724" i="1"/>
  <c r="E5724" i="1"/>
  <c r="F5723" i="1"/>
  <c r="E5723" i="1"/>
  <c r="F5722" i="1"/>
  <c r="E5722" i="1"/>
  <c r="F5721" i="1"/>
  <c r="E5721" i="1"/>
  <c r="F5720" i="1"/>
  <c r="E5720" i="1"/>
  <c r="F5719" i="1"/>
  <c r="E5719" i="1"/>
  <c r="F5718" i="1"/>
  <c r="E5718" i="1"/>
  <c r="F5717" i="1"/>
  <c r="E5717" i="1"/>
  <c r="F5716" i="1"/>
  <c r="E5716" i="1"/>
  <c r="F5715" i="1"/>
  <c r="E5715" i="1"/>
  <c r="F5714" i="1"/>
  <c r="E5714" i="1"/>
  <c r="F5713" i="1"/>
  <c r="E5713" i="1"/>
  <c r="F5712" i="1"/>
  <c r="E5712" i="1"/>
  <c r="F5711" i="1"/>
  <c r="E5711" i="1"/>
  <c r="F5710" i="1"/>
  <c r="E5710" i="1"/>
  <c r="F5709" i="1"/>
  <c r="E5709" i="1"/>
  <c r="F5708" i="1"/>
  <c r="E5708" i="1"/>
  <c r="F5707" i="1"/>
  <c r="E5707" i="1"/>
  <c r="F5706" i="1"/>
  <c r="E5706" i="1"/>
  <c r="F5705" i="1"/>
  <c r="E5705" i="1"/>
  <c r="F5704" i="1"/>
  <c r="E5704" i="1"/>
  <c r="F5703" i="1"/>
  <c r="E5703" i="1"/>
  <c r="F5702" i="1"/>
  <c r="E5702" i="1"/>
  <c r="F5701" i="1"/>
  <c r="E5701" i="1"/>
  <c r="F5700" i="1"/>
  <c r="E5700" i="1"/>
  <c r="F5699" i="1"/>
  <c r="E5699" i="1"/>
  <c r="F5698" i="1"/>
  <c r="E5698" i="1"/>
  <c r="F5697" i="1"/>
  <c r="E5697" i="1"/>
  <c r="F5696" i="1"/>
  <c r="E5696" i="1"/>
  <c r="F5695" i="1"/>
  <c r="E5695" i="1"/>
  <c r="F5694" i="1"/>
  <c r="E5694" i="1"/>
  <c r="F5693" i="1"/>
  <c r="E5693" i="1"/>
  <c r="F5692" i="1"/>
  <c r="E5692" i="1"/>
  <c r="F5691" i="1"/>
  <c r="E5691" i="1"/>
  <c r="F5690" i="1"/>
  <c r="E5690" i="1"/>
  <c r="F5689" i="1"/>
  <c r="E5689" i="1"/>
  <c r="F5688" i="1"/>
  <c r="E5688" i="1"/>
  <c r="F5687" i="1"/>
  <c r="E5687" i="1"/>
  <c r="F5686" i="1"/>
  <c r="E5686" i="1"/>
  <c r="F5685" i="1"/>
  <c r="E5685" i="1"/>
  <c r="F5684" i="1"/>
  <c r="E5684" i="1"/>
  <c r="F5683" i="1"/>
  <c r="E5683" i="1"/>
  <c r="F5682" i="1"/>
  <c r="E5682" i="1"/>
  <c r="F5681" i="1"/>
  <c r="E5681" i="1"/>
  <c r="F5680" i="1"/>
  <c r="E5680" i="1"/>
  <c r="F5679" i="1"/>
  <c r="E5679" i="1"/>
  <c r="F5678" i="1"/>
  <c r="E5678" i="1"/>
  <c r="F5677" i="1"/>
  <c r="E5677" i="1"/>
  <c r="F5676" i="1"/>
  <c r="E5676" i="1"/>
  <c r="F5675" i="1"/>
  <c r="E5675" i="1"/>
  <c r="F5674" i="1"/>
  <c r="E5674" i="1"/>
  <c r="F5673" i="1"/>
  <c r="E5673" i="1"/>
  <c r="F5672" i="1"/>
  <c r="E5672" i="1"/>
  <c r="F5671" i="1"/>
  <c r="E5671" i="1"/>
  <c r="F5670" i="1"/>
  <c r="E5670" i="1"/>
  <c r="F5669" i="1"/>
  <c r="E5669" i="1"/>
  <c r="F5668" i="1"/>
  <c r="E5668" i="1"/>
  <c r="F5667" i="1"/>
  <c r="E5667" i="1"/>
  <c r="F5666" i="1"/>
  <c r="E5666" i="1"/>
  <c r="F5665" i="1"/>
  <c r="E5665" i="1"/>
  <c r="F5664" i="1"/>
  <c r="E5664" i="1"/>
  <c r="F5663" i="1"/>
  <c r="E5663" i="1"/>
  <c r="F5662" i="1"/>
  <c r="E5662" i="1"/>
  <c r="F5661" i="1"/>
  <c r="E5661" i="1"/>
  <c r="F5660" i="1"/>
  <c r="E5660" i="1"/>
  <c r="F5659" i="1"/>
  <c r="E5659" i="1"/>
  <c r="F5658" i="1"/>
  <c r="E5658" i="1"/>
  <c r="F5657" i="1"/>
  <c r="E5657" i="1"/>
  <c r="F5656" i="1"/>
  <c r="E5656" i="1"/>
  <c r="F5655" i="1"/>
  <c r="E5655" i="1"/>
  <c r="F5654" i="1"/>
  <c r="E5654" i="1"/>
  <c r="F5653" i="1"/>
  <c r="E5653" i="1"/>
  <c r="F5652" i="1"/>
  <c r="E5652" i="1"/>
  <c r="F5651" i="1"/>
  <c r="E5651" i="1"/>
  <c r="F5650" i="1"/>
  <c r="E5650" i="1"/>
  <c r="F5649" i="1"/>
  <c r="E5649" i="1"/>
  <c r="F5648" i="1"/>
  <c r="E5648" i="1"/>
  <c r="F5647" i="1"/>
  <c r="E5647" i="1"/>
  <c r="F5646" i="1"/>
  <c r="E5646" i="1"/>
  <c r="F5645" i="1"/>
  <c r="E5645" i="1"/>
  <c r="F5644" i="1"/>
  <c r="E5644" i="1"/>
  <c r="F5643" i="1"/>
  <c r="E5643" i="1"/>
  <c r="F5642" i="1"/>
  <c r="E5642" i="1"/>
  <c r="F5641" i="1"/>
  <c r="E5641" i="1"/>
  <c r="F5640" i="1"/>
  <c r="E5640" i="1"/>
  <c r="F5639" i="1"/>
  <c r="E5639" i="1"/>
  <c r="F5638" i="1"/>
  <c r="E5638" i="1"/>
  <c r="F5637" i="1"/>
  <c r="E5637" i="1"/>
  <c r="F5636" i="1"/>
  <c r="E5636" i="1"/>
  <c r="F5635" i="1"/>
  <c r="E5635" i="1"/>
  <c r="F5634" i="1"/>
  <c r="E5634" i="1"/>
  <c r="F5633" i="1"/>
  <c r="E5633" i="1"/>
  <c r="F5632" i="1"/>
  <c r="E5632" i="1"/>
  <c r="F5631" i="1"/>
  <c r="E5631" i="1"/>
  <c r="F5630" i="1"/>
  <c r="E5630" i="1"/>
  <c r="F5629" i="1"/>
  <c r="E5629" i="1"/>
  <c r="F5628" i="1"/>
  <c r="E5628" i="1"/>
  <c r="F5627" i="1"/>
  <c r="E5627" i="1"/>
  <c r="F5626" i="1"/>
  <c r="E5626" i="1"/>
  <c r="F5625" i="1"/>
  <c r="E5625" i="1"/>
  <c r="F5624" i="1"/>
  <c r="E5624" i="1"/>
  <c r="F5623" i="1"/>
  <c r="E5623" i="1"/>
  <c r="F5622" i="1"/>
  <c r="E5622" i="1"/>
  <c r="F5621" i="1"/>
  <c r="E5621" i="1"/>
  <c r="F5620" i="1"/>
  <c r="E5620" i="1"/>
  <c r="F5619" i="1"/>
  <c r="E5619" i="1"/>
  <c r="F5618" i="1"/>
  <c r="E5618" i="1"/>
  <c r="F5617" i="1"/>
  <c r="E5617" i="1"/>
  <c r="F5616" i="1"/>
  <c r="E5616" i="1"/>
  <c r="F5615" i="1"/>
  <c r="E5615" i="1"/>
  <c r="F5614" i="1"/>
  <c r="E5614" i="1"/>
  <c r="F5613" i="1"/>
  <c r="E5613" i="1"/>
  <c r="F5612" i="1"/>
  <c r="E5612" i="1"/>
  <c r="F5611" i="1"/>
  <c r="E5611" i="1"/>
  <c r="F5607" i="1"/>
  <c r="E5607" i="1"/>
  <c r="F5605" i="1"/>
  <c r="E5605" i="1"/>
  <c r="F5604" i="1"/>
  <c r="E5604" i="1"/>
  <c r="F5594" i="1"/>
  <c r="E5594" i="1"/>
  <c r="F5578" i="1"/>
  <c r="E5578" i="1"/>
  <c r="F5577" i="1"/>
  <c r="E5577" i="1"/>
  <c r="F5576" i="1"/>
  <c r="E5576" i="1"/>
  <c r="F5562" i="1"/>
  <c r="E5562" i="1"/>
  <c r="F5548" i="1"/>
  <c r="E5548" i="1"/>
  <c r="F5545" i="1"/>
  <c r="E5545" i="1"/>
  <c r="F5543" i="1"/>
  <c r="E5543" i="1"/>
  <c r="F5542" i="1"/>
  <c r="E5542" i="1"/>
  <c r="F5541" i="1"/>
  <c r="E5541" i="1"/>
  <c r="F5540" i="1"/>
  <c r="F5539" i="1"/>
  <c r="E5539" i="1"/>
  <c r="F5538" i="1"/>
  <c r="E5538" i="1"/>
  <c r="F5537" i="1"/>
  <c r="E5537" i="1"/>
  <c r="F5536" i="1"/>
  <c r="E5536" i="1"/>
  <c r="F5535" i="1"/>
  <c r="E5535" i="1"/>
  <c r="F5534" i="1"/>
  <c r="E5534" i="1"/>
  <c r="F5533" i="1"/>
  <c r="E5533" i="1"/>
  <c r="F5532" i="1"/>
  <c r="E5532" i="1"/>
  <c r="F5531" i="1"/>
  <c r="E5531" i="1"/>
  <c r="F5530" i="1"/>
  <c r="E5530" i="1"/>
  <c r="F5529" i="1"/>
  <c r="E5529" i="1"/>
  <c r="F5528" i="1"/>
  <c r="E5528" i="1"/>
  <c r="F5527" i="1"/>
  <c r="E5527" i="1"/>
  <c r="F5526" i="1"/>
  <c r="E5526" i="1"/>
  <c r="F5525" i="1"/>
  <c r="E5525" i="1"/>
  <c r="F5524" i="1"/>
  <c r="E5524" i="1"/>
  <c r="F5523" i="1"/>
  <c r="E5523" i="1"/>
  <c r="F5522" i="1"/>
  <c r="E5522" i="1"/>
  <c r="F5521" i="1"/>
  <c r="E5521" i="1"/>
  <c r="F5520" i="1"/>
  <c r="E5520" i="1"/>
  <c r="F5519" i="1"/>
  <c r="E5519" i="1"/>
  <c r="F5518" i="1"/>
  <c r="E5518" i="1"/>
  <c r="F5517" i="1"/>
  <c r="E5517" i="1"/>
  <c r="F5516" i="1"/>
  <c r="E5516" i="1"/>
  <c r="F5515" i="1"/>
  <c r="E5515" i="1"/>
  <c r="F5514" i="1"/>
  <c r="E5514" i="1"/>
  <c r="F5513" i="1"/>
  <c r="E5513" i="1"/>
  <c r="F5512" i="1"/>
  <c r="E5512" i="1"/>
  <c r="F5511" i="1"/>
  <c r="E5511" i="1"/>
  <c r="F5510" i="1"/>
  <c r="E5510" i="1"/>
  <c r="F5509" i="1"/>
  <c r="E5509" i="1"/>
  <c r="F5508" i="1"/>
  <c r="E5508" i="1"/>
  <c r="F5507" i="1"/>
  <c r="E5507" i="1"/>
  <c r="F5506" i="1"/>
  <c r="E5506" i="1"/>
  <c r="F5505" i="1"/>
  <c r="E5505" i="1"/>
  <c r="F5504" i="1"/>
  <c r="E5504" i="1"/>
  <c r="F5503" i="1"/>
  <c r="E5503" i="1"/>
  <c r="F5502" i="1"/>
  <c r="E5502" i="1"/>
  <c r="F5501" i="1"/>
  <c r="E5501" i="1"/>
  <c r="F5500" i="1"/>
  <c r="E5500" i="1"/>
  <c r="F5499" i="1"/>
  <c r="E5499" i="1"/>
  <c r="F5498" i="1"/>
  <c r="E5498" i="1"/>
  <c r="F5497" i="1"/>
  <c r="E5497" i="1"/>
  <c r="F5496" i="1"/>
  <c r="E5496" i="1"/>
  <c r="F5495" i="1"/>
  <c r="E5495" i="1"/>
  <c r="F5494" i="1"/>
  <c r="E5494" i="1"/>
  <c r="F5493" i="1"/>
  <c r="E5493" i="1"/>
  <c r="F5492" i="1"/>
  <c r="E5492" i="1"/>
  <c r="F5491" i="1"/>
  <c r="E5491" i="1"/>
  <c r="F5490" i="1"/>
  <c r="E5490" i="1"/>
  <c r="F5489" i="1"/>
  <c r="E5489" i="1"/>
  <c r="F5488" i="1"/>
  <c r="E5488" i="1"/>
  <c r="F5487" i="1"/>
  <c r="E5487" i="1"/>
  <c r="F5486" i="1"/>
  <c r="E5486" i="1"/>
  <c r="F5485" i="1"/>
  <c r="E5485" i="1"/>
  <c r="F5484" i="1"/>
  <c r="E5484" i="1"/>
  <c r="F5483" i="1"/>
  <c r="E5483" i="1"/>
  <c r="F5482" i="1"/>
  <c r="E5482" i="1"/>
  <c r="F5481" i="1"/>
  <c r="E5481" i="1"/>
  <c r="F5480" i="1"/>
  <c r="E5480" i="1"/>
  <c r="F5479" i="1"/>
  <c r="E5479" i="1"/>
  <c r="F5478" i="1"/>
  <c r="E5478" i="1"/>
  <c r="F5477" i="1"/>
  <c r="E5477" i="1"/>
  <c r="F5476" i="1"/>
  <c r="E5476" i="1"/>
  <c r="F5475" i="1"/>
  <c r="E5475" i="1"/>
  <c r="F5474" i="1"/>
  <c r="E5474" i="1"/>
  <c r="F5473" i="1"/>
  <c r="E5473" i="1"/>
  <c r="F5472" i="1"/>
  <c r="E5472" i="1"/>
  <c r="F5471" i="1"/>
  <c r="E5471" i="1"/>
  <c r="F5470" i="1"/>
  <c r="E5470" i="1"/>
  <c r="F5469" i="1"/>
  <c r="E5469" i="1"/>
  <c r="F5468" i="1"/>
  <c r="E5468" i="1"/>
  <c r="F5467" i="1"/>
  <c r="E5467" i="1"/>
  <c r="F5466" i="1"/>
  <c r="E5466" i="1"/>
  <c r="F5465" i="1"/>
  <c r="E5465" i="1"/>
  <c r="F5464" i="1"/>
  <c r="E5464" i="1"/>
  <c r="F5463" i="1"/>
  <c r="E5463" i="1"/>
  <c r="F5462" i="1"/>
  <c r="E5462" i="1"/>
  <c r="F5461" i="1"/>
  <c r="E5461" i="1"/>
  <c r="F5460" i="1"/>
  <c r="E5460" i="1"/>
  <c r="F5459" i="1"/>
  <c r="E5459" i="1"/>
  <c r="F5458" i="1"/>
  <c r="F5457" i="1"/>
  <c r="E5457" i="1"/>
  <c r="F5456" i="1"/>
  <c r="E5456" i="1"/>
  <c r="F5455" i="1"/>
  <c r="E5455" i="1"/>
  <c r="F5454" i="1"/>
  <c r="E5454" i="1"/>
  <c r="F5453" i="1"/>
  <c r="E5453" i="1"/>
  <c r="F5452" i="1"/>
  <c r="E5452" i="1"/>
  <c r="F5451" i="1"/>
  <c r="E5451" i="1"/>
  <c r="F5450" i="1"/>
  <c r="E5450" i="1"/>
  <c r="F5449" i="1"/>
  <c r="E5449" i="1"/>
  <c r="F5448" i="1"/>
  <c r="E5448" i="1"/>
  <c r="F5447" i="1"/>
  <c r="E5447" i="1"/>
  <c r="F5446" i="1"/>
  <c r="E5446" i="1"/>
  <c r="F5445" i="1"/>
  <c r="E5445" i="1"/>
  <c r="F5444" i="1"/>
  <c r="E5444" i="1"/>
  <c r="F5443" i="1"/>
  <c r="E5443" i="1"/>
  <c r="F5442" i="1"/>
  <c r="E5442" i="1"/>
  <c r="F5441" i="1"/>
  <c r="E5441" i="1"/>
  <c r="F5440" i="1"/>
  <c r="E5440" i="1"/>
  <c r="F5439" i="1"/>
  <c r="E5439" i="1"/>
  <c r="F5438" i="1"/>
  <c r="E5438" i="1"/>
  <c r="F5437" i="1"/>
  <c r="E5437" i="1"/>
  <c r="F5436" i="1"/>
  <c r="E5436" i="1"/>
  <c r="F5435" i="1"/>
  <c r="E5435" i="1"/>
  <c r="F5434" i="1"/>
  <c r="E5434" i="1"/>
  <c r="F5433" i="1"/>
  <c r="E5433" i="1"/>
  <c r="F5432" i="1"/>
  <c r="E5432" i="1"/>
  <c r="F5431" i="1"/>
  <c r="E5431" i="1"/>
  <c r="F5430" i="1"/>
  <c r="E5430" i="1"/>
  <c r="F5429" i="1"/>
  <c r="E5429" i="1"/>
  <c r="F5428" i="1"/>
  <c r="E5428" i="1"/>
  <c r="F5427" i="1"/>
  <c r="E5427" i="1"/>
  <c r="F5426" i="1"/>
  <c r="F5425" i="1"/>
  <c r="E5425" i="1"/>
  <c r="F5424" i="1"/>
  <c r="E5424" i="1"/>
  <c r="F5423" i="1"/>
  <c r="E5423" i="1"/>
  <c r="F5422" i="1"/>
  <c r="E5422" i="1"/>
  <c r="F5421" i="1"/>
  <c r="E5421" i="1"/>
  <c r="F5420" i="1"/>
  <c r="E5420" i="1"/>
  <c r="F5419" i="1"/>
  <c r="E5419" i="1"/>
  <c r="F5418" i="1"/>
  <c r="E5418" i="1"/>
  <c r="F5417" i="1"/>
  <c r="E5417" i="1"/>
  <c r="F5416" i="1"/>
  <c r="E5416" i="1"/>
  <c r="F5415" i="1"/>
  <c r="E5415" i="1"/>
  <c r="F5414" i="1"/>
  <c r="E5414" i="1"/>
  <c r="F5413" i="1"/>
  <c r="E5413" i="1"/>
  <c r="F5412" i="1"/>
  <c r="E5412" i="1"/>
  <c r="F5411" i="1"/>
  <c r="E5411" i="1"/>
  <c r="F5410" i="1"/>
  <c r="E5410" i="1"/>
  <c r="F5409" i="1"/>
  <c r="E5409" i="1"/>
  <c r="F5408" i="1"/>
  <c r="E5408" i="1"/>
  <c r="F5407" i="1"/>
  <c r="E5407" i="1"/>
  <c r="F5406" i="1"/>
  <c r="E5406" i="1"/>
  <c r="F5405" i="1"/>
  <c r="E5405" i="1"/>
  <c r="F5404" i="1"/>
  <c r="E5404" i="1"/>
  <c r="F5403" i="1"/>
  <c r="E5403" i="1"/>
  <c r="F5402" i="1"/>
  <c r="E5402" i="1"/>
  <c r="F5401" i="1"/>
  <c r="E5401" i="1"/>
  <c r="F5400" i="1"/>
  <c r="E5400" i="1"/>
  <c r="F5399" i="1"/>
  <c r="E5399" i="1"/>
  <c r="F5398" i="1"/>
  <c r="E5398" i="1"/>
  <c r="F5397" i="1"/>
  <c r="E5397" i="1"/>
  <c r="F5396" i="1"/>
  <c r="E5396" i="1"/>
  <c r="F5395" i="1"/>
  <c r="E5395" i="1"/>
  <c r="F5394" i="1"/>
  <c r="E5394" i="1"/>
  <c r="F5393" i="1"/>
  <c r="E5393" i="1"/>
  <c r="F5392" i="1"/>
  <c r="E5392" i="1"/>
  <c r="F5391" i="1"/>
  <c r="E5391" i="1"/>
  <c r="F5390" i="1"/>
  <c r="E5390" i="1"/>
  <c r="F5389" i="1"/>
  <c r="E5389" i="1"/>
  <c r="F5388" i="1"/>
  <c r="E5388" i="1"/>
  <c r="F5387" i="1"/>
  <c r="E5387" i="1"/>
  <c r="F5386" i="1"/>
  <c r="E5386" i="1"/>
  <c r="F5385" i="1"/>
  <c r="E5385" i="1"/>
  <c r="F5384" i="1"/>
  <c r="E5384" i="1"/>
  <c r="F5383" i="1"/>
  <c r="E5383" i="1"/>
  <c r="F5382" i="1"/>
  <c r="E5382" i="1"/>
  <c r="F5381" i="1"/>
  <c r="E5381" i="1"/>
  <c r="F5380" i="1"/>
  <c r="E5380" i="1"/>
  <c r="F5379" i="1"/>
  <c r="E5379" i="1"/>
  <c r="F5378" i="1"/>
  <c r="E5378" i="1"/>
  <c r="F5377" i="1"/>
  <c r="E5377" i="1"/>
  <c r="F5376" i="1"/>
  <c r="E5376" i="1"/>
  <c r="F5375" i="1"/>
  <c r="E5375" i="1"/>
  <c r="F5374" i="1"/>
  <c r="F5373" i="1"/>
  <c r="E5373" i="1"/>
  <c r="F5372" i="1"/>
  <c r="E5372" i="1"/>
  <c r="F5371" i="1"/>
  <c r="E5371" i="1"/>
  <c r="F5370" i="1"/>
  <c r="E5370" i="1"/>
  <c r="F5369" i="1"/>
  <c r="E5369" i="1"/>
  <c r="F5368" i="1"/>
  <c r="E5368" i="1"/>
  <c r="F5367" i="1"/>
  <c r="E5367" i="1"/>
  <c r="F5366" i="1"/>
  <c r="E5366" i="1"/>
  <c r="F5365" i="1"/>
  <c r="E5365" i="1"/>
  <c r="F5364" i="1"/>
  <c r="E5364" i="1"/>
  <c r="F5363" i="1"/>
  <c r="E5363" i="1"/>
  <c r="F5362" i="1"/>
  <c r="E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E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E5334" i="1"/>
  <c r="F5333" i="1"/>
  <c r="E5333" i="1"/>
  <c r="F5332" i="1"/>
  <c r="E5332" i="1"/>
  <c r="F5331" i="1"/>
  <c r="F5330" i="1"/>
  <c r="F5329" i="1"/>
  <c r="F5328" i="1"/>
  <c r="E5328" i="1"/>
  <c r="F5327" i="1"/>
  <c r="E5327" i="1"/>
  <c r="F5326" i="1"/>
  <c r="E5326" i="1"/>
  <c r="F5325" i="1"/>
  <c r="E5325" i="1"/>
  <c r="F5324" i="1"/>
  <c r="E5324" i="1"/>
  <c r="F5323" i="1"/>
  <c r="E5323" i="1"/>
  <c r="F5322" i="1"/>
  <c r="E5322" i="1"/>
  <c r="F5321" i="1"/>
  <c r="E5321" i="1"/>
  <c r="F5320" i="1"/>
  <c r="E5320" i="1"/>
  <c r="F5319" i="1"/>
  <c r="E5319" i="1"/>
  <c r="F5318" i="1"/>
  <c r="E5318" i="1"/>
  <c r="F5317" i="1"/>
  <c r="E5317" i="1"/>
  <c r="F5316" i="1"/>
  <c r="E5316" i="1"/>
  <c r="F5315" i="1"/>
  <c r="E5315" i="1"/>
  <c r="F5314" i="1"/>
  <c r="E5314" i="1"/>
  <c r="F5313" i="1"/>
  <c r="E5313" i="1"/>
  <c r="F5312" i="1"/>
  <c r="E5312" i="1"/>
  <c r="F5311" i="1"/>
  <c r="E5311" i="1"/>
  <c r="F5310" i="1"/>
  <c r="E5310" i="1"/>
  <c r="F5309" i="1"/>
  <c r="E5309" i="1"/>
  <c r="F5308" i="1"/>
  <c r="E5308" i="1"/>
  <c r="F5307" i="1"/>
  <c r="E5307" i="1"/>
  <c r="F5306" i="1"/>
  <c r="E5306" i="1"/>
  <c r="F5305" i="1"/>
  <c r="E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E5282" i="1"/>
  <c r="F5281" i="1"/>
  <c r="E5281" i="1"/>
  <c r="F5280" i="1"/>
  <c r="E5280" i="1"/>
  <c r="F5279" i="1"/>
  <c r="E5279" i="1"/>
  <c r="F5278" i="1"/>
  <c r="E5278" i="1"/>
  <c r="F5277" i="1"/>
  <c r="E5277" i="1"/>
  <c r="F5276" i="1"/>
  <c r="E5276" i="1"/>
  <c r="F5275" i="1"/>
  <c r="E5275" i="1"/>
  <c r="F5274" i="1"/>
  <c r="E5274" i="1"/>
  <c r="F5273" i="1"/>
  <c r="E5273" i="1"/>
  <c r="F5272" i="1"/>
  <c r="E5272" i="1"/>
  <c r="F5271" i="1"/>
  <c r="E5271" i="1"/>
  <c r="F5270" i="1"/>
  <c r="E5270" i="1"/>
  <c r="F5269" i="1"/>
  <c r="E5269" i="1"/>
  <c r="F5268" i="1"/>
  <c r="E5268" i="1"/>
  <c r="F5267" i="1"/>
  <c r="E5267" i="1"/>
  <c r="F5266" i="1"/>
  <c r="E5266" i="1"/>
  <c r="F5265" i="1"/>
  <c r="E5265" i="1"/>
  <c r="F5264" i="1"/>
  <c r="E5264" i="1"/>
  <c r="F5263" i="1"/>
  <c r="E5263" i="1"/>
  <c r="F5262" i="1"/>
  <c r="F5261" i="1"/>
  <c r="F5260" i="1"/>
  <c r="F5259" i="1"/>
  <c r="E5259" i="1"/>
  <c r="F5258" i="1"/>
  <c r="E5258" i="1"/>
  <c r="F5257" i="1"/>
  <c r="E5257" i="1"/>
  <c r="F5256" i="1"/>
  <c r="E5256" i="1"/>
  <c r="F5255" i="1"/>
  <c r="E5255" i="1"/>
  <c r="F5254" i="1"/>
  <c r="E5254" i="1"/>
  <c r="F5253" i="1"/>
  <c r="E5253" i="1"/>
  <c r="F5252" i="1"/>
  <c r="E5252" i="1"/>
  <c r="F5251" i="1"/>
  <c r="E5251" i="1"/>
  <c r="F5250" i="1"/>
  <c r="E5250" i="1"/>
  <c r="F5249" i="1"/>
  <c r="E5249" i="1"/>
  <c r="F5248" i="1"/>
  <c r="E5248" i="1"/>
  <c r="F5247" i="1"/>
  <c r="E5247" i="1"/>
  <c r="F5246" i="1"/>
  <c r="E5246" i="1"/>
  <c r="F5245" i="1"/>
  <c r="E5245" i="1"/>
  <c r="F5244" i="1"/>
  <c r="E5244" i="1"/>
  <c r="F5243" i="1"/>
  <c r="E5243" i="1"/>
  <c r="F5242" i="1"/>
  <c r="E5242" i="1"/>
  <c r="F5241" i="1"/>
  <c r="E5241" i="1"/>
  <c r="F5240" i="1"/>
  <c r="E5240" i="1"/>
  <c r="F5239" i="1"/>
  <c r="E5239" i="1"/>
  <c r="F5238" i="1"/>
  <c r="E5238" i="1"/>
  <c r="F5237" i="1"/>
  <c r="E5237" i="1"/>
  <c r="F5236" i="1"/>
  <c r="E5236" i="1"/>
  <c r="F5235" i="1"/>
  <c r="E5235" i="1"/>
  <c r="F5234" i="1"/>
  <c r="E5234" i="1"/>
  <c r="F5233" i="1"/>
  <c r="E5233" i="1"/>
  <c r="F5232" i="1"/>
  <c r="E5232" i="1"/>
  <c r="F5231" i="1"/>
  <c r="E5231" i="1"/>
  <c r="F5230" i="1"/>
  <c r="E5230" i="1"/>
  <c r="F5229" i="1"/>
  <c r="E5229" i="1"/>
  <c r="F5228" i="1"/>
  <c r="E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E5203" i="1"/>
  <c r="F5202" i="1"/>
  <c r="E5202" i="1"/>
  <c r="F5201" i="1"/>
  <c r="E5201" i="1"/>
  <c r="F5200" i="1"/>
  <c r="E5200" i="1"/>
  <c r="F5199" i="1"/>
  <c r="E5199" i="1"/>
  <c r="F5198" i="1"/>
  <c r="E5198" i="1"/>
  <c r="F5197" i="1"/>
  <c r="E5197" i="1"/>
  <c r="F5196" i="1"/>
  <c r="E5196" i="1"/>
  <c r="F5195" i="1"/>
  <c r="E5195" i="1"/>
  <c r="F5194" i="1"/>
  <c r="E5194" i="1"/>
  <c r="F5193" i="1"/>
  <c r="E5193" i="1"/>
  <c r="F5192" i="1"/>
  <c r="E5192" i="1"/>
  <c r="F5191" i="1"/>
  <c r="E5191" i="1"/>
  <c r="F5190" i="1"/>
  <c r="E5190" i="1"/>
  <c r="F5189" i="1"/>
  <c r="E5189" i="1"/>
  <c r="F5188" i="1"/>
  <c r="E5188" i="1"/>
  <c r="F5187" i="1"/>
  <c r="E5187" i="1"/>
  <c r="F5186" i="1"/>
  <c r="E5186" i="1"/>
  <c r="F5185" i="1"/>
  <c r="E5185" i="1"/>
  <c r="F5184" i="1"/>
  <c r="E5184" i="1"/>
  <c r="F5183" i="1"/>
  <c r="E5183" i="1"/>
  <c r="F5182" i="1"/>
  <c r="E5182" i="1"/>
  <c r="F5181" i="1"/>
  <c r="E5181" i="1"/>
  <c r="F5180" i="1"/>
  <c r="E5180" i="1"/>
  <c r="F5179" i="1"/>
  <c r="E5179" i="1"/>
  <c r="F5178" i="1"/>
  <c r="E5178" i="1"/>
  <c r="F5177" i="1"/>
  <c r="E5177" i="1"/>
  <c r="F5176" i="1"/>
  <c r="E5176" i="1"/>
  <c r="F5175" i="1"/>
  <c r="E5175" i="1"/>
  <c r="F5174" i="1"/>
  <c r="E5174" i="1"/>
  <c r="F5173" i="1"/>
  <c r="E5173" i="1"/>
  <c r="F5172" i="1"/>
  <c r="E5172" i="1"/>
  <c r="F5171" i="1"/>
  <c r="E5171" i="1"/>
  <c r="F5170" i="1"/>
  <c r="E5170" i="1"/>
  <c r="F5169" i="1"/>
  <c r="E5169" i="1"/>
  <c r="F5168" i="1"/>
  <c r="E5168" i="1"/>
  <c r="F5167" i="1"/>
  <c r="E5167" i="1"/>
  <c r="F5166" i="1"/>
  <c r="E5166" i="1"/>
  <c r="F5165" i="1"/>
  <c r="E5165" i="1"/>
  <c r="F5164" i="1"/>
  <c r="E5164" i="1"/>
  <c r="F5163" i="1"/>
  <c r="F5162" i="1"/>
  <c r="E5162" i="1"/>
  <c r="F5161" i="1"/>
  <c r="E5161" i="1"/>
  <c r="F5160" i="1"/>
  <c r="E5160" i="1"/>
  <c r="F5159" i="1"/>
  <c r="E5159" i="1"/>
  <c r="F5158" i="1"/>
  <c r="E5158" i="1"/>
  <c r="F5157" i="1"/>
  <c r="E5157" i="1"/>
  <c r="F5156" i="1"/>
  <c r="E5156" i="1"/>
  <c r="F5155" i="1"/>
  <c r="E5155" i="1"/>
  <c r="F5154" i="1"/>
  <c r="E5154" i="1"/>
  <c r="F5153" i="1"/>
  <c r="F5152" i="1"/>
  <c r="E5152" i="1"/>
  <c r="F5151" i="1"/>
  <c r="E5151" i="1"/>
  <c r="F5150" i="1"/>
  <c r="E5150" i="1"/>
  <c r="F5149" i="1"/>
  <c r="E5149" i="1"/>
  <c r="F5148" i="1"/>
  <c r="E5148" i="1"/>
  <c r="F5147" i="1"/>
  <c r="E5147" i="1"/>
  <c r="F5146" i="1"/>
  <c r="E5146" i="1"/>
  <c r="F5145" i="1"/>
  <c r="E5145" i="1"/>
  <c r="F5144" i="1"/>
  <c r="E5144" i="1"/>
  <c r="F5143" i="1"/>
  <c r="E5143" i="1"/>
  <c r="F5142" i="1"/>
  <c r="E5142" i="1"/>
  <c r="F5141" i="1"/>
  <c r="E5141" i="1"/>
  <c r="F5140" i="1"/>
  <c r="E5140" i="1"/>
  <c r="F5139" i="1"/>
  <c r="E5139" i="1"/>
  <c r="F5138" i="1"/>
  <c r="E5138" i="1"/>
  <c r="F5137" i="1"/>
  <c r="E5137" i="1"/>
  <c r="F5136" i="1"/>
  <c r="E5136" i="1"/>
  <c r="F5135" i="1"/>
  <c r="E5135" i="1"/>
  <c r="F5134" i="1"/>
  <c r="E5134" i="1"/>
  <c r="F5133" i="1"/>
  <c r="E5133" i="1"/>
  <c r="F5132" i="1"/>
  <c r="E5132" i="1"/>
  <c r="F5131" i="1"/>
  <c r="E5131" i="1"/>
  <c r="F5130" i="1"/>
  <c r="E5130" i="1"/>
  <c r="F5129" i="1"/>
  <c r="E5129" i="1"/>
  <c r="F5128" i="1"/>
  <c r="E5128" i="1"/>
  <c r="F5127" i="1"/>
  <c r="E5127" i="1"/>
  <c r="F5126" i="1"/>
  <c r="E5126" i="1"/>
  <c r="F5125" i="1"/>
  <c r="E5125" i="1"/>
  <c r="F5124" i="1"/>
  <c r="E5124" i="1"/>
  <c r="F5123" i="1"/>
  <c r="E5123" i="1"/>
  <c r="F5122" i="1"/>
  <c r="F5121" i="1"/>
  <c r="E5121" i="1"/>
  <c r="F5120" i="1"/>
  <c r="E5120" i="1"/>
  <c r="F5119" i="1"/>
  <c r="E5119" i="1"/>
  <c r="F5118" i="1"/>
  <c r="E5118" i="1"/>
  <c r="F5117" i="1"/>
  <c r="E5117" i="1"/>
  <c r="F5116" i="1"/>
  <c r="E5116" i="1"/>
  <c r="F5115" i="1"/>
  <c r="E5115" i="1"/>
  <c r="F5114" i="1"/>
  <c r="E5114" i="1"/>
  <c r="F5113" i="1"/>
  <c r="E5113" i="1"/>
  <c r="F5112" i="1"/>
  <c r="E5112" i="1"/>
  <c r="F5111" i="1"/>
  <c r="E5111" i="1"/>
  <c r="F5110" i="1"/>
  <c r="E5110" i="1"/>
  <c r="F5109" i="1"/>
  <c r="F5108" i="1"/>
  <c r="E5108" i="1"/>
  <c r="F5107" i="1"/>
  <c r="E5107" i="1"/>
  <c r="F5106" i="1"/>
  <c r="E5106" i="1"/>
  <c r="F5105" i="1"/>
  <c r="E5105" i="1"/>
  <c r="F5104" i="1"/>
  <c r="E5104" i="1"/>
  <c r="F5103" i="1"/>
  <c r="E5103" i="1"/>
  <c r="F5102" i="1"/>
  <c r="E5102" i="1"/>
  <c r="F5101" i="1"/>
  <c r="E5101" i="1"/>
  <c r="F5100" i="1"/>
  <c r="E5100" i="1"/>
  <c r="F5099" i="1"/>
  <c r="E5099" i="1"/>
  <c r="F5098" i="1"/>
  <c r="E5098" i="1"/>
  <c r="F5097" i="1"/>
  <c r="E5097" i="1"/>
  <c r="F5096" i="1"/>
  <c r="E5096" i="1"/>
  <c r="F5095" i="1"/>
  <c r="E5095" i="1"/>
  <c r="F5094" i="1"/>
  <c r="E5094" i="1"/>
  <c r="F5093" i="1"/>
  <c r="E5093" i="1"/>
  <c r="F5092" i="1"/>
  <c r="E5092" i="1"/>
  <c r="F5091" i="1"/>
  <c r="E5091" i="1"/>
  <c r="F5090" i="1"/>
  <c r="E5090" i="1"/>
  <c r="F5089" i="1"/>
  <c r="E5089" i="1"/>
  <c r="F5088" i="1"/>
  <c r="E5088" i="1"/>
  <c r="F5087" i="1"/>
  <c r="E5087" i="1"/>
  <c r="F5086" i="1"/>
  <c r="E5086" i="1"/>
  <c r="F5085" i="1"/>
  <c r="E5085" i="1"/>
  <c r="F5084" i="1"/>
  <c r="E5084" i="1"/>
  <c r="F5083" i="1"/>
  <c r="F5082" i="1"/>
  <c r="E5082" i="1"/>
  <c r="F5081" i="1"/>
  <c r="E5081" i="1"/>
  <c r="F5080" i="1"/>
  <c r="E5080" i="1"/>
  <c r="F5079" i="1"/>
  <c r="E5079" i="1"/>
  <c r="F5078" i="1"/>
  <c r="E5078" i="1"/>
  <c r="F5077" i="1"/>
  <c r="F5076" i="1"/>
  <c r="E5076" i="1"/>
  <c r="F5075" i="1"/>
  <c r="E5075" i="1"/>
  <c r="F5074" i="1"/>
  <c r="F5073" i="1"/>
  <c r="E5073" i="1"/>
  <c r="F5072" i="1"/>
  <c r="E5072" i="1"/>
  <c r="F5071" i="1"/>
  <c r="E5071" i="1"/>
  <c r="F5070" i="1"/>
  <c r="E5070" i="1"/>
  <c r="F5069" i="1"/>
  <c r="F5068" i="1"/>
  <c r="F5067" i="1"/>
  <c r="E5067" i="1"/>
  <c r="F5066" i="1"/>
  <c r="E5066" i="1"/>
  <c r="F5065" i="1"/>
  <c r="E5065" i="1"/>
  <c r="F5064" i="1"/>
  <c r="E5064" i="1"/>
  <c r="F5063" i="1"/>
  <c r="E5063" i="1"/>
  <c r="F5062" i="1"/>
  <c r="E5062" i="1"/>
  <c r="F5061" i="1"/>
  <c r="F5060" i="1"/>
  <c r="E5060" i="1"/>
  <c r="F5059" i="1"/>
  <c r="E5059" i="1"/>
  <c r="F5058" i="1"/>
  <c r="E5058" i="1"/>
  <c r="F5057" i="1"/>
  <c r="E5057" i="1"/>
  <c r="F5056" i="1"/>
  <c r="E5056" i="1"/>
  <c r="F5055" i="1"/>
  <c r="E5055" i="1"/>
  <c r="F5054" i="1"/>
  <c r="E5054" i="1"/>
  <c r="F5053" i="1"/>
  <c r="E5053" i="1"/>
  <c r="F5052" i="1"/>
  <c r="E5052" i="1"/>
  <c r="F5051" i="1"/>
  <c r="E5051" i="1"/>
  <c r="F5050" i="1"/>
  <c r="E5050" i="1"/>
  <c r="F5049" i="1"/>
  <c r="E5049" i="1"/>
  <c r="F5048" i="1"/>
  <c r="E5048" i="1"/>
  <c r="F5047" i="1"/>
  <c r="E5047" i="1"/>
  <c r="F5046" i="1"/>
  <c r="E5046" i="1"/>
  <c r="F5045" i="1"/>
  <c r="E5045" i="1"/>
  <c r="F5044" i="1"/>
  <c r="E5044" i="1"/>
  <c r="F5043" i="1"/>
  <c r="E5043" i="1"/>
  <c r="F5042" i="1"/>
  <c r="E5042" i="1"/>
  <c r="F5041" i="1"/>
  <c r="E5041" i="1"/>
  <c r="F5040" i="1"/>
  <c r="E5040" i="1"/>
  <c r="F5039" i="1"/>
  <c r="E5039" i="1"/>
  <c r="F5038" i="1"/>
  <c r="E5038" i="1"/>
  <c r="F5037" i="1"/>
  <c r="E5037" i="1"/>
  <c r="F5036" i="1"/>
  <c r="E5036" i="1"/>
  <c r="F5035" i="1"/>
  <c r="E5035" i="1"/>
  <c r="F5034" i="1"/>
  <c r="F5033" i="1"/>
  <c r="E5033" i="1"/>
  <c r="F5032" i="1"/>
  <c r="E5032" i="1"/>
  <c r="F5031" i="1"/>
  <c r="E5031" i="1"/>
  <c r="F5030" i="1"/>
  <c r="E5030" i="1"/>
  <c r="F5029" i="1"/>
  <c r="E5029" i="1"/>
  <c r="F5028" i="1"/>
  <c r="E5028" i="1"/>
  <c r="F5027" i="1"/>
  <c r="E5027" i="1"/>
  <c r="F5026" i="1"/>
  <c r="E5026" i="1"/>
  <c r="F5025" i="1"/>
  <c r="E5025" i="1"/>
  <c r="F5024" i="1"/>
  <c r="E5024" i="1"/>
  <c r="F5023" i="1"/>
  <c r="F5022" i="1"/>
  <c r="F5021" i="1"/>
  <c r="E5021" i="1"/>
  <c r="F5020" i="1"/>
  <c r="E5020" i="1"/>
  <c r="F5019" i="1"/>
  <c r="E5019" i="1"/>
  <c r="F5018" i="1"/>
  <c r="E5018" i="1"/>
  <c r="F5017" i="1"/>
  <c r="E5017" i="1"/>
  <c r="F5016" i="1"/>
  <c r="F5015" i="1"/>
  <c r="E5015" i="1"/>
  <c r="F5014" i="1"/>
  <c r="F5013" i="1"/>
  <c r="F5012" i="1"/>
  <c r="E5012" i="1"/>
  <c r="F5011" i="1"/>
  <c r="F5010" i="1"/>
  <c r="E5010" i="1"/>
  <c r="F5009" i="1"/>
  <c r="E5009" i="1"/>
  <c r="F5008" i="1"/>
  <c r="E5008" i="1"/>
  <c r="F5007" i="1"/>
  <c r="F5006" i="1"/>
  <c r="F5005" i="1"/>
  <c r="E5005" i="1"/>
  <c r="F5004" i="1"/>
  <c r="E5004" i="1"/>
  <c r="F5003" i="1"/>
  <c r="E5003" i="1"/>
  <c r="F5002" i="1"/>
  <c r="E5002" i="1"/>
  <c r="F5001" i="1"/>
  <c r="F5000" i="1"/>
  <c r="E5000" i="1"/>
  <c r="F4999" i="1"/>
  <c r="E4999" i="1"/>
  <c r="F4998" i="1"/>
  <c r="E4998" i="1"/>
  <c r="F4997" i="1"/>
  <c r="E4997" i="1"/>
  <c r="F4996" i="1"/>
  <c r="E4996" i="1"/>
  <c r="F4995" i="1"/>
  <c r="E4995" i="1"/>
  <c r="F4994" i="1"/>
  <c r="E4994" i="1"/>
  <c r="F4993" i="1"/>
  <c r="E4993" i="1"/>
  <c r="F4992" i="1"/>
  <c r="E4992" i="1"/>
  <c r="F4991" i="1"/>
  <c r="E4991" i="1"/>
  <c r="F4990" i="1"/>
  <c r="E4990" i="1"/>
  <c r="F4989" i="1"/>
  <c r="E4989" i="1"/>
  <c r="F4988" i="1"/>
  <c r="E4988" i="1"/>
  <c r="F4987" i="1"/>
  <c r="E4987" i="1"/>
  <c r="F4986" i="1"/>
  <c r="E4986" i="1"/>
  <c r="F4985" i="1"/>
  <c r="E4985" i="1"/>
  <c r="F4984" i="1"/>
  <c r="E4984" i="1"/>
  <c r="F4983" i="1"/>
  <c r="E4983" i="1"/>
  <c r="F4982" i="1"/>
  <c r="E4982" i="1"/>
  <c r="F4981" i="1"/>
  <c r="F4980" i="1"/>
  <c r="F4979" i="1"/>
  <c r="E4979" i="1"/>
  <c r="F4978" i="1"/>
  <c r="E4978" i="1"/>
  <c r="F4977" i="1"/>
  <c r="E4977" i="1"/>
  <c r="F4976" i="1"/>
  <c r="E4976" i="1"/>
  <c r="F4975" i="1"/>
  <c r="E4975" i="1"/>
  <c r="F4974" i="1"/>
  <c r="E4974" i="1"/>
  <c r="F4973" i="1"/>
  <c r="E4973" i="1"/>
  <c r="F4972" i="1"/>
  <c r="E4972" i="1"/>
  <c r="F4971" i="1"/>
  <c r="E4971" i="1"/>
  <c r="F4970" i="1"/>
  <c r="F4969" i="1"/>
  <c r="F4968" i="1"/>
  <c r="E4968" i="1"/>
  <c r="F4967" i="1"/>
  <c r="E4967" i="1"/>
  <c r="F4966" i="1"/>
  <c r="E4966" i="1"/>
  <c r="F4965" i="1"/>
  <c r="E4965" i="1"/>
  <c r="F4964" i="1"/>
  <c r="F4963" i="1"/>
  <c r="E4963" i="1"/>
  <c r="F4962" i="1"/>
  <c r="E4962" i="1"/>
  <c r="F4961" i="1"/>
  <c r="E4961" i="1"/>
  <c r="F4960" i="1"/>
  <c r="E4960" i="1"/>
  <c r="F4959" i="1"/>
  <c r="E4959" i="1"/>
  <c r="F4958" i="1"/>
  <c r="E4958" i="1"/>
  <c r="F4957" i="1"/>
  <c r="E4957" i="1"/>
  <c r="F4956" i="1"/>
  <c r="E4956" i="1"/>
  <c r="F4955" i="1"/>
  <c r="E4955" i="1"/>
  <c r="F4954" i="1"/>
  <c r="E4954" i="1"/>
  <c r="F4953" i="1"/>
  <c r="E4953" i="1"/>
  <c r="F4952" i="1"/>
  <c r="E4952" i="1"/>
  <c r="F4951" i="1"/>
  <c r="F4950" i="1"/>
  <c r="E4950" i="1"/>
  <c r="F4949" i="1"/>
  <c r="E4949" i="1"/>
  <c r="F4948" i="1"/>
  <c r="E4948" i="1"/>
  <c r="F4947" i="1"/>
  <c r="E4947" i="1"/>
  <c r="F4946" i="1"/>
  <c r="E4946" i="1"/>
  <c r="F4945" i="1"/>
  <c r="E4945" i="1"/>
  <c r="F4944" i="1"/>
  <c r="E4944" i="1"/>
  <c r="F4943" i="1"/>
  <c r="E4943" i="1"/>
  <c r="F4942" i="1"/>
  <c r="F4941" i="1"/>
  <c r="E4941" i="1"/>
  <c r="F4940" i="1"/>
  <c r="E4940" i="1"/>
  <c r="F4939" i="1"/>
  <c r="E4939" i="1"/>
  <c r="F4938" i="1"/>
  <c r="E4938" i="1"/>
  <c r="F4937" i="1"/>
  <c r="E4937" i="1"/>
  <c r="F4936" i="1"/>
  <c r="E4936" i="1"/>
  <c r="F4935" i="1"/>
  <c r="E4935" i="1"/>
  <c r="F4934" i="1"/>
  <c r="E4934" i="1"/>
  <c r="F4933" i="1"/>
  <c r="E4933" i="1"/>
  <c r="F4932" i="1"/>
  <c r="E4932" i="1"/>
  <c r="F4931" i="1"/>
  <c r="E4931" i="1"/>
  <c r="F4930" i="1"/>
  <c r="E4930" i="1"/>
  <c r="F4929" i="1"/>
  <c r="E4929" i="1"/>
  <c r="F4928" i="1"/>
  <c r="E4928" i="1"/>
  <c r="F4927" i="1"/>
  <c r="E4927" i="1"/>
  <c r="F4926" i="1"/>
  <c r="E4926" i="1"/>
  <c r="F4925" i="1"/>
  <c r="E4925" i="1"/>
  <c r="F4924" i="1"/>
  <c r="E4924" i="1"/>
  <c r="F4923" i="1"/>
  <c r="E4923" i="1"/>
  <c r="F4922" i="1"/>
  <c r="E4922" i="1"/>
  <c r="F4921" i="1"/>
  <c r="E4921" i="1"/>
  <c r="F4920" i="1"/>
  <c r="F4919" i="1"/>
  <c r="E4919" i="1"/>
  <c r="F4918" i="1"/>
  <c r="E4918" i="1"/>
  <c r="F4917" i="1"/>
  <c r="E4917" i="1"/>
  <c r="F4916" i="1"/>
  <c r="F4915" i="1"/>
  <c r="E4915" i="1"/>
  <c r="F4914" i="1"/>
  <c r="E4914" i="1"/>
  <c r="F4913" i="1"/>
  <c r="E4913" i="1"/>
  <c r="F4912" i="1"/>
  <c r="E4912" i="1"/>
  <c r="F4911" i="1"/>
  <c r="E4911" i="1"/>
  <c r="F4910" i="1"/>
  <c r="E4910" i="1"/>
  <c r="F4909" i="1"/>
  <c r="E4909" i="1"/>
  <c r="F4908" i="1"/>
  <c r="E4908" i="1"/>
  <c r="F4907" i="1"/>
  <c r="E4907" i="1"/>
  <c r="F4906" i="1"/>
  <c r="E4906" i="1"/>
  <c r="F4905" i="1"/>
  <c r="E4905" i="1"/>
  <c r="F4904" i="1"/>
  <c r="E4904" i="1"/>
  <c r="F4903" i="1"/>
  <c r="E4903" i="1"/>
  <c r="F4902" i="1"/>
  <c r="E4902" i="1"/>
  <c r="F4901" i="1"/>
  <c r="E4901" i="1"/>
  <c r="F4900" i="1"/>
  <c r="E4900" i="1"/>
  <c r="F4899" i="1"/>
  <c r="E4899" i="1"/>
  <c r="F4898" i="1"/>
  <c r="E4898" i="1"/>
  <c r="F4897" i="1"/>
  <c r="E4897" i="1"/>
  <c r="F4896" i="1"/>
  <c r="E4896" i="1"/>
  <c r="F4895" i="1"/>
  <c r="E4895" i="1"/>
  <c r="F4894" i="1"/>
  <c r="E4894" i="1"/>
  <c r="F4893" i="1"/>
  <c r="E4893" i="1"/>
  <c r="F4892" i="1"/>
  <c r="E4892" i="1"/>
  <c r="F4891" i="1"/>
  <c r="F4890" i="1"/>
  <c r="E4890" i="1"/>
  <c r="F4889" i="1"/>
  <c r="E4889" i="1"/>
  <c r="F4888" i="1"/>
  <c r="F4887" i="1"/>
  <c r="E4887" i="1"/>
  <c r="F4886" i="1"/>
  <c r="E4886" i="1"/>
  <c r="F4885" i="1"/>
  <c r="E4885" i="1"/>
  <c r="F4884" i="1"/>
  <c r="E4884" i="1"/>
  <c r="F4883" i="1"/>
  <c r="E4883" i="1"/>
  <c r="F4882" i="1"/>
  <c r="E4882" i="1"/>
  <c r="F4881" i="1"/>
  <c r="E4881" i="1"/>
  <c r="F4880" i="1"/>
  <c r="E4880" i="1"/>
  <c r="F4879" i="1"/>
  <c r="E4879" i="1"/>
  <c r="F4878" i="1"/>
  <c r="E4878" i="1"/>
  <c r="F4877" i="1"/>
  <c r="E4877" i="1"/>
  <c r="F4876" i="1"/>
  <c r="E4876" i="1"/>
  <c r="F4875" i="1"/>
  <c r="E4875" i="1"/>
  <c r="F4874" i="1"/>
  <c r="E4874" i="1"/>
  <c r="F4873" i="1"/>
  <c r="E4873" i="1"/>
  <c r="F4872" i="1"/>
  <c r="E4872" i="1"/>
  <c r="F4871" i="1"/>
  <c r="E4871" i="1"/>
  <c r="F4870" i="1"/>
  <c r="E4870" i="1"/>
  <c r="F4869" i="1"/>
  <c r="E4869" i="1"/>
  <c r="F4868" i="1"/>
  <c r="E4868" i="1"/>
  <c r="F4867" i="1"/>
  <c r="E4867" i="1"/>
  <c r="F4866" i="1"/>
  <c r="E4866" i="1"/>
  <c r="F4865" i="1"/>
  <c r="E4865" i="1"/>
  <c r="F4864" i="1"/>
  <c r="E4864" i="1"/>
  <c r="F4863" i="1"/>
  <c r="E4863" i="1"/>
  <c r="F4862" i="1"/>
  <c r="E4862" i="1"/>
  <c r="F4861" i="1"/>
  <c r="E4861" i="1"/>
  <c r="F4860" i="1"/>
  <c r="E4860" i="1"/>
  <c r="F4859" i="1"/>
  <c r="E4859" i="1"/>
  <c r="F4858" i="1"/>
  <c r="E4858" i="1"/>
  <c r="F4857" i="1"/>
  <c r="E4857" i="1"/>
  <c r="F4856" i="1"/>
  <c r="E4856" i="1"/>
  <c r="F4855" i="1"/>
  <c r="E4855" i="1"/>
  <c r="F4854" i="1"/>
  <c r="E4854" i="1"/>
  <c r="F4853" i="1"/>
  <c r="E4853" i="1"/>
  <c r="F4852" i="1"/>
  <c r="E4852" i="1"/>
  <c r="F4851" i="1"/>
  <c r="E4851" i="1"/>
  <c r="F4850" i="1"/>
  <c r="E4850" i="1"/>
  <c r="F4849" i="1"/>
  <c r="E4849" i="1"/>
  <c r="F4848" i="1"/>
  <c r="E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E4816" i="1"/>
  <c r="F4815" i="1"/>
  <c r="E4815" i="1"/>
  <c r="F4814" i="1"/>
  <c r="F4813" i="1"/>
  <c r="E4813" i="1"/>
  <c r="F4812" i="1"/>
  <c r="F4811" i="1"/>
  <c r="F4810" i="1"/>
  <c r="F4809" i="1"/>
  <c r="F4808" i="1"/>
  <c r="F4807" i="1"/>
  <c r="F4806" i="1"/>
  <c r="F4805" i="1"/>
  <c r="F4804" i="1"/>
  <c r="F4803" i="1"/>
  <c r="E4803" i="1"/>
  <c r="F4802" i="1"/>
  <c r="E4802" i="1"/>
  <c r="F4801" i="1"/>
  <c r="E4801" i="1"/>
  <c r="F4800" i="1"/>
  <c r="E4800" i="1"/>
  <c r="F4799" i="1"/>
  <c r="E4799" i="1"/>
  <c r="F4798" i="1"/>
  <c r="E4798" i="1"/>
  <c r="F4797" i="1"/>
  <c r="E4797" i="1"/>
  <c r="F4796" i="1"/>
  <c r="E4796" i="1"/>
  <c r="F4795" i="1"/>
  <c r="E4795" i="1"/>
  <c r="F4794" i="1"/>
  <c r="E4794" i="1"/>
  <c r="F4793" i="1"/>
  <c r="E4793" i="1"/>
  <c r="F4792" i="1"/>
  <c r="E4792" i="1"/>
  <c r="F4791" i="1"/>
  <c r="E4791" i="1"/>
  <c r="F4790" i="1"/>
  <c r="E4790" i="1"/>
  <c r="F4789" i="1"/>
  <c r="E4789" i="1"/>
  <c r="F4788" i="1"/>
  <c r="E4788" i="1"/>
  <c r="F4787" i="1"/>
  <c r="E4787" i="1"/>
  <c r="F4786" i="1"/>
  <c r="E4786" i="1"/>
  <c r="F4785" i="1"/>
  <c r="E4785" i="1"/>
  <c r="F4784" i="1"/>
  <c r="F4783" i="1"/>
  <c r="E4783" i="1"/>
  <c r="F4782" i="1"/>
  <c r="E4782" i="1"/>
  <c r="F4781" i="1"/>
  <c r="E4781" i="1"/>
  <c r="F4780" i="1"/>
  <c r="E4780" i="1"/>
  <c r="F4779" i="1"/>
  <c r="E4779" i="1"/>
  <c r="F4778" i="1"/>
  <c r="E4778" i="1"/>
  <c r="F4777" i="1"/>
  <c r="E4777" i="1"/>
  <c r="F4776" i="1"/>
  <c r="E4776" i="1"/>
  <c r="F4775" i="1"/>
  <c r="E4775" i="1"/>
  <c r="F4774" i="1"/>
  <c r="E4774" i="1"/>
  <c r="F4773" i="1"/>
  <c r="F4772" i="1"/>
  <c r="F4771" i="1"/>
  <c r="E4771" i="1"/>
  <c r="F4770" i="1"/>
  <c r="E4770" i="1"/>
  <c r="F4769" i="1"/>
  <c r="E4769" i="1"/>
  <c r="F4768" i="1"/>
  <c r="E4768" i="1"/>
  <c r="F4767" i="1"/>
  <c r="E4767" i="1"/>
  <c r="F4766" i="1"/>
  <c r="E4766" i="1"/>
  <c r="F4765" i="1"/>
  <c r="E4765" i="1"/>
  <c r="F4764" i="1"/>
  <c r="E4764" i="1"/>
  <c r="F4763" i="1"/>
  <c r="E4763" i="1"/>
  <c r="F4762" i="1"/>
  <c r="E4762" i="1"/>
  <c r="F4761" i="1"/>
  <c r="E4761" i="1"/>
  <c r="F4760" i="1"/>
  <c r="E4760" i="1"/>
  <c r="F4759" i="1"/>
  <c r="E4759" i="1"/>
  <c r="F4758" i="1"/>
  <c r="E4758" i="1"/>
  <c r="F4757" i="1"/>
  <c r="E4757" i="1"/>
  <c r="F4756" i="1"/>
  <c r="E4756" i="1"/>
  <c r="F4755" i="1"/>
  <c r="E4755" i="1"/>
  <c r="F4754" i="1"/>
  <c r="E4754" i="1"/>
  <c r="F4753" i="1"/>
  <c r="E4753" i="1"/>
  <c r="F4752" i="1"/>
  <c r="E4752" i="1"/>
  <c r="F4751" i="1"/>
  <c r="E4751" i="1"/>
  <c r="F4750" i="1"/>
  <c r="E4750" i="1"/>
  <c r="F4749" i="1"/>
  <c r="E4749" i="1"/>
  <c r="F4748" i="1"/>
  <c r="E4748" i="1"/>
  <c r="F4747" i="1"/>
  <c r="E4747" i="1"/>
  <c r="F4746" i="1"/>
  <c r="E4746" i="1"/>
  <c r="F4745" i="1"/>
  <c r="E4745" i="1"/>
  <c r="F4744" i="1"/>
  <c r="E4744" i="1"/>
  <c r="F4743" i="1"/>
  <c r="E4743" i="1"/>
  <c r="F4742" i="1"/>
  <c r="E4742" i="1"/>
  <c r="F4741" i="1"/>
  <c r="E4741" i="1"/>
  <c r="F4740" i="1"/>
  <c r="E4740" i="1"/>
  <c r="F4739" i="1"/>
  <c r="E4739" i="1"/>
  <c r="F4738" i="1"/>
  <c r="E4738" i="1"/>
  <c r="F4737" i="1"/>
  <c r="E4737" i="1"/>
  <c r="F4736" i="1"/>
  <c r="E4736" i="1"/>
  <c r="F4735" i="1"/>
  <c r="E4735" i="1"/>
  <c r="F4734" i="1"/>
  <c r="E4734" i="1"/>
  <c r="F4733" i="1"/>
  <c r="E4733" i="1"/>
  <c r="F4732" i="1"/>
  <c r="E4732" i="1"/>
  <c r="F4731" i="1"/>
  <c r="E4731" i="1"/>
  <c r="F4730" i="1"/>
  <c r="E4730" i="1"/>
  <c r="F4729" i="1"/>
  <c r="E4729" i="1"/>
  <c r="F4728" i="1"/>
  <c r="E4728" i="1"/>
  <c r="F4727" i="1"/>
  <c r="E4727" i="1"/>
  <c r="F4726" i="1"/>
  <c r="E4726" i="1"/>
  <c r="F4725" i="1"/>
  <c r="E4725" i="1"/>
  <c r="F4724" i="1"/>
  <c r="E4724" i="1"/>
  <c r="F4723" i="1"/>
  <c r="E4723" i="1"/>
  <c r="F4722" i="1"/>
  <c r="E4722" i="1"/>
  <c r="F4721" i="1"/>
  <c r="E4721" i="1"/>
  <c r="F4720" i="1"/>
  <c r="E4720" i="1"/>
  <c r="F4719" i="1"/>
  <c r="E4719" i="1"/>
  <c r="F4718" i="1"/>
  <c r="E4718" i="1"/>
  <c r="F4717" i="1"/>
  <c r="E4717" i="1"/>
  <c r="F4716" i="1"/>
  <c r="E4716" i="1"/>
  <c r="F4715" i="1"/>
  <c r="E4715" i="1"/>
  <c r="F4714" i="1"/>
  <c r="E4714" i="1"/>
  <c r="F4713" i="1"/>
  <c r="E4713" i="1"/>
  <c r="F4712" i="1"/>
  <c r="E4712" i="1"/>
  <c r="F4711" i="1"/>
  <c r="E4711" i="1"/>
  <c r="F4710" i="1"/>
  <c r="F4709" i="1"/>
  <c r="E4709" i="1"/>
  <c r="F4708" i="1"/>
  <c r="E4708" i="1"/>
  <c r="F4707" i="1"/>
  <c r="E4707" i="1"/>
  <c r="F4706" i="1"/>
  <c r="E4706" i="1"/>
  <c r="F4705" i="1"/>
  <c r="F4704" i="1"/>
  <c r="E4704" i="1"/>
  <c r="F4703" i="1"/>
  <c r="F4702" i="1"/>
  <c r="E4702" i="1"/>
  <c r="F4701" i="1"/>
  <c r="E4701" i="1"/>
  <c r="F4700" i="1"/>
  <c r="E4700" i="1"/>
  <c r="F4699" i="1"/>
  <c r="E4699" i="1"/>
  <c r="F4698" i="1"/>
  <c r="E4698" i="1"/>
  <c r="F4697" i="1"/>
  <c r="E4697" i="1"/>
  <c r="F4696" i="1"/>
  <c r="E4696" i="1"/>
  <c r="F4695" i="1"/>
  <c r="E4695" i="1"/>
  <c r="F4694" i="1"/>
  <c r="E4694" i="1"/>
  <c r="F4693" i="1"/>
  <c r="E4693" i="1"/>
  <c r="F4692" i="1"/>
  <c r="E4692" i="1"/>
  <c r="F4691" i="1"/>
  <c r="E4691" i="1"/>
  <c r="F4690" i="1"/>
  <c r="E4690" i="1"/>
  <c r="F4689" i="1"/>
  <c r="E4689" i="1"/>
  <c r="F4688" i="1"/>
  <c r="E4688" i="1"/>
  <c r="F4687" i="1"/>
  <c r="E4687" i="1"/>
  <c r="F4686" i="1"/>
  <c r="E4686" i="1"/>
  <c r="F4685" i="1"/>
  <c r="E4685" i="1"/>
  <c r="F4684" i="1"/>
  <c r="E4684" i="1"/>
  <c r="F4683" i="1"/>
  <c r="E4683" i="1"/>
  <c r="F4682" i="1"/>
  <c r="E4682" i="1"/>
  <c r="F4681" i="1"/>
  <c r="E4681" i="1"/>
  <c r="F4680" i="1"/>
  <c r="E4680" i="1"/>
  <c r="F4679" i="1"/>
  <c r="E4679" i="1"/>
  <c r="F4678" i="1"/>
  <c r="F4677" i="1"/>
  <c r="E4677" i="1"/>
  <c r="F4676" i="1"/>
  <c r="E4676" i="1"/>
  <c r="F4675" i="1"/>
  <c r="E4675" i="1"/>
  <c r="F4674" i="1"/>
  <c r="E4674" i="1"/>
  <c r="F4673" i="1"/>
  <c r="E4673" i="1"/>
  <c r="F4672" i="1"/>
  <c r="F4671" i="1"/>
  <c r="F4670" i="1"/>
  <c r="F4669" i="1"/>
  <c r="E4669" i="1"/>
  <c r="F4668" i="1"/>
  <c r="E4668" i="1"/>
  <c r="F4667" i="1"/>
  <c r="E4667" i="1"/>
  <c r="F4666" i="1"/>
  <c r="E4666" i="1"/>
  <c r="F4665" i="1"/>
  <c r="E4665" i="1"/>
  <c r="F4664" i="1"/>
  <c r="E4664" i="1"/>
  <c r="F4663" i="1"/>
  <c r="E4663" i="1"/>
  <c r="F4662" i="1"/>
  <c r="E4662" i="1"/>
  <c r="F4661" i="1"/>
  <c r="E4661" i="1"/>
  <c r="F4660" i="1"/>
  <c r="E4660" i="1"/>
  <c r="F4659" i="1"/>
  <c r="E4659" i="1"/>
  <c r="F4658" i="1"/>
  <c r="E4658" i="1"/>
  <c r="F4657" i="1"/>
  <c r="E4657" i="1"/>
  <c r="F4656" i="1"/>
  <c r="E4656" i="1"/>
  <c r="F4655" i="1"/>
  <c r="E4655" i="1"/>
  <c r="F4654" i="1"/>
  <c r="E4654" i="1"/>
  <c r="F4653" i="1"/>
  <c r="E4653" i="1"/>
  <c r="F4652" i="1"/>
  <c r="F4651" i="1"/>
  <c r="F4650" i="1"/>
  <c r="F4649" i="1"/>
  <c r="E4649" i="1"/>
  <c r="F4648" i="1"/>
  <c r="E4648" i="1"/>
  <c r="F4647" i="1"/>
  <c r="E4647" i="1"/>
  <c r="F4646" i="1"/>
  <c r="E4646" i="1"/>
  <c r="F4645" i="1"/>
  <c r="E4645" i="1"/>
  <c r="F4644" i="1"/>
  <c r="E4644" i="1"/>
  <c r="F4643" i="1"/>
  <c r="E4643" i="1"/>
  <c r="F4642" i="1"/>
  <c r="E4642" i="1"/>
  <c r="F4641" i="1"/>
  <c r="E4641" i="1"/>
  <c r="F4640" i="1"/>
  <c r="E4640" i="1"/>
  <c r="F4639" i="1"/>
  <c r="E4639" i="1"/>
  <c r="F4638" i="1"/>
  <c r="E4638" i="1"/>
  <c r="F4637" i="1"/>
  <c r="E4637" i="1"/>
  <c r="F4636" i="1"/>
  <c r="E4636" i="1"/>
  <c r="F4635" i="1"/>
  <c r="E4635" i="1"/>
  <c r="F4634" i="1"/>
  <c r="E4634" i="1"/>
  <c r="F4633" i="1"/>
  <c r="E4633" i="1"/>
  <c r="F4632" i="1"/>
  <c r="E4632" i="1"/>
  <c r="F4631" i="1"/>
  <c r="E4631" i="1"/>
  <c r="F4630" i="1"/>
  <c r="E4630" i="1"/>
  <c r="F4629" i="1"/>
  <c r="E4629" i="1"/>
  <c r="F4628" i="1"/>
  <c r="E4628" i="1"/>
  <c r="F4627" i="1"/>
  <c r="E4627" i="1"/>
  <c r="F4626" i="1"/>
  <c r="E4626" i="1"/>
  <c r="F4625" i="1"/>
  <c r="E4625" i="1"/>
  <c r="F4624" i="1"/>
  <c r="E4624" i="1"/>
  <c r="F4623" i="1"/>
  <c r="E4623" i="1"/>
  <c r="F4622" i="1"/>
  <c r="E4622" i="1"/>
  <c r="F4621" i="1"/>
  <c r="E4621" i="1"/>
  <c r="F4620" i="1"/>
  <c r="E4620" i="1"/>
  <c r="F4619" i="1"/>
  <c r="E4619" i="1"/>
  <c r="F4618" i="1"/>
  <c r="E4618" i="1"/>
  <c r="F4617" i="1"/>
  <c r="E4617" i="1"/>
  <c r="F4616" i="1"/>
  <c r="E4616" i="1"/>
  <c r="F4615" i="1"/>
  <c r="E4615" i="1"/>
  <c r="F4614" i="1"/>
  <c r="E4614" i="1"/>
  <c r="F4613" i="1"/>
  <c r="E4613" i="1"/>
  <c r="F4612" i="1"/>
  <c r="E4612" i="1"/>
  <c r="F4611" i="1"/>
  <c r="E4611" i="1"/>
  <c r="F4610" i="1"/>
  <c r="E4610" i="1"/>
  <c r="F4609" i="1"/>
  <c r="E4609" i="1"/>
  <c r="F4608" i="1"/>
  <c r="E4608" i="1"/>
  <c r="F4607" i="1"/>
  <c r="E4607" i="1"/>
  <c r="F4606" i="1"/>
  <c r="E4606" i="1"/>
  <c r="F4605" i="1"/>
  <c r="E4605" i="1"/>
  <c r="F4604" i="1"/>
  <c r="E4604" i="1"/>
  <c r="F4603" i="1"/>
  <c r="E4603" i="1"/>
  <c r="F4602" i="1"/>
  <c r="E4602" i="1"/>
  <c r="F4601" i="1"/>
  <c r="E4601" i="1"/>
  <c r="F4600" i="1"/>
  <c r="E4600" i="1"/>
  <c r="F4599" i="1"/>
  <c r="E4599" i="1"/>
  <c r="F4598" i="1"/>
  <c r="E4598" i="1"/>
  <c r="F4597" i="1"/>
  <c r="E4597" i="1"/>
  <c r="F4596" i="1"/>
  <c r="E4596" i="1"/>
  <c r="F4595" i="1"/>
  <c r="E4595" i="1"/>
  <c r="F4594" i="1"/>
  <c r="E4594" i="1"/>
  <c r="F4593" i="1"/>
  <c r="E4593" i="1"/>
  <c r="F4592" i="1"/>
  <c r="E4592" i="1"/>
  <c r="F4591" i="1"/>
  <c r="E4591" i="1"/>
  <c r="F4590" i="1"/>
  <c r="E4590" i="1"/>
  <c r="F4589" i="1"/>
  <c r="E4589" i="1"/>
  <c r="F4588" i="1"/>
  <c r="E4588" i="1"/>
  <c r="F4587" i="1"/>
  <c r="E4587" i="1"/>
  <c r="F4586" i="1"/>
  <c r="E4586" i="1"/>
  <c r="F4585" i="1"/>
  <c r="E4585" i="1"/>
  <c r="F4584" i="1"/>
  <c r="E4584" i="1"/>
  <c r="F4583" i="1"/>
  <c r="E4583" i="1"/>
  <c r="F4582" i="1"/>
  <c r="E4582" i="1"/>
  <c r="F4581" i="1"/>
  <c r="E4581" i="1"/>
  <c r="F4580" i="1"/>
  <c r="E4580" i="1"/>
  <c r="F4579" i="1"/>
  <c r="E4579" i="1"/>
  <c r="F4578" i="1"/>
  <c r="E4578" i="1"/>
  <c r="F4577" i="1"/>
  <c r="E4577" i="1"/>
  <c r="F4576" i="1"/>
  <c r="E4576" i="1"/>
  <c r="F4575" i="1"/>
  <c r="E4575" i="1"/>
  <c r="F4574" i="1"/>
  <c r="E4574" i="1"/>
  <c r="F4573" i="1"/>
  <c r="E4573" i="1"/>
  <c r="F4572" i="1"/>
  <c r="E4572" i="1"/>
  <c r="F4571" i="1"/>
  <c r="F4570" i="1"/>
  <c r="E4570" i="1"/>
  <c r="F4569" i="1"/>
  <c r="E4569" i="1"/>
  <c r="F4568" i="1"/>
  <c r="E4568" i="1"/>
  <c r="F4567" i="1"/>
  <c r="E4567" i="1"/>
  <c r="F4566" i="1"/>
  <c r="F4565" i="1"/>
  <c r="E4565" i="1"/>
  <c r="F4564" i="1"/>
  <c r="F4563" i="1"/>
  <c r="F4562" i="1"/>
  <c r="F4561" i="1"/>
  <c r="E4561" i="1"/>
  <c r="F4560" i="1"/>
  <c r="F4559" i="1"/>
  <c r="F4558" i="1"/>
  <c r="E4558" i="1"/>
  <c r="F4557" i="1"/>
  <c r="E4557" i="1"/>
  <c r="F4556" i="1"/>
  <c r="E4556" i="1"/>
  <c r="F4555" i="1"/>
  <c r="E4555" i="1"/>
  <c r="F4554" i="1"/>
  <c r="E4554" i="1"/>
  <c r="F4553" i="1"/>
  <c r="E4553" i="1"/>
  <c r="F4552" i="1"/>
  <c r="F4551" i="1"/>
  <c r="F4550" i="1"/>
  <c r="F4549" i="1"/>
  <c r="E4549" i="1"/>
  <c r="F4548" i="1"/>
  <c r="E4548" i="1"/>
  <c r="F4547" i="1"/>
  <c r="E4547" i="1"/>
  <c r="F4546" i="1"/>
  <c r="E4546" i="1"/>
  <c r="F4545" i="1"/>
  <c r="E4545" i="1"/>
  <c r="F4544" i="1"/>
  <c r="E4544" i="1"/>
  <c r="F4543" i="1"/>
  <c r="E4543" i="1"/>
  <c r="F4542" i="1"/>
  <c r="F4541" i="1"/>
  <c r="E4541" i="1"/>
  <c r="F4540" i="1"/>
  <c r="E4540" i="1"/>
  <c r="F4539" i="1"/>
  <c r="E4539" i="1"/>
  <c r="F4538" i="1"/>
  <c r="E4538" i="1"/>
  <c r="F4537" i="1"/>
  <c r="E4537" i="1"/>
  <c r="F4536" i="1"/>
  <c r="E4536" i="1"/>
  <c r="F4535" i="1"/>
  <c r="E4535" i="1"/>
  <c r="F4534" i="1"/>
  <c r="E4534" i="1"/>
  <c r="F4533" i="1"/>
  <c r="E4533" i="1"/>
  <c r="F4532" i="1"/>
  <c r="E4532" i="1"/>
  <c r="F4531" i="1"/>
  <c r="E4531" i="1"/>
  <c r="F4530" i="1"/>
  <c r="E4530" i="1"/>
  <c r="F4529" i="1"/>
  <c r="F4526" i="1"/>
  <c r="E4526" i="1"/>
  <c r="F4525" i="1"/>
  <c r="E4525" i="1"/>
  <c r="F4524" i="1"/>
  <c r="E4524" i="1"/>
  <c r="F4523" i="1"/>
  <c r="E4523" i="1"/>
  <c r="F4522" i="1"/>
  <c r="E4522" i="1"/>
  <c r="F4521" i="1"/>
  <c r="E4521" i="1"/>
  <c r="F4520" i="1"/>
  <c r="E4520" i="1"/>
  <c r="F4519" i="1"/>
  <c r="E4519" i="1"/>
  <c r="F4518" i="1"/>
  <c r="E4518" i="1"/>
  <c r="F4517" i="1"/>
  <c r="E4517" i="1"/>
  <c r="F4516" i="1"/>
  <c r="E4516" i="1"/>
  <c r="F4515" i="1"/>
  <c r="E4515" i="1"/>
  <c r="F4514" i="1"/>
  <c r="F4513" i="1"/>
  <c r="E4513" i="1"/>
  <c r="F4512" i="1"/>
  <c r="E4512" i="1"/>
  <c r="F4511" i="1"/>
  <c r="F4510" i="1"/>
  <c r="E4510" i="1"/>
  <c r="F4509" i="1"/>
  <c r="E4509" i="1"/>
  <c r="F4508" i="1"/>
  <c r="E4508" i="1"/>
  <c r="F4507" i="1"/>
  <c r="E4507" i="1"/>
  <c r="F4506" i="1"/>
  <c r="E4506" i="1"/>
  <c r="F4505" i="1"/>
  <c r="E4505" i="1"/>
  <c r="F4504" i="1"/>
  <c r="E4504" i="1"/>
  <c r="F4503" i="1"/>
  <c r="E4503" i="1"/>
  <c r="F4502" i="1"/>
  <c r="E4502" i="1"/>
  <c r="F4501" i="1"/>
  <c r="E4501" i="1"/>
  <c r="F4500" i="1"/>
  <c r="E4500" i="1"/>
  <c r="F4499" i="1"/>
  <c r="E4499" i="1"/>
  <c r="F4498" i="1"/>
  <c r="E4498" i="1"/>
  <c r="F4497" i="1"/>
  <c r="E4497" i="1"/>
  <c r="F4496" i="1"/>
  <c r="E4496" i="1"/>
  <c r="F4495" i="1"/>
  <c r="E4495" i="1"/>
  <c r="F4494" i="1"/>
  <c r="E4494" i="1"/>
  <c r="F4493" i="1"/>
  <c r="E4493" i="1"/>
  <c r="F4492" i="1"/>
  <c r="E4492" i="1"/>
  <c r="F4491" i="1"/>
  <c r="F4490" i="1"/>
  <c r="E4490" i="1"/>
  <c r="F4489" i="1"/>
  <c r="F4488" i="1"/>
  <c r="E4488" i="1"/>
  <c r="F4487" i="1"/>
  <c r="E4487" i="1"/>
  <c r="F4486" i="1"/>
  <c r="F4485" i="1"/>
  <c r="E4485" i="1"/>
  <c r="F4484" i="1"/>
  <c r="E4484" i="1"/>
  <c r="F4483" i="1"/>
  <c r="E4483" i="1"/>
  <c r="F4482" i="1"/>
  <c r="E4482" i="1"/>
  <c r="F4481" i="1"/>
  <c r="E4481" i="1"/>
  <c r="F4480" i="1"/>
  <c r="E4480" i="1"/>
  <c r="F4479" i="1"/>
  <c r="E4479" i="1"/>
  <c r="F4478" i="1"/>
  <c r="E4478" i="1"/>
  <c r="F4477" i="1"/>
  <c r="E4477" i="1"/>
  <c r="F4476" i="1"/>
  <c r="E4476" i="1"/>
  <c r="F4475" i="1"/>
  <c r="E4475" i="1"/>
  <c r="F4474" i="1"/>
  <c r="E4474" i="1"/>
  <c r="F4473" i="1"/>
  <c r="E4473" i="1"/>
  <c r="F4468" i="1"/>
  <c r="E4468" i="1"/>
  <c r="F4458" i="1"/>
  <c r="E4458" i="1"/>
  <c r="F4454" i="1"/>
  <c r="E4454" i="1"/>
  <c r="F4453" i="1"/>
  <c r="E4453" i="1"/>
  <c r="F4452" i="1"/>
  <c r="E4452" i="1"/>
  <c r="F4451" i="1"/>
  <c r="E4451" i="1"/>
  <c r="F4448" i="1"/>
  <c r="E4448" i="1"/>
  <c r="F4447" i="1"/>
  <c r="E4447" i="1"/>
  <c r="F4446" i="1"/>
  <c r="E4446" i="1"/>
  <c r="F4445" i="1"/>
  <c r="E4445" i="1"/>
  <c r="F4444" i="1"/>
  <c r="E4444" i="1"/>
  <c r="F4443" i="1"/>
  <c r="E4443" i="1"/>
  <c r="F4442" i="1"/>
  <c r="E4442" i="1"/>
  <c r="F4441" i="1"/>
  <c r="E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E4421" i="1"/>
  <c r="F4420" i="1"/>
  <c r="E4420" i="1"/>
  <c r="F4419" i="1"/>
  <c r="E4419" i="1"/>
  <c r="F4418" i="1"/>
  <c r="E4418" i="1"/>
  <c r="F4417" i="1"/>
  <c r="E4417" i="1"/>
  <c r="F4416" i="1"/>
  <c r="E4416" i="1"/>
  <c r="F4415" i="1"/>
  <c r="E4415" i="1"/>
  <c r="F4414" i="1"/>
  <c r="E4414" i="1"/>
  <c r="F4413" i="1"/>
  <c r="E4413" i="1"/>
  <c r="F4412" i="1"/>
  <c r="E4412" i="1"/>
  <c r="F4411" i="1"/>
  <c r="E4411" i="1"/>
  <c r="F4410" i="1"/>
  <c r="E4410" i="1"/>
  <c r="F4409" i="1"/>
  <c r="E4409" i="1"/>
  <c r="F4408" i="1"/>
  <c r="E4408" i="1"/>
  <c r="F4407" i="1"/>
  <c r="E4407" i="1"/>
  <c r="F4406" i="1"/>
  <c r="E4406" i="1"/>
  <c r="F4405" i="1"/>
  <c r="E4405" i="1"/>
  <c r="F4404" i="1"/>
  <c r="E4404" i="1"/>
  <c r="F4403" i="1"/>
  <c r="E4403" i="1"/>
  <c r="F4402" i="1"/>
  <c r="E4402" i="1"/>
  <c r="F4401" i="1"/>
  <c r="E4401" i="1"/>
  <c r="F4400" i="1"/>
  <c r="E4400" i="1"/>
  <c r="F4399" i="1"/>
  <c r="E4399" i="1"/>
  <c r="F4398" i="1"/>
  <c r="E4398" i="1"/>
  <c r="F4397" i="1"/>
  <c r="E4397" i="1"/>
  <c r="F4396" i="1"/>
  <c r="E4396" i="1"/>
  <c r="F4395" i="1"/>
  <c r="E4395" i="1"/>
  <c r="F4394" i="1"/>
  <c r="E4394" i="1"/>
  <c r="F4393" i="1"/>
  <c r="E4393" i="1"/>
  <c r="F4392" i="1"/>
  <c r="E4392" i="1"/>
  <c r="F4391" i="1"/>
  <c r="E4391" i="1"/>
  <c r="F4390" i="1"/>
  <c r="E4390" i="1"/>
  <c r="F4389" i="1"/>
  <c r="E4389" i="1"/>
  <c r="F4388" i="1"/>
  <c r="E4388" i="1"/>
  <c r="F4387" i="1"/>
  <c r="E4387" i="1"/>
  <c r="F4386" i="1"/>
  <c r="E4386" i="1"/>
  <c r="F4385" i="1"/>
  <c r="E4385" i="1"/>
  <c r="F4384" i="1"/>
  <c r="E4384" i="1"/>
  <c r="F4383" i="1"/>
  <c r="E4383" i="1"/>
  <c r="F4382" i="1"/>
  <c r="E4382" i="1"/>
  <c r="F4381" i="1"/>
  <c r="E4381" i="1"/>
  <c r="F4380" i="1"/>
  <c r="E4380" i="1"/>
  <c r="F4379" i="1"/>
  <c r="E4379" i="1"/>
  <c r="F4378" i="1"/>
  <c r="E4378" i="1"/>
  <c r="F4377" i="1"/>
  <c r="E4377" i="1"/>
  <c r="F4376" i="1"/>
  <c r="E4376" i="1"/>
  <c r="F4375" i="1"/>
  <c r="E4375" i="1"/>
  <c r="F4374" i="1"/>
  <c r="E4374" i="1"/>
  <c r="F4373" i="1"/>
  <c r="E4373" i="1"/>
  <c r="F4372" i="1"/>
  <c r="E4372" i="1"/>
  <c r="F4371" i="1"/>
  <c r="E4371" i="1"/>
  <c r="F4370" i="1"/>
  <c r="E4370" i="1"/>
  <c r="F4369" i="1"/>
  <c r="E4369" i="1"/>
  <c r="F4368" i="1"/>
  <c r="E4368" i="1"/>
  <c r="F4367" i="1"/>
  <c r="E4367" i="1"/>
  <c r="F4366" i="1"/>
  <c r="E4366" i="1"/>
  <c r="F4365" i="1"/>
  <c r="E4365" i="1"/>
  <c r="F4364" i="1"/>
  <c r="E4364" i="1"/>
  <c r="F4363" i="1"/>
  <c r="F4362" i="1"/>
  <c r="F4361" i="1"/>
  <c r="E4361" i="1"/>
  <c r="F4360" i="1"/>
  <c r="E4360" i="1"/>
  <c r="F4359" i="1"/>
  <c r="E4359" i="1"/>
  <c r="F4358" i="1"/>
  <c r="E4358" i="1"/>
  <c r="F4357" i="1"/>
  <c r="E4357" i="1"/>
  <c r="F4356" i="1"/>
  <c r="E4356" i="1"/>
  <c r="F4355" i="1"/>
  <c r="E4355" i="1"/>
  <c r="F4354" i="1"/>
  <c r="E4354" i="1"/>
  <c r="F4353" i="1"/>
  <c r="E4353" i="1"/>
  <c r="F4352" i="1"/>
  <c r="E4352" i="1"/>
  <c r="F4351" i="1"/>
  <c r="E4351" i="1"/>
  <c r="F4350" i="1"/>
  <c r="E4350" i="1"/>
  <c r="F4349" i="1"/>
  <c r="E4349" i="1"/>
  <c r="F4348" i="1"/>
  <c r="E4348" i="1"/>
  <c r="F4347" i="1"/>
  <c r="E4347" i="1"/>
  <c r="F4346" i="1"/>
  <c r="E4346" i="1"/>
  <c r="F4345" i="1"/>
  <c r="E4345" i="1"/>
  <c r="F4344" i="1"/>
  <c r="E4344" i="1"/>
  <c r="F4343" i="1"/>
  <c r="E4343" i="1"/>
  <c r="F4342" i="1"/>
  <c r="E4342" i="1"/>
  <c r="F4341" i="1"/>
  <c r="E4341" i="1"/>
  <c r="F4340" i="1"/>
  <c r="E4340" i="1"/>
  <c r="F4339" i="1"/>
  <c r="E4339" i="1"/>
  <c r="F4338" i="1"/>
  <c r="E4338" i="1"/>
  <c r="F4337" i="1"/>
  <c r="E4337" i="1"/>
  <c r="F4336" i="1"/>
  <c r="E4336" i="1"/>
  <c r="F4335" i="1"/>
  <c r="E4335" i="1"/>
  <c r="F4334" i="1"/>
  <c r="E4334" i="1"/>
  <c r="F4333" i="1"/>
  <c r="E4333" i="1"/>
  <c r="F4332" i="1"/>
  <c r="E4332" i="1"/>
  <c r="F4331" i="1"/>
  <c r="E4331" i="1"/>
  <c r="F4330" i="1"/>
  <c r="E4330" i="1"/>
  <c r="F4329" i="1"/>
  <c r="E4329" i="1"/>
  <c r="F4328" i="1"/>
  <c r="F4327" i="1"/>
  <c r="F4326" i="1"/>
  <c r="F4325" i="1"/>
  <c r="F4324" i="1"/>
  <c r="F4323" i="1"/>
  <c r="F4322" i="1"/>
  <c r="F4321" i="1"/>
  <c r="F4320" i="1"/>
  <c r="F4319" i="1"/>
  <c r="E4319" i="1"/>
  <c r="F4318" i="1"/>
  <c r="F4317" i="1"/>
  <c r="F4316" i="1"/>
  <c r="F4315" i="1"/>
  <c r="F4314" i="1"/>
  <c r="F4313" i="1"/>
  <c r="F4312" i="1"/>
  <c r="F4311" i="1"/>
  <c r="E4311" i="1"/>
  <c r="F4310" i="1"/>
  <c r="E4310" i="1"/>
  <c r="F4309" i="1"/>
  <c r="E4309" i="1"/>
  <c r="F4308" i="1"/>
  <c r="E4308" i="1"/>
  <c r="F4307" i="1"/>
  <c r="E4307" i="1"/>
  <c r="F4306" i="1"/>
  <c r="E4306" i="1"/>
  <c r="F4305" i="1"/>
  <c r="E4305" i="1"/>
  <c r="F4304" i="1"/>
  <c r="E4304" i="1"/>
  <c r="F4303" i="1"/>
  <c r="E4303" i="1"/>
  <c r="F4302" i="1"/>
  <c r="E4302" i="1"/>
  <c r="F4301" i="1"/>
  <c r="E4301" i="1"/>
  <c r="F4300" i="1"/>
  <c r="E4300" i="1"/>
  <c r="F4299" i="1"/>
  <c r="E4299" i="1"/>
  <c r="F4298" i="1"/>
  <c r="E4298" i="1"/>
  <c r="F4297" i="1"/>
  <c r="E4297" i="1"/>
  <c r="F4296" i="1"/>
  <c r="E4296" i="1"/>
  <c r="F4295" i="1"/>
  <c r="E4295" i="1"/>
  <c r="F4294" i="1"/>
  <c r="E4294" i="1"/>
  <c r="F4293" i="1"/>
  <c r="E4293" i="1"/>
  <c r="F4292" i="1"/>
  <c r="E4292" i="1"/>
  <c r="F4291" i="1"/>
  <c r="E4291" i="1"/>
  <c r="F4290" i="1"/>
  <c r="E4290" i="1"/>
  <c r="F4289" i="1"/>
  <c r="E4289" i="1"/>
  <c r="F4288" i="1"/>
  <c r="E4288" i="1"/>
  <c r="F4287" i="1"/>
  <c r="E4287" i="1"/>
  <c r="F4286" i="1"/>
  <c r="E4286" i="1"/>
  <c r="F4285" i="1"/>
  <c r="E4285" i="1"/>
  <c r="F4284" i="1"/>
  <c r="E4284" i="1"/>
  <c r="F4283" i="1"/>
  <c r="E4283" i="1"/>
  <c r="F4282" i="1"/>
  <c r="E4282" i="1"/>
  <c r="F4281" i="1"/>
  <c r="E4281" i="1"/>
  <c r="F4280" i="1"/>
  <c r="E4280" i="1"/>
  <c r="F4279" i="1"/>
  <c r="E4279" i="1"/>
  <c r="F4278" i="1"/>
  <c r="E4278" i="1"/>
  <c r="F4277" i="1"/>
  <c r="E4277" i="1"/>
  <c r="F4276" i="1"/>
  <c r="E4276" i="1"/>
  <c r="F4275" i="1"/>
  <c r="E4275" i="1"/>
  <c r="F4274" i="1"/>
  <c r="E4274" i="1"/>
  <c r="F4273" i="1"/>
  <c r="E4273" i="1"/>
  <c r="F4272" i="1"/>
  <c r="E4272" i="1"/>
  <c r="F4271" i="1"/>
  <c r="E4271" i="1"/>
  <c r="F4270" i="1"/>
  <c r="E4270" i="1"/>
  <c r="F4269" i="1"/>
  <c r="E4269" i="1"/>
  <c r="F4268" i="1"/>
  <c r="E4268" i="1"/>
  <c r="F4267" i="1"/>
  <c r="E4267" i="1"/>
  <c r="F4266" i="1"/>
  <c r="E4266" i="1"/>
  <c r="F4265" i="1"/>
  <c r="E4265" i="1"/>
  <c r="F4264" i="1"/>
  <c r="F4263" i="1"/>
  <c r="E4263" i="1"/>
  <c r="F4262" i="1"/>
  <c r="F4261" i="1"/>
  <c r="F4260" i="1"/>
  <c r="F4259" i="1"/>
  <c r="E4259" i="1"/>
  <c r="F4258" i="1"/>
  <c r="E4258" i="1"/>
  <c r="F4257" i="1"/>
  <c r="E4257" i="1"/>
  <c r="F4256" i="1"/>
  <c r="E4256" i="1"/>
  <c r="F4255" i="1"/>
  <c r="E4255" i="1"/>
  <c r="F4254" i="1"/>
  <c r="E4254" i="1"/>
  <c r="F4253" i="1"/>
  <c r="E4253" i="1"/>
  <c r="F4252" i="1"/>
  <c r="E4252" i="1"/>
  <c r="F4251" i="1"/>
  <c r="E4251" i="1"/>
  <c r="F4250" i="1"/>
  <c r="E4250" i="1"/>
  <c r="F4249" i="1"/>
  <c r="E4249" i="1"/>
  <c r="F4248" i="1"/>
  <c r="E4248" i="1"/>
  <c r="F4247" i="1"/>
  <c r="E4247" i="1"/>
  <c r="F4246" i="1"/>
  <c r="E4246" i="1"/>
  <c r="F4245" i="1"/>
  <c r="E4245" i="1"/>
  <c r="F4244" i="1"/>
  <c r="E4244" i="1"/>
  <c r="F4243" i="1"/>
  <c r="E4243" i="1"/>
  <c r="F4242" i="1"/>
  <c r="E4242" i="1"/>
  <c r="F4241" i="1"/>
  <c r="E4241" i="1"/>
  <c r="F4240" i="1"/>
  <c r="E4240" i="1"/>
  <c r="F4239" i="1"/>
  <c r="E4239" i="1"/>
  <c r="F4238" i="1"/>
  <c r="E4238" i="1"/>
  <c r="F4237" i="1"/>
  <c r="E4237" i="1"/>
  <c r="F4236" i="1"/>
  <c r="E4236" i="1"/>
  <c r="F4235" i="1"/>
  <c r="E4235" i="1"/>
  <c r="F4234" i="1"/>
  <c r="E4234" i="1"/>
  <c r="F4233" i="1"/>
  <c r="E4233" i="1"/>
  <c r="F4232" i="1"/>
  <c r="E4232" i="1"/>
  <c r="F4231" i="1"/>
  <c r="E4231" i="1"/>
  <c r="F4230" i="1"/>
  <c r="E4230" i="1"/>
  <c r="F4229" i="1"/>
  <c r="E4229" i="1"/>
  <c r="F4228" i="1"/>
  <c r="F4227" i="1"/>
  <c r="F4226" i="1"/>
  <c r="F4225" i="1"/>
  <c r="E4225" i="1"/>
  <c r="F4224" i="1"/>
  <c r="E4224" i="1"/>
  <c r="F4223" i="1"/>
  <c r="E4223" i="1"/>
  <c r="F4222" i="1"/>
  <c r="E4222" i="1"/>
  <c r="F4221" i="1"/>
  <c r="E4221" i="1"/>
  <c r="F4220" i="1"/>
  <c r="E4220" i="1"/>
  <c r="F4219" i="1"/>
  <c r="E4219" i="1"/>
  <c r="F4218" i="1"/>
  <c r="E4218" i="1"/>
  <c r="F4217" i="1"/>
  <c r="E4217" i="1"/>
  <c r="F4216" i="1"/>
  <c r="E4216" i="1"/>
  <c r="F4215" i="1"/>
  <c r="E4215" i="1"/>
  <c r="F4214" i="1"/>
  <c r="E4214" i="1"/>
  <c r="F4213" i="1"/>
  <c r="E4213" i="1"/>
  <c r="F4212" i="1"/>
  <c r="E4212" i="1"/>
  <c r="F4211" i="1"/>
  <c r="E4211" i="1"/>
  <c r="F4210" i="1"/>
  <c r="E4210" i="1"/>
  <c r="F4209" i="1"/>
  <c r="E4209" i="1"/>
  <c r="F4208" i="1"/>
  <c r="E4208" i="1"/>
  <c r="F4207" i="1"/>
  <c r="E4207" i="1"/>
  <c r="F4206" i="1"/>
  <c r="E4206" i="1"/>
  <c r="F4205" i="1"/>
  <c r="E4205" i="1"/>
  <c r="F4204" i="1"/>
  <c r="E4204" i="1"/>
  <c r="F4203" i="1"/>
  <c r="E4203" i="1"/>
  <c r="F4202" i="1"/>
  <c r="E4202" i="1"/>
  <c r="F4201" i="1"/>
  <c r="E4201" i="1"/>
  <c r="F4200" i="1"/>
  <c r="E4200" i="1"/>
  <c r="F4199" i="1"/>
  <c r="E4199" i="1"/>
  <c r="F4198" i="1"/>
  <c r="E4198" i="1"/>
  <c r="F4197" i="1"/>
  <c r="E4197" i="1"/>
  <c r="F4196" i="1"/>
  <c r="E4196" i="1"/>
  <c r="F4195" i="1"/>
  <c r="E4195" i="1"/>
  <c r="F4194" i="1"/>
  <c r="E4194" i="1"/>
  <c r="F4193" i="1"/>
  <c r="E4193" i="1"/>
  <c r="F4192" i="1"/>
  <c r="E4192" i="1"/>
  <c r="F4191" i="1"/>
  <c r="E4191" i="1"/>
  <c r="F4190" i="1"/>
  <c r="E4190" i="1"/>
  <c r="F4189" i="1"/>
  <c r="E4189" i="1"/>
  <c r="F4188" i="1"/>
  <c r="F4187" i="1"/>
  <c r="E4187" i="1"/>
  <c r="F4186" i="1"/>
  <c r="E4186" i="1"/>
  <c r="F4185" i="1"/>
  <c r="E4185" i="1"/>
  <c r="F4184" i="1"/>
  <c r="E4184" i="1"/>
  <c r="F4183" i="1"/>
  <c r="E4183" i="1"/>
  <c r="F4182" i="1"/>
  <c r="E4182" i="1"/>
  <c r="F4181" i="1"/>
  <c r="E4181" i="1"/>
  <c r="F4180" i="1"/>
  <c r="E4180" i="1"/>
  <c r="F4179" i="1"/>
  <c r="E4179" i="1"/>
  <c r="F4178" i="1"/>
  <c r="E4178" i="1"/>
  <c r="F4177" i="1"/>
  <c r="E4177" i="1"/>
  <c r="F4176" i="1"/>
  <c r="E4176" i="1"/>
  <c r="F4175" i="1"/>
  <c r="E4175" i="1"/>
  <c r="F4174" i="1"/>
  <c r="E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E4061" i="1"/>
  <c r="F4060" i="1"/>
  <c r="E4060" i="1"/>
  <c r="F4059" i="1"/>
  <c r="E4059" i="1"/>
  <c r="F4058" i="1"/>
  <c r="E4058" i="1"/>
  <c r="F4057" i="1"/>
  <c r="E4057" i="1"/>
  <c r="F4056" i="1"/>
  <c r="E4056" i="1"/>
  <c r="F4055" i="1"/>
  <c r="E4055" i="1"/>
  <c r="F4054" i="1"/>
  <c r="E4054" i="1"/>
  <c r="F4053" i="1"/>
  <c r="E4053" i="1"/>
  <c r="F4052" i="1"/>
  <c r="E4052" i="1"/>
  <c r="F4051" i="1"/>
  <c r="E4051" i="1"/>
  <c r="F4050" i="1"/>
  <c r="E4050" i="1"/>
  <c r="F4049" i="1"/>
  <c r="E4049" i="1"/>
  <c r="F4048" i="1"/>
  <c r="F4047" i="1"/>
  <c r="F4046" i="1"/>
  <c r="F4045" i="1"/>
  <c r="F4044" i="1"/>
  <c r="E4044" i="1"/>
  <c r="F4043" i="1"/>
  <c r="E4043" i="1"/>
  <c r="F4042" i="1"/>
  <c r="E4042" i="1"/>
  <c r="F4041" i="1"/>
  <c r="F4040" i="1"/>
  <c r="E4040" i="1"/>
  <c r="F4039" i="1"/>
  <c r="E4039" i="1"/>
  <c r="F4038" i="1"/>
  <c r="E4038" i="1"/>
  <c r="F4037" i="1"/>
  <c r="E4037" i="1"/>
  <c r="F4036" i="1"/>
  <c r="E4036" i="1"/>
  <c r="F4035" i="1"/>
  <c r="E4035" i="1"/>
  <c r="F4034" i="1"/>
  <c r="E4034" i="1"/>
  <c r="F4033" i="1"/>
  <c r="E4033" i="1"/>
  <c r="F4032" i="1"/>
  <c r="E4032" i="1"/>
  <c r="F4031" i="1"/>
  <c r="E4031" i="1"/>
  <c r="F4030" i="1"/>
  <c r="E4030" i="1"/>
  <c r="F4029" i="1"/>
  <c r="E4029" i="1"/>
  <c r="F4028" i="1"/>
  <c r="E4028" i="1"/>
  <c r="F4027" i="1"/>
  <c r="E4027" i="1"/>
  <c r="F4026" i="1"/>
  <c r="E4026" i="1"/>
  <c r="F4025" i="1"/>
  <c r="E4025" i="1"/>
  <c r="F4024" i="1"/>
  <c r="E4024" i="1"/>
  <c r="F4023" i="1"/>
  <c r="E4023" i="1"/>
  <c r="F4022" i="1"/>
  <c r="E4022" i="1"/>
  <c r="F4021" i="1"/>
  <c r="E4021" i="1"/>
  <c r="F4020" i="1"/>
  <c r="E4020" i="1"/>
  <c r="F4019" i="1"/>
  <c r="E4019" i="1"/>
  <c r="F4018" i="1"/>
  <c r="E4018" i="1"/>
  <c r="F4017" i="1"/>
  <c r="E4017" i="1"/>
  <c r="F4016" i="1"/>
  <c r="E4016" i="1"/>
  <c r="F4015" i="1"/>
  <c r="E4015" i="1"/>
  <c r="F4014" i="1"/>
  <c r="E4014" i="1"/>
  <c r="F4013" i="1"/>
  <c r="F4012" i="1"/>
  <c r="F4011" i="1"/>
  <c r="F4010" i="1"/>
  <c r="F4009" i="1"/>
  <c r="F4008" i="1"/>
  <c r="F4007" i="1"/>
  <c r="E4007" i="1"/>
  <c r="F4006" i="1"/>
  <c r="E4006" i="1"/>
  <c r="F4005" i="1"/>
  <c r="F4004" i="1"/>
  <c r="E4004" i="1"/>
  <c r="F4003" i="1"/>
  <c r="E4003" i="1"/>
  <c r="F4002" i="1"/>
  <c r="E4002" i="1"/>
  <c r="F4001" i="1"/>
  <c r="E4001" i="1"/>
  <c r="F4000" i="1"/>
  <c r="E4000" i="1"/>
  <c r="F3999" i="1"/>
  <c r="E3999" i="1"/>
  <c r="F3998" i="1"/>
  <c r="E3998" i="1"/>
  <c r="F3997" i="1"/>
  <c r="E3997" i="1"/>
  <c r="F3996" i="1"/>
  <c r="E3996" i="1"/>
  <c r="F3995" i="1"/>
  <c r="E3995" i="1"/>
  <c r="F3994" i="1"/>
  <c r="E3994" i="1"/>
  <c r="F3993" i="1"/>
  <c r="E3993" i="1"/>
  <c r="F3992" i="1"/>
  <c r="E3992" i="1"/>
  <c r="F3991" i="1"/>
  <c r="F3990" i="1"/>
  <c r="F3989" i="1"/>
  <c r="F3988" i="1"/>
  <c r="E3988" i="1"/>
  <c r="F3987" i="1"/>
  <c r="E3987" i="1"/>
  <c r="F3986" i="1"/>
  <c r="E3986" i="1"/>
  <c r="F3985" i="1"/>
  <c r="E3985" i="1"/>
  <c r="F3984" i="1"/>
  <c r="E3984" i="1"/>
  <c r="F3983" i="1"/>
  <c r="E3983" i="1"/>
  <c r="F3982" i="1"/>
  <c r="E3982" i="1"/>
  <c r="F3981" i="1"/>
  <c r="E3981" i="1"/>
  <c r="F3980" i="1"/>
  <c r="E3980" i="1"/>
  <c r="F3979" i="1"/>
  <c r="E3979" i="1"/>
  <c r="F3978" i="1"/>
  <c r="E3978" i="1"/>
  <c r="F3977" i="1"/>
  <c r="E3977" i="1"/>
  <c r="F3976" i="1"/>
  <c r="E3976" i="1"/>
  <c r="F3975" i="1"/>
  <c r="E3975" i="1"/>
  <c r="F3974" i="1"/>
  <c r="E3974" i="1"/>
  <c r="F3973" i="1"/>
  <c r="E3973" i="1"/>
  <c r="F3972" i="1"/>
  <c r="E3972" i="1"/>
  <c r="F3971" i="1"/>
  <c r="E3971" i="1"/>
  <c r="F3970" i="1"/>
  <c r="E3970" i="1"/>
  <c r="F3969" i="1"/>
  <c r="E3969" i="1"/>
  <c r="F3968" i="1"/>
  <c r="E3968" i="1"/>
  <c r="F3967" i="1"/>
  <c r="E3967" i="1"/>
  <c r="F3966" i="1"/>
  <c r="E3966" i="1"/>
  <c r="F3965" i="1"/>
  <c r="E3965" i="1"/>
  <c r="F3964" i="1"/>
  <c r="E3964" i="1"/>
  <c r="F3963" i="1"/>
  <c r="E3963" i="1"/>
  <c r="F3962" i="1"/>
  <c r="E3962" i="1"/>
  <c r="F3961" i="1"/>
  <c r="E3961" i="1"/>
  <c r="F3960" i="1"/>
  <c r="E3960" i="1"/>
  <c r="F3959" i="1"/>
  <c r="E3959" i="1"/>
  <c r="F3958" i="1"/>
  <c r="E3958" i="1"/>
  <c r="F3957" i="1"/>
  <c r="E3957" i="1"/>
  <c r="F3956" i="1"/>
  <c r="E3956" i="1"/>
  <c r="F3955" i="1"/>
  <c r="E3955" i="1"/>
  <c r="F3954" i="1"/>
  <c r="E3954" i="1"/>
  <c r="F3953" i="1"/>
  <c r="E3953" i="1"/>
  <c r="F3952" i="1"/>
  <c r="E3952" i="1"/>
  <c r="F3951" i="1"/>
  <c r="E3951" i="1"/>
  <c r="F3950" i="1"/>
  <c r="E3950" i="1"/>
  <c r="F3949" i="1"/>
  <c r="E3949" i="1"/>
  <c r="F3948" i="1"/>
  <c r="E3948" i="1"/>
  <c r="F3947" i="1"/>
  <c r="E3947" i="1"/>
  <c r="F3946" i="1"/>
  <c r="E3946" i="1"/>
  <c r="F3945" i="1"/>
  <c r="E3945" i="1"/>
  <c r="F3944" i="1"/>
  <c r="E3944" i="1"/>
  <c r="F3943" i="1"/>
  <c r="E3943" i="1"/>
  <c r="F3942" i="1"/>
  <c r="F3941" i="1"/>
  <c r="F3940" i="1"/>
  <c r="E3940" i="1"/>
  <c r="F3939" i="1"/>
  <c r="E3939" i="1"/>
  <c r="F3938" i="1"/>
  <c r="E3938" i="1"/>
  <c r="F3937" i="1"/>
  <c r="E3937" i="1"/>
  <c r="F3936" i="1"/>
  <c r="E3936" i="1"/>
  <c r="F3935" i="1"/>
  <c r="E3935" i="1"/>
  <c r="F3934" i="1"/>
  <c r="E3934" i="1"/>
  <c r="F3933" i="1"/>
  <c r="E3933" i="1"/>
  <c r="F3932" i="1"/>
  <c r="E3932" i="1"/>
  <c r="F3931" i="1"/>
  <c r="E3931" i="1"/>
  <c r="F3930" i="1"/>
  <c r="E3930" i="1"/>
  <c r="F3929" i="1"/>
  <c r="E3929" i="1"/>
  <c r="F3928" i="1"/>
  <c r="E3928" i="1"/>
  <c r="F3927" i="1"/>
  <c r="F3926" i="1"/>
  <c r="E3926" i="1"/>
  <c r="F3925" i="1"/>
  <c r="E3925" i="1"/>
  <c r="F3924" i="1"/>
  <c r="E3924" i="1"/>
  <c r="F3923" i="1"/>
  <c r="E3923" i="1"/>
  <c r="F3922" i="1"/>
  <c r="E3922" i="1"/>
  <c r="F3921" i="1"/>
  <c r="E3921" i="1"/>
  <c r="F3920" i="1"/>
  <c r="E3920" i="1"/>
  <c r="F3919" i="1"/>
  <c r="E3919" i="1"/>
  <c r="F3918" i="1"/>
  <c r="E3918" i="1"/>
  <c r="F3917" i="1"/>
  <c r="E3917" i="1"/>
  <c r="F3916" i="1"/>
  <c r="E3916" i="1"/>
  <c r="F3915" i="1"/>
  <c r="E3915" i="1"/>
  <c r="F3914" i="1"/>
  <c r="E3914" i="1"/>
  <c r="F3913" i="1"/>
  <c r="E3913" i="1"/>
  <c r="F3912" i="1"/>
  <c r="E3912" i="1"/>
  <c r="F3911" i="1"/>
  <c r="E3911" i="1"/>
  <c r="F3910" i="1"/>
  <c r="E3910" i="1"/>
  <c r="F3909" i="1"/>
  <c r="E3909" i="1"/>
  <c r="F3908" i="1"/>
  <c r="E3908" i="1"/>
  <c r="F3907" i="1"/>
  <c r="E3907" i="1"/>
  <c r="F3906" i="1"/>
  <c r="E3906" i="1"/>
  <c r="F3905" i="1"/>
  <c r="E3905" i="1"/>
  <c r="F3904" i="1"/>
  <c r="E3904" i="1"/>
  <c r="F3903" i="1"/>
  <c r="F3902" i="1"/>
  <c r="E3902" i="1"/>
  <c r="F3901" i="1"/>
  <c r="E3901" i="1"/>
  <c r="F3900" i="1"/>
  <c r="E3900" i="1"/>
  <c r="F3899" i="1"/>
  <c r="E3899" i="1"/>
  <c r="F3898" i="1"/>
  <c r="E3898" i="1"/>
  <c r="F3897" i="1"/>
  <c r="E3897" i="1"/>
  <c r="F3896" i="1"/>
  <c r="E3896" i="1"/>
  <c r="F3895" i="1"/>
  <c r="E3895" i="1"/>
  <c r="F3894" i="1"/>
  <c r="E3894" i="1"/>
  <c r="F3893" i="1"/>
  <c r="E3893" i="1"/>
  <c r="F3892" i="1"/>
  <c r="E3892" i="1"/>
  <c r="F3891" i="1"/>
  <c r="E3891" i="1"/>
  <c r="F3890" i="1"/>
  <c r="E3890" i="1"/>
  <c r="F3889" i="1"/>
  <c r="E3889" i="1"/>
  <c r="F3888" i="1"/>
  <c r="E3888" i="1"/>
  <c r="F3887" i="1"/>
  <c r="E3887" i="1"/>
  <c r="F3886" i="1"/>
  <c r="E3886" i="1"/>
  <c r="F3885" i="1"/>
  <c r="E3885" i="1"/>
  <c r="F3884" i="1"/>
  <c r="E3884" i="1"/>
  <c r="F3883" i="1"/>
  <c r="E3883" i="1"/>
  <c r="F3882" i="1"/>
  <c r="E3882" i="1"/>
  <c r="F3881" i="1"/>
  <c r="E3881" i="1"/>
  <c r="F3880" i="1"/>
  <c r="E3880" i="1"/>
  <c r="F3879" i="1"/>
  <c r="E3879" i="1"/>
  <c r="F3878" i="1"/>
  <c r="E3878" i="1"/>
  <c r="F3877" i="1"/>
  <c r="E3877" i="1"/>
  <c r="F3876" i="1"/>
  <c r="E3876" i="1"/>
  <c r="F3875" i="1"/>
  <c r="E3875" i="1"/>
  <c r="F3874" i="1"/>
  <c r="E3874" i="1"/>
  <c r="F3873" i="1"/>
  <c r="E3873" i="1"/>
  <c r="F3872" i="1"/>
  <c r="E3872" i="1"/>
  <c r="F3871" i="1"/>
  <c r="F3870" i="1"/>
  <c r="F3869" i="1"/>
  <c r="F3868" i="1"/>
  <c r="F3867" i="1"/>
  <c r="F3866" i="1"/>
  <c r="F3865" i="1"/>
  <c r="F3864" i="1"/>
  <c r="F3863" i="1"/>
  <c r="F3862" i="1"/>
  <c r="F3861" i="1"/>
  <c r="E3861" i="1"/>
  <c r="F3860" i="1"/>
  <c r="E3860" i="1"/>
  <c r="F3859" i="1"/>
  <c r="E3859" i="1"/>
  <c r="F3858" i="1"/>
  <c r="E3858" i="1"/>
  <c r="F3857" i="1"/>
  <c r="E3857" i="1"/>
  <c r="F3856" i="1"/>
  <c r="F3855" i="1"/>
  <c r="E3855" i="1"/>
  <c r="F3854" i="1"/>
  <c r="E3854" i="1"/>
  <c r="F3853" i="1"/>
  <c r="F3852" i="1"/>
  <c r="E3852" i="1"/>
  <c r="F3851" i="1"/>
  <c r="E3851" i="1"/>
  <c r="F3850" i="1"/>
  <c r="E3850" i="1"/>
  <c r="F3849" i="1"/>
  <c r="E3849" i="1"/>
  <c r="F3848" i="1"/>
  <c r="E3848" i="1"/>
  <c r="F3847" i="1"/>
  <c r="E3847" i="1"/>
  <c r="F3846" i="1"/>
  <c r="E3846" i="1"/>
  <c r="F3845" i="1"/>
  <c r="E3845" i="1"/>
  <c r="F3844" i="1"/>
  <c r="E3844" i="1"/>
  <c r="F3843" i="1"/>
  <c r="F3842" i="1"/>
  <c r="E3842" i="1"/>
  <c r="F3841" i="1"/>
  <c r="F3840" i="1"/>
  <c r="F3839" i="1"/>
  <c r="E3839" i="1"/>
  <c r="F3838" i="1"/>
  <c r="E3838" i="1"/>
  <c r="F3837" i="1"/>
  <c r="E3837" i="1"/>
  <c r="F3836" i="1"/>
  <c r="E3836" i="1"/>
  <c r="F3835" i="1"/>
  <c r="E3835" i="1"/>
  <c r="F3834" i="1"/>
  <c r="E3834" i="1"/>
  <c r="F3833" i="1"/>
  <c r="E3833" i="1"/>
  <c r="F3832" i="1"/>
  <c r="E3832" i="1"/>
  <c r="F3831" i="1"/>
  <c r="E3831" i="1"/>
  <c r="F3830" i="1"/>
  <c r="E3830" i="1"/>
  <c r="F3829" i="1"/>
  <c r="E3829" i="1"/>
  <c r="F3828" i="1"/>
  <c r="E3828" i="1"/>
  <c r="F3827" i="1"/>
  <c r="E3827" i="1"/>
  <c r="F3826" i="1"/>
  <c r="E3826" i="1"/>
  <c r="F3825" i="1"/>
  <c r="E3825" i="1"/>
  <c r="F3824" i="1"/>
  <c r="E3824" i="1"/>
  <c r="F3823" i="1"/>
  <c r="E3823" i="1"/>
  <c r="F3822" i="1"/>
  <c r="E3822" i="1"/>
  <c r="F3821" i="1"/>
  <c r="E3821" i="1"/>
  <c r="F3820" i="1"/>
  <c r="E3820" i="1"/>
  <c r="F3819" i="1"/>
  <c r="E3819" i="1"/>
  <c r="F3818" i="1"/>
  <c r="E3818" i="1"/>
  <c r="F3817" i="1"/>
  <c r="E3817" i="1"/>
  <c r="F3816" i="1"/>
  <c r="E3816" i="1"/>
  <c r="F3815" i="1"/>
  <c r="E3815" i="1"/>
  <c r="F3814" i="1"/>
  <c r="E3814" i="1"/>
  <c r="F3813" i="1"/>
  <c r="E3813" i="1"/>
  <c r="F3812" i="1"/>
  <c r="E3812" i="1"/>
  <c r="F3811" i="1"/>
  <c r="E3811" i="1"/>
  <c r="F3810" i="1"/>
  <c r="E3810" i="1"/>
  <c r="F3809" i="1"/>
  <c r="E3809" i="1"/>
  <c r="F3808" i="1"/>
  <c r="F3807" i="1"/>
  <c r="E3807" i="1"/>
  <c r="F3806" i="1"/>
  <c r="E3806" i="1"/>
  <c r="F3805" i="1"/>
  <c r="E3805" i="1"/>
  <c r="F3804" i="1"/>
  <c r="E3804" i="1"/>
  <c r="F3803" i="1"/>
  <c r="E3803" i="1"/>
  <c r="F3802" i="1"/>
  <c r="E3802" i="1"/>
  <c r="F3801" i="1"/>
  <c r="E3801" i="1"/>
  <c r="F3800" i="1"/>
  <c r="E3800" i="1"/>
  <c r="F3799" i="1"/>
  <c r="E3799" i="1"/>
  <c r="F3798" i="1"/>
  <c r="E3798" i="1"/>
  <c r="F3797" i="1"/>
  <c r="F3796" i="1"/>
  <c r="E3796" i="1"/>
  <c r="F3795" i="1"/>
  <c r="E3795" i="1"/>
  <c r="F3794" i="1"/>
  <c r="E3794" i="1"/>
  <c r="F3793" i="1"/>
  <c r="E3793" i="1"/>
  <c r="F3792" i="1"/>
  <c r="E3792" i="1"/>
  <c r="F3791" i="1"/>
  <c r="E3791" i="1"/>
  <c r="F3790" i="1"/>
  <c r="E3790" i="1"/>
  <c r="F3789" i="1"/>
  <c r="E3789" i="1"/>
  <c r="F3788" i="1"/>
  <c r="E3788" i="1"/>
  <c r="F3787" i="1"/>
  <c r="E3787" i="1"/>
  <c r="F3786" i="1"/>
  <c r="E3786" i="1"/>
  <c r="F3785" i="1"/>
  <c r="E3785" i="1"/>
  <c r="F3784" i="1"/>
  <c r="F3783" i="1"/>
  <c r="E3783" i="1"/>
  <c r="F3782" i="1"/>
  <c r="E3782" i="1"/>
  <c r="F3781" i="1"/>
  <c r="E3781" i="1"/>
  <c r="F3780" i="1"/>
  <c r="E3780" i="1"/>
  <c r="F3779" i="1"/>
  <c r="E3779" i="1"/>
  <c r="F3778" i="1"/>
  <c r="E3778" i="1"/>
  <c r="F3777" i="1"/>
  <c r="E3777" i="1"/>
  <c r="F3776" i="1"/>
  <c r="E3776" i="1"/>
  <c r="F3775" i="1"/>
  <c r="E3775" i="1"/>
  <c r="F3774" i="1"/>
  <c r="E3774" i="1"/>
  <c r="F3773" i="1"/>
  <c r="E3773" i="1"/>
  <c r="F3772" i="1"/>
  <c r="E3772" i="1"/>
  <c r="F3771" i="1"/>
  <c r="E3771" i="1"/>
  <c r="F3770" i="1"/>
  <c r="E3770" i="1"/>
  <c r="F3769" i="1"/>
  <c r="E3769" i="1"/>
  <c r="F3768" i="1"/>
  <c r="E3768" i="1"/>
  <c r="F3767" i="1"/>
  <c r="E3767" i="1"/>
  <c r="F3766" i="1"/>
  <c r="E3766" i="1"/>
  <c r="F3765" i="1"/>
  <c r="E3765" i="1"/>
  <c r="F3764" i="1"/>
  <c r="E3764" i="1"/>
  <c r="F3763" i="1"/>
  <c r="E3763" i="1"/>
  <c r="F3762" i="1"/>
  <c r="E3762" i="1"/>
  <c r="F3761" i="1"/>
  <c r="E3761" i="1"/>
  <c r="F3760" i="1"/>
  <c r="E3760" i="1"/>
  <c r="F3759" i="1"/>
  <c r="E3759" i="1"/>
  <c r="F3758" i="1"/>
  <c r="E3758" i="1"/>
  <c r="F3757" i="1"/>
  <c r="E3757" i="1"/>
  <c r="F3756" i="1"/>
  <c r="E3756" i="1"/>
  <c r="F3755" i="1"/>
  <c r="E3755" i="1"/>
  <c r="F3754" i="1"/>
  <c r="E3754" i="1"/>
  <c r="F3753" i="1"/>
  <c r="E3753" i="1"/>
  <c r="F3752" i="1"/>
  <c r="E3752" i="1"/>
  <c r="F3751" i="1"/>
  <c r="E3751" i="1"/>
  <c r="F3750" i="1"/>
  <c r="E3750" i="1"/>
  <c r="F3749" i="1"/>
  <c r="E3749" i="1"/>
  <c r="F3748" i="1"/>
  <c r="E3748" i="1"/>
  <c r="F3747" i="1"/>
  <c r="E3747" i="1"/>
  <c r="F3746" i="1"/>
  <c r="E3746" i="1"/>
  <c r="F3745" i="1"/>
  <c r="E3745" i="1"/>
  <c r="F3744" i="1"/>
  <c r="E3744" i="1"/>
  <c r="F3743" i="1"/>
  <c r="E3743" i="1"/>
  <c r="F3742" i="1"/>
  <c r="E3742" i="1"/>
  <c r="F3741" i="1"/>
  <c r="F3740" i="1"/>
  <c r="E3740" i="1"/>
  <c r="F3739" i="1"/>
  <c r="F3738" i="1"/>
  <c r="E3738" i="1"/>
  <c r="F3737" i="1"/>
  <c r="E3737" i="1"/>
  <c r="F3736" i="1"/>
  <c r="E3736" i="1"/>
  <c r="F3735" i="1"/>
  <c r="E3735" i="1"/>
  <c r="F3734" i="1"/>
  <c r="E3734" i="1"/>
  <c r="F3733" i="1"/>
  <c r="E3733" i="1"/>
  <c r="F3732" i="1"/>
  <c r="E3732" i="1"/>
  <c r="F3731" i="1"/>
  <c r="E3731" i="1"/>
  <c r="F3730" i="1"/>
  <c r="E3730" i="1"/>
  <c r="F3729" i="1"/>
  <c r="E3729" i="1"/>
  <c r="F3728" i="1"/>
  <c r="E3728" i="1"/>
  <c r="F3727" i="1"/>
  <c r="E3727" i="1"/>
  <c r="F3726" i="1"/>
  <c r="E3726" i="1"/>
  <c r="F3725" i="1"/>
  <c r="E3725" i="1"/>
  <c r="F3724" i="1"/>
  <c r="E3724" i="1"/>
  <c r="F3723" i="1"/>
  <c r="E3723" i="1"/>
  <c r="F3722" i="1"/>
  <c r="E3722" i="1"/>
  <c r="F3721" i="1"/>
  <c r="E3721" i="1"/>
  <c r="F3720" i="1"/>
  <c r="E3720" i="1"/>
  <c r="F3719" i="1"/>
  <c r="E3719" i="1"/>
  <c r="F3718" i="1"/>
  <c r="E3718" i="1"/>
  <c r="F3717" i="1"/>
  <c r="E3717" i="1"/>
  <c r="F3716" i="1"/>
  <c r="E3716" i="1"/>
  <c r="F3715" i="1"/>
  <c r="E3715" i="1"/>
  <c r="F3714" i="1"/>
  <c r="E3714" i="1"/>
  <c r="F3713" i="1"/>
  <c r="E3713" i="1"/>
  <c r="F3712" i="1"/>
  <c r="E3712" i="1"/>
  <c r="F3711" i="1"/>
  <c r="E3711" i="1"/>
  <c r="F3710" i="1"/>
  <c r="E3710" i="1"/>
  <c r="F3709" i="1"/>
  <c r="E3709" i="1"/>
  <c r="F3708" i="1"/>
  <c r="E3708" i="1"/>
  <c r="F3707" i="1"/>
  <c r="E3707" i="1"/>
  <c r="F3706" i="1"/>
  <c r="E3706" i="1"/>
  <c r="F3705" i="1"/>
  <c r="E3705" i="1"/>
  <c r="F3704" i="1"/>
  <c r="E3704" i="1"/>
  <c r="F3703" i="1"/>
  <c r="E3703" i="1"/>
  <c r="F3702" i="1"/>
  <c r="E3702" i="1"/>
  <c r="F3701" i="1"/>
  <c r="E3701" i="1"/>
  <c r="F3700" i="1"/>
  <c r="E3700" i="1"/>
  <c r="F3699" i="1"/>
  <c r="F3698" i="1"/>
  <c r="E3698" i="1"/>
  <c r="F3697" i="1"/>
  <c r="E3697" i="1"/>
  <c r="F3696" i="1"/>
  <c r="E3696" i="1"/>
  <c r="F3695" i="1"/>
  <c r="E3695" i="1"/>
  <c r="F3694" i="1"/>
  <c r="E3694" i="1"/>
  <c r="F3693" i="1"/>
  <c r="E3693" i="1"/>
  <c r="F3692" i="1"/>
  <c r="E3692" i="1"/>
  <c r="F3691" i="1"/>
  <c r="E3691" i="1"/>
  <c r="F3690" i="1"/>
  <c r="E3690" i="1"/>
  <c r="F3689" i="1"/>
  <c r="E3689" i="1"/>
  <c r="F3688" i="1"/>
  <c r="E3688" i="1"/>
  <c r="F3687" i="1"/>
  <c r="E3687" i="1"/>
  <c r="F3686" i="1"/>
  <c r="E3686" i="1"/>
  <c r="F3685" i="1"/>
  <c r="E3685" i="1"/>
  <c r="F3684" i="1"/>
  <c r="E3684" i="1"/>
  <c r="F3683" i="1"/>
  <c r="E3683" i="1"/>
  <c r="F3682" i="1"/>
  <c r="E3682" i="1"/>
  <c r="F3681" i="1"/>
  <c r="F3680" i="1"/>
  <c r="E3680" i="1"/>
  <c r="F3679" i="1"/>
  <c r="E3679" i="1"/>
  <c r="F3678" i="1"/>
  <c r="E3678" i="1"/>
  <c r="F3677" i="1"/>
  <c r="E3677" i="1"/>
  <c r="F3676" i="1"/>
  <c r="E3676" i="1"/>
  <c r="F3675" i="1"/>
  <c r="E3675" i="1"/>
  <c r="F3674" i="1"/>
  <c r="F3673" i="1"/>
  <c r="F3672" i="1"/>
  <c r="E3672" i="1"/>
  <c r="F3671" i="1"/>
  <c r="E3671" i="1"/>
  <c r="F3670" i="1"/>
  <c r="F3669" i="1"/>
  <c r="F3668" i="1"/>
  <c r="E3668" i="1"/>
  <c r="F3667" i="1"/>
  <c r="F3666" i="1"/>
  <c r="E3666" i="1"/>
  <c r="F3665" i="1"/>
  <c r="E3665" i="1"/>
  <c r="F3664" i="1"/>
  <c r="E3664" i="1"/>
  <c r="F3663" i="1"/>
  <c r="E3663" i="1"/>
  <c r="F3662" i="1"/>
  <c r="E3662" i="1"/>
  <c r="F3661" i="1"/>
  <c r="E3661" i="1"/>
  <c r="F3660" i="1"/>
  <c r="E3660" i="1"/>
  <c r="F3659" i="1"/>
  <c r="E3659" i="1"/>
  <c r="F3658" i="1"/>
  <c r="E3658" i="1"/>
  <c r="F3657" i="1"/>
  <c r="E3657" i="1"/>
  <c r="F3656" i="1"/>
  <c r="E3656" i="1"/>
  <c r="F3655" i="1"/>
  <c r="E3655" i="1"/>
  <c r="F3654" i="1"/>
  <c r="E3654" i="1"/>
  <c r="F3653" i="1"/>
  <c r="E3653" i="1"/>
  <c r="F3652" i="1"/>
  <c r="E3652" i="1"/>
  <c r="F3651" i="1"/>
  <c r="E3651" i="1"/>
  <c r="F3650" i="1"/>
  <c r="E3650" i="1"/>
  <c r="F3649" i="1"/>
  <c r="E3649" i="1"/>
  <c r="F3648" i="1"/>
  <c r="E3648" i="1"/>
  <c r="F3647" i="1"/>
  <c r="E3647" i="1"/>
  <c r="F3646" i="1"/>
  <c r="E3646" i="1"/>
  <c r="F3645" i="1"/>
  <c r="E3645" i="1"/>
  <c r="F3644" i="1"/>
  <c r="E3644" i="1"/>
  <c r="F3643" i="1"/>
  <c r="E3643" i="1"/>
  <c r="F3642" i="1"/>
  <c r="E3642" i="1"/>
  <c r="F3641" i="1"/>
  <c r="E3641" i="1"/>
  <c r="F3640" i="1"/>
  <c r="E3640" i="1"/>
  <c r="F3639" i="1"/>
  <c r="E3639" i="1"/>
  <c r="F3638" i="1"/>
  <c r="E3638" i="1"/>
  <c r="F3637" i="1"/>
  <c r="E3637" i="1"/>
  <c r="F3636" i="1"/>
  <c r="E3636" i="1"/>
  <c r="F3635" i="1"/>
  <c r="E3635" i="1"/>
  <c r="F3634" i="1"/>
  <c r="E3634" i="1"/>
  <c r="F3633" i="1"/>
  <c r="E3633" i="1"/>
  <c r="F3632" i="1"/>
  <c r="E3632" i="1"/>
  <c r="F3631" i="1"/>
  <c r="E3631" i="1"/>
  <c r="F3630" i="1"/>
  <c r="E3630" i="1"/>
  <c r="F3629" i="1"/>
  <c r="E3629" i="1"/>
  <c r="F3628" i="1"/>
  <c r="E3628" i="1"/>
  <c r="F3627" i="1"/>
  <c r="E3627" i="1"/>
  <c r="F3626" i="1"/>
  <c r="E3626" i="1"/>
  <c r="F3625" i="1"/>
  <c r="E3625" i="1"/>
  <c r="F3624" i="1"/>
  <c r="E3624" i="1"/>
  <c r="F3623" i="1"/>
  <c r="F3622" i="1"/>
  <c r="E3622" i="1"/>
  <c r="F3621" i="1"/>
  <c r="E3621" i="1"/>
  <c r="F3620" i="1"/>
  <c r="E3620" i="1"/>
  <c r="F3619" i="1"/>
  <c r="E3619" i="1"/>
  <c r="F3618" i="1"/>
  <c r="E3618" i="1"/>
  <c r="F3617" i="1"/>
  <c r="E3617" i="1"/>
  <c r="F3616" i="1"/>
  <c r="E3616" i="1"/>
  <c r="F3615" i="1"/>
  <c r="E3615" i="1"/>
  <c r="F3614" i="1"/>
  <c r="E3614" i="1"/>
  <c r="F3613" i="1"/>
  <c r="E3613" i="1"/>
  <c r="F3612" i="1"/>
  <c r="E3612" i="1"/>
  <c r="F3611" i="1"/>
  <c r="E3611" i="1"/>
  <c r="F3610" i="1"/>
  <c r="E3610" i="1"/>
  <c r="F3609" i="1"/>
  <c r="F3608" i="1"/>
  <c r="E3608" i="1"/>
  <c r="F3607" i="1"/>
  <c r="E3607" i="1"/>
  <c r="F3606" i="1"/>
  <c r="E3606" i="1"/>
  <c r="F3605" i="1"/>
  <c r="E3605" i="1"/>
  <c r="F3604" i="1"/>
  <c r="E3604" i="1"/>
  <c r="F3603" i="1"/>
  <c r="E3603" i="1"/>
  <c r="F3602" i="1"/>
  <c r="E3602" i="1"/>
  <c r="F3601" i="1"/>
  <c r="E3601" i="1"/>
  <c r="F3600" i="1"/>
  <c r="E3600" i="1"/>
  <c r="F3599" i="1"/>
  <c r="F3598" i="1"/>
  <c r="E3598" i="1"/>
  <c r="F3597" i="1"/>
  <c r="E3597" i="1"/>
  <c r="F3596" i="1"/>
  <c r="E3596" i="1"/>
  <c r="F3595" i="1"/>
  <c r="E3595" i="1"/>
  <c r="F3594" i="1"/>
  <c r="E3594" i="1"/>
  <c r="F3593" i="1"/>
  <c r="E3593" i="1"/>
  <c r="F3592" i="1"/>
  <c r="E3592" i="1"/>
  <c r="F3591" i="1"/>
  <c r="E3591" i="1"/>
  <c r="F3590" i="1"/>
  <c r="E3590" i="1"/>
  <c r="F3589" i="1"/>
  <c r="E3589" i="1"/>
  <c r="F3588" i="1"/>
  <c r="E3588" i="1"/>
  <c r="F3587" i="1"/>
  <c r="E3587" i="1"/>
  <c r="F3586" i="1"/>
  <c r="E3586" i="1"/>
  <c r="F3585" i="1"/>
  <c r="F3584" i="1"/>
  <c r="E3584" i="1"/>
  <c r="F3583" i="1"/>
  <c r="E3583" i="1"/>
  <c r="F3582" i="1"/>
  <c r="E3582" i="1"/>
  <c r="F3581" i="1"/>
  <c r="E3581" i="1"/>
  <c r="F3580" i="1"/>
  <c r="E3580" i="1"/>
  <c r="F3579" i="1"/>
  <c r="E3579" i="1"/>
  <c r="F3578" i="1"/>
  <c r="E3578" i="1"/>
  <c r="F3577" i="1"/>
  <c r="E3577" i="1"/>
  <c r="F3576" i="1"/>
  <c r="E3576" i="1"/>
  <c r="F3575" i="1"/>
  <c r="E3575" i="1"/>
  <c r="F3574" i="1"/>
  <c r="E3574" i="1"/>
  <c r="F3573" i="1"/>
  <c r="E3573" i="1"/>
  <c r="F3572" i="1"/>
  <c r="E3572" i="1"/>
  <c r="F3571" i="1"/>
  <c r="E3571" i="1"/>
  <c r="F3570" i="1"/>
  <c r="E3570" i="1"/>
  <c r="F3569" i="1"/>
  <c r="E3569" i="1"/>
  <c r="F3568" i="1"/>
  <c r="E3568" i="1"/>
  <c r="F3567" i="1"/>
  <c r="F3566" i="1"/>
  <c r="E3566" i="1"/>
  <c r="F3565" i="1"/>
  <c r="E3565" i="1"/>
  <c r="F3564" i="1"/>
  <c r="E3564" i="1"/>
  <c r="F3563" i="1"/>
  <c r="E3563" i="1"/>
  <c r="F3562" i="1"/>
  <c r="E3562" i="1"/>
  <c r="F3561" i="1"/>
  <c r="E3561" i="1"/>
  <c r="F3560" i="1"/>
  <c r="F3559" i="1"/>
  <c r="F3558" i="1"/>
  <c r="F3557" i="1"/>
  <c r="F3556" i="1"/>
  <c r="E3556" i="1"/>
  <c r="F3555" i="1"/>
  <c r="F3554" i="1"/>
  <c r="F3553" i="1"/>
  <c r="F3552" i="1"/>
  <c r="F3551" i="1"/>
  <c r="F3550" i="1"/>
  <c r="E3550" i="1"/>
  <c r="F3549" i="1"/>
  <c r="F3548" i="1"/>
  <c r="F3547" i="1"/>
  <c r="F3546" i="1"/>
  <c r="E3546" i="1"/>
  <c r="F3545" i="1"/>
  <c r="E3545" i="1"/>
  <c r="F3544" i="1"/>
  <c r="E3544" i="1"/>
  <c r="F3543" i="1"/>
  <c r="E3543" i="1"/>
  <c r="F3542" i="1"/>
  <c r="E3542" i="1"/>
  <c r="F3541" i="1"/>
  <c r="E3541" i="1"/>
  <c r="F3540" i="1"/>
  <c r="E3540" i="1"/>
  <c r="F3539" i="1"/>
  <c r="E3539" i="1"/>
  <c r="F3538" i="1"/>
  <c r="E3538" i="1"/>
  <c r="F3537" i="1"/>
  <c r="E3537" i="1"/>
  <c r="F3536" i="1"/>
  <c r="E3536" i="1"/>
  <c r="F3535" i="1"/>
  <c r="F3534" i="1"/>
  <c r="F3533" i="1"/>
  <c r="E3533" i="1"/>
  <c r="F3532" i="1"/>
  <c r="E3532" i="1"/>
  <c r="F3531" i="1"/>
  <c r="E3531" i="1"/>
  <c r="F3530" i="1"/>
  <c r="E3530" i="1"/>
  <c r="F3529" i="1"/>
  <c r="E3529" i="1"/>
  <c r="F3528" i="1"/>
  <c r="E3528" i="1"/>
  <c r="F3527" i="1"/>
  <c r="E3527" i="1"/>
  <c r="F3526" i="1"/>
  <c r="E3526" i="1"/>
  <c r="F3525" i="1"/>
  <c r="E3525" i="1"/>
  <c r="F3524" i="1"/>
  <c r="E3524" i="1"/>
  <c r="F3523" i="1"/>
  <c r="E3523" i="1"/>
  <c r="F3522" i="1"/>
  <c r="E3522" i="1"/>
  <c r="F3521" i="1"/>
  <c r="E3521" i="1"/>
  <c r="F3520" i="1"/>
  <c r="E3520" i="1"/>
  <c r="F3519" i="1"/>
  <c r="E3519" i="1"/>
  <c r="F3518" i="1"/>
  <c r="E3518" i="1"/>
  <c r="F3517" i="1"/>
  <c r="E3517" i="1"/>
  <c r="F3516" i="1"/>
  <c r="E3516" i="1"/>
  <c r="F3515" i="1"/>
  <c r="E3515" i="1"/>
  <c r="F3514" i="1"/>
  <c r="E3514" i="1"/>
  <c r="F3513" i="1"/>
  <c r="E3513" i="1"/>
  <c r="F3512" i="1"/>
  <c r="E3512" i="1"/>
  <c r="F3511" i="1"/>
  <c r="E3511" i="1"/>
  <c r="F3510" i="1"/>
  <c r="E3510" i="1"/>
  <c r="F3509" i="1"/>
  <c r="E3509" i="1"/>
  <c r="F3508" i="1"/>
  <c r="E3508" i="1"/>
  <c r="F3507" i="1"/>
  <c r="E3507" i="1"/>
  <c r="F3506" i="1"/>
  <c r="E3506" i="1"/>
  <c r="F3505" i="1"/>
  <c r="E3505" i="1"/>
  <c r="F3504" i="1"/>
  <c r="E3504" i="1"/>
  <c r="F3503" i="1"/>
  <c r="F3502" i="1"/>
  <c r="E3502" i="1"/>
  <c r="F3501" i="1"/>
  <c r="E3501" i="1"/>
  <c r="F3500" i="1"/>
  <c r="E3500" i="1"/>
  <c r="F3499" i="1"/>
  <c r="E3499" i="1"/>
  <c r="F3498" i="1"/>
  <c r="E3498" i="1"/>
  <c r="F3497" i="1"/>
  <c r="F3496" i="1"/>
  <c r="E3496" i="1"/>
  <c r="F3495" i="1"/>
  <c r="E3495" i="1"/>
  <c r="F3494" i="1"/>
  <c r="E3494" i="1"/>
  <c r="F3493" i="1"/>
  <c r="E3493" i="1"/>
  <c r="F3492" i="1"/>
  <c r="E3492" i="1"/>
  <c r="F3491" i="1"/>
  <c r="E3491" i="1"/>
  <c r="F3490" i="1"/>
  <c r="E3490" i="1"/>
  <c r="F3489" i="1"/>
  <c r="F3488" i="1"/>
  <c r="E3488" i="1"/>
  <c r="F3487" i="1"/>
  <c r="E3487" i="1"/>
  <c r="F3486" i="1"/>
  <c r="F3485" i="1"/>
  <c r="E3485" i="1"/>
  <c r="F3484" i="1"/>
  <c r="E3484" i="1"/>
  <c r="F3483" i="1"/>
  <c r="F3482" i="1"/>
  <c r="E3482" i="1"/>
  <c r="F3481" i="1"/>
  <c r="E3481" i="1"/>
  <c r="F3480" i="1"/>
  <c r="F3479" i="1"/>
  <c r="E3479" i="1"/>
  <c r="F3478" i="1"/>
  <c r="E3478" i="1"/>
  <c r="F3477" i="1"/>
  <c r="E3477" i="1"/>
  <c r="F3476" i="1"/>
  <c r="E3476" i="1"/>
  <c r="F3475" i="1"/>
  <c r="F3474" i="1"/>
  <c r="E3474" i="1"/>
  <c r="F3473" i="1"/>
  <c r="E3473" i="1"/>
  <c r="F3472" i="1"/>
  <c r="E3472" i="1"/>
  <c r="F3471" i="1"/>
  <c r="E3471" i="1"/>
  <c r="F3470" i="1"/>
  <c r="F3469" i="1"/>
  <c r="F3468" i="1"/>
  <c r="E3468" i="1"/>
  <c r="F3467" i="1"/>
  <c r="E3467" i="1"/>
  <c r="F3466" i="1"/>
  <c r="E3466" i="1"/>
  <c r="F3465" i="1"/>
  <c r="E3465" i="1"/>
  <c r="F3464" i="1"/>
  <c r="E3464" i="1"/>
  <c r="F3463" i="1"/>
  <c r="E3463" i="1"/>
  <c r="F3462" i="1"/>
  <c r="E3462" i="1"/>
  <c r="F3461" i="1"/>
  <c r="E3461" i="1"/>
  <c r="F3460" i="1"/>
  <c r="E3460" i="1"/>
  <c r="F3459" i="1"/>
  <c r="E3459" i="1"/>
  <c r="F3458" i="1"/>
  <c r="F3457" i="1"/>
  <c r="E3457" i="1"/>
  <c r="F3456" i="1"/>
  <c r="E3456" i="1"/>
  <c r="F3455" i="1"/>
  <c r="E3455" i="1"/>
  <c r="F3454" i="1"/>
  <c r="E3454" i="1"/>
  <c r="F3453" i="1"/>
  <c r="F3452" i="1"/>
  <c r="F3451" i="1"/>
  <c r="F3450" i="1"/>
  <c r="F3449" i="1"/>
  <c r="E3449" i="1"/>
  <c r="F3448" i="1"/>
  <c r="F3447" i="1"/>
  <c r="F3446" i="1"/>
  <c r="E3446" i="1"/>
  <c r="F3445" i="1"/>
  <c r="E3445" i="1"/>
  <c r="F3444" i="1"/>
  <c r="E3444" i="1"/>
  <c r="F3443" i="1"/>
  <c r="F3442" i="1"/>
  <c r="E3442" i="1"/>
  <c r="F3441" i="1"/>
  <c r="E3441" i="1"/>
  <c r="F3440" i="1"/>
  <c r="E3440" i="1"/>
  <c r="F3439" i="1"/>
  <c r="E3439" i="1"/>
  <c r="F3438" i="1"/>
  <c r="F3437" i="1"/>
  <c r="F3436" i="1"/>
  <c r="E3436" i="1"/>
  <c r="F3435" i="1"/>
  <c r="E3435" i="1"/>
  <c r="F3434" i="1"/>
  <c r="E3434" i="1"/>
  <c r="F3433" i="1"/>
  <c r="E3433" i="1"/>
  <c r="F3432" i="1"/>
  <c r="E3432" i="1"/>
  <c r="F3431" i="1"/>
  <c r="F3430" i="1"/>
  <c r="E3430" i="1"/>
  <c r="F3429" i="1"/>
  <c r="E3429" i="1"/>
  <c r="F3428" i="1"/>
  <c r="E3428" i="1"/>
  <c r="F3427" i="1"/>
  <c r="E3427" i="1"/>
  <c r="F3426" i="1"/>
  <c r="E3426" i="1"/>
  <c r="F3425" i="1"/>
  <c r="E3425" i="1"/>
  <c r="F3424" i="1"/>
  <c r="E3424" i="1"/>
  <c r="F3423" i="1"/>
  <c r="E3423" i="1"/>
  <c r="F3422" i="1"/>
  <c r="E3422" i="1"/>
  <c r="F3421" i="1"/>
  <c r="E3421" i="1"/>
  <c r="F3420" i="1"/>
  <c r="E3420" i="1"/>
  <c r="F3419" i="1"/>
  <c r="E3419" i="1"/>
  <c r="F3418" i="1"/>
  <c r="E3418" i="1"/>
  <c r="F3417" i="1"/>
  <c r="E3417" i="1"/>
  <c r="F3416" i="1"/>
  <c r="E3416" i="1"/>
  <c r="F3415" i="1"/>
  <c r="F3414" i="1"/>
  <c r="E3414" i="1"/>
  <c r="F3413" i="1"/>
  <c r="F3412" i="1"/>
  <c r="E3412" i="1"/>
  <c r="F3411" i="1"/>
  <c r="E3411" i="1"/>
  <c r="F3410" i="1"/>
  <c r="E3410" i="1"/>
  <c r="F3409" i="1"/>
  <c r="F3408" i="1"/>
  <c r="F3407" i="1"/>
  <c r="E3407" i="1"/>
  <c r="F3406" i="1"/>
  <c r="E3406" i="1"/>
  <c r="F3405" i="1"/>
  <c r="F3404" i="1"/>
  <c r="E3404" i="1"/>
  <c r="F3403" i="1"/>
  <c r="E3403" i="1"/>
  <c r="F3402" i="1"/>
  <c r="E3402" i="1"/>
  <c r="F3401" i="1"/>
  <c r="E3401" i="1"/>
  <c r="F3400" i="1"/>
  <c r="E3400" i="1"/>
  <c r="F3399" i="1"/>
  <c r="E3399" i="1"/>
  <c r="F3398" i="1"/>
  <c r="E3398" i="1"/>
  <c r="F3397" i="1"/>
  <c r="E3397" i="1"/>
  <c r="F3396" i="1"/>
  <c r="E3396" i="1"/>
  <c r="F3395" i="1"/>
  <c r="E3395" i="1"/>
  <c r="F3394" i="1"/>
  <c r="E3394" i="1"/>
  <c r="F3393" i="1"/>
  <c r="E3393" i="1"/>
  <c r="F3392" i="1"/>
  <c r="E3392" i="1"/>
  <c r="F3391" i="1"/>
  <c r="E3391" i="1"/>
  <c r="F3390" i="1"/>
  <c r="E3390" i="1"/>
  <c r="F3389" i="1"/>
  <c r="E3389" i="1"/>
  <c r="F3388" i="1"/>
  <c r="E3388" i="1"/>
  <c r="F3387" i="1"/>
  <c r="E3387" i="1"/>
  <c r="F3386" i="1"/>
  <c r="E3386" i="1"/>
  <c r="F3385" i="1"/>
  <c r="E3385" i="1"/>
  <c r="F3384" i="1"/>
  <c r="E3384" i="1"/>
  <c r="F3383" i="1"/>
  <c r="E3383" i="1"/>
  <c r="F3382" i="1"/>
  <c r="E3382" i="1"/>
  <c r="F3381" i="1"/>
  <c r="E3381" i="1"/>
  <c r="F3380" i="1"/>
  <c r="E3380" i="1"/>
  <c r="F3379" i="1"/>
  <c r="E3379" i="1"/>
  <c r="F3378" i="1"/>
  <c r="E3378" i="1"/>
  <c r="F3377" i="1"/>
  <c r="E3377" i="1"/>
  <c r="F3376" i="1"/>
  <c r="E3376" i="1"/>
  <c r="F3375" i="1"/>
  <c r="E3375" i="1"/>
  <c r="F3374" i="1"/>
  <c r="E3374" i="1"/>
  <c r="F3373" i="1"/>
  <c r="E3373" i="1"/>
  <c r="F3372" i="1"/>
  <c r="E3372" i="1"/>
  <c r="F3371" i="1"/>
  <c r="E3371" i="1"/>
  <c r="F3370" i="1"/>
  <c r="F3369" i="1"/>
  <c r="F3368" i="1"/>
  <c r="E3368" i="1"/>
  <c r="F3367" i="1"/>
  <c r="E3367" i="1"/>
  <c r="F3366" i="1"/>
  <c r="E3366" i="1"/>
  <c r="F3365" i="1"/>
  <c r="E3365" i="1"/>
  <c r="F3364" i="1"/>
  <c r="E3364" i="1"/>
  <c r="F3363" i="1"/>
  <c r="E3363" i="1"/>
  <c r="F3362" i="1"/>
  <c r="E3362" i="1"/>
  <c r="F3361" i="1"/>
  <c r="E3361" i="1"/>
  <c r="F3360" i="1"/>
  <c r="E3360" i="1"/>
  <c r="F3359" i="1"/>
  <c r="E3359" i="1"/>
  <c r="F3358" i="1"/>
  <c r="E3358" i="1"/>
  <c r="F3357" i="1"/>
  <c r="E3357" i="1"/>
  <c r="F3356" i="1"/>
  <c r="E3356" i="1"/>
  <c r="F3355" i="1"/>
  <c r="E3355" i="1"/>
  <c r="F3354" i="1"/>
  <c r="E3354" i="1"/>
  <c r="F3353" i="1"/>
  <c r="E3353" i="1"/>
  <c r="F3352" i="1"/>
  <c r="E3352" i="1"/>
  <c r="F3351" i="1"/>
  <c r="E3351" i="1"/>
  <c r="F3350" i="1"/>
  <c r="E3350" i="1"/>
  <c r="F3349" i="1"/>
  <c r="E3349" i="1"/>
  <c r="F3348" i="1"/>
  <c r="E3348" i="1"/>
  <c r="F3347" i="1"/>
  <c r="E3347" i="1"/>
  <c r="F3346" i="1"/>
  <c r="E3346" i="1"/>
  <c r="F3345" i="1"/>
  <c r="E3345" i="1"/>
  <c r="F3344" i="1"/>
  <c r="E3344" i="1"/>
  <c r="F3343" i="1"/>
  <c r="E3343" i="1"/>
  <c r="F3342" i="1"/>
  <c r="E3342" i="1"/>
  <c r="F3341" i="1"/>
  <c r="E3341" i="1"/>
  <c r="F3340" i="1"/>
  <c r="E3340" i="1"/>
  <c r="F3339" i="1"/>
  <c r="E3339" i="1"/>
  <c r="F3338" i="1"/>
  <c r="E3338" i="1"/>
  <c r="F3337" i="1"/>
  <c r="E3337" i="1"/>
  <c r="F3336" i="1"/>
  <c r="E3336" i="1"/>
  <c r="F3335" i="1"/>
  <c r="E3335" i="1"/>
  <c r="F3334" i="1"/>
  <c r="E3334" i="1"/>
  <c r="F3333" i="1"/>
  <c r="E3333" i="1"/>
  <c r="F3332" i="1"/>
  <c r="E3332" i="1"/>
  <c r="F3331" i="1"/>
  <c r="E3331" i="1"/>
  <c r="F3330" i="1"/>
  <c r="E3330" i="1"/>
  <c r="F3329" i="1"/>
  <c r="E3329" i="1"/>
  <c r="F3328" i="1"/>
  <c r="F3327" i="1"/>
  <c r="E3327" i="1"/>
  <c r="F3326" i="1"/>
  <c r="E3326" i="1"/>
  <c r="F3325" i="1"/>
  <c r="E3325" i="1"/>
  <c r="F3324" i="1"/>
  <c r="E3324" i="1"/>
  <c r="F3323" i="1"/>
  <c r="E3323" i="1"/>
  <c r="F3322" i="1"/>
  <c r="E3322" i="1"/>
  <c r="F3321" i="1"/>
  <c r="E3321" i="1"/>
  <c r="F3320" i="1"/>
  <c r="E3320" i="1"/>
  <c r="F3319" i="1"/>
  <c r="E3319" i="1"/>
  <c r="F3318" i="1"/>
  <c r="E3318" i="1"/>
  <c r="F3317" i="1"/>
  <c r="E3317" i="1"/>
  <c r="F3316" i="1"/>
  <c r="E3316" i="1"/>
  <c r="F3315" i="1"/>
  <c r="E3315" i="1"/>
  <c r="F3314" i="1"/>
  <c r="E3314" i="1"/>
  <c r="F3313" i="1"/>
  <c r="E3313" i="1"/>
  <c r="F3312" i="1"/>
  <c r="E3312" i="1"/>
  <c r="F3311" i="1"/>
  <c r="E3311" i="1"/>
  <c r="F3310" i="1"/>
  <c r="E3310" i="1"/>
  <c r="F3309" i="1"/>
  <c r="E3309" i="1"/>
  <c r="F3308" i="1"/>
  <c r="E3308" i="1"/>
  <c r="F3307" i="1"/>
  <c r="E3307" i="1"/>
  <c r="F3306" i="1"/>
  <c r="E3306" i="1"/>
  <c r="F3305" i="1"/>
  <c r="E3305" i="1"/>
  <c r="F3304" i="1"/>
  <c r="E3304" i="1"/>
  <c r="F3303" i="1"/>
  <c r="E3303" i="1"/>
  <c r="F3302" i="1"/>
  <c r="E3302" i="1"/>
  <c r="F3301" i="1"/>
  <c r="E3301" i="1"/>
  <c r="F3300" i="1"/>
  <c r="E3300" i="1"/>
  <c r="F3299" i="1"/>
  <c r="E3299" i="1"/>
  <c r="F3298" i="1"/>
  <c r="E3298" i="1"/>
  <c r="F3297" i="1"/>
  <c r="E3297" i="1"/>
  <c r="F3296" i="1"/>
  <c r="E3296" i="1"/>
  <c r="F3295" i="1"/>
  <c r="E3295" i="1"/>
  <c r="F3294" i="1"/>
  <c r="E3294" i="1"/>
  <c r="F3293" i="1"/>
  <c r="E3293" i="1"/>
  <c r="F3292" i="1"/>
  <c r="E3292" i="1"/>
  <c r="F3291" i="1"/>
  <c r="E3291" i="1"/>
  <c r="F3290" i="1"/>
  <c r="E3290" i="1"/>
  <c r="F3289" i="1"/>
  <c r="E3289" i="1"/>
  <c r="F3288" i="1"/>
  <c r="E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E3242" i="1"/>
  <c r="F3241" i="1"/>
  <c r="E3241" i="1"/>
  <c r="F3240" i="1"/>
  <c r="E3240" i="1"/>
  <c r="F3239" i="1"/>
  <c r="E3239" i="1"/>
  <c r="F3238" i="1"/>
  <c r="E3238" i="1"/>
  <c r="F3237" i="1"/>
  <c r="E3237" i="1"/>
  <c r="F3236" i="1"/>
  <c r="E3236" i="1"/>
  <c r="F3235" i="1"/>
  <c r="E3235" i="1"/>
  <c r="F3234" i="1"/>
  <c r="E3234" i="1"/>
  <c r="F3233" i="1"/>
  <c r="F3232" i="1"/>
  <c r="E3232" i="1"/>
  <c r="F3231" i="1"/>
  <c r="E3231" i="1"/>
  <c r="F3230" i="1"/>
  <c r="E3230" i="1"/>
  <c r="F3229" i="1"/>
  <c r="E3229" i="1"/>
  <c r="F3228" i="1"/>
  <c r="E3228" i="1"/>
  <c r="F3227" i="1"/>
  <c r="E3227" i="1"/>
  <c r="F3226" i="1"/>
  <c r="E3226" i="1"/>
  <c r="F3225" i="1"/>
  <c r="E3225" i="1"/>
  <c r="F3224" i="1"/>
  <c r="E3224" i="1"/>
  <c r="F3223" i="1"/>
  <c r="E3223" i="1"/>
  <c r="F3222" i="1"/>
  <c r="E3222" i="1"/>
  <c r="F3221" i="1"/>
  <c r="E3221" i="1"/>
  <c r="F3220" i="1"/>
  <c r="E3220" i="1"/>
  <c r="F3219" i="1"/>
  <c r="E3219" i="1"/>
  <c r="F3218" i="1"/>
  <c r="E3218" i="1"/>
  <c r="F3217" i="1"/>
  <c r="E3217" i="1"/>
  <c r="F3216" i="1"/>
  <c r="E3216" i="1"/>
  <c r="F3215" i="1"/>
  <c r="E3215" i="1"/>
  <c r="F3214" i="1"/>
  <c r="E3214" i="1"/>
  <c r="F3213" i="1"/>
  <c r="E3213" i="1"/>
  <c r="F3212" i="1"/>
  <c r="E3212" i="1"/>
  <c r="F3211" i="1"/>
  <c r="E3211" i="1"/>
  <c r="F3210" i="1"/>
  <c r="E3210" i="1"/>
  <c r="F3209" i="1"/>
  <c r="E3209" i="1"/>
  <c r="F3208" i="1"/>
  <c r="E3208" i="1"/>
  <c r="F3207" i="1"/>
  <c r="E3207" i="1"/>
  <c r="F3206" i="1"/>
  <c r="E3206" i="1"/>
  <c r="F3205" i="1"/>
  <c r="E3205" i="1"/>
  <c r="F3204" i="1"/>
  <c r="E3204" i="1"/>
  <c r="F3203" i="1"/>
  <c r="E3203" i="1"/>
  <c r="F3202" i="1"/>
  <c r="E3202" i="1"/>
  <c r="F3201" i="1"/>
  <c r="E3201" i="1"/>
  <c r="F3200" i="1"/>
  <c r="E3200" i="1"/>
  <c r="F3199" i="1"/>
  <c r="E3199" i="1"/>
  <c r="F3198" i="1"/>
  <c r="E3198" i="1"/>
  <c r="F3197" i="1"/>
  <c r="E3197" i="1"/>
  <c r="F3196" i="1"/>
  <c r="E3196" i="1"/>
  <c r="F3195" i="1"/>
  <c r="E3195" i="1"/>
  <c r="F3194" i="1"/>
  <c r="E3194" i="1"/>
  <c r="F3193" i="1"/>
  <c r="E3193" i="1"/>
  <c r="F3192" i="1"/>
  <c r="E3192" i="1"/>
  <c r="F3191" i="1"/>
  <c r="E3191" i="1"/>
  <c r="F3190" i="1"/>
  <c r="E3190" i="1"/>
  <c r="F3189" i="1"/>
  <c r="E3189" i="1"/>
  <c r="F3188" i="1"/>
  <c r="F3187" i="1"/>
  <c r="E3187" i="1"/>
  <c r="F3186" i="1"/>
  <c r="E3186" i="1"/>
  <c r="F3185" i="1"/>
  <c r="E3185" i="1"/>
  <c r="F3184" i="1"/>
  <c r="E3184" i="1"/>
  <c r="F3183" i="1"/>
  <c r="E3183" i="1"/>
  <c r="F3182" i="1"/>
  <c r="E3182" i="1"/>
  <c r="F3181" i="1"/>
  <c r="E3181" i="1"/>
  <c r="F3180" i="1"/>
  <c r="E3180" i="1"/>
  <c r="F3179" i="1"/>
  <c r="E3179" i="1"/>
  <c r="F3178" i="1"/>
  <c r="E3178" i="1"/>
  <c r="F3177" i="1"/>
  <c r="E3177" i="1"/>
  <c r="F3176" i="1"/>
  <c r="E3176" i="1"/>
  <c r="F3175" i="1"/>
  <c r="E3175" i="1"/>
  <c r="F3174" i="1"/>
  <c r="E3174" i="1"/>
  <c r="F3173" i="1"/>
  <c r="E3173" i="1"/>
  <c r="F3172" i="1"/>
  <c r="E3172" i="1"/>
  <c r="F3171" i="1"/>
  <c r="E3171" i="1"/>
  <c r="F3170" i="1"/>
  <c r="E3170" i="1"/>
  <c r="F3169" i="1"/>
  <c r="E3169" i="1"/>
  <c r="F3168" i="1"/>
  <c r="E3168" i="1"/>
  <c r="F3167" i="1"/>
  <c r="E3167" i="1"/>
  <c r="F3166" i="1"/>
  <c r="E3166" i="1"/>
  <c r="F3165" i="1"/>
  <c r="E3165" i="1"/>
  <c r="F3164" i="1"/>
  <c r="E3164" i="1"/>
  <c r="F3163" i="1"/>
  <c r="E3163" i="1"/>
  <c r="F3162" i="1"/>
  <c r="E3162" i="1"/>
  <c r="F3161" i="1"/>
  <c r="E3161" i="1"/>
  <c r="F3160" i="1"/>
  <c r="E3160" i="1"/>
  <c r="F3159" i="1"/>
  <c r="E3159" i="1"/>
  <c r="F3158" i="1"/>
  <c r="E3158" i="1"/>
  <c r="F3157" i="1"/>
  <c r="E3157" i="1"/>
  <c r="F3156" i="1"/>
  <c r="E3156" i="1"/>
  <c r="F3155" i="1"/>
  <c r="E3155" i="1"/>
  <c r="F3154" i="1"/>
  <c r="E3154" i="1"/>
  <c r="F3153" i="1"/>
  <c r="E3153" i="1"/>
  <c r="F3152" i="1"/>
  <c r="E3152" i="1"/>
  <c r="F3151" i="1"/>
  <c r="E3151" i="1"/>
  <c r="F3150" i="1"/>
  <c r="E3150" i="1"/>
  <c r="F3149" i="1"/>
  <c r="E3149" i="1"/>
  <c r="F3148" i="1"/>
  <c r="E3148" i="1"/>
  <c r="E3147" i="1"/>
  <c r="E3146" i="1"/>
  <c r="F3145" i="1"/>
  <c r="E3145" i="1"/>
  <c r="F3144" i="1"/>
  <c r="E3144" i="1"/>
  <c r="F3143" i="1"/>
  <c r="E3143" i="1"/>
  <c r="F3142" i="1"/>
  <c r="F3141" i="1"/>
  <c r="F3140" i="1"/>
  <c r="E3140" i="1"/>
  <c r="F3139" i="1"/>
  <c r="E3139" i="1"/>
  <c r="F3138" i="1"/>
  <c r="E3138" i="1"/>
  <c r="F3137" i="1"/>
  <c r="F3136" i="1"/>
  <c r="E3136" i="1"/>
  <c r="F3135" i="1"/>
  <c r="E3135" i="1"/>
  <c r="F3134" i="1"/>
  <c r="F3133" i="1"/>
  <c r="E3133" i="1"/>
  <c r="F3132" i="1"/>
  <c r="E3132" i="1"/>
  <c r="F3131" i="1"/>
  <c r="E3131" i="1"/>
  <c r="F3130" i="1"/>
  <c r="E3130" i="1"/>
  <c r="F3129" i="1"/>
  <c r="E3129" i="1"/>
  <c r="F3128" i="1"/>
  <c r="E3128" i="1"/>
  <c r="F3127" i="1"/>
  <c r="E3127" i="1"/>
  <c r="F3126" i="1"/>
  <c r="E3126" i="1"/>
  <c r="F3125" i="1"/>
  <c r="E3125" i="1"/>
  <c r="F3124" i="1"/>
  <c r="E3124" i="1"/>
  <c r="F3123" i="1"/>
  <c r="E3123" i="1"/>
  <c r="F3122" i="1"/>
  <c r="E3122" i="1"/>
  <c r="F3121" i="1"/>
  <c r="E3121" i="1"/>
  <c r="F3120" i="1"/>
  <c r="E3120" i="1"/>
  <c r="F3119" i="1"/>
  <c r="E3119" i="1"/>
  <c r="F3118" i="1"/>
  <c r="E3118" i="1"/>
  <c r="F3117" i="1"/>
  <c r="E3117" i="1"/>
  <c r="F3116" i="1"/>
  <c r="E3116" i="1"/>
  <c r="F3115" i="1"/>
  <c r="E3115" i="1"/>
  <c r="F3114" i="1"/>
  <c r="E3114" i="1"/>
  <c r="F3113" i="1"/>
  <c r="E3113" i="1"/>
  <c r="F3112" i="1"/>
  <c r="E3112" i="1"/>
  <c r="F3111" i="1"/>
  <c r="E3111" i="1"/>
  <c r="F3110" i="1"/>
  <c r="E3110" i="1"/>
  <c r="F3109" i="1"/>
  <c r="E3109" i="1"/>
  <c r="F3108" i="1"/>
  <c r="E3108" i="1"/>
  <c r="F3107" i="1"/>
  <c r="E3107" i="1"/>
  <c r="F3106" i="1"/>
  <c r="E3106" i="1"/>
  <c r="F3105" i="1"/>
  <c r="E3105" i="1"/>
  <c r="F3104" i="1"/>
  <c r="E3104" i="1"/>
  <c r="F3103" i="1"/>
  <c r="E3103" i="1"/>
  <c r="F3102" i="1"/>
  <c r="E3102" i="1"/>
  <c r="F3101" i="1"/>
  <c r="E3101" i="1"/>
  <c r="F3100" i="1"/>
  <c r="E3100" i="1"/>
  <c r="F3099" i="1"/>
  <c r="E3099" i="1"/>
  <c r="F3098" i="1"/>
  <c r="E3098" i="1"/>
  <c r="F3097" i="1"/>
  <c r="E3097" i="1"/>
  <c r="F3096" i="1"/>
  <c r="E3096" i="1"/>
  <c r="F3095" i="1"/>
  <c r="E3095" i="1"/>
  <c r="F3094" i="1"/>
  <c r="E3094" i="1"/>
  <c r="F3093" i="1"/>
  <c r="E3093" i="1"/>
  <c r="F3092" i="1"/>
  <c r="E3092" i="1"/>
  <c r="F3091" i="1"/>
  <c r="E3091" i="1"/>
  <c r="F3090" i="1"/>
  <c r="E3090" i="1"/>
  <c r="F3089" i="1"/>
  <c r="E3089" i="1"/>
  <c r="F3088" i="1"/>
  <c r="E3088" i="1"/>
  <c r="F3087" i="1"/>
  <c r="E3087" i="1"/>
  <c r="F3086" i="1"/>
  <c r="E3086" i="1"/>
  <c r="F3085" i="1"/>
  <c r="E3085" i="1"/>
  <c r="F3084" i="1"/>
  <c r="E3084" i="1"/>
  <c r="F3079" i="1"/>
  <c r="F3078" i="1"/>
  <c r="F3070" i="1"/>
  <c r="E3070" i="1"/>
  <c r="F3066" i="1"/>
  <c r="E3066" i="1"/>
  <c r="F3065" i="1"/>
  <c r="E3065" i="1"/>
  <c r="F3064" i="1"/>
  <c r="E3064" i="1"/>
  <c r="F3063" i="1"/>
  <c r="E3063" i="1"/>
  <c r="F3062" i="1"/>
  <c r="E3062" i="1"/>
  <c r="F3061" i="1"/>
  <c r="E3061" i="1"/>
  <c r="F3060" i="1"/>
  <c r="E3060" i="1"/>
  <c r="F3059" i="1"/>
  <c r="E3059" i="1"/>
  <c r="F3058" i="1"/>
  <c r="E3058" i="1"/>
  <c r="F3057" i="1"/>
  <c r="E3057" i="1"/>
  <c r="F3056" i="1"/>
  <c r="E3056" i="1"/>
  <c r="F3055" i="1"/>
  <c r="E3055" i="1"/>
  <c r="F3054" i="1"/>
  <c r="E3054" i="1"/>
  <c r="F3053" i="1"/>
  <c r="E3053" i="1"/>
  <c r="F3052" i="1"/>
  <c r="E3052" i="1"/>
  <c r="F3051" i="1"/>
  <c r="E3051" i="1"/>
  <c r="F3050" i="1"/>
  <c r="E3050" i="1"/>
  <c r="F3049" i="1"/>
  <c r="E3049" i="1"/>
  <c r="F3048" i="1"/>
  <c r="E3048" i="1"/>
  <c r="F3047" i="1"/>
  <c r="E3047" i="1"/>
  <c r="F3046" i="1"/>
  <c r="E3046" i="1"/>
  <c r="F3045" i="1"/>
  <c r="E3045" i="1"/>
  <c r="F3044" i="1"/>
  <c r="E3044" i="1"/>
  <c r="F3043" i="1"/>
  <c r="E3043" i="1"/>
  <c r="F3042" i="1"/>
  <c r="E3042" i="1"/>
  <c r="F3041" i="1"/>
  <c r="E3041" i="1"/>
  <c r="F3040" i="1"/>
  <c r="E3040" i="1"/>
  <c r="F3039" i="1"/>
  <c r="E3039" i="1"/>
  <c r="F3038" i="1"/>
  <c r="E3038" i="1"/>
  <c r="F3037" i="1"/>
  <c r="E3037" i="1"/>
  <c r="F3036" i="1"/>
  <c r="E3036" i="1"/>
  <c r="F3035" i="1"/>
  <c r="E3035" i="1"/>
  <c r="F3034" i="1"/>
  <c r="E3034" i="1"/>
  <c r="F3033" i="1"/>
  <c r="E3033" i="1"/>
  <c r="F3032" i="1"/>
  <c r="E3032" i="1"/>
  <c r="F3031" i="1"/>
  <c r="E3031" i="1"/>
  <c r="F3030" i="1"/>
  <c r="E3030" i="1"/>
  <c r="F3029" i="1"/>
  <c r="F3028" i="1"/>
  <c r="F3027" i="1"/>
  <c r="E3027" i="1"/>
  <c r="F3026" i="1"/>
  <c r="E3026" i="1"/>
  <c r="F3025" i="1"/>
  <c r="E3025" i="1"/>
  <c r="F3024" i="1"/>
  <c r="E3024" i="1"/>
  <c r="F3023" i="1"/>
  <c r="E3023" i="1"/>
  <c r="F3022" i="1"/>
  <c r="E3022" i="1"/>
  <c r="F3021" i="1"/>
  <c r="E3021" i="1"/>
  <c r="F3020" i="1"/>
  <c r="E3020" i="1"/>
  <c r="F3019" i="1"/>
  <c r="E3019" i="1"/>
  <c r="F3018" i="1"/>
  <c r="E3018" i="1"/>
  <c r="F3017" i="1"/>
  <c r="E3017" i="1"/>
  <c r="F3016" i="1"/>
  <c r="E3016" i="1"/>
  <c r="F3015" i="1"/>
  <c r="E3015" i="1"/>
  <c r="F3014" i="1"/>
  <c r="E3014" i="1"/>
  <c r="F3013" i="1"/>
  <c r="E3013" i="1"/>
  <c r="F3012" i="1"/>
  <c r="F3011" i="1"/>
  <c r="F3010" i="1"/>
  <c r="F3009" i="1"/>
  <c r="F3008" i="1"/>
  <c r="F3007" i="1"/>
  <c r="F3006" i="1"/>
  <c r="F3005" i="1"/>
  <c r="F3004" i="1"/>
  <c r="E3004" i="1"/>
  <c r="F3003" i="1"/>
  <c r="E3003" i="1"/>
  <c r="F3002" i="1"/>
  <c r="E3002" i="1"/>
  <c r="F3001" i="1"/>
  <c r="E3001" i="1"/>
  <c r="F3000" i="1"/>
  <c r="E3000" i="1"/>
  <c r="F2999" i="1"/>
  <c r="E2999" i="1"/>
  <c r="F2998" i="1"/>
  <c r="E2998" i="1"/>
  <c r="F2997" i="1"/>
  <c r="F2996" i="1"/>
  <c r="E2996" i="1"/>
  <c r="F2995" i="1"/>
  <c r="E2995" i="1"/>
  <c r="F2994" i="1"/>
  <c r="E2994" i="1"/>
  <c r="F2993" i="1"/>
  <c r="E2993" i="1"/>
  <c r="F2992" i="1"/>
  <c r="E2992" i="1"/>
  <c r="F2991" i="1"/>
  <c r="E2991" i="1"/>
  <c r="F2990" i="1"/>
  <c r="E2990" i="1"/>
  <c r="F2989" i="1"/>
  <c r="E2989" i="1"/>
  <c r="F2988" i="1"/>
  <c r="E2988" i="1"/>
  <c r="F2987" i="1"/>
  <c r="E2987" i="1"/>
  <c r="F2986" i="1"/>
  <c r="E2986" i="1"/>
  <c r="F2985" i="1"/>
  <c r="E2985" i="1"/>
  <c r="F2984" i="1"/>
  <c r="E2984" i="1"/>
  <c r="F2983" i="1"/>
  <c r="E2983" i="1"/>
  <c r="F2982" i="1"/>
  <c r="E2982" i="1"/>
  <c r="F2981" i="1"/>
  <c r="E2981" i="1"/>
  <c r="F2980" i="1"/>
  <c r="E2980" i="1"/>
  <c r="F2979" i="1"/>
  <c r="E2979" i="1"/>
  <c r="F2978" i="1"/>
  <c r="E2978" i="1"/>
  <c r="F2977" i="1"/>
  <c r="E2977" i="1"/>
  <c r="F2976" i="1"/>
  <c r="E2976" i="1"/>
  <c r="F2975" i="1"/>
  <c r="E2975" i="1"/>
  <c r="F2974" i="1"/>
  <c r="E2974" i="1"/>
  <c r="F2973" i="1"/>
  <c r="E2973" i="1"/>
  <c r="F2972" i="1"/>
  <c r="E2972" i="1"/>
  <c r="F2971" i="1"/>
  <c r="E2971" i="1"/>
  <c r="F2970" i="1"/>
  <c r="E2970" i="1"/>
  <c r="F2969" i="1"/>
  <c r="E2969" i="1"/>
  <c r="F2968" i="1"/>
  <c r="E2968" i="1"/>
  <c r="F2967" i="1"/>
  <c r="E2967" i="1"/>
  <c r="F2966" i="1"/>
  <c r="E2966" i="1"/>
  <c r="F2965" i="1"/>
  <c r="E2965" i="1"/>
  <c r="F2964" i="1"/>
  <c r="E2964" i="1"/>
  <c r="F2963" i="1"/>
  <c r="E2963" i="1"/>
  <c r="F2962" i="1"/>
  <c r="F2961" i="1"/>
  <c r="F2960" i="1"/>
  <c r="F2959" i="1"/>
  <c r="E2959" i="1"/>
  <c r="F2958" i="1"/>
  <c r="E2958" i="1"/>
  <c r="F2957" i="1"/>
  <c r="E2957" i="1"/>
  <c r="F2956" i="1"/>
  <c r="F2955" i="1"/>
  <c r="E2955" i="1"/>
  <c r="F2954" i="1"/>
  <c r="E2954" i="1"/>
  <c r="F2953" i="1"/>
  <c r="E2953" i="1"/>
  <c r="F2952" i="1"/>
  <c r="E2952" i="1"/>
  <c r="F2951" i="1"/>
  <c r="F2950" i="1"/>
  <c r="E2950" i="1"/>
  <c r="F2949" i="1"/>
  <c r="E2949" i="1"/>
  <c r="F2948" i="1"/>
  <c r="E2948" i="1"/>
  <c r="F2947" i="1"/>
  <c r="E2947" i="1"/>
  <c r="F2946" i="1"/>
  <c r="E2946" i="1"/>
  <c r="F2945" i="1"/>
  <c r="E2945" i="1"/>
  <c r="F2944" i="1"/>
  <c r="E2944" i="1"/>
  <c r="F2943" i="1"/>
  <c r="E2943" i="1"/>
  <c r="F2942" i="1"/>
  <c r="F2941" i="1"/>
  <c r="F2940" i="1"/>
  <c r="F2939" i="1"/>
  <c r="F2938" i="1"/>
  <c r="E2938" i="1"/>
  <c r="F2937" i="1"/>
  <c r="E2937" i="1"/>
  <c r="F2936" i="1"/>
  <c r="E2936" i="1"/>
  <c r="F2935" i="1"/>
  <c r="E2935" i="1"/>
  <c r="F2934" i="1"/>
  <c r="E2934" i="1"/>
  <c r="F2933" i="1"/>
  <c r="F2932" i="1"/>
  <c r="F2931" i="1"/>
  <c r="F2930" i="1"/>
  <c r="E2930" i="1"/>
  <c r="F2929" i="1"/>
  <c r="E2929" i="1"/>
  <c r="F2928" i="1"/>
  <c r="E2928" i="1"/>
  <c r="F2927" i="1"/>
  <c r="E2927" i="1"/>
  <c r="F2926" i="1"/>
  <c r="E2926" i="1"/>
  <c r="F2925" i="1"/>
  <c r="E2925" i="1"/>
  <c r="F2924" i="1"/>
  <c r="E2924" i="1"/>
  <c r="F2923" i="1"/>
  <c r="E2923" i="1"/>
  <c r="F2922" i="1"/>
  <c r="E2922" i="1"/>
  <c r="F2921" i="1"/>
  <c r="E2921" i="1"/>
  <c r="F2920" i="1"/>
  <c r="E2920" i="1"/>
  <c r="F2919" i="1"/>
  <c r="E2919" i="1"/>
  <c r="F2918" i="1"/>
  <c r="E2918" i="1"/>
  <c r="F2917" i="1"/>
  <c r="E2917" i="1"/>
  <c r="F2916" i="1"/>
  <c r="E2916" i="1"/>
  <c r="F2915" i="1"/>
  <c r="E2915" i="1"/>
  <c r="F2914" i="1"/>
  <c r="E2914" i="1"/>
  <c r="F2913" i="1"/>
  <c r="E2913" i="1"/>
  <c r="F2912" i="1"/>
  <c r="E2912" i="1"/>
  <c r="F2911" i="1"/>
  <c r="E2911" i="1"/>
  <c r="F2910" i="1"/>
  <c r="E2910" i="1"/>
  <c r="F2909" i="1"/>
  <c r="E2909" i="1"/>
  <c r="F2908" i="1"/>
  <c r="E2908" i="1"/>
  <c r="F2907" i="1"/>
  <c r="E2907" i="1"/>
  <c r="F2906" i="1"/>
  <c r="E2906" i="1"/>
  <c r="F2905" i="1"/>
  <c r="E2905" i="1"/>
  <c r="F2904" i="1"/>
  <c r="E2904" i="1"/>
  <c r="F2903" i="1"/>
  <c r="F2902" i="1"/>
  <c r="E2902" i="1"/>
  <c r="F2901" i="1"/>
  <c r="E2901" i="1"/>
  <c r="F2900" i="1"/>
  <c r="E2900" i="1"/>
  <c r="F2899" i="1"/>
  <c r="E2899" i="1"/>
  <c r="F2898" i="1"/>
  <c r="E2898" i="1"/>
  <c r="F2897" i="1"/>
  <c r="E2897" i="1"/>
  <c r="F2896" i="1"/>
  <c r="E2896" i="1"/>
  <c r="F2895" i="1"/>
  <c r="E2895" i="1"/>
  <c r="F2894" i="1"/>
  <c r="F2893" i="1"/>
  <c r="E2893" i="1"/>
  <c r="F2892" i="1"/>
  <c r="E2892" i="1"/>
  <c r="F2891" i="1"/>
  <c r="E2891" i="1"/>
  <c r="F2890" i="1"/>
  <c r="E2890" i="1"/>
  <c r="F2889" i="1"/>
  <c r="E2889" i="1"/>
  <c r="F2888" i="1"/>
  <c r="E2888" i="1"/>
  <c r="F2887" i="1"/>
  <c r="E2887" i="1"/>
  <c r="F2886" i="1"/>
  <c r="E2886" i="1"/>
  <c r="F2885" i="1"/>
  <c r="E2885" i="1"/>
  <c r="F2884" i="1"/>
  <c r="E2884" i="1"/>
  <c r="F2883" i="1"/>
  <c r="E2883" i="1"/>
  <c r="F2882" i="1"/>
  <c r="E2882" i="1"/>
  <c r="F2881" i="1"/>
  <c r="E2881" i="1"/>
  <c r="F2880" i="1"/>
  <c r="E2880" i="1"/>
  <c r="F2879" i="1"/>
  <c r="E2879" i="1"/>
  <c r="F2878" i="1"/>
  <c r="E2878" i="1"/>
  <c r="F2877" i="1"/>
  <c r="E2877" i="1"/>
  <c r="F2876" i="1"/>
  <c r="E2876" i="1"/>
  <c r="F2875" i="1"/>
  <c r="E2875" i="1"/>
  <c r="F2874" i="1"/>
  <c r="E2874" i="1"/>
  <c r="F2873" i="1"/>
  <c r="E2873" i="1"/>
  <c r="F2872" i="1"/>
  <c r="E2872" i="1"/>
  <c r="F2871" i="1"/>
  <c r="E2871" i="1"/>
  <c r="F2870" i="1"/>
  <c r="E2870" i="1"/>
  <c r="F2869" i="1"/>
  <c r="E2869" i="1"/>
  <c r="F2868" i="1"/>
  <c r="E2868" i="1"/>
  <c r="F2867" i="1"/>
  <c r="E2867" i="1"/>
  <c r="F2866" i="1"/>
  <c r="E2866" i="1"/>
  <c r="F2865" i="1"/>
  <c r="E2865" i="1"/>
  <c r="F2864" i="1"/>
  <c r="E2864" i="1"/>
  <c r="F2863" i="1"/>
  <c r="E2863" i="1"/>
  <c r="F2862" i="1"/>
  <c r="E2862" i="1"/>
  <c r="F2861" i="1"/>
  <c r="E2861" i="1"/>
  <c r="F2860" i="1"/>
  <c r="E2860" i="1"/>
  <c r="F2859" i="1"/>
  <c r="E2859" i="1"/>
  <c r="F2858" i="1"/>
  <c r="E2858" i="1"/>
  <c r="F2857" i="1"/>
  <c r="E2857" i="1"/>
  <c r="F2856" i="1"/>
  <c r="E2856" i="1"/>
  <c r="F2855" i="1"/>
  <c r="E2855" i="1"/>
  <c r="F2854" i="1"/>
  <c r="E2854" i="1"/>
  <c r="F2853" i="1"/>
  <c r="E2853" i="1"/>
  <c r="F2852" i="1"/>
  <c r="E2852" i="1"/>
  <c r="F2851" i="1"/>
  <c r="E2851" i="1"/>
  <c r="F2850" i="1"/>
  <c r="E2850" i="1"/>
  <c r="F2849" i="1"/>
  <c r="E2849" i="1"/>
  <c r="F2848" i="1"/>
  <c r="E2848" i="1"/>
  <c r="F2847" i="1"/>
  <c r="E2847" i="1"/>
  <c r="F2846" i="1"/>
  <c r="E2846" i="1"/>
  <c r="F2845" i="1"/>
  <c r="E2845" i="1"/>
  <c r="F2844" i="1"/>
  <c r="E2844" i="1"/>
  <c r="F2843" i="1"/>
  <c r="E2843" i="1"/>
  <c r="F2842" i="1"/>
  <c r="E2842" i="1"/>
  <c r="F2841" i="1"/>
  <c r="E2841" i="1"/>
  <c r="F2840" i="1"/>
  <c r="E2840" i="1"/>
  <c r="F2839" i="1"/>
  <c r="E2839" i="1"/>
  <c r="F2838" i="1"/>
  <c r="E2838" i="1"/>
  <c r="F2837" i="1"/>
  <c r="E2837" i="1"/>
  <c r="F2836" i="1"/>
  <c r="E2836" i="1"/>
  <c r="F2835" i="1"/>
  <c r="E2835" i="1"/>
  <c r="F2834" i="1"/>
  <c r="E2834" i="1"/>
  <c r="F2833" i="1"/>
  <c r="E2833" i="1"/>
  <c r="F2832" i="1"/>
  <c r="E2832" i="1"/>
  <c r="F2831" i="1"/>
  <c r="E2831" i="1"/>
  <c r="F2830" i="1"/>
  <c r="E2830" i="1"/>
  <c r="F2829" i="1"/>
  <c r="E2829" i="1"/>
  <c r="F2828" i="1"/>
  <c r="E2828" i="1"/>
  <c r="F2827" i="1"/>
  <c r="E2827" i="1"/>
  <c r="F2826" i="1"/>
  <c r="E2826" i="1"/>
  <c r="F2825" i="1"/>
  <c r="E2825" i="1"/>
  <c r="F2824" i="1"/>
  <c r="E2824" i="1"/>
  <c r="F2823" i="1"/>
  <c r="E2823" i="1"/>
  <c r="F2822" i="1"/>
  <c r="E2822" i="1"/>
  <c r="F2821" i="1"/>
  <c r="E2821" i="1"/>
  <c r="F2820" i="1"/>
  <c r="E2820" i="1"/>
  <c r="F2819" i="1"/>
  <c r="E2819" i="1"/>
  <c r="F2818" i="1"/>
  <c r="E2818" i="1"/>
  <c r="F2817" i="1"/>
  <c r="E2817" i="1"/>
  <c r="F2816" i="1"/>
  <c r="E2816" i="1"/>
  <c r="F2815" i="1"/>
  <c r="E2815" i="1"/>
  <c r="F2814" i="1"/>
  <c r="E2814" i="1"/>
  <c r="F2813" i="1"/>
  <c r="E2813" i="1"/>
  <c r="F2812" i="1"/>
  <c r="E2812" i="1"/>
  <c r="F2811" i="1"/>
  <c r="E2811" i="1"/>
  <c r="F2810" i="1"/>
  <c r="E2810" i="1"/>
  <c r="F2809" i="1"/>
  <c r="E2809" i="1"/>
  <c r="F2808" i="1"/>
  <c r="E2808" i="1"/>
  <c r="F2807" i="1"/>
  <c r="E2807" i="1"/>
  <c r="F2806" i="1"/>
  <c r="E2806" i="1"/>
  <c r="F2805" i="1"/>
  <c r="E2805" i="1"/>
  <c r="F2804" i="1"/>
  <c r="E2804" i="1"/>
  <c r="F2803" i="1"/>
  <c r="E2803" i="1"/>
  <c r="F2802" i="1"/>
  <c r="E2802" i="1"/>
  <c r="F2801" i="1"/>
  <c r="E2801" i="1"/>
  <c r="F2800" i="1"/>
  <c r="E2800" i="1"/>
  <c r="F2799" i="1"/>
  <c r="E2799" i="1"/>
  <c r="F2798" i="1"/>
  <c r="E2798" i="1"/>
  <c r="F2797" i="1"/>
  <c r="E2797" i="1"/>
  <c r="E2796" i="1"/>
  <c r="E2795" i="1"/>
  <c r="F2794" i="1"/>
  <c r="F2793" i="1"/>
  <c r="F2792" i="1"/>
  <c r="F2791" i="1"/>
  <c r="F2790" i="1"/>
  <c r="F2789" i="1"/>
  <c r="F2788" i="1"/>
  <c r="E2788" i="1"/>
  <c r="F2787" i="1"/>
  <c r="E2787" i="1"/>
  <c r="F2786" i="1"/>
  <c r="F2785" i="1"/>
  <c r="E2785" i="1"/>
  <c r="F2784" i="1"/>
  <c r="E2784" i="1"/>
  <c r="F2783" i="1"/>
  <c r="F2782" i="1"/>
  <c r="E2782" i="1"/>
  <c r="F2781" i="1"/>
  <c r="E2781" i="1"/>
  <c r="F2780" i="1"/>
  <c r="E2780" i="1"/>
  <c r="F2779" i="1"/>
  <c r="E2779" i="1"/>
  <c r="F2778" i="1"/>
  <c r="E2778" i="1"/>
  <c r="F2777" i="1"/>
  <c r="E2777" i="1"/>
  <c r="F2776" i="1"/>
  <c r="E2776" i="1"/>
  <c r="F2775" i="1"/>
  <c r="E2775" i="1"/>
  <c r="F2774" i="1"/>
  <c r="F2773" i="1"/>
  <c r="E2773" i="1"/>
  <c r="F2772" i="1"/>
  <c r="E2772" i="1"/>
  <c r="F2771" i="1"/>
  <c r="E2771" i="1"/>
  <c r="F2770" i="1"/>
  <c r="E2770" i="1"/>
  <c r="F2769" i="1"/>
  <c r="E2769" i="1"/>
  <c r="F2768" i="1"/>
  <c r="E2768" i="1"/>
  <c r="F2767" i="1"/>
  <c r="E2767" i="1"/>
  <c r="F2766" i="1"/>
  <c r="E2766" i="1"/>
  <c r="F2765" i="1"/>
  <c r="E2765" i="1"/>
  <c r="F2764" i="1"/>
  <c r="E2764" i="1"/>
  <c r="F2763" i="1"/>
  <c r="E2763" i="1"/>
  <c r="F2762" i="1"/>
  <c r="F2761" i="1"/>
  <c r="E2761" i="1"/>
  <c r="F2760" i="1"/>
  <c r="E2760" i="1"/>
  <c r="F2759" i="1"/>
  <c r="E2759" i="1"/>
  <c r="F2758" i="1"/>
  <c r="E2758" i="1"/>
  <c r="F2757" i="1"/>
  <c r="E2757" i="1"/>
  <c r="F2756" i="1"/>
  <c r="E2756" i="1"/>
  <c r="F2755" i="1"/>
  <c r="E2755" i="1"/>
  <c r="F2754" i="1"/>
  <c r="E2754" i="1"/>
  <c r="F2753" i="1"/>
  <c r="E2753" i="1"/>
  <c r="F2752" i="1"/>
  <c r="E2752" i="1"/>
  <c r="F2751" i="1"/>
  <c r="E2751" i="1"/>
  <c r="F2750" i="1"/>
  <c r="E2750" i="1"/>
  <c r="F2749" i="1"/>
  <c r="E2749" i="1"/>
  <c r="F2748" i="1"/>
  <c r="E2748" i="1"/>
  <c r="F2747" i="1"/>
  <c r="E2747" i="1"/>
  <c r="F2746" i="1"/>
  <c r="E2746" i="1"/>
  <c r="F2745" i="1"/>
  <c r="E2745" i="1"/>
  <c r="F2744" i="1"/>
  <c r="E2744" i="1"/>
  <c r="F2743" i="1"/>
  <c r="E2743" i="1"/>
  <c r="F2742" i="1"/>
  <c r="E2742" i="1"/>
  <c r="F2741" i="1"/>
  <c r="E2741" i="1"/>
  <c r="F2740" i="1"/>
  <c r="E2740" i="1"/>
  <c r="F2739" i="1"/>
  <c r="E2739" i="1"/>
  <c r="F2738" i="1"/>
  <c r="E2738" i="1"/>
  <c r="F2737" i="1"/>
  <c r="E2737" i="1"/>
  <c r="F2736" i="1"/>
  <c r="E2736" i="1"/>
  <c r="F2735" i="1"/>
  <c r="E2735" i="1"/>
  <c r="F2734" i="1"/>
  <c r="E2734" i="1"/>
  <c r="F2733" i="1"/>
  <c r="E2733" i="1"/>
  <c r="F2732" i="1"/>
  <c r="E2732" i="1"/>
  <c r="F2731" i="1"/>
  <c r="E2731" i="1"/>
  <c r="F2730" i="1"/>
  <c r="E2730" i="1"/>
  <c r="F2729" i="1"/>
  <c r="E2729" i="1"/>
  <c r="F2728" i="1"/>
  <c r="E2728" i="1"/>
  <c r="F2727" i="1"/>
  <c r="E2727" i="1"/>
  <c r="F2726" i="1"/>
  <c r="E2726" i="1"/>
  <c r="F2725" i="1"/>
  <c r="E2725" i="1"/>
  <c r="F2724" i="1"/>
  <c r="E2724" i="1"/>
  <c r="F2723" i="1"/>
  <c r="E2723" i="1"/>
  <c r="F2722" i="1"/>
  <c r="E2722" i="1"/>
  <c r="F2721" i="1"/>
  <c r="E2721" i="1"/>
  <c r="F2720" i="1"/>
  <c r="E2720" i="1"/>
  <c r="F2719" i="1"/>
  <c r="E2719" i="1"/>
  <c r="F2718" i="1"/>
  <c r="E2718" i="1"/>
  <c r="F2717" i="1"/>
  <c r="E2717" i="1"/>
  <c r="F2716" i="1"/>
  <c r="E2716" i="1"/>
  <c r="F2715" i="1"/>
  <c r="E2715" i="1"/>
  <c r="F2714" i="1"/>
  <c r="E2714" i="1"/>
  <c r="F2713" i="1"/>
  <c r="E2713" i="1"/>
  <c r="F2712" i="1"/>
  <c r="E2712" i="1"/>
  <c r="F2711" i="1"/>
  <c r="E2711" i="1"/>
  <c r="F2710" i="1"/>
  <c r="E2710" i="1"/>
  <c r="F2709" i="1"/>
  <c r="E2709" i="1"/>
  <c r="F2708" i="1"/>
  <c r="E2708" i="1"/>
  <c r="F2707" i="1"/>
  <c r="E2707" i="1"/>
  <c r="F2706" i="1"/>
  <c r="E2706" i="1"/>
  <c r="F2705" i="1"/>
  <c r="E2705" i="1"/>
  <c r="F2704" i="1"/>
  <c r="E2704" i="1"/>
  <c r="F2703" i="1"/>
  <c r="E2703" i="1"/>
  <c r="F2702" i="1"/>
  <c r="E2702" i="1"/>
  <c r="F2701" i="1"/>
  <c r="E2701" i="1"/>
  <c r="F2700" i="1"/>
  <c r="E2700" i="1"/>
  <c r="F2699" i="1"/>
  <c r="E2699" i="1"/>
  <c r="F2698" i="1"/>
  <c r="E2698" i="1"/>
  <c r="F2697" i="1"/>
  <c r="E2697" i="1"/>
  <c r="F2696" i="1"/>
  <c r="E2696" i="1"/>
  <c r="F2695" i="1"/>
  <c r="E2695" i="1"/>
  <c r="F2694" i="1"/>
  <c r="E2694" i="1"/>
  <c r="F2693" i="1"/>
  <c r="E2693" i="1"/>
  <c r="F2692" i="1"/>
  <c r="E2692" i="1"/>
  <c r="F2691" i="1"/>
  <c r="E2691" i="1"/>
  <c r="F2690" i="1"/>
  <c r="E2690" i="1"/>
  <c r="F2689" i="1"/>
  <c r="E2689" i="1"/>
  <c r="F2688" i="1"/>
  <c r="E2688" i="1"/>
  <c r="F2687" i="1"/>
  <c r="E2687" i="1"/>
  <c r="F2686" i="1"/>
  <c r="E2686" i="1"/>
  <c r="F2685" i="1"/>
  <c r="E2685" i="1"/>
  <c r="F2684" i="1"/>
  <c r="E2684" i="1"/>
  <c r="F2683" i="1"/>
  <c r="E2683" i="1"/>
  <c r="F2682" i="1"/>
  <c r="E2682" i="1"/>
  <c r="F2681" i="1"/>
  <c r="E2681" i="1"/>
  <c r="F2680" i="1"/>
  <c r="E2680" i="1"/>
  <c r="F2679" i="1"/>
  <c r="E2679" i="1"/>
  <c r="F2678" i="1"/>
  <c r="E2678" i="1"/>
  <c r="F2677" i="1"/>
  <c r="E2677" i="1"/>
  <c r="F2676" i="1"/>
  <c r="E2676" i="1"/>
  <c r="F2675" i="1"/>
  <c r="E2675" i="1"/>
  <c r="F2674" i="1"/>
  <c r="E2674" i="1"/>
  <c r="F2673" i="1"/>
  <c r="E2673" i="1"/>
  <c r="F2672" i="1"/>
  <c r="E2672" i="1"/>
  <c r="F2671" i="1"/>
  <c r="E2671" i="1"/>
  <c r="F2670" i="1"/>
  <c r="E2670" i="1"/>
  <c r="F2669" i="1"/>
  <c r="E2669" i="1"/>
  <c r="F2668" i="1"/>
  <c r="E2668" i="1"/>
  <c r="F2667" i="1"/>
  <c r="E2667" i="1"/>
  <c r="F2666" i="1"/>
  <c r="E2666" i="1"/>
  <c r="F2665" i="1"/>
  <c r="E2665" i="1"/>
  <c r="F2664" i="1"/>
  <c r="E2664" i="1"/>
  <c r="F2663" i="1"/>
  <c r="E2663" i="1"/>
  <c r="F2662" i="1"/>
  <c r="E2662" i="1"/>
  <c r="F2661" i="1"/>
  <c r="E2661" i="1"/>
  <c r="F2660" i="1"/>
  <c r="E2660" i="1"/>
  <c r="F2659" i="1"/>
  <c r="E2659" i="1"/>
  <c r="F2658" i="1"/>
  <c r="E2658" i="1"/>
  <c r="F2657" i="1"/>
  <c r="E2657" i="1"/>
  <c r="F2656" i="1"/>
  <c r="E2656" i="1"/>
  <c r="F2655" i="1"/>
  <c r="E2655" i="1"/>
  <c r="F2654" i="1"/>
  <c r="E2654" i="1"/>
  <c r="F2653" i="1"/>
  <c r="E2653" i="1"/>
  <c r="F2652" i="1"/>
  <c r="F2651" i="1"/>
  <c r="E2651" i="1"/>
  <c r="F2650" i="1"/>
  <c r="E2650" i="1"/>
  <c r="F2649" i="1"/>
  <c r="E2649" i="1"/>
  <c r="F2648" i="1"/>
  <c r="E2648" i="1"/>
  <c r="F2647" i="1"/>
  <c r="F2646" i="1"/>
  <c r="E2646" i="1"/>
  <c r="F2645" i="1"/>
  <c r="E2645" i="1"/>
  <c r="F2644" i="1"/>
  <c r="E2644" i="1"/>
  <c r="F2643" i="1"/>
  <c r="E2643" i="1"/>
  <c r="F2642" i="1"/>
  <c r="E2642" i="1"/>
  <c r="F2641" i="1"/>
  <c r="E2641" i="1"/>
  <c r="F2640" i="1"/>
  <c r="E2640" i="1"/>
  <c r="F2639" i="1"/>
  <c r="E2639" i="1"/>
  <c r="F2638" i="1"/>
  <c r="F2637" i="1"/>
  <c r="F2636" i="1"/>
  <c r="E2636" i="1"/>
  <c r="F2635" i="1"/>
  <c r="E2635" i="1"/>
  <c r="F2634" i="1"/>
  <c r="E2634" i="1"/>
  <c r="F2633" i="1"/>
  <c r="E2633" i="1"/>
  <c r="F2632" i="1"/>
  <c r="E2632" i="1"/>
  <c r="F2631" i="1"/>
  <c r="E2631" i="1"/>
  <c r="F2630" i="1"/>
  <c r="E2630" i="1"/>
  <c r="F2629" i="1"/>
  <c r="E2629" i="1"/>
  <c r="F2628" i="1"/>
  <c r="E2628" i="1"/>
  <c r="F2627" i="1"/>
  <c r="E2627" i="1"/>
  <c r="F2626" i="1"/>
  <c r="E2626" i="1"/>
  <c r="F2625" i="1"/>
  <c r="E2625" i="1"/>
  <c r="F2624" i="1"/>
  <c r="E2624" i="1"/>
  <c r="F2623" i="1"/>
  <c r="E2623" i="1"/>
  <c r="F2622" i="1"/>
  <c r="E2622" i="1"/>
  <c r="F2621" i="1"/>
  <c r="E2621" i="1"/>
  <c r="F2620" i="1"/>
  <c r="E2620" i="1"/>
  <c r="F2619" i="1"/>
  <c r="E2619" i="1"/>
  <c r="F2618" i="1"/>
  <c r="F2617" i="1"/>
  <c r="E2617" i="1"/>
  <c r="F2616" i="1"/>
  <c r="E2616" i="1"/>
  <c r="F2615" i="1"/>
  <c r="E2615" i="1"/>
  <c r="F2614" i="1"/>
  <c r="E2614" i="1"/>
  <c r="F2613" i="1"/>
  <c r="E2613" i="1"/>
  <c r="F2612" i="1"/>
  <c r="E2612" i="1"/>
  <c r="F2611" i="1"/>
  <c r="E2611" i="1"/>
  <c r="F2610" i="1"/>
  <c r="E2610" i="1"/>
  <c r="F2609" i="1"/>
  <c r="E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E2597" i="1"/>
  <c r="F2596" i="1"/>
  <c r="F2595" i="1"/>
  <c r="F2594" i="1"/>
  <c r="F2593" i="1"/>
  <c r="F2592" i="1"/>
  <c r="E2592" i="1"/>
  <c r="F2591" i="1"/>
  <c r="E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E2579" i="1"/>
  <c r="F2578" i="1"/>
  <c r="E2578" i="1"/>
  <c r="F2577" i="1"/>
  <c r="E2577" i="1"/>
  <c r="F2576" i="1"/>
  <c r="E2576" i="1"/>
  <c r="F2575" i="1"/>
  <c r="E2575" i="1"/>
  <c r="F2574" i="1"/>
  <c r="E2574" i="1"/>
  <c r="F2573" i="1"/>
  <c r="E2573" i="1"/>
  <c r="F2572" i="1"/>
  <c r="E2572" i="1"/>
  <c r="F2571" i="1"/>
  <c r="E2571" i="1"/>
  <c r="F2570" i="1"/>
  <c r="E2570" i="1"/>
  <c r="F2569" i="1"/>
  <c r="E2569" i="1"/>
  <c r="F2568" i="1"/>
  <c r="E2568" i="1"/>
  <c r="F2567" i="1"/>
  <c r="E2567" i="1"/>
  <c r="F2566" i="1"/>
  <c r="E2566" i="1"/>
  <c r="F2565" i="1"/>
  <c r="E2565" i="1"/>
  <c r="F2564" i="1"/>
  <c r="E2564" i="1"/>
  <c r="F2563" i="1"/>
  <c r="E2563" i="1"/>
  <c r="F2562" i="1"/>
  <c r="E2562" i="1"/>
  <c r="F2561" i="1"/>
  <c r="E2561" i="1"/>
  <c r="F2560" i="1"/>
  <c r="E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E2543" i="1"/>
  <c r="F2542" i="1"/>
  <c r="E2542" i="1"/>
  <c r="F2541" i="1"/>
  <c r="E2541" i="1"/>
  <c r="F2540" i="1"/>
  <c r="E2540" i="1"/>
  <c r="F2539" i="1"/>
  <c r="E2539" i="1"/>
  <c r="F2538" i="1"/>
  <c r="E2538" i="1"/>
  <c r="F2537" i="1"/>
  <c r="E2537" i="1"/>
  <c r="F2536" i="1"/>
  <c r="E2536" i="1"/>
  <c r="F2535" i="1"/>
  <c r="E2535" i="1"/>
  <c r="F2534" i="1"/>
  <c r="E2534" i="1"/>
  <c r="F2533" i="1"/>
  <c r="E2533" i="1"/>
  <c r="F2532" i="1"/>
  <c r="E2532" i="1"/>
  <c r="F2531" i="1"/>
  <c r="E2531" i="1"/>
  <c r="F2530" i="1"/>
  <c r="E2530" i="1"/>
  <c r="F2529" i="1"/>
  <c r="E2529" i="1"/>
  <c r="F2528" i="1"/>
  <c r="E2528" i="1"/>
  <c r="F2527" i="1"/>
  <c r="E2527" i="1"/>
  <c r="F2526" i="1"/>
  <c r="E2526" i="1"/>
  <c r="F2525" i="1"/>
  <c r="E2525" i="1"/>
  <c r="F2524" i="1"/>
  <c r="E2524" i="1"/>
  <c r="F2523" i="1"/>
  <c r="E2523" i="1"/>
  <c r="F2522" i="1"/>
  <c r="E2522" i="1"/>
  <c r="F2521" i="1"/>
  <c r="E2521" i="1"/>
  <c r="F2520" i="1"/>
  <c r="E2520" i="1"/>
  <c r="F2519" i="1"/>
  <c r="E2519" i="1"/>
  <c r="F2518" i="1"/>
  <c r="E2518" i="1"/>
  <c r="F2517" i="1"/>
  <c r="E2517" i="1"/>
  <c r="F2516" i="1"/>
  <c r="E2516" i="1"/>
  <c r="F2515" i="1"/>
  <c r="E2515" i="1"/>
  <c r="F2514" i="1"/>
  <c r="E2514" i="1"/>
  <c r="F2513" i="1"/>
  <c r="E2513" i="1"/>
  <c r="F2512" i="1"/>
  <c r="E2512" i="1"/>
  <c r="F2511" i="1"/>
  <c r="E2511" i="1"/>
  <c r="F2510" i="1"/>
  <c r="E2510" i="1"/>
  <c r="F2509" i="1"/>
  <c r="E2509" i="1"/>
  <c r="F2508" i="1"/>
  <c r="E2508" i="1"/>
  <c r="F2507" i="1"/>
  <c r="E2507" i="1"/>
  <c r="F2506" i="1"/>
  <c r="E2506" i="1"/>
  <c r="F2505" i="1"/>
  <c r="E2505" i="1"/>
  <c r="F2504" i="1"/>
  <c r="E2504" i="1"/>
  <c r="F2503" i="1"/>
  <c r="E2503" i="1"/>
  <c r="F2502" i="1"/>
  <c r="E2502" i="1"/>
  <c r="F2501" i="1"/>
  <c r="E2501" i="1"/>
  <c r="F2500" i="1"/>
  <c r="E2500" i="1"/>
  <c r="F2499" i="1"/>
  <c r="E2499" i="1"/>
  <c r="F2498" i="1"/>
  <c r="E2498" i="1"/>
  <c r="F2497" i="1"/>
  <c r="E2497" i="1"/>
  <c r="F2496" i="1"/>
  <c r="E2496" i="1"/>
  <c r="F2495" i="1"/>
  <c r="E2495" i="1"/>
  <c r="F2494" i="1"/>
  <c r="E2494" i="1"/>
  <c r="F2493" i="1"/>
  <c r="E2493" i="1"/>
  <c r="F2492" i="1"/>
  <c r="E2492" i="1"/>
  <c r="F2491" i="1"/>
  <c r="E2491" i="1"/>
  <c r="F2490" i="1"/>
  <c r="E2490" i="1"/>
  <c r="F2489" i="1"/>
  <c r="E2489" i="1"/>
  <c r="F2488" i="1"/>
  <c r="E2488" i="1"/>
  <c r="F2487" i="1"/>
  <c r="E2487" i="1"/>
  <c r="F2486" i="1"/>
  <c r="E2486" i="1"/>
  <c r="F2485" i="1"/>
  <c r="E2485" i="1"/>
  <c r="F2484" i="1"/>
  <c r="E2484" i="1"/>
  <c r="F2483" i="1"/>
  <c r="E2483" i="1"/>
  <c r="F2482" i="1"/>
  <c r="E2482" i="1"/>
  <c r="F2481" i="1"/>
  <c r="F2480" i="1"/>
  <c r="F2479" i="1"/>
  <c r="F2478" i="1"/>
  <c r="E2478" i="1"/>
  <c r="F2477" i="1"/>
  <c r="E2477" i="1"/>
  <c r="F2476" i="1"/>
  <c r="E2476" i="1"/>
  <c r="F2475" i="1"/>
  <c r="E2475" i="1"/>
  <c r="F2474" i="1"/>
  <c r="E2474" i="1"/>
  <c r="F2473" i="1"/>
  <c r="E2473" i="1"/>
  <c r="F2472" i="1"/>
  <c r="E2472" i="1"/>
  <c r="F2471" i="1"/>
  <c r="E2471" i="1"/>
  <c r="F2470" i="1"/>
  <c r="E2470" i="1"/>
  <c r="F2469" i="1"/>
  <c r="E2469" i="1"/>
  <c r="F2468" i="1"/>
  <c r="E2468" i="1"/>
  <c r="F2467" i="1"/>
  <c r="E2467" i="1"/>
  <c r="F2466" i="1"/>
  <c r="E2466" i="1"/>
  <c r="F2465" i="1"/>
  <c r="E2465" i="1"/>
  <c r="F2464" i="1"/>
  <c r="E2464" i="1"/>
  <c r="F2463" i="1"/>
  <c r="E2463" i="1"/>
  <c r="F2462" i="1"/>
  <c r="E2462" i="1"/>
  <c r="F2461" i="1"/>
  <c r="E2461" i="1"/>
  <c r="F2460" i="1"/>
  <c r="E2460" i="1"/>
  <c r="F2459" i="1"/>
  <c r="E2459" i="1"/>
  <c r="F2458" i="1"/>
  <c r="E2458" i="1"/>
  <c r="F2457" i="1"/>
  <c r="E2457" i="1"/>
  <c r="F2456" i="1"/>
  <c r="E2456" i="1"/>
  <c r="F2455" i="1"/>
  <c r="E2455" i="1"/>
  <c r="F2454" i="1"/>
  <c r="E2454" i="1"/>
  <c r="F2453" i="1"/>
  <c r="E2453" i="1"/>
  <c r="F2452" i="1"/>
  <c r="E2452" i="1"/>
  <c r="F2451" i="1"/>
  <c r="E2451" i="1"/>
  <c r="F2450" i="1"/>
  <c r="E2450" i="1"/>
  <c r="F2449" i="1"/>
  <c r="E2449" i="1"/>
  <c r="F2448" i="1"/>
  <c r="E2448" i="1"/>
  <c r="F2447" i="1"/>
  <c r="E2447" i="1"/>
  <c r="F2446" i="1"/>
  <c r="E2446" i="1"/>
  <c r="F2445" i="1"/>
  <c r="E2445" i="1"/>
  <c r="F2444" i="1"/>
  <c r="E2444" i="1"/>
  <c r="F2443" i="1"/>
  <c r="E2443" i="1"/>
  <c r="F2442" i="1"/>
  <c r="E2442" i="1"/>
  <c r="F2441" i="1"/>
  <c r="E2441" i="1"/>
  <c r="F2440" i="1"/>
  <c r="E2440" i="1"/>
  <c r="F2439" i="1"/>
  <c r="E2439" i="1"/>
  <c r="F2438" i="1"/>
  <c r="E2438" i="1"/>
  <c r="F2437" i="1"/>
  <c r="E2437" i="1"/>
  <c r="F2436" i="1"/>
  <c r="E2436" i="1"/>
  <c r="F2435" i="1"/>
  <c r="E2435" i="1"/>
  <c r="F2434" i="1"/>
  <c r="E2434" i="1"/>
  <c r="F2433" i="1"/>
  <c r="E2433" i="1"/>
  <c r="F2432" i="1"/>
  <c r="E2432" i="1"/>
  <c r="F2431" i="1"/>
  <c r="E2431" i="1"/>
  <c r="F2430" i="1"/>
  <c r="E2430" i="1"/>
  <c r="F2429" i="1"/>
  <c r="E2429" i="1"/>
  <c r="F2428" i="1"/>
  <c r="E2428" i="1"/>
  <c r="F2427" i="1"/>
  <c r="E2427" i="1"/>
  <c r="F2426" i="1"/>
  <c r="E2426" i="1"/>
  <c r="F2425" i="1"/>
  <c r="E2425" i="1"/>
  <c r="F2424" i="1"/>
  <c r="E2424" i="1"/>
  <c r="F2423" i="1"/>
  <c r="E2423" i="1"/>
  <c r="F2422" i="1"/>
  <c r="E2422" i="1"/>
  <c r="F2421" i="1"/>
  <c r="E2421" i="1"/>
  <c r="F2420" i="1"/>
  <c r="E2420" i="1"/>
  <c r="F2419" i="1"/>
  <c r="E2419" i="1"/>
  <c r="F2418" i="1"/>
  <c r="E2418" i="1"/>
  <c r="F2417" i="1"/>
  <c r="E2417" i="1"/>
  <c r="F2416" i="1"/>
  <c r="E2416" i="1"/>
  <c r="F2415" i="1"/>
  <c r="E2415" i="1"/>
  <c r="F2414" i="1"/>
  <c r="E2414" i="1"/>
  <c r="F2413" i="1"/>
  <c r="E2413" i="1"/>
  <c r="F2412" i="1"/>
  <c r="E2412" i="1"/>
  <c r="F2411" i="1"/>
  <c r="E2411" i="1"/>
  <c r="F2410" i="1"/>
  <c r="E2410" i="1"/>
  <c r="F2409" i="1"/>
  <c r="E2409" i="1"/>
  <c r="F2408" i="1"/>
  <c r="E2408" i="1"/>
  <c r="F2407" i="1"/>
  <c r="E2407" i="1"/>
  <c r="F2406" i="1"/>
  <c r="E2406" i="1"/>
  <c r="F2405" i="1"/>
  <c r="E2405" i="1"/>
  <c r="F2404" i="1"/>
  <c r="E2404" i="1"/>
  <c r="F2403" i="1"/>
  <c r="E2403" i="1"/>
  <c r="F2402" i="1"/>
  <c r="E2402" i="1"/>
  <c r="F2401" i="1"/>
  <c r="E2401" i="1"/>
  <c r="F2400" i="1"/>
  <c r="E2400" i="1"/>
  <c r="F2399" i="1"/>
  <c r="E2399" i="1"/>
  <c r="F2398" i="1"/>
  <c r="E2398" i="1"/>
  <c r="F2397" i="1"/>
  <c r="E2397" i="1"/>
  <c r="F2396" i="1"/>
  <c r="E2396" i="1"/>
  <c r="F2395" i="1"/>
  <c r="E2395" i="1"/>
  <c r="F2394" i="1"/>
  <c r="E2394" i="1"/>
  <c r="F2393" i="1"/>
  <c r="E2393" i="1"/>
  <c r="F2392" i="1"/>
  <c r="E2392" i="1"/>
  <c r="F2391" i="1"/>
  <c r="E2391" i="1"/>
  <c r="F2390" i="1"/>
  <c r="E2390" i="1"/>
  <c r="F2389" i="1"/>
  <c r="E2389" i="1"/>
  <c r="F2388" i="1"/>
  <c r="E2388" i="1"/>
  <c r="F2387" i="1"/>
  <c r="E2387" i="1"/>
  <c r="F2386" i="1"/>
  <c r="E2386" i="1"/>
  <c r="F2385" i="1"/>
  <c r="E2385" i="1"/>
  <c r="F2384" i="1"/>
  <c r="E2384" i="1"/>
  <c r="F2383" i="1"/>
  <c r="E2383" i="1"/>
  <c r="F2382" i="1"/>
  <c r="E2382" i="1"/>
  <c r="F2381" i="1"/>
  <c r="E2381" i="1"/>
  <c r="F2380" i="1"/>
  <c r="E2380" i="1"/>
  <c r="F2379" i="1"/>
  <c r="E2379" i="1"/>
  <c r="F2378" i="1"/>
  <c r="E2378" i="1"/>
  <c r="F2377" i="1"/>
  <c r="E2377" i="1"/>
  <c r="F2376" i="1"/>
  <c r="E2376" i="1"/>
  <c r="F2375" i="1"/>
  <c r="E2375" i="1"/>
  <c r="F2374" i="1"/>
  <c r="E2374" i="1"/>
  <c r="F2373" i="1"/>
  <c r="E2373" i="1"/>
  <c r="F2372" i="1"/>
  <c r="E2372" i="1"/>
  <c r="F2371" i="1"/>
  <c r="E2371" i="1"/>
  <c r="F2370" i="1"/>
  <c r="E2370" i="1"/>
  <c r="F2369" i="1"/>
  <c r="E2369" i="1"/>
  <c r="F2368" i="1"/>
  <c r="E2368" i="1"/>
  <c r="F2367" i="1"/>
  <c r="E2367" i="1"/>
  <c r="F2366" i="1"/>
  <c r="F2365" i="1"/>
  <c r="E2365" i="1"/>
  <c r="F2364" i="1"/>
  <c r="E2364" i="1"/>
  <c r="F2363" i="1"/>
  <c r="E2363" i="1"/>
  <c r="F2362" i="1"/>
  <c r="E2362" i="1"/>
  <c r="F2361" i="1"/>
  <c r="E2361" i="1"/>
  <c r="F2360" i="1"/>
  <c r="E2360" i="1"/>
  <c r="F2359" i="1"/>
  <c r="E2359" i="1"/>
  <c r="F2358" i="1"/>
  <c r="E2358" i="1"/>
  <c r="F2357" i="1"/>
  <c r="E2357" i="1"/>
  <c r="F2356" i="1"/>
  <c r="E2356" i="1"/>
  <c r="F2355" i="1"/>
  <c r="E2355" i="1"/>
  <c r="F2354" i="1"/>
  <c r="E2354" i="1"/>
  <c r="F2353" i="1"/>
  <c r="E2353" i="1"/>
  <c r="F2352" i="1"/>
  <c r="E2352" i="1"/>
  <c r="F2351" i="1"/>
  <c r="E2351" i="1"/>
  <c r="F2350" i="1"/>
  <c r="E2350" i="1"/>
  <c r="F2349" i="1"/>
  <c r="E2349" i="1"/>
  <c r="F2348" i="1"/>
  <c r="E2348" i="1"/>
  <c r="F2347" i="1"/>
  <c r="E2347" i="1"/>
  <c r="F2346" i="1"/>
  <c r="E2346" i="1"/>
  <c r="F2345" i="1"/>
  <c r="E2345" i="1"/>
  <c r="F2344" i="1"/>
  <c r="E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E2332" i="1"/>
  <c r="F2331" i="1"/>
  <c r="E2331" i="1"/>
  <c r="F2330" i="1"/>
  <c r="E2330" i="1"/>
  <c r="F2329" i="1"/>
  <c r="E2329" i="1"/>
  <c r="F2328" i="1"/>
  <c r="F2327" i="1"/>
  <c r="F2326" i="1"/>
  <c r="E2326" i="1"/>
  <c r="F2325" i="1"/>
  <c r="F2324" i="1"/>
  <c r="E2324" i="1"/>
  <c r="F2323" i="1"/>
  <c r="E2323" i="1"/>
  <c r="F2322" i="1"/>
  <c r="E2322" i="1"/>
  <c r="F2321" i="1"/>
  <c r="F2320" i="1"/>
  <c r="F2319" i="1"/>
  <c r="E2319" i="1"/>
  <c r="F2318" i="1"/>
  <c r="E2318" i="1"/>
  <c r="F2317" i="1"/>
  <c r="E2317" i="1"/>
  <c r="F2316" i="1"/>
  <c r="E2316" i="1"/>
  <c r="F2315" i="1"/>
  <c r="E2315" i="1"/>
  <c r="F2314" i="1"/>
  <c r="E2314" i="1"/>
  <c r="F2313" i="1"/>
  <c r="E2313" i="1"/>
  <c r="F2312" i="1"/>
  <c r="E2312" i="1"/>
  <c r="F2311" i="1"/>
  <c r="E2311" i="1"/>
  <c r="F2310" i="1"/>
  <c r="E2310" i="1"/>
  <c r="F2309" i="1"/>
  <c r="E2309" i="1"/>
  <c r="F2308" i="1"/>
  <c r="E2308" i="1"/>
  <c r="F2307" i="1"/>
  <c r="E2307" i="1"/>
  <c r="F2306" i="1"/>
  <c r="E2306" i="1"/>
  <c r="F2305" i="1"/>
  <c r="E2305" i="1"/>
  <c r="F2304" i="1"/>
  <c r="E2304" i="1"/>
  <c r="F2303" i="1"/>
  <c r="E2303" i="1"/>
  <c r="F2302" i="1"/>
  <c r="E2302" i="1"/>
  <c r="F2301" i="1"/>
  <c r="E2301" i="1"/>
  <c r="F2300" i="1"/>
  <c r="E2300" i="1"/>
  <c r="F2299" i="1"/>
  <c r="E2299" i="1"/>
  <c r="F2298" i="1"/>
  <c r="E2298" i="1"/>
  <c r="F2297" i="1"/>
  <c r="E2297" i="1"/>
  <c r="F2296" i="1"/>
  <c r="E2296" i="1"/>
  <c r="F2295" i="1"/>
  <c r="E2295" i="1"/>
  <c r="F2294" i="1"/>
  <c r="E2294" i="1"/>
  <c r="F2293" i="1"/>
  <c r="E2293" i="1"/>
  <c r="F2292" i="1"/>
  <c r="E2292" i="1"/>
  <c r="F2291" i="1"/>
  <c r="E2291" i="1"/>
  <c r="F2290" i="1"/>
  <c r="E2290" i="1"/>
  <c r="F2289" i="1"/>
  <c r="E2289" i="1"/>
  <c r="F2288" i="1"/>
  <c r="E2288" i="1"/>
  <c r="F2287" i="1"/>
  <c r="F2286" i="1"/>
  <c r="E2286" i="1"/>
  <c r="F2285" i="1"/>
  <c r="E2285" i="1"/>
  <c r="F2284" i="1"/>
  <c r="E2284" i="1"/>
  <c r="F2283" i="1"/>
  <c r="E2283" i="1"/>
  <c r="F2282" i="1"/>
  <c r="E2282" i="1"/>
  <c r="F2281" i="1"/>
  <c r="E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E2266" i="1"/>
  <c r="F2265" i="1"/>
  <c r="E2265" i="1"/>
  <c r="F2264" i="1"/>
  <c r="E2264" i="1"/>
  <c r="F2263" i="1"/>
  <c r="E2263" i="1"/>
  <c r="F2262" i="1"/>
  <c r="E2262" i="1"/>
  <c r="F2261" i="1"/>
  <c r="E2261" i="1"/>
  <c r="F2260" i="1"/>
  <c r="E2260" i="1"/>
  <c r="F2259" i="1"/>
  <c r="E2259" i="1"/>
  <c r="F2258" i="1"/>
  <c r="E2258" i="1"/>
  <c r="F2257" i="1"/>
  <c r="E2257" i="1"/>
  <c r="F2256" i="1"/>
  <c r="E2256" i="1"/>
  <c r="F2255" i="1"/>
  <c r="E2255" i="1"/>
  <c r="F2254" i="1"/>
  <c r="E2254" i="1"/>
  <c r="F2253" i="1"/>
  <c r="E2253" i="1"/>
  <c r="F2252" i="1"/>
  <c r="E2252" i="1"/>
  <c r="F2251" i="1"/>
  <c r="E2251" i="1"/>
  <c r="F2250" i="1"/>
  <c r="F2249" i="1"/>
  <c r="E2249" i="1"/>
  <c r="F2248" i="1"/>
  <c r="E2248" i="1"/>
  <c r="F2247" i="1"/>
  <c r="E2247" i="1"/>
  <c r="F2246" i="1"/>
  <c r="E2246" i="1"/>
  <c r="F2245" i="1"/>
  <c r="E2245" i="1"/>
  <c r="F2244" i="1"/>
  <c r="E2244" i="1"/>
  <c r="F2243" i="1"/>
  <c r="F2242" i="1"/>
  <c r="F2241" i="1"/>
  <c r="F2240" i="1"/>
  <c r="E2240" i="1"/>
  <c r="F2239" i="1"/>
  <c r="E2239" i="1"/>
  <c r="F2238" i="1"/>
  <c r="E2238" i="1"/>
  <c r="F2237" i="1"/>
  <c r="E2237" i="1"/>
  <c r="F2236" i="1"/>
  <c r="E2236" i="1"/>
  <c r="F2235" i="1"/>
  <c r="F2234" i="1"/>
  <c r="E2234" i="1"/>
  <c r="F2233" i="1"/>
  <c r="E2233" i="1"/>
  <c r="F2232" i="1"/>
  <c r="E2232" i="1"/>
  <c r="F2231" i="1"/>
  <c r="E2231" i="1"/>
  <c r="F2230" i="1"/>
  <c r="E2230" i="1"/>
  <c r="F2229" i="1"/>
  <c r="E2229" i="1"/>
  <c r="F2228" i="1"/>
  <c r="E2228" i="1"/>
  <c r="F2227" i="1"/>
  <c r="E2227" i="1"/>
  <c r="F2226" i="1"/>
  <c r="E2226" i="1"/>
  <c r="F2225" i="1"/>
  <c r="E2225" i="1"/>
  <c r="F2224" i="1"/>
  <c r="E2224" i="1"/>
  <c r="F2223" i="1"/>
  <c r="E2223" i="1"/>
  <c r="F2222" i="1"/>
  <c r="E2222" i="1"/>
  <c r="F2221" i="1"/>
  <c r="E2221" i="1"/>
  <c r="F2220" i="1"/>
  <c r="E2220" i="1"/>
  <c r="F2219" i="1"/>
  <c r="E2219" i="1"/>
  <c r="F2218" i="1"/>
  <c r="E2218" i="1"/>
  <c r="F2217" i="1"/>
  <c r="E2217" i="1"/>
  <c r="F2216" i="1"/>
  <c r="E2216" i="1"/>
  <c r="F2215" i="1"/>
  <c r="E2215" i="1"/>
  <c r="F2214" i="1"/>
  <c r="E2214" i="1"/>
  <c r="F2213" i="1"/>
  <c r="E2213" i="1"/>
  <c r="F2212" i="1"/>
  <c r="E2212" i="1"/>
  <c r="F2211" i="1"/>
  <c r="E2211" i="1"/>
  <c r="F2210" i="1"/>
  <c r="E2210" i="1"/>
  <c r="F2209" i="1"/>
  <c r="E2209" i="1"/>
  <c r="F2208" i="1"/>
  <c r="E2208" i="1"/>
  <c r="F2207" i="1"/>
  <c r="E2207" i="1"/>
  <c r="F2206" i="1"/>
  <c r="E2206" i="1"/>
  <c r="F2205" i="1"/>
  <c r="E2205" i="1"/>
  <c r="F2204" i="1"/>
  <c r="E2204" i="1"/>
  <c r="F2203" i="1"/>
  <c r="E2203" i="1"/>
  <c r="F2202" i="1"/>
  <c r="E2202" i="1"/>
  <c r="F2201" i="1"/>
  <c r="E2201" i="1"/>
  <c r="F2200" i="1"/>
  <c r="E2200" i="1"/>
  <c r="F2199" i="1"/>
  <c r="E2199" i="1"/>
  <c r="F2198" i="1"/>
  <c r="E2198" i="1"/>
  <c r="F2197" i="1"/>
  <c r="E2197" i="1"/>
  <c r="F2196" i="1"/>
  <c r="E2196" i="1"/>
  <c r="F2195" i="1"/>
  <c r="E2195" i="1"/>
  <c r="F2194" i="1"/>
  <c r="E2194" i="1"/>
  <c r="F2193" i="1"/>
  <c r="E2193" i="1"/>
  <c r="F2192" i="1"/>
  <c r="F2191" i="1"/>
  <c r="E2191" i="1"/>
  <c r="F2190" i="1"/>
  <c r="E2190" i="1"/>
  <c r="F2189" i="1"/>
  <c r="E2189" i="1"/>
  <c r="F2188" i="1"/>
  <c r="F2187" i="1"/>
  <c r="E2187" i="1"/>
  <c r="F2186" i="1"/>
  <c r="E2186" i="1"/>
  <c r="F2185" i="1"/>
  <c r="E2185" i="1"/>
  <c r="F2184" i="1"/>
  <c r="F2183" i="1"/>
  <c r="E2183" i="1"/>
  <c r="F2182" i="1"/>
  <c r="E2182" i="1"/>
  <c r="F2181" i="1"/>
  <c r="F2180" i="1"/>
  <c r="E2180" i="1"/>
  <c r="F2179" i="1"/>
  <c r="F2178" i="1"/>
  <c r="E2178" i="1"/>
  <c r="F2177" i="1"/>
  <c r="F2176" i="1"/>
  <c r="E2176" i="1"/>
  <c r="F2175" i="1"/>
  <c r="E2175" i="1"/>
  <c r="F2174" i="1"/>
  <c r="F2173" i="1"/>
  <c r="E2173" i="1"/>
  <c r="F2172" i="1"/>
  <c r="F2171" i="1"/>
  <c r="E2171" i="1"/>
  <c r="F2170" i="1"/>
  <c r="E2170" i="1"/>
  <c r="F2169" i="1"/>
  <c r="E2169" i="1"/>
  <c r="F2168" i="1"/>
  <c r="E2168" i="1"/>
  <c r="F2167" i="1"/>
  <c r="F2166" i="1"/>
  <c r="E2166" i="1"/>
  <c r="F2165" i="1"/>
  <c r="F2164" i="1"/>
  <c r="E2164" i="1"/>
  <c r="F2163" i="1"/>
  <c r="E2163" i="1"/>
  <c r="F2162" i="1"/>
  <c r="E2162" i="1"/>
  <c r="F2161" i="1"/>
  <c r="E2161" i="1"/>
  <c r="F2160" i="1"/>
  <c r="E2160" i="1"/>
  <c r="F2159" i="1"/>
  <c r="E2159" i="1"/>
  <c r="F2158" i="1"/>
  <c r="F2157" i="1"/>
  <c r="E2157" i="1"/>
  <c r="F2156" i="1"/>
  <c r="E2156" i="1"/>
  <c r="F2155" i="1"/>
  <c r="E2155" i="1"/>
  <c r="F2154" i="1"/>
  <c r="E2154" i="1"/>
  <c r="F2153" i="1"/>
  <c r="E2153" i="1"/>
  <c r="F2149" i="1"/>
  <c r="F2144" i="1"/>
  <c r="E2144" i="1"/>
  <c r="F2143" i="1"/>
  <c r="E2143" i="1"/>
  <c r="F2142" i="1"/>
  <c r="E2142" i="1"/>
  <c r="F2141" i="1"/>
  <c r="F2140" i="1"/>
  <c r="E2140" i="1"/>
  <c r="F2139" i="1"/>
  <c r="E2139" i="1"/>
  <c r="F2138" i="1"/>
  <c r="E2138" i="1"/>
  <c r="F2137" i="1"/>
  <c r="E2137" i="1"/>
  <c r="F2136" i="1"/>
  <c r="E2136" i="1"/>
  <c r="F2135" i="1"/>
  <c r="E2135" i="1"/>
  <c r="F2134" i="1"/>
  <c r="E2134" i="1"/>
  <c r="F2133" i="1"/>
  <c r="E2133" i="1"/>
  <c r="F2132" i="1"/>
  <c r="E2132" i="1"/>
  <c r="F2131" i="1"/>
  <c r="E2131" i="1"/>
  <c r="F2130" i="1"/>
  <c r="E2130" i="1"/>
  <c r="F2129" i="1"/>
  <c r="E2129" i="1"/>
  <c r="F2128" i="1"/>
  <c r="E2128" i="1"/>
  <c r="F2127" i="1"/>
  <c r="E2127" i="1"/>
  <c r="F2126" i="1"/>
  <c r="E2126" i="1"/>
  <c r="F2125" i="1"/>
  <c r="E2125" i="1"/>
  <c r="F2124" i="1"/>
  <c r="E2124" i="1"/>
  <c r="F2123" i="1"/>
  <c r="E2123" i="1"/>
  <c r="F2122" i="1"/>
  <c r="E2122" i="1"/>
  <c r="F2121" i="1"/>
  <c r="E2121" i="1"/>
  <c r="F2120" i="1"/>
  <c r="E2120" i="1"/>
  <c r="F2119" i="1"/>
  <c r="E2119" i="1"/>
  <c r="F2118" i="1"/>
  <c r="E2118" i="1"/>
  <c r="F2117" i="1"/>
  <c r="E2117" i="1"/>
  <c r="F2116" i="1"/>
  <c r="E2116" i="1"/>
  <c r="F2115" i="1"/>
  <c r="E2115" i="1"/>
  <c r="F2114" i="1"/>
  <c r="E2114" i="1"/>
  <c r="F2113" i="1"/>
  <c r="F2112" i="1"/>
  <c r="F2111" i="1"/>
  <c r="E2111" i="1"/>
  <c r="F2110" i="1"/>
  <c r="F2109" i="1"/>
  <c r="E2109" i="1"/>
  <c r="F2108" i="1"/>
  <c r="F2107" i="1"/>
  <c r="E2107" i="1"/>
  <c r="F2106" i="1"/>
  <c r="E2106" i="1"/>
  <c r="F2105" i="1"/>
  <c r="E2105" i="1"/>
  <c r="F2104" i="1"/>
  <c r="E2104" i="1"/>
  <c r="F2103" i="1"/>
  <c r="E2103" i="1"/>
  <c r="F2102" i="1"/>
  <c r="F2101" i="1"/>
  <c r="E2101" i="1"/>
  <c r="F2100" i="1"/>
  <c r="E2100" i="1"/>
  <c r="F2099" i="1"/>
  <c r="E2099" i="1"/>
  <c r="F2098" i="1"/>
  <c r="E2098" i="1"/>
  <c r="F2097" i="1"/>
  <c r="E2097" i="1"/>
  <c r="F2096" i="1"/>
  <c r="E2096" i="1"/>
  <c r="F2095" i="1"/>
  <c r="E2095" i="1"/>
  <c r="F2094" i="1"/>
  <c r="E2094" i="1"/>
  <c r="F2093" i="1"/>
  <c r="E2093" i="1"/>
  <c r="F2092" i="1"/>
  <c r="E2092" i="1"/>
  <c r="F2091" i="1"/>
  <c r="E2091" i="1"/>
  <c r="F2090" i="1"/>
  <c r="E2090" i="1"/>
  <c r="F2089" i="1"/>
  <c r="E2089" i="1"/>
  <c r="F2088" i="1"/>
  <c r="E2088" i="1"/>
  <c r="F2087" i="1"/>
  <c r="E2087" i="1"/>
  <c r="F2086" i="1"/>
  <c r="E2086" i="1"/>
  <c r="F2085" i="1"/>
  <c r="E2085" i="1"/>
  <c r="F2084" i="1"/>
  <c r="E2084" i="1"/>
  <c r="F2083" i="1"/>
  <c r="E2083" i="1"/>
  <c r="F2082" i="1"/>
  <c r="E2082" i="1"/>
  <c r="F2081" i="1"/>
  <c r="E2081" i="1"/>
  <c r="F2080" i="1"/>
  <c r="E2080" i="1"/>
  <c r="F2079" i="1"/>
  <c r="E2079" i="1"/>
  <c r="F2078" i="1"/>
  <c r="F2077" i="1"/>
  <c r="E2077" i="1"/>
  <c r="F2076" i="1"/>
  <c r="E2076" i="1"/>
  <c r="F2075" i="1"/>
  <c r="E2075" i="1"/>
  <c r="F2074" i="1"/>
  <c r="E2074" i="1"/>
  <c r="F2073" i="1"/>
  <c r="E2073" i="1"/>
  <c r="F2072" i="1"/>
  <c r="E2072" i="1"/>
  <c r="F2071" i="1"/>
  <c r="F2070" i="1"/>
  <c r="E2070" i="1"/>
  <c r="F2069" i="1"/>
  <c r="E2069" i="1"/>
  <c r="F2068" i="1"/>
  <c r="E2068" i="1"/>
  <c r="F2067" i="1"/>
  <c r="E2067" i="1"/>
  <c r="F2066" i="1"/>
  <c r="E2066" i="1"/>
  <c r="F2065" i="1"/>
  <c r="E2065" i="1"/>
  <c r="F2064" i="1"/>
  <c r="E2064" i="1"/>
  <c r="F2063" i="1"/>
  <c r="E2063" i="1"/>
  <c r="F2062" i="1"/>
  <c r="E2062" i="1"/>
  <c r="F2061" i="1"/>
  <c r="E2061" i="1"/>
  <c r="F2060" i="1"/>
  <c r="E2060" i="1"/>
  <c r="F2059" i="1"/>
  <c r="E2059" i="1"/>
  <c r="F2058" i="1"/>
  <c r="E2058" i="1"/>
  <c r="F2057" i="1"/>
  <c r="E2057" i="1"/>
  <c r="F2056" i="1"/>
  <c r="E2056" i="1"/>
  <c r="F2055" i="1"/>
  <c r="F2054" i="1"/>
  <c r="F2053" i="1"/>
  <c r="E2053" i="1"/>
  <c r="F2052" i="1"/>
  <c r="F2051" i="1"/>
  <c r="E2051" i="1"/>
  <c r="F2050" i="1"/>
  <c r="E2050" i="1"/>
  <c r="F2049" i="1"/>
  <c r="E2049" i="1"/>
  <c r="F2048" i="1"/>
  <c r="E2048" i="1"/>
  <c r="F2047" i="1"/>
  <c r="E2047" i="1"/>
  <c r="F2046" i="1"/>
  <c r="E2046" i="1"/>
  <c r="F2045" i="1"/>
  <c r="E2045" i="1"/>
  <c r="F2044" i="1"/>
  <c r="E2044" i="1"/>
  <c r="F2043" i="1"/>
  <c r="E2043" i="1"/>
  <c r="F2042" i="1"/>
  <c r="E2042" i="1"/>
  <c r="F2041" i="1"/>
  <c r="E2041" i="1"/>
  <c r="F2040" i="1"/>
  <c r="E2040" i="1"/>
  <c r="F2039" i="1"/>
  <c r="E2039" i="1"/>
  <c r="F2038" i="1"/>
  <c r="E2038" i="1"/>
  <c r="F2037" i="1"/>
  <c r="E2037" i="1"/>
  <c r="F2036" i="1"/>
  <c r="E2036" i="1"/>
  <c r="F2035" i="1"/>
  <c r="F2034" i="1"/>
  <c r="F2033" i="1"/>
  <c r="E2033" i="1"/>
  <c r="F2032" i="1"/>
  <c r="E2032" i="1"/>
  <c r="F2031" i="1"/>
  <c r="E2031" i="1"/>
  <c r="F2030" i="1"/>
  <c r="E2030" i="1"/>
  <c r="F2029" i="1"/>
  <c r="E2029" i="1"/>
  <c r="F2028" i="1"/>
  <c r="E2028" i="1"/>
  <c r="F2027" i="1"/>
  <c r="E2027" i="1"/>
  <c r="F2026" i="1"/>
  <c r="E2026" i="1"/>
  <c r="F2025" i="1"/>
  <c r="E2025" i="1"/>
  <c r="F2024" i="1"/>
  <c r="E2024" i="1"/>
  <c r="F2023" i="1"/>
  <c r="E2023" i="1"/>
  <c r="F2022" i="1"/>
  <c r="E2022" i="1"/>
  <c r="F2021" i="1"/>
  <c r="E2021" i="1"/>
  <c r="F2020" i="1"/>
  <c r="E2020" i="1"/>
  <c r="F2019" i="1"/>
  <c r="E2019" i="1"/>
  <c r="F2018" i="1"/>
  <c r="E2018" i="1"/>
  <c r="F2017" i="1"/>
  <c r="E2017" i="1"/>
  <c r="F2016" i="1"/>
  <c r="E2016" i="1"/>
  <c r="F2015" i="1"/>
  <c r="E2015" i="1"/>
  <c r="F2014" i="1"/>
  <c r="E2014" i="1"/>
  <c r="F2013" i="1"/>
  <c r="E2013" i="1"/>
  <c r="F2012" i="1"/>
  <c r="E2012" i="1"/>
  <c r="F2011" i="1"/>
  <c r="E2011" i="1"/>
  <c r="F2010" i="1"/>
  <c r="E2010" i="1"/>
  <c r="F2009" i="1"/>
  <c r="E2009" i="1"/>
  <c r="F2008" i="1"/>
  <c r="E2008" i="1"/>
  <c r="F2007" i="1"/>
  <c r="E2007" i="1"/>
  <c r="F2006" i="1"/>
  <c r="E2006" i="1"/>
  <c r="F2005" i="1"/>
  <c r="E2005" i="1"/>
  <c r="F2004" i="1"/>
  <c r="E2004" i="1"/>
  <c r="F2003" i="1"/>
  <c r="E2003" i="1"/>
  <c r="F2002" i="1"/>
  <c r="E2002" i="1"/>
  <c r="F2001" i="1"/>
  <c r="E2001" i="1"/>
  <c r="F2000" i="1"/>
  <c r="E2000" i="1"/>
  <c r="F1999" i="1"/>
  <c r="E1999" i="1"/>
  <c r="F1998" i="1"/>
  <c r="E1998" i="1"/>
  <c r="F1997" i="1"/>
  <c r="E1997" i="1"/>
  <c r="F1996" i="1"/>
  <c r="F1995" i="1"/>
  <c r="E1995" i="1"/>
  <c r="F1994" i="1"/>
  <c r="E1994" i="1"/>
  <c r="F1993" i="1"/>
  <c r="E1993" i="1"/>
  <c r="F1992" i="1"/>
  <c r="E1992" i="1"/>
  <c r="F1991" i="1"/>
  <c r="E1991" i="1"/>
  <c r="F1990" i="1"/>
  <c r="E1990" i="1"/>
  <c r="F1989" i="1"/>
  <c r="E1989" i="1"/>
  <c r="F1988" i="1"/>
  <c r="E1988" i="1"/>
  <c r="F1987" i="1"/>
  <c r="E1987" i="1"/>
  <c r="F1986" i="1"/>
  <c r="E1986" i="1"/>
  <c r="F1985" i="1"/>
  <c r="E1985" i="1"/>
  <c r="F1984" i="1"/>
  <c r="E1984" i="1"/>
  <c r="F1983" i="1"/>
  <c r="E1983" i="1"/>
  <c r="F1982" i="1"/>
  <c r="E1982" i="1"/>
  <c r="F1981" i="1"/>
  <c r="E1981" i="1"/>
  <c r="F1980" i="1"/>
  <c r="F1979" i="1"/>
  <c r="E1979" i="1"/>
  <c r="F1978" i="1"/>
  <c r="E1978" i="1"/>
  <c r="F1977" i="1"/>
  <c r="E1977" i="1"/>
  <c r="F1976" i="1"/>
  <c r="E1976" i="1"/>
  <c r="F1975" i="1"/>
  <c r="E1975" i="1"/>
  <c r="F1974" i="1"/>
  <c r="E1974" i="1"/>
  <c r="F1973" i="1"/>
  <c r="E1973" i="1"/>
  <c r="F1972" i="1"/>
  <c r="E1972" i="1"/>
  <c r="F1971" i="1"/>
  <c r="E1971" i="1"/>
  <c r="F1970" i="1"/>
  <c r="E1970" i="1"/>
  <c r="F1969" i="1"/>
  <c r="E1969" i="1"/>
  <c r="F1968" i="1"/>
  <c r="F1967" i="1"/>
  <c r="F1966" i="1"/>
  <c r="F1965" i="1"/>
  <c r="F1964" i="1"/>
  <c r="F1963" i="1"/>
  <c r="F1962" i="1"/>
  <c r="F1961" i="1"/>
  <c r="F1960" i="1"/>
  <c r="F1959" i="1"/>
  <c r="E1959" i="1"/>
  <c r="F1958" i="1"/>
  <c r="F1957" i="1"/>
  <c r="F1956" i="1"/>
  <c r="F1955" i="1"/>
  <c r="E1955" i="1"/>
  <c r="F1954" i="1"/>
  <c r="F1953" i="1"/>
  <c r="F1952" i="1"/>
  <c r="F1951" i="1"/>
  <c r="F1950" i="1"/>
  <c r="F1949" i="1"/>
  <c r="F1948" i="1"/>
  <c r="E1948" i="1"/>
  <c r="F1947" i="1"/>
  <c r="E1947" i="1"/>
  <c r="F1946" i="1"/>
  <c r="F1945" i="1"/>
  <c r="E1945" i="1"/>
  <c r="F1944" i="1"/>
  <c r="E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E1931" i="1"/>
  <c r="F1930" i="1"/>
  <c r="F1929" i="1"/>
  <c r="F1928" i="1"/>
  <c r="F1927" i="1"/>
  <c r="E1927" i="1"/>
  <c r="F1926" i="1"/>
  <c r="F1925" i="1"/>
  <c r="F1924" i="1"/>
  <c r="E1924" i="1"/>
  <c r="F1923" i="1"/>
  <c r="F1922" i="1"/>
  <c r="F1921" i="1"/>
  <c r="F1920" i="1"/>
  <c r="F1919" i="1"/>
  <c r="E1919" i="1"/>
  <c r="F1918" i="1"/>
  <c r="E1918" i="1"/>
  <c r="F1917" i="1"/>
  <c r="F1916" i="1"/>
  <c r="F1915" i="1"/>
  <c r="E1915" i="1"/>
  <c r="F1914" i="1"/>
  <c r="E1914" i="1"/>
  <c r="F1913" i="1"/>
  <c r="E1913" i="1"/>
  <c r="F1912" i="1"/>
  <c r="E1912" i="1"/>
  <c r="F1911" i="1"/>
  <c r="E1911" i="1"/>
  <c r="F1910" i="1"/>
  <c r="E1910" i="1"/>
  <c r="F1909" i="1"/>
  <c r="E1909" i="1"/>
  <c r="F1908" i="1"/>
  <c r="E1908" i="1"/>
  <c r="F1907" i="1"/>
  <c r="E1907" i="1"/>
  <c r="F1906" i="1"/>
  <c r="E1906" i="1"/>
  <c r="F1905" i="1"/>
  <c r="E1905" i="1"/>
  <c r="F1904" i="1"/>
  <c r="E1904" i="1"/>
  <c r="F1903" i="1"/>
  <c r="E1903" i="1"/>
  <c r="F1902" i="1"/>
  <c r="E1902" i="1"/>
  <c r="F1901" i="1"/>
  <c r="E1901" i="1"/>
  <c r="F1900" i="1"/>
  <c r="E1900" i="1"/>
  <c r="F1899" i="1"/>
  <c r="E1899" i="1"/>
  <c r="F1898" i="1"/>
  <c r="E1898" i="1"/>
  <c r="F1897" i="1"/>
  <c r="E1897" i="1"/>
  <c r="F1896" i="1"/>
  <c r="E1896" i="1"/>
  <c r="F1895" i="1"/>
  <c r="E1895" i="1"/>
  <c r="F1894" i="1"/>
  <c r="E1894" i="1"/>
  <c r="F1893" i="1"/>
  <c r="E1893" i="1"/>
  <c r="F1892" i="1"/>
  <c r="E1892" i="1"/>
  <c r="F1891" i="1"/>
  <c r="E1891" i="1"/>
  <c r="F1890" i="1"/>
  <c r="E1890" i="1"/>
  <c r="F1889" i="1"/>
  <c r="E1889" i="1"/>
  <c r="F1888" i="1"/>
  <c r="E1888" i="1"/>
  <c r="F1887" i="1"/>
  <c r="E1887" i="1"/>
  <c r="F1886" i="1"/>
  <c r="E1886" i="1"/>
  <c r="F1885" i="1"/>
  <c r="E1885" i="1"/>
  <c r="F1884" i="1"/>
  <c r="E1884" i="1"/>
  <c r="F1883" i="1"/>
  <c r="E1883" i="1"/>
  <c r="F1882" i="1"/>
  <c r="E1882" i="1"/>
  <c r="F1881" i="1"/>
  <c r="E1881" i="1"/>
  <c r="F1880" i="1"/>
  <c r="E1880" i="1"/>
  <c r="F1879" i="1"/>
  <c r="F1878" i="1"/>
  <c r="F1877" i="1"/>
  <c r="E1877" i="1"/>
  <c r="F1876" i="1"/>
  <c r="E1876" i="1"/>
  <c r="F1875" i="1"/>
  <c r="E1875" i="1"/>
  <c r="F1874" i="1"/>
  <c r="E1874" i="1"/>
  <c r="F1873" i="1"/>
  <c r="E1873" i="1"/>
  <c r="F1872" i="1"/>
  <c r="E1872" i="1"/>
  <c r="F1871" i="1"/>
  <c r="E1871" i="1"/>
  <c r="F1870" i="1"/>
  <c r="E1870" i="1"/>
  <c r="F1869" i="1"/>
  <c r="F1868" i="1"/>
  <c r="E1868" i="1"/>
  <c r="F1867" i="1"/>
  <c r="E1867" i="1"/>
  <c r="F1866" i="1"/>
  <c r="F1865" i="1"/>
  <c r="E1865" i="1"/>
  <c r="F1864" i="1"/>
  <c r="E1864" i="1"/>
  <c r="F1863" i="1"/>
  <c r="E1863" i="1"/>
  <c r="F1862" i="1"/>
  <c r="E1862" i="1"/>
  <c r="F1861" i="1"/>
  <c r="E1861" i="1"/>
  <c r="F1860" i="1"/>
  <c r="E1860" i="1"/>
  <c r="F1859" i="1"/>
  <c r="F1858" i="1"/>
  <c r="E1858" i="1"/>
  <c r="F1857" i="1"/>
  <c r="E1857" i="1"/>
  <c r="F1856" i="1"/>
  <c r="E1856" i="1"/>
  <c r="F1855" i="1"/>
  <c r="E1855" i="1"/>
  <c r="F1854" i="1"/>
  <c r="E1854" i="1"/>
  <c r="F1853" i="1"/>
  <c r="E1853" i="1"/>
  <c r="F1852" i="1"/>
  <c r="E1852" i="1"/>
  <c r="F1851" i="1"/>
  <c r="E1851" i="1"/>
  <c r="F1850" i="1"/>
  <c r="E1850" i="1"/>
  <c r="F1849" i="1"/>
  <c r="E1849" i="1"/>
  <c r="F1848" i="1"/>
  <c r="E1848" i="1"/>
  <c r="F1847" i="1"/>
  <c r="E1847" i="1"/>
  <c r="F1846" i="1"/>
  <c r="E1846" i="1"/>
  <c r="F1845" i="1"/>
  <c r="E1845" i="1"/>
  <c r="F1844" i="1"/>
  <c r="E1844" i="1"/>
  <c r="F1843" i="1"/>
  <c r="E1843" i="1"/>
  <c r="F1842" i="1"/>
  <c r="E1842" i="1"/>
  <c r="F1841" i="1"/>
  <c r="E1841" i="1"/>
  <c r="F1840" i="1"/>
  <c r="E1840" i="1"/>
  <c r="F1839" i="1"/>
  <c r="F1838" i="1"/>
  <c r="F1837" i="1"/>
  <c r="F1836" i="1"/>
  <c r="F1835" i="1"/>
  <c r="F1834" i="1"/>
  <c r="E1834" i="1"/>
  <c r="F1833" i="1"/>
  <c r="E1833" i="1"/>
  <c r="F1832" i="1"/>
  <c r="E1832" i="1"/>
  <c r="F1831" i="1"/>
  <c r="E1831" i="1"/>
  <c r="F1830" i="1"/>
  <c r="E1830" i="1"/>
  <c r="F1829" i="1"/>
  <c r="E1829" i="1"/>
  <c r="F1828" i="1"/>
  <c r="E1828" i="1"/>
  <c r="F1827" i="1"/>
  <c r="E1827" i="1"/>
  <c r="F1826" i="1"/>
  <c r="E1826" i="1"/>
  <c r="F1825" i="1"/>
  <c r="E1825" i="1"/>
  <c r="F1824" i="1"/>
  <c r="E1824" i="1"/>
  <c r="F1823" i="1"/>
  <c r="E1823" i="1"/>
  <c r="F1822" i="1"/>
  <c r="E1822" i="1"/>
  <c r="F1821" i="1"/>
  <c r="E1821" i="1"/>
  <c r="F1820" i="1"/>
  <c r="E1820" i="1"/>
  <c r="F1819" i="1"/>
  <c r="E1819" i="1"/>
  <c r="F1818" i="1"/>
  <c r="E1818" i="1"/>
  <c r="F1817" i="1"/>
  <c r="F1816" i="1"/>
  <c r="E1816" i="1"/>
  <c r="F1815" i="1"/>
  <c r="E1815" i="1"/>
  <c r="F1814" i="1"/>
  <c r="E1814" i="1"/>
  <c r="F1813" i="1"/>
  <c r="E1813" i="1"/>
  <c r="F1812" i="1"/>
  <c r="E1812" i="1"/>
  <c r="F1811" i="1"/>
  <c r="E1811" i="1"/>
  <c r="F1810" i="1"/>
  <c r="E1810" i="1"/>
  <c r="F1809" i="1"/>
  <c r="E1809" i="1"/>
  <c r="F1808" i="1"/>
  <c r="E1808" i="1"/>
  <c r="F1807" i="1"/>
  <c r="E1807" i="1"/>
  <c r="F1806" i="1"/>
  <c r="E1806" i="1"/>
  <c r="F1805" i="1"/>
  <c r="E1805" i="1"/>
  <c r="F1804" i="1"/>
  <c r="E1804" i="1"/>
  <c r="F1803" i="1"/>
  <c r="E1803" i="1"/>
  <c r="F1802" i="1"/>
  <c r="E1802" i="1"/>
  <c r="F1801" i="1"/>
  <c r="E1801" i="1"/>
  <c r="F1800" i="1"/>
  <c r="E1800" i="1"/>
  <c r="F1799" i="1"/>
  <c r="E1799" i="1"/>
  <c r="F1798" i="1"/>
  <c r="E1798" i="1"/>
  <c r="F1797" i="1"/>
  <c r="E1797" i="1"/>
  <c r="F1796" i="1"/>
  <c r="E1796" i="1"/>
  <c r="F1795" i="1"/>
  <c r="E1795" i="1"/>
  <c r="F1794" i="1"/>
  <c r="E1794" i="1"/>
  <c r="F1793" i="1"/>
  <c r="E1793" i="1"/>
  <c r="F1792" i="1"/>
  <c r="E1792" i="1"/>
  <c r="F1791" i="1"/>
  <c r="E1791" i="1"/>
  <c r="F1790" i="1"/>
  <c r="E1790" i="1"/>
  <c r="F1789" i="1"/>
  <c r="E1789" i="1"/>
  <c r="F1788" i="1"/>
  <c r="E1788" i="1"/>
  <c r="F1787" i="1"/>
  <c r="E1787" i="1"/>
  <c r="F1786" i="1"/>
  <c r="E1786" i="1"/>
  <c r="F1785" i="1"/>
  <c r="E1785" i="1"/>
  <c r="F1784" i="1"/>
  <c r="E1784" i="1"/>
  <c r="F1783" i="1"/>
  <c r="E1783" i="1"/>
  <c r="F1782" i="1"/>
  <c r="F1781" i="1"/>
  <c r="E1781" i="1"/>
  <c r="F1780" i="1"/>
  <c r="E1780" i="1"/>
  <c r="F1779" i="1"/>
  <c r="E1779" i="1"/>
  <c r="F1778" i="1"/>
  <c r="E1778" i="1"/>
  <c r="F1777" i="1"/>
  <c r="E1777" i="1"/>
  <c r="F1776" i="1"/>
  <c r="E1776" i="1"/>
  <c r="F1775" i="1"/>
  <c r="E1775" i="1"/>
  <c r="F1774" i="1"/>
  <c r="E1774" i="1"/>
  <c r="F1773" i="1"/>
  <c r="E1773" i="1"/>
  <c r="F1772" i="1"/>
  <c r="E1772" i="1"/>
  <c r="F1771" i="1"/>
  <c r="E1771" i="1"/>
  <c r="F1770" i="1"/>
  <c r="E1770" i="1"/>
  <c r="F1769" i="1"/>
  <c r="E1769" i="1"/>
  <c r="F1768" i="1"/>
  <c r="E1768" i="1"/>
  <c r="F1767" i="1"/>
  <c r="E1767" i="1"/>
  <c r="F1766" i="1"/>
  <c r="E1766" i="1"/>
  <c r="F1765" i="1"/>
  <c r="E1765" i="1"/>
  <c r="F1764" i="1"/>
  <c r="E1764" i="1"/>
  <c r="F1763" i="1"/>
  <c r="E1763" i="1"/>
  <c r="F1762" i="1"/>
  <c r="E1762" i="1"/>
  <c r="F1761" i="1"/>
  <c r="E1761" i="1"/>
  <c r="F1760" i="1"/>
  <c r="E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E1704" i="1"/>
  <c r="F1703" i="1"/>
  <c r="E1703" i="1"/>
  <c r="F1702" i="1"/>
  <c r="E1702" i="1"/>
  <c r="F1701" i="1"/>
  <c r="E1701" i="1"/>
  <c r="F1700" i="1"/>
  <c r="E1700" i="1"/>
  <c r="F1699" i="1"/>
  <c r="E1699" i="1"/>
  <c r="F1698" i="1"/>
  <c r="E1698" i="1"/>
  <c r="F1697" i="1"/>
  <c r="E1697" i="1"/>
  <c r="F1696" i="1"/>
  <c r="E1696" i="1"/>
  <c r="F1695" i="1"/>
  <c r="E1695" i="1"/>
  <c r="F1694" i="1"/>
  <c r="E1694" i="1"/>
  <c r="F1693" i="1"/>
  <c r="E1693" i="1"/>
  <c r="F1692" i="1"/>
  <c r="E1692" i="1"/>
  <c r="F1691" i="1"/>
  <c r="E1691" i="1"/>
  <c r="F1690" i="1"/>
  <c r="E1690" i="1"/>
  <c r="F1689" i="1"/>
  <c r="E1689" i="1"/>
  <c r="F1688" i="1"/>
  <c r="E1688" i="1"/>
  <c r="F1687" i="1"/>
  <c r="E1687" i="1"/>
  <c r="F1686" i="1"/>
  <c r="E1686" i="1"/>
  <c r="F1685" i="1"/>
  <c r="E1685" i="1"/>
  <c r="F1684" i="1"/>
  <c r="F1683" i="1"/>
  <c r="E1683" i="1"/>
  <c r="F1682" i="1"/>
  <c r="E1682" i="1"/>
  <c r="F1681" i="1"/>
  <c r="E1681" i="1"/>
  <c r="F1680" i="1"/>
  <c r="E1680" i="1"/>
  <c r="F1679" i="1"/>
  <c r="F1678" i="1"/>
  <c r="F1677" i="1"/>
  <c r="E1677" i="1"/>
  <c r="F1676" i="1"/>
  <c r="F1675" i="1"/>
  <c r="E1675" i="1"/>
  <c r="F1674" i="1"/>
  <c r="E1674" i="1"/>
  <c r="F1673" i="1"/>
  <c r="E1673" i="1"/>
  <c r="F1672" i="1"/>
  <c r="E1672" i="1"/>
  <c r="F1671" i="1"/>
  <c r="E1671" i="1"/>
  <c r="F1670" i="1"/>
  <c r="E1670" i="1"/>
  <c r="F1669" i="1"/>
  <c r="E1669" i="1"/>
  <c r="F1668" i="1"/>
  <c r="F1667" i="1"/>
  <c r="E1667" i="1"/>
  <c r="F1666" i="1"/>
  <c r="E1666" i="1"/>
  <c r="F1665" i="1"/>
  <c r="E1665" i="1"/>
  <c r="F1664" i="1"/>
  <c r="E1664" i="1"/>
  <c r="F1663" i="1"/>
  <c r="E1663" i="1"/>
  <c r="F1662" i="1"/>
  <c r="E1662" i="1"/>
  <c r="F1661" i="1"/>
  <c r="E1661" i="1"/>
  <c r="F1660" i="1"/>
  <c r="E1660" i="1"/>
  <c r="F1659" i="1"/>
  <c r="E1659" i="1"/>
  <c r="F1658" i="1"/>
  <c r="E1658" i="1"/>
  <c r="F1657" i="1"/>
  <c r="E1657" i="1"/>
  <c r="F1656" i="1"/>
  <c r="E1656" i="1"/>
  <c r="F1655" i="1"/>
  <c r="E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E1610" i="1"/>
  <c r="F1609" i="1"/>
  <c r="E1609" i="1"/>
  <c r="F1608" i="1"/>
  <c r="E1608" i="1"/>
  <c r="F1607" i="1"/>
  <c r="E1607" i="1"/>
  <c r="F1606" i="1"/>
  <c r="E1606" i="1"/>
  <c r="F1605" i="1"/>
  <c r="E1605" i="1"/>
  <c r="F1604" i="1"/>
  <c r="E1604" i="1"/>
  <c r="F1603" i="1"/>
  <c r="E1603" i="1"/>
  <c r="F1602" i="1"/>
  <c r="E1602" i="1"/>
  <c r="F1601" i="1"/>
  <c r="E1601" i="1"/>
  <c r="F1600" i="1"/>
  <c r="E1600" i="1"/>
  <c r="F1599" i="1"/>
  <c r="E1599" i="1"/>
  <c r="F1598" i="1"/>
  <c r="E1598" i="1"/>
  <c r="F1597" i="1"/>
  <c r="E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E1571" i="1"/>
  <c r="F1570" i="1"/>
  <c r="E1570" i="1"/>
  <c r="F1569" i="1"/>
  <c r="E1569" i="1"/>
  <c r="F1568" i="1"/>
  <c r="E1568" i="1"/>
  <c r="F1567" i="1"/>
  <c r="E1567" i="1"/>
  <c r="F1566" i="1"/>
  <c r="E1566" i="1"/>
  <c r="F1565" i="1"/>
  <c r="E1565" i="1"/>
  <c r="F1564" i="1"/>
  <c r="E1564" i="1"/>
  <c r="F1563" i="1"/>
  <c r="E1563" i="1"/>
  <c r="F1562" i="1"/>
  <c r="F1561" i="1"/>
  <c r="E1561" i="1"/>
  <c r="F1560" i="1"/>
  <c r="F1559" i="1"/>
  <c r="F1558" i="1"/>
  <c r="E1558" i="1"/>
  <c r="F1557" i="1"/>
  <c r="E1557" i="1"/>
  <c r="F1556" i="1"/>
  <c r="E1556" i="1"/>
  <c r="F1555" i="1"/>
  <c r="E1555" i="1"/>
  <c r="F1554" i="1"/>
  <c r="E1554" i="1"/>
  <c r="F1553" i="1"/>
  <c r="E1553" i="1"/>
  <c r="F1552" i="1"/>
  <c r="E1552" i="1"/>
  <c r="F1551" i="1"/>
  <c r="E1551" i="1"/>
  <c r="F1550" i="1"/>
  <c r="E1550" i="1"/>
  <c r="F1549" i="1"/>
  <c r="E1549" i="1"/>
  <c r="F1548" i="1"/>
  <c r="E1548" i="1"/>
  <c r="F1547" i="1"/>
  <c r="E1547" i="1"/>
  <c r="F1546" i="1"/>
  <c r="E1546" i="1"/>
  <c r="F1545" i="1"/>
  <c r="E1545" i="1"/>
  <c r="F1544" i="1"/>
  <c r="E1544" i="1"/>
  <c r="F1543" i="1"/>
  <c r="E1543" i="1"/>
  <c r="F1542" i="1"/>
  <c r="E1542" i="1"/>
  <c r="F1541" i="1"/>
  <c r="E1541" i="1"/>
  <c r="F1540" i="1"/>
  <c r="E1540" i="1"/>
  <c r="F1539" i="1"/>
  <c r="E1539" i="1"/>
  <c r="F1538" i="1"/>
  <c r="E1538" i="1"/>
  <c r="F1537" i="1"/>
  <c r="E1537" i="1"/>
  <c r="F1536" i="1"/>
  <c r="E1536" i="1"/>
  <c r="F1535" i="1"/>
  <c r="E1535" i="1"/>
  <c r="F1534" i="1"/>
  <c r="E1534" i="1"/>
  <c r="F1533" i="1"/>
  <c r="E1533" i="1"/>
  <c r="F1532" i="1"/>
  <c r="E1532" i="1"/>
  <c r="F1531" i="1"/>
  <c r="E1531" i="1"/>
  <c r="F1530" i="1"/>
  <c r="E1530" i="1"/>
  <c r="F1529" i="1"/>
  <c r="E1529" i="1"/>
  <c r="F1528" i="1"/>
  <c r="E1528" i="1"/>
  <c r="F1527" i="1"/>
  <c r="E1527" i="1"/>
  <c r="F1526" i="1"/>
  <c r="E1526" i="1"/>
  <c r="F1525" i="1"/>
  <c r="E1525" i="1"/>
  <c r="F1524" i="1"/>
  <c r="E1524" i="1"/>
  <c r="F1523" i="1"/>
  <c r="E1523" i="1"/>
  <c r="F1522" i="1"/>
  <c r="E1522" i="1"/>
  <c r="F1521" i="1"/>
  <c r="E1521" i="1"/>
  <c r="F1520" i="1"/>
  <c r="E1520" i="1"/>
  <c r="F1519" i="1"/>
  <c r="E1519" i="1"/>
  <c r="F1518" i="1"/>
  <c r="E1518" i="1"/>
  <c r="F1517" i="1"/>
  <c r="E1517" i="1"/>
  <c r="F1516" i="1"/>
  <c r="E1516" i="1"/>
  <c r="F1515" i="1"/>
  <c r="E1515" i="1"/>
  <c r="F1514" i="1"/>
  <c r="E1514" i="1"/>
  <c r="F1513" i="1"/>
  <c r="E1513" i="1"/>
  <c r="F1512" i="1"/>
  <c r="E1512" i="1"/>
  <c r="F1511" i="1"/>
  <c r="E1511" i="1"/>
  <c r="F1510" i="1"/>
  <c r="F1509" i="1"/>
  <c r="F1508" i="1"/>
  <c r="E1508" i="1"/>
  <c r="F1507" i="1"/>
  <c r="E1507" i="1"/>
  <c r="F1506" i="1"/>
  <c r="E1506" i="1"/>
  <c r="F1505" i="1"/>
  <c r="E1505" i="1"/>
  <c r="F1504" i="1"/>
  <c r="E1504" i="1"/>
  <c r="F1503" i="1"/>
  <c r="E1503" i="1"/>
  <c r="F1502" i="1"/>
  <c r="E1502" i="1"/>
  <c r="F1501" i="1"/>
  <c r="E1501" i="1"/>
  <c r="F1500" i="1"/>
  <c r="E1500" i="1"/>
  <c r="F1499" i="1"/>
  <c r="E1499" i="1"/>
  <c r="F1498" i="1"/>
  <c r="E1498" i="1"/>
  <c r="F1497" i="1"/>
  <c r="E1497" i="1"/>
  <c r="F1496" i="1"/>
  <c r="E1496" i="1"/>
  <c r="F1495" i="1"/>
  <c r="E1495" i="1"/>
  <c r="F1494" i="1"/>
  <c r="E1494" i="1"/>
  <c r="F1493" i="1"/>
  <c r="E1493" i="1"/>
  <c r="F1492" i="1"/>
  <c r="E1492" i="1"/>
  <c r="F1491" i="1"/>
  <c r="E1491" i="1"/>
  <c r="F1490" i="1"/>
  <c r="E1490" i="1"/>
  <c r="F1489" i="1"/>
  <c r="E1489" i="1"/>
  <c r="F1488" i="1"/>
  <c r="E1488" i="1"/>
  <c r="F1487" i="1"/>
  <c r="E1487" i="1"/>
  <c r="F1486" i="1"/>
  <c r="E1486" i="1"/>
  <c r="F1485" i="1"/>
  <c r="E1485" i="1"/>
  <c r="F1484" i="1"/>
  <c r="E1484" i="1"/>
  <c r="F1483" i="1"/>
  <c r="E1483" i="1"/>
  <c r="F1482" i="1"/>
  <c r="E1482" i="1"/>
  <c r="F1481" i="1"/>
  <c r="E1481" i="1"/>
  <c r="F1480" i="1"/>
  <c r="E1480" i="1"/>
  <c r="F1479" i="1"/>
  <c r="E1479" i="1"/>
  <c r="F1478" i="1"/>
  <c r="E1478" i="1"/>
  <c r="F1477" i="1"/>
  <c r="E1477" i="1"/>
  <c r="F1476" i="1"/>
  <c r="E1476" i="1"/>
  <c r="F1475" i="1"/>
  <c r="E1475" i="1"/>
  <c r="F1474" i="1"/>
  <c r="E1474" i="1"/>
  <c r="F1473" i="1"/>
  <c r="E1473" i="1"/>
  <c r="F1472" i="1"/>
  <c r="E1472" i="1"/>
  <c r="F1471" i="1"/>
  <c r="E1471" i="1"/>
  <c r="F1470" i="1"/>
  <c r="E1470" i="1"/>
  <c r="F1469" i="1"/>
  <c r="E1469" i="1"/>
  <c r="F1468" i="1"/>
  <c r="E1468" i="1"/>
  <c r="F1467" i="1"/>
  <c r="E1467" i="1"/>
  <c r="F1466" i="1"/>
  <c r="E1466" i="1"/>
  <c r="F1465" i="1"/>
  <c r="E1465" i="1"/>
  <c r="F1464" i="1"/>
  <c r="E1464" i="1"/>
  <c r="F1463" i="1"/>
  <c r="E1463" i="1"/>
  <c r="F1462" i="1"/>
  <c r="E1462" i="1"/>
  <c r="F1461" i="1"/>
  <c r="E1461" i="1"/>
  <c r="F1460" i="1"/>
  <c r="E1460" i="1"/>
  <c r="F1459" i="1"/>
  <c r="E1459" i="1"/>
  <c r="F1458" i="1"/>
  <c r="E1458" i="1"/>
  <c r="F1457" i="1"/>
  <c r="E1457" i="1"/>
  <c r="F1456" i="1"/>
  <c r="E1456" i="1"/>
  <c r="F1455" i="1"/>
  <c r="E1455" i="1"/>
  <c r="F1454" i="1"/>
  <c r="E1454" i="1"/>
  <c r="F1453" i="1"/>
  <c r="E1453" i="1"/>
  <c r="F1452" i="1"/>
  <c r="E1452" i="1"/>
  <c r="F1451" i="1"/>
  <c r="E1451" i="1"/>
  <c r="F1450" i="1"/>
  <c r="E1450" i="1"/>
  <c r="F1449" i="1"/>
  <c r="E1449" i="1"/>
  <c r="F1448" i="1"/>
  <c r="E1448" i="1"/>
  <c r="F1447" i="1"/>
  <c r="E1447" i="1"/>
  <c r="F1446" i="1"/>
  <c r="E1446" i="1"/>
  <c r="F1445" i="1"/>
  <c r="E1445" i="1"/>
  <c r="F1444" i="1"/>
  <c r="E1444" i="1"/>
  <c r="F1443" i="1"/>
  <c r="E1443" i="1"/>
  <c r="F1442" i="1"/>
  <c r="E1442" i="1"/>
  <c r="F1441" i="1"/>
  <c r="E1441" i="1"/>
  <c r="F1440" i="1"/>
  <c r="E1440" i="1"/>
  <c r="F1439" i="1"/>
  <c r="E1439" i="1"/>
  <c r="F1438" i="1"/>
  <c r="E1438" i="1"/>
  <c r="F1437" i="1"/>
  <c r="E1437" i="1"/>
  <c r="F1436" i="1"/>
  <c r="E1436" i="1"/>
  <c r="F1435" i="1"/>
  <c r="E1435" i="1"/>
  <c r="F1434" i="1"/>
  <c r="E1434" i="1"/>
  <c r="F1433" i="1"/>
  <c r="E1433" i="1"/>
  <c r="F1432" i="1"/>
  <c r="E1432" i="1"/>
  <c r="F1431" i="1"/>
  <c r="E1431" i="1"/>
  <c r="F1430" i="1"/>
  <c r="E1430" i="1"/>
  <c r="F1429" i="1"/>
  <c r="E1429" i="1"/>
  <c r="F1428" i="1"/>
  <c r="E1428" i="1"/>
  <c r="F1427" i="1"/>
  <c r="E1427" i="1"/>
  <c r="F1426" i="1"/>
  <c r="E1426" i="1"/>
  <c r="F1425" i="1"/>
  <c r="E1425" i="1"/>
  <c r="F1424" i="1"/>
  <c r="E1424" i="1"/>
  <c r="F1423" i="1"/>
  <c r="E1423" i="1"/>
  <c r="F1422" i="1"/>
  <c r="E1422" i="1"/>
  <c r="F1421" i="1"/>
  <c r="E1421" i="1"/>
  <c r="F1420" i="1"/>
  <c r="E1420" i="1"/>
  <c r="F1419" i="1"/>
  <c r="E1419" i="1"/>
  <c r="F1418" i="1"/>
  <c r="E1418" i="1"/>
  <c r="F1417" i="1"/>
  <c r="E1417" i="1"/>
  <c r="F1416" i="1"/>
  <c r="E1416" i="1"/>
  <c r="F1415" i="1"/>
  <c r="E1415" i="1"/>
  <c r="F1414" i="1"/>
  <c r="E1414" i="1"/>
  <c r="F1413" i="1"/>
  <c r="E1413" i="1"/>
  <c r="F1412" i="1"/>
  <c r="E1412" i="1"/>
  <c r="F1411" i="1"/>
  <c r="E1411" i="1"/>
  <c r="F1410" i="1"/>
  <c r="E1410" i="1"/>
  <c r="F1409" i="1"/>
  <c r="E1409" i="1"/>
  <c r="F1408" i="1"/>
  <c r="E1408" i="1"/>
  <c r="F1407" i="1"/>
  <c r="E1407" i="1"/>
  <c r="F1406" i="1"/>
  <c r="E1406" i="1"/>
  <c r="F1405" i="1"/>
  <c r="E1405" i="1"/>
  <c r="F1404" i="1"/>
  <c r="E1404" i="1"/>
  <c r="F1403" i="1"/>
  <c r="E1403" i="1"/>
  <c r="F1402" i="1"/>
  <c r="E1402" i="1"/>
  <c r="F1401" i="1"/>
  <c r="E1401" i="1"/>
  <c r="F1400" i="1"/>
  <c r="E1400" i="1"/>
  <c r="F1399" i="1"/>
  <c r="E1399" i="1"/>
  <c r="F1398" i="1"/>
  <c r="E1398" i="1"/>
  <c r="F1397" i="1"/>
  <c r="E1397" i="1"/>
  <c r="F1396" i="1"/>
  <c r="E1396" i="1"/>
  <c r="F1395" i="1"/>
  <c r="E1395" i="1"/>
  <c r="F1394" i="1"/>
  <c r="E1394" i="1"/>
  <c r="F1393" i="1"/>
  <c r="E1393" i="1"/>
  <c r="F1392" i="1"/>
  <c r="E1392" i="1"/>
  <c r="F1391" i="1"/>
  <c r="E1391" i="1"/>
  <c r="F1390" i="1"/>
  <c r="E1390" i="1"/>
  <c r="F1389" i="1"/>
  <c r="F1388" i="1"/>
  <c r="E1388" i="1"/>
  <c r="F1387" i="1"/>
  <c r="E1387" i="1"/>
  <c r="F1386" i="1"/>
  <c r="E1386" i="1"/>
  <c r="F1385" i="1"/>
  <c r="E1385" i="1"/>
  <c r="F1384" i="1"/>
  <c r="E1384" i="1"/>
  <c r="F1383" i="1"/>
  <c r="E1383" i="1"/>
  <c r="F1382" i="1"/>
  <c r="E1382" i="1"/>
  <c r="F1381" i="1"/>
  <c r="E1381" i="1"/>
  <c r="F1380" i="1"/>
  <c r="E1380" i="1"/>
  <c r="F1379" i="1"/>
  <c r="F1378" i="1"/>
  <c r="E1378" i="1"/>
  <c r="F1377" i="1"/>
  <c r="E1377" i="1"/>
  <c r="F1376" i="1"/>
  <c r="E1376" i="1"/>
  <c r="F1375" i="1"/>
  <c r="E1375" i="1"/>
  <c r="F1374" i="1"/>
  <c r="E1374" i="1"/>
  <c r="F1373" i="1"/>
  <c r="E1373" i="1"/>
  <c r="F1372" i="1"/>
  <c r="E1372" i="1"/>
  <c r="F1371" i="1"/>
  <c r="E1371" i="1"/>
  <c r="F1370" i="1"/>
  <c r="E1370" i="1"/>
  <c r="F1369" i="1"/>
  <c r="E1369" i="1"/>
  <c r="F1368" i="1"/>
  <c r="E1368" i="1"/>
  <c r="F1367" i="1"/>
  <c r="E1367" i="1"/>
  <c r="F1366" i="1"/>
  <c r="E1366" i="1"/>
  <c r="F1365" i="1"/>
  <c r="E1365" i="1"/>
  <c r="F1364" i="1"/>
  <c r="E1364" i="1"/>
  <c r="F1363" i="1"/>
  <c r="E1363" i="1"/>
  <c r="F1362" i="1"/>
  <c r="E1362" i="1"/>
  <c r="F1361" i="1"/>
  <c r="E1361" i="1"/>
  <c r="F1360" i="1"/>
  <c r="E1360" i="1"/>
  <c r="F1359" i="1"/>
  <c r="E1359" i="1"/>
  <c r="F1358" i="1"/>
  <c r="E1358" i="1"/>
  <c r="F1357" i="1"/>
  <c r="E1357" i="1"/>
  <c r="F1356" i="1"/>
  <c r="E1356" i="1"/>
  <c r="F1355" i="1"/>
  <c r="E1355" i="1"/>
  <c r="F1354" i="1"/>
  <c r="E1354" i="1"/>
  <c r="F1353" i="1"/>
  <c r="E1353" i="1"/>
  <c r="F1352" i="1"/>
  <c r="E1352" i="1"/>
  <c r="F1351" i="1"/>
  <c r="E1351" i="1"/>
  <c r="F1350" i="1"/>
  <c r="E1350" i="1"/>
  <c r="F1349" i="1"/>
  <c r="E1349" i="1"/>
  <c r="F1348" i="1"/>
  <c r="E1348" i="1"/>
  <c r="F1347" i="1"/>
  <c r="E1347" i="1"/>
  <c r="F1346" i="1"/>
  <c r="E1346" i="1"/>
  <c r="F1345" i="1"/>
  <c r="E1345" i="1"/>
  <c r="F1344" i="1"/>
  <c r="E1344" i="1"/>
  <c r="F1343" i="1"/>
  <c r="E1343" i="1"/>
  <c r="F1342" i="1"/>
  <c r="F1341" i="1"/>
  <c r="E1341" i="1"/>
  <c r="F1340" i="1"/>
  <c r="E1340" i="1"/>
  <c r="F1339" i="1"/>
  <c r="E1339" i="1"/>
  <c r="F1338" i="1"/>
  <c r="E1338" i="1"/>
  <c r="F1337" i="1"/>
  <c r="E1337" i="1"/>
  <c r="F1336" i="1"/>
  <c r="E1336" i="1"/>
  <c r="F1335" i="1"/>
  <c r="E1335" i="1"/>
  <c r="F1334" i="1"/>
  <c r="F1333" i="1"/>
  <c r="F1332" i="1"/>
  <c r="F1331" i="1"/>
  <c r="F1330" i="1"/>
  <c r="F1329" i="1"/>
  <c r="F1328" i="1"/>
  <c r="F1327" i="1"/>
  <c r="F1326" i="1"/>
  <c r="F1325" i="1"/>
  <c r="E1325" i="1"/>
  <c r="F1324" i="1"/>
  <c r="E1324" i="1"/>
  <c r="F1323" i="1"/>
  <c r="E1323" i="1"/>
  <c r="F1322" i="1"/>
  <c r="E1322" i="1"/>
  <c r="F1321" i="1"/>
  <c r="E1321" i="1"/>
  <c r="F1320" i="1"/>
  <c r="E1320" i="1"/>
  <c r="F1319" i="1"/>
  <c r="E1319" i="1"/>
  <c r="F1318" i="1"/>
  <c r="F1317" i="1"/>
  <c r="E1317" i="1"/>
  <c r="F1316" i="1"/>
  <c r="E1316" i="1"/>
  <c r="F1315" i="1"/>
  <c r="E1315" i="1"/>
  <c r="F1314" i="1"/>
  <c r="E1314" i="1"/>
  <c r="F1313" i="1"/>
  <c r="F1312" i="1"/>
  <c r="F1311" i="1"/>
  <c r="E1311" i="1"/>
  <c r="F1310" i="1"/>
  <c r="F1309" i="1"/>
  <c r="F1308" i="1"/>
  <c r="F1307" i="1"/>
  <c r="E1307" i="1"/>
  <c r="F1306" i="1"/>
  <c r="E1306" i="1"/>
  <c r="F1305" i="1"/>
  <c r="E1305" i="1"/>
  <c r="F1304" i="1"/>
  <c r="E1304" i="1"/>
  <c r="F1303" i="1"/>
  <c r="E1303" i="1"/>
  <c r="F1302" i="1"/>
  <c r="F1301" i="1"/>
  <c r="F1300" i="1"/>
  <c r="E1300" i="1"/>
  <c r="F1299" i="1"/>
  <c r="F1298" i="1"/>
  <c r="E1298" i="1"/>
  <c r="F1297" i="1"/>
  <c r="E1297" i="1"/>
  <c r="F1296" i="1"/>
  <c r="F1295" i="1"/>
  <c r="E1295" i="1"/>
  <c r="F1294" i="1"/>
  <c r="F1293" i="1"/>
  <c r="E1293" i="1"/>
  <c r="F1292" i="1"/>
  <c r="F1291" i="1"/>
  <c r="F1290" i="1"/>
  <c r="E1290" i="1"/>
  <c r="F1289" i="1"/>
  <c r="E1289" i="1"/>
  <c r="F1288" i="1"/>
  <c r="E1288" i="1"/>
  <c r="F1287" i="1"/>
  <c r="E1287" i="1"/>
  <c r="F1286" i="1"/>
  <c r="E1286" i="1"/>
  <c r="F1285" i="1"/>
  <c r="E1285" i="1"/>
  <c r="F1284" i="1"/>
  <c r="E1284" i="1"/>
  <c r="F1283" i="1"/>
  <c r="E1283" i="1"/>
  <c r="F1282" i="1"/>
  <c r="E1282" i="1"/>
  <c r="F1281" i="1"/>
  <c r="F1280" i="1"/>
  <c r="F1279" i="1"/>
  <c r="E1279" i="1"/>
  <c r="F1278" i="1"/>
  <c r="F1277" i="1"/>
  <c r="E1277" i="1"/>
  <c r="F1276" i="1"/>
  <c r="F1275" i="1"/>
  <c r="E1275" i="1"/>
  <c r="F1274" i="1"/>
  <c r="E1274" i="1"/>
  <c r="F1273" i="1"/>
  <c r="E1273" i="1"/>
  <c r="F1272" i="1"/>
  <c r="F1271" i="1"/>
  <c r="E1271" i="1"/>
  <c r="F1270" i="1"/>
  <c r="E1270" i="1"/>
  <c r="F1269" i="1"/>
  <c r="E1269" i="1"/>
  <c r="F1268" i="1"/>
  <c r="E1268" i="1"/>
  <c r="F1267" i="1"/>
  <c r="E1267" i="1"/>
  <c r="F1266" i="1"/>
  <c r="E1266" i="1"/>
  <c r="F1265" i="1"/>
  <c r="E1265" i="1"/>
  <c r="F1264" i="1"/>
  <c r="E1264" i="1"/>
  <c r="F1263" i="1"/>
  <c r="E1263" i="1"/>
  <c r="F1262" i="1"/>
  <c r="E1262" i="1"/>
  <c r="F1261" i="1"/>
  <c r="E1261" i="1"/>
  <c r="F1260" i="1"/>
  <c r="E1260" i="1"/>
  <c r="F1259" i="1"/>
  <c r="F1258" i="1"/>
  <c r="F1257" i="1"/>
  <c r="F1256" i="1"/>
  <c r="F1255" i="1"/>
  <c r="E1255" i="1"/>
  <c r="F1254" i="1"/>
  <c r="E1254" i="1"/>
  <c r="F1253" i="1"/>
  <c r="E1253" i="1"/>
  <c r="F1252" i="1"/>
  <c r="E1252" i="1"/>
  <c r="F1251" i="1"/>
  <c r="E1251" i="1"/>
  <c r="F1250" i="1"/>
  <c r="E1250" i="1"/>
  <c r="F1249" i="1"/>
  <c r="E1249" i="1"/>
  <c r="F1248" i="1"/>
  <c r="F1247" i="1"/>
  <c r="E1247" i="1"/>
  <c r="F1246" i="1"/>
  <c r="F1245" i="1"/>
  <c r="F1244" i="1"/>
  <c r="F1243" i="1"/>
  <c r="F1242" i="1"/>
  <c r="F1241" i="1"/>
  <c r="E1241" i="1"/>
  <c r="F1240" i="1"/>
  <c r="F1239" i="1"/>
  <c r="F1238" i="1"/>
  <c r="F1237" i="1"/>
  <c r="F1236" i="1"/>
  <c r="E1236" i="1"/>
  <c r="F1235" i="1"/>
  <c r="F1234" i="1"/>
  <c r="F1233" i="1"/>
  <c r="E1233" i="1"/>
  <c r="F1232" i="1"/>
  <c r="F1231" i="1"/>
  <c r="E1231" i="1"/>
  <c r="F1230" i="1"/>
  <c r="E1230" i="1"/>
  <c r="F1229" i="1"/>
  <c r="F1228" i="1"/>
  <c r="F1227" i="1"/>
  <c r="F1226" i="1"/>
  <c r="E1226" i="1"/>
  <c r="F1225" i="1"/>
  <c r="E1225" i="1"/>
  <c r="F1224" i="1"/>
  <c r="E1224" i="1"/>
  <c r="F1223" i="1"/>
  <c r="E1223" i="1"/>
  <c r="F1222" i="1"/>
  <c r="E1222" i="1"/>
  <c r="F1221" i="1"/>
  <c r="E1221" i="1"/>
  <c r="F1220" i="1"/>
  <c r="E1220" i="1"/>
  <c r="F1219" i="1"/>
  <c r="E1219" i="1"/>
  <c r="F1218" i="1"/>
  <c r="F1217" i="1"/>
  <c r="F1216" i="1"/>
  <c r="E1216" i="1"/>
  <c r="F1215" i="1"/>
  <c r="E1215" i="1"/>
  <c r="F1214" i="1"/>
  <c r="E1214" i="1"/>
  <c r="F1213" i="1"/>
  <c r="F1212" i="1"/>
  <c r="F1211" i="1"/>
  <c r="E1211" i="1"/>
  <c r="F1210" i="1"/>
  <c r="E1210" i="1"/>
  <c r="F1209" i="1"/>
  <c r="E1209" i="1"/>
  <c r="F1208" i="1"/>
  <c r="F1207" i="1"/>
  <c r="F1206" i="1"/>
  <c r="F1205" i="1"/>
  <c r="E1205" i="1"/>
  <c r="F1204" i="1"/>
  <c r="E1204" i="1"/>
  <c r="F1203" i="1"/>
  <c r="F1202" i="1"/>
  <c r="E1202" i="1"/>
  <c r="F1201" i="1"/>
  <c r="E1201" i="1"/>
  <c r="F1200" i="1"/>
  <c r="F1199" i="1"/>
  <c r="F1198" i="1"/>
  <c r="F1197" i="1"/>
  <c r="E1197" i="1"/>
  <c r="F1196" i="1"/>
  <c r="F1195" i="1"/>
  <c r="E1195" i="1"/>
  <c r="F1194" i="1"/>
  <c r="E1194" i="1"/>
  <c r="F1193" i="1"/>
  <c r="F1192" i="1"/>
  <c r="F1191" i="1"/>
  <c r="E1191" i="1"/>
  <c r="F1190" i="1"/>
  <c r="E1190" i="1"/>
  <c r="F1189" i="1"/>
  <c r="F1188" i="1"/>
  <c r="E1188" i="1"/>
  <c r="F1187" i="1"/>
  <c r="E1187" i="1"/>
  <c r="F1186" i="1"/>
  <c r="F1185" i="1"/>
  <c r="E1185" i="1"/>
  <c r="F1184" i="1"/>
  <c r="E1184" i="1"/>
  <c r="F1183" i="1"/>
  <c r="E1183" i="1"/>
  <c r="F1182" i="1"/>
  <c r="E1182" i="1"/>
  <c r="F1181" i="1"/>
  <c r="E1181" i="1"/>
  <c r="F1180" i="1"/>
  <c r="F1179" i="1"/>
  <c r="E1179" i="1"/>
  <c r="F1178" i="1"/>
  <c r="E1178" i="1"/>
  <c r="F1177" i="1"/>
  <c r="E1177" i="1"/>
  <c r="F1176" i="1"/>
  <c r="E1176" i="1"/>
  <c r="F1175" i="1"/>
  <c r="E1175" i="1"/>
  <c r="F1174" i="1"/>
  <c r="F1173" i="1"/>
  <c r="E1173" i="1"/>
  <c r="F1172" i="1"/>
  <c r="E1172" i="1"/>
  <c r="F1171" i="1"/>
  <c r="F1170" i="1"/>
  <c r="E1170" i="1"/>
  <c r="F1169" i="1"/>
  <c r="E1169" i="1"/>
  <c r="F1168" i="1"/>
  <c r="F1167" i="1"/>
  <c r="F1166" i="1"/>
  <c r="F1165" i="1"/>
  <c r="E1165" i="1"/>
  <c r="F1164" i="1"/>
  <c r="E1164" i="1"/>
  <c r="F1163" i="1"/>
  <c r="E1163" i="1"/>
  <c r="F1162" i="1"/>
  <c r="F1161" i="1"/>
  <c r="E1161" i="1"/>
  <c r="F1160" i="1"/>
  <c r="E1160" i="1"/>
  <c r="F1159" i="1"/>
  <c r="E1159" i="1"/>
  <c r="F1158" i="1"/>
  <c r="F1157" i="1"/>
  <c r="F1156" i="1"/>
  <c r="F1155" i="1"/>
  <c r="F1154" i="1"/>
  <c r="E1154" i="1"/>
  <c r="F1153" i="1"/>
  <c r="E1153" i="1"/>
  <c r="F1152" i="1"/>
  <c r="E1152" i="1"/>
  <c r="F1151" i="1"/>
  <c r="E1151" i="1"/>
  <c r="F1150" i="1"/>
  <c r="F1149" i="1"/>
  <c r="F1148" i="1"/>
  <c r="E1148" i="1"/>
  <c r="F1147" i="1"/>
  <c r="F1146" i="1"/>
  <c r="F1145" i="1"/>
  <c r="F1144" i="1"/>
  <c r="E1144" i="1"/>
  <c r="F1143" i="1"/>
  <c r="F1142" i="1"/>
  <c r="F1141" i="1"/>
  <c r="F1140" i="1"/>
  <c r="F1139" i="1"/>
  <c r="F1138" i="1"/>
  <c r="F1137" i="1"/>
  <c r="E1137" i="1"/>
  <c r="F1136" i="1"/>
  <c r="E1136" i="1"/>
  <c r="F1135" i="1"/>
  <c r="E1135" i="1"/>
  <c r="F1134" i="1"/>
  <c r="E1134" i="1"/>
  <c r="F1133" i="1"/>
  <c r="F1132" i="1"/>
  <c r="E1132" i="1"/>
  <c r="F1131" i="1"/>
  <c r="E1131" i="1"/>
  <c r="F1130" i="1"/>
  <c r="E1130" i="1"/>
  <c r="F1129" i="1"/>
  <c r="E1129" i="1"/>
  <c r="F1128" i="1"/>
  <c r="F1127" i="1"/>
  <c r="E1127" i="1"/>
  <c r="F1126" i="1"/>
  <c r="E1126" i="1"/>
  <c r="F1125" i="1"/>
  <c r="F1124" i="1"/>
  <c r="F1123" i="1"/>
  <c r="E1123" i="1"/>
  <c r="F1122" i="1"/>
  <c r="E1122" i="1"/>
  <c r="F1121" i="1"/>
  <c r="F1120" i="1"/>
  <c r="F1119" i="1"/>
  <c r="F1118" i="1"/>
  <c r="F1117" i="1"/>
  <c r="F1116" i="1"/>
  <c r="E1116" i="1"/>
  <c r="F1115" i="1"/>
  <c r="F1114" i="1"/>
  <c r="E1114" i="1"/>
  <c r="F1113" i="1"/>
  <c r="F1112" i="1"/>
  <c r="F1111" i="1"/>
  <c r="F1110" i="1"/>
  <c r="E1110" i="1"/>
  <c r="F1109" i="1"/>
  <c r="F1108" i="1"/>
  <c r="E1108" i="1"/>
  <c r="F1107" i="1"/>
  <c r="F1106" i="1"/>
  <c r="F1105" i="1"/>
  <c r="F1104" i="1"/>
  <c r="E1104" i="1"/>
  <c r="F1103" i="1"/>
  <c r="E1103" i="1"/>
  <c r="F1102" i="1"/>
  <c r="F1101" i="1"/>
  <c r="F1100" i="1"/>
  <c r="F1099" i="1"/>
  <c r="E1099" i="1"/>
  <c r="F1098" i="1"/>
  <c r="E1098" i="1"/>
  <c r="F1097" i="1"/>
  <c r="E1097" i="1"/>
  <c r="F1096" i="1"/>
  <c r="F1095" i="1"/>
  <c r="E1095" i="1"/>
  <c r="F1094" i="1"/>
  <c r="F1093" i="1"/>
  <c r="F1092" i="1"/>
  <c r="F1091" i="1"/>
  <c r="E1091" i="1"/>
  <c r="F1090" i="1"/>
  <c r="F1089" i="1"/>
  <c r="F1088" i="1"/>
  <c r="F1087" i="1"/>
  <c r="E1087" i="1"/>
  <c r="F1086" i="1"/>
  <c r="E1086" i="1"/>
  <c r="F1085" i="1"/>
  <c r="E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E1063" i="1"/>
  <c r="F1062" i="1"/>
  <c r="E1062" i="1"/>
  <c r="F1061" i="1"/>
  <c r="E1061" i="1"/>
  <c r="F1060" i="1"/>
  <c r="E1060" i="1"/>
  <c r="F1059" i="1"/>
  <c r="E1059" i="1"/>
  <c r="F1058" i="1"/>
  <c r="E1058" i="1"/>
  <c r="F1057" i="1"/>
  <c r="E1057" i="1"/>
  <c r="F1056" i="1"/>
  <c r="E1056" i="1"/>
  <c r="F1055" i="1"/>
  <c r="E1055" i="1"/>
  <c r="F1054" i="1"/>
  <c r="E1054" i="1"/>
  <c r="F1053" i="1"/>
  <c r="E1053" i="1"/>
  <c r="F1052" i="1"/>
  <c r="E1052" i="1"/>
  <c r="F1051" i="1"/>
  <c r="E1051" i="1"/>
  <c r="F1050" i="1"/>
  <c r="E1050" i="1"/>
  <c r="F1049" i="1"/>
  <c r="E1049" i="1"/>
  <c r="F1048" i="1"/>
  <c r="E1048" i="1"/>
  <c r="F1047" i="1"/>
  <c r="E1047" i="1"/>
  <c r="F1046" i="1"/>
  <c r="E1046" i="1"/>
  <c r="F1045" i="1"/>
  <c r="E1045" i="1"/>
  <c r="F1044" i="1"/>
  <c r="E1044" i="1"/>
  <c r="F1043" i="1"/>
  <c r="E1043" i="1"/>
  <c r="F1042" i="1"/>
  <c r="F1041" i="1"/>
  <c r="F1040" i="1"/>
  <c r="E1040" i="1"/>
  <c r="F1039" i="1"/>
  <c r="E1039" i="1"/>
  <c r="F1038" i="1"/>
  <c r="E1038" i="1"/>
  <c r="F1037" i="1"/>
  <c r="E1037" i="1"/>
  <c r="F1036" i="1"/>
  <c r="E1036" i="1"/>
  <c r="F1035" i="1"/>
  <c r="E1035" i="1"/>
  <c r="F1034" i="1"/>
  <c r="E1034" i="1"/>
  <c r="F1033" i="1"/>
  <c r="E1033" i="1"/>
  <c r="F1032" i="1"/>
  <c r="E1032" i="1"/>
  <c r="F1031" i="1"/>
  <c r="E1031" i="1"/>
  <c r="F1030" i="1"/>
  <c r="E1030" i="1"/>
  <c r="F1029" i="1"/>
  <c r="E1029" i="1"/>
  <c r="F1028" i="1"/>
  <c r="F1027" i="1"/>
  <c r="E1027" i="1"/>
  <c r="F1026" i="1"/>
  <c r="E1026" i="1"/>
  <c r="F1025" i="1"/>
  <c r="E1025" i="1"/>
  <c r="F1024" i="1"/>
  <c r="E1024" i="1"/>
  <c r="F1023" i="1"/>
  <c r="E1023" i="1"/>
  <c r="F1022" i="1"/>
  <c r="E1022" i="1"/>
  <c r="F1021" i="1"/>
  <c r="E1021" i="1"/>
  <c r="F1020" i="1"/>
  <c r="E1020" i="1"/>
  <c r="F1019" i="1"/>
  <c r="E1019" i="1"/>
  <c r="F1018" i="1"/>
  <c r="E1018" i="1"/>
  <c r="F1017" i="1"/>
  <c r="E1017" i="1"/>
  <c r="F1016" i="1"/>
  <c r="E1016" i="1"/>
  <c r="F1015" i="1"/>
  <c r="E1015" i="1"/>
  <c r="F1014" i="1"/>
  <c r="E1014" i="1"/>
  <c r="F1013" i="1"/>
  <c r="E1013" i="1"/>
  <c r="F1012" i="1"/>
  <c r="E1012" i="1"/>
  <c r="F1011" i="1"/>
  <c r="E1011" i="1"/>
  <c r="F1010" i="1"/>
  <c r="E1010" i="1"/>
  <c r="F1009" i="1"/>
  <c r="E1009" i="1"/>
  <c r="F1008" i="1"/>
  <c r="E1008" i="1"/>
  <c r="F1007" i="1"/>
  <c r="E1007" i="1"/>
  <c r="F1006" i="1"/>
  <c r="E1006" i="1"/>
  <c r="F1005" i="1"/>
  <c r="E1005" i="1"/>
  <c r="F1004" i="1"/>
  <c r="E1004" i="1"/>
  <c r="F1003" i="1"/>
  <c r="E1003" i="1"/>
  <c r="F1002" i="1"/>
  <c r="E1002" i="1"/>
  <c r="F1001" i="1"/>
  <c r="E1001" i="1"/>
  <c r="F1000" i="1"/>
  <c r="E1000" i="1"/>
  <c r="F999" i="1"/>
  <c r="E999" i="1"/>
  <c r="F998" i="1"/>
  <c r="E998" i="1"/>
  <c r="F997" i="1"/>
  <c r="E997" i="1"/>
  <c r="F996" i="1"/>
  <c r="E996" i="1"/>
  <c r="F995" i="1"/>
  <c r="E995" i="1"/>
  <c r="F994" i="1"/>
  <c r="E994" i="1"/>
  <c r="F993" i="1"/>
  <c r="E993" i="1"/>
  <c r="F992" i="1"/>
  <c r="E992" i="1"/>
  <c r="F991" i="1"/>
  <c r="E991" i="1"/>
  <c r="F990" i="1"/>
  <c r="E990" i="1"/>
  <c r="F989" i="1"/>
  <c r="E989" i="1"/>
  <c r="F988" i="1"/>
  <c r="E988" i="1"/>
  <c r="F987" i="1"/>
  <c r="E987" i="1"/>
  <c r="F986" i="1"/>
  <c r="E986" i="1"/>
  <c r="F985" i="1"/>
  <c r="E985" i="1"/>
  <c r="F984" i="1"/>
  <c r="F983" i="1"/>
  <c r="F982" i="1"/>
  <c r="F981" i="1"/>
  <c r="E981" i="1"/>
  <c r="F980" i="1"/>
  <c r="F979" i="1"/>
  <c r="F978" i="1"/>
  <c r="F977" i="1"/>
  <c r="F976" i="1"/>
  <c r="F975" i="1"/>
  <c r="F974" i="1"/>
  <c r="E974" i="1"/>
  <c r="F973" i="1"/>
  <c r="E973" i="1"/>
  <c r="F972" i="1"/>
  <c r="F971" i="1"/>
  <c r="E971" i="1"/>
  <c r="F970" i="1"/>
  <c r="E970" i="1"/>
  <c r="F969" i="1"/>
  <c r="E969" i="1"/>
  <c r="F968" i="1"/>
  <c r="E968" i="1"/>
  <c r="F967" i="1"/>
  <c r="E967" i="1"/>
  <c r="F966" i="1"/>
  <c r="E966" i="1"/>
  <c r="F965" i="1"/>
  <c r="E965" i="1"/>
  <c r="F964" i="1"/>
  <c r="E964" i="1"/>
  <c r="F963" i="1"/>
  <c r="E963" i="1"/>
  <c r="F962" i="1"/>
  <c r="E962" i="1"/>
  <c r="F961" i="1"/>
  <c r="E961" i="1"/>
  <c r="F960" i="1"/>
  <c r="E960" i="1"/>
  <c r="F959" i="1"/>
  <c r="E959" i="1"/>
  <c r="F958" i="1"/>
  <c r="E958" i="1"/>
  <c r="F957" i="1"/>
  <c r="E957" i="1"/>
  <c r="F956" i="1"/>
  <c r="E956" i="1"/>
  <c r="F955" i="1"/>
  <c r="E955" i="1"/>
  <c r="F954" i="1"/>
  <c r="E954" i="1"/>
  <c r="F953" i="1"/>
  <c r="F951" i="1"/>
  <c r="F950" i="1"/>
  <c r="F949" i="1"/>
  <c r="F948" i="1"/>
  <c r="F947" i="1"/>
  <c r="F946" i="1"/>
  <c r="F945" i="1"/>
  <c r="F944" i="1"/>
  <c r="F943" i="1"/>
  <c r="F942" i="1"/>
  <c r="E942" i="1"/>
  <c r="F941" i="1"/>
  <c r="E941" i="1"/>
  <c r="F940" i="1"/>
  <c r="E940" i="1"/>
  <c r="F939" i="1"/>
  <c r="F938" i="1"/>
  <c r="F937" i="1"/>
  <c r="E937" i="1"/>
  <c r="E936" i="1"/>
  <c r="E935" i="1"/>
  <c r="E934" i="1"/>
  <c r="F933" i="1"/>
  <c r="E933" i="1"/>
  <c r="F932" i="1"/>
  <c r="E932" i="1"/>
  <c r="F931" i="1"/>
  <c r="E931" i="1"/>
  <c r="F930" i="1"/>
  <c r="E930" i="1"/>
  <c r="F929" i="1"/>
  <c r="E929" i="1"/>
  <c r="F928" i="1"/>
  <c r="E928" i="1"/>
  <c r="F927" i="1"/>
  <c r="E927" i="1"/>
  <c r="F926" i="1"/>
  <c r="E926" i="1"/>
  <c r="F925" i="1"/>
  <c r="E925" i="1"/>
  <c r="F924" i="1"/>
  <c r="E924" i="1"/>
  <c r="F923" i="1"/>
  <c r="E923" i="1"/>
  <c r="F922" i="1"/>
  <c r="E922" i="1"/>
  <c r="F921" i="1"/>
  <c r="E921" i="1"/>
  <c r="F920" i="1"/>
  <c r="E920" i="1"/>
  <c r="F919" i="1"/>
  <c r="E919" i="1"/>
  <c r="F918" i="1"/>
  <c r="E918" i="1"/>
  <c r="F917" i="1"/>
  <c r="E917" i="1"/>
  <c r="F916" i="1"/>
  <c r="E916" i="1"/>
  <c r="F915" i="1"/>
  <c r="E915" i="1"/>
  <c r="F914" i="1"/>
  <c r="E914" i="1"/>
  <c r="F913" i="1"/>
  <c r="E913" i="1"/>
  <c r="F912" i="1"/>
  <c r="E912" i="1"/>
  <c r="F911" i="1"/>
  <c r="E911" i="1"/>
  <c r="F910" i="1"/>
  <c r="E910" i="1"/>
  <c r="F909" i="1"/>
  <c r="E909" i="1"/>
  <c r="F908" i="1"/>
  <c r="E908" i="1"/>
  <c r="F907" i="1"/>
  <c r="E907" i="1"/>
  <c r="F906" i="1"/>
  <c r="E906" i="1"/>
  <c r="F905" i="1"/>
  <c r="E905" i="1"/>
  <c r="F904" i="1"/>
  <c r="E904" i="1"/>
  <c r="F903" i="1"/>
  <c r="E903" i="1"/>
  <c r="F902" i="1"/>
  <c r="E902" i="1"/>
  <c r="F901" i="1"/>
  <c r="E901" i="1"/>
  <c r="F900" i="1"/>
  <c r="E900" i="1"/>
  <c r="F899" i="1"/>
  <c r="F898" i="1"/>
  <c r="F897" i="1"/>
  <c r="E897" i="1"/>
  <c r="F896" i="1"/>
  <c r="E896" i="1"/>
  <c r="F895" i="1"/>
  <c r="E895" i="1"/>
  <c r="F894" i="1"/>
  <c r="E894" i="1"/>
  <c r="F893" i="1"/>
  <c r="E893" i="1"/>
  <c r="F892" i="1"/>
  <c r="E892" i="1"/>
  <c r="F891" i="1"/>
  <c r="E891" i="1"/>
  <c r="F890" i="1"/>
  <c r="E890" i="1"/>
  <c r="F889" i="1"/>
  <c r="E889" i="1"/>
  <c r="F888" i="1"/>
  <c r="E888" i="1"/>
  <c r="F887" i="1"/>
  <c r="E887" i="1"/>
  <c r="F886" i="1"/>
  <c r="E886" i="1"/>
  <c r="F885" i="1"/>
  <c r="E885" i="1"/>
  <c r="F884" i="1"/>
  <c r="E884" i="1"/>
  <c r="F883" i="1"/>
  <c r="E883" i="1"/>
  <c r="F882" i="1"/>
  <c r="E882" i="1"/>
  <c r="F881" i="1"/>
  <c r="F880" i="1"/>
  <c r="E880" i="1"/>
  <c r="F879" i="1"/>
  <c r="E879" i="1"/>
  <c r="F878" i="1"/>
  <c r="E878" i="1"/>
  <c r="F877" i="1"/>
  <c r="E877" i="1"/>
  <c r="F876" i="1"/>
  <c r="E876" i="1"/>
  <c r="F875" i="1"/>
  <c r="E875" i="1"/>
  <c r="F874" i="1"/>
  <c r="E874" i="1"/>
  <c r="F873" i="1"/>
  <c r="E873" i="1"/>
  <c r="F872" i="1"/>
  <c r="E872" i="1"/>
  <c r="F871" i="1"/>
  <c r="E871" i="1"/>
  <c r="F870" i="1"/>
  <c r="E870" i="1"/>
  <c r="F869" i="1"/>
  <c r="E869" i="1"/>
  <c r="F868" i="1"/>
  <c r="E868" i="1"/>
  <c r="F867" i="1"/>
  <c r="E867" i="1"/>
  <c r="F866" i="1"/>
  <c r="E866" i="1"/>
  <c r="F865" i="1"/>
  <c r="E865" i="1"/>
  <c r="F864" i="1"/>
  <c r="E864" i="1"/>
  <c r="F863" i="1"/>
  <c r="E863" i="1"/>
  <c r="F862" i="1"/>
  <c r="E862" i="1"/>
  <c r="F861" i="1"/>
  <c r="E861" i="1"/>
  <c r="F860" i="1"/>
  <c r="E860" i="1"/>
  <c r="F859" i="1"/>
  <c r="E859" i="1"/>
  <c r="F858" i="1"/>
  <c r="E858" i="1"/>
  <c r="F857" i="1"/>
  <c r="E857" i="1"/>
  <c r="F856" i="1"/>
  <c r="E856" i="1"/>
  <c r="F855" i="1"/>
  <c r="E855" i="1"/>
  <c r="F854" i="1"/>
  <c r="E854" i="1"/>
  <c r="F853" i="1"/>
  <c r="E853" i="1"/>
  <c r="F852" i="1"/>
  <c r="E852" i="1"/>
  <c r="F851" i="1"/>
  <c r="E851" i="1"/>
  <c r="F850" i="1"/>
  <c r="E850" i="1"/>
  <c r="F849" i="1"/>
  <c r="E849" i="1"/>
  <c r="F848" i="1"/>
  <c r="E848" i="1"/>
  <c r="F847" i="1"/>
  <c r="E847" i="1"/>
  <c r="F846" i="1"/>
  <c r="E846" i="1"/>
  <c r="F845" i="1"/>
  <c r="E845" i="1"/>
  <c r="F844" i="1"/>
  <c r="E844" i="1"/>
  <c r="F843" i="1"/>
  <c r="E843" i="1"/>
  <c r="F842" i="1"/>
  <c r="E842" i="1"/>
  <c r="F841" i="1"/>
  <c r="E841" i="1"/>
  <c r="F840" i="1"/>
  <c r="E840" i="1"/>
  <c r="F839" i="1"/>
  <c r="E839" i="1"/>
  <c r="F838" i="1"/>
  <c r="E838" i="1"/>
  <c r="F837" i="1"/>
  <c r="E837" i="1"/>
  <c r="F836" i="1"/>
  <c r="F835" i="1"/>
  <c r="E835" i="1"/>
  <c r="F834" i="1"/>
  <c r="E834" i="1"/>
  <c r="F833" i="1"/>
  <c r="E833" i="1"/>
  <c r="F832" i="1"/>
  <c r="F831" i="1"/>
  <c r="E831" i="1"/>
  <c r="F830" i="1"/>
  <c r="E830" i="1"/>
  <c r="F829" i="1"/>
  <c r="E829" i="1"/>
  <c r="F828" i="1"/>
  <c r="E828" i="1"/>
  <c r="F827" i="1"/>
  <c r="E827" i="1"/>
  <c r="F826" i="1"/>
  <c r="E826" i="1"/>
  <c r="F825" i="1"/>
  <c r="E825" i="1"/>
  <c r="F824" i="1"/>
  <c r="E824" i="1"/>
  <c r="F823" i="1"/>
  <c r="E823" i="1"/>
  <c r="F822" i="1"/>
  <c r="E822" i="1"/>
  <c r="F821" i="1"/>
  <c r="E821" i="1"/>
  <c r="F820" i="1"/>
  <c r="F819" i="1"/>
  <c r="E819" i="1"/>
  <c r="F818" i="1"/>
  <c r="E818" i="1"/>
  <c r="F817" i="1"/>
  <c r="E817" i="1"/>
  <c r="F816" i="1"/>
  <c r="E816" i="1"/>
  <c r="F815" i="1"/>
  <c r="E815" i="1"/>
  <c r="F814" i="1"/>
  <c r="F813" i="1"/>
  <c r="F812" i="1"/>
  <c r="F811" i="1"/>
  <c r="F810" i="1"/>
  <c r="F809" i="1"/>
  <c r="F808" i="1"/>
  <c r="E808" i="1"/>
  <c r="F807" i="1"/>
  <c r="F806" i="1"/>
  <c r="E806" i="1"/>
  <c r="F805" i="1"/>
  <c r="E805" i="1"/>
  <c r="F804" i="1"/>
  <c r="E804" i="1"/>
  <c r="F803" i="1"/>
  <c r="F802" i="1"/>
  <c r="E802" i="1"/>
  <c r="F801" i="1"/>
  <c r="E801" i="1"/>
  <c r="F800" i="1"/>
  <c r="E800" i="1"/>
  <c r="F799" i="1"/>
  <c r="E799" i="1"/>
  <c r="F798" i="1"/>
  <c r="E798" i="1"/>
  <c r="F797" i="1"/>
  <c r="E797" i="1"/>
  <c r="F796" i="1"/>
  <c r="E796" i="1"/>
  <c r="F795" i="1"/>
  <c r="E795" i="1"/>
  <c r="F794" i="1"/>
  <c r="E794" i="1"/>
  <c r="F793" i="1"/>
  <c r="E793" i="1"/>
  <c r="F792" i="1"/>
  <c r="E792" i="1"/>
  <c r="F791" i="1"/>
  <c r="E791" i="1"/>
  <c r="F790" i="1"/>
  <c r="E790" i="1"/>
  <c r="F789" i="1"/>
  <c r="E789" i="1"/>
  <c r="F788" i="1"/>
  <c r="E788" i="1"/>
  <c r="F787" i="1"/>
  <c r="E787" i="1"/>
  <c r="F786" i="1"/>
  <c r="E786" i="1"/>
  <c r="F785" i="1"/>
  <c r="E785" i="1"/>
  <c r="F784" i="1"/>
  <c r="E784" i="1"/>
  <c r="F783" i="1"/>
  <c r="E783" i="1"/>
  <c r="F782" i="1"/>
  <c r="E782" i="1"/>
  <c r="F781" i="1"/>
  <c r="E781" i="1"/>
  <c r="F780" i="1"/>
  <c r="E780" i="1"/>
  <c r="F779" i="1"/>
  <c r="E779" i="1"/>
  <c r="F778" i="1"/>
  <c r="E778" i="1"/>
  <c r="F777" i="1"/>
  <c r="E777" i="1"/>
  <c r="F776" i="1"/>
  <c r="E776" i="1"/>
  <c r="F775" i="1"/>
  <c r="E775" i="1"/>
  <c r="F774" i="1"/>
  <c r="E774" i="1"/>
  <c r="F773" i="1"/>
  <c r="E773" i="1"/>
  <c r="F772" i="1"/>
  <c r="E772" i="1"/>
  <c r="F771" i="1"/>
  <c r="E771" i="1"/>
  <c r="F770" i="1"/>
  <c r="E770" i="1"/>
  <c r="F769" i="1"/>
  <c r="E769" i="1"/>
  <c r="F768" i="1"/>
  <c r="E768" i="1"/>
  <c r="F767" i="1"/>
  <c r="E767" i="1"/>
  <c r="F766" i="1"/>
  <c r="E766" i="1"/>
  <c r="F765" i="1"/>
  <c r="E765" i="1"/>
  <c r="F764" i="1"/>
  <c r="E764" i="1"/>
  <c r="F763" i="1"/>
  <c r="E763" i="1"/>
  <c r="F762" i="1"/>
  <c r="E762" i="1"/>
  <c r="F761" i="1"/>
  <c r="E761" i="1"/>
  <c r="F760" i="1"/>
  <c r="E760" i="1"/>
  <c r="F759" i="1"/>
  <c r="E759" i="1"/>
  <c r="F758" i="1"/>
  <c r="E758" i="1"/>
  <c r="F757" i="1"/>
  <c r="E757" i="1"/>
  <c r="F756" i="1"/>
  <c r="E756" i="1"/>
  <c r="F755" i="1"/>
  <c r="E755" i="1"/>
  <c r="F754" i="1"/>
  <c r="E754" i="1"/>
  <c r="F753" i="1"/>
  <c r="E753" i="1"/>
  <c r="F752" i="1"/>
  <c r="E752" i="1"/>
  <c r="F751" i="1"/>
  <c r="E751" i="1"/>
  <c r="F750" i="1"/>
  <c r="E750" i="1"/>
  <c r="F749" i="1"/>
  <c r="E749" i="1"/>
  <c r="F748" i="1"/>
  <c r="E748" i="1"/>
  <c r="F747" i="1"/>
  <c r="E747" i="1"/>
  <c r="F746" i="1"/>
  <c r="E746" i="1"/>
  <c r="F745" i="1"/>
  <c r="E745" i="1"/>
  <c r="F744" i="1"/>
  <c r="E744" i="1"/>
  <c r="F743" i="1"/>
  <c r="E743" i="1"/>
  <c r="F742" i="1"/>
  <c r="E742" i="1"/>
  <c r="F741" i="1"/>
  <c r="E741" i="1"/>
  <c r="F740" i="1"/>
  <c r="E740" i="1"/>
  <c r="F739" i="1"/>
  <c r="E739" i="1"/>
  <c r="F738" i="1"/>
  <c r="E738" i="1"/>
  <c r="F737" i="1"/>
  <c r="E737" i="1"/>
  <c r="F736" i="1"/>
  <c r="E736" i="1"/>
  <c r="F735" i="1"/>
  <c r="E735" i="1"/>
  <c r="F734" i="1"/>
  <c r="E734" i="1"/>
  <c r="F733" i="1"/>
  <c r="E733" i="1"/>
  <c r="F732" i="1"/>
  <c r="E732" i="1"/>
  <c r="F731" i="1"/>
  <c r="E731" i="1"/>
  <c r="F730" i="1"/>
  <c r="E730" i="1"/>
  <c r="F729" i="1"/>
  <c r="E729" i="1"/>
  <c r="F728" i="1"/>
  <c r="E728" i="1"/>
  <c r="F727" i="1"/>
  <c r="E727" i="1"/>
  <c r="F726" i="1"/>
  <c r="E726" i="1"/>
  <c r="F725" i="1"/>
  <c r="E725" i="1"/>
  <c r="F724" i="1"/>
  <c r="E724" i="1"/>
  <c r="F723" i="1"/>
  <c r="E723" i="1"/>
  <c r="F722" i="1"/>
  <c r="E722" i="1"/>
  <c r="F721" i="1"/>
  <c r="E721" i="1"/>
  <c r="F720" i="1"/>
  <c r="E720" i="1"/>
  <c r="F719" i="1"/>
  <c r="E719" i="1"/>
  <c r="F718" i="1"/>
  <c r="E718" i="1"/>
  <c r="F717" i="1"/>
  <c r="E717" i="1"/>
  <c r="F716" i="1"/>
  <c r="E716" i="1"/>
  <c r="F715" i="1"/>
  <c r="E715" i="1"/>
  <c r="F714" i="1"/>
  <c r="E714" i="1"/>
  <c r="F713" i="1"/>
  <c r="E713" i="1"/>
  <c r="F712" i="1"/>
  <c r="E712" i="1"/>
  <c r="F711" i="1"/>
  <c r="E711" i="1"/>
  <c r="F710" i="1"/>
  <c r="E710" i="1"/>
  <c r="F709" i="1"/>
  <c r="E709" i="1"/>
  <c r="F708" i="1"/>
  <c r="E708" i="1"/>
  <c r="F707" i="1"/>
  <c r="E707" i="1"/>
  <c r="F706" i="1"/>
  <c r="E706" i="1"/>
  <c r="F705" i="1"/>
  <c r="E705" i="1"/>
  <c r="F704" i="1"/>
  <c r="E704" i="1"/>
  <c r="F703" i="1"/>
  <c r="E703" i="1"/>
  <c r="F702" i="1"/>
  <c r="E702" i="1"/>
  <c r="F701" i="1"/>
  <c r="E701" i="1"/>
  <c r="F700" i="1"/>
  <c r="F699" i="1"/>
  <c r="F697" i="1"/>
  <c r="F696" i="1"/>
  <c r="E696" i="1"/>
  <c r="F695" i="1"/>
  <c r="E695" i="1"/>
  <c r="F694" i="1"/>
  <c r="E694" i="1"/>
  <c r="F693" i="1"/>
  <c r="E693" i="1"/>
  <c r="F692" i="1"/>
  <c r="E692" i="1"/>
  <c r="F691" i="1"/>
  <c r="E691" i="1"/>
  <c r="F690" i="1"/>
  <c r="E690" i="1"/>
  <c r="F689" i="1"/>
  <c r="E689" i="1"/>
  <c r="F688" i="1"/>
  <c r="E688" i="1"/>
  <c r="F687" i="1"/>
  <c r="E687" i="1"/>
  <c r="F686" i="1"/>
  <c r="E686" i="1"/>
  <c r="F685" i="1"/>
  <c r="E685" i="1"/>
  <c r="F684" i="1"/>
  <c r="E684" i="1"/>
  <c r="F683" i="1"/>
  <c r="E683" i="1"/>
  <c r="F682" i="1"/>
  <c r="E682" i="1"/>
  <c r="F681" i="1"/>
  <c r="E681" i="1"/>
  <c r="F680" i="1"/>
  <c r="E680" i="1"/>
  <c r="F679" i="1"/>
  <c r="E679" i="1"/>
  <c r="F678" i="1"/>
  <c r="E678" i="1"/>
  <c r="F677" i="1"/>
  <c r="E677" i="1"/>
  <c r="F676" i="1"/>
  <c r="E676" i="1"/>
  <c r="F675" i="1"/>
  <c r="E675" i="1"/>
  <c r="F674" i="1"/>
  <c r="E674" i="1"/>
  <c r="F673" i="1"/>
  <c r="E673" i="1"/>
  <c r="F672" i="1"/>
  <c r="E672" i="1"/>
  <c r="F671" i="1"/>
  <c r="E671" i="1"/>
  <c r="F670" i="1"/>
  <c r="E670" i="1"/>
  <c r="F669" i="1"/>
  <c r="E669" i="1"/>
  <c r="F668" i="1"/>
  <c r="E668" i="1"/>
  <c r="F667" i="1"/>
  <c r="E667" i="1"/>
  <c r="F666" i="1"/>
  <c r="E666" i="1"/>
  <c r="F665" i="1"/>
  <c r="E665" i="1"/>
  <c r="F664" i="1"/>
  <c r="E664" i="1"/>
  <c r="F663" i="1"/>
  <c r="E663" i="1"/>
  <c r="F662" i="1"/>
  <c r="E662" i="1"/>
  <c r="F661" i="1"/>
  <c r="E661" i="1"/>
  <c r="F660" i="1"/>
  <c r="E660" i="1"/>
  <c r="F659" i="1"/>
  <c r="E659" i="1"/>
  <c r="F658" i="1"/>
  <c r="E658" i="1"/>
  <c r="F657" i="1"/>
  <c r="E657" i="1"/>
  <c r="F656" i="1"/>
  <c r="E656" i="1"/>
  <c r="F655" i="1"/>
  <c r="E655" i="1"/>
  <c r="F654" i="1"/>
  <c r="E654" i="1"/>
  <c r="F653" i="1"/>
  <c r="E653" i="1"/>
  <c r="F652" i="1"/>
  <c r="E652" i="1"/>
  <c r="F651" i="1"/>
  <c r="E651" i="1"/>
  <c r="F650" i="1"/>
  <c r="E650" i="1"/>
  <c r="F649" i="1"/>
  <c r="E649" i="1"/>
  <c r="F648" i="1"/>
  <c r="E648" i="1"/>
  <c r="F647" i="1"/>
  <c r="E647" i="1"/>
  <c r="F646" i="1"/>
  <c r="E646" i="1"/>
  <c r="F645" i="1"/>
  <c r="E645" i="1"/>
  <c r="F644" i="1"/>
  <c r="E644" i="1"/>
  <c r="F643" i="1"/>
  <c r="E643" i="1"/>
  <c r="F642" i="1"/>
  <c r="E642" i="1"/>
  <c r="F641" i="1"/>
  <c r="E641" i="1"/>
  <c r="F640" i="1"/>
  <c r="E640" i="1"/>
  <c r="F639" i="1"/>
  <c r="E639" i="1"/>
  <c r="F638" i="1"/>
  <c r="E638" i="1"/>
  <c r="F637" i="1"/>
  <c r="E637" i="1"/>
  <c r="F636" i="1"/>
  <c r="E636" i="1"/>
  <c r="F635" i="1"/>
  <c r="E635" i="1"/>
  <c r="F634" i="1"/>
  <c r="E634" i="1"/>
  <c r="F633" i="1"/>
  <c r="E633" i="1"/>
  <c r="F632" i="1"/>
  <c r="E632" i="1"/>
  <c r="F631" i="1"/>
  <c r="E631" i="1"/>
  <c r="F630" i="1"/>
  <c r="E630" i="1"/>
  <c r="F629" i="1"/>
  <c r="E629" i="1"/>
  <c r="F592" i="1"/>
  <c r="E592" i="1"/>
  <c r="F591" i="1"/>
  <c r="E591" i="1"/>
  <c r="F590" i="1"/>
  <c r="E590" i="1"/>
  <c r="F589" i="1"/>
  <c r="E589" i="1"/>
  <c r="F588" i="1"/>
  <c r="E588" i="1"/>
  <c r="F587" i="1"/>
  <c r="E587" i="1"/>
  <c r="F586" i="1"/>
  <c r="E586" i="1"/>
  <c r="F585" i="1"/>
  <c r="E585" i="1"/>
  <c r="F584" i="1"/>
  <c r="E584" i="1"/>
  <c r="F583" i="1"/>
  <c r="E583" i="1"/>
  <c r="F582" i="1"/>
  <c r="E582" i="1"/>
  <c r="F581" i="1"/>
  <c r="E581" i="1"/>
  <c r="F580" i="1"/>
  <c r="E580" i="1"/>
  <c r="F579" i="1"/>
  <c r="E579" i="1"/>
  <c r="F578" i="1"/>
  <c r="E578" i="1"/>
  <c r="F577" i="1"/>
  <c r="E577" i="1"/>
  <c r="F576" i="1"/>
  <c r="E576" i="1"/>
  <c r="F575" i="1"/>
  <c r="E575" i="1"/>
  <c r="F574" i="1"/>
  <c r="E574" i="1"/>
  <c r="F573" i="1"/>
  <c r="E573" i="1"/>
  <c r="F572" i="1"/>
  <c r="E572" i="1"/>
  <c r="F571" i="1"/>
  <c r="E571" i="1"/>
  <c r="F570" i="1"/>
  <c r="E570" i="1"/>
  <c r="F569" i="1"/>
  <c r="E569" i="1"/>
  <c r="F568" i="1"/>
  <c r="E568" i="1"/>
  <c r="F567" i="1"/>
  <c r="E567" i="1"/>
  <c r="F566" i="1"/>
  <c r="E566" i="1"/>
  <c r="F563" i="1"/>
  <c r="E563" i="1"/>
  <c r="F562" i="1"/>
  <c r="E562" i="1"/>
  <c r="F561" i="1"/>
  <c r="E561" i="1"/>
  <c r="F551" i="1"/>
  <c r="F498" i="1"/>
  <c r="F497" i="1"/>
  <c r="E497" i="1"/>
  <c r="F496" i="1"/>
  <c r="E496" i="1"/>
  <c r="F495" i="1"/>
  <c r="E495" i="1"/>
  <c r="F494" i="1"/>
  <c r="E494" i="1"/>
  <c r="F493" i="1"/>
  <c r="E493" i="1"/>
  <c r="F492" i="1"/>
  <c r="E492" i="1"/>
  <c r="F491" i="1"/>
  <c r="E491" i="1"/>
  <c r="F490" i="1"/>
  <c r="E490" i="1"/>
  <c r="F489" i="1"/>
  <c r="E489" i="1"/>
  <c r="F488" i="1"/>
  <c r="E488" i="1"/>
  <c r="F487" i="1"/>
  <c r="E487" i="1"/>
  <c r="F486" i="1"/>
  <c r="F485" i="1"/>
  <c r="F484" i="1"/>
  <c r="F483" i="1"/>
  <c r="E483" i="1"/>
  <c r="F482" i="1"/>
  <c r="E482" i="1"/>
  <c r="F481" i="1"/>
  <c r="E481" i="1"/>
  <c r="F480" i="1"/>
  <c r="E480" i="1"/>
  <c r="F479" i="1"/>
  <c r="E479" i="1"/>
  <c r="F478" i="1"/>
  <c r="E478" i="1"/>
  <c r="F477" i="1"/>
  <c r="E477" i="1"/>
  <c r="F476" i="1"/>
  <c r="E476" i="1"/>
  <c r="F475" i="1"/>
  <c r="E475" i="1"/>
  <c r="F474" i="1"/>
  <c r="E474" i="1"/>
  <c r="F473" i="1"/>
  <c r="E473" i="1"/>
  <c r="F472" i="1"/>
  <c r="E472" i="1"/>
  <c r="F471" i="1"/>
  <c r="E471" i="1"/>
  <c r="F470" i="1"/>
  <c r="E470" i="1"/>
  <c r="F469" i="1"/>
  <c r="E469" i="1"/>
  <c r="F468" i="1"/>
  <c r="F467" i="1"/>
  <c r="E467" i="1"/>
  <c r="F466" i="1"/>
  <c r="E466" i="1"/>
  <c r="F465" i="1"/>
  <c r="E465" i="1"/>
  <c r="F464" i="1"/>
  <c r="E464" i="1"/>
  <c r="F463" i="1"/>
  <c r="E463" i="1"/>
  <c r="F462" i="1"/>
  <c r="E462" i="1"/>
  <c r="F461" i="1"/>
  <c r="E461" i="1"/>
  <c r="F460" i="1"/>
  <c r="E460" i="1"/>
  <c r="F459" i="1"/>
  <c r="E459" i="1"/>
  <c r="F458" i="1"/>
  <c r="E458" i="1"/>
  <c r="F457" i="1"/>
  <c r="E457" i="1"/>
  <c r="F456" i="1"/>
  <c r="E456" i="1"/>
  <c r="F455" i="1"/>
  <c r="E455" i="1"/>
  <c r="F454" i="1"/>
  <c r="E454" i="1"/>
  <c r="F453" i="1"/>
  <c r="E453" i="1"/>
  <c r="F452" i="1"/>
  <c r="E452" i="1"/>
  <c r="F451" i="1"/>
  <c r="E451" i="1"/>
  <c r="F450" i="1"/>
  <c r="E450" i="1"/>
  <c r="F449" i="1"/>
  <c r="E449" i="1"/>
  <c r="F448" i="1"/>
  <c r="F447" i="1"/>
  <c r="F446" i="1"/>
  <c r="E446" i="1"/>
  <c r="F445" i="1"/>
  <c r="E445" i="1"/>
  <c r="F444" i="1"/>
  <c r="E444" i="1"/>
  <c r="F443" i="1"/>
  <c r="E443" i="1"/>
  <c r="F442" i="1"/>
  <c r="E442" i="1"/>
  <c r="F441" i="1"/>
  <c r="E441" i="1"/>
  <c r="F440" i="1"/>
  <c r="E440" i="1"/>
  <c r="F439" i="1"/>
  <c r="E439" i="1"/>
  <c r="F438" i="1"/>
  <c r="E438" i="1"/>
  <c r="F437" i="1"/>
  <c r="F436" i="1"/>
  <c r="E436" i="1"/>
  <c r="F435" i="1"/>
  <c r="E435" i="1"/>
  <c r="F434" i="1"/>
  <c r="E434" i="1"/>
  <c r="F433" i="1"/>
  <c r="E433" i="1"/>
  <c r="F432" i="1"/>
  <c r="E432" i="1"/>
  <c r="F431" i="1"/>
  <c r="E431" i="1"/>
  <c r="F430" i="1"/>
  <c r="E430" i="1"/>
  <c r="F429" i="1"/>
  <c r="E429" i="1"/>
  <c r="F428" i="1"/>
  <c r="E428" i="1"/>
  <c r="F427" i="1"/>
  <c r="F426" i="1"/>
  <c r="E426" i="1"/>
  <c r="F425" i="1"/>
  <c r="E425" i="1"/>
  <c r="F424" i="1"/>
  <c r="E424" i="1"/>
  <c r="F423" i="1"/>
  <c r="E423" i="1"/>
  <c r="F422" i="1"/>
  <c r="E422" i="1"/>
  <c r="F421" i="1"/>
  <c r="E421" i="1"/>
  <c r="F419" i="1"/>
  <c r="E419" i="1"/>
  <c r="F418" i="1"/>
  <c r="E418" i="1"/>
  <c r="F417" i="1"/>
  <c r="E417" i="1"/>
  <c r="F416" i="1"/>
  <c r="E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E370" i="1"/>
  <c r="F369" i="1"/>
  <c r="E369" i="1"/>
  <c r="F368" i="1"/>
  <c r="E368" i="1"/>
  <c r="F367" i="1"/>
  <c r="E367" i="1"/>
  <c r="F366" i="1"/>
  <c r="E366" i="1"/>
  <c r="F365" i="1"/>
  <c r="E365" i="1"/>
  <c r="F364" i="1"/>
  <c r="E364" i="1"/>
  <c r="F363" i="1"/>
  <c r="F362" i="1"/>
  <c r="E362" i="1"/>
  <c r="F361" i="1"/>
  <c r="E361" i="1"/>
  <c r="F360" i="1"/>
  <c r="E360" i="1"/>
  <c r="F359" i="1"/>
  <c r="E359" i="1"/>
  <c r="F358" i="1"/>
  <c r="E358" i="1"/>
  <c r="F357" i="1"/>
  <c r="E357" i="1"/>
  <c r="F356" i="1"/>
  <c r="E356" i="1"/>
  <c r="F355" i="1"/>
  <c r="E355" i="1"/>
  <c r="F354" i="1"/>
  <c r="E354" i="1"/>
  <c r="F353" i="1"/>
  <c r="E353" i="1"/>
  <c r="F352" i="1"/>
  <c r="E352" i="1"/>
  <c r="F351" i="1"/>
  <c r="E351" i="1"/>
  <c r="F350" i="1"/>
  <c r="E350" i="1"/>
  <c r="F349" i="1"/>
  <c r="E349" i="1"/>
  <c r="F348" i="1"/>
  <c r="E348" i="1"/>
  <c r="F347" i="1"/>
  <c r="E347" i="1"/>
  <c r="F346" i="1"/>
  <c r="E346" i="1"/>
  <c r="F345" i="1"/>
  <c r="E345" i="1"/>
  <c r="F344" i="1"/>
  <c r="E344" i="1"/>
  <c r="F343" i="1"/>
  <c r="E343" i="1"/>
  <c r="F342" i="1"/>
  <c r="E342" i="1"/>
  <c r="F341" i="1"/>
  <c r="E341" i="1"/>
  <c r="F340" i="1"/>
  <c r="E340" i="1"/>
  <c r="F339" i="1"/>
  <c r="E339" i="1"/>
  <c r="F338" i="1"/>
  <c r="E338" i="1"/>
  <c r="F337" i="1"/>
  <c r="E337" i="1"/>
  <c r="F336" i="1"/>
  <c r="E336" i="1"/>
  <c r="F335" i="1"/>
  <c r="E335" i="1"/>
  <c r="F334" i="1"/>
  <c r="E334" i="1"/>
  <c r="F333" i="1"/>
  <c r="E333" i="1"/>
  <c r="F332" i="1"/>
  <c r="E332" i="1"/>
  <c r="F331" i="1"/>
  <c r="E331" i="1"/>
  <c r="F330" i="1"/>
  <c r="E330" i="1"/>
  <c r="F329" i="1"/>
  <c r="E329" i="1"/>
  <c r="F328" i="1"/>
  <c r="E328" i="1"/>
  <c r="F327" i="1"/>
  <c r="E327" i="1"/>
  <c r="F326" i="1"/>
  <c r="E326" i="1"/>
  <c r="F325" i="1"/>
  <c r="E325" i="1"/>
  <c r="F324" i="1"/>
  <c r="E324" i="1"/>
  <c r="F323" i="1"/>
  <c r="E323" i="1"/>
  <c r="F322" i="1"/>
  <c r="E322" i="1"/>
  <c r="F321" i="1"/>
  <c r="E321" i="1"/>
  <c r="F320" i="1"/>
  <c r="E320" i="1"/>
  <c r="F319" i="1"/>
  <c r="E319" i="1"/>
  <c r="F318" i="1"/>
  <c r="E318" i="1"/>
  <c r="F317" i="1"/>
  <c r="E317" i="1"/>
  <c r="F316" i="1"/>
  <c r="E316" i="1"/>
  <c r="F315" i="1"/>
  <c r="E315" i="1"/>
  <c r="F314" i="1"/>
  <c r="E314" i="1"/>
  <c r="F313" i="1"/>
  <c r="E313" i="1"/>
  <c r="F312" i="1"/>
  <c r="E312" i="1"/>
  <c r="F311" i="1"/>
  <c r="E311" i="1"/>
  <c r="F310" i="1"/>
  <c r="E310" i="1"/>
  <c r="F309" i="1"/>
  <c r="E309" i="1"/>
  <c r="F308" i="1"/>
  <c r="E308" i="1"/>
  <c r="F307" i="1"/>
  <c r="E307" i="1"/>
  <c r="F306" i="1"/>
  <c r="E306" i="1"/>
  <c r="F305" i="1"/>
  <c r="E305" i="1"/>
  <c r="F304" i="1"/>
  <c r="F303" i="1"/>
  <c r="E303" i="1"/>
  <c r="F302" i="1"/>
  <c r="F301" i="1"/>
  <c r="F300" i="1"/>
  <c r="F299" i="1"/>
  <c r="F298" i="1"/>
  <c r="F297" i="1"/>
  <c r="F296" i="1"/>
  <c r="F295" i="1"/>
  <c r="F294" i="1"/>
  <c r="F293" i="1"/>
  <c r="E293" i="1"/>
  <c r="F292" i="1"/>
  <c r="E292" i="1"/>
  <c r="F291" i="1"/>
  <c r="E291" i="1"/>
  <c r="F290" i="1"/>
  <c r="E290" i="1"/>
  <c r="F289" i="1"/>
  <c r="F288" i="1"/>
  <c r="E288" i="1"/>
  <c r="F287" i="1"/>
  <c r="E287" i="1"/>
  <c r="F286" i="1"/>
  <c r="E286" i="1"/>
  <c r="F285" i="1"/>
  <c r="E285" i="1"/>
  <c r="F284" i="1"/>
  <c r="E284" i="1"/>
  <c r="F283" i="1"/>
  <c r="E283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F259" i="1"/>
  <c r="E259" i="1"/>
  <c r="F258" i="1"/>
  <c r="E258" i="1"/>
  <c r="F257" i="1"/>
  <c r="F256" i="1"/>
  <c r="F255" i="1"/>
  <c r="F254" i="1"/>
  <c r="E254" i="1"/>
  <c r="F253" i="1"/>
  <c r="E253" i="1"/>
  <c r="F252" i="1"/>
  <c r="E252" i="1"/>
  <c r="F251" i="1"/>
  <c r="E251" i="1"/>
  <c r="F250" i="1"/>
  <c r="E250" i="1"/>
  <c r="F249" i="1"/>
  <c r="E249" i="1"/>
  <c r="F248" i="1"/>
  <c r="F247" i="1"/>
  <c r="E247" i="1"/>
  <c r="F246" i="1"/>
  <c r="E246" i="1"/>
  <c r="F245" i="1"/>
  <c r="E245" i="1"/>
  <c r="F244" i="1"/>
  <c r="F243" i="1"/>
  <c r="E243" i="1"/>
  <c r="F242" i="1"/>
  <c r="E242" i="1"/>
  <c r="F241" i="1"/>
  <c r="E241" i="1"/>
  <c r="F240" i="1"/>
  <c r="E240" i="1"/>
  <c r="F239" i="1"/>
  <c r="E239" i="1"/>
  <c r="F238" i="1"/>
  <c r="E238" i="1"/>
  <c r="F237" i="1"/>
  <c r="E237" i="1"/>
  <c r="F236" i="1"/>
  <c r="E236" i="1"/>
  <c r="F235" i="1"/>
  <c r="E235" i="1"/>
  <c r="F234" i="1"/>
  <c r="E234" i="1"/>
  <c r="F233" i="1"/>
  <c r="E233" i="1"/>
  <c r="F232" i="1"/>
  <c r="E232" i="1"/>
  <c r="F231" i="1"/>
  <c r="E231" i="1"/>
  <c r="F230" i="1"/>
  <c r="E230" i="1"/>
  <c r="F229" i="1"/>
  <c r="E229" i="1"/>
  <c r="F228" i="1"/>
  <c r="E228" i="1"/>
  <c r="F227" i="1"/>
  <c r="E227" i="1"/>
  <c r="F226" i="1"/>
  <c r="E226" i="1"/>
  <c r="F225" i="1"/>
  <c r="E225" i="1"/>
  <c r="F224" i="1"/>
  <c r="E224" i="1"/>
  <c r="F223" i="1"/>
  <c r="E223" i="1"/>
  <c r="F222" i="1"/>
  <c r="E222" i="1"/>
  <c r="F221" i="1"/>
  <c r="E221" i="1"/>
  <c r="F220" i="1"/>
  <c r="E220" i="1"/>
  <c r="F219" i="1"/>
  <c r="E219" i="1"/>
  <c r="F218" i="1"/>
  <c r="E218" i="1"/>
  <c r="F217" i="1"/>
  <c r="E217" i="1"/>
  <c r="F216" i="1"/>
  <c r="E216" i="1"/>
  <c r="F215" i="1"/>
  <c r="E215" i="1"/>
  <c r="F214" i="1"/>
  <c r="E214" i="1"/>
  <c r="F213" i="1"/>
  <c r="E213" i="1"/>
  <c r="F212" i="1"/>
  <c r="E212" i="1"/>
  <c r="F211" i="1"/>
  <c r="E211" i="1"/>
  <c r="F210" i="1"/>
  <c r="E210" i="1"/>
  <c r="F209" i="1"/>
  <c r="E209" i="1"/>
  <c r="F208" i="1"/>
  <c r="E208" i="1"/>
  <c r="F207" i="1"/>
  <c r="E207" i="1"/>
  <c r="F206" i="1"/>
  <c r="E206" i="1"/>
  <c r="F205" i="1"/>
  <c r="E205" i="1"/>
  <c r="F204" i="1"/>
  <c r="E204" i="1"/>
  <c r="F203" i="1"/>
  <c r="E203" i="1"/>
  <c r="F202" i="1"/>
  <c r="E202" i="1"/>
  <c r="F201" i="1"/>
  <c r="E201" i="1"/>
  <c r="F200" i="1"/>
  <c r="E200" i="1"/>
  <c r="F199" i="1"/>
  <c r="E199" i="1"/>
  <c r="F198" i="1"/>
  <c r="E198" i="1"/>
  <c r="F197" i="1"/>
  <c r="F196" i="1"/>
  <c r="E196" i="1"/>
  <c r="F195" i="1"/>
  <c r="E195" i="1"/>
  <c r="F194" i="1"/>
  <c r="E194" i="1"/>
  <c r="F193" i="1"/>
  <c r="E193" i="1"/>
  <c r="F192" i="1"/>
  <c r="E192" i="1"/>
  <c r="F191" i="1"/>
  <c r="E191" i="1"/>
  <c r="F190" i="1"/>
  <c r="E190" i="1"/>
  <c r="F189" i="1"/>
  <c r="E189" i="1"/>
  <c r="F188" i="1"/>
  <c r="E188" i="1"/>
  <c r="F187" i="1"/>
  <c r="E187" i="1"/>
  <c r="F186" i="1"/>
  <c r="E186" i="1"/>
  <c r="F185" i="1"/>
  <c r="F184" i="1"/>
  <c r="E184" i="1"/>
  <c r="F183" i="1"/>
  <c r="E183" i="1"/>
  <c r="F182" i="1"/>
  <c r="E182" i="1"/>
  <c r="F181" i="1"/>
  <c r="E181" i="1"/>
  <c r="F180" i="1"/>
  <c r="E180" i="1"/>
  <c r="F179" i="1"/>
  <c r="E179" i="1"/>
  <c r="F178" i="1"/>
  <c r="F177" i="1"/>
  <c r="E177" i="1"/>
  <c r="F176" i="1"/>
  <c r="E176" i="1"/>
  <c r="F175" i="1"/>
  <c r="E175" i="1"/>
  <c r="F174" i="1"/>
  <c r="E174" i="1"/>
  <c r="F173" i="1"/>
  <c r="E173" i="1"/>
  <c r="F172" i="1"/>
  <c r="E172" i="1"/>
  <c r="F171" i="1"/>
  <c r="E171" i="1"/>
  <c r="F170" i="1"/>
  <c r="E170" i="1"/>
  <c r="F169" i="1"/>
  <c r="E169" i="1"/>
  <c r="F168" i="1"/>
  <c r="E168" i="1"/>
  <c r="F167" i="1"/>
  <c r="E167" i="1"/>
  <c r="F166" i="1"/>
  <c r="E166" i="1"/>
  <c r="F165" i="1"/>
  <c r="E165" i="1"/>
  <c r="F164" i="1"/>
  <c r="E164" i="1"/>
  <c r="F163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F137" i="1"/>
  <c r="F136" i="1"/>
  <c r="E136" i="1"/>
  <c r="F135" i="1"/>
  <c r="E135" i="1"/>
  <c r="F134" i="1"/>
  <c r="E134" i="1"/>
  <c r="F133" i="1"/>
  <c r="E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F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F100" i="1"/>
  <c r="E100" i="1"/>
  <c r="F99" i="1"/>
  <c r="E99" i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</calcChain>
</file>

<file path=xl/sharedStrings.xml><?xml version="1.0" encoding="utf-8"?>
<sst xmlns="http://schemas.openxmlformats.org/spreadsheetml/2006/main" count="107463" uniqueCount="52424">
  <si>
    <t>Title</t>
  </si>
  <si>
    <t>Author</t>
  </si>
  <si>
    <t>ISBN</t>
  </si>
  <si>
    <t>eISBN</t>
  </si>
  <si>
    <t>Ensemble History Matching</t>
  </si>
  <si>
    <t>Springer Nature</t>
  </si>
  <si>
    <t>SCIENCE / Earth Sciences / General</t>
  </si>
  <si>
    <t>Geir Evensen-Dean S. Oliver-Remus G. Hanea</t>
  </si>
  <si>
    <t>Proceedings of the 5th International Conference on Internet Technology and Educational Informatization (ITEI 2025)</t>
  </si>
  <si>
    <t>EDUCATION / General</t>
  </si>
  <si>
    <t>Tajularipin Bin Sulaiman-Muhammad Faizal A. Ghani-Vishalache Balakrishnan-Adelina Asmawi</t>
  </si>
  <si>
    <t>Big Earth Data in Support of the Sustainable Development Goals (2023) â€“ China</t>
  </si>
  <si>
    <t>SCIENCE / Environmental Science</t>
  </si>
  <si>
    <t>Huadong Guo</t>
  </si>
  <si>
    <t>Identity-Based Mass Violence in Urban Contexts</t>
  </si>
  <si>
    <t>SOCIAL SCIENCE / Criminology</t>
  </si>
  <si>
    <t>Rachel Locke-Kelsey Paul Shantz-Andrei Serbin Pont-Jai-Ayla Sutherland</t>
  </si>
  <si>
    <t>On the Earth We Want to Live</t>
  </si>
  <si>
    <t>Johannes Kronenberg-Edith T. Lammerts van Bueren</t>
  </si>
  <si>
    <t>Berufliche Kompetenzen erfassen und fÃ¶rdern</t>
  </si>
  <si>
    <t>Bookwire GmbH</t>
  </si>
  <si>
    <t>EDUCATION / Vocational &amp; Technical</t>
  </si>
  <si>
    <t>Stefanie Velten-Stephan Abele-JÃ¼rgen Seifried-Julia Warwas</t>
  </si>
  <si>
    <t>Gehen oder bleiben?</t>
  </si>
  <si>
    <t>EDUCATION / Adult &amp; Continuing Education</t>
  </si>
  <si>
    <t>Sascha Hanel</t>
  </si>
  <si>
    <t>25 Jahre Berufskolleg</t>
  </si>
  <si>
    <t>Stephanie Pudenz-Oliver Schoell-Maria Cleef</t>
  </si>
  <si>
    <t>Styles of Faith</t>
  </si>
  <si>
    <t>Brill Academic Publishers</t>
  </si>
  <si>
    <t>PSYCHOLOGY / General</t>
  </si>
  <si>
    <t>Heinz Streib-Zhuo Job Chen</t>
  </si>
  <si>
    <t>Isak Dinesenâ€™s Ecological Power</t>
  </si>
  <si>
    <t>LITERARY CRITICISM / General</t>
  </si>
  <si>
    <t>Peter Mortensen</t>
  </si>
  <si>
    <t>Education As and for Justice in the Global South</t>
  </si>
  <si>
    <t>Policy Press</t>
  </si>
  <si>
    <t>EDUCATION / Educational Policy &amp; Reform / General</t>
  </si>
  <si>
    <t>Lizzi O. Milligan-MarÃ­a Balarin-Rachel Wilder-Expedito Nuwategeka-Mohan Paudel</t>
  </si>
  <si>
    <t>Proceedings of the 9th International Conference on Research, Implementation, and Education of Mathematics and Sciences (ICRIEMS 2022)</t>
  </si>
  <si>
    <t>Cahyorini Kusumawardani-Anna Rahmawati-Ahmad Kamal Sudrajat-Pujianto Pujianto-Didik Setyawarno</t>
  </si>
  <si>
    <t>Proceedings of the 2025 International Conference on Education Research and Training Technologies (ERTT 2025)</t>
  </si>
  <si>
    <t>Yuan Ping-Fanjun Meng-Haozhe Jiang-Weina Fu</t>
  </si>
  <si>
    <t>Proceedings of the 8th International Conference on Engineering Research, Innovation, and Education 2025 (ICERIE 2025)</t>
  </si>
  <si>
    <t>TECHNOLOGY &amp; ENGINEERING / Civil / General</t>
  </si>
  <si>
    <t>Md. Reza Selim-Mohammad Muhshin Aziz Khan-Md. Tamez Uddin-Md. Saiful Alam-H. M. A. Mahzuz</t>
  </si>
  <si>
    <t>Climate Change Issues and Social Sciences</t>
  </si>
  <si>
    <t>Ken-Ichi Akao-Ayu Washizu</t>
  </si>
  <si>
    <t>Strangers at the Heavenly Court</t>
  </si>
  <si>
    <t>HISTORY / Asia / China</t>
  </si>
  <si>
    <t>James Masaki Fujitani</t>
  </si>
  <si>
    <t>Quantum Computing From Hopfield Nets</t>
  </si>
  <si>
    <t>COMPUTERS / Artificial Intelligence / General</t>
  </si>
  <si>
    <t>Christian Bauckhage-Rafet Sifa</t>
  </si>
  <si>
    <t>Humanitarian Mobilization in Central and Eastern Europe</t>
  </si>
  <si>
    <t>Manchester University Press</t>
  </si>
  <si>
    <t>SOCIAL SCIENCE / Disasters &amp; Disaster Relief</t>
  </si>
  <si>
    <t>Doina Anca Cretu-Michal Frankl</t>
  </si>
  <si>
    <t>Remote Sensing and Spatial Modelling</t>
  </si>
  <si>
    <t>Editions Quae</t>
  </si>
  <si>
    <t>MEDICAL / Diseases</t>
  </si>
  <si>
    <t>Das FamilienvermÃ¶gensrecht des FÃ¼rstlichen Hauses Liechtenstein</t>
  </si>
  <si>
    <t>Duncker und Humblot Verlag</t>
  </si>
  <si>
    <t>LAW / Legal History</t>
  </si>
  <si>
    <t>Anatol Dutta</t>
  </si>
  <si>
    <t>Wilhelm II. im Exil</t>
  </si>
  <si>
    <t>BIOGRAPHY &amp; AUTOBIOGRAPHY / General</t>
  </si>
  <si>
    <t>Martin Kauder-Sabine Mangold-Will</t>
  </si>
  <si>
    <t>Contemporary Italian Youth Television</t>
  </si>
  <si>
    <t>PERFORMING ARTS / Film / General</t>
  </si>
  <si>
    <t>Luca Barra-Danielle Hipkins-Catherine O'Rawe-Dana Renga</t>
  </si>
  <si>
    <t>The State and the Imperative for Social Policy Reform in Africa</t>
  </si>
  <si>
    <t>POLITICAL SCIENCE / Public Policy / Social Policy</t>
  </si>
  <si>
    <t>Daniel BÃ©land-Rosina K. Foli-Privilege Haang'andu</t>
  </si>
  <si>
    <t>Online Misogyny in Brazil</t>
  </si>
  <si>
    <t>SOCIAL SCIENCE / Gender Studies</t>
  </si>
  <si>
    <t>Mariana Valente</t>
  </si>
  <si>
    <t>Diasporas, Voting and Linguistic Justice</t>
  </si>
  <si>
    <t>SOCIAL SCIENCE / Emigration &amp; Immigration</t>
  </si>
  <si>
    <t>Matteo Bonotti-Chiara De Lazzari-Narelle Miragliotta</t>
  </si>
  <si>
    <t>Proceedings of the 6th International Conference on Law Reform (INCLAR 2025)</t>
  </si>
  <si>
    <t>LAW / General</t>
  </si>
  <si>
    <t>Sholahuddin Al Fatih-Hilaire Tegnan-Muhamad Helmi Md. Said-Nur Rohim Yunus-Abdullah Saeed</t>
  </si>
  <si>
    <t>Innovation, Resilience, Leadership and Sustainability in Higher Education</t>
  </si>
  <si>
    <t>JesÃºs MartÃ­n-Vaquero-Luis HernÃ¡ndez-Ãlvarez-Antonio GonzÃ¡lez SÃ¡nchez-Deolinda M.L.D. Rasteiro-Ion Mierlus Mazilu</t>
  </si>
  <si>
    <t>The EPPâ€™s Way to Number 1</t>
  </si>
  <si>
    <t>POLITICAL SCIENCE / World / European</t>
  </si>
  <si>
    <t>Klaus Welle-Sara Pini</t>
  </si>
  <si>
    <t>The Palgrave Handbook of Just Green Transitions in the Western Balkans and Beyond</t>
  </si>
  <si>
    <t>BUSINESS &amp; ECONOMICS / Industries / Energy</t>
  </si>
  <si>
    <t>Erblin Berisha-John Moodie-Ledio Allkja-Marija JeftiÄ‡</t>
  </si>
  <si>
    <t>Fragmented Local Government Systems and Crises</t>
  </si>
  <si>
    <t>POLITICAL SCIENCE / Public Affairs &amp; Administration</t>
  </si>
  <si>
    <t>David Å paÄek-Stanislav BalÃ­k</t>
  </si>
  <si>
    <t>Fukushima Legacies</t>
  </si>
  <si>
    <t>POLITICAL SCIENCE / World / Asian</t>
  </si>
  <si>
    <t>Ayaka LÃ¶schke</t>
  </si>
  <si>
    <t>Proceedings of the International Conference on Artificial Intelligence in Management for Business and Industrial Growth (AIMBIG 2025)</t>
  </si>
  <si>
    <t>BUSINESS &amp; ECONOMICS / Management</t>
  </si>
  <si>
    <t>Preeti Sharma-Sweta Pareek-Sourav Banerjee</t>
  </si>
  <si>
    <t>Proceedings of the 2nd Halu Oleo International Conference on Public Health (HOICPH 2024)</t>
  </si>
  <si>
    <t>MEDICAL / Public Health</t>
  </si>
  <si>
    <t>Jafriati Jafriati-La Ode Muhamad Sety-Jumakil Jumakil-Syawal Kamiluddin Saptaputra</t>
  </si>
  <si>
    <t>KÃ¼nstliche Intelligenz im produzierenden Mittelstand</t>
  </si>
  <si>
    <t>BUSINESS &amp; ECONOMICS / Information Management</t>
  </si>
  <si>
    <t>JÃ¶rg von Garrel-Simone Thomas</t>
  </si>
  <si>
    <t>A Companion to Medieval and Early Modern Leiden</t>
  </si>
  <si>
    <t>HISTORY / Europe / Medieval</t>
  </si>
  <si>
    <t>Arie van Steensel-Ariadne Schmidt</t>
  </si>
  <si>
    <t>Innovation fÃ¼r Nachhaltigkeit durch berufs- und wirtschaftspÃ¤dagogische Forschung</t>
  </si>
  <si>
    <t>EDUCATION / Aims &amp; Objectives</t>
  </si>
  <si>
    <t>Juliana Schlicht-Sophie Kaiser-Franziska Schwehm</t>
  </si>
  <si>
    <t>Lung Cancer Navigation and Care</t>
  </si>
  <si>
    <t>MEDICAL / Nursing / General</t>
  </si>
  <si>
    <t>Joelle Thirsk Fathi-Meg Fay Mortman</t>
  </si>
  <si>
    <t>Agiles Arbeiten im Ã¶ffentlichen Sektor</t>
  </si>
  <si>
    <t>Yvonne Hegele-Aline Stoll</t>
  </si>
  <si>
    <t>Neo-Latin Drama in Early Modern Europe and Beyond</t>
  </si>
  <si>
    <t>LITERARY CRITICISM / Ancient &amp; Classical</t>
  </si>
  <si>
    <t>Jan Bloemendal</t>
  </si>
  <si>
    <t>HaribhaktivilÄsa of SanÄtana GosvÄmin, Volume Two</t>
  </si>
  <si>
    <t>RELIGION / Hinduism / General</t>
  </si>
  <si>
    <t>MÃ¥ns Broo</t>
  </si>
  <si>
    <t>Youth Diversion</t>
  </si>
  <si>
    <t>Taylor &amp; Francis (Unlimited)</t>
  </si>
  <si>
    <t>LAW / Criminal Law / General</t>
  </si>
  <si>
    <t>Estrella Pearce</t>
  </si>
  <si>
    <t>Learning As Development</t>
  </si>
  <si>
    <t>PSYCHOLOGY / Developmental / Child</t>
  </si>
  <si>
    <t>Daniel A. Wagner</t>
  </si>
  <si>
    <t>The Ziggurat of Grammar</t>
  </si>
  <si>
    <t>John Benjamins Publishing Co.</t>
  </si>
  <si>
    <t>LANGUAGE ARTS &amp; DISCIPLINES / Linguistics / Syntax</t>
  </si>
  <si>
    <t>Lena Baunaz-Giuliano Bocci-Andrew Nevins</t>
  </si>
  <si>
    <t>FachkrÃ¤ftebarometer FrÃ¼he Bildung 2025</t>
  </si>
  <si>
    <t>EDUCATION / Special Education / General</t>
  </si>
  <si>
    <t>Thomas Rauschenbach-Kirsten Hanssen-Kirsten Fuchs-Rechlin-Katja Tillmann-Pascal Hartwich-Janine Birkel-Barmsen-Angelique Gessler-Katharina Kopp-Deutsches Jugendinstitut e.V.</t>
  </si>
  <si>
    <t>Crafting India's Skill Ecology</t>
  </si>
  <si>
    <t>BUSINESS &amp; ECONOMICS / Commerce</t>
  </si>
  <si>
    <t>Saikat Maitra-Sebastian Schwecke</t>
  </si>
  <si>
    <t>Proceedings of the International Conference on Sustainable Green Tourism Applied Science - Social Applied Science 2025 (ICOSTAS-SAS 2025)</t>
  </si>
  <si>
    <t>BUSINESS &amp; ECONOMICS / Management Science</t>
  </si>
  <si>
    <t>Anak Agung Ngurah Gde Sapteka-I Komang Wiratama-Fransiska Moi-Komang Widhi Widantha-Elvira Septevany</t>
  </si>
  <si>
    <t>Global Internet of Things and Edge Computing Summit</t>
  </si>
  <si>
    <t>COMPUTERS / Networking / General</t>
  </si>
  <si>
    <t>Mirko Presser-Antonio Skarmeta-Srdjan Krco</t>
  </si>
  <si>
    <t>Digital Humanism</t>
  </si>
  <si>
    <t>Ludger Hagedorn-Ute Schmid-Susan Winter-Stefan Woltran</t>
  </si>
  <si>
    <t>The Intertwined World of the Oral and Written Transmission of Sacred Traditions in the Middle East</t>
  </si>
  <si>
    <t>Thoth Open Metadata</t>
  </si>
  <si>
    <t>RELIGION / Comparative Religion</t>
  </si>
  <si>
    <t xml:space="preserve"> Alba Fedeli-Geoffrey Khan-Johan Lundberg</t>
  </si>
  <si>
    <t>A Portrait of Samuel Hartlib</t>
  </si>
  <si>
    <t>HISTORY / Europe / Great Britain / Stuart Era (1603-1714)</t>
  </si>
  <si>
    <t xml:space="preserve"> Charles Webster</t>
  </si>
  <si>
    <t>A Place of Dreams</t>
  </si>
  <si>
    <t>HISTORY / Women</t>
  </si>
  <si>
    <t xml:space="preserve"> Alison Twells</t>
  </si>
  <si>
    <t>Briser les barriÃ¨res</t>
  </si>
  <si>
    <t>PSYCHOLOGY / Social Psychology</t>
  </si>
  <si>
    <t xml:space="preserve"> Clara Kulich-Ruri Takizawa-Vincenzo Iacoviello-Cristina Aelenei-Abigail Alves-SiobhÃ¡n Ayres-Janine Bosak-Annalisa Casini-Marion Chipeaux-Sean Dempsey-Donatienne Desmette-Ramzi Fatfouta-Vera Hampel-Levke Henningsen-Tanja Hentschel-Mary Kinahan-Silvia Krauth-Gruber-GaÃ«lle Leman-Fabio Lorenzi-Cioldi-Ethan Meimoun-Julie Mellul-Ekatarina Netchaeva-Julia Oberlin-Sarah L. Robinson-Michelle K. Ryan-Lea Stahel-Claudia Toma</t>
  </si>
  <si>
    <t>Joyceâ€™s Choices</t>
  </si>
  <si>
    <t>LITERARY CRITICISM / Comparative Literature</t>
  </si>
  <si>
    <t xml:space="preserve"> R. H. Winnick</t>
  </si>
  <si>
    <t>Thyroid Eye Disease</t>
  </si>
  <si>
    <t>MEDICAL / Ophthalmology</t>
  </si>
  <si>
    <t>Rebecca Ford</t>
  </si>
  <si>
    <t>Corporate Accountability for Human Rights Violations</t>
  </si>
  <si>
    <t>LAW / Civil Rights</t>
  </si>
  <si>
    <t>Raluca Grosescu-John G. Dale</t>
  </si>
  <si>
    <t>Proceedings of the 2025 10th International Conference on Modern Management, Education and Social Sciences (MMET 2025)</t>
  </si>
  <si>
    <t>Purrie Pui-Yee Ng-Intakhab Alam Khan-Prasad Siba Borah-Norhayati Zakuan</t>
  </si>
  <si>
    <t>Community Education and Neoliberalism</t>
  </si>
  <si>
    <t>Camilla Fitzsimons</t>
  </si>
  <si>
    <t>The Diachrony of Word Class Peripheries</t>
  </si>
  <si>
    <t>LANGUAGE ARTS &amp; DISCIPLINES / Linguistics / Historical &amp; Comparative</t>
  </si>
  <si>
    <t>Tanja Ackermann-Christian Zimmer</t>
  </si>
  <si>
    <t>StreitverkÃ¼ndung und Nebenintervention im Schiedsverfahren</t>
  </si>
  <si>
    <t>LAW / Arbitration, Negotiation, Mediation</t>
  </si>
  <si>
    <t>Quirin Thomas</t>
  </si>
  <si>
    <t>Proceedings of the 2025 International Conference on Digital Technology and Educational Psychology (DTEP 2025)</t>
  </si>
  <si>
    <t>Yongjun Feng-Alok Gardia-Namita Ranganathan-Hafizoah Kassim</t>
  </si>
  <si>
    <t>Proceedings of the 3rd International Conference, Anubhuti: Revitalizing Indian Knowledge Systems for the Modern World (ICIKS 2025)</t>
  </si>
  <si>
    <t>SOCIAL SCIENCE / Sociology / General</t>
  </si>
  <si>
    <t>Boola Choudhary-Vijay Vir Singh</t>
  </si>
  <si>
    <t>Proceedings of the International Conference on Policies, Processes and Practices for Transforming Underdeveloped Economies Into Developed Economies (PPP-UD 2025)</t>
  </si>
  <si>
    <t>BUSINESS &amp; ECONOMICS / General</t>
  </si>
  <si>
    <t>Anuradha Jain-Sachin Gupta</t>
  </si>
  <si>
    <t>Democratic Resilience in the Baltics, Vol. 1</t>
  </si>
  <si>
    <t>POLITICAL SCIENCE / Security (National &amp; International)</t>
  </si>
  <si>
    <t>David Schultz-Rasa Smaliukiene-Vidmante Giedraityte</t>
  </si>
  <si>
    <t>Researching a Rigged Game: Digital Approaches to Tracing the Illicit Trade in Cultural Objects</t>
  </si>
  <si>
    <t>LAW / International</t>
  </si>
  <si>
    <t>Emiline Smith-Summer Austin</t>
  </si>
  <si>
    <t>Pan-African Aesthetics</t>
  </si>
  <si>
    <t>De Gruyter</t>
  </si>
  <si>
    <t>HISTORY / Modern / General</t>
  </si>
  <si>
    <t>Lena Dallywater</t>
  </si>
  <si>
    <t>How Metaphors Shape Biotechnology</t>
  </si>
  <si>
    <t>MEDICAL / Allied Health Services / Medical Technology</t>
  </si>
  <si>
    <t>Stefan DÃ¼bel-Stefan Heuser</t>
  </si>
  <si>
    <t>Tickets to War</t>
  </si>
  <si>
    <t>PERFORMING ARTS / Film / History &amp; Criticism</t>
  </si>
  <si>
    <t>David Gaertner</t>
  </si>
  <si>
    <t>Missing Evidence in the Study of Ancient Cultures</t>
  </si>
  <si>
    <t>CÃ©cile Michel-Michael Friedrich-Jorrit Kelder</t>
  </si>
  <si>
    <t>Youth Voting Rights</t>
  </si>
  <si>
    <t>POLITICAL SCIENCE / Human Rights</t>
  </si>
  <si>
    <t>Jonathan Becker-Yael Bromberg</t>
  </si>
  <si>
    <t>RÃ¤ume in der Internationalen Geschichte</t>
  </si>
  <si>
    <t>HISTORY / General</t>
  </si>
  <si>
    <t>SÃ¶nke Kunkel-Michael Homberg-Johanna Sackel-Martin Deuerlein-Jonas Klein</t>
  </si>
  <si>
    <t>Partizipation damals und heute</t>
  </si>
  <si>
    <t>Bettina Gierke-Heike PÃ¶ppelmann-HansjÃ¶rg PÃ¶tzsch</t>
  </si>
  <si>
    <t>Poetry in the Digital Age</t>
  </si>
  <si>
    <t>LITERARY CRITICISM / Semiotics &amp; Theory</t>
  </si>
  <si>
    <t>Claudia Benthien-Vadim Keylin-Henrik Wehmeier</t>
  </si>
  <si>
    <t>Welfare Work Without Welfare</t>
  </si>
  <si>
    <t>HISTORY / Social History</t>
  </si>
  <si>
    <t>Alexandra GhiÈ›</t>
  </si>
  <si>
    <t>Tra continuitÃ  e frattura</t>
  </si>
  <si>
    <t>LITERARY CRITICISM / European / Italian</t>
  </si>
  <si>
    <t>Ilaria Paltrinieri</t>
  </si>
  <si>
    <t>Entstehung, Angebot und bildungsrelevante Lerneffekte des Digitalen Spiels â€ºDiscovery Tour: Ancient Greeceâ€¹</t>
  </si>
  <si>
    <t>Marvin Rees</t>
  </si>
  <si>
    <t>Material Cultures of Archiving</t>
  </si>
  <si>
    <t>Markus Friedrich</t>
  </si>
  <si>
    <t>The Zhangzhung NyengyÃ¼ 'Tsakalis': A Cross-Disciplinary Analysis</t>
  </si>
  <si>
    <t>Agnieszka Helman-WaÅ¼ny</t>
  </si>
  <si>
    <t>Ancient Fables and Literary Genres</t>
  </si>
  <si>
    <t>Ursula GÃ¤rtner-Lukas Spielhofer</t>
  </si>
  <si>
    <t>Signature Methods in Finance</t>
  </si>
  <si>
    <t>MATHEMATICS / Applied</t>
  </si>
  <si>
    <t>Christian Bayer-Goncalo dos Reis-Blanka Horvath-Harald Oberhauser</t>
  </si>
  <si>
    <t>Handbuch Standorte beruflicher LehrkrÃ¤ftebildung in Deutschland</t>
  </si>
  <si>
    <t>Silke Lange-Christoph Porcher-Kristina Trampe</t>
  </si>
  <si>
    <t>Bildung im Medium des Berufs â€“ Beruf im Medium von Bildung</t>
  </si>
  <si>
    <t>Patrick Stobbe</t>
  </si>
  <si>
    <t>The Importance of Being Gorgeous</t>
  </si>
  <si>
    <t>University of California Press</t>
  </si>
  <si>
    <t>HISTORY / Byzantine Empire</t>
  </si>
  <si>
    <t>Susanna Elm</t>
  </si>
  <si>
    <t>Individual and Community in the Public Discourse of the Orthodox Church</t>
  </si>
  <si>
    <t>RELIGION / Eastern</t>
  </si>
  <si>
    <t>Hans-Peter GroÃŸhans-Pantelis Kalaitzidis</t>
  </si>
  <si>
    <t>Dictionary of Encounter</t>
  </si>
  <si>
    <t>Richard Heinzmann-Peter Antes-Martin Thurner-Mualla SelÃ§uk-Halis Albayrak</t>
  </si>
  <si>
    <t>akademisieren, professionalisieren, transformieren</t>
  </si>
  <si>
    <t>Verlag Barbara Budrich GmbH</t>
  </si>
  <si>
    <t>SOCIAL SCIENCE / Social Work</t>
  </si>
  <si>
    <t>Bettina VÃ¶lter-Gesine BÃ¤r-Zola Kappauf-Joachim Kuck-MÃ¼jgan Åženel</t>
  </si>
  <si>
    <t>Bildung in Zeiten von Antifeminismus</t>
  </si>
  <si>
    <t>Juno Grenz</t>
  </si>
  <si>
    <t>Kinderschutz im Kontext Schule</t>
  </si>
  <si>
    <t>Katharina Kopp</t>
  </si>
  <si>
    <t>Erfolgreiche QualitÃ¤tsentwicklung fÃ¼r die Ganztagsschule</t>
  </si>
  <si>
    <t>EDUCATION / Curricula</t>
  </si>
  <si>
    <t>Amina Kielblock-Stephan Kielblock</t>
  </si>
  <si>
    <t>Jugend. Klima. Rechtsextremismus.</t>
  </si>
  <si>
    <t>POLITICAL SCIENCE / Political Ideologies / Fascism &amp; Totalitarianism</t>
  </si>
  <si>
    <t>Marleen Hascher-Ann-Katrin Kastberg-Benjamin Kerst-Alina MÃ¶nig-Edmund Osterberger-Matthias Quent-Fabian Virchow</t>
  </si>
  <si>
    <t>Gendering Knowledge: Intersektionale Perspektiven auf Wissen und Macht</t>
  </si>
  <si>
    <t>Lars SÃ¶rries-Vorberger-Elisa Linseisen-Silke Segler-MeÃŸner</t>
  </si>
  <si>
    <t>Complex, Hypercomplex and Fuzzy-Valued Neural Networks</t>
  </si>
  <si>
    <t>CRC Press (Unlimited)</t>
  </si>
  <si>
    <t>COMPUTERS / Data Science / Neural Networks</t>
  </si>
  <si>
    <t>Agnieszka Niemczynowicz-Irina Perfilieva-LluÃ­s M. GarcÃ­a-Raffi-RadosÅ‚aw Kycia</t>
  </si>
  <si>
    <t>The Routledge Handbook of Economic Expectations in Historical Perspective</t>
  </si>
  <si>
    <t>Laetitia Lenel-Alexander NÃ¼tzenadel-Jochen Streb-Ingo KÃ¶hler</t>
  </si>
  <si>
    <t>Authoritarian Actors and Strategic Digital Information Operations</t>
  </si>
  <si>
    <t>POLITICAL SCIENCE / General</t>
  </si>
  <si>
    <t>Ihsan Yilmaz-Shahram Akbarzadeh</t>
  </si>
  <si>
    <t>Japan and Japonisme</t>
  </si>
  <si>
    <t>ART / Movements / Modernism</t>
  </si>
  <si>
    <t>Noriko Murai</t>
  </si>
  <si>
    <t>Political Modernity and Beyond</t>
  </si>
  <si>
    <t>Sofia Aboim-JosÃ© MaurÃ­cio Domingues-Filipe Carreira da Silva</t>
  </si>
  <si>
    <t>Colonising and Decolonising</t>
  </si>
  <si>
    <t>EDUCATION / Multicultural Education</t>
  </si>
  <si>
    <t>David Scott-Sandra Leaton Gray-Rita Chawla-Duggan</t>
  </si>
  <si>
    <t>Nature-Positive Cities: Adaptive Spatial Planning in Italy for an Ecological Urban Transition</t>
  </si>
  <si>
    <t>ARCHITECTURE / Sustainability &amp; Green Design</t>
  </si>
  <si>
    <t>Andrea De Toni-Andrea Arcidiacono-Silvia Ronchi</t>
  </si>
  <si>
    <t>Introduction to Ethical Software Development</t>
  </si>
  <si>
    <t>COMPUTERS / Social Aspects</t>
  </si>
  <si>
    <t>Jan Gogoll-Niina Zuber</t>
  </si>
  <si>
    <t>Post Growth Innovation</t>
  </si>
  <si>
    <t>BUSINESS &amp; ECONOMICS / Organizational Development</t>
  </si>
  <si>
    <t>Mario Pansera-Javier Lloveras</t>
  </si>
  <si>
    <t>Proceedings of the 3rd International Conference on Artificial Intelligence in Economics, Finance and Management (ICAIEFM 2025)</t>
  </si>
  <si>
    <t>Bejoy Joseph-Devi Sekhar R</t>
  </si>
  <si>
    <t>Proceedings of the 5th International Conference on Internet Finance and Digital Economy (ICIFDE 2025)</t>
  </si>
  <si>
    <t>Izaidin Bin Abdul Majid-Noor Ismawati Jaafar-Guanming He-Hsieng Yang Eric Koh</t>
  </si>
  <si>
    <t>Beyond the Cities</t>
  </si>
  <si>
    <t>POLITICAL SCIENCE / Public Policy / General</t>
  </si>
  <si>
    <t>Ataus Samad-Aparna Hebbani-Nichole Georgeou</t>
  </si>
  <si>
    <t>Crealectics As a Creative Method</t>
  </si>
  <si>
    <t>SOCIAL SCIENCE / General</t>
  </si>
  <si>
    <t>Luis de Miranda</t>
  </si>
  <si>
    <t>Microeconomics</t>
  </si>
  <si>
    <t>Richard Friberg</t>
  </si>
  <si>
    <t>Just Transition and the European Green Deal</t>
  </si>
  <si>
    <t>BUSINESS &amp; ECONOMICS / Environmental Economics</t>
  </si>
  <si>
    <t>Everardus Wilhelmus (Michiel) Stapper-Marcin Baron-Ralph Horne-Nevelina Pachova-Monika Wieczorek-Kosmala</t>
  </si>
  <si>
    <t>PROFESSIONAL CONDUCT AND ETHICAL STANDARDS IN CRIMINOLOGY, PUBLIC ADMINISTRATION, BUSINESS ADMINISTRATION, AND NURSING: STRENGTHENING COMMUNITY RELATIONS, SERVICE, AND IMMERSION</t>
  </si>
  <si>
    <t>FSH-PH Publications (Future Science Publishing House)</t>
  </si>
  <si>
    <t>Magna Anissa Edding Aming-Hayudini-Safia E. Aming-Juina Arao Maidin-Rashid Hadjadj Amja-Ayesha P. Warid-Sahial-Shohadaa Hayudini Bulon-Mandangan-Nadinne Fatima A. Tan-Indira I. Iskandal-Ledina P. Warid-Kaiser Isham Sabdani Savellon-Alt</t>
  </si>
  <si>
    <t>European Climate Pact Ambassadors</t>
  </si>
  <si>
    <t>Jale Tosun-Christin Heinz-Fischer</t>
  </si>
  <si>
    <t>Xouth, The Ape</t>
  </si>
  <si>
    <t>FICTION / Satire</t>
  </si>
  <si>
    <t xml:space="preserve"> Iakovos Pitsipios</t>
  </si>
  <si>
    <t>Allocation, Distribution, and Policy</t>
  </si>
  <si>
    <t>BUSINESS &amp; ECONOMICS / Econometrics</t>
  </si>
  <si>
    <t xml:space="preserve"> Samuel Bowles-Weikai Chen</t>
  </si>
  <si>
    <t>Engineering Innovations Vol. 15</t>
  </si>
  <si>
    <t>Trans Tech Publications, Ltd</t>
  </si>
  <si>
    <t>TECHNOLOGY &amp; ENGINEERING / Materials Science / General</t>
  </si>
  <si>
    <t>Retno Asih-Mubashir Ali Siddiqui-Levan Chkhartishvili</t>
  </si>
  <si>
    <t>Big Earth Data in Support of the Sustainable Development Goals (2023) â€“ The Belt and Road</t>
  </si>
  <si>
    <t>Exploration of the Influence of Additive Manufacturing Design Potentials on Vehicle Conception</t>
  </si>
  <si>
    <t>TECHNOLOGY &amp; ENGINEERING / Automotive</t>
  </si>
  <si>
    <t>Daniel Fuchs</t>
  </si>
  <si>
    <t>Sovereignty As a Vocation in Hobbes's Leviathan</t>
  </si>
  <si>
    <t>PHILOSOPHY / Political</t>
  </si>
  <si>
    <t>Matthew Hoye</t>
  </si>
  <si>
    <t>Dlaczego Å›mierÄ‡ moÅ¼e byÄ‡ dobra</t>
  </si>
  <si>
    <t>Wydawnictwo Uniwersytetu LÃ³dzkiego (University of Lodz Publisher)</t>
  </si>
  <si>
    <t>SOCIAL SCIENCE / Death &amp; Dying</t>
  </si>
  <si>
    <t>Åucja Lange</t>
  </si>
  <si>
    <t>Systemy informatyczne w organizacjach</t>
  </si>
  <si>
    <t>COMPUTERS / Business &amp; Productivity Software / General</t>
  </si>
  <si>
    <t>PaweÅ‚ A. Nowak</t>
  </si>
  <si>
    <t>Anti-Jesuit Discourse in the Polishâ€“Lithuanian Commonwealth (1576â€“1632)</t>
  </si>
  <si>
    <t>LANGUAGE ARTS &amp; DISCIPLINES / General</t>
  </si>
  <si>
    <t>Wojciech Ryczek</t>
  </si>
  <si>
    <t>Marginal Matters</t>
  </si>
  <si>
    <t>Stefanie Brinkmann</t>
  </si>
  <si>
    <t>Investigations in the Theory of Knowledge at the Maria Curie-SkÅ‚odowska University</t>
  </si>
  <si>
    <t>PHILOSOPHY / General</t>
  </si>
  <si>
    <t>Marek HetmaÅ„ski-Jan Pomorski</t>
  </si>
  <si>
    <t>Proceedings of International Conference on Computer Science and Communication Engineering (ICCSCE 2025)</t>
  </si>
  <si>
    <t>COMPUTERS / General</t>
  </si>
  <si>
    <t>Jitendra Kumar Katiyar-David Solomon Raju Yellampalli-D. Chandra Mohan-K. K. Singh-B. Venkata Ramana</t>
  </si>
  <si>
    <t>Proceedings of the International Conference on Sustainable Business Practices and Innovative Models (ICSBPIM-2025)</t>
  </si>
  <si>
    <t>Ramji Nagariya-Pankaj Dhaundiyal-Kaliyan Mathiyazhagan-Vinaytosh Mishra</t>
  </si>
  <si>
    <t>Healthcare in the United Arab Emirates</t>
  </si>
  <si>
    <t>MEDICAL / Allied Health Services / General</t>
  </si>
  <si>
    <t>Humaid O. Al-Shamsi</t>
  </si>
  <si>
    <t>Nuclear Power</t>
  </si>
  <si>
    <t>BUSINESS &amp; ECONOMICS / Industries / General</t>
  </si>
  <si>
    <t>Alexander Wimmers-Fanny BÃ¶se-Claudia Kemfert-Christian von Hirschhausen</t>
  </si>
  <si>
    <t>Geospatial Technologies for Heritage Education</t>
  </si>
  <si>
    <t>SCIENCE / Earth Sciences / Geography</t>
  </si>
  <si>
    <t>Rafael de Miguel GonzÃ¡lez-Pilar Rivero Gracia</t>
  </si>
  <si>
    <t>The Global Eye Health Handbook</t>
  </si>
  <si>
    <t>Anna C S Tan-Marcus Ang-Ralene Sim</t>
  </si>
  <si>
    <t>Sea Level Rise</t>
  </si>
  <si>
    <t>Elisa FornalÃ©</t>
  </si>
  <si>
    <t>Proceedings of the 2025 International Conference on Financial Innovation and Marketing Management (FIMM 2025)</t>
  </si>
  <si>
    <t>Maizaitulaidawati Md Husin</t>
  </si>
  <si>
    <t>Place and the Social-Spatial Determinants of Health</t>
  </si>
  <si>
    <t>Marynia A. Kolak-Imelda K. Moise</t>
  </si>
  <si>
    <t>Medical Device Management</t>
  </si>
  <si>
    <t>BUSINESS &amp; ECONOMICS / Industries / Healthcare</t>
  </si>
  <si>
    <t>Andreas KrÃ¤mer-Cosimo Franco-Fabiola Hartung-Linz-Ellen Thom</t>
  </si>
  <si>
    <t>Slow Electronics with Reservoir Computing</t>
  </si>
  <si>
    <t>COMPUTERS / Hardware / General</t>
  </si>
  <si>
    <t>Isao H. Inoue</t>
  </si>
  <si>
    <t>A New Blueprint for Brain Health</t>
  </si>
  <si>
    <t>SCIENCE / Life Sciences / Neuroscience</t>
  </si>
  <si>
    <t>Sanjeev Sridharan-Jordan Antflick-Kaela Scott-April Nakaima</t>
  </si>
  <si>
    <t>African Livestock Genetic Resources and Sustainable Breeding Strategies</t>
  </si>
  <si>
    <t>MEDICAL / Veterinary Medicine / General</t>
  </si>
  <si>
    <t>Eveline M. Ibeagha-Awemu-Sunday O. Peters-Appolinaire Djikeng-John E. O. Rege</t>
  </si>
  <si>
    <t>A New Wave of Anti-Racism in Europe?</t>
  </si>
  <si>
    <t>Ilke Adam-Jean Beaman-Mariska Jung</t>
  </si>
  <si>
    <t>Outonomy: Fleshing Out the Concept of Autonomy Beyond the Individual</t>
  </si>
  <si>
    <t>SCIENCE / Philosophy &amp; Social Aspects</t>
  </si>
  <si>
    <t>Xabier E. Barandiaran-Arantza Etxeberria</t>
  </si>
  <si>
    <t>Chromatic Visions</t>
  </si>
  <si>
    <t>COMPUTERS / Artificial Intelligence / Computer Vision &amp; Pattern Recognition</t>
  </si>
  <si>
    <t>Sofia Pescarin-Cristiana Barandoni-Arthur Clay-George Papadopoulos-Irina Crina Anca Sandu</t>
  </si>
  <si>
    <t>Arquitectura Andina Y Peruana Tomo II: Arquitectura ContemporÃ¡nea, TecnologÃ­a y EducaciÃ³n</t>
  </si>
  <si>
    <t>High Rate Books by High Rate Consulting</t>
  </si>
  <si>
    <t>Crayla Alfaro Aucca-CÃ©sar Aguirre Zamalloa (Eds)</t>
  </si>
  <si>
    <t>Arquitectura Andina y Peruana Tomo I: Historia, Patrimonio Y Territorio</t>
  </si>
  <si>
    <t>Improving Nutritional Outcomes</t>
  </si>
  <si>
    <t>HEALTH &amp; FITNESS / Diet &amp; Nutrition / Nutrition</t>
  </si>
  <si>
    <t>Vandana Prasad-Arti Ahuja</t>
  </si>
  <si>
    <t>Ethik in Seelsorge und Spiritual Care</t>
  </si>
  <si>
    <t>RELIGION / Christian Ministry / Counseling &amp; Recovery</t>
  </si>
  <si>
    <t>Michael Coors-Sebastian Farr-Christof Mandry-Simon Peng-Keller</t>
  </si>
  <si>
    <t>Environment, Technology, and Development</t>
  </si>
  <si>
    <t>Ismay Milford-Corinna R. Unger-Iris Borowy</t>
  </si>
  <si>
    <t>â€œAngels of Godâ€?</t>
  </si>
  <si>
    <t>Andrea Azizi Kifyasi</t>
  </si>
  <si>
    <t>Slavery and Servile Societies in Korean History</t>
  </si>
  <si>
    <t>Reinhard ZÃ¶llner</t>
  </si>
  <si>
    <t>Die VerfÃ¼gbarkeit des UnverfÃ¼gbaren</t>
  </si>
  <si>
    <t>Tim Weitzel</t>
  </si>
  <si>
    <t>Unearthing Lifestances</t>
  </si>
  <si>
    <t>RELIGION / General</t>
  </si>
  <si>
    <t>Lori G. Beaman-Ryan T. Cragun-Douglas Ezzy</t>
  </si>
  <si>
    <t>Poetry, Music, and Sound Art / Lyrik, Musik Und Klangkunst</t>
  </si>
  <si>
    <t>LITERARY CRITICISM / Poetry</t>
  </si>
  <si>
    <t>Rebecka DÃ¼rr-Kira Henkel-Vadim Keylin</t>
  </si>
  <si>
    <t>Panoramic and Immersive Media Studies Yearbook</t>
  </si>
  <si>
    <t>ART / History / General</t>
  </si>
  <si>
    <t>Molly C. Briggs-Thorsten Logge-Nicholas C. Lowe</t>
  </si>
  <si>
    <t>Ecological Interdependencies</t>
  </si>
  <si>
    <t>Zeynep Y. GÃ¶kÃ§e-Jennifer Leetsch</t>
  </si>
  <si>
    <t>Wordplay and Exclusion</t>
  </si>
  <si>
    <t>LANGUAGE ARTS &amp; DISCIPLINES / Communication Studies</t>
  </si>
  <si>
    <t>Esme Winter-Froemel</t>
  </si>
  <si>
    <t>Bad for Business</t>
  </si>
  <si>
    <t>Nicole S. Colaianni</t>
  </si>
  <si>
    <t>Religious Communication, Interaction and Transformation in a Culture of Digitality</t>
  </si>
  <si>
    <t>Thomas Schlag-Katharina Yadav</t>
  </si>
  <si>
    <t>Paradigm Shift</t>
  </si>
  <si>
    <t>Herman J. Selderhuis</t>
  </si>
  <si>
    <t>History and Theory of Compromise</t>
  </si>
  <si>
    <t>Jan-Hendryk de Boer-Manon Westphal-Julia Mariko Jacoby-Karsten Mause-Stefan Zeppenfeld</t>
  </si>
  <si>
    <t>GroÃŸe MÃ¤nner?</t>
  </si>
  <si>
    <t>Anna GinestÃ­ Rosell-Felix John</t>
  </si>
  <si>
    <t>Schlaf in der Literatur</t>
  </si>
  <si>
    <t>JÃ¶rg Schuster-Maximilian Wick</t>
  </si>
  <si>
    <t>Child Labour Opponents and Their Campaigns in the Americas</t>
  </si>
  <si>
    <t>HISTORY / World</t>
  </si>
  <si>
    <t>Nina Schneider</t>
  </si>
  <si>
    <t>Inklusive Lernwelten</t>
  </si>
  <si>
    <t>LANGUAGE ARTS &amp; DISCIPLINES / Library &amp; Information Science / General</t>
  </si>
  <si>
    <t>Silke Schreiber-Barsch-Wiebke Curdt-Richard Stang</t>
  </si>
  <si>
    <t>Studies on Slavery in Brazilian and African History and Literature</t>
  </si>
  <si>
    <t>Roberto Hofmeister-Pich-Stephan Conermann</t>
  </si>
  <si>
    <t>Rabbinical Literature in Yiddish and Ladino</t>
  </si>
  <si>
    <t>HISTORY / Jewish</t>
  </si>
  <si>
    <t>Katja Å mid-David Bunis-Chava Turniansky</t>
  </si>
  <si>
    <t>Per la storia del testo di Marziale</t>
  </si>
  <si>
    <t>Ambra Russotti</t>
  </si>
  <si>
    <t>Friedensmacher, Multiplikatoren und Profiteure</t>
  </si>
  <si>
    <t>HISTORY / Modern / 17th Century</t>
  </si>
  <si>
    <t>Ulrich Niggemann-Michael Rohrschneider-Siegrid Westphal</t>
  </si>
  <si>
    <t>Erasing and Rewriting in Manuscript Cultures</t>
  </si>
  <si>
    <t>Michele Cammarosano</t>
  </si>
  <si>
    <t>Satiren der europÃ¤ischen AufklÃ¤rung</t>
  </si>
  <si>
    <t>LITERARY CRITICISM / European / German</t>
  </si>
  <si>
    <t>Gideon Stiening-Friedrich Vollhardt</t>
  </si>
  <si>
    <t>Roter SÃ¤kularismus</t>
  </si>
  <si>
    <t>RELIGION / Atheism</t>
  </si>
  <si>
    <t>Todd H. Weir</t>
  </si>
  <si>
    <t>New Approaches to Phrynichusâ€™ â€ºPraeparatio Sophisticaâ€¹</t>
  </si>
  <si>
    <t>Federico Favi-Andrea Pellettieri-Olga Tribulato</t>
  </si>
  <si>
    <t>Handbook of Freshwater Fishes of West Asia</t>
  </si>
  <si>
    <t>SCIENCE / Life Sciences / General</t>
  </si>
  <si>
    <t>JÃ¶rg Freyhof-Baran YoÄŸurtÃ§uoÄŸlu-Arash Jouladeh-Roudbar-CÃ¼neyt Kaya</t>
  </si>
  <si>
    <t>Epistolario di Giovanni Comisso</t>
  </si>
  <si>
    <t>Giacomo Carlesso</t>
  </si>
  <si>
    <t>Die Movierung</t>
  </si>
  <si>
    <t>LANGUAGE ARTS &amp; DISCIPLINES / Linguistics / General</t>
  </si>
  <si>
    <t>Alexander Werth</t>
  </si>
  <si>
    <t>AltsÃ¤chsisch</t>
  </si>
  <si>
    <t>HISTORY / Ancient / General</t>
  </si>
  <si>
    <t>Norbert KÃ¶ssinger</t>
  </si>
  <si>
    <t>Mesoamerican Narratives at the British Museum</t>
  </si>
  <si>
    <t>LITERARY CRITICISM / European / General</t>
  </si>
  <si>
    <t>Laura Ann Osorio Sunnucks-Omar Aguilar SÃ¡nchez-Iyaxel Ixkan CojtÃ­ Ren-Alejandro JosÃ© Garay Herrera-Osiris SinuhÃ© GonzÃ¡lez Romero-Maarten E.R.G.N. Jansen-Raul Macuil MartÃ­nez-Romelia MÃ³ IsÃ©m-Gabina Aurora PÃ©rez JimÃ©nez</t>
  </si>
  <si>
    <t>The Negated Institution</t>
  </si>
  <si>
    <t>MEDICAL / Psychiatry / General</t>
  </si>
  <si>
    <t xml:space="preserve"> Franco Basaglia</t>
  </si>
  <si>
    <t>Reflexivities and Knowledge Production in Migration Studies</t>
  </si>
  <si>
    <t>Janine Dahinden-Andreas Pott</t>
  </si>
  <si>
    <t>Chinaâ€™s Semiconductor Industry Strategy</t>
  </si>
  <si>
    <t>Tao Ma-Tiantian Wang-Jian Zhang</t>
  </si>
  <si>
    <t>Proceedings of the International Conference on Intelligent Systems and Digital Transformation (ICISD 2025)</t>
  </si>
  <si>
    <t>Golda Dilip-P. Durgadevi-K. Akila-S. Sridevi-Raj Ramachandran</t>
  </si>
  <si>
    <t>Proceedings of the International Conference on Sustainable Green Tourism Applied Science - Engineering Applied Science 2025 (ICOSTAS-EAS 2025)</t>
  </si>
  <si>
    <t>TECHNOLOGY &amp; ENGINEERING / Electrical</t>
  </si>
  <si>
    <t>Proceedings of the 11th International Conference of Innovation in Animal Science (ICIAS 2024)</t>
  </si>
  <si>
    <t>TECHNOLOGY &amp; ENGINEERING / Agriculture / General</t>
  </si>
  <si>
    <t>Ifar Subagiyo-Pai-Po Lee-Tomonori Nochi-Pornsin Keanthao-Cynthia D. K. Bottema</t>
  </si>
  <si>
    <t>Education for Transformation</t>
  </si>
  <si>
    <t>Doret de Ruyter-Carolina Suransky</t>
  </si>
  <si>
    <t>Anti-Colonial Global Scholarship</t>
  </si>
  <si>
    <t xml:space="preserve">SOCIAL SCIENCE / Sociology / Social Theory </t>
  </si>
  <si>
    <t>Sujata Patel-Maureen A. Eger</t>
  </si>
  <si>
    <t>Agile Processes in Software Engineering and Extreme Programming â€“ Workshops</t>
  </si>
  <si>
    <t>COMPUTERS / Software Development &amp; Engineering / General</t>
  </si>
  <si>
    <t>Sibylle Peter-Martin Kropp-Torgeir DingsÃ¸yr-Clare Dillon-Philipp Diebold</t>
  </si>
  <si>
    <t>Inclusion Organisation in Universities</t>
  </si>
  <si>
    <t>EDUCATION / Philosophy, Theory &amp; Social Aspects</t>
  </si>
  <si>
    <t>Roxana D. Baltaru</t>
  </si>
  <si>
    <t>Schwarzbuch BÃ¼rokratie an Hochschulen fÃ¼r angewandte Wissenschaften</t>
  </si>
  <si>
    <t>Jochen Struwe-Karla Neschke-Paul R. Melcher</t>
  </si>
  <si>
    <t>Decentralized Autonomous Organizationsâ€”Governance, Technology, and Legal Perspectives</t>
  </si>
  <si>
    <t>Michael Lustenberger-Florian Spychiger-Lukas KÃ¼ng</t>
  </si>
  <si>
    <t>The Narration of China (Part 2)</t>
  </si>
  <si>
    <t>LITERARY COLLECTIONS / Ancient &amp; Classical</t>
  </si>
  <si>
    <t>Chen Zhi</t>
  </si>
  <si>
    <t>The Narration of China (Part 1)</t>
  </si>
  <si>
    <t>The International Relations of the Northâ€“South Divide</t>
  </si>
  <si>
    <t>POLITICAL SCIENCE / International Relations / General</t>
  </si>
  <si>
    <t>Nicholas Lees</t>
  </si>
  <si>
    <t>Classical and Bayesian Statistical Approaches in Infectious Disease Data Analysis</t>
  </si>
  <si>
    <t>MATHEMATICS / Probability &amp; Statistics / General</t>
  </si>
  <si>
    <t>Noor Muhammad Khan-Ileana Baldi-Maria Vittoria Chiaruttini-Dario Gregori</t>
  </si>
  <si>
    <t>The Grammar of Interaction</t>
  </si>
  <si>
    <t>Susana RodrÃ­guez Rosique-Jordi M. AntolÃ­ MartÃ­nez</t>
  </si>
  <si>
    <t>Foreign Intruders</t>
  </si>
  <si>
    <t>HISTORY / Europe / General</t>
  </si>
  <si>
    <t>Robert Aleksander Maryks-MichaÅ‚ Nowakowski</t>
  </si>
  <si>
    <t>Materia Philosophiae. Material Dimensions of Ancient Philosophy</t>
  </si>
  <si>
    <t>PHILOSOPHY / History &amp; Surveys / Ancient &amp; Classical</t>
  </si>
  <si>
    <t>William Wians-Robert Hahn</t>
  </si>
  <si>
    <t>Mathematical Foundations for Post-Quantum Cryptography</t>
  </si>
  <si>
    <t>SCIENCE / Physics / Mathematical &amp; Computational</t>
  </si>
  <si>
    <t>Tsuyoshi Takagi-Masato Wakayama-Noboru Kunihiro-Keisuke Tanaka-Kazufumi Kimoto</t>
  </si>
  <si>
    <t>Building Digital Twins</t>
  </si>
  <si>
    <t>Andrius Jurelionis-Paris A. Fokaides-Livio Mazzarella-Timo Hartmann</t>
  </si>
  <si>
    <t>Letâ€™s Talk AI</t>
  </si>
  <si>
    <t>Barbara Steffen-Edward A. Lee-Bernhard Steffen</t>
  </si>
  <si>
    <t>Ontohackers: Radical Movement Philosophy in the Age of Extinctions and Algorithms, Part III</t>
  </si>
  <si>
    <t>PHILOSOPHY / Metaphysics</t>
  </si>
  <si>
    <t xml:space="preserve"> Jaym*/Jaime del Val</t>
  </si>
  <si>
    <t>Hylo Narrans</t>
  </si>
  <si>
    <t>ART / Performance</t>
  </si>
  <si>
    <t xml:space="preserve"> Kevin ToksÃ¶z Fairbairn</t>
  </si>
  <si>
    <t>Performance Research Methods</t>
  </si>
  <si>
    <t>PERFORMING ARTS / Theater / General</t>
  </si>
  <si>
    <t xml:space="preserve"> Liesbeth Groot Nibbelink-Laura Karreman</t>
  </si>
  <si>
    <t>Grammar of Etulo</t>
  </si>
  <si>
    <t xml:space="preserve"> Chikelu I. Ezenwafor-Afuecheta</t>
  </si>
  <si>
    <t>Das QuBe-Projekt</t>
  </si>
  <si>
    <t>Markus Hummel-Gerd Zika-Marc Ingo Wolter-Tobias Maier</t>
  </si>
  <si>
    <t>Proceedings of the 2024 Brawijaya International Conference (BIC 2024)</t>
  </si>
  <si>
    <t>Yusfan Adeputera Yusran-Ni`matul Izza-Patricia Audrey Ruslijanto-Milda Istiqomah-Indah Yanti</t>
  </si>
  <si>
    <t>The Palgrave Handbook of Decolonising the Educational and Language Sciences</t>
  </si>
  <si>
    <t>EDUCATION / Teaching / Subjects / Language Arts</t>
  </si>
  <si>
    <t>Sangeeta Bagga-Gupta</t>
  </si>
  <si>
    <t>Wasted Potential</t>
  </si>
  <si>
    <t>Jocelyn Boiteau-Prabhu Pingali</t>
  </si>
  <si>
    <t>Zeitenwende, Zivile Verteidigung und BevÃ¶lkerungsschutz</t>
  </si>
  <si>
    <t>Alexander Fekete-Harald Karutz-Frank Fiedrich-Wolfram Geier-Lars Gerhold</t>
  </si>
  <si>
    <t>Patient-focused Development of Biopharmaceutical Products</t>
  </si>
  <si>
    <t>SCIENCE / Biotechnology</t>
  </si>
  <si>
    <t>Robert R. Nesbitt-Ramakrishna Venugopalan-Wolfgang Fraunhofer</t>
  </si>
  <si>
    <t>Ensuring Ecological Connectivity in Socio-Ecological Production Landscapes and Seascapes (SEPLS)</t>
  </si>
  <si>
    <t>SCIENCE / Life Sciences / Ecology</t>
  </si>
  <si>
    <t>Maiko Nishi-Suneetha M. Subramanian-Philip Varghese-Juliano SÃ¨nanmi Hermann Houndonougbo</t>
  </si>
  <si>
    <t>Advanced Learning Analytics Methods</t>
  </si>
  <si>
    <t>EDUCATION / Computers &amp; Technology</t>
  </si>
  <si>
    <t>Mohammed Saqr-Sonsoles LÃ³pez-Pernas</t>
  </si>
  <si>
    <t>Critical Perspectives on EdTech in Higher Education</t>
  </si>
  <si>
    <t>EDUCATION / Schools / Levels / Higher</t>
  </si>
  <si>
    <t>Duncan A. Thomas-Vito Laterza</t>
  </si>
  <si>
    <t>Platform Jazz</t>
  </si>
  <si>
    <t>Transcript Verlag</t>
  </si>
  <si>
    <t>Benjamin Burkhart</t>
  </si>
  <si>
    <t>Virtual Reality und AuthentizitÃ¤t</t>
  </si>
  <si>
    <t>Christian GÃ¼nther</t>
  </si>
  <si>
    <t>Beyond the Original</t>
  </si>
  <si>
    <t>MarÃ­lia JÃ¶hnk</t>
  </si>
  <si>
    <t>Labor Turnover in Ethiopia's Textile Industry</t>
  </si>
  <si>
    <t>Michaela Fink</t>
  </si>
  <si>
    <t>Grundlagen des Christentums im 21. Jahrhundert III</t>
  </si>
  <si>
    <t>Johannes Herzgsell-Cora Duttmann</t>
  </si>
  <si>
    <t>Religionswissenschaft</t>
  </si>
  <si>
    <t>Scheinbar genesen</t>
  </si>
  <si>
    <t>Monika Pietrzak-Franger</t>
  </si>
  <si>
    <t>Understanding Social Struggles</t>
  </si>
  <si>
    <t>Hilkje C. HÃ¤nel-Fabian Schuppert</t>
  </si>
  <si>
    <t>Postmigrantisch denken</t>
  </si>
  <si>
    <t>Erol YÄ±ldÄ±z</t>
  </si>
  <si>
    <t>Grundlagen des Christentums im 21. Jahrhundert II</t>
  </si>
  <si>
    <t>Literatur und Polis</t>
  </si>
  <si>
    <t>Justus Meier</t>
  </si>
  <si>
    <t>Rassismusforschung II</t>
  </si>
  <si>
    <t>Nationaler Diskriminierungs- und</t>
  </si>
  <si>
    <t>Translanguaging und selbstreguliertes Lernen</t>
  </si>
  <si>
    <t>Aysel Kart</t>
  </si>
  <si>
    <t>Grundlagen des Christentums im 21. Jahrhundert I</t>
  </si>
  <si>
    <t>The Making of Scientific Knowledge</t>
  </si>
  <si>
    <t>Jana Thierfelder</t>
  </si>
  <si>
    <t>Science Studies</t>
  </si>
  <si>
    <t>Museen und die Utopie der Vernetzung</t>
  </si>
  <si>
    <t>Lukas Fuchsgruber</t>
  </si>
  <si>
    <t>Crafting Power</t>
  </si>
  <si>
    <t>Anna-Lisa Klages</t>
  </si>
  <si>
    <t>Agrarwissen in der Reflexion</t>
  </si>
  <si>
    <t>Anna Henkel-Matthias Kussin-Holli Brandhuber-Katrin Hirte-Laura Scheler</t>
  </si>
  <si>
    <t>Umzug ins Digitale</t>
  </si>
  <si>
    <t>Julia RÃ¶ssel</t>
  </si>
  <si>
    <t>Einsatz einer auf kÃ¼nstlicher Intelligenz basierenden Netzsteuerung in der Ã¶ffentlichen Wasserversorgung</t>
  </si>
  <si>
    <t>Manuel Beh</t>
  </si>
  <si>
    <t>Dwelling Schools</t>
  </si>
  <si>
    <t>Peter Lang Group</t>
  </si>
  <si>
    <t>EDUCATION / Teaching / General</t>
  </si>
  <si>
    <t>Beate Weyland-Bruna Sigillo</t>
  </si>
  <si>
    <t>Politische Dimensionen der Deutschdidaktik</t>
  </si>
  <si>
    <t>Matthis Kepser-Sabine Zelger</t>
  </si>
  <si>
    <t>KreativitÃ¤ts-Szenen</t>
  </si>
  <si>
    <t>Peter C. Pohl</t>
  </si>
  <si>
    <t>Emotion and Calculation</t>
  </si>
  <si>
    <t>Annika Nickenig-Esther Schomacher</t>
  </si>
  <si>
    <t>Khirbat â€˜Amra: A Rural Site From the Hellenistic to Early Islamic Periods in the BeÊ¼er Shevaâ€˜ Valley</t>
  </si>
  <si>
    <t>Israel Antiquities Authority</t>
  </si>
  <si>
    <t>SOCIAL SCIENCE / Archaeology</t>
  </si>
  <si>
    <t>Itamar Taxel</t>
  </si>
  <si>
    <t>Maresha IV: the Subterranean Complexes of the Hellenistic City</t>
  </si>
  <si>
    <t>Ian Stern</t>
  </si>
  <si>
    <t>Polish Contributions to International Criminal Law</t>
  </si>
  <si>
    <t>Patrycja Grzebyk-BartÅ‚omiej Krzan-Karolina WierczyÅ„ska</t>
  </si>
  <si>
    <t>Academic Coaching in Modern Online Education</t>
  </si>
  <si>
    <t>IGI Global</t>
  </si>
  <si>
    <t>EDUCATION / Distance, Open &amp; Online Education</t>
  </si>
  <si>
    <t>Harriet E. Watkins-Robert F. Williams</t>
  </si>
  <si>
    <t>The Question of Emergence</t>
  </si>
  <si>
    <t>Douglas V. Porpora</t>
  </si>
  <si>
    <t>Reimagining Institutions</t>
  </si>
  <si>
    <t>BUSINESS &amp; ECONOMICS / Development / General</t>
  </si>
  <si>
    <t>Pushpinder Puniha-Aarushi Jain</t>
  </si>
  <si>
    <t>Changing Tides</t>
  </si>
  <si>
    <t>Anjal Prakash-Marcella Dâ€™Souza</t>
  </si>
  <si>
    <t>Suomen nykymurteet</t>
  </si>
  <si>
    <t>Ubiquity Press Ltd.</t>
  </si>
  <si>
    <t>Harri Mantila</t>
  </si>
  <si>
    <t>Kieli Maisemassa, Maisema KielessÃ¤: Tutkimuksia Turusta</t>
  </si>
  <si>
    <t>Mats Hallenberg-Magnus Linnarsson-Joakim Scherp</t>
  </si>
  <si>
    <t>Sekularismit: Uskonnon ja maallisen rajankÃ¤yntejÃ¤</t>
  </si>
  <si>
    <t>Timo Kallinen-Teuvo Laitila</t>
  </si>
  <si>
    <t>Proceedings of the 2nd International Conference on Business, Accounting, Banking, and Economics (ICBABE 2025)</t>
  </si>
  <si>
    <t>Ali Mursid-Fitri Lukiastuti</t>
  </si>
  <si>
    <t>Digital Intelligent Aeroengine</t>
  </si>
  <si>
    <t>TECHNOLOGY &amp; ENGINEERING / Aeronautics &amp; Astronautics</t>
  </si>
  <si>
    <t>Quanyong Xu-Jiali Yang-Wenyu Cao-Zhongzhi Hu-Ai He</t>
  </si>
  <si>
    <t>Sea Cucumber Stories</t>
  </si>
  <si>
    <t>SOCIAL SCIENCE / Anthropology / Cultural &amp; Social</t>
  </si>
  <si>
    <t>Paula Uimonen</t>
  </si>
  <si>
    <t>Disability As a Boundary Object</t>
  </si>
  <si>
    <t>SOCIAL SCIENCE / Disability</t>
  </si>
  <si>
    <t>Per Koren Solvang</t>
  </si>
  <si>
    <t>Nordic Transatlantic Crossings</t>
  </si>
  <si>
    <t>Ruth Hemstad-Terje Rasmussen</t>
  </si>
  <si>
    <t>Enduring Cancer</t>
  </si>
  <si>
    <t>Duke University Press</t>
  </si>
  <si>
    <t>Dwaipayan Banerjee</t>
  </si>
  <si>
    <t>Deep Fakes</t>
  </si>
  <si>
    <t>ART / Museum Studies</t>
  </si>
  <si>
    <t>Sarah Kenderdine-Lily Hibberd</t>
  </si>
  <si>
    <t>Proceedings of International Conference on Sustainable Science and Technology for Tomorrow (SciTech 2024)</t>
  </si>
  <si>
    <t>TECHNOLOGY &amp; ENGINEERING / Mechanical</t>
  </si>
  <si>
    <t>Santhosh Kumar Thatikonda-Beauty Pandey-Daya Shankar-Raul Villamarin Rodriguez</t>
  </si>
  <si>
    <t>Managing Disruption and Developing Resilience for a Better Southeast Asia</t>
  </si>
  <si>
    <t>SOCIAL SCIENCE / Cultural &amp; Ethnic Studies / Asian Studies</t>
  </si>
  <si>
    <t>Nawawi-Athiqah Nur Alami-Julius Bautista-Maitrii Aung-Thwin-Deasy Simandjuntak</t>
  </si>
  <si>
    <t>Biological Highways in the Sky</t>
  </si>
  <si>
    <t>NATURE / Ecosystems &amp; Habitats / General</t>
  </si>
  <si>
    <t>UmkÃ¤mpfte Kriegsvergangenheit(-en)</t>
  </si>
  <si>
    <t>BIOGRAPHY &amp; AUTOBIOGRAPHY / Entertainment &amp; Performing Arts</t>
  </si>
  <si>
    <t>Darija DavidoviÄ‡</t>
  </si>
  <si>
    <t>Die adiastematisch neumierten Handschriften der Berlinka-Sammlung</t>
  </si>
  <si>
    <t>MUSIC / Instruction &amp; Study / Composition</t>
  </si>
  <si>
    <t>Christoph Weyer</t>
  </si>
  <si>
    <t>Bildung auf einen Blick 2025</t>
  </si>
  <si>
    <t>OECD</t>
  </si>
  <si>
    <t>Micro- and Nano-plastics in Soil and Crop Systems</t>
  </si>
  <si>
    <t>Saif Uddin-Mohammad Zaman</t>
  </si>
  <si>
    <t>Proceedings of 1st GENZERO Workshop</t>
  </si>
  <si>
    <t>Martin Andreoni-Shreekant Thakkar</t>
  </si>
  <si>
    <t>Early Modern Narratives of Islam Across Europe</t>
  </si>
  <si>
    <t>Antonio Urquizar-Herrera-Borja Franco Llopis-Elena Paulino Montero</t>
  </si>
  <si>
    <t>Social Workers in Political Office</t>
  </si>
  <si>
    <t>Tobias Kindler-Sigrid Leitner-Eva Maria LÃ¶ffler-Klaus Stolz</t>
  </si>
  <si>
    <t>The Material Geographies of the Belt and Road Initiative</t>
  </si>
  <si>
    <t>SOCIAL SCIENCE / Human Geography</t>
  </si>
  <si>
    <t>Elia Apostolopoulou-Han Cheng-Jonathan Silver-Alan Wiig</t>
  </si>
  <si>
    <t>Labour of Love</t>
  </si>
  <si>
    <t>Radboud University Press</t>
  </si>
  <si>
    <t>RELIGION / Christianity / Orthodox</t>
  </si>
  <si>
    <t>Heleen Murre-van den Berg (ed)</t>
  </si>
  <si>
    <t>Biomedical Visions</t>
  </si>
  <si>
    <t>Hatje Cantz Verlag GmbH</t>
  </si>
  <si>
    <t>ART / General</t>
  </si>
  <si>
    <t>Elizabeth Hughes-Alfred Freeborn</t>
  </si>
  <si>
    <t>Geschichte auf Instagram und TikTok</t>
  </si>
  <si>
    <t>Mia Berg-Andrea Lorenz-Kristin Oswald</t>
  </si>
  <si>
    <t>Ripisylves et forÃªts alluviales</t>
  </si>
  <si>
    <t>NATURE / Ecosystems &amp; Habitats / Forests &amp; Rainforests</t>
  </si>
  <si>
    <t>Goodness and Tradition</t>
  </si>
  <si>
    <t>PHILOSOPHY / Ethics &amp; Moral Philosophy</t>
  </si>
  <si>
    <t>Irene Liu</t>
  </si>
  <si>
    <t>Data Protection in Humanitarian Action</t>
  </si>
  <si>
    <t>Ana Beduschi-Massimo Marelli-Aaron Martin</t>
  </si>
  <si>
    <t>The Digital Economy and the Productivity Paradox</t>
  </si>
  <si>
    <t>BUSINESS &amp; ECONOMICS / Development / Economic Development</t>
  </si>
  <si>
    <t>MichaÅ‚ WÅ‚odarczyk-RafaÅ‚ WisÅ‚a</t>
  </si>
  <si>
    <t>Gewalt und Gewaltsamkeit als Natur- und Kulturerscheinung in komparatistischer Perspektive</t>
  </si>
  <si>
    <t>Peter Brandes-Krzysztof Tkaczyk</t>
  </si>
  <si>
    <t>ÃœberzeugungskrÃ¤fte</t>
  </si>
  <si>
    <t>PHILOSOPHY / Epistemology</t>
  </si>
  <si>
    <t>Mathis Lessau-Hans Christian Riechers</t>
  </si>
  <si>
    <t>Proceedings of the 2025 2nd International Conference on Electrical Engineering and Intelligent Control (EEIC 2025)</t>
  </si>
  <si>
    <t>Ata Jahangir Moshayedi</t>
  </si>
  <si>
    <t>Proceedings of the 7th International Conference on Knowledge Innovation and Invention, Volume 1</t>
  </si>
  <si>
    <t>Teen-Hang Meen-Cheng-Fu Yang-Chun-Yen Chang</t>
  </si>
  <si>
    <t>Precision Medicine in Africa: Promises and Opportunities</t>
  </si>
  <si>
    <t>Fouzia Radouani-Lyndon Zass-Faisal M. Fadlelmola</t>
  </si>
  <si>
    <t>Financial and Behavioral Health for Helping Professionals</t>
  </si>
  <si>
    <t>Jeffrey Anvari-Clark</t>
  </si>
  <si>
    <t>City Makers and the Politics of Urban Diversity Governance</t>
  </si>
  <si>
    <t>Jeremie Molho-Marie Gibert-Flutre-Kong Chong Ho</t>
  </si>
  <si>
    <t>Proceedings of the International Conference on Communication and Applied Technologies 2025 (ICOMTA 2025)</t>
  </si>
  <si>
    <t>SOCIAL SCIENCE / Media Studies</t>
  </si>
  <si>
    <t>Daniel Barredo IbÃ¡Ã±ez-Paulo Carlos LÃ³pez-LÃ³pez-JosÃ© Arturo Figueroa GÃ¼nther-IvÃ¡n Puentes Rivera</t>
  </si>
  <si>
    <t>Proceedings of the 2nd International Conference on Smart Innovations in Electrical Engineering (ICSIEE 2025)</t>
  </si>
  <si>
    <t>Manoj Kumar Nallapaneni-Honey Baby</t>
  </si>
  <si>
    <t>Multimedia Information Technology and Applications</t>
  </si>
  <si>
    <t>COMPUTERS / Interactive &amp; Multimedia</t>
  </si>
  <si>
    <t>Byung-Gyu Kim-Hiroo Sekiya-Deokwoo Lee</t>
  </si>
  <si>
    <t>Explainable Artificial Intelligence</t>
  </si>
  <si>
    <t>Riccardo Guidotti-Ute Schmid-Luca Longo</t>
  </si>
  <si>
    <t>Shaping Circular Transitions in the Built Environment</t>
  </si>
  <si>
    <t>LuÃ­s BraganÃ§a-Meri Cvetkovska-Viorel Ungureanu-Katerina Tsikaloudaki-Marianna Marchesi</t>
  </si>
  <si>
    <t>Proceedings of Tenth International Congress on Information and Communication Technology</t>
  </si>
  <si>
    <t>TECHNOLOGY &amp; ENGINEERING / Telecommunications</t>
  </si>
  <si>
    <t>Xin-She Yang-R. Simon Sherratt-Nilanjan Dey-Amit Joshi</t>
  </si>
  <si>
    <t>Fashion Communication in the Digital Age</t>
  </si>
  <si>
    <t>BUSINESS &amp; ECONOMICS / Marketing / General</t>
  </si>
  <si>
    <t>Paula von Wachenfeldt-Lorenzo Cantoni-Nadzeya Sabatini-Teresa SÃ¡daba</t>
  </si>
  <si>
    <t>The Legal Relationship Between Present and Future Generations</t>
  </si>
  <si>
    <t>Ammar Bustami</t>
  </si>
  <si>
    <t>Contemporary Issues in South African Education</t>
  </si>
  <si>
    <t>AOSIS Publishing</t>
  </si>
  <si>
    <t>Vusi Mncube-Mzuyanda P. Mavuso-Winston Hendricks-Charl Wolhuter-Oluwatoyin J. Adelabu-Bongumusa Gubevu-Nokuphumula Nyawo-Nonzukiso Tyilo-Thobeka Matshoba-Babawande E. Olawale</t>
  </si>
  <si>
    <t>Dante Se Mistieke Reis: Derde Tog: Paradiso Ingelei, Vertaal, Toegelig, Vertolk</t>
  </si>
  <si>
    <t>J.S. KrÃ¼ger</t>
  </si>
  <si>
    <t>Artist or Imposter! Breaking the Barriers and â€˜dancingâ€™ the Data</t>
  </si>
  <si>
    <t>Dianna Moodley-Clare Craighead</t>
  </si>
  <si>
    <t>A Compendium on International Trade in Lesotho</t>
  </si>
  <si>
    <t>Denis N. Yuni-Tsotang Tsietsi-Motlamelle Kapa-Noah E. Attah-Sean Maliehe-Letzadzo Kometsi-Carol C. Ngang-Josphine Hapazari-Ojo J. Adelakun-Joalane Tota-TÅ¡oamathe â€˜Maseribane-Nthatisi Leseba-Mapitso Lebuso-Brian Muroyiwa-Puleng Letuma-Malefetsane Ratsoane-Seipati G. Chesetsi-Lefa A. Matsoai-Nthabiseng Letlala-Mofihli Ntsasa-Mamello A. Nchake-Tseko Nyesemane-Marcel Ratsiu</t>
  </si>
  <si>
    <t>Accounting Theories, Practices, Education and Human Capital Formation Trends: Empirical and Conceptual Insights</t>
  </si>
  <si>
    <t>Martha Matashu-Lilian I. Nwosu-Calvin Mahlaule-Veruschka Pelser-Carstens-James A. Oben-Queen Mpofu-Wedzerai Musvoto-Danie Schutte)-Moses Nyakuwanika-Huibrecht M. van der Poll-John A. van der Poll-Jacobus P. FouchÃ©-Rikus de Villiers-VinÃ© Petzer-Takalani E. Tshiovhe-Ratau J.Monobe-Thomas E.B. Assan-Oji O. Oke-Lawrence O. Obokoh-Kola B. Ajeigbe</t>
  </si>
  <si>
    <t>Ecogames</t>
  </si>
  <si>
    <t>GAMES &amp; ACTIVITIES / Video &amp; Mobile</t>
  </si>
  <si>
    <t>Laura op de Beke-Joost Raessens-Stefan Werning-Gerald Farca</t>
  </si>
  <si>
    <t>Scents of Arabia: Interdisciplinary Approaches to Ancient Olfactory Worlds</t>
  </si>
  <si>
    <t>Archaeopress Publishing Ltd</t>
  </si>
  <si>
    <t>Arnulf Hausleiter-Barbara Huber</t>
  </si>
  <si>
    <t>Reporting Heritage Destruction</t>
  </si>
  <si>
    <t>Bijan Rouhani-Timothy Clack-Bill Finlayson</t>
  </si>
  <si>
    <t>Pottery Technology at the Dawn of the Metal Age</t>
  </si>
  <si>
    <t>Silvia Amicone</t>
  </si>
  <si>
    <t>Financing Climate Action</t>
  </si>
  <si>
    <t>Mritiunjoy Mohanty-Runa Sarkar</t>
  </si>
  <si>
    <t>Futurs de lâ€™Ã©levage dans les systÃ¨mes agri-alimentaires</t>
  </si>
  <si>
    <t>TECHNOLOGY &amp; ENGINEERING / Agriculture / Animal Husbandry</t>
  </si>
  <si>
    <t>Transitioning to Climate Action</t>
  </si>
  <si>
    <t>MDPI</t>
  </si>
  <si>
    <t>NATURE / Environmental Conservation &amp; Protection</t>
  </si>
  <si>
    <t>Doon, Roshnie A.</t>
  </si>
  <si>
    <t>IMU, ICM, Medals, Prizes, and Laureates</t>
  </si>
  <si>
    <t>MATHEMATICS / Reference</t>
  </si>
  <si>
    <t>Agarwal, Ravi P.</t>
  </si>
  <si>
    <t>Dysbiosis of the Evolved Intestinal Microbiome: Lessons for Health in Future Generations</t>
  </si>
  <si>
    <t>SCIENCE / Life Sciences / Biology</t>
  </si>
  <si>
    <t>Smith, David</t>
  </si>
  <si>
    <t>Sustainable Logistics Services of Food Provisions on Merchant Ships: Potential for Reducing Environmental Damage</t>
  </si>
  <si>
    <t>BUSINESS &amp; ECONOMICS / Logistics &amp; Supply Chain</t>
  </si>
  <si>
    <t>Stefanova, Marieta</t>
  </si>
  <si>
    <t>CzÅ‚owiek w Å›rodowisku pracy. PrzyszÅ‚oÅ›Ä‡ jest teraz</t>
  </si>
  <si>
    <t>Wroclaw University of Economics &amp; Business</t>
  </si>
  <si>
    <t>Barbara ChomÄ…towska-Iwona Janiak-Rejno-Alicja Smolbik-JÄ™czmieÅ„-Agnieszka Å»arczyÅ„ska-Dobiesz</t>
  </si>
  <si>
    <t>The V4 and Ukraine Fight with Tax Frauds and Money Laundering</t>
  </si>
  <si>
    <t>Mariia Balytska-Hana BohuÅ¡ovÃ¡-Piotr Luty</t>
  </si>
  <si>
    <t>Sektor turystyczny w Polsce. Ocena â€“ uwarunkowania â€“ perspektywy</t>
  </si>
  <si>
    <t>Agnieszka Stanimir-ElÅ¼bieta Roszko-WÃ³jtowicz</t>
  </si>
  <si>
    <t>Ocena ESG przedsiÄ™biorstw niebieskiej gospodarki (blue economy)</t>
  </si>
  <si>
    <t>Hanna Sikacz</t>
  </si>
  <si>
    <t>Finanse 2024</t>
  </si>
  <si>
    <t>Marek Pauka-Tomasz SÅ‚oÅ„ski</t>
  </si>
  <si>
    <t>Zielona transformacja sektora bankowego. Regulacje i zielone instrumenty finansowe</t>
  </si>
  <si>
    <t>Justyna Zabawa-Magdalena Markiewicz-Monika Wieczorek-Kosmala</t>
  </si>
  <si>
    <t>Opodatkowanie dochodÃ³w osÃ³b fizycznych w wybranych krajach</t>
  </si>
  <si>
    <t>Aleksandra Åakomiak-Izabela Åakomiak</t>
  </si>
  <si>
    <t>Informatyka w biznesie 2024</t>
  </si>
  <si>
    <t>Helena Dudycz</t>
  </si>
  <si>
    <t>DoskonaÅ‚oÅ›Ä‡ biznesowa. Istota i modele</t>
  </si>
  <si>
    <t>Piotr Rogala-Joanna Martusewicz-Arkadiusz Wierzbic</t>
  </si>
  <si>
    <t>Sprachkontakt, Variation und Mehrsprachigkeit. Sprachliche Perspektiven auf die akademische Arbeit von ClÃ©o Vilson Altenhofen / Contato LinguÃ­stico, VariaÃ§Ã£o e Plurilinguismo. Perspectivas LinguÃ­sticas sobre o Trabalho AcadÃªmico de ClÃ©o Vilson Altenhofen</t>
  </si>
  <si>
    <t>Joachim Steffen-Marcelo Krug-Lucas LÃ¶ff Machado-Claudia Pavan-Willian RadÃ¼nz-Fernando HÃ©lio Tavares de Barros</t>
  </si>
  <si>
    <t>The Visual Life of Climate Change</t>
  </si>
  <si>
    <t>POLITICAL SCIENCE / Public Policy / Environmental Policy</t>
  </si>
  <si>
    <t>Saffron Oâ€™Neill</t>
  </si>
  <si>
    <t>Mediterranean Connections: The Frankish Kingdoms and the Roman Empire (476â€“756)</t>
  </si>
  <si>
    <t>Laury Sarti</t>
  </si>
  <si>
    <t>International Organisations Inside Out</t>
  </si>
  <si>
    <t>Ãris Santos-Elias Pekkola-Hanna Kontio</t>
  </si>
  <si>
    <t>Revitalizing the United Nations</t>
  </si>
  <si>
    <t>Tapio Kanninen-John Torpey</t>
  </si>
  <si>
    <t>Analysing Knowledge Networks in Higher Education Policymaking</t>
  </si>
  <si>
    <t>Katri Eeva-Jaakko Kauko</t>
  </si>
  <si>
    <t>Proceedings of the International Conference on Contemporary Studies in Social Sciences (ICSSSS 2025)</t>
  </si>
  <si>
    <t>Thinh Hoang</t>
  </si>
  <si>
    <t>Top-down und bottom-up Dynamiken europÃ¤ischer Ã–ffentlichkeit im Lokalen</t>
  </si>
  <si>
    <t>Muriel CathÃ©rine Wenzel</t>
  </si>
  <si>
    <t>Child Protection in India</t>
  </si>
  <si>
    <t>LAW / Criminal Law / Juvenile Offenders</t>
  </si>
  <si>
    <t>Paromita Chattoraj</t>
  </si>
  <si>
    <t>Bodies and Narrativity Across the Early Modern World</t>
  </si>
  <si>
    <t>Vitus Huber</t>
  </si>
  <si>
    <t>Security and Political Discourse</t>
  </si>
  <si>
    <t>Paulina Polko</t>
  </si>
  <si>
    <t>Pharmaceutical Biotechnology</t>
  </si>
  <si>
    <t>MEDICAL / Pharmacology</t>
  </si>
  <si>
    <t>Arshad Farid-Kifayat Ulllah Shah-Midrar Ullah-Gagan Preet</t>
  </si>
  <si>
    <t>Transit Safety for a Sustainable City</t>
  </si>
  <si>
    <t>Vania Ceccato-Catherine Sundling-Gabriel Gliori</t>
  </si>
  <si>
    <t>Asia in the Mirror</t>
  </si>
  <si>
    <t>SOCIAL SCIENCE / Anthropology / General</t>
  </si>
  <si>
    <t>Alessandro Achilli-Fiorenzo Iuliano-Angela Daiana Langone-Emma Lupano-Valentina Serra</t>
  </si>
  <si>
    <t>Where Love Happens</t>
  </si>
  <si>
    <t>RELIGION / Spirituality</t>
  </si>
  <si>
    <t>Helene GrÃ¸n-Lene Ã˜stermark-Johansen-Victoria de Rijke</t>
  </si>
  <si>
    <t>Digital Humanities and Digital Skills in the Future of Work</t>
  </si>
  <si>
    <t>Krzysztof Wasilewski</t>
  </si>
  <si>
    <t>Jahrbuch der berufs- und wirtschaftspÃ¤dagogischen Forschung 2025</t>
  </si>
  <si>
    <t>Kristina KÃ¶gler-H.-Hugo Kremer-Volkmar Herkner</t>
  </si>
  <si>
    <t>Teilhabe durch Teilnahme?</t>
  </si>
  <si>
    <t>Malte Ebner von Eschenbach-Maria Kondratjuk-Katrin Kraus-Matthias Rohs-Helmut Bremer-SongÃ¼l Cora-Lukas Eble-Catrin Opheys-Silke Schreiber-Barsch-Farina Wagner-Tim Zosel</t>
  </si>
  <si>
    <t>PÃ¤dagogik und Geschlecht als Gegenstand politischer KÃ¤mpfe</t>
  </si>
  <si>
    <t>Denise Bergold-Caldwell-Rebekka Blum-Marina Dangelat-Juno Grenz-Susanne Maurer-Christine Thon</t>
  </si>
  <si>
    <t>Demokratieerfahrungen jugendlicher Fridays for Future Aktivist:innen als Passagen des Politischen</t>
  </si>
  <si>
    <t>Christina Cazzini</t>
  </si>
  <si>
    <t>Experienced Involvement in der sozialpsychiatrischen Versorgung Deutschlands</t>
  </si>
  <si>
    <t>Susanne Iris Bauer</t>
  </si>
  <si>
    <t>Hannah Arendts PÃ¤dagogik</t>
  </si>
  <si>
    <t>EDUCATION / Teacher Training &amp; Certification</t>
  </si>
  <si>
    <t>Pia Rojahn</t>
  </si>
  <si>
    <t>Forschen und Forschung in Kontexten des Alter(n)s</t>
  </si>
  <si>
    <t>Eva Maria LÃ¶ffler-Christian Bleck-Harald RÃ¼ÃŸler</t>
  </si>
  <si>
    <t>The Almond Paradox</t>
  </si>
  <si>
    <t>SOCIAL SCIENCE / Agriculture &amp; Food</t>
  </si>
  <si>
    <t>Emily Reisman</t>
  </si>
  <si>
    <t>Legal Perspectives for a Sustainable Circular Economy</t>
  </si>
  <si>
    <t>Bernardo Calabrese</t>
  </si>
  <si>
    <t>Privacy Technologies and Policy</t>
  </si>
  <si>
    <t>Narges Arastouei-Meiko Jensen-Kai Rannenberg</t>
  </si>
  <si>
    <t>Bridging the Gap Between AI and Reality</t>
  </si>
  <si>
    <t>Bernhard Steffen</t>
  </si>
  <si>
    <t>The First African Conference on High Energy Physics</t>
  </si>
  <si>
    <t>SCIENCE / Physics / Nuclear</t>
  </si>
  <si>
    <t>Yahya Tayalati-Mohamed Gouighri</t>
  </si>
  <si>
    <t>Inklusion in der Sekundarstufe I in Deutschland</t>
  </si>
  <si>
    <t>Cornelia Gresch-Monja Schmitt-Michael Grosche-Katrin BÃ¶hme-Amelie Labsch</t>
  </si>
  <si>
    <t>Growing Up Rural</t>
  </si>
  <si>
    <t>SOCIAL SCIENCE / Sociology / Marriage &amp; Family</t>
  </si>
  <si>
    <t>Kaisa Vehkalahti-Ingunn Marie Eriksen-Jeanette Ã˜stergaard</t>
  </si>
  <si>
    <t>Routledge Handbook of Water Diplomacy</t>
  </si>
  <si>
    <t>BUSINESS &amp; ECONOMICS / Industries / Natural Resource Extraction</t>
  </si>
  <si>
    <t>Shafiqul Islam-Kevin Smith-Martina Klimes-Aaron Salzberg</t>
  </si>
  <si>
    <t>Polish Ethnopolitical Myth and the Caucasus</t>
  </si>
  <si>
    <t>PrzemysÅ‚aw Adamczewski</t>
  </si>
  <si>
    <t>Microbiological Challenges in the Energy Industries</t>
  </si>
  <si>
    <t>TECHNOLOGY &amp; ENGINEERING / Power Resources / General</t>
  </si>
  <si>
    <t>Susmitha Purnima Kotu-Torben Lund Skovhus-Kenneth Wunch</t>
  </si>
  <si>
    <t>Improving Learning Outcomes in Schools</t>
  </si>
  <si>
    <t>N. V. Varghese-Vrinda Sarup-Anuradha De-Amarjeet Sinha</t>
  </si>
  <si>
    <t>Bordering and Mobilities in Ukraine</t>
  </si>
  <si>
    <t>SOCIAL SCIENCE / Cultural &amp; Ethnic Studies / General</t>
  </si>
  <si>
    <t>Irina Kuznetsova-Oksana Mikheieva</t>
  </si>
  <si>
    <t>Paintersâ€™ Playbooks in the Art Market of Early Modern Amsterdam</t>
  </si>
  <si>
    <t>ART / European / General</t>
  </si>
  <si>
    <t>Weixuan Li</t>
  </si>
  <si>
    <t>Rape Culture and the Bible</t>
  </si>
  <si>
    <t>Barbara Thiede</t>
  </si>
  <si>
    <t>Reparative Justice in Authoritarian States</t>
  </si>
  <si>
    <t>POLITICAL SCIENCE / Geopolitics</t>
  </si>
  <si>
    <t>Brian Wong Yue Shun</t>
  </si>
  <si>
    <t>Communist Actors in African Decolonial Transitions</t>
  </si>
  <si>
    <t>HISTORY / Africa / General</t>
  </si>
  <si>
    <t>Helder Adegar Fonseca-Chris Saunders-Lena Dallywater</t>
  </si>
  <si>
    <t>ÐŸÐ¾Ð»ÑŒÐ¾Ð²Ñ– Ð·Ð¹Ð¾Ð¼ÐºÐ¸</t>
  </si>
  <si>
    <t>SOCIAL SCIENCE / Methodology</t>
  </si>
  <si>
    <t xml:space="preserve"> Ð”Ð¶Ð¾Ð´Ñ– Ð‘Ð°Ñ‚Ñ‚ÐµÑ€Ð²Ð¾Ñ€Ñ‚-Ð•Ð½Ð´Ñ€ÑŽ ÐŸÑ–Ñ€ÑÐ¾Ð½-ÐŸÐ°Ñ‚Ñ€Ñ–Ðº Ð¡Ð°Ð·ÐµÑ€Ð»ÐµÐ½Ð´-ÐÐ´Ð°Ð¼ Ð¤Ð°Ñ€ÐºÑƒÑ…Ð°Ñ€</t>
  </si>
  <si>
    <t>Targeted</t>
  </si>
  <si>
    <t>University of Toronto Press</t>
  </si>
  <si>
    <t>POLITICAL SCIENCE / World / Canadian</t>
  </si>
  <si>
    <t>Noah S. Schwartz</t>
  </si>
  <si>
    <t>Transport Transitions: Advancing Sustainable and Inclusive Mobility</t>
  </si>
  <si>
    <t>TECHNOLOGY &amp; ENGINEERING / Civil / Highway &amp; Traffic</t>
  </si>
  <si>
    <t>Ciaran McNally-PÃ¡raic Carroll-Beatriz Martinez-Pastor-Bidisha Ghosh-Marina Efthymiou</t>
  </si>
  <si>
    <t>Energy Transformation in Lithuania</t>
  </si>
  <si>
    <t>Mantas Å vaÅ¾as</t>
  </si>
  <si>
    <t>Stakeholder Management and Value Co-creation in Museums</t>
  </si>
  <si>
    <t>BUSINESS &amp; ECONOMICS / Strategic Planning</t>
  </si>
  <si>
    <t>Magdalena Sawczuk</t>
  </si>
  <si>
    <t>Theorising Oliver Jeffersâ€™ Picturebooks</t>
  </si>
  <si>
    <t>LITERARY CRITICISM / Children"s &amp; Young Adult Literature</t>
  </si>
  <si>
    <t>Jade Dillon-Craig</t>
  </si>
  <si>
    <t>Syntax of Hungarian</t>
  </si>
  <si>
    <t>LANGUAGE STUDY / Hungarian</t>
  </si>
  <si>
    <t>GÃ¡bor G. Alberti-Peter P. Siptar</t>
  </si>
  <si>
    <t>Syntax of Dutch</t>
  </si>
  <si>
    <t>LANGUAGE ARTS &amp; DISCIPLINES / Grammar &amp; Punctuation</t>
  </si>
  <si>
    <t>Hans Broekhuis-Norbert Corver</t>
  </si>
  <si>
    <t>Nautical Rutters and New Bodies of Knowledge in the Age of the First Globalization, 1400-1600</t>
  </si>
  <si>
    <t>HISTORY / Europe / Renaissance</t>
  </si>
  <si>
    <t>Luis Ribeiro-David Salomoni-Henrique LeitÃ£o</t>
  </si>
  <si>
    <t>Performing Girls and Women</t>
  </si>
  <si>
    <t>Deanne Williams</t>
  </si>
  <si>
    <t>Translating the New Philosophy in the Dutch Early Enlightenment (1640-1720)</t>
  </si>
  <si>
    <t>Lucas van der Deijl</t>
  </si>
  <si>
    <t>Post-Yugoslav Cinema and the Shadows of War</t>
  </si>
  <si>
    <t>ART / History / 20th &amp; 21st Century</t>
  </si>
  <si>
    <t>Asja Makarevic</t>
  </si>
  <si>
    <t>Cultivating and Communicating Natural and Technical Knowledge Around 1800</t>
  </si>
  <si>
    <t>HISTORY / Europe / Western</t>
  </si>
  <si>
    <t>Nikolaj Bijleveld-Arjen Dijkstra-Samuel Gessner</t>
  </si>
  <si>
    <t>A Grammar of Jordanian Arabic</t>
  </si>
  <si>
    <t>LANGUAGE STUDY / Arabic</t>
  </si>
  <si>
    <t xml:space="preserve"> Bruno Herin-Enam Al-Wer</t>
  </si>
  <si>
    <t>Advanced and Emerging Marine Engineering Technologies</t>
  </si>
  <si>
    <t>TRANSPORTATION / Ships &amp; Shipbuilding / General</t>
  </si>
  <si>
    <t>Decheng Wan-Dezhi Ning-Hao Tian</t>
  </si>
  <si>
    <t>Geotechnical Modeling and Intelligent Systems</t>
  </si>
  <si>
    <t>Gao-Feng Zhao</t>
  </si>
  <si>
    <t>Artificial Humanities</t>
  </si>
  <si>
    <t>University of Michigan Press</t>
  </si>
  <si>
    <t>Nina BeguÅ¡</t>
  </si>
  <si>
    <t>Defamation in the Digital Age and the â€˜Right to Be Forgottenâ€™</t>
  </si>
  <si>
    <t>LAW / Privacy</t>
  </si>
  <si>
    <t>Fiona Brimblecombe</t>
  </si>
  <si>
    <t>Reimagining Our Futures Together</t>
  </si>
  <si>
    <t>UNESCO</t>
  </si>
  <si>
    <t>Vices of the Learned</t>
  </si>
  <si>
    <t>Sjang ten Hagen-Herman Paul</t>
  </si>
  <si>
    <t>Christ the Representative</t>
  </si>
  <si>
    <t>RELIGION / Biblical Studies / Exegesis &amp; Hermeneutics</t>
  </si>
  <si>
    <t>Reinhold Bernhardt</t>
  </si>
  <si>
    <t>From Transition To Transformation: An Economic Analysis Of North Macedonia (1991-2023)</t>
  </si>
  <si>
    <t>Balkan University Press</t>
  </si>
  <si>
    <t>Ahmet Lokce-Andrijana B. Danevska</t>
  </si>
  <si>
    <t>Musical Festival Floats of Japan</t>
  </si>
  <si>
    <t>MUSIC / Genres &amp; Styles / Folk &amp; Traditional</t>
  </si>
  <si>
    <t>HÃ¥kan LundstrÃ¶m</t>
  </si>
  <si>
    <t>Healthcare for All</t>
  </si>
  <si>
    <t>K. Srinath Reddy-Girija Vaidyanathan-Amarjeet Sinha</t>
  </si>
  <si>
    <t>Architectural Intelligence in the Age of Artificial Intelligence</t>
  </si>
  <si>
    <t>Andri Gerber-Oya Atalay Franck-Michael Mieskes</t>
  </si>
  <si>
    <t>El proceso de enseÃ±anza-aprendizaje en educaciÃ³n. Modelos, teorÃ­as del aprendizaje, estrategias docentes y otros temas de interÃ©s</t>
  </si>
  <si>
    <t>Dykinson SL</t>
  </si>
  <si>
    <t>EDUCATION / Teaching / Methods &amp; Strategies</t>
  </si>
  <si>
    <t>Cabrera Ruiz, Isaac Iran (CoordinaciÃ³n)-MÃ©ndez LÃ³pez, Ãngel Joel (CoordinaciÃ³n)-Sigalat Signes, Enric (CoordinaciÃ³n)-Toledo MÃ©ndez, Miguel Ãngel (CoordinaciÃ³n)-PÃ©rez CosÃ­n, JosÃ© Vicente (CoordinaciÃ³n)</t>
  </si>
  <si>
    <t>Nuevas tecnologÃ­as, inteligencia artificial, algoritmos y justicia.</t>
  </si>
  <si>
    <t>Alonso Salgado, Cristina (DirecciÃ³n)-RodrÃ­guez Ãlvarez, Ana (DirecciÃ³n)-ValiÃ±o Ces, Almudena (DirecciÃ³n)</t>
  </si>
  <si>
    <t>ComunicaciÃ³n digital en la era de la inteligencia artificial.</t>
  </si>
  <si>
    <t>Ãlvarez-ChÃ¡vez, Martha Patricia (CoordinaciÃ³n)-RodrÃ­guez-Garay, Gloria Olivia (CoordinaciÃ³n)</t>
  </si>
  <si>
    <t>La igualdad en la investigaciÃ³n: estudios de gÃ©nero y humanidades.</t>
  </si>
  <si>
    <t>Taillefer de Haya, Lidia (EdiciÃ³n)</t>
  </si>
  <si>
    <t>Hacia una edificaciÃ³n resiliente: patrimonio, sostenibilidad y nuevos materiales.</t>
  </si>
  <si>
    <t>ARCHITECTURE / Methods &amp; Materials</t>
  </si>
  <si>
    <t>Zaragoza Benzal, Alicia (CoordinaciÃ³n)-FerrÃ¡ndez Vega, Daniel (CoordinaciÃ³n)-Leal Matilla, Alberto (CoordinaciÃ³n)</t>
  </si>
  <si>
    <t>GuÃ­a para el lanzamiento del parque cientÃ­fico y tecnolÃ³gico multitemÃ¡tico de HolguÃ­n, Cuba.</t>
  </si>
  <si>
    <t>BrotÃ³ns MurÃ³, Luis Francisco-Escolano Asensi, Carmen Victoria-Ruiz de la PeÃ±a, Jenny-Lamoth Borrero, Leydis-Torralba BlÃ¡zquez, Ana de Lourdes</t>
  </si>
  <si>
    <t>Ordenanzas del siglo XVIII para Campo Real: conflictos en torno a su gestaciÃ³n y aplicaciÃ³n.</t>
  </si>
  <si>
    <t>HISTORY / Europe / Spain</t>
  </si>
  <si>
    <t>Torquemada SÃ¡nchez, MarÃ­a JesÃºs</t>
  </si>
  <si>
    <t>Tejiendo alianzas contra el odio. Enfoques contra la infradenuncia de los delitos odio y la discriminaciÃ³n</t>
  </si>
  <si>
    <t>SOCIAL SCIENCE / Discrimination</t>
  </si>
  <si>
    <t>Pina Castillo, MarÃ­a (CoordinaciÃ³n)-HernÃ¡ndez Prados, MÂª Ãngeles (CoordinaciÃ³n)</t>
  </si>
  <si>
    <t>Escultura moderna y contemporÃ¡nea en EspaÃ±a: focos de creaciÃ³n artÃ­stica, tÃ©cnicas y artistas.</t>
  </si>
  <si>
    <t>ART / Techniques / Sculpting</t>
  </si>
  <si>
    <t>Porres Benavides, JesÃºs (CoordinaciÃ³n)-GonzÃ¡lez Segura, Jorge (CoordinaciÃ³n)-MadroÃ±al LÃ³pez, Irene (CoordinaciÃ³n)</t>
  </si>
  <si>
    <t>La Sinergia del Layout. Estrategias de gestiÃ³n para integrar procesos administrativos, financieros, informÃ¡ticos y tecnologÃ­as emergentes</t>
  </si>
  <si>
    <t>Torres Paredes, MarÃ­a de los Ãngeles-AlarcÃ³n Torres, Francisco Xavier</t>
  </si>
  <si>
    <t>Transformando la EducaciÃ³n Universitaria: Experiencias de innovaciÃ³n docente en los Ã¡mbitos de Salud y EducaciÃ³n.</t>
  </si>
  <si>
    <t>Olondriz-Valverde, Aleix (EdiciÃ³n)</t>
  </si>
  <si>
    <t>Lâ€™analisi del materiale didattico di italiano L2/LS in prospettiva di genere: teoria, strumenti e risorse.</t>
  </si>
  <si>
    <t>EDUCATION / Teaching / Materials &amp; Devices</t>
  </si>
  <si>
    <t>Frabotta, Simona</t>
  </si>
  <si>
    <t>AvaluaciÃ³ mixta de la competÃ¨ncia digital docent.</t>
  </si>
  <si>
    <t>EDUCATION / Teaching / Subjects / Science &amp; Technology</t>
  </si>
  <si>
    <t>Palau, Ramon-PelÃ¡ez, AnÃ­bal</t>
  </si>
  <si>
    <t>Lecciones de emprendedores reales: testimonio de 40 emprendedores que inspiran.</t>
  </si>
  <si>
    <t>BUSINESS &amp; ECONOMICS / Entrepreneurship</t>
  </si>
  <si>
    <t>HernÃ¡ndez-SÃ¡nchez, Brizeida R. (EdiciÃ³n)-SÃ¡nchez GarcÃ­a, JosÃ© Carlos (EdiciÃ³n)-Cardella, Giuseppina Maria (EdiciÃ³n)-Freire Margaca, Clara MarÃ­a (EdiciÃ³n)</t>
  </si>
  <si>
    <t>EducaciÃ³n, tecnologÃ­a emergente y conciencia global. Caminos hacia una ciudadanÃ­a digital crÃ­tica y responsable</t>
  </si>
  <si>
    <t>LÃ³pez Meneses, Eloy (EdiciÃ³n)-Bernal Bravo, CÃ©sar (EdiciÃ³n)</t>
  </si>
  <si>
    <t>Innovar para transformar: educaciÃ³n, desarrollo y emprendimiento con impacto social.</t>
  </si>
  <si>
    <t>Freire Margaca, Clara MarÃ­a (EdiciÃ³n)-HernÃ¡ndez-SÃ¡nchez, Brizeida R. (EdiciÃ³n)-Cardella, Giuseppina Maria (EdiciÃ³n)-SÃ¡nchez GarcÃ­a, JosÃ© Carlos (EdiciÃ³n)</t>
  </si>
  <si>
    <t>Verdad, cuerpo y consentimiento. La racionalidad jurÃ­dica de la prostituciÃ³n en la era de la posverdad</t>
  </si>
  <si>
    <t>SOCIAL SCIENCE / Prostitution &amp; Sex Trade</t>
  </si>
  <si>
    <t>Santana Ramos, Emilia MarÃ­a</t>
  </si>
  <si>
    <t>Organising and Hosting an Erasmus+ Blended Intensive Programme (BIP) at Universidad Isabe l I. Language, Education, and Society.</t>
  </si>
  <si>
    <t>Ruiz PÃ©rez, Sergio (EdiciÃ³n)</t>
  </si>
  <si>
    <t>Libros y leyes: el derecho en las grandes obras de la literatura.</t>
  </si>
  <si>
    <t>DuÃ±aiturria Laguarda, Alicia (CoordinaciÃ³n)-Madrid Cruz, MarÃ­a Dolores (CoordinaciÃ³n)</t>
  </si>
  <si>
    <t>Isabel la CatÃ³lica y el gobierno de los territorios.</t>
  </si>
  <si>
    <t>EDUCATION / Organizations &amp; Institutions</t>
  </si>
  <si>
    <t>Calvo GÃ³mez, JosÃ© Antonio (CoordinaciÃ³n)-SÃ¡nchez SÃ¡nchez, David (CoordinaciÃ³n)</t>
  </si>
  <si>
    <t>Caminando hacia la inclusiÃ³n de las personas LGBTIQA+. Resistencias y alternativas contrahegemÃ³nicas</t>
  </si>
  <si>
    <t>SOCIAL SCIENCE / LGBTQ+ Studies / General</t>
  </si>
  <si>
    <t>SÃ¡nchez TorrejÃ³n, BegoÃ±a (DirecciÃ³n)</t>
  </si>
  <si>
    <t>Evidencia actual sobre los principales desafÃ­os en salud.</t>
  </si>
  <si>
    <t>SimÃ³n MÃ¡rquez, MarÃ­a del Mar (CompilaciÃ³n)-BarragÃ¡n MartÃ­n, Ana BelÃ©n (CompilaciÃ³n)-Molina Moreno, Pablo (CompilaciÃ³n)-FernÃ¡ndez Gea, Silvia (CompilaciÃ³n)-Molero Jurado, MarÃ­a del Mar (CompilaciÃ³n)</t>
  </si>
  <si>
    <t>FormaciÃ³n y transferencias de conocimientos educativos.</t>
  </si>
  <si>
    <t>Morales Cevallos, MarÃ­a BelÃ©n (CoordinaciÃ³n)-PelÃ­cano Piris, Noelia (CoordinaciÃ³n)-Pinel MartÃ­nez, Cristina (CoordinaciÃ³n)-PÃ©rez Esteban, MarÃ­a Dolores (CoordinaciÃ³n)</t>
  </si>
  <si>
    <t>InnovaciÃ³n y conocimiento global en la era digital.</t>
  </si>
  <si>
    <t>Morales Cevallos, MarÃ­a BelÃ©n (CoordinaciÃ³n)-LÃ³pez Meneses, Eloy (CoordinaciÃ³n)</t>
  </si>
  <si>
    <t>PromociÃ³n de los hÃ¡bitos saludables y la actividad fÃ­sica como recurso educativo en el Ã¡mbito de la educaciÃ³n fÃ­sica.</t>
  </si>
  <si>
    <t>EDUCATION / Teaching / Subjects / Physical Education</t>
  </si>
  <si>
    <t>Vaquero-CristÃ³bal, Raquel (EdiciÃ³n)-Mateo-Orcajada, AdriÃ¡n (EdiciÃ³n)-Abenza Cano, LucÃ­a (EdiciÃ³n)</t>
  </si>
  <si>
    <t>DidÃ¡ctica de las Ciencias Sociales: competencias cartogrÃ¡fica e histÃ³rica en la sociedad postdigital.</t>
  </si>
  <si>
    <t>EDUCATION / Teaching / Subjects / Social Science</t>
  </si>
  <si>
    <t>Mellado-Moreno, Pedro C.</t>
  </si>
  <si>
    <t>Nuevos paradigmas en trabajo social Chile-EspaÃ±a: entre lo tradicional y lo emergente.</t>
  </si>
  <si>
    <t>Pastor Seller, Enrique (CoordinaciÃ³n)-Leiva Sandoval, Paula (CoordinaciÃ³n)</t>
  </si>
  <si>
    <t>Intervenciones para la mejora integral del bienestar a lo largo del ciclo vital.</t>
  </si>
  <si>
    <t>MEDICAL / Education &amp; Training</t>
  </si>
  <si>
    <t>Aguilar Parra, JosÃ© Manuel (CoordinaciÃ³n)-Trigueros Ramos, RubÃ©n (CoordinaciÃ³n)-Collado Soler, RocÃ­o (CoordinaciÃ³n)</t>
  </si>
  <si>
    <t>EducaciÃ³n e inteligencia artificial. Generando ecosistemas de aprendizaje adaptativo.</t>
  </si>
  <si>
    <t>Leal RÃ­os, Fernando-HernÃ¡ndez RamÃ­rez, Mauricio-Ruiz MÃ©ndez, Manuel-Cabero Almenara, Julio</t>
  </si>
  <si>
    <t>International Congress on Sustainable Social development an approach to the future of society. ICOSSOD24</t>
  </si>
  <si>
    <t>MartÃ­n Navarro, Alicia (EdiciÃ³n)-Zebda, Siham (EdiciÃ³n)-Taskopru, Ceren (EdiciÃ³n)</t>
  </si>
  <si>
    <t>CodificaciÃ³n, robÃ³tica educativa y tecnologÃ­as emergentes en la enseÃ±anza elemental.</t>
  </si>
  <si>
    <t>EDUCATION / Schools / Levels / Elementary</t>
  </si>
  <si>
    <t>SÃ¡ez LÃ³pez, JosÃ© Manuel (CoordinaciÃ³n)-Martins Baptista LÃ£, Filipa (CoordinaciÃ³n)</t>
  </si>
  <si>
    <t>Deconstructing The Zombie. Cultural and Ideological Approaches.</t>
  </si>
  <si>
    <t>SOCIAL SCIENCE / Future Studies</t>
  </si>
  <si>
    <t>RodrÃ­guez de Austria, Alfonso M. (EdiciÃ³n)-Algaba, Cristina (EdiciÃ³n)</t>
  </si>
  <si>
    <t>GeopolÃ­tica de las narrativas culturales: el tercer espacio lÃ³gico como horizonte crÃ­tico entre hegemonÃ­a y resistencia simbÃ³lica.</t>
  </si>
  <si>
    <t>Crisman PÃ©rez, Rafael Fernando (CoordinaciÃ³n)-CastaÃ±o MadroÃ±al, Ãngeles (CoordinaciÃ³n)-Chalkha, Achouak (CoordinaciÃ³n)</t>
  </si>
  <si>
    <t>Una mirada jurÃ­dica poliÃ©drica a la normativa europea sobre inteligencia artificial.</t>
  </si>
  <si>
    <t>EstupiÃ±Ã¡n CÃ¡ceres, RosalÃ­a (DirecciÃ³n)-Fonticiella HernÃ¡ndez, Beatriz (DirecciÃ³n)-Ojeda Tacoronte, Carolina J. (CoordinaciÃ³n)</t>
  </si>
  <si>
    <t>Los pueblos de La Mancha en las respuestas generales del Catastro de Ensenada (s. XVIII). Volumen III. Puebla de Don Rodrigo-Viso del MarquÃ©s.</t>
  </si>
  <si>
    <t>RodrÃ­guez Espinosa, Eduardo-RodrÃ­guez-Domenech, MÂª Ãngeles</t>
  </si>
  <si>
    <t>Los pueblos de La Mancha en las respuestas generales del Catastro de Ensenada (s. XVIII). Volumen II. CaÃ±ada De Calatrava-Pozuelos De Calatrava, Los.</t>
  </si>
  <si>
    <t>Los pueblos de La Mancha en las respuestas generales del Catastro de Ensenada (s. XVIII). Volumen I. Abenojar-Campo de Criptana.</t>
  </si>
  <si>
    <t>Horizontes de la comunicaciÃ³n: teorÃ­a y prÃ¡ctica en la era digital.</t>
  </si>
  <si>
    <t>Mayorga Escalada, Santiago (CoordinaciÃ³n)</t>
  </si>
  <si>
    <t>Acercando el futuro a los estudiantes de ciencias de la salud.</t>
  </si>
  <si>
    <t>Terol, RaÃºl (CoordinaciÃ³n)-Quintero Cabello, Ana (CoordinaciÃ³n)</t>
  </si>
  <si>
    <t>Feminismo, educaciÃ³n y diversidad en el siglo XXI: retos y oportunidades para la transformaciÃ³n social.</t>
  </si>
  <si>
    <t>SOCIAL SCIENCE / Feminism &amp; Feminist Theory</t>
  </si>
  <si>
    <t>BandrÃ©s GoldÃ¡raz, Elena (CoordinaciÃ³n)</t>
  </si>
  <si>
    <t>El papel de la economÃ­a, la empresa y el derecho ante los nuevos entornos globales.</t>
  </si>
  <si>
    <t>POLITICAL SCIENCE / Globalization</t>
  </si>
  <si>
    <t>PÃ©rez Calle, Ricardo Diego (CoordinaciÃ³n)-Rojo Domingo, HÃ©ctor (CoordinaciÃ³n)</t>
  </si>
  <si>
    <t>Un viaje a travÃ©s de la lengua y la literatura: identidad, memoria y enseÃ±anza.</t>
  </si>
  <si>
    <t>LITERARY CRITICISM / European / Spanish &amp; Portuguese</t>
  </si>
  <si>
    <t>Flores Borjabad, Salud Adelaida (CoordinaciÃ³n)-Nisa Ãvila, Javier Antonio (CoordinaciÃ³n)</t>
  </si>
  <si>
    <t>Retos frente a los paradigmas de las sociedades etnicidad, vulnerabilidad e integraciÃ³n.</t>
  </si>
  <si>
    <t>Olivero Guidobono, Sandra (CoordinaciÃ³n)-Paz Reverol, Carmen Laura (CoordinaciÃ³n)</t>
  </si>
  <si>
    <t>ExploraciÃ³n cientÃ­fica de las tecnologÃ­as en la enseÃ±anza y aprendizaje del siglo XXI.</t>
  </si>
  <si>
    <t>GÃ³mez GÃ³mez, Marta</t>
  </si>
  <si>
    <t>UniÃ³n Europea y reto digital. Un enfoque desde la comunicaciÃ³n y la innovaciÃ³n.</t>
  </si>
  <si>
    <t>TECHNOLOGY &amp; ENGINEERING / Social Aspects</t>
  </si>
  <si>
    <t>PÃ©rez-Curiel, Concha (CoordinaciÃ³n)-DomÃ­nguez-GarcÃ­a, Ricardo (CoordinaciÃ³n)-Navarro-Moreno, JosÃ© Antonio (CoordinaciÃ³n)</t>
  </si>
  <si>
    <t>21st International Conference on Silicon Carbide and Related Materials (ICSCRM 2024)</t>
  </si>
  <si>
    <t>TECHNOLOGY &amp; ENGINEERING / Construction / General</t>
  </si>
  <si>
    <t>Victor Veliadis-Arash Salemi</t>
  </si>
  <si>
    <t>Crossings</t>
  </si>
  <si>
    <t>LITERARY CRITICISM / Renaissance</t>
  </si>
  <si>
    <t xml:space="preserve"> Natalya Din-Kariuki-Subha Mukherji-Rowan Williams</t>
  </si>
  <si>
    <t>Surgery in Uremic Patients</t>
  </si>
  <si>
    <t>MEDICAL / Surgery / General</t>
  </si>
  <si>
    <t>Michele Santangelo-Fabio Vistoli</t>
  </si>
  <si>
    <t>Functional Diseases of the Esophagus</t>
  </si>
  <si>
    <t>Vincenzo Landolfi-Salvatore Tolone</t>
  </si>
  <si>
    <t>Fast Facts: Prostate Cancer</t>
  </si>
  <si>
    <t>Karger AG (Open Access)</t>
  </si>
  <si>
    <t>MEDICAL / Oncology / General</t>
  </si>
  <si>
    <t>Manish I. Patel-Darren M. C. Poon</t>
  </si>
  <si>
    <t>Chinese Poetry and Translation</t>
  </si>
  <si>
    <t>LANGUAGE ARTS &amp; DISCIPLINES / Writing / Poetry</t>
  </si>
  <si>
    <t>Maghiel Crevel-Lucas Klein</t>
  </si>
  <si>
    <t>Security Strategies in International Business History</t>
  </si>
  <si>
    <t>BUSINESS &amp; ECONOMICS / Corporate &amp; Business History</t>
  </si>
  <si>
    <t>Marie Huber-Shakila Yacob-Christian Kleinschmidt</t>
  </si>
  <si>
    <t>The Politics of Social Media Manipulation</t>
  </si>
  <si>
    <t>Richard Rogers-Sabine Niederer</t>
  </si>
  <si>
    <t>The Future of the Dutch Colonial Past</t>
  </si>
  <si>
    <t>ART / Art &amp; Politics</t>
  </si>
  <si>
    <t>Emma Bijnen-Pepijn Brandon-Karwan Fatah-Black-Imara Limon-Wayne Modest</t>
  </si>
  <si>
    <t>Catholic Survival in the Dutch Republic</t>
  </si>
  <si>
    <t>Genji Yasuhira</t>
  </si>
  <si>
    <t>An Ed-Tech Tragedy?</t>
  </si>
  <si>
    <t>Mark West</t>
  </si>
  <si>
    <t>Identification of Fishes by Their Otoliths in 3D</t>
  </si>
  <si>
    <t>NATURE / Animals / Fish</t>
  </si>
  <si>
    <t>KÃ©lig MahÃ©-AurÃ©lie MatÃ©os-Ã‰milie Poisson Caillault-SÃ©bastien Couette-RÃ©mi Laffont-Kirsteen MacKenzie-Nicolas Andrialovanirina</t>
  </si>
  <si>
    <t>Proceedings of the MULTINOVA: First International Conference on Artificial Intelligence in Engineering, Healthcare and Sciences (ICAIEHS-2025)</t>
  </si>
  <si>
    <t>Rajendra Magar-Tabassum Maktum-Salim Shaikh-Shariq Syed-Sangita Chaudhari</t>
  </si>
  <si>
    <t>Metabolic Neuropsychiatry</t>
  </si>
  <si>
    <t>PSYCHOLOGY / Neuropsychology</t>
  </si>
  <si>
    <t>Dost Ã–ngÃ¼r-Judith M. Ford</t>
  </si>
  <si>
    <t>Praziquantel</t>
  </si>
  <si>
    <t>SCIENCE / Life Sciences / Microbiology</t>
  </si>
  <si>
    <t>Thomas Spangenberg</t>
  </si>
  <si>
    <t>Connecting Philosophy and Public Administration</t>
  </si>
  <si>
    <t>Edoardo Ongaro</t>
  </si>
  <si>
    <t>The Swedish Missionary Society and SÃ¡mi Schooling, C. 1835â€“1920</t>
  </si>
  <si>
    <t>BjÃ¶rn Norlin</t>
  </si>
  <si>
    <t>Status und Anerkennung</t>
  </si>
  <si>
    <t>POLITICAL SCIENCE / International Relations / Diplomacy</t>
  </si>
  <si>
    <t>Timo Lowinger</t>
  </si>
  <si>
    <t>Wissenschaftskommunikation und Gender</t>
  </si>
  <si>
    <t>Judith Ackermann-Anne-Kathrin Gerlieb-Anna-Sophie Barbutev</t>
  </si>
  <si>
    <t>The Construction of Social Health Systems</t>
  </si>
  <si>
    <t>MEDICAL / Ethics</t>
  </si>
  <si>
    <t>JoÃ£o Costa</t>
  </si>
  <si>
    <t>Stereotypically Autistic?</t>
  </si>
  <si>
    <t>LITERARY CRITICISM / Subjects &amp; Themes / General</t>
  </si>
  <si>
    <t>Eva Charlotte Hesse</t>
  </si>
  <si>
    <t>Buddhismus und Religion im Schulunterricht</t>
  </si>
  <si>
    <t>Lea Sara MÃ¤gli</t>
  </si>
  <si>
    <t>The Human and the Meat</t>
  </si>
  <si>
    <t>Chiara Stefanoni</t>
  </si>
  <si>
    <t>Der Kompromiss â€“ Eine demokratische Lebensform</t>
  </si>
  <si>
    <t>Gunther Hellmann</t>
  </si>
  <si>
    <t>Methoden der personalen Vermittlung im Museum</t>
  </si>
  <si>
    <t>BUSINESS &amp; ECONOMICS / Museum Administration &amp; Museology</t>
  </si>
  <si>
    <t>Angelika Doppelbauer-Monika Holzer-Kernbichler-Eva Meran-Franziska MÃ¼hlbacher</t>
  </si>
  <si>
    <t>Das PortrÃ¤t im Handbuch</t>
  </si>
  <si>
    <t>PHOTOGRAPHY / History</t>
  </si>
  <si>
    <t>Carina Dauven</t>
  </si>
  <si>
    <t>Kommunen und Wohnprojekte</t>
  </si>
  <si>
    <t>ARCHITECTURE / Urban &amp; Land Use Planning</t>
  </si>
  <si>
    <t>Larisa Tsvetkova</t>
  </si>
  <si>
    <t>Filmerotik</t>
  </si>
  <si>
    <t>PERFORMING ARTS / Film / Genres / General</t>
  </si>
  <si>
    <t>Hannah Peuker</t>
  </si>
  <si>
    <t>Die Zukunft akademischer Berufe</t>
  </si>
  <si>
    <t>EDUCATION / Counseling / Career Development</t>
  </si>
  <si>
    <t>Thies Johannsen</t>
  </si>
  <si>
    <t>Dissonantes Kunst- und Kulturerbe / Dissonant Cultural Heritage / Art et patrimoine culturel dissonants</t>
  </si>
  <si>
    <t>ART / European / German &amp; Austrian</t>
  </si>
  <si>
    <t>Jonas Nesselhauf-Joachim Rees</t>
  </si>
  <si>
    <t>Tierwerden und Pflanzendenken in der Literatur</t>
  </si>
  <si>
    <t>Hanna Sellheim</t>
  </si>
  <si>
    <t>Turning Social</t>
  </si>
  <si>
    <t>MUSIC / History &amp; Criticism</t>
  </si>
  <si>
    <t>Axel Petri-Preis-Annette Ziegenmeyer</t>
  </si>
  <si>
    <t>Digitale Ã„sthetiken im Film</t>
  </si>
  <si>
    <t>ART / Digital</t>
  </si>
  <si>
    <t>Angela Jouini</t>
  </si>
  <si>
    <t>Klima â€“ Klang â€“ Transformation</t>
  </si>
  <si>
    <t>MUSIC / Business Aspects</t>
  </si>
  <si>
    <t>Gisela Nauck-Raphael BÃ¶rger-Martina Brandorff-Gina Emerson-Manuel Rivera-Christian Thorau</t>
  </si>
  <si>
    <t>Strittige Geschlechterordnungen</t>
  </si>
  <si>
    <t>Jennifer Ramme</t>
  </si>
  <si>
    <t>Virtuelles Essen</t>
  </si>
  <si>
    <t>Jane Lia JÃ¼rgens-Kira Lewandowski-Sandra AÃŸmann</t>
  </si>
  <si>
    <t>Virtuelle Lebenswelten</t>
  </si>
  <si>
    <t>Wachstum am Wendepunkt</t>
  </si>
  <si>
    <t>POLITICAL SCIENCE / Political Ideologies / Democracy</t>
  </si>
  <si>
    <t>Uwe Hochmuth-Rudi Kurz-Michael Mangold</t>
  </si>
  <si>
    <t>EcoFolk</t>
  </si>
  <si>
    <t>Niels Penke-Joana van de LÃ¶cht</t>
  </si>
  <si>
    <t>Learning Analytics, Artificial Intelligence und Data Mining in der Hochschulbildung</t>
  </si>
  <si>
    <t>Robert Queckenberg-Jonas Leschke-Malte Persike</t>
  </si>
  <si>
    <t>Volk oder Feind?</t>
  </si>
  <si>
    <t>POLITICAL SCIENCE / History &amp; Theory</t>
  </si>
  <si>
    <t>Viola Dombrowski</t>
  </si>
  <si>
    <t>Die Grenzen der Zivilgesellschaft</t>
  </si>
  <si>
    <t>Daniel Vetter</t>
  </si>
  <si>
    <t>Medien des Gatekeeping</t>
  </si>
  <si>
    <t>Franziska Reichenbecher-Gabriele Schabacher</t>
  </si>
  <si>
    <t>Charles Millsâ€™ politische Philosophie</t>
  </si>
  <si>
    <t>Hilkje C. HÃ¤nel</t>
  </si>
  <si>
    <t>Zwischen Spielregeln und Barrieren</t>
  </si>
  <si>
    <t>Nina Wenger</t>
  </si>
  <si>
    <t>Lern- und Arbeitsprozesse im Wandel</t>
  </si>
  <si>
    <t>Ralph Dreher-Matthias Becker-Martin Frenz-Lars Windelband</t>
  </si>
  <si>
    <t>Ethnic Nationalism and Democracy: The Case of the Republic of North Macedonia</t>
  </si>
  <si>
    <t>Flamur Ismaili</t>
  </si>
  <si>
    <t>PomysÅ‚ na Smart WieÅ›. Projektowanie rozwiÄ…zaÅ„ z wykorzystaniem Design Thinking</t>
  </si>
  <si>
    <t>SOCIAL SCIENCE / Sociology / Rural</t>
  </si>
  <si>
    <t>Katarzyna Zajda-Agnieszka Michalska-Å»yÅ‚a</t>
  </si>
  <si>
    <t>Remapping the Cold War in Asian Cinemas</t>
  </si>
  <si>
    <t>HISTORY / Asia / Korea</t>
  </si>
  <si>
    <t>Sangjoon Lee-Darlene Espena</t>
  </si>
  <si>
    <t>German Cinema in the Age of Neoliberalism</t>
  </si>
  <si>
    <t>HISTORY / Europe / Germany</t>
  </si>
  <si>
    <t>Hester Baer</t>
  </si>
  <si>
    <t>The Boundaries of Data</t>
  </si>
  <si>
    <t>LAW / Science &amp; Technology</t>
  </si>
  <si>
    <t>Bart Sloot-Sascha Schendel</t>
  </si>
  <si>
    <t>Seeing the City Digitally</t>
  </si>
  <si>
    <t>SOCIAL SCIENCE / Sociology / Urban</t>
  </si>
  <si>
    <t>Gillian Rose</t>
  </si>
  <si>
    <t>CRIMINAL LAW AND JURISPRUDENCE: A Comprehensive Guide for Public Administration, Criminology, and Nursing Students</t>
  </si>
  <si>
    <t>Magna Anissa Edding Aming-Hayudini-Rashid Hadjadi Amja-Ledina P. Warid-Ayesha P. Warid-Sahial-Raniza I. Hayudini-Kamala Sangku</t>
  </si>
  <si>
    <t>By Touch Alone</t>
  </si>
  <si>
    <t>Vanessa Warne-Vanessa Kay Warne</t>
  </si>
  <si>
    <t>Media and Mapping Practices in the Middle East and North Africa</t>
  </si>
  <si>
    <t>Alena Strohmaier-Angela Krewani</t>
  </si>
  <si>
    <t>Technics</t>
  </si>
  <si>
    <t>ART / Film &amp; Video</t>
  </si>
  <si>
    <t>Nicholas Baer-Annie Oever</t>
  </si>
  <si>
    <t>Post-cinema</t>
  </si>
  <si>
    <t>PERFORMING ARTS / Film / Direction &amp; Production</t>
  </si>
  <si>
    <t>JosÃ© Moure-Dominique Chateau</t>
  </si>
  <si>
    <t>Violence and Trolling on Social Media</t>
  </si>
  <si>
    <t>Sara Polak-Daniel Trottier</t>
  </si>
  <si>
    <t>Lives in Transit in Early Modern England</t>
  </si>
  <si>
    <t>HISTORY / Europe / Great Britain / Tudor &amp; Elizabethan Era (1485-1603)</t>
  </si>
  <si>
    <t>Nandini Das</t>
  </si>
  <si>
    <t>Climate Change, Radical Uncertainty and Hope</t>
  </si>
  <si>
    <t>BUSINESS &amp; ECONOMICS / Economics / Theory</t>
  </si>
  <si>
    <t>Jan Jorrit Hasselaar</t>
  </si>
  <si>
    <t>Constructing and Representing Territory in Late Medieval and Early Modern Europe</t>
  </si>
  <si>
    <t>Mario Damen-Kim Overlaet</t>
  </si>
  <si>
    <t>Game Production Studies</t>
  </si>
  <si>
    <t>GAMES &amp; ACTIVITIES / General</t>
  </si>
  <si>
    <t>Olli Sotamaa-Jan Svelch</t>
  </si>
  <si>
    <t>Public Health in Asia During the COVID-19 Pandemic</t>
  </si>
  <si>
    <t>Anoma Veere-Florian Schneider-Catherine Lo</t>
  </si>
  <si>
    <t>The Maritime Silk Road</t>
  </si>
  <si>
    <t>Franck BillÃ©-Sanjyot Mehendale-James Lankton</t>
  </si>
  <si>
    <t>Urban Movements and Climate Change</t>
  </si>
  <si>
    <t>Marco Armiero-Salvatore Paolo Rosa-Ethemcan Turhan</t>
  </si>
  <si>
    <t>Global Perspectives on China's Belt and Road Initiative</t>
  </si>
  <si>
    <t>Florian Schneider</t>
  </si>
  <si>
    <t>The Red Years of Cahiers Du CinÃ©ma (1968-1973)</t>
  </si>
  <si>
    <t>Daniel Fairfax</t>
  </si>
  <si>
    <t>LANGUAGE STUDY / Dutch</t>
  </si>
  <si>
    <t>Towards Inclusive Social Policies?</t>
  </si>
  <si>
    <t>POLITICAL SCIENCE / Public Policy / Social Services &amp; Welfare</t>
  </si>
  <si>
    <t>Diego Fossati-Nicholas Thomas-Mark Thompson</t>
  </si>
  <si>
    <t>Ecosocial Work and Sustainability Transitions</t>
  </si>
  <si>
    <t>Koen Hermans-Ingo Stamm-Aila-Leena Matthies-Susanne Elsen</t>
  </si>
  <si>
    <t>Exemplarity in Global Politics</t>
  </si>
  <si>
    <t>Dorothy Noyes-Tobias Wille</t>
  </si>
  <si>
    <t>Studying Political Communication and Media in East Asia</t>
  </si>
  <si>
    <t>POLITICAL SCIENCE / Public Policy / Communication Policy</t>
  </si>
  <si>
    <t>The Englishization of Higher Education in Europe</t>
  </si>
  <si>
    <t>EDUCATION / Bilingual Education</t>
  </si>
  <si>
    <t>Robert Wilkinson-RenÃ© Gabriels</t>
  </si>
  <si>
    <t>The Dutch Transatlantic Slave Trade</t>
  </si>
  <si>
    <t>HISTORY / Modern / 18th Century</t>
  </si>
  <si>
    <t>Ramona NegrÃ³n-Jessica Oudsten-Camilla Koning-Karwan Fatah-Black</t>
  </si>
  <si>
    <t>Turning Gardens in Japan Into Japanese Gardens</t>
  </si>
  <si>
    <t>Christian Tagsold</t>
  </si>
  <si>
    <t>World Englishes in Their Local Multilingual Ecologies</t>
  </si>
  <si>
    <t>LANGUAGE ARTS &amp; DISCIPLINES / Linguistics / Sociolinguistics</t>
  </si>
  <si>
    <t>Peter Siemund-Gardy Stein-Manuela Vida-Mannl</t>
  </si>
  <si>
    <t>Mobile Eye Tracking</t>
  </si>
  <si>
    <t>LANGUAGE ARTS &amp; DISCIPLINES / Linguistics / Pragmatics</t>
  </si>
  <si>
    <t>Elisabeth Zima-Anja Stukenbrock</t>
  </si>
  <si>
    <t>Germanic Interrelations</t>
  </si>
  <si>
    <t>Stephen Laker-Carla Falluomini-Steffen Krogh-Robert Nedoma-Michael Schulte</t>
  </si>
  <si>
    <t>Field Research on Translation and Interpreting</t>
  </si>
  <si>
    <t>LANGUAGE ARTS &amp; DISCIPLINES / Translating &amp; Interpreting</t>
  </si>
  <si>
    <t>Regina Rogl-Daniela Schlager-Hanna Risku</t>
  </si>
  <si>
    <t>Early Language Education in Instructed Contexts</t>
  </si>
  <si>
    <t>LANGUAGE ARTS &amp; DISCIPLINES / Study &amp; Teaching</t>
  </si>
  <si>
    <t>Stefanie Frisch-Karen Glaser</t>
  </si>
  <si>
    <t>E-Learning Cookbook</t>
  </si>
  <si>
    <t>HISTORY / Asia / Japan</t>
  </si>
  <si>
    <t>NataÅ¡a N. Brouwer-Peter J. Dekker-Jakko van der Pol</t>
  </si>
  <si>
    <t>Puppetry and Dramaturgy</t>
  </si>
  <si>
    <t>PERFORMING ARTS / Theater / History &amp; Criticism</t>
  </si>
  <si>
    <t>Didier Plassard</t>
  </si>
  <si>
    <t>Fast Facts per pazienti: Macroglobulinemia di WaldenstrÃ¶m</t>
  </si>
  <si>
    <t>MEDICAL / Hematology</t>
  </si>
  <si>
    <t>Shirley, D'Sa</t>
  </si>
  <si>
    <t>Fast Facts: Myeloproliferative Neoplasms</t>
  </si>
  <si>
    <t>Ruben A. Mesa-Claire N. Harrison</t>
  </si>
  <si>
    <t>Fast Facts: Ovarialkarzinom</t>
  </si>
  <si>
    <t>Christina Fotopoulou-Thomas J. Herzog</t>
  </si>
  <si>
    <t>Fast Facts: Psychosis in Parkinson's Disease</t>
  </si>
  <si>
    <t>MEDICAL / Neurology</t>
  </si>
  <si>
    <t>Joseph H. Friedman-Clive Ballard</t>
  </si>
  <si>
    <t>Fast Facts for Patients and Their Supporters: Inflammatory Bowel Disease</t>
  </si>
  <si>
    <t>MEDICAL / Gastroenterology</t>
  </si>
  <si>
    <t>Fergus Shanahan</t>
  </si>
  <si>
    <t>Fast Facts: Cardiac Arrhythmias</t>
  </si>
  <si>
    <t>MEDICAL / Cardiology</t>
  </si>
  <si>
    <t>Gerry Kaye-Robert Lemery</t>
  </si>
  <si>
    <t>Fast Facts: Biosimilars</t>
  </si>
  <si>
    <t>Paul Cornes-David J. Bennett</t>
  </si>
  <si>
    <t>Fast Facts: Digital Medicine - Measurement</t>
  </si>
  <si>
    <t>Andrea Coravos-Jennifer C. Goldsack-Daniel R. Karlin-Camille Nebeker-Eric Perakslis-Noah Zimmerman-M. Kelley Erb</t>
  </si>
  <si>
    <t>Fast Facts: Gene Therapy</t>
  </si>
  <si>
    <t>MEDICAL / Family &amp; General Practice</t>
  </si>
  <si>
    <t>Roland W. Herzog-Linda Popplewell</t>
  </si>
  <si>
    <t>Fast Facts for Patients and Supporters: Pyruvate Kinase Deficiency</t>
  </si>
  <si>
    <t>Rachael Grace</t>
  </si>
  <si>
    <t>Fast Facts: Acute and Recurrent Pancreatitis</t>
  </si>
  <si>
    <t>Enrique de-Madaria-Matthias LÃ¶hr</t>
  </si>
  <si>
    <t>Fast Facts: Comprehensive Genomic Profiling</t>
  </si>
  <si>
    <t>MEDICAL / Genetics</t>
  </si>
  <si>
    <t>Bernardo L. Rapoport-Giancarlo Troncone-Fernando Schmitt-Simon Nayler</t>
  </si>
  <si>
    <t>Fast Facts: Measurable Residual Disease</t>
  </si>
  <si>
    <t>Justin Loke</t>
  </si>
  <si>
    <t>Fast Facts: Inflammatory Bowel Disease</t>
  </si>
  <si>
    <t>David S. Rampton-Fergus Shanahan</t>
  </si>
  <si>
    <t>Fast Facts: Respiratory Allergies</t>
  </si>
  <si>
    <t>MEDICAL / Pulmonary &amp; Thoracic Medicine</t>
  </si>
  <si>
    <t>Janet Rimmer-Francis Thien</t>
  </si>
  <si>
    <t>Fast Facts for Patients and Supporters: Cholangiocarcinoma</t>
  </si>
  <si>
    <t>Crystal Denlinger-Kristen Spencer</t>
  </si>
  <si>
    <t>Fast Facts: Myelodysplastic Syndromes</t>
  </si>
  <si>
    <t>Peter Dyer-Martha L. Arellano</t>
  </si>
  <si>
    <t>Fast Facts: Multiple Sclerosis</t>
  </si>
  <si>
    <t>Stella E. Hughes-Gabrielle Macaron</t>
  </si>
  <si>
    <t>Fast Facts: Immuno-Oncology</t>
  </si>
  <si>
    <t>Stephen Clarke-Bob T. Li</t>
  </si>
  <si>
    <t>Fast Facts for Patients: Menopause</t>
  </si>
  <si>
    <t>MEDICAL / Gynecology &amp; Obstetrics</t>
  </si>
  <si>
    <t>Paula Briggs</t>
  </si>
  <si>
    <t>Fast Facts: Type 1 Diabetes in Adults</t>
  </si>
  <si>
    <t>MEDICAL / Endocrinology &amp; Metabolism</t>
  </si>
  <si>
    <t>Reza Zaidi-Philip Weston-Julie Brake</t>
  </si>
  <si>
    <t>Fast Facts: Familial Chylomicronemia Syndrome</t>
  </si>
  <si>
    <t>Michael H. Davidson-Lane Benes-Anthony S. Wierzbicki</t>
  </si>
  <si>
    <t>Fast Facts: Postmenopausal Osteoporosis</t>
  </si>
  <si>
    <t>Elaine Dennison-Michael Clynes</t>
  </si>
  <si>
    <t>Fast Facts: Leukemia</t>
  </si>
  <si>
    <t>Justin Loke-Ankit J. Kansagra</t>
  </si>
  <si>
    <t>Fast Facts: Heart Failure</t>
  </si>
  <si>
    <t>Dariusz Korczyk-Gerry Kaye</t>
  </si>
  <si>
    <t>Fast Facts: Non-Small-Cell Lung Cancer</t>
  </si>
  <si>
    <t>Mary O'Brien-Benjamin Besse-Mark M. Awad</t>
  </si>
  <si>
    <t>Fast Facts: Excessive Daytime Sleepiness Associated with Obstructive Sleep Apnea</t>
  </si>
  <si>
    <t>Walter T. McNicholas-Ulf Kallweit-Gert Jan Lammers-Joerg Steier</t>
  </si>
  <si>
    <t>Fast Facts for Patients: WaldenstrÃ¶m Macroglobulinemia</t>
  </si>
  <si>
    <t>Shirley D'Sa</t>
  </si>
  <si>
    <t>Fast Facts: Epilepsy in Adults</t>
  </si>
  <si>
    <t>Phil Tittensor-Sheila Shepley-Martin J. Brodie</t>
  </si>
  <si>
    <t>Fast Facts: WaldenstrÃ¶m Macroglobulinemia</t>
  </si>
  <si>
    <t>Christian Buske-Jorge J. Castillo-Roger Owen-Shayna R. Sarosiek</t>
  </si>
  <si>
    <t>Fast Facts: Endometrial Cancer</t>
  </si>
  <si>
    <t>Sarah J. Kitson-Rema Iyer-Stephanie M. de Boer</t>
  </si>
  <si>
    <t>Fast Facts: The Essentials of Cytopathology</t>
  </si>
  <si>
    <t>MEDICAL / Laboratory Medicine</t>
  </si>
  <si>
    <t>Peter Dalquen</t>
  </si>
  <si>
    <t>Fast Facts: Early Hearing Detection and Intervention</t>
  </si>
  <si>
    <t>Christine Yoshinaga-Itano</t>
  </si>
  <si>
    <t>Fast Facts: Neurogenic Dysphagia</t>
  </si>
  <si>
    <t>Aliaa Sabry-Kyriaki Kyriakou-Mieke Moerman</t>
  </si>
  <si>
    <t>Fast Facts for Patients: Non-small Cell Lung Cancer with KRAS Mutation</t>
  </si>
  <si>
    <t>Anne-Marie Baird-Hossein Borghaei-Terri Conneran-Devika Das-Ticiana Leal-Howard West</t>
  </si>
  <si>
    <t>Fast Facts: Cognition in Multiple Sclerosis</t>
  </si>
  <si>
    <t>Dawn Langdon-Carolyn Young</t>
  </si>
  <si>
    <t>Fast Facts: Early Breast Cancer</t>
  </si>
  <si>
    <t>Jayant S. Vaidya-Vivek Patkar</t>
  </si>
  <si>
    <t>Fast Facts: Systemic Mastocytosis</t>
  </si>
  <si>
    <t>Deepti H. Radia-Cem Akin</t>
  </si>
  <si>
    <t>Fast Facts for Patients: Beta Thalassemia</t>
  </si>
  <si>
    <t>Antonio Piga</t>
  </si>
  <si>
    <t>Fast Facts for Patients: Alpha Thalassemia</t>
  </si>
  <si>
    <t>Kevin H. M. Kuo</t>
  </si>
  <si>
    <t>Fast Facts: Depression</t>
  </si>
  <si>
    <t>Mark Haddad-Philip Boyce</t>
  </si>
  <si>
    <t>Fast Facts: Thalassemia Syndromes</t>
  </si>
  <si>
    <t>Ali T. Taher-Sujit S. Sheth-Khaled M. Musallam</t>
  </si>
  <si>
    <t>Fast Facts for Patients: Chronic Lymphocytic Leukemia</t>
  </si>
  <si>
    <t>Kathryn Huntley-Anna Schuh-Alessandra Tedeschi</t>
  </si>
  <si>
    <t>Fast Facts: Lymphoma</t>
  </si>
  <si>
    <t>Graham P. Collins-Toby A. Eyre-Eliza Hawkes</t>
  </si>
  <si>
    <t>Fast Facts para pacientes: Beta talasemia</t>
  </si>
  <si>
    <t>Fast Facts per pazienti: Beta-talassemia</t>
  </si>
  <si>
    <t>Fast Facts: Cold Agglutinin Disease</t>
  </si>
  <si>
    <t>Wilma Barcellini-Catherine M. Broome-SigbjÃ¸rn Berentsen</t>
  </si>
  <si>
    <t>Fast Facts for Patients: Alpha thalassemia [Thai]</t>
  </si>
  <si>
    <t>Fast Facts for Patients: Sexual and Reproductive Health After Gynaecological Cancer</t>
  </si>
  <si>
    <t>Mohamed Mehasseb-Paula Briggs</t>
  </si>
  <si>
    <t>Fast Facts: Sindromi talassemiche</t>
  </si>
  <si>
    <t>Fast Facts for Patients: Colorectal Cancer with KRAS Mutation</t>
  </si>
  <si>
    <t>Rona Yaeger-Meredith Pelster</t>
  </si>
  <si>
    <t>Fast Facts: SÃ­ndromes talasÃ©micos</t>
  </si>
  <si>
    <t>Fast Facts for Patients: Marginal Zone Lymphoma</t>
  </si>
  <si>
    <t>Fast Facts for Patients: Follicular Lymphoma</t>
  </si>
  <si>
    <t>Fast Facts: Follicular Lymphoma</t>
  </si>
  <si>
    <t>Pamela McKay-Martin Dreyling</t>
  </si>
  <si>
    <t>Fast Facts: Epilepsy in Children and Young People</t>
  </si>
  <si>
    <t>Nicola Heenan-Kathryn Coleman-Phil Tittensor-Sheila Shepley</t>
  </si>
  <si>
    <t>Fast Facts: The Gut Microbiome</t>
  </si>
  <si>
    <t>Fast Facts: Marginal Zone Lymphoma</t>
  </si>
  <si>
    <t>Shirly D'Sa-Emanuele Zucca</t>
  </si>
  <si>
    <t>Guy Regnard</t>
  </si>
  <si>
    <t>Fast Facts for Patients: Urogenital Atrophy</t>
  </si>
  <si>
    <t>Fast Facts: Neuroblastoma</t>
  </si>
  <si>
    <t>Jennifer Foster-Michelle Choe-Erika A. Newman</t>
  </si>
  <si>
    <t>Fast Facts: Dermatoses in Skin of Color</t>
  </si>
  <si>
    <t>MEDICAL / Dermatology</t>
  </si>
  <si>
    <t>Paul Devakar Yesudian-Patrick Yesudian-Rohan Isaac Yesudian</t>
  </si>
  <si>
    <t>The Dutch Polder Model in Science and Research</t>
  </si>
  <si>
    <t>SCIENCE / General</t>
  </si>
  <si>
    <t>Wim Saarloos-JosÃ© Dijck</t>
  </si>
  <si>
    <t>Religiously Exclusive, Socially Inclusive</t>
  </si>
  <si>
    <t>RELIGION / Islam / Rituals &amp; Practice</t>
  </si>
  <si>
    <t>Bernhard Reitsma-Erika Nes-Visscher</t>
  </si>
  <si>
    <t>The Architecture of Empire in Modern Europe</t>
  </si>
  <si>
    <t>ARCHITECTURE / Buildings / Public, Commercial &amp; Industrial</t>
  </si>
  <si>
    <t>Miel Groten</t>
  </si>
  <si>
    <t>Fast Facts for Patients: Homozygous Familial Hypercholesterolemia</t>
  </si>
  <si>
    <t>Charlotte Dawson-Albert Wiegman</t>
  </si>
  <si>
    <t>Fast Facts for Patients: Pyruvate Kinase Deficiency</t>
  </si>
  <si>
    <t>Virtues and Vices in the Nineteenth-Century Humanities</t>
  </si>
  <si>
    <t>HISTORY / Modern / 19th Century</t>
  </si>
  <si>
    <t>Herman Paul</t>
  </si>
  <si>
    <t>Introduction to Quantum Computing for Business</t>
  </si>
  <si>
    <t>Koen Groenland</t>
  </si>
  <si>
    <t>The Uncertain World of Renaissance Geneva and Savoy</t>
  </si>
  <si>
    <t>Mathieu Caesar</t>
  </si>
  <si>
    <t>Transforming Europe in the Images of the World, 1110-1500</t>
  </si>
  <si>
    <t>Natalia Petrovskaia</t>
  </si>
  <si>
    <t>Urban Nightlife and Contested Spaces</t>
  </si>
  <si>
    <t>SOCIAL SCIENCE / Popular Culture</t>
  </si>
  <si>
    <t>Sara Brandellero-Kamilia Krakowska Rodrigues-Derek Pardue</t>
  </si>
  <si>
    <t>The Cultural Construction of Safety and Security</t>
  </si>
  <si>
    <t>Gemma Blok-Jan Oosterholt</t>
  </si>
  <si>
    <t>Horizontal Learning in the High Middle Ages</t>
  </si>
  <si>
    <t>EDUCATION / History</t>
  </si>
  <si>
    <t>Micol Long-Tjamke Snijders-Steven Vanderputten</t>
  </si>
  <si>
    <t>Colonial Vocabularies</t>
  </si>
  <si>
    <t>HISTORY / Middle East / Israel &amp; Palestine</t>
  </si>
  <si>
    <t>Sarah Irving-KarÃ¨ne Sanchez Summerer-Rachel Mairs-Lucia Admiraal</t>
  </si>
  <si>
    <t>Resilience As Heritage in Asia</t>
  </si>
  <si>
    <t>POLITICAL SCIENCE / Public Policy / Cultural Policy</t>
  </si>
  <si>
    <t>Michael Herzfeld-Rita Padawangi</t>
  </si>
  <si>
    <t>A Usable Collection</t>
  </si>
  <si>
    <t>Jan Lucassen-Aad Blok-Huub Sanders</t>
  </si>
  <si>
    <t>Affect in Fandom</t>
  </si>
  <si>
    <t>FICTION / General</t>
  </si>
  <si>
    <t>Dominika Ciesielska-Nicolle Lamerichs-Agata Zarzycka</t>
  </si>
  <si>
    <t>Social Dynamics in the Northwest Frontiers of the Late Roman Empire</t>
  </si>
  <si>
    <t>Nico Roymans-Stijn Heeren-Wim Clercq</t>
  </si>
  <si>
    <t>The Cityscapes of Taipei, Hong Kong, and Singapore During the Cold War</t>
  </si>
  <si>
    <t>HISTORY / Asia / General</t>
  </si>
  <si>
    <t>Tze-ki Hon-Ying-kit Chan</t>
  </si>
  <si>
    <t>Designs on Pots</t>
  </si>
  <si>
    <t>Penny Esterik</t>
  </si>
  <si>
    <t>Civil Society and the State in Democratic East Asia</t>
  </si>
  <si>
    <t>POLITICAL SCIENCE / Public Policy / Economic Policy</t>
  </si>
  <si>
    <t>David Chiavacci-Simona Grano-Julia Obinger</t>
  </si>
  <si>
    <t>Hybrid Museum Experiences</t>
  </si>
  <si>
    <t>Annika Waern-Anders LÃ¸vlie</t>
  </si>
  <si>
    <t>Digital China</t>
  </si>
  <si>
    <t xml:space="preserve">ART / Asian / Chinese </t>
  </si>
  <si>
    <t>Jessica Imbach</t>
  </si>
  <si>
    <t>Dynasties and State Formation in Early Modern Europe</t>
  </si>
  <si>
    <t>Liesbeth Geevers-Harald Gustafsson</t>
  </si>
  <si>
    <t>Gentrification and the Media</t>
  </si>
  <si>
    <t>StÃ©phane Sadoux-Marie-Pierre Vincent-David FÃ©e-Louise Dalingwater</t>
  </si>
  <si>
    <t>Collective Memory and the Dutch East Indies</t>
  </si>
  <si>
    <t>HISTORY / Asia / Southeast Asia</t>
  </si>
  <si>
    <t>Paul M.M. Doolan</t>
  </si>
  <si>
    <t>Questioning Traumatic Heritage</t>
  </si>
  <si>
    <t>Ihab Saloul-Patrizia Violi-Anna Lorusso-Cristina Demaria</t>
  </si>
  <si>
    <t>Machseh Lajesoumim</t>
  </si>
  <si>
    <t>Jaap Focke</t>
  </si>
  <si>
    <t>Body, Capital and Screens</t>
  </si>
  <si>
    <t>Christian Bonah-Anja LaukÃ¶tter</t>
  </si>
  <si>
    <t>The Aesthetics of Global Protest</t>
  </si>
  <si>
    <t>ART / Graffiti &amp; Street Art</t>
  </si>
  <si>
    <t>Aidan McGarry-Itir Erhart-Hande Eslen-Ziya-Olu Jenzen-Umut Korkut</t>
  </si>
  <si>
    <t>Slavery in the Cultural Imagination</t>
  </si>
  <si>
    <t>Marrigje Paijmans-Karwan Fatah-Black</t>
  </si>
  <si>
    <t>Leaving Fossil Fuels Underground</t>
  </si>
  <si>
    <t>POLITICAL SCIENCE / Political Economy</t>
  </si>
  <si>
    <t>Joyeeta Gupta-Barbara Hogenboom-Arthur Rempel-Malin Olofsson</t>
  </si>
  <si>
    <t>Merdeka</t>
  </si>
  <si>
    <t>HISTORY / Modern / 20th Century / General</t>
  </si>
  <si>
    <t>Harry Poeze-Henk Schulte Nordholt</t>
  </si>
  <si>
    <t>Fast Facts: Cutaneous T-cell Lymphoma</t>
  </si>
  <si>
    <t>Paul L. Haun-Julia J. Scarisbrick</t>
  </si>
  <si>
    <t>Healthy Aging</t>
  </si>
  <si>
    <t>MEDICAL / Geriatrics</t>
  </si>
  <si>
    <t>Reto W. Kressig</t>
  </si>
  <si>
    <t>Fast Facts: Pyruvate Kinase Deficiency</t>
  </si>
  <si>
    <t>Bertil Glader-Wilma Barcellini-Rachael Grace</t>
  </si>
  <si>
    <t>Fast Facts fÃ¼r Patient*innen: Leben mit Immunthrombozytopenie</t>
  </si>
  <si>
    <t>Frank Grieser-Axel Matzdorff</t>
  </si>
  <si>
    <t>Telehealth Clinical Guidelines for Virtual Management of Diseases</t>
  </si>
  <si>
    <t>Hanan Ali Obaid-Alsayegh Khulood Mohamed</t>
  </si>
  <si>
    <t>Fast Facts: Chronic Lymphocytic Leukemia</t>
  </si>
  <si>
    <t>Toby A. Eyre-Parag Jasani-Lindsey E. Roeker</t>
  </si>
  <si>
    <t>Fast Facts: Managing Immune-Related Adverse Events in Oncology</t>
  </si>
  <si>
    <t>Helen Westman-Malinda Itchins-Bernardo L. Rapoport</t>
  </si>
  <si>
    <t>Fast Facts: Molecular Profiling in Solid Tumors</t>
  </si>
  <si>
    <t>Parneet Cheema-Elena Garralda-Brandon S. Sheffield-Pasquale Pisapia</t>
  </si>
  <si>
    <t>Fast Facts: Dermatological Nursing</t>
  </si>
  <si>
    <t>Rebecca Penzer-Hick-Sarah Copperwheat-Lucy Moorhead-Saskia Reeken-Melanie Sutherland-Julia Wheeler-Heulwen Wyatt</t>
  </si>
  <si>
    <t>Fast Facts: Dementia and Augmentative and Alternative Communication</t>
  </si>
  <si>
    <t>Janice Murray-Shakila Dada-Adele May</t>
  </si>
  <si>
    <t>ENHANZEÂ® Drug Delivery Technology</t>
  </si>
  <si>
    <t>David W. Kang-Renee Tannenbaum</t>
  </si>
  <si>
    <t>Fast Facts: EGFR Exon 20 Insertion Mutations in NSCLC</t>
  </si>
  <si>
    <t>Julia Rotow-Parneet Cheema-Pasquale Pisapia-Giancarlo Troncone</t>
  </si>
  <si>
    <t>Fast Facts: Acute Lymphoblastic Leukemia</t>
  </si>
  <si>
    <t>Bela R. Patel-Anna Z. Castleton-Michael J. Austin</t>
  </si>
  <si>
    <t>Fast Facts: Myelofibrosis</t>
  </si>
  <si>
    <t>Donal McLornan-Claire N. Harrison</t>
  </si>
  <si>
    <t>Fast Facts: Kidney Itch</t>
  </si>
  <si>
    <t>MEDICAL / Nephrology</t>
  </si>
  <si>
    <t>Hugh Rayner-Nidhi Sukul</t>
  </si>
  <si>
    <t>Fast Facts: Medication Adherence</t>
  </si>
  <si>
    <t>Parisa Aslani-Henry N. Young-Michelle Koo</t>
  </si>
  <si>
    <t>Fast Facts: CAR T-Cell Therapy in Diffuse Large B-Cell Lymphoma</t>
  </si>
  <si>
    <t>Richard J. Buka-Deidre Moloney</t>
  </si>
  <si>
    <t>Fast Facts: Les troubles d'oxydation des acides gras Ã  chaÃ®ne longue</t>
  </si>
  <si>
    <t>Barbara K. Burton-Anne Daly</t>
  </si>
  <si>
    <t>Fast Facts: Complex Perianal Fistulas in Crohn's Disease</t>
  </si>
  <si>
    <t>Janindra Warusavitarne-Paulo Gustavo Kotze</t>
  </si>
  <si>
    <t>Fast Facts: Asthma</t>
  </si>
  <si>
    <t>Jo A. Douglass-Timothy S. C. Hinks</t>
  </si>
  <si>
    <t>Fast Facts: Perioperative Pain</t>
  </si>
  <si>
    <t>Matthew Brown-Katherin Peperzak</t>
  </si>
  <si>
    <t>Fast Facts: Long-Chain Fatty Acid Oxidation Disorders</t>
  </si>
  <si>
    <t>Fast Facts: CAR T-Cell Therapy</t>
  </si>
  <si>
    <t>Richard J. Buka-Ankit J. Kansagra</t>
  </si>
  <si>
    <t>Fast Facts: Hyperlipidemia</t>
  </si>
  <si>
    <t>Allan Sniderman-Paul Durrington</t>
  </si>
  <si>
    <t>Fast Facts: Treatment-Free Remission in Chronic Myeloid Leukemia</t>
  </si>
  <si>
    <t>Sandeep Potluri</t>
  </si>
  <si>
    <t>Fast Facts: Type 2 Diabetes</t>
  </si>
  <si>
    <t>Pam Brown-Clare Hambling</t>
  </si>
  <si>
    <t>Fast Facts: Clinical Trials in Oncology</t>
  </si>
  <si>
    <t>Allan Hackshaw-Gavin C. E. Stuart</t>
  </si>
  <si>
    <t>Fast Facts: Thrombotic Thrombocytopenic Purpura</t>
  </si>
  <si>
    <t>Marie A. Scully-Spero R. Cataland</t>
  </si>
  <si>
    <t>Fast Facts: Leucemia</t>
  </si>
  <si>
    <t>Justin Loke-Bipin Savani</t>
  </si>
  <si>
    <t>Fast Facts: Diagnosing Amyotrophic Lateral Sclerosis</t>
  </si>
  <si>
    <t>Martin Turner-Liberty Jenkins</t>
  </si>
  <si>
    <t>Fast Facts: Biosimilars in Hematology and Oncology</t>
  </si>
  <si>
    <t>MEDICAL / Chemotherapy</t>
  </si>
  <si>
    <t>Paul Cornes-Ali McBride</t>
  </si>
  <si>
    <t>Fast Facts: Acute Myeloid Leukemia</t>
  </si>
  <si>
    <t>William Blum-Vikram Mathews</t>
  </si>
  <si>
    <t>Fast Facts: Pyruvatkinase-Mangel</t>
  </si>
  <si>
    <t>Fast Facts: DÃ©ficit en pyruvate kinase</t>
  </si>
  <si>
    <t>Fast Facts: Peripheral T-cell Lymphoma</t>
  </si>
  <si>
    <t>Francine Foss-Matthew Ahearne-Christopher P. Fox</t>
  </si>
  <si>
    <t>The Works and Times of Johan Huizinga (1872â€“1945)</t>
  </si>
  <si>
    <t>Thor Rydin</t>
  </si>
  <si>
    <t>Rethinking Civil Society in Transition</t>
  </si>
  <si>
    <t>POLITICAL SCIENCE / Civil Rights</t>
  </si>
  <si>
    <t>Ester SigillÃ²</t>
  </si>
  <si>
    <t>Advertising and the Transformation of Screen Cultures</t>
  </si>
  <si>
    <t>BUSINESS &amp; ECONOMICS / Advertising &amp; Promotion</t>
  </si>
  <si>
    <t>Bo Florin-Patrick Vonderau-Yvonne Zimmermann</t>
  </si>
  <si>
    <t>The Archaeology of South-East Italy in the First Millennium BC</t>
  </si>
  <si>
    <t>Douwe Yntema</t>
  </si>
  <si>
    <t>Social Movements and the Politics of Debt</t>
  </si>
  <si>
    <t>Christoph Sorg</t>
  </si>
  <si>
    <t>The Frisian Popular Militias Between 1480 and 1560</t>
  </si>
  <si>
    <t>Hans Mol</t>
  </si>
  <si>
    <t>Lyrical Experiments in Sinophone Verse</t>
  </si>
  <si>
    <t>Justyna Jaguscik-Joanna Krenz-Andrea Riemenschnitter</t>
  </si>
  <si>
    <t>African Media in an Age of Extraction</t>
  </si>
  <si>
    <t>Noah Tsika</t>
  </si>
  <si>
    <t>Media Infrastructures and the Politics of Digital Time</t>
  </si>
  <si>
    <t>PHILOSOPHY / Social</t>
  </si>
  <si>
    <t>Axel Volmar-Kyle Stine</t>
  </si>
  <si>
    <t>Border Deaths</t>
  </si>
  <si>
    <t>POLITICAL SCIENCE / Public Policy / Immigration</t>
  </si>
  <si>
    <t>Paolo Cuttitta-Tamara Last</t>
  </si>
  <si>
    <t>Contingent Loyalties</t>
  </si>
  <si>
    <t>Diana Zhidan Duan</t>
  </si>
  <si>
    <t>Supreme Courts Under Nazi Occupation</t>
  </si>
  <si>
    <t>HISTORY / Wars &amp; Conflicts / World War II / General</t>
  </si>
  <si>
    <t>Derk Venema</t>
  </si>
  <si>
    <t>Banking for a Better World</t>
  </si>
  <si>
    <t>Nanno Kleiterp</t>
  </si>
  <si>
    <t>Pathways in Decentralised Collective Bargaining in Europe</t>
  </si>
  <si>
    <t>Frank Tros</t>
  </si>
  <si>
    <t>Shaping Film Festivals In a Changing World</t>
  </si>
  <si>
    <t>Dorota Ostrowska-Tamara Falicov</t>
  </si>
  <si>
    <t>Audiovisual Thinking and the Essay Film</t>
  </si>
  <si>
    <t>Lourdes Monterrubio IbÃ¡Ã±ez</t>
  </si>
  <si>
    <t>Films That Work Harder</t>
  </si>
  <si>
    <t>Vinzenz Hediger-Florian Hoof-Yvonne Zimmermann-Scott Anthony</t>
  </si>
  <si>
    <t>Trauma and Nostalgia</t>
  </si>
  <si>
    <t>POLITICAL SCIENCE / Political Ideologies / Nationalism &amp; Patriotism</t>
  </si>
  <si>
    <t>Lucien Liere-Srdjan Sremac</t>
  </si>
  <si>
    <t>Humans and Aquatic Animals in Early Modern America and Africa</t>
  </si>
  <si>
    <t>Cristina Brito</t>
  </si>
  <si>
    <t>Travel Writing in Mongolia and Northern China, 1860-2020</t>
  </si>
  <si>
    <t>Phillip Marzluf</t>
  </si>
  <si>
    <t>Algorithmic Regimes</t>
  </si>
  <si>
    <t>COMPUTERS / Data Science / Data Analytics</t>
  </si>
  <si>
    <t>Juliane Jarke-Bianca Prietl-Simon Egbert-Yana Boeva-Hendrik Heuer</t>
  </si>
  <si>
    <t>The Art of Regenerative Educatorship</t>
  </si>
  <si>
    <t>EDUCATION / Experimental Methods</t>
  </si>
  <si>
    <t>Mieke Lopes Cardozo-Koen Wessels-Bas Berg</t>
  </si>
  <si>
    <t>Visser 't Hooft, 1900-1985</t>
  </si>
  <si>
    <t>BIOGRAPHY &amp; AUTOBIOGRAPHY / Religious</t>
  </si>
  <si>
    <t>Jurjen Zeilstra</t>
  </si>
  <si>
    <t>Colonialism, Capitalism and Racism</t>
  </si>
  <si>
    <t>Jan Breman</t>
  </si>
  <si>
    <t>Cinema, Trance and Cybernetics</t>
  </si>
  <si>
    <t>Ute Holl</t>
  </si>
  <si>
    <t>Music Worlding in Palau</t>
  </si>
  <si>
    <t>MUSIC / Ethnomusicology</t>
  </si>
  <si>
    <t>Birgit Abels</t>
  </si>
  <si>
    <t>Rethinking the Republic of Letters</t>
  </si>
  <si>
    <t>Koen Scholten</t>
  </si>
  <si>
    <t>Katalin Ã‰. Kiss-Veronika Hegedus</t>
  </si>
  <si>
    <t>Inconvenient Heritage</t>
  </si>
  <si>
    <t>Jos Beurden</t>
  </si>
  <si>
    <t>Practicing Decoloniality in Museums</t>
  </si>
  <si>
    <t>Csilla Ariese-Magdalena WrÃ³blewska</t>
  </si>
  <si>
    <t>Branding Books Across the Ages</t>
  </si>
  <si>
    <t>Helleke Braber-Jeroen Dera-Jos Joosten-Maarten Steenmeijer</t>
  </si>
  <si>
    <t>Data Visualization in Society</t>
  </si>
  <si>
    <t>COMPUTERS / Data Science / Data Visualization</t>
  </si>
  <si>
    <t>Martin Engebretsen-Helen Kennedy</t>
  </si>
  <si>
    <t>Literary Hispanophobia and Hispanophilia in Britain and the Low Countries (1550-1850)</t>
  </si>
  <si>
    <t>Yolanda RodrÃ­guez PÃ©rez</t>
  </si>
  <si>
    <t>Keywords of Identity, Race, and Human Mobility in Early Modern England</t>
  </si>
  <si>
    <t>Nandini Das-JoÃ£o Vicente Melo-Lauren Working-Haig Smith</t>
  </si>
  <si>
    <t>Picturing Animals and Plants in Early Modern China and Japan</t>
  </si>
  <si>
    <t>ART / Asian / General</t>
  </si>
  <si>
    <t>Fan Lin-Doreen Mueller</t>
  </si>
  <si>
    <t>Collaborative Research in the Datafied Society</t>
  </si>
  <si>
    <t>Mirko Tobias SchÃ¤fer-Karin Es-Tracey Lauriault</t>
  </si>
  <si>
    <t>Digital Media Practices in Households</t>
  </si>
  <si>
    <t>Larissa Hjorth-Kana Ohashi-Jolynna Sinanan-Heather Horst-Sarah Pink</t>
  </si>
  <si>
    <t>Capitalism Reconnected</t>
  </si>
  <si>
    <t>BUSINESS &amp; ECONOMICS / Structural Adjustment</t>
  </si>
  <si>
    <t>Jan Peter Balkenende-Govert Buijs</t>
  </si>
  <si>
    <t>Engines of Order</t>
  </si>
  <si>
    <t>COMPUTERS / Information Theory</t>
  </si>
  <si>
    <t>Bernhard Rieder</t>
  </si>
  <si>
    <t>The Wise Merchant</t>
  </si>
  <si>
    <t>HISTORY / Study &amp; Teaching</t>
  </si>
  <si>
    <t>Barlaeus-Anna-Luna Post-Corinna Vermeulen</t>
  </si>
  <si>
    <t>River Cities in Asia</t>
  </si>
  <si>
    <t>Rita Padawangi-Paul RabÃ©-Adrian Perkasa</t>
  </si>
  <si>
    <t>Colonial Objects in Early Modern Sweden and Beyond</t>
  </si>
  <si>
    <t>MÃ¥rten Snickare</t>
  </si>
  <si>
    <t>Multispecies Dialogues</t>
  </si>
  <si>
    <t>NATURE / Animal Rights</t>
  </si>
  <si>
    <t>Eva Meijer</t>
  </si>
  <si>
    <t>Subjectivity</t>
  </si>
  <si>
    <t>Dominique Chateau</t>
  </si>
  <si>
    <t>Situating Data</t>
  </si>
  <si>
    <t>Karin Es-Nanna Verhoeff</t>
  </si>
  <si>
    <t>Leeuwenhoek's Legatees and Beijerinck's Beneficiaries</t>
  </si>
  <si>
    <t>Gerard Doornum-Ton Helvoort-Neeraja Sankaran</t>
  </si>
  <si>
    <t>Art and Its Geographies</t>
  </si>
  <si>
    <t>Ingrid Vermeulen</t>
  </si>
  <si>
    <t>Screen Genealogies</t>
  </si>
  <si>
    <t>COMPUTERS / User Interfaces</t>
  </si>
  <si>
    <t>Craig Buckley-RÃ¼diger Campe-Francesco Casetti</t>
  </si>
  <si>
    <t>Development on Loan</t>
  </si>
  <si>
    <t>BUSINESS &amp; ECONOMICS / Economics / Microeconomics</t>
  </si>
  <si>
    <t>Nicholas Loubere</t>
  </si>
  <si>
    <t>Thefts of Relics in Italy</t>
  </si>
  <si>
    <t>HISTORY / Europe / Italy</t>
  </si>
  <si>
    <t>Marco Papasidero</t>
  </si>
  <si>
    <t>The Pop Theology of Videogames</t>
  </si>
  <si>
    <t>Lars Wildt</t>
  </si>
  <si>
    <t>Indigenous Heritage and Identity of the Last Elephant Catchers in Northeast Thailand</t>
  </si>
  <si>
    <t>Alisa Santikarn</t>
  </si>
  <si>
    <t>Migrant Protest</t>
  </si>
  <si>
    <t>Elias Steinhilper</t>
  </si>
  <si>
    <t>Astronomer, Cartographer and Naturalist of the New World</t>
  </si>
  <si>
    <t>HISTORY / Latin America / South America</t>
  </si>
  <si>
    <t>Oscar Matsuura-Huib Zuidervaart</t>
  </si>
  <si>
    <t>Beijing Garbage</t>
  </si>
  <si>
    <t>TECHNOLOGY &amp; ENGINEERING / Environmental / Waste Management</t>
  </si>
  <si>
    <t>Stefan Landsberger</t>
  </si>
  <si>
    <t>Czech Broadside Ballads As Text, Art, Song in Popular Culture, C.1600â€“1900</t>
  </si>
  <si>
    <t>HISTORY / Europe / Eastern</t>
  </si>
  <si>
    <t>Patricia Fumerton-Pavel Kosek-Marie HanzelkovÃ¡</t>
  </si>
  <si>
    <t>Urban Life and Intellectual Crisis in Middle-Period China, 800-1100</t>
  </si>
  <si>
    <t>Christian Pee</t>
  </si>
  <si>
    <t>Screen Space Reconfigured</t>
  </si>
  <si>
    <t>Susanne Saether-Synne Tollerud Bull</t>
  </si>
  <si>
    <t>Flavian Responses to Nero's Rome</t>
  </si>
  <si>
    <t>ARCHITECTURE / History / Ancient &amp; Classical</t>
  </si>
  <si>
    <t>Mark Heerink-Esther Meijer</t>
  </si>
  <si>
    <t>Anton Pannekoek: Ways of Viewing Science and Society</t>
  </si>
  <si>
    <t>BIOGRAPHY &amp; AUTOBIOGRAPHY / Science &amp; Technology</t>
  </si>
  <si>
    <t>Chaokang Tai-Bart Steen-Jeroen Dongen</t>
  </si>
  <si>
    <t>Film Societies in Germany and Austria 1910-1933</t>
  </si>
  <si>
    <t>Michael Cowan</t>
  </si>
  <si>
    <t>Organizing for Independence</t>
  </si>
  <si>
    <t>Hans Jonas Gunzelmann</t>
  </si>
  <si>
    <t>Flows and Frictions in Trans-Himalayan Spaces</t>
  </si>
  <si>
    <t>Gunnel CederlÃ¶f-Willem Schendel</t>
  </si>
  <si>
    <t>Boredom, Shanzhai, and Digitisation in the Time of Creative China</t>
  </si>
  <si>
    <t>Jeroen Kloet-Yiu Fai Chow-Lena Scheen</t>
  </si>
  <si>
    <t>Factional-Ideological Conflicts in Chinese Politics</t>
  </si>
  <si>
    <t>Olivia Cheung</t>
  </si>
  <si>
    <t>Geology of the Netherlands</t>
  </si>
  <si>
    <t>Johan Veen-Geert-Jan Vis-Jan Jager-Theo Wong</t>
  </si>
  <si>
    <t>Feminist Futures of Work</t>
  </si>
  <si>
    <t>POLITICAL SCIENCE / Labor &amp; Industrial Relations</t>
  </si>
  <si>
    <t>Payal Arora-Usha Raman-RenÃ© KÃ¶nig</t>
  </si>
  <si>
    <t>Human Trafficking and Sexual Exploitation Around the World</t>
  </si>
  <si>
    <t>LAW / Gender &amp; the Law</t>
  </si>
  <si>
    <t>Marijke Malsch-Janine Janssen</t>
  </si>
  <si>
    <t>Fast Facts: Cholangiocarcinoma</t>
  </si>
  <si>
    <t>Rachna T., Shroff-Chiara, Braconi</t>
  </si>
  <si>
    <t>Fast Facts: Blastic Plasmacytoid Dendritic Cell Neoplasm</t>
  </si>
  <si>
    <t>Eric Deconinck-Andrew A. Lane-Naveen Pemmaraju-Francine Garnache Ottou</t>
  </si>
  <si>
    <t>Fast Facts: Ottimizzazione del trattamento delle fluttuazioni motorie nella malattia di Parkinson</t>
  </si>
  <si>
    <t>Fabrizio, Stocchi-Thomas, Foltynie</t>
  </si>
  <si>
    <t>Fast Facts: OptimizaciÃ³n del tratamiento de las fluctuaciones motoras en la enfermedad de Parkinson</t>
  </si>
  <si>
    <t>The Animist Imagination in East Asian Cinema</t>
  </si>
  <si>
    <t>BODY, MIND &amp; SPIRIT / Afterlife &amp; Reincarnation</t>
  </si>
  <si>
    <t>Pao-chen Tang</t>
  </si>
  <si>
    <t>Exploring Past Images in a Digital Age</t>
  </si>
  <si>
    <t>Nezih Erdogan-Ebru Kayaalp</t>
  </si>
  <si>
    <t>Medieval Communities and the Mad</t>
  </si>
  <si>
    <t>HISTORY / Europe / France</t>
  </si>
  <si>
    <t>Aleksandra Nicole Pfau</t>
  </si>
  <si>
    <t>Spaces</t>
  </si>
  <si>
    <t>Ian Christie</t>
  </si>
  <si>
    <t>Water in Times of Climate Change</t>
  </si>
  <si>
    <t>POLITICAL SCIENCE / Public Policy / City Planning &amp; Urban Development</t>
  </si>
  <si>
    <t>Jan Jorrit Hasselaar-Elisabeth IJmker</t>
  </si>
  <si>
    <t>Archival Film Curatorship</t>
  </si>
  <si>
    <t>Grazia Ingravalle</t>
  </si>
  <si>
    <t>Contested Legitimacies</t>
  </si>
  <si>
    <t>HISTORY / Modern / 21st Century</t>
  </si>
  <si>
    <t>Jannis Julien Grimm</t>
  </si>
  <si>
    <t>The Propagation of Misinformation in Social Media</t>
  </si>
  <si>
    <t>COMPUTERS / Internet / Social Media</t>
  </si>
  <si>
    <t>Richard Rogers</t>
  </si>
  <si>
    <t>The Social Drama of Daily Work</t>
  </si>
  <si>
    <t>Sarah Schneewind</t>
  </si>
  <si>
    <t>The Empty Showcase Syndrome</t>
  </si>
  <si>
    <t>The Structures of the Film Experience by Jean-Pierre Meunier</t>
  </si>
  <si>
    <t>Julian Hanich-Daniel Fairfax</t>
  </si>
  <si>
    <t>Coming of Age in Chinese Literature and Cinema</t>
  </si>
  <si>
    <t>LITERARY CRITICISM / Asian / Chinese</t>
  </si>
  <si>
    <t>Andrea Riemenschnitter-Kiu-wai Chu-Mung Ting Chung</t>
  </si>
  <si>
    <t>Memory Culture of the Anti-Leftist Violence in Indonesia</t>
  </si>
  <si>
    <t>Grace Tjandra Leksana</t>
  </si>
  <si>
    <t>Frans Hals</t>
  </si>
  <si>
    <t>ANTIQUES &amp; COLLECTIBLES / Care &amp; Restoration</t>
  </si>
  <si>
    <t>Norbert Middelkoop-Rudi Ekkart</t>
  </si>
  <si>
    <t>No Bicycle, No Bus, No Job</t>
  </si>
  <si>
    <t>Patrick Bek</t>
  </si>
  <si>
    <t>ZoltÃ¡n BÃ¡nrÃ©ti</t>
  </si>
  <si>
    <t>South Asia on the Move</t>
  </si>
  <si>
    <t>Benjamin Linder-Tarini Bedi</t>
  </si>
  <si>
    <t>Chiang Mai Between Empire and Modern Thailand</t>
  </si>
  <si>
    <t>Taylor M. Easum</t>
  </si>
  <si>
    <t>Realist Cinema As World Cinema</t>
  </si>
  <si>
    <t>LÃºcia Nagib</t>
  </si>
  <si>
    <t>Dealing with Disasters From Early Modern to Modern Times</t>
  </si>
  <si>
    <t>Hanneke Asperen-Lotte Jensen</t>
  </si>
  <si>
    <t>Video Game Characters and Transmedia Storytelling</t>
  </si>
  <si>
    <t>ART / Mixed Media</t>
  </si>
  <si>
    <t>Joleen Blom</t>
  </si>
  <si>
    <t>The Humanities and the Modern Politics of Knowledge</t>
  </si>
  <si>
    <t>Anders EkstrÃ¶m-Hampus Ã–sth Gustafsson</t>
  </si>
  <si>
    <t>Cycling Pathways</t>
  </si>
  <si>
    <t>Henk-Jan Dekker</t>
  </si>
  <si>
    <t>Persuasive Gaming in Context</t>
  </si>
  <si>
    <t>COMPUTERS / Programming / Games</t>
  </si>
  <si>
    <t>Teresa La Hera-Jeroen Jansz-Joost Raessens-Ben Schouten</t>
  </si>
  <si>
    <t>Contesting Austerity</t>
  </si>
  <si>
    <t>Tiago Carvalho</t>
  </si>
  <si>
    <t>Notions of Privacy at Early Modern European Courts</t>
  </si>
  <si>
    <t>Dustin M. Neighbors-Lars Cyril NÃ¸rgaard-Elena Woodacre</t>
  </si>
  <si>
    <t>Doing Digital Migration Studies</t>
  </si>
  <si>
    <t>Koen Leurs-Sandra Ponzanesi</t>
  </si>
  <si>
    <t>Communication Research Into the Digital Society</t>
  </si>
  <si>
    <t>SCIENCE / Research &amp; Methodology</t>
  </si>
  <si>
    <t>Theo Araujo-Peter Neijens</t>
  </si>
  <si>
    <t>Governing the Digital Society</t>
  </si>
  <si>
    <t>JosÃ© Dijck-Karin Es-Anne Helmond-Fernando Vlist</t>
  </si>
  <si>
    <t>Materialized Identities in Early Modern Culture, 1450-1750</t>
  </si>
  <si>
    <t>Susanna Burghartz-Lucas Burkart-Christine GÃ¶ttler-Ulinka Rublack</t>
  </si>
  <si>
    <t>Aesthetics of Gentrification</t>
  </si>
  <si>
    <t>Christoph Lindner-Gerard Sandoval</t>
  </si>
  <si>
    <t>Cultural Security in Contemporary China and Mongolia</t>
  </si>
  <si>
    <t>Jarmila PtÃ¡ckovÃ¡-Ondrej Klimes</t>
  </si>
  <si>
    <t>Contesting Cosmopolitan Europe</t>
  </si>
  <si>
    <t>James Foley-Umut Korkut</t>
  </si>
  <si>
    <t>Engaged Humanities</t>
  </si>
  <si>
    <t>Aagje Swinnen-Amanda Kluveld-RenÃ©e Vall</t>
  </si>
  <si>
    <t>Traditional Tunes and Lived Religion in the Protestant Church on the Central Moluccas, Indonesia</t>
  </si>
  <si>
    <t>MUSIC / Religious / Christian</t>
  </si>
  <si>
    <t>Jip Lensink</t>
  </si>
  <si>
    <t>The Visual Memory of Protest</t>
  </si>
  <si>
    <t>Ann Rigney-Thomas Smits</t>
  </si>
  <si>
    <t>Abduction, Marriage, and Consent in the Late Medieval Low Countries</t>
  </si>
  <si>
    <t>Chanelle Delameillieure</t>
  </si>
  <si>
    <t>Birth Justice</t>
  </si>
  <si>
    <t>HEALTH &amp; FITNESS / Women"s Health</t>
  </si>
  <si>
    <t>Rodante Waal</t>
  </si>
  <si>
    <t>How Things Make History</t>
  </si>
  <si>
    <t>Astrid Oyen</t>
  </si>
  <si>
    <t>Land, Life, and Emotional Landscapes at the Margins of Bangladesh</t>
  </si>
  <si>
    <t>Ã‰va RozÃ¡lia HÃ¶lzle</t>
  </si>
  <si>
    <t>Rural-Urban Migration and Agro-Technological Change in Post-Reform China</t>
  </si>
  <si>
    <t>Lena Kaufmann</t>
  </si>
  <si>
    <t>Missionary Men in the Early Modern World</t>
  </si>
  <si>
    <t>Ulrike Strasser</t>
  </si>
  <si>
    <t>Creation and Creativity in Medieval Art</t>
  </si>
  <si>
    <t>ART / Movements / Medieval</t>
  </si>
  <si>
    <t>Beate Fricke</t>
  </si>
  <si>
    <t>European Women's Letter-writing From the 11th to the 20th Centuries</t>
  </si>
  <si>
    <t>Clare Monagle-Carolyn James-David Garrioch-Barbara Caine</t>
  </si>
  <si>
    <t>The New Second Generation in Switzerland</t>
  </si>
  <si>
    <t>SOCIAL SCIENCE / Regional Studies</t>
  </si>
  <si>
    <t>Rosita Fibbi-Dusan Ugrina-Ceren TopgÃ¼l-Philippe Wanner</t>
  </si>
  <si>
    <t>How Film Histories Were Made</t>
  </si>
  <si>
    <t>HISTORY / Historiography</t>
  </si>
  <si>
    <t>Malte Hagener-Yvonne Zimmermann</t>
  </si>
  <si>
    <t>Plessner's Philosophical Anthropology</t>
  </si>
  <si>
    <t>Jos Mul</t>
  </si>
  <si>
    <t>Cutting Through Complexity</t>
  </si>
  <si>
    <t>Amy-Jane A. Gielen</t>
  </si>
  <si>
    <t>Urban Screens</t>
  </si>
  <si>
    <t>ARCHITECTURE / General</t>
  </si>
  <si>
    <t>Nanna Verhoeff</t>
  </si>
  <si>
    <t>Making the Palace Machine Work</t>
  </si>
  <si>
    <t>Martina Siebert-Kai Jun Chen-Dorothy Ko</t>
  </si>
  <si>
    <t>Calculated Nationalism in Contemporary South Korea</t>
  </si>
  <si>
    <t>Gil-Soo Han</t>
  </si>
  <si>
    <t>The Future of Cultural Analysis</t>
  </si>
  <si>
    <t>EDUCATION / Teaching / Subjects / Arts &amp; Humanities</t>
  </si>
  <si>
    <t>Murat Aydemir-Noa Roei-Aylin Kuryel</t>
  </si>
  <si>
    <t>Intersex Figures in Modern Japanese Literature and Art</t>
  </si>
  <si>
    <t>Leslie Winston</t>
  </si>
  <si>
    <t>NTPC Transactions on Energy Research (NTER 2025)</t>
  </si>
  <si>
    <t>S. Shaswattam-Anil Kumar Das-Subrata Sarkar-Prahlad Halder</t>
  </si>
  <si>
    <t>Comparative Studies on Chinese and Western Civilizations</t>
  </si>
  <si>
    <t>PAN Yue</t>
  </si>
  <si>
    <t>Personalisierte Online-Werbung</t>
  </si>
  <si>
    <t>Amelie Mehlan</t>
  </si>
  <si>
    <t>Pragmatics in Contested Interpretation</t>
  </si>
  <si>
    <t>Samuel Bourgeois-Derek Bousfield</t>
  </si>
  <si>
    <t>Transnational Diaspora Entrepreneurship</t>
  </si>
  <si>
    <t>Kazuko Yokoyama-Sarah Louisa Birchley</t>
  </si>
  <si>
    <t>A Digital Europe for Citizens</t>
  </si>
  <si>
    <t>GraÃ§a Enes-InÃªs Neves-Tiago Morais Rocha</t>
  </si>
  <si>
    <t>Corporate Social Responsibility in Football Associations</t>
  </si>
  <si>
    <t>BUSINESS &amp; ECONOMICS / Business Ethics</t>
  </si>
  <si>
    <t>Mehtap Cengiz</t>
  </si>
  <si>
    <t>Du bist, was du siehst?</t>
  </si>
  <si>
    <t>Melanie Kamann-Holt</t>
  </si>
  <si>
    <t>The European Framework of Credit Intermediaries</t>
  </si>
  <si>
    <t>BUSINESS &amp; ECONOMICS / Industries / Financial Services</t>
  </si>
  <si>
    <t>Umberto Filotto-Francesco Ruggiero-Dario Sgrulletti</t>
  </si>
  <si>
    <t>Ã–konomische versus strukturelle RationalitÃ¤t im Kooperationsdilemma</t>
  </si>
  <si>
    <t>Anna-Vanadis Faix</t>
  </si>
  <si>
    <t>Apotheke 4.0 â€“ Digitale Transformation der Vor-Ort-Apotheken</t>
  </si>
  <si>
    <t>Judith Becker</t>
  </si>
  <si>
    <t>Memories Set in Stoneâ€”How Visitors Make Sense of Memorials</t>
  </si>
  <si>
    <t>Larissa Hugentobler</t>
  </si>
  <si>
    <t>Loan Risk Management of Commercial Real Estate Debt Funds</t>
  </si>
  <si>
    <t>BUSINESS &amp; ECONOMICS / Real Estate / General</t>
  </si>
  <si>
    <t>Wilhelm Hammel</t>
  </si>
  <si>
    <t>Beyond Loneliness</t>
  </si>
  <si>
    <t>Jane Farmer-Milovan Savic-Tracy De Cotta</t>
  </si>
  <si>
    <t>Innovative Social Practice and Community-Based Approach to the Ocean</t>
  </si>
  <si>
    <t>Michael C. Huang-Jih-Gau Juang-Hongshi Jin</t>
  </si>
  <si>
    <t>Bridging Governance, Public Support, Innovation, and Transparency</t>
  </si>
  <si>
    <t>BUSINESS &amp; ECONOMICS / Corporate Governance</t>
  </si>
  <si>
    <t>Bodo E. Steiner-Inna Makarenko</t>
  </si>
  <si>
    <t>Taxation in the Digital Era</t>
  </si>
  <si>
    <t>BUSINESS &amp; ECONOMICS / Public Finance</t>
  </si>
  <si>
    <t>Ã…sa Hansson-Joakim Wernberg</t>
  </si>
  <si>
    <t>Elements of Seismic Hazard in Mines</t>
  </si>
  <si>
    <t>SCIENCE / Earth Sciences / Geology</t>
  </si>
  <si>
    <t>Aleksander J. Mendecki</t>
  </si>
  <si>
    <t>Artificial Intelligence in Military Technology</t>
  </si>
  <si>
    <t>Kairi Talves-Dierk Spreen</t>
  </si>
  <si>
    <t>The Inclusive Circular Economy</t>
  </si>
  <si>
    <t>Martin de Jong-Daan Schraven-Tong Xin-Liang Dong</t>
  </si>
  <si>
    <t>Horizontal Intergovernmental Coordination at Local and Regional Levels</t>
  </si>
  <si>
    <t>Nathalie Behnke-Bettina Petersohn</t>
  </si>
  <si>
    <t>An Evolutionary Story of Agency</t>
  </si>
  <si>
    <t>Ãlvaro Moreno-Juli PeretÃ³</t>
  </si>
  <si>
    <t>Progress in Landslide Research and Technology, Volume 4 Issue 1, 2025</t>
  </si>
  <si>
    <t>NATURE / Natural Disasters</t>
  </si>
  <si>
    <t>Biljana Abolmasov-Irasema AlcÃ¡ntara-Ayala-Å½eljko Arbanas-Kazuo Konagai-MatjaÅ¾ MikoÅ¡</t>
  </si>
  <si>
    <t>Ã–sterreichs Image im Wandel der Zeit</t>
  </si>
  <si>
    <t>Nadya Knops</t>
  </si>
  <si>
    <t>Narratives of Resilience / Narrative der Resilienz</t>
  </si>
  <si>
    <t>LITERARY CRITICISM / Modern / General</t>
  </si>
  <si>
    <t>Kate Rigby-Evi Zemanek</t>
  </si>
  <si>
    <t>Sprachliche Bildung im Fach Philosophie</t>
  </si>
  <si>
    <t>Kerstin Gregor-Gehrmann</t>
  </si>
  <si>
    <t>Affective Injustice in Healthcare</t>
  </si>
  <si>
    <t>SCIENCE / Ethics</t>
  </si>
  <si>
    <t>Brenda Bogaert</t>
  </si>
  <si>
    <t>The Human Right to Democracy in Multilevel Systems at a Time of Democratic Backsliding: Global, Regional and European Union Perspectives</t>
  </si>
  <si>
    <t>Thomas Giegerich</t>
  </si>
  <si>
    <t>Volksabstimmungen als Heilmittel oder Gift fÃ¼r die reprÃ¤sentative Demokratie</t>
  </si>
  <si>
    <t>Stefan Jung</t>
  </si>
  <si>
    <t>The Russia-Ukraine War and Its Origins</t>
  </si>
  <si>
    <t>POLITICAL SCIENCE / Peace</t>
  </si>
  <si>
    <t>Ivan Katchanovski</t>
  </si>
  <si>
    <t>The Canary in the Coalmine</t>
  </si>
  <si>
    <t>MEDICAL / Urology</t>
  </si>
  <si>
    <t>Emmanuele A. Jannini</t>
  </si>
  <si>
    <t>Digital Education: Shaping Sustainable Lifelong Learning for All in the Era of AI</t>
  </si>
  <si>
    <t>Ella Hamonic-RÃ©mi Sharrock</t>
  </si>
  <si>
    <t>COMPUTERS / Computer Science</t>
  </si>
  <si>
    <t>Intelligent Localization for Integrated Sensing and Communication</t>
  </si>
  <si>
    <t>Xiaoqiang Zhu-Yuan Liu-Chunpeng Wang</t>
  </si>
  <si>
    <t>Hybrid Energy Storage</t>
  </si>
  <si>
    <t>Roberto Scipioni-Maria Elisa Gil BardajÃ­-Linda Barelli-Manuel Baumann-Stefano Passerini</t>
  </si>
  <si>
    <t>The 9th International Conference on Advances in Construction Machinery and Vehicle Engineering</t>
  </si>
  <si>
    <t>TECHNOLOGY &amp; ENGINEERING / Chemical &amp; Biochemical</t>
  </si>
  <si>
    <t>Halgamuge Saman-Yan Peng-Dingxuan Zhao-Yongming Bian</t>
  </si>
  <si>
    <t>Mediation in der Wissenschaft</t>
  </si>
  <si>
    <t>Martin Wiedemann</t>
  </si>
  <si>
    <t>Transnational Activism in North America</t>
  </si>
  <si>
    <t>POLITICAL SCIENCE / International Relations / Trade &amp; Tariffs</t>
  </si>
  <si>
    <t>Laura Macdonald-Christina Gabriel-Jeffrey M. Ayres</t>
  </si>
  <si>
    <t>Canadaâ€™s Cities in a Changing World 1920â€“2120</t>
  </si>
  <si>
    <t>Daniel Hoornweg</t>
  </si>
  <si>
    <t>Farming and Social Inclusion in Japan</t>
  </si>
  <si>
    <t>Hiroyuki Tsunashima</t>
  </si>
  <si>
    <t>A Review of Personal Recurrent Victimization</t>
  </si>
  <si>
    <t>Amber E. Krushas-Teresa C. Kulig-Morgan Goslar</t>
  </si>
  <si>
    <t>Conceptualisation and Measurement of Financial Competence</t>
  </si>
  <si>
    <t>Manuel FÃ¶rster-Mandy Hommel</t>
  </si>
  <si>
    <t>Integrative Forest Management and Silviculture</t>
  </si>
  <si>
    <t>TECHNOLOGY &amp; ENGINEERING / Agriculture / Forestry</t>
  </si>
  <si>
    <t>Toshiaki Owari-Satoshi N. Suzuki-Nobuaki Tanaka-Dai Fukui</t>
  </si>
  <si>
    <t>Adults in Play with Children</t>
  </si>
  <si>
    <t>EDUCATION / Schools / Levels / Early Childhood (incl. Preschool &amp; Kindergarten)</t>
  </si>
  <si>
    <t>Niklas Pramling-Ann Farrell-Cecilia Wallerstedt-Malin Nilsen</t>
  </si>
  <si>
    <t>Role of Ecosystem Services in Enabling Rural-Urban Synergies</t>
  </si>
  <si>
    <t>Maria Rosario Partidario-Daniel Keech-Isabel Loupa-Ramos</t>
  </si>
  <si>
    <t>Proceedings of the United Nations/Germany Workshop on the International Space Weather Initiative</t>
  </si>
  <si>
    <t>SCIENCE / Space Science / Astronomy</t>
  </si>
  <si>
    <t>Nat Gopalswamy-Daniela BanyÅ›-Sharafat Gadimova</t>
  </si>
  <si>
    <t>Towards a Future for BRICS+</t>
  </si>
  <si>
    <t>Hong Kong University Press</t>
  </si>
  <si>
    <t>Edited by Heiwai Tang-Brian Wong Yue Shun</t>
  </si>
  <si>
    <t>Matematika Diskrit: Teori Dan Aplikasinya</t>
  </si>
  <si>
    <t>MATHEMATICS / Discrete Mathematics</t>
  </si>
  <si>
    <t>Ida Bagus Kade Puja Arimbawa K., S.Si., M.Si. Ketut Queena Fredlina, S.Si., M.Si.</t>
  </si>
  <si>
    <t>From the Chilean Laboratory to World-Communication</t>
  </si>
  <si>
    <t>SOCIAL SCIENCE / Communication Theory</t>
  </si>
  <si>
    <t xml:space="preserve"> Mariano Zaworsky-William Quinn</t>
  </si>
  <si>
    <t>Situationen Ã¤sthetischer Aushandlung</t>
  </si>
  <si>
    <t>PHILOSOPHY / Aesthetics</t>
  </si>
  <si>
    <t>Jens Fehrenbacher</t>
  </si>
  <si>
    <t>Orthodoxe religiÃ¶se Bildung in der Diaspora</t>
  </si>
  <si>
    <t>Marina Kiroudi-Yauheniya Danilovich</t>
  </si>
  <si>
    <t>Child Protection and the European Court of Human Rights</t>
  </si>
  <si>
    <t>Hege Stein Helland-Marit Skivenes-Siri Gloppen</t>
  </si>
  <si>
    <t>Exposing the Film Apparatus</t>
  </si>
  <si>
    <t>Giovanna Fossati-Annie Oever</t>
  </si>
  <si>
    <t>Products, Brands, and Labels in the Light of Ethical and Ecological Issues</t>
  </si>
  <si>
    <t>Nova Science Publishers, Inc.</t>
  </si>
  <si>
    <t>Joseph Kaswengi</t>
  </si>
  <si>
    <t>Politico-Religious Discourse Analysis in the Arab World: Transitivity Analysis of Saudi Fridaysâ€™ Orations During the Arab Spring</t>
  </si>
  <si>
    <t>RELIGION / Islam / History</t>
  </si>
  <si>
    <t>Hamed Al-Aufi</t>
  </si>
  <si>
    <t>International Conference on Advances in Sustainable Development, Innovation and Green Technology (ICASDIGT-2024)</t>
  </si>
  <si>
    <t>TECHNOLOGY &amp; ENGINEERING / General</t>
  </si>
  <si>
    <t>Kandarpa Kumar Sarma</t>
  </si>
  <si>
    <t>Text and Context: How to Read the Bible Like an Anthropologist</t>
  </si>
  <si>
    <t>RELIGION / Biblical Commentary / General</t>
  </si>
  <si>
    <t>John Forrest</t>
  </si>
  <si>
    <t>The Different Aspects of Greenwashing</t>
  </si>
  <si>
    <t>Selay Ilgaz SÃ¼mer</t>
  </si>
  <si>
    <t>Some Efforts in Language and Literature Preservation in Indonesia: From Sumatra to Papua</t>
  </si>
  <si>
    <t>Mukhammad Isnaeni</t>
  </si>
  <si>
    <t>Europe's Indo-Pacific Pivot</t>
  </si>
  <si>
    <t>Gabriele Abbondanza-Gorana GrgiÄ‡</t>
  </si>
  <si>
    <t>Literature and Epistemic Injustice</t>
  </si>
  <si>
    <t>Sarah Colvin</t>
  </si>
  <si>
    <t>Proceedings of the Contribution of Culture to Ecological Sustainability (CCES 2024)</t>
  </si>
  <si>
    <t>Jeyran Mahmudova-Sadagat Aliyeva-Valida Mammadova-Farida Jalilova-Maryam Alizadeh</t>
  </si>
  <si>
    <t>The Art of Compilation. Midrash Pirqa De-Rabbenu Ha-Qadosh in Popular Anthologies From the Cairo Genizah</t>
  </si>
  <si>
    <t>RELIGION / Judaism / Rituals &amp; Practice</t>
  </si>
  <si>
    <t>Anna Busa</t>
  </si>
  <si>
    <t>How the Incas Built Their Heartland</t>
  </si>
  <si>
    <t>R. Alan Covey</t>
  </si>
  <si>
    <t>9th International Conference on Business and Economy</t>
  </si>
  <si>
    <t>Automated Reasoning with Analytic Tableaux and Related Methods</t>
  </si>
  <si>
    <t>Gian Luca Pozzato-Tarmo Uustalu</t>
  </si>
  <si>
    <t>Health Systems, Health Services and Inequality in Population Health</t>
  </si>
  <si>
    <t>Peter P. Groenewegen-Ilmo KeskimÃ¤ki-Alastair H. Leyland</t>
  </si>
  <si>
    <t>Modernism in Africa</t>
  </si>
  <si>
    <t>ARCHITECTURE / Regional</t>
  </si>
  <si>
    <t>Docomomo International</t>
  </si>
  <si>
    <t>La NaciÃ³n Monkox de Bolivia en la educaciÃ³n nacional y global</t>
  </si>
  <si>
    <t>SOCIAL SCIENCE / Social Classes &amp; Economic Disparity</t>
  </si>
  <si>
    <t>Romina Quezada Morales</t>
  </si>
  <si>
    <t>Moving Deserts</t>
  </si>
  <si>
    <t xml:space="preserve"> Greta Semplici</t>
  </si>
  <si>
    <t>Imaginary Death</t>
  </si>
  <si>
    <t>HISTORY / Wars &amp; Conflicts / World War II / Pacific Theater</t>
  </si>
  <si>
    <t xml:space="preserve"> Mariko Nagai Nagai</t>
  </si>
  <si>
    <t>Representation Theory</t>
  </si>
  <si>
    <t>MATHEMATICS / Algebra / General</t>
  </si>
  <si>
    <t xml:space="preserve"> Grabowski Jan E.</t>
  </si>
  <si>
    <t>Sensing Violence</t>
  </si>
  <si>
    <t>LITERARY CRITICISM / European / French</t>
  </si>
  <si>
    <t xml:space="preserve"> Will McMorran</t>
  </si>
  <si>
    <t>Questions on the Posterior Analytics (Second Redaction)</t>
  </si>
  <si>
    <t>PHILOSOPHY / History &amp; Surveys / Medieval</t>
  </si>
  <si>
    <t xml:space="preserve"> Simon of Faversham-Iacopo Costa-Gustavo FernÃ¡ndez Walker-Ana MarÃ­a Mora-MÃ¡rquez</t>
  </si>
  <si>
    <t>Quantitative History of China</t>
  </si>
  <si>
    <t>BUSINESS &amp; ECONOMICS / Economic History</t>
  </si>
  <si>
    <t>Zhiwu Chen-Cameron Campbell-Debin Ma</t>
  </si>
  <si>
    <t>Electrospraying and Electrospinning in Drug Delivery</t>
  </si>
  <si>
    <t>TECHNOLOGY &amp; ENGINEERING / Biomedical</t>
  </si>
  <si>
    <t>Mulham Alfatama-Abid Mehmood Yousaf-Abd Almonem Doolaanea-Yasser Shahzad</t>
  </si>
  <si>
    <t>Social Connection in Everyday Spaces</t>
  </si>
  <si>
    <t>Milovan Savic-Roger Patulny-Jane Farmer</t>
  </si>
  <si>
    <t>The Language of Melancholy</t>
  </si>
  <si>
    <t>HISTORY / Civilization</t>
  </si>
  <si>
    <t>Robert Vinkesteijn</t>
  </si>
  <si>
    <t>Youth Employment Programmes in Africa</t>
  </si>
  <si>
    <t>SOCIAL SCIENCE / Cultural &amp; Ethnic Studies / African Studies</t>
  </si>
  <si>
    <t>Ramos E. Mabugu-Lucas Ronconi</t>
  </si>
  <si>
    <t>International Protection of Traditional Knowledge Under the Law of Trademarks and Geographical Indications</t>
  </si>
  <si>
    <t>BUSINESS &amp; ECONOMICS / Economics / General</t>
  </si>
  <si>
    <t>Hojjat Khademi</t>
  </si>
  <si>
    <t>Former Prime Ministers in Japan</t>
  </si>
  <si>
    <t>Hugo Dobson-Karin Narita-Caroline Rose</t>
  </si>
  <si>
    <t>Liturgy of Empire: Reading the Mozarabic Rite in Early Modern Europe, 1500â€“1800</t>
  </si>
  <si>
    <t>Susan Boynton</t>
  </si>
  <si>
    <t>Threats to Our Ocean Heritage: Deep Sea Mining</t>
  </si>
  <si>
    <t>Charlotte Jarvis</t>
  </si>
  <si>
    <t>Holistic Design of Taller Timber Buildings</t>
  </si>
  <si>
    <t>Gerhard Fink-Robert Jockwer-JosÃ© Manuel Cabrero</t>
  </si>
  <si>
    <t>Thermocapillary Convection in Microgravity</t>
  </si>
  <si>
    <t>SCIENCE / Mechanics / Thermodynamics</t>
  </si>
  <si>
    <t>Hiroshi Kawamura-Koichi Nishino-Satoshi Matsumoto-Ichiro Ueno-Taishi Yano</t>
  </si>
  <si>
    <t>Aineeton kulttuuriperintÃ¶: KÃ¤site, kÃ¤ytÃ¤ntÃ¶, politiikka</t>
  </si>
  <si>
    <t>Heidi Henriikka MÃ¤kelÃ¤-Outi Valo</t>
  </si>
  <si>
    <t>Pate Teikan toinen elÃ¤mÃ¤: Tutkielmia puiden takaa</t>
  </si>
  <si>
    <t>Jyrki Siukonen</t>
  </si>
  <si>
    <t>Historia y memoria de Tacuara: Nacionalismo, violencia y fascismo transnacional</t>
  </si>
  <si>
    <t>Celina Albornoz</t>
  </si>
  <si>
    <t>Music Streaming Around the World</t>
  </si>
  <si>
    <t>David Hesmondhalgh</t>
  </si>
  <si>
    <t>Proceedings of the 2025 International Conference on Resilient City and Safety Engineering (ICRCSE 2025)</t>
  </si>
  <si>
    <t>Ali Cheshmehzangi-Mohammad Arif Kamal-Zakiah Ahmad-Huynh Trong-Phuoc</t>
  </si>
  <si>
    <t>Proceedings of the 2025 6th International Conference on Urban Construction and Management Engineering (ICUCME 2025)</t>
  </si>
  <si>
    <t>Raja Rizwan Hussain-Bin Hu-Saeid Kakooei-Ali Firat Cabalar</t>
  </si>
  <si>
    <t>Having Teachers in Mind â€“ KÃ¶nnen Schule und Lehrer:innenbildung Freud-los sein?</t>
  </si>
  <si>
    <t>EDUCATION / Educational Psychology</t>
  </si>
  <si>
    <t>Pierre-Carl Link-Peter Fonagy-Tobias Nolte-Robert Langnickel-Tillmann F. Kreuzer</t>
  </si>
  <si>
    <t>Die einseitige Urlaubsanordnung durch den Arbeitgeber</t>
  </si>
  <si>
    <t>LAW / Labor &amp; Employment</t>
  </si>
  <si>
    <t>Heike Engert</t>
  </si>
  <si>
    <t>Characteristics Evaluation and Device Design</t>
  </si>
  <si>
    <t>Structural Defects in Silicon Carbide</t>
  </si>
  <si>
    <t>Defects and Characteristics of SiC</t>
  </si>
  <si>
    <t>Characteristics of MOSFETs</t>
  </si>
  <si>
    <t>Design and Characteristics of MOSFETs</t>
  </si>
  <si>
    <t>SiC Application and SiC Devices Reliability and Stability</t>
  </si>
  <si>
    <t>Epitaxial Layer Manufacturing</t>
  </si>
  <si>
    <t>Processes in Devices Fabrication</t>
  </si>
  <si>
    <t>Technological Improvements in Devices Fabrication</t>
  </si>
  <si>
    <t>Proceedings of International Conference of Islamic Studies (ICONIS 2025)</t>
  </si>
  <si>
    <t>Agung Dwi Bahtiar El Rizaq-Abd Hannan-Masyithah Mardhatillah-Moh. Syafik-Abdul Wafi</t>
  </si>
  <si>
    <t>The Mean in Budgeting</t>
  </si>
  <si>
    <t>Yannan Gou-Qiaolian Zhu</t>
  </si>
  <si>
    <t>Humanitarian Handicraft</t>
  </si>
  <si>
    <t>Rebecca Gill-Claire Barber-Helen Dampier-Bertrand Taithe</t>
  </si>
  <si>
    <t>Creativity and Illness</t>
  </si>
  <si>
    <t>Philip Sandblom</t>
  </si>
  <si>
    <t>Fast Facts: Syndromes ThalassÃ©miques</t>
  </si>
  <si>
    <t>Ali T., Taher-Sujit S., Sheth-Khaled M., Musallam</t>
  </si>
  <si>
    <t>Fast Facts for Patients: Beta Thalassemia [Vietnamese]</t>
  </si>
  <si>
    <t>Antonio, Piga</t>
  </si>
  <si>
    <t>Fast Facts for Patients: Beta Thalassemia [Urdu]</t>
  </si>
  <si>
    <t>Fast Facts for Patients: Beta Thalassemia [Bengali]</t>
  </si>
  <si>
    <t>Fast Facts for Patients: Alpha Thalassemia [Urdu]</t>
  </si>
  <si>
    <t>Kevin H.M., Kuo</t>
  </si>
  <si>
    <t>Fast Facts for Patients: Alpha Thalassemia [Vietnamese]</t>
  </si>
  <si>
    <t>Fast Facts para pacientes: Alfa talasemia</t>
  </si>
  <si>
    <t>Fast Facts per pazienti: Alfa talassemia</t>
  </si>
  <si>
    <t>Fast Facts Pour Les Patients: Alpha-thalassÃ©mie</t>
  </si>
  <si>
    <t>Fast Facts for Patients: Alpha Thalassemia [Bengali]</t>
  </si>
  <si>
    <t>Fast Facts for Patients: Living Well After a Diagnosis of Endometrial Cancer</t>
  </si>
  <si>
    <t>Emma, Crosbie</t>
  </si>
  <si>
    <t>AI Robotics</t>
  </si>
  <si>
    <t>SCIENCE / Applied Sciences</t>
  </si>
  <si>
    <t>Vinod Kumar Khanna</t>
  </si>
  <si>
    <t>Restoring Forests and Improving Livelihoods in Nepal</t>
  </si>
  <si>
    <t>NATURE / Ecology</t>
  </si>
  <si>
    <t>Hemant Ojha-Krishna K. Shrestha-Naya S. Paudel-Rahul Karki-Dil Khatri-Sony Baral-Mani Ram Banjade-Ian Nuberg</t>
  </si>
  <si>
    <t>The Foster Family in the Service of the Foster Child</t>
  </si>
  <si>
    <t>Lidia Pietruszka-Andrzej ÅuczyÅ„ski</t>
  </si>
  <si>
    <t>A Landscape of Plenty: Excavations on a Roman Estate, Cambridgeshire</t>
  </si>
  <si>
    <t>Francis M. Morris-James E. R. Davey</t>
  </si>
  <si>
    <t>Contested Consultations in the Extractive Industries</t>
  </si>
  <si>
    <t>Paul A. Haslam-Nathan Andrews-Karin Buhmann-Ibironke T. Odumosu-Ayanu-Mark Stoddart</t>
  </si>
  <si>
    <t>Science Communication for Scientists</t>
  </si>
  <si>
    <t>Laura Lindenfeld-John C. Besley-Xia Zheng-Anthony Dudo-Todd P. Newman</t>
  </si>
  <si>
    <t>Yuan Zhenâ€™s New Music Bureau Poetry</t>
  </si>
  <si>
    <t>Mei Ah Tan</t>
  </si>
  <si>
    <t>Paula, Briggs</t>
  </si>
  <si>
    <t>Sustainable Management of Tropical Forests</t>
  </si>
  <si>
    <t>Plinio Sist</t>
  </si>
  <si>
    <t>Exploring Widening Access for Mature Age Students</t>
  </si>
  <si>
    <t>David Baker-Lucy Ellis-Nazim Uddin</t>
  </si>
  <si>
    <t>GuÃ­a De Campo Biodiversidad De La Cocha Machuwasi</t>
  </si>
  <si>
    <t>SCIENCE / Life Sciences / Biological Diversity</t>
  </si>
  <si>
    <t>Juan Carlos CÃ¡rdenas CÃ³rdova-Edgar Luis Marquina Montesinos-Teodoro Huarhua Chipani</t>
  </si>
  <si>
    <t>Proceedings of the 2025 6th International Conference on Management Science and Engineering Management (ICMSEM 2025)</t>
  </si>
  <si>
    <t>Sameer Kumar-Xiongfeng Pan-Norhayati Zakuan-Kosga Yagapparaj</t>
  </si>
  <si>
    <t>Proceedings of the International Conference of Inland Water and Ferries Transport Polytechnic of Palembang on Technology and Environment (IWPOSPA-TE 2024)</t>
  </si>
  <si>
    <t>Andri Yulianto-P. Marcello Lopulalan-Driaskoro Budi Sidharta-Bambang Setiawan-Muhamad Fahmi Amrillah</t>
  </si>
  <si>
    <t>Proceedings of the International Conference of Inland Water and Ferries Transport Polytechnic of Palembang on Law, Economic and Management (IWPOSPA-LEM 2024)</t>
  </si>
  <si>
    <t>Broto Priyono-Chairul Insani Ilham-Paulina M. Latuheru-Raden Muhamad Firzatullah-Febriansyah Febriansyah</t>
  </si>
  <si>
    <t>Proceedings of the 10th Padang International Conference on Education, Economics, Business and Accounting (PICEEBA-10 2022)</t>
  </si>
  <si>
    <t>Firman Firman-Shuhymee Shuhymee-Rangga Handika-Muhammad Rizky Prima Sakti-Astri Yuza Sari</t>
  </si>
  <si>
    <t>Proceedings of the 2025 3rd International Academic Conference on Management Innovation and Economic Development (MIED 2025)</t>
  </si>
  <si>
    <t>Barbara Siuta-Tokarska-Adriana Grigorescu-Md. Mamun Habib-Yifeng Zhu</t>
  </si>
  <si>
    <t>Navigating a Fragmenting World Order</t>
  </si>
  <si>
    <t>Ruth Mampuys-Corien Prins-Haroon Sheikh-Paul 't Hart</t>
  </si>
  <si>
    <t>Imagining, Designing and Teaching Regenerative Futures: Art-Science Approaches and Inspirations From Around the World</t>
  </si>
  <si>
    <t>Julia Bentz-Jelena RistiÄ‡ TrajkoviÄ‡</t>
  </si>
  <si>
    <t>'Casina' by Plautus</t>
  </si>
  <si>
    <t>LANGUAGE STUDY / Latin</t>
  </si>
  <si>
    <t>Careful Village and Other 'Khashag' From Tibet</t>
  </si>
  <si>
    <t xml:space="preserve"> Menla Jyab-Timothy Thurston-Tsering Samdrup</t>
  </si>
  <si>
    <t>Mapping Goffmanâ€™s Invisible College</t>
  </si>
  <si>
    <t xml:space="preserve"> Wendy Leeds-Hurwitz</t>
  </si>
  <si>
    <t>Interprofessional Approach to Refugee Health</t>
  </si>
  <si>
    <t xml:space="preserve"> Emer McGowan-Djenana Jalovcic-Sarah Quinn</t>
  </si>
  <si>
    <t>Plantation Knowledge</t>
  </si>
  <si>
    <t>State University of New York Press</t>
  </si>
  <si>
    <t>HISTORY / Essays</t>
  </si>
  <si>
    <t>Nicholas B. Miller-Ulrike Lindner</t>
  </si>
  <si>
    <t>Deeper, Strategic Collaboration in the Securities Sector</t>
  </si>
  <si>
    <t>ANU Press</t>
  </si>
  <si>
    <t>Sonia Khosa</t>
  </si>
  <si>
    <t>The Mediterranean Question</t>
  </si>
  <si>
    <t>SOCIAL SCIENCE / Diversity &amp; Multiculturalism</t>
  </si>
  <si>
    <t xml:space="preserve"> Iain Chambers-Marta Cariello</t>
  </si>
  <si>
    <t>Ageing Equitably with Care</t>
  </si>
  <si>
    <t>SOCIAL SCIENCE / Gerontology</t>
  </si>
  <si>
    <t>Tamara Daly-Susan Braedley</t>
  </si>
  <si>
    <t>Refugee Reception and Camps</t>
  </si>
  <si>
    <t>SOCIAL SCIENCE / Refugees</t>
  </si>
  <si>
    <t>Lucas Oesch-LÃ©a Lemaire</t>
  </si>
  <si>
    <t>Archaeological Excavations and Research Studies in Southern Israel: Collected Papers: 20th Annual Southern Conference, Volume 7 / ×—×¤×™×¨×•×ª ×•×ž×—×§×¨×™× ××¨×›×™××•×œ×•×’×™×™× ×‘×“×¨×•× ×”××¨×¥: ×›× ×¡ ×“×¨×•× ×”-×›': ×§×•×‘×¥ ×ž×—×§×¨×™×, ×›×¨×š ×–</t>
  </si>
  <si>
    <t>Davida Eisenberg-Degen</t>
  </si>
  <si>
    <t>Organizacja konferencji naukowych</t>
  </si>
  <si>
    <t>BUSINESS &amp; ECONOMICS / Organizational Behavior</t>
  </si>
  <si>
    <t>Mariola Antczak-Grzegorz Czapnik</t>
  </si>
  <si>
    <t>UmysÅ‚ rozstrojony. PrÃ³by o trylogii ksiÄ™Å¼ycowej Jerzego Å»uÅ‚awskiego</t>
  </si>
  <si>
    <t>LITERARY CRITICISM / Subjects &amp; Themes / Nature</t>
  </si>
  <si>
    <t>Tadeusz SÅ‚awek</t>
  </si>
  <si>
    <t>Rechtswandel</t>
  </si>
  <si>
    <t>LAW / Natural Law</t>
  </si>
  <si>
    <t>Michel GÃ¶bel</t>
  </si>
  <si>
    <t>Rechtswissenschaften an der Saar</t>
  </si>
  <si>
    <t>Hannes Ludyga-Dan Aradovsky-Simon DÃ¶rrenbÃ¤cher</t>
  </si>
  <si>
    <t>Frontiers of Combining Systems</t>
  </si>
  <si>
    <t>RenÃ© Thiemann-Christoph Weidenbach</t>
  </si>
  <si>
    <t>Proceedings of the 7th International Conference on Information Technology, Engineering, and Business Applications (ICIBA) and 3rd Social Science &amp; Economic International Conference (SOSEIC 2024)</t>
  </si>
  <si>
    <t>Zaid Amin-Rahma Santhi Zinaida</t>
  </si>
  <si>
    <t>Contemporary Diplomatic and Consular Relations</t>
  </si>
  <si>
    <t>Paraskevi Naskou-Perraki</t>
  </si>
  <si>
    <t>Abjekte Weiblichkeit</t>
  </si>
  <si>
    <t>Anna-Lena von Garnier</t>
  </si>
  <si>
    <t>Schriftstellerinnen und Schriftsteller als literarische Figuren (1750â€“1850)</t>
  </si>
  <si>
    <t>Nils Gelker</t>
  </si>
  <si>
    <t>Blockchain and Climate Action</t>
  </si>
  <si>
    <t>BUSINESS &amp; ECONOMICS / Finance / General</t>
  </si>
  <si>
    <t>Dominik Skauradszun-Walter Blocher-Florian MÃ¶slein-Carsten MÃ¼ller-Eric Nowak-Nils Urbach-Georg von Wangenheim</t>
  </si>
  <si>
    <t>Tiere tragen: Fell, Pelz und KÃ¶rperhaar in der Literatur des Mittelalters</t>
  </si>
  <si>
    <t>Nora Grundtner</t>
  </si>
  <si>
    <t>Handbuch Wirtschaft und Religion</t>
  </si>
  <si>
    <t>Martin Lutz-Maren Freudenberg-Moritz Hinsch</t>
  </si>
  <si>
    <t>Things Unseen</t>
  </si>
  <si>
    <t>RELIGION / Ancient</t>
  </si>
  <si>
    <t>Ellen Muehlberger</t>
  </si>
  <si>
    <t>Didaktik in der Ausbildungsvorbereitung</t>
  </si>
  <si>
    <t>EDUCATION / Professional Development</t>
  </si>
  <si>
    <t>H.-Hugo Kremer-Petra Frehe-Halliwell-DÃ©sirÃ©e Laubenstein-Heike Kundisch</t>
  </si>
  <si>
    <t>Politischer und wirtschaftsbÃ¼rgerlicher Wissenserwerb</t>
  </si>
  <si>
    <t>Philine Krebs</t>
  </si>
  <si>
    <t>The Medieval Womb</t>
  </si>
  <si>
    <t>Applied Research Centre in the Humanities &amp; Press Ltd. (ref. 2025/39)</t>
  </si>
  <si>
    <t>Minji Lee</t>
  </si>
  <si>
    <t>Architectural Thinking in a Climate Emergency</t>
  </si>
  <si>
    <t>Sofie Pelsmakers-James Benedict Brown</t>
  </si>
  <si>
    <t>Prawo. SÄ™dzia. SprawiedliwoÅ›Ä‡. Szkice o sÄ™dziowskiej wÅ‚adzy</t>
  </si>
  <si>
    <t>Adam Mickiewicz University, Poznan</t>
  </si>
  <si>
    <t>Andrzej GomuÅ‚owicz</t>
  </si>
  <si>
    <t>Archipelagic Cinemas</t>
  </si>
  <si>
    <t>Dag S. Yngvesson</t>
  </si>
  <si>
    <t>Kigali</t>
  </si>
  <si>
    <t>Samuel Shearer</t>
  </si>
  <si>
    <t>Proceedings of the 9th Global Conference on Business, Management and Entrepreneurship (GCBME 2024)</t>
  </si>
  <si>
    <t>Ratih Hurriyati-Sulastri Sulastri-Lisnawati Lisnawati-Lili Adi Wibowo</t>
  </si>
  <si>
    <t>GeoVadis</t>
  </si>
  <si>
    <t>Ashish Juneja-Anil Joseph-Dasaka S. Murty</t>
  </si>
  <si>
    <t>On the Significance of Religion in Immigration Policy</t>
  </si>
  <si>
    <t>RELIGION / Religion, Politics &amp; State</t>
  </si>
  <si>
    <t>Barnabas Aspray-David Elcott</t>
  </si>
  <si>
    <t>Unsettling Catan</t>
  </si>
  <si>
    <t>J. Rey Lee</t>
  </si>
  <si>
    <t>Crip Authority</t>
  </si>
  <si>
    <t>Elizabeth Bearden</t>
  </si>
  <si>
    <t>The Education Alibi</t>
  </si>
  <si>
    <t>Elizabeth Cooper-Erdmute Alber-Wandia Njoya</t>
  </si>
  <si>
    <t>Dancing Opacity</t>
  </si>
  <si>
    <t>PERFORMING ARTS / General</t>
  </si>
  <si>
    <t>Amy E. Swanson</t>
  </si>
  <si>
    <t>An Actor's Tale</t>
  </si>
  <si>
    <t>Amy E. Hughes-Amy Hughes</t>
  </si>
  <si>
    <t>Acting the Part</t>
  </si>
  <si>
    <t>E.B. Hunter-Elizabeth Hunter</t>
  </si>
  <si>
    <t>Proceedings of the 2025 9th International Seminar on Education, Management and Social Sciences (ISEMSS 2025)</t>
  </si>
  <si>
    <t>Qing Ding-Yixuan Wang-Jianfei Luo-Hongbo Li</t>
  </si>
  <si>
    <t>Electronic Voting</t>
  </si>
  <si>
    <t>COMPUTERS / Security / Cryptography &amp; Encryption</t>
  </si>
  <si>
    <t>David Duenas-Cid-Peter Roenne-Melanie Volkamer-Michelle Blom-Pierrick Gaudry</t>
  </si>
  <si>
    <t>Consumer Collective Redress in EU Law</t>
  </si>
  <si>
    <t>LAW / Consumer</t>
  </si>
  <si>
    <t>Jagna Mucha</t>
  </si>
  <si>
    <t>Histories of Health: Ca. 1750-1950</t>
  </si>
  <si>
    <t>Paul Puschmann-Sanne Muurling-Tim Riswick-Jan Kok (eds)</t>
  </si>
  <si>
    <t>Navigating Oil Palm Swamps: Rethinking the Role of Go-Betweens in Palm Oil Cultivation at the Kalimantan Frontier in Indonesia</t>
  </si>
  <si>
    <t>Runavia Mulyasari</t>
  </si>
  <si>
    <t>Transnational Representations of the Region, 1840-1940</t>
  </si>
  <si>
    <t>ART / History / 19th Century</t>
  </si>
  <si>
    <t>Giulia Bruna-MarguÃ©rite Corporaal-Christopher Cusack-Sophie van Os-Anneloek Scholten (eds)</t>
  </si>
  <si>
    <t>EGF Symposium 2025 - Proceedings</t>
  </si>
  <si>
    <t>Tom Goatman-Sandra Pattinson</t>
  </si>
  <si>
    <t>Pragmatic Adaptive Leadership</t>
  </si>
  <si>
    <t>Simon N. Leonard-Samuel Fowler-JohnPaul Kennedy-Deborah Devis</t>
  </si>
  <si>
    <t>Exit Threats in Regional International Organizations</t>
  </si>
  <si>
    <t>POLITICAL SCIENCE / Intergovernmental Organizations</t>
  </si>
  <si>
    <t>Diana Panke-Lukas Grundsfeld-Pawel Tverskoi</t>
  </si>
  <si>
    <t>Proceedings of the Malang International Conference in Medical and Health Sciences (MICROMEDHS 2024)</t>
  </si>
  <si>
    <t>MEDICAL / General</t>
  </si>
  <si>
    <t>Andreas Budi Wijaya-Nindi Kusuma Dewi</t>
  </si>
  <si>
    <t>Non-signatory States in International Refugee Law</t>
  </si>
  <si>
    <t>Maja Janmyr-Ã–zlem GÃ¼rakar Skribeland-Arjumand Bano Kazmi</t>
  </si>
  <si>
    <t>IntroducciÃ³n al estudio de la dramaterapia, la terapia teatral, la pedagogÃ­a del compromiso y el teatro</t>
  </si>
  <si>
    <t>Palacky University Olomouc</t>
  </si>
  <si>
    <t>EDUCATION / Special Education / Behavioral, Emotional &amp; Social Disabilities</t>
  </si>
  <si>
    <t>PolÃ­nek Martin Dominik, RÅ¯Å¾iÄka Michal, FernÃ¡ndez-Navarro Pablo</t>
  </si>
  <si>
    <t>Listening to Children About Kinship Care, Child Welfare, and Permanence</t>
  </si>
  <si>
    <t>Paul Daniel Shuttleworth</t>
  </si>
  <si>
    <t>RaÃ­ces vivas: Turismo comunitario e identidad cultural en el Ecuador</t>
  </si>
  <si>
    <t>Sophia Editions</t>
  </si>
  <si>
    <t>VÃ­ctor Manuel Vera-PeÃ±a-Samuel Ricardo Guillen-Herrera-IvÃ¡n Alexander Neira-Reyes-Nathaly Alexandra Fuentes-Torres</t>
  </si>
  <si>
    <t>De la porcinocultura al aula: Un programa de aprendizaje sostenible en la formaciÃ³n agropecuaria</t>
  </si>
  <si>
    <t>Javier Francisco Casimiro-Urcos-Valeriano RubÃ©n Flores-Rosas-Daniel Alcides Herrera-Flores-Marcelino Marcos Pablo-Meza-Lucila Amelia De La Cruz-Rojas-Ligia Isaida Rosaura GutiÃ©rrez-Deza</t>
  </si>
  <si>
    <t>Competencias digitales y lenguas extranjeras: Un enfoque formativo para la educaciÃ³n universitaria</t>
  </si>
  <si>
    <t>Betty Marlene Lavado-Rojas-Walter Pomahuacre-GÃ³mez-Magnolia Anyeli Castro-FernÃ¡ndez-Alex Fredy Castellano-Inga-Edith Consuelo ZÃ¡rate-Aliaga-Magaly LÃ³pez-Torres</t>
  </si>
  <si>
    <t>TransformaciÃ³n digital, tributaciÃ³n y nuevas tecnologÃ­as: Estudios aplicados en el contexto empresarial ecuatoriano</t>
  </si>
  <si>
    <t>BUSINESS &amp; ECONOMICS / Taxation / General</t>
  </si>
  <si>
    <t>Karen Serrano-Orellana, Izabele Sousa-Barros, Alejandra Chang-FernÃ¡ndez</t>
  </si>
  <si>
    <t>InvestigaciÃ³n, neurociencia e inteligencia artificial: Hacia una formaciÃ³n universitaria integral</t>
  </si>
  <si>
    <t>Jorge Luis LeÃ³n-GonzÃ¡lez, Alexis Pire-Rojas</t>
  </si>
  <si>
    <t>GestiÃ³n educativa en la EducaciÃ³n Superior</t>
  </si>
  <si>
    <t>EDUCATION / Administration / General</t>
  </si>
  <si>
    <t>Norma Graciela Soria-LeÃ³n</t>
  </si>
  <si>
    <t>Salud mental: capacidad para transitar en la vida</t>
  </si>
  <si>
    <t>MEDICAL / Mental Health</t>
  </si>
  <si>
    <t>Aline Aleida del Carmen Campos-GÃ³mez, Yesenia Peralta-JimÃ©nez, Gladys de los Ãngeles Romero-Aguirre</t>
  </si>
  <si>
    <t>CARING FOR OLDER PERSONS IN THE PHILIPPINES: PRINCIPLES AND PRACTICES IN NURSING</t>
  </si>
  <si>
    <t>MEDICAL / Nursing / Gerontology</t>
  </si>
  <si>
    <t>Magna Anissa Edding Aming-Hayudini Shohadaa Hayudin Bulon-Mandangan Casma Sali Mercado-Ziradar M. Adjilani-Misah Elenita C. Tan-Aldrin M. Jikirani-Ayesha P. Warid-Sahial Kamala Sangkula-Elam-Ledina P. Warid</t>
  </si>
  <si>
    <t>Cheap Talk</t>
  </si>
  <si>
    <t>Joshua St. Pierre</t>
  </si>
  <si>
    <t>Manajemen Sumber Daya Manusia Di Era 4.0</t>
  </si>
  <si>
    <t>BUSINESS &amp; ECONOMICS / Human Resources &amp; Personnel Management</t>
  </si>
  <si>
    <t>Rini Safitri, SE., MM., MBA-Prof. Dr. Ilfi Nurdiana, M.Si-Prof. Dr. Dra. Endang Susiwati, M.S-Nadiyah Hirfiyana Rosita, SE., MM-Dr. Setiani, SE., MM</t>
  </si>
  <si>
    <t>Die TÃ¤tigkeit der IT-SachverstÃ¤ndigen im deutschen Strafverfahren</t>
  </si>
  <si>
    <t>LAW / Criminal Procedure</t>
  </si>
  <si>
    <t>Nicole Scheler</t>
  </si>
  <si>
    <t>A New Era of Epigraphy: 40 Years of Epigraphic Database Clauss/Slaby</t>
  </si>
  <si>
    <t>Anne Kolb-Michael A. Speidel</t>
  </si>
  <si>
    <t>Smart Speaker im Dialog</t>
  </si>
  <si>
    <t>Tim Hector</t>
  </si>
  <si>
    <t>Storyworld Possible Selves and Narrative Intersubjectivity</t>
  </si>
  <si>
    <t>MarÃ­a-Ãngeles MartÃ­nez</t>
  </si>
  <si>
    <t>Foto-Text und Sprechen</t>
  </si>
  <si>
    <t>Ingeborg Jandl-Konrad</t>
  </si>
  <si>
    <t>Human</t>
  </si>
  <si>
    <t>Pierangelo Sequeri</t>
  </si>
  <si>
    <t>Scientific Excellence and Equality at University</t>
  </si>
  <si>
    <t>Marion Paoletti-Marisa Matias-Aleksandra RÃ³Å¼alska</t>
  </si>
  <si>
    <t>International Law After the Ukraine War</t>
  </si>
  <si>
    <t>Jennifer Giblin-Olena Chub-Patrick Butchard-Oksana Senatorova</t>
  </si>
  <si>
    <t>Engineering Chemistry Vol. 10</t>
  </si>
  <si>
    <t>SCIENCE / Nanoscience</t>
  </si>
  <si>
    <t>Patrizia Bocchetta-Citlalli Gaona-Tiburcio-Madyawati Latief</t>
  </si>
  <si>
    <t>Engineering Chemistry Vol. 11</t>
  </si>
  <si>
    <t>Citlalli Gaona-Tiburcio-Patrizia Bocchetta-Dhany Arifianto</t>
  </si>
  <si>
    <t>Substrates and Substrates Manufacturing</t>
  </si>
  <si>
    <t>QualitÃ¤t in der wissenschaftlichen und kÃ¼nstlerischen Weiterbildung</t>
  </si>
  <si>
    <t>Evaluationsagentur Baden-WÃ¼rttemberg-Aletta Hinsken-Ana-Maria Bodo-Hartmann-Julia Ehinger</t>
  </si>
  <si>
    <t>Berufsbildung in Zeiten des Mangels</t>
  </si>
  <si>
    <t>Bernd GÃ¶ssling-Karin Heinrichs-Julia Bock-Schappelwein-Antje Barabasch</t>
  </si>
  <si>
    <t>Auf der Suche!?</t>
  </si>
  <si>
    <t>Uwe Elsholz-Stefan Klusemann-Julia SchÃ¼tz</t>
  </si>
  <si>
    <t>The Visionary Preaching of Juana De La Cruz (1481-1534)</t>
  </si>
  <si>
    <t>Pablo Acosta GarcÃ­a</t>
  </si>
  <si>
    <t>Metareference in Videogames</t>
  </si>
  <si>
    <t>Theresa Krampe</t>
  </si>
  <si>
    <t>The Teaching Guide for English for Dispute Resolution</t>
  </si>
  <si>
    <t>LANGUAGE STUDY / General</t>
  </si>
  <si>
    <t>Barrie J Roberts</t>
  </si>
  <si>
    <t>Japan in the Early Modern World</t>
  </si>
  <si>
    <t>Katja Triplett-Yoshimi Orii-Pia Jolliffe</t>
  </si>
  <si>
    <t>Inteligencia artificial. Usos y aplicaciones desde el contexto universitario</t>
  </si>
  <si>
    <t>Gareth del Castillo Estrada-Edgard Pacheco Luza (eds)</t>
  </si>
  <si>
    <t>Uncertain Curiosity in Artistic Research, Philosophy, Media and Cultural Studies</t>
  </si>
  <si>
    <t>Lisa Stuckey-Alexander Damianisch</t>
  </si>
  <si>
    <t>INQUIRIES INTO EDUCATION: COMPLEXITY, CHANGE, AND THE CONTEMPORARY CONDITION</t>
  </si>
  <si>
    <t>BZT Turan Publishing House</t>
  </si>
  <si>
    <t>Prof. Dr. Muhlise CoÅŸgun Ã–geyik-Assoc. Prof. Dr. Kutay Uzun</t>
  </si>
  <si>
    <t>NEW PARADIGMS FOR UNIVERSITIES: A SUSTAINABLE PERSPECTIVE ON SOCIAL CONTRIBUTION AND HIGHER EDUCATION</t>
  </si>
  <si>
    <t>Assoc. Prof. Dr. Sezen COSKUN-Prof. Dr. Nilgun H. BUDAK-Prof. Dr. Murat OZTURK</t>
  </si>
  <si>
    <t>DIGITAL TRANSFORMATIONS AND COMMUNICATION PARADIGMS: CULTURAL, TECHNOLOGICAL, AND STRATEGIC PERSPECTIVES</t>
  </si>
  <si>
    <t>PROF. DR. FÃœSUN TOPSÃœMER-PROF. DR. AYLÄ°N GÃ–ZTAÅž</t>
  </si>
  <si>
    <t>NURSING APPROACHES IN HEALTH SCIENCES: CLINICAL PRACTICES, TECHNOLOGY, AND CARE PROCESSES</t>
  </si>
  <si>
    <t>MEDICAL / Nursing / Care Plans</t>
  </si>
  <si>
    <t>Asst. Prof. Dr. Hande CENGÄ°Z AÃ‡IL-Prof. Dr. Dilek AYGÄ°N</t>
  </si>
  <si>
    <t>SHARED IDENTITY AND PHILOSOPHICAL HERITAGE: THE HISTORY OF THOUGHT IN TURKIC CULTURE</t>
  </si>
  <si>
    <t>PHILOSOPHY / History &amp; Surveys / General</t>
  </si>
  <si>
    <t>MAHIRA HUSEYNOVA-ELVIN TALISHINSKY-BAHA AHMET YILMAZ-FERAHILA BABAYEVA-SHUKUROVA-SHAHISMAYIL ISMAYILOV-CIHANGIR ISHBILIR</t>
  </si>
  <si>
    <t>DETERMINANTS OF JOB SATISFACTION IN NEWLY ESTABLISHED ORGANIZATIONS AND THEIR EFFECTS ON EMPLOYEE MOTIVATION</t>
  </si>
  <si>
    <t>BUSINESS &amp; ECONOMICS / Careers / General</t>
  </si>
  <si>
    <t>Halil Ahmet URAN</t>
  </si>
  <si>
    <t>Shifting Regimes: Political Disruption and Change in Early Modern Sweden</t>
  </si>
  <si>
    <t>HISTORY / Europe / Nordic Countries</t>
  </si>
  <si>
    <t>La conservation des aliments</t>
  </si>
  <si>
    <t>Alain Kondjoyan-Catherine Renard-Patrice Dole-Laurence Fournaison-Hong-Minh Hoang-Le-Yves Le Loir-Caroline PÃ©nicaud-Monique Zagorec-FranÃ§ois Zuber</t>
  </si>
  <si>
    <t>Everyday Islamophobia</t>
  </si>
  <si>
    <t>SOCIAL SCIENCE / Sociology of Religion</t>
  </si>
  <si>
    <t>Peter Hopkins</t>
  </si>
  <si>
    <t>Supporting Young Childrenâ€™s Participation in Child Welfare</t>
  </si>
  <si>
    <t>Karen Winter-Gillian Ruch</t>
  </si>
  <si>
    <t>Teens, Social Media, and Image Based Abuse</t>
  </si>
  <si>
    <t>SOCIAL SCIENCE / Children"s Studies</t>
  </si>
  <si>
    <t>Jessica Ringrose-Kaitlyn Regehr</t>
  </si>
  <si>
    <t>Archaeological Research on Cultures in Northeast China From the Xia to the Warring States Period</t>
  </si>
  <si>
    <t>Binfu Zhao-Wenjing Xia-Li Yuan-Zhidong Cui-Xiaopei Zhang</t>
  </si>
  <si>
    <t>Japanâ€™s Humanitarian Aid Toward Myanmar After the 2021 Coup</t>
  </si>
  <si>
    <t>Ryuji Hattori-Tual Sawn Khai</t>
  </si>
  <si>
    <t>In die falsche Richtung?</t>
  </si>
  <si>
    <t>Julia Heideklang-Jan Shavrin-Anja Wolkenhauer</t>
  </si>
  <si>
    <t>Neoliberal Authoritarianism: An Ethnography of Russian Universities</t>
  </si>
  <si>
    <t>Iuliia Gataulina</t>
  </si>
  <si>
    <t>Transnational and Transatlantic Perspectives on the Balkans, 1850â€“1918</t>
  </si>
  <si>
    <t>Eva Tamara Asboth</t>
  </si>
  <si>
    <t>Zur Resonanz von Gottesbild und Lebensform</t>
  </si>
  <si>
    <t>Ufuk Topkara-Bernhard Nitsche</t>
  </si>
  <si>
    <t>Digital Public Health</t>
  </si>
  <si>
    <t>MEDICAL / Biostatistics</t>
  </si>
  <si>
    <t>Hajo Zeeb-Laura MaaÃŸ-Tanja Schultz-Ulrike Haug-Iris Pigeot</t>
  </si>
  <si>
    <t>Costa Rican Technical and Vocational Education and Training</t>
  </si>
  <si>
    <t>Irina Rommel-Dietmar Frommberger-Daniel LÃ¡scarez Smith</t>
  </si>
  <si>
    <t>Subjektive Gesundheitstheorien pÃ¤dagogischer KrÃ¤fte</t>
  </si>
  <si>
    <t>SOCIAL SCIENCE / Disease &amp; Health Issues</t>
  </si>
  <si>
    <t>Maria Barthel</t>
  </si>
  <si>
    <t>Language, Borders and Bordering Practices / Lenguaje, Fronteras Y PrÃ¡cticas De FronterizaciÃ³n</t>
  </si>
  <si>
    <t>Yvette BÃ¼rki-Alba Nalleli GarcÃ­a AgÃ¼ero</t>
  </si>
  <si>
    <t>History of Intellectual Culture 4/2025</t>
  </si>
  <si>
    <t>Charlotte A. Lerg-Johan Ã–stling-Jana WeiÃŸ-Victoria Van Orden MartÃ­nez-Christine Schmidt-Ewa KoÅºmiÅ„ska-Frejlak</t>
  </si>
  <si>
    <t>Unveiling the Dynamics Behind the Holocaust in Hungary</t>
  </si>
  <si>
    <t>Moshe Barides</t>
  </si>
  <si>
    <t>Herodian</t>
  </si>
  <si>
    <t>Mario Baumann-Adam M. Kemezis-Maria-Eirini Zacharioudaki</t>
  </si>
  <si>
    <t>Between Cure and Control</t>
  </si>
  <si>
    <t>Benedetta Chizzolini</t>
  </si>
  <si>
    <t>Libraries Driving Education for Sustainable Development</t>
  </si>
  <si>
    <t>Petra Hauke-Antonia Mocatta-Priscilla Nga Ian Pun</t>
  </si>
  <si>
    <t>AI Aesthetics</t>
  </si>
  <si>
    <t>Jan-NoÃ«l Thon-Lukas R.A. Wilde</t>
  </si>
  <si>
    <t>Proceedings of the 2025 6th International Conference on Mental Health, Education and Human Development (MHEHD 2025)</t>
  </si>
  <si>
    <t>Zhenjian Yu-Brian Lee Chin Hin-Muhamad Fazil bin Ahmad-Goh Yi Sheng</t>
  </si>
  <si>
    <t>Proceedings of the 2025 3rd International Conference on Image, Algorithms, and Artificial Intelligence (ICIAAI 2025)</t>
  </si>
  <si>
    <t>Yanan Sun</t>
  </si>
  <si>
    <t>Proceedings of the 2025 2nd International Conference on Mechanics, Electronics Engineering and Automation (ICMEEA 2025)</t>
  </si>
  <si>
    <t>Jamshed Iqbal</t>
  </si>
  <si>
    <t>Community Nursing in Ã–sterreich</t>
  </si>
  <si>
    <t>Managing Global Student Migration in the Twentieth Century</t>
  </si>
  <si>
    <t>Dzovinar KÃ©vonian-Guillaume Tronchet</t>
  </si>
  <si>
    <t>Merchants of Migrant Domestic Labour</t>
  </si>
  <si>
    <t>Liberty L. Chee</t>
  </si>
  <si>
    <t>Advancements in Fluid Power Technology: Sustainability, Electrification, and Digitalization</t>
  </si>
  <si>
    <t>Liselott Ericson-Petter Krus</t>
  </si>
  <si>
    <t>Strategic Innovative Marketing and Tourism</t>
  </si>
  <si>
    <t>BUSINESS &amp; ECONOMICS / Industries / Hospitality, Travel &amp; Tourism</t>
  </si>
  <si>
    <t>Androniki Kavoura-Victor-Alexandru Briciu-Arabela Briciu</t>
  </si>
  <si>
    <t>Prediction and Evaluation of Hardened Concrete Strength</t>
  </si>
  <si>
    <t>Yidong Xu-Jianghong Mao-Weijie Zhuge-Xiaoniu Yu-Ping Wu</t>
  </si>
  <si>
    <t>Interventions for Improving Childrenâ€˜s Language in Early-Childhood-Education-and-Care Institutional Settings in Germany</t>
  </si>
  <si>
    <t>Karin Zimmer-Jan-Henning Ehm-Susanne Kuger-Jan Lonnemann-Jolika Schulte</t>
  </si>
  <si>
    <t>Refugee Protection Crises and Transit Europe</t>
  </si>
  <si>
    <t>Julija SardeliÄ‡</t>
  </si>
  <si>
    <t>Doulas in der Deutschschweiz - zwischen Beruf und Berufung</t>
  </si>
  <si>
    <t>Jill Marxer</t>
  </si>
  <si>
    <t>Proceedings of the 1st International Conference on Lifespan Innovation (ICLI 2025)</t>
  </si>
  <si>
    <t>Wanus Srimaharaj</t>
  </si>
  <si>
    <t>Stressoren und Ressourcen in der Interaktionsarbeit</t>
  </si>
  <si>
    <t>PSYCHOLOGY / Clinical Psychology</t>
  </si>
  <si>
    <t>Jonas Wehrmann</t>
  </si>
  <si>
    <t>Electricity Capital and Energy Poverty</t>
  </si>
  <si>
    <t>Lucy H. Baker-Umberto Cao-Ellen Fungisai Chipango-Hilman Syahri Fathoni-Paul G. Munro</t>
  </si>
  <si>
    <t>The Social Epistemology of Engineered Agricultural Ecologies</t>
  </si>
  <si>
    <t>Catherine Kendig-Paul B. Thompson</t>
  </si>
  <si>
    <t>Vocabulary for Sustainable Consumption and Lifestyles</t>
  </si>
  <si>
    <t>BUSINESS &amp; ECONOMICS / Consumer Behavior</t>
  </si>
  <si>
    <t>Lewis Akenji-Philip J. Vergragt-Halina Szejnwald Brown-Thomas S.J. Smith-Laura Maria WallnÃ¶fer</t>
  </si>
  <si>
    <t>Environmental, Social, and Governance Ratings</t>
  </si>
  <si>
    <t>Patrycja Chodnicka-Jaworska</t>
  </si>
  <si>
    <t>Internet Popular Culture and (Everyday) Politics</t>
  </si>
  <si>
    <t>Crystal Abidin-Natalie Pang</t>
  </si>
  <si>
    <t>Envisioning a Promising Africa From Diverse Perspectives</t>
  </si>
  <si>
    <t>Cheryl Potgieter-Vimbai Chibango-Imraan Buccus-Takalani G. Tshitangano-Lebohang N. Ndaba-Kunle M. Oparinde-Duduzile Mzindle-Kgomotlokoa L. Thaba-Nkadimene-Ngozi E. Iyoho-Emeka J. Onyetube-Lifutso Tsephe-Khethiwe Dongwe-Tekweni Chataira-Dudu G. Sokhela</t>
  </si>
  <si>
    <t>Soshanguve Paremiology+: A Multilingual Approach</t>
  </si>
  <si>
    <t>Napjadi Letsoalo-Mpho Ngoepe-Puleng LenkaBula-Juliet C. Kamwendo-Munyaradzi Mushonga-Delvah Mabaso-Moffat Sebola-Sikheto J. Kubayi-Bulelwa Nokele-Maropeng Maponya-Kganathi Shaku</t>
  </si>
  <si>
    <t>The Role of Entrepreneurial Ecosystems in Sustainable Local Economic Development</t>
  </si>
  <si>
    <t>Marius Venter-Natanya Meyer-Niel Kruger-ChanÃ© de Bruyn-Lodewikus Janse van Rensburg-Angus Bowmaker-Falconer-Daniel Francois Meyer-Menisha Moos-Robyn Goss-Clavis Nwehfor Fubah-Jean-Marie Mbuya-Vivence Kalitanyi-Thea Tselepis-Anthonia Rwabukwe-Kafigi Jeje-Daniella Teles Amaral-Chris Schachtebeck-Cecile Nieuwenhuizen</t>
  </si>
  <si>
    <t>Public Administration, Democracy and Peacebuilding in the Democratic Republic of the Congo</t>
  </si>
  <si>
    <t>Jean Chrysostome K. Kiyala-Mulanda J. Juma-Dorcas Ettang</t>
  </si>
  <si>
    <t>The Great Powers and the Survival of the Liberal International Order: Four Scenarios</t>
  </si>
  <si>
    <t>Ayabulela Dlakavu-Bhaso Ndzendze</t>
  </si>
  <si>
    <t>The Development of the Characters of Lady Wisdom and Dame Folly in Judaic Literature</t>
  </si>
  <si>
    <t>RELIGION / Biblical Criticism &amp; Interpretation / Old Testament</t>
  </si>
  <si>
    <t>Ananda B. Geyser-FouchÃ©-Johann Cook</t>
  </si>
  <si>
    <t>Formulating Development</t>
  </si>
  <si>
    <t>Lola Wilhelm</t>
  </si>
  <si>
    <t>Comment partager lâ€™eau en France ?</t>
  </si>
  <si>
    <t>SCIENCE / Global Warming &amp; Climate Change</t>
  </si>
  <si>
    <t>Introduction to Quantitative Hydrology</t>
  </si>
  <si>
    <t>SCIENCE / Earth Sciences / Hydrology</t>
  </si>
  <si>
    <t>Aly I. El-Kadi</t>
  </si>
  <si>
    <t>Proceedings of the International Conference on Agriculture, Food, and Environment (ICAFE 2024)</t>
  </si>
  <si>
    <t>Budiarto Budiarto-Tuti Setyaningrum-Mohammad Nurcholis-Raden Agus Widodo-Liana Fatma Leslie Pratiwi</t>
  </si>
  <si>
    <t>Proceedings of the 2025 International Conference on Global Cultural and Creative Industries (ICGCCI 2025)</t>
  </si>
  <si>
    <t>Emma Duester</t>
  </si>
  <si>
    <t>Design Participation</t>
  </si>
  <si>
    <t>Sampsa Hyysalo</t>
  </si>
  <si>
    <t>Enabling and Safeguarding Personalized Medicine</t>
  </si>
  <si>
    <t>Federica Casarosa-Francesca Gennari-Arianna Rossi</t>
  </si>
  <si>
    <t>Transforming Gender Equality and Inclusion Within Higher Education in Ireland</t>
  </si>
  <si>
    <t>Lorraine McIlrath-Lorraine Leeson-Helen Maher-Marie Connolly</t>
  </si>
  <si>
    <t>Proceedings of the 2025 International Conference on Chemical Engineering and Biological Science (CEBS 2025)</t>
  </si>
  <si>
    <t>Harminder Pal Singh-Lei Guo-Ioannis Zuburtikudis-Siew Chun LOW</t>
  </si>
  <si>
    <t>Proceedings of the International Scientific Conference of MICE (ISCOMICE 2024)</t>
  </si>
  <si>
    <t>Christina Lipuringtyas Rudatin-Djuni Akbar</t>
  </si>
  <si>
    <t>Acculturation of Korean New Zealander Youth</t>
  </si>
  <si>
    <t>Changzoo Song</t>
  </si>
  <si>
    <t>The Cool Water Effect</t>
  </si>
  <si>
    <t>Christian Welzel-Stefan Kruse-Lennart Brunkert-Steven A. Brieger</t>
  </si>
  <si>
    <t>Kinder mit erhÃ¶htem Risiko fÃ¼r Bildungsmisserfolg</t>
  </si>
  <si>
    <t>Jeanette Ziehm-Eicher-Marcus Hasselhorn-Hans-GÃ¼nther RoÃŸbach</t>
  </si>
  <si>
    <t>Lectures on Generalized Global Symmetries</t>
  </si>
  <si>
    <t>SCIENCE / Physics / Quantum Theory</t>
  </si>
  <si>
    <t>Nabil Iqbal</t>
  </si>
  <si>
    <t>CiudadanÃ­a y Democracia en la sociedad global</t>
  </si>
  <si>
    <t>Corporacion Universitaria Remington</t>
  </si>
  <si>
    <t>POLITICAL SCIENCE / Civics &amp; Citizenship</t>
  </si>
  <si>
    <t>Andrea Carolina JimÃ©nez Benjumea-Carlos AndrÃ©s FlÃ³rez-Rojas-Clemencia MarÃ­a Toro Espinosa-Diana Patricia Ortega GarcÃ­a-Diego Alejandro Ocampo Zapata-Edgar Olmedo Cruz MicÃ¡n-Gerzon Yair Calle Ãlvarez-HÃ©ctor Mauricio Mazo Ãlvarez-Javier Augusto RÃ­os SuÃ¡rez-Juan Jacobo Agudelo Galeano-Kenya Lorena GÃ³mez Urrea-Luis Eduardo Baquero-Rey-MarÃ­a Isabel Lara Saiz-Martha Nicolasa Amaya Becerra-Miguel HernÃ¡ndez Bejarano-Nancy Edith Ochoa Guevara-Sergio Luis MondragÃ³n Duarte-Silvana Rivera Builes-SÃ³crates Rojas Amador-William Enrique Mercado Borja-Yira Lizet Perea-Osorno</t>
  </si>
  <si>
    <t>ImplementaciÃ³n de la gestiÃ³n del riesgo de desastres en Instituciones de EducaciÃ³n Superior. Experiencia de la InstituciÃ³n Universitaria Colegio Mayor de Antioquia</t>
  </si>
  <si>
    <t>Lila MarÃ­a CortÃ©s Fonnegra-Edna Margarita RodrÃ­guez Gaviria-Sol Ochoa Osorio-Marco Antonio Giraldo RincÃ³n</t>
  </si>
  <si>
    <t>The Student Guide to the Creative Studio in the Digital Age</t>
  </si>
  <si>
    <t>Denitsa Petrova-Doug Specht</t>
  </si>
  <si>
    <t>Everlasting Flowers Between the Pages</t>
  </si>
  <si>
    <t>Jessie Wei-Hsuan Chen</t>
  </si>
  <si>
    <t>DiversitÃ¤tsprozesse in interkulturellen Projektteams</t>
  </si>
  <si>
    <t>Lisa Nowak</t>
  </si>
  <si>
    <t>Vaterunser-Parodien in KontinuitÃ¤t und Wandel</t>
  </si>
  <si>
    <t>Anne Breckner</t>
  </si>
  <si>
    <t>Sustainable Energy Carriers for Energy Storage and Transport</t>
  </si>
  <si>
    <t>SCIENCE / Chemistry / Industrial &amp; Technical</t>
  </si>
  <si>
    <t>Mohammed Al-Breiki-Yusuf Bicer</t>
  </si>
  <si>
    <t>Projective Simulation in Action</t>
  </si>
  <si>
    <t>Hans J. Briegel-Thomas MÃ¼ller</t>
  </si>
  <si>
    <t>Proceedings of the 5th International Conference on New Computational Social Science (ICNCSS 2025)</t>
  </si>
  <si>
    <t>Roshan Chitrakar-Chew Fong Peng-Mata Liliana-Ameha Tefera Tessema</t>
  </si>
  <si>
    <t>Exploring Structures in Languages and Language Contact</t>
  </si>
  <si>
    <t>Nataliya Levkovych-Julia Nintemann-Maike Vorholt</t>
  </si>
  <si>
    <t>Climate Change</t>
  </si>
  <si>
    <t>Kristen St. John-Lawrence Krissek</t>
  </si>
  <si>
    <t>Beyond Federation</t>
  </si>
  <si>
    <t>Emma Hunter-Daniel Branch-Ismay Milford-Gerard McCann</t>
  </si>
  <si>
    <t>Rohingyas and the Geographies of Precarity in Exile</t>
  </si>
  <si>
    <t>SOCIAL SCIENCE / Slavery</t>
  </si>
  <si>
    <t>Anas Ansar</t>
  </si>
  <si>
    <t>The War Between Russia and Ukraine</t>
  </si>
  <si>
    <t>RELIGION / Christian Theology / Ethics &amp; Moral Teaching</t>
  </si>
  <si>
    <t>Nicole Kunkel-Torsten Meireis</t>
  </si>
  <si>
    <t>The Finest Souls of Our Rivers and Alps</t>
  </si>
  <si>
    <t>Paul W. Kroll</t>
  </si>
  <si>
    <t>Sixty Years of Swedish Computational Lexicography</t>
  </si>
  <si>
    <t>LANGUAGE STUDY / Scandinavian Languages (Other)</t>
  </si>
  <si>
    <t>Dana DannÃ©lls-Kristian Blensenius-Lars Borin</t>
  </si>
  <si>
    <t>Justice and Righteousness in the Old Testament</t>
  </si>
  <si>
    <t>Ulrich Berges</t>
  </si>
  <si>
    <t>Verfolgungssuizide im Nationalsozialismus</t>
  </si>
  <si>
    <t>Tim OhnhÃ¤user</t>
  </si>
  <si>
    <t>New Approaches to Transcodification</t>
  </si>
  <si>
    <t>Massimo Fusillo-Doriana Legge-Mirko Lino-Mattia Petricola-Gianluigi Rossini</t>
  </si>
  <si>
    <t>Challenging Conventions</t>
  </si>
  <si>
    <t>HISTORY / Asia / Central Asia</t>
  </si>
  <si>
    <t>Christiane Czygan-Hatice Aynur</t>
  </si>
  <si>
    <t>Healing Holocaust Survivors</t>
  </si>
  <si>
    <t>Stella Maria Frei</t>
  </si>
  <si>
    <t>The Modern Dream of Order</t>
  </si>
  <si>
    <t>ART / Movements / Romanticism</t>
  </si>
  <si>
    <t>Eva Ehninger</t>
  </si>
  <si>
    <t>Assembling the Archipelago: Heritage in Energy Transitions and Climate Action</t>
  </si>
  <si>
    <t>ARCHITECTURE / Landscape</t>
  </si>
  <si>
    <t>Marilena Mela</t>
  </si>
  <si>
    <t>SpeciÃ¡lnÄ›pedagogickÃ¡ diagnostika surdopedickÃ¡</t>
  </si>
  <si>
    <t>Masaryk University Press</t>
  </si>
  <si>
    <t>EDUCATION / Special Education / Physical Disabilities</t>
  </si>
  <si>
    <t>DoleÅ¾alovÃ¡, Lenka-HorÃ¡kovÃ¡, Radka</t>
  </si>
  <si>
    <t>Komunikace osob s duÃ¡lnÃ­m smyslovÃ½m postiÅ¾enÃ­m</t>
  </si>
  <si>
    <t>HorÃ¡kovÃ¡, Radka</t>
  </si>
  <si>
    <t>Student Scientific Conference MUNI Pharm</t>
  </si>
  <si>
    <t>BobÃ¡Ä¾, Pavel-HlavatÃ¡, Daniela</t>
  </si>
  <si>
    <t>BobÃ¡l', Pavel-MokrÃ½, Petr-HlavatÃ¡, Daniela</t>
  </si>
  <si>
    <t>BobÃ¡Ä¾, Pavel-MokrÃ½, Petr-LamaczovÃ¡, AdÃ©la-JirgesovÃ¡, Lenka</t>
  </si>
  <si>
    <t>BobÃ¡Ä¾, Pavel-HlavatÃ¡, Daniela-LamaczovÃ¡, AdÃ©la</t>
  </si>
  <si>
    <t>KomunikaÄnÃ­ a simulaÄnÃ­ techniky surdopedickÃ©</t>
  </si>
  <si>
    <t>SpeciÃ¡lnÄ›pedagogickÃ¡ diagnostika a intervence u Å¾Ã¡kÅ¯ se specifickÃ½mi poruchami uÄenÃ­</t>
  </si>
  <si>
    <t>EDUCATION / Special Education / Developmental &amp; Intellectual Disabilities</t>
  </si>
  <si>
    <t>BartoÅˆovÃ¡, Miroslava</t>
  </si>
  <si>
    <t>AlternativnÃ­ a augmentativnÃ­ komunikace</t>
  </si>
  <si>
    <t>EDUCATION / Special Education / Communicative Disorders</t>
  </si>
  <si>
    <t>ChleboradovÃ¡, Barbora</t>
  </si>
  <si>
    <t>SpeciÃ¡lnÄ›pedagogickÃ¡ diagnostika logopedickÃ¡</t>
  </si>
  <si>
    <t>ChleboradovÃ¡, Barbora-KopeÄnÃ½, Petr</t>
  </si>
  <si>
    <t>KomunikaÄnÃ­ a simulaÄnÃ­ techniky logopedickÃ©</t>
  </si>
  <si>
    <t>KopeÄnÃ½, Petr-ChleboradovÃ¡, Barbora</t>
  </si>
  <si>
    <t>SimulaÄnÃ­ techniky oftalmopedickÃ©</t>
  </si>
  <si>
    <t>Vrubel, Martin</t>
  </si>
  <si>
    <t>SpeciÃ¡lnÄ›pedagogickÃ¡ diagnostika oftalmopedickÃ¡</t>
  </si>
  <si>
    <t>RÃ¶derovÃ¡, Petra</t>
  </si>
  <si>
    <t>BeeConnected 2025</t>
  </si>
  <si>
    <t>SCIENCE / Life Sciences / Zoology / Entomology</t>
  </si>
  <si>
    <t>HyrÅ¡l, Pavel-DobeÅ¡, Pavel-HurychovÃ¡, Jana-Å reibr, Sara</t>
  </si>
  <si>
    <t>COFOLA 2024. ÄŒÃ¡st 3 â€“ AktuÃ¡lnÃ­ otÃ¡zky nÃ¡hrady Å¡kody</t>
  </si>
  <si>
    <t>LAW / Remedies &amp; Damages</t>
  </si>
  <si>
    <t>MertelovÃ¡, Petra-KonopkovÃ¡, Silvie-HadamÄÃ­k, LukÃ¡Å¡</t>
  </si>
  <si>
    <t>COFOLA 2024. ÄŒÃ¡st 8 â€“ Regulace, dohled a inovace na finanÄnÃ­ch trzÃ­ch a v bankovnÃ­m sektoru</t>
  </si>
  <si>
    <t>LAW / Banking</t>
  </si>
  <si>
    <t>Schweigl, Johan-HolubÃ¡Å™ovÃ¡, Nikol-Janovec, Michal</t>
  </si>
  <si>
    <t>COFOLA 2024. ÄŒÃ¡st 6 â€“ CivilnÃ­ proces v judikatuÅ™e ÃšstavnÃ­ho soudu</t>
  </si>
  <si>
    <t>LAW / Civil Law</t>
  </si>
  <si>
    <t>LavickÃ½, Petr-PondikasovÃ¡, Tereza-Janovec, Michal</t>
  </si>
  <si>
    <t>COFOLA 2024. ÄŒÃ¡st 5 â€“ DopravnÃ­ a pÅ™epravnÃ­ prÃ¡vo v mezinÃ¡rodnÃ­m a evropskÃ©m rozmÄ›ru</t>
  </si>
  <si>
    <t>LAW / Transportation</t>
  </si>
  <si>
    <t>KÅ™epelka, Filip-RichterovÃ¡ , Anna-Janovec, Michal</t>
  </si>
  <si>
    <t>COFOLA 2024. ÄŒÃ¡st 2 â€“ VÃ½zvy souÄasnÃ© sociÃ¡lnÃ­ politiky</t>
  </si>
  <si>
    <t>KomendovÃ¡, Jana-Smejkal, Michal-TomÃ¡Å¡kovÃ¡, Eva-Janovec, Michal</t>
  </si>
  <si>
    <t>HernÃ½ vÃ½kon v basketbale</t>
  </si>
  <si>
    <t>SPORTS &amp; RECREATION / Basketball</t>
  </si>
  <si>
    <t>VencÃºrik, TomÃ¡Å¡</t>
  </si>
  <si>
    <t>COFOLA 2024. ÄŒÃ¡st 1 â€“ DaÅˆovÃ© prÃ¡vo v promÄ›nÃ¡ch Äasu</t>
  </si>
  <si>
    <t>LAW / Taxation</t>
  </si>
  <si>
    <t>Czudek, Damian</t>
  </si>
  <si>
    <t>Kontrahovanie sluÅ¾ieb vo verejnom sektore â€“ skÃºsenosti v Slovenskej a ÄŒeskej republike</t>
  </si>
  <si>
    <t>MikuÅ¡ovÃ¡, BeÃ¡ta</t>
  </si>
  <si>
    <t>VÃ½konnost podniku v kontextu spokojenosti zÃ¡kaznÃ­ka, zpÄ›tnÃ½ch tokÅ¯, kvality, inovacÃ­ a znalostÃ­</t>
  </si>
  <si>
    <t>BUSINESS &amp; ECONOMICS / Customer Relations</t>
  </si>
  <si>
    <t>KlapalovÃ¡, Alena-SuchÃ¡nek, Petr-Å kapa, Radoslav</t>
  </si>
  <si>
    <t>Sto tvÃ¡Å™Ã­, sto pÅ™Ã­bÄ›hÅ¯</t>
  </si>
  <si>
    <t>Fasora, LukÃ¡Å¡-ÄŒermin, Jan-ÄŒerminovÃ¡, Jana-HanuÅ¡, JiÅ™Ã­-MÃ¡likovÃ¡, Michaela</t>
  </si>
  <si>
    <t>VenkovskÃ½ cestovnÃ­ ruch</t>
  </si>
  <si>
    <t>Å Ã­p, JiÅ™Ã­</t>
  </si>
  <si>
    <t>MuzejnÃ­ profese a veÅ™ejnost 2</t>
  </si>
  <si>
    <t>HolubovÃ¡, Zuzana-KuÄera, TomÃ¡Å¡-KyselÃ¡, Monika-MaÅ¾Ã¡rovÃ¡, Monika-MertovÃ¡, MertovÃ¡-MrÃ¡zovÃ¡, Lenka-OstÅ™anskÃ¡, Ivana-PalÃ¡rik, Miroslav-PeÅ¡kovÃ¡, Jitka-SvÃ¡tkovÃ¡, Barbora-Å ebek, FrantiÅ¡ek-TomeÅ¡kovÃ¡, KateÅ™ina-VachÅ¯t, VachÅ¯t-VelkovÃ¡, Jitka-JagoÅ¡ovÃ¡, Lucie-Kirsch, Otakar</t>
  </si>
  <si>
    <t>TradiÄnÃ­ rodina v ÄŒÃ­nÄ›</t>
  </si>
  <si>
    <t>DosedlovÃ¡, Aneta-HegerovÃ¡, TerÃ©zia-KrajcovÃ¡, Pavla-MaÅ¡kovÃ¡, KateÅ™ina-MydliarovÃ¡, Lucia-RusseovÃ¡, Zuzana-Samoylova, Nataliya-ShejbalovÃ¡, Zuzana</t>
  </si>
  <si>
    <t>Rozhodni se! aneb Å¾ivotnÃ­m stylem ke zdravÃ­</t>
  </si>
  <si>
    <t>HEALTH &amp; FITNESS / Healthy Living</t>
  </si>
  <si>
    <t>SmejkalovÃ¡, ZdeÅˆka-SlanÃ¡, Jitka</t>
  </si>
  <si>
    <t>Life in Health 2019: Research and Practice</t>
  </si>
  <si>
    <t>Å˜ehulkovÃ¡, Hana-KachlÃ­k, Petr-VÃ¡lkovÃ¡, Hana-Å erÃ¡kovÃ¡, Hana-SkotÃ¡kovÃ¡, Alena-MaleÅˆÃ¡kovÃ¡, Å Ã¡rka-ValkounovÃ¡, Eva-Å½Ã¡kovskÃ¡, Alena-ChlÃ­bkovÃ¡, Daniela-HÃ¡tlovÃ¡, BÄ›la-Dlabal, Martin-DvoÅ™Ã¡kovÃ¡, Tereza-WedlichovÃ¡, Iva-HÃ¼belovÃ¡, Dana-MuÅ¾Ã­kovÃ¡, Leona-KimÃ¡kovÃ¡, Tatiana-Issa, Marwan-Nasser, Boshra-Zeidan, Reem-Zeidan, Maysoon-Schuster, Jan-RaÄkovÃ¡, Mariana-Svoboda, Michal-NovÃ¡k, Jaroslav-HÅ™ivnovÃ¡, Michaela-SofkovÃ¡, Tereza-ChrÃ¡skovÃ¡, Marie-SlanÃ¡, Jitka-SmejkalovÃ¡, ZdeÅˆka-LebedovÃ¡, Irena-MarÃ¡dovÃ¡, Eva-Å lechtovÃ¡, Pavla-KovaÅ™Ã­kovÃ¡, Miroslava-HolinkovÃ¡, MarkÃ©ta-AdÃ¡mkovÃ¡, Lenka</t>
  </si>
  <si>
    <t>TomÃ¡Å¡kovy dny 2020</t>
  </si>
  <si>
    <t>Vacek, LukÃ¡Å¡</t>
  </si>
  <si>
    <t>Contested States in War and Law</t>
  </si>
  <si>
    <t>Janis Grzybowski-Giulia Prelz Oltramonti-Agatha Verdebout</t>
  </si>
  <si>
    <t>Varieties of Impact Investing</t>
  </si>
  <si>
    <t>BUSINESS &amp; ECONOMICS / Development / Sustainable Development</t>
  </si>
  <si>
    <t>Philip Balsiger-Daniel Burnier-NoÃ© Kabouche</t>
  </si>
  <si>
    <t>TomÃ¡Å¡kovy dny 2021</t>
  </si>
  <si>
    <t>MEDICAL / Microbiology</t>
  </si>
  <si>
    <t>Vacek, LukÃ¡Å¡-KleknerovÃ¡, Dominika</t>
  </si>
  <si>
    <t>Outdoor Adventure Education Curriculum Framework for Youth Social and Emotional Learning</t>
  </si>
  <si>
    <t>EDUCATION / Teaching / Subjects / Health &amp; Sexuality</t>
  </si>
  <si>
    <t>VlÄek, Petr-SkotÃ¡kovÃ¡, Alena-HÅ™ebÃ­ÄkovÃ¡, Sylva-Saaranen-Kauppinen, Anita-Muittari, â€‹Jussi-Dania, Aspasia-Anagnostopoulos, Charalambos-Kossyva, Eirini-Ntalachani, Kallirroi-Caballero, Pablo-Lasaga, Maria-Latorre, Agueda-Ramirez, Gonzalo-Popeska, Biljana-Janemalm, â€‹Lucas-Cools, Wouter-Adamakis, Manolis-Lemling, Alina</t>
  </si>
  <si>
    <t>Outdoor Adventure Education Curriculum Model: Template for Youth Social and Emotional Learning</t>
  </si>
  <si>
    <t>CviÄÃ­m pro zdravÃ­ a bavÃ­ mÄ› to</t>
  </si>
  <si>
    <t>Å erÃ¡kovÃ¡, Hana</t>
  </si>
  <si>
    <t>Spolu, a pÅ™ece oddÄ›lenÄ›: podoba diferencovanÃ© vÃ½uky na zÃ¡kladnÃ­ch Å¡kolÃ¡ch</t>
  </si>
  <si>
    <t>EDUCATION / Classroom Management</t>
  </si>
  <si>
    <t>NavrÃ¡tilovÃ¡, Jana</t>
  </si>
  <si>
    <t>TÃ©ma impÃ©ria v ruskÃ© literatuÅ™e: vybranÃ© aspekty</t>
  </si>
  <si>
    <t>LITERARY CRITICISM / Russian &amp; Soviet</t>
  </si>
  <si>
    <t>Poddenezhna, Olena-PeÅ¡kovÃ¡, Michaela-SovÃ¡kovÃ¡, Jana</t>
  </si>
  <si>
    <t>Support for Collegiality in Schools</t>
  </si>
  <si>
    <t>EDUCATION / Collaborative &amp; Team Teaching</t>
  </si>
  <si>
    <t>LazarovÃ¡, BohumÃ­ra-Pol, Milan-KroiÄa, Marita-Gallagher, Eoghan-Pears, Alexandria-Xeni, Elena-Baranovska, Inta-Ott, Suzanne-Å ejna, Erik-Shukakidze, Berika-Matkava, Khatia-Urchukhishvili, Giorgi-Beglarashvili, Nino-KripÅ¡Ä“vica, Inga-Neimane, Signe</t>
  </si>
  <si>
    <t>SouÄasnÃ¡ srbskÃ¡ a ÄeskÃ¡ slavistickÃ¡ bÃ¡dÃ¡nÃ­ II</t>
  </si>
  <si>
    <t>Å tÄ›pÃ¡nek, VÃ¡clav-PospÃ­Å¡il, Ivo-KrejÄÃ­, Pavel-KrejÄovÃ¡, Elena-MordÃ¡Äik, Matej-PolednÃ­kovÃ¡, Tereza-Erhart, TomÃ¡Å¡-MariÄ‡, Ana-Dohnal, Josef-DragiÄ‡eviÄ‡, Rajna-Korda-PetroviÄ‡, Aleksandra-KoÄevski, Ivana-MitriÄ‡eviÄ‡-Å tepanek, Katarina-SokoloviÄ‡, Dalibor-SrdiÄ‡, NataÅ¡a-TÃ½rovÃ¡, Zuzana-ÄŒÃ­Å¾ikovÃ¡, Zuzana-Å imÃ¡kovÃ¡, MarÃ­na</t>
  </si>
  <si>
    <t>Noninvasive Methods in Cardiology 2024</t>
  </si>
  <si>
    <t>SiegelovÃ¡, Jarmila-DuÅ¡ek, JiÅ™Ã­-DunklerovÃ¡, Leona-DobÅ¡Ã¡k, Petr-Pohanka, Michal-CornÃ©lissen, Germaine-HavelkovÃ¡, Alena-Beaty, Larry-Otsuka, Kuniaki-Turner, A.-Amaral, F.-Gubin, D.-Lee, C.-Beaty, L.-Cipolla-Neto, J.-Watanabe, Yoshihiko-Tani, Shigemasa-Sekine, Hideo-Fujishiro, Chiharu-Iida, Katsuo-Ogawa, Taro-Nakashima, Ayaka-Tsubaki, Kazufumi-Mori, Takahiro-Koyama, Masahiro-Nakamura, Kurazo-DvoÅ™Ã¡k, Petr-Å arokovÃ¡, Veronika-NepraÅ¡ovÃ¡, Nela-KrechlerovÃ¡, Magda-PokornÃ¡, Alena-Filipensky, Petr-Homolka, Pavel-Takei, Mitsuo-Iwane, Miki</t>
  </si>
  <si>
    <t>ZpÃ¡tky na svÄ›tlo aneb jak traseologickÃ¡ analÃ½za pÅ™ispÃ­vÃ¡ k poznÃ¡nÃ­ minulosti</t>
  </si>
  <si>
    <t>HavlÃ­kovÃ¡, MarkÃ©ta-KaÅˆÃ¡kovÃ¡, Ludmila-BÃ­Å¡kovÃ¡, Jarmila</t>
  </si>
  <si>
    <t>1st Central European Conference for Advanced Therapy and Immunotherapy. Book of Abstracts</t>
  </si>
  <si>
    <t>SalaÄovÃ¡, MarkÃ©ta-PospÃ­Å¡ilovÃ¡, Lucie-VladÃ­kovÃ¡, Hana</t>
  </si>
  <si>
    <t>Role a perspektivy uÄebnic ve vÃ½uce dÄ›jepisu a zÃ¡kladÅ¯ spoleÄenskÃ½ch vÄ›d na stÅ™ednÃ­ch Å¡kolÃ¡ch</t>
  </si>
  <si>
    <t>DohnalovÃ¡, MarkÃ©ta-DvoÅ™Ã¡k, Jan-GlombovÃ¡, Hana-HavÃ¡Ä, OndÅ™ej-HolÃ­kovÃ¡, KateÅ™ina-JaroÅ¡, Roman-NovÃ¡kovÃ¡, Lenka-Sturz, ZbynÄ›k-Svoboda, JindÅ™ich-Vojta, Jakub-Å uch, Juraj-VelÄev, Stanislav-ZavadilovÃ¡, Helena-Fasora, LukÃ¡Å¡-Å˜epa, Milan</t>
  </si>
  <si>
    <t>Atlas didaktiky geografie v profesnÃ­ pÅ™Ã­pravÄ› uÄitelÅ¯ a uÄitelek</t>
  </si>
  <si>
    <t>SpurnÃ¡, Michaela</t>
  </si>
  <si>
    <t>XVI. studentskÃ¡ vÄ›deckÃ¡ konference Katedry ÄeskÃ©ho jazyka a literatury</t>
  </si>
  <si>
    <t>DokoupilovÃ¡, Iveta-ÄŒermÃ¡kovÃ¡, Aneta-ZuzaÅˆÃ¡kovÃ¡, KristÃ½na-LÃ­povÃ¡, MagdalÃ©na-LutzkÃ¡, AlÅ¾bÄ›ta-BroÅ¾ovÃ¡, EliÅ¡ka-PetrekovÃ¡, Lucie-PoÅ™Ã­zkovÃ¡, Tereza-FojtÃ­kovÃ¡, Petra-Å vandovÃ¡, Tereza-MalÃ¡, KateÅ™ina-NovÃ¡kovÃ¡, Ester-BÅ™ezinovÃ¡, KlÃ¡ra</t>
  </si>
  <si>
    <t>Edge of Tomorrow 2: The Next Generation of Legal Historians and Romanists</t>
  </si>
  <si>
    <t>Binder, Michael-DvorskÃ½, VÃ¡clav-Encheva, Ivona-UÅ‚anowicz, Mateusz-Botu, Cristian-Codrin-Zsanett, Dorang-KovÃ¡cs, Bence-BaÅ¾antovÃ¡, Eva-NovÃ¡k, Jakub-VeÅ¡elÃ©nyiovÃ¡, Frederika-MaliÅˆÃ¡k, LukÃ¡Å¡-Schlachta, BoglÃ¡rka-Horvath, Fabian-LÃ¶bling, Zuzana-KabÃ¡t, Jan-Å plÃ­chal, Adam-ZapletalovÃ¡, Petra-DobeÅ¡, Milan-Tauchen, JaromÃ­r-Kolumber, David</t>
  </si>
  <si>
    <t>Vliv silovÃ©ho trÃ©ninku na dÄ›tskÃ½ organismus</t>
  </si>
  <si>
    <t>HEALTH &amp; FITNESS / Exercise / General</t>
  </si>
  <si>
    <t>StraÅ¡ilovÃ¡, KateÅ™ina-Vajda, Petr</t>
  </si>
  <si>
    <t>Population Development in Slovakia Between the Pandemics (1919â€“2022)</t>
  </si>
  <si>
    <t>Å procha, Branislav-TiÅ¡liar, Pavol</t>
  </si>
  <si>
    <t>AnalÃ½za vybranÃ½ch sociÃ¡lnÃ­ch problÃ©mÅ¯ z perspektivy studujÃ­cÃ­ch sociÃ¡lnÃ­ pedagogiky</t>
  </si>
  <si>
    <t>KolaÅ™Ã­kovÃ¡, Veronika-HrabcovÃ¡, Å½aneta-BlaÅ¾kovÃ¡, EliÅ¡ka-LangerovÃ¡, Zuzana-MiklÃ¡nkovÃ¡, NatÃ¡lie-NovÃ¡k, Ivo-DobeÅ¡, VojtÄ›ch-Ledvinka, Å imon-Klapko, DuÅ¡an</t>
  </si>
  <si>
    <t>Paraziti volnÄ› Å¾ijÃ­cÃ­ch pÅ™eÅ¾vÃ½kavcÅ¯</t>
  </si>
  <si>
    <t>NATURE / Animals / Wildlife</t>
  </si>
  <si>
    <t>IlgovÃ¡, Jana</t>
  </si>
  <si>
    <t>ProfesnÃ­ portfolio v pÅ™Ã­pravnÃ©m vzdÄ›lÃ¡vÃ¡nÃ­ uÄitelÅ¯ mateÅ™skÃ½ch Å¡kol</t>
  </si>
  <si>
    <t>SyslovÃ¡, Zora-PÃ­Å¡ovÃ¡, Michaela-RodovÃ¡, Veronika-GrÅ¯zovÃ¡, Lucie-StadlerovÃ¡, Hana</t>
  </si>
  <si>
    <t>Kolokvium Brnoâ€“BÄ›lehrad 2024</t>
  </si>
  <si>
    <t>Å tÄ›pÃ¡nek, VÃ¡clav</t>
  </si>
  <si>
    <t>SouhrnnÃ¡ vÃ½zkumnÃ¡ zprÃ¡va Geo4tea</t>
  </si>
  <si>
    <t>SpurnÃ¡, Michaela-Knecht, Petr</t>
  </si>
  <si>
    <t>PracovnÃ­ listy pro praktickÃ¡ cviÄenÃ­ z farmakognozie</t>
  </si>
  <si>
    <t>DvorskÃ¡, Margita-JankovskÃ¡, Dagmar-MalanÃ­k, Milan-MolÄanovÃ¡, Lenka-Alice, SychrovÃ¡</t>
  </si>
  <si>
    <t>57. VÃ½roÄnÃ­ cytogenomickÃ¡ konference</t>
  </si>
  <si>
    <t>JaroÅ¡ovÃ¡, Marie</t>
  </si>
  <si>
    <t>Morphology 2024 Conference Programme and Book of Abstracts</t>
  </si>
  <si>
    <t>Joukal, Marek-DubovÃ½, Petr-BretovÃ¡, KarolÃ­na-VachovÃ¡, Jana</t>
  </si>
  <si>
    <t>Revitalizace Hodnot: UmÄ›nÃ­ a Literatura VI</t>
  </si>
  <si>
    <t>Dohnal, Josef-Agapova, Anna</t>
  </si>
  <si>
    <t>Ochota studujÃ­cÃ­ch na vysokÃ© Å¡kole zapojovat se do komunikace v anglickÃ©m jazyce</t>
  </si>
  <si>
    <t>LANGUAGE STUDY / English as a Second Language</t>
  </si>
  <si>
    <t>JelÃ­nkovÃ¡, Jaroslava</t>
  </si>
  <si>
    <t>Archaeogeophysics in Development-led Excavations</t>
  </si>
  <si>
    <t>PriÅ¡Å¥Ã¡kovÃ¡, Michaela-Havelka, Jan-RekemovÃ¡, Anna-AdamekovÃ¡, KatarÃ­na-KÅ™ivÃ¡nek, Roman-Petr, Libor-PetÅ™Ã­k, Jan-ProkeÅ¡, LubomÃ­r-TereÅ¡kovÃ¡, Iva-MalykovÃ¡, DrahomÃ­ra-Stolz, Daniel-VÃ¡gner, Michal-Å½Ã¡k, FrantiÅ¡ek-BÃ­Å¡ko, Richard-ÄŒiÅ¾mÃ¡Å™, Ivan-KalÃ¡bek, Marek-NovÃ¡k, Jan-Ontko, Michal-PeÅ¡ka, Jaroslav-PÅ™ichystal, Michal-Å Ã¡lka, DÃ¡vid-Å ebesta, Bohuslav-Å Ãºtor, Marek-TamaÅ¡koviÄ, Jakub-VolÃ¡nek, JiÅ™Ã­-VrÃ¡na, Jakub-ZubalÃ­k, JiÅ™Ã­-Tencer, TomÃ¡Å¡-Milo, Peter</t>
  </si>
  <si>
    <t>CompÃ©tences Plurilingues: Perspectives Et Actions / Plurilingual Competencies: Perspectives and Actions</t>
  </si>
  <si>
    <t>Sheeren, Hugues-DoÌˆderlein, Sebastian-Bertrand, Juliane-de Azevedo, Veronika-ÄŒervenkovaÌ, Marie-Å evecÌŒkovaÌ, Monika-PrÌŒevraÌtilovaÌ, Silvie-Merlo, Jonathan-Olivier-Pauvert, Rodolphe-Tea, Elena-Alchazidu, Athena-Krahula, Linda-MuÌˆllerovaÌ, KaterÌŒina-Gola, Sabina-SedlÃ¡ÄkovÃ¡, KateÅ™ina-Calvo MartÃ­n, Beatriz-Racine, Romain-Keller-Gerber, Alessandra</t>
  </si>
  <si>
    <t>Trends in Natural Products 2024, PSE, Young Scientists' Meeting Phytochemical Society of Europe (PSE)</t>
  </si>
  <si>
    <t>MEDICAL / Pharmacy</t>
  </si>
  <si>
    <t>Å mejkal, Karel-BroÅ¾ovÃ¡, Hana-Helcman, Martin-HlavatÃ¡, Daniela-GÃ¡borovÃ¡, MÃ¡ria-MalanÃ­k, Milan-MolÄanovÃ¡, Lenka</t>
  </si>
  <si>
    <t>StudentskÃ¡ geologickÃ¡ konference 2024</t>
  </si>
  <si>
    <t>BartoÅ¡ovÃ¡, Zuzana-KozÃ¡kovÃ¡, SÃ¡ra-MusilovÃ¡, KateÅ™ina-StejskalovÃ¡, Lucie-VÃ¡cha, Jakub</t>
  </si>
  <si>
    <t>ART BRUT BRNO 2023</t>
  </si>
  <si>
    <t>KoneÄnÃ½, Pavel-BelÅ¡Ã­kovÃ¡, Å Ã¡rka-Å imkovÃ¡, AneÅ¾ka-ÄŒierna, KatarÃ­na-Bineva, Dessislava-HÃ¡jkovÃ¡, Lucie-Å½Ã¡ÄkovÃ¡, Jana-Typlt, JaromÃ­r-ÄŒarnÃ¡, Daniela-Å ickovÃ¡, Jaroslava-TulisovÃ¡, AlÅ¾beta-KraloviÄ, Michal-SadilkovÃ¡, SoÅˆa-Perout, EvÅ¾en-ZuchovÃ¡, Iva-Å imkovÃ¡, Anna-HomolovÃ¡, Monika-StehlÃ­kovÃ¡, Hana-ChlÃ¡dkovÃ¡, Alena-BureÅ¡ovÃ¡, Lenka-Vlach, JiÅ™Ã­-HorÃ¡k, Daniel-Å tecko, Ä½ubomÃ­r-KvasniÄka, MatÃºÅ¡-Åabarzewski, RadosÅ‚aw-Gierowski, Piotr-KordoÅ¡, VladimÃ­r-MikulovÃ¡, Tereza</t>
  </si>
  <si>
    <t>67. StudentskÃ¡ vÄ›deckÃ¡ konference</t>
  </si>
  <si>
    <t>Jurajda, Michal</t>
  </si>
  <si>
    <t>Multimodal Microscopy Workshop: Probing the Triad of Structure, Mechanics, and Chemistry in Biological Systems 2024</t>
  </si>
  <si>
    <t>SCIENCE / Laboratory Techniques</t>
  </si>
  <si>
    <t>PÅ™ibyl, Jan-OboÅ™ilovÃ¡, Radka-KlimoviÄ, Å imon</t>
  </si>
  <si>
    <t>VÃ½zkum v didaktice cizÃ­ch jazykÅ¯ VI</t>
  </si>
  <si>
    <t>BrzÃ¡, Tereza-HlavicovÃ¡, Anna-Knopp, Jakub-Samoilov, Rowan-Å piÅ™Ã­kovÃ¡, Helena-ZavadilovÃ¡, Eva-Atcheson, Hana-Gerrard, Daniel-HubinovÃ¡, Veronika-Pultar, Filip-Williams, Christopher-JanÃ­kovÃ¡, VÄ›ra-HanuÅ¡ovÃ¡, SvÄ›tlana</t>
  </si>
  <si>
    <t>PopulaÄnÃ­ ekologie Å¾ivoÄichÅ¯ v pÅ™Ã­kladech</t>
  </si>
  <si>
    <t>PekÃ¡r, Stanislav-KintrovÃ¡, KateÅ™ina</t>
  </si>
  <si>
    <t>VztahovÃ¡ dimenze interprofesnÃ­ spoluprÃ¡ce ve Å¡kole: pÅ™Ã­padovÃ© studie</t>
  </si>
  <si>
    <t>EDUCATION / Teacher &amp; Student Mentoring</t>
  </si>
  <si>
    <t>JanÃ­k, TomÃ¡Å¡-ÄŽulÃ­kovÃ¡, Lenka-DvoÅ™Ã¡ÄkovÃ¡, Petra-DvoÅ™Ã¡kovÃ¡, Tereza-Egerle, Jan-Havel, JiÅ™Ã­-JurasovÃ¡, AlÅ¾bÄ›ta-JÅ¯zovÃ¡, Ivana-RyÅ¡kovÃ¡, Petra-VicianovÃ¡, Teresa</t>
  </si>
  <si>
    <t>Learning and Teaching in Virtual Reality</t>
  </si>
  <si>
    <t>Å aÅ¡inkovÃ¡, AlÅ¾bÄ›ta-ÄŒernÃ½, Michal-KoÅ¡atka, David-KoÅ¡atkovÃ¡, MarkÃ©ta-FoÅ™tovÃ¡, Nicola-JochecovÃ¡, KateÅ™ina-Å vedovÃ¡, Hana-StachoÅˆ, ZdenÄ›k-Å aÅ¡inka, ÄŒenÄ›k-DohnÃ¡lkovÃ¡, Anna-Rambousek, JiÅ™Ã­</t>
  </si>
  <si>
    <t>KomunikaÄnÃ­ strategie ÃºspÄ›Å¡nÃ½ch Å¾Ã¡kÅ¯ v Å™eÄovÃ© dovednosti mluvenÃ­</t>
  </si>
  <si>
    <t>SÃ½korovÃ¡, KateÅ™ina</t>
  </si>
  <si>
    <t>SlovanskÃ© literatury v evropskÃ©m kontextu: zvlÃ¡Å¡tnosti vÃ½voje a promÃ½Å¡lenÃ­ alternativ</t>
  </si>
  <si>
    <t>StehlÃ­k, Petr-PospÃ­Å¡il, Ivo-Å aur, Josef-Dohnal, Josef-ÄŒernÃ½, Marcel-Pilch, Pavel</t>
  </si>
  <si>
    <t>MetodickÃ¡ pÅ™Ã­ruÄka participativnÃ­ho bydlenÃ­</t>
  </si>
  <si>
    <t>HOUSE &amp; HOME / General</t>
  </si>
  <si>
    <t>KÃ¡ÅˆovÃ¡, MarkÃ©ta-Kodenko, Petr-OrcÃ­gr, VÃ¡clav-TichÃ½, David-MalÃ½, Jan-KubcovÃ¡, Jana-HoÅ™enÃ­, TomÃ¡Å¡-VinklÃ¡rkovÃ¡, Anna-Houser, LukÃ¡Å¡</t>
  </si>
  <si>
    <t>ManuÃ¡l participativnÃ­ho bydlenÃ­</t>
  </si>
  <si>
    <t>VÃ½sledky vÃ½bÄ›rovÃ©ho Å¡etÅ™enÃ­ RESTABUS InovativnÃ­ cesty definice, mÄ›Å™enÃ­ prevalence a Å™eÅ¡enÃ­ seniorskÃ©ho abusu v ÄŒR</t>
  </si>
  <si>
    <t>ReimerovÃ¡, KlÃ¡ra-PetrovÃ¡ KafkovÃ¡, Marcela-VidoviÄ‡ovÃ¡, Lucie</t>
  </si>
  <si>
    <t>Klub moravskÃ½ch skladatelÅ¯</t>
  </si>
  <si>
    <t>VohnoutovÃ¡, Suzanne-FlaÅ¡ar, Martin-SedlÃ¡Äek, Marek</t>
  </si>
  <si>
    <t>Proceedings: Students in Polar and Alpine Research Conference 2023</t>
  </si>
  <si>
    <t>HoluÅ¡a, Jakub-Kadlec, Martin-Stringer, Christopher</t>
  </si>
  <si>
    <t>Å irokÃ¡ definice a typologie seniorskÃ©ho abusu: fenomÃ©n tÃ½rÃ¡nÃ­, zneuÅ¾Ã­vÃ¡nÃ­, zanedbÃ¡vÃ¡nÃ­ a dalÅ¡Ã­ho nevhodnÃ©ho jednÃ¡nÃ­ a zachÃ¡zenÃ­ s muÅ¾i a Å¾enami ve vyÅ¡Å¡Ã­m vÄ›ku (EAN)</t>
  </si>
  <si>
    <t>Lorman, Jan-PrchalovÃ¡, Jaroslava-Kalvach, ZdenÄ›k-VidoviÄ‡ovÃ¡, Lucie</t>
  </si>
  <si>
    <t>Educational V4 Platform for Capacity Building in Oncology</t>
  </si>
  <si>
    <t>MEDICAL / Clinical Medicine</t>
  </si>
  <si>
    <t>VladÃ­kovÃ¡, Hana-SouÄkovÃ¡, Lenka</t>
  </si>
  <si>
    <t>Censuses in Slovakia in the Interwar and Post-war Period</t>
  </si>
  <si>
    <t>TiÅ¡liar, Pavol-Å procha, Branislav</t>
  </si>
  <si>
    <t>ModelovÃ¡nÃ­ jevÅ¯ z mechaniky ve Å¡kolskÃ© fyzice</t>
  </si>
  <si>
    <t>SCIENCE / Mechanics / General</t>
  </si>
  <si>
    <t>VÃ¡lek, Jan</t>
  </si>
  <si>
    <t>XV. studentskÃ¡ vÄ›deckÃ¡ konference Katedry ÄeskÃ©ho jazyka a literatury</t>
  </si>
  <si>
    <t>ZuzaÅˆÃ¡kovÃ¡, KristÃ½na-DokoupilovÃ¡, Iveta-Å vandovÃ¡, Tereza-OÅ¡mera, Radim-ProchÃ¡zkovÃ¡, Zuzana-ÄŒermÃ¡kovÃ¡, Aneta-FojtÃ­kovÃ¡, Petra-Jindra, Miroslav-PavelkovÃ¡, Marie-LÃ­povÃ¡, MagdalÃ©na-BÅ™ezinovÃ¡, KlÃ¡ra-PapÃ­kovÃ¡, Dominika-HomolovÃ¡, Tereza-PoÅ™Ã­zkovÃ¡, Tereza-NovÃ¡kovÃ¡, Ester-Zabloudil, OndÅ™ej</t>
  </si>
  <si>
    <t>Postural Stability and Gait During Menstrual Cycle</t>
  </si>
  <si>
    <t>HEALTH &amp; FITNESS / General</t>
  </si>
  <si>
    <t>GimunovÃ¡, Marta</t>
  </si>
  <si>
    <t>Podpora benefiÄnÃ­ch organismÅ¯ v ekologickÃ© produkci ovoce</t>
  </si>
  <si>
    <t>PekÃ¡r, Stano-Michalko, Radek-KoÅ¡uliÄ, OndÅ™ej-MartiÅ¡ovÃ¡, Martina</t>
  </si>
  <si>
    <t>DidaktickÃ© inspirace k aktivizaÄnÃ­ vÃ½uce ve stÅ™edoÅ¡kolskÃ©m dÄ›jepisu</t>
  </si>
  <si>
    <t>Fasora, LukÃ¡Å¡-BoÄek, Pavel-BorovskÃ½, TomÃ¡Å¡-DvoÅ™Ã¡k, TomÃ¡Å¡-HanuÅ¡, JiÅ™Ã­-KaÅ¡ka, VÃ¡clav-KlÃ­ÄovÃ¡, Ludmila-Knoz, TomÃ¡Å¡-MalÃ½, TomÃ¡Å¡-MelounovÃ¡, MarkÃ©ta-NeÄasovÃ¡, Denisa-Reitinger, LukÃ¡Å¡-Steiner, Petr-StoklÃ¡skovÃ¡, ZdeÅˆka</t>
  </si>
  <si>
    <t>FilmovÃ© ateliÃ©ry ve ZlÃ­nÄ›</t>
  </si>
  <si>
    <t>Skopal, Pavel-PorubÄanskÃ¡, TerÃ©zia-PospÃ­Å¡il, Jan-Kos, Martin-Skupa, LukÃ¡Å¡-StuchlÃ­kovÃ¡, Dita-VeÄeÅ™a, Michal-Veinhauer, Petr-BaÄa, Dominik-Kyselka, Benedikt</t>
  </si>
  <si>
    <t>BÃ½t pÅ™ipraven, znamenÃ¡ pÅ™eÅ¾Ã­t! 3. dÃ­l</t>
  </si>
  <si>
    <t>SlanÃ¡, Jitka-MertovÃ¡, MarkÃ©ta-LÃ­zalovÃ¡, Vanda</t>
  </si>
  <si>
    <t>Podpora motivace ve vyÌuce nÄ›meckÃ©ho jazyka (i mimo ni)</t>
  </si>
  <si>
    <t>LANGUAGE STUDY / German</t>
  </si>
  <si>
    <t>FukovÃ¡, Petra</t>
  </si>
  <si>
    <t>The 3rd Plasma Nanotechnologies and Bioapplications Workshop</t>
  </si>
  <si>
    <t>Å rÃ¡mkovÃ¡, Petra-KovÃ¡Äik, DuÅ¡an-SkÃ¡celovÃ¡, Dana-Kelar, Jakub-Beigi, Pedram</t>
  </si>
  <si>
    <t>Jak to zvlÃ¡dÃ¡m?</t>
  </si>
  <si>
    <t>EDUCATION / Educational Policy &amp; Reform / School Safety</t>
  </si>
  <si>
    <t>MÃ¡rovÃ¡, Ivana-VicherkovÃ¡, Nikol</t>
  </si>
  <si>
    <t>Budoucnost metropolitnÃ­ spoluprÃ¡ce v ÄŒeskÃ© republice: rozvoj, sprÃ¡va, Å™Ã­zenÃ­</t>
  </si>
  <si>
    <t>Kunc, Josef-Å aÅ¡inka, Petr-Tonev, Petr-NovotnÃ¡, MarkÃ©ta-RaszkovÃ¡, SoÅˆa-DvoÅ™Ã¡k, ZdenÄ›k-JirkÅ¯, Radim-BahÃ½Ä¾, JÃ¡n</t>
  </si>
  <si>
    <t>The Concept of Developing Geoinformatics Skills in Teaching at Primary and Secondary Schools</t>
  </si>
  <si>
    <t>MÃ­saÅ™ovÃ¡, Darina-SvobodovÃ¡, Hana-MaÅ¡terovÃ¡, Vendula-Durna, Radek-Hercik, Jan-Å imÃ¡Äek, Petr-Å vedovÃ¡, Hana-KubÃ­Äek, Petr</t>
  </si>
  <si>
    <t>Implementation of 3D Printing Technology Into Primary and Secondary School Education</t>
  </si>
  <si>
    <t>Dosedla, Martin-Hodis, ZdenÄ›k-JanÄovÃ¡, Martina-Ledvinka, JiÅ™Ã­-LvovskÃ¡, Leni-Malinka, Kamil-MÃ­saÅ™ovÃ¡, Darina-PitnerovÃ¡, Pavla-Schindler, VladimÃ­r-StanÄ›k, VojtÄ›ch-VodovÃ¡, LibuÅ¡e</t>
  </si>
  <si>
    <t>DigitÃ¡lnÃ­ transformace ÄtenÃ­</t>
  </si>
  <si>
    <t>LANGUAGE ARTS &amp; DISCIPLINES / Library &amp; Information Science / Digital &amp; Online Resources</t>
  </si>
  <si>
    <t>Kocurek, Josef-Porsche, LukÃ¡Å¡-Lorenz, Michal-ÄŒernockÃ½, Dalibor-MÃ¡lek, MatÄ›j-Martinek, Jan-Zbiejczuk, Ladislava</t>
  </si>
  <si>
    <t>Å½ivot ve zdravÃ­ 2022: vÃ½zkum a praxe</t>
  </si>
  <si>
    <t>HÅ™ivnovÃ¡, Michaela-Kostanjevec, Stojan-VicencovÃ¡, NatÃ¡lie-MuÅ¾Ã­kovÃ¡, Leona-NovÃ¡k, Jaroslav-Å˜epka, Emil-KovaÅ™Ã­kovÃ¡, Å tÄ›pÃ¡nka-Svoboda, Michal-PodrouÅ¾ek, Ladislav-KlimtovÃ¡, VÃ¡clava-SofkovÃ¡, Tereza-Ruszkiewicz, Katarzyna-KimÃ¡kovÃ¡, Tatiana-Yip, Clifford-Sieradzka, Karolina-FarnickÃ¡, Marzanna-KachlÃ­k, Petr-LebedovÃ¡, Irena-VojtÃ­kovÃ¡, Lenka-HnÃ­zdil, Jan-ÄŒÃ¡povÃ¡, MarkÃ©ta-VaÅ™ekovÃ¡, Jitka-JeÅ¡ina, OndÅ™ej-KudlÃ¡Äek, Martin-DaÄovÃ¡, KlÃ¡ra-Ponichter, Julia-Gajewska, Danuta-Myszkowska-Ryciak, Joanna-HlavizÅˆovÃ¡, Romana-MuÅ¾Ã­k, Vladislav-ReissmannovÃ¡, Jitka-JanÃ­k, ZdenÄ›k-VlÄek, Petr-Å½aloudÃ­kovÃ¡, Iva-Å eflovÃ¡, Iva-Schlegel, Petr-KÅ™ehkÃ½, Adam-JuÅ™Ã­kovÃ¡, Jana-VÃ¡Åˆa, Petr-Å½Ã¡kovskÃ¡, Alena-BernacikovÃ¡, Martina-PokornÃ¡, Alena-StÅ™eÅ¡tÃ­kovÃ¡, Radka-MiÅˆhovÃ¡, Jana-LovasovÃ¡, VladimÃ­ra-VaÅ¡Ã­ÄkovÃ¡, Jana-MaliÅ¡, JiÅ™Ã­-PernicovÃ¡, Hana-KavkovÃ¡, Veronika</t>
  </si>
  <si>
    <t>Accuracy Matters</t>
  </si>
  <si>
    <t>KalovÃ¡, Simona</t>
  </si>
  <si>
    <t>UranovÃ½ cyklus</t>
  </si>
  <si>
    <t>KubeÅ¡, Martin-Wertich, VojtÄ›ch</t>
  </si>
  <si>
    <t>Cesty uranu</t>
  </si>
  <si>
    <t>Wertich, VojtÄ›ch-HolÃ¡, MarkÃ©ta-KubeÅ¡, Martin-Leichmann, JaromÃ­r-NavrÃ¡til, Petr-ZachovalovÃ¡, KateÅ™ina</t>
  </si>
  <si>
    <t>Elaboration of Digital Methodological-didactic Recommendations and Study Materials for Doctoral Students in the Field of Hard Skills</t>
  </si>
  <si>
    <t>GajarskÃ½, LukÃ¡Å¡-GrominovÃ¡, Andrea-SpiÅ¡iakovÃ¡, Andrea-Tyshchenko, Oleh-Dohnal, Josef-SuÃ¡rez, SimÃ³n-Barros, BenamÃ­-Votyakova, Irina</t>
  </si>
  <si>
    <t>VÃ½zkum v didaktice cizÃ­ch jazykÅ¯ V</t>
  </si>
  <si>
    <t>HradÃ­lkovÃ¡, Helena-Pultar, Filip-Gerrard, Daniel-KeplovÃ¡, KateÅ™ina-VoldÃ¡novÃ¡, Å½aneta-LubÄ›novÃ¡, Anna-Atcheson, Hana-Williams, Christopher-JanÃ­kovÃ¡, VÄ›ra-HanuÅ¡ovÃ¡, SvÄ›tlana</t>
  </si>
  <si>
    <t>Online marketingovÃ¡ komunikace cÃ­lÃ­cÃ­ na dÄ›ti Å¡kolnÃ­ho vÄ›ku</t>
  </si>
  <si>
    <t>BUSINESS &amp; ECONOMICS / Marketing / Research</t>
  </si>
  <si>
    <t>BureÅ¡ovÃ¡, Jitka-PospÃ­Å¡ilovÃ¡, Marie-Ungerman, Otakar-DÄ›dkovÃ¡, Jaroslava-JursovÃ¡, Jitka-Berki, Jan</t>
  </si>
  <si>
    <t>Integrace technologie 3D tisku do vÃ½uky na zÃ¡kladnÃ­ch a stÅ™ednÃ­ch Å¡kolÃ¡ch</t>
  </si>
  <si>
    <t>Musica viva in schola XXVIII.</t>
  </si>
  <si>
    <t>MUSIC / Instruction &amp; Study / General</t>
  </si>
  <si>
    <t>KuÄerovÃ¡, Judita-SvobodovÃ¡, ZdeÅˆka-Å ilhavÃ­kovÃ¡, Michaela-Brezina, Pavol-Brunner, Georg-ÄŒierna, Alena-DanÄ›k, Alois-DerevjanÃ­kovÃ¡, Anna-Filippi, LukÃ¡Å¡-HladkÃ¡, Simonetta-KentoÅ¡ovÃ¡, Zuzana-KruÅ¾Ã­kovÃ¡, Lenka-Mazurek, JiÅ™Ã­-Musil, Jaroslav-Spier, Marta-StÅ™Ã­lkovÃ¡, Daniela-VozÃ¡r, Martin-Falavigna, Gladis-VobornÃ¡, Zdislava-BoÅ™ek ml., Lubor-Musil, OndÅ™ej</t>
  </si>
  <si>
    <t>RozvÃ­jenÃ­ matematickÃ© gramotnosti s vyuÅ¾itÃ­m inovativnÃ­ho modulu systematickÃ©ho rozvoje akcelerovanÃ½ch Å¾Ã¡kÅ¯ 1. aÅ¾ 3. tÅ™Ã­d</t>
  </si>
  <si>
    <t>EDUCATION / Teaching / Subjects / Mathematics</t>
  </si>
  <si>
    <t>NovÃ¡kovÃ¡, Eva-BlaÅ¾kovÃ¡, RÅ¯Å¾ena</t>
  </si>
  <si>
    <t>SumÃ¡Å™ dobrÃ© praxe</t>
  </si>
  <si>
    <t>EDUCATION / Inclusive Education</t>
  </si>
  <si>
    <t>KissovÃ¡, Lenka-SlezÃ¡kovÃ¡, KatarÃ­na-DlouhÃ¡, Dana-FelcmanovÃ¡, Lenka-Mavrogiannopoulou, Veronika-GajzlerovÃ¡, Lenka-Vrubel, Martin</t>
  </si>
  <si>
    <t>UdrÅ¾itelnÃ½ rozvoj kulturnÄ›-historickÃ© krajiny a ochrana historickÃ½ch pamÃ¡tek v zalesnÄ›nÃ©m prostÅ™edÃ­</t>
  </si>
  <si>
    <t>MazÃ¡ÄkovÃ¡, Jana-Å½aÅ¾a, Petr</t>
  </si>
  <si>
    <t>KonstrukÄnÃ­ vÃ½zkum uÄebnice pro vÃ½uku odbornÃ©ho anglickÃ©ho jazyka</t>
  </si>
  <si>
    <t>EllederovÃ¡, Eva</t>
  </si>
  <si>
    <t>Dopady COVID-19 na vÃ½voj destinaÄnÃ­ho managementu v ÄŒR</t>
  </si>
  <si>
    <t>HoleÅ¡inskÃ¡, Andrea</t>
  </si>
  <si>
    <t>GrafomotorickÃ© dovednosti</t>
  </si>
  <si>
    <t>PSYCHOLOGY / Assessment, Testing &amp; Measurement</t>
  </si>
  <si>
    <t>Å afÃ¡rovÃ¡, KatarÃ­na-Mekyska, JiÅ™Ã­-UrbÃ¡nek, TomÃ¡Å¡-ÄŒunek, LukÃ¡Å¡-GalÃ¡Å¾, ZoltÃ¡n-Mucha, JÃ¡n-ZvonÄÃ¡k, VojtÄ›ch-BednÃ¡Å™ovÃ¡, JiÅ™ina</t>
  </si>
  <si>
    <t>Podoby profesnÃ­ spoluprÃ¡ce ve Å¡kole: pÅ™Ã­padovÃ© studie</t>
  </si>
  <si>
    <t>Å vec, Vlastimil-BaranovÃ¡, Petra-DvoÅ™Ã¡kovÃ¡, Tereza-ÄŽulÃ­kovÃ¡, Lenka-Egerle, Jan-JanÃ­k, TomÃ¡Å¡-MÃ¡rovÃ¡, Ivana-ParoubkovÃ¡, Alena-VeselÃ¡, ValentÃ½na</t>
  </si>
  <si>
    <t>Connecting the Dots: Sector Coupling and Hydrogen Policies in Europe</t>
  </si>
  <si>
    <t>Belova, Arina-PospÃ­Å¡ilovÃ¡, Tereza-StaÅ¡Ã¡kovÃ¡, Tereza-OsiÄka, Jan</t>
  </si>
  <si>
    <t>ProduktivnÃ­ kultura vyuÄovÃ¡nÃ­ a uÄenÃ­ v didaktickÃ½ch kazuistikÃ¡ch</t>
  </si>
  <si>
    <t>JanÃ­k, TomÃ¡Å¡-SlavÃ­k, Jan-ÄŒeÅ¡kovÃ¡, Tereza-BudÃ­novÃ¡, Irena-MinaÅ™Ã­kovÃ¡, Eva-Najvar, Petr-BartoÅˆovÃ¡, MarkÃ©ta-FerdiÃ¡novÃ¡, VÄ›ra-FeÅ™t, LukÃ¡Å¡-HorniakovÃ¡, Michaela-HoÅ¡pesovÃ¡, Alena-HusÃ¡k, Jan-JÃ¡Ä, Martin-Kohout, JiÅ™Ã­-KoneÄnÃ¡, Petra-KriÄfaluÅ¡i, Dana-KuberskÃ¡, MarkÃ©ta-Masopust, Pavel-MentlÃ­k, Pavel-NohavovÃ¡, Alena-PÃ­Å¡ovÃ¡, MarkÃ©ta-Rokos, LukÃ¡Å¡-Stacke, VÃ¡clav-Å tÄ›pÃ¡nÃ­k, Stanislav-TomeÅ¡kovÃ¡, KateÅ™ina-TopolovskÃ¡, Tereza-VavroÅ¡, Michal-Vrhel, MatÄ›j</t>
  </si>
  <si>
    <t>EQUADIFF 15</t>
  </si>
  <si>
    <t>MATHEMATICS / Differential Equations / General</t>
  </si>
  <si>
    <t>StrÃ¡nskÃ¡, Jana-Dvurecenskij, Anatolij-TvrdÃ½, Milan-ÄŒermÃ¡k, Jan-Å˜ehÃ¡k, Pavel-Hilscher, Roman</t>
  </si>
  <si>
    <t>Mongolian Ritual Texts in Manuscript Collections in the Czech Republic</t>
  </si>
  <si>
    <t>RELIGION / Buddhism / Rituals &amp; Practice</t>
  </si>
  <si>
    <t>Srba, OndÅ™ej-Schwarz, Michal-Khatanbatiin, Mendsaikhan</t>
  </si>
  <si>
    <t>Metodika 3A: nÃ¡stroj pro reflexi vÃ½uky a hodnocenÃ­ jejÃ­ kvality</t>
  </si>
  <si>
    <t>EDUCATION / Evaluation &amp; Assessment</t>
  </si>
  <si>
    <t>JanÃ­k, TomÃ¡Å¡-SlavÃ­k, Jan-Najvar, Petr-ÄŒeÅ¡kovÃ¡, Tereza</t>
  </si>
  <si>
    <t>Efektivita prÃ¡ce uÄitele v inkluzivnÃ­m vzdÄ›lÃ¡vÃ¡nÃ­: sebehodnoticÃ­ nÃ¡stroj pro studujÃ­cÃ­ pedagogickÃ½ch odborÅ¯</t>
  </si>
  <si>
    <t>VaÄurovÃ¡, Helena-SlezÃ¡kovÃ¡, KatarÃ­na-SlepiÄkovÃ¡, Lenka</t>
  </si>
  <si>
    <t>The Black Box Book</t>
  </si>
  <si>
    <t>ART / Collections, Catalogs, Exhibitions / General</t>
  </si>
  <si>
    <t>HorÃ¡kovÃ¡, Jana-KupkovÃ¡, Marika-SzÅ±csovÃ¡, Monika-Ghidini, Marialaura-Tedone, Gaia-Hunter, Roddy-Cook, Sarah-Klodner, Michal-Sudmann, Andreas-TrnkovÃ¡, Barbora-Pilka, LukÃ¡Å¡-Sikora, Pavel-MiklÃ¡nek, Å tÄ›pÃ¡n-MatÄ›jovÃ¡, Alina-StaÅ¡a, Oliver-Ubermorgen,</t>
  </si>
  <si>
    <t>Sada nÃ¡strojÅ¯ pro (sebe)hodnocenÃ­ studentÅ¯ na souvislÃ© praxi</t>
  </si>
  <si>
    <t>VystrÄilovÃ¡, Petra-Havel, JiÅ™Ã­-Najvar, Petr</t>
  </si>
  <si>
    <t>PÅ™ipravenost studenta uÄitelstvÃ­: sebehodnocenÃ­ v jÃ¡drovÃ½ch dovednostech vÃ½uky</t>
  </si>
  <si>
    <t>KratochvÃ­lovÃ¡, Jana-Nehyba, Jan-Picka, Karel-SvojanovskÃ½, Petr-ZavadilovÃ¡, Barbora</t>
  </si>
  <si>
    <t>Evaluation of ELT Textbooks: A Handbook for Trainee Teachers</t>
  </si>
  <si>
    <t>ÄŒernÃ¡, Monika</t>
  </si>
  <si>
    <t>Patterns and Variation in English Language Discourse</t>
  </si>
  <si>
    <t>TÃ¡rnyikovÃ¡, Jarmila-Gumbaridze, Zhuzhuna-Gvarishvili, Zeinab-Mazmishvili, Nana-Lovrits, Veronika-MalÃ¡, MarkÃ©ta-Marcella, Vanessa-RadovanoviÄ‡, Aleksandra-SlÃ¡dkovÃ¡, VÄ›ra-TrnovÃ¡, Michaela-HÅ¯lkovÃ¡, Irena-PovolnÃ¡, Renata-Vogel, Radek</t>
  </si>
  <si>
    <t>SvÄ›t pro dÄ›ti do tÅ™Ã­ let</t>
  </si>
  <si>
    <t>GrÅ¯zovÃ¡, Lucie-JarkovskÃ¡, Lucie-Kampichler, Martina-SlezÃ¡kovÃ¡, KatarÃ­na</t>
  </si>
  <si>
    <t>Selected Analytical Techniques of Solid State, Structure Identification, and Dissolution Testing in Drug Life Cycle</t>
  </si>
  <si>
    <t>KratochvÃ­l, Bohumil-BrusovÃ¡, Hana-HavlÃ­Äek, Jaroslav-Jendrzejewska, Izabela-Kadlec, Christelle-Kadlec, Filip-KrumbholcovÃ¡, Lucie-PekÃ¡rek, TomÃ¡Å¡-PlaÄek, LukÃ¡Å¡-Å˜ezÃ¡ÄovÃ¡, Anna-SpÃ¡lovskÃ¡, Dita-ÄŒulen, Martin-Dohnal, JiÅ™Ã­-JampÃ­lek, Josef</t>
  </si>
  <si>
    <t>PropÅ™Ã­rodnÄ› zamÄ›Å™enÃ½ uÄitel a jeho pÅ™Ã­stup k (environmentÃ¡lnÃ­) vÃ½chovÄ›</t>
  </si>
  <si>
    <t>LÃ©talovÃ¡, Jana</t>
  </si>
  <si>
    <t>MABC-2 pro dÄ›ti s poruchou autistickÃ©ho spektra</t>
  </si>
  <si>
    <t>PSYCHOLOGY / Psychopathology / Autism Spectrum Disorders</t>
  </si>
  <si>
    <t>MoÅ¾nÃ¡, Tereza-VÃ¡lkovÃ¡, Hana</t>
  </si>
  <si>
    <t>BÃ½t pÅ™ipraven, znamenÃ¡ pÅ™eÅ¾Ã­t! 2. dÃ­l</t>
  </si>
  <si>
    <t>LÃ­zalovÃ¡, Vanda-ReissmannovÃ¡, Jitka</t>
  </si>
  <si>
    <t>DÄ›jiny BiologickÃ©ho Ãºstavu LÃ©kaÅ™skÃ© fakulty Masarykovy univerzity</t>
  </si>
  <si>
    <t>Fasora, LukÃ¡Å¡-Sobotka, JaromÃ­r</t>
  </si>
  <si>
    <t>DrÅ¾enÃ­ tÄ›la a funkÄnÃ­ stav pohybovÃ©ho aparÃ¡tu u dÄ›tÃ­ ve vÄ›ku 6â€“8 let: pÅ™Ã­padovÃ¡ studie</t>
  </si>
  <si>
    <t>HEALTH &amp; FITNESS / Children &amp; Adolescents</t>
  </si>
  <si>
    <t>66. studentskÃ¡ vÄ›deckÃ¡ konference</t>
  </si>
  <si>
    <t>DEAFinitely English</t>
  </si>
  <si>
    <t>SedlÃ¡ÄkovÃ¡, Jitka-TÃ³thovÃ¡, Lenka-Nunn, Nicola-Yang, JunHui</t>
  </si>
  <si>
    <t>Vladislav VanÄura v literÃ¡rnÃ­m kontextu 20. stoletÃ­</t>
  </si>
  <si>
    <t>LITERARY CRITICISM / European / Eastern</t>
  </si>
  <si>
    <t>PolÃ¡Äek, JiÅ™Ã­-BÃ­lek, Jan-Gilk, Erik-HoleÄek, LukÃ¡Å¡-ChocholatÃ½, Miroslav-KroÄa, David-Lollok, Marek-MareÅ¡, Petr-NovÃ¡k, Radomil-NovÃ¡kovÃ¡, Ester-SlÃ¡dek, OndÅ™ej-SvobodovÃ¡, Hana-TichÃ½, Martin-ValentovÃ¡, Veronika-VeÅ™miÅ™ovskÃ½, Adam</t>
  </si>
  <si>
    <t>Na cestÄ› k inkluzivnÃ­ Å¡kole</t>
  </si>
  <si>
    <t>Å Ã­p, Radim-DenglerovÃ¡, Denisa-Bielik, Miroslav-ÄŽulÃ­kovÃ¡, Lenka-GulovÃ¡, Lenka-Kalenda, Jan-KoÅ¡atkovÃ¡, MarkÃ©ta-Kurowski, Martina-Trapl, FrantiÅ¡ek</t>
  </si>
  <si>
    <t>XIV. studentskÃ¡ vÄ›deckÃ¡ konference Katedry ÄeskÃ©ho jazyka a literatury</t>
  </si>
  <si>
    <t>ProchÃ¡zkovÃ¡, Zuzana-VeÄeÅ™ovÃ¡, Ivana-OÅ¡mera, Radim-HolzerovÃ¡, Tereza-Jindra, Miroslav-LÃ­povÃ¡, MagdalÃ©na-BÅ™ezinovÃ¡, KlÃ¡ra-PoÅ™Ã­zkovÃ¡, Tereza-Å vandovÃ¡, Tereza-NovÃ¡kovÃ¡, Ester-Zabloudil, OndÅ™ej</t>
  </si>
  <si>
    <t>PoradnÃ­ kruh jako souÄÃ¡st Å¡kolnÃ­ praxe</t>
  </si>
  <si>
    <t>BanÄouchovÃ¡, Petra-DittingerovÃ¡, Eva-Kurowski, Martina</t>
  </si>
  <si>
    <t>Cesta ke zdravÃ­</t>
  </si>
  <si>
    <t>HEALTH &amp; FITNESS / Diseases &amp; Conditions / Cancer</t>
  </si>
  <si>
    <t>SlanÃ¡, Jitka-MertovÃ¡, MarkÃ©ta-BurdovÃ¡, MarkÃ©ta-HofferÃ­kovÃ¡, Nikola-JankovÃ¡, NatÃ¡lie-LapeÅ¡ovÃ¡, Eva-LÃ­zalovÃ¡, Vanda-PetrovÃ¡, Jana-PolÃ¡kovÃ¡, Michaela-PoÅ¾Ã¡rovÃ¡, MarkÃ©ta-SchnirchovÃ¡, Michaela-SrbovÃ¡, Petra-Å imÄÃ­kovÃ¡, Tereza-Å krobÃ¡kovÃ¡, Marie-Å tenclovÃ¡, Lenka-TerlovÃ¡, EliÅ¡ka-TrÄkovÃ¡, Daniela-UrbÃ¡nkovÃ¡, Petra-VeverovÃ¡, Lada-ZÃ¡stÄ›rovÃ¡, Barbora-ZemÃ¡nkovÃ¡, Lenka</t>
  </si>
  <si>
    <t>International Perforator Flap Dissection Course</t>
  </si>
  <si>
    <t>MEDICAL / Surgery / Cosmetic &amp; Reconstructive</t>
  </si>
  <si>
    <t>MartinÃ­kovÃ¡, Å Ã¡rka</t>
  </si>
  <si>
    <t>13th International Conference on Kinanthropology. Sport and Quality of Life</t>
  </si>
  <si>
    <t>SPORTS &amp; RECREATION / Health &amp; Safety</t>
  </si>
  <si>
    <t>Cacek, Jan</t>
  </si>
  <si>
    <t>Moje dobrodruÅ¾nÃ¡ cesta sociologiÃ­</t>
  </si>
  <si>
    <t>MareÅ¡, Petr</t>
  </si>
  <si>
    <t>Rozhovory v KomenskÃ©m</t>
  </si>
  <si>
    <t>LojdovÃ¡, KateÅ™ina-HorkÃ¡, Hana-KoldovÃ¡, Helena-TomkovÃ¡, Anna-DundÃ¡lkovÃ¡, KarolÃ­na-JanÃ­k, TomÃ¡Å¡-Å alamounovÃ¡, Zuzana-BradovÃ¡, Jarmila-RodovÃ¡, Veronika</t>
  </si>
  <si>
    <t>â€žSouÄasnÃ¡ ÄeskÃ¡ rodinaâ€œ â€“ dokumentace kâ€¯datÅ¯m</t>
  </si>
  <si>
    <t>Kreidl, Martin-Å Å¥astnÃ¡, Anna-SlabÃ¡, Jitka-ZvonÃ­Äek, TomÃ¡Å¡-SladkÃ¡, Dominika</t>
  </si>
  <si>
    <t>Gregor Johann Mendel</t>
  </si>
  <si>
    <t>SCIENCE / Life Sciences / Genetics &amp; Genomics</t>
  </si>
  <si>
    <t>DrozdovÃ¡, Eva-FialovÃ¡, Dana-Pardy, Filip-Doubek, Michael-KÅ™Ã­Å¾ovÃ¡, Blanka-PeÅ¡ka, Marek-ZÅ¯bek, AntonÃ­n-BrzobohatÃ¡, KristÃ½na-Biernat, Jan-PospÃ­Å¡ilovÃ¡, Å Ã¡rka</t>
  </si>
  <si>
    <t>Po O. VÃ½chodiska a inspirace pro vÃ½tvarnou tvorbu dÄ›tÃ­ v pÅ™edÅ¡kolnÃ­m vzdÄ›lÃ¡vÃ¡nÃ­</t>
  </si>
  <si>
    <t>StadlerovÃ¡, Hana-NovotnÃ¡, Pavla-JuÅ™icovÃ¡, KateÅ™ina-KovÃ¡Å™ovÃ¡, Marta-TuÄ¾akovÃ¡, KatarÃ­na-FrancovÃ¡, Jana</t>
  </si>
  <si>
    <t>VÃ½roÄnÃ­ vÄ›deckÃ¡ konference CZECRIN 2022</t>
  </si>
  <si>
    <t>SouÄkovÃ¡, Lenka</t>
  </si>
  <si>
    <t>XXV. mezinÃ¡rodnÃ­ kolokvium o regionÃ¡lnÃ­ch vÄ›dÃ¡ch</t>
  </si>
  <si>
    <t>RehÃ¡k, Å tefan-Å ilhÃ¡nkovÃ¡, VladimÃ­ra-MaÅ¡tÃ¡lka, Martin-Rafaj, Oliver-KubÄ›nkovÃ¡, Dana-GlittovÃ¡, Klaudia-Å ebo, Juraj-Å ipikal, Miroslav-Å½Ã­tek, VladimÃ­r-KlÃ­movÃ¡, Viktorie-HlavÃ¡Äek, Petr-Markowska, MaÅ‚gorzata-Sobczak, ElÅ¼bieta-HrivnÃ¡k, Michal-Moritz, Peter-RaszkovÃ¡, SoÅˆa-JarÃ¡bkovÃ¡, Jana-LelkovÃ¡, Tereza-HerboÄkovÃ¡, Lucie-BumbalovÃ¡, Monika-MariÅ¡ovÃ¡, EleonÃ³ra-ValenÄ‡ikovÃ¡, Marina-ChrenovÃ¡, Martina-Namazov , Ramil-Bassabi, Rashidatu-Kraft, JiÅ™Ã­-KraftovÃ¡, Ivana-Wokoun, RenÃ©-LedvinovÃ¡, Petra-KubÃ­kovÃ¡, Martina-PÄ›lucha, Martin-Varecha, LukÃ¡Å¡-Krajanec, RÃ³bert-Å evÄÃ­k, Michal-Å Å¥astnÃ¡, Simona-KokeÅ¡ovÃ¡, Lucie-Å½enka, Jan-DÅ¯bravovÃ¡, KateÅ™ina-Kunc, Josef-TureÄkovÃ¡, Kamila-NeniÄka, LubomÃ­r-PÅ™ikrylovÃ¡, KateÅ™ina-CharvÃ¡tovÃ¡, KlÃ¡ra-PondÄ›lÃ­Äek, Michael-Viturka, Milan-PaÅ™il, VilÃ©m-Å½Ã¡rska, Elena-DuÅ¡ek, JiÅ™Ã­-Kavan, Å tÄ›pÃ¡n-MelichovÃ¡, KatarÃ­na-KraslanovÃ¡, Michaela-PolÃ¡kovÃ¡, Zuzana-SmolÃ­k, Josef-VargovÃ¡, MÃ¡ria-SojkovÃ¡, Zlata-HencelovÃ¡, Petra-KriÅ¾an, FrantiÅ¡ek-BilkovÃ¡, KristÃ­na-ÄŒulÃ¡kovÃ¡, KatarÃ­na-TremboÅ¡ovÃ¡, Miroslava-Å ra</t>
  </si>
  <si>
    <t>StudentskÃ¡ geologickÃ¡ konference 2022</t>
  </si>
  <si>
    <t>Sobek, Kamil-PoÅ™Ã¡dek, PÅ™emysl-CÃ­gler, VojtÄ›ch-NeÄas, Petr</t>
  </si>
  <si>
    <t>Mendel Lectures 2002â€“2022</t>
  </si>
  <si>
    <t>HobzovÃ¡, Dominika-KrejÄÃ­, KateÅ™ina-KrejÄÃ­, LumÃ­r-MizerovÃ¡, Alena-RelichovÃ¡, JiÅ™ina-PavlÃ­kovÃ¡, Gabriela</t>
  </si>
  <si>
    <t>VÃ½zkum v didaktice cizÃ­ch jazykÅ¯ IV</t>
  </si>
  <si>
    <t>Cox, Å Ã¡rka-KeplovÃ¡, KateÅ™ina-LubÄ›novÃ¡, Anna-VeÅ¡krnovÃ¡, Daniela-VoldÃ¡novÃ¡, Å½aneta-TrnovÃ¡, Michaela-JanÃ­kovÃ¡, VÄ›ra-HanuÅ¡ovÃ¡, SvÄ›tlana</t>
  </si>
  <si>
    <t>PovolÃ¡nÃ­ chirurg: specifickÃ¡ pomÃ¡hajÃ­cÃ­ profese</t>
  </si>
  <si>
    <t>Å vec, Vlastimil</t>
  </si>
  <si>
    <t>Musica viva in schola XXVII.</t>
  </si>
  <si>
    <t>MUSIC / Instruction &amp; Study / Theory</t>
  </si>
  <si>
    <t>Brunner, Georg-Musil, Jaroslav-DanÄ›k, Alois-Dombi, JÃ³zsefnÃ©-OstrÃ½, FrantiÅ¡ek-Chloupek, TomÃ¡Å¡-OstrÃ½, Pavel-JiÄÅ™iÄkovÃ¡, JiÅ™ina-PolmanovÃ¡, Vilma-KruÅ¾Ã­kovÃ¡, Lenka-Prchal, Jan-KupkovÃ¡, Jana-SedlÃ¡Äek, Marek-Musil, OndÅ™ej-JiÅ™iÄkovÃ¡, JiÅ™ina-Hala, Petr</t>
  </si>
  <si>
    <t>PedagogickÃ¡ diagnostika a pedagogickÃ© diagnostikovÃ¡nÃ­</t>
  </si>
  <si>
    <t>KratochvÃ­lovÃ¡, Jana-ObrovskÃ¡, Jana-VeselÃ¡, Dana-FrancovÃ¡, MarkÃ©ta-VlÄkovÃ¡, KateÅ™ina-BradovÃ¡, Jarmila-KoblihovÃ¡, Hana-TrnovÃ¡, Eva</t>
  </si>
  <si>
    <t>Briefe vom Kaiserhof</t>
  </si>
  <si>
    <t>Schmidt, OndÅ™ej</t>
  </si>
  <si>
    <t>Koncepce rozvoje geoinformaÄnÃ­ch dovednostÃ­ ve vÃ½uce na zÃ¡kladnÃ­ch a stÅ™ednÃ­ch Å¡kolÃ¡ch</t>
  </si>
  <si>
    <t>Outdoor Education and Its Inclusion Into Teaching at PdF MU</t>
  </si>
  <si>
    <t>FrÃ½zovÃ¡, Iva-ÄŒeÅ¡kovÃ¡, Tereza-Durna, Radek-MÃ­saÅ™ovÃ¡, Darina-Knecht, Petr-Kolejka, JaromÃ­r-JireÄek, Miroslav-HanuÅ¡ovÃ¡, SvÄ›tlana-Randall, Alisa-SuchÃ½, Jaroslav-DobrovolnÃ¡, Alena-BuchtovÃ¡, Pavla-KrÅ¡kovÃ¡, Zuzana-Krahulec, OndÅ™ej-Pultar, Filip-Vitula, OndÅ™ej-Antal, Marek-Vrbas, Jaroslav-TrÃ¡vnÃ­Äek, Marek-SojÃ¡k, Petr-Hofmann, Eduard-SvobodovÃ¡, Hana</t>
  </si>
  <si>
    <t>14. mezinÃ¡rodnÃ­ vÄ›deckÃ¡ konference DidaktickÃ¡ konference 2021</t>
  </si>
  <si>
    <t>SCIENCE / Study &amp; Teaching</t>
  </si>
  <si>
    <t>Viselga, Gintas-BarnovÃ¡, Silvia-Absolon, Jaroslav-BerÃ¡nek, Jaroslav-BilÄÃ­k, Alexander-BilÄÃ­kovÃ¡, Jana-DytrtovÃ¡, Radmila-JaklovÃ¡, Jana-BÄ›loÅ¾nÃ­kovÃ¡, KateÅ™ina-Kavan, Daniel-GerÅ¡icovÃ¡, Zuzana-AbsolonovÃ¡, Jana-HasajovÃ¡, LÃ­via-KrÃ¡sna, SlÃ¡vka-KloknerovÃ¡, Lenka-KyÃ¡nkovÃ¡, Andrea-Lengyelfalusy, TomÃ¡Å¡-TkaÄik, Å tefan-BaloÅ¡Ã¡kovÃ¡, Michaela-ZelenÃ¡, Martina-Marks, Igor-TamÃ¡Å¡ovÃ¡, Viola-MatÄ›jka, Petr-MilÃ©Å™, TomÃ¡Å¡-ProkeÅ¡, LubomÃ­r-HorskÃ¡, Jana-Nekvapil, Jan-StachovÃ¡, Darina-Turek, DuÅ¡an-ZelnÃ­ÄkovÃ¡, Helena-Vorel, David-SlÃ¡dek, Petr-StrakovÃ¡, Nikola-VÃ¡lek, Jan-MariniÄ, Peter-Pecina, Pavel</t>
  </si>
  <si>
    <t>The Figurativeness of the Language of Mystical Experience</t>
  </si>
  <si>
    <t>BakeÅ¡ovÃ¡, VÃ¡clava-BrezovÃ¡kovÃ¡, Monika-BrodÅˆanovÃ¡, Silvia-Campana, Silvia-CivÃ¡ÅˆovÃ¡, Zuzana-FermÃ­n, Javier-Gallik, JÃ¡n-Gritti, Fabiano-Horka, RÃ³bert-HornÃ¡ÄkovÃ¡, Edita-JuhÃ¡sovÃ¡, Jana-KaizerovÃ¡, Petra-KnapÃ­k, JÃ¡n-Mancebi, Juan-ParilÃ¡kovÃ¡, Eva-PrÃ­hodovÃ¡, Edita-RathouzskÃ¡, Lucie-RybÃ¡rovÃ¡, Silvia-Å avelovÃ¡, Monika-Å tÄ›pÃ¡nek, Pavel-Tierraseca, MÃ³nica-RauÅ¡erovÃ¡, Andrea-Sancho, Francisco-BarnÃ©s, Antonio-KuÄerkovÃ¡, Magda-KlapicovÃ¡, Edita-Mancebo, Juan-VÃ¡zquez, Antonio</t>
  </si>
  <si>
    <t>VyjmenovanÃ¡ slova s Radkou a KÃ¡jou a pejskem Ottou</t>
  </si>
  <si>
    <t>NovÃ¡kovÃ¡, Andrea</t>
  </si>
  <si>
    <t>The Faithful and the Reasonable</t>
  </si>
  <si>
    <t>LibrovÃ¡, Hana-PelikÃ¡n, VojtÄ›ch-GalÄanovÃ¡, Lucie-Kala, LukÃ¡Å¡</t>
  </si>
  <si>
    <t>Inquiry in University Mathematics Teaching and Learning</t>
  </si>
  <si>
    <t>MATHEMATICS / Study &amp; Teaching</t>
  </si>
  <si>
    <t>Jaworski, Barbara-Rebenda, Josef-Hochmuth, Reinhard-Thomas, Stephanie-Artigue, MichÃ¨le-GÃ³mez-ChacÃ³n, InÃ©s-Khellaf, Sarah-Peters, Jana-Ruge, Johanna-MÃ¡silko, LukÃ¡Å¡-Trott, Clare-Rogovchenko, Yuriy-Heck, AndrÃ©-Rogovchenko, Svitlana-Brouwer, NataÅ¡a-Astafieva, Mariia-Hernandez-Martinez, Paul-Lytvyn, Oksana-Morze, Nataliia-PÃ¡tÃ­kovÃ¡, Zuzana-Iannone, Paola-KrÃ¡lovÃ¡, Maria-Schut, Marthe-MatulovÃ¡, MarkÃ©ta-DÃ­az-Cano, Antonio-Infante, Juan-Antonio-Riesco, AdriÃ¡n-RebendovÃ¡, Gabriela-SedlÃ¡kovÃ¡, Eva-Demchenko, Hanna-Boiko, Mariia-Hlushak, Oksana</t>
  </si>
  <si>
    <t>NetradiÄnÃ­ studenti pedagogickÃ½ch oborÅ¯ na ÄeskÃ½ch vysokÃ½ch Å¡kolÃ¡ch</t>
  </si>
  <si>
    <t>NovotnÃ½, Petr-BrÃ¼cknerovÃ¡, Karla-RabuÅ¡icovÃ¡, Milada-JuhaÅˆÃ¡k, Libor-KnotovÃ¡, Dana-RozvadskÃ¡, KatarÃ­na</t>
  </si>
  <si>
    <t>Postupy a nÃ¡stroje pedagogickÃ© evaluace pro (budoucÃ­) uÄitele</t>
  </si>
  <si>
    <t>JanÃ­k, TomÃ¡Å¡-ÄŒernÃ¡, Monika-VystrÄilovÃ¡, Petra-VaÄurovÃ¡, Helena-Nehyba, Jan-SvojanovskÃ½, Petr-Picka, Karel-SlezÃ¡kovÃ¡, KatarÃ­na-SlepiÄkovÃ¡, Lenka-KratochvÃ­lovÃ¡, Jana</t>
  </si>
  <si>
    <t>Srovnatelnost testovÃ½ch verzÃ­ slovenskÃ© maturitnÃ­ zkouÅ¡ky z anglickÃ©ho jazyka</t>
  </si>
  <si>
    <t>EDUCATION / Testing &amp; Measurement</t>
  </si>
  <si>
    <t>HuleÅ¡ovÃ¡, Martina</t>
  </si>
  <si>
    <t>2nd Plasma Nanotechnologies and Bioapplications Workshop</t>
  </si>
  <si>
    <t>SCIENCE / Physics / General</t>
  </si>
  <si>
    <t>Galmiz, Oleksandr-Å tÄ›pÃ¡novÃ¡, Vlasta-Krumpolec, Richard-SihelnÃ­k, SlavomÃ­r-KovÃ¡Äik, DuÅ¡an</t>
  </si>
  <si>
    <t>Metody kauzÃ¡lnÃ­ analÃ½zy pro mÄ›Å™enÃ­ efektivity podpory prodeje</t>
  </si>
  <si>
    <t>BUSINESS &amp; ECONOMICS / Sales &amp; Selling / General</t>
  </si>
  <si>
    <t>KrÃ¡lovÃ¡, Maria</t>
  </si>
  <si>
    <t>VzdÄ›lÃ¡vÃ¡nÃ­ Å¾Ã¡kÅ¯ se specifickÃ½mi poruchami uÄenÃ­ â€“ matematika</t>
  </si>
  <si>
    <t>BlaÅ¾kovÃ¡, RÅ¯Å¾ena</t>
  </si>
  <si>
    <t>XIII. studentskÃ¡ vÄ›deckÃ¡ konference Katedry ÄeskÃ©ho jazyka a literatury</t>
  </si>
  <si>
    <t>ÄŒermÃ¡kovÃ¡, Gabriela-OÅ¡mera, Radim-TinkovÃ¡, Veronika-ProchÃ¡zkovÃ¡, Zuzana-Jindra, Miroslav-Å vandovÃ¡, Tereza-BÅ™ezinovÃ¡, KlÃ¡ra-GonÄarenko, Alexandra-NovÃ¡kovÃ¡, Ester-Zabloudil, OndÅ™ej</t>
  </si>
  <si>
    <t>Zdroje a Å¡Ã­Å™enÃ­ vybranÃ½ch komodit keramickÃ© produkce vrcholnÃ©ho a pozdnÃ­ho stÅ™edovÄ›ku</t>
  </si>
  <si>
    <t>HloÅ¾ek, Martin-TymonovÃ¡, MarkÃ©ta-Nosek, VojtÄ›ch-MÄ›churovÃ¡, ZdeÅˆka-Holub, Petr-SedlÃ¡ÄkovÃ¡, Lenka-ZÅ¯bek, AntonÃ­n-JordÃ¡nkovÃ¡, Hana-Jagosz-Zarzycka, Zofia-GregerovÃ¡, Miroslava-LoskotovÃ¡, Irena</t>
  </si>
  <si>
    <t>TerÃ©nnÃ­ vÃ½uka na PdF MU</t>
  </si>
  <si>
    <t>StudujÃ­ spolu</t>
  </si>
  <si>
    <t>BrÃ¼cknerovÃ¡, Karla</t>
  </si>
  <si>
    <t>Predikce potenciÃ¡lnÃ­ch mÃ­st k vÃ½stavbÄ› retenÄnÃ­ch nÃ¡drÅ¾Ã­ v krajinÄ› na zÃ¡kladÄ› vyuÅ¾itÃ­ reliktÅ¯ zaniklÃ½ch vodohospodÃ¡Å™skÃ½ch staveb</t>
  </si>
  <si>
    <t>MazÃ¡ÄkovÃ¡, Jana-Å½aÅ¾a, Petr-PÃºÄaÅ¥, Andrej</t>
  </si>
  <si>
    <t>Geografie bariÃ©r</t>
  </si>
  <si>
    <t>Å erÃ½, OndÅ™ej-DoboÅ¡, Pavel-SuchÃ¡, Ladislava-Martinek, Jan-Å kop, Stanislav-Kaplan, Daniel-SurmaÅ™ovÃ¡, Simona-KotÃ½nkovÃ¡, Veronika-LÃ­novÃ¡, Jana-Trojan, Jakub-KrejÄÃ­, TomÃ¡Å¡-NovÃ¡kovÃ¡, Eva-PorkertovÃ¡, Hana-Osman, Robert</t>
  </si>
  <si>
    <t>Exploring and Explaining Participation in Local Opposition: Brown Coal Mining in HornÃ­ JiÅ™etÃ­n</t>
  </si>
  <si>
    <t>POLITICAL SCIENCE / NGOs (Non-Governmental Organizations)</t>
  </si>
  <si>
    <t>ÄŒernoch, Filip-LehotskÃ½, LukÃ¡Å¡-OcelÃ­k, Petr-OsiÄka, Jan</t>
  </si>
  <si>
    <t>Jak mÄ›Å™it metakognici (nejen) u nadanÃ½ch dÄ›tÃ­</t>
  </si>
  <si>
    <t>PSYCHOLOGY / Cognitive Psychology &amp; Cognition</t>
  </si>
  <si>
    <t>Straka, OndÅ™ej</t>
  </si>
  <si>
    <t>VÃ½slovnost ve vÃ½uce nÄ›meckÃ©ho jazyka na ZÅ </t>
  </si>
  <si>
    <t>ÄŒeÅ™ovskÃ¡, Martina</t>
  </si>
  <si>
    <t>Building University Schools in Teacher Education Programmes</t>
  </si>
  <si>
    <t>LazarovÃ¡, BohumÃ­ra-Pol, Milan-MoÅ¡kvan, VladimÃ­r-Gerholz, Karl-Heinz-Neubauer, JÃ¶rg-Reinke, Hannes-Wagner, Anne-Marko, Nils-Seitle, Johannes-Wilbers, Karl-Midjo, Bjorn-Smith, Kari-StenÃ¸ien, Ingrid-Tinoca, Luis-Tempera, Tiago</t>
  </si>
  <si>
    <t>XXIV. mezinÃ¡rodnÃ­ kolokvium o regionÃ¡lnÃ­ch vÄ›dÃ¡ch</t>
  </si>
  <si>
    <t>Å½Ã­tek, VladimÃ­r-LelkovÃ¡, Tereza-HalÃ¡skovÃ¡, Martina-Rokita-Poskart, Diana-Å trangfeldovÃ¡, Jana-MaliÅ¡ovÃ¡, Daniela-BelvonÄÃ­kovÃ¡, Eva-HrivnÃ¡k, Michal-Moritz, Peter-FÃ¡zikovÃ¡, MÃ¡ria-JarÃ¡bkovÃ¡, Jana-PlieÅ¡ovskÃ½, JaromÃ­r-SkladanÃ¡, VladimÃ­ra-KouÅ™ilovÃ¡, Jana-KubÃ­kovÃ¡, Martina-PÄ›lucha, Martin-ZdraÅ¾il, Pavel-StanÃ­ÄkovÃ¡, Michaela-MeleckÃ½, LukÃ¡Å¡-OstÃ¡rkovÃ¡, Jana-OremusovÃ¡, DaÅ¡a-KramÃ¡rekovÃ¡, Hilda-NemÄÃ­kovÃ¡, MagdalÃ©na-Varecha, LukÃ¡Å¡-TremboÅ¡ovÃ¡, Miroslava-DubcovÃ¡, Alena-Kundla, Patrik-VeselovskÃ½, JÃ¡n-FrliÄkovÃ¡, Barbora-KubÃ­ÄkovÃ¡, Helena-Å lahÅ¯nkovÃ¡, Nikola-NovÃ¡k, VÃ¡clav-KoutskÃ½, Jaroslav-KubaÅ¡, Rudolf-PalcrovÃ¡, Å Ã¡rka-Arias, Helmuth-AntoÅ¡ovÃ¡, Gabriela-SuchÃ¡Äek, Jan-UrminskÃ½, Jaroslav-LuÅ¡tickÃ½, Martin-Musil, Martin-PlucarovÃ¡, Dagmar-CifraniÄ, Michal-Valach, MaroÅ¡-KorenkovÃ¡, Marcela-MaroÅ¡, Milan-LevickÃ½, Michal-Shemetev, Aleksandr-Feurich, Marek-MitwallyovÃ¡, Helena-NovotnÃ¡, MarkÃ©ta-Garbin, Daniela-Kunc, Josef-UrbanÃ­kovÃ¡, Marta-Å tubÅˆovÃ¡, Michaela-HoleÅ¡inskÃ¡, Andrea-ZÃ¡boj, Martin-Krogmann, Alfred-PetrikoviÄovÃ¡</t>
  </si>
  <si>
    <t>SbornÃ­k konference didaktiky pÅ™Ã­rodnÃ­ch vÄ›d DidSci+ 2021</t>
  </si>
  <si>
    <t>BartoÅˆovÃ¡, MarkÃ©ta-KriÄfaluÅ¡i, Dana-BÅ™Ã­Å¾Äala, Jan-UrvÃ¡lkovÃ¡, Eva-GanajovÃ¡, MÃ¡ria-SotÃ¡kovÃ¡, Ivana-Å oltysovÃ¡, Dominika-HrdliÄka, Jan-Rypl, VÃ¡clav-JurmanovÃ¡, Jana-MrkviÄkovÃ¡, Martina-FiÅ¡er, ZbynÄ›k-KoperovÃ¡, Dominika-KubrickÃ¡, Jana-LeÅ¡kovÃ¡, Andrea-RychvalskÃ¡, Miriam-MiÅ¡ianikovÃ¡, Anna-MÃ©tioui, Abdeljalil-Ryzhova, Oxana-Vasileva, Irina-Agafonov, Andrey-Kochergina, Irina-Sirotek, VladimÃ­r-TlÃ¡skalovÃ¡, KateÅ™ina-Å trofovÃ¡, Jitka-CoufalovÃ¡, Å tÄ›pÃ¡nka-Held, Lâ€™ubomÃ­r-Å vandovÃ¡, Veronika-LiterÃ¡k, JaromÃ­r-PelÃ¡nkovÃ¡, Barbora</t>
  </si>
  <si>
    <t>Student Scientific Conference MUNI Pharm 2021</t>
  </si>
  <si>
    <t>Bryja, VÃ¡clav-PolÃ¡kovÃ¡, Martina-RoboÅ¡ovÃ¡, Lucie-DupÄ¾Ã¡kovÃ¡, Miriama-JurÄovÃ¡, Nikol-Crha, TomÃ¡Å¡-Å½Ã¡ÄkovÃ¡, Radka-GreguÅ¡, Michal-John, Petr-BurclovÃ¡, Zuzana-PorostlÃ¡, Veronika-HulkovÃ¡, Veronika-JaneÄkovÃ¡, Hana-ÄŒtvrtlÃ­kovÃ¡, Tereza-HeglasovÃ¡, Michaela-Å udomovÃ¡, KristÃ½na-JanyovÃ¡, Jana-Solak, Damir-VeselÃ½, Martin-StaÅˆo, Adam-KoutnÃ¡, Gabriela-TenorovÃ¡, KateÅ™ina-BlahÃ¡ÄkovÃ¡, Dagmar-JanigovÃ¡, NatÃ¡lia-HoÅ™avovÃ¡, Hana-StupÃ¡k, Ivan-UngvarskÃ¡, Lucia-Å vestka, David-OnuÅ¡ÄÃ¡kovÃ¡, MagdalÃ©na-BallayovÃ¡, Veronika-Å kovranovÃ¡, Gabriela-MolÄanovÃ¡, Lenka-Rotrekl, Dominik-VohlÃ­dalovÃ¡, Eva-BobÃ¡Ä¾, Pavel-MokrÃ½, Petr-LamaczovÃ¡, AdÃ©la</t>
  </si>
  <si>
    <t>DobrodruÅ¾stvÃ­ historickÃ© interpretace</t>
  </si>
  <si>
    <t>KlÃ¡pÅ¡tÄ›, Jan-BÅ¯Å¾ek, VÃ¡clav-MalÃ½, TomÃ¡Å¡-TinkovÃ¡, Daniela-Å vaÅ™Ã­ÄkovÃ¡, Radmila-KÅ™Ã­Å¾ovÃ¡, MarkÃ©ta-BalÃ­k, Stanislav-Fasora, LukÃ¡Å¡-PetrÃ¡Äek, TomÃ¡Å¡-Lach, JiÅ™Ã­-HusÃ¡k, Petr-KolenovskÃ¡, Daniela-Smetana, VÃ­t-SpurnÃ½, MatÄ›j-Fiala, Petr-KopeÄek, LubomÃ­r-HlouÅ¡ek, VÃ­t-HanuÅ¡, JiÅ™Ã­-Suk, JiÅ™Ã­</t>
  </si>
  <si>
    <t>Metodika prÃ¡ce s Å¾Ã¡ky se specifickÃ½mi poruchami uÄenÃ­: Aplikace pÃ­snÃ­ s rytmickÃ½m a pohybovÃ½m doprovodem v cizÃ­m jazyce (francouzÅ¡tina)</t>
  </si>
  <si>
    <t>EDUCATION / Special Education / Learning Disabilities</t>
  </si>
  <si>
    <t>SchejbalovÃ¡, ZdeÅˆka</t>
  </si>
  <si>
    <t>Metodika prÃ¡ce s tÅ™Ã­dnÃ­m kolektivem v inkluzivnÃ­ tÅ™Ã­dÄ› se zamÄ›Å™enÃ­m na Å¾Ã¡ky s epilepsiÃ­</t>
  </si>
  <si>
    <t>FialovÃ¡, Ilona</t>
  </si>
  <si>
    <t>Metodika prÃ¡ce s tÅ™Ã­dnÃ­m kolektivem v inkluzivnÃ­ tÅ™Ã­dÄ› se zamÄ›Å™enÃ­m na Å¾Ã¡ky se zrakovÃ½m postiÅ¾enÃ­m</t>
  </si>
  <si>
    <t>RÃ¶derovÃ¡, Petra-PavlovskÃ¡, Marie-Vrubel, Martin</t>
  </si>
  <si>
    <t>Metodika prÃ¡ce s tÅ™Ã­dnÃ­m kolektivem v inkluzivnÃ­ tÅ™Ã­dÄ› se zamÄ›Å™enÃ­m na Å¾Ã¡ky s naruÅ¡enou komunikaÄnÃ­ schopnostÃ­</t>
  </si>
  <si>
    <t>Logbook for Special Edication Doctoral Program</t>
  </si>
  <si>
    <t>Vrubel, Martin-PanÄocha, Karel-VojtovÃ¡, VÄ›ra-VÃ­tkovÃ¡, Marie</t>
  </si>
  <si>
    <t>Logbook pro doktorskÃ½ studijnÃ­ program SpeciÃ¡lnÃ­ pedagogika</t>
  </si>
  <si>
    <t>Edukace Å¾Ã¡kÅ¯ se speciÃ¡lnÃ­mi vzdÄ›lÃ¡vacÃ­mi potÅ™ebami v ÄeskÃ©m jazyce a literatuÅ™e â€“ zamÄ›Å™enÃ­ na Å¾Ã¡ky s SPU a zdravotnÃ­m znevÃ½hodnÄ›nÃ­m</t>
  </si>
  <si>
    <t>KlÃ­movÃ¡, KvÄ›toslava-ZÃ­tkovÃ¡, Jitka</t>
  </si>
  <si>
    <t>InkluzivnÃ­ didaktika v praxi zÃ¡kladnÃ­ Å¡koly</t>
  </si>
  <si>
    <t>BartoÅˆovÃ¡, Miroslava-SedlÃ¡ÄkovÃ¡, Alena-VÃ­tkovÃ¡, Marie</t>
  </si>
  <si>
    <t>EfektivnÃ­ vyuÄovÃ¡nÃ­ v heterogennÃ­ tÅ™Ã­dÄ› se zÅ™etelem na metody a uÄebnÃ­ strategie</t>
  </si>
  <si>
    <t>BartoÅˆovÃ¡, Miroslava-VÃ­tkovÃ¡, Marie</t>
  </si>
  <si>
    <t>Volejbal pro trenÃ©ry a uÄitele</t>
  </si>
  <si>
    <t>SPORTS &amp; RECREATION / Volleyball</t>
  </si>
  <si>
    <t>HanÃ­k, ZdenÄ›k-FoltÃ½n, OndÅ™ej-PetrÅ¯, JiÅ™Ã­</t>
  </si>
  <si>
    <t>VÃ½zkum v didaktice cizÃ­ch jazykÅ¯ III</t>
  </si>
  <si>
    <t>Atcheson, Hana-JelÃ­nkovÃ¡, Jaroslava-KousalovÃ¡, Barbora-Krahulec, OndÅ™ej-LangerovÃ¡, Petra-StanislavovÃ¡, Veronika-Å indelÃ¡Å™ovÃ¡, Martina-JanÃ­kovÃ¡, VÄ›ra-HanuÅ¡ovÃ¡, SvÄ›tlana</t>
  </si>
  <si>
    <t>SubjektivnÃ­ teorie a jednÃ¡nÃ­ uÄitelÅ¯: vÃ­ceÄetnÃ¡ pÅ™Ã­padovÃ¡ studie v kontextu profesnÃ­ho rozvoje uÄitelÅ¯</t>
  </si>
  <si>
    <t>Koubek, Petr</t>
  </si>
  <si>
    <t>The Attitudes of Elementary School Teachers to Eating Disorders</t>
  </si>
  <si>
    <t>AdÃ¡mkovÃ¡, Lenka</t>
  </si>
  <si>
    <t>AnÃ¡lisis de errores en la interlengua de aprendices de ELE universitarios checos y eslovacos</t>
  </si>
  <si>
    <t>LANGUAGE STUDY / Spanish</t>
  </si>
  <si>
    <t>RodrÃ­guez, Cristina</t>
  </si>
  <si>
    <t>64. studentskÃ¡ vÄ›deckÃ¡ konference</t>
  </si>
  <si>
    <t>PohybovÃ¡ aktivita jako ÃºÄinnÃ½ prostÅ™edek nefarmakologickÃ© pÃ©Äe v onkologii</t>
  </si>
  <si>
    <t>HrnÄiÅ™Ã­kovÃ¡, Iva-SvobodovÃ¡, Zora-CrhovÃ¡, Marie-StruhÃ¡r, Ivan-MalÃ¡, Alexandra-Å perkovÃ¡, Martina-HalÃ¡mkovÃ¡, Jana-BureÅ¡ovÃ¡, Iva-HadrabovÃ¡, MarkÃ©ta-JanÃ­kovÃ¡, Andrea-KapounkovÃ¡, KateÅ™ina</t>
  </si>
  <si>
    <t>Current Issues of the Russian Language Teaching XIV</t>
  </si>
  <si>
    <t>Dohnal, Josef-FigedyovÃ¡, Marianna-Iermachkova, Olga-ChvÃ¡lovÃ¡, KatarÃ­na-Kolosova, Elena-KrejÄÃ­, Janina-PÅ¯Å¾a, Miroslav-Savchenko, Tatiana-Valova, Liudmila-Golovnyova, Yuliya-Novikova, Albina-Kopylova, Tatiana-Kilina, Liliia-Kryukova, Larisa-Khiznichenko, Anna-Glogowska, Anna-Michalowski, Piotr-RadÄenko, Marina-Rubtsova, Evgeniya-Romanova, Tatiana-Samylicheva, Nadezhda-StrachotovÃ¡, KateÅ™ina-Truhlarova, Oxana-Gubskaya, Olga-Jilevich, Olga-Kolysheva, Elena-Milovanova, Maria-Matrusova, Alexandra-RouboudovÃ¡, Lenka-Korneeva, Evgeniia-Tyshchenko, Oleh-KoryÄÃ¡nkovÃ¡, Simona-Sokolova, Anastasija-GrominovÃ¡, Andrea</t>
  </si>
  <si>
    <t>Ãšvod do ekologickÃ© problematiky</t>
  </si>
  <si>
    <t>Jemelka, Petr</t>
  </si>
  <si>
    <t>Functional Plurality of Language in Contextualised Discourse</t>
  </si>
  <si>
    <t>Gumbaridze, Zhuzhuna-Gvarishvili, Zeinab-HastrdlovÃ¡, Å Ã¡rka-HuschovÃ¡, Petra-HÃ¼ttner, Julia-LahodovÃ¡, Marie-Lapina, Evgeniia-MalÃ¡, MarkÃ©ta-PeldovÃ¡, Petra-SlÃ¡dkovÃ¡, VÄ›ra-Twardzisz, Piotr-HeadlandovÃ¡, Irena-NÄ›mec, Martin</t>
  </si>
  <si>
    <t>Idea univerzity z ÄeskÃ© perspektivy</t>
  </si>
  <si>
    <t>BalÃ­k, Stanislav-DvoÅ™Ã¡k, Petr-Fiala, Petr-Floss, Pavel-HorÃ¡k, Petr-Jirsa, Jakub-Lach, JiÅ™Ã­-MachÃ¡Äek, JiÅ™Ã­-Machula, TomÃ¡Å¡-Munzar, Dominik-Noble, Ivana-Sokol, Jan-Soukup, Daniel-Å imÃ¡ÄkovÃ¡, KateÅ™ina-HanuÅ¡, JiÅ™Ã­</t>
  </si>
  <si>
    <t>Typo Poster</t>
  </si>
  <si>
    <t>DESIGN / Graphic Arts / Typography</t>
  </si>
  <si>
    <t>Noga, Pavel</t>
  </si>
  <si>
    <t>Real World Learning in Outdoor Environmental Education Programs</t>
  </si>
  <si>
    <t>ÄŒinÄera, Jan-Johnson, Bruce-Kroufek, Roman-KolenatÃ½, Miloslav-Å imonovÃ¡, Petra-ZÃ¡leÅ¡Ã¡k, Jan</t>
  </si>
  <si>
    <t>MÃ½ty â€“ omyly â€“ nepravdy</t>
  </si>
  <si>
    <t>EDUCATION / Essays</t>
  </si>
  <si>
    <t>Dammer, Karl-Heinz-Gonon, Philipp-Grunder, Hans-Ulrich-Haag, Ludwig-Knoll, Michael-Terhart, Ewald-JanÃ­k, TomÃ¡Å¡</t>
  </si>
  <si>
    <t>UmÄ›nÃ­m tÄ› promÄ›nÃ­m</t>
  </si>
  <si>
    <t>ART / Study &amp; Teaching</t>
  </si>
  <si>
    <t>StadlerovÃ¡, Hana-NovotnÃ¡, Pavla-OvÄÃ¡ÄkovÃ¡, Jana-SommerovÃ¡, Milada-StrouhalovÃ¡, Magda</t>
  </si>
  <si>
    <t>Freedom in the Mirror of University History</t>
  </si>
  <si>
    <t>LANGUAGE ARTS &amp; DISCIPLINES / Publishers &amp; Publishing Industry</t>
  </si>
  <si>
    <t>MizerovÃ¡, Alena-NovotnÃ¡, Lea-VyskoÄilovÃ¡, Radka-Gomola, Radek</t>
  </si>
  <si>
    <t>NÃ¡stroje pro pÅ™echod na obÄ›hovÃ© hospodÃ¡Å™stvÃ­</t>
  </si>
  <si>
    <t>TÃ³thovÃ¡, Dominika-SoukopovÃ¡, Jana-DvoÅ™Ã¡kovÃ¡, Michaela-BedÅ™ichovÃ¡, Zuzana-ÄŒurda, Stanislav-Struk, Michal</t>
  </si>
  <si>
    <t>Cesty hornÃ­m Kurveleshem v Äase a prostoru</t>
  </si>
  <si>
    <t>Geisler, Adam-Hlavica, Michal-Klontzas, Manolis-Krofta, TomÃ¡Å¡-PavloÅˆ, TomÃ¡Å¡-NavrÃ¡tilovÃ¡, Iveta-Dobra, Robert-Ludva, Jaroslav-Klontza-JaklovÃ¡, VÄ›ra</t>
  </si>
  <si>
    <t>MladÃ¡ slavistika V</t>
  </si>
  <si>
    <t>LANGUAGE STUDY / Slavic Languages (Other)</t>
  </si>
  <si>
    <t>DemelovÃ¡, Jana-DupalovÃ¡, Zuzana-JirÃ¡ÅˆovÃ¡, EliÅ¡ka-KolÃ¡Å™ovÃ¡, KateÅ™ina-MichÃ¡lkovÃ¡, SvÄ›tlana-VaverkovÃ¡, Isabela-VelÅ¡ovÃ¡, KarolÃ­na-MichÃ¡lek, ZbynÄ›k-OdehnalovÃ¡, Lenka-Å aur, Josef</t>
  </si>
  <si>
    <t>(Teaching) Regional Geography</t>
  </si>
  <si>
    <t>DostÃ¡l, Ivo-AndÄ›l, Petr-HavlÃ­Äek, Marek-PetroviÄ, FrantiÅ¡ek-DrÃ¡pela, Emil-HamÃ¡Äek, JaromÃ­r-FrliÄkovÃ¡, Barbora-Hermann, LukÃ¡Å¡-FaltejskovÃ¡, Martina-StachoÅˆ, ZdenÄ›k-HubÃ¡Äek, Martin-ÄŒapek, JaromÃ­r-MertovÃ¡, Iva-Kirchner, Karel-KubalÃ­kovÃ¡, Lucie-Kuda, FraniÅ¡ek-Kolejka, JaromÃ­r-NovÃ¡kovÃ¡, Eva-Krogmann, Alfred-NÄ›mÄÃ­kovÃ¡, MagdalÃ©na-VeselovskÃ½, JÃ¡n-Svorad, Andrej-Bajer, AleÅ¡-ZapletalovÃ¡, Dana-BalkovÃ¡, Marie-ZÃ¡gorÅ¡ek, Kamil-Kuda, FrantiÅ¡ek-RoÅ¡tÃ­nskÃ½, Pavel-LnÄ›niÄka, Libor-DvoÅ™Ã¡kovÃ¡, Lenka-Machar, Ivo-HalÃ¡s, MariÃ¡n-NÃ©methovÃ¡, Jana-FeszterovÃ¡, MelÃ¡nia-OprÅ¡al, ZdenÄ›k-ÅšwiÄ™tek, Agnieszka-Osuch, Wiktor-StriÅ¡kovÃ¡, Michaela-OremusovÃ¡, DÃ¡Å¡a-Trahorsch, Petr-Kroufek, Roman-TremboÅ¡ovÃ¡, Miroslava-DubcovÃ¡, Alena-HornÃ¡, NatÃ¡lia-VilinovÃ¡, KatarÃ­na-KabÃ¡tovÃ¡, Veronika-VrbiÄanovÃ¡, GrÃ©ta-SzabovÃ¡, Lucia-MoÄko, MatÄ›j-KaisovÃ¡, Dominika-Jakab, Imrich-MÃ­saÅ™ovÃ¡, Darina-PetrÃ¡kovÃ¡, Jana</t>
  </si>
  <si>
    <t>KariÃ©rovÃ¡ adaptabilita</t>
  </si>
  <si>
    <t>EDUCATION / Administration / Elementary &amp; Secondary</t>
  </si>
  <si>
    <t>HlouÅ¡kovÃ¡, Lenka-LazarovÃ¡, BohumÃ­ra-JeÅ¾ek, Stanislav-JuhaÅˆÃ¡k, Libor-Macek, Petr-DaÅˆsovÃ¡, Petra-Gottfried, Jaroslav-PalÃ­Å¡ek, Petr-ReÄka, Karel-Å aÅ¡inka, VÃ¡clav-HlaÄo, Petr-KvaskovÃ¡, Lucia</t>
  </si>
  <si>
    <t>XII. studentskÃ¡ vÄ›deckÃ¡ konference Katedry ÄeskÃ©ho jazyka a literatury</t>
  </si>
  <si>
    <t>OujezdskÃ½, Jan-KytlicovÃ¡, Andrea-OÅ¡mera, Radim-KÅ™Ã­Å¾kovÃ¡, Lucie-Jindra, Miroslav-NovÃ¡kovÃ¡, Ester-Zabloudil, OndÅ™ej</t>
  </si>
  <si>
    <t>100 let R. U. R.</t>
  </si>
  <si>
    <t>TECHNOLOGY &amp; ENGINEERING / Robotics</t>
  </si>
  <si>
    <t>DrozenovÃ¡, Wendy-Krob, Josef-OdorÄÃ¡k, Juraj-PavliÄÃ­kovÃ¡, Helena-Siegel, LukÃ¡Å¡-Å tÄ›rba, Radim-VonkovÃ¡, Erika-ZichovÃ¡, Jana-Jemelka, Petr-LesÅˆÃ¡k, SlavomÃ­r</t>
  </si>
  <si>
    <t>StudentskÃ¡ geologickÃ¡ konference 2020</t>
  </si>
  <si>
    <t>NATURE / Rocks &amp; Minerals</t>
  </si>
  <si>
    <t>CÃ­gler, VojtÄ›ch-Sobek, Kamil-PoÅ™Ã¡dek, PÅ™emysl-DaÅˆkovÃ¡, Ludmila</t>
  </si>
  <si>
    <t>Guide to General Histology and Microscopic Anatomy</t>
  </si>
  <si>
    <t>MEDICAL / Anatomy</t>
  </si>
  <si>
    <t>VaÅˆhara, Petr-SedlÃ¡ÄkovÃ¡, Miroslava-LauschovÃ¡, Irena-ÄŒech, Svatopluk-Hampl, AleÅ¡</t>
  </si>
  <si>
    <t>Natural Toxins: Environmental Fate and Safe Water Supply</t>
  </si>
  <si>
    <t>NATURE / Ecosystems &amp; Habitats / Lakes, Ponds &amp; Swamps</t>
  </si>
  <si>
    <t>Bruun, Hans-HilscherovÃ¡, KlÃ¡ra</t>
  </si>
  <si>
    <t>Å˜Ã­zenÃ­ tÅ™Ã­dy: studenti uÄitelstvÃ­ a jejich provÃ¡zejÃ­cÃ­ uÄitelÃ©</t>
  </si>
  <si>
    <t>VlÄkovÃ¡, KateÅ™ina-LojdovÃ¡, KateÅ™ina-Lukas, Josef-MareÅ¡, Jan-Å karkovÃ¡, Lucie-Kohoutek, TomÃ¡Å¡-KvÄ›ton, Petr-JeÅ¾ek, Stanislav</t>
  </si>
  <si>
    <t>Weâ€™re Not Afraid of Cancer or Prevention As a Doorway to Health</t>
  </si>
  <si>
    <t>SlanÃ¡, Jitka-SmejkalovÃ¡, ZdeÅˆka</t>
  </si>
  <si>
    <t>PromÄ›ny BrnÄ›nskÃ©ho varhannÃ­ho festivalu</t>
  </si>
  <si>
    <t>MUSIC / Musical Instruments / Piano &amp; Keyboard</t>
  </si>
  <si>
    <t>KuÄerovÃ¡, Judita-BartoÅ¡ovÃ¡, Hana-VeselÃ¡, Alena-BejÄek, Jan-SedlÃ¡Äek, Marek</t>
  </si>
  <si>
    <t>OtÃ¡zky neolitu a eneolitu. 39. roÄnÃ­k. Brno, 9.â€“11. 9. 2020</t>
  </si>
  <si>
    <t>MalÃ­Å¡kovÃ¡, Johana-TÃ³th, Peter</t>
  </si>
  <si>
    <t>Proceedings of the 12th International Conference on Kinanthropology</t>
  </si>
  <si>
    <t>Ban, Maja-ÄurkoviÄ‡, Tomislav-MareliÄ‡, Nenad-ZekiÄ‡, Robert-HedbÃ¡vnÃ½, Petr-KalichovÃ¡, Miriam-Rabenseifner, Michal-Borek, Adam-GimunovÃ¡, Marta-VodiÄka, TomÃ¡Å¡-JÃ¡nsky, KristiÃ¡n-ZderÄÃ­k, AntonÃ­n-SkotÃ¡kovÃ¡, Alena-KolÃ¡Å™ovÃ¡, KateÅ™ina-NykodÃ½m, JiÅ™Ã­-TalaÅ¡ovÃ¡, Jana-HoleÄek, Pavel-BozdÄ›ch, Michal-SlaÄanac, Kristijan-Å½ugaj, Nenad-KumstÃ¡t, Michal-Sebera, Martin-ViÄar, Michal-Kuna, Danijela-BabiÄ‡, Matej-OÄiÄ‡, Mateja-MaÄura, Peter-BlahutovÃ¡, Anna-HubinÃ¡k, Andrej-KoÅ¡tial, JÃ¡n-KrÅ¡ka, Peter-NovotnÃ¡, NadeÅ¾da-SedlÃ¡Äek, JaromÃ­r-HulinkovÃ¡, MÃ¡ria-LjubiÄiÄ‡, Sanja-AntekoloviÄ‡, Ljubomir-DukariÄ‡, Vedran-Nagy, Nikolas-Holienka, Miroslav-Babic, Matej-MalÃ¡tovÃ¡, RenÃ¡ta-BahenskÃ½, Petr-MareÅ¡, Martin-Marko, David-Foretic, Nikola-Gilic, Barbara-Sekulic, Damir-Peric, Ivan-Blazevic, Mateo-BeÅˆuÅ¡, Patrik-LÃ­Å¡ka, David-GurÃ­n, Daniel-PupiÅ¡, Martin-PupiÅ¡ovÃ¡, Zuzana-Hermann, TomÃ¡Å¡-MalÃ¡tovÃ¡, Renata-Zeljko, Ivan-Spasic, Miodrag-ModriÄ‡, Toni-VerÅ¡iÄ‡, Å ime-ForetiÄ‡, Nikola-StruhÃ¡r, Ivan-KapounkovÃ¡, KateÅ™ina-Å oltÃ©s, KlÃ¡ra-HrnÄiÅ™Ã­kovÃ¡, Iv</t>
  </si>
  <si>
    <t>MoravskÃ½ kras a okolÃ­ / Moravian Karst and its Environs</t>
  </si>
  <si>
    <t>BalÃ¡k, Ivan-Hofmann, Eduard-SvobodovÃ¡, Hana-Durna, Radek-Kolejka, JaromÃ­r</t>
  </si>
  <si>
    <t>Diverzifikace pÅ™edÅ¡kolnÃ­ho vzdÄ›lÃ¡vÃ¡nÃ­ v ÄŒR</t>
  </si>
  <si>
    <t>JarkovskÃ¡, Lucie-Kampichler, Martina-SlezÃ¡kovÃ¡, KatarÃ­na</t>
  </si>
  <si>
    <t>MoÅ¾nosti zvyÅ¡ovÃ¡nÃ­ efektivnosti veÅ™ejnÃ©ho sektoru v podmÃ­nkÃ¡ch krize veÅ™ejnÃ½ch financÃ­ II</t>
  </si>
  <si>
    <t>MalÃ½, Ivan-Nemec, Juraj-KrÅ¯tilovÃ¡, Veronika-ÄŒiÅ¾mÃ¡rik, Pavol-Pompura, Ladislav</t>
  </si>
  <si>
    <t>Leading Learning Networks in Education</t>
  </si>
  <si>
    <t>LazarovÃ¡, BohumÃ­ra-Pol, Milan-Lelieur, Ruud-Schelfhout, Wouter-Vanhoof, Jan-Vanlommel, Kristin-Brejc, Mateja-ErÄulj, Justina-Hortlund, TorbjÃ¶rn-Malmberg, Kristina-Devlin, Linda-Morgan-Guthrie, Rachel-Wallis, Tracy-CebriÃ¡n, Daniel-CebriÃ¡n, Manuel</t>
  </si>
  <si>
    <t>Standard kvality profesnÃ­ch kompetencÃ­ studenta uÄitelstvÃ­</t>
  </si>
  <si>
    <t>EDUCATION / Standards (incl. Common Core)</t>
  </si>
  <si>
    <t>KratochvÃ­lovÃ¡, Jana-SvojanovskÃ½, Petr-DobrovolnÃ¡, Alena-DvoÅ™Ã¡kovÃ¡, Blanka-FialkovÃ¡, Johana-GrycovÃ¡, Martina-HorkÃ¡, Hana-KuchaÅ™Ã­kovÃ¡, Marta-NovotnÃ¡, Olga-PrachaÅ™ovÃ¡, Hana-SlanÃ¡, Jitka-Suquet, Petra-TeÅ¡narovÃ¡, Lucie-TichÃ¡, Jitka-VystrÄilovÃ¡, Petra</t>
  </si>
  <si>
    <t>Proces fÃºzÃ­ obchodnÃ­ch spoleÄnostÃ­ v prÃ¡vnÃ­ch, ÃºÄetnÃ­ch a daÅˆovÃ½ch souvislostech</t>
  </si>
  <si>
    <t>BUSINESS &amp; ECONOMICS / Taxation / Corporate</t>
  </si>
  <si>
    <t>SedlÃ¡Äek, Jaroslav-HÃ½blovÃ¡, Eva-KoneÄnÃ½, Alois-KÅ™Ã­Å¾ovÃ¡, Zuzana-Valouch, Petr</t>
  </si>
  <si>
    <t>NerovnÃ½ vÃ½voj svÄ›ta a rozvojovÃ¡ teorie</t>
  </si>
  <si>
    <t>NavrÃ¡tilovÃ¡, Alice</t>
  </si>
  <si>
    <t>Kleines derivationelles Valenzlexikon zu einigen zentralen ValenztrÃ¤gern im Deutschen und Tschechischen</t>
  </si>
  <si>
    <t>Muzikant, MojmÃ­r-Wagner, Roland</t>
  </si>
  <si>
    <t>SmÄ›Å™ovÃ¡nÃ­ ke kvalitÄ› 2016â€“2020 v pedagogicko-psychologickÃ© pÅ™Ã­pravÄ› budoucÃ­ch uÄitelÅ¯ na PdF MU</t>
  </si>
  <si>
    <t>KratochvÃ­lovÃ¡, Jana-LojdovÃ¡, KateÅ™ina-Nehyba, Jan</t>
  </si>
  <si>
    <t>University Textbook on Oral Mucosal Diseases</t>
  </si>
  <si>
    <t>MEDICAL / Dentistry / General</t>
  </si>
  <si>
    <t>IzakoviÄovÃ¡, Lydie-Fassmann, AntonÃ­n-PoskerovÃ¡, Hana-BoÅ™ilovÃ¡ LinhartovÃ¡, Petra-DanÄ›k, ZdenÄ›k</t>
  </si>
  <si>
    <t>The Preschool Teacher As a Reflective Practitioner</t>
  </si>
  <si>
    <t>SyslovÃ¡, Zora</t>
  </si>
  <si>
    <t>Prostor a jeho obÃ½vÃ¡nÃ­</t>
  </si>
  <si>
    <t>LITERARY CRITICISM / Modern / 20th Century</t>
  </si>
  <si>
    <t>BakeÅ¡ovÃ¡, VÃ¡clava</t>
  </si>
  <si>
    <t>Repetitorium onemocnÄ›nÃ­ sliznice ÃºstnÃ­ dutiny</t>
  </si>
  <si>
    <t>IzakoviÄovÃ¡, Lydie-Fassmann, AntonÃ­n-PoskerovÃ¡, Hana-BoÅ™ilovÃ¡, Petra-DanÄ›k, ZdenÄ›k</t>
  </si>
  <si>
    <t>VÃ½zkum v didaktice cizÃ­ch jazykÅ¯ II</t>
  </si>
  <si>
    <t>JelÃ­nkovÃ¡, Jaroslava-NeruÅ¡ilovÃ¡, Terezie-KousalovÃ¡, Barbora-LangerovÃ¡, Petra-BumbÃ¡lkovÃ¡, Eva-Delalande, Hana-KrejÄÃ­, Janina-LahodovÃ¡, Marie-EllederovÃ¡, Eva-ValiÅ¡ovÃ¡, Marie-JanÃ­kovÃ¡, VÄ›ra-HanuÅ¡ovÃ¡, SvÄ›tlana</t>
  </si>
  <si>
    <t>CytologickÃ½ a embryologickÃ½ atlas</t>
  </si>
  <si>
    <t>MEDICAL / Embryology</t>
  </si>
  <si>
    <t>VaÅˆhara, Petr-DumkovÃ¡, Jana</t>
  </si>
  <si>
    <t>ÄŒeskÃ¡ problÃ©movÃ¡ dramatika Å¡edesÃ¡tÃ½ch let 20. stoletÃ­</t>
  </si>
  <si>
    <t>LITERARY CRITICISM / Drama</t>
  </si>
  <si>
    <t>KroÄa, David</t>
  </si>
  <si>
    <t>LidovÃ¡ pÃ­seÅˆ v hudebnÃ­ vÃ½chovÄ› na zÃ¡kladnÃ­ch a stÅ™ednÃ­ch Å¡kolÃ¡ch v ÄŒeskÃ© republice</t>
  </si>
  <si>
    <t>KuÄerovÃ¡, Judita-SedlÃ¡Äek, Marek-Chloupek, TomÃ¡Å¡-KÅ™ivÃ¡kovÃ¡, Vilma-Musil, OndÅ™ej-OstrÃ½, Pavel-OttovÃ¡, MarkÃ©ta-Rafailov, Kristina</t>
  </si>
  <si>
    <t>Podpora vedenÃ­ studentÅ¯ na praxi v mateÅ™skÃ© Å¡kole</t>
  </si>
  <si>
    <t>SyslovÃ¡, Zora-GrÅ¯zovÃ¡, Lucie-Å tÄ›pÃ¡nkovÃ¡, Lucie</t>
  </si>
  <si>
    <t>Outdoor Education in Geography: A Specific Educational Strategy</t>
  </si>
  <si>
    <t>SvobodovÃ¡, Hana</t>
  </si>
  <si>
    <t>Psychologie prÃ¡ce a organizace 2019</t>
  </si>
  <si>
    <t>PSYCHOLOGY / Industrial &amp; Organizational Psychology</t>
  </si>
  <si>
    <t>ProchÃ¡zka, Jakub-KratochvÃ­l, TomÃ¡Å¡-VaculÃ­k, Martin</t>
  </si>
  <si>
    <t>1st Plasma for Nanotechnology and Bioapplications Workshop</t>
  </si>
  <si>
    <t>TECHNOLOGY &amp; ENGINEERING / Nanotechnology &amp; MEMS</t>
  </si>
  <si>
    <t>KovÃ¡Äik, DuÅ¡an-SihelnÃ­k, SlavomÃ­r-Å tÄ›pÃ¡novÃ¡, Vlasta-Krumpolec, Richard</t>
  </si>
  <si>
    <t>ProfesionÃ¡lnÃ­ pomÃ¡hÃ¡nÃ­</t>
  </si>
  <si>
    <t>EdTech KISK: StudijnÃ­ profilace Technologie ve vzdÄ›lÃ¡vÃ¡nÃ­</t>
  </si>
  <si>
    <t>COMPUTERS / Computer Literacy</t>
  </si>
  <si>
    <t>ÄŒernÃ½, Michal-TulinskÃ¡, Hana</t>
  </si>
  <si>
    <t>(Geo)Demografie nejen pro ekonomy</t>
  </si>
  <si>
    <t>SOCIAL SCIENCE / Demography</t>
  </si>
  <si>
    <t>Kunc, Josef-JaÅˆurovÃ¡, Martina-KrajÃ­ÄkovÃ¡, Aneta-Tonev, Petr-TouÅ¡ek, VÃ¡clav</t>
  </si>
  <si>
    <t>Focus On: INSIDE / OUTSIDE</t>
  </si>
  <si>
    <t>StehlÃ­kovÃ¡, Hana-HorÃ¡Äek, Radek-KamenickÃ½, Petr-NedomovÃ¡, Jana-OvÄÃ¡ÄkovÃ¡, Jana</t>
  </si>
  <si>
    <t>13. mezinÃ¡rodnÃ­ vÄ›deckÃ¡ konference DidaktickÃ¡ konference 2019</t>
  </si>
  <si>
    <t>VÃ¡lek, Jan-MariniÄ, Peter</t>
  </si>
  <si>
    <t>Variabilita sinic v elektronovÃ©m mikroskopu</t>
  </si>
  <si>
    <t>Å marda, Jan</t>
  </si>
  <si>
    <t>XI. studentskÃ¡ vÄ›deckÃ¡ konference Katedry ÄeskÃ©ho jazyka a literatury</t>
  </si>
  <si>
    <t>Å½vakovÃ¡, KateÅ™ina-ZouharovÃ¡, PavlÃ­na-OÅ¡mera, Radim-TinkovÃ¡, Veronika-Å imkovÃ¡, VÄ›ra-Jindra, Miroslav-TesaÅ™ovÃ¡, KateÅ™ina-NovÃ¡kovÃ¡, Ester-PechnÃ­k, OndÅ™ej</t>
  </si>
  <si>
    <t>ProÄ Å¡kolstvÃ­ a jeho aktÃ©Å™i selhÃ¡vajÃ­</t>
  </si>
  <si>
    <t>Å Ã­p, Radim</t>
  </si>
  <si>
    <t>SpeciÃ¡lnÄ›pedagogickÃ¡ diagnostika somatopedickÃ¡</t>
  </si>
  <si>
    <t>OpatÅ™ilovÃ¡, Dagmar</t>
  </si>
  <si>
    <t>SomatopedickÃ© simulaÄnÃ­ techniky a intervence</t>
  </si>
  <si>
    <t>PÅ™Ã­leÅ¾itosti k rozvÃ­jenÃ­ autonomie Å¾Ã¡ka v hodinÃ¡ch anglickÃ©ho jazyka</t>
  </si>
  <si>
    <t>ChvÃ¡lovÃ¡, Marie</t>
  </si>
  <si>
    <t>NedÄ›lnÃ­ pedagogickÃ© krasoÅ™eÄi</t>
  </si>
  <si>
    <t>JanÃ­k, TomÃ¡Å¡</t>
  </si>
  <si>
    <t>SlovanskÃ½ literÃ¡rnÃ­ svÄ›t: kontexty a konfrontace IV</t>
  </si>
  <si>
    <t>DanielovÃ¡, Anna-DÄ…browska, Katarzyna-KrajanovÃ¡, KristÃ­na-MichÃ¡lkovÃ¡, SvÄ›tlana-PolednÃ­kovÃ¡, MarkÃ©ta-RadimÃ¡kovÃ¡, KristÃ­na-MarkoÅ¡, Martin-TollaroviÄ, Peter-OdehnalovÃ¡, Lenka</t>
  </si>
  <si>
    <t>Momentum. UmÄ›nÃ­ a kosmopolitnÃ­ modernita</t>
  </si>
  <si>
    <t>Szerszynski, Bronislaw-Urry, John-Beck, Ulrich-Grande, Edgar-Delanty, Gerard-KoÅ™Ã­nek, David-Macek, Petr-HorÃ¡kovÃ¡, Jana-Kreuzzieger, Milan</t>
  </si>
  <si>
    <t>Proceedings of the 11th International Conference on Kinanthropology</t>
  </si>
  <si>
    <t>SPORTS &amp; RECREATION / General</t>
  </si>
  <si>
    <t>ZvonaÅ™, Martin-SajdlovÃ¡, Zuzana</t>
  </si>
  <si>
    <t>SlovanskÃ½ literÃ¡rnÃ­ svÄ›t: kontexty a konfrontace III</t>
  </si>
  <si>
    <t>BujnÃ¡kovÃ¡, Jana-CepkovÃ¡, Zuzana-DerkovÃ¡, VladimÃ­ra-Eniko, Mateja-HeinigovÃ¡, Lenka-HrancovÃ¡, Hana-HroncovÃ¡, Ä½ubica-Lollok, Marek-MacsaliovÃ¡, Lenka-MarkoÅ¡, Martin-RusÅˆÃ¡kovÃ¡, Petra-SalhiovÃ¡, Martina-Å akovÃ¡, Jaroslava-Wolski, MichaÅ‚-Å½ikiÄ‡, Ana-PauÄovÃ¡, Lenka</t>
  </si>
  <si>
    <t>Didaktika matematiky se zamÄ›Å™enÃ­m na specifickÃ© poruchy uÄenÃ­</t>
  </si>
  <si>
    <t>Understanding Unconventional Medicine</t>
  </si>
  <si>
    <t>MEDICAL / Alternative &amp; Complementary Medicine</t>
  </si>
  <si>
    <t>SouÄek, Ivan-Hofreiter, Roman</t>
  </si>
  <si>
    <t>Foglar v nÃ¡s: ZÃ¡hada hlav a lomu</t>
  </si>
  <si>
    <t>EDUCATION / Non-Formal Education</t>
  </si>
  <si>
    <t>JirÃ¡sek, Ivo-NÄ›mec, JiÅ™Ã­-MackÅ¯, Richard</t>
  </si>
  <si>
    <t>Smooth and F-smooth Systems with Applications to Covariant Quantum Mechanics</t>
  </si>
  <si>
    <t>MATHEMATICS / Geometry / General</t>
  </si>
  <si>
    <t>JanyÅ¡ka, Josef-Modugno, Marco</t>
  </si>
  <si>
    <t>TransdisciplinÃ¡rnÃ­ didaktika: o uÄitelskÃ©m sdÃ­lenÃ­ znalostÃ­ a zvyÅ¡ovÃ¡nÃ­ kvality vÃ½uky napÅ™Ã­Ä obory</t>
  </si>
  <si>
    <t>SlavÃ­k, Jan-JanÃ­k, TomÃ¡Å¡-Najvar, Petr-Knecht, Petr</t>
  </si>
  <si>
    <t>Terminologies, Lexical Hierarchies and Other Configurations</t>
  </si>
  <si>
    <t>Vogel, Radek</t>
  </si>
  <si>
    <t>JÃ¡ z hvÄ›zd svou moudrost nevyÄetâ€¦</t>
  </si>
  <si>
    <t>LANGUAGE ARTS &amp; DISCIPLINES / Linguistics / Semantics</t>
  </si>
  <si>
    <t>JanÃ¡kovÃ¡, Martina-Kos, MatÄ›j-KoutskÃ¡, Michaela-KubecovÃ¡, Veronika-NahodilovÃ¡, Tereza-PetrekovÃ¡, Lucie-Syrota, Anastasia-Å aÅ¡alovÃ¡, Veronika-Å vihÃ¡lkovÃ¡, Å Ã¡rka-Trojan, OndÅ™ej-VrchlabskÃ½, Adam-JedliÄkovÃ¡, Alice-FedrovÃ¡, Stanislava</t>
  </si>
  <si>
    <t>Terminologia graeco-latina medica pro studijnÃ­ obor porodnÃ­ asistentka</t>
  </si>
  <si>
    <t>ArtimovÃ¡, Jozefa-PoÅ™Ã­zkovÃ¡, KateÅ™ina-Å vanda, Libor-DÃ¡vidovÃ¡, Eva</t>
  </si>
  <si>
    <t>Terminologia graeco-latina medica pro studijnÃ­ obory fyzioterapie a vÅ¡eobecnÃ¡ sestra</t>
  </si>
  <si>
    <t>Å vanda, Libor-PoÅ™Ã­zkovÃ¡, KateÅ™ina-ArtimovÃ¡, Jozefa-DÃ¡vidovÃ¡, Eva</t>
  </si>
  <si>
    <t>Metodika dlouhodobÃ©ho uklÃ¡dÃ¡nÃ­ a archivace digitÃ¡lnÃ­ch dokumentÅ¯</t>
  </si>
  <si>
    <t>COMPUTERS / Document Management</t>
  </si>
  <si>
    <t>Pichl, Marek-KÅ™ipaÄ, Miroslav-BrandejsovÃ¡, Jitka-ZemanovÃ¡, RÅ¯Å¾ena-Brandejs, Michal</t>
  </si>
  <si>
    <t>Praxe studijnÃ­ho programu UÄitelstvÃ­ pro mateÅ™skÃ© Å¡koly: metodickÃ¡ pÅ™Ã­ruÄka pro studenty</t>
  </si>
  <si>
    <t>SyslovÃ¡, Zora-Å tÄ›pÃ¡nkovÃ¡, Lucie-Jindra, Miroslav-KouÅ™ilovÃ¡, Iva-KÅ™Ã­Å¾ovÃ¡, Hana-MuÅ¾Ã­kovÃ¡, Leona-NovotnÃ¡, Pavla-StadlerovÃ¡, Hana-Taylor, Daniela</t>
  </si>
  <si>
    <t>Metodika prÃ¡ce s tÅ™Ã­dnÃ­m kolektivem v inkluzivnÃ­ tÅ™Ã­dÄ› se zamÄ›Å™enÃ­m na Å¾Ã¡ky se sluchovÃ½m postiÅ¾enÃ­m</t>
  </si>
  <si>
    <t>ByteÅ¡nÃ­kovÃ¡, Ilona-DoleÅ¾alovÃ¡, Lenka-HorÃ¡kovÃ¡, Radka</t>
  </si>
  <si>
    <t>65. studentskÃ¡ vÄ›deckÃ¡ konference</t>
  </si>
  <si>
    <t>VzdÄ›lÃ¡vÃ¡nÃ­ Å¾Ã¡kÅ¯ s AspergerovÃ½m syndromem v inkluzivnÃ­ tÅ™Ã­dÄ›</t>
  </si>
  <si>
    <t>BazalovÃ¡, Barbora</t>
  </si>
  <si>
    <t>Metodika prÃ¡ce s tÅ™Ã­dnÃ­m kolektivem v inkluzivnÃ­ tÅ™Ã­dÄ› se zamÄ›Å™enÃ­m na Å¾Ã¡ky s tÄ›lesnÃ½m postiÅ¾enÃ­m</t>
  </si>
  <si>
    <t>OpatÅ™ilovÃ¡, Dagmar-ZÃ¡meÄnÃ­kovÃ¡, Dana</t>
  </si>
  <si>
    <t>Proceedings of the 3rd International Conference on Business, Finance, Management and Economic (BizFAME 2024)</t>
  </si>
  <si>
    <t>Mohd Rizaimy Shaharudin-Azyyati Anuar-Preecha Wararatchai-Natpatsaya Setthachotsombut-Wissawa Aunyawong</t>
  </si>
  <si>
    <t>Proceedings of the International Conference of Tropical Agrifood Feed and Fuel 2024 (ICTAFF 2024)</t>
  </si>
  <si>
    <t>Krishna Purnawan Candra-Bernatal Saragih-Sulistyo Prabowo-Nurhasanah Nurhasanah-Traiphop Phahom</t>
  </si>
  <si>
    <t>TaymÄÊ¾ III: Catalogue of the Inscriptions in the TaymÄÊ¾ Museum and Other Collections</t>
  </si>
  <si>
    <t>Michael C.A. Macdonald-Muhammad al-Najem</t>
  </si>
  <si>
    <t>Textiles and War in Europe and the Mediterranean From Prehistory to Late Antiquity</t>
  </si>
  <si>
    <t>HISTORY / Ancient / Greece</t>
  </si>
  <si>
    <t>Liviu Mihail Iancu-Francesco Meo</t>
  </si>
  <si>
    <t>Offaâ€™s Dyke Journal: Volume 6 for 2024</t>
  </si>
  <si>
    <t>Howard Williams</t>
  </si>
  <si>
    <t>Documenting Activism, Creating Change</t>
  </si>
  <si>
    <t>Hannah Cobb-Kayt Hawkins</t>
  </si>
  <si>
    <t>Codename SICILYWAR: Archaeology, Museums, and Social Networks Under Threat in Sicily During World War II</t>
  </si>
  <si>
    <t>Antonino CrisÃ </t>
  </si>
  <si>
    <t>Gluten, alimentation et santÃ©</t>
  </si>
  <si>
    <t>HEALTH &amp; FITNESS / Allergies</t>
  </si>
  <si>
    <t>Marie-FranÃ§oise Samson-Dominique Desclaux</t>
  </si>
  <si>
    <t>Plays: The Critical EditionBy Theodore Dreiser</t>
  </si>
  <si>
    <t>Keith Newlin-Frederic E. Rusch-Jude Davies</t>
  </si>
  <si>
    <t>The Titan: The Critical EditionBy Theodore Dreiser</t>
  </si>
  <si>
    <t>FICTION / Classics</t>
  </si>
  <si>
    <t>Roark Mulligan</t>
  </si>
  <si>
    <t>Indo-European Ecologies: Cattle and Milk â€“ Snakes and Water</t>
  </si>
  <si>
    <t>Jenny H. Larsson-Thomas Olander-Anders Richardt JÃ¸rgensen</t>
  </si>
  <si>
    <t>Liikkuvat tekstit, liikkuvat naiset: Suomen, VenÃ¤jÃ¤n ja Neuvostoliiton kirjallisella kentÃ¤llÃ¤</t>
  </si>
  <si>
    <t>LITERARY CRITICISM / Women Authors</t>
  </si>
  <si>
    <t>Viola Parente-ÄŒapkovÃ¡-Arja Rosenholm-Kati Launis</t>
  </si>
  <si>
    <t>Muinais-DNA: Avain menneisyyteen</t>
  </si>
  <si>
    <t>Ulla Nordfors-Maj Meriluoto</t>
  </si>
  <si>
    <t>Sacred Callings: An Eventful Analysis of the Global Catholic Priesthood</t>
  </si>
  <si>
    <t>Helsinki University Press</t>
  </si>
  <si>
    <t>RELIGION / Christianity / Catholic / General</t>
  </si>
  <si>
    <t>Brian Conway</t>
  </si>
  <si>
    <t>Jeromeâ€™s Sources in His Translation of the Hebrew Bible</t>
  </si>
  <si>
    <t>RELIGION / Biblical Commentary / Old Testament / General</t>
  </si>
  <si>
    <t xml:space="preserve"> Paul Rodrigue</t>
  </si>
  <si>
    <t>The Ants</t>
  </si>
  <si>
    <t>POETRY / American / Asian American &amp; Pacific Islander</t>
  </si>
  <si>
    <t xml:space="preserve"> Sawako Nagayasu</t>
  </si>
  <si>
    <t>Redefining Management</t>
  </si>
  <si>
    <t>Ovidiu Nicolescu-Ciprian Nicolescu</t>
  </si>
  <si>
    <t>Reproducing Miracles</t>
  </si>
  <si>
    <t>LITERARY CRITICISM / Medieval</t>
  </si>
  <si>
    <t>Rogier Gerrits-Avi Liberman</t>
  </si>
  <si>
    <t>Interpreting Court Song in Uganda</t>
  </si>
  <si>
    <t>Boydell &amp; Brewer</t>
  </si>
  <si>
    <t>Damascus Kafumbe</t>
  </si>
  <si>
    <t>The Future of the Occupation of the Palestinian Territories After Gaza</t>
  </si>
  <si>
    <t>POLITICAL SCIENCE / World / Middle Eastern</t>
  </si>
  <si>
    <t>Erwin van Veen</t>
  </si>
  <si>
    <t>Rethinking Histories of Indonesia</t>
  </si>
  <si>
    <t>Sadiah Boonstra-Bronwyn Anne Beech Jones-Katharine McGregor-Ken M.P. Setiawan-Abdul Wahid</t>
  </si>
  <si>
    <t>Small Change in the Early Middle Ages</t>
  </si>
  <si>
    <t>Brepols Publishers</t>
  </si>
  <si>
    <t>Naismith, Rory (ED)</t>
  </si>
  <si>
    <t>Gendering the Nordic Past</t>
  </si>
  <si>
    <t>Pedersen, Unn (ED)-Moen, Marianne (ED)-Skogstrand, Lisbeth (ED)</t>
  </si>
  <si>
    <t>The Power of Words in Late Medieval Devotional and Mystical Writing</t>
  </si>
  <si>
    <t>RELIGION / Christian Living / Devotional</t>
  </si>
  <si>
    <t>Critten, Rory G. (ED)-Vuille, Juliette (ED)</t>
  </si>
  <si>
    <t>Medicine in the Medieval North Atlantic World</t>
  </si>
  <si>
    <t>MEDICAL / History</t>
  </si>
  <si>
    <t>Hayden, Deborah (ED)-Baccianti, Sarah (ED)</t>
  </si>
  <si>
    <t>Pacification and Reconciliation In the Spanish Habsburg Worlds</t>
  </si>
  <si>
    <t>Soen, Violet (ED)-Junot, Yves (ED)</t>
  </si>
  <si>
    <t>Reconsidering Consent and Coercion</t>
  </si>
  <si>
    <t>Bonsall, Jane (ED)-Piercy, Hannah (ED)</t>
  </si>
  <si>
    <t>Notions of Privacy in Early Modern Correspondence</t>
  </si>
  <si>
    <t>Green, Michael (ED)-NÃ¸rgaard, Lars Cyril (ED)</t>
  </si>
  <si>
    <t>Guests, Strangers, Aliens, Enemies</t>
  </si>
  <si>
    <t>Jezierski, Wojtek (ED)-Kjaer, Lars (ED)</t>
  </si>
  <si>
    <t>Recycling Institutions</t>
  </si>
  <si>
    <t>LetÃ­cia Antunes Nogueira-HÃ¥kan T. Sandersen-Brigt Dale</t>
  </si>
  <si>
    <t>Decommissioning Aging Installations and Declining Technologies</t>
  </si>
  <si>
    <t>BUSINESS &amp; ECONOMICS / Industrial Management</t>
  </si>
  <si>
    <t>Mathilde Bourrier</t>
  </si>
  <si>
    <t>Stadt â€“ Land â€“ Boden</t>
  </si>
  <si>
    <t>Isabel Feichtner-Susanne Heeg-Anne Klingenmeier-Gesine Langlotz-Katja Schubel</t>
  </si>
  <si>
    <t>Demenz und Partizipation</t>
  </si>
  <si>
    <t>PHILOSOPHY / Hermeneutics</t>
  </si>
  <si>
    <t>Reimer Gronemeyer-Gabriele Kreutzner-Jonas Metzger-Oliver Schultz</t>
  </si>
  <si>
    <t>Die intelligente TÃ¤uschung</t>
  </si>
  <si>
    <t>Frank JÃ¤kel</t>
  </si>
  <si>
    <t>Deutschland mit 89 Millionen Menschen?</t>
  </si>
  <si>
    <t>Peter Jakubowski-Robert Kaltenbrunner</t>
  </si>
  <si>
    <t>Trust Issues!? â€“ Vertrauen in modernen Gesellschaften</t>
  </si>
  <si>
    <t>Philipp Sandermann-Vanessa Schwenker</t>
  </si>
  <si>
    <t>Explorations in Digital Interculturality</t>
  </si>
  <si>
    <t>Milene Oliveira-Luisa Conti</t>
  </si>
  <si>
    <t>Women in Science</t>
  </si>
  <si>
    <t>SOCIAL SCIENCE / Women"s Studies</t>
  </si>
  <si>
    <t>Annalisa De Cia-Sara HellmÃ¼ller-Elizabeth Mesok</t>
  </si>
  <si>
    <t>Kulturelles GedÃ¤chtnis und Literatur</t>
  </si>
  <si>
    <t>Nesrin TanÃ§</t>
  </si>
  <si>
    <t>Ã–sterreichs NeutralitÃ¤t</t>
  </si>
  <si>
    <t>Martin Senn-Jodok Troy</t>
  </si>
  <si>
    <t>Images and Objects of Russia's War Against Ukraine</t>
  </si>
  <si>
    <t xml:space="preserve">POLITICAL SCIENCE / Public Policy / Military Policy </t>
  </si>
  <si>
    <t>Natasha Klimenko-MiglÄ— BareikytÄ—</t>
  </si>
  <si>
    <t>Sentimental State(s)</t>
  </si>
  <si>
    <t>POLITICAL SCIENCE / Constitutions</t>
  </si>
  <si>
    <t>Heike Paul-Sarah Pritz</t>
  </si>
  <si>
    <t>Ethnographie und MusikpÃ¤dagogik</t>
  </si>
  <si>
    <t>Nazfar Hadji-Jan Jachmann-Andrea Welte</t>
  </si>
  <si>
    <t>Flucht, Ankommen und sozialer Wandel</t>
  </si>
  <si>
    <t>Birgit Glorius</t>
  </si>
  <si>
    <t>Imagination und BewÃ¤ltigung kollektiver ZukÃ¼nfte</t>
  </si>
  <si>
    <t>Swetlana Fork</t>
  </si>
  <si>
    <t>Inequality and Mobility</t>
  </si>
  <si>
    <t>JÃ¶rg Gertel-Katharina GrÃ¼neisl</t>
  </si>
  <si>
    <t>Duisburg â€“ Transitionen (in) einer Stadt</t>
  </si>
  <si>
    <t>Helen Baykara-Krumme-Katrin Maike Rinaldi-Anette SchÃ¶nborn</t>
  </si>
  <si>
    <t>ZeitgenÃ¶ssische Autor:innenlesungen</t>
  </si>
  <si>
    <t>Lena VÃ¶cklinghaus</t>
  </si>
  <si>
    <t>Gewerkschaften und ostdeutsche Transformation</t>
  </si>
  <si>
    <t>Detlev Brunner-Michaela Kuhnhenne</t>
  </si>
  <si>
    <t>Sexuality, Family Planning, and Reproduction</t>
  </si>
  <si>
    <t>Fritz Dross-Birgit Nemec-Igor KÄ…kolewski</t>
  </si>
  <si>
    <t>Landschaftsgerechtigkeit</t>
  </si>
  <si>
    <t>Ludger Gailing-Luisa Geldbach-Markus Leibenath-Henk Wiechers-Julia Zscherneck</t>
  </si>
  <si>
    <t>Antisemitismus in der Kindheit</t>
  </si>
  <si>
    <t>SOCIAL SCIENCE / Jewish Studies</t>
  </si>
  <si>
    <t>Janne Braband-Saba-Nur Cheema-Yasmine Goldhorn-Karen KÃ¶rber-Anna KÃ¶rs-Susanna Kunze-Benjamin Rensch-Kruse</t>
  </si>
  <si>
    <t>Inglorious Artists</t>
  </si>
  <si>
    <t>Rutgers University Press</t>
  </si>
  <si>
    <t>Kathryn Desplanque</t>
  </si>
  <si>
    <t>City of Capital and Labour</t>
  </si>
  <si>
    <t xml:space="preserve"> Tom Saunders</t>
  </si>
  <si>
    <t>Magic Misoprostol</t>
  </si>
  <si>
    <t>POLITICAL SCIENCE / World / Caribbean &amp; Latin American</t>
  </si>
  <si>
    <t>Cordelia Freeman</t>
  </si>
  <si>
    <t>Screening Precarity</t>
  </si>
  <si>
    <t>Megha Anwer-Anupama Arora</t>
  </si>
  <si>
    <t>The Banyamulenge Soldier</t>
  </si>
  <si>
    <t>Christopher P. Davey</t>
  </si>
  <si>
    <t>Light of the Everlasting Life</t>
  </si>
  <si>
    <t>Leah Pope Parker</t>
  </si>
  <si>
    <t>Broken Record</t>
  </si>
  <si>
    <t>Michael S. Lynch-Anthony J. Madonna-Michael Steven Lynch-Anthony Joseph Madonna</t>
  </si>
  <si>
    <t>Waves of Discontent</t>
  </si>
  <si>
    <t>Jacob F. H. Smith</t>
  </si>
  <si>
    <t>Proceedings of the 3rd International Conference on Social Sciences, Economics, Management and Education-workshop on Social Sciences and Education (SSEME-SSE 2025)</t>
  </si>
  <si>
    <t>Holger Mathias Briel</t>
  </si>
  <si>
    <t>Treated Like a Child</t>
  </si>
  <si>
    <t>Aoife Daly-Pernilla Leviner-Rebecca Thorburn Stern</t>
  </si>
  <si>
    <t>When Jesus Rose Early</t>
  </si>
  <si>
    <t>RELIGION / Christianity / General</t>
  </si>
  <si>
    <t>Mina Monier</t>
  </si>
  <si>
    <t>Virtual and Real-Life Spaces of Jewish Europe in the 21st Century</t>
  </si>
  <si>
    <t>Maja Hultman-Joachim SchlÃ¶r</t>
  </si>
  <si>
    <t>KulturkÃ¤mpfe als SprachkÃ¤mpfe?</t>
  </si>
  <si>
    <t>Sven Bloching</t>
  </si>
  <si>
    <t>Urban Life in Delhi Slums</t>
  </si>
  <si>
    <t>Pauline Dixon-Steve Humble</t>
  </si>
  <si>
    <t>International Perspectives on Science, Culture, and Belief</t>
  </si>
  <si>
    <t>Fern Elsdon-Baker-Stephen H. Jones-James Riley</t>
  </si>
  <si>
    <t>Australian Student Mobility to the Indo-Pacific Through the New Colombo Plan</t>
  </si>
  <si>
    <t>EDUCATION / Student Life &amp; Student Affairs</t>
  </si>
  <si>
    <t>Ly Thi Tran-Huyen Bui-Diep Thi Bich Nguyen</t>
  </si>
  <si>
    <t>The Co-evolution of Technology and Warfare</t>
  </si>
  <si>
    <t>Tracey German-Fotios Moustakis-Andrew N. Liaropoulos</t>
  </si>
  <si>
    <t>Inductive Metaphysics</t>
  </si>
  <si>
    <t>Andreas HÃ¼ttemann-Gerhard Schurz</t>
  </si>
  <si>
    <t>Feminist Climate Policy in Industrialised States</t>
  </si>
  <si>
    <t>Susan Buckingham-Martin Hultman-Gunnhildur Lily Magnusdottir-Karen Morrow</t>
  </si>
  <si>
    <t>Climate Change, Population Health and Island States</t>
  </si>
  <si>
    <t>Janaka Jayawickrama-Arnab Chakraborty-Yong-an Zhang</t>
  </si>
  <si>
    <t>Proceedings of the 2025 5th International Conference on Enterprise Management and Economic Development (ICEMED 2025)</t>
  </si>
  <si>
    <t>Prasad Siba Borah-Norhayati Zakuan-Nazimah Hussin-Azlina Binti Md Yassin</t>
  </si>
  <si>
    <t>Early Modern Nautical Charts of the Adriatic Sea</t>
  </si>
  <si>
    <t>Josip FariÄiÄ‡-Tome MareliÄ‡</t>
  </si>
  <si>
    <t>ÃœbersetzungsrÃ¤ume â€“ RaumÃ¼bersetzungen / Translation Spaces â€“ Spaces in Translation</t>
  </si>
  <si>
    <t>JÃ¶rg Wesche-Regina Toepfer-Peter Burschel-Annkathrin Koppers</t>
  </si>
  <si>
    <t>Europe and Its Others</t>
  </si>
  <si>
    <t>Iva Dodevska</t>
  </si>
  <si>
    <t>Fast Facts: Dravet Syndrome</t>
  </si>
  <si>
    <t>Sanjay M., Sisodiya-Elaine C., Wirrell-Lisa M., Clayton</t>
  </si>
  <si>
    <t>Neighbor-Homes</t>
  </si>
  <si>
    <t>Megan Jeanette Myers</t>
  </si>
  <si>
    <t>Damage and Failure of Rock Triggered by Dynamic Disturbance</t>
  </si>
  <si>
    <t>TECHNOLOGY &amp; ENGINEERING / Civil / Soil &amp; Rock</t>
  </si>
  <si>
    <t>Xu Chen</t>
  </si>
  <si>
    <t>Enacting Citizenship</t>
  </si>
  <si>
    <t>Wendelmoet Hamelink-Joanna BocheÅ„ska-DobrosÅ‚awa Wiktor-Mach-Karol Kaczorowski-Hayal HanoÄŸlu</t>
  </si>
  <si>
    <t>A Liveable Kampung</t>
  </si>
  <si>
    <t>Melani Budianta-Manneke Budiman-Kathrin Oester Znoj</t>
  </si>
  <si>
    <t>Ink and Land</t>
  </si>
  <si>
    <t>Willem Church</t>
  </si>
  <si>
    <t>The Poet As Experiencer</t>
  </si>
  <si>
    <t xml:space="preserve"> Adam Staley Groves</t>
  </si>
  <si>
    <t>Proceedings of the 2025 4th International Conference on Art Design and Digital Technology (ADDT 2025)</t>
  </si>
  <si>
    <t>Kim Chulsoo-Peera Phanlukthao-Zhihua Xu-Stefano Follesa</t>
  </si>
  <si>
    <t>Proceedings of the International Symposium on Sustainable Drug Design and Nanoparticle Development: Quantum and Computational Perspectives (SDDNDQCP 2025)</t>
  </si>
  <si>
    <t>Harekrishna Roy-Pamula Reddy Bhavanam-Shaik Faizan Ali</t>
  </si>
  <si>
    <t>Nanosafety</t>
  </si>
  <si>
    <t>MEDICAL / Research</t>
  </si>
  <si>
    <t>Ernesto Alfaro-Moreno-Fiona Murphy</t>
  </si>
  <si>
    <t>Children As Social Butterflies</t>
  </si>
  <si>
    <t>Ursina Jaeger</t>
  </si>
  <si>
    <t>Malaika and the Seven Heavens</t>
  </si>
  <si>
    <t>Toyin Omoyeni Falola</t>
  </si>
  <si>
    <t>â€žIn ChÃ¶ren gegenwÃ¤rtigâ€œ</t>
  </si>
  <si>
    <t>Nina Janz</t>
  </si>
  <si>
    <t>The Language of Othering in a Diverse Europe</t>
  </si>
  <si>
    <t>LANGUAGE ARTS &amp; DISCIPLINES / Linguistics / Psycholinguistics / General</t>
  </si>
  <si>
    <t>Marta Falkowska-Jadwiga Linde-Usiekniewicz</t>
  </si>
  <si>
    <t>Western Austronesian Applicative Constructions</t>
  </si>
  <si>
    <t>Christina L. Truong</t>
  </si>
  <si>
    <t>Social Thought From the Ruins</t>
  </si>
  <si>
    <t>David A. Westbrook</t>
  </si>
  <si>
    <t>Finding God in All the Black Places</t>
  </si>
  <si>
    <t>Beretta E. Smith-Shomade</t>
  </si>
  <si>
    <t>Undocumented in the U.S. South</t>
  </si>
  <si>
    <t>Sophia Rodriguez</t>
  </si>
  <si>
    <t>Unsettling Sexuality</t>
  </si>
  <si>
    <t>Jeremy Chow-Shelby Johnson</t>
  </si>
  <si>
    <t>Marie Neurath and Isotype Picturebooks</t>
  </si>
  <si>
    <t>Susanne Blumesberger-Bettina KÃ¼mmerling-Meibauer-JÃ¶rg Meibauer</t>
  </si>
  <si>
    <t>Polemische AufklÃ¤rung</t>
  </si>
  <si>
    <t>Demian Berger</t>
  </si>
  <si>
    <t>Johann Heinrich Gottlob von Justi (1717â€“1771)</t>
  </si>
  <si>
    <t>PHILOSOPHY / History &amp; Surveys / Modern</t>
  </si>
  <si>
    <t>Ere Nokkala-Gideon Stiening</t>
  </si>
  <si>
    <t>Ibn Ç¦ubayr und die Almohaden</t>
  </si>
  <si>
    <t>Nadine El-Hussein</t>
  </si>
  <si>
    <t>Vernunftrecht und Verdinglichung</t>
  </si>
  <si>
    <t>Martin Brecher</t>
  </si>
  <si>
    <t>Proceedings of the Thirteenth International Conference on Entrepreneurship and Business Management UNTAR 2024 (ICEBM 2024)</t>
  </si>
  <si>
    <t>Keni Keni-Teoh Ai Ping-Linda Lin-Chin Lin</t>
  </si>
  <si>
    <t>GNSS Real-Time Kinematic Positioning</t>
  </si>
  <si>
    <t>TECHNOLOGY &amp; ENGINEERING / Signals &amp; Signal Processing</t>
  </si>
  <si>
    <t>Bofeng Li-Zhetao Zhang-Weikai Miao</t>
  </si>
  <si>
    <t>Proceedings of the 2nd International Conference on Innovation and Regenerative Trends in Tourism and Hospitality Industry (IRTTHI 2025)</t>
  </si>
  <si>
    <t>Manish Sharma-Ajit Kumar Singh-Pankaj Tyagi</t>
  </si>
  <si>
    <t>Actions for Gender Balance in Informatics Across Europe</t>
  </si>
  <si>
    <t>Birgit Penzenstadler-Karima Boudaoud-Antinisca Di Marco-Sonay Caner-YÃ„Â±ldÃ„Â±rÃ„Â±m</t>
  </si>
  <si>
    <t>Gendered Reputations and Aristocratic Partnership</t>
  </si>
  <si>
    <t>Erika Graham-Goering</t>
  </si>
  <si>
    <t>Ãœbersetzte Welten</t>
  </si>
  <si>
    <t>Marie-Christine Boucher</t>
  </si>
  <si>
    <t>Digital Warfare</t>
  </si>
  <si>
    <t>Nadia Zasanska-Nadiya Ivanenko</t>
  </si>
  <si>
    <t>Die soziale PrÃ¤senz der Toten</t>
  </si>
  <si>
    <t>Manuel Stetter</t>
  </si>
  <si>
    <t>Jenseits der Deiche â€“ Die internationale Vielfalt der Interkulturellen Germanistik</t>
  </si>
  <si>
    <t>Ewout van der Knaap</t>
  </si>
  <si>
    <t>Maja Haderlap â€“ Eine raumbezogene Poetik der Sprachlichkeit</t>
  </si>
  <si>
    <t>Jacqueline Gutjahr</t>
  </si>
  <si>
    <t>Institution â€“ Wissen â€“ Migration</t>
  </si>
  <si>
    <t>Katharina Schitow</t>
  </si>
  <si>
    <t>Grundlagen der Architekturtheorie I</t>
  </si>
  <si>
    <t>JÃ¶rg H. Gleiter</t>
  </si>
  <si>
    <t>Spiegel, Spiel und Gabe</t>
  </si>
  <si>
    <t>Ingmar Zalewski</t>
  </si>
  <si>
    <t>Konfessionalisierung im Irak</t>
  </si>
  <si>
    <t>POLITICAL SCIENCE / American Government / General</t>
  </si>
  <si>
    <t>Christian Wyler</t>
  </si>
  <si>
    <t>KÃ¤mpfe um Transformation</t>
  </si>
  <si>
    <t>Graduiertenkolleg Â»Krise und sozial-Ã¶kologische TransformationÂ«</t>
  </si>
  <si>
    <t>Romanistisch, politisch?</t>
  </si>
  <si>
    <t>JosÃ© Manuel Blanco Mayor-Julia Dettke-Joris Lehnert</t>
  </si>
  <si>
    <t>Partizipation nach der Flucht</t>
  </si>
  <si>
    <t>Maria Ullrich</t>
  </si>
  <si>
    <t>The Vatican to Vegas</t>
  </si>
  <si>
    <t>Norman M. Klein</t>
  </si>
  <si>
    <t>Das Materielle in SchÃ¶pfung und Inkarnation</t>
  </si>
  <si>
    <t>Franca Spies</t>
  </si>
  <si>
    <t>TÃ¶ten zeigen</t>
  </si>
  <si>
    <t>Julia Willms</t>
  </si>
  <si>
    <t>Logistical Chokepoints, Precarious Work, and Social Reproduction</t>
  </si>
  <si>
    <t>HISTORY / Americas (North, Central, South, West Indies)</t>
  </si>
  <si>
    <t>Anne Engelhardt</t>
  </si>
  <si>
    <t>Data Visualization with Category Theory and Geometry</t>
  </si>
  <si>
    <t>Lukas Silvester Barth-Hannaneh Fahimi-Parvaneh Joharinad-JÃƒÂ¼rgen Jost-Janis Keck</t>
  </si>
  <si>
    <t>Under Pressure?</t>
  </si>
  <si>
    <t>Marcel BradtmÃ¶ller-Sonja B. Grimm-Astrid J. Nyland-Noa Lavi</t>
  </si>
  <si>
    <t>Doctoral Education in Context: Perspectives from Africa</t>
  </si>
  <si>
    <t xml:space="preserve"> Jan Botha-Liezel Frick-Nompilo Tshuma</t>
  </si>
  <si>
    <t>Proceedings of the First International Conference on Artificial Intelligence, Smart Technologies and Communications (AISTC 2025)</t>
  </si>
  <si>
    <t>Mourad Loukam-Rachid Bechar-Mohammed Benali-Mahamed Abdelmadjid Allali</t>
  </si>
  <si>
    <t>Proceedings of the 2nd International Conference on Administrative Science (ICAS 2024)</t>
  </si>
  <si>
    <t>Ahmad Yani Andi-Ismail Nuralamsyah</t>
  </si>
  <si>
    <t>Die EuropÃ¤isierung der Ã¶ffentlichen Rechnungslegung</t>
  </si>
  <si>
    <t>BUSINESS &amp; ECONOMICS / Accounting / Financial</t>
  </si>
  <si>
    <t>Maximilian VÃ¶lkl</t>
  </si>
  <si>
    <t>From the Past to the Future: 300 Years of SÃ¡mi Reindeer Herding Knowledge</t>
  </si>
  <si>
    <t>Inger Marie G. Eira-Anders Oskal-Svein Disch Mathiesen-Marina Tonkopeeva</t>
  </si>
  <si>
    <t>Spatial Methods in Transdisciplinarity for Urban Sustainability</t>
  </si>
  <si>
    <t>Fraya Frehse-Angela Million-Ignacio Castillo Ulloa</t>
  </si>
  <si>
    <t>Urban Migrant Inclusion and Refugee Protection - Volume 1</t>
  </si>
  <si>
    <t>Harald Bauder-Mary Boatemaa Setrana</t>
  </si>
  <si>
    <t>Urban Migrant Inclusion and Refugee Protection - Volume 2</t>
  </si>
  <si>
    <t>The Ethnographic Case</t>
  </si>
  <si>
    <t xml:space="preserve"> Emily Yates-Doerr-Christine Labuski</t>
  </si>
  <si>
    <t>Sounding the Bookshelf 1501</t>
  </si>
  <si>
    <t xml:space="preserve"> Tim Shephard-Oliver Doyle-Ciara Oâ€™Flaherty-Annabelle Page-Laura ÅžtefÄƒnescu</t>
  </si>
  <si>
    <t>Exposure Assessment and Health Effects Due to Ionizing and Non-Ionizing Radiation</t>
  </si>
  <si>
    <t>Phoka Caiphus Rathebe</t>
  </si>
  <si>
    <t>Energy Production, Load and Battery Management Framework with Supporting Methods for Smart Microgrids</t>
  </si>
  <si>
    <t>COMPUTERS / Embedded Computer Systems</t>
  </si>
  <si>
    <t>Francky Catthoor-Ittetsu Taniguchi-Pavlos S. Georgilakis-Dafang Zhao-Dimitrios Soudris</t>
  </si>
  <si>
    <t>New Drivers of Division</t>
  </si>
  <si>
    <t>Ya Ping Wang-Keith Kintrea-David Everatt-Debolina Kundu</t>
  </si>
  <si>
    <t>Richard von KÃ¼hlmann</t>
  </si>
  <si>
    <t>Markus BuÃŸmann-Winfried Baumgart</t>
  </si>
  <si>
    <t>Heritage at Risk</t>
  </si>
  <si>
    <t>ARCHITECTURE / Historic Preservation / General</t>
  </si>
  <si>
    <t>Marcello Balzani-Federica Maietti-Fabiana Raco</t>
  </si>
  <si>
    <t>Multiphase Flows in Deformable Geomaterials</t>
  </si>
  <si>
    <t>Xiaohui Chen-Manhui Wang</t>
  </si>
  <si>
    <t>Freedom of Religion, Minority Rights and the Law</t>
  </si>
  <si>
    <t>Aleksandra GliszczyÅ„ska-Grabias-Aviad Hacohen</t>
  </si>
  <si>
    <t>Digital Media and the Daily Lives of Chinaâ€™s Senior Citizens</t>
  </si>
  <si>
    <t>Chen Guo</t>
  </si>
  <si>
    <t>Afterimages of Apartheid</t>
  </si>
  <si>
    <t>Kylie Thomas</t>
  </si>
  <si>
    <t>Artificial Historians</t>
  </si>
  <si>
    <t>Marnie Hughes-Warrington-Anne Martin-Lewis Yarlupurka O'Brien</t>
  </si>
  <si>
    <t>Spatial Conflicts and Conflictual Spaces</t>
  </si>
  <si>
    <t>Hubert Knoblauch-Vivien Sommer-Barbara Pfetsch</t>
  </si>
  <si>
    <t>The Many Faces of Christianism</t>
  </si>
  <si>
    <t>RELIGION / Christian Theology / General</t>
  </si>
  <si>
    <t>Marietta van der Tol-Sophia Johnson-Petr KratochvÃ­l-Zoran Grozdanov</t>
  </si>
  <si>
    <t>Religious and Non-Religious Narratives on Migration</t>
  </si>
  <si>
    <t>Regina Polak-AybiÃ§e Tosun-Ansgar JÃ¶dicke</t>
  </si>
  <si>
    <t>Oblivionism</t>
  </si>
  <si>
    <t>Oliver Dimbath</t>
  </si>
  <si>
    <t>50 Jahre Wilhelm Fink Verlag</t>
  </si>
  <si>
    <t>Henning Siekmann</t>
  </si>
  <si>
    <t>Poetiken des KÃ¼nstlich Intelligenten in Multi-Channel-Filminstallationen</t>
  </si>
  <si>
    <t>Gwendolin Kaesdorf</t>
  </si>
  <si>
    <t>Black(ness) in German African Studies</t>
  </si>
  <si>
    <t>Stephanie LÃ¤mmert-Serawit Bekele Debele</t>
  </si>
  <si>
    <t>Die MÃ¤rchen aus dem Nachlass Franz Xaver SchÃ¶nwerths</t>
  </si>
  <si>
    <t>Silvie Lang</t>
  </si>
  <si>
    <t>Rechtsgutsverletzungen durch KI-Systeme im Spiegel der Funktion des Strafrechts</t>
  </si>
  <si>
    <t>Nicolai Preetz</t>
  </si>
  <si>
    <t>MultilingualitÃ¤t in der Stadt</t>
  </si>
  <si>
    <t>Stefaniya Ptashnyk</t>
  </si>
  <si>
    <t>The Destruction of Jerusalem in Nineteenth-Century German Culture</t>
  </si>
  <si>
    <t>Axel StÃ¤hler</t>
  </si>
  <si>
    <t>Public History in Global Perspective</t>
  </si>
  <si>
    <t>Georgina Laragy-Richard Legay-Ciaran Oâ€™Neill-Hannah K. Smyth</t>
  </si>
  <si>
    <t>Naiá¹‡Ä« MÄtÄ â€“ Cobra Mum</t>
  </si>
  <si>
    <t>PSYCHOLOGY / Emotions</t>
  </si>
  <si>
    <t>Gerrit Lange</t>
  </si>
  <si>
    <t>Out of the USSR</t>
  </si>
  <si>
    <t>Eva Hausbacher-Viola Parente-ÄŒapkovÃ¡-Arja Rosenholm-Marja Anneli Sorvari</t>
  </si>
  <si>
    <t>Narrative and Cognition in Literature and Science</t>
  </si>
  <si>
    <t>Michael Sinding-Aura Heydenreich-Klaus Mecke</t>
  </si>
  <si>
    <t>Korrigieren â€“ eine Kulturtechnik</t>
  </si>
  <si>
    <t>Iuditha Balint-Janneke Eggert</t>
  </si>
  <si>
    <t>Proceedings of the 5th International Conference on Internet, Education and Information Technology (IEIT 2025)</t>
  </si>
  <si>
    <t>Hemachandran Kannan-Ouahmiche Ghania-Intakhab Alam Khan-Abdul Samad bin Shibghatullah</t>
  </si>
  <si>
    <t>Adapting to Climate Change in Modern Policing</t>
  </si>
  <si>
    <t>Anna Matczak</t>
  </si>
  <si>
    <t>Feiernd lernen in Ritualen</t>
  </si>
  <si>
    <t>Damian Jakob Lienhart</t>
  </si>
  <si>
    <t>Deinstitutionalisation and Later Developments in the Lives of Persons with Intellectual Disabilities</t>
  </si>
  <si>
    <t>Jan TÃ¸ssebro-Anders Gustavsson</t>
  </si>
  <si>
    <t>Utopia in the Factory</t>
  </si>
  <si>
    <t>Rhiannon Firth-John Preston</t>
  </si>
  <si>
    <t>Radicalising the Mainstream in Western Europe</t>
  </si>
  <si>
    <t>Liriam Sponholz-Anna-Maria Meuth-Mirjam Weiberg-Sabrina Zajak-Stefan Berger</t>
  </si>
  <si>
    <t>Nachhaltige Kunststoffverpackungen aus Post Consumer-Rezyklaten</t>
  </si>
  <si>
    <t>TECHNOLOGY &amp; ENGINEERING / Industrial Engineering</t>
  </si>
  <si>
    <t>Rainer Dahlmann-Christian Hopmann</t>
  </si>
  <si>
    <t>Macro Social Influences on Loneliness in Later Life</t>
  </si>
  <si>
    <t>Marja Aartsen-Iuliana Precupetu-Bianca Suanet</t>
  </si>
  <si>
    <t>Habitable Future</t>
  </si>
  <si>
    <t>Tiziana Ferrante-Marco Sacco</t>
  </si>
  <si>
    <t>Maimonides Review of Philosophy and Religion Volume 4, 2025</t>
  </si>
  <si>
    <t>Michela Torbidoni</t>
  </si>
  <si>
    <t>Des sÃ©pultures aux sociÃ©tÃ©s : InÃ©galitÃ©s Ã©conomiques et hiÃ©rarchies dans la plaine dâ€™Alsace au NÃ©olithique ancien et moyen (5 300 Ã  4 000 av. n. Ã¨.)</t>
  </si>
  <si>
    <t>Laura Waldvogel</t>
  </si>
  <si>
    <t>Proceedings of the 2025 4th International Conference on Science Education and Art Appreciation (SEAA 2025)</t>
  </si>
  <si>
    <t>A. Y. M. Atiquil Islam-Dina M. Elshenawi-Nahed Rajaa Ghlamallah-Bootheina Majoul</t>
  </si>
  <si>
    <t>Proceedings of the 9th Terengganu International Business and Economics Conference 2025 (TiBEC IX 2025)</t>
  </si>
  <si>
    <t>Nur Azwani Mohamad Azmin-Nurmuslimah Kamilah Abdullah-Siti Fatimah Mardiah Hamzah-Suzila Mat Salleh-Rabiatul Adawiyah Ma'arof</t>
  </si>
  <si>
    <t>Engineering Research Infrastructures for European Synergies</t>
  </si>
  <si>
    <t>Gerard J. Oâ€™Reilly-Gian Michele Calvi</t>
  </si>
  <si>
    <t>Management, Technology and Sport</t>
  </si>
  <si>
    <t>SPORTS &amp; RECREATION / Equipment &amp; Supplies</t>
  </si>
  <si>
    <t>Vyroubal, Martin-PotuÅ¾nÃ­k, JiÅ™Ã­-Mihola, JiÅ™Ã­-Å paÄek, Edvard-Å paÄek, JiÅ™Ã­-NavrÃ¡til, JiÅ™Ã­-ZimovÃ¡, Denisa-Zachar, Å tefan-Kostrec, Matej-PavlovÃ¡, Ilona-Pavljuk, Michal-Kadlec, Jakub-Å tÄ›droÅˆ, Jakub-Å ulc, VladimÃ­r-BlaÅ¾ek, JiÅ™Ã­-Moll, Ivo-NeÄas, Miroslav-Å tÄ›droÅˆ, BohumÃ­r-KozÃ¡Äek, LukÃ¡Å¡</t>
  </si>
  <si>
    <t>TomÃ¡Å¡kovy dny 2023</t>
  </si>
  <si>
    <t>KleknerovÃ¡, Dominika</t>
  </si>
  <si>
    <t>Life in Health 2021: Research and Practice</t>
  </si>
  <si>
    <t>Å tverÃ¡kovÃ¡, Tereza-JaÄisko, Jakub-Busch, Andrew-Å afÃ¡Å™ovÃ¡, Marcela-KolÃ¡Å™, Pavel-KobesovÃ¡, Alena-KachlÃ­k, Petr-HÅ™ivnovÃ¡, Michaela-SlanÃ¡, Jitka-SofkovÃ¡, Tereza-CichÃ¡, Martina-MarciÃ¡novÃ¡, Vladislava-VÃ¡lkovÃ¡, Hana-JanÃ­kovÃ¡, Marcela-HamplovÃ¡, Lidmila-JexovÃ¡, SoÅˆa-PiÅ¡ovÃ¡, Veronika-HulinskÃ½, Petr-VlÄek, Petr-VaÅ¡Ã­ÄkovÃ¡, Jana-Bailey, Richard-Å imÄÃ­kovÃ¡, Tereza-MuÅ¾Ã­kovÃ¡, Leona-PoÅ¾Ã¡rovÃ¡, MarkÃ©ta-ProkopovÃ¡, Alice-VaÅ™ekovÃ¡, Jitka-KÅ™ivÃ¡nkovÃ¡, MarkÃ©ta-NovÃ¡kovÃ¡, PavlÃ­na-ProkeÅ¡ovÃ¡, Eva-DaÄovÃ¡, KlÃ¡ra-MarÃ¡dovÃ¡, Eva-KovaÅ™Ã­kovÃ¡, Miroslava-Å lechtovÃ¡, Pavla</t>
  </si>
  <si>
    <t>StabilnoÅ›Ä‡ gospodarki w monetarnym modelu wzrostu typu Keynesaâ€“Metzleraâ€“Goodwina</t>
  </si>
  <si>
    <t>Poznan University of Economics &amp; Business</t>
  </si>
  <si>
    <t>Damian SoÅ‚tysiak</t>
  </si>
  <si>
    <t>NarzÄ™dzia kontrolingu wspomagajÄ…ce zarzÄ…dzanie ryzykiem naduÅ¼yÄ‡ pracowniczych</t>
  </si>
  <si>
    <t>BUSINESS &amp; ECONOMICS / Workplace Harassment &amp; Discrimination</t>
  </si>
  <si>
    <t>Paulina ÅšmiaÅ‚ek-LiszczyÅ„ska</t>
  </si>
  <si>
    <t>Proceedings of the 9th International Conference on Accounting, Management, and Economics 2024 (ICAME 2024)</t>
  </si>
  <si>
    <t>Mursalim Nohong-Fitra Roman Cahaya-Phung Minh Tuan-Arifuddin Mannan-Anas Iswanto Anwar</t>
  </si>
  <si>
    <t>Automated Deduction â€“ CADE 30</t>
  </si>
  <si>
    <t>Clark Barrett-Uwe Waldmann</t>
  </si>
  <si>
    <t>Characters in Film and Other Media</t>
  </si>
  <si>
    <t>SOCIAL SCIENCE / Research</t>
  </si>
  <si>
    <t xml:space="preserve"> Jens Eder</t>
  </si>
  <si>
    <t>Using the Delphi Method to Establish Expert Consensus</t>
  </si>
  <si>
    <t>Anthony Jorm</t>
  </si>
  <si>
    <t>Das philosophische Potenzial von Fabeln</t>
  </si>
  <si>
    <t>Esther Seibert</t>
  </si>
  <si>
    <t>Redefining Spiritual Spaces in the Age of Technology</t>
  </si>
  <si>
    <t>Stacey K. Guenther-Xiaoan Li-Michelle A. Scheidt</t>
  </si>
  <si>
    <t>Machtmissbrauch an Hochschulen</t>
  </si>
  <si>
    <t>Cornelia Schweppe</t>
  </si>
  <si>
    <t>Struggle, Reform, Boom and Bust</t>
  </si>
  <si>
    <t>Stephen Howes-Martin Davies-Rohan Fox-Maholopa Laveil-Manoj K. Pandey-Kelly Samof-Dek Joe Sum</t>
  </si>
  <si>
    <t>The Economics of Cultural Loss</t>
  </si>
  <si>
    <t>SOCIAL SCIENCE / Indigenous Studies</t>
  </si>
  <si>
    <t xml:space="preserve"> Mukesh Eswaran</t>
  </si>
  <si>
    <t>Historiographies of Game Studies</t>
  </si>
  <si>
    <t xml:space="preserve"> Alisha Karabinus-Carly A. Kocurek-Cody Mejeur-Emma Vossen</t>
  </si>
  <si>
    <t>Proceedings of the 8th International Conference on Language, Literature, Culture, and Education (ICOLLITE 2024)</t>
  </si>
  <si>
    <t>Ari Arifin Danuwijaya-Nuria Haristiani-Yulianeta Yulianeta-Eri Kurniawan-Yanty Wirza</t>
  </si>
  <si>
    <t>Proceedings of the IoT AND LiDAR Technologies in Healthcare Workshop (ILTH 2024)</t>
  </si>
  <si>
    <t>Nagender Kumar Suryadevara</t>
  </si>
  <si>
    <t>Organoids for Personalised Cancer Medicine</t>
  </si>
  <si>
    <t>Henrik Vogt-Maxence Gaillard-Sara Green</t>
  </si>
  <si>
    <t>Pathways to Agonism</t>
  </si>
  <si>
    <t>Christina Horvath-Tomasz Rawski</t>
  </si>
  <si>
    <t>Proceedings of the 6th International Conference on Social Sciences and Interdisciplinary (ICSSIS 2024)</t>
  </si>
  <si>
    <t>M. Taufik Rahmadi-Erond Litno Damanik-Anik Juli Dwi Astuti-Tappil Rambe</t>
  </si>
  <si>
    <t>Proceedings of the 2025 8th International Conference on Traffic Transportation and Civil Architecture (ICTTCA 2025)</t>
  </si>
  <si>
    <t>Gaofeng Zhao-Law Teik Hua-Weizheng Liu-Weiguang Zhang</t>
  </si>
  <si>
    <t>The Future of Coaching</t>
  </si>
  <si>
    <t>PSYCHOLOGY / Psychotherapy / Counseling</t>
  </si>
  <si>
    <t>Siegfried Greif</t>
  </si>
  <si>
    <t>Robust Statistics Through the Monitoring Approach</t>
  </si>
  <si>
    <t>Anthony C. Atkinson-Marco Riani-Aldo Corbellini-Domenico Perrotta-Valentin Todorov</t>
  </si>
  <si>
    <t>Proceedings of the 5th International Conference on Education, Humanities, and Social Science (ICEHoS 2025) â€“ Japan Series</t>
  </si>
  <si>
    <t>Agus Hendriyanto-Samsul Pahmi-Lukman Hakim Muhaimin-Muhammad Putra Sani Hattamurrahman</t>
  </si>
  <si>
    <t>No Place Like Home in a New City</t>
  </si>
  <si>
    <t>Bettina Ng'weno</t>
  </si>
  <si>
    <t>Atmospheric Knowledge</t>
  </si>
  <si>
    <t>Birgit Abels-Patrick Eisenlohr</t>
  </si>
  <si>
    <t>The Pragmatics of Straw Man Fallacies: An Experimental Approach</t>
  </si>
  <si>
    <t>PHILOSOPHY / Logic</t>
  </si>
  <si>
    <t>Jennifer Schumann</t>
  </si>
  <si>
    <t>Greenhouse Horticulture</t>
  </si>
  <si>
    <t>SCIENCE / Life Sciences / Botany</t>
  </si>
  <si>
    <t>Cecilia Stanghellini-Bert Van 't Ooster-Ep Heuvelink</t>
  </si>
  <si>
    <t>Theologische Ã„sthetik der Kunst</t>
  </si>
  <si>
    <t>RELIGION / Theism</t>
  </si>
  <si>
    <t>Sven Grosse</t>
  </si>
  <si>
    <t>New studies in the archaeology of Jerusalem and its region : collected papers. Volume 17 /×—×™×“×•×©×™× ×‘××¨×›×™××•×œ×•×’×™×” ×©×œ ×™×¨×•×©×œ×™× ×•×¡×‘×™×‘×•×ª×™×” : ×§×•×‘×¥ ×ž×—×§×¨×™×. ×›×¨×š ×™×–</t>
  </si>
  <si>
    <t>Orit Peleg-Barkat</t>
  </si>
  <si>
    <t>The Social Lives of Medieval Rings</t>
  </si>
  <si>
    <t>Jitske Jasperse</t>
  </si>
  <si>
    <t>Life-Cycle Performance of Structures and Infrastructure Systems in Diverse Environments</t>
  </si>
  <si>
    <t>Chun-Qing Li-Dan M. Frangopol</t>
  </si>
  <si>
    <t>The Old and New Persistent Organic Pollutants</t>
  </si>
  <si>
    <t>Ravi Naidu</t>
  </si>
  <si>
    <t>Artificial Intelligence in Biobanking</t>
  </si>
  <si>
    <t>LAW / Medical Law &amp; Legislation</t>
  </si>
  <si>
    <t>Michaela Th. Mayrhofer-Santa Slokenberga-Signe MeÅ¾inska</t>
  </si>
  <si>
    <t>Teachers and the Practice of Leadership</t>
  </si>
  <si>
    <t>David Frost-Judy Durrant-Val Hill-Gary Holden-Amanda Roberts</t>
  </si>
  <si>
    <t>Accounting and Auditing Small and Medium-Sized Practices</t>
  </si>
  <si>
    <t>Anatoli Bourmistrov-Levi GÃ¥rseth-Nesbakk-Toomas Haldma-Jan Mouritsen-Roman Vakulchuk</t>
  </si>
  <si>
    <t>Heaviness in Metal Music Production, Volume II</t>
  </si>
  <si>
    <t>MUSIC / Genres &amp; Styles / Heavy Metal</t>
  </si>
  <si>
    <t>Jan-Peter Herbst-Mark Mynett</t>
  </si>
  <si>
    <t>Heaviness in Metal Music Production, Volume I</t>
  </si>
  <si>
    <t>FÃ¶rderung von Genderkompetenz in der Ausbildung von LehrkrÃ¤ften</t>
  </si>
  <si>
    <t>Ilke GlockentÃ¶ger</t>
  </si>
  <si>
    <t>Arbeits- und BeschÃ¤ftigungsbedingungen an Hochschulen in Deutschland</t>
  </si>
  <si>
    <t>Roland Bloch-Anne K. KrÃ¼ger-Jakob Hartl-Carsten WÃ¼rmann</t>
  </si>
  <si>
    <t>weiterbilden#weiterdenken</t>
  </si>
  <si>
    <t>Peer-Michael Dick-Roman Zitzelsberger-Stefan Baron</t>
  </si>
  <si>
    <t>The Ecology of Italian Science Fiction</t>
  </si>
  <si>
    <t>LITERARY COLLECTIONS / European / Italian</t>
  </si>
  <si>
    <t>Marco Malvestio</t>
  </si>
  <si>
    <t>Between the Layers</t>
  </si>
  <si>
    <t>Jill Carter</t>
  </si>
  <si>
    <t>Fachfremde GrundschullehrkrÃ¤fte und ihr Wissen zur deutschen Wortschreibung</t>
  </si>
  <si>
    <t>Svenja Schoon</t>
  </si>
  <si>
    <t>Transformative Digitale Kompetenzen</t>
  </si>
  <si>
    <t>Sabine Schmidt-Lauff</t>
  </si>
  <si>
    <t>Individuelle FÃ¶rderung durch multiprofessionelle Kooperation (gestalten)</t>
  </si>
  <si>
    <t>EDUCATION / Reference</t>
  </si>
  <si>
    <t>Simon Vollmer</t>
  </si>
  <si>
    <t>Theodor Fontane: Effi Briest</t>
  </si>
  <si>
    <t>Martin Leubner-Anja Saupe</t>
  </si>
  <si>
    <t>Explorando el pasado de manera multidisciplinar</t>
  </si>
  <si>
    <t>Marta Rojano SimÃ³n</t>
  </si>
  <si>
    <t>A History of Displaced Knowledge: Austrian Refugees From National Socialism in Australia</t>
  </si>
  <si>
    <t>Philipp Strobl</t>
  </si>
  <si>
    <t>Military Operations in Response to Domestic Emergencies and Global Pandemics</t>
  </si>
  <si>
    <t>Lindy Heinecken-Christian Leuprecht</t>
  </si>
  <si>
    <t>Philosophy and Management</t>
  </si>
  <si>
    <t>Åukasz SuÅ‚kowski-ZdzisÅ‚awa Dacko-Pikiewicz-Katarzyna SzczepaÅ„ska-Woszczyna</t>
  </si>
  <si>
    <t>ZÃ¡klady ekologie sinic a Å™as</t>
  </si>
  <si>
    <t>PoulÃ­ÄkovÃ¡ Aloisie</t>
  </si>
  <si>
    <t>ZÃ¡klady systÃ©mu sinic a Å™as</t>
  </si>
  <si>
    <t>Economic and Political Reforms in Australia Under Gough Whitlam, 1972â€“1975</t>
  </si>
  <si>
    <t>MieczysÅ‚aw Sprengel</t>
  </si>
  <si>
    <t>Revisiting Reflexivity</t>
  </si>
  <si>
    <t>Sarah R. Davies-Andrea Schikowitz-Fredy Mora GÃ¡mez-Elaine Goldberg-Esther Dessewffy-Bao-Chau Pham-Ariadne AvkÄ±ran-Kathleen Gregory</t>
  </si>
  <si>
    <t>Proceedings of the 8th International Conference on Business, Economics, Social Sciences, and Humanities - Economics, Business and Management Track (ICOBEST-EBM 2025)</t>
  </si>
  <si>
    <t>Lia Warlina-Senny Luckyardi</t>
  </si>
  <si>
    <t>Central Bank Capital in Turbulent Times</t>
  </si>
  <si>
    <t>Dirk Broeders-Aerdt Houben-Matteo Bonetti</t>
  </si>
  <si>
    <t>Anti-Gender Mobilizations in Europe and the Feminist Response</t>
  </si>
  <si>
    <t>Rok Smrdelj-Roman Kuhar</t>
  </si>
  <si>
    <t>The Hitchhiker's Guide to Salutogenesis</t>
  </si>
  <si>
    <t>MEDICAL / Preventive Medicine</t>
  </si>
  <si>
    <t>Monica Eriksson-Lenneke Vaandrager-Bengt LindstrÃ¶m</t>
  </si>
  <si>
    <t>Die Leitideen der Religionsforschung</t>
  </si>
  <si>
    <t>Simon Michel</t>
  </si>
  <si>
    <t>Unhappy Mothers</t>
  </si>
  <si>
    <t>Sarah Crook</t>
  </si>
  <si>
    <t>Negotiating In/visibility</t>
  </si>
  <si>
    <t>Amelia Bonea-Irina Nastasa-Matei</t>
  </si>
  <si>
    <t>Feeling Blue</t>
  </si>
  <si>
    <t>Victoria Bates</t>
  </si>
  <si>
    <t>Lorenz Jaeger als Person</t>
  </si>
  <si>
    <t>Nicole Priesching-Markus Leniger</t>
  </si>
  <si>
    <t>EcologÃ­a Emocional y Aprendizaje en Entornos Digitales Universitarios</t>
  </si>
  <si>
    <t>Aquila Priscila MontaÃ±ez-Huancaya de Salinas-Fany Silvana Figueroa-Hurtado-Norma Nancy MontaÃ±ez Huancaya-Yovana Connie Roca-Avila-Eusebio Arainga-Blas-Iris Marisol Yupanqui-Cueva</t>
  </si>
  <si>
    <t>GanaderÃ­a sostenible en Tenango de Doria: GuÃ­a TÃ©cnica para el Control Sanitario en bovinos</t>
  </si>
  <si>
    <t>HÃ©ctor TecumshÃ© Mojica-ZÃ¡rate-Dulce MarÃ­a Lezama-JuÃ¡rez-JosÃ© Gervasio Partida-Sedas-Francisco Javier LÃ³pez-GarcÃ­a-SebastiÃ¡n Antonio-Hurtado</t>
  </si>
  <si>
    <t>GamificaciÃ³n universitaria: Una experiencia sobre su impacto en el rendimiento acadÃ©mico</t>
  </si>
  <si>
    <t>EDUCATION / Counseling / Academic Development</t>
  </si>
  <si>
    <t>Consuelo Nora Casimiro-Urcos-Walther HernÃ¡n Casimiro-Urcos-Donatila Tobalino-LÃ³pez-Lourdes Basilia Pareja-PÃ©rez-Elizabeth Mercedes Vegas-Palomino-Aquila Priscila MontaÃ±ez-Huancaya</t>
  </si>
  <si>
    <t>GestiÃ³n administrativa y atenciÃ³n de calidad: Claves para la mejora de servicios en centros de terapia fÃ­sica</t>
  </si>
  <si>
    <t>MEDICAL / Hospital Administration &amp; Care</t>
  </si>
  <si>
    <t>Giorgia Casimiro-Guerra-Walther HernÃ¡n Casimiro-Urcos-Javier Francisco Casimiro-Urcos-Aida Beatriz Orosco-Naveros</t>
  </si>
  <si>
    <t>Retos actuales de la salud mental y trascendencia social</t>
  </si>
  <si>
    <t>PSYCHOLOGY / Mental Health</t>
  </si>
  <si>
    <t>Aline Aleida del Carmen Campos-GÃ³mez-Yesenia Peralta-JimÃ©nez-Gladys de los Ãngeles Romero-Aguirre</t>
  </si>
  <si>
    <t>Docentes conectados: Evaluando las competencias digitales en la EducaciÃ³n Superior</t>
  </si>
  <si>
    <t>Walther HernÃ¡n Casimiro-Urcos-Consuelo Nora Casimiro-Urcos-Roger Octavio Quinteros-Osorio-Ãngel Ricardo Tello-Conde-Giorgia Casimiro-Guerra</t>
  </si>
  <si>
    <t>Memoria de la reuniÃ³n anual del Centro de InvestigaciÃ³n para el Desarrollo de las Regiones Cafetaleras 2023 y Primer Seminario de InvestigaciÃ³n de la IngenierÃ­a en GestiÃ³n de Redes Agroalimentarias</t>
  </si>
  <si>
    <t>TECHNOLOGY &amp; ENGINEERING / Agriculture / Agronomy / General</t>
  </si>
  <si>
    <t>JosÃ© Gervasio Partida-Sedas-Lucero Rocha BolaÃ±os-Maribel Estudillo De la Cruz</t>
  </si>
  <si>
    <t>Didactics of Geometry for Elementary Schools</t>
  </si>
  <si>
    <t>Jorge Luis LeÃ³n-GonzÃ¡lez-Robert Barcia-MartÃ­nez</t>
  </si>
  <si>
    <t>Innovar en la prÃ¡ctica docente. Desarrollo de competencias digitales en la Licenciatura</t>
  </si>
  <si>
    <t>Salvador Acosta-ServÃ­n-MarÃ­a Guadalupe Veytia-Bucheli-Maritza Librada CÃ¡ceres-Mesa</t>
  </si>
  <si>
    <t>Manejo de reactivos para el revelado de huellas digitales</t>
  </si>
  <si>
    <t>Pedro Bobadilla-Reyes</t>
  </si>
  <si>
    <t>GestiÃ³n de hojas y libros de Excel: Herramientas financieras para el microempresario</t>
  </si>
  <si>
    <t>COMPUTERS / Business &amp; Productivity Software / Spreadsheets</t>
  </si>
  <si>
    <t>Fernando Xavier Juca-Maldonado</t>
  </si>
  <si>
    <t>Historia local y Ciencias Sociales: fundamentos teÃ³rico-metodolÃ³gicos para su enseÃ±anza</t>
  </si>
  <si>
    <t>MarÃ­a Gabriela Calvas-Ojeda</t>
  </si>
  <si>
    <t>El modelo pedagÃ³gico de resignificaciÃ³n lÃºdica, un recurso de estimulaciÃ³n intelectual en la edad preescolar</t>
  </si>
  <si>
    <t>Eudaldo Enrique Espinoza Freire</t>
  </si>
  <si>
    <t>Cultura de evaluaciÃ³n en prÃ¡cticas institucionales de acreditaciÃ³n de programas educativos</t>
  </si>
  <si>
    <t>Lucero Quetzalli Cruz ColÃ­n-Maritza Librada CÃ¡ceres Mesa-MarÃ­a Guadalupe Veytia Bucheli-Jorge HernÃ¡ndez MÃ¡rquez</t>
  </si>
  <si>
    <t>La mediaciÃ³n escolar en los conflictos de adolescentes ecuatorianos en los colegios de la Ciudad de Machala</t>
  </si>
  <si>
    <t>Miguel Ãngel RamÃ³n-Pineda-Eudaldo Enrique Espinoza-</t>
  </si>
  <si>
    <t>UTEQ English in action 1</t>
  </si>
  <si>
    <t>Karina Fernanda Sotomayor Cantos-Luis Alfredo Camacho Castillo-Jorge AndrÃ©s CÃ³rdova Pintado-Wilmer Enrique Moncayo Herrera-Segundo Carlos Quishpe Chango-Silvia Marisol Gavilanez VillamarÃ­n</t>
  </si>
  <si>
    <t>UTEQ English in action 2</t>
  </si>
  <si>
    <t>MarÃ­a BelÃ©n BaÃ±os Coello-Luis Alfredo Camacho Castillo-Lady Denisse SÃ¡nchez Palma-Kevin Larry Rivas Mendoza-Luis Fernando Guerra Moreira-Israel Eduardo Castro Magayanes-Tito Yovanny Indacochea RodrÃ­guez</t>
  </si>
  <si>
    <t>UTEQ English in action 3</t>
  </si>
  <si>
    <t>Martha Elva Carrillo-Pataron-Luis Alfredo Camacho-Castillo-Karina Susana Pastor-Romero-Nathalia Jeanneth PÃ©rez-PÃ©rez-Jimmy Francisco Velez-Mendoza</t>
  </si>
  <si>
    <t>UTEQ English in action 4</t>
  </si>
  <si>
    <t>Manuel Francisco Morales-Haz-Luis Alberto Camacho-Castillo-David Israel Acosta-Tipanguano-Johanna Isabel Barriga-Fray-JosÃ© Beria-Valenzuela-Helen Gabriela Moreira-Olives-Marjory EstefanÃ­a LechÃ³n-De La Cruz</t>
  </si>
  <si>
    <t>UTEQ English in action 5</t>
  </si>
  <si>
    <t>Rosa MarÃ­a Chicaiza-Chicaiza-Luis Alfredo Camacho-Castillo-Gargi Ghose-Karen Andrea Luna-Meza-Manuel Abad-SuÃ¡rez-Pamela Victoria Guevara-Torres</t>
  </si>
  <si>
    <t>UTEQ English in action 6</t>
  </si>
  <si>
    <t>Jorge AndrÃ©s CÃ³rdova-Pintado-Luis Alfredo Camacho-Castillo-Rosa MarÃ­a Chicaiza-Chicaiza-Esperanza Monserrate Heredia-Mendoza-Gargi Ghose-Luis Leonardo Moreira-MejÃ­a</t>
  </si>
  <si>
    <t>El tostado artesanal de cafÃ© en MÃ©xico</t>
  </si>
  <si>
    <t>COOKING / Beverages / Coffee &amp; Tea</t>
  </si>
  <si>
    <t>JosÃ© Gervasio Partida-Sedas-Maribel Estudillo-De La Cruz-Rosalba San Martin-Santamaria-Emiliano PÃ©rez-Portilla-Luis Diego-HernÃ¡ndez</t>
  </si>
  <si>
    <t>101 trucos de productividad en Excel para la AdministraciÃ³n y GestiÃ³n Empresarial. Tomo II</t>
  </si>
  <si>
    <t>El neoconstitucionalismo en la protecciÃ³n de los nuevos derechos</t>
  </si>
  <si>
    <t>Rolando Medina-PeÃ±a-Juan JosÃ© Torres-Espinoza</t>
  </si>
  <si>
    <t>Terapia Racional Emotiva: de lo individual a lo comunitario</t>
  </si>
  <si>
    <t>Heriberto Enrique Luna-Alvarez-Xavier Eduardo Franco-ChÃ³ez</t>
  </si>
  <si>
    <t>Cybersecurity in Latvia</t>
  </si>
  <si>
    <t>Mihails Potapovs-Kate E. Kanasta</t>
  </si>
  <si>
    <t>Planning Rural Landscapes</t>
  </si>
  <si>
    <t>NatÃ¡lia Cunha-Manuela MagalhÃ£es</t>
  </si>
  <si>
    <t>Queer Relajo</t>
  </si>
  <si>
    <t>David Tenorio</t>
  </si>
  <si>
    <t>Computer Aided Verification</t>
  </si>
  <si>
    <t>Ruzica Piskac-Zvonimir RakamariÄ‡</t>
  </si>
  <si>
    <t>China's Traditional Legal Order</t>
  </si>
  <si>
    <t>Hiroaki Terada</t>
  </si>
  <si>
    <t>A Gentle Introduction to Data, Learning, and Model Order Reduction</t>
  </si>
  <si>
    <t>Francisco Chinesta-ElÃ­as Cueto-Victor Champaney-Chady Ghnatios-Amine Ammar</t>
  </si>
  <si>
    <t>'Wisdom and Greatness in One Place'</t>
  </si>
  <si>
    <t>LITERARY COLLECTIONS / Letters</t>
  </si>
  <si>
    <t xml:space="preserve"> Dotan Arad-Esther-Miriam Wagner</t>
  </si>
  <si>
    <t>Proceedings of the 1st International Symposium on African Sustainable Energy Solutions (AfrSusEnS 2024)</t>
  </si>
  <si>
    <t>Joshua Gorimbo-Yali Yao-Gwiranai Danha-Xinying Liu</t>
  </si>
  <si>
    <t>Proceedings of the Tarumanagara International Conference on the Applications of Social Sciences and Humanities (TICASH 2024)</t>
  </si>
  <si>
    <t>Cokki Cokki-Miharni Tjokrosaputro-Linda Lin-Chin Lin</t>
  </si>
  <si>
    <t>A konvivencia kihÃ­vÃ¡sai. A vallÃ¡si sokfÃ©lesÃ©grÅ‘l Kelet-KÃ¶zÃ©p-EurÃ³pÃ¡ban</t>
  </si>
  <si>
    <t xml:space="preserve"> AndrÃ¡s MÃ¡tÃ©-TÃ³th</t>
  </si>
  <si>
    <t>Reading</t>
  </si>
  <si>
    <t>RELIGION / Biblical Studies / History &amp; Culture</t>
  </si>
  <si>
    <t xml:space="preserve"> Hector M. Patmore-Hindy Najman-Stefan Schorch-Jeroen Verrijssen-Hanneke van der Schoor</t>
  </si>
  <si>
    <t>Advances in Formal Slavic Linguistics 2022</t>
  </si>
  <si>
    <t>Language Science Press</t>
  </si>
  <si>
    <t>Gehrke, Berit-LenertovÃ¡, Denisa-Meyer, Roland-Seres, Daria-Szucsich, Luka-Zaleska, Joanna</t>
  </si>
  <si>
    <t>Head-Driven Phrase Structure Grammar</t>
  </si>
  <si>
    <t>MÃ¼ller, Stefan-AbeillÃ©, Anne-Borsley, Robert D.-Koenig, Jean-Pierre</t>
  </si>
  <si>
    <t>The Licensing and Usage of Topic Drop in German</t>
  </si>
  <si>
    <t>SchÃ¤fer, Lisa</t>
  </si>
  <si>
    <t>Fillers</t>
  </si>
  <si>
    <t>Pakendorf, Brigitte-Rose, FranÃ§oise</t>
  </si>
  <si>
    <t>Foundational Approaches to Celtic Linguistics</t>
  </si>
  <si>
    <t>Carnie, Andrew-Ohala, Diane-Hunter, Dee-Prins, Samantha-Hammond, Mike-Irizarry, Luis A.</t>
  </si>
  <si>
    <t>Teacher Education for Working in Linguistically Diverse Classrooms</t>
  </si>
  <si>
    <t>Warren, Anne Reath-Iversen, Jonas Yassin-Straszer, BoglÃ¡rka</t>
  </si>
  <si>
    <t>Speaking the Map</t>
  </si>
  <si>
    <t>DÃ¶hler, Christian</t>
  </si>
  <si>
    <t>The Colonial Bible in Australia</t>
  </si>
  <si>
    <t>Carey, Hilary M.</t>
  </si>
  <si>
    <t>Bewertung und Variation der PrÃ¤positionalkasus im Deutschen</t>
  </si>
  <si>
    <t>Vieregge, Annika</t>
  </si>
  <si>
    <t>Universality of Semantic Frames and Language Specific Bulgarian Data</t>
  </si>
  <si>
    <t>Koeva, Svetla</t>
  </si>
  <si>
    <t>Linguistic Dynamics in Heritage Speakers</t>
  </si>
  <si>
    <t>Allen, Shanley E. M.-Keller, Mareike-Alexiadou, Artemis-Wiese, Heike</t>
  </si>
  <si>
    <t>Word Stress in Prosodic Theory</t>
  </si>
  <si>
    <t>Kaland, Constantijn</t>
  </si>
  <si>
    <t>A Reference Guide to the Syntax of North American Norwegian</t>
  </si>
  <si>
    <t>Kinn, Kari-Putnam, Michael T.</t>
  </si>
  <si>
    <t>Epenthesis and Beyond</t>
  </si>
  <si>
    <t>Kim, Ji Yea-Miatto, Veronica-PetroviÄ‡, Andrija-Repetti, Lori</t>
  </si>
  <si>
    <t>Information Structure and Information Theory</t>
  </si>
  <si>
    <t>Lemke, Robin-SchÃ¤fer, Lisa-Reich, Ingo</t>
  </si>
  <si>
    <t>The Expression of Information Structure in Bantu</t>
  </si>
  <si>
    <t>Wal, Jenneke van der</t>
  </si>
  <si>
    <t>Support-verb Constructions in the Corpora of Greek</t>
  </si>
  <si>
    <t>Fendel, Victoria Beatrix</t>
  </si>
  <si>
    <t>How to Create an Early German Scriptus</t>
  </si>
  <si>
    <t>Somers, Katerina</t>
  </si>
  <si>
    <t>Intensive Language Contact in the Caucasus</t>
  </si>
  <si>
    <t>Schreur, Jesse Wichers</t>
  </si>
  <si>
    <t>West Meets East</t>
  </si>
  <si>
    <t>Williams, Geoffrey-Meur, Mathilde Le-PelÃ¡ez, AndrÃ©s EchavarrÃ­a</t>
  </si>
  <si>
    <t>Language and Computers</t>
  </si>
  <si>
    <t>Glass, Lelia-Dickinson, Markus-Brew, Chris-Meurers, Detmar</t>
  </si>
  <si>
    <t>Syntax, Semantics, and the Lexicon</t>
  </si>
  <si>
    <t>JÄ™drzejowski, Åukasz-Junghanns, Uwe-Schwabe, Kerstin-Umbach, Carla</t>
  </si>
  <si>
    <t>Referring Expression Generation in Context</t>
  </si>
  <si>
    <t>Same, Fahime</t>
  </si>
  <si>
    <t>Indefinites in Romance and Beyond</t>
  </si>
  <si>
    <t>Kellert, Olga-Lauschus, Sebastian-Rosemeyer, Malte</t>
  </si>
  <si>
    <t>(Dia)Lects in the 21st Century</t>
  </si>
  <si>
    <t>Wagner, Susanne-Stange-HundsdÃ¶rfer, Ulrike</t>
  </si>
  <si>
    <t>A Grammar of Mandan</t>
  </si>
  <si>
    <t>Kasak, Ryan</t>
  </si>
  <si>
    <t>A Grammar of Vamale</t>
  </si>
  <si>
    <t>Rohleder, Jean</t>
  </si>
  <si>
    <t>A Grammar of Kagayanen</t>
  </si>
  <si>
    <t>Pebley, Carol J.-Payne, Thomas E.</t>
  </si>
  <si>
    <t>The Polyfunctionality of 'still' Expressions</t>
  </si>
  <si>
    <t>Persohn, Bastian</t>
  </si>
  <si>
    <t>From Fieldwork to Linguistic Theory</t>
  </si>
  <si>
    <t>Gibson, Edward-Poliak, Moshe</t>
  </si>
  <si>
    <t>New Research on Circum-Caribbean Creoles and Language Contact</t>
  </si>
  <si>
    <t>Bartens, Angela-Slomanson, Peter-BÃ¸egh, Kristoffer Friis</t>
  </si>
  <si>
    <t>Linguistics Olympiad</t>
  </si>
  <si>
    <t>NeacÈ™u, Vlad A.</t>
  </si>
  <si>
    <t>Rarities in Phonetics and Phonology</t>
  </si>
  <si>
    <t>Kuznetsova, Natalia-Anderson, Cormac-Easterday, Shelece</t>
  </si>
  <si>
    <t>Historical Phonology of Mataguayan</t>
  </si>
  <si>
    <t>Nikulin, Andrey-Carol, Javier</t>
  </si>
  <si>
    <t>Pushing the Boundaries</t>
  </si>
  <si>
    <t>Essegbey, James-Henderson, Brent-McLaughlin, Fiona-Diercks, Michael</t>
  </si>
  <si>
    <t>A Grammar of Sherbro</t>
  </si>
  <si>
    <t>Childs, G. Tucker</t>
  </si>
  <si>
    <t>Elementa Universalis Linguae Slavicae</t>
  </si>
  <si>
    <t>Maxwell, Alexander-Rooy, Raf Van</t>
  </si>
  <si>
    <t>Post-predicate Elements in the Western Asian Transition Zone</t>
  </si>
  <si>
    <t>Haig, Geoffrey-Rasekh-Mahand, Mohammad-Stilo, Donald-Schreiber, Laurentia-Schiborr, Nils</t>
  </si>
  <si>
    <t>Formal Approaches to Complexity in Heritage Language Grammars</t>
  </si>
  <si>
    <t>Polinsky, Maria-Putnam, Michael T.</t>
  </si>
  <si>
    <t>Adjarianâ€™s Armenian Dialectology (1911)</t>
  </si>
  <si>
    <t>Dolatian, Hossep</t>
  </si>
  <si>
    <t>French Subject Islands</t>
  </si>
  <si>
    <t>Winckel, Elodie</t>
  </si>
  <si>
    <t>Australian PamaÂ­-Nyungan Languages</t>
  </si>
  <si>
    <t>Stockigt, Clara</t>
  </si>
  <si>
    <t>Language Change for the Worse</t>
  </si>
  <si>
    <t>Enke, Dankmar W.-Hyman, Larry M.-Nichols, Johanna-Seiler, Guido-Weber, Thilo-HÃ¶lzl, Andreas</t>
  </si>
  <si>
    <t>Constituency and Convergence in the Americas</t>
  </si>
  <si>
    <t>Tallman, Adam J. R.-Auderset, Sandra-Uchihara, Hiroto</t>
  </si>
  <si>
    <t>The Psychology Of Economic Inequality</t>
  </si>
  <si>
    <t>PSYCHOLOGY / Applied Psychology</t>
  </si>
  <si>
    <t>Jim Orford</t>
  </si>
  <si>
    <t>Advanced Control Technology of Photovoltaic Power Generation Systems</t>
  </si>
  <si>
    <t>TECHNOLOGY &amp; ENGINEERING / Power Resources / Alternative &amp; Renewable</t>
  </si>
  <si>
    <t>Chenghui Zhang</t>
  </si>
  <si>
    <t>Risks, Resilience and Interdependency</t>
  </si>
  <si>
    <t>Guang Yang-Jing Zhang-Xinghan Xiong-Lanyu Liu</t>
  </si>
  <si>
    <t>AI for Rock Dynamics</t>
  </si>
  <si>
    <t>Manchao He-LiGe Wang-Wei Yao-Wengang Dang-Zhuo Wang</t>
  </si>
  <si>
    <t>Millimeter Wave Radar</t>
  </si>
  <si>
    <t>TECHNOLOGY &amp; ENGINEERING / Microwaves</t>
  </si>
  <si>
    <t>Christian Waldschmidt-Christina Bonfert-Timo Grebner</t>
  </si>
  <si>
    <t>Transformative-Emancipatory Pedagogy (TEP) to Reimagine Education</t>
  </si>
  <si>
    <t>Teresa M. Cappiali</t>
  </si>
  <si>
    <t>Technische Beschneiung und Umwelt</t>
  </si>
  <si>
    <t>Ulrike PrÃ¶bstl-Haider-Christian Weiler</t>
  </si>
  <si>
    <t>Pursuing Hope in the Premodern World</t>
  </si>
  <si>
    <t>Ville Vuolanto-Oana-Maria Cojocaru</t>
  </si>
  <si>
    <t>Fremdsprachliche Affordanzen und soziale Praktiken in der Simulation Globale</t>
  </si>
  <si>
    <t>Laura-Joanna SchrÃ¶ter</t>
  </si>
  <si>
    <t>Creation, Transformation and Metamorphosis</t>
  </si>
  <si>
    <t>MÃ¡rio S. Ming Kong-Maria do RosÃ¡rio Monteiro-Maria JoÃ£o Pereira Neto</t>
  </si>
  <si>
    <t>Researching Displacement Together</t>
  </si>
  <si>
    <t>Sonja Marzi-Rachel Pain-Jen Tarr</t>
  </si>
  <si>
    <t>Discovering Therapeutic Efficacy</t>
  </si>
  <si>
    <t>PSYCHOLOGY / Psychotherapy / Psychoanalysis</t>
  </si>
  <si>
    <t>Howard Bacal</t>
  </si>
  <si>
    <t>Socioecological Transformations</t>
  </si>
  <si>
    <t>Sabaheta Ramcilovic-Suominen</t>
  </si>
  <si>
    <t>White-Collar and Organizational Crime</t>
  </si>
  <si>
    <t>Diana Bociga-Jon Davies</t>
  </si>
  <si>
    <t>Logistics in Greek Sanctuaries</t>
  </si>
  <si>
    <t>Judith M. Barringer-Gunnel Ekroth-David Scahill</t>
  </si>
  <si>
    <t>Movable Londons</t>
  </si>
  <si>
    <t>Julia H. Fawcett</t>
  </si>
  <si>
    <t>Publishing Beyond the Market</t>
  </si>
  <si>
    <t>Samuel A. Moore</t>
  </si>
  <si>
    <t>Arthurian Intertextualities</t>
  </si>
  <si>
    <t>LITERARY COLLECTIONS / General</t>
  </si>
  <si>
    <t>Fiona Tolhurst-K S Whetter</t>
  </si>
  <si>
    <t>The Politics of Beginning</t>
  </si>
  <si>
    <t>Alejandro Esguerra</t>
  </si>
  <si>
    <t>Queer Throughlines</t>
  </si>
  <si>
    <t>Ju Hui Judy Han</t>
  </si>
  <si>
    <t>All in the Family</t>
  </si>
  <si>
    <t>Gaia Gianni</t>
  </si>
  <si>
    <t>Peter Artedi: Reformer of 18th Century Zoology, Vol. II: Peter Artedi, Ichthyologia, Leiden 1738</t>
  </si>
  <si>
    <t>SCIENCE / Life Sciences / Zoology / Ichthyology &amp; Herpetology</t>
  </si>
  <si>
    <t>Hans Aili-Theodore W. Pietsch</t>
  </si>
  <si>
    <t>Specialpedagogisk forskning och tidiga insatser</t>
  </si>
  <si>
    <t>Mara Westling Allodi-Heidi Selenius</t>
  </si>
  <si>
    <t>Romaanin tieto: Kirja ja kirjailija tiedon tuottajina</t>
  </si>
  <si>
    <t>Elina Arminen-Ralf Kauranen-Markku LehtimÃ¤ki-Hanna-Leena MÃ¤Ã¤ttÃ¤-Laura Piippo</t>
  </si>
  <si>
    <t>Pohjoisen Pariisi: ja muita 1800-luvun amerikkalaisia Suomi-kuvia</t>
  </si>
  <si>
    <t>Sirpa Salenius</t>
  </si>
  <si>
    <t>Navigating the 21st Century Business World</t>
  </si>
  <si>
    <t xml:space="preserve"> Dorottya Sallai-Alexander Pepper</t>
  </si>
  <si>
    <t>How Africa Eats</t>
  </si>
  <si>
    <t xml:space="preserve"> David Fashole Luke</t>
  </si>
  <si>
    <t>El verso desregulado: Verso libre y neoliberalismo</t>
  </si>
  <si>
    <t>Ezequiel Zaidenwerg-Dib</t>
  </si>
  <si>
    <t>Provincias Un-Idas: Un itinerario conceptual en el presente</t>
  </si>
  <si>
    <t>Laura DemarÃ­a</t>
  </si>
  <si>
    <t>Det dolda universitetet: MilitÃ¤r forskning i kalla krigets Sverige</t>
  </si>
  <si>
    <t>TECHNOLOGY &amp; ENGINEERING / Military Science</t>
  </si>
  <si>
    <t>Eric Bergelin-Per Lundin-Niklas StenlÃ¥s</t>
  </si>
  <si>
    <t>Forced Migrants in Nordic Histories</t>
  </si>
  <si>
    <t>Johanna Leinonen-Miika Tervonen-Hans Otto FrÃ¸land-Christhard Hoffmann-Seija Jalagin-Heidi Vad JÃ¸nsson-Malin Thor Tureby</t>
  </si>
  <si>
    <t>Essential Concepts for Implementing the Sustainable Development Goals</t>
  </si>
  <si>
    <t>Frank Biermann-Thomas Hickmann-Yi hyun Kang-Carole-Anne SÃ©nit-Yixian Sun</t>
  </si>
  <si>
    <t>Resilience, Peacebuilding, and Preventing Violent Extremism</t>
  </si>
  <si>
    <t>Cedric de Coning-Rui Saraiva-Ako Muto</t>
  </si>
  <si>
    <t>The Deshima Diaries 1641-1660</t>
  </si>
  <si>
    <t>Cynthia Vialle-Isabel Tanaka-van Daalen-Leonard BlussÃ©</t>
  </si>
  <si>
    <t>The Tapuia of Northeastern Brazil in Dutch Sources (1628â€“1648)</t>
  </si>
  <si>
    <t>HISTORY / United States / General</t>
  </si>
  <si>
    <t>Martijn van den Bel-Mariana FranÃ§ozo</t>
  </si>
  <si>
    <t>Proceedings of the International Conference on Recent Advances in Artificial Intelligence for Sustainable Development (RAISD 2025)</t>
  </si>
  <si>
    <t>Piyush Ranjan-Sumit Kumar Pandey-Kailash Pati Dutta-Md. Irfan Alam</t>
  </si>
  <si>
    <t>Cultural Heritage in International Economic Law</t>
  </si>
  <si>
    <t>Valentina Vadi</t>
  </si>
  <si>
    <t>The Scholia on Ciceroâ€™s Speeches</t>
  </si>
  <si>
    <t>Christoph Pieper-Dennis Pausch</t>
  </si>
  <si>
    <t>Greek Inscriptions on the East Bank</t>
  </si>
  <si>
    <t>Maria Nilsson-Adrienn AlmÃ¡sy-Martin-John Ward</t>
  </si>
  <si>
    <t>Freedom of Religion and Religious Pluralism</t>
  </si>
  <si>
    <t>Md. Jahid Hossain Bhuiyan-Carla M. Zoethout</t>
  </si>
  <si>
    <t>Renewable Energy Arbitration â€“ Quo Vadis?</t>
  </si>
  <si>
    <t>Filip Balcerzak</t>
  </si>
  <si>
    <t>From Trustworthiness to Secular Beliefs</t>
  </si>
  <si>
    <t>Christian Meyer-Philip Clart</t>
  </si>
  <si>
    <t>Effortless Spontaneity: The Dzogchen Commentaries by Nubchen Sangye Yeshe</t>
  </si>
  <si>
    <t>Dylan Esler</t>
  </si>
  <si>
    <t>Armenia Through the Lens of Time</t>
  </si>
  <si>
    <t>Federico Alpi-Robin Meyer-Irene Tinti-David Zakarian</t>
  </si>
  <si>
    <t>Plurilingualism in Traditional Eurasian Scholarship</t>
  </si>
  <si>
    <t>LANGUAGE ARTS &amp; DISCIPLINES / Reference</t>
  </si>
  <si>
    <t>Glenn W. Most-Dagmar SchÃ¤fer-MÃ¥rten SÃ¶derblom Saarela</t>
  </si>
  <si>
    <t>The Matter of Mimesis</t>
  </si>
  <si>
    <t>Marjolijn Bol-E. C. Spary</t>
  </si>
  <si>
    <t>Tradition, Transmission, Transformation</t>
  </si>
  <si>
    <t>Ragep</t>
  </si>
  <si>
    <t>Nordic Climate Histories</t>
  </si>
  <si>
    <t xml:space="preserve"> Dominik Collet-Ingar Ingar Gundersen-Heli Huhtamaa-Fredrik Ljungqvist-Astrid Ogilvie-Sam White</t>
  </si>
  <si>
    <t>UmstÃ¼lpen</t>
  </si>
  <si>
    <t>Florian Kappeler-Roman Widder</t>
  </si>
  <si>
    <t>La innovaciÃ³n educativa como herramienta para profesionales de la educaciÃ³n: experiencias en la facultad de formaciÃ³n del profesorado.</t>
  </si>
  <si>
    <t>Souto Seijo, Alba (EdiciÃ³n)-Dosil DÃ­az, Carlos (EdiciÃ³n)</t>
  </si>
  <si>
    <t>Informe Guesss EspaÃ±a 2024. El espÃ­ritu emprendedor de los estudiantes universitarios</t>
  </si>
  <si>
    <t>Laguna SÃ¡nchez, Pilar (CoordinaciÃ³n)-Santero SÃ¡nchez, Rosa (CoordinaciÃ³n)</t>
  </si>
  <si>
    <t>IV Congreso Internacional Educare + Educere para la formaciÃ³n del profesorado: Libro de resÃºmenes.</t>
  </si>
  <si>
    <t>Sotto DÃ­az, Arcadio (CoordinaciÃ³n)-Arroyo MartÃ­nez, Laura (CoordinaciÃ³n)</t>
  </si>
  <si>
    <t>TransformaciÃ³n digital y negocios inteligentes: la era de la inteligencia artificial.</t>
  </si>
  <si>
    <t>NaÃ±ez Alonso, Sergio Luis-Reier Forradellas, Ricardo Francisco</t>
  </si>
  <si>
    <t>Inteligencia artificial y educaciÃ³n: innovaciÃ³n pedagÃ³gica para un aprendizaje transformador.</t>
  </si>
  <si>
    <t>DÃ­az-Noguera, MarÃ­a Dolores (EdiciÃ³n)-HervÃ¡s GÃ³mez, Carlos (EdiciÃ³n)-Florina Grosu, Emilia (EdiciÃ³n)-MÃ¢È›Äƒ, Liliana (EdiciÃ³n)-Musata-Dacia, Bocos (EdiciÃ³n)</t>
  </si>
  <si>
    <t>Los contenidos laborales en las nuevas leyes sociales.</t>
  </si>
  <si>
    <t>Quintanilla Navarro, Raquel Yolanda (DirecciÃ³n)-Sempere Navarro, Antonio Vicente (DirecciÃ³n)</t>
  </si>
  <si>
    <t>GestiÃ³n sostenible de Recursos Humanos. AplicaciÃ³n de la sostenibilidad social, ambiental y econÃ³mica desde una perspectiva interdisciplinar.</t>
  </si>
  <si>
    <t>PeÃ±alver, Jonathan (CoordinaciÃ³n)-Villajos, Esther (CoordinaciÃ³n)</t>
  </si>
  <si>
    <t>Cuestiones innovadoras de la actividad universitaria en ciencias jurÃ­dicas en la era de la inteligencia artificial.</t>
  </si>
  <si>
    <t>LÃ³pez Espadafor, Carlos MarÃ­a (DirecciÃ³n)</t>
  </si>
  <si>
    <t>DÃ­rhams y feluses en contexto arqueolÃ³gico en la Vega Baja de Toledo. Una revisiÃ³n mÃ¡s que necesaria.</t>
  </si>
  <si>
    <t>GarcÃ­a Lerga, RubÃ©n-Lot</t>
  </si>
  <si>
    <t>La era de Robert Kennedy. Estado de Derecho, Literatura y decisiÃ³n democrÃ¡tica en el siglo XX</t>
  </si>
  <si>
    <t>San Miguel PÃ©rez, Enrique</t>
  </si>
  <si>
    <t>Implicaciones jurÃ­dico civiles de la violencia de gÃ©nero.</t>
  </si>
  <si>
    <t>Heras HernÃ¡ndez, MarÃ­a del Mar</t>
  </si>
  <si>
    <t>El derecho administrativo de la globalizaciÃ³n neoliberal. Un estudio desde el ordenamiento jurÃ­dico espaÃ±ol</t>
  </si>
  <si>
    <t>LAW / Administrative Law &amp; Regulatory Practice</t>
  </si>
  <si>
    <t>Melero Alonso, Eduardo</t>
  </si>
  <si>
    <t>CADE-U. Cuestionario para Analizar el Discurso Educativo (Profesorado Universitario).</t>
  </si>
  <si>
    <t>MartÃ­nez-Otero PÃ©rez, ValentÃ­n-Gaeta GonzÃ¡lez, Laura</t>
  </si>
  <si>
    <t>The educational revolution: new perspectives and innovative practices.</t>
  </si>
  <si>
    <t>Torres FernÃ¡ndez, CristÃ³bal (DirecciÃ³n)-Paramio Leiva, Alberto (CoordinaciÃ³n)-Elvira-Zorzo, MarÃ­a Natividad (CoordinaciÃ³n)-Torrez Meruvia, Harold (CoordinaciÃ³n)-LÃ³pez-Medina, Esteban F. (CoordinaciÃ³n)</t>
  </si>
  <si>
    <t>Actuales tendencias turÃ­sticas en la nueva era del turismo.</t>
  </si>
  <si>
    <t>CastaÃ±o Prieto, LucÃ­a (CoordinaciÃ³n)-GarcÃ­a GarcÃ­a, LucÃ­a (CoordinaciÃ³n)-Aguilar Rivero, Minerva (CoordinaciÃ³n)-Ortega PÃ©rez, Laura (CoordinaciÃ³n)</t>
  </si>
  <si>
    <t>Recursos lÃºdicos en la enseÃ±anza de portuguÃ©s en Brasil y en Portugal.</t>
  </si>
  <si>
    <t>Coelho Barbosa, Keila</t>
  </si>
  <si>
    <t>DinÃ¡mica del turismo: anÃ¡lisis del perfil del visitante y su comportamiento en eventos culturales, religiosos y temporadas turÃ­sticas.</t>
  </si>
  <si>
    <t>Gonzaga-Vallejo, Clara (CoordinaciÃ³n)</t>
  </si>
  <si>
    <t>Visiones sobre la integraciÃ³n educativa de la inteligencia artificial.</t>
  </si>
  <si>
    <t>RomÃ¡n-GravÃ¡n, Pedro (EdiciÃ³n)-Barroso-Osuna, Julio (EdiciÃ³n)-Cabero-Almenara, Julio (EdiciÃ³n)-Llorente-Cejudo, Carmen (EdiciÃ³n)</t>
  </si>
  <si>
    <t>Aprender investigando: coinvestigaciÃ³n escolar con niÃ±as, niÃ±os y adolescentes.</t>
  </si>
  <si>
    <t>EDUCATION / Research</t>
  </si>
  <si>
    <t>Saracostti Schwartzman, Mahia-De Toro Consuagra, Ximena-Suazo Galdames, IvÃ¡n</t>
  </si>
  <si>
    <t>Alternativas sostenibles para una educaciÃ³n de calidad: educaciÃ³n multimodal.</t>
  </si>
  <si>
    <t>BarragÃ¡n-SÃ¡nchez, Raquel (EdiciÃ³n)-PiÃ±ero-Virue, RocÃ­o (EdiciÃ³n)-RodrÃ­guez-Gallego, Margarita R. (EdiciÃ³n)-PÃ©rez-Wic, Carlos (EdiciÃ³n)</t>
  </si>
  <si>
    <t>Democracia paritaria y redistribuciÃ³n del poder. Presencia, representaciÃ³n y reconocimiento</t>
  </si>
  <si>
    <t>LAW / Constitutional</t>
  </si>
  <si>
    <t>HernÃ¡ndez Darriba, Iraia (DirecciÃ³n)</t>
  </si>
  <si>
    <t>Los derechos de los menores extranjeros no acompaÃ±ados en la frontera. Normativa internacional y prÃ¡ctica espaÃ±ola a la luz de la jurisprudencia del ComitÃ© de los Derechos del NiÃ±o y de los Tribunales Europeos</t>
  </si>
  <si>
    <t>LAW / Jurisprudence</t>
  </si>
  <si>
    <t>Milano, Valentina</t>
  </si>
  <si>
    <t>Ciencia Abierta. Derecho Procesal Civil (I): Procesos Ordinarios.</t>
  </si>
  <si>
    <t>LAW / Civil Procedure</t>
  </si>
  <si>
    <t>Calaza LÃ³pez, Sonia (DirecciÃ³n)-OrdeÃ±ana Gezuraga, Ixusko (DirecciÃ³n)</t>
  </si>
  <si>
    <t>ProducciÃ³n y gestiÃ³n del conocimiento en educaciÃ³n: complejidad, innovaciÃ³n y desarrollo profesional.</t>
  </si>
  <si>
    <t>MartÃ­n Bris, Mario (CoordinaciÃ³n)-VÃ©lez JimÃ©nez, Dolores (CoordinaciÃ³n)-Jabonero Blanco, Mario (CoordinaciÃ³n)</t>
  </si>
  <si>
    <t>EducaciÃ³n y humanidades como ejes de investigaciÃ³n e innovaciÃ³n.</t>
  </si>
  <si>
    <t>Ãlvarez-Herrero, Juan Francisco-AntolÃ­ MartÃ­nez, Jordi-Cusano, Pompillo</t>
  </si>
  <si>
    <t>InnovaciÃ³n y buenas prÃ¡cticas docentes en la educaciÃ³n superior: experiencias y desafÃ­os.</t>
  </si>
  <si>
    <t>Roy Sadradin, Damarys (DirecciÃ³n)-CatalÃ¡n Cueto, Juan Pablo (DirecciÃ³n)-PeÃ±a Caldera, Victoria (DirecciÃ³n)</t>
  </si>
  <si>
    <t>La teorÃ­a de Bildung: el retorno a una educaciÃ³n centrada en la persona.</t>
  </si>
  <si>
    <t>Murillo, Fernando (EdiciÃ³n)</t>
  </si>
  <si>
    <t>Reflexionar sobre el padecer hoy. AledaÃ±os de la salud, la clÃ­nica y la psiquiatrÃ­a.</t>
  </si>
  <si>
    <t>Romero MartÃ­n, Francisco (EdiciÃ³n)-PiÃ±eiro BalvÃ­s, AntÃ­a (EdiciÃ³n)-SantamarÃ­a Santiago, Manuel (EdiciÃ³n)-BÄ…k, Agata (EdiciÃ³n)</t>
  </si>
  <si>
    <t>Patrimonio audiovisual y fotoperiodismo. AnÃ¡lisis y retos de la imagen periodÃ­stica.</t>
  </si>
  <si>
    <t>PHOTOGRAPHY / Photojournalism</t>
  </si>
  <si>
    <t>GascÃ³n-Vera, Patricia</t>
  </si>
  <si>
    <t>Perspectivas innovadoras y aprendizaje activo.</t>
  </si>
  <si>
    <t>Luque de la Rosa, Antonio (CoordinaciÃ³n)-MartÃ­nez-Domingo, JosÃ© Antonio (CoordinaciÃ³n)-Mellado-Moreno, Pedro C. (CoordinaciÃ³n)-PelÃ­cano Piris, Noelia (CoordinaciÃ³n)</t>
  </si>
  <si>
    <t>ArteSanos. Una MetodologÃ­a Transformadora para Educar en el Desarrollo Humano y Social de Manera Integral.</t>
  </si>
  <si>
    <t>MajÃ¡n NavalÃ³n, RaÃºl-Sanz Molina, Lidia-MalagÃ³n Mora, MÃ³nica-Pineda CortÃ©s, Edwin RenÃ©-Angulo AragonÃ©s, Alba</t>
  </si>
  <si>
    <t>La universidad entre la Ã©tica y los cambios generacionales y tecnolÃ³gicos.</t>
  </si>
  <si>
    <t>Guerra GonzÃ¡lez, MarÃ­a del Rosario (CoordinaciÃ³n)-Caballero Reynaga, Nancy (CoordinaciÃ³n)-Villamar LÃ³pez, Leticia (CoordinaciÃ³n)</t>
  </si>
  <si>
    <t>El camino del emprendedor: teorÃ­a, persona y ecosistema de innovaciÃ³n.</t>
  </si>
  <si>
    <t>Cardella, Giuseppina Maria (EdiciÃ³n)-HernÃ¡ndez-SÃ¡nchez, Brizeida R. (EdiciÃ³n)-Freire MargaÃ§a, Clara (EdiciÃ³n)-SÃ¡nchez-GarcÃ­a, JosÃ© C. (EdiciÃ³n)</t>
  </si>
  <si>
    <t>Las influencias filosÃ³ficas en la obra de Virginia Woolf.</t>
  </si>
  <si>
    <t>LITERARY CRITICISM / European / English, Irish, Scottish, Welsh</t>
  </si>
  <si>
    <t>Pacheco Costa, VerÃ³nica</t>
  </si>
  <si>
    <t>Estrategias didÃ¡cticas con recursos innovadores abiertos en contextos hÃ­bridos de aprendizaje.</t>
  </si>
  <si>
    <t>Torralba-Burrial, Antonio (EdiciÃ³n)-GarcÃ­a-Sampedro, Marta (EdiciÃ³n)</t>
  </si>
  <si>
    <t>La Ley: representaciones audiovisuales, literarias y simbÃ³licas.</t>
  </si>
  <si>
    <t>DÃ­az-Lucena, Antonio (EdiciÃ³n)-Sanz DÃ­ez, MarÃ­a (EdiciÃ³n)</t>
  </si>
  <si>
    <t>El proceso monitorio europeo en el marco de la jurisprudencia del tribunal de justicia de la UniÃ³n Europea.</t>
  </si>
  <si>
    <t>Romero Candau, Santiago</t>
  </si>
  <si>
    <t>CriminologÃ­a verde: alternativas a la impunidad y al punitivismo ante los daÃ±os bio-socio-ecolÃ³gicos/green criminology: alternatives to impunity and punitivism facing bio-socio-ecological harms.</t>
  </si>
  <si>
    <t>LAW / Environmental</t>
  </si>
  <si>
    <t>Varona MartÃ­nez, Gema (EdiciÃ³n)</t>
  </si>
  <si>
    <t>InnovaciÃ³n educativa. Perspectivas y experiencias para la transformaciÃ³n del aprendizaje.</t>
  </si>
  <si>
    <t>Palacios-RodrÃ­guez, Antonio (EdiciÃ³n)-Domene-Martos, Soledad (EdiciÃ³n)-PiÃ±ero-Virue, RocÃ­o (EdiciÃ³n)-FernÃ¡ndez-Cerero, JosÃ© (EdiciÃ³n)</t>
  </si>
  <si>
    <t>Propuestas educativas en la era de la IA. RegulaciÃ³n y uso Ã©tico.</t>
  </si>
  <si>
    <t>QuirÃ³s Fons, Antonio (CoordinaciÃ³n)</t>
  </si>
  <si>
    <t>Memoria democrÃ¡tica y sociedad internacional: ecos de la Guerra Civil espaÃ±ola.</t>
  </si>
  <si>
    <t>GutiÃ©rrez Castillo, VÃ­ctor Luis (CoordinaciÃ³n)</t>
  </si>
  <si>
    <t>Realidades y retos de las polÃ­ticas alimentarias y de la sostenibilidad en un mundo global en aceleraciÃ³n: estudios de caso.</t>
  </si>
  <si>
    <t>Fillol Mazo, Adriana (CoordinaciÃ³n)-Coq Huelva, Daniel (CoordinaciÃ³n)</t>
  </si>
  <si>
    <t>Mentes y mundos. Una exploraciÃ³n desde el conocimiento humano.</t>
  </si>
  <si>
    <t>PHILOSOPHY / Mind &amp; Body</t>
  </si>
  <si>
    <t>Chaves-Montero, Alfonso (CoordinaciÃ³n)-BermÃºdez VÃ¡zquez, Manuel (CoordinaciÃ³n)</t>
  </si>
  <si>
    <t>El Islam polÃ­tico y la comunicaciÃ³n tecno-retÃ³rica y argumentativa.</t>
  </si>
  <si>
    <t>POLITICAL SCIENCE / Political Process / Political Parties</t>
  </si>
  <si>
    <t>Mohamed El Mouden El Mouden</t>
  </si>
  <si>
    <t>EducaciÃ³n, cine y literatura oral.</t>
  </si>
  <si>
    <t>EDUCATION / Comparative</t>
  </si>
  <si>
    <t>GÃ³mez LÃ³pez, Nieves (CoordinaciÃ³n)</t>
  </si>
  <si>
    <t>EducaciÃ³n en movimiento: avances, innovaciones y evaluaciÃ³n que transforman.</t>
  </si>
  <si>
    <t>Vega Caro, Luisa (CoordinaciÃ³n)-Vico Bosch, Alba (CoordinaciÃ³n)</t>
  </si>
  <si>
    <t>El poder de la enseÃ±anza: herramientas educativas para un mundo diverso.</t>
  </si>
  <si>
    <t>Vico Bosch, Alba (CoordinaciÃ³n)-Vega Caro, Luisa (CoordinaciÃ³n)</t>
  </si>
  <si>
    <t>Puentes del saber: transformando la educaciÃ³n y la ciencia para el futuro.</t>
  </si>
  <si>
    <t>LÃ³pez-CarriÃ³n, Alberto E. (CoordinaciÃ³n)-Hidalgo-Cobo, Pablo (CoordinaciÃ³n)-Montes-RodrÃ­guez, Gustavo (CoordinaciÃ³n)</t>
  </si>
  <si>
    <t>Educar, comunicar, expresar y conocer. Estrategias y prÃ¡cticas en la enseÃ±anza contemporÃ¡nea.</t>
  </si>
  <si>
    <t>Levratto, Valeria (CoordinaciÃ³n)-RodrÃ­guez-RodrÃ­guez, Carmen (CoordinaciÃ³n)-RamÃ© LÃ³pez, JesÃºs (CoordinaciÃ³n)</t>
  </si>
  <si>
    <t>InnovaciÃ³n y reflexiÃ³n en las artes: conexiones entre prÃ¡cticas artÃ­sticas, educaciÃ³n y cultura.</t>
  </si>
  <si>
    <t>ART / Criticism &amp; Theory</t>
  </si>
  <si>
    <t>Ranilla RodrÃ­guez, Miguel (CoordinaciÃ³n)-Salazar RodrÃ­guez, Amaia (CoordinaciÃ³n)</t>
  </si>
  <si>
    <t>Las ciencias sociales en los desafÃ­os contemporÃ¡neos. La dimensiÃ³n humana en perspectiva.</t>
  </si>
  <si>
    <t>Vidal LÃ³pez, JoaquÃ­n (CoordinaciÃ³n)</t>
  </si>
  <si>
    <t>Nuevos paradigmas de la democracia en un mundo en transformaciÃ³n.</t>
  </si>
  <si>
    <t>Renobell Santaren, VÃ­ctor (CoordinaciÃ³n)-GonzÃ¡lez Guillem, David (CoordinaciÃ³n)-Chaves-Montero, Alfonso (CoordinaciÃ³n)</t>
  </si>
  <si>
    <t>EducaciÃ³n para la diversidad: inclusiÃ³n, bienestar y sostenibilidad en contextos emergentes.</t>
  </si>
  <si>
    <t>HervÃ¡s-GÃ³mez, Carlos (editor)-DÃ­az-Noguera, MarÃ­a Dolores (editor)-Barkoczi, Nadia (editor)-Ballesteros-RegaÃ±a, CristÃ³bal (editor)-DomÃ­nguez-GonzÃ¡lez, MarÃ­a de los Ãngeles (editor)</t>
  </si>
  <si>
    <t>DesafÃ­os y potencialidades de la inteligencia artificial: nuevos paradigmas para la calidad educativa.</t>
  </si>
  <si>
    <t>DÃ­az-Noguera, MarÃ­a Dolores (editor)-HervÃ¡s-GÃ³mez, Carlos (editor)-(editor)-DomÃ­nguez-GonzÃ¡lez, MarÃ­a de los Ãngeles (editor)-Reina-Parrado, Manuel (editor)</t>
  </si>
  <si>
    <t>Aprender para el futuro: educaciÃ³n y competencias esenciales en la era de la inteligencia artificial.</t>
  </si>
  <si>
    <t>HervÃ¡s-GÃ³mez, Carlos (editor)-DÃ­az-Noguera, MarÃ­a Dolores (editor)-DomÃ­nguez-GonzÃ¡lez, MarÃ­a de los Ãngeles (editor)-SÃ¡nchez Vera, Fulgencio (editor)-Luque de la Rosa, Antonio (editor)</t>
  </si>
  <si>
    <t>Media Engagement, Literacy, and Dialogue Among European Youth</t>
  </si>
  <si>
    <t>Harald Hornmoen-Nathalie Hyde-Clarke-Dagny Stuedahl</t>
  </si>
  <si>
    <t>Women In, and Beyond, Business Schools</t>
  </si>
  <si>
    <t>BUSINESS &amp; ECONOMICS / Women in Business</t>
  </si>
  <si>
    <t>Eric Cornuel-Nicola Kleyn-Howard Thomas-Matthew Wood</t>
  </si>
  <si>
    <t>The New Global Economic Order</t>
  </si>
  <si>
    <t>BUSINESS &amp; ECONOMICS / Globalization</t>
  </si>
  <si>
    <t>Lili Yan Ing-Dani Rodrik</t>
  </si>
  <si>
    <t>Proceedings of the International Conference on Knots, Quivers and Beyond (ICKQB 2025)</t>
  </si>
  <si>
    <t>Ramadevi Pichai-Johannes Walcher</t>
  </si>
  <si>
    <t>Schreibende KI -- ein interdisziplinÃ¤rer Diskurs</t>
  </si>
  <si>
    <t>Alke Martens-Clemens H. Cap</t>
  </si>
  <si>
    <t>Hans Joachim Specht</t>
  </si>
  <si>
    <t>Sanja Damjanovic-Volker Metag-Jurgen Schukraft-Hans Joachim Specht</t>
  </si>
  <si>
    <t>Agent AI for Finance</t>
  </si>
  <si>
    <t>Chung-Chi Chen-Hiroya Takamura</t>
  </si>
  <si>
    <t>The Wild Australia Show</t>
  </si>
  <si>
    <t>HISTORY / Australia &amp; New Zealand</t>
  </si>
  <si>
    <t>Paul Memmott-Maria Nugent-Michael Aird-Lindy Allen-Chantal Knowles-Jonathan Richards</t>
  </si>
  <si>
    <t>Moral Design and Technology</t>
  </si>
  <si>
    <t>Bart Wernaart</t>
  </si>
  <si>
    <t>Katholische DunkelrÃ¤ume</t>
  </si>
  <si>
    <t>RELIGION / History</t>
  </si>
  <si>
    <t>Birgit Aschmann</t>
  </si>
  <si>
    <t>Non-use Measures for Global Goods and Commons in International Law</t>
  </si>
  <si>
    <t>SolÃ¨ne Guggisberg-Catherine Blanchard</t>
  </si>
  <si>
    <t>Governing Migration for Development From the Global Souths</t>
  </si>
  <si>
    <t>DÃªlidji Eric Degila-Valeria Marina Valle</t>
  </si>
  <si>
    <t>Material Perspectives on Religion, Conflict, and Violence</t>
  </si>
  <si>
    <t>PHILOSOPHY / Religious</t>
  </si>
  <si>
    <t>Lucien van Liere-Erik Meinema</t>
  </si>
  <si>
    <t>Philosophical Perspectives on Galen of Pergamum: Four Case-Studies on Human Nature and the Relation Between Body and Soul</t>
  </si>
  <si>
    <t>Forms of Representation in the Aristotelian Tradition. Volume Three: Concept Formation</t>
  </si>
  <si>
    <t>Christina Thomsen ThÃ¶rnqvist-Juhana Toivanen</t>
  </si>
  <si>
    <t>Forms of Representation in the Aristotelian Tradition. Volume Two: Dreaming</t>
  </si>
  <si>
    <t>Forms of Representation in the Aristotelian Tradition. Volume One: Sense Perception</t>
  </si>
  <si>
    <t>Juhana Toivanen</t>
  </si>
  <si>
    <t>Gender in Peacebuilding</t>
  </si>
  <si>
    <t>Elisabeth PrÃ¼gl-Christelle Rigual-Rahel Kunz-Mimidoo Achakpa-Henri Myrttinen-Joy Onyesoh-Arifah Rahmawati-Wening Udasmoro</t>
  </si>
  <si>
    <t>Inventing Origins? Aetiological Thinking in Greek and Roman Antiquity</t>
  </si>
  <si>
    <t>Antje Wessels-Jacqueline Klooster</t>
  </si>
  <si>
    <t>Intra-European Litigation in Eighteenth-Century Izmir</t>
  </si>
  <si>
    <t>Tijl Vanneste</t>
  </si>
  <si>
    <t>Curriculum and Learning for Climate Action</t>
  </si>
  <si>
    <t>Radhika Iyengar-Christina T. Kwauk</t>
  </si>
  <si>
    <t>Local Color</t>
  </si>
  <si>
    <t>Karma F. Frierson</t>
  </si>
  <si>
    <t>Borders, Citizenship, and Pregnancy</t>
  </si>
  <si>
    <t>Gwyneth Lonergan</t>
  </si>
  <si>
    <t>Shoulder Fractures in Context</t>
  </si>
  <si>
    <t>MEDICAL / Surgery / Orthopedic</t>
  </si>
  <si>
    <t>Stig Brorson</t>
  </si>
  <si>
    <t>Bildverarbeitung in der Automation</t>
  </si>
  <si>
    <t>Volker Lohweg</t>
  </si>
  <si>
    <t>3D Research Challenges in Cultural Heritage IV</t>
  </si>
  <si>
    <t>Marinos Ioannides-Giovanni Issini-Daniel Oliveira</t>
  </si>
  <si>
    <t>Anonyme SozialitÃ¤t - AnnÃ¤herungen an das PhÃ¤nomen der Menschenmenge</t>
  </si>
  <si>
    <t>Krisztina KÃ³nya</t>
  </si>
  <si>
    <t>Uncertainty in Climate Change Research</t>
  </si>
  <si>
    <t>Linda O. Mearns-Chris E. Forest-Hayley J. Fowler-Robert Lempert-Robert L. Wilby</t>
  </si>
  <si>
    <t>Paul L., Haun-Julia J., Scarisbrick</t>
  </si>
  <si>
    <t>Transregnal Kingship in the Thirteenth Century</t>
  </si>
  <si>
    <t>Liverpool University Press / Books</t>
  </si>
  <si>
    <t>JÃ¶rg Peltzer-Nicholas Vincent</t>
  </si>
  <si>
    <t>The Judeo-Christian Thought of Franz Rosenzweig</t>
  </si>
  <si>
    <t>PHILOSOPHY / Movements / Existentialism</t>
  </si>
  <si>
    <t>Daniel M Herskowitz</t>
  </si>
  <si>
    <t>The Birth of Psychological War</t>
  </si>
  <si>
    <t>Dr Jeffrey Whyte</t>
  </si>
  <si>
    <t>Religion, Spirituality, and Public Health</t>
  </si>
  <si>
    <t>Karen O'Brien-Kop-Suzanne Newcombe</t>
  </si>
  <si>
    <t>Reading the Margins of the Early Modern Bible</t>
  </si>
  <si>
    <t>RELIGION / Christian Ministry / General</t>
  </si>
  <si>
    <t>Ezra Horbury</t>
  </si>
  <si>
    <t>Prosody in Medieval English and Norse</t>
  </si>
  <si>
    <t>LANGUAGE ARTS &amp; DISCIPLINES / Linguistics / Etymology</t>
  </si>
  <si>
    <t>Dr Nelson Goering</t>
  </si>
  <si>
    <t>On the Edges of Christendom</t>
  </si>
  <si>
    <t>Teresa Witcombe</t>
  </si>
  <si>
    <t>Lives and Deaths of Werther</t>
  </si>
  <si>
    <t>Johannes Kaminski</t>
  </si>
  <si>
    <t>Liturgy, Literature and History</t>
  </si>
  <si>
    <t>Johanna Dale</t>
  </si>
  <si>
    <t>Equity and Trusts in Sanskrit Jurisprudence</t>
  </si>
  <si>
    <t>Christopher T. Fleming</t>
  </si>
  <si>
    <t>Comparing the Worth of the While in Fiji and Finland</t>
  </si>
  <si>
    <t>Matti ErÃ¤saari</t>
  </si>
  <si>
    <t>Childhood in Liberal Theory</t>
  </si>
  <si>
    <t>PHILOSOPHY / Environmental</t>
  </si>
  <si>
    <t>NicolÃ¡s Brando</t>
  </si>
  <si>
    <t>Capital, Privilege and Political Participation</t>
  </si>
  <si>
    <t>POLITICAL SCIENCE / Political Process / Political Advocacy</t>
  </si>
  <si>
    <t>Joe Greenwood-Hau</t>
  </si>
  <si>
    <t>Ancient Synagogues in Palestine</t>
  </si>
  <si>
    <t>Jodi Magness</t>
  </si>
  <si>
    <t>Venture Builders and the Creation of Scaleups</t>
  </si>
  <si>
    <t>BUSINESS &amp; ECONOMICS / Small Business</t>
  </si>
  <si>
    <t>Paola Belingheri-Christian Lechner</t>
  </si>
  <si>
    <t>Can Asians Think of Peace?</t>
  </si>
  <si>
    <t>Kishore Mahbubani-Varigonda Kesava Chandra-Kristen Tang</t>
  </si>
  <si>
    <t>Thinking Swarms</t>
  </si>
  <si>
    <t>Simon Ng-Jason Beaufort Scholz-Hussein A. Abbass</t>
  </si>
  <si>
    <t>NormativitÃ¤t und ProfessionalitÃ¤t Sozialer Arbeit</t>
  </si>
  <si>
    <t>Sebastian Hempel</t>
  </si>
  <si>
    <t>Sexuelle Bildung in der Grundschule und der universitÃ¤ren  Lehrer*innenausbildung</t>
  </si>
  <si>
    <t>Constanze Struck-Saskia Warburg</t>
  </si>
  <si>
    <t>Berufliche Bildung fÃ¼r nachhaltige Entwicklung in der Kommunalverwaltung</t>
  </si>
  <si>
    <t>Anna-Franziska KÃ¤hler</t>
  </si>
  <si>
    <t>Akademische ZukÃ¼nfte der Erwachsenenbildung</t>
  </si>
  <si>
    <t>Malte Ebner von Eschenbach-Maria Kondratjuk</t>
  </si>
  <si>
    <t>EinflÃ¼sse beruflicher Sozialisation auf die erfolgreiche StudienbewÃ¤ltigung</t>
  </si>
  <si>
    <t>Manuela StÃ¤rk</t>
  </si>
  <si>
    <t>The Making of an Anglo-Jewish Scholar</t>
  </si>
  <si>
    <t>RELIGION / Judaism / Sacred Writings</t>
  </si>
  <si>
    <t>David B. Ruderman</t>
  </si>
  <si>
    <t>Dictionary As Commentary - Arabic Lexicography in the Post-Formative Period</t>
  </si>
  <si>
    <t>Colinda Lindermann</t>
  </si>
  <si>
    <t>The Islamic Council of Norway and the Challenge of Representing Islam in Europe</t>
  </si>
  <si>
    <t>SOCIAL SCIENCE / Islamic Studies</t>
  </si>
  <si>
    <t>Olav Elgvin</t>
  </si>
  <si>
    <t>Expanding Navigation Application and Empowering the Future of Humanity</t>
  </si>
  <si>
    <t>TECHNOLOGY &amp; ENGINEERING / Sensors</t>
  </si>
  <si>
    <t>Shijun Chen-Siwen Dong-Weihua Guo-Yan Wang-Feifei Zhang-Yang Liu-Yuxiang Wang-Erdan Ma</t>
  </si>
  <si>
    <t>Towards Resilient Societies: The Synergy of Religion, Education, Health, Science, and Technology</t>
  </si>
  <si>
    <t>Maila D.H. Rahiem</t>
  </si>
  <si>
    <t>Bridging the Digital Divide in the US</t>
  </si>
  <si>
    <t>Mildred E. Warner-Natassia A. Bravo-Duxixi (Ada) Shen</t>
  </si>
  <si>
    <t>Caring Fathers in the Global Context</t>
  </si>
  <si>
    <t>Petteri Eerola-Katherine Twamley-Henna Pirskanen-Pedro Romero-Balsas</t>
  </si>
  <si>
    <t>The Generosity of Social Policies in Socialist and Post-Socialist States</t>
  </si>
  <si>
    <t>POLITICAL SCIENCE / Comparative Politics</t>
  </si>
  <si>
    <t>Andreas Heinrich-Monika Ewa Kaminska-Heiko Pleines-Tobias ten Brink</t>
  </si>
  <si>
    <t>Funerary Textiles in Situ</t>
  </si>
  <si>
    <t>Elsa Yvanez-Magdalena M. Wozniak</t>
  </si>
  <si>
    <t>The Future of Humans and Emotional Machines</t>
  </si>
  <si>
    <t>LITERARY CRITICISM / Asian / Japanese</t>
  </si>
  <si>
    <t>Elena Giannoulis</t>
  </si>
  <si>
    <t>Resilient Cities in the Global South</t>
  </si>
  <si>
    <t>BUSINESS &amp; ECONOMICS / Urban &amp; Regional</t>
  </si>
  <si>
    <t>Lakshmi Priya Rajendran-NezHapi-DellÃ© Odeleye-Aysegul Can</t>
  </si>
  <si>
    <t>The Euthalian Tradition of the New Testament: A Catalogue of Greek Manuscripts</t>
  </si>
  <si>
    <t>Garrick V. Allen-Kimberley A. Fowler-Emanuele Scieri-Maxim Venetskov</t>
  </si>
  <si>
    <t>Cultural Transformations in Germania Secunda</t>
  </si>
  <si>
    <t>HISTORY / Ancient / Rome</t>
  </si>
  <si>
    <t>Berber S. van der Meulen-van der Veen</t>
  </si>
  <si>
    <t>Assyria and the West</t>
  </si>
  <si>
    <t>Pieter van der Veen-Ronald Wallenfels</t>
  </si>
  <si>
    <t>Constructing Worlds of Labour</t>
  </si>
  <si>
    <t>SOCIAL SCIENCE / Developing &amp; Emerging Countries</t>
  </si>
  <si>
    <t>Ulrich MÃ¼ckenberger-Heiner Fechner-Irene Dingeldey</t>
  </si>
  <si>
    <t>Cutting-Edge Innovations in Teaching, Leadership, Technology, and Assessment</t>
  </si>
  <si>
    <t>Asma Khaleel Abdallah-Ahmed Mohammed Alkaabi-Rashid Al-Riyami</t>
  </si>
  <si>
    <t>Creativity, Society, and the Role of Socially Engaged Art in Higher Arts Education</t>
  </si>
  <si>
    <t>Kai Lehikoinen</t>
  </si>
  <si>
    <t>Vector-Valued Orthogonal Modular Forms</t>
  </si>
  <si>
    <t>European Mathematical Society - EMS - Publishing House GmbH</t>
  </si>
  <si>
    <t>MATHEMATICS / Complex Analysis</t>
  </si>
  <si>
    <t>Shouhei Ma</t>
  </si>
  <si>
    <t>La formule des traces tordue pour un corps global de caractÃ©ristique p&gt;0</t>
  </si>
  <si>
    <t>MATHEMATICS / Functional Analysis</t>
  </si>
  <si>
    <t>Jean-Pierre Labesse, Bertrand Lemaire</t>
  </si>
  <si>
    <t>Derecho vivo de la Seguridad Social - IX Seminario Permanente de Estudio y ActualizaciÃ³n URJC-AESSS 2024</t>
  </si>
  <si>
    <t>Ediciones Laborum, SL</t>
  </si>
  <si>
    <t>POLITICAL SCIENCE / Public Policy / Social Security</t>
  </si>
  <si>
    <t>VV.AA.</t>
  </si>
  <si>
    <t>Derecho a la identidad bioloÌgica de las personas intersexuales en la constitucioÌn de la RepuÌblica Bolivariana de Venezuela</t>
  </si>
  <si>
    <t>Mayra Alejandra Pascual GuzmÃ¡n</t>
  </si>
  <si>
    <t>Acceso al mercado de trabajo de la mujer LTBI. AnÃ¡lisis y Propuestas</t>
  </si>
  <si>
    <t>BUSINESS &amp; ECONOMICS / Labor / General</t>
  </si>
  <si>
    <t>AI and the Exercise of Judicial Authority, Ex Machina</t>
  </si>
  <si>
    <t>Beata StÄ™pieÅ„-ZaÅ‚ucka</t>
  </si>
  <si>
    <t>Active Learning in Higher Education</t>
  </si>
  <si>
    <t>EDUCATION / Learning Styles</t>
  </si>
  <si>
    <t>Marija Stevkovska-Marijana Klemenchich-Katerina Mitevska Petrushevska-Ozlem Kurt</t>
  </si>
  <si>
    <t>Women, Work and the Everyday Politics of Welfare</t>
  </si>
  <si>
    <t>Helen Blakely</t>
  </si>
  <si>
    <t>Human Trafficking of Children and Young People</t>
  </si>
  <si>
    <t>Patricia Hynes-Anna Skeels-Laura DurÃ¡n</t>
  </si>
  <si>
    <t>Diverse Transnational Care</t>
  </si>
  <si>
    <t>Tanja Bastia-Claudia Calsina</t>
  </si>
  <si>
    <t>Governing Climate Mobility in Africa</t>
  </si>
  <si>
    <t>Ninna Nyberg SÃ¸rensen-Lily Salloum Lindegaard-Neil Webster</t>
  </si>
  <si>
    <t>Proceedings of the 3rd International Conference on Language and Cultural Communication (ICLCC 2025)</t>
  </si>
  <si>
    <t>Sharifah Faizah Syed Mohamme-Yao Song-Hafriza Burhanudeen-Guiyun Guan</t>
  </si>
  <si>
    <t>Proceedings of the 2025 11th International Conference on Humanities and Social Science Research (ICHSSR 2025)</t>
  </si>
  <si>
    <t>Bootheina Majoul-Abdullah Abdullah-Sharifah Faizah Syed Mohammed-Fonny Dameaty Hutagalung</t>
  </si>
  <si>
    <t>Trends in the Treatment of Cerebrovascular Diseases</t>
  </si>
  <si>
    <t>MEDICAL / Surgery / Neurosurgery</t>
  </si>
  <si>
    <t>Giuseppe Esposito-Yasuhiko Kaku-Martina SebÃ¶k-Luca Regli-Tetsuya Tsukahara</t>
  </si>
  <si>
    <t>Freiwilliges Engagement in Sportvereinen in peripher-lÃ¤ndlichen RÃ¤umen</t>
  </si>
  <si>
    <t>Ulrike Burrmann-Sebastian Braun</t>
  </si>
  <si>
    <t>Proofs and Research Programmes: Lakatos at 100</t>
  </si>
  <si>
    <t>Roman Frigg-J. McKenzie Alexander-Laurenz Hudetz-Miklos RÃ©dei-Lewis Ross</t>
  </si>
  <si>
    <t>Optimization of Gridshells Against Instability Considering Jointsâ€™ Mechanical Performance</t>
  </si>
  <si>
    <t>Mingfei Lu-Jihong Ye-Hui Li</t>
  </si>
  <si>
    <t>The Vicissitudes of Psychoanalysis in Soviet Russia, 1930-1980</t>
  </si>
  <si>
    <t>HISTORY / Russia / General</t>
  </si>
  <si>
    <t>Lizaveta van Munsteren</t>
  </si>
  <si>
    <t>Joining up in the Second World War</t>
  </si>
  <si>
    <t>HISTORY / Europe / Great Britain / 20th Century</t>
  </si>
  <si>
    <t>Joel Morley</t>
  </si>
  <si>
    <t>Medical Care, Humanitarianism and Intimacy in the Long Second World War, 1931-1953</t>
  </si>
  <si>
    <t>SOCIAL SCIENCE / Philanthropy &amp; Charity</t>
  </si>
  <si>
    <t>Marie-Luce Desgrandchamps-Laure Humbert-Bertrand Taithe-RaphaÃ«le Balu</t>
  </si>
  <si>
    <t>The Education of a Child up to Seven Years of Age. The Polish Perspective</t>
  </si>
  <si>
    <t>Katarzyna Sadowska-Kinga Kuszak</t>
  </si>
  <si>
    <t>Inwentarze kolegium jezuitÃ³w w MiÅ„sku oraz jego majÄ…tkÃ³w ziemskich z przeÅ‚omu roku 1773 i 1774</t>
  </si>
  <si>
    <t>Andrea Mariani (opracowanie i wstÄ™p)</t>
  </si>
  <si>
    <t>The Geopolitics of Hydrogen</t>
  </si>
  <si>
    <t>Rainer Quitzow-Yana Zabanova</t>
  </si>
  <si>
    <t>Infrastructures of Reality: Metaverse Stories, Spaces, Bodies</t>
  </si>
  <si>
    <t>COMPUTERS / Data Science / General</t>
  </si>
  <si>
    <t>Chris Hesselbein-Paolo Bory</t>
  </si>
  <si>
    <t>The Mechanical Behavior of Salt XI</t>
  </si>
  <si>
    <t>Steven Sobolik-Mathew Ingraham-Edward Matteo-Melissa Mills-Tonya Ross-Donald Conley-John Stormont</t>
  </si>
  <si>
    <t>Modelling the Energy Transition</t>
  </si>
  <si>
    <t>Robert Matthias Erdbeer-Veit Hagenmeyer-Klaus Stierstorfer</t>
  </si>
  <si>
    <t>Proceedings of the 3rd International Conference on Science in Engineering and Technology (ICOSIET 2024)</t>
  </si>
  <si>
    <t>Hideo Oshikawa-Vipinkumar Gaurishankat Yadav-Zhengjiang Shen-Supachok Tanpichai-Iqbal Pratama</t>
  </si>
  <si>
    <t>Decarbonizing Rural Buildings and Rural Energy System</t>
  </si>
  <si>
    <t>TECHNOLOGY &amp; ENGINEERING / Construction / Heating, Ventilation &amp; Air Conditioning</t>
  </si>
  <si>
    <t>Building Energy Research Center Tsinghua University</t>
  </si>
  <si>
    <t>Cultural Production of Hallyu in the Digital Platform Era</t>
  </si>
  <si>
    <t>Dal Yong Jin</t>
  </si>
  <si>
    <t>Teaching and Transformation in Popular Confucian Literature of the Late Qing</t>
  </si>
  <si>
    <t>Katherine L Alexander</t>
  </si>
  <si>
    <t>Algorithms Against Fraud and Corruption - with Practical Application</t>
  </si>
  <si>
    <t>Global Academy Publishing House</t>
  </si>
  <si>
    <t>COMPUTERS / Programming / Algorithms</t>
  </si>
  <si>
    <t>Vicente Humberto Monteverde</t>
  </si>
  <si>
    <t>LittÃ©rature et nations autochtones au Canada francophone</t>
  </si>
  <si>
    <t>LITERARY CRITICISM / Indigenous</t>
  </si>
  <si>
    <t>Diana Mistreanu-Marina Ortrud M. Hertrampf</t>
  </si>
  <si>
    <t>Mimesis</t>
  </si>
  <si>
    <t>Social Psychology and the Ancient World</t>
  </si>
  <si>
    <t>Luuk Huitink-Vlad Glaveanu-Ineke Sluiter</t>
  </si>
  <si>
    <t>Media and Education</t>
  </si>
  <si>
    <t>Paul Thomas-Abdul-Razak Kuyini Alhassan-Jocelyne Von Hof</t>
  </si>
  <si>
    <t>Rural Imaginations for a Globalized World</t>
  </si>
  <si>
    <t>Esther Peeren-Tjalling ValdÃ©s-Olmos</t>
  </si>
  <si>
    <t>Time and Narrative in Intelligence Analysis</t>
  </si>
  <si>
    <t>POLITICAL SCIENCE / Intelligence &amp; Espionage</t>
  </si>
  <si>
    <t>Joshua Yaphe</t>
  </si>
  <si>
    <t>Routledge Handbook of Degrowth</t>
  </si>
  <si>
    <t>Anitra Nelson</t>
  </si>
  <si>
    <t>Developments in Aquaculture: Trends, Challenges, and Applications â€“Ist Editionâ€“</t>
  </si>
  <si>
    <t>TECHNOLOGY &amp; ENGINEERING / Fisheries &amp; Aquaculture</t>
  </si>
  <si>
    <t>Yusuf BOZKURT</t>
  </si>
  <si>
    <t>Surveillance and Control of Dengue Vectors in the United States and Territories</t>
  </si>
  <si>
    <t>MEDICAL / Epidemiology</t>
  </si>
  <si>
    <t xml:space="preserve"> Roberto Barrera</t>
  </si>
  <si>
    <t>Re-Imagining Sexual Harassment</t>
  </si>
  <si>
    <t>SOCIAL SCIENCE / Sexual Abuse &amp; Harassment</t>
  </si>
  <si>
    <t>Maja Lundqvist-Angelica Simonsson-Kajsa Widegren</t>
  </si>
  <si>
    <t>Climate Technology and Law in the Anthropocene</t>
  </si>
  <si>
    <t>Leonie Reins-Alexander Zahar</t>
  </si>
  <si>
    <t>Proceedings of the 2025 2nd International Conference on Urban Planning and Design (UPD 2025)</t>
  </si>
  <si>
    <t>Chao Li-Mahalaya Chatterjee-Ali Cheshmehzangi-Tarawut Boonlua</t>
  </si>
  <si>
    <t>Child-Centred Music Therapy</t>
  </si>
  <si>
    <t>Viggo KrÃ¼ger-Kathleen M. Murphy</t>
  </si>
  <si>
    <t>Ergasteria: Premises and Processes of Creation in Antiquity</t>
  </si>
  <si>
    <t>Elena C. Partida-Constanze Graml</t>
  </si>
  <si>
    <t>Art LoVers: Celebrating Elisabeth de BiÃ¨vre and John Onians in Words and Pictures</t>
  </si>
  <si>
    <t>GyÃ¶ngyvÃ©r HorvÃ¡th-Isabelle Onians</t>
  </si>
  <si>
    <t>The Anglo-Saxon Agricultural Revolution in Norfolk</t>
  </si>
  <si>
    <t>HISTORY / Europe / Great Britain / Middle Ages (449-1066)</t>
  </si>
  <si>
    <t>Richard Hoggett-Neil Faulkner</t>
  </si>
  <si>
    <t>Stories of Hope</t>
  </si>
  <si>
    <t xml:space="preserve"> Sandra Abegglen-Tom Burns-Richard F. Heller-Rajan Madhok-Fabian Neuhaus-John Sandars-Sandra Sinfield-Upasana Gitanjali Singh</t>
  </si>
  <si>
    <t>When Katherine Brewed, a Play</t>
  </si>
  <si>
    <t xml:space="preserve"> John Cresswell</t>
  </si>
  <si>
    <t>Barge Life</t>
  </si>
  <si>
    <t xml:space="preserve"> Florian Deroo</t>
  </si>
  <si>
    <t>One Health Atlas</t>
  </si>
  <si>
    <t>The Meaning of Israel</t>
  </si>
  <si>
    <t>Ã…smund Borgen Gjerde</t>
  </si>
  <si>
    <t>Proceedings of the 8th International Conference on Business, Economics, Social Sciences, and Humanities - Humanities and Social Sciences Track (ICOBEST-HSS 2025)</t>
  </si>
  <si>
    <t>Proceedings of the 2025 International Conference on Education Reform, Ideology and Politics (ERIP 2025)</t>
  </si>
  <si>
    <t>Paulo Batista-Intakhab Alam Khan-Jun Chen-Tajularipin Bin Sulaiman</t>
  </si>
  <si>
    <t>Proceedings of the 2025 International Conference on Engineering Management and Safety Engineering (EMSE 2025)</t>
  </si>
  <si>
    <t>Ka-Veng Yuen-Ping Xiang-Ding Ding-Shoulong Zhang</t>
  </si>
  <si>
    <t>Proceedings of the 8th International Symposium on Mathematics Education and Innovation (ISMEI 2024)</t>
  </si>
  <si>
    <t>Sri Wulandari Danoebroto-Uki Rahmawati-Wisnuningtyas Wirani</t>
  </si>
  <si>
    <t>Proceedings of the 2025 International Conference on Financial Risk and Investment Management (ICFRIM 2025)</t>
  </si>
  <si>
    <t>3rd Lawang Sewu International Symposium on Medical and Health Sciences (3rd-LEWIS-MHS)</t>
  </si>
  <si>
    <t>Yanuan Ben Olina-Fitriani Nur Damayanti-Yanuarita Tursinawati</t>
  </si>
  <si>
    <t>Proceedings of the 2025 Seminar on Modern Property Management Talent Training Enabling New Productive Forces (MPMTT 2025)</t>
  </si>
  <si>
    <t>Xiaoying Deng-Maimunah Sapri-Muhammad Najib Mohamed Razali-Noorsidi Aizuddin Bin Mat Noor</t>
  </si>
  <si>
    <t>Early Modern Translation and the Digital Humanities</t>
  </si>
  <si>
    <t>Hilary Brown-Regina Toepfer-JÃ¶rg Wesche</t>
  </si>
  <si>
    <t>Learning Skilled Trades in the Workplace</t>
  </si>
  <si>
    <t>Jo Mackiewicz</t>
  </si>
  <si>
    <t>The Case Against Climate Doom</t>
  </si>
  <si>
    <t>Michael Jakob</t>
  </si>
  <si>
    <t>Marine Mammal Acoustics in a Noisy Ocean</t>
  </si>
  <si>
    <t>Christine Erbe-Dorian Houser-Ann Bowles-Michael B. Porter</t>
  </si>
  <si>
    <t>Sewing Machines and Processes</t>
  </si>
  <si>
    <t>Yordan Kyosev</t>
  </si>
  <si>
    <t>Structures and Architecture</t>
  </si>
  <si>
    <t>TECHNOLOGY &amp; ENGINEERING / Structural</t>
  </si>
  <si>
    <t>Mario Rinke-Marie Frier Hvejsel</t>
  </si>
  <si>
    <t>The FIFA World Cup Qatar 2022</t>
  </si>
  <si>
    <t>Said Elbanna-Tamer Elsharnouby-Abdullah Aljafari-Tahniyath Fatima</t>
  </si>
  <si>
    <t>Sustainability, AI and Innovation: Proceedings of the Applied Research in Humanities &amp; Social Sciences (ARHSS 2023)</t>
  </si>
  <si>
    <t>Hamid M. K. Al Naimiy-Maamar Bettayeb-Fakir Al Gharaibeh-Hussein M. Elmehdi-Ihsan A. Shehadi</t>
  </si>
  <si>
    <t>Environmental Valuation with Discrete Choice Experiments in R</t>
  </si>
  <si>
    <t>Petr Mariel-Danny Campbell-Erlend Dancke Sandorf-JÃ¼rgen Meyerhoff-Ainhoa Vega-Bayo</t>
  </si>
  <si>
    <t>Reimagining Resources and Community Development</t>
  </si>
  <si>
    <t>Monica Gruezmacher-Kelly Vodden-Brennan Lowery-Amy Hudson-Kristof Van Assche</t>
  </si>
  <si>
    <t>Creep Effect and Prediction Method of Dynamic Disaster of Surrounding Rock</t>
  </si>
  <si>
    <t>Zhijie Wen-Jian Tao-Zhenqi Song-Yujun Zuo</t>
  </si>
  <si>
    <t>The Evidence-Based Investor</t>
  </si>
  <si>
    <t>Pascal BÃ¶ni-Tim KrÃ¶ncke</t>
  </si>
  <si>
    <t>Pedagogies for Later-Life Music Learning and Participation</t>
  </si>
  <si>
    <t>Andrea Creech-Colin Enright</t>
  </si>
  <si>
    <t>TikTok â€“ Memefication und Performance</t>
  </si>
  <si>
    <t>Friederike Fischer-Simon Meier-Vieracker-Lisa Niendorf</t>
  </si>
  <si>
    <t>Good Business</t>
  </si>
  <si>
    <t>Marthe Hesselmans-Bart Stellinga-Ramy El-Dardiry-Danique FranÃ§ois-Catrien Bijleveld</t>
  </si>
  <si>
    <t>Disruptions and Civic Education</t>
  </si>
  <si>
    <t>Kerry J Kennedy</t>
  </si>
  <si>
    <t>Privacy-Aware Monitoring for Assisted Living</t>
  </si>
  <si>
    <t>Albert Ali Salah-Liane Colonna-Francisco Florez-Revuelta</t>
  </si>
  <si>
    <t>Towards Effective Flow Control and Mitigation of Shock Effects in Aeronautical Applications</t>
  </si>
  <si>
    <t>Pawel Flaszynski-Holger Babinsky-Piotr Doerffer</t>
  </si>
  <si>
    <t>Together Again for Geodesy</t>
  </si>
  <si>
    <t>SCIENCE / Physics / Geophysics</t>
  </si>
  <si>
    <t>Jeffrey T. Freymueller-Laura SÃ¡nchez</t>
  </si>
  <si>
    <t>Medieval Women, Material Culture, and Power</t>
  </si>
  <si>
    <t>Proceedings of the 9th International Conference on Indonesian Social and Political Enquiries (ICISPE 2024)</t>
  </si>
  <si>
    <t>Bangkit A. Wiryawan-Muhammad Faiq Adi Pratomo-Suyatno Ladiqi</t>
  </si>
  <si>
    <t>Proceedings of the 10th International Conference on Science and Technology (ICST 2024)</t>
  </si>
  <si>
    <t>Muhammad Akhsin Muflikhun-Tadas MatijoÅ¡ius-Vishnu Vijay Kumar-Gil Nonato C. Santos</t>
  </si>
  <si>
    <t>Buddhism and Psychiatry</t>
  </si>
  <si>
    <t>Brendan Kelly</t>
  </si>
  <si>
    <t>Transition to Sustainable Energy Technologies</t>
  </si>
  <si>
    <t>Carlo Villante-Sonia Dell'Aversano-Stefano Ranieri</t>
  </si>
  <si>
    <t>Research Notes on Digital Business Transformation and Artificial Intelligence</t>
  </si>
  <si>
    <t>Robert Leskovar-Borut Werber</t>
  </si>
  <si>
    <t>The Adventure</t>
  </si>
  <si>
    <t>SÃ©bastien Bachelet</t>
  </si>
  <si>
    <t>Threads of Labour</t>
  </si>
  <si>
    <t>Lisa Taylor</t>
  </si>
  <si>
    <t>Renaissance Skin</t>
  </si>
  <si>
    <t>ART / Movements / Renaissance</t>
  </si>
  <si>
    <t>Evelyn Welch</t>
  </si>
  <si>
    <t>Beitraege der Erwachsenenbildung fuer gesellschaftliche und individuelle Entwicklungen</t>
  </si>
  <si>
    <t>Aiga von Hippel-Marion Fleige-Steffi Robak</t>
  </si>
  <si>
    <t>OstpreuÃŸische Wolfskinder</t>
  </si>
  <si>
    <t>Christopher Spatz</t>
  </si>
  <si>
    <t>Gewalt und Alltag im besetzen Polen 1939â€“1945</t>
  </si>
  <si>
    <t>Jochen BÃ¶hler-Stephan Lehnstaedt</t>
  </si>
  <si>
    <t>Arbeit in den nationalsozialistischen Ghettos</t>
  </si>
  <si>
    <t>JÃ¼rgen Hensel-Stephan Lehnstaedt</t>
  </si>
  <si>
    <t>Women and Men at War</t>
  </si>
  <si>
    <t>Maren RÃ¶ger-Ruth Leiserowitz</t>
  </si>
  <si>
    <t>Entangled Protest</t>
  </si>
  <si>
    <t>Robert Brier</t>
  </si>
  <si>
    <t>Regionsmacher in Ostmitteleuropa</t>
  </si>
  <si>
    <t>Maria CieÅ›la-Sabine Jagodzinski-Aleksandra Kmak-Pamirska-ZdenÄ›k NebÅ™enskÃ½-MiloÅ¡ Å˜eznÃ­k</t>
  </si>
  <si>
    <t>OstpreuÃŸens Kriegsbeute</t>
  </si>
  <si>
    <t>Christhardt Henschel</t>
  </si>
  <si>
    <t>Nationsbildung und AuÃŸenpolitik im Osten Europas</t>
  </si>
  <si>
    <t>Bianka Pietrow-Ennker</t>
  </si>
  <si>
    <t>Official History in Eastern Europe</t>
  </si>
  <si>
    <t>Korine Amacher-Andrii Portnov-Viktoriia Serhiienko</t>
  </si>
  <si>
    <t>Vaterlandszeichner</t>
  </si>
  <si>
    <t>Maciej GÃ³rny</t>
  </si>
  <si>
    <t>Beruf und Berufung transnational</t>
  </si>
  <si>
    <t>Iwona Dadej</t>
  </si>
  <si>
    <t>RegionalitÃ¤t als historische Kategorie</t>
  </si>
  <si>
    <t>Sabine Jagodzinski-Aleksandra Kmak-Pamirska-MiloÅ¡ Å˜eznÃ­k</t>
  </si>
  <si>
    <t>Imperiale Polenpolitik in den Weltkriegen</t>
  </si>
  <si>
    <t>HISTORY / Wars &amp; Conflicts / World War I</t>
  </si>
  <si>
    <t>Stephan Lehnstaedt</t>
  </si>
  <si>
    <t>Shades of a Nation</t>
  </si>
  <si>
    <t>Anna Novikov</t>
  </si>
  <si>
    <t>Wirtschaftskrisen als Wendepunkte</t>
  </si>
  <si>
    <t>Stephan Lehnstaedt-Dariusz Adamczyk</t>
  </si>
  <si>
    <t>Raum und Nation in der polnischen Westforschung 1918â€“1948</t>
  </si>
  <si>
    <t>HISTORY / Historical Geography</t>
  </si>
  <si>
    <t>Gernot Briesewitz</t>
  </si>
  <si>
    <t>Antisemitismus in Polen 1968</t>
  </si>
  <si>
    <t>Hans-Christian Dahlmann</t>
  </si>
  <si>
    <t>Zwischen Ostforschung und Osteuropahistorie</t>
  </si>
  <si>
    <t>Eike Eckert</t>
  </si>
  <si>
    <t>Geschichte und Gesetzesauslegung</t>
  </si>
  <si>
    <t>HISTORY / Modern / 20th Century / Holocaust</t>
  </si>
  <si>
    <t>Sabbatleuchter und Kriegerverein</t>
  </si>
  <si>
    <t>Ruth Leiserowitz</t>
  </si>
  <si>
    <t>Expert Cultures in Central Eastern Europe</t>
  </si>
  <si>
    <t>Martin Kohlrausch-Katrin Steffen-Stefan Wiederkehr</t>
  </si>
  <si>
    <t>Befohlene Freundschaft</t>
  </si>
  <si>
    <t>Karina Pryt</t>
  </si>
  <si>
    <t>Der Judenmord in den eingegliederten polnischen Gebieten 1939â€“1945</t>
  </si>
  <si>
    <t>Jochen BÃ¶hler-Jacek Andrzej MÅ‚ynarczyk</t>
  </si>
  <si>
    <t>Polen unter deutscher und sowjetischer Besatzung 1939â€“1945</t>
  </si>
  <si>
    <t>Jacek Andrzej MÅ‚ynarczyk</t>
  </si>
  <si>
    <t>Erinnerungskultur im deutsch-polnischen Kontaktbereich</t>
  </si>
  <si>
    <t>Stefan Dyroff</t>
  </si>
  <si>
    <t>OstpreuÃŸens Gauleiter</t>
  </si>
  <si>
    <t>Ralf Meindl</t>
  </si>
  <si>
    <t>BevÃ¶lkerungsÃ¶konomie â€“ Ostforschung â€“ Politik</t>
  </si>
  <si>
    <t>Hans-Christian Petersen</t>
  </si>
  <si>
    <t>Sport zwischen Ost und West</t>
  </si>
  <si>
    <t>SPORTS &amp; RECREATION / History</t>
  </si>
  <si>
    <t>AriÃ© Malz-Stefan Rohdewald-Stefan Wiederkehr</t>
  </si>
  <si>
    <t>Propaganda im Generalgouvernement</t>
  </si>
  <si>
    <t>Lars Jockheck</t>
  </si>
  <si>
    <t>Mythos Oberschlesien</t>
  </si>
  <si>
    <t>Juliane Haubold-Stolle</t>
  </si>
  <si>
    <t>Der deutsche Katholizismus und Polen (1830â€“1849)</t>
  </si>
  <si>
    <t>Stephan Scholz</t>
  </si>
  <si>
    <t>Die Â»VolksdeutschenÂ« in Polen, Frankreich, Ungarn und der Tschechoslowakei</t>
  </si>
  <si>
    <t>Jerzy Kochanowski-Maike Sach</t>
  </si>
  <si>
    <t>Europas Platz in Polen</t>
  </si>
  <si>
    <t>Claudia Kraft-Katrin Steffen</t>
  </si>
  <si>
    <t>Danzig und seine Vergangenheit 1793â€“1997</t>
  </si>
  <si>
    <t>Peter O. Loew</t>
  </si>
  <si>
    <t>FÃ¼r ein Polen an Oder und Ostsee</t>
  </si>
  <si>
    <t>Markus Krzoska</t>
  </si>
  <si>
    <t>Zwischen Kriegen</t>
  </si>
  <si>
    <t>Johanna Gehmacher-Elizabeth Harvey-Sophia Kemlein</t>
  </si>
  <si>
    <t>VerschwÃ¶rungstheorien: Anthropologische Konstanten â€“ historische Varianten</t>
  </si>
  <si>
    <t>SCIENCE / Cognitive Science</t>
  </si>
  <si>
    <t>Mathias Niendorf-Ute Caumanns</t>
  </si>
  <si>
    <t>Deutsch-polnische Beziehungen 1939 â€“ 1945 â€“ 1949</t>
  </si>
  <si>
    <t>WÅ‚odzimierz Borodziej-Klaus Ziemer</t>
  </si>
  <si>
    <t>Geschlecht und Nationalismus in Mittel- und Osteuropa 1848â€“1918</t>
  </si>
  <si>
    <t>Sophia Kemlein</t>
  </si>
  <si>
    <t>Selbstbewusstsein und Modernisierung</t>
  </si>
  <si>
    <t>Robert Traba</t>
  </si>
  <si>
    <t>Zwangsarbeit in Leverkusen</t>
  </si>
  <si>
    <t>Valentina M. Stefanski</t>
  </si>
  <si>
    <t>Polen, Deutsche und Juden in Lodz 1820â€“1939</t>
  </si>
  <si>
    <t>JÃ¼rgen Hensel</t>
  </si>
  <si>
    <t>Insuring Cyberinsecurity</t>
  </si>
  <si>
    <t>Shauhin A. Talesh</t>
  </si>
  <si>
    <t>AnÃ¡lisis discriminante y algoritmos de redes neuronales artificiales para el estudio de mercados financieros</t>
  </si>
  <si>
    <t xml:space="preserve"> Juan Carlos LÃ¡zaro Guillermo-Amanda Del Aguila Del Aguila-Ysabel Moran Quintanilla-Ysaelen Josefina Odor Rossel-Orison Valera Davila-Carlos Mariano Alvez Valles</t>
  </si>
  <si>
    <t>EstadÃ­stica descriptiva para la gerencia social y el desarrollo humano</t>
  </si>
  <si>
    <t xml:space="preserve"> Victor SÃ¡nchez Caceres-Milton Edward Humpiri Flores-Andrea Mercedes Alvarez Rubio-Luis Alberto CalderÃ³n YarlequÃ©-Rogger Humpiri Flores-Ricardo Antonio Armas JuÃ¡rez</t>
  </si>
  <si>
    <t>Hans Freudenthal's Realistic Mathematical Theory</t>
  </si>
  <si>
    <t xml:space="preserve"> Juan Carlos LÃ¡zaro Guillermo-Erick Guitton Lozano-Juan Luis PÃ©rez MarÃ­n PÃ©rez MarÃ­n-Milton Juan Carlos Barreda Fachin Barreda Fachin-Rogger Wagner PeÃ±a PasmiÃ±o PeÃ±a PasmiÃ±o-Julia Cecilia Yon Delgado-Josefrank Pernalete Lugo</t>
  </si>
  <si>
    <t>Data Science and Artificial Intelligence</t>
  </si>
  <si>
    <t xml:space="preserve"> Erlin Guillermo Cabanillas Oliva-Ulises Octavio Irigoin Cabrera-Juan Carlos LÃ¡zaro Guillermo-Cesar Augusto Agurto Cherre-Oscar RaÃºl Esquivel Ynjante-Carlos Mariano Alvez Valles-Josefrank Pernalete Lugo</t>
  </si>
  <si>
    <t>Artificial Intelligence in the Ethics of Education</t>
  </si>
  <si>
    <t xml:space="preserve"> Ulises Octavio Irigoin Cabrera-Jaime Soto Vilca-Erlin Guillermo Cabanillas Oliva-Kattya Rosscelyn Silvera GarcÃ­a Silvera GarcÃ­a-Rosaura GarcÃ­a Rojas GarcÃ­a Rojas-Macedonio Huamani Casaverde Huamani Casaverde-Josefrank Pernalete Lugo</t>
  </si>
  <si>
    <t>La educaciÃ³n STEAM en el aula</t>
  </si>
  <si>
    <t xml:space="preserve"> Beto Puma HuamÃ¡n-Justa Evangelina Mayta Mamani-Ibis Lizeth LÃ³pez Novoa-VÃ­ctor Fredy RodrÃ­guez Sevillano-Herbert VÃ­ctor Huaranga Rivera-Josefrank Pernalete Lugo</t>
  </si>
  <si>
    <t>EstadÃ­stica bayesiana, anÃ¡lisis de componentes principales y factorial aplicado a la investigaciÃ³n cientÃ­fica</t>
  </si>
  <si>
    <t>MATHEMATICS / Social &amp; Cultural Aspects</t>
  </si>
  <si>
    <t xml:space="preserve"> Ricardo MartÃ­n GÃ³mez Arce-VÃ­ctor Humberto Mattos NÃºÃ±ez-MarÃ­a del Pilar RÃ­os GarcÃ­a-Mariel del RocÃ­o ChotÃ³n Calvo-Luis Alberto De la Cruz Estrada-Juan Santiago Blas PÃ©rez</t>
  </si>
  <si>
    <t>MÃ©todos de anÃ¡lisis estadÃ­stico: Desde lo descriptivo hasta lo inferencial</t>
  </si>
  <si>
    <t xml:space="preserve"> Vicky Leonor Alata Linares-MarÃ­a Luz Maldonado PeÃ±a-Denisse Montalvan Alburqueque-Michaels Pedro Mejia Lagos-HÃ©ctor Fidel Bejarano Benites-Jose Carlos Fiestas Zevallos-Luis Alberto Aguirre BazÃ¡n</t>
  </si>
  <si>
    <t>Scientific Research Methodology: Applications in the Exact Sciences</t>
  </si>
  <si>
    <t xml:space="preserve"> Marisol Paola Delgado Baltazar-Ruben Dario Mendoza Arenas-Josefina Arimatea GarcÃ­a Cruz-MÃ³nica Beatriz La Chira Loli-Ana MarÃ­a Holgado Quispe-JosÃ© Ricardo Rasilla Rovegno-Ysabel Emilia Delgado Torres</t>
  </si>
  <si>
    <t>Proceedings of the International Conference on Advanced Research in Electronics and Communication Systems (ICARECS 2025)</t>
  </si>
  <si>
    <t>TECHNOLOGY &amp; ENGINEERING / Electronics / General</t>
  </si>
  <si>
    <t>A. Shirly Edward-Rahul Krishnan-P. Nagarajan-M I Anju-Muzammil Bin Jusoh</t>
  </si>
  <si>
    <t>Stefan Javorsâ€™kyj's Panegyrics</t>
  </si>
  <si>
    <t>Jakub NiedÅºwiedÅº-Bartosz Awianowicz</t>
  </si>
  <si>
    <t>Education in Youth Detention Homes</t>
  </si>
  <si>
    <t>David WÃ¤sterfors</t>
  </si>
  <si>
    <t>Proceedings of the International Conference on Religious Architecture (ICRA 2024)</t>
  </si>
  <si>
    <t>Sutrisno Murtiyoso-Alvin Hadiwono-Titin Fatimah-Nafiah Solikhah-Samsu Hendra Siwi</t>
  </si>
  <si>
    <t>Proceedings of the 2025 3rd International Conference on Digital Economy and Management Science (CDEMS 2025)</t>
  </si>
  <si>
    <t>Wenke Zang-Chunping Xia</t>
  </si>
  <si>
    <t>Proceedings of the 2nd World Conference on Health and Social Sciences (WCHSS 2024)</t>
  </si>
  <si>
    <t>Anna Suraya-Renan Prasta Jenie-Apriana Rahmawati-Nurlelasari Harahap-Irwanti Agustina</t>
  </si>
  <si>
    <t>Decarbonizing Value Chains</t>
  </si>
  <si>
    <t>Holger Kohl-GÃ¼nther Seliger-Franz Dietrich-Ha Thuc Vien</t>
  </si>
  <si>
    <t>Bird of Many Plumes: Conceptions and Applications of Authority in the Thought of William of Saintâ€“Thierry</t>
  </si>
  <si>
    <t>Delphine N. Conzelmann</t>
  </si>
  <si>
    <t>Transnational Encounters in Early Modern Drama, 1450â€“1750</t>
  </si>
  <si>
    <t>DRAMA / General</t>
  </si>
  <si>
    <t>Dinah Wouters-Jan Bloemendal</t>
  </si>
  <si>
    <t>Multispecies Ethnography and Artful Methods</t>
  </si>
  <si>
    <t xml:space="preserve"> Andrea Petitt-Anke Tonnaer-VÃ©ronique Servais-Catrien Notermans-Natasha Fijn</t>
  </si>
  <si>
    <t>'Thou Shalt Not Stand Idly By'</t>
  </si>
  <si>
    <t>RELIGION / Judaism / History</t>
  </si>
  <si>
    <t xml:space="preserve"> Susan Landau</t>
  </si>
  <si>
    <t>Social Innovation for Real-World Transformation</t>
  </si>
  <si>
    <t>Julie Chateauvert-Philippe Dufort-Jonathan Durand Folco-Christopher Gunter-Krys Maki-Anahi Morales Hudon-Philippe NÃ©mÃ©h-NombrÃ©-Julie Paquette-Jamel Stambouli-Simon Tremblay-Pepin-Amanda Wilson</t>
  </si>
  <si>
    <t>Humans in the Cyber Loop</t>
  </si>
  <si>
    <t>Dorota Domalewska-Aleksandra Gasztold-Agnieszka WroÅ„ska</t>
  </si>
  <si>
    <t>War and Diplomacy in Modern Japan</t>
  </si>
  <si>
    <t>Ryuji Hattori-Graham Leonard</t>
  </si>
  <si>
    <t>Bankminded</t>
  </si>
  <si>
    <t>Orsi Husz</t>
  </si>
  <si>
    <t>Proceedings of the 6th International Conference on Deep Learning, Artificial Intelligence and Robotics (ICDLAIR 2024)</t>
  </si>
  <si>
    <t>Priyanka Ahlawat-Vijay Verma-Pratishtha Verma-Shweta Sharma</t>
  </si>
  <si>
    <t>Maritime Cybersecurity</t>
  </si>
  <si>
    <t>Sanja Bauk</t>
  </si>
  <si>
    <t>Genossenschaftliche Organisation von nachhaltiger MobilitÃ¤t</t>
  </si>
  <si>
    <t>Michael Roos-Marcel Hunecke-Matthias Weiss-Nicola Werbeck-Dirk Wittowsky</t>
  </si>
  <si>
    <t>Entwicklung eines Weiterbildungskonzeptes fÃ¼r die technische Produktionsplanung und -steuerung</t>
  </si>
  <si>
    <t>Martin Emmerling</t>
  </si>
  <si>
    <t>Proceedings of the IBA IEA Conference on Economics and Public Policy (Ecofluence 2024)</t>
  </si>
  <si>
    <t>Prashant Kulkarni-Subhash Sharma</t>
  </si>
  <si>
    <t>Actors and the Art of Performance</t>
  </si>
  <si>
    <t>PERFORMING ARTS / Film / Screenwriting</t>
  </si>
  <si>
    <t>Susanne Granzer</t>
  </si>
  <si>
    <t>Collection Care</t>
  </si>
  <si>
    <t>Ãngel F. Perles-Ivars-Laura Fuster-LÃ³pez-Emanuela Bosco</t>
  </si>
  <si>
    <t>African Film Festivals and Transnational Flows of Living Cultural Heritage</t>
  </si>
  <si>
    <t>Sheila Petty</t>
  </si>
  <si>
    <t>Erfolgsfaktoren und Verbandserfolgsmessung</t>
  </si>
  <si>
    <t>Hans-Ulrich Kauderer</t>
  </si>
  <si>
    <t>Faith, Folk and the Far Right</t>
  </si>
  <si>
    <t>POLITICAL SCIENCE / Religion, Politics &amp; State</t>
  </si>
  <si>
    <t>Dominic Alessio-Robert J. Wallis</t>
  </si>
  <si>
    <t>Gender-Based Violence in Arts and Culture</t>
  </si>
  <si>
    <t xml:space="preserve"> Marie Buscatto-Sari Karttunen-Mathilde Provansal</t>
  </si>
  <si>
    <t>Proceedings of the 3rd Lawang Sewu International Symposium on Engineering and Applied Sciences (LEWIS-EAS 2024)</t>
  </si>
  <si>
    <t>Laily Muntasitoh-Fitri Dwi Indarti</t>
  </si>
  <si>
    <t>Social Policy Review 37</t>
  </si>
  <si>
    <t>Stephan KÃ¶ppe-Andrea Parma-Bozena Sojka</t>
  </si>
  <si>
    <t>Public Health and International Economic Law</t>
  </si>
  <si>
    <t>LAW / Health &amp; Safety</t>
  </si>
  <si>
    <t>Amandine Garde-Gregory Messenger</t>
  </si>
  <si>
    <t>Proceedings of the International Conference on Advances and Applications in Artificial Intelligence (ICAAAI 2025)</t>
  </si>
  <si>
    <t>Suman Kumar Swarnkar-Yogesh Kumar Rathore</t>
  </si>
  <si>
    <t>Videogames and Metareference</t>
  </si>
  <si>
    <t>Theresa Krampe-Jan-NoÃ«l Thon</t>
  </si>
  <si>
    <t>The Poetry of Being and the Prose of the World in Early Greek Philosophy</t>
  </si>
  <si>
    <t>Victoria Wohl</t>
  </si>
  <si>
    <t>Proceedings of the 2025 4th International Conference on Social Sciences and Humanities and Arts (SSHA 2025)</t>
  </si>
  <si>
    <t>Sun Jing-Sun Hefei-Liu Shuli-Ren Xianpin-Cuneyt Birkok</t>
  </si>
  <si>
    <t>Proceedings of the 2025 3rd International Conference on Language, Innovative Education and Cultural Communication (CLEC 2025)</t>
  </si>
  <si>
    <t>Andrea L. Baldini-Zhonggen Yu-Xianglan Chen-Lifei Wang</t>
  </si>
  <si>
    <t>Migrant Transnationalism</t>
  </si>
  <si>
    <t>Ã–zge Bilgili-Marta Bivand Erdal</t>
  </si>
  <si>
    <t>Global Partnerships and Neocolonialism</t>
  </si>
  <si>
    <t>Aram Ziai-Praveen Jha-Jule LÃ¼mmen</t>
  </si>
  <si>
    <t>Friedensgutachten 2025</t>
  </si>
  <si>
    <t>BICC Bonn International Centre for Conflict Studies-Institut fÃ¼r Friedensforschung und Sicherheitspolitik-Institut fÃ¼r Entwicklung und Frieden (INEF)-PRIF Leibniz-Institut fÃ¼r Friedens- und Konfliktforschung</t>
  </si>
  <si>
    <t>Glaubensraum Dialog</t>
  </si>
  <si>
    <t>Andrea Schmuck</t>
  </si>
  <si>
    <t>Biopolitik und Alltagsleben im Roten Wien</t>
  </si>
  <si>
    <t>BIOGRAPHY &amp; AUTOBIOGRAPHY / Memoirs</t>
  </si>
  <si>
    <t>Reinhard Sieder</t>
  </si>
  <si>
    <t>Die GouvernementalitÃ¤t Ã¶ffentlicher Dienstleistungsarbeit</t>
  </si>
  <si>
    <t>Myriam Gaitsch</t>
  </si>
  <si>
    <t>Akkumulierte PrekaritÃ¤t</t>
  </si>
  <si>
    <t>Reza Bayat</t>
  </si>
  <si>
    <t>Co-producing Urban Spaces</t>
  </si>
  <si>
    <t>Juliana Canedo</t>
  </si>
  <si>
    <t>Krisenproteste in Griechenland</t>
  </si>
  <si>
    <t>Dilan KÃ¶se</t>
  </si>
  <si>
    <t>Woman, African, Other</t>
  </si>
  <si>
    <t>Oluwadunni O. Talabi</t>
  </si>
  <si>
    <t>Care Standards in Aktion</t>
  </si>
  <si>
    <t>MEDICAL / Pediatrics</t>
  </si>
  <si>
    <t>Sandra Gratwohl</t>
  </si>
  <si>
    <t>Contested Home</t>
  </si>
  <si>
    <t>Katherine Kunz</t>
  </si>
  <si>
    <t>Civic Refugee Support</t>
  </si>
  <si>
    <t>Clara van den Berg</t>
  </si>
  <si>
    <t>Aquatic Environments</t>
  </si>
  <si>
    <t>Bieke Willem-Rebecca Seewald</t>
  </si>
  <si>
    <t>The Violence of Financial Inclusion</t>
  </si>
  <si>
    <t>Anil Shah</t>
  </si>
  <si>
    <t>Im Sog der Fiktionen</t>
  </si>
  <si>
    <t>David Heering</t>
  </si>
  <si>
    <t>Der Paradigmenpluralismus bei JÃ¼rgen Zabeck</t>
  </si>
  <si>
    <t>Christoph Porcher</t>
  </si>
  <si>
    <t>Â»Heroische ModerneÂ«</t>
  </si>
  <si>
    <t>Thomas EtzemÃ¼ller</t>
  </si>
  <si>
    <t>Trans* Geschichten der Moderne</t>
  </si>
  <si>
    <t>SOCIAL SCIENCE / LGBTQ+ Studies / Transgender Studies</t>
  </si>
  <si>
    <t>Jonah I. Garde</t>
  </si>
  <si>
    <t>Friktionen | Kuratieren</t>
  </si>
  <si>
    <t>Daniela DÃ¶ring-Margarete VÃ¶hringer</t>
  </si>
  <si>
    <t>Die antike Stadt als GefÃ¼hlsraum</t>
  </si>
  <si>
    <t>Annette Haug</t>
  </si>
  <si>
    <t>Dynamics at the Lexicon-Syntax Interface</t>
  </si>
  <si>
    <t>LANGUAGE ARTS &amp; DISCIPLINES / Spelling &amp; Vocabulary</t>
  </si>
  <si>
    <t>Sabine Arndt-Lappe-Natalia Filatkina</t>
  </si>
  <si>
    <t>Precision Agriculture '25</t>
  </si>
  <si>
    <t>John V. Stafford</t>
  </si>
  <si>
    <t>African Thresholds: Borders and Places of Passage in Africa, C.1450 to Present</t>
  </si>
  <si>
    <t>Ettore Morelli</t>
  </si>
  <si>
    <t>St. Radegunde of Poitiersâ€™ "Treatise of Consolation to Lepers"</t>
  </si>
  <si>
    <t>Chris D. Synodinos</t>
  </si>
  <si>
    <t>Crafting Presence</t>
  </si>
  <si>
    <t>Britta DÃ¼mpelmann</t>
  </si>
  <si>
    <t>The Role of Advisory Opinions in International Law in the Context of the Climate Crisis</t>
  </si>
  <si>
    <t>Maria Antonia Tigre-Armando Rocha</t>
  </si>
  <si>
    <t>Transforming Higher Education for Community Development</t>
  </si>
  <si>
    <t>Lone Dirckinck-Holmfeld-Tabo O. Geoffrey-Charles Nelson Okumu-Morten Kure KattenhÃ¸j-Inger Lassen</t>
  </si>
  <si>
    <t>Race, Ethnicity and Nuclear War</t>
  </si>
  <si>
    <t>LITERARY CRITICISM / Science Fiction &amp; Fantasy</t>
  </si>
  <si>
    <t>Paul Williams</t>
  </si>
  <si>
    <t>Mere Bagatelles: Women's Diaries From Ireland, 1760â€“1810</t>
  </si>
  <si>
    <t>Amy Prendergast</t>
  </si>
  <si>
    <t>Intellectual Disability and Ireland, 1947â€“1996</t>
  </si>
  <si>
    <t>HISTORY / Europe / Ireland</t>
  </si>
  <si>
    <t>David Kilgannon</t>
  </si>
  <si>
    <t>Challenging Legal Core Values</t>
  </si>
  <si>
    <t>Ã…sa Wettergren-Moa Bladini-Sara Uhnoo</t>
  </si>
  <si>
    <t>Discrimination, Equality and Health Care Rationing</t>
  </si>
  <si>
    <t>Rachel Horton</t>
  </si>
  <si>
    <t>Proceedings of the E-Learning and Smart Engineering Systems (ELSES 2024)</t>
  </si>
  <si>
    <t>Mohamed Khaldi-Mehdi Kaddouri-Mohamed Erradi</t>
  </si>
  <si>
    <t>Waterscapes Archaeology</t>
  </si>
  <si>
    <t>Alexandra Bivolaru-Daniela Cottica-Christophe Morhange</t>
  </si>
  <si>
    <t>Soziale und gesundheitliche Ungleichheit im Alter</t>
  </si>
  <si>
    <t>Andrea Teti-Silke Neuderth-Maria K. Pavlova-Gabriele Ziese</t>
  </si>
  <si>
    <t>Advances in Automotive Production Technology â€“ Digital Product Development and Manufacturing</t>
  </si>
  <si>
    <t>Daniel Holder-Frederik Wulle-Jannik Lind</t>
  </si>
  <si>
    <t>Bringing Relationships Into Voice Hearing</t>
  </si>
  <si>
    <t>PSYCHOLOGY / Psychotherapy / General</t>
  </si>
  <si>
    <t>Rob Allison-Ruth Lafferty</t>
  </si>
  <si>
    <t>Executive Orders</t>
  </si>
  <si>
    <t>POETRY / American / General</t>
  </si>
  <si>
    <t>Organism for Poetic Research-Rachael Guynn Wilson-Andrew Michael Gorin</t>
  </si>
  <si>
    <t>Hand Book</t>
  </si>
  <si>
    <t xml:space="preserve"> Lizzie Olesker-Lynne Sachs</t>
  </si>
  <si>
    <t>Lâ€™Å“uvre en kanouri d'al-Hajj Musa ibn Hissein, un savant du Borno (Niger-NigÃ©ria)</t>
  </si>
  <si>
    <t>Ari Awagana-Camille Lefebvre</t>
  </si>
  <si>
    <t>Globalising Chinese Actors and Internalising the Belt and Road</t>
  </si>
  <si>
    <t>Miwa Hirono</t>
  </si>
  <si>
    <t>Sprachbiographieforschung</t>
  </si>
  <si>
    <t>Andreas Bieberstedt-Klaas-Hinrich Ehlers-Lea-Marie Kenzler-Ingrid SchrÃ¶der</t>
  </si>
  <si>
    <t>Architecture and Social Sustainability</t>
  </si>
  <si>
    <t>Alexandra Staub</t>
  </si>
  <si>
    <t>Securing Womenâ€™s Economic Security, Safety, and Freedom</t>
  </si>
  <si>
    <t>BUSINESS &amp; ECONOMICS / International / Economics &amp; Trade</t>
  </si>
  <si>
    <t>Zoe Staines</t>
  </si>
  <si>
    <t>Translating and Receiving Korean Media</t>
  </si>
  <si>
    <t>LANGUAGE STUDY / Korean</t>
  </si>
  <si>
    <t>Jonathan Evans-Jinsil Choi-Kyung Hye Kim</t>
  </si>
  <si>
    <t>Critical Thinking for Global Citizenship Education</t>
  </si>
  <si>
    <t>Brighid Golden</t>
  </si>
  <si>
    <t>Der Wert des Geldes</t>
  </si>
  <si>
    <t>RELIGION / Biblical Criticism &amp; Interpretation / New Testament</t>
  </si>
  <si>
    <t>Aleksandra Brand</t>
  </si>
  <si>
    <t>Yoga and Animal Ethics</t>
  </si>
  <si>
    <t>Kenneth R. Valpey</t>
  </si>
  <si>
    <t>THE WISDOM OF THE ANCIENTS A 21st-CENTURY PERSPECTIVE</t>
  </si>
  <si>
    <t>Prof. Norman Ongco-Dr. Eugene Escalona Toringi-Dr. Kimberly Cui-Nuevo Toring-Dr. Nonita Legaspi</t>
  </si>
  <si>
    <t>Narrative Objects</t>
  </si>
  <si>
    <t>Tatiana Argounova-Low-Alison K. Brown</t>
  </si>
  <si>
    <t>Governing Nature and the Making of World Order</t>
  </si>
  <si>
    <t>Elana Wilson Rowe-Paul Beaumont-Lucas de Oliveira Paes</t>
  </si>
  <si>
    <t>L'agriculture et les systÃ¨mes alimentaires du monde face au changement climatique</t>
  </si>
  <si>
    <t>Queere Anti-Gewalt-Arbeit in Deutschland</t>
  </si>
  <si>
    <t>Charly Krenn</t>
  </si>
  <si>
    <t>Solidarisches Handeln in krisenhaften Zeiten</t>
  </si>
  <si>
    <t>Silke Jakob-Nikias Obitz-Burcin Ladberg</t>
  </si>
  <si>
    <t>Soziale Arbeit und die sozial-Ã¶kologische Transformation</t>
  </si>
  <si>
    <t>Hans Hobelsberger</t>
  </si>
  <si>
    <t>Sorge und SolidaritÃ¤t</t>
  </si>
  <si>
    <t>Saskia Schuppener-JÃ¼rgen Budde-Mai-Anh Boger-Nico Leonhardt-Anne Goldbach-Anja Hackbarth-Aysun DoÄŸmuÅŸ</t>
  </si>
  <si>
    <t>PrÃ¼fungen digital gestalten</t>
  </si>
  <si>
    <t>Nicole Auferkorte-Michaelis-Maiken Bonnes-Patrick Hintze-Julia Liebscher</t>
  </si>
  <si>
    <t>Facilitating Judicial Cooperation in the EU</t>
  </si>
  <si>
    <t>LAW / Comparative</t>
  </si>
  <si>
    <t>Giulia Lasagni-Giuseppe Contissa-Michele Caianiello</t>
  </si>
  <si>
    <t>Stefan Javorsâ€™kyj's Sermons</t>
  </si>
  <si>
    <t>Giovanna Brogi-Maksym Yaremenko-Tetiana Kuzyk-Marzanna KuczyÅ„ska-Jakub NiedÅºwiedÅº</t>
  </si>
  <si>
    <t>Proceedings of the 3rd International Conference on Christian and Inter-Religious Studies (ICC-IRS 2024)</t>
  </si>
  <si>
    <t>Desi Natalia-Maria Veronica-Deri Susanto</t>
  </si>
  <si>
    <t>Proceedings of the International Conference on Materials, Energy, Environment &amp; Manufacturing Sciences &amp; Computational Intelligence and Smart Communication (MEEMS-CISC 2024)</t>
  </si>
  <si>
    <t>Nagaraj Bhat-H. J. Ravindra-I. Mamatha-Bharath Bhat-L. Sadananda</t>
  </si>
  <si>
    <t>Proceedings of the 2025 4th International Conference on Educational Innovation and Multimedia Technology (EIMT 2025)</t>
  </si>
  <si>
    <t>Heyong Wang-Yinyin Xiao-Mustafa Misir-Dayana Farzeeha Ali</t>
  </si>
  <si>
    <t>Proceedings of the Innovative Multidisciplinary Approaches to Global Challenges: Sustainability, Equity, and Ethics in an Interconnected World (IMASEE 2025)</t>
  </si>
  <si>
    <t>Harshita Sharma-Deepali Singh-DVS Bhagavanulu-Bashir Saad Ibrahim-Garima Chauhan</t>
  </si>
  <si>
    <t>Distribution System Operation: Flexibility Services</t>
  </si>
  <si>
    <t>TECHNOLOGY &amp; ENGINEERING / Power Resources / Electrical</t>
  </si>
  <si>
    <t>Avinash Aithal-Andrew Wainwright-Steve Atkins</t>
  </si>
  <si>
    <t>The Advocacy Coalition Framework</t>
  </si>
  <si>
    <t>Hank C. Jenkins-Smith-Christopher M. Weible</t>
  </si>
  <si>
    <t>Principle of Architecture, Protocol, and Algorithms for CoG-MIN</t>
  </si>
  <si>
    <t>Hui Li-He Bai</t>
  </si>
  <si>
    <t>How to Create a Universe</t>
  </si>
  <si>
    <t>DESIGN / General</t>
  </si>
  <si>
    <t>Jakob Ion Wille-Simon Jon Andreasen-Gunnar Wille-Simon Andreasen</t>
  </si>
  <si>
    <t>Recalibrating Stigma</t>
  </si>
  <si>
    <t>Gareth Thomas-Oli Williams-Tanisha Spratt-Amy Chandler</t>
  </si>
  <si>
    <t>Shami, Kal-e Chendar</t>
  </si>
  <si>
    <t>Vito Messina-Jafar Mehr Kian</t>
  </si>
  <si>
    <t>Proceedings of the 2024 6th International Conference on Hydraulic, Civil and Construction Engineering (HCCE 2024)</t>
  </si>
  <si>
    <t>Wen Nie-Feng Zhang-Zhen Wang-Chunlei Xin</t>
  </si>
  <si>
    <t>Presentist Social Functionalism: Bringing Contemporary Evolutionary Biology to the Social Sciences</t>
  </si>
  <si>
    <t>Armin W. Schulz</t>
  </si>
  <si>
    <t>Betreuung wissenschaftlicher Arbeiten fÃ¼r betriebliche Praktiker</t>
  </si>
  <si>
    <t>Ruth Melzer-Ridinger-Thilo Gamber</t>
  </si>
  <si>
    <t>ReligiÃ¶se Sozialisation (muslimischer) Jugendlicher in mediatisierter Welt</t>
  </si>
  <si>
    <t>Erkan Binici</t>
  </si>
  <si>
    <t>The Morisco Diaspora and the Morisco Networks Across the Mediterranean</t>
  </si>
  <si>
    <t>Mercedes GarcÃ­a-Arenal-Gerard A. Wiegers</t>
  </si>
  <si>
    <t>Prawa uÅ¼ytkownikÃ³w na jednolitym rynku cyfrowym. Handbook / Rights of users in the Digital Single Market. Handbook</t>
  </si>
  <si>
    <t>Katarzyna Klafkowska-WaÅ›niowska-MiÅ‚osz Malaga-Igor B. Nestoruk</t>
  </si>
  <si>
    <t>WspÃ³Å‚czesne problemy nauczania matematyki. Tom 10</t>
  </si>
  <si>
    <t>MATHEMATICS / General</t>
  </si>
  <si>
    <t>Edyta Juskowiak (red.)</t>
  </si>
  <si>
    <t>Military History Supremo</t>
  </si>
  <si>
    <t>HISTORY / Military / General</t>
  </si>
  <si>
    <t>Joan Beaumont-Garth Pratten</t>
  </si>
  <si>
    <t>Strategic Imagination</t>
  </si>
  <si>
    <t>Andrew Carr</t>
  </si>
  <si>
    <t>World War and World Peace in the Age of Digital Capitalism</t>
  </si>
  <si>
    <t>Christian Fuchs</t>
  </si>
  <si>
    <t>The VÃ¶lsung Ballads From the Faroe Islands in English Translation</t>
  </si>
  <si>
    <t>Negotiating Childlessness in the Middle Ages</t>
  </si>
  <si>
    <t>Regina Toepfer</t>
  </si>
  <si>
    <t>Ancient Mediterranean Incarceration</t>
  </si>
  <si>
    <t>Matthew D.C. Larsen-Mark Letteney</t>
  </si>
  <si>
    <t>We Are Pregnant with Freedom</t>
  </si>
  <si>
    <t>SOCIAL SCIENCE / Cultural &amp; Ethnic Studies / American / African American &amp; Black Studies</t>
  </si>
  <si>
    <t>Stacie Elizabeth Selmon McCormick</t>
  </si>
  <si>
    <t>Proceedings of the 2025 4th International Conference on Humanities, Wisdom Education and Service Management (HWESM 2025)</t>
  </si>
  <si>
    <t>Intakhab Alam Khan-Shikta Singh-Rosila Bee Binti Mohd Hussain-Adelina Binti Asmawi</t>
  </si>
  <si>
    <t>Embracing the Future, Powering Growth: An Energy System Renewed for China</t>
  </si>
  <si>
    <t>Dinaric Perspectives on PIRLS 2021</t>
  </si>
  <si>
    <t>Å½aneta DÅ¾umhur-PaulÃ­na KorÅ¡ÅˆÃ¡kovÃ¡-Sabine Meinck</t>
  </si>
  <si>
    <t>The Necro-President</t>
  </si>
  <si>
    <t>Dean Caivano</t>
  </si>
  <si>
    <t>Monita Privata (secreta) Societatis Iesu</t>
  </si>
  <si>
    <t>Bartosz Awianowicz-RadosÅ‚aw GrzeÅ›kowiak-Robert Aleksander Maryks</t>
  </si>
  <si>
    <t>In Pursuit of Prosperity</t>
  </si>
  <si>
    <t>Charles R Hankla</t>
  </si>
  <si>
    <t>Fear the Future</t>
  </si>
  <si>
    <t>Matthew Benjamin Cole</t>
  </si>
  <si>
    <t>110 lat Anne of Green Gables Lucy Maud Montgomery w Polsce. Recepcja, przekÅ‚ady, nowe odczytania i perspektywy badawcze</t>
  </si>
  <si>
    <t>Agnieszka Kwiatkowska (red.)-Ewa Rajewska (red.)-Aleksandra Wieczorkiewicz (red.)</t>
  </si>
  <si>
    <t>Edukacja i kultura. RÃ³Å¼norodnoÅ›Ä‡ kontekstÃ³w i perspektyw</t>
  </si>
  <si>
    <t>Agnieszka Gromkowska-Melosik (red.)-Eugenia Karcz-Taranowicz (red.)-Wiktor Å»Å‚obicki (red.)</t>
  </si>
  <si>
    <t>Ethical Economics and Sustainable Development</t>
  </si>
  <si>
    <t>Devi Datt Tewari-Kehinde Damilola Ilesanmi</t>
  </si>
  <si>
    <t>Racism, Xenophobia, Antisemitism, and Islamophobia in European Football</t>
  </si>
  <si>
    <t>SPORTS &amp; RECREATION / Soccer</t>
  </si>
  <si>
    <t>Udo Merkel</t>
  </si>
  <si>
    <t>The Future of Labour</t>
  </si>
  <si>
    <t>Anthony Larsson-Andreas Hatzigeorgiou</t>
  </si>
  <si>
    <t>Climate Litigation and Vulnerabilities</t>
  </si>
  <si>
    <t>Maria Antonia Tigre-Melanie Jean Murcott-Susan Ann Samuel</t>
  </si>
  <si>
    <t>Digital Internationalisation of Firms</t>
  </si>
  <si>
    <t>BUSINESS &amp; ECONOMICS / International / General</t>
  </si>
  <si>
    <t>Marzanna K. Witek-Hajduk-Magda GÃ³rska GrginoviÄ‡-Bartosz TargaÅ„ski</t>
  </si>
  <si>
    <t>Advances in Interdisciplinary Research</t>
  </si>
  <si>
    <t>MarÃ­a Soledad RamÃ­rez-Montoya-Miguel A. Montoya-Genaro Zavala-EnrÃ­quez-Antonio MartÃ­nez-Arboleda</t>
  </si>
  <si>
    <t>The Reproductive Politics of American Literature and Film, 1959â€“1973</t>
  </si>
  <si>
    <t>Edinburgh University Press</t>
  </si>
  <si>
    <t>LITERARY CRITICISM / American / General</t>
  </si>
  <si>
    <t>Sophie A. Jones</t>
  </si>
  <si>
    <t>Industrial Islamism</t>
  </si>
  <si>
    <t>SOCIAL SCIENCE / Cultural &amp; Ethnic Studies / Middle Eastern Studies</t>
  </si>
  <si>
    <t>Utku Baris Balaban</t>
  </si>
  <si>
    <t>Digital and Social Media in Africa</t>
  </si>
  <si>
    <t>Ruth Teer-Tomaselli-Henri-Count Evans-Tinashe Mawere</t>
  </si>
  <si>
    <t>The Big Data Agenda</t>
  </si>
  <si>
    <t>Annika Richterich</t>
  </si>
  <si>
    <t>HEAR</t>
  </si>
  <si>
    <t>Andreas Philippopoulos-Mihalopoulos-Danilo Mandic-Caterina Nirta-Andrea Pavoni</t>
  </si>
  <si>
    <t>The Society of the Selfie</t>
  </si>
  <si>
    <t>Jeremiah Morelock-Felipe Ziotti Narita</t>
  </si>
  <si>
    <t>Misinformation Policy in Sub-Saharan Africa</t>
  </si>
  <si>
    <t>Peter Cunliffe-Jones-Assane Diagne-Alan Finlay-Sahite Gaye-Wallace Gichunge-Anya Schiffrin-Cornia Pretorius-Chido Onumah</t>
  </si>
  <si>
    <t>Democracy in a Pandemic</t>
  </si>
  <si>
    <t>Pieter Verdegem-Graham Smith-Tim Hughes-Lizzie Adams-Charlotte Obijiaku</t>
  </si>
  <si>
    <t>Artificial Intelligence and the Internet of Things</t>
  </si>
  <si>
    <t>Mercedes Bunz-Laima Janciute</t>
  </si>
  <si>
    <t>Anthropocene Islands</t>
  </si>
  <si>
    <t>Jonathan Pugh-David Chandler</t>
  </si>
  <si>
    <t>Fashion Media and Sustainability</t>
  </si>
  <si>
    <t>Anastasia Denisova</t>
  </si>
  <si>
    <t>The Public Service Media and Public Service Internet Manifesto</t>
  </si>
  <si>
    <t>Christian Fuchs-Klaus Unterberger</t>
  </si>
  <si>
    <t>Fake News â€“ Whatâ€™s the Harm?</t>
  </si>
  <si>
    <t>Peter Cunliffe-Jones</t>
  </si>
  <si>
    <t>Critical Communication</t>
  </si>
  <si>
    <t>Vincent Mosco</t>
  </si>
  <si>
    <t>AI for Everyone?</t>
  </si>
  <si>
    <t>Pieter Verdegem</t>
  </si>
  <si>
    <t>TASTE</t>
  </si>
  <si>
    <t>Andrea Pavoni-Danilo Mandic-Caterina Nirta-Andreas Philippopoulos-Mihalopoulos</t>
  </si>
  <si>
    <t>Critique of the Political Economy of the Media</t>
  </si>
  <si>
    <t>Manfred Knoche</t>
  </si>
  <si>
    <t>The Online Advertising Tax As the Foundation of a Public Service Internet</t>
  </si>
  <si>
    <t>Contemporary Colonialities</t>
  </si>
  <si>
    <t>Nitasha Kaul-Dibyesh Anand</t>
  </si>
  <si>
    <t>The Spectacle 2.0</t>
  </si>
  <si>
    <t>Marco Briziarelli-Emiliana Armano</t>
  </si>
  <si>
    <t>Cultural China 2021</t>
  </si>
  <si>
    <t>SÃ©agh Kehoe-Gerda Wielander</t>
  </si>
  <si>
    <t>The Long Walk to Equality</t>
  </si>
  <si>
    <t>Avis Whyte-Patricia Tuitt-Judith Bourne</t>
  </si>
  <si>
    <t>Developing Educators for The Digital Age</t>
  </si>
  <si>
    <t>Paul Breen</t>
  </si>
  <si>
    <t>Paradoxes of Digital Disengagement</t>
  </si>
  <si>
    <t>Adi Kuntsman-Esperanza Miyake</t>
  </si>
  <si>
    <t>The Media and Communications Study Skills Student Guide</t>
  </si>
  <si>
    <t>Doug Specht</t>
  </si>
  <si>
    <t>Digital Platforms and Algorithmic Subjectivities</t>
  </si>
  <si>
    <t>Emiliana Armano-Marco Briziarelli-Elisabetta Risi</t>
  </si>
  <si>
    <t>SMELL</t>
  </si>
  <si>
    <t>Festivals and the City</t>
  </si>
  <si>
    <t>Guy Osborn-Bernadette Quinn-Andrew Smith</t>
  </si>
  <si>
    <t>Media Pasts and Futures</t>
  </si>
  <si>
    <t>Des Freedman-Michael Klontzas</t>
  </si>
  <si>
    <t>Politicizing Digital Space</t>
  </si>
  <si>
    <t>Trevor Garrison Smith</t>
  </si>
  <si>
    <t>The Left and Digital Politics</t>
  </si>
  <si>
    <t>Marco Guglielmo</t>
  </si>
  <si>
    <t>Challenges and Developments in Public Service Journalism</t>
  </si>
  <si>
    <t>Alessandro Dâ€™Arma-Maria Michalis-Gregory Ferrell Lowe-Michael-Bernhard Zita-Alessandro D'Arma</t>
  </si>
  <si>
    <t>We Need To Talk About Climate</t>
  </si>
  <si>
    <t>Graham Smith</t>
  </si>
  <si>
    <t>The World As Abyss</t>
  </si>
  <si>
    <t>Dies Irae</t>
  </si>
  <si>
    <t>Jean-Luc Nancy-Angela Condello-Carlo Grassi-Andreas Philippopoulos-Mihalopoulos</t>
  </si>
  <si>
    <t>Intellectual Commons and the Law</t>
  </si>
  <si>
    <t>Antonios Broumas</t>
  </si>
  <si>
    <t>The Fight Against Platform Capitalism</t>
  </si>
  <si>
    <t>Jamie Woodcock</t>
  </si>
  <si>
    <t>Cultural China 2020</t>
  </si>
  <si>
    <t>Begging, Charity and Religion in Pre-Famine Ireland</t>
  </si>
  <si>
    <t>CiarÃ¡n McCabe</t>
  </si>
  <si>
    <t>Ã‰levages et pÃ¢turages sous tension</t>
  </si>
  <si>
    <t>Verwaltungsentscheidungen durch KÃ¼nstliche Intelligenz</t>
  </si>
  <si>
    <t>Robert KreyÃŸing</t>
  </si>
  <si>
    <t>Augmented Reality</t>
  </si>
  <si>
    <t>ARCHITECTURE / Criticism</t>
  </si>
  <si>
    <t>Manuel van der Veen</t>
  </si>
  <si>
    <t>Leben, Filmen</t>
  </si>
  <si>
    <t>Eva Kuhn</t>
  </si>
  <si>
    <t>Extramural English Activities and Individual Learner Differences. A Case of Hungary</t>
  </si>
  <si>
    <t xml:space="preserve"> BalÃ¡zs Fajt</t>
  </si>
  <si>
    <t>Hungarian-English Linguistic Contrasts. A Practical Approach</t>
  </si>
  <si>
    <t xml:space="preserve"> PÃ¡l Heltai-KovÃ¡cs TÃ­mea</t>
  </si>
  <si>
    <t>Initiation Into the Mysteries. A Collection of Studies in Religion, Philosophy and the Arts</t>
  </si>
  <si>
    <t xml:space="preserve"> AnikÃ³ DarÃ³czi-EnikÅ‘ Sepsi-MiklÃ³s VassÃ¡nyi</t>
  </si>
  <si>
    <t>Protestantism, Knowledge and the World of Science / Protestantismus, Wissen Und Die Welt Der Wissenschaften</t>
  </si>
  <si>
    <t xml:space="preserve"> GyÃ¶rgy Kurucz</t>
  </si>
  <si>
    <t>Digital Media and Storytelling in Higher Education</t>
  </si>
  <si>
    <t xml:space="preserve"> Anita Lanszki</t>
  </si>
  <si>
    <t>Schnittpunke Band I. Literarisches leben des Deutschsprachigen Ungarn um 1800</t>
  </si>
  <si>
    <t xml:space="preserve"> LÃ¡szlÃ³ TarnÃ³i-JÃ³zsef FÃ¼lÃ¶p</t>
  </si>
  <si>
    <t>Influencing Beckett â€“ Beckett Influencing</t>
  </si>
  <si>
    <t xml:space="preserve"> Anita RÃ¡kÃ³czy-Mariko Hori Tanaka-Nicholas E. Johnson</t>
  </si>
  <si>
    <t>Living Through Extremes in Process Drama</t>
  </si>
  <si>
    <t xml:space="preserve"> ÃdÃ¡m Bethlenfalvy</t>
  </si>
  <si>
    <t>Proceedings of the International Conference on Cultural Studies (ICCUS) 2024</t>
  </si>
  <si>
    <t>Prasetyo Adi Wisnu Wibowo-Dwi Susanto-Mibtadin Mibtadin</t>
  </si>
  <si>
    <t>Proceedings of the International Conference on Tropical Studies and Its Application (ICTROPS 2024)</t>
  </si>
  <si>
    <t>Muhammad Rizqy Septyandy-Searphin Nugroho-Muhammad Labib Jundillah-Lucia Litha Respati</t>
  </si>
  <si>
    <t>Proceedings of 2025 2nd International Conference on Applied Economics, Management Science and Social Development (AEMSS 2025)</t>
  </si>
  <si>
    <t>Jiye Hu-Huaping Sun-Au Yong Hui Nee-Paulo Batista</t>
  </si>
  <si>
    <t>Proceedings of the National Seminar on Enhancing Privacy Protection in the Digital Age: Legal Challenges &amp; Innovations (NSEPPDA 2025)</t>
  </si>
  <si>
    <t>Teena Teena-Pankaj Avasthi-Savita Yadav-Apoorva Dixit</t>
  </si>
  <si>
    <t>Justice Rosalie Silberman Abella</t>
  </si>
  <si>
    <t>Vanessa MacDonnell-Stephen Bindman-Gerald Chan</t>
  </si>
  <si>
    <t>The Bibliotheca Corvina. The Fate, Mission and Destiny of a Library</t>
  </si>
  <si>
    <t>ANTIQUES &amp; COLLECTIBLES / Books</t>
  </si>
  <si>
    <t xml:space="preserve"> IstvÃ¡n Monok</t>
  </si>
  <si>
    <t>Ã–rmÃ©ny Ã©let az OszmÃ¡n Birodalomban</t>
  </si>
  <si>
    <t xml:space="preserve"> Hartmann Elke</t>
  </si>
  <si>
    <t>KortÃ¡rs JapanolÃ³gia III.</t>
  </si>
  <si>
    <t xml:space="preserve"> IldikÃ³ Farkas-Attila SÃ¡gi</t>
  </si>
  <si>
    <t>A sikertÃ¶rtÃ©net folytatÃ³dik. Enea Silvio Piccolomini Historia de duobus amantibusÃ¡nak fordÃ­tÃ¡sai a 17-18. szÃ¡zadban</t>
  </si>
  <si>
    <t xml:space="preserve"> Ãgnes MÃ¡tÃ©</t>
  </si>
  <si>
    <t>Ã–rmÃ©ny vÃ¡rosÃ©pÃ­tÃ©szet ErdÃ©lyben</t>
  </si>
  <si>
    <t>ARCHITECTURE / History / General</t>
  </si>
  <si>
    <t xml:space="preserve"> MÃ¡tÃ© TamÃ¡ska</t>
  </si>
  <si>
    <t>Ã‰rtÃ©kalapÃº (kÃ¶z)igazgatÃ¡s</t>
  </si>
  <si>
    <t xml:space="preserve"> NÃ¡ndor Birher</t>
  </si>
  <si>
    <t>Ãllam Ã©s demokrÃ¡cia. TÃ¶rvÃ©nyhozÃ¡s Ã©s tÃ¶rvÃ©nykezÃ©s az Ã³kori AthÃ©nban</t>
  </si>
  <si>
    <t xml:space="preserve"> Ã‰va Jakab</t>
  </si>
  <si>
    <t>Hans Freudenthal</t>
  </si>
  <si>
    <t xml:space="preserve"> Adolfo Angulo Romero-Francisco Eduardo Rengifo Silva-Atanacia Santacruz Espinoza-JesÃºs Ttito Quispe-Alan Christian LÃ³pez Castillo-Fausto David Berrocal Huarcaya-Josefrank Pernalete Lugo</t>
  </si>
  <si>
    <t>Libellus exercitiorum poeseos scholasticorum (1588)</t>
  </si>
  <si>
    <t xml:space="preserve"> Valerian Mader-DÃ¡vid MolnÃ¡r</t>
  </si>
  <si>
    <t>Etika mint normarend</t>
  </si>
  <si>
    <t>LAW / Ethics &amp; Professional Responsibility</t>
  </si>
  <si>
    <t xml:space="preserve"> NÃ¡ndor Birher-LÃ³rÃ¡nd UjhÃ¡zi</t>
  </si>
  <si>
    <t>Egy folyÃ³ tÃ¶bb Ã©lete. Hantik Ã©s oroszok a nyugat-szibÃ©riai VaszjugÃ¡n mentÃ©n</t>
  </si>
  <si>
    <t xml:space="preserve"> ZoltÃ¡n Nagy</t>
  </si>
  <si>
    <t>A megÃ©rtÃ©s Ã©des Ã¶rÃ¶me. Terepmunka, politika, etika a KÃ¶zÃ©p-vietnÃ¡mi FelfÃ¶ldÃ¶n</t>
  </si>
  <si>
    <t xml:space="preserve"> GÃ¡bor Vargyas</t>
  </si>
  <si>
    <t>A lehetsÃ©gestÅ‘l a valÃ³sÃ¡gosig. TanulmÃ¡nyok a nÃ©met irodalom, kultÃºra Ã©s a mÅ±fordÃ­tÃ¡s kÃ¶rÃ©bÅ‘l</t>
  </si>
  <si>
    <t xml:space="preserve"> GÃ©za HorvÃ¡th-JÃ³zsef FÃ¼lÃ¶p-Anita CzeglÃ©dy</t>
  </si>
  <si>
    <t>MoszkÃ³via rÃ¶vid tÃ¶rtÃ©nete, valamint mÃ¡s, kevÃ©sbÃ© ismert orszÃ¡gok leÃ­rÃ¡sa, amelyek OroszorszÃ¡gtÃ³l keletre fekszenek egÃ©szen KÃ­nÃ¡ig. SzemtanÃºk kÃ¼lÃ¶nbÃ¶zÅ‘ Ã­rÃ¡sai alapjÃ¡n Ã¶sszegyÅ±jtve</t>
  </si>
  <si>
    <t xml:space="preserve"> John Milton</t>
  </si>
  <si>
    <t>VersÅ‘rlÅ‘ malomkÅ‘nek korpÃ¡ja? Filefalvi Filiczki JÃ¡nos kÃ¶ltÅ‘i Ã©letmÅ±ve</t>
  </si>
  <si>
    <t xml:space="preserve"> DÃ¡vid MolnÃ¡r</t>
  </si>
  <si>
    <t>A kelet-kÃ¶zÃ©p-eurÃ³pai nyelvi tÃ©rsÃ©g</t>
  </si>
  <si>
    <t xml:space="preserve"> Orsolya NÃ¡dor</t>
  </si>
  <si>
    <t>Az idÃ©zÃ©s mÅ±kÃ¶dÃ©se a magyar nyelvben. FunkcionÃ¡lis kognitÃ­v kÃ¶zelÃ­tÃ©s</t>
  </si>
  <si>
    <t xml:space="preserve"> NÃ³ra Csontos</t>
  </si>
  <si>
    <t>Populism and Migration</t>
  </si>
  <si>
    <t xml:space="preserve"> Ã‰va GedÅ‘-Ã‰va SzÃ©nÃ¡si</t>
  </si>
  <si>
    <t>Rembrandt â€“ A kÃ©pek szÃ­njÃ¡tÃ©ka. Hermeneutikai kÃ­sÃ©rletek</t>
  </si>
  <si>
    <t xml:space="preserve"> AndrÃ¡s RÃ©nyi-GÃ¡bor BerÃ©nyi</t>
  </si>
  <si>
    <t>Fiatal kutatÃ³ink. ÃšNKP a KÃ¡rolin 2022/2023</t>
  </si>
  <si>
    <t>RELIGION / Theology</t>
  </si>
  <si>
    <t xml:space="preserve"> PÃ©ter FurkÃ³-Martin PÃ©nzes</t>
  </si>
  <si>
    <t>Tokay, Its Vineyards and Wine. Tokaj SzÅ‘lÅ‘skertjei Ã‰s Bora</t>
  </si>
  <si>
    <t xml:space="preserve"> Robert Townson-IstvÃ¡n Monok-DÃ¡vid MolnÃ¡r</t>
  </si>
  <si>
    <t>On the Concept of Alien</t>
  </si>
  <si>
    <t xml:space="preserve"> ZoltÃ¡n Gyenge</t>
  </si>
  <si>
    <t>Az oktatÃ¡si szektor alkalmazkodÃ¡sa a digitÃ¡lis transzformÃ¡ciÃ³ kihÃ­vÃ¡saihoz</t>
  </si>
  <si>
    <t xml:space="preserve"> LÃ¡szlÃ³ HorvÃ¡th</t>
  </si>
  <si>
    <t>Rembrandt â€“ A kÃ©pek szÃ­njÃ¡tÃ©ka. Hermeneutikai kÃ­sÃ©rletek (online kÃ©pmellÃ©klet)</t>
  </si>
  <si>
    <t xml:space="preserve"> AndrÃ¡s RÃ©nyi-MÃ¡ria MadÃ¡r</t>
  </si>
  <si>
    <t>Pilinszky JÃ¡nos szÃ­nhÃ¡zi Ã©s filmes vÃ­ziÃ³ja ma</t>
  </si>
  <si>
    <t xml:space="preserve"> EnikÅ‘ Sepsi-Ibolya MaczÃ¡k</t>
  </si>
  <si>
    <t>Through a Glass Darkly. Women in the Scientific Elite</t>
  </si>
  <si>
    <t xml:space="preserve"> Izolda TakÃ¡cs</t>
  </si>
  <si>
    <t>Ambiguous Topicality</t>
  </si>
  <si>
    <t xml:space="preserve"> ÃrpÃ¡d KÃ©kesi Kun</t>
  </si>
  <si>
    <t>Alkoholhelyzet MagyarorszÃ¡gon. TÃ©nyek, adatok, elemzÃ©sek</t>
  </si>
  <si>
    <t xml:space="preserve"> Zsuzsanna Elekes</t>
  </si>
  <si>
    <t>Notitia montium et locorum viniferorum Zempleniensis, 1798. A tokaji, vagy is hegyalljai szÅ‘llÅ‘knek Ã¼ltetÃ©sÃ©rÅ‘l, 1810</t>
  </si>
  <si>
    <t xml:space="preserve"> Antal Szirmay-Ãron OrbÃ¡n</t>
  </si>
  <si>
    <t>Francisci Hunniadini poemata Latina omnia</t>
  </si>
  <si>
    <t xml:space="preserve"> Ferenc Hunyadi-DÃ¡vid MolnÃ¡r</t>
  </si>
  <si>
    <t>Foundations of Agro-Zoocoenology</t>
  </si>
  <si>
    <t xml:space="preserve"> SzelÃ©nyi GusztÃ¡v-Viktor MarkÃ³</t>
  </si>
  <si>
    <t>KÃ©p, jelenlÃ©t, kenÃ³zis a kortÃ¡rs francia kÃ¶ltÃ©szetben Ã©s ValÃ¨re Novarina szÃ­nhÃ¡zÃ¡ban</t>
  </si>
  <si>
    <t xml:space="preserve"> EnikÅ‘ Sepsi</t>
  </si>
  <si>
    <t>A Bibliotheca Corvina. Egy kÃ¶nyvtÃ¡r sorsa, kÃ¼ldetÃ©se Ã©s vÃ©gzete</t>
  </si>
  <si>
    <t>DigitÃ¡lis mÃ©dia Ã©s tÃ¶rtÃ©netmesÃ©lÃ©s a felsÅ‘oktatÃ¡sban</t>
  </si>
  <si>
    <t>Schnittpunkte Band II. Studien zur Germanistik und Hungarologie</t>
  </si>
  <si>
    <t xml:space="preserve"> LÃ¡szlÃ³ TarnÃ³i</t>
  </si>
  <si>
    <t>Magyarnyelv-tanÃ­tÃ¡s gyermekeknek</t>
  </si>
  <si>
    <t xml:space="preserve"> IldikÃ³ Schmidt-Bernadette NagyhÃ¡zi</t>
  </si>
  <si>
    <t>GÃ¶rÃ¶g Demeter (1760â€“1833) grinzingi birtokÃ¡n Ã¼ltetett szÅ‘lÅ‘fajtÃ¡k, 1829</t>
  </si>
  <si>
    <t>Domby SÃ¡muel</t>
  </si>
  <si>
    <t xml:space="preserve"> TÃ­mea N. Kis-DÃ¡vid MolnÃ¡r</t>
  </si>
  <si>
    <t>BevezetÃ©s a szerhasznÃ¡lÃ³ nÅ‘k vilÃ¡gÃ¡ba</t>
  </si>
  <si>
    <t xml:space="preserve"> Zsuzsa KalÃ³</t>
  </si>
  <si>
    <t>A magyar szociolÃ³giai gondolkodÃ¡s tÃ¶rtÃ©nete 1990-ig</t>
  </si>
  <si>
    <t xml:space="preserve"> Csaba Dupcsik</t>
  </si>
  <si>
    <t>A magyar kiejtÃ©s tanÃ­tÃ¡sa</t>
  </si>
  <si>
    <t xml:space="preserve"> LÃ­via GyÃ¶ngyÃ¶si-IldikÃ³ KampÃ³-Tibor M. PintÃ©r</t>
  </si>
  <si>
    <t>VezetÅ‘k, testÃ¼letek, felelÅ‘ssÃ©g a felsÅ‘oktatÃ¡si intÃ©zmÃ©nyekben, kÃ¼lÃ¶nÃ¶s tekintettel az Ã¡llami egyetemekre</t>
  </si>
  <si>
    <t xml:space="preserve"> ZoltÃ¡n RÃ³nay</t>
  </si>
  <si>
    <t>Veres rÃ³ka, vÃ¶rÃ¶s bÃ¡rsony, piros rÃ³zsa. A piros/vÃ¶rÃ¶s a magyar nyelvben Ã©s kultÃºrÃ¡ban</t>
  </si>
  <si>
    <t xml:space="preserve"> BeÃ¡ta BÃ¡lizs</t>
  </si>
  <si>
    <t>Titus Livius</t>
  </si>
  <si>
    <t xml:space="preserve"> Rita Kopeczky-FerencnÃ© Kis-Gyula MurakÃ¶zy</t>
  </si>
  <si>
    <t xml:space="preserve"> Rita Kopeczky-Gyula MurakÃ¶zy</t>
  </si>
  <si>
    <t>TanulÃ¡skÃ¶zpontÃº felsÅ‘oktatÃ¡s. OktatÃ³k a tanÃ­tÃ¡srÃ³l, szakmai fejlÅ‘dÃ©srÅ‘l Ã©s tanulÃ¡srÃ³l</t>
  </si>
  <si>
    <t xml:space="preserve"> Orsolya KÃ¡lmÃ¡n</t>
  </si>
  <si>
    <t>Pragmatika a magyar mint idegen nyelv oktatÃ¡sÃ¡ban</t>
  </si>
  <si>
    <t xml:space="preserve"> NÃ³ra Csontos-Csilla Ilona DÃ©r</t>
  </si>
  <si>
    <t>Pesti magÃ¡nszÃ­nhÃ¡zak a kÃ©t vilÃ¡ghÃ¡borÃº kÃ¶zÃ¶tt. Transzatlanti hatÃ¡sok, lokÃ¡lis Ã©rdekvÃ©delem</t>
  </si>
  <si>
    <t xml:space="preserve"> GyÃ¶ngyi Heltai</t>
  </si>
  <si>
    <t>PasztorÃ¡lteolÃ³gia. A reformÃ¡tus lelkÃ©szi hivatÃ¡s vizsgÃ¡lata interjÃºk tÃ¼krÃ©ben</t>
  </si>
  <si>
    <t xml:space="preserve"> BalÃ¡zs Siba</t>
  </si>
  <si>
    <t>LexikolÃ³giai Ã©s lexikogrÃ¡fiai ismeretek magyar (mint idegen nyelv) tanÃ¡roknak</t>
  </si>
  <si>
    <t xml:space="preserve"> Ãgota FÃ³ris</t>
  </si>
  <si>
    <t>KÃ¶ztes terek. A rendszervÃ¡ltÃ¡s utÃ¡ni nyÃ³cker identitÃ¡sa</t>
  </si>
  <si>
    <t xml:space="preserve"> Eszter GyÃ¶rgy</t>
  </si>
  <si>
    <t>Georg Misch Ã©s az Ã¶nÃ©letÃ­rÃ¡s</t>
  </si>
  <si>
    <t xml:space="preserve"> GÃ¡bor Boros</t>
  </si>
  <si>
    <t>FelvilÃ¡gosodÃ¡s Ã©s babonasÃ¡g. ErdÃ©lyi nÃ©phiedelem-gyÅ±jtÃ©s 1789â€“90-ben</t>
  </si>
  <si>
    <t xml:space="preserve"> Ambrus Miskolczy</t>
  </si>
  <si>
    <t>EltÅ±nt falusi vilÃ¡gok. A 20. szÃ¡zadi paraszti tÃ¡rsadalom az egyÃ©ni emlÃ©kezetekben</t>
  </si>
  <si>
    <t xml:space="preserve"> TamÃ¡s CsÃ­ki</t>
  </si>
  <si>
    <t>DrÃ¡ma a tanteremben. TÃ¶rtÃ©netek cselekvÅ‘ feldolgozÃ¡sa</t>
  </si>
  <si>
    <t>Az udvar vonzÃ¡sÃ¡ban. A magyar fÅ‘nemessÃ©g bÃ©csi integrÃ¡ciÃ³jÃ¡nak szÃ­nterei (1711â€“1765)</t>
  </si>
  <si>
    <t xml:space="preserve"> Zsolt KÃ¶kÃ©nyesi</t>
  </si>
  <si>
    <t>Az egyhÃ¡zi Ã©v</t>
  </si>
  <si>
    <t xml:space="preserve"> Ferenc Pap</t>
  </si>
  <si>
    <t>AddiktolÃ³giai problÃ©mÃ¡k MagyarorszÃ¡gon. HelyzetkÃ©p a lakossÃ¡gi kutatÃ¡sok tÃ¼krÃ©ben II. ViselkedÃ©si addikciÃ³k</t>
  </si>
  <si>
    <t>SELF-HELP / Substance Abuse &amp; Addictions / General</t>
  </si>
  <si>
    <t xml:space="preserve"> BorbÃ¡la Paksi-Zsolt Demetrovics</t>
  </si>
  <si>
    <t>Santo AntÃ£o</t>
  </si>
  <si>
    <t>David Salomoni-Luana Giurgevich-Henrique LeitÃ£o</t>
  </si>
  <si>
    <t>Critical Childrenâ€™s Rights Studies</t>
  </si>
  <si>
    <t>Valeria Llobet-Didier Reynaert-Afua Twum-Danso Imoh-Wouter Vandenhole</t>
  </si>
  <si>
    <t>Sustainable Food Consumption in China</t>
  </si>
  <si>
    <t>Alex Hughes-Shuru Zhong-Mike Crang-Guojun Zeng-Fernando Fastoso-Hector Gonzalez Jimenez-Bob Doherty</t>
  </si>
  <si>
    <t>Uncovering European Private Law</t>
  </si>
  <si>
    <t>LAW / Commercial / General</t>
  </si>
  <si>
    <t xml:space="preserve"> Marija Bartl-Laura Burgers-Chantal Mak</t>
  </si>
  <si>
    <t>The West Balt Circle Riders</t>
  </si>
  <si>
    <t>Kontny, Bartosz (AU)</t>
  </si>
  <si>
    <t>Counterfeits, Imitations, and Copies of Roman Imperial Denarii</t>
  </si>
  <si>
    <t>Dymowski, Arkadiusz (ED)-Myzgin, Kyrylo (ED)</t>
  </si>
  <si>
    <t>Archaeology: Just Add Water</t>
  </si>
  <si>
    <t>Kontny, Bartosz (ED)-Mileszczyk, MaÅ‚gorzata (ED)-Nowakowska, Magdalena (ED)</t>
  </si>
  <si>
    <t>Dante the Theologian</t>
  </si>
  <si>
    <t>Corbett, George (AU)-Kelly, Patricia (AU)</t>
  </si>
  <si>
    <t>De la Lune Ã  la Terre</t>
  </si>
  <si>
    <t>SCIENCE / History</t>
  </si>
  <si>
    <t>Panzica, Aurora (AU)</t>
  </si>
  <si>
    <t>Entangled Histories at Conques</t>
  </si>
  <si>
    <t>Palladino, Adrien (ED)</t>
  </si>
  <si>
    <t>Building the Presence of the Prince</t>
  </si>
  <si>
    <t>ARCHITECTURE / History / Renaissance</t>
  </si>
  <si>
    <t>Hortal Munoz, JosÃ© Eloy (ED)-Hurx, Merlijn (ED)</t>
  </si>
  <si>
    <t>Spatial-Temporal Evolution of Mining-Induced Rock Damage and Ground Control of Roadways</t>
  </si>
  <si>
    <t>Zhijie Wen-Zhenqi Song-Yujing Jiang-Yujun Zuo-Jian Tao</t>
  </si>
  <si>
    <t>Automated Detection of Media Bias</t>
  </si>
  <si>
    <t>Timo Spinde</t>
  </si>
  <si>
    <t>Housing, Heritage and Urbanisation in the Middle East and North Africa</t>
  </si>
  <si>
    <t xml:space="preserve"> Lilia Makhloufi</t>
  </si>
  <si>
    <t>Contacts of Languages and Peoples in the Hittite and Post-Hittite World</t>
  </si>
  <si>
    <t>Federico Giusfredi-Alvise Matessi-Stella Merlin-Valerio Pisaniello</t>
  </si>
  <si>
    <t>Reincarnation in Clement of Alexandria</t>
  </si>
  <si>
    <t>Sami Yli-Karjanmaa</t>
  </si>
  <si>
    <t>Enduring Erosions</t>
  </si>
  <si>
    <t>University of Hawai'i</t>
  </si>
  <si>
    <t>Arne Harms</t>
  </si>
  <si>
    <t>Chasing Traces</t>
  </si>
  <si>
    <t>Pierre Petit-Jean Michaud</t>
  </si>
  <si>
    <t>Brain Fingerprint Identification</t>
  </si>
  <si>
    <t>Wanzeng Kong-Xuanyu Jin</t>
  </si>
  <si>
    <t>Contentious Politics in the Transnational Arena</t>
  </si>
  <si>
    <t>Chiara Milan-Aron BuzogÃ¡ny</t>
  </si>
  <si>
    <t>Primary Health Care and Continuous Quality Improvement</t>
  </si>
  <si>
    <t>University of Sydney</t>
  </si>
  <si>
    <t>MEDICAL / Health Care Delivery</t>
  </si>
  <si>
    <t>Laycock, Alison-Bailie, Ross-O'Donoghue, Lynette</t>
  </si>
  <si>
    <t>Late-Victorian Girls and Their Manuscript Magazines</t>
  </si>
  <si>
    <t>Lois Burke</t>
  </si>
  <si>
    <t>Framing Solidarities in Times of Multiple Crises</t>
  </si>
  <si>
    <t>Mojca Pajnik-Helge Schwiertz-Donatella della Porta-Franz Bernhardt-Marko RibaÄ‡</t>
  </si>
  <si>
    <t>Volkshochschul-Statistik</t>
  </si>
  <si>
    <t>Nicolas Echarti-Elisabeth Reichart-Hella Huntemann-Thomas Lux</t>
  </si>
  <si>
    <t>Wissenschaft Weltoffen 2025 Kompakt English Edition</t>
  </si>
  <si>
    <t>Jan Kercher-Naomi KnÃ¼ttgen-Nicolai Netz-Inessa Fuge</t>
  </si>
  <si>
    <t>Wissenschaft weltoffen 2025 kompakt</t>
  </si>
  <si>
    <t>Schulentwicklung in der digitalen Transformation</t>
  </si>
  <si>
    <t>Anne Wagner</t>
  </si>
  <si>
    <t>Weiterentwicklung von Modellen betrieblichen Lernens</t>
  </si>
  <si>
    <t>Tanja Arnold</t>
  </si>
  <si>
    <t>Chancen fÃ¼r Alle durch (berufliche) Bildung</t>
  </si>
  <si>
    <t>Sebastian Ixmeier-Pia Buck-Dieter MÃ¼nk</t>
  </si>
  <si>
    <t>Chemiebezogenes Lernen im Sachunterricht</t>
  </si>
  <si>
    <t>Nina Dunker-Anne Reh</t>
  </si>
  <si>
    <t>Berufliche IdentitÃ¤tsarbeit als Bildungsauftrag der Berufsschule</t>
  </si>
  <si>
    <t>Christiane Thole</t>
  </si>
  <si>
    <t>Education and Climate Change: Discovering Strategies for Individual and Collective Action</t>
  </si>
  <si>
    <t>Samantha Govender-Mncedisi C. Maphalala-Dumisani W. Mncube-Arorisoe Sibanda-Azwidohwi P. Kutame-Cleopatra Luthuli-Hlengiwe R. Mhlongo-Kofi N. Mpuangnan-Lindiwe C. Mthethwa-Lyn Kok-Nokuthula P. Xulu-Petrus J. Kok-Shanu Misser-Sebastian Sanjigadu-Sumeshni Govender</t>
  </si>
  <si>
    <t>Walka o integralnoÅ›Ä‡ terytorialnÄ… Rusi i Rosji. Aspekty polityczne, gospodarcze i spoÅ‚eczne</t>
  </si>
  <si>
    <t>Natasza Duraj</t>
  </si>
  <si>
    <t>RozwiÄ…zania zarzÄ…dcze dla administracji publicznej w dobie kryzysu</t>
  </si>
  <si>
    <t>Mateusz SobociÅ„ski</t>
  </si>
  <si>
    <t>In the Presence of Gods and Spirits</t>
  </si>
  <si>
    <t>Anne Walthall</t>
  </si>
  <si>
    <t>The Mathematical Theory of Semantic Communication</t>
  </si>
  <si>
    <t>Kai Niu-Ping Zhang</t>
  </si>
  <si>
    <t>Planung und DurchfÃ¼hrung von Missionen autonomer Drohnen im Schwarm</t>
  </si>
  <si>
    <t>TECHNOLOGY &amp; ENGINEERING / Engineering (General)</t>
  </si>
  <si>
    <t>Matthias Nattke</t>
  </si>
  <si>
    <t>Wellbeing, Values and Lifestyles</t>
  </si>
  <si>
    <t>Sachin Chaturvedi-K. Seeta Prabhu-Sabyasachi Saha</t>
  </si>
  <si>
    <t>Proceedings of the 3rd Lawang Sewu International Symposium on Humanities and Social Sciences 2024 (LEWIS HUSO 2024)</t>
  </si>
  <si>
    <t>Nurcahyono Nurcahyono-Abdul Aziz-Budi Tri Santosa</t>
  </si>
  <si>
    <t>Proceedings of the 2025 4th International Conference on Bigdata Blockchain and Economy Management (ICBBEM 2025)</t>
  </si>
  <si>
    <t>COMPUTERS / Business &amp; Productivity Software / Business Intelligence</t>
  </si>
  <si>
    <t>Gyu Myoung Lee-Hua Wang-Vasilii Erokhin-Yusmadi Yah Jusoh</t>
  </si>
  <si>
    <t>Abuse in World Religions</t>
  </si>
  <si>
    <t>Johanna Stiebert</t>
  </si>
  <si>
    <t>Objects, Qualities, and Attributes As Deities in the Ancient Near East</t>
  </si>
  <si>
    <t>HISTORY / Middle East / General</t>
  </si>
  <si>
    <t>Jennifer Singletary</t>
  </si>
  <si>
    <t>Digital Learning Design</t>
  </si>
  <si>
    <t>Claude MÃ¼ller</t>
  </si>
  <si>
    <t>Soziale Digitalisierung</t>
  </si>
  <si>
    <t>Michael Opielka-Christian Erfurth</t>
  </si>
  <si>
    <t>Evaluation of Vocational Rehabilitation Services</t>
  </si>
  <si>
    <t>Christopher M. Clapp-John Pepper-Robert Schmidt-Steven Stern</t>
  </si>
  <si>
    <t>Sozialisation von politischem Interesse bei Kindern</t>
  </si>
  <si>
    <t>Lena Haug</t>
  </si>
  <si>
    <t>Digitale IdentitÃ¤ten und Nachweise</t>
  </si>
  <si>
    <t>COMPUTERS / Security / General</t>
  </si>
  <si>
    <t>JÃ¼rgen Anke-Michael Kubach-Jan SÃ¼rmeli</t>
  </si>
  <si>
    <t>Handbook of Diversity Competence</t>
  </si>
  <si>
    <t>PSYCHOLOGY / Movements / General</t>
  </si>
  <si>
    <t>Petia Genkova-Matt Flynn-Michael Morley-Martina RaÅ¡ticovÃ¡</t>
  </si>
  <si>
    <t>Die Akte/n</t>
  </si>
  <si>
    <t>Peter Plener-Burkhardt Wolf-Felix Lindner-Julia Steinmetz</t>
  </si>
  <si>
    <t>War Remains</t>
  </si>
  <si>
    <t>Marie Cronqvist-Lina Sturfelt (eds.)</t>
  </si>
  <si>
    <t>Saamentutkimus tÃ¤nÃ¤Ã¤n</t>
  </si>
  <si>
    <t>Irja SeurujÃ¤rvi-Kari-Petri Halinen-Risto Pulkkinen (eds.)</t>
  </si>
  <si>
    <t>Handwritten Newspapers</t>
  </si>
  <si>
    <t>ANTIQUES &amp; COLLECTIBLES / Magazines &amp; Newspapers</t>
  </si>
  <si>
    <t>Heiko Droste-Kirsti Salmi-Niklander (eds.)</t>
  </si>
  <si>
    <t>Mysterious Minds</t>
  </si>
  <si>
    <t>Elise NykÃ¤nen</t>
  </si>
  <si>
    <t>Art in the Global Present</t>
  </si>
  <si>
    <t>Nikos Papastergiadis-Victoria Lynn (eds.)</t>
  </si>
  <si>
    <t>The Politics of Identity</t>
  </si>
  <si>
    <t>Michelle Harris-Bronwyn Carlson-Martin Nakata (eds.)</t>
  </si>
  <si>
    <t>History, Power, Text</t>
  </si>
  <si>
    <t>Timothy Neale-Crystal McKinnon-Eve Vincent (eds.)</t>
  </si>
  <si>
    <t>Bakom stadens kulisser</t>
  </si>
  <si>
    <t>Karin Carlsson-Rebecka Lennartsson (eds.)</t>
  </si>
  <si>
    <t>Content Operations From Start to Scale</t>
  </si>
  <si>
    <t>Carlos Evia (ed.)</t>
  </si>
  <si>
    <t>BarnavÃ¥rd till salu</t>
  </si>
  <si>
    <t>Johanna SkÃ¶ld-Johanna SjÃ¶berg</t>
  </si>
  <si>
    <t>Markernas kronologi och ideologi i norra Sverige</t>
  </si>
  <si>
    <t>SOCIAL SCIENCE / Customs &amp; Traditions</t>
  </si>
  <si>
    <t>Daniel Andersson</t>
  </si>
  <si>
    <t>Viscous Expectations</t>
  </si>
  <si>
    <t>Cara Judea Alhadeff</t>
  </si>
  <si>
    <t>Mamsell Bohmans fall</t>
  </si>
  <si>
    <t>Rebecka Lennartsson</t>
  </si>
  <si>
    <t>Tid att stÃ¤da</t>
  </si>
  <si>
    <t>HOUSE &amp; HOME / Cleaning, Caretaking &amp; Organizing</t>
  </si>
  <si>
    <t>Fanny AmbjÃ¶rnsson</t>
  </si>
  <si>
    <t>RE</t>
  </si>
  <si>
    <t>Max O. Stephenson Jr.-Lyusyena Kirakosyan (eds.)</t>
  </si>
  <si>
    <t>Conversations in Community Change</t>
  </si>
  <si>
    <t>Max O. Stephenson-Cathy Grimes</t>
  </si>
  <si>
    <t>Essays in Anarchism and Religion</t>
  </si>
  <si>
    <t>POLITICAL SCIENCE / Political Ideologies / Anarchism</t>
  </si>
  <si>
    <t>Alexandre Christoyannopoulos-Matthew S. Adams (eds.)</t>
  </si>
  <si>
    <t>Antirasismer och antirasister</t>
  </si>
  <si>
    <t>Karin Krifors-Hansalbin SÃ¤ltenberg-Diana Mulinari-Anders Neergaard (eds.)</t>
  </si>
  <si>
    <t>Populating the Future</t>
  </si>
  <si>
    <t>Britt Johanne Farstad (ed.)</t>
  </si>
  <si>
    <t>Sveriges avrasifiering</t>
  </si>
  <si>
    <t>Tobias HÃ¼binette-Peter WikstrÃ¶m (eds.)</t>
  </si>
  <si>
    <t>Indian Electronic Literature Anthology</t>
  </si>
  <si>
    <t>LITERARY CRITICISM / Asian / Indic</t>
  </si>
  <si>
    <t>Nirmala Menon-Shanmugapriya T-Justy Joseph-Deborah Sutton(eds.)</t>
  </si>
  <si>
    <t>Innovative Language Teaching Practices in Higher Education in a Post-COVID Era</t>
  </si>
  <si>
    <t>Androulla Athanasiou-Stavroulla Hadjiconstantinou-Maria Christoforou (eds.)</t>
  </si>
  <si>
    <t>Entrustable Professional Activities and Entrustment Decision-Making in Health Professions Education</t>
  </si>
  <si>
    <t>Olle ten Cate-Vanessa C. Burch-H. Carrie Chen-Fremen Chihchen Chou-Marije P. Hennus (eds.)</t>
  </si>
  <si>
    <t>Canâ€™t Touch This</t>
  </si>
  <si>
    <t>Chiara Palladino-Gabriel Bodard (eds.)</t>
  </si>
  <si>
    <t>Ethnographies of Collaborative Economies Across Europe</t>
  </si>
  <si>
    <t>Penny Travlou-Luigina Ciolfi (eds.)</t>
  </si>
  <si>
    <t>Unlocking Environmental Narratives</t>
  </si>
  <si>
    <t>COMPUTERS / Artificial Intelligence / Natural Language Processing</t>
  </si>
  <si>
    <t>Ross S. Purves-Olga Koblet-Benjamin Adams (eds.)</t>
  </si>
  <si>
    <t>"The Star" for Beginners</t>
  </si>
  <si>
    <t>Martin Brasser-Petar Bojanic-Francesco Paolo Ciglia (eds.)</t>
  </si>
  <si>
    <t>Political Science at the LSE</t>
  </si>
  <si>
    <t>Cheryl Schonhardt-Bailey-Gordon Bannerman (eds.)</t>
  </si>
  <si>
    <t>Virtual Heritage</t>
  </si>
  <si>
    <t>Erik Malcolm Champion (ed.)</t>
  </si>
  <si>
    <t>Cultural Heritage in the Realm of the Commons</t>
  </si>
  <si>
    <t>Stelios Lekakis (ed.)</t>
  </si>
  <si>
    <t>Communicating the Past in the Digital Age</t>
  </si>
  <si>
    <t>Sebastian Hageneuer (ed.)</t>
  </si>
  <si>
    <t>Educational Visions</t>
  </si>
  <si>
    <t>Rebecca Ferguson-Ann Jones-Eileen Scanlon (eds.)</t>
  </si>
  <si>
    <t>Decentralised Energy</t>
  </si>
  <si>
    <t>Christoph Burger-Antony Froggatt-Catherine Mitchell-Jens Weinmann (eds.)</t>
  </si>
  <si>
    <t>Sharpening the Haze</t>
  </si>
  <si>
    <t>Giulia Carabelli-MiloÅ¡ Jovanovic-Annika Kirbis-Jeremy F. Walton (eds.)</t>
  </si>
  <si>
    <t>Pro-ecological Restructuring of Companies</t>
  </si>
  <si>
    <t>Aleksandra GÄ…sior (ed.)</t>
  </si>
  <si>
    <t>Application of Molecular Methods and Raman Microscopy/Spectroscopy in Agricultural Sciences and Food Technology</t>
  </si>
  <si>
    <t>SCIENCE / Life Sciences / Molecular Biology</t>
  </si>
  <si>
    <t>Biljana Vucelic-Radovic-Dejan Lazic-Miomir NikÅ¡ic (eds.)</t>
  </si>
  <si>
    <t>CLARIN in the Low Countries</t>
  </si>
  <si>
    <t>Jan Odijk-Arjan van Hessen (eds.)</t>
  </si>
  <si>
    <t>Mapping and the Citizen Sensor</t>
  </si>
  <si>
    <t>REFERENCE / Atlases, Gazetteers &amp; Maps</t>
  </si>
  <si>
    <t>Giles Foody-Linda See-Steffen Fritz-Peter Mooney-Ana-Maria Olteanu-Raimond-CidÃ¡lia Costa Fonte-Vyron Antoniou (eds.)</t>
  </si>
  <si>
    <t>Publishing Addiction Science</t>
  </si>
  <si>
    <t>Thomas F. Babor-Kerstin Stenius-Richard Pates-Michal MiovskyÂ´-Jean Oâ€™Reilly-Paul Candon (eds.)</t>
  </si>
  <si>
    <t>Open</t>
  </si>
  <si>
    <t>Rajiv S. Jhangiani-Robert Biswas-Diener (eds.)</t>
  </si>
  <si>
    <t>Reconsidering Cultural Heritage in East Asia</t>
  </si>
  <si>
    <t>Akira Matsuda-Luisa Elena Mengoni (eds.)</t>
  </si>
  <si>
    <t>European Handbook of Crowdsourced Geographic Information</t>
  </si>
  <si>
    <t>TECHNOLOGY &amp; ENGINEERING / Remote Sensing &amp; Geographic Information Systems</t>
  </si>
  <si>
    <t>Cristina Capineri-Muki Haklay-Haosheng Huang-Vyron Antoniou-Juhani Kettunen-Frank Ostermann-Ross Purves (eds.)</t>
  </si>
  <si>
    <t>Multi-Agent Transport Simulation MATSim</t>
  </si>
  <si>
    <t>TECHNOLOGY &amp; ENGINEERING / Civil / Transportation</t>
  </si>
  <si>
    <t>Andreas Horni-Kai Nagel-Kay W Axhausen (eds.)</t>
  </si>
  <si>
    <t>Gouvernance Du Secteur De La SÃ©curitÃ©</t>
  </si>
  <si>
    <t>Alan Bryden-Fairlie Chappuis (eds.)</t>
  </si>
  <si>
    <t>Learning From West African Experiences in Security Sector Governance</t>
  </si>
  <si>
    <t>Digital Classics Outside the Echo-Chamber</t>
  </si>
  <si>
    <t>Matteo Romanello-Gabriel Bodard (eds.)</t>
  </si>
  <si>
    <t>Mobile Research Methods</t>
  </si>
  <si>
    <t>Daniele Toninelli-Robert Pinter-Pablo de Pedraza (eds.)</t>
  </si>
  <si>
    <t>Thinking Beyond Sectors for Sustainable Development</t>
  </si>
  <si>
    <t>Jeff Waage-Chris Yap (eds.)</t>
  </si>
  <si>
    <t>Issues in Open Research Data</t>
  </si>
  <si>
    <t>COMPUTERS / Database Administration &amp; Management</t>
  </si>
  <si>
    <t>Samuel Moore (ed.)</t>
  </si>
  <si>
    <t>Ebooks in Education</t>
  </si>
  <si>
    <t>COMPUTERS / Educational Software</t>
  </si>
  <si>
    <t>Hazel Woodward (ed.)</t>
  </si>
  <si>
    <t>Writing As Material Practice</t>
  </si>
  <si>
    <t>LANGUAGE ARTS &amp; DISCIPLINES / Alphabets &amp; Writing Systems</t>
  </si>
  <si>
    <t>Kathryn E. Piquette-Ruth D. Whitehouse (eds.)</t>
  </si>
  <si>
    <t>Imagining the Future City</t>
  </si>
  <si>
    <t>Sarah Bell-James Paskins (eds.)</t>
  </si>
  <si>
    <t>Open Source Free Software E Open Format Nei Processi Di Ricerca Archeologica</t>
  </si>
  <si>
    <t>COMPUTERS / Programming / Open Source</t>
  </si>
  <si>
    <t>Stefano Costa-Giovanni Luca Pesce (eds.)</t>
  </si>
  <si>
    <t>Australasian Conference on Information Systems 2018</t>
  </si>
  <si>
    <t>Australasian Conference on Information Systems (eds.)</t>
  </si>
  <si>
    <t>Marana Dyargali</t>
  </si>
  <si>
    <t>Kirsten Thorpe-Larissa Behrendt-Robynne Quiggin-Jason De Santolo-Susan Page (eds.)</t>
  </si>
  <si>
    <t>Designing Learning Experiences for Inclusivity and Diversity</t>
  </si>
  <si>
    <t>Keith Heggart-Mais Fatayer (eds.)</t>
  </si>
  <si>
    <t>Gender and Learning in Rwanda</t>
  </si>
  <si>
    <t>Shirley Randell-Hilary Yerbury-Astrid Escrig-Pinol (eds.)</t>
  </si>
  <si>
    <t>Genocide Perspectives VI</t>
  </si>
  <si>
    <t>POLITICAL SCIENCE / Genocide &amp; War Crimes</t>
  </si>
  <si>
    <t>Nikki Marczak-Kirril Shields (eds.)</t>
  </si>
  <si>
    <t>All Culture Is Local</t>
  </si>
  <si>
    <t>Lisa Andersen-Margaret Malone (eds.)</t>
  </si>
  <si>
    <t>Genocide Perspectives V</t>
  </si>
  <si>
    <t>Creative Business in Australia</t>
  </si>
  <si>
    <t>Lisa Andersen-Lisa Colley-Paul Ashton (eds.)</t>
  </si>
  <si>
    <t>Australian Indigenous Knowledge and Libraries</t>
  </si>
  <si>
    <t>Martin Nakata-Marcia Langton (eds.)</t>
  </si>
  <si>
    <t>Reading the Country</t>
  </si>
  <si>
    <t>Philip Morrissey-Chris Healy</t>
  </si>
  <si>
    <t>Shopping i Stockholm</t>
  </si>
  <si>
    <t>My Hellsing-Johanna Ilmakunnas (eds.)</t>
  </si>
  <si>
    <t>Fences and Biosecurity: The Politics of Governing Unruly Nature</t>
  </si>
  <si>
    <t>Annika Pohl Harrisson-Michael Eilenberg</t>
  </si>
  <si>
    <t>Efter TegnÃ©r</t>
  </si>
  <si>
    <t>LITERARY CRITICISM / European / Scandinavian</t>
  </si>
  <si>
    <t>Alfred SjÃ¶din-Jimmie Svensson (eds.)</t>
  </si>
  <si>
    <t>WeiÃŸbuch datengestÃ¼tzte QualitÃ¤tssicherung im Gesundheitswesen</t>
  </si>
  <si>
    <t>Claus-Dieter Heidecke-AndrÃ© Dingelstedt-Silvia Klein (eds.)</t>
  </si>
  <si>
    <t>WeiÃŸbuch Schizophrenie</t>
  </si>
  <si>
    <t>PSYCHOLOGY / Psychopathology / Schizophrenia</t>
  </si>
  <si>
    <t>Bertram HÃ¤ussler-Stephanie Sussmann-Lara Luisa Wolff-Valeria Weber (eds.)</t>
  </si>
  <si>
    <t>Handbuch IQM</t>
  </si>
  <si>
    <t>JÃ¶rg Martin-Jan-Peter Braun-Josef Zacher (eds.)</t>
  </si>
  <si>
    <t>Versorgungs-Report Leitlinien</t>
  </si>
  <si>
    <t>MEDICAL / Administration</t>
  </si>
  <si>
    <t>Christian GÃ¼nster-JÃ¼rgen Klauber-David Klemperer-Bernt-Peter Robra-Caroline Schmuker-(eds.)</t>
  </si>
  <si>
    <t>QualitÃ¤tsmonitor 2020</t>
  </si>
  <si>
    <t>Franz Dormann-JÃ¼rgen Klauber-Ralf Kuhlen (eds.)</t>
  </si>
  <si>
    <t>Terminologien und Ordnungssysteme in der Medizin</t>
  </si>
  <si>
    <t>MEDICAL / Dictionaries &amp; Terminology</t>
  </si>
  <si>
    <t>Otto Rienhoff-Sebastian C. Semler (eds.)</t>
  </si>
  <si>
    <t>Starterkit Klinikalltag</t>
  </si>
  <si>
    <t>MEDICAL / Practice Management &amp; Reimbursement</t>
  </si>
  <si>
    <t>Samuel Elstner-Christoph Schade-Albert Diefenbacher (eds.)</t>
  </si>
  <si>
    <t>Kostensensible Leitlinien</t>
  </si>
  <si>
    <t>Georg Marckmann (eds.)</t>
  </si>
  <si>
    <t>KomplementÃ¤rmedizin im Krankenhaus</t>
  </si>
  <si>
    <t>Hans-Wolfgang Hoefert-Andreas Michalsen-Bernhard Uehleke (eds.)</t>
  </si>
  <si>
    <t>QualitÃ¤tsmanagement jenseits von Checklisten</t>
  </si>
  <si>
    <t>Julia Bellabarba-Christine Kuch (eds.)</t>
  </si>
  <si>
    <t>QualitÃ¤tsmonitor 2019</t>
  </si>
  <si>
    <t>Wellbeing</t>
  </si>
  <si>
    <t xml:space="preserve"> Irene Bucelli-Timothy Besley</t>
  </si>
  <si>
    <t>Ukraine</t>
  </si>
  <si>
    <t>Michael Cox (ed.)</t>
  </si>
  <si>
    <t>Populism</t>
  </si>
  <si>
    <t xml:space="preserve"> AndrÃ©s Velasco-Irene Bucelli</t>
  </si>
  <si>
    <t>How Africa Trades</t>
  </si>
  <si>
    <t>Decentralised Governance</t>
  </si>
  <si>
    <t xml:space="preserve"> Jean-Paul Faguet-Sarmistha Pal</t>
  </si>
  <si>
    <t>COVID-19 in Southeast Asia</t>
  </si>
  <si>
    <t xml:space="preserve"> Murray Mckenzie-Hyun Bang Shin-Do Young Oh</t>
  </si>
  <si>
    <t>Afghanistan</t>
  </si>
  <si>
    <t xml:space="preserve"> Michael Cox</t>
  </si>
  <si>
    <t>Australia's Evolving Democracy</t>
  </si>
  <si>
    <t xml:space="preserve"> Mark Evans-Patrick Dunleavy-John Phillimore</t>
  </si>
  <si>
    <t>The UK's Changing Democracy</t>
  </si>
  <si>
    <t xml:space="preserve"> Patrick Dunleavy-Alice Park-Ros Taylor</t>
  </si>
  <si>
    <t>Still Here</t>
  </si>
  <si>
    <t>Jens Vesterlund Mathiesen-David Vestenskov (eds.)</t>
  </si>
  <si>
    <t>Transformations of the Military Profession and Professionalism in Scandinavia</t>
  </si>
  <si>
    <t>Anne Roelsgaard Obling-Lotta Victor Tillberg (eds.)</t>
  </si>
  <si>
    <t>Kalman Silvert</t>
  </si>
  <si>
    <t>Abraham F. Lowenthal-Martin Weinstein (eds.)</t>
  </si>
  <si>
    <t>On Democratic Politics</t>
  </si>
  <si>
    <t>Velia Cecilia Bobes-Francisco ValdÃ©s-Ugalde (eds.)</t>
  </si>
  <si>
    <t>Diamela Eltit</t>
  </si>
  <si>
    <t>LITERARY COLLECTIONS / Essays</t>
  </si>
  <si>
    <t>Michael J. Lazzara-MÃ³nica Barrientos-Rosa Olivera-Williams (eds.)</t>
  </si>
  <si>
    <t>Star Carr Volume 2</t>
  </si>
  <si>
    <t>Nicky Milner-Chantal Conneller-Barry Taylor (eds.)</t>
  </si>
  <si>
    <t>Star Carr Volume 1</t>
  </si>
  <si>
    <t>Dickens After Dickens</t>
  </si>
  <si>
    <t>Emily Bell (ed.)</t>
  </si>
  <si>
    <t>Capability Brown, Royal Gardener</t>
  </si>
  <si>
    <t>Jonathan Finch-Jan Woudstra (eds.)</t>
  </si>
  <si>
    <t>Voices and Practices in Applied Linguistics</t>
  </si>
  <si>
    <t>Clare Wright-Lou Harvey-James Simpson (eds.)</t>
  </si>
  <si>
    <t>Den nordiska hushÃ¥llsstaten</t>
  </si>
  <si>
    <t>Urban Claesson-Nina Javette Koefoed (eds.)</t>
  </si>
  <si>
    <t>Humaniora i vÃ¤lfÃ¤rdssamhÃ¤llet</t>
  </si>
  <si>
    <t>Johan Ã–stling-Anton Jansson-Ragni Svensson Stringberg (eds.)</t>
  </si>
  <si>
    <t>HÃ¤lsinglands inredningskultur</t>
  </si>
  <si>
    <t>ART / Conservation &amp; Preservation</t>
  </si>
  <si>
    <t>Ingalill NystrÃ¶m-Anneli PalmskÃ¶ld-Johan Knutsson (eds.)</t>
  </si>
  <si>
    <t>Djur</t>
  </si>
  <si>
    <t>MEDICAL / Physiology</t>
  </si>
  <si>
    <t>Lars Kaijser-Simon EkstrÃ¶m (eds.)</t>
  </si>
  <si>
    <t>Crenne, HÃ©lisenne de ([1541] 2023). Les quatre premiers livres des Eneydes du treselegant poete Virgile, Traduictz de Latin en prose Francoyse, par ma dame Helisenne</t>
  </si>
  <si>
    <t>Britt-Marie Karlsson-Sara Ehrling Moding-Gunhild VidÃ©n</t>
  </si>
  <si>
    <t>Craft Sciences</t>
  </si>
  <si>
    <t>Tina Westerlund-Camilla Groth-Gunnar Almevik (eds.)</t>
  </si>
  <si>
    <t>Romanistiken i Sverige</t>
  </si>
  <si>
    <t>Andreas Romeborn-Elisabeth Bladh (eds.)</t>
  </si>
  <si>
    <t>Medeltidens genus</t>
  </si>
  <si>
    <t>Lars Hermanson-AuÃ°ur MagnÃºsdÃ³ttir (eds.)</t>
  </si>
  <si>
    <t>Nationalismi ja kieli</t>
  </si>
  <si>
    <t>Mikko Autere-Riikka LÃ¤nsisalmi (eds.)</t>
  </si>
  <si>
    <t>Miten luemme?</t>
  </si>
  <si>
    <t>Aino MÃ¤kikalli-Elias Heikkonen-Kaisa Ilmonen-PÃ¤ivi Koponen (eds.)</t>
  </si>
  <si>
    <t>LÃ¤hestymistapoja kirjallisuuteen</t>
  </si>
  <si>
    <t>Hanna Meretoja-Aino MÃ¤kikalli-Anna Helle-Kaisa Ilmonen-Markku LehtimÃ¤ki (eds.)</t>
  </si>
  <si>
    <t>Vieraita nÃ¤yttÃ¤mÃ¶llÃ¤</t>
  </si>
  <si>
    <t>PERFORMING ARTS / Theater / Regional &amp; National</t>
  </si>
  <si>
    <t>Hanna Korsberg-Anneli Saro-Mikko-Olavi SeppÃ¤lÃ¤ (eds.)</t>
  </si>
  <si>
    <t>MatkailunkestÃ¤vÃ¤ Suomi?</t>
  </si>
  <si>
    <t>Soile Veijola (eds.)</t>
  </si>
  <si>
    <t>Kansanperinne 2.0</t>
  </si>
  <si>
    <t>SOCIAL SCIENCE / Folklore &amp; Mythology</t>
  </si>
  <si>
    <t>Kaarina Koski-Tuomas Hovi (eds.)</t>
  </si>
  <si>
    <t>Tekstin nautinnosta</t>
  </si>
  <si>
    <t>Asta Kihlman (eds.)</t>
  </si>
  <si>
    <t>Uushenkisyys</t>
  </si>
  <si>
    <t>Tiina MahlamaÌˆki-Minna Opas (eds.)</t>
  </si>
  <si>
    <t>Kulttuurien tutkimuksen menetelmÃ¤t</t>
  </si>
  <si>
    <t>Outi Fingerroos-Konsta Kajander-Tiina-Riitta Lappi (eds.)</t>
  </si>
  <si>
    <t>Kalle PÃ¤Ã¤talo tutkijoiden silmin</t>
  </si>
  <si>
    <t>Maija Saviniemi (eds.)</t>
  </si>
  <si>
    <t>Arjen turvallisuus ja muuttoliikkeet</t>
  </si>
  <si>
    <t>Laura Assmuth-Ville-Samuli Haverinen-Eeva-Kaisa Prokkola-Pirjo PÃ¶llÃ¤nen-Anni Rannikko-Tiina Sotkasiira (eds.)</t>
  </si>
  <si>
    <t>Arkistot ja kulttuuriperintÃ¶</t>
  </si>
  <si>
    <t>Outi Hupaniittu-Ulla-Maija Peltonen (eds.)</t>
  </si>
  <si>
    <t>Avantgarde Suomessa</t>
  </si>
  <si>
    <t>Irmeli HautamÃ¤ki-Laura Piippo-Helena Sederholm (eds.)</t>
  </si>
  <si>
    <t>Suomalainen lastenelokuva</t>
  </si>
  <si>
    <t>Outi Hupaniittu-Marjo Kovanen-Heta Mulari (eds.)</t>
  </si>
  <si>
    <t>Magiaa ennen ja nyt</t>
  </si>
  <si>
    <t>Sonja Hukantaival-Karolina Kouvola-Tiina MahlamÃ¤ki-Aleksi Moine (eds.)</t>
  </si>
  <si>
    <t>Metamodernismi</t>
  </si>
  <si>
    <t>Salli Anttonen-Mika Hallila-Anna Helle-Heta Marttinen-Kasimir Sandbacka (eds.)</t>
  </si>
  <si>
    <t>Tutkimuspolkuja yksityisarkistoihin</t>
  </si>
  <si>
    <t>LANGUAGE ARTS &amp; DISCIPLINES / Library &amp; Information Science / Archives &amp; Special Libraries</t>
  </si>
  <si>
    <t>Hanna Karhu-Katri Kivilaakso-Viola Parente-ÄŒapkovÃ¡ (eds.)</t>
  </si>
  <si>
    <t>Henkinen muuri</t>
  </si>
  <si>
    <t>Tomi Huttunen (eds.)</t>
  </si>
  <si>
    <t>Kirjailijapoetiikat</t>
  </si>
  <si>
    <t>Saija Isomaa-Samuli BjÃ¶rninen-Mari Hatavara-Nanny Jolma (eds.)</t>
  </si>
  <si>
    <t>Superdiversiteetti</t>
  </si>
  <si>
    <t>Tuomas Martikainen-Sari PÃ¶yhÃ¶nen (eds.)</t>
  </si>
  <si>
    <t>Kokemuksia mielisairaalasta</t>
  </si>
  <si>
    <t>Saara JÃ¤ntti-Kirsi Heimonen-Sari Kuuva-Karoliina Maanmieli-Anu Rissanen (eds.)</t>
  </si>
  <si>
    <t>Lannistumaton</t>
  </si>
  <si>
    <t>Sami Suodenjoki-Kirsti Salmi-Niklander-Mikko-Olavi SeppÃ¤lÃ¤-PÃ¤ivi Salmesvuori-Anna Rajavuori-Mikko Pollari-Anne Heimo (eds.)</t>
  </si>
  <si>
    <t>Neuvostoliitto muistoissa ja mielikuvissa</t>
  </si>
  <si>
    <t>Anna Helle-Pia Koivunen (eds.)</t>
  </si>
  <si>
    <t>Muistitietotutkimuksen paikka</t>
  </si>
  <si>
    <t>Ulla Savolainen-Riikka Taavetti (eds.)</t>
  </si>
  <si>
    <t>Kertomus postmodernismin jÃ¤lkeen</t>
  </si>
  <si>
    <t>Samuli BjÃ¶rninen (eds.)</t>
  </si>
  <si>
    <t>KieliÃ¤ ja kohtaamisia Turun historiassa</t>
  </si>
  <si>
    <t>Leena Kolehmainen-Aino Liira-Kirsi-Maria Nummila (eds.)</t>
  </si>
  <si>
    <t>Kieli ja elÃ¤in</t>
  </si>
  <si>
    <t>Rea Peltola-Anni JÃ¤Ã¤skelÃ¤inen-Katariina HarjunpÃ¤Ã¤ (eds.)</t>
  </si>
  <si>
    <t>Suomen kielen hallinta ja sen kehitys</t>
  </si>
  <si>
    <t>Anneli Pajunen-Mari Honko (eds.)</t>
  </si>
  <si>
    <t>Kohtaamisia kentÃ¤llÃ¤</t>
  </si>
  <si>
    <t>BUSINESS &amp; ECONOMICS / Business Communication / General</t>
  </si>
  <si>
    <t>Riikka Nissi-Mika Simonen-Esa Lehtinen (eds.)</t>
  </si>
  <si>
    <t>Valtion antropologiaa</t>
  </si>
  <si>
    <t>Tuomas Tammisto-Heikki Wilenius (eds.)</t>
  </si>
  <si>
    <t>Laatokka</t>
  </si>
  <si>
    <t>Maria LÃ¤hteenmÃ¤ki (eds.)</t>
  </si>
  <si>
    <t>Inkerikot, setot ja vatjalaiset</t>
  </si>
  <si>
    <t>Kati Kallio-Riho GrÃ¼nthal-Lassi Saressalo (eds.)</t>
  </si>
  <si>
    <t>Kielentutkimuksen menetelmiÃ¤ I-IV</t>
  </si>
  <si>
    <t>LANGUAGE ARTS &amp; DISCIPLINES / Linguistics / Phonetics &amp; Phonology</t>
  </si>
  <si>
    <t>Milla LuodonpÃ¤Ã¤-Manni-Markus Hamunen-Reetta Konstenius-Matti Miestamo-Urpo Nikanne-Kaius SinnemÃ¤ki (eds.)</t>
  </si>
  <si>
    <t>Sukupuoli ja vÃ¤kivalta</t>
  </si>
  <si>
    <t>Sanna Karkulehto-Leena-Maija Rossi (eds.)</t>
  </si>
  <si>
    <t>Kaupunki tapahtumien nÃ¤yttÃ¤mÃ¶nÃ¤</t>
  </si>
  <si>
    <t>Mervi Kaarninen-Tanja Vahtikari-Timo VilÃ©n (eds.)</t>
  </si>
  <si>
    <t>YmpÃ¤ristÃ¶, estetiikka ja hyvinvointi</t>
  </si>
  <si>
    <t>Arto Haapala-Kalle Puolakka-Tarja Rannisto (eds.)</t>
  </si>
  <si>
    <t>Novel Districts</t>
  </si>
  <si>
    <t>Kristina Malmio-Mia Ã–sterlund (eds.)</t>
  </si>
  <si>
    <t>White Field, black seeds</t>
  </si>
  <si>
    <t>LANGUAGE ARTS &amp; DISCIPLINES / Literacy</t>
  </si>
  <si>
    <t>Anna Kuismin-M. J. Driscoll (eds.)</t>
  </si>
  <si>
    <t>Nodes of Contemporary Finnish Literature</t>
  </si>
  <si>
    <t>Leena KirstinÃ¤ (eds.)</t>
  </si>
  <si>
    <t>The emergence of Finnish book and reading culture in the 1700s</t>
  </si>
  <si>
    <t>Cecilia af Forselles-Tuija Laine (eds.)</t>
  </si>
  <si>
    <t>Aino Kallas</t>
  </si>
  <si>
    <t>Leena Kurvet-KÃ¤Ã¶saar-Lea Rojola (eds.)</t>
  </si>
  <si>
    <t>Metaliterary Layers in Finnish Literature</t>
  </si>
  <si>
    <t>LITERARY COLLECTIONS / European / Scandinavian</t>
  </si>
  <si>
    <t>Samuli HÃ¤gg-Erkki SevÃ¤nen-Risto Turunen (eds.)</t>
  </si>
  <si>
    <t>Arctic Hysteria and Other Strange Northern Emotions</t>
  </si>
  <si>
    <t>Riikka Rossi-Sarianna Kankkunen-Elise NykÃ¤nen (eds.)</t>
  </si>
  <si>
    <t>Genetic Criticism in Motion</t>
  </si>
  <si>
    <t>Sakari KatajamÃ¤ki-Veijo Pulkkinen (eds.)</t>
  </si>
  <si>
    <t>Versification</t>
  </si>
  <si>
    <t>Frog-Satu GrÃ¼nthal-Kati Kallio-Jarkko Niemi (eds.)</t>
  </si>
  <si>
    <t>Migrants and Literature in Finland and Sweden</t>
  </si>
  <si>
    <t>Satu GrÃ¶ndahl-Eila Rantonen (eds.)</t>
  </si>
  <si>
    <t>Changing Scenes</t>
  </si>
  <si>
    <t>Pirjo LyytikÃ¤inen (eds.)</t>
  </si>
  <si>
    <t>Sociolinguistic Variation in Urban Linguistic Landscapes</t>
  </si>
  <si>
    <t>Sofie Henricson-VÃ¤inÃ¶ SyrjÃ¤lÃ¤-Carla Bagna-Martina Bellinzona (eds.)</t>
  </si>
  <si>
    <t>The Finnish Case System</t>
  </si>
  <si>
    <t>Minna Jaakola-Tiina Onikki-RantajÃ¤Ã¤skÃ¶ (eds.)</t>
  </si>
  <si>
    <t>Conversation Analytic Perspectives to Digital Interaction</t>
  </si>
  <si>
    <t>Aino Koivisto-Heidi VepsÃ¤lÃ¤inen-Mikko T. Virtanen (eds.)</t>
  </si>
  <si>
    <t>On the Border of Language and Dialect</t>
  </si>
  <si>
    <t>Marjatta Palander-Helka Riionheimo-Vesa Koivisto (eds.)</t>
  </si>
  <si>
    <t>Linking Clauses and Actions in Social Interaction</t>
  </si>
  <si>
    <t>Ritva Laury-Marja EtelÃ¤mÃ¤ki-Elizabeth Couper-Kuhlen (eds.)</t>
  </si>
  <si>
    <t>Registers of Communication</t>
  </si>
  <si>
    <t>Asif Agha-Frog (eds.)</t>
  </si>
  <si>
    <t>Talk in interaction</t>
  </si>
  <si>
    <t>Markku Haakana-Minna Laakso-Jan LindstrÃ¶m (eds.)</t>
  </si>
  <si>
    <t>Minimal reference</t>
  </si>
  <si>
    <t>Ritva Laury (eds.)</t>
  </si>
  <si>
    <t>Colonial Aspects of Finnish-Namibian Relations, 1870â€“1990</t>
  </si>
  <si>
    <t>Leila Koivunen-Raita Merivirta (eds.)</t>
  </si>
  <si>
    <t>Lake Ladoga</t>
  </si>
  <si>
    <t>Maria LÃ¤hteenmÃ¤ki-Isaac Land (eds.)</t>
  </si>
  <si>
    <t>On the Legacy of Lutheranism in Finland</t>
  </si>
  <si>
    <t>Kaius SinnemÃ¤ki-Anneli Portman-Jouni Tilli-Robert H. Nelson (eds.)</t>
  </si>
  <si>
    <t>Personal Agency at the Swedish Age of Greatness 1560-1720</t>
  </si>
  <si>
    <t>Petri Karonen-Marko Hakanen (eds.)</t>
  </si>
  <si>
    <t>Continued Violence and Troublesome Pasts</t>
  </si>
  <si>
    <t>Ville KivimÃ¤ki-Petri Karonen (eds.)</t>
  </si>
  <si>
    <t>Novels, Histories, Novel Nations</t>
  </si>
  <si>
    <t>Linda Kaljundi-Eneken Laanes-Ilona Pikkanen (eds.)</t>
  </si>
  <si>
    <t>Fibula, Fabula, Fact</t>
  </si>
  <si>
    <t>Joonas Ahola-Frog-Clive Tolley (eds.)</t>
  </si>
  <si>
    <t>Rhetorics of Nordic Democracy</t>
  </si>
  <si>
    <t>POLITICAL SCIENCE / Public Policy / Regional Planning</t>
  </si>
  <si>
    <t>Jussi KurunmÃ¤ki-Johan Strang (eds.)</t>
  </si>
  <si>
    <t>Sport, Recreation and Green Space in the European City</t>
  </si>
  <si>
    <t>Peter Clark-Marjaana Niemi-Jari NiemelÃ¤ (eds.)</t>
  </si>
  <si>
    <t>Modernisation in Russia since 1900</t>
  </si>
  <si>
    <t>Markku Kangaspuro-Jeremy Smith (eds.)</t>
  </si>
  <si>
    <t>Moving in the USSR</t>
  </si>
  <si>
    <t>Pekka Hakamies (eds.)</t>
  </si>
  <si>
    <t>Myth and Mentality</t>
  </si>
  <si>
    <t>Anna-Leena Siikala (eds.)</t>
  </si>
  <si>
    <t>Rhyme and Rhyming in Verbal Art, Language, and Song</t>
  </si>
  <si>
    <t>Venla SykÃ¤ri-Nigel Fabb (eds.)</t>
  </si>
  <si>
    <t>Oral Tradition and Book Culture</t>
  </si>
  <si>
    <t>LITERARY CRITICISM / Fairy Tales, Folk Tales, Legends &amp; Mythology</t>
  </si>
  <si>
    <t>Pertti Anttonen-Cecilia af Forselles-Kirsti Salmi-Niklander (eds.)</t>
  </si>
  <si>
    <t>Storied and Supernatural Places</t>
  </si>
  <si>
    <t>Ãœlo Valk-Daniel SÃ¤vborg (eds.)</t>
  </si>
  <si>
    <t>Genre - text - interpretation</t>
  </si>
  <si>
    <t>Kaarina Koski-Frog-Ulla Savolainen (eds.)</t>
  </si>
  <si>
    <t>Narrating, Doing, Experiencing</t>
  </si>
  <si>
    <t>Annikki Kaivola-BregenhÃ¸j-Barbro Klein-Ulf Palmenfelt (eds.)</t>
  </si>
  <si>
    <t>Creating Diversities</t>
  </si>
  <si>
    <t>Anna-Leena Siikala-Barbro Klein-Stein R. Mathisen (eds.)</t>
  </si>
  <si>
    <t>Passages Westward</t>
  </si>
  <si>
    <t>Maria LÃ¤hteenmÃ¤ki-Hanna Snellman (eds.)</t>
  </si>
  <si>
    <t>Memories of My Town</t>
  </si>
  <si>
    <t>Anna-Maria Ã…strÃ¶m-Pirjo Korkiakangas-Pia Olsson (eds.)</t>
  </si>
  <si>
    <t>The Culture of the Finnish Roma</t>
  </si>
  <si>
    <t>Airi Markkanen-Kai Ã…berg (eds.)</t>
  </si>
  <si>
    <t>Transnational Death</t>
  </si>
  <si>
    <t>Samira Saramo-Eerika Koskinen-Koivisto-Hanna Snellman (eds.)</t>
  </si>
  <si>
    <t>Where is the Field?</t>
  </si>
  <si>
    <t>Laura Hirvi-Hanna Snellman (eds.)</t>
  </si>
  <si>
    <t>Gendered Rural Spaces</t>
  </si>
  <si>
    <t>Pia Olsson-Helena Ruotsala (eds.)</t>
  </si>
  <si>
    <t>Responsibility and Language Practices in Place</t>
  </si>
  <si>
    <t>Laura Siragusa-Jenanne K. Ferguson (eds.)</t>
  </si>
  <si>
    <t>Dwelling in Political Landscapes</t>
  </si>
  <si>
    <t>Anu Lounela-Eeva Berglund-Timo Kallinen (eds.)</t>
  </si>
  <si>
    <t>Beyond the Horizon</t>
  </si>
  <si>
    <t>Clifford Satherz-Timo Kaartinen (eds.)</t>
  </si>
  <si>
    <t>Joustavat sukupuolet â€“ muuntuvat merkitykset</t>
  </si>
  <si>
    <t>Niina HÃ¤mÃ¤lÃ¤inen-Tarja Kupiainen-Riikka Taavetti (eds.)</t>
  </si>
  <si>
    <t>Kansallisesta ylirajaiseen</t>
  </si>
  <si>
    <t>Niina HÃ¤mÃ¤lÃ¤inen-Hanna Karhu-Tuomas Martikainen (eds.)</t>
  </si>
  <si>
    <t>Kaanon ja marginaali</t>
  </si>
  <si>
    <t>Niina HÃ¤mÃ¤lÃ¤inen-Lotte Tarkka (eds.)</t>
  </si>
  <si>
    <t>Paradigma</t>
  </si>
  <si>
    <t>Niina HÃ¤mÃ¤lÃ¤inen-Petja Kauppi (eds.)</t>
  </si>
  <si>
    <t>Tie meren yli</t>
  </si>
  <si>
    <t>Johanna Ilmakunnas-Charlotta Wolff (eds.)</t>
  </si>
  <si>
    <t>HenkilÃ¶historia ja varhaismoderni aika</t>
  </si>
  <si>
    <t>Jenni Lares-Raisa Maria Toivo-Mari VÃ¤limÃ¤ki (eds.)</t>
  </si>
  <si>
    <t>Uudisraivaajien maa</t>
  </si>
  <si>
    <t>Jari Ojala-Riina Turunen (eds.)</t>
  </si>
  <si>
    <t>Kirkko, papisto ja yhteiskunta 1600â€“1800</t>
  </si>
  <si>
    <t>RELIGION / Christian Church / History</t>
  </si>
  <si>
    <t>Ella Viitaniemi (eds.)</t>
  </si>
  <si>
    <t>Matkaopas lapsuuden historian tutkimukseen</t>
  </si>
  <si>
    <t>Kaisa Vehkalahti-Essi Jouhki-Sanna Lipkin-Johanna Sitomaniemi-San-Tiina Kuokkanen (eds.)</t>
  </si>
  <si>
    <t>Terveyshistoria</t>
  </si>
  <si>
    <t>Kalle Kananoja (eds.)</t>
  </si>
  <si>
    <t>Kiistellyt tiet terveyteen</t>
  </si>
  <si>
    <t>Markku Hokkanen-Kalle Kananoja (eds.)</t>
  </si>
  <si>
    <t>Welcome to the Beatles</t>
  </si>
  <si>
    <t>MUSIC / Genres &amp; Styles / Rock</t>
  </si>
  <si>
    <t>Andrew Pregnall-Jason Arquette-Allyson Manhart-Helen Goggins (eds.)</t>
  </si>
  <si>
    <t>One Hundred Years of Agricultural Education at Virginia Tech</t>
  </si>
  <si>
    <t>Karen A. Vines-John Hillison (eds.)</t>
  </si>
  <si>
    <t>Viral Networks</t>
  </si>
  <si>
    <t>MEDICAL / Medical History &amp; Records</t>
  </si>
  <si>
    <t>Katherine Randall-E. Thomas Ewing (eds.)</t>
  </si>
  <si>
    <t>Global Insights Into Transdisciplinary Higher Education Initiatives</t>
  </si>
  <si>
    <t>Todd E. Nicewonger-Catherine T. Amelink (eds.)</t>
  </si>
  <si>
    <t>Black Feminist Theorizing Toward Futurity</t>
  </si>
  <si>
    <t>Nana Brantuo-Andrea N. Baldwin (eds.)</t>
  </si>
  <si>
    <t>Standpoints</t>
  </si>
  <si>
    <t>PSYCHOLOGY / Interpersonal Relations</t>
  </si>
  <si>
    <t>Andrea N. Baldwin-Ashley V. Reichelmann-Anthony Kwame Harrison (eds.)</t>
  </si>
  <si>
    <t>Politics, Power, &amp; Playboy</t>
  </si>
  <si>
    <t>HISTORY / United States / 20th Century</t>
  </si>
  <si>
    <t>Marian Mollin (ed.)</t>
  </si>
  <si>
    <t>Nasty Women</t>
  </si>
  <si>
    <t>MarÃ© De Dentro</t>
  </si>
  <si>
    <t>Nicholas Barnes-DesirÃ©e Poets-Max Stephenson, Jr. (eds.)</t>
  </si>
  <si>
    <t>MarÃ© From the Inside</t>
  </si>
  <si>
    <t>Nicholas Barnes-DesirÃ©e Poets-Max O. Stephenson, Jr. (eds.)</t>
  </si>
  <si>
    <t>The Foundations of Hip-Hop Encyclopedia</t>
  </si>
  <si>
    <t>MUSIC / Genres &amp; Styles / Rap &amp; Hip Hop</t>
  </si>
  <si>
    <t>Anthony Kwame Harrison-Craig E. Arthur (eds.)</t>
  </si>
  <si>
    <t>Vibrant Virginia</t>
  </si>
  <si>
    <t>HISTORY / United States / State &amp; Local / South (AL, AR, FL, GA, KY, LA, MS, NC, SC, TN, VA, WV)</t>
  </si>
  <si>
    <t>Margaret Cowell-Sarah Lyon-Hill (eds.)</t>
  </si>
  <si>
    <t>Politics, Propaganda, and Pop Culture</t>
  </si>
  <si>
    <t>PERFORMING ARTS / Television / History &amp; Criticism</t>
  </si>
  <si>
    <t>Christopher Porter-Anthony Salisbury-Tyler Ripley (eds.)</t>
  </si>
  <si>
    <t>Circulating Now, Full Circle</t>
  </si>
  <si>
    <t>Elizabeth A. Mullen-Jeffrey S. Reznick (eds.)</t>
  </si>
  <si>
    <t>Challenging Stories</t>
  </si>
  <si>
    <t>E. Thomas Ewing-Priyanka Ganguly (eds.)</t>
  </si>
  <si>
    <t>Proceedings of the Cardiff University School of Engineering Research Conference 2024</t>
  </si>
  <si>
    <t>Emiliano Spezi-Michaela Bray (eds.)</t>
  </si>
  <si>
    <t>Revitalising Higher Education</t>
  </si>
  <si>
    <t>Tracy Bowell-Nicole Pepperell-Anthony Richardson-Maria-Teresa Corino (eds.)</t>
  </si>
  <si>
    <t>Proceedings of the Cardiff University Engineering Research Conference 2023</t>
  </si>
  <si>
    <t>Digital Supply Chain Transformation</t>
  </si>
  <si>
    <t>Yingli Wang-Stephen Pettit (eds.)</t>
  </si>
  <si>
    <t>Human Computer Interaction and Emerging Technologies</t>
  </si>
  <si>
    <t>COMPUTERS / Human-Computer Interaction (HCI)</t>
  </si>
  <si>
    <t>Fernando Loizides-Usashi Chatterjee-Jose Abdelnour-Nocera-Antigoni Parmaxi-Marco Winckler (eds.)</t>
  </si>
  <si>
    <t>From Clerks to Corpora</t>
  </si>
  <si>
    <t>Philip Shaw-Britt Erman-Gunnel Melchers-Peter Sundkvist (eds.)</t>
  </si>
  <si>
    <t>Litteraturdidaktik och kÃ¤nslor</t>
  </si>
  <si>
    <t>Lena Ahlin-Jonas Asklund-Christoffer Dahl-Maria Freij-Petra Magnusson-Anna Smedberg Bondesson (eds.)</t>
  </si>
  <si>
    <t>Specialpedagogik som politik och praktik</t>
  </si>
  <si>
    <t>Wieland Wermke-Gabriella HÃ¶stfÃ¤lt-Gunnlaugur MagnÃºsson (eds.)</t>
  </si>
  <si>
    <t>Comparing the Place of Experts During the First Waves of the COVID-19 Pandemic</t>
  </si>
  <si>
    <t>Christophe Emmanuel Premat-Jean-Michel De Waele-Michel Perottino (eds.)</t>
  </si>
  <si>
    <t>Indo-European Interfaces</t>
  </si>
  <si>
    <t>Jenny Larsson-Thomas Olander-Anders Richardt JÃ¸rgensen (eds.)</t>
  </si>
  <si>
    <t>LÃ©xico y semÃ¡ntica</t>
  </si>
  <si>
    <t>Rakel Ã–sterberg-Mohamed El-Madkouri Maataoui (eds.)</t>
  </si>
  <si>
    <t>Visuella kulturstudier</t>
  </si>
  <si>
    <t>Anna-Maria HÃ¤llgren-Anna NÃ¤slund (eds.)</t>
  </si>
  <si>
    <t>The New Challenges of Populist Discourses in Romance Speaking Countries</t>
  </si>
  <si>
    <t>Malin Roitman-MarÃ­a Bernal-Christophe Premat-FranÃ§oise Sullet-Nylander (eds.)</t>
  </si>
  <si>
    <t>Nordic and Baltic Perspectives in Canadian Studies</t>
  </si>
  <si>
    <t>LITERARY CRITICISM / Canadian</t>
  </si>
  <si>
    <t>Sara BÃ©dard-Goulet-Christophe Premat (eds.)</t>
  </si>
  <si>
    <t>Materialitet</t>
  </si>
  <si>
    <t>Elin Manker-MÃ¥rten Snickare (eds.)</t>
  </si>
  <si>
    <t>Performing the Eighteenth Century</t>
  </si>
  <si>
    <t>Magnus Tessing Schneider-Meike Wagner (eds.)</t>
  </si>
  <si>
    <t>Negatives and Meaning</t>
  </si>
  <si>
    <t>Malin Roitman (eds.)</t>
  </si>
  <si>
    <t>Matematikundervisningens sociopolitiska utmaningar</t>
  </si>
  <si>
    <t>Paola Valero-Lisa BjÃ¶rklund Boistrup-Iben Maj Christiansen-Eva NorÃ©n (eds.)</t>
  </si>
  <si>
    <t>August Strindberg</t>
  </si>
  <si>
    <t>Per Stam-Ann-Charlotte Gavel Adams-Gunnel Engwall (eds.)</t>
  </si>
  <si>
    <t>Exploring Language Education</t>
  </si>
  <si>
    <t>Camilla Bardel-Christina Hedman-Katarina Rejman-Elisabeth Zetterholm (eds.)</t>
  </si>
  <si>
    <t>Semiotik</t>
  </si>
  <si>
    <t>Sonya Petersson-Malin Hedlin Hayden (eds.)</t>
  </si>
  <si>
    <t>Religions Around the Arctic</t>
  </si>
  <si>
    <t>HÃ¥kan Rydving-Konsta Kaikkonen (eds.)</t>
  </si>
  <si>
    <t>Konsten att kontextualisera</t>
  </si>
  <si>
    <t>Staffan Bergwik-Linn Holmberg-Karin Dirke (eds.)</t>
  </si>
  <si>
    <t>Anime Studies</t>
  </si>
  <si>
    <t>PERFORMING ARTS / Television / Genres / Animated</t>
  </si>
  <si>
    <t>JosÃ© AndrÃ©s Santiago Iglesias-Ana Soler Baena (eds.)</t>
  </si>
  <si>
    <t>Retreat or Entrenchment?</t>
  </si>
  <si>
    <t>Henrik Tham (eds.)</t>
  </si>
  <si>
    <t>Digital Human Sciences</t>
  </si>
  <si>
    <t>Sonya Petersson (eds.)</t>
  </si>
  <si>
    <t>Narratives Crossing Borders</t>
  </si>
  <si>
    <t>LITERARY CRITICISM / Books &amp; Reading</t>
  </si>
  <si>
    <t>Herbert Jonsson-Lovisa Berg-Chatarina Edfeldt-Bo G. Jansson (eds.)</t>
  </si>
  <si>
    <t>Songs on the Road</t>
  </si>
  <si>
    <t>RELIGION / Buddhism / History</t>
  </si>
  <si>
    <t>Stefan Larsson-Kristoffer af Edholm (eds.)</t>
  </si>
  <si>
    <t>Forskarskolan FRAM â€“ lÃ¤rare forskar i de frÃ¤mmande sprÃ¥kens didaktik</t>
  </si>
  <si>
    <t>Camilla Bardel-Gudrun Erickson-Jonas Granfeldt-Christina RosÃ©n (eds.)</t>
  </si>
  <si>
    <t>Working-Class Literature(s) Volume II</t>
  </si>
  <si>
    <t>John Lennon-Magnus Nilsson (eds.)</t>
  </si>
  <si>
    <t>Ars Edendi Lecture Series, Vol. V</t>
  </si>
  <si>
    <t>Erika Kihlman-Denis Searby (eds.)</t>
  </si>
  <si>
    <t>Myth, Materiality and Lived Religion</t>
  </si>
  <si>
    <t>Klas WikstrÃ¶m af Edholm-Peter Jackson Rova-Andreas Nordberg-Olof Sundqvist-Torun Zachrisson (eds.)</t>
  </si>
  <si>
    <t>Political Discourses at the Extremes</t>
  </si>
  <si>
    <t>LANGUAGE ARTS &amp; DISCIPLINES / Linguistics / Morphology</t>
  </si>
  <si>
    <t>FranÃ§oise Sullet-Nylander-MarÃ­a Bernal-Christophe Premat-Malin Roitman (eds.)</t>
  </si>
  <si>
    <t>Kontextualisering</t>
  </si>
  <si>
    <t>Hans Hayden (eds.)</t>
  </si>
  <si>
    <t>World Literatures</t>
  </si>
  <si>
    <t>Stefan Helgesson-Annika MÃ¶rte Alling-Yvonne Lindqvist-Helena Wulff (eds.)</t>
  </si>
  <si>
    <t>The Power of the In-Between</t>
  </si>
  <si>
    <t>Sonya Petersson-Christer Johansson-Magdalena Holdar-Sara Callahan (eds.)</t>
  </si>
  <si>
    <t>De estetiska Ã¤mnenas didaktik</t>
  </si>
  <si>
    <t>EDUCATION / Arts in Education</t>
  </si>
  <si>
    <t>Ulrika von Schantz-Ketil Thorgersen-Anne LidÃ©n (eds.)</t>
  </si>
  <si>
    <t>Mozart's 'La Clemenza Di Tito'</t>
  </si>
  <si>
    <t>Magnus Tessing Schneider-Ruth Tatlow (eds.)</t>
  </si>
  <si>
    <t>Working-Class Literature(s)</t>
  </si>
  <si>
    <t>Magnus Nilsson-John Lennon (eds.)</t>
  </si>
  <si>
    <t>Performativitet</t>
  </si>
  <si>
    <t>Malin Hedlin Hayden-MÃ¥rten Snickare (eds.)</t>
  </si>
  <si>
    <t>Ars Edendi Lecture Series, Vol. IV</t>
  </si>
  <si>
    <t>Barbara Crostini-Gunilla Iversen-Brian M Jensen (eds.)</t>
  </si>
  <si>
    <t>Kunskapens tider</t>
  </si>
  <si>
    <t>Annika SandÃ©n-Elisabeth ElgÃ¡n (eds.)</t>
  </si>
  <si>
    <t>Krig och fred i vendel- och vikingatida traditioner</t>
  </si>
  <si>
    <t>HISTORY / Wars &amp; Conflicts / General</t>
  </si>
  <si>
    <t>HÃ¥kan Rydving-Stefan Olsson (eds.)</t>
  </si>
  <si>
    <t>Horizons of Shamanism</t>
  </si>
  <si>
    <t>Peter Jackson</t>
  </si>
  <si>
    <t>MÃ©diations interculturelles entre la France et la SuÃ¨de</t>
  </si>
  <si>
    <t>MickaÃ«lle Cedergren-Sylvain Briens</t>
  </si>
  <si>
    <t>Festival Romanistica</t>
  </si>
  <si>
    <t>Gunnel Engwall-Lars Fant</t>
  </si>
  <si>
    <t>Anna Ulrika Brodow Inzaina</t>
  </si>
  <si>
    <t>VarfÃ¶r Ã¶kar den offentliga byrÃ¥kratin i Sverige?</t>
  </si>
  <si>
    <t>Patrik Hall</t>
  </si>
  <si>
    <t>A Classification for Medical and Veterinary Libraries</t>
  </si>
  <si>
    <t>LANGUAGE ARTS &amp; DISCIPLINES / Library &amp; Information Science / Cataloging &amp; Classification</t>
  </si>
  <si>
    <t>Cyril Cuthbert Barnard-Eloise Carpenter</t>
  </si>
  <si>
    <t>The Ultimate Case Guide</t>
  </si>
  <si>
    <t>BUSINESS &amp; ECONOMICS / Education</t>
  </si>
  <si>
    <t>Martin Kupp-Urs Mueller</t>
  </si>
  <si>
    <t>Leveraging Digital Innovation</t>
  </si>
  <si>
    <t>Christoph Burger-Jens Weinmann</t>
  </si>
  <si>
    <t>Microcredentials for Excellence</t>
  </si>
  <si>
    <t>Rebecca Ferguson-Denise Whitelock</t>
  </si>
  <si>
    <t>Accountability, Discourse, and Service Provision</t>
  </si>
  <si>
    <t>Aries A. Arugay-Justin Keith A. Baquisal</t>
  </si>
  <si>
    <t>The Polar Star</t>
  </si>
  <si>
    <t>BIOGRAPHY &amp; AUTOBIOGRAPHY / Historical</t>
  </si>
  <si>
    <t>John Scally</t>
  </si>
  <si>
    <t>Leaving No One Behind, Leaving No One Unaccountable</t>
  </si>
  <si>
    <t>Luka GluÅ¡ac</t>
  </si>
  <si>
    <t>Text- Und Data-Mining in Den Digitalen Geisteswissenschaften</t>
  </si>
  <si>
    <t>Felicitas Lea Kleinkopf</t>
  </si>
  <si>
    <t>Parliamentsâ€™ Contributions to Security Sector Governance/Reform and the Sustainable Development Goals</t>
  </si>
  <si>
    <t>Wilhelm Janse van Rensburg-Nicolette van Zyl-Gous-Lindy Heinecken</t>
  </si>
  <si>
    <t>Plan S for Shock</t>
  </si>
  <si>
    <t>Robert-Jan Smits-Rachael Pells</t>
  </si>
  <si>
    <t>Monstrous Liminality</t>
  </si>
  <si>
    <t>PHILOSOPHY / Movements / Critical Theory</t>
  </si>
  <si>
    <t>Robert G. Beghetto</t>
  </si>
  <si>
    <t>The Nexus Between Security Sector Governance/Reform and Sustainable Development Goal-16</t>
  </si>
  <si>
    <t>Oya Dursun-Ã–zkanca</t>
  </si>
  <si>
    <t>The Security Sector Governanceâ€“Migration Nexus</t>
  </si>
  <si>
    <t>Sarah Wolff</t>
  </si>
  <si>
    <t>Dangerous Science</t>
  </si>
  <si>
    <t>POLITICAL SCIENCE / Public Policy / Science &amp; Technology Policy</t>
  </si>
  <si>
    <t>Daniel J. Rozell</t>
  </si>
  <si>
    <t>Variance in Approach Toward a â€˜Sustainableâ€™ Coffee Industry in Costa Rica</t>
  </si>
  <si>
    <t>BUSINESS &amp; ECONOMICS / Industries / Agribusiness</t>
  </si>
  <si>
    <t>Melissa Vogt</t>
  </si>
  <si>
    <t>Security Sector Reform and Citizen Security</t>
  </si>
  <si>
    <t>POLITICAL SCIENCE / Law Enforcement</t>
  </si>
  <si>
    <t>Robert Muggah-John de Boer</t>
  </si>
  <si>
    <t>Rethinking Community Policing in International Police Reform</t>
  </si>
  <si>
    <t>Deniz Kocak</t>
  </si>
  <si>
    <t>Integrating SSR and SALW Programming</t>
  </si>
  <si>
    <t>POLITICAL SCIENCE / International Relations / Arms Control</t>
  </si>
  <si>
    <t>Mark Sedra-Geoff Burt</t>
  </si>
  <si>
    <t>Linking Mine Action and SSR Through Human Security</t>
  </si>
  <si>
    <t>Ursign Hofmann-Gianluca Maspoli-Ã…sa Massleberg-Pascal Rapillard</t>
  </si>
  <si>
    <t>DDR and SSR in War-to-Peace Transition</t>
  </si>
  <si>
    <t>Christopher von Dyck</t>
  </si>
  <si>
    <t>Business and Security Sector Reform</t>
  </si>
  <si>
    <t>Pedro Rosa Mendes</t>
  </si>
  <si>
    <t>Towards an International Code of Conduct for Private Security Providers</t>
  </si>
  <si>
    <t>Anne-Marie Buzatu</t>
  </si>
  <si>
    <t>Money Matters</t>
  </si>
  <si>
    <t>Rory Keane-Thorodd Ommundsen</t>
  </si>
  <si>
    <t>Dealing with the Past in Security Sector Reform</t>
  </si>
  <si>
    <t>Alexander Mayer-Rieckh</t>
  </si>
  <si>
    <t>The "Democratic Soldier"</t>
  </si>
  <si>
    <t>Sabine Mannitz</t>
  </si>
  <si>
    <t>The Paradox of Gendarmeries</t>
  </si>
  <si>
    <t>Derek Lutterbeck</t>
  </si>
  <si>
    <t>Mapping Evolving Internal Roles of the Armed Forces</t>
  </si>
  <si>
    <t>Albrecht Schnabel-Marc Krupanski</t>
  </si>
  <si>
    <t>Measuring the Impact of Peacebuilding Interventions on Rule of Law and Security Institutions</t>
  </si>
  <si>
    <t>Vincenza Scherrer</t>
  </si>
  <si>
    <t>The Rule of Law and Security Sector Reform</t>
  </si>
  <si>
    <t>Marc Krupanski-Christoph Bleiker</t>
  </si>
  <si>
    <t>International Intervention and the Use of Force</t>
  </si>
  <si>
    <t>Cornelius Friesendorf</t>
  </si>
  <si>
    <t>UN Use of Private Military and Security Companies</t>
  </si>
  <si>
    <t>Ã…se Gilje Ã˜stensen</t>
  </si>
  <si>
    <t>Arab Uprisings and Armed Forces</t>
  </si>
  <si>
    <t>Security Sector Reform</t>
  </si>
  <si>
    <t>Albrecht Schnabel-Hans Born</t>
  </si>
  <si>
    <t>Thoughts and Ways of Thinking</t>
  </si>
  <si>
    <t>Benjamin Brown</t>
  </si>
  <si>
    <t>Migration of the Ukrainian Population</t>
  </si>
  <si>
    <t>BUSINESS &amp; ECONOMICS / Economics / Macroeconomics</t>
  </si>
  <si>
    <t>Yuriy Bilan</t>
  </si>
  <si>
    <t>Production Ergonomics</t>
  </si>
  <si>
    <t>BUSINESS &amp; ECONOMICS / Production &amp; Operations Management</t>
  </si>
  <si>
    <t>Caroline Adams-Cecilia Berlin</t>
  </si>
  <si>
    <t>Doing the Right Thing</t>
  </si>
  <si>
    <t>Arjo Klamer</t>
  </si>
  <si>
    <t>Turn on the Light on Science</t>
  </si>
  <si>
    <t>Antonio Tintori-Rossella Palomba</t>
  </si>
  <si>
    <t>Animal (De)liberation</t>
  </si>
  <si>
    <t>Jan Deckers</t>
  </si>
  <si>
    <t>Garden Learning</t>
  </si>
  <si>
    <t>Suzanne Kapelari</t>
  </si>
  <si>
    <t>The Value of the University Armed Service Units</t>
  </si>
  <si>
    <t>Rachel Woodward-K Neil Jenkings-Alison J Williams</t>
  </si>
  <si>
    <t>HÃ¶gskolans Ansvar</t>
  </si>
  <si>
    <t>Andrew Casson</t>
  </si>
  <si>
    <t>Battle for Open</t>
  </si>
  <si>
    <t>Martin Weller</t>
  </si>
  <si>
    <t>Past in the Present</t>
  </si>
  <si>
    <t>Ioannis Poulios</t>
  </si>
  <si>
    <t>Reading With My Eyes Open</t>
  </si>
  <si>
    <t>Gerdi Quist</t>
  </si>
  <si>
    <t>Dante and Aquinas</t>
  </si>
  <si>
    <t>POETRY / European / Italian</t>
  </si>
  <si>
    <t>Christopher Ryan</t>
  </si>
  <si>
    <t>Studies in Strindberg</t>
  </si>
  <si>
    <t>Michael Robinson</t>
  </si>
  <si>
    <t>Strindberg and Autobiography</t>
  </si>
  <si>
    <t>Conversations with Kenelm</t>
  </si>
  <si>
    <t>John Took</t>
  </si>
  <si>
    <t>Birgittinerna och deras bilder</t>
  </si>
  <si>
    <t>Eva Lindqvist Sandgren</t>
  </si>
  <si>
    <t>Between Dark &amp; Light</t>
  </si>
  <si>
    <t>Ruth McDermott-Ben Baxter</t>
  </si>
  <si>
    <t>Jean Vanmaiâ€™s ChÃ¢n ÄÄƒng The Tonkinese of Caledonia in the Colonial Era</t>
  </si>
  <si>
    <t>POLITICAL SCIENCE / Colonialism &amp; Post-Colonialism</t>
  </si>
  <si>
    <t>Tess Do-Kathryn Lay-Chenchabi</t>
  </si>
  <si>
    <t>The First Into the Dark</t>
  </si>
  <si>
    <t>Michael Robertson-Astrid Ley-Edwina Light</t>
  </si>
  <si>
    <t>The Power of One on One</t>
  </si>
  <si>
    <t>LANGUAGE ARTS &amp; DISCIPLINES / Library &amp; Information Science / Administration &amp; Management</t>
  </si>
  <si>
    <t>Tanja Dreher-Jemima Mowbray</t>
  </si>
  <si>
    <t>Locating Suburbia</t>
  </si>
  <si>
    <t>Paula Hamilton-Paul Ashton</t>
  </si>
  <si>
    <t>Live A/V in Australia</t>
  </si>
  <si>
    <t>Grayson Cooke</t>
  </si>
  <si>
    <t>Rough Living</t>
  </si>
  <si>
    <t>SOCIAL SCIENCE / Poverty &amp; Homelessness</t>
  </si>
  <si>
    <t>Catherine Robinson</t>
  </si>
  <si>
    <t>Technologyâ€™s Refuge</t>
  </si>
  <si>
    <t>Linda Leung-Liz Emrys-Cath Finney Lamb</t>
  </si>
  <si>
    <t>Doing the Rights Thing</t>
  </si>
  <si>
    <t>Damien Spry</t>
  </si>
  <si>
    <t>Whose Responsibility?</t>
  </si>
  <si>
    <t>Tanja Dreher</t>
  </si>
  <si>
    <t>Targeted'</t>
  </si>
  <si>
    <t>Intercultural Learning</t>
  </si>
  <si>
    <t>Peter Jones-Debra Miles-Narayan Gopalkrishnan</t>
  </si>
  <si>
    <t>Speech Acts</t>
  </si>
  <si>
    <t>Wes Hill</t>
  </si>
  <si>
    <t>Anatomy Quizbook</t>
  </si>
  <si>
    <t>Kerry G. Baker</t>
  </si>
  <si>
    <t>Georges Baudoux's Jean M'Barai The Trepang Fisherman</t>
  </si>
  <si>
    <t>Karin Speedy</t>
  </si>
  <si>
    <t>Lace Narratives</t>
  </si>
  <si>
    <t>Cecilia Heffer</t>
  </si>
  <si>
    <t>Report on Torres Strait Fisheries Research Protocols</t>
  </si>
  <si>
    <t>Martin Nakata-Vicky Nakata</t>
  </si>
  <si>
    <t>Waterborne</t>
  </si>
  <si>
    <t>Heather Goodall-Stephen Wearing-Denis Byrne-Alison Cadzow</t>
  </si>
  <si>
    <t>Waters of Belonging</t>
  </si>
  <si>
    <t>Heather Goodall-Denis Byrne-Alison Cadzow-Stephen Wearing</t>
  </si>
  <si>
    <t>â€˜A World-proof Lifeâ€™</t>
  </si>
  <si>
    <t>BIOGRAPHY &amp; AUTOBIOGRAPHY / Literary Figures</t>
  </si>
  <si>
    <t>Marivic Wyndham</t>
  </si>
  <si>
    <t>The Power of Conferences</t>
  </si>
  <si>
    <t>BUSINESS &amp; ECONOMICS / Business Communication / Meetings &amp; Presentations</t>
  </si>
  <si>
    <t>Deborah Edwards-Cheryl Malone-Carmel Foley</t>
  </si>
  <si>
    <t>Accommodation in Crisis</t>
  </si>
  <si>
    <t>Rose Searby-Catherine Robinson</t>
  </si>
  <si>
    <t>Datenschutzrechtliche Rahmenbedingungen medizinischer Forschung</t>
  </si>
  <si>
    <t>Thilo Weichert</t>
  </si>
  <si>
    <t>Praxisleitfaden Organspende</t>
  </si>
  <si>
    <t>MEDICAL / Nursing / Critical &amp; Intensive Care</t>
  </si>
  <si>
    <t>Klaus Hahnenkamp-Gerold SÃ¶ffker-Eckhard Rickels-Wiebke Abel-Claus-Dieter Middel</t>
  </si>
  <si>
    <t>Data Privacy in European Medical Research</t>
  </si>
  <si>
    <t>Christian Dierks-Martin Haase-Julia Kleinschmidt-Charlotte Husemann-Philipp Kircher</t>
  </si>
  <si>
    <t>Biomaterialbanken â€“ Rechtliche Rahmenbedingungen</t>
  </si>
  <si>
    <t>J. W. Simon-J. Robienski-R. Paslack-M. Krawczak-J. W. Goebel</t>
  </si>
  <si>
    <t>SekundÃ¤rnutzung von Sozial- und Gesundheitsdaten</t>
  </si>
  <si>
    <t>Christian Dierks-Alexander RoÃŸnagel</t>
  </si>
  <si>
    <t>EinwilligungserklÃ¤rung und Forschungsinformation zur Gewinnung tierischer Proben</t>
  </si>
  <si>
    <t>JÃ¼rgen W. Goebel-JÃ¼rgen Scheller</t>
  </si>
  <si>
    <t>Management der sozialen Verantwortung im Krankenhaus</t>
  </si>
  <si>
    <t>Heinz Naegler</t>
  </si>
  <si>
    <t>Adaptive Nutzenbewertung fÃ¼r Untersuchungs- und Behandlungsmethoden mit Medizinprodukten hoher Klassen</t>
  </si>
  <si>
    <t>Axel MÃ¼hlbacher-Christin Juhnke</t>
  </si>
  <si>
    <t>Traumatisierung durch politisierte Medizin</t>
  </si>
  <si>
    <t>Maximilian Schochow-Florian Steger</t>
  </si>
  <si>
    <t>Homecare</t>
  </si>
  <si>
    <t>Udo Richter-Anika Reichert-Dominika Urbanski-Stefanie Scholz-Volker E. Amelung</t>
  </si>
  <si>
    <t>If Youâ€™re So Ethical, Why Are You So Highly Paid?</t>
  </si>
  <si>
    <t>BUSINESS &amp; ECONOMICS / Labor / Wages &amp; Compensation</t>
  </si>
  <si>
    <t xml:space="preserve"> Alexander Pepper</t>
  </si>
  <si>
    <t>Dead Menâ€™s Propaganda</t>
  </si>
  <si>
    <t>BUSINESS &amp; ECONOMICS / Industries / Media &amp; Communications</t>
  </si>
  <si>
    <t xml:space="preserve"> Terhi Rantanen</t>
  </si>
  <si>
    <t>Spectrum Auctions</t>
  </si>
  <si>
    <t>TECHNOLOGY &amp; ENGINEERING / Radio</t>
  </si>
  <si>
    <t xml:space="preserve"> Geoffrey Myers</t>
  </si>
  <si>
    <t>Renegotiating Patriarchy</t>
  </si>
  <si>
    <t xml:space="preserve"> Naila Kabeer</t>
  </si>
  <si>
    <t>Pension Policy and Governmentality in China</t>
  </si>
  <si>
    <t xml:space="preserve"> Yan Wang</t>
  </si>
  <si>
    <t>The Open Society As an Enemy</t>
  </si>
  <si>
    <t xml:space="preserve"> J. McKenzie Alexander</t>
  </si>
  <si>
    <t>How Did Britain Come to This?</t>
  </si>
  <si>
    <t xml:space="preserve"> Gwyn Bevan</t>
  </si>
  <si>
    <t>Conflict, War and Revolution</t>
  </si>
  <si>
    <t xml:space="preserve"> Paul Kelly</t>
  </si>
  <si>
    <t>Advanced Macroeconomics</t>
  </si>
  <si>
    <t xml:space="preserve"> Filipe Campante-Federico Sturzenegger-AndrÃ©s Velasco</t>
  </si>
  <si>
    <t>Internal Kurdish Coherence</t>
  </si>
  <si>
    <t>David Vestenskov-Andreas HÃ¸j Fierro</t>
  </si>
  <si>
    <t>La educaciÃ³n intercultural bilingÃ¼e en Ecuador</t>
  </si>
  <si>
    <t>Elena Perino</t>
  </si>
  <si>
    <t>The Grid and the Park</t>
  </si>
  <si>
    <t>AdriÃ¡n Gorelik</t>
  </si>
  <si>
    <t>Dengos e zangas das mulheres-moringa</t>
  </si>
  <si>
    <t>SOCIAL SCIENCE / Black Studies (Global)</t>
  </si>
  <si>
    <t>Bruna Cristina Jaquetto Pereira</t>
  </si>
  <si>
    <t>Cine, revoluciÃ³n y resistencia</t>
  </si>
  <si>
    <t>Salvador Salazar Navarro</t>
  </si>
  <si>
    <t>BiopoÃ©ticas para las biopolÃ­ticas</t>
  </si>
  <si>
    <t>Julieta Yelin</t>
  </si>
  <si>
    <t>GeografÃ­as afectivas</t>
  </si>
  <si>
    <t>Irene Depetris Chauvin</t>
  </si>
  <si>
    <t>AmÃ©rica Latina tras bambalinas</t>
  </si>
  <si>
    <t>Leonardo Senkman-Luis Roniger</t>
  </si>
  <si>
    <t>Sobre los principios</t>
  </si>
  <si>
    <t>Arcadio DÃ­az QuiÃ±ones</t>
  </si>
  <si>
    <t>Contra o Racismo</t>
  </si>
  <si>
    <t>MÃ³nica G. Moreno Figueroa-Peter Wade</t>
  </si>
  <si>
    <t>La pulsiÃ³n comunitaria en la obra de Diamela Eltit</t>
  </si>
  <si>
    <t>LITERARY CRITICISM / American / Hispanic &amp; Latino</t>
  </si>
  <si>
    <t>MÃ³nica Barrientos</t>
  </si>
  <si>
    <t>Understanding Mental Causation</t>
  </si>
  <si>
    <t>Andrea White</t>
  </si>
  <si>
    <t>Sheffield Castle</t>
  </si>
  <si>
    <t>John Moreland-Dawn Hadley</t>
  </si>
  <si>
    <t>Screening the Fleet</t>
  </si>
  <si>
    <t>HISTORY / Military / Naval</t>
  </si>
  <si>
    <t>Jonathan Rayner</t>
  </si>
  <si>
    <t>Consensus on Environmentally Sustainable Oral Healthcare</t>
  </si>
  <si>
    <t>Nicolas Martin-Steven Mulligan-Ian J. Shellard-Paul V. Hatton</t>
  </si>
  <si>
    <t>Hidden Depths</t>
  </si>
  <si>
    <t>SCIENCE / Life Sciences / Evolution</t>
  </si>
  <si>
    <t>Penny Spikins</t>
  </si>
  <si>
    <t>Oysters, Nightingales and Cooking Pots</t>
  </si>
  <si>
    <t>POETRY / European / French</t>
  </si>
  <si>
    <t>Tristan CorbiÃ¨re</t>
  </si>
  <si>
    <t>320 Rue St Jacques</t>
  </si>
  <si>
    <t>Wendy Michallat</t>
  </si>
  <si>
    <t>Childrenâ€™s Culture and Citizenship in Argentina</t>
  </si>
  <si>
    <t>Lauren Rea</t>
  </si>
  <si>
    <t>Vetenskapshistorisk hattparad II</t>
  </si>
  <si>
    <t>Henrik BjÃ¶rck</t>
  </si>
  <si>
    <t>Vetenskapshistorisk hattparad I</t>
  </si>
  <si>
    <t>Frihetsretorik och marknadslogik</t>
  </si>
  <si>
    <t>Johanna Ringarp</t>
  </si>
  <si>
    <t>Nelly ThÃ¼ring</t>
  </si>
  <si>
    <t>BIOGRAPHY &amp; AUTOBIOGRAPHY / Political</t>
  </si>
  <si>
    <t>Malin Arvidsson</t>
  </si>
  <si>
    <t>Den engagerade reportern</t>
  </si>
  <si>
    <t>Cecilia Aare</t>
  </si>
  <si>
    <t>I kalla krigets spÃ¥r</t>
  </si>
  <si>
    <t>Mattias Frihammar-Fredrik Krohn Andersson-Maria Wendt-Cecilia Ã…se</t>
  </si>
  <si>
    <t>En villkorad gemenskap</t>
  </si>
  <si>
    <t>HEALTH &amp; FITNESS / Sexuality</t>
  </si>
  <si>
    <t>Charlotta CarlstrÃ¶m</t>
  </si>
  <si>
    <t>LagerlÃ¶fs lÃ¤sare</t>
  </si>
  <si>
    <t>Jenny Bergenmar-Maria Karlsson</t>
  </si>
  <si>
    <t>Se hennes Ã¶de</t>
  </si>
  <si>
    <t>Elisa Rossholm</t>
  </si>
  <si>
    <t>Att gÃ¶ra klass</t>
  </si>
  <si>
    <t>Ã…sa Arping</t>
  </si>
  <si>
    <t>Humanister i offentligheten</t>
  </si>
  <si>
    <t>Johan Ã–stling-Anton Jansson-Ragni Svensson Stringberg</t>
  </si>
  <si>
    <t>Under beredskap och krig</t>
  </si>
  <si>
    <t>Kristin JÃ¤rvstad</t>
  </si>
  <si>
    <t>BerÃ¤ttelser om det fÃ¶rbjudna</t>
  </si>
  <si>
    <t>Eva BorgstrÃ¶m</t>
  </si>
  <si>
    <t>Framtidens kvinnor</t>
  </si>
  <si>
    <t>Maria Andersson</t>
  </si>
  <si>
    <t>The Archaeologist In-Between</t>
  </si>
  <si>
    <t>Anna KÃ¤llÃ©n-Johan Hegardt</t>
  </si>
  <si>
    <t>De samhÃ¤llsbesvÃ¤rliga</t>
  </si>
  <si>
    <t>Annika Berg</t>
  </si>
  <si>
    <t>RiksÃ¤pplet</t>
  </si>
  <si>
    <t>Niklas Eriksson</t>
  </si>
  <si>
    <t>Theodore Metochitesâ€™ Sententious Notes</t>
  </si>
  <si>
    <t>Staffan Wahlgren</t>
  </si>
  <si>
    <t>Theodore Metochites on the Human Condition and the Decline of Rome</t>
  </si>
  <si>
    <t>Karin Hult</t>
  </si>
  <si>
    <t>â€œMY DEAR, CLOSE AND DISTANT FRIENDâ€</t>
  </si>
  <si>
    <t>Magnus Ljunggren</t>
  </si>
  <si>
    <t>Lapsenkielen uudissanat</t>
  </si>
  <si>
    <t>Klaus Laalo</t>
  </si>
  <si>
    <t>NÃ¤lkÃ¤ ja vilu</t>
  </si>
  <si>
    <t>Margaret Kilpinen</t>
  </si>
  <si>
    <t>BIOGRAPHY &amp; AUTOBIOGRAPHY / Music</t>
  </si>
  <si>
    <t>Margit Rahkonen</t>
  </si>
  <si>
    <t>Miten tutkia kohteliaisuutta?</t>
  </si>
  <si>
    <t>Johanna IsosÃ¤vi</t>
  </si>
  <si>
    <t>Toiveiden maa</t>
  </si>
  <si>
    <t>Ulla Piela</t>
  </si>
  <si>
    <t>EnsimmÃ¤inen</t>
  </si>
  <si>
    <t>ElÃ¤Ã¤, kokea, ymmÃ¤rtÃ¤Ã¤</t>
  </si>
  <si>
    <t>YrjÃ¶ Varpio</t>
  </si>
  <si>
    <t>Humpuukia ja hulluutta</t>
  </si>
  <si>
    <t>PyhÃ¤n Mechtildin ilmestykset</t>
  </si>
  <si>
    <t>RELIGION / Mysticism</t>
  </si>
  <si>
    <t>Mikko Kauko</t>
  </si>
  <si>
    <t>Lapin ihminen</t>
  </si>
  <si>
    <t>POLITICAL SCIENCE / Political Process / General</t>
  </si>
  <si>
    <t>Tapio NykÃ¤nen</t>
  </si>
  <si>
    <t>Toista ajatellen</t>
  </si>
  <si>
    <t>Sari KivistÃ¶-Sami PihlstrÃ¶m</t>
  </si>
  <si>
    <t>Uskonto, kieli ja yhteiskunta</t>
  </si>
  <si>
    <t>Titus Hjelm (eds.)</t>
  </si>
  <si>
    <t>Luentoja suomalaisesta mytologiasta</t>
  </si>
  <si>
    <t>M.A CastrÃ©n-Joonas Ahola</t>
  </si>
  <si>
    <t>Mikael Agricolan Vanhan testamentin esipuheet</t>
  </si>
  <si>
    <t>Simo Heininen</t>
  </si>
  <si>
    <t>Mikael Agricolan Uuden testamentin reunahuomautukset</t>
  </si>
  <si>
    <t>Kulttuuritelevision aika</t>
  </si>
  <si>
    <t>TECHNOLOGY &amp; ENGINEERING / Television &amp; Video</t>
  </si>
  <si>
    <t>Anu Koivunen-Mari Pajala-Laura Saarenmaa-Janne Zareff</t>
  </si>
  <si>
    <t>Aseveljien tulkit</t>
  </si>
  <si>
    <t>Pekka KujamÃ¤ki</t>
  </si>
  <si>
    <t>Sanojen luonto</t>
  </si>
  <si>
    <t>Venla SykÃ¤ri-Heidi Henriikka MÃ¤kelÃ¤-Kati Kallio (eds.)</t>
  </si>
  <si>
    <t>Traumaattinen muisti nykyproosassa</t>
  </si>
  <si>
    <t>LITERARY COLLECTIONS / European / General</t>
  </si>
  <si>
    <t>Riitta JytilÃ¤</t>
  </si>
  <si>
    <t>Sofi Oksasen romaanitaide</t>
  </si>
  <si>
    <t>Markku LehtimÃ¤ki</t>
  </si>
  <si>
    <t>Suomalaiset sivulliset</t>
  </si>
  <si>
    <t>JÃ¤rjen harhapolut</t>
  </si>
  <si>
    <t>Erkki SevÃ¤nen</t>
  </si>
  <si>
    <t>Karkurit</t>
  </si>
  <si>
    <t>Aleksis Kivi</t>
  </si>
  <si>
    <t>Laulut ja kirjoitukset</t>
  </si>
  <si>
    <t>Kati Kallio-Tuomas M. S Lehtonen-Senni Timonen-Irma-Riitta JÃ¤rvinen-Ilkka LeskelÃ¤</t>
  </si>
  <si>
    <t>Kansankirkko ristipaineessa</t>
  </si>
  <si>
    <t>Jaakko Olavi Antila</t>
  </si>
  <si>
    <t>Helsinki in Early Twentieth-Century Literature</t>
  </si>
  <si>
    <t>Lieven Ameel</t>
  </si>
  <si>
    <t>Terrains of Imagination in Contemporary Finnish Literature</t>
  </si>
  <si>
    <t>Sarianna Kankkunen</t>
  </si>
  <si>
    <t>Shattering Minds</t>
  </si>
  <si>
    <t>HEALTH &amp; FITNESS / Mental Health</t>
  </si>
  <si>
    <t>Anna Ovaska</t>
  </si>
  <si>
    <t>Spreading the Written Word</t>
  </si>
  <si>
    <t>Kaisa HÃ¤kkinen</t>
  </si>
  <si>
    <t>Names in Focus</t>
  </si>
  <si>
    <t>LANGUAGE STUDY / Finnish</t>
  </si>
  <si>
    <t>Terhi Ainiala-Minna Saarelma-Paula SjÃ¶blom</t>
  </si>
  <si>
    <t>Representations of Finnishness in Sweden</t>
  </si>
  <si>
    <t>Lotta WeckstrÃ¶m</t>
  </si>
  <si>
    <t>Edhina Ekogidho â€“ Names as Links</t>
  </si>
  <si>
    <t>Minna Saarelma-Maunumaa</t>
  </si>
  <si>
    <t>Performative Histories, Foundational Fictions</t>
  </si>
  <si>
    <t>Anu Koivunen</t>
  </si>
  <si>
    <t>Enemy Within</t>
  </si>
  <si>
    <t>Anu Koskivirta</t>
  </si>
  <si>
    <t>Dynamic Finland</t>
  </si>
  <si>
    <t>Pertti Pesonen-Olavi Riihinen</t>
  </si>
  <si>
    <t>The Springs of Democracy</t>
  </si>
  <si>
    <t>Pasi Ihalainen</t>
  </si>
  <si>
    <t>Literacy Skills as Local Intangible Capital</t>
  </si>
  <si>
    <t>Sofia Kotilainen</t>
  </si>
  <si>
    <t>Fashion Meets Socialism</t>
  </si>
  <si>
    <t>Jukka Gronow-Sergey Zhuravlev</t>
  </si>
  <si>
    <t>Strategies of Sanity and Survival</t>
  </si>
  <si>
    <t>Jussi Hanska</t>
  </si>
  <si>
    <t>Noble conceptions of politics in eighteenth-century Sweden (ca 1740â€“1790)</t>
  </si>
  <si>
    <t>Charlotta Wolff</t>
  </si>
  <si>
    <t>Across the Oceans</t>
  </si>
  <si>
    <t>Seija-Riitta Laakso</t>
  </si>
  <si>
    <t>Kalevipoeg Studies</t>
  </si>
  <si>
    <t>Cornelius Hasselblatt</t>
  </si>
  <si>
    <t>Mythic Discourses</t>
  </si>
  <si>
    <t>Frog-Anna-Leena Siikala-Eila Stepanova (eds.)</t>
  </si>
  <si>
    <t>Hidden rituals and public performances</t>
  </si>
  <si>
    <t>Anna-Leena Siikala-Oleg Ulyashev</t>
  </si>
  <si>
    <t>Words as Events</t>
  </si>
  <si>
    <t>Venla SykÃ¤ri</t>
  </si>
  <si>
    <t>The Irish Folklore Commission 1935-1970</t>
  </si>
  <si>
    <t>MÃ­cheÃ¡l Briody</t>
  </si>
  <si>
    <t>Tradition through Modernity</t>
  </si>
  <si>
    <t>Pertti J. Anttonen</t>
  </si>
  <si>
    <t>Peasants, Pilgrims, and Sacred Promises</t>
  </si>
  <si>
    <t>Laura Stark</t>
  </si>
  <si>
    <t>Riddles</t>
  </si>
  <si>
    <t>HUMOR / Form / Jokes &amp; Riddles</t>
  </si>
  <si>
    <t>Annikki Kaivola-BregenhÃ¸j</t>
  </si>
  <si>
    <t>Her Own Worth</t>
  </si>
  <si>
    <t>BIOGRAPHY &amp; AUTOBIOGRAPHY / Women</t>
  </si>
  <si>
    <t>Eerika Koskinen-Koivisto</t>
  </si>
  <si>
    <t>Identities in Practice</t>
  </si>
  <si>
    <t>Laura Hirvi</t>
  </si>
  <si>
    <t>The Limits of Patriarchy</t>
  </si>
  <si>
    <t>Divine Rulers in a Secular State</t>
  </si>
  <si>
    <t>Timo Kallinen</t>
  </si>
  <si>
    <t>KehitysyhteistyÃ¶n mieli ja mielettÃ¶myys</t>
  </si>
  <si>
    <t>Jan Kuhanen-Kaisa Harju-Markku Hokkanen</t>
  </si>
  <si>
    <t>Moskovalainen</t>
  </si>
  <si>
    <t>Kari Tarkiainen</t>
  </si>
  <si>
    <t>Suomi Moskovasta nÃ¤htynÃ¤</t>
  </si>
  <si>
    <t>Aappo KÃ¤hÃ¶nen</t>
  </si>
  <si>
    <t>Koko illan ilo?</t>
  </si>
  <si>
    <t>Heikki Hellman</t>
  </si>
  <si>
    <t>Sinisten maisemien mies</t>
  </si>
  <si>
    <t>BIOGRAPHY &amp; AUTOBIOGRAPHY / Adventurers &amp; Explorers</t>
  </si>
  <si>
    <t>Allan Tiitta</t>
  </si>
  <si>
    <t>VÃ¤yrysen ja KÃ¤Ã¤riÃ¤isen korkean profiilin aika 1981â€’1991</t>
  </si>
  <si>
    <t>Kati Katajisto</t>
  </si>
  <si>
    <t>SÃ¤velten tyttÃ¤ret</t>
  </si>
  <si>
    <t>Susanna VÃ¤limÃ¤ki-Nuppu Koivisto-Kaasik</t>
  </si>
  <si>
    <t>EpÃ¤onnistumisen anatomia</t>
  </si>
  <si>
    <t>Pasi Nevalainen</t>
  </si>
  <si>
    <t>Kalajoen kahakka</t>
  </si>
  <si>
    <t>Juho Saari</t>
  </si>
  <si>
    <t>Virginia Tech, Land Grant University 1872-1997</t>
  </si>
  <si>
    <t>Peter Wallenstein</t>
  </si>
  <si>
    <t>Transformation</t>
  </si>
  <si>
    <t>Suzanne Pharr</t>
  </si>
  <si>
    <t>Survive the Drive</t>
  </si>
  <si>
    <t>TRANSPORTATION / Automotive / Driver Education</t>
  </si>
  <si>
    <t>Tom Dingus-Mindy Buchanan-King</t>
  </si>
  <si>
    <t>No Ordinary Moment</t>
  </si>
  <si>
    <t>Aaron D. Purcell-LM Rozema-Anthony Wright de Hernandez-John M. Jackson</t>
  </si>
  <si>
    <t>In the Time of the Right</t>
  </si>
  <si>
    <t>POLITICAL SCIENCE / Political Ideologies / Conservatism &amp; Liberalism</t>
  </si>
  <si>
    <t>Fragile Foundations and Enduring Challenges</t>
  </si>
  <si>
    <t>Max O. Stephenson, Jr.</t>
  </si>
  <si>
    <t>Fostering Communities of Transformation in STEM Higher Education</t>
  </si>
  <si>
    <t>Jonathan S. Briganti-Jill C. Sible-Anne M. Brown</t>
  </si>
  <si>
    <t>Conducting Mixed-Methods Research</t>
  </si>
  <si>
    <t>Viswanath Venkatesh-Susan Brown-Yulia Sullivan</t>
  </si>
  <si>
    <t>Community Policing in Nigeria</t>
  </si>
  <si>
    <t>Emmanuel C. Onyeozili-Biko Agozino-Augustine Agu-Patrick Ibe</t>
  </si>
  <si>
    <t>Breaking the Silence</t>
  </si>
  <si>
    <t>SOCIAL SCIENCE / Violence in Society</t>
  </si>
  <si>
    <t>Marian Mollin</t>
  </si>
  <si>
    <t>Better by Design?</t>
  </si>
  <si>
    <t>Paul L. Knox</t>
  </si>
  <si>
    <t>The Effable and the Ineffable</t>
  </si>
  <si>
    <t>Christos Yannaras</t>
  </si>
  <si>
    <t>Divine Descent and the Four World-Ages in the MahÄbhÄrata â€“ Or, Why Does the Ká¹›á¹£á¹‡a AvatÄra Inaugurate the Worst Yuga?</t>
  </si>
  <si>
    <t>RELIGION / Hinduism / Sacred Writings</t>
  </si>
  <si>
    <t>Simon Brodbeck</t>
  </si>
  <si>
    <t>The Face-to-Face Principle</t>
  </si>
  <si>
    <t>POLITICAL SCIENCE / Political Process / Media &amp; Internet</t>
  </si>
  <si>
    <t>Harry Collins-Robert Evans-Martin Innes-Eric B. Kennedy-Will Mason-Wilkes-John McLevey</t>
  </si>
  <si>
    <t>Educators of Healthcare Professionals</t>
  </si>
  <si>
    <t>Julie Browne-Alison Bullock-Samuel Parker-Chiara Poletti-John Jenkins-Derek Gallen</t>
  </si>
  <si>
    <t>Adrodd Ar Dlodi</t>
  </si>
  <si>
    <t>LANGUAGE ARTS &amp; DISCIPLINES / Journalism</t>
  </si>
  <si>
    <t>Kerry Moore</t>
  </si>
  <si>
    <t>Reporting on Poverty</t>
  </si>
  <si>
    <t>Like Any Other Woman</t>
  </si>
  <si>
    <t>Jac Saorsa-Rebecca Phillips</t>
  </si>
  <si>
    <t>The Material Culture of English Rural Households C. 1250â€“1600</t>
  </si>
  <si>
    <t>Ben Jervis-Chris Briggs-Alice Forward-Tomasz Gromelski-Matthew Tompkins</t>
  </si>
  <si>
    <t>Deconstructing Martial Arts</t>
  </si>
  <si>
    <t>BODY, MIND &amp; SPIRIT / Mindfulness &amp; Meditation</t>
  </si>
  <si>
    <t>Paul Bowman</t>
  </si>
  <si>
    <t>Platonic Occasions</t>
  </si>
  <si>
    <t>Richard Begam-James Soderholm</t>
  </si>
  <si>
    <t>Taiwan Comics</t>
  </si>
  <si>
    <t>LITERARY CRITICISM / Comics &amp; Graphic Novels</t>
  </si>
  <si>
    <t>I-yun Lee</t>
  </si>
  <si>
    <t>Peter Artedi</t>
  </si>
  <si>
    <t>Le transfert des littÃ©ratures francophones en(tre) pÃ©riphÃ©rie</t>
  </si>
  <si>
    <t>MickaÃ«lle Cedergren-Ylva Lindberg</t>
  </si>
  <si>
    <t>Barndomar i antropocen</t>
  </si>
  <si>
    <t>Hanna SjÃ¶gren</t>
  </si>
  <si>
    <t>Framing the Nation, Claiming the Hemisphere</t>
  </si>
  <si>
    <t>HISTORY / United States / Revolutionary Period (1775-1800)</t>
  </si>
  <si>
    <t>Markus Heide</t>
  </si>
  <si>
    <t>Basic Numerical Methods in Meteorology and Oceanography</t>
  </si>
  <si>
    <t>MATHEMATICS / Numerical Analysis</t>
  </si>
  <si>
    <t>Kristofer DÃ¶Ã¶s-Peter Lundberg-Aitor Aldama Campino</t>
  </si>
  <si>
    <t>Ord frÃ¥n norr</t>
  </si>
  <si>
    <t>Andreas Hedberg</t>
  </si>
  <si>
    <t>The Ethics of Affect</t>
  </si>
  <si>
    <t>Patrick W. Galbraith</t>
  </si>
  <si>
    <t>Samisk kunst og norsk kunsthistorie</t>
  </si>
  <si>
    <t>Monica Grini</t>
  </si>
  <si>
    <t>Narrowed Lives</t>
  </si>
  <si>
    <t>Simo Vehmas-Reetta Mietola</t>
  </si>
  <si>
    <t>Introduktion till postkvalitativ metodologi</t>
  </si>
  <si>
    <t>Karin Gunnarsson-Linnea BodÃ©n</t>
  </si>
  <si>
    <t>Invoking Flora Nwapa</t>
  </si>
  <si>
    <t>Uppkomsten av ett professionellt medicinskt fÃ¤lt</t>
  </si>
  <si>
    <t>Carina Carlhed Ydhag</t>
  </si>
  <si>
    <t>The Hostages of the Northmen</t>
  </si>
  <si>
    <t>Stefan Lennart Olsson</t>
  </si>
  <si>
    <t>Kontrastiva studier i nederlÃ¤ndska och svenska</t>
  </si>
  <si>
    <t>Annika Johansson</t>
  </si>
  <si>
    <t>Born in 1953</t>
  </si>
  <si>
    <t>Sten-Ã…ke Stenberg</t>
  </si>
  <si>
    <t>Pour une gÃ©nÃ©alogie critique de la Francophonie</t>
  </si>
  <si>
    <t>FAMILY &amp; RELATIONSHIPS / Family History &amp; Genealogy</t>
  </si>
  <si>
    <t>Christophe Premat</t>
  </si>
  <si>
    <t>Modernism As Institution</t>
  </si>
  <si>
    <t>Hans Hayden</t>
  </si>
  <si>
    <t>Guiden till Spaniensverige</t>
  </si>
  <si>
    <t>Erik Olsson</t>
  </si>
  <si>
    <t>Donâ€™t Be Quiet, Start a Riot!</t>
  </si>
  <si>
    <t>Tiina Rosenberg</t>
  </si>
  <si>
    <t>Polemik in den Schriften Melchior Hoffmans</t>
  </si>
  <si>
    <t>Kerstin LundstrÃ¶m</t>
  </si>
  <si>
    <t>Vetenskapen som fÃ¶rsvann?</t>
  </si>
  <si>
    <t>Martin Ericsson</t>
  </si>
  <si>
    <t>Global Citizens: Understanding and Shaping Our Interdependent World</t>
  </si>
  <si>
    <t>POLITICAL SCIENCE / World / General</t>
  </si>
  <si>
    <t>Prof. Edgar Taghoy Dr. Eugene Escalona Toring Dr. Kimberly Cui Nuevo â€“ Toring Dr. Nonita P. Legaspi</t>
  </si>
  <si>
    <t>Mortals, Deities and Divine Symbols: Rethinking Ancient Images From the Levant to Mesopotamia</t>
  </si>
  <si>
    <t>Benjamin Sass-Laura Battini</t>
  </si>
  <si>
    <t>Excavations in the Roman Legionary Fortress at Caerleon</t>
  </si>
  <si>
    <t>Peter Guest-Andrew Gardner</t>
  </si>
  <si>
    <t>Proceedings of the 9th International Conference on Communication and Media (i-COME 24)</t>
  </si>
  <si>
    <t>Nursafwah Tugiman-Norhayati Mohamad Hussain-S. Maartandan Suppiah-Nuredayu Omar</t>
  </si>
  <si>
    <t>Ecological Connectivity of Forest Ecosystems</t>
  </si>
  <si>
    <t>Katharina Lapin-Janine Oettel-Martin Braun-Heino Konrad</t>
  </si>
  <si>
    <t>Handbook of Families in the Arab Gulf States</t>
  </si>
  <si>
    <t>Md Mizanur Rahman-Kaltham Al-Ghanim-Ziarat Hossain-Sharique Umar</t>
  </si>
  <si>
    <t>Spinning the Cosmos</t>
  </si>
  <si>
    <t>TECHNOLOGY &amp; ENGINEERING / History</t>
  </si>
  <si>
    <t>Alica-Nana Citron</t>
  </si>
  <si>
    <t>Theology of Prophecy in Dialogue</t>
  </si>
  <si>
    <t>Zishan Ghaffar-Klaus von Stosch</t>
  </si>
  <si>
    <t>A Quiet Revolution in Indigenous Service Delivery</t>
  </si>
  <si>
    <t>Deirdre Howard-Wagner</t>
  </si>
  <si>
    <t>Ontohackers: Radical Movement Philosophy in the Age of Extinctions and Algorithms, Part II</t>
  </si>
  <si>
    <t>Oral Poetry</t>
  </si>
  <si>
    <t xml:space="preserve"> Ruth Finnegan</t>
  </si>
  <si>
    <t>Leftover Women in China</t>
  </si>
  <si>
    <t>Qian Liu</t>
  </si>
  <si>
    <t>ExpÃ©riences en virologie</t>
  </si>
  <si>
    <t>MEDICAL / Biotechnology</t>
  </si>
  <si>
    <t>Ã‰tienne Decroly</t>
  </si>
  <si>
    <t>Agile Processes in Software Engineering and Extreme Programming</t>
  </si>
  <si>
    <t>Sibylle Peter-Martin Kropp-Ademar Aguiar-Craig Anslow-Maria Ilaria Lunesu</t>
  </si>
  <si>
    <t>Galen on Ethics and Human Nature</t>
  </si>
  <si>
    <t>Julia Trompeter</t>
  </si>
  <si>
    <t>Proceedings of the 10th Progressive and Fun Education International Conference (The 10th Profunedu)</t>
  </si>
  <si>
    <t>Naufal Ishartono-Harun Joko Prayitno-Bayu Hendro Wicaksono-Muhammad Syahriandi Adhantoro</t>
  </si>
  <si>
    <t>Proceedings of the 5th International Conference on Applied Sciences, Mathematics, and Informatics (ICASMI 2024)</t>
  </si>
  <si>
    <t>Sutopo Hadi-Favorisen R. Lumbanraja-Endang L. Widiastuti</t>
  </si>
  <si>
    <t>Proceedings of the 2025 5th International Conference on Public Management and Intelligent Society (PMIS 2025)</t>
  </si>
  <si>
    <t>Harlida Abdul Wahab-Xuejun Hu-Jianjiang Wang-Thinagaran Perumal-Hongli Zhu</t>
  </si>
  <si>
    <t>Decarbonizing German Family Firms</t>
  </si>
  <si>
    <t>Gunther Friedl</t>
  </si>
  <si>
    <t>Religion - Kinder- und Jugendhilfe - Vielfalt</t>
  </si>
  <si>
    <t>Karin BÃ¶llert-Josefine Franke-Cyntia Kohring-Ã–zlem Ã–zdemir-Simsek-Inga Selent</t>
  </si>
  <si>
    <t>Trendanalysen zur Weiterbildungsbeteiligung</t>
  </si>
  <si>
    <t>Anika Rosenkranz</t>
  </si>
  <si>
    <t>ERiK-Forschungsbericht IV</t>
  </si>
  <si>
    <t>Sina Fackler-Sonja Herrmann-Christiane Meiner-Teubner-Christine Bopp-Susanne Kuger-Bernhard Kalicki</t>
  </si>
  <si>
    <t>Inklusion im Berufseinstieg</t>
  </si>
  <si>
    <t>Mareike Beer</t>
  </si>
  <si>
    <t>Hochschullehre grenzenlos?</t>
  </si>
  <si>
    <t>Axel Benning-Marcell SaÃŸ</t>
  </si>
  <si>
    <t>Digitale Medien in der Grundbildung Erwachsener</t>
  </si>
  <si>
    <t>Ilka Koppel-Sandra Langer-Lisa Maria David</t>
  </si>
  <si>
    <t>Grenzen, GrenzrÃ¤ume, Entgrenzungen</t>
  </si>
  <si>
    <t>Nina Kulovics-Olivier Mentz-Thomas Raith</t>
  </si>
  <si>
    <t>Formale Unterqualifikation in der Pflege</t>
  </si>
  <si>
    <t>Lena Sachse</t>
  </si>
  <si>
    <t>Pollution plastique, la biodiversitÃ© menacÃ©e</t>
  </si>
  <si>
    <t>NATURE / Animals / General</t>
  </si>
  <si>
    <t>Various Aspects of Language Education</t>
  </si>
  <si>
    <t>Marija Stevkovska-Marijana Klemenchich</t>
  </si>
  <si>
    <t>Kuzey Makedonya Tekke ve TÃ¼rbeleri</t>
  </si>
  <si>
    <t>ARCHITECTURE / Buildings / Landmarks &amp; Monuments</t>
  </si>
  <si>
    <t>Ismail Gulec-Mumin Ali</t>
  </si>
  <si>
    <t>The Literary Fantastic in the 21st Century</t>
  </si>
  <si>
    <t>Ana Kechan</t>
  </si>
  <si>
    <t>Bir Ses Yaratan Kudret - DoÄŸumunun 140. YÄ±lÄ±nda Yahya Kemal BeyatlÄ±</t>
  </si>
  <si>
    <t>Mehmet Samsakci</t>
  </si>
  <si>
    <t>What Really Works in the English Classroom</t>
  </si>
  <si>
    <t>Ana Kechan-Igballe Miftari Fetishi</t>
  </si>
  <si>
    <t>Dijt onze woordenschat alsmaar uit?</t>
  </si>
  <si>
    <t>Nicoline van der Sijs</t>
  </si>
  <si>
    <t>Dioptrice</t>
  </si>
  <si>
    <t>Johannes Kepler-SÃ¸ren S. Larsen</t>
  </si>
  <si>
    <t>Sympozjum Egejskie, Vol. 4</t>
  </si>
  <si>
    <t>Aulsebrook, Stephanie (ED)-Å»ebrowska, Katarzyna (ED)-Ulanowska, Agata (ED)</t>
  </si>
  <si>
    <t>Sympozjum Egejskie</t>
  </si>
  <si>
    <t>Aulsebrook, Stephanie (ED)-Å»ebrowska, Katarzyna (ED)-Ulanowska, Agata (ED)-Lewartowski, Kazimierz (ED)</t>
  </si>
  <si>
    <t>Archaeological Finds From the Main Town in GdaÅ„sk</t>
  </si>
  <si>
    <t>Polak, Zbigniew (AU)-Starski, MichaÅ‚ (AU)</t>
  </si>
  <si>
    <t>Archaeology of War</t>
  </si>
  <si>
    <t>The Materiality of Medieval Administration in Northern England</t>
  </si>
  <si>
    <t>ANTIQUES &amp; COLLECTIBLES / General</t>
  </si>
  <si>
    <t>Armstrong, Abigail S. (AU)</t>
  </si>
  <si>
    <t>Literacy in Medieval and Early Modern Vilnius</t>
  </si>
  <si>
    <t>Niedzwiedz, Jakub (AU)</t>
  </si>
  <si>
    <t>Accounts and Accountability in Late Medieval Europe: Records, Procedures, and Socio-Political Impact</t>
  </si>
  <si>
    <t>Epurescu-Pascovici, IonuÅ£ (ED)</t>
  </si>
  <si>
    <t>Building and Economic Growth in Southern Europe (1050â€“1300)</t>
  </si>
  <si>
    <t>Carocci, Sandro (ED)-Fiore, Alessio (ED)</t>
  </si>
  <si>
    <t>Learning with Light and Shadows</t>
  </si>
  <si>
    <t>Teughels, Nelleke (ED)-Wils, Kaat (ED)</t>
  </si>
  <si>
    <t>Faith in a Beam of Light</t>
  </si>
  <si>
    <t>Lenk, Sabine (ED)-Majsova, Natalija (ED)</t>
  </si>
  <si>
    <t>Bear and Human</t>
  </si>
  <si>
    <t>Grimm, Oliver (ED)</t>
  </si>
  <si>
    <t>Epidemics and Pandemics</t>
  </si>
  <si>
    <t>Nicoletti, Michele (AU)-Palazzo, Alessandro (AU)</t>
  </si>
  <si>
    <t>Principia on the Sentences of Peter Lombard</t>
  </si>
  <si>
    <t>BrÃ®nzei, Monica (ED)-Duba, William O. (ED)</t>
  </si>
  <si>
    <t>Palmyra in Perspective</t>
  </si>
  <si>
    <t>Raja, Rubina (ED)</t>
  </si>
  <si>
    <t>Message in a Bottle</t>
  </si>
  <si>
    <t>Jenks, Stuart (AU)-Wubs-Mrozewicz, Justyna (AU)</t>
  </si>
  <si>
    <t>The Seven Sorrows Confraternity of Brussels</t>
  </si>
  <si>
    <t>Thelen, Emily S. (ED)</t>
  </si>
  <si>
    <t>A Mendicant Sermon Collection From Composition to Reception</t>
  </si>
  <si>
    <t>RELIGION / Sermons / Christian</t>
  </si>
  <si>
    <t>Akae, Yuichi (AU)</t>
  </si>
  <si>
    <t>Albert the Great and His Arabic Sources</t>
  </si>
  <si>
    <t>Krause, Katja (ED)-Taylor, Richard C. (ED)</t>
  </si>
  <si>
    <t>Editing and Analysing Numerical Tables</t>
  </si>
  <si>
    <t>Husson, Matthieu (ED)-Montelle, Clemency (ED)-van Dalen, Benno (ED)</t>
  </si>
  <si>
    <t>Ptolemyâ€™s Science of the Stars in the Middle Ages</t>
  </si>
  <si>
    <t>Juste, David (ED)-van Dalen, Benno (ED)-Hasse, Dag Nikolaus (ED)-Burnett, Charles (ED)</t>
  </si>
  <si>
    <t>Religious Practices and Everyday Life in the Long Fifteenth Century (1350â€“1570)</t>
  </si>
  <si>
    <t>Johnson, Ian (ED)-Rodrigues, Ana Maria S. A. (ED)</t>
  </si>
  <si>
    <t>Ecocriticism and Old Norse Studies</t>
  </si>
  <si>
    <t>Hennig, Reinhard (ED)-Lethbridge, Emily (ED)-Schulte, Michael (ED)</t>
  </si>
  <si>
    <t>The Common Thread</t>
  </si>
  <si>
    <t>Mannering, Ulla (ED)-Nosch, Marie-Louise (ED)-Drewsen, Anne (ED)</t>
  </si>
  <si>
    <t>Illuminated Manuscript Production in Medieval Iceland</t>
  </si>
  <si>
    <t>Drechsler, Stefan (AU)</t>
  </si>
  <si>
    <t>Dealing with Disagreement</t>
  </si>
  <si>
    <t>Joosse, Albert (ED)-Ulacco, Angela (ED)</t>
  </si>
  <si>
    <t>Traumas of 1066 in the Literatures of England, Normandy, and Scandinavia</t>
  </si>
  <si>
    <t>Goeres, Erin Michelle (AU)</t>
  </si>
  <si>
    <t>Remembering the Dead</t>
  </si>
  <si>
    <t>Strenga, Gustavs (AU)-Bijsterveld, Arnoud-Jan (ED)-Frequin, Sanne (ED)-Lohse, Tillmann (ED)-Niederkorn, Meta (ED)-Schleif, Corine (ED)-Stauffer, Annemarie (ED)-Van Bruaene, Anne-Laure (ED)-Winterhager, Philipp (ED)</t>
  </si>
  <si>
    <t>Memories Lost in the Middle Ages: Collective Forgetting As an Alternative Procedure of Social Cohesion/Lâ€™oubli Collectif Au Moyen Ã‚ge: Un Autre Processus Constitutif De La CohÃ©sion Sociale</t>
  </si>
  <si>
    <t>Perret, NoÃ«lle-Laetitia (ED)-Schmidt, Hansâ€‘Joachim (ED)</t>
  </si>
  <si>
    <t>Images in the Borderlands</t>
  </si>
  <si>
    <t>ÄŒapeta RakiÄ‡, Ivana (ED)-Capriotti, Giuseppe (ED)</t>
  </si>
  <si>
    <t>Organising a Literary Corpus in the Middle Ages</t>
  </si>
  <si>
    <t>RELIGION / Christian Theology / History</t>
  </si>
  <si>
    <t>MacÃ©, Caroline (ED)</t>
  </si>
  <si>
    <t>The Art of Publication From the Ninth to the Sixteenth Century</t>
  </si>
  <si>
    <t>CRAFTS &amp; HOBBIES / Book Printing &amp; Binding</t>
  </si>
  <si>
    <t>Niskanen, Samu (ED)</t>
  </si>
  <si>
    <t>Nicholas Trevetâ€™s Commentary on the Psalms (1317 â€“ C. 1321): A Publishing History</t>
  </si>
  <si>
    <t>KujawiÅ„ski, Jakub (AU)</t>
  </si>
  <si>
    <t>The Multilingual Physiologus</t>
  </si>
  <si>
    <t>MacÃ©, Caroline (ED)-Gippert, Jost (ED)</t>
  </si>
  <si>
    <t>Staging the Rulerâ€™s Body in Medieval Cultures: A Comparative Perspective</t>
  </si>
  <si>
    <t>Bacci, Michele (ED)-Grigoryan, Gohar (ED)-Studer-Karlen, Manuela (ED)</t>
  </si>
  <si>
    <t>Travelling Matters Across the Mediterranean</t>
  </si>
  <si>
    <t>Falcucci, Beatrice (ED)-Giusti, Emanuele (ED)-Trentacoste, Davide (ED)</t>
  </si>
  <si>
    <t>Lupae</t>
  </si>
  <si>
    <t>Prescendi, Francesca (AU)</t>
  </si>
  <si>
    <t>La fabrique des bÃ©bÃ©s dans l'AntiquitÃ©</t>
  </si>
  <si>
    <t>Jaeggi-Richoz, Sandra (AU)</t>
  </si>
  <si>
    <t>Allaiter de lâ€™AntiquitÃ© Ã  nos jours</t>
  </si>
  <si>
    <t>Foehr-Janssens, Yasmina (ED)-Solfaroli Camillocci, Daniela (ED)-Arena, Francesca (ED)-Dasen, VÃ©ronique (ED)-Maffi, Irene (ED)</t>
  </si>
  <si>
    <t>Constructing Saints in Greek and Latin Hagiography</t>
  </si>
  <si>
    <t>RELIGION / Christianity / Saints &amp; Sainthood</t>
  </si>
  <si>
    <t>De Temmerman, Koen (ED)-Van Pelt, Julie (ED)-Staat, Klazina (ED)</t>
  </si>
  <si>
    <t>Crusader Rhetoric and the Infancy Cycles on Medieval Baptismal Fonts in the Baltic Region</t>
  </si>
  <si>
    <t>ART / Sculpture &amp; Installation</t>
  </si>
  <si>
    <t>Sonne De Torrens, Harriet M. (AU)</t>
  </si>
  <si>
    <t>Sounding the Past</t>
  </si>
  <si>
    <t>KÃ¼gle, Karl (ED)</t>
  </si>
  <si>
    <t>Pietro Metastasioâ€™s Operatic Storm</t>
  </si>
  <si>
    <t>MUSIC / Genres &amp; Styles / Opera</t>
  </si>
  <si>
    <t>Llorens, Ana (ED)</t>
  </si>
  <si>
    <t>Noble Magnificence</t>
  </si>
  <si>
    <t>Goulet, Anne-Madeleine (ED)-Berti, Michela (ED)</t>
  </si>
  <si>
    <t>Music and Liturgy for the Benedicamus Domino C.800â€“1650</t>
  </si>
  <si>
    <t>Bradley, Catherine A. (ED)</t>
  </si>
  <si>
    <t>Ludwig Senfl (c.1490â€“1543). A Catalogue RaisonnÃ© of the Works and Sources</t>
  </si>
  <si>
    <t>MUSIC / Individual Composer &amp; Musician</t>
  </si>
  <si>
    <t>Gasch, Stefan (AU)-TrÃ¶ster, Sonja (AU)-Lodes, Birgit (AU)</t>
  </si>
  <si>
    <t>Ludwig Senfl (c.1490-1543): A Catalogue RaisonnÃ© of the Works and Sources</t>
  </si>
  <si>
    <t>Lodes, Birgit (AU)-TrÃ¶ster, Sonja (AU)-Gasch, Stefan (AU)</t>
  </si>
  <si>
    <t>Gaspar Van Weerbeke</t>
  </si>
  <si>
    <t>Lindmayr-Brandl, Andrea (ED)-Kolb, Paul (ED)</t>
  </si>
  <si>
    <t>Legal Norms and Political Action in Multi-Ethnic Societies</t>
  </si>
  <si>
    <t>Wiszewski, PrzemysÅ‚aw (ED)</t>
  </si>
  <si>
    <t>Inter-Ethnic Relations and the Functioning of Multi-Ethnic Societies</t>
  </si>
  <si>
    <t>Women and Credit in Pre-Industrial Europe</t>
  </si>
  <si>
    <t>Dermineur, Elise (ED)</t>
  </si>
  <si>
    <t>Contending Representations III: Questioning Republicanism in Early Modern Genoa</t>
  </si>
  <si>
    <t>Zucchi, Enrico (ED)-Metlica, Alessandro (ED)</t>
  </si>
  <si>
    <t>Contending Representations II: Entangled Republican Spaces in Early Modern Venice</t>
  </si>
  <si>
    <t>Florio, Giovanni (ED)-Metlica, Alessandro (ED)</t>
  </si>
  <si>
    <t>Contending Representations I: The Dutch Republic and the Lure of Monarchy</t>
  </si>
  <si>
    <t>Oddens, Joris (ED)-Metlica, Alessandro (ED)-Moorman, Gloria (ED)</t>
  </si>
  <si>
    <t>The Pursuit of Salvation. Community, Space, and Discipline in Early Medieval Monasticism</t>
  </si>
  <si>
    <t>Diem, Albrecht (AU)</t>
  </si>
  <si>
    <t>Visions of North in Premodern Europe</t>
  </si>
  <si>
    <t>JÃ¸rgensen, Dolly (ED)-Langum, Virginia (ED)</t>
  </si>
  <si>
    <t>Lâ€™Ã‰glise et les Ã©glises</t>
  </si>
  <si>
    <t>ARCHITECTURE / History / Medieval</t>
  </si>
  <si>
    <t>FranzÃ©, Barbara (AU)</t>
  </si>
  <si>
    <t>Sur les routes des Alpes</t>
  </si>
  <si>
    <t>Morenzoni, Franco (AU)</t>
  </si>
  <si>
    <t>Communities, Environment and Regulation in the Premodern World</t>
  </si>
  <si>
    <t>Weeda, Claire (ED)-Stein, Robert (ED)-Sicking, Louis (ED)</t>
  </si>
  <si>
    <t>Medieval Svaneti: Objects, Images, and Bodies in Dialogue with Built and Natural Spaces</t>
  </si>
  <si>
    <t>Studer-Karlen, Manuela (ED)-Bacci, Michele (ED)-Chitishvili, Natalia (ED)</t>
  </si>
  <si>
    <t>Civic Identity and Civic Participation in Late Antiquity and the Early Middle Ages</t>
  </si>
  <si>
    <t>BrÃ©laz, CÃ©dric (ED)-Rose, Els (ED)</t>
  </si>
  <si>
    <t>Historiography and Identity III: Carolingian Approaches</t>
  </si>
  <si>
    <t>Kramer, Rutger (ED)-Reimitz, Helmut (ED)-Ward, Graeme (ED)</t>
  </si>
  <si>
    <t>Historiography and Identity I: Ancient and Early Christian Narratives of Community</t>
  </si>
  <si>
    <t>Pohl, Walter (ED)-Wieser, Veronika (ED)</t>
  </si>
  <si>
    <t>Du JÃ©sus des Ã‰critures au Christ des thÃ©ologiens</t>
  </si>
  <si>
    <t>Burnet, RÃ©gis (ED)-Courtray, RÃ©gis (ED)-LagouanÃ¨re, JÃ©rÃ´me (ED)-Renard, Maguelone (ED)</t>
  </si>
  <si>
    <t>Dismantling the Medieval</t>
  </si>
  <si>
    <t>RELIGION / Monasticism</t>
  </si>
  <si>
    <t>Vanderputten, Steven (AU)</t>
  </si>
  <si>
    <t>Belgique, Congo, Rwanda et Burundi : Guide des sources de lâ€™histoire de la colonisation (19e-20e siÃ¨cle)</t>
  </si>
  <si>
    <t>Tallier, Pierre-Alain (ED)-Van Eeckenrode, Marie (ED)-Van Schuylenbergh, Patricia (ED)</t>
  </si>
  <si>
    <t>Roman Identity</t>
  </si>
  <si>
    <t>Roig Lanzillotta, Lautaro (ED)-BrandÃ£o, JosÃ© LuÃ­s (ED)-Teixeira, ClÃ¡udia (ED)-Rodrigues, Ãlia (ED)</t>
  </si>
  <si>
    <t>The Tables of 1322 by John of LignÃ¨res</t>
  </si>
  <si>
    <t>ChabÃ¡s, JosÃ© (AU)-Saby, Marie-Madeleine (AU)</t>
  </si>
  <si>
    <t>Alfonsine Astronomy</t>
  </si>
  <si>
    <t>Kremer, Richard L. (ED)-Husson, Matthieu (ED)-ChabÃ¡s, JosÃ© (ED)</t>
  </si>
  <si>
    <t>Fallacies in the Arabic, Byzantine, Hebrew and Latin Traditions</t>
  </si>
  <si>
    <t>Gazziero, Leone (ED)-Cesalli, Laurent (ED)-Manekin, Charles H. (ED)-Rahman, Shahid (ED)-Street, Tony (ED)-Trizio, Michele (ED)</t>
  </si>
  <si>
    <t>The Territories of Philosophy in Modern Historiography</t>
  </si>
  <si>
    <t>KÃ¶nig-Pralong, Catherine (ED)-MeliadÃ², Mario (ED)-Radeva, Zornitsa (ED)</t>
  </si>
  <si>
    <t>Monuments &amp; Memory: Christian Cult Buildings and Constructions of the Past</t>
  </si>
  <si>
    <t>Verhoeven, MariÃ«tte (ED)-Bosman, Lex (ED)-van Asperen, Hanneke (ED)</t>
  </si>
  <si>
    <t>Neurasthenie in Deutschland und Schweden</t>
  </si>
  <si>
    <t>Yvonne RenÃ© GavallÃ©r</t>
  </si>
  <si>
    <t>ErzÃ¤hlte Mode</t>
  </si>
  <si>
    <t>DESIGN / Textile &amp; Costume</t>
  </si>
  <si>
    <t>Iris SchÃ¤fer-Alexandra Karentzos-Martina Wernli</t>
  </si>
  <si>
    <t>(Re-)Visionen â€“ Epistemologien, Ontologien und Methodologien der Geschlechterforschung</t>
  </si>
  <si>
    <t>Irina Gradinari-Ksenia Meshkova-Stephan Trinkaus</t>
  </si>
  <si>
    <t>Â»PostHeimatÂ« â€“ Inquiries Into Migration, Theatre, and Networked Solidarity</t>
  </si>
  <si>
    <t>Ruba Totah-Jonas Tinius</t>
  </si>
  <si>
    <t>Rechte Gewalttaten in Deutschland</t>
  </si>
  <si>
    <t>Piotr Kocyba-Ulf Bohmann</t>
  </si>
  <si>
    <t>Institutionenpolitik gegen die Â»unteren KlassenÂ«</t>
  </si>
  <si>
    <t>Jan Meyer</t>
  </si>
  <si>
    <t>Lebenswerte und umweltgerechte Stadtentwicklung</t>
  </si>
  <si>
    <t>Beatriz V. Toscano</t>
  </si>
  <si>
    <t>Troubling Archives</t>
  </si>
  <si>
    <t>Julia Rensing</t>
  </si>
  <si>
    <t>Achtsame Hochschulen in der digitalen Gesellschaft</t>
  </si>
  <si>
    <t>Mike Sandbothe-Reyk Albrecht</t>
  </si>
  <si>
    <t>Digitale BilderkÃ¤mpfe</t>
  </si>
  <si>
    <t>ART / Techniques / Cartooning</t>
  </si>
  <si>
    <t>Kai Denker-Nick Nestler</t>
  </si>
  <si>
    <t>Moving Lives â€“ Cultivating with Climate Change in Vanuatu</t>
  </si>
  <si>
    <t>DesirÃ©e Hetzel</t>
  </si>
  <si>
    <t>Deutschrap als Lyrik der Gegenwart</t>
  </si>
  <si>
    <t>Julia Ingold-Manuel PaÃŸ</t>
  </si>
  <si>
    <t>Die mehr-als-menschliche Gesellschaft</t>
  </si>
  <si>
    <t>Justus PÃ¶tzsch</t>
  </si>
  <si>
    <t>Philosophische Bildung neu denken</t>
  </si>
  <si>
    <t>Florian Wobser-Philipp Thomas</t>
  </si>
  <si>
    <t>Der Satyr in Theater und Tanz</t>
  </si>
  <si>
    <t>ART / History / Ancient &amp; Classical</t>
  </si>
  <si>
    <t>Johanna HÃ¶rmann</t>
  </si>
  <si>
    <t>Queer leben im Pfarramt</t>
  </si>
  <si>
    <t>Florence HÃ¤neke</t>
  </si>
  <si>
    <t>Sharing: Possible! â€“ Praktiken des Teilens in der stÃ¤dtischen Erdgeschosszone</t>
  </si>
  <si>
    <t>Mara Haas-Christian Peer-Dominik Wagner-Paul Hahnenkamp</t>
  </si>
  <si>
    <t>Zukunft â€“ Jugend â€“ Politik</t>
  </si>
  <si>
    <t>Kerstin Jergus-Melanie Schmidt-Caroline GrÃ¶schner</t>
  </si>
  <si>
    <t>Stufen der Argumentation</t>
  </si>
  <si>
    <t>Uwe Christian Dech</t>
  </si>
  <si>
    <t>Imagination und Immersion</t>
  </si>
  <si>
    <t>Stefan Rieger</t>
  </si>
  <si>
    <t>Proceedings of the 2025 10th International Conference on Social Sciences and Economic Development (ICSSED 2025)</t>
  </si>
  <si>
    <t>Huaping Sun-Hang Luo-Vilas Gaikar-NatÄlija CudeÄka-PuriÅ†a</t>
  </si>
  <si>
    <t>Proceedings of the 2025 International Conference on Agriculture and Resource Economy (ICARE 2025)</t>
  </si>
  <si>
    <t>Xinyong Li-Yasin Orooji-Igor Aksyonov-Rongkui Su</t>
  </si>
  <si>
    <t>Blockchain, Crypto Assets, and Financial Innovation</t>
  </si>
  <si>
    <t>Gang Kou-Yongqiang Li-Zongyi Zhang-J. Leon Zhao-Zhi Zhuo</t>
  </si>
  <si>
    <t>Urban Responses to the Covid-19 Pandemic</t>
  </si>
  <si>
    <t>Kamil Glinka-Ladislav Cabada-Daniel KlimovskÃ½-Edit SoÃ³s</t>
  </si>
  <si>
    <t>Die Wirkungsweise der Grundrechte im Privatrecht</t>
  </si>
  <si>
    <t>LAW / Liability</t>
  </si>
  <si>
    <t>Julius Azzola</t>
  </si>
  <si>
    <t>Legitimationsdefizite im europÃ¤ischen Kartellermittlungsverfahren</t>
  </si>
  <si>
    <t>LAW / Antitrust</t>
  </si>
  <si>
    <t>Oliver Jany</t>
  </si>
  <si>
    <t>LexicografÃ­a del espaÃ±ol:panhispanismo e internacionalizaciÃ³n</t>
  </si>
  <si>
    <t>Alejandro Fajardo Aguirre-Dolores Torres Medina-Cristian DÃ­az RodrÃ­guez</t>
  </si>
  <si>
    <t>Une mythologie onusienne ?</t>
  </si>
  <si>
    <t>Aurore Schwab</t>
  </si>
  <si>
    <t>MIMOS Sonderband 2025</t>
  </si>
  <si>
    <t>Michael Groneberg-Demis Quadri-Yvonne Schmidt</t>
  </si>
  <si>
    <t>Journalism and the Muslim Narrative</t>
  </si>
  <si>
    <t>Nadia Haq</t>
  </si>
  <si>
    <t>Apartheid and Fragmented Protest in Contemporary Southern Africa</t>
  </si>
  <si>
    <t>Cuthbeth Tagwirei</t>
  </si>
  <si>
    <t>How to Use Research Evidence Well in Education</t>
  </si>
  <si>
    <t>Mark Rickinson-Lucas Walsh-Joanne Gleeson-Blake Cutler-Bernice Plant-Mark Boulet-Genevieve Hall-Connie Cirkony-Mandy Salisbury</t>
  </si>
  <si>
    <t>EU Sustainability Legislation and International Supply Chains</t>
  </si>
  <si>
    <t>Adolf Peter</t>
  </si>
  <si>
    <t>Znaczenie informacji o upadÅ‚oÅ›ci na rynku akcji. Analiza efektÃ³w wewnÄ…trzsektorowych</t>
  </si>
  <si>
    <t>Olga Krzeczewska</t>
  </si>
  <si>
    <t>Nadzwyczajne podatki majÄ…tkowe. Studium przypadku podatku od wzbogacenia wojennego w Polsce z 13 kwietnia 1945 r.</t>
  </si>
  <si>
    <t>Adam KÄ™drzyÅ„ski</t>
  </si>
  <si>
    <t>Preventing Violence</t>
  </si>
  <si>
    <t>Keir Irwin-Rogers-Luke Billingham-Alistair Fraser-Fern Gillon-Susan McVie-Tim Newburn</t>
  </si>
  <si>
    <t>Designing Instruction with Generative AI</t>
  </si>
  <si>
    <t>Brent A. Anders</t>
  </si>
  <si>
    <t>Like Dust on the Silk Road</t>
  </si>
  <si>
    <t>Chams BenoÃ®t Bernard</t>
  </si>
  <si>
    <t>Proceedings of the 2025 5th International Conference on Informatization Economic Development and Management (IEDM 2025)</t>
  </si>
  <si>
    <t>Meilin Zhang-Au Yong Hui Nee-Khurram Shehzad-Sameer Kumar-Ehsan Javanmardi</t>
  </si>
  <si>
    <t>Proceedings of the 2nd International Conference on Sciences, Mathematics, and Education 2023 (ICOSMED 2023)</t>
  </si>
  <si>
    <t>Hasan S. Panigoro-Ali AkgÃ¼l-Olumuyiwa James Peter-Sayooj Aby Jose</t>
  </si>
  <si>
    <t>Proceedings of the International Conference on Recent Advancement and Modernization in Sustainable Intelligent Technologies &amp; Applications (RAMSITA-2025)</t>
  </si>
  <si>
    <t>Shilpa Bhalerao-Praveen Gupta-Vandana Kate</t>
  </si>
  <si>
    <t>Japanâ€™s Financial System</t>
  </si>
  <si>
    <t>Tokuo Iwaisako</t>
  </si>
  <si>
    <t>Proceedings of the 1st Alma Ata International Conference on Education (AAICE 2023)</t>
  </si>
  <si>
    <t>Kana Safrina Rouzi-Yusinta Dwi Ariyani-Esthi Nawangsasi-Endi Rochaendi-Ika Tri Susilowati</t>
  </si>
  <si>
    <t>Critical Issues in Head and Neck Oncology</t>
  </si>
  <si>
    <t>Jan B. Vermorken-Johannes A. Langendijk-C. RenÃ© Leemans-Jean-Pascal Machiels-Piero Nicolai</t>
  </si>
  <si>
    <t>Maximal Planar Graph Theory and the Four-Color Conjecture</t>
  </si>
  <si>
    <t>Jin Xu</t>
  </si>
  <si>
    <t>Breeding Zinc Crops for Better Human Health</t>
  </si>
  <si>
    <t>Mahalingam Govindaraj-Velu Govindan-Natalia Palacios</t>
  </si>
  <si>
    <t>Berufsorientierung und Weiterbildung in der digitalen Transformation</t>
  </si>
  <si>
    <t>Thomas Freiling-Matthias Kohl-Christoph Krause-Bastian SteinmÃ¼ller</t>
  </si>
  <si>
    <t>Mit dem FÃ¶rderschwerpunkt EsE in die Ausbildung?</t>
  </si>
  <si>
    <t>Philipp Hascher</t>
  </si>
  <si>
    <t>Circular Economy and Sustainable Management</t>
  </si>
  <si>
    <t>TECHNOLOGY &amp; ENGINEERING / Environmental / General</t>
  </si>
  <si>
    <t>Siddhartha Pandey-Nitin Kumar Singh-Tuhin Sengupta-Sanchita Roy Chowdhury</t>
  </si>
  <si>
    <t>Tunnelling Into a Sustainable Future â€“ Methods and Technologies</t>
  </si>
  <si>
    <t>Fredrik Johansson-Anders Ansell-Daniel Johansson-Johan Funehag-Jenny Norrman</t>
  </si>
  <si>
    <t>Sustainable Entrepreneurship and the Global South</t>
  </si>
  <si>
    <t>Stuti Haldar</t>
  </si>
  <si>
    <t>Rights-Based Ethics</t>
  </si>
  <si>
    <t>Marcus DÃ¼well-Johannes Graf Keyserlingk-Philipp Richter</t>
  </si>
  <si>
    <t>Minority Women, Rights and Intersectionality</t>
  </si>
  <si>
    <t>Alexandra Cosima Budabin-Jody Metcalfe-Shilpi Pandey</t>
  </si>
  <si>
    <t>Proceedings of the International Conference on Multidisciplinary Studies (ICoMSi 2024)</t>
  </si>
  <si>
    <t>Akbarudin Arif-Agung Hidayat-Chanel Tri Handoko-Siti Khoiriyah-Haryani Saptaningtyas</t>
  </si>
  <si>
    <t>Proceedings of the 2025 4th International Conference on Engineering Management and Information Science (EMIS 2025)</t>
  </si>
  <si>
    <t>Seyed Mohammadreza Ghadiri-Sri Devi Ravana-Mohd Johari Mohd Yusof-Shamzani Affendy Mohd. Din</t>
  </si>
  <si>
    <t>Proceedings of the International Conference on Sustainability Innovation in Computing and Engineering (ICSICE 24)</t>
  </si>
  <si>
    <t>S. Kannadhasan-P. Sivakumar-T. Saravanan-S. Senthil Kumar</t>
  </si>
  <si>
    <t>Digital Platforms in Finance and Supply Chain Management</t>
  </si>
  <si>
    <t>Piotr Åasak-SÅ‚awomir WyciÅ›lak</t>
  </si>
  <si>
    <t>The Making of Singapore As an Asian Regional Corridor</t>
  </si>
  <si>
    <t>Hong Liu-Cheun Hoe Yow-Huimei Zhang</t>
  </si>
  <si>
    <t>Pupil Management and Emerging Democratic Voices</t>
  </si>
  <si>
    <t>Andrew Thomas</t>
  </si>
  <si>
    <t>'I Buy This Piece of Ground Here'</t>
  </si>
  <si>
    <t>Madeleine Regan</t>
  </si>
  <si>
    <t>Translating Science in the 18th and 19th Centuries</t>
  </si>
  <si>
    <t>Alison E Martin-Susan Pickford</t>
  </si>
  <si>
    <t>Proceedings of the 8th International Research Conference on Economic and Business (IRCEB 2024)</t>
  </si>
  <si>
    <t>Dediek Tri Kurniawan-Dede Rusmana</t>
  </si>
  <si>
    <t>Les Outre-mer face Ã  la bifurcation Ã©cologique</t>
  </si>
  <si>
    <t>Yann BÃ©rard</t>
  </si>
  <si>
    <t>Des contrats dans les filiÃ¨res agricoles, forÃªt-bois et halieutiques</t>
  </si>
  <si>
    <t>LAW / Contracts</t>
  </si>
  <si>
    <t>Des solutions fondÃ©es sur la nature</t>
  </si>
  <si>
    <t>Freddy Rey</t>
  </si>
  <si>
    <t>The Vow of Stability</t>
  </si>
  <si>
    <t xml:space="preserve"> Richard Irvine</t>
  </si>
  <si>
    <t>Qurâ€™an Translations in the Eastern Bloc and Beyond</t>
  </si>
  <si>
    <t>RELIGION / Islam / General</t>
  </si>
  <si>
    <t xml:space="preserve"> Elvira Kulieva-Johanna Pink-Mykhaylo Yakubovych</t>
  </si>
  <si>
    <t>Political Trust in China</t>
  </si>
  <si>
    <t>Lianjiang Li</t>
  </si>
  <si>
    <t>Rehabilitative Postsocialism</t>
  </si>
  <si>
    <t>Katerina KolÃ¡rovÃ¡</t>
  </si>
  <si>
    <t>Backstaging Modern Chinese Theatre</t>
  </si>
  <si>
    <t>Man He</t>
  </si>
  <si>
    <t>The Eco-Social Polity?</t>
  </si>
  <si>
    <t>Ekaterina Domorenok-Paolo Graziano-Katharina Zimmermann</t>
  </si>
  <si>
    <t>The Ethics of AI</t>
  </si>
  <si>
    <t>SOCIAL SCIENCE / Technology Studies</t>
  </si>
  <si>
    <t>Rainer MÃ¼hlhoff</t>
  </si>
  <si>
    <t>Subjectivism in Economics and Philosophy</t>
  </si>
  <si>
    <t>Karl Mittermaier</t>
  </si>
  <si>
    <t>GAMIFICATION IN LANGUAGE LEARNING: INSIGHTS FROM TEACHING FRENCH AND SPANISH</t>
  </si>
  <si>
    <t>LANGUAGE STUDY / French</t>
  </si>
  <si>
    <t>AndrÃ© Lewis</t>
  </si>
  <si>
    <t>Carl Seelig</t>
  </si>
  <si>
    <t>Pino Dietiker-Lukas Gloor-Kerstin GrÃ¤fin von Schwerin</t>
  </si>
  <si>
    <t>Lateinische Literatur des Barock</t>
  </si>
  <si>
    <t>Beate Hintzen</t>
  </si>
  <si>
    <t>Oral History in South Africa: Autoethnography, Methodologies and Ethics</t>
  </si>
  <si>
    <t>HISTORY / Africa / South / Republic of South Africa</t>
  </si>
  <si>
    <t>Sekgothe MokgoatÅ¡ana-Christina Landman-Stewart L. Kugara-Pfarelo E. Matshidze-Munyaradzi Mushonga-Motlatsi Thabane-Radikobo Ntsimane-Chitja Twala-Kogielam K. Archary-John R. Phori</t>
  </si>
  <si>
    <t>Enhancing Effective Public Sector Governance: Effectiveness of Audit Committees in South African Municipalities</t>
  </si>
  <si>
    <t>Audrey H. Legodi (https://orcid.org/0000-0001-5311-7307)-Philna Coetzee (https://orcid.org/0000-0003-3823-8578)-Lourens Erasmus (https://orcid.org/0000-0003-3692-9586)</t>
  </si>
  <si>
    <t>Digital Inequality in a Developing Context: A Multifaceted Approach</t>
  </si>
  <si>
    <t>Nobert R. Jere (https://orcid.org/0000-0001-8966-2753)-Gardner Mwansa (https://orcid.org/0000-0003-3827-9783)-Memory Ranga (https://orcid.org/0000-0002-8970-4789)-Attlee M. Gamundani (https://orcid.org/0000-0003-1195-366X)-Pardon B. Maoneke (https://orcid.org/0000-0002-7086-0044)-William T. Vambe (https://orcid.org/0000-0003-0516-1260)-Tanaka L. Jere (https://orcid.org/0000-0002-4825-0389)-Obert Matarirano (https://orcid.org/0000-0001-5127-1028)-Misheck Musaigwa (https://orcid.org/0000-0002-1474-5949)-Thandokazi Mfikoyi (https://orcid.org/0000-0002-6640-090X)-Sibulele Yawa (https://orcid.org/0009-0000-3404-7120)-Bulelwa Mkabile-Masebe (https://orcid.org/0000-0002-8803-8526)-Ntsika Dyantyi (https://orcid.org/0009-0009-7530-3421)-Sithandiwe Twetwa-Dube (https://orcid.org/0009-0009-4551-3604)-Nosipho C. Mavuso (https://orcid.org/0000-0002-5602-8008)-Olukayode Oki (https://orcid.org/0000-0002-6887-9782)-Agyei Fosu (https://orcid.org/0000-0002-7741-1516)-Jose Lukose (https</t>
  </si>
  <si>
    <t>Sport, Leadership, and Social Inclusion</t>
  </si>
  <si>
    <t>SPORTS &amp; RECREATION / Cultural &amp; Social Aspects</t>
  </si>
  <si>
    <t>Hans Erik NÃ¦ss-Mari Svendsen</t>
  </si>
  <si>
    <t>The Digital Courtroom</t>
  </si>
  <si>
    <t>Lisa Flower</t>
  </si>
  <si>
    <t>Processes of Economic Informalization</t>
  </si>
  <si>
    <t>Ilona Steiler</t>
  </si>
  <si>
    <t>Civic Engagement in Later Life</t>
  </si>
  <si>
    <t>Rodrigo Serrat</t>
  </si>
  <si>
    <t>Proceedings of The 5th International Conference on Linguistics and Cultural Studies 5 (ICLC-5 2024)</t>
  </si>
  <si>
    <t>Muhammad Hasyim-Mardi Adi Armin-Yusuf Yusuf</t>
  </si>
  <si>
    <t>Generalized Topology Optimization for Structural Design</t>
  </si>
  <si>
    <t>Yi Min Xie</t>
  </si>
  <si>
    <t>The Carbon Emission Liability Mechanism</t>
  </si>
  <si>
    <t>Baoming Yang</t>
  </si>
  <si>
    <t>European Electricity Market Coupling</t>
  </si>
  <si>
    <t>AndrÃ© Estermann-Marius Schrade-Louise Anderson</t>
  </si>
  <si>
    <t>Care Poverty and Unmet Needs</t>
  </si>
  <si>
    <t>Teppo KrÃ¶ger-Nicola Brimblecombe-Ricardo Rodrigues-Kirstein Rummery</t>
  </si>
  <si>
    <t>Indo-Slavic Lexical Isoglosses and the Prehistoric Dispersal of Indo-Iranian</t>
  </si>
  <si>
    <t>Axel I. PalmÃ©r</t>
  </si>
  <si>
    <t>Moral Design and Green Technology</t>
  </si>
  <si>
    <t>Bart Wernaart-Gerard Schouten</t>
  </si>
  <si>
    <t>Nicholas of Methone, Reader of Proclus in Byzantium</t>
  </si>
  <si>
    <t>Jonathan Greig-Joshua Robinson-Dragos Calma</t>
  </si>
  <si>
    <t>Gestaltungsmetrik</t>
  </si>
  <si>
    <t>Carlos-Andres Palma-Horst Bredekamp</t>
  </si>
  <si>
    <t>Filtern</t>
  </si>
  <si>
    <t>Alwin J. Cubasch-Christian Kassung</t>
  </si>
  <si>
    <t>The Biological Foundation of Sustainability</t>
  </si>
  <si>
    <t>Regine Hengge</t>
  </si>
  <si>
    <t>Rechtsschutz der AktionÃ¤re der Zielgesellschaft bei unterlassenem Pflichtangebot nach Â§ 35 WpÃœG</t>
  </si>
  <si>
    <t>LAW / Corporate</t>
  </si>
  <si>
    <t>Maximilian Huchel</t>
  </si>
  <si>
    <t>Die Hinweisgeberverantwortung des Wirtschaftsanwalts</t>
  </si>
  <si>
    <t>Philipp Thomssen</t>
  </si>
  <si>
    <t>Control and Protection of 100% Inverter-based Power Systems</t>
  </si>
  <si>
    <t>Florian Mahr</t>
  </si>
  <si>
    <t>Sex and Gender</t>
  </si>
  <si>
    <t>L. Zachary DuBois-Anelis Kaiser Trujillo-Margaret M. McCarthy</t>
  </si>
  <si>
    <t>Ich-Sagen</t>
  </si>
  <si>
    <t>PHILOSOPHY / Reference</t>
  </si>
  <si>
    <t>Florian Sprenger</t>
  </si>
  <si>
    <t>Social and Economic Aspects of Court and Out-of-Court Insolvency Proceedings</t>
  </si>
  <si>
    <t>Lazarski University Press</t>
  </si>
  <si>
    <t>LAW / Bankruptcy &amp; Insolvency</t>
  </si>
  <si>
    <t>editors: Anna Hrycaj, Bartosz Sierakowski</t>
  </si>
  <si>
    <t>Prawo lotnicze z perspektywy bezpieczeÅ„stwa oraz zrÃ³wnowaÅ¼onego rozwoju</t>
  </si>
  <si>
    <t>LAW / Air &amp; Space</t>
  </si>
  <si>
    <t>editors: Anna Konert, Agnieszka FortoÅ„ska</t>
  </si>
  <si>
    <t>Klauzule w umowie inwestycyjnej w start-upie</t>
  </si>
  <si>
    <t>BUSINESS &amp; ECONOMICS / Investments &amp; Securities / General</t>
  </si>
  <si>
    <t>editor: MaÅ‚gorzata Sieradzka</t>
  </si>
  <si>
    <t>Children's Agency in the National Curriculum</t>
  </si>
  <si>
    <t>Yana Manyukhina-Dominic Wyse</t>
  </si>
  <si>
    <t>Die Aneignung und Umnutzung von HerrschaftsrÃ¤umen am Beispiel der Squattersiedlung der sÃ¼dwestasiatischen Eisenzeit</t>
  </si>
  <si>
    <t>Georg Cyrus</t>
  </si>
  <si>
    <t>Proceedings of the International Conference Entitled Language, Literary, and Cultural Studies (ICONLATERALS 2024)</t>
  </si>
  <si>
    <t>Mochamad Ighfir Sukardi-Dany Ardhian-Tantri Refa Indhiarti-Vicky Ashar Dwigantara-Titis Bayu Widagdo</t>
  </si>
  <si>
    <t>Proceedings of the 2nd International Conference on Educational Development and Social Sciences (EDSS 2025)</t>
  </si>
  <si>
    <t>Rekha Koul-Samsilah Roslan-Mohd Nazri Bin Abdul Rahman-Catherine Lee Cheng Ean</t>
  </si>
  <si>
    <t>A Voice of Their Own</t>
  </si>
  <si>
    <t>Charlotte Bosseaux</t>
  </si>
  <si>
    <t>Aquatic Parasitology: Ecological and Environmental Concepts and Implications of Marine and Freshwater Parasites</t>
  </si>
  <si>
    <t>Nico J. Smit-Bernd Sures</t>
  </si>
  <si>
    <t>Proceedings of the International Conference on Marching Beyond the Libraries (ICMBL): Leadership, Creativity, and Innovation (ICMBL 2024)</t>
  </si>
  <si>
    <t>Bijayalaxmi Rautaray-Dillip K. Swain-Chandrakant Swain</t>
  </si>
  <si>
    <t>Iron and the Iron Age</t>
  </si>
  <si>
    <t>Christopher Pare</t>
  </si>
  <si>
    <t>Classical Art and Ancient India</t>
  </si>
  <si>
    <t>Peter Stewart</t>
  </si>
  <si>
    <t>The Singing Detainee and the Librarian with One Book</t>
  </si>
  <si>
    <t xml:space="preserve"> Michael Beltran</t>
  </si>
  <si>
    <t>Proceedings of the 3rd International Conference on Mathematics and Science Education (ICMSE 2024)</t>
  </si>
  <si>
    <t>Sayahdin Alfat-Mardiana Napirah-Wa Ode Nirwana Sari-Suritno Fayanto</t>
  </si>
  <si>
    <t>The Hard Edge of Soft Power</t>
  </si>
  <si>
    <t>Sven Daniel Wolfe</t>
  </si>
  <si>
    <t>Proceedings of the 6th Sriwijaya University Learning and Education International Conference 2024 (SULE-IC 2024)</t>
  </si>
  <si>
    <t>STUDY AIDS / Study &amp; Test-Taking Skills</t>
  </si>
  <si>
    <t>Meilinda Meilinda-Evelina Astra Patriot-Rudi Hermawan-Meryansumayeka Meryansumayeka-Septy Sari Yukans</t>
  </si>
  <si>
    <t>Proceedings of the 2025 4th International Conference on Big Data Economy and Digital Management (BDEDM 2025)</t>
  </si>
  <si>
    <t>Shafie Mohamed Zabri-Mustafa Man-Hongbo Li-Yonggen Luo</t>
  </si>
  <si>
    <t>Emotion, Race, and Space in Contemporary African American Literature</t>
  </si>
  <si>
    <t>Marijana MikiÄ‡</t>
  </si>
  <si>
    <t>Soft Skills for the 21st Century</t>
  </si>
  <si>
    <t>Jaroslava KubÃ¡tovÃ¡-Michal MÃ¼ller-David Kosina-OndÅ™ej KroÄil-Pavla SlavÃ­ÄkovÃ¡</t>
  </si>
  <si>
    <t>Twenty-Eighth International Congress on Large Dams/Vingt-HuitiÃ¨me CongrÃ¨s International Des Grands Barrages</t>
  </si>
  <si>
    <t>TECHNOLOGY &amp; ENGINEERING / Civil / Dams &amp; Reservoirs</t>
  </si>
  <si>
    <t>ICOLD / CIGB</t>
  </si>
  <si>
    <t>Literary Heritage</t>
  </si>
  <si>
    <t>David Rudrum-Helen Williams</t>
  </si>
  <si>
    <t>Communist Perspectives on Atheism in the Twentieth Century</t>
  </si>
  <si>
    <t>POLITICAL SCIENCE / Political Ideologies / Communism, Post-Communism &amp; Socialism</t>
  </si>
  <si>
    <t>Eva Guigo-Patzelt</t>
  </si>
  <si>
    <t>Emerging Feminist Peace From Below and Disaster Recovery</t>
  </si>
  <si>
    <t>Marjaana Jauhola-Shyam Gadhavi</t>
  </si>
  <si>
    <t>Spinoza's Geographical Ethics</t>
  </si>
  <si>
    <t>Joe Gerlach</t>
  </si>
  <si>
    <t>Chilean Womenâ€™s Poetry Under Neoliberalism, 1980â€“2020</t>
  </si>
  <si>
    <t>BÃ¡rbara FernÃ¡ndez-Melleda</t>
  </si>
  <si>
    <t>Masculinities in Nigerian Fiction</t>
  </si>
  <si>
    <t>LITERARY CRITICISM / Modern / 21st Century</t>
  </si>
  <si>
    <t>Uchechukwu Peter Umezurike</t>
  </si>
  <si>
    <t>Rediscovering Greek Institutions</t>
  </si>
  <si>
    <t>Matteo Barbato-Mirko Canevaro-Alberto Esu</t>
  </si>
  <si>
    <t>Postcolonial Derrida</t>
  </si>
  <si>
    <t>PHILOSOPHY / Movements / Deconstruction</t>
  </si>
  <si>
    <t>Sean Meighoo</t>
  </si>
  <si>
    <t>Steelworkers in Struggle</t>
  </si>
  <si>
    <t>Charlie McGuire</t>
  </si>
  <si>
    <t>Emerging Technologies in Social Sciences: Opportunities and Challenges</t>
  </si>
  <si>
    <t>Sittie Maguid-Kusin Tran Minh Duc_x005F_x000D_ Wes Harven Guillemer Maravilla Dr Ravinesh Mishra</t>
  </si>
  <si>
    <t>Violent Impacts</t>
  </si>
  <si>
    <t>Kathryn Henne-Matt Ventresca</t>
  </si>
  <si>
    <t>On the Record</t>
  </si>
  <si>
    <t>LAW / Emigration &amp; Immigration</t>
  </si>
  <si>
    <t>Susan Bibler Coutin</t>
  </si>
  <si>
    <t>The Personal Life of Debt</t>
  </si>
  <si>
    <t>Ryan Davey</t>
  </si>
  <si>
    <t>Proceedings of the Smart Sustainable Development Conference 2025 (SSD 2025)</t>
  </si>
  <si>
    <t>Sharan Singh-Barry Dowdeswell-Jimmy Sun-Iman Ardekani-Farhad Mehdipour</t>
  </si>
  <si>
    <t>Bioethics</t>
  </si>
  <si>
    <t xml:space="preserve"> COMPOST Collective-Daan Kenis-Mayli Mertens-Franlu Vulliermet-Varsha Aravind Paleri-Yanni Ratajczyk-Emma Moormann-Christina Stadlbauer-Bartaku Vandeput-Nele Buyst-Lisanne Meinen-Kristien Hens-Ina Devos-Ilya Gordon Villafuerte</t>
  </si>
  <si>
    <t>A Field Guide to Cross-Cultural Research on Childhood Learning</t>
  </si>
  <si>
    <t xml:space="preserve"> Sheina Lew-Levy-Stephen Asatsa</t>
  </si>
  <si>
    <t>Der Senat von Rom</t>
  </si>
  <si>
    <t>Frank M. AusbÃ¼ttel</t>
  </si>
  <si>
    <t>MULTIDISCIPLINARY APPROACHES TO EDUCATION: PROBLEMS AND OPPORTUNITIES</t>
  </si>
  <si>
    <t>Prof. Dr. Adem BAYAR</t>
  </si>
  <si>
    <t>SAMPLE LITERATURE REVIEWS FROM DIFFERENT AREAS OF NURSING SCIENCE</t>
  </si>
  <si>
    <t>Assoc. Prof. GÃ¼lbin KONAKÃ‡</t>
  </si>
  <si>
    <t>FUNDAMENTALS OF PSYCHIATRIC NURSING</t>
  </si>
  <si>
    <t>MEDICAL / Nursing / Psychiatric &amp; Mental Health</t>
  </si>
  <si>
    <t>Assoc. Prof. Merve AydÄ±n</t>
  </si>
  <si>
    <t>CONTOURS OF GLOBAL TRANSFORMATION: ESSAYS ON AI, POWER, RELIGION, ECOLOGY, AND CRISIS</t>
  </si>
  <si>
    <t>Prof. Dr. Nesrin ADA</t>
  </si>
  <si>
    <t>GREEN STRATEGIES: TRANSFORMING INNOVATIVE CONCEPTS INTO SUSTAINABILITY</t>
  </si>
  <si>
    <t>BUSINESS &amp; ECONOMICS / Green Business</t>
  </si>
  <si>
    <t>Ayten Nahide KORKMAZ</t>
  </si>
  <si>
    <t>THE PROBLEMS OF HUMANITIES AND SOCIAL SCIENCES VOLUME 2 (2) 2025</t>
  </si>
  <si>
    <t>Dr. Baha Ahmet Yilmaz-Dr. Farahila Babayeva-Shukurova-Assoc. Prof. Dr. Elvin Talishinsky</t>
  </si>
  <si>
    <t>NURSING IN ALL AREAS: CARE, EDUCATION AND INNOVATION</t>
  </si>
  <si>
    <t>Asisst Prof. Dr. Dilek Ã‡EÃ‡EN Ã‡AMLI-Asisst Prof. Dr. Ã‡iÄŸdem Gamze Ã–ZKAN</t>
  </si>
  <si>
    <t>The Problems of Humanities and Social Sciences Volume 1 (1) 2025</t>
  </si>
  <si>
    <t>Embodied Entanglements: Gender, Identity, and the Corporeal in Asia</t>
  </si>
  <si>
    <t>ZawiszovÃ¡ Halina, Strafella Giorgio, LaviÄka Martin (eds.)</t>
  </si>
  <si>
    <t>Investigation in the Creep-Fatigue Coupled Effect of Rock Salt</t>
  </si>
  <si>
    <t>Jinyang Fan-Zongze Li-Chunhe Yang-Tongtao Wang</t>
  </si>
  <si>
    <t>Research Ethics and Integrity During Pandemics</t>
  </si>
  <si>
    <t>Kate Chatfield-Michelle Singh</t>
  </si>
  <si>
    <t>Transnationale Europabildung in Grenzregionen</t>
  </si>
  <si>
    <t>Matthias Busch-Julia Frisch-Leif MÃ¶nter-Anke Wegner</t>
  </si>
  <si>
    <t>Bildung im Zeitalter der groÃŸen Industrie</t>
  </si>
  <si>
    <t>Herwig Blankertz-Cristoph Porcher</t>
  </si>
  <si>
    <t>Vom Antijudaismus zum Hass auf Israel</t>
  </si>
  <si>
    <t>Stephan Grigat</t>
  </si>
  <si>
    <t>Soziale Arbeit als Akteurin im Kontext gesellschaftlicher Transformation</t>
  </si>
  <si>
    <t>Stefan Borrmann-Anne van RieÃŸen-Claudia Steckelberg</t>
  </si>
  <si>
    <t>Thematisierung von Erfahrung in der Erwachsenenbildung</t>
  </si>
  <si>
    <t>Franziska WyÃŸuwa</t>
  </si>
  <si>
    <t>Proceedings of the 2024 10th International Conference on Advances in Energy Resources and Environment Engineering (ICAESEE 2024)</t>
  </si>
  <si>
    <t>Wenzhi He-Jianwei Fan-Moses Emetere-Zafar Said</t>
  </si>
  <si>
    <t>Digital Editing and Publishing in the Twenty-first Century</t>
  </si>
  <si>
    <t xml:space="preserve"> James O'Sullivan-Michael Pidd-Sophie Whittle-Bridgette Wessels-Michael Kurzmeier-Ã“rla Murphy</t>
  </si>
  <si>
    <t>Women Writers in the Romantic Age</t>
  </si>
  <si>
    <t xml:space="preserve"> John Claiborne Isbell</t>
  </si>
  <si>
    <t>Coral Conservation</t>
  </si>
  <si>
    <t>NATURE / Ecosystems &amp; Habitats / Oceans &amp; Seas</t>
  </si>
  <si>
    <t xml:space="preserve"> Ann Thornton-William H. Morgan-Eleanor K. Bladon-Rebecca K. Smith-William J. Sutherland</t>
  </si>
  <si>
    <t>Tragedy and the Witness</t>
  </si>
  <si>
    <t xml:space="preserve"> Fred Parker</t>
  </si>
  <si>
    <t>The Social Properties of Concrete</t>
  </si>
  <si>
    <t xml:space="preserve"> Eli Elinoff-Kali Rubaii</t>
  </si>
  <si>
    <t>Imagery of Hate Online</t>
  </si>
  <si>
    <t xml:space="preserve"> Matthias J. Becker-Marcus Scheiber-Uffa Jensen</t>
  </si>
  <si>
    <t>Rhythm and Vigilance</t>
  </si>
  <si>
    <t>Vita Peacock-Mikkel Kenni Bruun-Claire Elisabeth Dungey-Matan Shapiro</t>
  </si>
  <si>
    <t>Global Development and Environment</t>
  </si>
  <si>
    <t>Joe Williams-James Duminy</t>
  </si>
  <si>
    <t>Proceedings of the 6th Annual Conference of Engineering and Implementation on Vocational Education (ACEIVE 2024)</t>
  </si>
  <si>
    <t>Kinanti Wijaya-Muhammad Dominique Mendoza-Olnes Yosefa Hutajulu</t>
  </si>
  <si>
    <t>Proceedings of the 2024 2nd International Conference on Economic Management, Financial Innovation and Public Service (EMFIPS 2024)</t>
  </si>
  <si>
    <t>Peng Dou-Keying Zhang</t>
  </si>
  <si>
    <t>Grundbildung und Habitus</t>
  </si>
  <si>
    <t>Christopher Wimmer-Georg Tafner</t>
  </si>
  <si>
    <t>Jahrbuch fÃ¼r Kulturpolitik 2023/24</t>
  </si>
  <si>
    <t>Simon Sievers-Sophie Pfaff-Katherine Heid</t>
  </si>
  <si>
    <t>Hochschulbildung und Spiel</t>
  </si>
  <si>
    <t>Benjamin Zinger-Ann Marie Wester-Thomas BrÃ¶ker</t>
  </si>
  <si>
    <t>Ãœben und Ver_Ãœben</t>
  </si>
  <si>
    <t>ART / Diversity &amp; Multicultural</t>
  </si>
  <si>
    <t>Ulli Mayer-Andrea Ellmeier-Gerda MÃ¼ller</t>
  </si>
  <si>
    <t>Cosmopolitan Communication Studies</t>
  </si>
  <si>
    <t>Carola Richter-Melanie Radue-Christine Horz-Ishak-Anna Litvinenko-Hanan Badr-Anke Fiedler</t>
  </si>
  <si>
    <t>Die Erfindung des Zeitstrahls</t>
  </si>
  <si>
    <t>Judith Sieber</t>
  </si>
  <si>
    <t>Image</t>
  </si>
  <si>
    <t>Frauen als politisch Handelnde</t>
  </si>
  <si>
    <t>Barbara Haider-Wilson-Waltraud SchÃ¼tz</t>
  </si>
  <si>
    <t>Installationskunst rezipieren</t>
  </si>
  <si>
    <t>Sandra Winiger</t>
  </si>
  <si>
    <t>Kritik (in) der FrÃ¼hpÃ¤dagogik</t>
  </si>
  <si>
    <t>Sandra Koch-Kerstin Jergus-Barbara Lochner-Lukas Schildknecht-Maksim HÃ¼benthal</t>
  </si>
  <si>
    <t>Informationeller Pragmatismus</t>
  </si>
  <si>
    <t>David J. Krieger</t>
  </si>
  <si>
    <t>Narrating the Multispecies World</t>
  </si>
  <si>
    <t>Michaela Fenske</t>
  </si>
  <si>
    <t>Klima- und ressourcenschonende Bauwende</t>
  </si>
  <si>
    <t>Robert Kaltenbrunner</t>
  </si>
  <si>
    <t>Medialisierung der Kindheit im Nationalsozialismus</t>
  </si>
  <si>
    <t>Kristin Straube-Heinze-Carsten Heinze</t>
  </si>
  <si>
    <t>Venice, an Archipelago of Art and Ecologies</t>
  </si>
  <si>
    <t>Christina Hainzl-Cristina Baldacci-Adrian Praschl-Bichler</t>
  </si>
  <si>
    <t>Film als Theorie</t>
  </si>
  <si>
    <t>Volker Pantenburg</t>
  </si>
  <si>
    <t>Antifeminismus und ProvinzialitÃ¤t</t>
  </si>
  <si>
    <t>Johanna Niendorf-Fiona Kalkstein-Henriette Rodemerk-Charlotte HÃ¶cker</t>
  </si>
  <si>
    <t>Fair Fashion?</t>
  </si>
  <si>
    <t>BUSINESS &amp; ECONOMICS / Industries / Fashion &amp; Textile Industry</t>
  </si>
  <si>
    <t>Philipp Kenel-Phyllis C. Sawall-Lina Pfeifer-Uwe Bettig-Johanna Michel</t>
  </si>
  <si>
    <t>Musik und SuizidalitÃ¤t</t>
  </si>
  <si>
    <t xml:space="preserve">MUSIC / Philosophy &amp; Social Aspects </t>
  </si>
  <si>
    <t>Julia Heimerdinger-Hannah Riedl-Thomas Stegemann</t>
  </si>
  <si>
    <t>Plattformen fÃ¼r Bildung</t>
  </si>
  <si>
    <t>Sandra Hofhues-Julia SchÃ¼tz</t>
  </si>
  <si>
    <t>Datenfabrik YouTube</t>
  </si>
  <si>
    <t>Thilo RÃ¶sch</t>
  </si>
  <si>
    <t>Families Affected by Addiction</t>
  </si>
  <si>
    <t>Gallus Bischof-Richard Velleman-Jim Orford-Abhijit Nadkarni-Marcela Tiburcio</t>
  </si>
  <si>
    <t>Placing the Future</t>
  </si>
  <si>
    <t>Johannes GlÃ¼ckler-Matthias Garschagen-Robert Panitz</t>
  </si>
  <si>
    <t>Evolving Perspectives</t>
  </si>
  <si>
    <t>AndrÃ¡s NÃ©meth-Imre Garai-Lajos SomogyvÃ¡ri-ZoltÃ¡n AndrÃ¡s SzabÃ³</t>
  </si>
  <si>
    <t>Proceedings of the Sustainability in Emerging Economies - Integrating Business Excellence in Management Education (SEE-IBEME-2024)</t>
  </si>
  <si>
    <t>Rohit Sindhwani-Jyotsna Bhatnagar-Ritu Srivastava-Neera Jain-Ruchi Agarwal</t>
  </si>
  <si>
    <t>Rechtszuweisung und Rechtsschutz bei der erbrechtlichen Auflage</t>
  </si>
  <si>
    <t>Niklas Schmelzeisen</t>
  </si>
  <si>
    <t>From Kosovo to Darfur</t>
  </si>
  <si>
    <t>Sidita Kushi</t>
  </si>
  <si>
    <t>Modern Hebrew in Israel</t>
  </si>
  <si>
    <t>Philipp Striedl</t>
  </si>
  <si>
    <t>Proceedings of Sustainability, Entrepreneurship, Equity and Digital Strategies (SEEDS 2024)</t>
  </si>
  <si>
    <t>Arpan Anand-Sreejith Balasubramanian</t>
  </si>
  <si>
    <t>Progress in Powder Based Additive Manufacturing</t>
  </si>
  <si>
    <t>Dietmar Drummer-Michael Schmidt</t>
  </si>
  <si>
    <t>Proceedings of the 2025 10th International Conference on Financial Innovation and Economic Development (ICFIED 2025)</t>
  </si>
  <si>
    <t>Maizaitulaidawati Md Husin-Tomoki Fujii-Xiaodong Lai-Azlina Binti Md Yassin</t>
  </si>
  <si>
    <t>Therapeutic Prison Art Interventions</t>
  </si>
  <si>
    <t>Sarah Tucker-Johannes M. Luetz</t>
  </si>
  <si>
    <t>Towards an Ethical Approach to Animals</t>
  </si>
  <si>
    <t>Clive Phillips</t>
  </si>
  <si>
    <t>Perspectives on Engineering Uncertainty</t>
  </si>
  <si>
    <t>TECHNOLOGY &amp; ENGINEERING / Power Resources / Nuclear</t>
  </si>
  <si>
    <t>William Nuttall-Edoardo Patelli-Ewan Smith-David Webbe-Wood-Simon Middleburgh</t>
  </si>
  <si>
    <t>War 4.0</t>
  </si>
  <si>
    <t>Deane-Peter Baker-Mark Hilborne</t>
  </si>
  <si>
    <t>Guide to the International Patent Classification (2025)</t>
  </si>
  <si>
    <t>World Intellectual Property Organization</t>
  </si>
  <si>
    <t>LAW / Intellectual Property / Patent</t>
  </si>
  <si>
    <t>Indice Mondial de lâ€™Innovation 2024 :RÃ©sumÃ©.</t>
  </si>
  <si>
    <t>LAW / Intellectual Property / General</t>
  </si>
  <si>
    <t>Ãndice Global de InovaÃ§Ã£o 2024 :Resumo executivo.</t>
  </si>
  <si>
    <t>WIPO Technology Trends: Future of Transportation.</t>
  </si>
  <si>
    <t>Guide d'utilisation de la Classification internationale des brevets (2025)</t>
  </si>
  <si>
    <t>Globaler Innovations- Index 2024 : Zusammenfassung.</t>
  </si>
  <si>
    <t>Hague Agreement Concerning the International Registration of Industrial Designs :Common Regulations (as in Force on January 1, 2025), Administrative Instructions (as in Force on April 1, 2022).</t>
  </si>
  <si>
    <t>Arrangement de La Haye concernant l'enregistrement international des dessins et modÃ¨les industriels:RÃ¨glement dâ€™exÃ©cution (en vigueur le 1er janvier 2025) / Instructions administratives (en vigueur le 1er janvier 2025).</t>
  </si>
  <si>
    <t>WIPO Technology Trends: Future of Transportation. Executive Summary</t>
  </si>
  <si>
    <t>The WIPO Academy Portfolio :Education, Training and Skills Development Programs 2025.</t>
  </si>
  <si>
    <t>Haager Jahresbericht 2024 - ZusammenfassungInternationale Anmeldung von Geschmacksmustern</t>
  </si>
  <si>
    <t>Securing Loans with Your IP Assets</t>
  </si>
  <si>
    <t>WIPO IP Facts and Figures 2024.</t>
  </si>
  <si>
    <t>Arreglo de La Haya relativo al registro internacional de dibujos y modelos industriales:Reglamento (texto en vigor el 1 de enero de 2025) / Instrucciones Administrativas (texto en vigor el 1 de enero de 2025).</t>
  </si>
  <si>
    <t>OMPI Tendances technologiques Lâ€™avenir des transports: RÃ©sumÃ©</t>
  </si>
  <si>
    <t>OMPI Tendencias de la tecnologÃ­a El futuro del transporte: Resumen</t>
  </si>
  <si>
    <t>Gender Gap in Industrial Designs of Central European and Baltic States</t>
  </si>
  <si>
    <t>Carpentier, Elodie-Nani Carlotta-Raffo, Julio</t>
  </si>
  <si>
    <t>Improvising Otherwise</t>
  </si>
  <si>
    <t xml:space="preserve"> Fatima Lahham</t>
  </si>
  <si>
    <t>Competing Metaphors for International Relations</t>
  </si>
  <si>
    <t>Riikka Kuusisto</t>
  </si>
  <si>
    <t>Proceedings of the 12th Gadjah Mada International Conference on Economics and Business (GAMAICEB 2024)</t>
  </si>
  <si>
    <t>Widya Paramita-Muhammad Ryan Sanjaya-Nurul Indarti-Fu'ad Rakhman-Leo Indra Wardhana</t>
  </si>
  <si>
    <t>Proceedings of the 3rd International Conference on Management and Business (ICOMB 2024)</t>
  </si>
  <si>
    <t>Alfiatul Maulida-Md. Mahmudul Alam-â â Mark Gabriel Wagan Aguilar</t>
  </si>
  <si>
    <t>Proceedings of the 8th FIRST 2024 International Conference on Global Innovations (FIRST-ESCSI 2024)</t>
  </si>
  <si>
    <t>Nyau Latifah Husni-Wahyu Caesarendra-Nurlaili Rahmi-Leni Novianti-Deris Stiawan</t>
  </si>
  <si>
    <t>Proceedings of the 2024 6th International Conference on Civil Architecture and Urban Engineering (ICCAUE 2024)</t>
  </si>
  <si>
    <t>Gaofeng Zhao-Guoxiong Mei-Zakiah Ahmad-Mohammad Arif Kamal</t>
  </si>
  <si>
    <t>Proceedings of the Workshop on Computation: Theory and Practice (WCTP 2024)</t>
  </si>
  <si>
    <t>Jaime Caro-Shigeki Hagihara-Shin-ya Nishizaki-Masayuki Numao-Merlin Suarez</t>
  </si>
  <si>
    <t>Proceedings of International Conference on Artificial Intelligence for Innovations in Healthcare Industries (ICSHIT 2024)</t>
  </si>
  <si>
    <t>Suman Kumar Swarnkar-Yogesh Kumar Rathore-Deepak Rao Khadatkar</t>
  </si>
  <si>
    <t>Proceedings of the 6th International Conference on Education and Social Sciences (ICESS 2024)</t>
  </si>
  <si>
    <t>Dewi Satria Elmiana-Saprizal Hadisaputra-Santi Farmasari-Lalu Rudyat Telly Savalas-Levi Geir Eidhamar</t>
  </si>
  <si>
    <t>Proceedings of the 8th FIRST 2024 International Conference on Global Innovations (FIRST-T3 2024)</t>
  </si>
  <si>
    <t>Ade Silvia Handayani-Rita Martini-Habsah binti Mohamad Sabli-Marieska Lupikawaty-Andry Meylani</t>
  </si>
  <si>
    <t>Programming Languages and Systems</t>
  </si>
  <si>
    <t>COMPUTERS / Languages / General</t>
  </si>
  <si>
    <t>Viktor Vafeiadis</t>
  </si>
  <si>
    <t>Tools and Algorithms for the Construction and Analysis of Systems</t>
  </si>
  <si>
    <t>Arie Gurfinkel-Marijn Heule</t>
  </si>
  <si>
    <t>Pediatric and Lifespan Data Science</t>
  </si>
  <si>
    <t>Louis Ehwerhemuepha-Mark Hoffman-Adam Kalawi-Terence Sanger</t>
  </si>
  <si>
    <t>Accelerating the Socio-Ecological Transition</t>
  </si>
  <si>
    <t>Mohamed Cheriet-Jean-FranÃ§ois Boucher-Luciana Gondim de Almeida GuimarÃ£es-Jean-Marc Frayret</t>
  </si>
  <si>
    <t>Foundations of Software Science and Computation Structures</t>
  </si>
  <si>
    <t>Parosh Aziz Abdulla-Delia Kesner</t>
  </si>
  <si>
    <t>Fundamental Approaches to Software Engineering</t>
  </si>
  <si>
    <t>Artur Boronat-Gordon Fraser</t>
  </si>
  <si>
    <t>Minority Memory, Identity, and Reconciliation</t>
  </si>
  <si>
    <t>GÃ¼l M GÃ¼r</t>
  </si>
  <si>
    <t>Krankenhaus-Report 2025</t>
  </si>
  <si>
    <t>JÃ¼rgen Klauber-JÃ¼rgen Wasem-Andreas Beivers-Carina Mostert-David Scheller-Kreinsen</t>
  </si>
  <si>
    <t>New Digital Work II</t>
  </si>
  <si>
    <t>Ulrike Schmuntzsch-Alexandra Shajek-Ernst Andreas Hartmann</t>
  </si>
  <si>
    <t>Systems, Smart Technologies, and Innovation for Society</t>
  </si>
  <si>
    <t>Esteban Mauricio Inga Ortega-Nuria GarcÃ­a Herranz-Vladimir Espartaco Robles-Bykbaev-Eduardo Gallego Diaz</t>
  </si>
  <si>
    <t>Afroeuropean Mobilities in Francophone African Literatures</t>
  </si>
  <si>
    <t>LITERARY CRITICISM / African</t>
  </si>
  <si>
    <t>Anna-Leena Toivanen</t>
  </si>
  <si>
    <t>Literatura y salud: vivir las humanidades, narrar las ciencias</t>
  </si>
  <si>
    <t>Gerzon Yair Calle Ãlvarez-Delio David Arango Navarro (Editors)</t>
  </si>
  <si>
    <t>Simulation Training for Obstetric Emergencies</t>
  </si>
  <si>
    <t>CÃ©cile Monod-Irene Hoesli-Samira Akra-Martina Gisin-Annkathrin Butenschoen</t>
  </si>
  <si>
    <t>Integrating Indigenous and Scientific Knowledge for Sustainable Food Systems in Africa</t>
  </si>
  <si>
    <t>Saa Dittoh-Anna Bon-Hans Akkermans</t>
  </si>
  <si>
    <t>Ecological and Digital Transition in Cities</t>
  </si>
  <si>
    <t>Francesca Moraci-Carmelina Bevilacqua-Pasquale Pizzimenti</t>
  </si>
  <si>
    <t>The Aspect-Sensitive Agent Omission in Mandarin</t>
  </si>
  <si>
    <t>Yan Zhang</t>
  </si>
  <si>
    <t>Proceedings of the 10th International Conference on Lifelong Education and Leadership for ALL (ICLEL 2024)</t>
  </si>
  <si>
    <t>Carlos Francisco de Sousa Reis-Monika Fodor-Garai-Osman Titrek</t>
  </si>
  <si>
    <t>Measuring International Economics</t>
  </si>
  <si>
    <t>Ursula Schipper-Robert Kirchner-Jens Walter</t>
  </si>
  <si>
    <t>Digitale WerkstÃ¤tten</t>
  </si>
  <si>
    <t>Konstantin Rink</t>
  </si>
  <si>
    <t>The AI City</t>
  </si>
  <si>
    <t>Siegfried Zhiqiang WU</t>
  </si>
  <si>
    <t>Rechte der Natur</t>
  </si>
  <si>
    <t>Tina Rametsteiner</t>
  </si>
  <si>
    <t>Moorings</t>
  </si>
  <si>
    <t>Nidhi Mahajan</t>
  </si>
  <si>
    <t>Praxishandbuch Inklusion in Bibliotheken</t>
  </si>
  <si>
    <t>Christiane Felsmann-Belinda Jopp-Anne Sieberns</t>
  </si>
  <si>
    <t>Understanding and Addressing Disaster Risk</t>
  </si>
  <si>
    <t>Ben Wisner-Irasema AlcÃ¡ntara-Ayala-JC Gaillard-Ilan Kelman-Victor Marchezini</t>
  </si>
  <si>
    <t>In the Global Vanguard</t>
  </si>
  <si>
    <t>Prof. James Lin</t>
  </si>
  <si>
    <t>The Architecture of â€œSociety 5.0â€</t>
  </si>
  <si>
    <t>Hitachi-UTokyo Laboratory (H-UTokyo Lab)</t>
  </si>
  <si>
    <t>Post-Mortal Status of Digital Assets and Human Rights</t>
  </si>
  <si>
    <t>Mariusz ZaÅ‚ucki</t>
  </si>
  <si>
    <t>La jubilaciÃ³n por razÃ³n de actividad y discapacidad</t>
  </si>
  <si>
    <t>Francisco Miguel Ortiz GonzÃ¡lez-Conde</t>
  </si>
  <si>
    <t>Igualdad de Trato integral para el empleo</t>
  </si>
  <si>
    <t>Marina FernÃ¡ndez RamÃ­rez</t>
  </si>
  <si>
    <t>De la litigaciÃ³n a la avenencia, Â¿Por el camino de las prÃ­mulas?</t>
  </si>
  <si>
    <t>JosÃ© Ignacio MartÃ­nez PallarÃ©s</t>
  </si>
  <si>
    <t>Transexualidad: Entre el Derecho y la Ciencia</t>
  </si>
  <si>
    <t>Jorge Salinas Mengual</t>
  </si>
  <si>
    <t>Derecho vivo de la Seguridad Social - VIII Seminario Permanente de Estudio y ActualizaciÃ³n URJC-AESSS 2023</t>
  </si>
  <si>
    <t>LAW / Securities</t>
  </si>
  <si>
    <t>GuÃ­a prÃ¡ctica sobre medidas de apoyo a las victimas de violencia de gÃ©nero y abusos sexuales</t>
  </si>
  <si>
    <t>Tiempo de trabajo y de descanso: marco normativo y criterios interpretativos</t>
  </si>
  <si>
    <t>Raquel Poquet CatalÃ¡</t>
  </si>
  <si>
    <t>Igualdad de trato y no discriminaciÃ³n en la salud y protecciÃ³n social en la era de la disrupciÃ³n digital</t>
  </si>
  <si>
    <t>FormaciÃ³n cooperativa universitaria, TransiciÃ³n y Sostenibilidad: La empleabilidad en el Ã¡mbito jurÃ­dico y social</t>
  </si>
  <si>
    <t>MarÃ­a Pilar GimÃ©nez Murugarren</t>
  </si>
  <si>
    <t>El sistema de garantÃ­as sociales de la juventud: Aspectos laborales y de Seguridad Social</t>
  </si>
  <si>
    <t>JosÃ© Luis Monereo PÃ©rez y BelÃ©n del Mar LÃ³pez Insua</t>
  </si>
  <si>
    <t>Brief Handbook on Spanish Labour Law</t>
  </si>
  <si>
    <t>MarÃ­a Salas Porras</t>
  </si>
  <si>
    <t>Estatuto Profesional y Seguridad Social de los socios trabajadores en las sociedades laborales profesionales</t>
  </si>
  <si>
    <t>Faustino Cavas MartÃ­nez, Irene EscuÃ­n IbÃ¡Ã±ez y Guillermo RodrÃ­guez Iniesta</t>
  </si>
  <si>
    <t>RelaciÃ³n sumaria y testimonio de Antonio de Contreras, escribano de Su Majestad, de la visita que ha hecho el muy magnÃ­fico seÃ±or el licenciado Lorenzo LebrÃ³n de QuiÃ±ones en la Nueva EspaÃ±a: documentos inÃ©ditos</t>
  </si>
  <si>
    <t>LAW / Judicial Power</t>
  </si>
  <si>
    <t>Cristina SÃ¡nchez-Rodas Navarro</t>
  </si>
  <si>
    <t>Cuadernos PrÃ¡cticos de Derecho Social (3Âª ediciÃ³n)</t>
  </si>
  <si>
    <t>Empleo de los jÃ³venes ante las transformaciones del mercado de trabajo: Un reto para las polÃ­ticas sociales en AndalucÃ­a en el marco Estatal y Europeo</t>
  </si>
  <si>
    <t>El modelo de regulaciÃ³n legal y convencional del trabajo a distancia en EspaÃ±a e Italia</t>
  </si>
  <si>
    <t>LAW / Legal Profession</t>
  </si>
  <si>
    <t>Sheila LÃ³pez Vico</t>
  </si>
  <si>
    <t>Indefensible Spaces</t>
  </si>
  <si>
    <t>Rahim Kurwa</t>
  </si>
  <si>
    <t>Digital Public Employment Services in Action</t>
  </si>
  <si>
    <t>Didier DemaziÃ¨re-Ray Griffin-Janine Leschke-Magnus Paulsen Hansen</t>
  </si>
  <si>
    <t>Capitalism Reloaded</t>
  </si>
  <si>
    <t>BUSINESS &amp; ECONOMICS / Economics / Social &amp; Behavioral</t>
  </si>
  <si>
    <t>Peter Bloom</t>
  </si>
  <si>
    <t>Aufstiegschancen von Frauen</t>
  </si>
  <si>
    <t>Kim Dede</t>
  </si>
  <si>
    <t>Advances in the Integration of Technology and the Built Environment</t>
  </si>
  <si>
    <t>Jiawen Han-Davide Lombardi-Alessandro Cece</t>
  </si>
  <si>
    <t>BÃ¼ndnis Sahra Wagenknecht - Vernunft und Gerechtigkeit (BSW)</t>
  </si>
  <si>
    <t>POLITICAL SCIENCE / Political Process / Campaigns &amp; Elections</t>
  </si>
  <si>
    <t>Sarah Wagner-L. Constantin Wurthmann</t>
  </si>
  <si>
    <t>Onderwijs voorbij de meritocratie: Tegendraadse beschouwingen over prestaties in het onderwijs</t>
  </si>
  <si>
    <t>Robert van Putten (ed)-Theo van der Zee (ed)</t>
  </si>
  <si>
    <t>Nijmegen &amp; Slavernij: Publiek bestuur en persoonlijk profijt, 1596-1873</t>
  </si>
  <si>
    <t>HISTORY / Europe / Benelux Countries (Belgium, Netherlands, Luxembourg)</t>
  </si>
  <si>
    <t>Luc Meijboom-Lianne Wilhelmus-Joris van den Tol-Coen van Galen</t>
  </si>
  <si>
    <t>Proceedings of the 2024 6th International Conference on Economic Management and Model Engineering (ICEMME 2024)</t>
  </si>
  <si>
    <t>Lina Zhong-Tang Yao-Chee Yoong Liew-Hongbo Li</t>
  </si>
  <si>
    <t>The Foundations of Multi-channel Neighborhood Governance</t>
  </si>
  <si>
    <t>Åukasz Damurski</t>
  </si>
  <si>
    <t>Die Finanzierung von Desinformation</t>
  </si>
  <si>
    <t>Rita Gsenger</t>
  </si>
  <si>
    <t>Predicting Inequality of Opportunity and Poverty in India Using Machine Learning</t>
  </si>
  <si>
    <t>Balwant Singh Mehta-Ravi Srivastava-Siddharth Dhote</t>
  </si>
  <si>
    <t>Secondary Use of Electronic Health Data</t>
  </si>
  <si>
    <t>Fidelia Cascini</t>
  </si>
  <si>
    <t>Bordering Social Reproduction</t>
  </si>
  <si>
    <t>Rachel Rosen-Eve Dickson</t>
  </si>
  <si>
    <t>Modellieren und Programmieren unter Verwendung der Satzstruktur natÃ¼rlicher Sprachen</t>
  </si>
  <si>
    <t>Matthes Elstermann-Albert Fleischmann-Christian Stary-Ronny Hengartner</t>
  </si>
  <si>
    <t>Social Innovation Projects for Climate Neutral Cities</t>
  </si>
  <si>
    <t>SCIENCE / Earth Sciences / Meteorology &amp; Climatology</t>
  </si>
  <si>
    <t>Sabrina Bresciani</t>
  </si>
  <si>
    <t>Nahid Persson Sarvestani</t>
  </si>
  <si>
    <t>PERFORMING ARTS / Individual Director</t>
  </si>
  <si>
    <t>Boel Ulfsdotter</t>
  </si>
  <si>
    <t>Contemporary Islamist Opposition in Morocco</t>
  </si>
  <si>
    <t>POLITICAL SCIENCE / Political Ideologies / General</t>
  </si>
  <si>
    <t>Alfonso Casani</t>
  </si>
  <si>
    <t>European University Legacies</t>
  </si>
  <si>
    <t>Peter Bille Larsen-MarkÃ©ta KÅ™Ã­Å¾ovÃ¡</t>
  </si>
  <si>
    <t>Justice in Global Economic Governance</t>
  </si>
  <si>
    <t>Axel Berger-Clara Brandi-Eszter Kollar</t>
  </si>
  <si>
    <t>Romanian Capitalism on Film</t>
  </si>
  <si>
    <t>Constantin Parvulescu-Claudiu TurcuÈ™</t>
  </si>
  <si>
    <t>Law, Leverage, and Litigation in Late Medieval Bruges</t>
  </si>
  <si>
    <t>Niels Fieremans</t>
  </si>
  <si>
    <t>Countering Misinformation in Political Reporting</t>
  </si>
  <si>
    <t>Stephen Cushion-Maria Kyriakidou</t>
  </si>
  <si>
    <t>The Cinema of Paula Markovitch</t>
  </si>
  <si>
    <t>Inela SelimoviÄ‡</t>
  </si>
  <si>
    <t>Transnational Southeast Asia</t>
  </si>
  <si>
    <t>Hannah Ming Yit Ho-Ying-kit Chan</t>
  </si>
  <si>
    <t>Proceedings of the 1st Electrical Artificial Intelligence Conference, Volume 1</t>
  </si>
  <si>
    <t>Ronghai Qu-Zhengxiang Song-Zhiming Ding-Gang Mu-Rui Xiong</t>
  </si>
  <si>
    <t>Proceedings of the International Conference on Advancements in Computing Technologies and Artificial Intelligence (COMPUTATIA 2025)</t>
  </si>
  <si>
    <t>Narayan Vyas-Amit Sharma-Anand Nayyar-Manish Shrivastava-Dankan Gowda V</t>
  </si>
  <si>
    <t>Michael Stausberg-Katharina Wilkens</t>
  </si>
  <si>
    <t>What Is Wisdom and Can It Be Taught?</t>
  </si>
  <si>
    <t>Eeva K. Kallio-PÃ¤ivi TynjÃ¤lÃ¤</t>
  </si>
  <si>
    <t>Crime, Enlightenment, and Punishment</t>
  </si>
  <si>
    <t>Stephan Sander-Faes</t>
  </si>
  <si>
    <t>(A)synchronic (Re)actions</t>
  </si>
  <si>
    <t>Marta Pallavidini</t>
  </si>
  <si>
    <t>Against the Fetishisation of Plural Time</t>
  </si>
  <si>
    <t>Nitin Sinha</t>
  </si>
  <si>
    <t>Norms of Dependency in Late Antique and Early Medieval Societies</t>
  </si>
  <si>
    <t>Martin Schermaier-Julia Winnebeck-Matthias Becher</t>
  </si>
  <si>
    <t>Das lateinische Lehrgedicht der FrÃ¼hen Neuzeit im Angesicht der Moderne</t>
  </si>
  <si>
    <t>RamunÄ— MarkeviÄiÅ«tÄ—</t>
  </si>
  <si>
    <t>Das Tagebuch des Astronomen Johann Friedrich Julius Schmidt 1862â€“1882</t>
  </si>
  <si>
    <t>Veronika FÃ¼hrer</t>
  </si>
  <si>
    <t>Proceedings of the 5th International Conference on Environmentally Sustainable Animal Industry (ICESAI 2024)</t>
  </si>
  <si>
    <t>Irida Novianti-Suyadi Suyadi-Davina Boyd-Abdel Fawaz Bagoudou-Mashitah ShikhMaidin</t>
  </si>
  <si>
    <t>Teaching and Learning with Research Cognitive Theory</t>
  </si>
  <si>
    <t>Noora J. Al-Thani-Zubair Ahmad</t>
  </si>
  <si>
    <t>Worldwide Perspectives on Geographical Indications</t>
  </si>
  <si>
    <t>Emilie Vandecandelaere-Delphine Marie-Vivien-Erik ThÃ©venod-Mottet-Maria Bouhaddane-ValÃ©rie Pieprzownik-Florence Tartanac-Ida Puzone</t>
  </si>
  <si>
    <t>Reto W., Kressig</t>
  </si>
  <si>
    <t>Energy Cluster Policies for Sustainable Industrial Transformation</t>
  </si>
  <si>
    <t>Marta Gancarczyk-Joanna Bohatkiewicz-Czaicka-Jacek Gancarczyk-Damian Tomczyk</t>
  </si>
  <si>
    <t>Proceedings of the 9th International Conference on Synergizing Sustainable Technologies and Management Practices (STAMP 2024)</t>
  </si>
  <si>
    <t>Shiv Mohan Verma-Indraneel Bose-Ankit Srivastava-Vikas Sharma</t>
  </si>
  <si>
    <t>How to Achieve Sustainable Housing?</t>
  </si>
  <si>
    <t>Nina Tynkkynen-LinnÃ©a Henriksson-BjÃ¶rn Egner-Viena Lahtinen-Julia Landrock</t>
  </si>
  <si>
    <t>Eating Words, Food in Modern Arabic Literature</t>
  </si>
  <si>
    <t>Tania Al Saadi</t>
  </si>
  <si>
    <t>Islamophobia, Anti-racism and the British Left</t>
  </si>
  <si>
    <t>Scarlet Harris</t>
  </si>
  <si>
    <t>Undoing Nothing</t>
  </si>
  <si>
    <t>Paolo Boccagni</t>
  </si>
  <si>
    <t>The Depth and Size of the European Union in a Time of War</t>
  </si>
  <si>
    <t>Per Ekman-BjÃ¶rn Lundqvist-Anna Michalski-Lars Oxelheim</t>
  </si>
  <si>
    <t>Stannaki Forum. Kunst Und Forschung Im GesprÃ¤ch</t>
  </si>
  <si>
    <t>ART / Collections, Catalogs, Exhibitions / Permanent Collections</t>
  </si>
  <si>
    <t>Staatliche Kunstsammlungen Dresden-Doreen Mende</t>
  </si>
  <si>
    <t>The Balancing Act of Working Mothers and Caring Fathers</t>
  </si>
  <si>
    <t>Meret LÃ¼tolf</t>
  </si>
  <si>
    <t>The Realities of Autonomous Weapons</t>
  </si>
  <si>
    <t>Thomas Christian BÃ¤chle-Jascha Bareis</t>
  </si>
  <si>
    <t>Creative Technologies Education</t>
  </si>
  <si>
    <t>Matt Bower-Belinda von Mengersen</t>
  </si>
  <si>
    <t>Proceedings of the 2024 6th Management Science Informatization and Economic Innovation Development Conference (MSIEID 2024)</t>
  </si>
  <si>
    <t>Manhui Huang-Vilas B. Gaikar-Md Rabiul Islam-Ivan Krumov Todorov</t>
  </si>
  <si>
    <t>Green Empowerment and High Quality Development</t>
  </si>
  <si>
    <t>CCICED</t>
  </si>
  <si>
    <t>Grey Systems Theory in Business Management | MDPI Books</t>
  </si>
  <si>
    <t>MATHEMATICS / Linear &amp; Nonlinear Programming</t>
  </si>
  <si>
    <t>Moses Olabhele Esangbedo-Jianwu Xue</t>
  </si>
  <si>
    <t>Die strafrechtliche Verantwortlichkeit von Anbietern (innerhalb) sozialer Netzwerke</t>
  </si>
  <si>
    <t>Maximilian Nussbaum</t>
  </si>
  <si>
    <t>Strategic Responsiveness</t>
  </si>
  <si>
    <t>Scott H Ainsworth-Brian M Harward-Kenneth W Moffett</t>
  </si>
  <si>
    <t>Socialist Subjectivities</t>
  </si>
  <si>
    <t>Katharine White-Scott Harrison-Jeff Hayton</t>
  </si>
  <si>
    <t>Bildung fÃ¼r nachhaltige Entwicklung: Kontroversen und Debatten</t>
  </si>
  <si>
    <t>EDUCATION / Administration / Higher</t>
  </si>
  <si>
    <t>Jana Costa-Helge Kminek-Teresa RuckelshauÃŸ-Mandy Singer-Brodowski-Johanna Weselek</t>
  </si>
  <si>
    <t>Kita-Entwicklung â€“ Verstehen, Vernetzen, VerÃ¤ndern</t>
  </si>
  <si>
    <t>Nina Hogrebe-Daniela Ulber</t>
  </si>
  <si>
    <t>Recht umkÃ¤mpft</t>
  </si>
  <si>
    <t>DFG-Forschungsgruppe â€žRecht â€“ Geschlecht â€“ KollektivitÃ¤t"</t>
  </si>
  <si>
    <t>Demenz und Bildung</t>
  </si>
  <si>
    <t>Nora Berner</t>
  </si>
  <si>
    <t>Rotorcraft Certification by Simulation and Analysis</t>
  </si>
  <si>
    <t>Gareth D. Padfield-Stefan van â€˜t Hoff-Philipp Hofmeister-Linghai Lu-Mark White</t>
  </si>
  <si>
    <t>Enhancing Water and Food Security Through Improved Agricultural Water Productivity</t>
  </si>
  <si>
    <t>Tafadzwanashe Mabhaudhi-Vimbayi G. P. Chimonyo-Aidan Senzanje-Pauline P. Chivenge</t>
  </si>
  <si>
    <t>How Republics Die</t>
  </si>
  <si>
    <t>Frederik Juliaan Vervaet-David Rafferty-Christopher J. Dart</t>
  </si>
  <si>
    <t>New Horizons in Artificial Intelligence in Libraries</t>
  </si>
  <si>
    <t>Edmund Balnaves-Leda Bultrini-Andrew Cox-Raymond Uzwyshyn</t>
  </si>
  <si>
    <t>Grenzen der KÃ¼nste im digitalen Zeitalter</t>
  </si>
  <si>
    <t>Anne Marlene Meuer-Markus Kersten-Sarah Hegenbart</t>
  </si>
  <si>
    <t>Different Aesthetics</t>
  </si>
  <si>
    <t>Annette Gerok-Reiter-JÃ¶rg Robert-Matthias Bauer-Anna Pawlak</t>
  </si>
  <si>
    <t>Negotiating the Fabric of the African University</t>
  </si>
  <si>
    <t>PatrÃ­cio Langa-David Kaldewey</t>
  </si>
  <si>
    <t>Living The Letters</t>
  </si>
  <si>
    <t>RELIGION / Judaism / Theology</t>
  </si>
  <si>
    <t>Michael Marmur</t>
  </si>
  <si>
    <t>Global Development and Cooperation with China</t>
  </si>
  <si>
    <t>Henry Huiyao Wang-Mabel Lu Miao</t>
  </si>
  <si>
    <t>Governance Networks in the Public Sector</t>
  </si>
  <si>
    <t>Erik Hans Klijn-Joop Koppenjan-Wouter Spekkink-Rianne Warsen</t>
  </si>
  <si>
    <t>Nature-Based Solutions for Urban Renewal in Post-Industrial Cities</t>
  </si>
  <si>
    <t>Silvia Barbero-Axel Timpe</t>
  </si>
  <si>
    <t>The Future of Education Policy in the State of Qatar</t>
  </si>
  <si>
    <t>Esmat Zaidan-Evren Tok-Asmaa Al-Fadala-Logan Cochrane</t>
  </si>
  <si>
    <t>Emerging Pollutants</t>
  </si>
  <si>
    <t>Sarantuyaa Zandaryaa-Ali Fares-Gabriel Eckstein</t>
  </si>
  <si>
    <t>Cultural Expertise</t>
  </si>
  <si>
    <t>Livia Holden</t>
  </si>
  <si>
    <t>Antarctica and the Earth System</t>
  </si>
  <si>
    <t>Michael P. Meredith-Jess Melbourne-Thomas-Alberto C. Naveira Garabato-Marilyn Raphael</t>
  </si>
  <si>
    <t>The Policies and Power of Public Diplomacy</t>
  </si>
  <si>
    <t>Nick Hopkinson</t>
  </si>
  <si>
    <t>Winchester in the Early Middle Ages</t>
  </si>
  <si>
    <t>HISTORY / Europe / Great Britain / Norman Conquest to Late Medieval (1066-1485)</t>
  </si>
  <si>
    <t>Martin Biddle</t>
  </si>
  <si>
    <t>Property and Piety in Early Medieval Winchester</t>
  </si>
  <si>
    <t>Alexander R. Rumble</t>
  </si>
  <si>
    <t>The People of Early Winchester</t>
  </si>
  <si>
    <t>Caroline M. Stuckert</t>
  </si>
  <si>
    <t>Object and Economy in Medieval Winchester</t>
  </si>
  <si>
    <t>The Cult of St Swithun</t>
  </si>
  <si>
    <t>Michael Lapidge</t>
  </si>
  <si>
    <t>Biological Computing</t>
  </si>
  <si>
    <t>Community Health Practitioners and Child Sexual Abuse in the Family, 1970s-2010s</t>
  </si>
  <si>
    <t>HISTORY / Europe / Great Britain / General</t>
  </si>
  <si>
    <t>Ruth Beecher</t>
  </si>
  <si>
    <t>Because COVID â€¦</t>
  </si>
  <si>
    <t>Shirley Leitch-Sally Wheeler</t>
  </si>
  <si>
    <t>Informed Machine Learning</t>
  </si>
  <si>
    <t>Daniel Schulz-Christian Bauckhage</t>
  </si>
  <si>
    <t>Machine Learning in Sports</t>
  </si>
  <si>
    <t>Keisuke Fujii</t>
  </si>
  <si>
    <t>Nuevas tecnologÃ­as aplicadas a la docencia universitaria con especial referencia a la inteligencia artificial</t>
  </si>
  <si>
    <t>VictimologÃ­a DidÃ¡ctica y Aplicada: AnÃ¡lisis de Casos</t>
  </si>
  <si>
    <t>La actividad sindical y los derechos colectivos en las relaciones laborales del siglo XXI</t>
  </si>
  <si>
    <t>JosÃ© Enrique Ruiz Saura</t>
  </si>
  <si>
    <t>La construcciÃ³n internacional y europea del Derecho Social</t>
  </si>
  <si>
    <t>La brecha de gÃ©nero en pensiones</t>
  </si>
  <si>
    <t>The Voice of the Century</t>
  </si>
  <si>
    <t>MUSIC / Genres &amp; Styles / Choral</t>
  </si>
  <si>
    <t xml:space="preserve"> Massimo Zicari</t>
  </si>
  <si>
    <t>Describing God?</t>
  </si>
  <si>
    <t>Klaus von Stosch-Lukas WiesenhÃ¼tter</t>
  </si>
  <si>
    <t>Invasion et expansion d'insectes bioagresseurs forestiers</t>
  </si>
  <si>
    <t>Symbiotic Intelligence</t>
  </si>
  <si>
    <t>Hua Chai-Ding Wen Nic Bao-Zhe Guo-Philip F. Yuan</t>
  </si>
  <si>
    <t>Practices, Perceptions and Prospects for Climate Change Education in Africa</t>
  </si>
  <si>
    <t>Marcellus Forh Mbah-Petra Molthan-Hill-Ernest L. Molua</t>
  </si>
  <si>
    <t>Potenziale von Bewegung, Spiel und Sport fÃ¼r ein gesundes Aufwachsen in Deutschland</t>
  </si>
  <si>
    <t>Dennis DreiskÃ¤mper-Ulrike Burrmann-Miriam Kehne-Nils Neuber-Bettina Rulofs</t>
  </si>
  <si>
    <t>Creativity and Critique in Digital Learning and Teaching</t>
  </si>
  <si>
    <t>Jacqueline Baxter-Helen Selby-Fell-Andrew Gilbert</t>
  </si>
  <si>
    <t>Fomenting Friendship</t>
  </si>
  <si>
    <t>Andrea Chandler</t>
  </si>
  <si>
    <t>Atlas of South Carolina</t>
  </si>
  <si>
    <t>University of South Carolina Press</t>
  </si>
  <si>
    <t>JUVENILE NONFICTION / Science &amp; Nature / Earth Sciences / Geography</t>
  </si>
  <si>
    <t>Austin Crane-Michael Mewborne-Jory Fleming</t>
  </si>
  <si>
    <t>Community and Critique</t>
  </si>
  <si>
    <t>LANGUAGE ARTS &amp; DISCIPLINES / Rhetoric</t>
  </si>
  <si>
    <t>Sara C. VanderHaagen</t>
  </si>
  <si>
    <t>Southern Shepherds, Savage Wolves</t>
  </si>
  <si>
    <t>Otis Westbrook Pickett Sr.</t>
  </si>
  <si>
    <t>Active Speech</t>
  </si>
  <si>
    <t xml:space="preserve"> Ãšna Kealy-Kate McCarthy</t>
  </si>
  <si>
    <t>InvestigaciÃ³n e innovaciÃ³n educativa. Experiencias en la era digital.</t>
  </si>
  <si>
    <t>RomÃ¡n-GravÃ¡n, Pedro (Editor)-Puig-GutiÃ©rrez, MarÃ­a (Editor)-Siles-Rojas, Carmen (Editor)-Salas-Ruiz, Sandra (Editor)</t>
  </si>
  <si>
    <t>InnovaciÃ³n global en educaciÃ³n para el cambio social.</t>
  </si>
  <si>
    <t>FernÃ¡ndez MartÃ­nez, MarÃ­a del Mar (Coordinador)-Navarro-Granados, MarÃ­a (Coordinador)-LÃ³pez Belmonte, JesÃºs (Coordinador)-PÃ©rez Esteban, MarÃ­a Dolores (Coordinador)</t>
  </si>
  <si>
    <t>Nuevas realidades: un enfoque desde el derecho.</t>
  </si>
  <si>
    <t>Cano Linares, MarÃ­a Ãngeles (Director)-Carreras Presencio, Ana Isabel (Director)</t>
  </si>
  <si>
    <t>Liderazgo, prÃ¡cticas educativas y desarrollo sostenible: Hacia nuevos horizontes.</t>
  </si>
  <si>
    <t>EDUCATION / Leadership</t>
  </si>
  <si>
    <t>Marichal Guevara, Oruam Cadex-Bernal DÃ­az, RomÃ¡n-Ruiz LuÃ­s, Mario-Barrientos PiÃ±eiro, Claudio Alejandro-Moscoso Portillo, Olga MarÃ­a-CÃ¡ceres Reche, MarÃ­a del Pilar</t>
  </si>
  <si>
    <t>InvestigaciÃ³n sobre la AtenciÃ³n Educativa y Comorbilidad en el Trastorno del Espectro Autista.</t>
  </si>
  <si>
    <t>Gallardo HerrerÃ­as, Celia-Luque de la Rosa, Antonio</t>
  </si>
  <si>
    <t>Docencia e investigaciÃ³n en la era de la inteligencia artificial. Reflexiones y aplicaciones innovadoras.</t>
  </si>
  <si>
    <t>LeoÌn-Garrido, Antonio (Editor)-GutieÌrrez-Castillo, Juan JesuÌs (Editor)-BarragÃ¡n-SÃ¡nchez, Raquel (Editor)-MartÃ­nez-PeÌrez, Sandra (Editor)</t>
  </si>
  <si>
    <t>Competencias digitales en educaciÃ³n. InnovaciÃ³n y retos en la era digital.</t>
  </si>
  <si>
    <t>GutiÃ©rrez-Castillo, Juan JesÃºs (Editor)-LeÃ³n-Garrido, Antonio (Editor)-LÃ³pez-MartÃ­nez, Antonia (Editor)-RomÃ¡n-GravÃ¡n, Pedro (Editor)</t>
  </si>
  <si>
    <t>DidÃ¡ctica de las Ciencias Sociales y perspectiva de gÃ©nero: un camino hacia el progreso.</t>
  </si>
  <si>
    <t>Rubio Navarro, Alodia (Coordinador)-Bermejo Malumbres, Eloy (Coordinador)-Piazuelo RodrÃ­guez, Ismael (Coordinador)</t>
  </si>
  <si>
    <t>Aprendizaje-servicio en la educaciÃ³n superior. AcciÃ³n transformadora y compromiso social</t>
  </si>
  <si>
    <t>Valdemoros San Emeterio, MarÃ­a Ãngeles (Coordinador)-Alonso Ruiz, Rosa Ana (Coordinador)</t>
  </si>
  <si>
    <t>InnovaciÃ³n e intervenciÃ³n en el aula: propuestas educativas para diferentes Ã¡reas y niveles educativos.</t>
  </si>
  <si>
    <t>Cubillo LeÃ³n, Rodrigo (Coordinador)-Yunta Ibarrondo, Miguel Ãngel (Coordinador)-Molina Poveda, MarÃ­a Dolores (Coordinador)</t>
  </si>
  <si>
    <t>Experiencias y prÃ¡cticas docentes: de la narrativa al aula.</t>
  </si>
  <si>
    <t>Yunta Ibarrondo, Miguel Ãngel (Coordinador)-Cubillo LeÃ³n, Rodrigo (Coordinador)-Molina Poveda, MarÃ­a Dolores (Coordinador)</t>
  </si>
  <si>
    <t>InnovaciÃ³n Educativa en el Ã¡mbito de las TIC y las TAC. Proyectos, MÃ©todos y Herramientas para el Futuro de la EducaciÃ³n</t>
  </si>
  <si>
    <t>Ravelo GarcÃ­a, Antonio G. (coord.)</t>
  </si>
  <si>
    <t>Herramientas colaborativas: un enfoque de las nuevas prÃ¡cticas para el desarrollo de la administraciÃ³n pÃºblica moderna en MÃ©xico.</t>
  </si>
  <si>
    <t>COMPUTERS / Information Technology</t>
  </si>
  <si>
    <t>Ãvila Romero, Rita-MartÃ­nez Prats, German-Murillo GonzÃ¡lez, Gilberto</t>
  </si>
  <si>
    <t>Fronteras Invisibles. InvestigaciÃ³n social de la discriminaciÃ³n residencial en personas migrantes en Murcia y Alicante</t>
  </si>
  <si>
    <t>Pina Castillo, MarÃ­a (Coordinador)</t>
  </si>
  <si>
    <t>Cuestiones constitucionales de una dÃ©cada (2014-2024).</t>
  </si>
  <si>
    <t>Figueruelo Burrieza, Ãngela (Director)-Vega GarcÃ­a, AgustÃ­n S. de (Director)-Ferrero GarcÃ­a, Emilio (Coordinador)-SÃ¡nchez HernÃ¡ndez, JosÃ© Luis (Coordinador)</t>
  </si>
  <si>
    <t>Exploraciones sobre el patrimonio y la creatividad: estudios interculturales.</t>
  </si>
  <si>
    <t>EDUCATION / Cultural Pedagogies</t>
  </si>
  <si>
    <t>JimÃ©nez GarcÃ­a, Elena (Editor)-Munilla Garrido, Carlos (Editor)-MartÃ­nez Ezquerro, Aurora (Editor)-Fuente Ballesteros, Ricardo de la (Editor)</t>
  </si>
  <si>
    <t>Programa de intervenciÃ³n basado en competencias personales para alumnos: bienestar psicosocial en educaciÃ³n secundaria.</t>
  </si>
  <si>
    <t>PÃ©rez-Fuentes, MarÃ­a del Carmen-Molero Jurado, MarÃ­a del Mar-SimÃ³n MÃ¡rquez, MarÃ­a del Mar-BarragÃ¡n MartÃ­n, Ana BelÃ©n-Martos MartÃ­nez, Ãfrica-Molina Moreno, Pablo-FernÃ¡ndez Gea, Silvia-MartÃ­nez Casanova, Elena</t>
  </si>
  <si>
    <t>Trabajos de investigaciÃ³n sobre promociÃ³n de la lectura y literatura infantil. Compendio de los trabajos Fin de MÃ¡ster del Centro de Estudios de PromociÃ³n de la lectura y la Literatura Infantil (CEPLI) 2023</t>
  </si>
  <si>
    <t>LarraÃ±aga, Elisa (Compilador)-Yubero, Santiago (Compilador)</t>
  </si>
  <si>
    <t>Nuevas dimensiones de cambio en el panorama turÃ­stico actual. Melilla como destino emergente.</t>
  </si>
  <si>
    <t>Marmolejo MartÃ­n, Juan Antonio (Coordinador)-Moral Cuadra, Salvador (Coordinador)</t>
  </si>
  <si>
    <t>Libro de Actas del III Congreso Internacional de Diversidad Sexual y GÃ©nero en la EducaciÃ³n, la FilologÃ­a y las Artes y del I Congreso Internacional de Diversidad Sexual y GÃ©nero en la PsicologÃ­a.</t>
  </si>
  <si>
    <t>SÃ¡nchez TorrejÃ³n, BegoÃ±a-Rivera Mera, CristÃ³bal-Torres FernÃ¡ndez, CristÃ³bal-Zayas GarcÃ­a, Antonio</t>
  </si>
  <si>
    <t>Discusiones de Derecho Ambiental.</t>
  </si>
  <si>
    <t>LÃ³pez Espadafor, Carlos MarÃ­a (Director)</t>
  </si>
  <si>
    <t>Logros y desafÃ­os en la inclusiÃ³n de la diversidad sexogenÃ©rica y afectiva.</t>
  </si>
  <si>
    <t>SÃ¡nchez TorrejÃ³n, BegoÃ±a-Torres FernÃ¡ndez, CristÃ³bal-Morales SÃ¡nchez, LucÃ­a-Ritacco, Paola</t>
  </si>
  <si>
    <t>Educational Innovation: Tools and Practices for Effective Learning.</t>
  </si>
  <si>
    <t>Torres FernÃ¡ndez, CristÃ³bal (Director)</t>
  </si>
  <si>
    <t>Autoconocimiento y gestiÃ³n de las emociones en educaciÃ³n. El Proyecto Social FP Naranja</t>
  </si>
  <si>
    <t>GonzÃ¡lez-Roca RÃ­os, Cristina-Mascaraque TellerÃ­a, Pilar-PeÃ±alver Alonso, Pablo-RodrÃ­guez Nieto, MÃ³nica</t>
  </si>
  <si>
    <t>Conectando la mÃºsica y la psicologÃ­a: avances en neurociencia, salud mental y bienestar comunitario.</t>
  </si>
  <si>
    <t>Lorenzo de ReizÃ¡bal, Margarita (Editor)-CorbalÃ¡n AbellÃ¡n, Maravillas (Editor)</t>
  </si>
  <si>
    <t>InnovaciÃ³n educativa, inclusiÃ³n y tecnologÃ­a. Estrategias para una sociedad accesible.</t>
  </si>
  <si>
    <t>Montenegro-Rueda, Marta (Editor)-FernÃ¡ndez-Cerero, JosÃ© (Editor)-Miravete-Gracia, MarÃ­a (Editor)-FernÃ¡ndez-Scagliusi, Victoria (Editor)</t>
  </si>
  <si>
    <t>Docencia en la era digital. Experiencias, retos e innovaciÃ³n.</t>
  </si>
  <si>
    <t>Montenegro-Rueda, Marta (Editor)-Domene-Martos, Soledad (Editor)-Llorente-Cejudo, Carmen (Editor)-Reina-Parrado, Manuel (Editor)</t>
  </si>
  <si>
    <t>Transformando la educaciÃ³n. Pensamiento computacional y robÃ³tica como motores de innovaciÃ³n.</t>
  </si>
  <si>
    <t>GutiÃ©rrez-Castillo, Juan JesÃºs (Editor)-PiÃ±ero-Virue, RocÃ­o (Editor)-LeÃ³n-Garrido, Antonio (Editor)-Montenegro-Rueda, Marta (Editor)</t>
  </si>
  <si>
    <t>TecnologÃ­a y educaciÃ³n en las sociedades del conocimiento: un enfoque multidisciplinario.</t>
  </si>
  <si>
    <t>JimÃ©nez RodrÃ­guez, JosÃ© Manuel (Director)-Ruiz DÃ­az BenÃ­tez, Juan Richard (Coordinador)</t>
  </si>
  <si>
    <t>Women-up: InnovaciÃ³n, perspectivas y avances en la equidad de gÃ©nero en el deporte.</t>
  </si>
  <si>
    <t>Albaladejo Saura, Mario DemÃ³filo (Director)</t>
  </si>
  <si>
    <t>Acciones educativas innovadoras en el Ã¡mbito universitario.</t>
  </si>
  <si>
    <t>BarragÃ¡n-SÃ¡nchez, Raquel (Coordinador)-Palacios RodrÃ­guez, Antonio (Coordinador)-LeÃ³n Garrido, Antonio (Coordinador)-FernÃ¡ndez Scagliusi, Victoria MÂª (Coordinador)</t>
  </si>
  <si>
    <t>Nuevas metodologÃ­as para la enseÃ±anza de lenguas extranjeras en el Ã¡mbito universitario.</t>
  </si>
  <si>
    <t>Hacia una educaciÃ³n digital y ciudadana. Retos y experiencias.</t>
  </si>
  <si>
    <t>Palacios-RodrÃ­guez, Antonio (Editor)-PÃ©rez-RodrÃ­guez, Noelia (Editor)-Gallego-PÃ©rez, Ã“scar (Editor)-Serrano-Hidalgo, Manuel (Editor)</t>
  </si>
  <si>
    <t>Horizontes de aprendizaje con tecnologÃ­as emergentes en el contexto educativo.</t>
  </si>
  <si>
    <t>BarragÃ¡n-SÃ¡nchez, Raquel (Editor)-FernÃ¡ndez-Cerero, JosÃ© (Editor)-PÃ©rez-RodrÃ­guez, Noelia (Editor)-Palacios-RodrÃ­guez, Antonio (Editor)</t>
  </si>
  <si>
    <t>Ãlbum ilustrado: desarrollo del lenguaje y educaciÃ³n literaria en la primera infancia.</t>
  </si>
  <si>
    <t>Gala Pellicer, Susana (Coordinador)</t>
  </si>
  <si>
    <t>Entre el text poÃ¨tic i la literatura multimodal: propostes per a formar lectors competents.</t>
  </si>
  <si>
    <t>Ballester Roca, Josep (Coordinador)-MartÃ­nez LeÃ³n, Patricia (Coordinador)</t>
  </si>
  <si>
    <t>Tendencias del visual thinking en comunicaciÃ³n.</t>
  </si>
  <si>
    <t>GarcÃ­a Martul, David (Editor)</t>
  </si>
  <si>
    <t>Nuevos debates acerca del sistema de justicia civil.</t>
  </si>
  <si>
    <t>El derecho humano al desarrollo sostenible. Concepto, fundamento, contenido y tutela</t>
  </si>
  <si>
    <t>LeÃ³n JimÃ©nez, Fernando</t>
  </si>
  <si>
    <t>Glocalidades, individuos y resistencias en la Historia de AmÃ©rica.</t>
  </si>
  <si>
    <t>Moreno Cabanillas, RocÃ­o (EdiciÃ³n)-Svriz Wucherer, Pedro Omar (EdiciÃ³n)</t>
  </si>
  <si>
    <t>Investigaciones y prÃ¡cticas innovadoras sobre las aportaciones de lo digital en los procesos de enseÃ±anza y aprendizaje de la historia.</t>
  </si>
  <si>
    <t>Rodrigues Junior, Osvaldo (Coordinador)-GarcÃ­a-MorÃ­s, Roberto (Coordinador)-RodrÃ­guez RodrÃ­guez, JesÃºs (Coordinador)</t>
  </si>
  <si>
    <t>Nuevas perspectivas de gestiÃ³n empresarial. InvestigaciÃ³n y tendencias en sostenibilidad y emprendimiento</t>
  </si>
  <si>
    <t>Bravo-SellÃ©s, Milagros (Coordinador)-GarcÃ­a-MartÃ­nez, Gabriel (Coordinador)-Mateos-Ronco, Alicia (Coordinador)-Porcuna-Enguix, Luis (Coordinador)</t>
  </si>
  <si>
    <t>Prevention and reconditioning of injuries in football association.</t>
  </si>
  <si>
    <t>Los Arcos, Asier (Coordinador)-Echeverria, IÃ±aki (Coordinador)-GonzÃ¡lez-Artetxe, Asier (Coordinador)-MartÃ­nez-Santos, RaÃºl (Coordinador)</t>
  </si>
  <si>
    <t>La prÃ¡ctica de la metodologÃ­a cualitativa.</t>
  </si>
  <si>
    <t>Escobar Fuentes, Silvia (Director)-MontalbÃ¡n PeregrÃ­n, Manuel Francisco (Director)</t>
  </si>
  <si>
    <t>Armas autÃ³nomas y responsabilidad internacional.</t>
  </si>
  <si>
    <t>Montes Toscano, Borja</t>
  </si>
  <si>
    <t>Engineering Innovations Vol. 14</t>
  </si>
  <si>
    <t>Afrooz Barnoush-Elena Gordo OdÃ©riz-JosÃ© Luis OrdÃ³Ã±ez-Ãvila-Ian McAndrew-Rizki Agam Syahputra-Ambuj Sharma-Lee Zhi</t>
  </si>
  <si>
    <t>Â»Sending Out an SOSÂ« â€“ Umweltpolitisches Engagement von Musiker*innen im anglophonen Raum (1960-2023)</t>
  </si>
  <si>
    <t>Dominik Joss</t>
  </si>
  <si>
    <t>Virtual Reality und die Frage nach Empathie</t>
  </si>
  <si>
    <t>COMPUTERS / Virtual &amp; Augmented Reality</t>
  </si>
  <si>
    <t>Francis Wagner</t>
  </si>
  <si>
    <t>Queere Geschichte(n)</t>
  </si>
  <si>
    <t>Jara Schmidt-Clara Rosa Schwarz</t>
  </si>
  <si>
    <t>Delinking and Global Reparations</t>
  </si>
  <si>
    <t>Ndongo Samba Sylla-Kai Koddenbrock</t>
  </si>
  <si>
    <t>Nationaler Sozialismus in der Weimarer Republik</t>
  </si>
  <si>
    <t>Daniel Meis</t>
  </si>
  <si>
    <t>Imaginationen des Lebensendes</t>
  </si>
  <si>
    <t>Katharina FÃ¼rholzer-Marcella Fassio-Johann-Christian PÃµder</t>
  </si>
  <si>
    <t>Designing Transformative Change</t>
  </si>
  <si>
    <t>DESIGN / History &amp; Criticism</t>
  </si>
  <si>
    <t>Bori FehÃ©r-Janka CsernÃ¡k</t>
  </si>
  <si>
    <t>IntersektionalitÃ¤t im Kunstunterricht</t>
  </si>
  <si>
    <t>Julia Matlok</t>
  </si>
  <si>
    <t>Mediating Social Challenges</t>
  </si>
  <si>
    <t>Eva Bauer-Nicole Haring-Roberta Maierhofer</t>
  </si>
  <si>
    <t>Visuelle Transformationen des Exils</t>
  </si>
  <si>
    <t>Christina Wieder</t>
  </si>
  <si>
    <t>Solidarisches Sorgen</t>
  </si>
  <si>
    <t>Tim Schumacher</t>
  </si>
  <si>
    <t>KÃ¼nstlerische Forschung zur Utopie einer vorurteilsfreien Gesellschaft</t>
  </si>
  <si>
    <t>MarÃ­a Linares</t>
  </si>
  <si>
    <t>Eigensinnige Objekte</t>
  </si>
  <si>
    <t>DESIGN / Graphic Arts / Commercial &amp; Corporate</t>
  </si>
  <si>
    <t>Patrizia Breil-Alisa Kronberger</t>
  </si>
  <si>
    <t>Computer Liberation</t>
  </si>
  <si>
    <t>COMPUTERS / History</t>
  </si>
  <si>
    <t>Jonas Frick</t>
  </si>
  <si>
    <t>Inszenierte IntermedialitÃ¤t</t>
  </si>
  <si>
    <t>Stella Chachali</t>
  </si>
  <si>
    <t>Medienkompetenz fÃ¼r die digitale Welt</t>
  </si>
  <si>
    <t>Claudia Mertens-Melanie Basten-Jule GÃ¼nter-Anna Oldak-Franziska Schaper-Anne Trapp</t>
  </si>
  <si>
    <t>Die Stadt im Ausnahmezustand</t>
  </si>
  <si>
    <t>Anna Seidel</t>
  </si>
  <si>
    <t>Die Konsolidierung der Bonner Republik in NRW</t>
  </si>
  <si>
    <t>Jasmin Grande-Melanie Lange</t>
  </si>
  <si>
    <t>Frauen in der freireligiÃ¶sen Reformbewegung</t>
  </si>
  <si>
    <t>Jasmin Jutta Wieloch</t>
  </si>
  <si>
    <t>Menschen-Pflanzen-Netzwerke</t>
  </si>
  <si>
    <t>Vanessa-Nadine Sternath-Silvie Lang-Christine Riess</t>
  </si>
  <si>
    <t>Practicing and Placing Imaginaries</t>
  </si>
  <si>
    <t>Gustavo Gutierrez Hernandez-Ulla Stackmann</t>
  </si>
  <si>
    <t>Die Verwaltung von Ungleichheit</t>
  </si>
  <si>
    <t>Christian Futter</t>
  </si>
  <si>
    <t>Gender â€“ Macht â€“ Energiewende</t>
  </si>
  <si>
    <t>Tanja MÃ¶lders-Janina Dannenberg-Theresa Herdlitschka-Martina HÃ¼lz-Katharina Kapitza</t>
  </si>
  <si>
    <t>Diakonie zwischen Inklusion und Exklusion</t>
  </si>
  <si>
    <t>Anika Christina Albert-Ulrike Witten</t>
  </si>
  <si>
    <t>Muslimische Selbstverortung in Deutschland</t>
  </si>
  <si>
    <t>Marcel Klapp</t>
  </si>
  <si>
    <t>Konglomerate Marktmacht auf digitalen MÃ¤rkten</t>
  </si>
  <si>
    <t>Cornelius C. Fischer</t>
  </si>
  <si>
    <t>Undead</t>
  </si>
  <si>
    <t>Karen Redrobe</t>
  </si>
  <si>
    <t>On Hunger</t>
  </si>
  <si>
    <t>Dana Simmons</t>
  </si>
  <si>
    <t>Humans, Dogs and Other Beings</t>
  </si>
  <si>
    <t xml:space="preserve"> Baasanjav Terbish</t>
  </si>
  <si>
    <t>The Experiences of Disabled People in Physical Education</t>
  </si>
  <si>
    <t>Wesley J. Wilson-Justin A. Haegele</t>
  </si>
  <si>
    <t>'We Are a Farming Class'</t>
  </si>
  <si>
    <t>Peter Woodley</t>
  </si>
  <si>
    <t>Landscape 4: una sintesi di elementi diacronici</t>
  </si>
  <si>
    <t>Giulia D'Alessio-Stefano De Nisi-Cesare Felici-Davide Gangale Risoleo-Stefania Pesce-Ippolita Raimondo</t>
  </si>
  <si>
    <t>A Cyborg's Father</t>
  </si>
  <si>
    <t xml:space="preserve"> Dave Brennan</t>
  </si>
  <si>
    <t>Psychological Themes in Classical Islamic Literature</t>
  </si>
  <si>
    <t>Hooman Keshavarzi-Khalid Elzamzamy-Bilal Ali Ansari-Aamir Azhar Zaidi</t>
  </si>
  <si>
    <t>Values That Pay</t>
  </si>
  <si>
    <t>Kendra Salois</t>
  </si>
  <si>
    <t>Today's TBB</t>
  </si>
  <si>
    <t>COMPUTERS / Programming / Compilers</t>
  </si>
  <si>
    <t>Michael J. Voss-James R. Reinders</t>
  </si>
  <si>
    <t>The Belt and Road Initiative</t>
  </si>
  <si>
    <t>Gao Xiang-Kostas Gouliamos-Liu Zuokui-Christos Kassimeris</t>
  </si>
  <si>
    <t>Proceedings of the 2024 3rd International Conference on Educational Science and Social Culture (ESSC 2024)</t>
  </si>
  <si>
    <t>Yongjun Feng-Wei Cui-Ye Dong-Guiyun Guan</t>
  </si>
  <si>
    <t>The French Civil Code in the Free City of Cracow (1815â€“1846)</t>
  </si>
  <si>
    <t>Andrzej Dziadzio-Mateusz Mataniak-Piotr Michalik</t>
  </si>
  <si>
    <t>Le libre-Ã©change agricole face Ã  l'urgence climatique</t>
  </si>
  <si>
    <t>LAW / Agricultural</t>
  </si>
  <si>
    <t>Sophie Grosbon</t>
  </si>
  <si>
    <t>Das Weltbild der Circular Economy und BioÃ¶konomie</t>
  </si>
  <si>
    <t>Thomas Marzi-Manfred Renner</t>
  </si>
  <si>
    <t>Presseberichterstattung im Kapitalmarktrecht</t>
  </si>
  <si>
    <t>Robin-RenÃ© Hartung</t>
  </si>
  <si>
    <t>Understanding Turbulent Systems</t>
  </si>
  <si>
    <t>Jean-Pierre Minier-Martin Ferrand-Christophe Henry</t>
  </si>
  <si>
    <t>Color, Healthcare and Bioethics</t>
  </si>
  <si>
    <t>SCIENCE / Life Sciences / Human Anatomy &amp; Physiology</t>
  </si>
  <si>
    <t xml:space="preserve"> Henk ten Have</t>
  </si>
  <si>
    <t>Î‘ncient Greek II</t>
  </si>
  <si>
    <t xml:space="preserve"> Philip S. Peek</t>
  </si>
  <si>
    <t>Hrad HlubokÃ½ na Olomoucku. PromÄ›ny panskÃ©ho sÃ­dla od biskupskÃ© rezidence po opÄ›rnÃ½ bod husitÅ¯</t>
  </si>
  <si>
    <t>Czech Academy of Sciences, Institute of Archaeology</t>
  </si>
  <si>
    <t>Petr Å½Ã¡kovskÃ½ et al.</t>
  </si>
  <si>
    <t>Germanic Communities of the â€˜Marcomannicâ€™ Settlement Zone: Structure and Dynamics</t>
  </si>
  <si>
    <t>Marek Vlach</t>
  </si>
  <si>
    <t>Ein BrandgrÃ¤berfeld aus der rÃ¶mischen Kaiserzeit in MittelbÃ¶hmen. Teil II. Analysen und Interpretationen</t>
  </si>
  <si>
    <t>Edeard Droberjar</t>
  </si>
  <si>
    <t>TÅ™ebusice. Å½Ã¡rovÃ© pohÅ™ebiÅ¡tÄ› z doby Å™Ã­mskÃ© ve stÅ™ednÃ­ch ÄŒechÃ¡ch. DÃ­l I. ArcheologickÃ© prameny</t>
  </si>
  <si>
    <t>Edeard Droberjar-Karla MotykovÃ¡</t>
  </si>
  <si>
    <t>Silicite Daggers in the Territory of the Czech and Slovak Republics</t>
  </si>
  <si>
    <t>LubomÃ­r Å ebela-AntonÃ­n PÅ™ichystal</t>
  </si>
  <si>
    <t>GombÃ­ky From MikulÄice and Their Regional and Supraregional Context</t>
  </si>
  <si>
    <t>CRAFTS &amp; HOBBIES / Metal Work</t>
  </si>
  <si>
    <t>Å Ã¡rka KrupiÄkovÃ¡</t>
  </si>
  <si>
    <t>Proceedings of the 2024 4th International Conference on Public Art and Human Development (ICPAHD 2024)</t>
  </si>
  <si>
    <t>Jiu Liu-Jinhua Zhu-Dedong Zheng-Jianfei Luo</t>
  </si>
  <si>
    <t>Proceedings of the 8th International Conference on Education Innovation (ICEI 2024)</t>
  </si>
  <si>
    <t>Ima Widiyanah-Muhammad Nurul Ashar-Ali Fakhrudin-Ahmad Abdullah Zawawi-Susan Ledger</t>
  </si>
  <si>
    <t>Wohnen in Gesundheit</t>
  </si>
  <si>
    <t>Elisabeth Wacker</t>
  </si>
  <si>
    <t>Proceedings of the 14th Arabic Conference of the Arab Union for Astronomy and Space Sciences</t>
  </si>
  <si>
    <t>Hamid M. K. Al Naimiy-Hussein M Elmehdi-Ihsan A. Shehadi</t>
  </si>
  <si>
    <t>Der Super-Imam</t>
  </si>
  <si>
    <t>Noemi Trucco</t>
  </si>
  <si>
    <t>Dementia Lab 2025: Ethics + Aesthetics in Design</t>
  </si>
  <si>
    <t>DESIGN / Industrial</t>
  </si>
  <si>
    <t>Rita Maldonado Branco-Daniela Figueiredo-Amber De Coen-Claire Craig</t>
  </si>
  <si>
    <t>Translation und Marginalisierung</t>
  </si>
  <si>
    <t>Jennifer Hagedorn-Regina Toepfer</t>
  </si>
  <si>
    <t>Quantitative Risk Management in Agricultural Business</t>
  </si>
  <si>
    <t>Hirbod Assa-Peng Liu-Simon Wang</t>
  </si>
  <si>
    <t>George Washington and American Constitutionalism</t>
  </si>
  <si>
    <t>Lightning Source (Tier 4)</t>
  </si>
  <si>
    <t>Glenn A. Phelps</t>
  </si>
  <si>
    <t>The Cult of Saints and Legitimization of Elite Power in East Central and Northern Europe up to 1300</t>
  </si>
  <si>
    <t>Pac, Grzegorz (ED)-Hope, Steffen (ED)-SigurÃ°sson, JÃ³n ViÃ°ar (ED)</t>
  </si>
  <si>
    <t>Failure of the State</t>
  </si>
  <si>
    <t>Lene Guercke</t>
  </si>
  <si>
    <t>Understanding and Developing Student Assessment Literacy</t>
  </si>
  <si>
    <t>Min Yang-Zi Yan-Lan Yang-Ying Zhan</t>
  </si>
  <si>
    <t>European Higher Education Area 2030: Bridging Realities for Tomorrowâ€™s Higher Education</t>
  </si>
  <si>
    <t>Adrian Curaj-Cezar Mihai HÃ¢j-Remus Pricopie</t>
  </si>
  <si>
    <t>Proceedings of the 1st International Conference on Lifestyle Diseases and Natural Medicine (ICOLIFEMED 2024)</t>
  </si>
  <si>
    <t>Edy Fachrial-Suhartomi Suhartomi</t>
  </si>
  <si>
    <t>Conversations on Climate: The People Behind the Science</t>
  </si>
  <si>
    <t>Gerrit Lohmann</t>
  </si>
  <si>
    <t>Nordic E-Infrastructure Tomorrow</t>
  </si>
  <si>
    <t>Abdulrahman Azab-Tomasz Malkiewicz</t>
  </si>
  <si>
    <t>Classical Civilisation and Ancient History in British Secondary Education</t>
  </si>
  <si>
    <t>Edith Hall-Arlene Holmes-Henderson</t>
  </si>
  <si>
    <t>Proceedings of the Adisutjipto Aerospace, Science and Engineering International Conference (AASEIC 2024)</t>
  </si>
  <si>
    <t>Freddy Kurniawan-Sudaryanto Sudaryanto-Fajar Khanif Rahmawati-Eli Kumolosari-Gunawan Gunawan</t>
  </si>
  <si>
    <t>Special Topics in Information Technology</t>
  </si>
  <si>
    <t>Simone Garatti</t>
  </si>
  <si>
    <t>Die â€žguten GrÃ¼ndeâ€œ politischer Partizipation im Internet</t>
  </si>
  <si>
    <t>Marco WÃ¤hner</t>
  </si>
  <si>
    <t>The Republic of Turkey and Its Unresolved Issues</t>
  </si>
  <si>
    <t>PÄ±nar DinÃ§-Olga Selin HÃ¼nler</t>
  </si>
  <si>
    <t>Weirding Landscapes</t>
  </si>
  <si>
    <t>Vesa-Pekka Herva-Aki Hakonen-Roger Norum-Oula Seitsonen-Markus FjellstrÃ¶m</t>
  </si>
  <si>
    <t xml:space="preserve">FÃ¼r alle LÃ¤nder. Deutsche Literatur im interlingualen Lizenzraum </t>
  </si>
  <si>
    <t>Alexander Nebrig</t>
  </si>
  <si>
    <t>Contingent Agencies</t>
  </si>
  <si>
    <t>ART / Subjects &amp; Themes / General</t>
  </si>
  <si>
    <t>UniversitÃ¤t fÃ¼r angewandte Kunst, Wien-Alex Arteaga-Nikolaus Gansterer</t>
  </si>
  <si>
    <t>Zugewinnausgleich im Todesfall und gesetzliches Ehegattenerbrecht</t>
  </si>
  <si>
    <t>LAW / Family Law / General</t>
  </si>
  <si>
    <t>Lukas Bela Liebermann</t>
  </si>
  <si>
    <t>Die Politische Philosophie der Staatenanerkennung</t>
  </si>
  <si>
    <t>Adis Selimi</t>
  </si>
  <si>
    <t>Die Entscheidungsfindung von Richtern</t>
  </si>
  <si>
    <t>Cara Warmuth</t>
  </si>
  <si>
    <t>Finansowanie gospodarki przez sektor bankowy. Scenariusze zdarzeÅ„</t>
  </si>
  <si>
    <t>BUSINESS &amp; ECONOMICS / Banks &amp; Banking</t>
  </si>
  <si>
    <t>Iwona Dorota Czechowska-CzesÅ‚aw LipiÅ„ski-Joanna Stawska-Joanna StÄ™piÅ„ska-Wojciech ZatoÅ„</t>
  </si>
  <si>
    <t>PrzedsiÄ™biorcy w obliczu zmian w opodatkowaniu dochodÃ³w â€“ regulacje, reformy i symulacje. Stan prawny uwzglÄ™dniajÄ…cy przepisy Polskiego Åadu</t>
  </si>
  <si>
    <t>BUSINESS &amp; ECONOMICS / Taxation / Small Business</t>
  </si>
  <si>
    <t>Aleksander Buczkowski-Joanna Fila-ElÅ¼bieta Grzegorczyk</t>
  </si>
  <si>
    <t>Partycypacyjna adaptacja miast do zmian klimatu. Przewodnik skutecznego wspÃ³Å‚dziaÅ‚ania wÅ‚adz samorzÄ…dowych i mieszkaÅ„cÃ³w miast</t>
  </si>
  <si>
    <t>Agnieszka RzeÅ„ca-Ewa Boryczka-Agata BurliÅ„ska-Kamil BrzeziÅ„ski-Tomasz Jurczak-Klaudia KamiÅ„ska-Aneta KrzewiÅ„ska-Aleksandra Nowakowska-Anna Wasiak</t>
  </si>
  <si>
    <t>WpÅ‚yw zmian demograficznych na wzorce konsumpcji gospodarstw domowych w Polsce</t>
  </si>
  <si>
    <t>Katarzyna Walerysiak-Grzechowska</t>
  </si>
  <si>
    <t>Implementacja wymogu MREL do sektora bankowego</t>
  </si>
  <si>
    <t>Iwona D. Czechowska-CzesÅ‚aw LipiÅ„ski-Joanna M. Stawska-Joanna StÄ™piÅ„ska-Wojciech ZatoÅ„-Marcin Borys</t>
  </si>
  <si>
    <t>Interes publiczny i ochrona klienta w przymusowej restrukturyzacji banku</t>
  </si>
  <si>
    <t>Andrzej R. StopczyÅ„ski</t>
  </si>
  <si>
    <t>Eufemizmy i hiperbole jako Å›rodki perswazyjno-manipulacyjne (na materiale cyfrowych wersji polskich tygodnikÃ³w opinii)</t>
  </si>
  <si>
    <t>Aleksandra Kujawiak</t>
  </si>
  <si>
    <t>Gesprochenes Deutsch heute</t>
  </si>
  <si>
    <t>Adriano Murelli</t>
  </si>
  <si>
    <t>Lucrezio E Il Criterio Di VeritÃ  Epicureo</t>
  </si>
  <si>
    <t>Chiara Rover</t>
  </si>
  <si>
    <t>Affirmation und Kritik des modernen Zeitregimes bei Friedrich Schiller, Heinrich Heine und Gottfried Keller</t>
  </si>
  <si>
    <t>Florian Trabert</t>
  </si>
  <si>
    <t>ReligiÃ¶se Traditionen zwischen Traditionalismus und Moderne</t>
  </si>
  <si>
    <t>Patrick Ebert</t>
  </si>
  <si>
    <t>Female Authority and Holiness in Early and Medieval Christianity</t>
  </si>
  <si>
    <t>RELIGION / Christianity / History</t>
  </si>
  <si>
    <t>Maria Dellâ€™Isola</t>
  </si>
  <si>
    <t>AI and Language in the Urban Context</t>
  </si>
  <si>
    <t>Richard Coyne</t>
  </si>
  <si>
    <t>Process Mining Workshops</t>
  </si>
  <si>
    <t>Andrea Delgado-Tijs Slaats</t>
  </si>
  <si>
    <t>Public Governance and Emerging Technologies</t>
  </si>
  <si>
    <t>Jurgen Goossens-Esther Keymolen-Antonia StanojeviÄ‡</t>
  </si>
  <si>
    <t>Life Cycle Analysis Based on Nanoparticles Applied to the Construction Industry</t>
  </si>
  <si>
    <t>Pilar Mercader-Moyano-Paula Porras-Pereira</t>
  </si>
  <si>
    <t>Digitalbaukasten fÃ¼r kompetenzorientiertes Selbststudium</t>
  </si>
  <si>
    <t>Roland KÃ¼stermann-Anne Schreiber-AndrÃ© Mersch-Yvonne Fischer-Matthias Kunkel</t>
  </si>
  <si>
    <t>Proceedings of the 1st International Conference on Creativity, Technology, and Sustainability</t>
  </si>
  <si>
    <t>Djihed Berkouk-Uday Chatterjee-Tallal Abdel Karim Bouzir-Imed Ben Dhaou</t>
  </si>
  <si>
    <t>Proceedings of the 5th International Conference on Education for All (ICEDUALL 2024)</t>
  </si>
  <si>
    <t>Harun Joko Prayitno-Naufal Ishartono-Yasir Sidiq-Muhammad Syahriandi Adhantoro</t>
  </si>
  <si>
    <t>Proceedings of the 2024 International Conference on Social Sciences and Educational Development (ICOSSED 2024)</t>
  </si>
  <si>
    <t>Engineering Chemistry Vol. 9</t>
  </si>
  <si>
    <t>Patrizia Bocchetta-Citlalli Gaona-Tiburcio-Bima Prihasto</t>
  </si>
  <si>
    <t>Satirical Tibet</t>
  </si>
  <si>
    <t>Timothy Thurston</t>
  </si>
  <si>
    <t>Dregs</t>
  </si>
  <si>
    <t>Laura McLauchlan</t>
  </si>
  <si>
    <t>One Thing Follows Another</t>
  </si>
  <si>
    <t>PERFORMING ARTS / Dance / Modern</t>
  </si>
  <si>
    <t xml:space="preserve"> Sarah Rosenthal-Valerie Witte</t>
  </si>
  <si>
    <t>Science Communication and Trust</t>
  </si>
  <si>
    <t>Antoinette Fage-Butler-Loni Ledderer-Kristian H. Nielsen</t>
  </si>
  <si>
    <t>Integrating Climate Risks in Bank Risk Management and Capital Requirements</t>
  </si>
  <si>
    <t>Alix Auzepy-Christina E. Bannier</t>
  </si>
  <si>
    <t>Gas Explosion and Its Protection Technology in Process Industries</t>
  </si>
  <si>
    <t>Zhirong Wang-Xingyan Cao</t>
  </si>
  <si>
    <t>Enveloping Worlds</t>
  </si>
  <si>
    <t>E.B. Hunter-Scott Magelssen</t>
  </si>
  <si>
    <t>Proceedings of the International Conference on Advances in Humanities, Education and Language (ICEL 2024)</t>
  </si>
  <si>
    <t>Proceedings of the International Conference on Education Practice (ICEP 2024)</t>
  </si>
  <si>
    <t>Suprihatin Suprihatin-Rahmah Novianti-Anggi Citra Apriliana-Nararia Hutama Putra-Leliana Lianty</t>
  </si>
  <si>
    <t>Special Olympics Oral History Volume 4</t>
  </si>
  <si>
    <t>William P. Alford-Mei Liao-Fengming Cui</t>
  </si>
  <si>
    <t>Urban Morphology Versus Urban Redevelopment and Revitalisation</t>
  </si>
  <si>
    <t>MaÅ‚gorzata Hanzl-Anna Agata Kantarek-Artur ZaguÅ‚a-Åukasz Musiaka-Tomasz Figlus</t>
  </si>
  <si>
    <t>Childrenâ€™s Rights-Based Indicators</t>
  </si>
  <si>
    <t>Ziba Vaghri-Roberta Ruggiero-Gerison Lansdown</t>
  </si>
  <si>
    <t>Orientierungsmuster und Beanspruchungserleben in der Pflege</t>
  </si>
  <si>
    <t>Bianca Leufgen</t>
  </si>
  <si>
    <t>Zheng: Eine lebendige Tradition</t>
  </si>
  <si>
    <t>Ruirui Ye</t>
  </si>
  <si>
    <t>The Arabic Fable</t>
  </si>
  <si>
    <t>Ulrich Marzolph</t>
  </si>
  <si>
    <t>Changing Assessment</t>
  </si>
  <si>
    <t>Conrad Hughes</t>
  </si>
  <si>
    <t>Music, Religion and Politics at Worcester Cathedral, 680-1950</t>
  </si>
  <si>
    <t xml:space="preserve"> Richard Newsholme</t>
  </si>
  <si>
    <t>CriticitÃ  nella comunicazione interculturale tra spagnoli e italiani | Puntos crÃ­ticos en la comunicaciÃ³n intercultural entre espaÃ±oles e italianos</t>
  </si>
  <si>
    <t>Fondazione UniversitÃ  Ca' Foscari</t>
  </si>
  <si>
    <t>Fabio Caon-Carlos Alberto Melero RodrÃ­guez-Valeria Tonioli</t>
  </si>
  <si>
    <t>Lâ€™anomalie nÃ©cessaire</t>
  </si>
  <si>
    <t>Marcella Farioli</t>
  </si>
  <si>
    <t>Osservatorio Nazionale sulle reti dâ€™impresa 2023</t>
  </si>
  <si>
    <t>Anna Cabigiosu</t>
  </si>
  <si>
    <t>Osservatorio sulle trasformazioni dellâ€™ecosistema automotive italiano 2023</t>
  </si>
  <si>
    <t>Giuseppe Giulio Calabrese-Anna Moretti-Francesco Zirpoli</t>
  </si>
  <si>
    <t>Osservatorio sulle trasformazioni dellâ€™ecosistema automotive italiano 2024</t>
  </si>
  <si>
    <t>METra 2</t>
  </si>
  <si>
    <t>Andrea Rodighiero-Anna Maganuco-Margherita Nimis-Giacomo Scavello</t>
  </si>
  <si>
    <t>UspoÅ‚ecznienie rynku: oksymoron czy koniecznoÅ›Ä‡? Studium SpoÅ‚ecznej Gospodarki Rynkowej</t>
  </si>
  <si>
    <t>Anna ZÄ…bkowicz</t>
  </si>
  <si>
    <t>La causalidad: una exploraciÃ³n multidisciplinar sobre los eventos causales</t>
  </si>
  <si>
    <t>Andrea AriÃ±o Bizarro</t>
  </si>
  <si>
    <t>Partido a partido</t>
  </si>
  <si>
    <t>Ignacio Arroyo HernÃ¡ndez-Piero Renato Costa LeÃ³n</t>
  </si>
  <si>
    <t>Poems from the Diaspora: An Armenian Odyssey | Poesie dalla Diaspora: unâ€™odissea armena</t>
  </si>
  <si>
    <t>Alan Whitehorn-Sona Haroutyunian</t>
  </si>
  <si>
    <t>Building Common Ground</t>
  </si>
  <si>
    <t>Emiliano Guaraldo</t>
  </si>
  <si>
    <t>Manthos Ioannou, Storia della sciagura e schiavitÃ¹ della Morea</t>
  </si>
  <si>
    <t>Eugenia Liosatou</t>
  </si>
  <si>
    <t>Lâ€™esperienza Uni4Justice e le prospettive future</t>
  </si>
  <si>
    <t>Stefano Campostrini-Roberto Senigaglia</t>
  </si>
  <si>
    <t>Traduction humaine et traitement automatique des langues</t>
  </si>
  <si>
    <t>Nicolas Froeliger-Claire Larsonneur-Giuseppe Sofo</t>
  </si>
  <si>
    <t>VulnerabilitÃ  in migrazione</t>
  </si>
  <si>
    <t>Giulia Garofalo Geymonat-Sabrina Marchetti-Alice Morino Baquetto</t>
  </si>
  <si>
    <t>Trasparenza e prevenzione della corruzione nel nuovo codice dei contratti pubblici</t>
  </si>
  <si>
    <t>POLITICAL SCIENCE / Corruption &amp; Misconduct</t>
  </si>
  <si>
    <t>Fonderico Giuliano</t>
  </si>
  <si>
    <t>Imprese e mercato: sfide e opportunitÃ  negli anni del Green Deal</t>
  </si>
  <si>
    <t>Pietro Lanzini</t>
  </si>
  <si>
    <t>Libri, storie, persone e parole fra Venezia e la Grecia</t>
  </si>
  <si>
    <t>Eugenia Liosatou-Francesco Scalora</t>
  </si>
  <si>
    <t>Traiettorie di sviluppo per le imprese agroalimentari: sfide, management e innovazione</t>
  </si>
  <si>
    <t>Vladi Finotto-Christine Mauracher</t>
  </si>
  <si>
    <t>Lâ€™episcopato del Triveneto al Vaticano II</t>
  </si>
  <si>
    <t>Giovanni Vian</t>
  </si>
  <si>
    <t>Karl von Zinzendorf, Tagebuch einer kommerziellen Studienreise durch die Schweiz</t>
  </si>
  <si>
    <t>LITERARY COLLECTIONS / Diaries &amp; Journals</t>
  </si>
  <si>
    <t>Helmut Watzlawick</t>
  </si>
  <si>
    <t>Una sociabilitÃ  laicizzata</t>
  </si>
  <si>
    <t>Marco Fincardi</t>
  </si>
  <si>
    <t>Â«Con licenza deâ€™ SuperioriÂ»</t>
  </si>
  <si>
    <t>Flavia De Rubeis-Anna Rapetti</t>
  </si>
  <si>
    <t>La legatura dei libri antichi</t>
  </si>
  <si>
    <t>Melania Zanetti</t>
  </si>
  <si>
    <t>Building in Prehistoric Cyprus</t>
  </si>
  <si>
    <t>ARCHITECTURE / History / Prehistoric</t>
  </si>
  <si>
    <t>Marialucia Amadio</t>
  </si>
  <si>
    <t>From Exploration to Exploitation</t>
  </si>
  <si>
    <t>Luca Bombardieri</t>
  </si>
  <si>
    <t>Curatorial studies</t>
  </si>
  <si>
    <t>Guido Bartorelli-Stefania Portinari</t>
  </si>
  <si>
    <t>The Historianâ€™s Gaze</t>
  </si>
  <si>
    <t>Laura De Giorgi-Sofia Graziani</t>
  </si>
  <si>
    <t>Interpretazioni della storia in Cina</t>
  </si>
  <si>
    <t>Marina Miranda-Elisa Giunipero</t>
  </si>
  <si>
    <t>DÃ¡musta saga</t>
  </si>
  <si>
    <t>Davide Salmoiraghi</t>
  </si>
  <si>
    <t>Lingue, linguaggi e spazi: per una diversa visione del carcere e della mediazione</t>
  </si>
  <si>
    <t>Antonella Benucci-Ginevra Bonari-Viola Monaci-Orlando Paris</t>
  </si>
  <si>
    <t>La focalizzazione sulla forma nellâ€™apprendimento e nellâ€™insegnamento delle lingue straniere</t>
  </si>
  <si>
    <t>Paolo Della Putta-Elisa Ghia</t>
  </si>
  <si>
    <t>A Driving Force</t>
  </si>
  <si>
    <t>Angelica Bertoli-Giulia Gelmi-Andrea Missagia-Maria Novella Tavano</t>
  </si>
  <si>
    <t>In My End Is My Beginning</t>
  </si>
  <si>
    <t>Asia Benedetti-Angelica Bertoli-Andrea Golfetto-Maria Novella Tavano</t>
  </si>
  <si>
    <t>Francesco Soave, Riflessioni intorno allâ€™istituzione dâ€™una lingua universale</t>
  </si>
  <si>
    <t>Elisa Pernumian</t>
  </si>
  <si>
    <t>Pensare Wittgenstein</t>
  </si>
  <si>
    <t>Matteo Vagelli</t>
  </si>
  <si>
    <t>Le grammatiche del razzismo</t>
  </si>
  <si>
    <t>SOCIAL SCIENCE / Race &amp; Ethnic Relations</t>
  </si>
  <si>
    <t>Alfredo Alietti-Dario Padovan</t>
  </si>
  <si>
    <t>Crisi climatica, (im)mobilitÃ  e adattamenti</t>
  </si>
  <si>
    <t>Beatrice Ruggieri</t>
  </si>
  <si>
    <t>Gadaa Across Domains</t>
  </si>
  <si>
    <t>Marco Bassi</t>
  </si>
  <si>
    <t>Rappresentazioni di genere nel linguaggio dei TG italiani</t>
  </si>
  <si>
    <t>Monia Azzalini</t>
  </si>
  <si>
    <t>Partitive Constructions and Partitive Elements Within and Across Language Borders in Europe</t>
  </si>
  <si>
    <t>Elvira Glaser-Petra Sleeman-Thomas Strobel-Anne Tamm</t>
  </si>
  <si>
    <t>Language Attitudes and Bi(dia)lectal Competence</t>
  </si>
  <si>
    <t>Giuliana Giusti-Piergiorgio Mura-Cristina Procentese</t>
  </si>
  <si>
    <t>Heritage Languages and Variation</t>
  </si>
  <si>
    <t>Natalia Pavlou-Constantina Fotiou-Kleanthes K. Grohmann</t>
  </si>
  <si>
    <t>Lingua inclusiva: forme, funzioni, atteggiamenti e percezioni</t>
  </si>
  <si>
    <t>Anna-Maria De Cesare-Giuliana Giusti</t>
  </si>
  <si>
    <t>Le frasi derivate da movimento nei bambini con impianto cocleare</t>
  </si>
  <si>
    <t>Silvia Dâ€™Ortenzio</t>
  </si>
  <si>
    <t>Segni, gesti e parole</t>
  </si>
  <si>
    <t>LANGUAGE ARTS &amp; DISCIPLINES / Sign Language</t>
  </si>
  <si>
    <t>Lara Mantovan</t>
  </si>
  <si>
    <t>Valutazione linguistica in italiano e nella LIS e strategie di intervento</t>
  </si>
  <si>
    <t>Francesca Volpato</t>
  </si>
  <si>
    <t>Alfabeto manuale e abilitÃ  di lettura</t>
  </si>
  <si>
    <t>LANGUAGE ARTS &amp; DISCIPLINES / Reading Skills</t>
  </si>
  <si>
    <t>Beatrice Giuliano</t>
  </si>
  <si>
    <t>Insegnare la LIS e la LISt allâ€™universitÃ </t>
  </si>
  <si>
    <t>Chiara Branchini-Anna Cardinaletti-Lara Mantovan</t>
  </si>
  <si>
    <t>Sofocle, Niobe</t>
  </si>
  <si>
    <t>Leyla Ozbek</t>
  </si>
  <si>
    <t>Stesicoro á½‰Î¼Î·ÏÎ¹ÎºÏŽÏ„Î±Ï„Î¿Ï‚ e i frammenti della Gerioneide</t>
  </si>
  <si>
    <t>Elisabetta Pitotto</t>
  </si>
  <si>
    <t>Il nome e il genere</t>
  </si>
  <si>
    <t>Laura Carrara</t>
  </si>
  <si>
    <t>Paradeigmata voluntatis 2</t>
  </si>
  <si>
    <t>PHILOSOPHY / Free Will &amp; Determinism</t>
  </si>
  <si>
    <t>Elisabetta Cattanei-Stefano Maso</t>
  </si>
  <si>
    <t>In Light of Bessarionâ€™s Astronomical Manuscripts</t>
  </si>
  <si>
    <t>Alberto Bardi</t>
  </si>
  <si>
    <t>The Trial Against Atheism in Naples (1688-1697)</t>
  </si>
  <si>
    <t>Leen Spruit</t>
  </si>
  <si>
    <t>La tradizione prosimetrica in volgare da Dante a Bembo</t>
  </si>
  <si>
    <t>Matteo Favaretto</t>
  </si>
  <si>
    <t>Discorso inaugurale della Magnifica Rettrice</t>
  </si>
  <si>
    <t>Tiziana Lippiello</t>
  </si>
  <si>
    <t>Mal dâ€™aria</t>
  </si>
  <si>
    <t>TECHNOLOGY &amp; ENGINEERING / Environmental / Pollution Control</t>
  </si>
  <si>
    <t>Anna Bonfante</t>
  </si>
  <si>
    <t>Lâ€™Archivio dellâ€™UniversitÃ  Caâ€™ Foscari Venezia</t>
  </si>
  <si>
    <t>Antonella Sattin</t>
  </si>
  <si>
    <t>QamÄ«á¹£ al-á¹£Å«f wa-qiá¹£aá¹£ uá¸«rÄLa camicia di lana e altri racconti</t>
  </si>
  <si>
    <t>FICTION / Short Stories (single author)</t>
  </si>
  <si>
    <t>TawfÄ«q YÅ«suf Ê¿AwwÄd-Bishara Ebeid</t>
  </si>
  <si>
    <t>Guide to the Principal Pictures in the Academy of Fine Arts at Venice</t>
  </si>
  <si>
    <t>John Ruskin-Paul Tucker</t>
  </si>
  <si>
    <t>Il volgarizzamento della Brevis introductio ad dictamen del codice Riccardiano 2323</t>
  </si>
  <si>
    <t>LANGUAGE ARTS &amp; DISCIPLINES / Lexicography</t>
  </si>
  <si>
    <t>Cristiano Lorenzi</t>
  </si>
  <si>
    <t>Matthew Paris, i Plantageneti, la crociata</t>
  </si>
  <si>
    <t>TRAVEL / Essays &amp; Travelogues</t>
  </si>
  <si>
    <t>Bernardino Pitocchelli</t>
  </si>
  <si>
    <t>Riflessi e ombre nel Mar Bianco</t>
  </si>
  <si>
    <t>Matthias Kappler</t>
  </si>
  <si>
    <t>Time in East Asian Endangered Languages</t>
  </si>
  <si>
    <t>Elia Dal Corso-Elisabetta Ragagnin</t>
  </si>
  <si>
    <t>Tracce dâ€™arte contemporanea a Cortina dâ€™Ampezzo</t>
  </si>
  <si>
    <t>Diego Mantoan</t>
  </si>
  <si>
    <t>Dallâ€™Artico a Milano</t>
  </si>
  <si>
    <t>Marco Iezzi-Giovanni Pietrangeli</t>
  </si>
  <si>
    <t>Marconi in frammenti</t>
  </si>
  <si>
    <t>Simona Casonato</t>
  </si>
  <si>
    <t>Indexing the Early Modern Printed Image</t>
  </si>
  <si>
    <t>Barbara Tramelli</t>
  </si>
  <si>
    <t>La reina del Orthon</t>
  </si>
  <si>
    <t>Lorena CÃ³rdoba</t>
  </si>
  <si>
    <t>Mujeres migrantes y reescrituras autobiogrÃ¡ficas</t>
  </si>
  <si>
    <t>Maria Luisa Di Martino</t>
  </si>
  <si>
    <t>Lâ€™estetica del vuoto</t>
  </si>
  <si>
    <t>Silvia Rivadossi-Cecilia Franchini-Bonaventura Ruperti</t>
  </si>
  <si>
    <t>A Failing Mission?</t>
  </si>
  <si>
    <t>RELIGION / Christian Ministry / Evangelism</t>
  </si>
  <si>
    <t>Linda Zampol Dâ€™Ortia</t>
  </si>
  <si>
    <t>Philological and Linguistic Analysis Working Together</t>
  </si>
  <si>
    <t>Paolo Calvetti</t>
  </si>
  <si>
    <t>Materials and Methods of Analysis for the Study of the Ainu Language</t>
  </si>
  <si>
    <t>Elia Dal Corso</t>
  </si>
  <si>
    <t>Tangible Images</t>
  </si>
  <si>
    <t>Lauri Kitsnik</t>
  </si>
  <si>
    <t>The Subtle Meaning</t>
  </si>
  <si>
    <t>Alessia Dal Bianco</t>
  </si>
  <si>
    <t>La Fine e lâ€™Altro</t>
  </si>
  <si>
    <t>Francesco Furlan</t>
  </si>
  <si>
    <t>El poeta arquitecto</t>
  </si>
  <si>
    <t>Marisa MartÃ­nez PÃ©rsico</t>
  </si>
  <si>
    <t>Habitando un mismo suelo</t>
  </si>
  <si>
    <t>Julieta Zarco</t>
  </si>
  <si>
    <t>Literatura i violÃ¨ncies masclistes | Literatura y violencias machistas | Literature and Male Violence</t>
  </si>
  <si>
    <t>Teresa Iribarren-Montserrat Gatell Perez-Jordi Serrano-MuÃ±oz-Montserrat Clua i FainÃ©</t>
  </si>
  <si>
    <t>Mirades afectives sobre la cultura catalana contemporÃ nia</t>
  </si>
  <si>
    <t>Elisenda Marcer-Catalina Mir-Irene Mira Navarro-Margalida Pons</t>
  </si>
  <si>
    <t>La traducciÃ³n de la variaciÃ³n lingÃ¼Ã­stica en los textos literarios entre Italia y EspaÃ±a</t>
  </si>
  <si>
    <t>Claudia DemattÃ¨-Mirella Marotta Peramos</t>
  </si>
  <si>
    <t>Arquitecturas verbales y otras antigrafÃ­as</t>
  </si>
  <si>
    <t>JosÃ© JoaquÃ­n Parra BaÃ±Ã³n</t>
  </si>
  <si>
    <t>Constelaciones familiares en la narrativa iberoamericana moderna</t>
  </si>
  <si>
    <t>Ãngela CalderÃ³n Villarino-Jobst Welge</t>
  </si>
  <si>
    <t>Novela postcrisis en la EspaÃ±a plurilingÃ¼e</t>
  </si>
  <si>
    <t>Christian Claesson</t>
  </si>
  <si>
    <t>Imprenta y literatura espaÃ±ola en los siglos XVI y XVII: de las periferias al centro</t>
  </si>
  <si>
    <t>Claudia DemattÃ¨-Arantxa LlÃ cer-Marco Presotto</t>
  </si>
  <si>
    <t>Un monde partagÃ© : la Sicile du premier siÃ¨cle av. J.-C. entre Diodore et CicÃ©ron</t>
  </si>
  <si>
    <t>Stefania De Vido-CÃ©cile Durvye</t>
  </si>
  <si>
    <t>Il corpo spezzato</t>
  </si>
  <si>
    <t>HISTORY / Ancient / Egypt</t>
  </si>
  <si>
    <t>Francesca Iannarilli</t>
  </si>
  <si>
    <t>Wisdom Between East and West: Mesopotamia, Greece and Beyond</t>
  </si>
  <si>
    <t>Francesco Sironi-Maurizio Viano</t>
  </si>
  <si>
    <t>Wine Cultures</t>
  </si>
  <si>
    <t>COOKING / Beverages / Alcoholic / Wine</t>
  </si>
  <si>
    <t>Claudia Antonetti-Bryan De Notariis-Marco Enrico</t>
  </si>
  <si>
    <t>Modelling the Rhythm of Neolithisation Between the Carpathians and the Dnieper River</t>
  </si>
  <si>
    <t>Dmytro Kiosak</t>
  </si>
  <si>
    <t>The Akkadian Great Hymns and Prayers</t>
  </si>
  <si>
    <t>Geraldina Rozzi</t>
  </si>
  <si>
    <t>Byzantium and Its Neighbours</t>
  </si>
  <si>
    <t>Luisa Andriollo-Luigi D'Amelia</t>
  </si>
  <si>
    <t>100 Years of Archaeology at the University of Michigan</t>
  </si>
  <si>
    <t>Brian A. Stewart-Robin A. Beck-Tiffany C. Fryer-Michael L. Galaty-Raven Garvey-Tiffany Fryer-Hannah Hoover-John O'Shea-Alicia Ventresca-Miller</t>
  </si>
  <si>
    <t>Das Kindeswohl als Ausgangspunkt und Grenze der Elternschaft</t>
  </si>
  <si>
    <t>LAW / Family Law / Children</t>
  </si>
  <si>
    <t>Ole Lueg</t>
  </si>
  <si>
    <t>Wohnraum denen, die drin wohnen?</t>
  </si>
  <si>
    <t>Noah Thomas Neitzel</t>
  </si>
  <si>
    <t>MASTERING AGRICULTURE : YOUR ULTIMATE GUIDE TO ACING THE BOARD EXAM</t>
  </si>
  <si>
    <t>Magna Anissa Edding Aming-Hayudini-Albert R. Cabolbol-Alwajir Tuttuh-Merhama M. Sammah-Nedzfa Abdurahman Ahajani-Fatima Sheirene Muktadir-Marajuli-Neriza J. Kiram-Abey K. SobrepeÃ±a-Rasmayln Sarahan Samla-Muksidal L. Hasim-Milda M. Aming-Aldimar S. Murphy-Munib J. Baki-Ruguya J. Janing</t>
  </si>
  <si>
    <t>Tsars, Soviets, Putin</t>
  </si>
  <si>
    <t>HISTORY / Russia / Post-Soviet</t>
  </si>
  <si>
    <t>Wojciech Materski</t>
  </si>
  <si>
    <t>Tod und Trauer â€“ analog:digital</t>
  </si>
  <si>
    <t>Karina Frick-Lea GrÃ¶bel-Christina Margrit Siever</t>
  </si>
  <si>
    <t>Beyond Instrumentalised Politics</t>
  </si>
  <si>
    <t>Garrett Thomson-Scherto Gill</t>
  </si>
  <si>
    <t>50 Essentials on Science Communication</t>
  </si>
  <si>
    <t>Jean Paul Bertemes-Serge Haan-Dirk Hans</t>
  </si>
  <si>
    <t>Beyond Mimicry</t>
  </si>
  <si>
    <t>POLITICAL SCIENCE / World / African</t>
  </si>
  <si>
    <t>Ali Moussa Iye-Augustin F. C. Holl</t>
  </si>
  <si>
    <t>Herausforderung Digitalisierung</t>
  </si>
  <si>
    <t>RELIGION / Islam / Theology</t>
  </si>
  <si>
    <t>YaÅŸar SarÄ±kaya</t>
  </si>
  <si>
    <t>Architectures of Bureaucracy</t>
  </si>
  <si>
    <t>Jens van de Maele</t>
  </si>
  <si>
    <t>Data Protection and Information Privacy</t>
  </si>
  <si>
    <t>Veronika Thir-Daniela Wawra</t>
  </si>
  <si>
    <t>A Somali-Norwegian Saga</t>
  </si>
  <si>
    <t>BIOGRAPHY &amp; AUTOBIOGRAPHY / Cultural &amp; Regional</t>
  </si>
  <si>
    <t>Paul Thomas</t>
  </si>
  <si>
    <t>The Age of Neoliberal Absolutism</t>
  </si>
  <si>
    <t>Fabio Armao</t>
  </si>
  <si>
    <t>Demystifying Artificial Intelligence</t>
  </si>
  <si>
    <t>Emmanuel Gillain</t>
  </si>
  <si>
    <t>Influencer Politics</t>
  </si>
  <si>
    <t>Johanna Arnesson-Hanna Reinikainen</t>
  </si>
  <si>
    <t>Prisms of Work</t>
  </si>
  <si>
    <t>Michael RÃ¶sser</t>
  </si>
  <si>
    <t>Changing Seasonality</t>
  </si>
  <si>
    <t>Scott Bremer-Arjan Wardekker</t>
  </si>
  <si>
    <t>In Japan liegt das GlÃ¼ck auf dem Land</t>
  </si>
  <si>
    <t>Ludgera Lewerich</t>
  </si>
  <si>
    <t>Modernity and the Construction of Sacred Space</t>
  </si>
  <si>
    <t>RELIGION / Sacred Places</t>
  </si>
  <si>
    <t>Aaron French-Katharina Waldner</t>
  </si>
  <si>
    <t>Homosexuality in the German Armed Forces</t>
  </si>
  <si>
    <t>Klaus Storkmann</t>
  </si>
  <si>
    <t>The Trump Carnival</t>
  </si>
  <si>
    <t>Elizaveta Gaufman-Bharath Ganesh</t>
  </si>
  <si>
    <t>The Demise of Norse Religion</t>
  </si>
  <si>
    <t>RELIGION / Antiquities &amp; Archaeology</t>
  </si>
  <si>
    <t>Olof Sundqvist</t>
  </si>
  <si>
    <t>Latin Americaâ€™s Contested Pasts in Telenovelas and TV Series</t>
  </si>
  <si>
    <t>MÃ³nika Contreras Saiz-Stefan Rinke</t>
  </si>
  <si>
    <t>Postcolonial Theory and Crisis</t>
  </si>
  <si>
    <t>Paulo de Medeiros-Sandra Ponzanesi</t>
  </si>
  <si>
    <t>Essential Cases on the Limits of Liability</t>
  </si>
  <si>
    <t>BÃ©nÃ©dict Winiger-Bjarte Askeland-Elena Bargelli-Martin Hogg-Ernst Karner</t>
  </si>
  <si>
    <t>The Imperial QÃ­n Dynasty</t>
  </si>
  <si>
    <t>Marcel Schneider</t>
  </si>
  <si>
    <t>Die Kategorie des RÃ¤umlichen in Erkenntnistheorie und Ã„sthetik im China des 17. Jahrhunderts</t>
  </si>
  <si>
    <t>Polina Lukicheva</t>
  </si>
  <si>
    <t>Gender und Diversity in Natur-, Technik- und Planungswissenschaften</t>
  </si>
  <si>
    <t>Sahra Dornick-Petra Lucht</t>
  </si>
  <si>
    <t>Beyond Diversity</t>
  </si>
  <si>
    <t>Kazuyoshi Kawasaka-Stefan WÃ¼rrer</t>
  </si>
  <si>
    <t>Queer Pop</t>
  </si>
  <si>
    <t>Bettina Papenburg-Kathrin Dreckmann</t>
  </si>
  <si>
    <t>De Gruyter Handbook of Citizensâ€™ Assemblies</t>
  </si>
  <si>
    <t>Min Reuchamps-Julien Vrydagh-Yanina Welp</t>
  </si>
  <si>
    <t>How Computers Entered the Classroom, 1960â€“2000</t>
  </si>
  <si>
    <t>Carmen Flury-Michael Geiss</t>
  </si>
  <si>
    <t>Eugenio Coseriu</t>
  </si>
  <si>
    <t>Johannes Kabatek</t>
  </si>
  <si>
    <t>International Symposium "Technical Textiles - Present and Future". Edition 2021</t>
  </si>
  <si>
    <t>Rodica Harpa-Cristina Piroi-Adrian Buhu</t>
  </si>
  <si>
    <t>Proceedings of the 13th International Conference of Nordic Prosody</t>
  </si>
  <si>
    <t>Oliver Niebuhr-Malin Svensson Lundmark</t>
  </si>
  <si>
    <t>Beyond Inhumanity</t>
  </si>
  <si>
    <t>Scherto Gill</t>
  </si>
  <si>
    <t>Die Peinliche Halsgerichtsordnung Karls V. von 1532</t>
  </si>
  <si>
    <t>Klaus Geppert</t>
  </si>
  <si>
    <t>But There Was Love</t>
  </si>
  <si>
    <t>Michal Govrin-Dana Freibach-Heifetz-Etty BenZaken-Raya Morag</t>
  </si>
  <si>
    <t>Light Verbs</t>
  </si>
  <si>
    <t>Anna Riccio-Jens Fleischhauer</t>
  </si>
  <si>
    <t>Hacia una poÃ©tica del rap feminista</t>
  </si>
  <si>
    <t>Susana Pinilla Alba</t>
  </si>
  <si>
    <t>Buddhist Asia</t>
  </si>
  <si>
    <t>Christoph Kleine-KarÃ©nina Kollmar-Paulenz-Hubert Seiwert</t>
  </si>
  <si>
    <t>Esoteric Catholicism / Esoterischer Katholizismus</t>
  </si>
  <si>
    <t>Viktoria Vitanova-Kerber-Helmut Zander</t>
  </si>
  <si>
    <t>Mathematical Optimization for Machine Learning</t>
  </si>
  <si>
    <t>MATHEMATICS / Optimization</t>
  </si>
  <si>
    <t>Konstantin Fackeldey-Aswin Kannan-Sebastian Pokutta-Kartikey Sharma-Daniel Walter-Andrea Walther-Martin Weiser</t>
  </si>
  <si>
    <t>Historische Fach- und Wissenschaftstexte kontrastiv</t>
  </si>
  <si>
    <t>PaweÅ‚ BÄ…k-MaÅ‚gorzata GuÅ‚awska-Grzegorz PawÅ‚owski</t>
  </si>
  <si>
    <t>Tier-Mensch-Relationen</t>
  </si>
  <si>
    <t>Maria-Anna Schiffers</t>
  </si>
  <si>
    <t>The Middle East and North Africa</t>
  </si>
  <si>
    <t>Florian Zemmin-Neguin Yavari-Markus Dressler-Nurit Stadler</t>
  </si>
  <si>
    <t>Hasanuddin International Conference on Social and Political Sciences (HICOSPOS) 2024</t>
  </si>
  <si>
    <t>The 10th International Conference on Advanced Materials and Systems (ICAMS 2024)</t>
  </si>
  <si>
    <t>Advances of Philosophy in AI</t>
  </si>
  <si>
    <t>Roman Krzanowski-Teresa MarcinÃ³w</t>
  </si>
  <si>
    <t>Proceedings of the International Scientific Conference ECONOMIC POLICY</t>
  </si>
  <si>
    <t>THE 4TH EDITION OF INTERNATIONAL ON QUANTITATIVE AND QUALITATIVE METHODS FOR ECONOMICS, MANAGEMENT AND SOCIAL SCIENCES</t>
  </si>
  <si>
    <t>1ST INTERNATIONAL CONFERENCE ON CHEMICAL AND BIOLOGICAL SCIENCES (ICCBSâ€™22)</t>
  </si>
  <si>
    <t>1ST INTERNATIONAL CONFERENCE ON GEOGRAPHY AND ENVIRONMENTAL SCIENCES (ICGESâ€™22)</t>
  </si>
  <si>
    <t>3RD INTERNATIONAL CONFERENCE ON BIG DATA AND MACHINE LEARNING (BML'22)</t>
  </si>
  <si>
    <t>1ST INTERNATIONAL CONFERENCE ON PHYSICAL AND ENGINEERING SCIENCES (ICPESâ€™22)</t>
  </si>
  <si>
    <t>Thirty Years of Retail Transformation in V4 Countries</t>
  </si>
  <si>
    <t>Josef Kunc-MarkÃ©ta NovotnÃ¡-FrantiÅ¡ek KriÅ¾an-KristÃ­na BilkovÃ¡-TamÃ¡s Sikos T.-Dariusz Ilnicki-Ryan Wyeth</t>
  </si>
  <si>
    <t>The 18th Romanian Textiles and Leather Conference</t>
  </si>
  <si>
    <t>Rodica Harpa-Cristina Piroi-Adrian Buhu-LuminiÈ›a Ciobanu</t>
  </si>
  <si>
    <t>Business, Economic and Sustainability Science (BESS)</t>
  </si>
  <si>
    <t>Bagus Shandy Narmaditya</t>
  </si>
  <si>
    <t>Resilience and Economic Intelligence Through Digitalization and Big Data Analytics</t>
  </si>
  <si>
    <t>Alina Mihaela Dima</t>
  </si>
  <si>
    <t>Hasanuddin Conference on Social and Political Sciences (HICOSPOS) 2021</t>
  </si>
  <si>
    <t>Hasanuddin University , Faculty od Social and Political Sciences</t>
  </si>
  <si>
    <t>Space Is the Ultimate Luxury</t>
  </si>
  <si>
    <t>Bernard C. Moore-Luregn Lenggenhager</t>
  </si>
  <si>
    <t>Musikalische Schreibszenen</t>
  </si>
  <si>
    <t>Federico Celestini-Sarah Lutz</t>
  </si>
  <si>
    <t>Chemical Reference Materials for Oceanography</t>
  </si>
  <si>
    <t>SCIENCE / Earth Sciences / Oceanography</t>
  </si>
  <si>
    <t>Michio Aoyama-Chikako Cheong-Akihiko Murata</t>
  </si>
  <si>
    <t>Advances in Artificial Intelligence in Manufacturing II</t>
  </si>
  <si>
    <t>Kosmas Alexopoulos-Sotiris Makris-Panagiotis Stavropoulos</t>
  </si>
  <si>
    <t>Pop Music Made in SmÃ¥land</t>
  </si>
  <si>
    <t>MUSIC / Genres &amp; Styles / Pop Vocal</t>
  </si>
  <si>
    <t>Martin Knust</t>
  </si>
  <si>
    <t>Italy and the 'Shock of the Global' During the 1970s</t>
  </si>
  <si>
    <t>Guido Formigoni</t>
  </si>
  <si>
    <t>Getting Better</t>
  </si>
  <si>
    <t>Clare Bambra-Julia Lynch-Katherine E. Smith</t>
  </si>
  <si>
    <t>Nowhere to Go</t>
  </si>
  <si>
    <t>E. Fuller Torrey</t>
  </si>
  <si>
    <t>Time in Education Policy Transfer</t>
  </si>
  <si>
    <t>Gita Steiner-Khamsi</t>
  </si>
  <si>
    <t>A Comprehensive Survey of Rock Art in Upper Tibet: Volume IV</t>
  </si>
  <si>
    <t>ART / History / Prehistoric</t>
  </si>
  <si>
    <t>John Vincent Bellezza</t>
  </si>
  <si>
    <t>Bridging the Gap: Disciplines, Times, and Spaces in Dialogue â€“ Volume 2</t>
  </si>
  <si>
    <t>Nathalie Kallas</t>
  </si>
  <si>
    <t>Conversos, Power and the Intermediate Groups in Golden Age Spain</t>
  </si>
  <si>
    <t>Enrique Soria Mesa-Luis Salas Almela</t>
  </si>
  <si>
    <t>Socio-ecological-economic Reflections on the Impacts of COVID-19 in Africa</t>
  </si>
  <si>
    <t>POLITICAL SCIENCE / Public Policy / Health Care</t>
  </si>
  <si>
    <t>Willie Chinyamurindi-Philani Moyo-Sarah Mosoetsa-Himla Soodyall-Moses Basitere-Natisha Dukhi-Chioma A. John-Nsa-Lieketseng Ned-Motshedisi S. Mathibe-Aubrey Mpungose-Sithembiso L. Myeni-Sershen-Anshu Padayachee-Suveshnee Munien-Urmilla Bob-Razia Z. Adam-Natalie Gordon-Ronel Maart-Haly Holmes-Saadika Khan-Anthony T. Sibiya-Nceba Nyembezi-Dagogo W. Legg-Jack-Nhamo Mashavira-Patience Mabika-Hlengiwe Ndlovu-Lunga L. Ngogela-Justine G. Nzweundji-Innocent Awasom-Franca N. Alaribe Nnadozie-Daisy C. Nwaozuzu-Aliza le Roux-Liezel Cilliers-Moeketsi Kali-Yonas T. Bahta</t>
  </si>
  <si>
    <t>Evaluation As a Mechanism to Foster an Equitable Society in the Global South</t>
  </si>
  <si>
    <t>Steven Masvaure-Takunda J. Chirau-Candice Morkel-Caitlin B. Mapitsa-Madri Jansen van Rensburg-Umali Saidi-Jan T. Polak-Angela Heucher-Lena Taube-Lea Smidt-Rose C. Azuba-Stanford Muhomba-Khumo Pule-Lungiswa Zibi-Vongai Chibvongodze-Andiswa Neku-Tebogo Fish-Samukelisiwe Mkhize</t>
  </si>
  <si>
    <t>Skeppingsorg: â€™n Aanset tot interpretasie van sekere Bybeltekste oor die mens se verhouding tot die natuurlike omgewing</t>
  </si>
  <si>
    <t>Martin P. De Wit</t>
  </si>
  <si>
    <t>Future-proofing STEAME Education in South Africa</t>
  </si>
  <si>
    <t>Rajendran Govender-Josef de Beer-Rouaan Maarman-Rajendra Chetty-Nigel Prinsloo-Marie L. Botha-Shafiek Dinie-Keith R. Langenhoven-Elsa Mentz-Jacques Louw-Fieroza Francis-Benita P. Nel-Frances J. Wessels-Frederick (Toni) Sylvester-Gasant Gamiet-Peter PlÃ¼ddemann-Pumla Cutalele-Maqhude-Ayub Sheik-Moira C. Bladergroen-Zainoenisa Allie-Colette February-Tswakae Sebotsa-Ekaterina Rzyankina-Kaylianne Aploon-Zokufa-Trevor Moodley-Rubina Setlhare-RonÃ©l Koch-Mokgadi Moletsane-Celia Booyse-Dominique Fagan</t>
  </si>
  <si>
    <t>Scaffolding Work-integrated Learning Excursions: Enhancing Intercultural Competence, Equity and Inclusion</t>
  </si>
  <si>
    <t>Elsa Mentz-Adri Du Toit-Neal Petersen-Iman C. Chahine-Josef De Beer-Corlia Twine-Johan Botha-Ann H. MacKenzie-Gordon K. Sekano-Mmankoko Z. Ramorola-Pateka P. Jama-Rachel R. Mayimele-Hendrik Du Plessis-Annerie Kruger-Jessica Pool-Yolande Heymans-Rhea Koch-Gontse G. Mokwatsi-Annah Ndlovu Nkomo</t>
  </si>
  <si>
    <t>Who Cares? The Plight of Lone Mothers: Social Security Provision and Autonomy</t>
  </si>
  <si>
    <t>Phakama Ntshongwana</t>
  </si>
  <si>
    <t>A God Who Cares?: Reformed Perspectives on Godâ€™s Providence Amid the Shift From the Holocene to the â€œAnthropocene"</t>
  </si>
  <si>
    <t>Ernst Conradie</t>
  </si>
  <si>
    <t>Collaborative Community Partnerships Across Education Settings</t>
  </si>
  <si>
    <t>Luiza O. De Souza-MariÃ«tte P. Koen-Sandra Fourie-Lesley Wood-Stef Esterhuizen-Melissa N. Palmer-Barry Richter-Catherine (Cathy) Dzerefos-Anette Hay-Wilhelmine N. Iipinge-Pieter Swarts-Irene Muller-Prosper Lunga-Marinda Neethling-Benita Taylor-Marietha Malan</t>
  </si>
  <si>
    <t>Corporate Governance Practices Promoting the Sustainability of Small, Medium and Microenterprises in South Africa</t>
  </si>
  <si>
    <t>Sanjay Balkaran-Medicine Magocha-Martha Matashu-Herring Shava-Anthony K. Masha-Stenford Matenda-Siphenathi Fihla-Munienge Mbodila-Bulelwa Nguza-Mduba-Thobeka Ncanywa-Noluntu Dyantyi-Zukiswa Roboji-Simon M. Kangâ€™ethe-Dorah Dubihlela-Jobo Dubihlela-Kin Sibanda-Progress Hove-Sibanda_x005F_x000D_</t>
  </si>
  <si>
    <t>Diverse Educational Contexts and Research on Metacognition and Motivation to Enhance Self-directed Learning</t>
  </si>
  <si>
    <t>Bernadette Geduld-Byron J Bunt-Divan Jagals-Gideon P. van Tonder-Nicolaas van Deventer-Annalie Roux-AlvinÃ© Petzer-Christine-Marie van der Westhuizen-CornÃ© Kruger-Dorothy Laubscher-Lance R Bunt-Lineke Potgieter-Magda Kloppers-Marietjie Havenga-Mariliza Pieters-Marisa (MC) Verster-Mary M Grosser-Michael Stack-Sylvia Kashango-Tertia Jordaan-Vanishree Ragvan-Mncedisi Maphalala</t>
  </si>
  <si>
    <t>Ã‰valuation, apprentissage et numÃ©rique</t>
  </si>
  <si>
    <t>Nathalie Loye-Natacha Duroisin</t>
  </si>
  <si>
    <t>Gender-based Violence</t>
  </si>
  <si>
    <t>Cersosimo Giuseppina</t>
  </si>
  <si>
    <t>Usages des mots, usages des choses</t>
  </si>
  <si>
    <t>Lorenz E. Baumer-Manuel Royo</t>
  </si>
  <si>
    <t>Fighting for Self-Determination, Participation and Control</t>
  </si>
  <si>
    <t>CÃ©cile Druey-Murat Shogenov-Valentina Tanailova</t>
  </si>
  <si>
    <t>Communication, influence, manipulation</t>
  </si>
  <si>
    <t>Misha-Laura MÃ¼ller</t>
  </si>
  <si>
    <t>Le franc suisse:</t>
  </si>
  <si>
    <t>Jan Chiarelli</t>
  </si>
  <si>
    <t>Virtual Innovation and Support Networks</t>
  </si>
  <si>
    <t>Robert O'Dowd-Margarita Vinagre</t>
  </si>
  <si>
    <t>Les formes verbales surcomposÃ©es en franÃ§ais</t>
  </si>
  <si>
    <t>Marine Borel</t>
  </si>
  <si>
    <t>Death-related Intensifiers in the History of English</t>
  </si>
  <si>
    <t>Zeltia Blanco-SuÃ¡rez</t>
  </si>
  <si>
    <t>The Iconic Power of the Short Story</t>
  </si>
  <si>
    <t>Carmen M. Bretones Callejas</t>
  </si>
  <si>
    <t>The Impact of War and Extraordinary Situations on Law in the Context of Agression Against Ukraine</t>
  </si>
  <si>
    <t>Patrick R. Hugg-Dmytro Luchenko-Lyra JakuleviÄienÄ—</t>
  </si>
  <si>
    <t>Literaturvermittlung im virtuellen Raum</t>
  </si>
  <si>
    <t>Maren Eckart-Anneli Fjordevik-Peter Langemeyer-Corina LÃ¶we-Angela Marx Ã…berg-Birger Solheim</t>
  </si>
  <si>
    <t>Multilingual Assessment â€“ Finding the Nexus?</t>
  </si>
  <si>
    <t>Karin Vogt-Bassey Edem Antia</t>
  </si>
  <si>
    <t>Resisting the Pandemic. Better Stories and Innovation in Times of Crisis</t>
  </si>
  <si>
    <t>MarÃ­a LÃ³pez Belloso-Sara Clavero-Sofia Strid</t>
  </si>
  <si>
    <t>Panentheism and Cosmopolitanism</t>
  </si>
  <si>
    <t>Benedikt Paul GÃ¶cke</t>
  </si>
  <si>
    <t>Multimodalitaet in Wissensformaten</t>
  </si>
  <si>
    <t>Sylvia Jaki-Matthias Meiler-Jana Pflaeging-Janina Wildfeuer</t>
  </si>
  <si>
    <t>The Kaiser's Mosques</t>
  </si>
  <si>
    <t>Maximilian Hartmuth</t>
  </si>
  <si>
    <t>Las humanidades digitales en la enseÃ±anza de las literaturas hispÃ¡nicas</t>
  </si>
  <si>
    <t>Clara I. MartÃ­nez CantÃ³n-RocÃ­o OrtuÃ±o Casanova</t>
  </si>
  <si>
    <t>Educational Agency and Activism in Linguistic Landscape Studies</t>
  </si>
  <si>
    <t>Durk Gorter-Edina KrompÃ¡k</t>
  </si>
  <si>
    <t>Textbook 4.0 â€“ From Paper-Based Textbooks with Digital Components to Interactive Teaching and Learning Environments</t>
  </si>
  <si>
    <t>Almut Ketzer-NÃ¶ltge-Nicola WÃ¼rffel</t>
  </si>
  <si>
    <t>Stereotypes and Myths. Intertextuality in Central European Imagological Reflections</t>
  </si>
  <si>
    <t>Tibor Å½ilka-Anna ZelenkovÃ¡-KrisztiÃ¡n Benyovszky</t>
  </si>
  <si>
    <t>Circulation of Academic Thought</t>
  </si>
  <si>
    <t>Rafael Y. SchÃ¶gler</t>
  </si>
  <si>
    <t>Missionaries, Anthropologists, and Music in the Indonesian Archipelago</t>
  </si>
  <si>
    <t>MUSIC / Essays</t>
  </si>
  <si>
    <t>Anna Maria Busse Berger-Henry Spiller</t>
  </si>
  <si>
    <t>Annals of Scientific Society for Assembly, Handling and Industrial Robotics 2023</t>
  </si>
  <si>
    <t>Steffen Ihlenfeldt-Thorsten SchÃ¼ppstuhl-Kirsten Tracht</t>
  </si>
  <si>
    <t>The Halal Industry in Asia</t>
  </si>
  <si>
    <t>Rozaidah Idris-Mohammad Ali Tareq-Siti Fatimahwati Pehin Dato Musa-Wardah Hakimah Sumardi</t>
  </si>
  <si>
    <t>News, Media, and Communication in a Polarized World</t>
  </si>
  <si>
    <t>Dolors Palau-Sampio-Guillermo LÃ³pez-GarcÃ­a</t>
  </si>
  <si>
    <t>Emprendimiento, innovaciÃ³n y tecnologÃ­a en las organizaciones</t>
  </si>
  <si>
    <t>Ana Susana Cantillo Orozco-Anny Marlenis Pacheco ValdÃ©s-Fabio AndrÃ©s Puerta Guardo-Jorge Mario Caro Rosas-Ledy GÃ³mez Bayona-Alejandro Valencia Arias-Nancy Estella Grajales Montoya-Gustavo Moreno LÃ³pez-Elian Felipe Ome Rojas-Laura Isabella Acevedo Quintero-Wilfred FabiÃ¡n Rivera MartÃ­nez-Nicole Victoria Salinas MÃ©ndez-Fabiola Itzel Ortiz MartÃ­nez-Bertha LucÃ­a Santos HernÃ¡ndez-Ma. Loecelia Ruvalcaba SÃ¡nchez-Edgar Alfonso Sansores Guerrero-Gumaro Ãlvarez Vizcarra-Daniela Guadalupe RodrÃ­guez Corrales-Carlos Manuel ChÃ¡vez Meza-Ricardo Jimeno Espadas-Ana MarÃ­a Cuellar RodrÃ­guez / Lisandro JosÃ© Alvarado-PeÃ±a-Alejandro Arango Correa-Luis Alfredo Vega Osuna-Jaime Eduardo GonzÃ¡lez DÃ­az</t>
  </si>
  <si>
    <t>Communicating a World-in-Crisis</t>
  </si>
  <si>
    <t>Simon Cottle</t>
  </si>
  <si>
    <t>The Cognitive Impact of Contemporary Television Series</t>
  </si>
  <si>
    <t>PERFORMING ARTS / Television / General</t>
  </si>
  <si>
    <t>JesÃºs JimÃ©nez-Varea-Alberto Hermida</t>
  </si>
  <si>
    <t>Journalism in a Fractured World</t>
  </si>
  <si>
    <t>Scott A. Eldridge</t>
  </si>
  <si>
    <t>Treatment of Refractory Renal Anemia</t>
  </si>
  <si>
    <t>Bi-Cheng Liu</t>
  </si>
  <si>
    <t>Julian Huxley, Evolutionism and the History of Transhumanism</t>
  </si>
  <si>
    <t>Ingrid DunÃ©r</t>
  </si>
  <si>
    <t>Contract Farming in Developing Countries</t>
  </si>
  <si>
    <t>Sudha Narayanan</t>
  </si>
  <si>
    <t>Business and Human Rights</t>
  </si>
  <si>
    <t>Andreas R. Ziegler-Damiano Canapa-Maria Izabel Cardozo</t>
  </si>
  <si>
    <t>Lex Ad Astra</t>
  </si>
  <si>
    <t>Matthew Gillett-Katja Grunfeld-Iva RamuÅ¡ CvetkoviÄ</t>
  </si>
  <si>
    <t>W poszukiwaniu prawnego modelu samozatrudnienia w Polsce. Analiza prawnoporÃ³wnawcza</t>
  </si>
  <si>
    <t>Tomasz Duraj</t>
  </si>
  <si>
    <t>Ojczulek PuÅ›ciwiatr Paula Ransona. Satyra na klerykalizm we Francji</t>
  </si>
  <si>
    <t>Tomasz Kaczmarek</t>
  </si>
  <si>
    <t>Warsztaty z Geografii Turyzmu. Tom 14. Komu potrzebna jest turystyka?</t>
  </si>
  <si>
    <t>Marzena Makowska-Iskierka-Jolanta Wojciechowska</t>
  </si>
  <si>
    <t>Rynek surowcÃ³w energetycznych a konkurencyjnoÅ›Ä‡ gospodarki Polski</t>
  </si>
  <si>
    <t>Maciej Malaczewski-Joanna Stawska-Damian Mowczan</t>
  </si>
  <si>
    <t>Oblicza Wojny. Tom 11. SpoÅ‚eczne skutki wojen</t>
  </si>
  <si>
    <t>Tadeusz Grabarczyk-Aleksander BoÅ‚dyrew</t>
  </si>
  <si>
    <t>PoÅ‚udniowokoreaÅ„ski nacjonalizm â€“ kategoria Innego w budowaniu filmowych narracji narodowych</t>
  </si>
  <si>
    <t>Joanna Beczkowska</t>
  </si>
  <si>
    <t>Transport Accessibility and Road Network Load in Poland When Faced with Flood Hazards</t>
  </si>
  <si>
    <t>TRANSPORTATION / General</t>
  </si>
  <si>
    <t>Szymon WiÅ›niewski</t>
  </si>
  <si>
    <t>La evoluciÃ³n de los tiempos compuestos del modo subjuntivo en el espaÃ±ol de AmÃ©rica entre los aÃ±os 1701 y 2023</t>
  </si>
  <si>
    <t>Witold Sobczak</t>
  </si>
  <si>
    <t>Rola zarzÄ…dzania kontraktami w rozwoju relacji z dostawcami</t>
  </si>
  <si>
    <t>BUSINESS &amp; ECONOMICS / Purchasing &amp; Buying</t>
  </si>
  <si>
    <t>Jakub BrzeziÅ„ski</t>
  </si>
  <si>
    <t>Instytucje prawa finansowego a wartoÅ›ci konstytucyjne. KsiÄ™ga dedykowana Profesor Teresie DÄ™bowskiej-Romanowskiej</t>
  </si>
  <si>
    <t>LAW / Business &amp; Financial</t>
  </si>
  <si>
    <t>Monika Bogucka-Felczak-Tomasz Nowak-JarosÅ‚aw Olesiak</t>
  </si>
  <si>
    <t>Terminologia prawa rodzinnego w dwÃ³ch przekÅ‚adach Kodeksu Napoleona z pierwszej poÅ‚owy XIX wieku</t>
  </si>
  <si>
    <t>Magdalena Wismont</t>
  </si>
  <si>
    <t>Polska w ramach jednolitego rynku europejskiego â€“ usÅ‚ugi i bezpoÅ›rednie inwestycje zagraniczne</t>
  </si>
  <si>
    <t>Joanna Wyszkowska-Kuna-Janina Witkowska</t>
  </si>
  <si>
    <t>WielowymiarowoÅ›Ä‡ wspÃ³Å‚czesnych wyzwaÅ„ logistyki i transportu â€“ analiza wybranych aspektÃ³w</t>
  </si>
  <si>
    <t>Monika Wodnicka</t>
  </si>
  <si>
    <t>RozmÃ³wki dla funkcjonariuszy policji polsko-angielsko-ukraiÅ„sko-rosyjskie</t>
  </si>
  <si>
    <t>Monika Tosik-Szymon PÄ™dziwiatr-Oleksandr Sotula-Tadeusz DÄ…browski</t>
  </si>
  <si>
    <t>RozmÃ³wki dla funkcjonariuszy straÅ¼y miejskiej polsko-angielsko-ukraiÅ„sko-rosyjskie</t>
  </si>
  <si>
    <t>Edukacja mÅ‚odzieÅ¼y w prasie spoÅ‚eczno-kulturalnej i pedagogicznej KrÃ³lestwa Polskiego w latach 1905â€“1914</t>
  </si>
  <si>
    <t>MaÅ‚gorzata Maria Krakowiak</t>
  </si>
  <si>
    <t>Determinanty logistyki w dobie zrÃ³wnowaÅ¼onego rozwoju przedsiÄ™biorstw</t>
  </si>
  <si>
    <t>Daniel Tokarski-Joanna GÃ³rniak-KrupiÅ„ska-Maciej Bielecki</t>
  </si>
  <si>
    <t>Zusammenwirken von natÃ¼rlicher und kÃ¼nstlicher Intelligenz: Beurteilen-Messen-Bewerten</t>
  </si>
  <si>
    <t>Otto Richter-Uwe Drewitz-Reinhold Haux-Stefan Heuser-Tim Kacprowski</t>
  </si>
  <si>
    <t>Proceedings of the 4th International Conference on Culture, Design and Social Development (CDSD 2024)</t>
  </si>
  <si>
    <t>Mohd Fauzi Sedon-Yi Ji-Dedong Zheng</t>
  </si>
  <si>
    <t>Global Maritime Military Strategy, 1980â€“2023</t>
  </si>
  <si>
    <t>Keitaro Ushirogata</t>
  </si>
  <si>
    <t>Women Poets, Male Publishers</t>
  </si>
  <si>
    <t>Lise Jaillant</t>
  </si>
  <si>
    <t>The First-Person Authority of Children</t>
  </si>
  <si>
    <t>Cristina Borgoni</t>
  </si>
  <si>
    <t>Krisen und Transformationen</t>
  </si>
  <si>
    <t>Tanja Sturm-Anja Tervooren-Melanie Schmidt-Thomas Grunau-Daniel Wrana</t>
  </si>
  <si>
    <t>Jugendliche Erinnerungspraktiken</t>
  </si>
  <si>
    <t>Stephan Bundschuh-Marike FlÃ¶mer-Judith Hilgers-Timo VoÃŸberg-Eren YÄ±ldÄ±rÄ±m Yetkin</t>
  </si>
  <si>
    <t>QualitÃ¤t inklusiven Mathematikunterrichts in der Primarschule</t>
  </si>
  <si>
    <t>Helena KrÃ¤henmann</t>
  </si>
  <si>
    <t>New Gender, Old School? Geschlecht im Kontext Schule</t>
  </si>
  <si>
    <t>Florian CristÃ³bal Klenk-TamÃ¡s Jules FÃ¼tty-Denise Bergold-Caldwell-Yaliz Akbaba</t>
  </si>
  <si>
    <t>Jaina Culture in Medieval Karnataka</t>
  </si>
  <si>
    <t>Julia A.B. Hegewald</t>
  </si>
  <si>
    <t>Triumph and Betrayal</t>
  </si>
  <si>
    <t>Alexander Johannes Edmonds</t>
  </si>
  <si>
    <t>Kaiser Julian, Auf die GÃ¶ttermutter</t>
  </si>
  <si>
    <t>Michael Schramm</t>
  </si>
  <si>
    <t>Queer Jewish Groups in Europe (1972-1990s)</t>
  </si>
  <si>
    <t>Jan Wilkens</t>
  </si>
  <si>
    <t>Skandale um die Zensur</t>
  </si>
  <si>
    <t>Sabrina Kanthak</t>
  </si>
  <si>
    <t>Sylvester of Antioch</t>
  </si>
  <si>
    <t>Mihai Å¢ipÄƒu</t>
  </si>
  <si>
    <t>Proceedings of the 2024 Seminar on Educational Technology and Management Information Systems (ETMIS 2024)</t>
  </si>
  <si>
    <t>Shaowen Yang-Heyong Wang-Fong Peng Chew-Na Li</t>
  </si>
  <si>
    <t>Signature Pedagogies for Professions in Arts and Design</t>
  </si>
  <si>
    <t>Rebecca Y. P. Kan-Christopher S. G. Khoo</t>
  </si>
  <si>
    <t>Mathematische Ãœberraschungen</t>
  </si>
  <si>
    <t>Mordechai Ben-Ari</t>
  </si>
  <si>
    <t>Tourism As Memory-Making</t>
  </si>
  <si>
    <t>Alena Pfoser</t>
  </si>
  <si>
    <t>Proceedings of the 2024 4th International Conference on Education, Language and Art (ICELA 2024)</t>
  </si>
  <si>
    <t>Muhammad Faizal A. Ghani-Lay Hoon Ang-Mohd Sukki Othman-Mohd Nazri Bin Abdul Rahman</t>
  </si>
  <si>
    <t>Proceedings of International Conference on Advanced Materials, Manufacturing and Sustainable Development (ICAMMSD-2024)</t>
  </si>
  <si>
    <t>B. Sridhar Babu-Jitendra Kumar Katiyar-Chandra Sekhar-Y. V. Mohan Reddy-R. Meenakshi Reddy</t>
  </si>
  <si>
    <t>Proceedings of the 12th International Conference on Business, Accounting, Finance and Economics (BAFE 2024)</t>
  </si>
  <si>
    <t>Abdelhak Senadjki-Fanyu Chen-William Keng Soon Choo-Voon Hsien Lee-Chooi Yi Wei</t>
  </si>
  <si>
    <t>Measuring and Monitoring Absolute Poverty in the European Union</t>
  </si>
  <si>
    <t>Balint Menyhert-Zsombor Cseres-Gergely-Virmantas Kvedaras-Benedetta Mina-Filippo Pericoli</t>
  </si>
  <si>
    <t>Advocacy in Translanguaging Education</t>
  </si>
  <si>
    <t>Multilingual Matters/Channel View Publications</t>
  </si>
  <si>
    <t>Edina KrompÃ¡k-Stephan Meyer-Elena Makarova</t>
  </si>
  <si>
    <t>Â« Câ€™Ã©tait Bien Ã€ Lâ€™Ã©poque Mais Lâ€™avenir Iko Sombre Â»</t>
  </si>
  <si>
    <t>Daniela Waldburger</t>
  </si>
  <si>
    <t>Proceedings of the 2nd International Conference on Environmental Learning Educational Technologies (ICELET 2024)</t>
  </si>
  <si>
    <t>Dede Rahmat Hidayat-Ika Lestari Utomo-Firmanul Catur Wibowo-Dimas Kurnia Robby-Lari Andres Sanjaya</t>
  </si>
  <si>
    <t>Sound Tactics</t>
  </si>
  <si>
    <t>Pennsylvania State University Press</t>
  </si>
  <si>
    <t>SOCIAL SCIENCE / Activism &amp; Social Justice</t>
  </si>
  <si>
    <t>Justin Eckstein</t>
  </si>
  <si>
    <t>Empowering Vocational Education in Georgia</t>
  </si>
  <si>
    <t>Frank BÃ¼nning-Tamara Hennige</t>
  </si>
  <si>
    <t>Ordonomik und Bildung</t>
  </si>
  <si>
    <t>Gerhard Minnameier</t>
  </si>
  <si>
    <t>Vocational Education in European Regions</t>
  </si>
  <si>
    <t>Paolo Bertuletti-Johannes Karl Schmees-Fabienne-Agnes Baumann-Dietmar Frommberger-Francesco Magni</t>
  </si>
  <si>
    <t>The Florentine Florin</t>
  </si>
  <si>
    <t>Stefano Locatelli</t>
  </si>
  <si>
    <t>The Business of Higher Institutional Education</t>
  </si>
  <si>
    <t>UJ Press</t>
  </si>
  <si>
    <t xml:space="preserve"> Amanda Boniface-Swikani Ncube-Samantha Huneberg-Franaaz Khan-Cayle Lupton-Theophilus Edwin Coleman-Tapiwa G Kasuso-Gift Manyatera-Louis Koen-Jentley Lenong-Leoni van der Merwe-Wesahl Domingo-Michele van Eck</t>
  </si>
  <si>
    <t>ATAF@15 : Perspectives dâ€™une organisation fiscale africaine</t>
  </si>
  <si>
    <t xml:space="preserve"> Richard Parry-Lincoln Marais</t>
  </si>
  <si>
    <t>AnÃ¡lisis de errores en la adquisiciÃ³n de los modos indicativo y subjuntivo por estudiantes polacos de EspaÃ±ol como Lengua Extranjera</t>
  </si>
  <si>
    <t>Agnieszka KruszyÅ„ska</t>
  </si>
  <si>
    <t>Determinanty obrotu bezgotÃ³wkowego w krajach Unii Europejskiej na przykÅ‚adzie kart pÅ‚atniczych</t>
  </si>
  <si>
    <t>Marlena Grzelczak</t>
  </si>
  <si>
    <t>Metody i techniki prowadzenia konsultacji spoÅ‚ecznych</t>
  </si>
  <si>
    <t>Kamil BrzeziÅ„ski, Aneta KrzewiÅ„ska-Agnieszka Kretek-KamiÅ„ska-Julia ZajÄ…c</t>
  </si>
  <si>
    <t>CiÄ…gÅ‚e doskonalenie jakoÅ›ci w procesie ksztaÅ‚cenia studentÃ³w</t>
  </si>
  <si>
    <t>ElÅ¼bieta Zalewska</t>
  </si>
  <si>
    <t>Archipelagi wielkomiejskiej biedy</t>
  </si>
  <si>
    <t>Agnieszka GolczyÅ„ska-Grondas-MaÅ‚gorzata Potoczna</t>
  </si>
  <si>
    <t>NowogrÃ³d Wielki: rozwÃ³j gospodarczo-spoÅ‚eczny i upadek</t>
  </si>
  <si>
    <t>Agriculture et changement climatique</t>
  </si>
  <si>
    <t>Zen Time</t>
  </si>
  <si>
    <t>PHILOSOPHY / Zen</t>
  </si>
  <si>
    <t>Raji C. Steineck</t>
  </si>
  <si>
    <t>Interconnected Traditions: Semitic Languages, Literatures, Culturesâ€”A Festschrift for Geoffrey Khan</t>
  </si>
  <si>
    <t xml:space="preserve"> Aaron D. Hornkohl-Nadia Vidro-Janet C.E. Watson-Eleanor Coghill-Magdalen M. Connolly-Benjamin M. Outhwaite</t>
  </si>
  <si>
    <t>Feeling Colour</t>
  </si>
  <si>
    <t xml:space="preserve"> Bregt Lameris</t>
  </si>
  <si>
    <t>Politics, Pride and Perversion</t>
  </si>
  <si>
    <t>Erik Eklund</t>
  </si>
  <si>
    <t>Dealing with Medical Uncertainty in and Through the History of Medicine</t>
  </si>
  <si>
    <t>Pieter Dhondt-Sari Aalto-Anne Katrine Kleberg Hansen-Saara-Maija Kontturi</t>
  </si>
  <si>
    <t>Vers une agriculture europÃ©enne sans pesticides</t>
  </si>
  <si>
    <t>POLITICAL SCIENCE / Public Policy / Agriculture &amp; Food Policy</t>
  </si>
  <si>
    <t>Anchoring Science and Technology in Greco-Roman Antiquity</t>
  </si>
  <si>
    <t>Miko Flohr-Stephan T.A.M. Mols-Teun L Tieleman</t>
  </si>
  <si>
    <t>Indiaâ€™s Role in the Indian Ocean Region in the 21st Century</t>
  </si>
  <si>
    <t>POLITICAL SCIENCE / International Relations / Treaties</t>
  </si>
  <si>
    <t>Tomasz Åukaszuk</t>
  </si>
  <si>
    <t>Decide Better</t>
  </si>
  <si>
    <t>Lieven Raes-Susie Ruston McAleer-Ingrid Croket-Pavel Kogut-Martin Brynskov</t>
  </si>
  <si>
    <t>Algorithmic Foundations for Social Advancement</t>
  </si>
  <si>
    <t>Shin-ichi Minato-Takeaki Uno-Norihito Yasuda-Takashi Horiyama-Ken-ichi Kawarabayashi</t>
  </si>
  <si>
    <t>In Defence of Psychiatric Diagnoses</t>
  </si>
  <si>
    <t>Sam Fellowes</t>
  </si>
  <si>
    <t>Navigating Challenges for Sustainable Growth</t>
  </si>
  <si>
    <t>Suman Bery-Kapil Kapoor-Jean-Louis Arcand</t>
  </si>
  <si>
    <t>Sustainability and the Insurance Market</t>
  </si>
  <si>
    <t>Juan Bataller-Grau-Marcin KawiÅ„ski-Pierpaolo Marano</t>
  </si>
  <si>
    <t>Food Beyond Terroir</t>
  </si>
  <si>
    <t>Berghahn Books</t>
  </si>
  <si>
    <t>Anna Colquhoun-Katharina Graf</t>
  </si>
  <si>
    <t>Migration, Transnational Flows, and the Contested Meanings of Race in Asia</t>
  </si>
  <si>
    <t>Shanshan Lan-MiloÅ¡ DebnÃ¡r</t>
  </si>
  <si>
    <t>Bridging Borders</t>
  </si>
  <si>
    <t>Sergei Golunov-Assel Bitabar</t>
  </si>
  <si>
    <t>Memory and the Language of Contention</t>
  </si>
  <si>
    <t>Sophie van den Elzen-Ann Rigney</t>
  </si>
  <si>
    <t>Hurt, Baby, Hurt</t>
  </si>
  <si>
    <t>III Scott, III-William Walter Scott, III</t>
  </si>
  <si>
    <t>The Performance Apparatus</t>
  </si>
  <si>
    <t>Branislav Jakovljevic</t>
  </si>
  <si>
    <t>Migration As Anchorage</t>
  </si>
  <si>
    <t>Michelle Obeid</t>
  </si>
  <si>
    <t>Integrating Emerging Technologies Into Education and Training: Proceedings of the 2nd ETELT 2024 Workshop</t>
  </si>
  <si>
    <t>Tae Eun Kim-Marcelo Milrad-Inmaculada Remolar</t>
  </si>
  <si>
    <t>Opposing Desires</t>
  </si>
  <si>
    <t>Hendrik Johannemann</t>
  </si>
  <si>
    <t>Perspectives on Health Communication From Selected Sub-Saharan African Contexts</t>
  </si>
  <si>
    <t xml:space="preserve"> Aniekie Motloutsi-Mmakwena Molala-Tesfaye Alemayehu-Rethabile Malibo-Ijeoma Ajaero-Nkosinothando Mpofu-Denish Otieno-Aisha Nakiwala Sembatya-Elizabeth Lubinga-Konosoang Sobane-Karabo Sitto-Kaunda</t>
  </si>
  <si>
    <t>Love in Jozi</t>
  </si>
  <si>
    <t xml:space="preserve"> Lâ€™OrÃ©al Laria Margro-Lesego Linda Plank-Katlego Scheepers-Puleng Kazibone-Manuella De Mendoca-Grace Khunou</t>
  </si>
  <si>
    <t>Nairobi Hip Hop Flow</t>
  </si>
  <si>
    <t>RaShelle R. Peck</t>
  </si>
  <si>
    <t>Climate Change Impacts and Adaptation Strategies in Japan</t>
  </si>
  <si>
    <t>Nobuo Mimura-Satoshi Takewaka</t>
  </si>
  <si>
    <t>Proceedings of the 5th Annual Civic Education Conference (5th ACEC 2024)</t>
  </si>
  <si>
    <t>Yuyus Kardiman-Raharjo Raharjo-Iqbal Arpanuddin-Syaifullah Syam-Fauzi Abdillah</t>
  </si>
  <si>
    <t>QuÃ©bec</t>
  </si>
  <si>
    <t>Emmanuelle Arpin-Lara Gautier-AmÃ©lie Quesnel-VallÃ©e</t>
  </si>
  <si>
    <t>Water â€“ Handbook of the Anthropocene in Latin America IV</t>
  </si>
  <si>
    <t>Susana Herrera-Lima-Ricardo A. GutiÃ©rrez-Lourdes SofÃ­a Mendoza Bohne</t>
  </si>
  <si>
    <t>Decolonising the Future Academy in Africa and Beyond</t>
  </si>
  <si>
    <t>Michaela Pelican-Karim Zafer-Michael Bollig</t>
  </si>
  <si>
    <t>Wechseljahre am Arbeitsplatz</t>
  </si>
  <si>
    <t>Jennifer Chan de Avila-Sabine Nitsche</t>
  </si>
  <si>
    <t>Mehrsprachigkeit und Sprachgebrauch</t>
  </si>
  <si>
    <t>Lena Alice Lingk</t>
  </si>
  <si>
    <t>Suspect Subjects</t>
  </si>
  <si>
    <t>Laura Borchert</t>
  </si>
  <si>
    <t>Innovative Hochschullehre</t>
  </si>
  <si>
    <t>Angela WeiÃŸkÃ¶ppel-Tilo Wendler</t>
  </si>
  <si>
    <t>Fear of Aging</t>
  </si>
  <si>
    <t>JoÃ£o Paulo GuimarÃ£es</t>
  </si>
  <si>
    <t>Kommunale Wasserregime</t>
  </si>
  <si>
    <t>NATURE / Natural Resources</t>
  </si>
  <si>
    <t>Peter FÃ¤ÃŸler-Michael StrÃ¶hmer</t>
  </si>
  <si>
    <t>Â»Minimale MoralÂ« â€“ Eine Theorie des deutschsprachigen Rap</t>
  </si>
  <si>
    <t>Martin Wagner</t>
  </si>
  <si>
    <t>Das nationaldeutsche Judentum</t>
  </si>
  <si>
    <t>Niels Tim Dickhaut-Daniel Meis</t>
  </si>
  <si>
    <t>Conviviality in Contexts of Religious Plurality</t>
  </si>
  <si>
    <t>Andrea Bieler-Claudia Hoffmann-Lisa Ketges</t>
  </si>
  <si>
    <t>Das Â»System IslerÂ«</t>
  </si>
  <si>
    <t>Egor Lykov</t>
  </si>
  <si>
    <t>wunderkammern als kÃ¼nstlerische Praxis</t>
  </si>
  <si>
    <t>Nina-Marie SchÃ¼chter</t>
  </si>
  <si>
    <t>Xenakis â€“ Back to the Roots</t>
  </si>
  <si>
    <t>Reinhold Friedl-Thomas Grill-Nikolaus Urbanek-Michelle Ziegler</t>
  </si>
  <si>
    <t>Autosociobiography</t>
  </si>
  <si>
    <t>Johanna Bundschuh-van Duikeren-Peter LÃ¶ffelbein-Marie Jacquier</t>
  </si>
  <si>
    <t>Science Fiction und Labour Fiction</t>
  </si>
  <si>
    <t>Peter Seyferth-Falko Blumenthal</t>
  </si>
  <si>
    <t>Karl Marx in der Geschichte</t>
  </si>
  <si>
    <t>Doris Maja KrÃ¼ger</t>
  </si>
  <si>
    <t>PersonalrÃ¤te</t>
  </si>
  <si>
    <t>Werner Schmidt-Andrea MÃ¼ller</t>
  </si>
  <si>
    <t>Apokalypse und Apathie</t>
  </si>
  <si>
    <t>Martin BÃ¶hnert-Maria Hornisch-Annika Rink</t>
  </si>
  <si>
    <t>Nachhaltigkeitsprobleme kommunizieren</t>
  </si>
  <si>
    <t>Lena Theiler</t>
  </si>
  <si>
    <t>Soziologie der Nachhaltigkeit</t>
  </si>
  <si>
    <t>The Unknown in Design, Art, and Technology</t>
  </si>
  <si>
    <t>Georg Trogemann</t>
  </si>
  <si>
    <t>Coming to Terms with a Crisis</t>
  </si>
  <si>
    <t>Martin Butler-Sina Farzin-Michael Fuchs-Fabian Hempel</t>
  </si>
  <si>
    <t>Agency auf der Spur</t>
  </si>
  <si>
    <t>Beatrice Odierna-Martin SÃ¶kefeld</t>
  </si>
  <si>
    <t>KÃ¶rperliche und pflanzliche Poetik</t>
  </si>
  <si>
    <t>Sophie E. Seidler-Qingyu Cai-Hannes Mittermaier-Manuel Fingado</t>
  </si>
  <si>
    <t>Japanische Fan-Comics</t>
  </si>
  <si>
    <t>Katharina HÃ¼lsmann</t>
  </si>
  <si>
    <t>Troubled People, Troubled World</t>
  </si>
  <si>
    <t xml:space="preserve"> Michael Briant</t>
  </si>
  <si>
    <t>Nutrition and Growth</t>
  </si>
  <si>
    <t>MEDICAL / Nutrition</t>
  </si>
  <si>
    <t>Moshe, Phillip-Dominique, Turck-Raanan, Shamir-Berthold, Koletzko</t>
  </si>
  <si>
    <t>Super President</t>
  </si>
  <si>
    <t xml:space="preserve"> Bhaso Ndzendze</t>
  </si>
  <si>
    <t>Boesman-invloed op Afrikaanse plekname</t>
  </si>
  <si>
    <t>LANGUAGE STUDY / African Languages</t>
  </si>
  <si>
    <t xml:space="preserve"> Peter E. Raper</t>
  </si>
  <si>
    <t>Transforming Higher Education Scholarship After Covid-19 and in the Context of the 4th Industrial Revolution</t>
  </si>
  <si>
    <t xml:space="preserve"> Siphokazi Tau-Chauke Tinyiko-Segalo Puleng-Nompumelelo Zodwa Radebe-Roshini Pillay-Tebogo Victoria Kgope-Magezi Elijah Baloyi-Bonny Ngakane-Benkosi Madlela-Grace Khunou</t>
  </si>
  <si>
    <t>Practical Theology and Mission Studies</t>
  </si>
  <si>
    <t>RELIGION / Christian Ministry / Missions</t>
  </si>
  <si>
    <t xml:space="preserve"> Christo Lombaard-Annelie Botha-Annemarie Elizabeth Oberholzer-Buhle Mpofu-Dieter de Bruin-Johannes, J. Knoetze-Maake Masango-Stephan de Beer-Jacques Beukes</t>
  </si>
  <si>
    <t>Women in Leadership</t>
  </si>
  <si>
    <t>BUSINESS &amp; ECONOMICS / Leadership</t>
  </si>
  <si>
    <t xml:space="preserve"> UJ Transformation</t>
  </si>
  <si>
    <t>Public Sector Communication in the Digital Age</t>
  </si>
  <si>
    <t xml:space="preserve"> ML Dingalo-Lakela Kaunda-Ricky M Mukonza-Maphelo Malgas-Andiswa Mrasi-Themba Maseko-Vincent Tshuma-Sibongile Mpofu-Anna Oksiutycz-Munyawiri-Pay Shabangu-Mandla J. Radebe-Karabo Sitto-Kaunda-Elizabeth Lubinga</t>
  </si>
  <si>
    <t>Inene Ihlabathi Sisilo Esimlomo Umazinyo Azizixengeba</t>
  </si>
  <si>
    <t xml:space="preserve"> Phiwokuhle Phiwe Dekisile</t>
  </si>
  <si>
    <t>ATAF@15: Insights From an African Tax Organisation</t>
  </si>
  <si>
    <t>Frederik Van Zyl Slabbert</t>
  </si>
  <si>
    <t xml:space="preserve"> AM Grundlingh</t>
  </si>
  <si>
    <t>ATAF@15: Perspectivas de uma organizaÃ§Ã£o tributÃ¡ria africana</t>
  </si>
  <si>
    <t>Kanene</t>
  </si>
  <si>
    <t>PSYCHOLOGY / Psychopathology / Post-Traumatic Stress Disorder (PTSD)</t>
  </si>
  <si>
    <t xml:space="preserve"> Sharon Sibanda</t>
  </si>
  <si>
    <t>Eschatology and Mission</t>
  </si>
  <si>
    <t xml:space="preserve"> Pieter Verster</t>
  </si>
  <si>
    <t>A Fair Share</t>
  </si>
  <si>
    <t xml:space="preserve"> Arno J van Niekerk-Cecile Duvenhage-Ivan van der Merwe-Chijioke O. Nwosu-Johan Coetzee-Lizelle Janse van Rensburg-Justin Visagie-Constance Motsitsi-Frederick Fourie-Celeste Campher-Msawenkosi Dlamini-Nico Keyser</t>
  </si>
  <si>
    <t>Algeria</t>
  </si>
  <si>
    <t xml:space="preserve"> Leonie Schoelen</t>
  </si>
  <si>
    <t>Philosophical Theologies in South Africa</t>
  </si>
  <si>
    <t xml:space="preserve"> Johann Meylahn-Jaco Gericke-Calvin D. Ullrich-Silakhe Singata-Justin Sands-Duncan Reyburn-Ryan Haecker-Valentine Ugochukwu Iheanacho-Khegan M. Delport</t>
  </si>
  <si>
    <t>Partnership Between Universities in Japan and South Africa</t>
  </si>
  <si>
    <t xml:space="preserve"> Asami Shimoda-Takuya Baba-Natsuko Furukawa-Cedric Mpaso-Foster Gondwe-May Thu Kyaw-Masayasu Sakaguchi-Kyoko Taniguchi-Hannah Edjah-Christopher Kwaah-Shoko Yamada-Charl C Wolhuter-Takalani M Mashau-Takayoshi Maki</t>
  </si>
  <si>
    <t>The Way Home</t>
  </si>
  <si>
    <t xml:space="preserve"> Morley Nkosi</t>
  </si>
  <si>
    <t>Assemblages of Cancer</t>
  </si>
  <si>
    <t>Cinzia Greco</t>
  </si>
  <si>
    <t>The Art of Compilation</t>
  </si>
  <si>
    <t xml:space="preserve"> Anna Dorofeeva-Michael J. Kelly</t>
  </si>
  <si>
    <t>Participatory Artificial Intelligence in Public Social Services</t>
  </si>
  <si>
    <t>Petra Ahrweiler</t>
  </si>
  <si>
    <t>The Quantum Metric Structure of Quantum SU(2)</t>
  </si>
  <si>
    <t>MATHEMATICS / Matrices</t>
  </si>
  <si>
    <t>Jens Kaad, David Kyed</t>
  </si>
  <si>
    <t>Seiberg-Witten Floer Spectra for B1 &gt; 0</t>
  </si>
  <si>
    <t>MATHEMATICS / Topology</t>
  </si>
  <si>
    <t>Hirofumi Sasahira, Matthew Stoffregen</t>
  </si>
  <si>
    <t>Punctured Logarithmic Maps</t>
  </si>
  <si>
    <t>Dan Abramovich, Qile Chen, Mark Gross, Bernd Siebert</t>
  </si>
  <si>
    <t>Stochastic Quantization of the Phi-3-3-Model</t>
  </si>
  <si>
    <t>MATHEMATICS / Probability &amp; Statistics / Stochastic Processes</t>
  </si>
  <si>
    <t>Tadahiro Oh, Mamoru Okamoto, Leonardo Tolomeo</t>
  </si>
  <si>
    <t>Das fakultative GeschÃ¤ftsfÃ¼hrungs- und Vertretungsorgan des Vereins</t>
  </si>
  <si>
    <t>Karsten Imhof</t>
  </si>
  <si>
    <t>Land Policies in Europe</t>
  </si>
  <si>
    <t>Thomas Hartmann-Andreas Hengstermann-Mathias Jehling-Arthur Schindelegger-Fabian Wenner</t>
  </si>
  <si>
    <t>Head and Neck Tumor Segmentation for MR-Guided Applications</t>
  </si>
  <si>
    <t>Kareem A. Wahid-Cem Dede-Mohamed A. Naser-Clifton D. Fuller</t>
  </si>
  <si>
    <t>Hybride KI mit Machine Learning und Knowledge Graphs</t>
  </si>
  <si>
    <t>Knut Hinkelmann-Thomas Hoppe-Bernhard G. Humm</t>
  </si>
  <si>
    <t>Bacterial Genomes</t>
  </si>
  <si>
    <t xml:space="preserve"> Aswin Sai Narain Seshasayee</t>
  </si>
  <si>
    <t>Winter Light</t>
  </si>
  <si>
    <t xml:space="preserve"> Douglas J. Penick</t>
  </si>
  <si>
    <t>Proceedings of the 2024 10th International Conference on Architectural, Civil and Hydraulic Engineering (ICACHE 2024)</t>
  </si>
  <si>
    <t>Yu Zhang-Dayong Li-Yukun Zhang-Yalin Luan</t>
  </si>
  <si>
    <t>Proceedings of the 8th International Conference on Social and Political Sciences (ICoSaPS 2024)</t>
  </si>
  <si>
    <t>Septyanto Galan Prakoso-Ferdian Ahya Al Putra-Afrizal Fajri</t>
  </si>
  <si>
    <t>Proceedings of the 2024 3rd International Conference on Educational Management and Technology (ICEMT 2024)</t>
  </si>
  <si>
    <t>Ediyanto Ediyanto-Gulsun Kurubacak Ã‡akÄ±r-Lung Hsiang Wong-Muslihati Muslihati-Francis Ben</t>
  </si>
  <si>
    <t>Interprofessional Communication in Health and Social Care</t>
  </si>
  <si>
    <t>Stephanie Fox-Kirstie McAllum-Leena Mikkola</t>
  </si>
  <si>
    <t>Hybride MedialitÃ¤t</t>
  </si>
  <si>
    <t>Annegret Montag</t>
  </si>
  <si>
    <t>Jesuit Missions in Coastal and South India (1543â€“1773)</t>
  </si>
  <si>
    <t>Ines G. Å½upanov</t>
  </si>
  <si>
    <t>Pieter De Graeff (1638â€“1707) and His Treffelyke Bibliotheek</t>
  </si>
  <si>
    <t>Chiara Piccoli</t>
  </si>
  <si>
    <t>Literatur und mediale Ã–ffentlichkeiten</t>
  </si>
  <si>
    <t>Aida Bosch-Antje Kley</t>
  </si>
  <si>
    <t>EU and Russian Hegemony in the 'Shared Neighbourhood'</t>
  </si>
  <si>
    <t>Isabell Burmester</t>
  </si>
  <si>
    <t>Aus-, Ein- und Umstiegsprozesse in der sozial-Ã¶kologischen Transformation im 21. Jahrhundert</t>
  </si>
  <si>
    <t xml:space="preserve">POLITICAL SCIENCE / Public Policy / Energy Policy </t>
  </si>
  <si>
    <t>Fabian PrÃ¤ger</t>
  </si>
  <si>
    <t>The Swash Channel Wreck</t>
  </si>
  <si>
    <t>David Parham-Thomas Cousins</t>
  </si>
  <si>
    <t>Bronzization: Essays in Bronze Age Archaeology</t>
  </si>
  <si>
    <t>Heide W. NÃ¸rgaard-Samantha S. Reiter</t>
  </si>
  <si>
    <t>Yonggom Wambon, a Dumut Language of West Papua</t>
  </si>
  <si>
    <t>Wilco van den Heuvel</t>
  </si>
  <si>
    <t>Revitalizing Health Care Ethics</t>
  </si>
  <si>
    <t>Stephen Scher-Kasia Kozlowska</t>
  </si>
  <si>
    <t>Extracellular Fine Particles</t>
  </si>
  <si>
    <t>SCIENCE / Chemistry / Analytic</t>
  </si>
  <si>
    <t>Yoshinobu Baba-Rikinari Hanayama-Hidetaka Akita-Takao Yasui</t>
  </si>
  <si>
    <t>Proceedings of the International Conference on Law Reform (5th Inclar 2024)</t>
  </si>
  <si>
    <t>Sholahuddin Al Fatih-Hilaire Tegnan-Muhamad Helmi Bin Md Said-Nur Rohim Yunus-Abdullah Saeed</t>
  </si>
  <si>
    <t>Proceedings of 2024 4th International Conference on Public Management and Big Data Analysis (PMBDA 2024)</t>
  </si>
  <si>
    <t>Soon M. Chung-Fairouz Kamareddine-Azah Kamilah Draman-Sim Kwan Yong</t>
  </si>
  <si>
    <t>Trustworthy AI</t>
  </si>
  <si>
    <t>Damian Okaibedi Eke-Kutoma Wakunuma-Simisola Akintoye-George Ogoh</t>
  </si>
  <si>
    <t>Key Concepts in the Study of Religions in Contact</t>
  </si>
  <si>
    <t>Knut Martin StÃ¼nkel</t>
  </si>
  <si>
    <t>Proceedings of the 1st International Conference on Social Environment Diversity (ICOSEND 2024)</t>
  </si>
  <si>
    <t>Lucia Rini Sugiarti-Wafda Vivit Izziana-Ardiani Ika Sulistyawati-Tatas Transinata</t>
  </si>
  <si>
    <t>Proceedings of the 2023 International Conference on Wireless Communications, Networking and Applications</t>
  </si>
  <si>
    <t>Patrick Siarry-M. A. Jabbar-Simon King Sing Cheung-Xiaolong Li</t>
  </si>
  <si>
    <t>Unifying Sustainability Information for Societal Automation</t>
  </si>
  <si>
    <t>Carol Aebi</t>
  </si>
  <si>
    <t>Genetika Bentuk Buah Cabai</t>
  </si>
  <si>
    <t>Prof. Dr. Ir. Estri Laras Arumingtyas, MSc.St</t>
  </si>
  <si>
    <t>Electoral Reform in the United States: Proposals for Combating Polarization and Extremism</t>
  </si>
  <si>
    <t>Lynne Rienner Publishers</t>
  </si>
  <si>
    <t>Larry Diamond-Edward B. Foley-Richard H. Pildes</t>
  </si>
  <si>
    <t>Fiscal Federalism and Equalisation Transfers</t>
  </si>
  <si>
    <t>Mikel Erkoreka</t>
  </si>
  <si>
    <t>The Islamic Juridical Vacuum</t>
  </si>
  <si>
    <t>Jesper Petersen</t>
  </si>
  <si>
    <t>Experiencing the Hebrew Bible</t>
  </si>
  <si>
    <t>Alina L. Schittenhelm-Amy Fedeski-Kerstin Mayerhofer</t>
  </si>
  <si>
    <t>Global Trends in Job Polarisation and Upgrading</t>
  </si>
  <si>
    <t>Sergio TorrejÃ³n PÃ©rez-Enrique FernÃ¡ndez-MacÃ­as-John Hurley</t>
  </si>
  <si>
    <t>Teacher Shortage in International Perspectives: Insights and Responses</t>
  </si>
  <si>
    <t>Axel Gehrmann-Peggy Germer</t>
  </si>
  <si>
    <t>Noninvasive Therapeutic Technologies</t>
  </si>
  <si>
    <t>Vytautas Ostasevicius-Vytautas Jurenas-Mantas Venslauskas-Laura Kizauskiene</t>
  </si>
  <si>
    <t>Citizensâ€™ Observatories on Geohazards</t>
  </si>
  <si>
    <t>Rui Carrilho Gomes-VÃ­tor Correia-Balazs BodÃ³</t>
  </si>
  <si>
    <t>Experiences of Health Risks</t>
  </si>
  <si>
    <t>Claudine Burton-Jeangros</t>
  </si>
  <si>
    <t>Two Early Byzantine Bible Manuscripts in Christian Palestinian Aramaic</t>
  </si>
  <si>
    <t xml:space="preserve"> Kim Phillips</t>
  </si>
  <si>
    <t>The Field Guide to Mixing Social and Biophysical Methods in Environmental Research</t>
  </si>
  <si>
    <t xml:space="preserve"> Rebecca Lave-Stuart Lane</t>
  </si>
  <si>
    <t>Circulations</t>
  </si>
  <si>
    <t>Courtney Handman</t>
  </si>
  <si>
    <t>Ineffective Policies</t>
  </si>
  <si>
    <t>Ian Roberge-Heather McKeen-Edwards-Malcolm Campbell-Verduyn</t>
  </si>
  <si>
    <t>VerhaltensÃ¶konomische Aspekte bei Entscheidungen</t>
  </si>
  <si>
    <t>Maximilian Vincent Reimer</t>
  </si>
  <si>
    <t>Proceedings of the HCT International General Education Conference (HCTIGEC 2024)</t>
  </si>
  <si>
    <t>Natalie-Jane Howard-Angela Martin-Agariadne Dwinggo Samala</t>
  </si>
  <si>
    <t>The International Politics of Migration</t>
  </si>
  <si>
    <t>Masayuki Tadokoro</t>
  </si>
  <si>
    <t>Thermo-energetische Gestaltung von Werkzeugmaschinen</t>
  </si>
  <si>
    <t>TECHNOLOGY &amp; ENGINEERING / Manufacturing</t>
  </si>
  <si>
    <t>Christian Brecher</t>
  </si>
  <si>
    <t>The Co-operative College and a Century of Social Change</t>
  </si>
  <si>
    <t>Tom Woodin-Keith Vernon-Linda Shaw</t>
  </si>
  <si>
    <t>Diseases of the Chest, Heart and Vascular System 2025-2028</t>
  </si>
  <si>
    <t>MEDICAL / Radiology, Radiotherapy &amp; Nuclear Medicine</t>
  </si>
  <si>
    <t>Juerg Hodler-Rahel A. Kubik-Huch-Justus E. Roos</t>
  </si>
  <si>
    <t>Towards Rethinking Politics, Policy and Polity in the Anthropocene</t>
  </si>
  <si>
    <t>Hans GÃ¼nter Brauch</t>
  </si>
  <si>
    <t>Bridging Divides Through Gender-Just Citizenship</t>
  </si>
  <si>
    <t>Linda Eitrem Holmgren</t>
  </si>
  <si>
    <t>Sustainable Earnings in a Resilient Economic System</t>
  </si>
  <si>
    <t>Aurelie Charles</t>
  </si>
  <si>
    <t>Bertil, Glader-Wilma, Barcellini-Rachael, Grace</t>
  </si>
  <si>
    <t>Cities of Banal Warfare</t>
  </si>
  <si>
    <t>SunÄana Laketa</t>
  </si>
  <si>
    <t>Low Field Pediatric Brain Magnetic Resonance Image Segmentation and Quality Assurance</t>
  </si>
  <si>
    <t>Natasha Lepore-Marius George Linguraru</t>
  </si>
  <si>
    <t>Proceedings of International Conference on Decision Aid and Artificial Intelligence (ICODAI 2024)</t>
  </si>
  <si>
    <t>Saoussen Krichen-Hajer Ben-Romdhane-Issam Nouaouri</t>
  </si>
  <si>
    <t>Proceedings of the International Workshop on Navigating the Digital Business Frontier for Sustainable Financial Innovation (ICDEBA 2024)</t>
  </si>
  <si>
    <t>Junfeng Lu</t>
  </si>
  <si>
    <t>Urban-Rural Assembly</t>
  </si>
  <si>
    <t>Anke Hagemann-Ava Lynam-Gaoli Xiao-Wolfgang Wende-Li Fan-Sigrun Langner-Maria FrÃ¶lich-Kulik-Laura Henneke-Lukas Pappert</t>
  </si>
  <si>
    <t>Finnische Musikfachsprache</t>
  </si>
  <si>
    <t>Benjamin Schweitzer</t>
  </si>
  <si>
    <t>Rassismus im Norden?</t>
  </si>
  <si>
    <t>Cordelia HeÃŸ</t>
  </si>
  <si>
    <t>Petrified</t>
  </si>
  <si>
    <t>Joshua Wodak</t>
  </si>
  <si>
    <t>Go West!</t>
  </si>
  <si>
    <t>Bernhard Hemetsberger-Andreas Oberdorf</t>
  </si>
  <si>
    <t>The Political Theory of the Bhagavad-Gita</t>
  </si>
  <si>
    <t>Stuart Gray</t>
  </si>
  <si>
    <t>Drogenpoesie der FrÃ¼hen Neuzeit</t>
  </si>
  <si>
    <t>LITERARY COLLECTIONS / European / German</t>
  </si>
  <si>
    <t>Wilhelm KÃ¼hlmann</t>
  </si>
  <si>
    <t>Mobility in the Early Middle Ages, and Beyond â€“ MobilitÃ¤t Im FrÃ¼hmittelalter Und DarÃ¼ber Hinaus</t>
  </si>
  <si>
    <t>Laury Sarti-Helene von Trott zu Solz</t>
  </si>
  <si>
    <t>HerkÃ¼nfte erzÃ¤hlen</t>
  </si>
  <si>
    <t>Reto RÃ¶ssler-Dominik Zink</t>
  </si>
  <si>
    <t>Freiheit der Kunst</t>
  </si>
  <si>
    <t>JÃ¶rg Robert</t>
  </si>
  <si>
    <t>Shaping Visions in U.S.-American Magazines</t>
  </si>
  <si>
    <t>Annabel Friedrichs</t>
  </si>
  <si>
    <t>Religious Activism on Campuses in Togo and Benin</t>
  </si>
  <si>
    <t>FrÃ©dÃ©rick Madore</t>
  </si>
  <si>
    <t>RÃ©inventer lâ€™art sacrÃ©</t>
  </si>
  <si>
    <t>Camille Noverraz-Vitrocentre Romont</t>
  </si>
  <si>
    <t>World Exhaustion in Latin American Literatures and Cultures / El Agotamiento Del Mundo En Las Literaturas Y Culturas De AmÃ©rica Latina</t>
  </si>
  <si>
    <t>LITERARY CRITICISM / Caribbean &amp; Latin American</t>
  </si>
  <si>
    <t>Gesine MÃ¼ller-Ignacio M. SÃ¡nchez Prado</t>
  </si>
  <si>
    <t>A Show of Hands</t>
  </si>
  <si>
    <t>Ileana Parvu</t>
  </si>
  <si>
    <t>The International Politics of Communication</t>
  </si>
  <si>
    <t>Alan Chong</t>
  </si>
  <si>
    <t>Beyond International Intervention</t>
  </si>
  <si>
    <t>Katarina KuÅ¡ic</t>
  </si>
  <si>
    <t>Cosmopolitan Imaginaries and International Disorder</t>
  </si>
  <si>
    <t>Aaron C McKeil</t>
  </si>
  <si>
    <t>Interrogating Integration</t>
  </si>
  <si>
    <t>Kate Zambon</t>
  </si>
  <si>
    <t>German Empires and Decolonial Fantasies, 1492â€“1942</t>
  </si>
  <si>
    <t>Patricia Anne Simpson</t>
  </si>
  <si>
    <t>No Peer Rivals</t>
  </si>
  <si>
    <t>Ionut Popescu</t>
  </si>
  <si>
    <t>Before Before</t>
  </si>
  <si>
    <t>Betsy Small</t>
  </si>
  <si>
    <t>The Homeowner Ideology</t>
  </si>
  <si>
    <t>Singumbe Muyeba</t>
  </si>
  <si>
    <t>Islamic Law in Saudi Arabia</t>
  </si>
  <si>
    <t>Dominik Krell</t>
  </si>
  <si>
    <t>WspÃ³Å‚czesne wyzwania prawa podatkowego. KsiÄ™ga jubileuszowa dedykowana Profesorowi WÅ‚odzimierzowi Nykielowi. Tom 1</t>
  </si>
  <si>
    <t>Adam MariaÅ„ski-Dariusz Strzelec-MichaÅ‚ Wilk</t>
  </si>
  <si>
    <t>Vade Nobiscum, tom XXIV/2024. Studia nad Bliskim Wschodem</t>
  </si>
  <si>
    <t>HISTORY / Europe / Poland</t>
  </si>
  <si>
    <t>Piotr ChyliÅ„ski-Patryk Grancow-RafaÅ‚ Kanas-Kamil Ludwiczak-Krystian Maras</t>
  </si>
  <si>
    <t>Ars inspiratio. Studia dedykowane Profesor Eleonorze JedliÅ„skiej</t>
  </si>
  <si>
    <t>Aneta PawÅ‚owska-Krzysztof StefaÅ„ski-Magdalena Milerowska</t>
  </si>
  <si>
    <t>Aktywizacja â€“ innowacja â€“ akulturacja. (Glotto)dydaktyka a kryzys migracyjny</t>
  </si>
  <si>
    <t>Paulina KaÅºmierczak-Martyna MarszaÅ‚-Agnieszka Dobrowolska</t>
  </si>
  <si>
    <t>Inkluzja osÃ³b z niepeÅ‚nosprawnoÅ›ciÄ… â€“ dobre praktyki w Polsce po przystÄ…pieniu do UE</t>
  </si>
  <si>
    <t>BUSINESS &amp; ECONOMICS / Diversity &amp; Inclusion</t>
  </si>
  <si>
    <t>Dorota Kobus-Ostrowska-Maria Agnieszka Paszkowicz</t>
  </si>
  <si>
    <t>ÐŸÐ°Ð¼ÑÑ‚ÑŒ Ð² ÑÐ·Ñ‹ÐºÐµ, Ð»Ð¸Ñ‚ÐµÑ€Ð°Ñ‚ÑƒÑ€Ðµ Ð¸ ÐºÑƒÐ»ÑŒÑ‚ÑƒÑ€Ðµ / PamiÄ™Ä‡ w jÄ™zyku, literaturze i kulturze</t>
  </si>
  <si>
    <t>Elena Nevzorova-Kmech-Anna StÄ™pniak-Ivan Smirnov</t>
  </si>
  <si>
    <t>English Sounds in IPA Transcription Practice</t>
  </si>
  <si>
    <t>LANGUAGE ARTS &amp; DISCIPLINES / Speech &amp; Pronunciation</t>
  </si>
  <si>
    <t>Anna GraliÅ„ska-Brawata</t>
  </si>
  <si>
    <t>Skazani na wspÃ³Å‚pracÄ™? RÃ³Å¼ne wymiary polityki Unii Europejskiej wobec paÅ„stw azjatyckich</t>
  </si>
  <si>
    <t>Tomasz KamiÅ„ski-Natalia Matiaszczyk</t>
  </si>
  <si>
    <t>MiÄ™dzy ideologiÄ… a utopiÄ…. Deinstytucjonalizacja wybranych usÅ‚ug dla osÃ³b z niepeÅ‚nosprawnoÅ›ciami w Polsce. Perspektywa socjologii wiedzy</t>
  </si>
  <si>
    <t>Zbigniew GÅ‚Ä…b</t>
  </si>
  <si>
    <t>In Search of a Legal Model of Self-Employment in Poland. A Comparative Legal Analysis Part II</t>
  </si>
  <si>
    <t>Design for eXcellence 4.0. Projektowanie wspomagajÄ…ce doskonaÅ‚oÅ›Ä‡</t>
  </si>
  <si>
    <t>BUSINESS &amp; ECONOMICS / Research &amp; Development</t>
  </si>
  <si>
    <t>Maciej Bielecki</t>
  </si>
  <si>
    <t>Akademickie nauczanie specjalistycznego polskiego i niemieckiego jÄ™zyka prawa do celÃ³w zawodowych (w Å›wietle standardÃ³w europejskich)</t>
  </si>
  <si>
    <t>Lena BiedroÅ„</t>
  </si>
  <si>
    <t>QualitÃ¤tsentwicklung in Kitas: Wenn Entdecken und Forschen zum Alltag werden</t>
  </si>
  <si>
    <t>Stiftung Haus der kleinen Forscher</t>
  </si>
  <si>
    <t>Philipp Von Stosch: Collecting, Drawing, Studying and Publishing Engraved Gems</t>
  </si>
  <si>
    <t>PaweÅ‚ GoÅ‚yÅºniak-Ulf R. Hansson-Hadrien J. Rambach</t>
  </si>
  <si>
    <t>West New Guinea</t>
  </si>
  <si>
    <t>Dylan Gaffney-Marlin Tolla</t>
  </si>
  <si>
    <t>Queer Chimerica</t>
  </si>
  <si>
    <t>Shana Leodar Ye</t>
  </si>
  <si>
    <t>Theater, War, and Memory in Crisis</t>
  </si>
  <si>
    <t>John Ireland</t>
  </si>
  <si>
    <t>Les poules</t>
  </si>
  <si>
    <t>Foreign Intervention in Africa After the Cold War</t>
  </si>
  <si>
    <t>Ohio University Press</t>
  </si>
  <si>
    <t>Elizabeth Schmidt</t>
  </si>
  <si>
    <t>Engineering Innovations Vol. 13</t>
  </si>
  <si>
    <t>Jong Wan Hu-Ankit Tyagi-Mohd Zamri Mohd Yusop-Bima Prihasto-Ali Alnaser</t>
  </si>
  <si>
    <t>TAPAK LIMAN: Khasiat, Manfaat dan Kajian Biologis</t>
  </si>
  <si>
    <t>Prof. Moch. Sasmito Djati, MS., IPU, ASEAN Eng.-Dr. Yuyun Ika Christina, M.Si-Dinia Rizqi Dwijayanti, M.Si., D.Sc</t>
  </si>
  <si>
    <t>La France au Cameroun (1945-1971)</t>
  </si>
  <si>
    <t>Editions Hermann</t>
  </si>
  <si>
    <t>Karine RAMONDY</t>
  </si>
  <si>
    <t>Multidisciplinary Perspectives on Immigrant Health</t>
  </si>
  <si>
    <t>Mikolaj Stanek-Sol P. JuÃ¡rez-Miguel Requena</t>
  </si>
  <si>
    <t>Understanding Past Earthquakes</t>
  </si>
  <si>
    <t>Austin Elliott-Christoph Gruetzner</t>
  </si>
  <si>
    <t>Ocean Governance (Beyond) Borders</t>
  </si>
  <si>
    <t>Kimberley Peters-Jennifer Turner</t>
  </si>
  <si>
    <t>Rachael, Grace</t>
  </si>
  <si>
    <t>INTERNATIONAL STUDIES ON LEARNING ENVIRONMENTS</t>
  </si>
  <si>
    <t>Assoc. Prof. Dr. Nil Didem ÅžimÅŸek</t>
  </si>
  <si>
    <t>ON THE TRAIL OF LITERATURE: A CRITICAL ANALYSIS OF LOVER, CHILD AND IDIOMS</t>
  </si>
  <si>
    <t>Assoc. Prof. Dr. Semih YeÅŸilbaÄŸ</t>
  </si>
  <si>
    <t>INNOVATIVE APPROACHES IN NURSING AND HEALTH CARE MANAGEMENT</t>
  </si>
  <si>
    <t>MEDICAL / Nursing Home Care</t>
  </si>
  <si>
    <t>Assoc. Prof. Dr. ÅžADÄ°YE DUR-Prof. Dr. Renmir Jan D. MAALA</t>
  </si>
  <si>
    <t>APPROACHES TO ENVIRONMENT, TECHNOLOGY AND ECONOMY</t>
  </si>
  <si>
    <t>PROF. DR. NESLÄ°HAN DOÄžAN-SAÄžLAMTÄ°MUR-PROF. DR. FEHÄ°MAN Ã‡Ä°NER</t>
  </si>
  <si>
    <t>INNOVATIVE APPROACHES IN FORENSIC SCIENCE: SCIENTIFIC METHODS, TECHNOLOGY, AND EVIDENCE MANAGEMENT</t>
  </si>
  <si>
    <t>LAW / Forensic Science</t>
  </si>
  <si>
    <t>Dr. Yakup GÃ¼lekÃ§i</t>
  </si>
  <si>
    <t>EVIDENCE DYNAMICS</t>
  </si>
  <si>
    <t>SCIENCE / Mechanics / Dynamics</t>
  </si>
  <si>
    <t>INTERDISCIPLINARY ADVANCES IN ENGINEERING, AGRICULTURE, AND APPLIED SCIENCES</t>
  </si>
  <si>
    <t>Prof. DR. Nurcan BAYKUÅž SAVAÅžANERÄ°L</t>
  </si>
  <si>
    <t>CONTEMPORARY EDUCATION: REFRAMING THEORY AND PRACTICE ACROSS FIELDS</t>
  </si>
  <si>
    <t>PROF. DR. Muhlise Ã‡oÅŸgun Ã–geyik-ASSOC PROF DR Kutay Uzun</t>
  </si>
  <si>
    <t>ADVANCED DRUG DELIVERY TECHNOLOGIES</t>
  </si>
  <si>
    <t>PROF. DR. EMEL Ã–YKÃœ Ã‡ETÄ°N UYANIKGÄ°L</t>
  </si>
  <si>
    <t>3D IMAGING, NEUROSCIENCE AND SEPSIS RESEARCH: MODERN METHODS AND TECHNOLOGICAL ADVANCES</t>
  </si>
  <si>
    <t>MEDICAL / Neuroscience</t>
  </si>
  <si>
    <t>PROF. DR. YÄ°ÄžÄ°T UYANIKGÄ°L</t>
  </si>
  <si>
    <t>Self-Directed Learning: Curriculum Implementation, Praxis and Scholarship in Context</t>
  </si>
  <si>
    <t>Elsa Mentz (https://orcid.org/0000-0002-7267-080X)-Charlene du Toit-Brits (https://orcid.org/0000-0001-7899-930X)-Jean Henry Blignaut (https://orcid.org/0000-0001-7326-4136)-Elize Vos (https://orcid.org/0000-0001-8783-9922)-Karl R Wirth (https://orcid.org/0000-0002-2236-7992)-Jako Olivier (https://orcid.org/0000-0002-5860-6027)-Sipho Mahlaba (https://orcid.org/0000-0002-8872-5457)-Christo P. van der Westhuizen (https://orcid.org/0000-0002-4762-8538)-Gideon (Deon) P van Tonder (https://orcid.org/0000-0001-5486-1242)-Nicolaas van Deventer (https://orcid.org/0000-0003-4900-7994)-Christof Imhof (https://orcid.org/0000-0003-3983-8946)-Ioan-Sorin Comsa (https://orcid.org/0000-0002-9121-0286)-Dorothy Laubscher (https://orcid.org/0000-0002-9067-437X)-Tobias HÃ¤berlein (https://orcid.org/0009-0008-0661-9126)-Per Bergamin (https://orcid.org/0000-0002-2551-9058)-Jackie Slabbert-Redpath (https://orcid.org/0000-0002-4157-5279)-Josef de Beer (https://orcid.org/0000-0002-2411-6599)-An</t>
  </si>
  <si>
    <t>Towards the Sustainable Well-being of Communities: Africa, the Modern Empire and Christianity</t>
  </si>
  <si>
    <t>Attie Van Niekerk (https://orcid.org/0000-0003-0663-6969)</t>
  </si>
  <si>
    <t>Social Work in the 21st Century: Scholarship and Praxis Reimagined Towards Vulnerability</t>
  </si>
  <si>
    <t>Mogomme A Masoga (https://orcid.org/0000-0002-3335-3633)-Allucia L Shokane (https://orcid.org/0000-0002-2928-1526)-Annaline Keet (https://orcid.org/0000-0002-9638-0188)-Varoshini Nadesan (https://orcid.org/0000-0001-5786-529X)-Kefilwe J Ditlhake (https://orcid.org/0000-0002-1244-6638)-Ntobeko Bambeni (https://orcid.org/0000-0002-0315-158X)-Lambert K Engelbrecht (https://orcid.org/0000-0001-6549-7183)-Martha van Straaten (https://orcid.org/0000-0001-8618-7440)-Christo Heunis (https://orcid.org/0000-0001-6087-3207)-Alice Ncube (https://orcid.org/0000-0001-7440-5308)-Joerg Szarzynski (https://orcid.org/0009-0009-1536-2489)-Velile H Dlamini (https://orcid.org/0009-0002-3205-169X)-Delarise M Mulqueeny (https://orcid.org/0000-0003-1225-4799)-Rika Swanzen (https://orcid.org/0000-0002-3926-8579)-Willem Roestenburg (https://orcid.org/0000-0002-8079-0967)-Leon C Fulcher (https://orcid.org/0009-0002-9616-7093)-Werner van der Westhuizen (https://orcid.org/0009-0008-0924-2141)-Mbon</t>
  </si>
  <si>
    <t>Internal Migration and Development Planning in South Africa</t>
  </si>
  <si>
    <t>Ilse Eigelaar-Meets (https://orcid.org/0000-0002-4868-2165)</t>
  </si>
  <si>
    <t>A Youth Empowerment Model Designed to Tackle School Violence in South Africa</t>
  </si>
  <si>
    <t>Fathima Dewan (https://orcid.org/0000-0002-7701-5193)</t>
  </si>
  <si>
    <t>Speaking Our Selves</t>
  </si>
  <si>
    <t>Asiimwe Deborah Kawe-Robert H. Vorlicky</t>
  </si>
  <si>
    <t>VulnerabilitÃ¤t von MÃ¤nnern in Krisen</t>
  </si>
  <si>
    <t>Carmen Schlojer</t>
  </si>
  <si>
    <t>Fairs, Cities and Merchants</t>
  </si>
  <si>
    <t>Jean-Louis Gaulin-Susanne Rau</t>
  </si>
  <si>
    <t>Literarische Beziehungen zum Mittelalter</t>
  </si>
  <si>
    <t>Ann-Marie Becker</t>
  </si>
  <si>
    <t>The Exchange of Bibliographic Data and the MARC Format</t>
  </si>
  <si>
    <t>Berlin, West&gt; International Seminar on the MARC Format and the Exchange of bibliographic Data in Mac-West&gt; Arbeitsstelle fÃ¼r Bibliothekstechnik &lt;Berlin</t>
  </si>
  <si>
    <t>Charlotte, Dawson-Albert, Wiegman</t>
  </si>
  <si>
    <t>Ã„sthetiken der Tyrannis</t>
  </si>
  <si>
    <t>Till Nitschmann</t>
  </si>
  <si>
    <t>Intersections of Religion, Education, and a Sustainable World</t>
  </si>
  <si>
    <t>Sally Windsor-Olof Franck</t>
  </si>
  <si>
    <t>Proceedings of 12th World Congress on Genetics Applied to Livestock Production (WCGALP)</t>
  </si>
  <si>
    <t>R.F. Veerkamp-Y. de Haas</t>
  </si>
  <si>
    <t>Hard Work: Producing Places, Relations and Value on a Papua New Guinea Resource Frontier</t>
  </si>
  <si>
    <t>Tuomas Tammisto</t>
  </si>
  <si>
    <t>Religion, Law and COVID-19 in Europe</t>
  </si>
  <si>
    <t>Brian Conway-Lene KÃ¼hle-Francesco Alicino-Gabriel BÃ®rsan</t>
  </si>
  <si>
    <t>An Investigation of Hate Speech in Italian</t>
  </si>
  <si>
    <t>Silvio Cruschina-Chiara Gianollo</t>
  </si>
  <si>
    <t>Global Migration and Illiberalism in Russia, Eurasia and Eastern Europe</t>
  </si>
  <si>
    <t>Anna-Liisa Heusala-Kaarina Aitamurto-Sherzod Eraliev</t>
  </si>
  <si>
    <t>Shaping the Future of Higher Education: Positive and Sustainable Frameworks for Navigating Constant Change</t>
  </si>
  <si>
    <t>Lesley Wood-Ortrun Zuber-Skerritt</t>
  </si>
  <si>
    <t>Les diffÃ©rences entre Ã©lÃ¨ves en Ã©ducation physique : un regard Ã  360 degrÃ©s !</t>
  </si>
  <si>
    <t>Vanessa Lentillon-Kaestner-ValÃ©rian Cece</t>
  </si>
  <si>
    <t>Qui a peur du Â«Grand mÃ©chant loupÂ»?</t>
  </si>
  <si>
    <t>Claire Galloni d'Istria</t>
  </si>
  <si>
    <t>Die interaktive Hervorbringung von Kreativitaet</t>
  </si>
  <si>
    <t>Robert Reinecke</t>
  </si>
  <si>
    <t>Transposition, Migration und KoerperGrenzen in der Romania</t>
  </si>
  <si>
    <t>Mariana Maia Simoni-Berit Callsen-Jasmin Wrobel</t>
  </si>
  <si>
    <t>LexicografÃ­a del espaÃ±ol: intercomunicaciÃ³n y diÃ¡logos</t>
  </si>
  <si>
    <t>Assessing Interactional Competence</t>
  </si>
  <si>
    <t>David Wei Dai</t>
  </si>
  <si>
    <t>A Handbook of Integration with Refugees</t>
  </si>
  <si>
    <t>Esa Aldegheri-Dan Fisher-Alison Phipps</t>
  </si>
  <si>
    <t>Proceedings of the International Joint Conference on Arts and Humanities 2024 (IJCAH 2024)</t>
  </si>
  <si>
    <t>Cicilia D. M. Putri-Ali Mustofa-Wendy Hakim-Galih Pradana-Danang Tandyonomanu</t>
  </si>
  <si>
    <t>Regulierung digitaler GeschÃ¤ftsmodelle</t>
  </si>
  <si>
    <t>Simon Laimer-Christoph Perathoner</t>
  </si>
  <si>
    <t>Metamodeling for Extended Reality</t>
  </si>
  <si>
    <t>Fabian Muff</t>
  </si>
  <si>
    <t>Humanistic Wellbeing</t>
  </si>
  <si>
    <t>Joar VittersÃ¸</t>
  </si>
  <si>
    <t>Understanding Crime Trends in a Hybrid Society</t>
  </si>
  <si>
    <t>Marcelo F. Aebi-Fernando MirÃ³-Llinares-Stefano Caneppele</t>
  </si>
  <si>
    <t>Barrages-rÃ©servoirs et crues de la Seine</t>
  </si>
  <si>
    <t>Denis Coeur</t>
  </si>
  <si>
    <t>HeterogenitÃ¤t als Diskurs</t>
  </si>
  <si>
    <t>Leonie Peters</t>
  </si>
  <si>
    <t>Art and Copyright Law</t>
  </si>
  <si>
    <t>LAW / Intellectual Property / Copyright</t>
  </si>
  <si>
    <t>Giulia Walter</t>
  </si>
  <si>
    <t>Organized Crime and National Security in Spain</t>
  </si>
  <si>
    <t>AndrÃ©s de Castro</t>
  </si>
  <si>
    <t>Formen und Folgen der Softwaregestaltung</t>
  </si>
  <si>
    <t>Johannes Sonnenholzner</t>
  </si>
  <si>
    <t>Zerrissene ZugehÃ¶rigkeiten</t>
  </si>
  <si>
    <t>Edda Willamowski</t>
  </si>
  <si>
    <t>Resignificar la vida</t>
  </si>
  <si>
    <t>Marcelo SÃ¡nchez Delgado</t>
  </si>
  <si>
    <t>The Politics of Serial Television Fiction</t>
  </si>
  <si>
    <t>Sebastian Naumann</t>
  </si>
  <si>
    <t>The Brazilian Amazonia in Change II</t>
  </si>
  <si>
    <t>Gerd Kohlhepp</t>
  </si>
  <si>
    <t>Zivilgesellschaftliche Nachhaltigkeitsinitiativen in der Schweiz</t>
  </si>
  <si>
    <t>Stephanie Moser-Christoph Bader</t>
  </si>
  <si>
    <t>MÃ¤nnlichkeiten, neue Vaterschaft und Migration</t>
  </si>
  <si>
    <t>Jelena Leoni Olga BÃ¼chner</t>
  </si>
  <si>
    <t>Nationalismus der Mitte in Deutschland</t>
  </si>
  <si>
    <t>Katrin Voigt</t>
  </si>
  <si>
    <t>Digitales Lehren und Lernen an der Hochschule</t>
  </si>
  <si>
    <t>Lorenz Mrohs-Julia Franz-Dominik Herrmann-Konstantin Lindner-Thorsten Staake</t>
  </si>
  <si>
    <t>The Brazilian Amazonia in Change I</t>
  </si>
  <si>
    <t>Jan M. G. Kleinpenning</t>
  </si>
  <si>
    <t>Projekt Alexandria</t>
  </si>
  <si>
    <t>Marcus M. Rommel</t>
  </si>
  <si>
    <t>Topoi und Netzwerke der religiÃ¶sen Rechten</t>
  </si>
  <si>
    <t>Hans-Ulrich Probst-Dominik Gautier-Karoline Ritter-Charlotte Jacobs</t>
  </si>
  <si>
    <t>Meinungsfreiheit auf digitalen Plattformen</t>
  </si>
  <si>
    <t>Philipp Buchallik</t>
  </si>
  <si>
    <t>Politik in der digitalen Gesellschaft</t>
  </si>
  <si>
    <t>Die deutsche Sprache queeren</t>
  </si>
  <si>
    <t>Lovis Noah Cassaris</t>
  </si>
  <si>
    <t>Spracherleben und IdentitÃ¤t</t>
  </si>
  <si>
    <t>Sabrina Sala</t>
  </si>
  <si>
    <t>Un/Reale InteraktionsrÃ¤ume</t>
  </si>
  <si>
    <t>Clara Kindler-MathÃ´t-Didem Leblebici-Giacomo Marinsalta-Till RÃ¼ckwart-Anna Zaglyadnova</t>
  </si>
  <si>
    <t>Nautical Media</t>
  </si>
  <si>
    <t>TECHNOLOGY &amp; ENGINEERING / Marine &amp; Naval</t>
  </si>
  <si>
    <t>Asher Boersma</t>
  </si>
  <si>
    <t>Von LÃ¼genpresse und abgehobenen Eliten</t>
  </si>
  <si>
    <t>Judith Kretzschmar-Markus Beiler-Uwe KrÃ¼ger-Florian DÃ¶ring</t>
  </si>
  <si>
    <t>Reimagining Digital Cosmopolitanism</t>
  </si>
  <si>
    <t>Fergal Lenehan-Roman Lietz</t>
  </si>
  <si>
    <t>Sprache entgrenzen</t>
  </si>
  <si>
    <t>Rita Tamara Vallentin-Dorothea Horst</t>
  </si>
  <si>
    <t>Ocean Acidification</t>
  </si>
  <si>
    <t>Fabrice Pernet-FrÃ©dÃ©ric Gazeau</t>
  </si>
  <si>
    <t>Desire, Education and Teaching</t>
  </si>
  <si>
    <t>HÃ¥vard Ã…svoll</t>
  </si>
  <si>
    <t>Sexually and Gender Diverse Adolescents</t>
  </si>
  <si>
    <t>PSYCHOLOGY / Developmental / General</t>
  </si>
  <si>
    <t>Laura Baams-Tessa M. L. Kaufman</t>
  </si>
  <si>
    <t>Risk-Informed Information Practice</t>
  </si>
  <si>
    <t>Alison Hicks</t>
  </si>
  <si>
    <t>Missing Persons, Political Landscapes and Cultural Practices</t>
  </si>
  <si>
    <t>Laura Huttunen</t>
  </si>
  <si>
    <t>Phenomenography in the 21st Century</t>
  </si>
  <si>
    <t xml:space="preserve"> Gerlese S. Ã…kerlind</t>
  </si>
  <si>
    <t>The Fight for Black Liberation</t>
  </si>
  <si>
    <t>POLITICAL SCIENCE / American Government / National</t>
  </si>
  <si>
    <t xml:space="preserve"> William T. Hoston</t>
  </si>
  <si>
    <t>Ãœberlegungen zu einer Reform des Arbeitskampf- und Schlichtungsrechts</t>
  </si>
  <si>
    <t>Clemens HÃ¶pfner</t>
  </si>
  <si>
    <t>Serving Aristocracy</t>
  </si>
  <si>
    <t>Anna Nilsson Hammar-Svante Norrhem</t>
  </si>
  <si>
    <t>Proceedings of the 2nd International Conference on Changing of Business Law (ICOCLB 2024)</t>
  </si>
  <si>
    <t>Edy Lisdiyono-Ade Saptomo-Faisal Santiago-I Nyoman Budiartha-Ahmad Sudiro</t>
  </si>
  <si>
    <t>The Impacts of the Russo-Ukrainian War</t>
  </si>
  <si>
    <t>Hideaki Shinoda-Pavlo Fedorchenko-Kutuyev</t>
  </si>
  <si>
    <t>Mein Tod. Fiktionales und faktuales ErzÃ¤hlen des eigenen Todes</t>
  </si>
  <si>
    <t>Andrea Klatt</t>
  </si>
  <si>
    <t>Contemporary Queer Modernism</t>
  </si>
  <si>
    <t>Melanie Micir</t>
  </si>
  <si>
    <t>Voicing Consent</t>
  </si>
  <si>
    <t>Teela Sanders-Jane Scoular-Barbara G. Brents-Susie Balderston-Gillian Abel</t>
  </si>
  <si>
    <t>Vine, Wine and Climate Change</t>
  </si>
  <si>
    <t>The Production and Consumption of Non-Muslim Islams</t>
  </si>
  <si>
    <t>Anders Ackfeldt-Jesper Petersen</t>
  </si>
  <si>
    <t>Slavery and Honour in the Ancient Greek World</t>
  </si>
  <si>
    <t>David Lewis-Mirko Canevaro-Douglas Cairns</t>
  </si>
  <si>
    <t>The Scottish State and the Experience of Government, C. 1560-1707</t>
  </si>
  <si>
    <t>Martha McGill-Alasdair Raffe</t>
  </si>
  <si>
    <t>The Emotions of LGBT Rights and Reforms</t>
  </si>
  <si>
    <t>Senthorun Sunil Raj</t>
  </si>
  <si>
    <t>Planetary Politics</t>
  </si>
  <si>
    <t>POLITICAL SCIENCE / Women in Politics</t>
  </si>
  <si>
    <t>Lucy Benjamin</t>
  </si>
  <si>
    <t>Nigeriaâ€™s Counter-Terrorism Strategy</t>
  </si>
  <si>
    <t>POLITICAL SCIENCE / Terrorism</t>
  </si>
  <si>
    <t>Kodili Henry Chukwuma</t>
  </si>
  <si>
    <t>Global Mountain Cinema</t>
  </si>
  <si>
    <t>Kamaal Haque-Christian Quendler-Caroline Schaumann</t>
  </si>
  <si>
    <t>Feminized Work and the Labor of Literature</t>
  </si>
  <si>
    <t>LITERARY CRITICISM / Feminist</t>
  </si>
  <si>
    <t>Emily J. Hogg-Charlotte J. Fabricius</t>
  </si>
  <si>
    <t>The Enduring Legacy of the Habsburg Islam Policy</t>
  </si>
  <si>
    <t>Sevgi Adak-Thomas Schmidinger</t>
  </si>
  <si>
    <t>The Beautiful Game on a Muslim Pitch</t>
  </si>
  <si>
    <t>Aaron W. Hughes-Leif Stenberg</t>
  </si>
  <si>
    <t>Digitalising Courts in Asia</t>
  </si>
  <si>
    <t>Siddharth Peter de Souza-Julia Wellhausen</t>
  </si>
  <si>
    <t>Marleen Gorris</t>
  </si>
  <si>
    <t>Sue Thornham</t>
  </si>
  <si>
    <t>Habiba Djahnine</t>
  </si>
  <si>
    <t>Music, Poetry and Identity in Badakhshan, Tajikistan</t>
  </si>
  <si>
    <t>MUSIC / Religious / Muslim</t>
  </si>
  <si>
    <t>Chorshanbe Goibnazarov</t>
  </si>
  <si>
    <t>LITHUANIAN INTERWAR INTERIORS 1918â€“1940</t>
  </si>
  <si>
    <t>Lina PreiÅ¡egalaviÄienÄ—</t>
  </si>
  <si>
    <t>Architecture and Welfare</t>
  </si>
  <si>
    <t>Thordis Arrhenius-Ellen Braae-Guttorm Ruud</t>
  </si>
  <si>
    <t>New Silk Road</t>
  </si>
  <si>
    <t>Michele Bonino-Francesco Carota-with Sohrab Ahmed Marri</t>
  </si>
  <si>
    <t>New Words to Old Tunes</t>
  </si>
  <si>
    <t xml:space="preserve"> Adnan Haydar</t>
  </si>
  <si>
    <t>Harvesting the Sea in Southeastern Arabia</t>
  </si>
  <si>
    <t xml:space="preserve"> Janet C.E. Watson-Miranda J. Morris-Erik Anonby</t>
  </si>
  <si>
    <t>Archaeological Excavations at Holme Hall Quarry, South Yorkshire</t>
  </si>
  <si>
    <t>Francis M. Morris</t>
  </si>
  <si>
    <t>Health Care Civil Rights</t>
  </si>
  <si>
    <t>Anna Kirkland</t>
  </si>
  <si>
    <t>The Arsacids of Rome</t>
  </si>
  <si>
    <t>Jake Nabel</t>
  </si>
  <si>
    <t>African Linguistics After #RhodesMustFall</t>
  </si>
  <si>
    <t>Hannah Gibson-Jacqueline LÃ¼ck-Kristina Riedel-Savithry Namboodiripad</t>
  </si>
  <si>
    <t>DNA, Race, and Reproduction</t>
  </si>
  <si>
    <t>Emily Klancher Merchant-Meaghan O'Keefe</t>
  </si>
  <si>
    <t>Proceedings of the International Conference on Bio-Based Environment for Sustainable Territory (IC-BEST 2024)</t>
  </si>
  <si>
    <t>R. K. Ramachandra-Durga Praveena Veera-Srinivasa Rao Tirunagari</t>
  </si>
  <si>
    <t>Development and Postdevelopmentalism in Studies On, To, With, For, by Young Children</t>
  </si>
  <si>
    <t>Hillevi Lenz Taguchi-Linnea BodÃ©n</t>
  </si>
  <si>
    <t>Plurality and Cultural Specificity of Service Design in East and Southeast Asia</t>
  </si>
  <si>
    <t>Jung-Joo Lee-Joon Sang Baek-Eun Yu</t>
  </si>
  <si>
    <t>Paradoxes of PrEP for HIV Prevention</t>
  </si>
  <si>
    <t>Morten Skovdal</t>
  </si>
  <si>
    <t>Bundesbericht Wissenschaftlerinnen und Wissenschaftler in einer frÃ¼hen Karrierephase 2025</t>
  </si>
  <si>
    <t>Konsortium BuWiK</t>
  </si>
  <si>
    <t>Measuring Exposure and Attention to Media and Communication</t>
  </si>
  <si>
    <t>Peter Neijens-Theo Araujo-Judith MÃ¶ller-Claes Vreese</t>
  </si>
  <si>
    <t>Revival Movements As Conflict Agendas of the Popular in the Nineteenth and Early Twentieth Centuries</t>
  </si>
  <si>
    <t>Veronika Albrecht-Birkner-Stefanie Siedek-Strunk</t>
  </si>
  <si>
    <t>Modernism and the Frankfurt School</t>
  </si>
  <si>
    <t>Tyrus Miller</t>
  </si>
  <si>
    <t>Universe and Inner Self in Early Indian and Early Greek Thought</t>
  </si>
  <si>
    <t>Richard Seaford</t>
  </si>
  <si>
    <t>Moral History From Herodotus to Diodorus Siculus</t>
  </si>
  <si>
    <t>Lisa Irene Hau</t>
  </si>
  <si>
    <t>Conquered Populations in Early Islam</t>
  </si>
  <si>
    <t>Elizabeth Urban</t>
  </si>
  <si>
    <t>Chinese Stardom in Participatory Cyberculture</t>
  </si>
  <si>
    <t>PERFORMING ARTS / Acting &amp; Auditioning</t>
  </si>
  <si>
    <t>Dorothy Wai Sim Lau</t>
  </si>
  <si>
    <t>Extreme Cinema</t>
  </si>
  <si>
    <t>Aaron Kerner-Jonathan Knapp</t>
  </si>
  <si>
    <t>The Invention of Palestinian Citizenship, 1918-1947</t>
  </si>
  <si>
    <t>Lauren Banko</t>
  </si>
  <si>
    <t>A Monument to Medieval Syrian Book Culture</t>
  </si>
  <si>
    <t>Konrad Hirschler</t>
  </si>
  <si>
    <t>Ana Kokkinos</t>
  </si>
  <si>
    <t>Kelly McWilliam</t>
  </si>
  <si>
    <t>Gillian Armstrong</t>
  </si>
  <si>
    <t>Julia Erhart</t>
  </si>
  <si>
    <t>Paul Devakar, Yesudian-Patrick, Yesudian-Rohan Isaac, Yesudian</t>
  </si>
  <si>
    <t>Platoâ€™s Power</t>
  </si>
  <si>
    <t>Carolina AraÃºjo</t>
  </si>
  <si>
    <t>Business and Biodiversity</t>
  </si>
  <si>
    <t>Maiko Nishi-Suneetha M. Subramanian-Philip Varghese</t>
  </si>
  <si>
    <t>Decoding Marine Genetic Resource Governance Under the BBNJ Agreement</t>
  </si>
  <si>
    <t>Fran Humphries</t>
  </si>
  <si>
    <t>Brunei Darussalamâ€™s Economic Transition in a Shifting Global Asia</t>
  </si>
  <si>
    <t>Ahmed M. Khalid-Bruno Jetin</t>
  </si>
  <si>
    <t>Beyond Nationalism</t>
  </si>
  <si>
    <t>JoÃ£o Labareda</t>
  </si>
  <si>
    <t>Leveraging AI for Sustainable Development: Diverse Applications Across SDG Goals</t>
  </si>
  <si>
    <t>Wes Harven Guillemer Maravilla-Shraddha Basu-Queen Deka-Syeda Anjum Afreen-Anamika Basumatary-Jorge Isaac Torres Manrique-Parineeta Goswami-Katarzyna MiÅ‚ek-V.UDAYAVANI-SABITHAS.S-B.U.ROOBIN-James Mushori-Johnson Matu</t>
  </si>
  <si>
    <t>Games and Play in Chinese and Sinophone Cultures</t>
  </si>
  <si>
    <t>Li Guo-Douglas Eyman-Hongmei Sun</t>
  </si>
  <si>
    <t>Jennifer, Foster-Michelle, Choe-Erika A., Newman</t>
  </si>
  <si>
    <t>Arabic in Context</t>
  </si>
  <si>
    <t xml:space="preserve"> Anthony J. Frendo-Kurstin Gatt</t>
  </si>
  <si>
    <t>The Samaritan Pentateuch</t>
  </si>
  <si>
    <t xml:space="preserve"> Moshe Florentin-Abraham Tal</t>
  </si>
  <si>
    <t>Navigating Our Way to Solutions in Marine Conservation</t>
  </si>
  <si>
    <t xml:space="preserve"> Larry B. Crowder</t>
  </si>
  <si>
    <t>Smart Life and Smart Life Engineering</t>
  </si>
  <si>
    <t>Elena Kornyshova-RÃ©becca DeneckÃ¨re-Sjaak Brinkkemper</t>
  </si>
  <si>
    <t>Proceedings of the 8th URSI-NG Annual Conference (URSI-NG 2024)</t>
  </si>
  <si>
    <t>PERFORMING ARTS / Radio / General</t>
  </si>
  <si>
    <t>Isaac Adimula-Joseph OJo-Samuel Ogunjo</t>
  </si>
  <si>
    <t>Proceedings of the International Conference on Strategic and Global Studies (ICSGS 2024)</t>
  </si>
  <si>
    <t>Ibrahim Kholilul Rohman-Wu Zhaoyang-Mohammad Izdiyan Muttaqin-Ismail Suardi Wekke-Irene Sondang Fitrinitia</t>
  </si>
  <si>
    <t>Assessing Feasibility with Value-laden Models</t>
  </si>
  <si>
    <t>Simon Hollnaicher</t>
  </si>
  <si>
    <t>AI, Sacred Violence, and Warâ€”The Case of Gaza</t>
  </si>
  <si>
    <t>Chris Hables Gray</t>
  </si>
  <si>
    <t>Transforming Spirit Bodies</t>
  </si>
  <si>
    <t>Sinah Theres KloÃŸ-Lena Muders-TaynÃ£ Tagliati</t>
  </si>
  <si>
    <t>VerschwÃ¶rungstheorien im Videoformat</t>
  </si>
  <si>
    <t>Katharina Christ</t>
  </si>
  <si>
    <t>Extremereignis â€ºKÃ¤ltewinterâ€¹ im 18. Jahrhundert</t>
  </si>
  <si>
    <t>Anna Axtner-Borsutzky-Joana van de LÃ¶cht</t>
  </si>
  <si>
    <t>James Baldwin and the Queer Imagination</t>
  </si>
  <si>
    <t>Matt Brim</t>
  </si>
  <si>
    <t>Bulldaggers, Pansies, and Chocolate Babies</t>
  </si>
  <si>
    <t>James F. Wilson</t>
  </si>
  <si>
    <t>Acts of Gaiety</t>
  </si>
  <si>
    <t>Sara Warner</t>
  </si>
  <si>
    <t>Strangers to the Law</t>
  </si>
  <si>
    <t>Lisa Melinda Keen-Suzanne Beth Goldberg</t>
  </si>
  <si>
    <t>Facing It</t>
  </si>
  <si>
    <t>Leigh Ross Chambers</t>
  </si>
  <si>
    <t>The Limits to Union</t>
  </si>
  <si>
    <t>Jonathan Goldberg-Hiller</t>
  </si>
  <si>
    <t>LGBT Youth in America's Schools</t>
  </si>
  <si>
    <t>Sean Cahill-Jason Cianciotto</t>
  </si>
  <si>
    <t>Queer Roots for the Diaspora</t>
  </si>
  <si>
    <t>Jarrod Hayes</t>
  </si>
  <si>
    <t>Policy Issues Affecting Lesbian, Gay, Bisexual, and Transgender Families</t>
  </si>
  <si>
    <t>Sean Cahill-Sarah Tobias</t>
  </si>
  <si>
    <t>Unconventional Sisterhood</t>
  </si>
  <si>
    <t>Heather Lynn Claussen</t>
  </si>
  <si>
    <t>Staging Desire</t>
  </si>
  <si>
    <t>Kimberley Bell Marra-Robert A. Schanke</t>
  </si>
  <si>
    <t>Effeminism</t>
  </si>
  <si>
    <t>Revathi Krishnaswamy</t>
  </si>
  <si>
    <t>Staging Blackness</t>
  </si>
  <si>
    <t>Priscilla Dionne Layne-Lily Tonger-Erk</t>
  </si>
  <si>
    <t>Plundered Kitchens, Empty Wombs</t>
  </si>
  <si>
    <t>Pamela Lou Feldman-Savelsberg</t>
  </si>
  <si>
    <t>Performing the Greek Crisis</t>
  </si>
  <si>
    <t>Natalie Zervou</t>
  </si>
  <si>
    <t>Transnational Philippines</t>
  </si>
  <si>
    <t>RocÃ­o OrtuÃ±o Casanova-Axel Gasquet</t>
  </si>
  <si>
    <t>Opera for Everyone</t>
  </si>
  <si>
    <t>MUSIC / General</t>
  </si>
  <si>
    <t>Megan Steigerwald Ille</t>
  </si>
  <si>
    <t>Corpse Crusaders</t>
  </si>
  <si>
    <t>COMICS &amp; GRAPHIC NOVELS / General</t>
  </si>
  <si>
    <t>Chera Kee</t>
  </si>
  <si>
    <t>Pragmatic Liberation and the Politics of Puerto Rican Diasporic Drama</t>
  </si>
  <si>
    <t>Jon D. Rossini</t>
  </si>
  <si>
    <t>Life, Earth, Colony</t>
  </si>
  <si>
    <t>Ian Klinke</t>
  </si>
  <si>
    <t>Lady Dicks and Lesbian Brothers</t>
  </si>
  <si>
    <t>Catherine Davy</t>
  </si>
  <si>
    <t>Passing Performances</t>
  </si>
  <si>
    <t>Robert A. Schanke-Kimberley Bell Marra</t>
  </si>
  <si>
    <t>Freudian Slips</t>
  </si>
  <si>
    <t>Mary Gossy</t>
  </si>
  <si>
    <t>Garden of Egypt</t>
  </si>
  <si>
    <t>Brendan Haug</t>
  </si>
  <si>
    <t>Ethnic Drag</t>
  </si>
  <si>
    <t>Katrin Sieg</t>
  </si>
  <si>
    <t>Gender in Play on the Shakespearean Stage</t>
  </si>
  <si>
    <t>Michael Shapiro</t>
  </si>
  <si>
    <t>Climate Games</t>
  </si>
  <si>
    <t>Talbot M. Andrews-Andrew W. Delton-Reuben Kline</t>
  </si>
  <si>
    <t>Delta Futures</t>
  </si>
  <si>
    <t>Jason Cons</t>
  </si>
  <si>
    <t>Proceedings of the International Conference on Environmental, Social, and Governance (ICESG 2024)</t>
  </si>
  <si>
    <t>Lai Fong Woon-Satirenjit Kaur Johl</t>
  </si>
  <si>
    <t>Proceedings of the 2024 7th International Conference on Civil Architecture, Hydropower and Engineering Management (CAHEM 2024)</t>
  </si>
  <si>
    <t>Yanjun Qiu-Weimin Feng-Zhiqiang Zhang-Fauziah Ahmad</t>
  </si>
  <si>
    <t>Alternative Dispute Resolution in the Western Balkans</t>
  </si>
  <si>
    <t>Marc Bungenberg-Goran Koevski-Bianca BÃ¶hme-Ljuben Kocev-Mareike FrÃ¶hlich</t>
  </si>
  <si>
    <t>Gender and Education in Central Asia</t>
  </si>
  <si>
    <t>Aliya Kuzhabekova-Naureen Durrani-Zumrad Kataeva</t>
  </si>
  <si>
    <t>Global Challenges in Cardiovascular Prevention in Populations with Low Socioeconomic Status</t>
  </si>
  <si>
    <t>TomÃ¡s Romero-Carolina Nazzal Nazal-Fernando Lanas</t>
  </si>
  <si>
    <t>Inclusive Welfare</t>
  </si>
  <si>
    <t>Solikin M. Juhro-Ferry Syarifuddin-Ali Sakti</t>
  </si>
  <si>
    <t>Narratives at Play in Aeschylus</t>
  </si>
  <si>
    <t>Laura Gianvittorio-Ungar</t>
  </si>
  <si>
    <t>Ethnic Minority Cinema in Chinaâ€™s Nation-State Building</t>
  </si>
  <si>
    <t>Kwai-Cheung Lo</t>
  </si>
  <si>
    <t>Rethinking Migration</t>
  </si>
  <si>
    <t>Bridget Anderson</t>
  </si>
  <si>
    <t>Pathways to Sustainable Welfare</t>
  </si>
  <si>
    <t>Kajsa Emilsson-Martin Fritz-Roger Hildingsson-HÃ¥kan Johansson-Jamil Khan-Max Koch</t>
  </si>
  <si>
    <t>Osoba. Co to znaczy? Personalizm Johna F. Crosbyâ€™ego</t>
  </si>
  <si>
    <t>PaweÅ‚ M. Mazanka</t>
  </si>
  <si>
    <t>BezpieczeÅ„stwo przewozu pasaÅ¼erÃ³w oraz Å‚adunkÃ³w w jednoosobowych i bezpilotowych statkach powietrznych</t>
  </si>
  <si>
    <t>Tomasz Balcerzak</t>
  </si>
  <si>
    <t>LISTENING STRATEGIES, LISTENING TECHNIQUES AND LISTENING SKILLS</t>
  </si>
  <si>
    <t>SÃ¼leyman GÃœN</t>
  </si>
  <si>
    <t>5. ICSSIET PROCEEDINGS BOOK</t>
  </si>
  <si>
    <t>MAGDALINE ENOW MBI TARKANG MARY</t>
  </si>
  <si>
    <t>5. ICSSIET 2024 ABSTRACT BOOK</t>
  </si>
  <si>
    <t>CrÃ©ation variÃ©tale chez les plantes cultivÃ©es</t>
  </si>
  <si>
    <t>AndrÃ© Gallais</t>
  </si>
  <si>
    <t>The Before and the After</t>
  </si>
  <si>
    <t xml:space="preserve"> Sean Gurd-Mario TelÃ²</t>
  </si>
  <si>
    <t>Service Innovation and Management</t>
  </si>
  <si>
    <t>Lars Witell</t>
  </si>
  <si>
    <t>Erwachsenen- und Weiterbildung in Liechtenstein</t>
  </si>
  <si>
    <t>Sabine Frei-Wille-Tamara von Aarburg</t>
  </si>
  <si>
    <t>Motivation und Verbindlichkeit bei gering literalisierten Erwachsenen</t>
  </si>
  <si>
    <t>Johanna Leck-Simone Ehmig-Lukas Heymann-Melanie Jester</t>
  </si>
  <si>
    <t>Exploring Japanese Thought</t>
  </si>
  <si>
    <t>Japan Publishing Industry Foundation for Culture</t>
  </si>
  <si>
    <t>Sueki Fumihiko</t>
  </si>
  <si>
    <t>Tales of Plague and Pestilence: A History of Disease in Japan</t>
  </si>
  <si>
    <t>Sakai Shizu</t>
  </si>
  <si>
    <t>Arching in Piled Embankments Including the Effects of Reinforcement and Subsoil</t>
  </si>
  <si>
    <t>Yan Zhuang</t>
  </si>
  <si>
    <t>Peer-UnterstÃ¼tzungsbeziehungen im Kontext psychischer BeeintrÃ¤chtigung</t>
  </si>
  <si>
    <t>Klara Lammers</t>
  </si>
  <si>
    <t>The AI Act and The Agile Safety Plan</t>
  </si>
  <si>
    <t>Thor Myklebust-Tor StÃ¥lhane-Dorthea Mathilde Kristin Vatn</t>
  </si>
  <si>
    <t>Refashioning the Renaissance</t>
  </si>
  <si>
    <t>Paula Hohti</t>
  </si>
  <si>
    <t>The Renewal of Post-war Manchester</t>
  </si>
  <si>
    <t>Richard Brook</t>
  </si>
  <si>
    <t>The Art of Becoming Infinite</t>
  </si>
  <si>
    <t>PHILOSOPHY / Eastern</t>
  </si>
  <si>
    <t xml:space="preserve"> Gabriella Stanchina</t>
  </si>
  <si>
    <t>Transforming Arbitration: Exploring the Impact of AI, Blockchain, Metaverse and Web3</t>
  </si>
  <si>
    <t>LAW / Alternative Dispute Resolution</t>
  </si>
  <si>
    <t>Maud Piers-Sean McCarthy</t>
  </si>
  <si>
    <t>Horizontes del pensamiento: ensayos sobre ciencias sociales y humanidades.</t>
  </si>
  <si>
    <t>SOCIAL SCIENCE / Essays</t>
  </si>
  <si>
    <t>BermÃºdez VÃ¡zquez, Manuel (Coordinador)-Rigau Tusell, Ignacio (Coordinador)-Otero SantamarÃ­a, Julio (Coordinador)</t>
  </si>
  <si>
    <t>ExploraciÃ³n de variables psicolÃ³gicas y educativas: avances en la investigaciÃ³n escolar.</t>
  </si>
  <si>
    <t>Molero Jurado, MarÃ­a del Mar (Compilador)-Martos MartÃ­nez, Ãfrica (Compilador)-Molina Moreno, Pablo (Compilador)-PÃ©rez-Fuentes, MarÃ­a del Carmen (Compilador)-FernÃ¡ndez Gea, Silvia (Compilador)</t>
  </si>
  <si>
    <t>Avanzando en la intervenciÃ³n clÃ­nica y de salud: investigaciÃ³n y desarrollo de nuevos recursos.</t>
  </si>
  <si>
    <t>Martos MartÃ­nez, Ãfrica (Compilador)-BarragÃ¡n MartÃ­n, Ana BelÃ©n (Compilador)-GÃ¡zquez Linares, JosÃ© JesÃºs (Compilador)-Molina Moreno, Pablo (Compilador)-Sisto, Maria (Compilador)</t>
  </si>
  <si>
    <t>InnovaciÃ³n docente e investigaciÃ³n en educaciÃ³n y ciencias sociales: desafÃ­os de la enseÃ±anza y aprendizaje en la educaciÃ³n superior.</t>
  </si>
  <si>
    <t>SimÃ³n MÃ¡rquez, MarÃ­a del Mar (Compilador)-FernÃ¡ndez Gea, Silvia (Compilador)-Molero Jurado, MarÃ­a del Mar (Compilador)-GÃ¡zquez Linares, JosÃ© JesÃºs (Compilador)-Molina Moreno, Pablo (Compilador)</t>
  </si>
  <si>
    <t>InnovaciÃ³n docente e investigaciÃ³n en arte y humanidades: desafÃ­os de la enseÃ±anza y aprendizaje en la educaciÃ³n superior.</t>
  </si>
  <si>
    <t>SimÃ³n MÃ¡rquez, MarÃ­a del Mar (Compilador)-GÃ¡zquez Linares, JosÃ© JesÃºs (Compilador)-Martos MartÃ­nez, Ãfrica (Compilador)-FernÃ¡ndez Gea, Silvia (Compilador)-Sisto, Maria (Compilador)</t>
  </si>
  <si>
    <t>InnovaciÃ³n docente e investigaciÃ³n en ciencias sociales, econÃ³micas y jurÃ­dicas: desafÃ­os de la enseÃ±anza y aprendizaje en la educaciÃ³n superior.</t>
  </si>
  <si>
    <t>Molero Jurado, MarÃ­a del Mar (Compilador)-Molina Moreno, Pablo (Compilador)-BarragÃ¡n MartÃ­n, Ana BelÃ©n (Compilador)-PÃ©rez-Fuentes, MarÃ­a del Carmen (Compilador)-MartÃ­nez Casanova, Elena (Compilador)</t>
  </si>
  <si>
    <t>InnovaciÃ³n docente e investigaciÃ³n en educaciÃ³n: desafÃ­os de la enseÃ±anza y aprendizaje en la educaciÃ³n superior.</t>
  </si>
  <si>
    <t>BarragÃ¡n MartÃ­n, Ana BelÃ©n (Compilador)-SimÃ³n MÃ¡rquez, MarÃ­a del Mar (Compilador)-MartÃ­nez Casanova, Elena (Compilador)-FernÃ¡ndez Gea, Silvia (Compilador)-PÃ©rez-Fuentes, MarÃ­a del Carmen (Compilador)</t>
  </si>
  <si>
    <t>InnovaciÃ³n docente e investigaciÃ³n en salud: desafÃ­os de la enseÃ±anza y aprendizaje en la educaciÃ³n superior.</t>
  </si>
  <si>
    <t>Martos MartÃ­nez, Ãfrica (Compilador)-BarragÃ¡n MartÃ­n, Ana BelÃ©n (Compilador)-GÃ¡zquez Linares, JosÃ© JesÃºs (Compilador)-PÃ©rez-Fuentes, MarÃ­a del Carmen (Compilador)-Molina Moreno, Pablo (Compilador)</t>
  </si>
  <si>
    <t>InnovaciÃ³n docente e investigaciÃ³n en ciencias, ingenierÃ­a y arquitectura: desafÃ­os de la enseÃ±anza y aprendizaje en la educaciÃ³n superior.</t>
  </si>
  <si>
    <t>Molero Jurado, MarÃ­a del Mar (Compilador)-GÃ¡zquez Linares, JosÃ© JesÃºs (Compilador)-Martos MartÃ­nez, Ãfrica (Compilador)-Molina Moreno, Pablo (Compilador)-FernÃ¡ndez Gea, Silvia (Compilador)</t>
  </si>
  <si>
    <t>Justicia, derechos humanos y desarrollo sostenible.</t>
  </si>
  <si>
    <t>Jerez Rivero, Wilbemis (Director)-Serna Tuya, Juan MoisÃ©s de la (Coordinador)-MuÃ±oz CatalÃ¡n, Elisa (Coordinador)-Puig-Cabrera, Miguel (Coordinador)-Esquivel ElÃ­as, AngÃ©lica Soledad (Coordinador)</t>
  </si>
  <si>
    <t>EducaciÃ³n e Inteligencia Artificial: Horizontes de transformaciÃ³n.</t>
  </si>
  <si>
    <t>Flores-Alarcia, Ã’scar (Editor)-Fornons Casol, Laura (Editor)</t>
  </si>
  <si>
    <t>FormaciÃ³n Docente, EducaciÃ³n para la Paz y PrÃ¡cticas Educativas: investigaciÃ³n y experiencias.</t>
  </si>
  <si>
    <t>Ruiz SÃ¡nchez, Rosana (Coordinador)-Carranza AlcÃ¡ntar, MarÃ­a del RocÃ­o (Coordinador)-SolÃ³rzano PeÃ±a, MarÃ­a Amelia (Coordinador)-Prado Carrera, Gina Jaqueline (Coordinador)</t>
  </si>
  <si>
    <t>InnovaciÃ³n en acciÃ³n y desarrollo educativo sostenible.</t>
  </si>
  <si>
    <t>Pinel MartÃ­nez, Cristina (Coordinador)-PÃ©rez Esteban, MarÃ­a Dolores (Coordinador)-Lorenzo MartÃ­n, Manuel Enrique (Coordinador)-Felices Torres, MarÃ­a del Mar (Coordinador)</t>
  </si>
  <si>
    <t>InvestigaciÃ³n aplicada a la innovaciÃ³n en el contexto educativo.</t>
  </si>
  <si>
    <t>Crescenza, Giorgio (Editor)-Riccardi, Veronica (Editor)-Onrubia-MartÃ­nez, VerÃ³nica (Editor)</t>
  </si>
  <si>
    <t>Experiencias educativas en el aula. InnovaciÃ³n e investigaciÃ³n.</t>
  </si>
  <si>
    <t>Amatori, Gianluca (Editor)-Buccolo, Maria (Editor)-Lorenzo Ãlvarez, Carolina (Editor)</t>
  </si>
  <si>
    <t>EducaciÃ³n innovadora e investigaciÃ³n en acciÃ³n.</t>
  </si>
  <si>
    <t>FernÃ¡ndez MartÃ­nez, MarÃ­a del Mar (Coordinador)-Ruiz-Calzado, Inmaculada (Coordinador)-Berral Ortiz, Blanca (Coordinador)-PÃ©rez Esteban, MarÃ­a Dolores (Coordinador)</t>
  </si>
  <si>
    <t>InnovaciÃ³n educativa y transformaciÃ³n de la sociedad.</t>
  </si>
  <si>
    <t>Fiorucci, Massimiliano (Editor)-Roig-Vila, Rosabel (Editor)-Crescenza, Giorgio (Editor)-SÃ¡nchez Ronco, Alejandro (Editor)</t>
  </si>
  <si>
    <t>EducaciÃ³n y expresiÃ³n en sociedades inclusivas. El camino hacia la diversidad.</t>
  </si>
  <si>
    <t>Grana, Romina (Coordinador)-GonzÃ¡lez Almada, Magdalena (Coordinador)</t>
  </si>
  <si>
    <t>Nuevos horizontes educativos hacia la agenda 2030. InnovaciÃ³n docente y ODS en las aulas.</t>
  </si>
  <si>
    <t>LÃ³pez, Alberto E. (Coordinador)-Pinilla GÃ³mez, Raquel (Coordinador)-Vicente FernÃ¡ndez, Pilar (Coordinador)</t>
  </si>
  <si>
    <t>Cruce de caminos: visiones interdisciplinares en las ciencias sociales y humanidades.</t>
  </si>
  <si>
    <t>Policastro Ponce, Gisella (Coordinador)-BermÃºdez VÃ¡zquez, Manuel (Coordinador)</t>
  </si>
  <si>
    <t>InnovaciÃ³n docente en ciencias sociales y disciplinas artÃ­sticas.</t>
  </si>
  <si>
    <t>Mateu Gordon, JosÃ© Luis (Coordinador)-Molina HernÃ¡ndez, Cecilio (Coordinador)-LuceÃ±o Casals, Laura (Coordinador)</t>
  </si>
  <si>
    <t>Un instrumento para la mediciÃ³n de la calidad de los cuidados desde la perspectiva de la persona usuaria: la versiÃ³n espaÃ±ola del ASCOT-SCT4.</t>
  </si>
  <si>
    <t>Casal RodrÃ­guez, Bruno-RodrÃ­guez-Miguez, Eva</t>
  </si>
  <si>
    <t>InnovaciÃ³n docente en el aula universitaria: nuevas soluciones para viejas problemÃ¡ticas.</t>
  </si>
  <si>
    <t>M'Rabet Temsamani, RabÃ­a (Coordinador)-Caller Tramullas, Lorena (Coordinador)</t>
  </si>
  <si>
    <t>Nuevas tendencias en derecho probatorio.</t>
  </si>
  <si>
    <t>Alonso Salgado, Cristina (Director)-RodrÃ­guez Ãlvarez, Ana (Director)-ValiÃ±o Ces, Almudena (Director)-FernÃ¡ndez RamÃ­rez, LucÃ­a (Coordinador)-Neupavert Alzola, Mario (Coordinador)-Soba Bracesco, Ignacio M. (Coordinador)</t>
  </si>
  <si>
    <t>InvestigaciÃ³n en escenarios formativos y conocimiento abierto en acciÃ³n.</t>
  </si>
  <si>
    <t>Navarro-Granados, MarÃ­a (Coordinador)-PelÃ­cano Piris, Noelia (Coordinador)-Palenzuela-Bautista, JesÃºs (Coordinador)-Granda-PiÃ±Ã¡n, Amelia Rosa (Coordinador)</t>
  </si>
  <si>
    <t>EducaciÃ³n para la innovaciÃ³n sostenible y el aprendizaje activo.</t>
  </si>
  <si>
    <t>RamÃ­rez Padilla, Hegira (Coordinador)-LÃ³pez Meneses, Eloy (Coordinador)</t>
  </si>
  <si>
    <t>InnovaciÃ³n educativa y progreso social para un mundo interconectado.</t>
  </si>
  <si>
    <t>GuÃ­a de intervenciÃ³n y buenas prÃ¡cticas para fomentar el derecho a la vivienda de las personas migrantes.</t>
  </si>
  <si>
    <t>Crespo GarcÃ­a, Alberto-Contreras Villalobos, Tabata-Almonacid SÃ¡nchez, Carla</t>
  </si>
  <si>
    <t>Transforming education: innovation for the 21st century.</t>
  </si>
  <si>
    <t>Torres FernÃ¡ndez, CristÃ³bal (Director)-Puig-Cabrera, Miguel (Coordinador)-Torrez Meruvia, Harold (Coordinador)-Ã‘eco Reyna, MarÃ­a Guadalupe (Coordinador)-Puig Guisado, Jaime (Coordinador)</t>
  </si>
  <si>
    <t>GuÃ­a prÃ¡ctica de evaluaciÃ³n en psicologÃ­a clÃ­nica. Protocolos para el Abordaje DiagnÃ³stico de Trastornos Mentales</t>
  </si>
  <si>
    <t>Almeda, Nerea (Editor)-Carretero, Stephanie (Editor)</t>
  </si>
  <si>
    <t>Nuevos retos tras veinte aÃ±os de vigencia de la LO 1/2004.</t>
  </si>
  <si>
    <t>Alonso Salgado, Cristina (Director)-RodrÃ­guez Ãlvarez, Ana (Director)-ValiÃ±o Ces, Almudena (Director)-Torrado TarrÃ­o, Cristina (Coordinador)-Rama MartÃ­nez, Sonia (Coordinador)-FernÃ¡ndez RamÃ­rez, LucÃ­a (Coordinador)</t>
  </si>
  <si>
    <t>Cultura alimentaria, salud y sostenibilidad. IntervenciÃ³n en centros educativos para la mejora de hÃ¡bitos y prevenciÃ³n de trastornos alimentarios</t>
  </si>
  <si>
    <t>PSYCHOLOGY / Psychopathology / Eating Disorders</t>
  </si>
  <si>
    <t>Arjona Garrido, Ãngeles-Salguero GarcÃ­a, DarÃ­o-Monserrat HernÃ¡ndez, Montserrat-Tarifa PÃ©rez, JoaquÃ­n</t>
  </si>
  <si>
    <t>MetodologÃ­as emergentes en la investigaciÃ³n y acciÃ³n educativa. https://doi.org/10.14679/3767</t>
  </si>
  <si>
    <t>BarragÃ¡n MartÃ­n, Ana BelÃ©n (Compilador)-SimÃ³n MÃ¡rquez, MarÃ­a del Mar (Compilador)-GÃ¡zquez Linares, JosÃ© JesÃºs (Compilador)-MartÃ­nez Casanova, Elena (Compilador)-FernÃ¡ndez Gea, Silvia (Compilador)</t>
  </si>
  <si>
    <t>Avances y perspectivas en la investigaciÃ³n de la salud en las etapas de la vida.</t>
  </si>
  <si>
    <t>PSYCHOLOGY / Health Psychology</t>
  </si>
  <si>
    <t>SimÃ³n MÃ¡rquez, MarÃ­a del Mar (Compilador)-GÃ¡zquez Linares, JosÃ© JesÃºs (Compilador)-Martos MartÃ­nez, Ãfrica (Compilador)-BarragÃ¡n MartÃ­n, Ana BelÃ©n (Compilador)-PÃ©rez-Fuentes, MarÃ­a del Carmen (Compilador)</t>
  </si>
  <si>
    <t>Derecho, igualdad y transformaciÃ³n social.</t>
  </si>
  <si>
    <t>LAW / Legal Services</t>
  </si>
  <si>
    <t>Jerez Rivero, Wilbemis (Director)-MuÃ±oz CatalÃ¡n, Elisa (Coordinador)-Romero GÃ³mez, MarÃ­a de los Ãngeles (Coordinador)-Esquivel ElÃ­as, AngÃ©lica Soledad (Coordinador)-Serna Tuya, Juan MoisÃ©s de la (Coordinador)</t>
  </si>
  <si>
    <t>Tras las huellas de SÃ³crates: reflexiones sobre la ejemplaridad y la educaciÃ³n del carÃ¡cter.</t>
  </si>
  <si>
    <t>MartÃ­nez Mares, Sara (Editor)-Fuentes, Juan Luis (Editor)</t>
  </si>
  <si>
    <t>Educar para el futuro: claves para una educaciÃ³n del siglo XXI.</t>
  </si>
  <si>
    <t>Sociedad 4.0: desafÃ­os y oportunidades para el nuevo milenio.</t>
  </si>
  <si>
    <t>RodrÃ­guez RodrÃ­guez, Juan Carlos (Editor)</t>
  </si>
  <si>
    <t>PsicologÃ­a, Complejidad y Sistemas.</t>
  </si>
  <si>
    <t>Bejarano Bache, Manuel A. (Editor)-RodrÃ­guez RodrÃ­guez, Juan Carlos (Editor)</t>
  </si>
  <si>
    <t>Psico XXI: descifrando la mente del nuevo milenio.</t>
  </si>
  <si>
    <t>RodrÃ­guez RodrÃ­guez, JosÃ© Antonio</t>
  </si>
  <si>
    <t>Enfermedades crÃ³nicas y ejercicio fÃ­sico. GuÃ­a de la red Healthy-Age</t>
  </si>
  <si>
    <t>Marcos Pardo, Pablo Jorge (Editor)-Abraldes Valeiras, JosÃ© Arturo (Editor)-Vaquero-CristÃ³bal, Raquel (Editor)</t>
  </si>
  <si>
    <t>InvestigaciÃ³n y conocimientos en la educaciÃ³n actual.</t>
  </si>
  <si>
    <t>Navarro-Granados, MarÃ­a (Coordinador)-SÃ¡nchez Amate, JosÃ© JesÃºs (Coordinador)-Berbel Oller, Pablo (Coordinador)-RodrÃ­guez JimÃ©nez, Carmen (Coordinador)</t>
  </si>
  <si>
    <t>EducaciÃ³n y Competencias para el Futuro: PrÃ¡cticas Innovadoras y MÃ©todos de EvaluaciÃ³n.</t>
  </si>
  <si>
    <t>Carranza AlcÃ¡ntar, MarÃ­a del RocÃ­o (Coordinador)-Ruiz SÃ¡nchez, Rosana (Coordinador)</t>
  </si>
  <si>
    <t>EducaciÃ³n en tiempos de transformaciÃ³n: innovaciÃ³n, adaptaciÃ³n y desafÃ­o.</t>
  </si>
  <si>
    <t>Avelar Ãlvarez, MarÃ­a Esther (Coordinador)-Islas Torres, Claudia (Coordinador)-Delgado GonzÃ¡lez, MarÃ­a del Consuelo (Coordinador)-Romero GarcÃ­a, Carmen (Coordinador)</t>
  </si>
  <si>
    <t>PedagogÃ­a innovadora: transformando la enseÃ±anza en el siglo XXI.</t>
  </si>
  <si>
    <t>PeÃ±a Estrada, Claudia Cintya (Coordinador)-JimÃ©nez Padilla, Alma Azucena (Coordinador)-MartÃ­nez RodrÃ­guez, Reyna del Carmen (Coordinador)-BenÃ­tez Corona, Lilia (Coordinador)</t>
  </si>
  <si>
    <t>InnovaciÃ³n Educativa: Explorando las nuevas fronteras del aprendizaje.</t>
  </si>
  <si>
    <t>Islas Torres, Claudia (Coordinador)-Carrera SÃ¡nchez, MarÃ­a Margarita (Coordinador)-BuzÃ³n GarcÃ­a, Oiga (Coordinador)-Ocampo Tallavas, MarÃ­a Isabel (Coordinador)</t>
  </si>
  <si>
    <t>FormaciÃ³n innovadora en la educaciÃ³n contemporÃ¡nea.</t>
  </si>
  <si>
    <t>OrdÃ³Ã±ez Olmedo, Eva (Coordinador)-LÃ³pez Meneses, Eloy (Coordinador)</t>
  </si>
  <si>
    <t>Nuevos enfoques y mÃ©todos en la geografÃ­a de los servicios. Sostenibilidad, consumo y responsabilidad social para el cambio</t>
  </si>
  <si>
    <t>Fajardo Magraner, FÃ©lix (Editor)-Pitarch Garrido, MarÃ­a Dolores (Editor)-Serrano Lara, J. Javier (Editor)-Osada SaurÃ­, David de la (Editor)-Zornoza Gallego, Carmen (Editor)</t>
  </si>
  <si>
    <t>La cuestiÃ³n de la comunicaciÃ³n desde las universidades: enfoques multidisciplinares.</t>
  </si>
  <si>
    <t>Hidalgo-MarÃ­, Tatiana (Coordinador)-Herrero-GutiÃ©rrez, Javier (Coordinador)</t>
  </si>
  <si>
    <t>La necesaria transiciÃ³n hacia un modelo econÃ³mico y social mÃ¡s ecolÃ³gico como condicionante de la contrataciÃ³n laboral. Libro de difusiÃ³n de la investigaciÃ³n realizada en el marco del Instituto JUVUMA y de varios proyectos y grupos de I+D</t>
  </si>
  <si>
    <t>GÃ³mez Salado, Miguel Ãngel (Director)-GonzÃ¡lez Cobaleda, EstefanÃ­a (Director)-Ruiz Santamaria, JosÃ© Luis (Director)-Cabello RoldÃ¡n, AÃ­da (Coordinador)</t>
  </si>
  <si>
    <t>DesafÃ­os de la educaciÃ³n geogrÃ¡fica. Homenaje a XosÃ© M. Souto.</t>
  </si>
  <si>
    <t>Miguel GonzÃ¡lez, Rafael de (Coordinador)-KratochvÃ­l, Ondrej (Coordinador)-SebastiÃ¡n LÃ³pez, MarÃ­a (Coordinador)</t>
  </si>
  <si>
    <t>DesafÃ­os para la educaciÃ³n patrimonial. Homenaje a Roser Calaf Masachs.</t>
  </si>
  <si>
    <t>GarcÃ­a Ceballos, Silvia (Coordinador)-GonzÃ¡lez GonzÃ¡lez, JosÃ© Manuel (Coordinador)-HernÃ¡ndez de la Cruz, JosÃ© Manuel (Coordinador)</t>
  </si>
  <si>
    <t>DesafÃ­os para la educaciÃ³n histÃ³rica. Homenaje a Isidoro GonzÃ¡lez Galle.</t>
  </si>
  <si>
    <t>Paricio Royo, Javier (Coordinador)-Aso MorÃ¡n, Borja (Coordinador)-MÃ©rida Donoso, JosÃ© Antonio (Coordinador)</t>
  </si>
  <si>
    <t>DesafÃ­os para la educaciÃ³n democrÃ¡tica. Homenaje a JesÃºs Estepa GimÃ©n.</t>
  </si>
  <si>
    <t>Rivero Gracia, Pilar (Coordinador)-DomÃ­nguez Sanz, Pedro L. (Coordinador)-PallarÃ©s JimÃ©nez, Miguel Ãngel (Coordinador)</t>
  </si>
  <si>
    <t>Transformando a EducaÃ§Ã£o Ibero-americana: polÃ­ticas, prÃ¡ticas e tecnologÃ­as para a diversidade. Transformando la EducaciÃ³n Iberoamericana: PolÃ­ticas, PrÃ¡cticas y TecnologÃ­as para la Diversidad</t>
  </si>
  <si>
    <t>Bizelli, JosÃ© Luis-MartÃ­n Bris, Mario-CatalÃ¡n Cueto, Juan Pablo</t>
  </si>
  <si>
    <t>El origen de la justicia restaurativa como mÃ©todo de soluciÃ³n del conflicto y de protecciÃ³n de las vÃ­ctimas de infracciones penales.</t>
  </si>
  <si>
    <t>Polo HernÃ¡ndez, Manuel</t>
  </si>
  <si>
    <t>El deporte en las ciencias sociales contemporÃ¡neas.</t>
  </si>
  <si>
    <t>MuÃ±oz-SÃ¡nchez, VÃ­ctor Manuel (Coordinador)-PÃ©rez-Flores, Antonio Manuel (Coordinador)-Jordi SÃ¡nchez, Mario (Coordinador)</t>
  </si>
  <si>
    <t>TransformaciÃ³ Digital de lâ€™EducaciÃ³ a lâ€™Era de la IntelÂ·ligÃ¨ncia Artificial: Una RevoluciÃ³ Imparable.</t>
  </si>
  <si>
    <t>Valls Bautista, Cristina-Holgado Garcia, Josep-MarquÃ©s MolÃ­as, Luis-Usart RodrÃ­guez, Mireia</t>
  </si>
  <si>
    <t>Bases para un derecho ambiental del siglo XXII. Presupuestos fÃ¡cticos, conceptuales, constitucionales y metodolÃ³gicos. El principio de globalidad</t>
  </si>
  <si>
    <t>Educar para la felicidad.</t>
  </si>
  <si>
    <t>JimÃ©nez HernÃ¡ndez, Antonio Salvador (Coordinador)-Quiroga CarreÃ±o, Johanna Alexandra (Coordinador)-Vergara Arboleda, Maribel (Coordinador)-Castillo Contreras, Ingrid Catalina (Coordinador)-Silva Rivera, Laura (Coordinador)</t>
  </si>
  <si>
    <t>GeografÃ­a y educaciÃ³n: reflexiones y experiencias para un entorno sostenible.</t>
  </si>
  <si>
    <t>Jerez GarcÃ­a, Ã“scar (Editor)</t>
  </si>
  <si>
    <t>FormaciÃ³n docente y participaciÃ³n ciudadana: innovaciÃ³n educativa para la sostenibilidad y el desarrollo integral.</t>
  </si>
  <si>
    <t>Callejas AlbiÃ±ana, Ana Isabel (Editor)</t>
  </si>
  <si>
    <t>EducaciÃ³n para la ciudadanÃ­a activa: innovaciÃ³n y prÃ¡cticas emergentes en los contextos educativos.</t>
  </si>
  <si>
    <t>Bejarano Franco, MarÃ­a Teresa (Editor)</t>
  </si>
  <si>
    <t>El pensamiento geogrÃ¡fico y su enseÃ±anza en el siglo XXI. Tendencias y perspectivas a travÃ©s del proyecto de participaciÃ³n ciudadana Â¡Nosotros Proponemos!</t>
  </si>
  <si>
    <t>RodrÃ­guez-Domenech, MÂª Ãngeles (Editor)</t>
  </si>
  <si>
    <t>Violencia estructural en la educaciÃ³n media superior: percepciones y realidades.</t>
  </si>
  <si>
    <t>EDUCATION / Violence &amp; Harassment</t>
  </si>
  <si>
    <t>Avelar Ãlvarez, MarÃ­a Esther (Coordinador)</t>
  </si>
  <si>
    <t>Descifrando lo invisible: Una perspectiva holÃ­stica sobre el acoso escolar.</t>
  </si>
  <si>
    <t>FAMILY &amp; RELATIONSHIPS / Bullying</t>
  </si>
  <si>
    <t>Olondriz Valverde, Aleix (Editor)-Ramos-Pla, Anabel (Editor)</t>
  </si>
  <si>
    <t>Ciencia abierta: fundamento y principios de derecho procesal.</t>
  </si>
  <si>
    <t>Calaza LÃ³pez, Sonia (Director)-OrdeÃ±ana Gezuraga, Ixusko (Director)</t>
  </si>
  <si>
    <t>La integraciÃ³n de la prÃ¡ctica profesional y la gamificaciÃ³n como estrategias de innovaciÃ³n docente en la enseÃ±anza de las ciencias jurÃ­dico-sociales y econÃ³micas.</t>
  </si>
  <si>
    <t>PerÃ¡n Quesada, Salvador (Director)-GÃ³mez Salado, Miguel Ãngel (Director)-Montes Adalid, Gloria MarÃ­a (Coordinador)-Castro Medina, Raquel (Coordinador)</t>
  </si>
  <si>
    <t>Innovar para Educar: Nuevos caminos en el Ã¡mbito de la enseÃ±anza en edificaciÃ³n.</t>
  </si>
  <si>
    <t>VerdÃº VÃ¡zquez, Amparo (Editor)-Vidales Barriguete, Alejandra (Editor)-MorÃ³n Barrios, Alberto (Editor)</t>
  </si>
  <si>
    <t>Las vanguardias cientÃ­ficas de AmÃ©rica Latina.</t>
  </si>
  <si>
    <t>HISTORY / Latin America / General</t>
  </si>
  <si>
    <t>Gallego HernÃ¡ndez, Ana Cristina (Coordinador)</t>
  </si>
  <si>
    <t>Nuevos enfoques para la mejora del proceso de enseÃ±anza-aprendizaje de los Trabajos Fin de Grado en humanidades, ciencias sociales y educaciÃ³n.</t>
  </si>
  <si>
    <t>FernÃ¡ndez Paradas, Antonio Rafael (Editor)-FernÃ¡ndez-Paradas, Mercedes (Editor)-Pinto Tortosa, Antonio JesÃºs (Editor)</t>
  </si>
  <si>
    <t>InnovaciÃ³n en acciÃ³n: casos y experiencias en la docencia de ciencias econÃ³micas y empresariales.</t>
  </si>
  <si>
    <t>Oliver Alfonso, MarÃ­a Dolores (Coordinador)-Albort Morant, Gema (Coordinador)</t>
  </si>
  <si>
    <t>Nuevos enfoques en la docencia y la investigaciÃ³n de las ciencias jurÃ­dicas y otras disciplinas.</t>
  </si>
  <si>
    <t>Soria RodrÃ­guez, Carlos (Coordinador)-Manetsberger, Julia (Coordinador)</t>
  </si>
  <si>
    <t>InnovaciÃ³n pedagÃ³gica y tecnologÃ­as digitales en la docencia de las ciencias sociales.</t>
  </si>
  <si>
    <t>PÃ©rez-Curiel, Concha (Coordinador)-DomÃ­nguez-GarcÃ­a, Ricardo (Coordinador)-Zarauza Castro, Jorge (Coordinador)</t>
  </si>
  <si>
    <t>InnovaciÃ³n en el aula nuevas estrategias didÃ¡cticas en humanidades.</t>
  </si>
  <si>
    <t>Granados Chiguer, Isabel (Coordinador)-JimÃ©nez JimÃ©nez, VerÃ³nica (Coordinador)-Carretero BruÃ±a, JosÃ© AndrÃ©s (Coordinador)-Miguel Naranjo, Pedro (Coordinador)-Ãlvarez GarcÃ­a, Juan (Coordinador)</t>
  </si>
  <si>
    <t>Construyendo comunidad: investigaciÃ³n, acciÃ³n, participaciÃ³n en inclusiÃ³n residencial.</t>
  </si>
  <si>
    <t>Botija, Mercedes-GalÃ¡n Sanantonio, Alba-GallÃ©n Granell, Eva-Villalonga, Meritxell</t>
  </si>
  <si>
    <t>FormaciÃ³n docente y TEA: estrategias metodolÃ³gicas y recursos digitales en la educaciÃ³n superior.</t>
  </si>
  <si>
    <t>Montenegro Rueda, Marta-FernÃ¡ndez Cerero, JosÃ©</t>
  </si>
  <si>
    <t>Construyendo el futuro de la educaciÃ³n superior en la era digital.</t>
  </si>
  <si>
    <t>JimÃ©nez GarcÃ­a, Eva (Coordinador)-Velasco Quintana, Paloma J. (Coordinador)</t>
  </si>
  <si>
    <t>Experiencias didÃ¡cticas para EducaciÃ³n Ambiental en las Lagunas de la MoraÃ±a (3-16 aÃ±os). Escuela Infantil La EncarnaciÃ³n, Colegio Rural Agrupado Los Fresnos e Instituto de EducaciÃ³n Secundaria Alonso de Madrigal</t>
  </si>
  <si>
    <t>Guevara Herrero, Irene (Editor)-PÃ©rez MartÃ­n, JosÃ© Manuel (Editor)</t>
  </si>
  <si>
    <t>El trauma psicolÃ³gico a la luz de Santo TomÃ¡s de Aquino.</t>
  </si>
  <si>
    <t>PSYCHOLOGY / Trauma Psychology</t>
  </si>
  <si>
    <t>de los Bueis OrdÃ³Ã±ez, Fernando</t>
  </si>
  <si>
    <t>InnovaciÃ³n educativa y transformaciÃ³n social. Propuestas para los actuales desafÃ­os</t>
  </si>
  <si>
    <t>LÃ³pez Meneses, Eloy-Cobos-Sanchiz, David-Molina-GarcÃ­a, Laura-JaÃ©n-MartÃ­nez, Alicia-MartÃ­n-Padilla, Antonio-Hilario</t>
  </si>
  <si>
    <t>Calidad e innovaciÃ³n pedagÃ³gica. Experiencias docentes y tecnolÃ³gicas aplicadas al aula</t>
  </si>
  <si>
    <t>LÃ³pez-Meneses, Eloy-Cobos-Sanchiz, David-JaÃ©n-MartÃ­nez, Alicia-MartÃ­n-Padilla, Antonio-Hilario-Molina-GarcÃ­a, Laura</t>
  </si>
  <si>
    <t>La aplicaciÃ³n de ChatGPT y otras herramientas de inteligencia artificial en el aula universitaria.</t>
  </si>
  <si>
    <t>COMPUTERS / Artificial Intelligence / Generative AI</t>
  </si>
  <si>
    <t>GutiÃ©rrez Castillo, VÃ­ctor Luis (Coordinador)</t>
  </si>
  <si>
    <t>Los derechos de las mujeres en la sociedad digital.</t>
  </si>
  <si>
    <t>ArÃ¡nguez SÃ¡nchez, Tasia (Coordinador)-Olariu, Ozana (Coordinador)</t>
  </si>
  <si>
    <t>Retos y riesgos de la psicologÃ­a actual.</t>
  </si>
  <si>
    <t>Arcos RodrÃ­guez, Aroa (Coordinador)-Thomas CurrÃ¡s, Helena (Coordinador)</t>
  </si>
  <si>
    <t>Transformando la educaciÃ³n interprofesional con un enfoque Onehealth: simulaciÃ³n y tecnologÃ­a.</t>
  </si>
  <si>
    <t>Oliva FernÃ¡ndez, Oscar (Coordinador)-RodrÃ­guez Molina, Susana (Coordinador)-MartÃ­nez Pascual, Beatriz (Coordinador)-GonzÃ¡lez De Ramos, Cristina (Coordinador)</t>
  </si>
  <si>
    <t>BiosofÃ­as. El valor filosÃ³fico del relato biogrÃ¡fico en la antigÃ¼edad.</t>
  </si>
  <si>
    <t>PHILOSOPHY / Language</t>
  </si>
  <si>
    <t>Ruiz SÃ¡nchez, JosÃ© Carlos</t>
  </si>
  <si>
    <t>Dafonte-GÃ³mez, Alberto (Coordinador)-MÃ­guez GonzÃ¡lez, MarÃ­a Isabel (Coordinador)</t>
  </si>
  <si>
    <t>Avances en los estudios de lingÃ¼Ã­stica hispÃ¡nica: perspectivas teÃ³ricas y aplicadas entre lengua y sociedad.</t>
  </si>
  <si>
    <t>Mariottini, Laura (Coordinador)-Palmerini, Monica (Coordinador)</t>
  </si>
  <si>
    <t>Estudios sobre educaciÃ³n, patrimonio y creatividad.</t>
  </si>
  <si>
    <t>JimÃ©nez GarcÃ­a, Elena (Editor)-Munilla Garrido, Carlos (Editor)-MartÃ­nez Ezquerro, Aurora (Editor)-Fuente Ballesteros, Ricardo de la (Editor)-Valverde Olmedo, Beatriz (Editor)</t>
  </si>
  <si>
    <t>Docencia compartida: estrategias y experiencias desde y para las aulas.</t>
  </si>
  <si>
    <t>Sandoval Mena, Marta (Director)</t>
  </si>
  <si>
    <t>Alteridades: voces, pieles y gÃ©neros entre la discriminaciÃ³n y la inclusiÃ³n social.</t>
  </si>
  <si>
    <t>Olivero Guidobono, Sandra (Coordinador)-Paz Reverol, Carmen Laura (Coordinador)</t>
  </si>
  <si>
    <t>Tendencias de investigaciÃ³n en comunicaciÃ³n.</t>
  </si>
  <si>
    <t>Mayorga Escalada, Santiago (Coordinador)</t>
  </si>
  <si>
    <t>Nuevos avances en educaciÃ³n: metodologÃ­as didÃ¡cticas para la enseÃ±anza de lenguas extranjeras y educaciÃ³n fÃ­sica.</t>
  </si>
  <si>
    <t>Valero Redondo, MarÃ­a (Coordinador)-MÃ©ndez DomÃ­nguez, CÃ©sar (Coordinador)-DÃ­az RodrÃ­guez, Marina (Coordinador)</t>
  </si>
  <si>
    <t>Revolucionando la docencia universitaria: innovaciÃ³n educativa en la era de la IA y la gamificaciÃ³n.</t>
  </si>
  <si>
    <t>BarcelÃ³ Ugarte, Teresa (Coordinador)-MartÃ­n GarcÃ­a, Alejandro (Coordinador)-Mora MÃ¡rquez, Manuel (Coordinador)</t>
  </si>
  <si>
    <t>Repensar, rehacer: reflexiones y experiencias sobre innovaciÃ³n docente en ciencias sociales y humanidades.</t>
  </si>
  <si>
    <t>RodrÃ­guez RodrÃ­guez, MarÃ­a del Carmen (Coordinador)-HernÃ¡ndez HernÃ¡ndez, Carlos Gregorio (Coordinador)-SÃ¡nchez Pita, Fernando (Coordinador)</t>
  </si>
  <si>
    <t>La transformaciÃ³n educativa: metodologÃ­as de innovaciÃ³n docente aplicadas en ciencias de la salud, riesgos psicosociales e inclusiÃ³n social.</t>
  </si>
  <si>
    <t>Hidalgo-Cobo, Pablo (Coordinador)-Velasco Furlong, Lilian (Coordinador)-Arcos RodrÃ­guez, Aroa (Coordinador)</t>
  </si>
  <si>
    <t>Estrategias y transiciones socio-tÃ©cnicas para la era de la inteligencia artificial.</t>
  </si>
  <si>
    <t>CastellÃ³-Sirvent, Fernando (Coordinador)-Peris-Ortiz, Marta (Coordinador)-Roger-MonzÃ³, Vanessa (Coordinador)</t>
  </si>
  <si>
    <t>La trama del pensamiento: palabra, miente y belleza en la cultura contemporÃ¡nea.</t>
  </si>
  <si>
    <t>BermÃºdez VÃ¡zquez, Manuel (Coordinador)-Otero SantamarÃ­a, Julio (Coordinador)</t>
  </si>
  <si>
    <t>DiÃ¡logo frente a espejismo: ensayos sobre pensamiento y sociedad en el mundo contemporÃ¡neo.</t>
  </si>
  <si>
    <t>BermÃºdez VÃ¡zquez, Manuel (Coordinador)-Rojano SimÃ³n, Marta (Coordinador)</t>
  </si>
  <si>
    <t>Los logros de la gobernabilidad en AmÃ©rica Latina.</t>
  </si>
  <si>
    <t>Fillol Mazo, Adriana (Coordinador)</t>
  </si>
  <si>
    <t>Las prÃ¡cticas artÃ­sticas: un camino para la transformaciÃ³n socio-educativa.</t>
  </si>
  <si>
    <t>MartÃ­nez VÃ©rez, Victoria (Coordinador)-DomÃ­nguez Lloria, Sara (Coordinador)-Gil RuÃ­z, Paula (Coordinador)</t>
  </si>
  <si>
    <t>Cuerpos en trÃ¡nsito: explorando intersecciones emergentes y raÃ­ces culturales.</t>
  </si>
  <si>
    <t>Marco Arocas, Elisabet (Coordinador)-Faus Bertomeu, Aina (Coordinador)</t>
  </si>
  <si>
    <t>Cuerpos en diÃ¡logo: tejiendo ecos de diversidad e identidad.</t>
  </si>
  <si>
    <t>Robledo DÃ­az, LuÃ­s (Coordinador)-Grau i MuÃ±oz, Arantxa (Coordinador)</t>
  </si>
  <si>
    <t>Adolescentes migrantes sin referentes familiares. Responsabilidad polÃ­tica, solidaridad y conciencia ciudadana</t>
  </si>
  <si>
    <t>JimÃ©nez HernÃ¡ndez, Antonio Salvador (Coordinador)-GÃ³mez Vicario, Mariana (Coordinador)-LÃ³pez Lajusticia, Gema (Coordinador)-Mengual MartÃ­n, Inmaculada (Coordinador)</t>
  </si>
  <si>
    <t>English Linguistics Meets the 21th Century.</t>
  </si>
  <si>
    <t>MartÃ­n GonzÃ¡lez, Daniel (Coordinador)-RomÃ¡n Porras, Patricia (Coordinador)</t>
  </si>
  <si>
    <t>Competencias socioemocionales en el contexto universitario.</t>
  </si>
  <si>
    <t>Mauri Medrano, Marta (Coordinador)-FalcÃ³n Linares, Carolina (Coordinador)</t>
  </si>
  <si>
    <t>Buenas prÃ¡cticas universitarias para la mejora del compromiso educativo y social.</t>
  </si>
  <si>
    <t>GÃ³nzalez Yubero, Sara (Coordinador)</t>
  </si>
  <si>
    <t>EducaciÃ³n 360: emociones, tecnologÃ­a, evaluaciÃ³n e inclusiÃ³n en la era digital.</t>
  </si>
  <si>
    <t>Romero GarcÃ­a, Carmen (Coordinador)-BuzÃ³n GarcÃ­a, Olga (Coordinador)</t>
  </si>
  <si>
    <t>Aprendizaje 4.0: inteligencia artificial, redes sociales y rol docente en la era digital.</t>
  </si>
  <si>
    <t>BuzÃ³n GarcÃ­a, Olga (Coordinador)-Romero GarcÃ­a, Carmen (Coordinador)</t>
  </si>
  <si>
    <t>Aproximaciones culturales y didÃ¡cticas: al hecho literario.</t>
  </si>
  <si>
    <t>Laguna Mariscal, Gabriel (Coordinador)-MartÃ­nez Sariego, MÃ³nica MarÃ­a (Coordinador)</t>
  </si>
  <si>
    <t>Avance en investigaciÃ³n sobre literatura: teorÃ­a y crÃ­tica.</t>
  </si>
  <si>
    <t>MartÃ­nez Sariego, MÃ³nica MarÃ­a (Coordinador)-Laguna Mariscal, Gabriel (Coordinador)</t>
  </si>
  <si>
    <t>Mirko Presser-Antonio Skarmeta-Srdjan Krco-Aurora GonzÃ¡lez Vidal</t>
  </si>
  <si>
    <t>The Ocean Incubator Network Learning Toolkit</t>
  </si>
  <si>
    <t>Margherita Paola Poto-Laura Vita</t>
  </si>
  <si>
    <t>The Birds That Wouldnâ€™t Sing</t>
  </si>
  <si>
    <t xml:space="preserve"> Justin Smith</t>
  </si>
  <si>
    <t>Being in Shadow and Light</t>
  </si>
  <si>
    <t xml:space="preserve"> Dina Zoe Belluigi</t>
  </si>
  <si>
    <t>Learning Statistics with Jamovi</t>
  </si>
  <si>
    <t xml:space="preserve"> Danielle Navarro-David Foxcroft</t>
  </si>
  <si>
    <t>Requiem</t>
  </si>
  <si>
    <t>FICTION / Literary</t>
  </si>
  <si>
    <t xml:space="preserve"> Teresa Carmody</t>
  </si>
  <si>
    <t>State Power in Land Reform</t>
  </si>
  <si>
    <t xml:space="preserve"> Thorvald Gran</t>
  </si>
  <si>
    <t>Federalism and the Law of Diversity</t>
  </si>
  <si>
    <t>NicolÃ² P. Alessi-Martina Trettel</t>
  </si>
  <si>
    <t>Ownership Regimes in the Iberian World (1500â€“1850)</t>
  </si>
  <si>
    <t>Manuel Bastias Saavedra</t>
  </si>
  <si>
    <t>A Chinese Reformer in Exile</t>
  </si>
  <si>
    <t>Robert L. Worden-Jane Leung Larson</t>
  </si>
  <si>
    <t>Intentional Invisibilization in Modern Asian History: Concealing and Self-Concealed Agents</t>
  </si>
  <si>
    <t>MÃ²nica GinÃ©s-Blasi</t>
  </si>
  <si>
    <t>Weltkarten fÃ¼r Ranulph Higdens Polychronicon</t>
  </si>
  <si>
    <t>Cornelia Dreer</t>
  </si>
  <si>
    <t>Icons, Ornaments, and Other Charms of Christian Arabic Books</t>
  </si>
  <si>
    <t>Oana Iacubovschi-Samuel Noble-Ioana Feodorov</t>
  </si>
  <si>
    <t>Scalable Data Management for Future Hardware</t>
  </si>
  <si>
    <t>Kai-Uwe Sattler-Alfons Kemper-Thomas Neumann-Jens Teubner</t>
  </si>
  <si>
    <t>Green and Digital Transition in the European Union. Report From the Seminar Under the Project of Jean Monnet Center of Excellence â€œResilient and Transforming Europeâ€ Transform EU</t>
  </si>
  <si>
    <t>Dorota CzyÅ¼ewska-Misztal, Ida MusiaÅ‚kowska, Krzysztof Walczak (Eds.)</t>
  </si>
  <si>
    <t>Jahrbuch Migration und Gesellschaft 2023/2024</t>
  </si>
  <si>
    <t>Hans Karl Peterlini-Jasmin Donlic</t>
  </si>
  <si>
    <t>Intergeschlechtlichkeit in pÃ¤dagogischen Kontexten</t>
  </si>
  <si>
    <t>Mart Enzendorfer</t>
  </si>
  <si>
    <t>Geistiges im Lebendigen</t>
  </si>
  <si>
    <t>Ottmar LeiÃŸ</t>
  </si>
  <si>
    <t>BewÃ¤hrung durch Unterwerfung</t>
  </si>
  <si>
    <t>Roman Felde</t>
  </si>
  <si>
    <t>Ethik der Partizipation</t>
  </si>
  <si>
    <t>Corinna Klingler-Anja Pichl-Robert Ranisch</t>
  </si>
  <si>
    <t>Practicing the Family</t>
  </si>
  <si>
    <t>Sabine Bollig-Lisa GroÃŸ</t>
  </si>
  <si>
    <t>Deutsches Schifffahrtsarchiv 41, 2024</t>
  </si>
  <si>
    <t>HISTORY / Maritime History &amp; Piracy</t>
  </si>
  <si>
    <t>Deutsches Schifffahrtsmuseum</t>
  </si>
  <si>
    <t>Â»Im Grunde ist alles, was gesagt wird, zitiertÂ«</t>
  </si>
  <si>
    <t>Robin-M. Aust</t>
  </si>
  <si>
    <t>Gaming the Metaverse</t>
  </si>
  <si>
    <t>Benjamin Beil-Gundolf S. Freyermuth-Isabelle Hamm-Vanessa Ossa</t>
  </si>
  <si>
    <t>How Does the Psychiatrist Know?</t>
  </si>
  <si>
    <t>Adrian Kind</t>
  </si>
  <si>
    <t>Rule &amp; Resistance in the Nuclear Order</t>
  </si>
  <si>
    <t>Sascha Hach</t>
  </si>
  <si>
    <t>Kulturhauptstadt Chemnitz 2025</t>
  </si>
  <si>
    <t>Thomas Laux-Ulf Bohmann</t>
  </si>
  <si>
    <t>Gesundheit in der Postmoderne</t>
  </si>
  <si>
    <t>Marina BÃ¶ddeker-Thomas Hehlmann</t>
  </si>
  <si>
    <t>Voice Assistants in Private Homes</t>
  </si>
  <si>
    <t>Stephan Habscheid-Tim Hector-Dagmar Hoffmann-David Waldecker</t>
  </si>
  <si>
    <t>Choreografien des Taktilen</t>
  </si>
  <si>
    <t>PERFORMING ARTS / Dance / History &amp; Criticism</t>
  </si>
  <si>
    <t>Dominika Cohn</t>
  </si>
  <si>
    <t>Verdacht und Kontrolle</t>
  </si>
  <si>
    <t>Roman Thurn</t>
  </si>
  <si>
    <t>Kunst im Religionsunterricht â€“ Empirische Erkundungen heterogenitÃ¤tssensibler Lernprozesse</t>
  </si>
  <si>
    <t>Claudia GÃ¤rtner-Britta Konz</t>
  </si>
  <si>
    <t>Partizipation und soziale AusschlieÃŸung</t>
  </si>
  <si>
    <t>Stephanie Pigorsch</t>
  </si>
  <si>
    <t>Formierungen des Interface</t>
  </si>
  <si>
    <t>Sabine Wirth</t>
  </si>
  <si>
    <t>Marx's Others</t>
  </si>
  <si>
    <t>POLITICAL SCIENCE / Political Ideologies / Capitalism</t>
  </si>
  <si>
    <t>Edith Otero Quezada-Vanessa Lara Ullrich</t>
  </si>
  <si>
    <t>Figuring Out Spaces</t>
  </si>
  <si>
    <t>Jochen Kibel-Nina Meier-Silke Steets-Gunter Weidenhaus</t>
  </si>
  <si>
    <t>Wirtschaft und IdentitÃ¤t erzÃ¤hlen</t>
  </si>
  <si>
    <t>Karin Terborg</t>
  </si>
  <si>
    <t>Armutsdiskurse</t>
  </si>
  <si>
    <t>Anja Kerle-Fabian Kessl-Alban Knecht</t>
  </si>
  <si>
    <t>Palimpsest und Raum</t>
  </si>
  <si>
    <t>Marian Nebelin-Christina Sanchez-Stockhammer-Cecile Sandten</t>
  </si>
  <si>
    <t>ReligiÃ¶se Aneignung bei Jugendlichen</t>
  </si>
  <si>
    <t>Martina Reiner</t>
  </si>
  <si>
    <t>Die Polizei in der offenen Gesellschaft</t>
  </si>
  <si>
    <t>Sabrina Ellebrecht-Ralf Poscher-Stefan Jarolimek-Stefan Kaufmann</t>
  </si>
  <si>
    <t>Berlins Weg in die Moderne</t>
  </si>
  <si>
    <t>Samuel Eleazar Wendt-Felix TÃ¶ppel-Lilja-Ruben Vowe-Klaus Weber</t>
  </si>
  <si>
    <t>KoprÃ¤senz</t>
  </si>
  <si>
    <t>Heiko Hausendorf</t>
  </si>
  <si>
    <t>Â«Poor imagesÂ» â€“ arme Bilder?</t>
  </si>
  <si>
    <t>Helena Schmidt</t>
  </si>
  <si>
    <t>Schweigen, Scham und MÃ¤nnlichkeit</t>
  </si>
  <si>
    <t>Myriam Raboldt</t>
  </si>
  <si>
    <t>The Heirs of Avicenna: Philosophy in the Islamic East, 12â€“13th Centuries</t>
  </si>
  <si>
    <t>Peter Adamson-Fedor Benevich-Dustin Klinger</t>
  </si>
  <si>
    <t>Physics in Minervaâ€™s Academy</t>
  </si>
  <si>
    <t>Steffen Ducheyne</t>
  </si>
  <si>
    <t>Music, the Market, and the Marvellous</t>
  </si>
  <si>
    <t>Tommaso Sabbatini</t>
  </si>
  <si>
    <t>The Terrorism News Beat</t>
  </si>
  <si>
    <t>Aaron M. Hoffman</t>
  </si>
  <si>
    <t>Mechanical Design and Simulation: Exploring Innovations for the Future</t>
  </si>
  <si>
    <t>TECHNOLOGY &amp; ENGINEERING / Industrial Design / General</t>
  </si>
  <si>
    <t>Duc Truong Pham-Yaguo Lei-Yanshan Lou</t>
  </si>
  <si>
    <t>Adult Social Care Law and Policy</t>
  </si>
  <si>
    <t>Jean V. McHale-Laura Noszlopy</t>
  </si>
  <si>
    <t>The QuÃ©bec-United States Relationship</t>
  </si>
  <si>
    <t>FrÃ©dÃ©rick Gagnon-Christopher Kirkey-StÃ©phane Paquin</t>
  </si>
  <si>
    <t>Desarrollo Sostenible y Responsabilidad Social: un deber universitario</t>
  </si>
  <si>
    <t>Edgar Pacheco Luza-Crayla Alfaro Aucca (eds)</t>
  </si>
  <si>
    <t>Marco analÃ­tico de modelos policiales de seguridad pÃºblica para disminuir la incidencia delictiva en CuliacÃ¡n, Sinaloa</t>
  </si>
  <si>
    <t>XicotÃ©ncatl Reyes BazÃºa-Luis Alfredo Vega Osuna-Luis Roberto Torres LÃ³pez-Lisandro JosÃ© Alvarado-PeÃ±a-Ignacia Murillo Castro</t>
  </si>
  <si>
    <t>InvestigaciÃ³n etnogrÃ¡fica ambiental y participativa en Jequetepeque. Comprendiendo la problemÃ¡tica proponiendo soluciones sostenibles</t>
  </si>
  <si>
    <t>Iris Liliana VÃ¡squez Alburqueque-Yoya Betzabe Flores Perez-Wilson Hugo Chunga Amaya-JosÃ© Wualter Pelaez Amado-Walter Esteban Janampa Castillo-Joselito MoisÃ©s LujÃ¡n Miguel-Jesus Antonio Villanueva Javes-Janina Moquillaza SÃ¡nchez</t>
  </si>
  <si>
    <t>SozialpÃ¤dagogische Subjekt- und Adressierungspraktiken</t>
  </si>
  <si>
    <t>Julian Sehmer</t>
  </si>
  <si>
    <t>Public Participation in Governance of Industrial Safety Risks</t>
  </si>
  <si>
    <t>Corinne Bieder-HervÃ© Laroche-Caroline KamatÃ©</t>
  </si>
  <si>
    <t>Europeanisation As Violence</t>
  </si>
  <si>
    <t>Kolar Aparna-Daria Krivonos-Elisa Pascucci</t>
  </si>
  <si>
    <t>Citizen Participation in Sustainable Urban Development</t>
  </si>
  <si>
    <t>Tuomas Ahola-Nina Tura-Ville Ojanen-Agnar Johansen</t>
  </si>
  <si>
    <t>Socioculturally Responsive Assessment</t>
  </si>
  <si>
    <t>Randy E. Bennett-Linda Darling-Hammond-Aneesha Badrinarayan</t>
  </si>
  <si>
    <t>District Leadership for Racial Equity</t>
  </si>
  <si>
    <t>Larkin Willis-Desiree Carver-Thomas-Linda Darling-Hammond</t>
  </si>
  <si>
    <t>Partnering with Student Ambassadors to Create More Inclusive Universities</t>
  </si>
  <si>
    <t>Ruxandra FoloÈ™tinÄƒ-Clare Gartland-Albina Khasanzyanova-Ãœmit Ã‡elen</t>
  </si>
  <si>
    <t>Water and Land in the Sahel</t>
  </si>
  <si>
    <t>Andrea Pase-Angela Kronenburg GarcÃ­a-Mariasole Pepa-Federico Gianoli-Marina Bertoncin-Carla Braga</t>
  </si>
  <si>
    <t>Proceedings of the 5th International Conference on Humanities and Social Science (ICHSS 2024)</t>
  </si>
  <si>
    <t>Evania Yafie-Primasa Minerva Nagari-Sri Handayani-Sinta Yuni Susilawati-Andy Prasetyo Wati</t>
  </si>
  <si>
    <t>A Practical Guide to Understanding and Implementing Challenge-Based Learning</t>
  </si>
  <si>
    <t>Kenan DikilitaÅŸ-Tim Marshall-Masoumeh Shahverdi</t>
  </si>
  <si>
    <t>Gebundene Kontrolle</t>
  </si>
  <si>
    <t>Simon Tebbe</t>
  </si>
  <si>
    <t>Mediendemokratie in guter Verfassung?</t>
  </si>
  <si>
    <t>Torben Klausa</t>
  </si>
  <si>
    <t>Strafverfolgung von TierschutzkriminalitÃ¤t</t>
  </si>
  <si>
    <t>Eva Maria BÃ¤cker</t>
  </si>
  <si>
    <t>Der Erbnachweis gegenÃ¼ber Kreditinstituten in der Dogmatik des deutschen Privatrechts</t>
  </si>
  <si>
    <t>LAW / Wills</t>
  </si>
  <si>
    <t>Erik M. Schlereth</t>
  </si>
  <si>
    <t>Die Bedeutung der hypothetischen Einwilligung fÃ¼r Verhaltens- und Erfolgsunrecht</t>
  </si>
  <si>
    <t>Alexandra Hall-Waldhauser</t>
  </si>
  <si>
    <t>User Experience + Artificial Intelligence</t>
  </si>
  <si>
    <t>Davide Spallazzo-Martina SciannamÃ¨-Mauro Ceconello</t>
  </si>
  <si>
    <t>Contemporary Issues in Industry 5.0</t>
  </si>
  <si>
    <t>PÃ¤ivi Aaltonen-Emil Kurvinen</t>
  </si>
  <si>
    <t>Crossing Boundaries: Methodische und methodologische Reflexionen zur Praxis der Inklusionsforschung</t>
  </si>
  <si>
    <t>Lisa Rosen-Pascal Bastian-Julia Friedrich-Erika E. Gericke-Benedikt Hopmann-Sina-Mareen KÃ¶hler-Andreas KÃ¶pfer</t>
  </si>
  <si>
    <t>Schule â€“ Gesellschaft â€“ Professionalisierung</t>
  </si>
  <si>
    <t>Doreen Cerny</t>
  </si>
  <si>
    <t>Interaktive Aufgabenbearbeitung im sprachlichen Anfangsunterricht</t>
  </si>
  <si>
    <t>Sandra Last</t>
  </si>
  <si>
    <t>Nachhaltigkeitsbewusstsein, nachhaltiges Konsumverhalten und LebensqualitÃ¤t</t>
  </si>
  <si>
    <t>Ann-Kathrin Bremer</t>
  </si>
  <si>
    <t>Estate Planning by Agreement in the Sources of Roman Law</t>
  </si>
  <si>
    <t>Aleksander Grebieniow</t>
  </si>
  <si>
    <t>Eschatologisches Denken und politisches Handeln in der Karolingerzeit</t>
  </si>
  <si>
    <t>Johanna Reitmeier-Filax</t>
  </si>
  <si>
    <t>Iconic Turn in den christlichen Konfessionen</t>
  </si>
  <si>
    <t>ART / Subjects &amp; Themes / Religious</t>
  </si>
  <si>
    <t>Malte Dominik KrÃ¼ger-Martina BÃ¤r-Daniel Benga</t>
  </si>
  <si>
    <t>A Domestic Cook Book</t>
  </si>
  <si>
    <t>COOKING / General</t>
  </si>
  <si>
    <t>Malinda Russell</t>
  </si>
  <si>
    <t>The South China Sea: The Geo-political Epicenter of the Indo-Pacific?</t>
  </si>
  <si>
    <t>Nguyen Hung Son-Nguyen Thi Lan Anh</t>
  </si>
  <si>
    <t>Knowledge Cartography for Young Thinkers</t>
  </si>
  <si>
    <t>Alexandra Okada</t>
  </si>
  <si>
    <t>Conflict Management and the Future of EU Foreign and Security Policy</t>
  </si>
  <si>
    <t>Riccardo Alcaro-Pol BarguÃ©s</t>
  </si>
  <si>
    <t>Hochschullehre gemeinsam voranbringen</t>
  </si>
  <si>
    <t>Christin Barbarino-Teresa Finsterer-Katrin Girgensohn-Lena Hotze</t>
  </si>
  <si>
    <t>Specters of Cavafy</t>
  </si>
  <si>
    <t>Maria Boletsi</t>
  </si>
  <si>
    <t>Teaching Reading Comprehension in a Digital World</t>
  </si>
  <si>
    <t>Marian Bruggink-Nicole Swart-Annelies van der Lee-Eliane Segers</t>
  </si>
  <si>
    <t>AktuÃ¡lnÃ­ problÃ©my pedagogiky ve vÃ½zkumech studentÅ¯ doktorskÃ½ch studijnÃ­ch programÅ¯ XIX: VÃ½zvy pedagogickÃ©ho vÃ½zkumu v dobÄ› sÃ­Å¥ovÃ¡nÃ­ a nastupujÃ­cÃ­ umÄ›lÃ© inteligence. RecenzovanÃ½ sbornÃ­k...</t>
  </si>
  <si>
    <t>MikovÃ¡ Jana, ChrÃ¡ska Miroslav, KantorovÃ¡ Jana (eds.)</t>
  </si>
  <si>
    <t>Diagnostika a rozvoj informatickÃ©ho myÅ¡lenÃ­ na zÃ¡kladnÃ­ch Å¡kolÃ¡ch v kontextu alternativnÃ­ch metod vÃ½uky matematiky</t>
  </si>
  <si>
    <t>BryndovÃ¡ Lucie, Klement Milan, BÃ¡rtek KvÄ›toslav</t>
  </si>
  <si>
    <t>Metodika prÃ¡ce pro sociÃ¡lnÃ­ pedagogy</t>
  </si>
  <si>
    <t>DanÄ›k JiÅ™Ã­, Å mÃ­da Jan, Å mÃ­da Jan</t>
  </si>
  <si>
    <t>UrbÃ¡nnÃ­ zelenÃ¡ infrastruktura: Od kulturnÃ­ch ekosystÃ©movÃ½ch sluÅ¾eb k biokulturnÃ­ diverzitÄ›</t>
  </si>
  <si>
    <t>Machar Ivo, DanÄ›k TomÃ¡Å¡, KilianovÃ¡ Helena, et al.</t>
  </si>
  <si>
    <t>HravÃ© uÄenÃ­, vÃ¡Å¾nÃ½ dopad: InovativnÃ­ cesty ve studiu sociÃ¡lnÃ­ prÃ¡ce a sociÃ¡lnÃ­ pedagogiky</t>
  </si>
  <si>
    <t>Å arnÃ­kovÃ¡ Gabriela,Meier ZdenÄ›k, GÃ¡bovÃ¡ KristÃ½na, et al.</t>
  </si>
  <si>
    <t>Akko III :the 1991â€“1998 Excavations: the Late Periods.Part 2,The Knight's Hotel Site, the Messika Plot and Miscellaneous Studies</t>
  </si>
  <si>
    <t>Danny Syon-Ayelet Tatcher</t>
  </si>
  <si>
    <t>Welding and Related Technologies</t>
  </si>
  <si>
    <t xml:space="preserve">TECHNOLOGY &amp; ENGINEERING / Welding </t>
  </si>
  <si>
    <t>Igor Krivtsun-Fuad Khoshnaw-Ganna Polishko-Serhiy Schwab-Roman Selin</t>
  </si>
  <si>
    <t>The Routledge Handbook of Cultural Ecosystem Services</t>
  </si>
  <si>
    <t>Pamela D. McElwee-Karen E. Allen-Rachelle K. Gould-Minna Hsu-Jun He</t>
  </si>
  <si>
    <t>The Psychology of Collective Climate Action</t>
  </si>
  <si>
    <t>Karen Hamann-Eva Junge-Paula Blumenschein-Sophia Dasch-Alex Wernke-Julian Bleh</t>
  </si>
  <si>
    <t>The Power of Rankings in Economics and Research Organizations</t>
  </si>
  <si>
    <t>Stephan PÃ¼hringer-Jens Maesse-Thierry Rossier</t>
  </si>
  <si>
    <t>Cultural Heritage, Community Engagement and Sustainable Tourism</t>
  </si>
  <si>
    <t>Steven Mithen-Mubariz Ahmed Rabbani-Maria Rabbani</t>
  </si>
  <si>
    <t>Research, Development and Innovation in the Creative Industries</t>
  </si>
  <si>
    <t>Ruxandra Lupu-Marlen Komorowski-Justin Lewis-MÃ¡tÃ© Miklos Fodor</t>
  </si>
  <si>
    <t>Revoicing Intangible Cultural Heritage</t>
  </si>
  <si>
    <t>Laura Hodsdon-Valts ErnÅ¡treits-Kadri Koreinik-Sjoerd-Jeroen Moenandar</t>
  </si>
  <si>
    <t>The Politics of Famine in European History and Memory</t>
  </si>
  <si>
    <t>Ingrid de Zwarte-Miguel Ãngel del Arco Blanco</t>
  </si>
  <si>
    <t>Security Cooperation in the Pacific Islands</t>
  </si>
  <si>
    <t>POLITICAL SCIENCE / World / Australian &amp; Oceanian</t>
  </si>
  <si>
    <t>Joanne Wallis-Henrietta McNeill-James Batley-Anna Powles</t>
  </si>
  <si>
    <t>Achieving UN Sustainable Development Goal 8: Economic Growth and Decent Work For All</t>
  </si>
  <si>
    <t>Lotta Dellve-Sharon Fonn-Gunnar KÃ¶hlin-Katrin Skagert</t>
  </si>
  <si>
    <t>Market-Oriented Disinformation Research</t>
  </si>
  <si>
    <t>BUSINESS &amp; ECONOMICS / E-Commerce / Digital Marketing</t>
  </si>
  <si>
    <t>Carlos Diaz Ruiz</t>
  </si>
  <si>
    <t>Hope and Asylum</t>
  </si>
  <si>
    <t>Torun Elsrud-Philip Lalander-Jesper Andreasson-Marcus Herz</t>
  </si>
  <si>
    <t>A Nordic Smart Sustainable City</t>
  </si>
  <si>
    <t>Barbara Maria Sageidet-Daniela MÃ¼ller-Eie-Kristiane M.F. Lindland</t>
  </si>
  <si>
    <t>Wellbeing and Policy</t>
  </si>
  <si>
    <t>Marie Briguglio-Natalia Czap-Kate Laffan</t>
  </si>
  <si>
    <t>Communicating Science, Climate Change and the Environment in Hybrid Media</t>
  </si>
  <si>
    <t>Mette Marie Roslyng-Anna Rantasila-Anna Maria JÃ¶nsson</t>
  </si>
  <si>
    <t>Future Directions in Intermediality and Multimodality</t>
  </si>
  <si>
    <t>Signe Kjaer Jensen-Matilda Davidsson</t>
  </si>
  <si>
    <t>Open Innovation and Startups</t>
  </si>
  <si>
    <t>MichaÅ‚ BaÅ„ka</t>
  </si>
  <si>
    <t>Achieving Creative Justice in the U.S. Creative Sector</t>
  </si>
  <si>
    <t>antonio c. cuyler</t>
  </si>
  <si>
    <t>A Sociology of Awkwardness</t>
  </si>
  <si>
    <t>Pauwke Berkers-Yosha Wijngaarden</t>
  </si>
  <si>
    <t>An Ethical Literary Criticism of Han Suyinâ€™s Autobiography</t>
  </si>
  <si>
    <t>Florence Kuek</t>
  </si>
  <si>
    <t>Paradigm Shifts in Management Theory</t>
  </si>
  <si>
    <t>Åukasz SuÅ‚kowski-Regina Lenart-Gansiniec</t>
  </si>
  <si>
    <t>Rethinking Online Anti-Gender Hate Speech</t>
  </si>
  <si>
    <t>Moa Bladini-Eva-Maria Svensson</t>
  </si>
  <si>
    <t>Environmental Regulation and the History of Capitalism</t>
  </si>
  <si>
    <t>Sandra Bott-Sabine Pitteloud-Janick Marina Schaufelbuehl</t>
  </si>
  <si>
    <t>Proceedings of the 1st Joint International Conference on Social and Political Sciences: Challenges and Opportunities in the Future (JICSPS 2023)</t>
  </si>
  <si>
    <t>Ismi Dwi Astuti Nurhaeni-Recky Harold Elby Sendouw-Herlan Herlan-Ahmad Ali Nurdin-Hatta Ridho</t>
  </si>
  <si>
    <t>Regulating Interracialized Intimacies</t>
  </si>
  <si>
    <t>Elena Zambelli-Betty de Hart</t>
  </si>
  <si>
    <t>Understanding Human-Nature Practices for Environmental Management</t>
  </si>
  <si>
    <t>E. C. H. Keskitalo</t>
  </si>
  <si>
    <t>Hybrid Urbanisms in Secondary Cities of the Global South</t>
  </si>
  <si>
    <t>Christian Rosen-Nina Gribat</t>
  </si>
  <si>
    <t>Governing Street-Level Bureaucracies</t>
  </si>
  <si>
    <t>Kerstin Jacobsson-HÃ¥kan Johansson</t>
  </si>
  <si>
    <t>Intersectionality and the City</t>
  </si>
  <si>
    <t>Lucie Bernroider-Anthony Miro Born-Christy Kulz-Sung Un Gang</t>
  </si>
  <si>
    <t>The Peopleâ€™s Dictator</t>
  </si>
  <si>
    <t>Alejandro Quiroga</t>
  </si>
  <si>
    <t>An Archaeology of the Bantu Expansion</t>
  </si>
  <si>
    <t>Peter R. Coutros-Jessamy H. Doman-Igor Matonda Sakala-Koen Bostoen</t>
  </si>
  <si>
    <t>Collaborative Settler Colonialism</t>
  </si>
  <si>
    <t>Sidney Xu Lu</t>
  </si>
  <si>
    <t>Ecological Jurisprudence</t>
  </si>
  <si>
    <t>Alessandro Pelizzon</t>
  </si>
  <si>
    <t>Global One Health Index Report 2022</t>
  </si>
  <si>
    <t>Xiao-Nong Zhou-Xiaokui Guo-Xiaoxi Zhang</t>
  </si>
  <si>
    <t>Disability Inclusion in Humanitarian Crises</t>
  </si>
  <si>
    <t>Carolin Funke-Dennis Dijkzeul</t>
  </si>
  <si>
    <t>Lodovica Marchesi-Alfredo Goldman-Maria Ilaria Lunesu-Adam PrzybyÅ‚ek-Ademar Aguiar</t>
  </si>
  <si>
    <t>Knowledge and Willingness to Act Pro-Environmentally</t>
  </si>
  <si>
    <t>Maria Magdalena Isac-AndrÃ©s Sandoval-HernÃ¡ndez-Wanda Sass</t>
  </si>
  <si>
    <t>Governance and Control of Data and Digital Economy in the European Single Market</t>
  </si>
  <si>
    <t>Carmen Pastor Sempere</t>
  </si>
  <si>
    <t>Access to Social Justice</t>
  </si>
  <si>
    <t>Katie Boyle-Diana Camps-Kirstie English-Jo Ferrie-Aidan Flegg-Gaurav Mukherjee</t>
  </si>
  <si>
    <t>Transitioning to Sustainable Cities and Communities</t>
  </si>
  <si>
    <t>Hubert Klumpner-Klearjos Eduardo Papanicolaou-Georgeen Theodore</t>
  </si>
  <si>
    <t>Principles of Neurosurgery: A Concise Text</t>
  </si>
  <si>
    <t>Forhad H. Chowdhury-Mainul Haque Sarker-Mohammod Raziul Haque-Khandkar Ali Kawsar-Jalal Uddin Mohammod Rumi</t>
  </si>
  <si>
    <t>Secret Signs of Heroines and Heroes: A Critical Edition and Translation of Chapters 26â€“37 of the á¸ŒÄkÄrá¹‡ava and Chapters 3 and 38â€“45 of the AbhidhÄnottara</t>
  </si>
  <si>
    <t>RELIGION / Buddhism / Sacred Writings</t>
  </si>
  <si>
    <t>Tsunehiko Sugiki</t>
  </si>
  <si>
    <t>Lithium-Ion Cells: Materials and Applications</t>
  </si>
  <si>
    <t>Yury Koshtyal-Alexander Rumyantsev</t>
  </si>
  <si>
    <t>Armenia After 2018</t>
  </si>
  <si>
    <t>Valentina Gevorgyan-Yulia Antonyan</t>
  </si>
  <si>
    <t>Kurdish Studies Archive</t>
  </si>
  <si>
    <t>Martin van Bruinessen</t>
  </si>
  <si>
    <t>The 5th Asia-Pacific Management Research Conference (APMRC)</t>
  </si>
  <si>
    <t>Quality of the Future â€“ the Future of Quality (QFFQ)</t>
  </si>
  <si>
    <t>Interaction of Law and Economics: Sustainable Development</t>
  </si>
  <si>
    <t>The 18th IMT-GT International Conference on Mathematics, Statistics and Their Applications</t>
  </si>
  <si>
    <t>The 10th Annual International Seminar on Trends in Science and Science Education (AISTSSE) 2023</t>
  </si>
  <si>
    <t>SCIENCE / Chemistry / General</t>
  </si>
  <si>
    <t>International Symposium "Technical Textiles - Present and Future". Edition 2023</t>
  </si>
  <si>
    <t>NOAHâ€™S ARK FOR CHINESE SEED PLANTS-THE SEED BANK OF THE GERMPLASM BANK OF WILD SPECIES IN SOUTHWEST CHINA</t>
  </si>
  <si>
    <t>NATURE / General</t>
  </si>
  <si>
    <t>DU Yan-YANG Xiangyun-LI Tuojing-LI Lianyi</t>
  </si>
  <si>
    <t>Geopolitical Perspectives and Technological Challenges for Sustainable Growth in the 21st Century</t>
  </si>
  <si>
    <t>Dima Mihaela Alina</t>
  </si>
  <si>
    <t>The 11th International Conference TEX TEH 2023</t>
  </si>
  <si>
    <t>XV International Tourism Congress</t>
  </si>
  <si>
    <t>THE XXVII-th INTERNATIONAL CONFERENCE of INVENTICS "INVENTICA 2023. "</t>
  </si>
  <si>
    <t>International Symposium on Technikpsychologie (TecPsy) 2023</t>
  </si>
  <si>
    <t>International Conference on Multidisciplinary Research 2021</t>
  </si>
  <si>
    <t>Muhammad Nasir Badu</t>
  </si>
  <si>
    <t>The 9th Annual International Seminar on Trends in Science and Science Education (AISTSSE) 2022</t>
  </si>
  <si>
    <t>Proceedings of the 2nd International Conference on the Foundations of Speech</t>
  </si>
  <si>
    <t>Oliver Niebuhr</t>
  </si>
  <si>
    <t>Art and Research â€“ Contemporary Challenges</t>
  </si>
  <si>
    <t>Anca Doina Ciobotaru-George Enescu</t>
  </si>
  <si>
    <t>Fundamentals for the Anthropocene</t>
  </si>
  <si>
    <t>Jack Pearce</t>
  </si>
  <si>
    <t>SMOTIES TOOLBOX</t>
  </si>
  <si>
    <t>Valentina Auricchio-Annalinda De Rosa-Davide Fassi-Birgir Johannsson-Josie King-Astrid Lelarge-Pall Jakob LÃ­ndal-Vanessa Monna-Paola Russo-Frank van Hasselt</t>
  </si>
  <si>
    <t>Remote Places, Public Spaces</t>
  </si>
  <si>
    <t>ARCHITECTURE / Buildings / Residential</t>
  </si>
  <si>
    <t>Human Cities - SMOTIES-Davide Fassi-Annalinda De Rosa-Inge Eller-Michael Dumiak</t>
  </si>
  <si>
    <t>BehÃ¶rdlich autorisiert. Staatlich beeidet. Im Nationalsozialismus verfolgt.</t>
  </si>
  <si>
    <t>Ingrid Holzschuh-Alexandra Wachter-Bundeskammer der Ziviltechniker:innen</t>
  </si>
  <si>
    <t>Design Thinking and Storytelling in Architecture</t>
  </si>
  <si>
    <t>ARCHITECTURE / Study &amp; Teaching</t>
  </si>
  <si>
    <t>Peter G. Rowe-Yoeun Chung</t>
  </si>
  <si>
    <t>Upon Entropy</t>
  </si>
  <si>
    <t>Riccardo M. Villa-Ludger Hovestadt-Vera BÃ¼hlmann</t>
  </si>
  <si>
    <t>The Digital, a Continent?</t>
  </si>
  <si>
    <t>Vera BÃ¼hlmann-Ludger Hovestadt</t>
  </si>
  <si>
    <t>Lager als Architektur</t>
  </si>
  <si>
    <t>Antje Senarclens de Grancy</t>
  </si>
  <si>
    <t>Open Heritage</t>
  </si>
  <si>
    <t>Heike Oevermann-Levente PolyÃ¡k-Hanna SzemzÃ¶-Harald A. Mieg</t>
  </si>
  <si>
    <t>Architectures of Colonialism</t>
  </si>
  <si>
    <t>Vera Egbers-Christa Kamleithner-Ã–zge Sezer-Alexandra Skedzuhn-Safir</t>
  </si>
  <si>
    <t>Leberecht Migge â€žÃœberall GÃ¤rten! FÃ¼r alle!â€œ</t>
  </si>
  <si>
    <t>ARCHITECTURE / History / Modern (late 19th Century to 1945)</t>
  </si>
  <si>
    <t>Sophie von Schwerin-Gabi Lerch-Susanne Karn</t>
  </si>
  <si>
    <t>Reconstructing the Future</t>
  </si>
  <si>
    <t>ARCHITECTURE / Professional Practice</t>
  </si>
  <si>
    <t>Bauhaus Earth-Hans Joachim Schellnhuber-RocÃ­o Armillas Tiseyra</t>
  </si>
  <si>
    <t>Wiederverflechtungen</t>
  </si>
  <si>
    <t>Philipp Misselwitz-Alan Organschi-Bauhaus Earth</t>
  </si>
  <si>
    <t>Toward Re-Entanglement</t>
  </si>
  <si>
    <t>ARCHITECTURE / Individual Architects &amp; Firms / General</t>
  </si>
  <si>
    <t>Infrastructures of Freedom</t>
  </si>
  <si>
    <t>Stephanie Briers</t>
  </si>
  <si>
    <t>Picturing the (Un)Dead in Beirut</t>
  </si>
  <si>
    <t>Agnes Rameder</t>
  </si>
  <si>
    <t>Qualitative Approaches to the Social Psychology of Populism</t>
  </si>
  <si>
    <t>Inari Sakki</t>
  </si>
  <si>
    <t>Dictionary of World Biography</t>
  </si>
  <si>
    <t>Barry Jones</t>
  </si>
  <si>
    <t>PoesÃ­a clerical y tradiciones medievales</t>
  </si>
  <si>
    <t>Ãlvaro Bustos</t>
  </si>
  <si>
    <t>The 1st International Conference on Net-Zero Built Environment</t>
  </si>
  <si>
    <t>Mahdi Kioumarsi-Behrouz Shafei</t>
  </si>
  <si>
    <t>Shipping Out</t>
  </si>
  <si>
    <t>Anita Gonzalez</t>
  </si>
  <si>
    <t>Ugly Productions</t>
  </si>
  <si>
    <t>A. C. Duncan</t>
  </si>
  <si>
    <t>Demanding a Radical Constitution</t>
  </si>
  <si>
    <t>Javiera Barandiaran-Tristan Partridge</t>
  </si>
  <si>
    <t>UÄŸur Ãœmit ÃœngÃ¶r-Ayhan IÅŸÄ±k</t>
  </si>
  <si>
    <t>Umit Cetin-Celia Jenkins-Suavi AydÄ±n</t>
  </si>
  <si>
    <t>Khanna Omarkhali-Philip Kreyenbroek</t>
  </si>
  <si>
    <t>Story Tech</t>
  </si>
  <si>
    <t>Filippo Trevisan-Michael Vaughan-Ariadne Vromen</t>
  </si>
  <si>
    <t>Japanese Tea Culture: The Heart and Form of Chanoyu</t>
  </si>
  <si>
    <t>Kumakura Isao</t>
  </si>
  <si>
    <t>International Politics and the Search for Peace</t>
  </si>
  <si>
    <t>KÅsaka Masataka</t>
  </si>
  <si>
    <t>Sustainable Manufacturing As a Driver for Growth</t>
  </si>
  <si>
    <t>Holger Kohl-GÃ¼nther Seliger-Franz Dietrich-SebastiÃ¡n Mur</t>
  </si>
  <si>
    <t>Norms and Standards for Language Resources Protection in China</t>
  </si>
  <si>
    <t>Society, Power, and Land in Northeastern Zimbabwe, Ca. 1560â€“1960</t>
  </si>
  <si>
    <t>HISTORY / Africa / South / General</t>
  </si>
  <si>
    <t>Admire Mseba</t>
  </si>
  <si>
    <t>The Morality of Revolution</t>
  </si>
  <si>
    <t>Benedito LuÃ­s Machava</t>
  </si>
  <si>
    <t>Inclusive Cities and Global Urban Transformation</t>
  </si>
  <si>
    <t>Ajay Bailey-Kei Otsuki</t>
  </si>
  <si>
    <t>Neonatal Brain Injury</t>
  </si>
  <si>
    <t>Gerda Meijler-Khorshid Mohammad</t>
  </si>
  <si>
    <t>Exploring Corporate Human Rights Responsibilities in OECD Case Law</t>
  </si>
  <si>
    <t>Otgontuya Davaanyam-Markus Krajewski</t>
  </si>
  <si>
    <t>Revisiting Premodern Islamic Science and Experience</t>
  </si>
  <si>
    <t>Hannah C. Erlwein-Katja Krause</t>
  </si>
  <si>
    <t>Developing Curriculum for Deep Thinking</t>
  </si>
  <si>
    <t>Tim Surma-Claudio Vanhees-Michiel Wils-Jasper Nijlunsing-Nuno Crato</t>
  </si>
  <si>
    <t>Proceedings of the International Seminar of Sport and Exercise Science (ISSES 2024)</t>
  </si>
  <si>
    <t>Anindya Mar'atus Sholikhah-Sri Wicahyani-I Dewa Made Aryananda Wijaya Kusuma-Chanika Pinyorospathum-Eef Hogervorst</t>
  </si>
  <si>
    <t>Core Values and Decision-Making for Sustainable Business</t>
  </si>
  <si>
    <t>Arie Hans Verkuil-Uta Milow-Andreas Hinz-Mahmoud Al-Kilani</t>
  </si>
  <si>
    <t>Kierunki usprawnieÅ„ gospodarki oraz organizacji w aspekcie zarzÄ…dczym i prawnym</t>
  </si>
  <si>
    <t>MichaÅ‚ Flieger (red.)-Dominik MÄ…czyÅ„ski (red.)</t>
  </si>
  <si>
    <t>ProtokoÅ‚y posiedzeÅ„ Senatu Uniwersytetu PoznaÅ„skiego 1945â€“1955 oraz Uniwersytetu im. Adama Mickiewicza w Poznaniu 1956. Tom IV 19 III 1945 â€“ 9 VI 1956</t>
  </si>
  <si>
    <t>Anna Domalanus (opracowanie)-Irena Mamczak-Gadkowska (opracowanie)-Monika Sak (opracowanie)</t>
  </si>
  <si>
    <t>Political Geography</t>
  </si>
  <si>
    <t>Igor Okunev</t>
  </si>
  <si>
    <t>Remembering Contentious Lives</t>
  </si>
  <si>
    <t>Duygu Erbil-Ann Rigney-Clara Vlessing</t>
  </si>
  <si>
    <t>Freshwater Inflows to Texas Bays and Estuaries</t>
  </si>
  <si>
    <t>Paul A. Montagna-Audrey R. Douglas</t>
  </si>
  <si>
    <t>Poetry, Performativity, and Ordinary Language Philosophy</t>
  </si>
  <si>
    <t>PHILOSOPHY / Movements / General</t>
  </si>
  <si>
    <t>Philip Mills</t>
  </si>
  <si>
    <t>Chinaâ€“Japanâ€“South Korea Trilateral Cooperation</t>
  </si>
  <si>
    <t>Muhui Zhang</t>
  </si>
  <si>
    <t>Tribal Reawakening and the Future of State-Building in Kuwait and Qatar</t>
  </si>
  <si>
    <t>Maryam Al-Kuwari</t>
  </si>
  <si>
    <t>Complexity and Simplicity</t>
  </si>
  <si>
    <t>Ewa BÅ‚aszczak-MaÅ‚gorzata Cebrat-Jakub Jernajczyk-BartÅ‚omiej Skowron-Weronika UrbaÅ„ska-Roland Zarzycki</t>
  </si>
  <si>
    <t>Empowering At-Risk Youth in and Through Vocational Education</t>
  </si>
  <si>
    <t>Vidmantas TÅ«tlys-Tarja Irene Tikkanen-Meril Ãœmarik-Biruta Sloka</t>
  </si>
  <si>
    <t>Differenzerleben als Balanceakt</t>
  </si>
  <si>
    <t>Sabrina Schlachter</t>
  </si>
  <si>
    <t>Proceedings of the 2nd International Conference on Sport Science, Physical Education and Health (ICSSPEH 2024)</t>
  </si>
  <si>
    <t>Nur Fitranto-Nadya Dwi Oktafiranda-Muhammad Gilang Ramadhan-Made Bang Redy Utama-Ayu Purnama Wenly</t>
  </si>
  <si>
    <t>Proceedings of the 2024 International Conference on Humanities, Arts, Education and Social Development (HAESD 2024)</t>
  </si>
  <si>
    <t>Paulo Batista-Meiqin Li-Holger Briel-Yongjun Feng</t>
  </si>
  <si>
    <t>Proceedings of the UPY-ICCCM International Conference on Education and Social Science (UPINCESS 2024)</t>
  </si>
  <si>
    <t>Ari Kusuma Wardana</t>
  </si>
  <si>
    <t>Proceedings of the 5th International Conference on Economic Management and Big Data Application (ICEMBDA 2024)</t>
  </si>
  <si>
    <t>Kun Zhang-Hang Luo-Tang Yao-Hongbo Li</t>
  </si>
  <si>
    <t>Proceedings of the International Joint Conference on Science and Engineering 2024 (IJCSE 2024)</t>
  </si>
  <si>
    <t>Cicilia D. M. Putri-Yeni Anistyasari-Wendy Ivannal Hakim-Sri Abidah Suryaningsih-Lena Citra Manggalasari</t>
  </si>
  <si>
    <t>Technological Utopianism and the Idea of Justice</t>
  </si>
  <si>
    <t>Martin Sand</t>
  </si>
  <si>
    <t>The Exhibitor As Producer</t>
  </si>
  <si>
    <t>Richard Abel</t>
  </si>
  <si>
    <t>Frans Hals or Not Frans Hals</t>
  </si>
  <si>
    <t>Anna Tummers-Robert G. Erdmann</t>
  </si>
  <si>
    <t>QPLEX: A Computational Modeling and Analysis Methodology for Stochastic Systems</t>
  </si>
  <si>
    <t>Antonius B. Dieker-Steven T. Hackman</t>
  </si>
  <si>
    <t>Experimenting with the New European Bauhaus Values and Principles in Urban Transformation</t>
  </si>
  <si>
    <t>Alessandro Deserti-Emma Puerari</t>
  </si>
  <si>
    <t>Proceeding of the 2024 International Conference on Diversified Education and Social Development (DESD 2024)</t>
  </si>
  <si>
    <t>Muhammad Raheel Mohyuddin-Nasr Al Din IDE</t>
  </si>
  <si>
    <t>Proceedings of the International Conference on Sciences, Technology and Education (ICSTE 2024)</t>
  </si>
  <si>
    <t>Aswi Aswi-Nurwati Djam'an-Muhammad Isbar Pratama-Muhammad Ikram</t>
  </si>
  <si>
    <t>Proceedings of the 3rd International Conference and Maritime Development (ICMaD 2024)</t>
  </si>
  <si>
    <t>Ramlan Mahmud-Rahimuddin Rahimuddin-Novriany Amaliah-Azwar Hayat</t>
  </si>
  <si>
    <t>Proceedings of the Widyatama International Conference on Engineering 2024 (WICOENG 2024)</t>
  </si>
  <si>
    <t>Viddi Mardiansyah-Bagus Alit Prasetyo</t>
  </si>
  <si>
    <t>Proceedings of the International Conference for Democracy and National Resilience (ICDNR 2024)</t>
  </si>
  <si>
    <t>Dona Budi Kharisma-Sunny Ummul Firdaus-Gayatri Dyah Suprobowati-Erna Yuliandari-R. Prihandjojo Andri Putranto</t>
  </si>
  <si>
    <t>Grey Systems Analysis</t>
  </si>
  <si>
    <t>BUSINESS &amp; ECONOMICS / Operations Research</t>
  </si>
  <si>
    <t>Sifeng Liu</t>
  </si>
  <si>
    <t>An Introduction to Cognitive Economics</t>
  </si>
  <si>
    <t>Andrew Caplin</t>
  </si>
  <si>
    <t>Harvest Loss in China</t>
  </si>
  <si>
    <t>TECHNOLOGY &amp; ENGINEERING / Food Science / Food Safety &amp; Security</t>
  </si>
  <si>
    <t>Xue Qu-Daizo Kojima-Laping Wu-Mitsuyoshi Ando</t>
  </si>
  <si>
    <t>The Ndebele, Frank Oates, and Knowledge Production in the 1870s</t>
  </si>
  <si>
    <t>Christopher Prior-Joseph Higgins</t>
  </si>
  <si>
    <t>Proceedings of the 1st Widyatama International Conference on Management, Social Science and Humanities (ICMSSH 2024)</t>
  </si>
  <si>
    <t>Viddi Mardiansyah-R. A. E. Virgana Targa Sapanji</t>
  </si>
  <si>
    <t>Future Cities Making</t>
  </si>
  <si>
    <t>Niki Frantzeskaki-Magnus Moglia-Peter Newton-Deo Prasad-Melissa Pineda Pinto</t>
  </si>
  <si>
    <t>Girjjohallat GirjÃ¡ivuoÄ‘a - Embracing Diversity</t>
  </si>
  <si>
    <t>Pigga Keskitalo-Torjer Andreas Olsen-Anna-Lill Drugge-Rauna Rahko-Ravantti</t>
  </si>
  <si>
    <t>Proceedings of the 5th International Conference on English Language Teaching (ICON-ELT 2024)</t>
  </si>
  <si>
    <t>M. Faruq Ubaidillah-Durotun Nasihah-Dzulfikri Dzulfikri-Febti Ismiatun-Mochamad Imron Azami</t>
  </si>
  <si>
    <t>Proceedings of the 2024 4th International Conference on Business Administration and Data Science (BADS 2024)</t>
  </si>
  <si>
    <t>Yew Kee Wong Eric-Gabriel Gomes de Oliveira-Charles Chen-NatÄlija CudeÄka-PuriÅ†a</t>
  </si>
  <si>
    <t>Proceedings of the 4th Science and Mathematics International Conference (SMIC 2024)</t>
  </si>
  <si>
    <t>Tian Abdul Aziz-Irwanto Irwanto-Dini Safitri</t>
  </si>
  <si>
    <t>Proceedings of the 6th Open Society Conference (OSC 2024)</t>
  </si>
  <si>
    <t>Indra Pratama Putra Salmon-Ardik Ardianto-Yonarisman Muhammad Akbar-Habiburrahman Habiburrahman</t>
  </si>
  <si>
    <t>Proceedings of the 7th International Conference on Applied Engineering (ICAE 2024)</t>
  </si>
  <si>
    <t>Liony Lumombo-Anis Rahmi-Suwarno Suwarno-Noper Ardi-Dwi Ely Kurniawan</t>
  </si>
  <si>
    <t>The Water, Energy, and Food Security Nexus in Asia and the Pacific</t>
  </si>
  <si>
    <t>Eunhee Lee-Benno BÃ¶er-Lawrence Surendra-Jong Ahn Chun-Makoto Taniguchi</t>
  </si>
  <si>
    <t>Collective Memory, Marginality, and Spatial Politics in Urban Indonesia.</t>
  </si>
  <si>
    <t>Manneke Budiman-Abidin Kusno</t>
  </si>
  <si>
    <t>Western Subanon Grammar</t>
  </si>
  <si>
    <t>REFERENCE / Dictionaries</t>
  </si>
  <si>
    <t>Sharon Bulalang</t>
  </si>
  <si>
    <t>Traditions of Analysis and Synthesis</t>
  </si>
  <si>
    <t>William R. Newman-Jutta Schickore</t>
  </si>
  <si>
    <t>Proceedings of the 5th Borneo International Conference (BICAME 2024): Symposium on Digital Innovation, Sustainable Design and Planning (DSP)</t>
  </si>
  <si>
    <t>Musyarofah Musyarofah-Samsu Dlukha Nurcholik-M. Ihsan Alfani Putera-Ade Wahyu Yusariarta Putra Parmita-Riza Hadi Saputra</t>
  </si>
  <si>
    <t>Proceedings of the Third International Conference on Communication, Language, Literature, and Culture (ICCoLliC 2024)</t>
  </si>
  <si>
    <t>Zita Rarastesa-Radhika Gajjala-Hishamudin Isam-Djatmika Djatmika</t>
  </si>
  <si>
    <t>Proceedings of the International Conference on Cultural Policy and Sustainable Development (ICPSD 2024)</t>
  </si>
  <si>
    <t>Abdul Kadir Jaelani-Irwansyah Irwansyah-Fokke Fernhout-Adolfo Antonio Paolini-Mohd Rizal Palil</t>
  </si>
  <si>
    <t>Proceedings of the 4th International Conference on Key Enabling Technologies (KEYTECH 2024)</t>
  </si>
  <si>
    <t>Inam Ul Ahad</t>
  </si>
  <si>
    <t>Proceedings of the 2024 6th International Conference on Civil Engineering, Environment Resources and Energy Materials (CCESEM 2024)</t>
  </si>
  <si>
    <t>HÃ¼seyin Bilgin-Jiajian Chen-Zawawi Bin Daud</t>
  </si>
  <si>
    <t>Portfolioarbeit in der Grundschule</t>
  </si>
  <si>
    <t>Melanie Noesen</t>
  </si>
  <si>
    <t>Dynamic Analysis of Offshore Wind Turbine Foundations in Soft Clays</t>
  </si>
  <si>
    <t>Xinglei Cheng-Dechun Lu-Piguang Wang</t>
  </si>
  <si>
    <t>Digitale Medien in Lehr-Lern-Konzepten der Lehrpersonenbildung in interdisziplinÃ¤rer Perspektive</t>
  </si>
  <si>
    <t>Angelika FÃ¼ting-Lippert-Maria Eisenmann-Silke Grafe-Hans-Stefan Siller-Thomas Trefzger</t>
  </si>
  <si>
    <t>In-Home Medication</t>
  </si>
  <si>
    <t>Antonella Valeria Penati</t>
  </si>
  <si>
    <t>Sustainable development goals Edition 2</t>
  </si>
  <si>
    <t>Felix Kofi Damte-Leonardo F. Cada Jr.-Carol Linda Kungston-Mark Anthony N. Polinar-Maichael Orkuma Ahundu</t>
  </si>
  <si>
    <t>BEYOND THE TEXTBOOK: A DEEPER LOOK AT RIZAL</t>
  </si>
  <si>
    <t>LITERARY CRITICISM / Asian / General</t>
  </si>
  <si>
    <t>Eugene E. Toring-Kimberly N. Toring-Nonita P. Legaspi</t>
  </si>
  <si>
    <t>Unveiling The Past: A Journey Through Philippine History</t>
  </si>
  <si>
    <t>Behind the Lecture Hall of the Academe</t>
  </si>
  <si>
    <t>Bernardo K. Gumarang Jr.</t>
  </si>
  <si>
    <t>The History of Philippine Education in the COVID-10 Era</t>
  </si>
  <si>
    <t>CRAFTING EFFECTIVE RESEARCH PAPERS: A STEP-BY-STEP APPROACH</t>
  </si>
  <si>
    <t>MINDSET 2050: NAVIGATING THE FUTURE OF ENTREPRENUERSHIP</t>
  </si>
  <si>
    <t>Empowering MSMEs Enhancing Resource Access, Crowdfunding, and Incubation Initiatives</t>
  </si>
  <si>
    <t>Victoria P. Valenzuela-Carlo Jay A. Evardone-Kimberly Christie S. Vergara-Raymond Allan G. Vergara</t>
  </si>
  <si>
    <t>AI and Creativity : The Intersection of Art and Technology</t>
  </si>
  <si>
    <t>Wes Harven Maravilla-Bernandino P. Malang-M. Anoop, B. Nithya</t>
  </si>
  <si>
    <t>Transforming Education for a Digital Age The Integration of Technology and 21st Century Skills</t>
  </si>
  <si>
    <t>Carol Linda Kingston-Anesito L. Cutillas-Marinelle S. Domingo</t>
  </si>
  <si>
    <t>The Transformation of Digital Technology: Its Impact on Human Communication</t>
  </si>
  <si>
    <t>Editors: Desi Dwi Priyanti-Ika Rizki Yustisia-Naqiyah Mulachelah</t>
  </si>
  <si>
    <t>Thriving in a Disruptive World : How Entrepreneurs and Managers Learn for a Brighter Future</t>
  </si>
  <si>
    <t>Radityo Putro Handrito-Safrilia Ayu</t>
  </si>
  <si>
    <t>REGIONAL PLANNING AND RURAL DEVELOPMENT</t>
  </si>
  <si>
    <t>Editors: Gunawan Prayitno, Ismu Rini Dwi Ari-Jacqueline Hiddlestone-Mumford-Enock Siankwilimba-Alifia Issabella Mulyawati</t>
  </si>
  <si>
    <t>Fostering Sustainable Entreprenuership in Emerging Market : An Interdisciplinary Perspective</t>
  </si>
  <si>
    <t>Inggang Perwangsa Nuralam-Nanin Verina Widya Putri</t>
  </si>
  <si>
    <t>Digital Transformation and Inclusive Economic Development in Indonesia</t>
  </si>
  <si>
    <t>Ferry Prasetyia-Naqiyah Mulachelah</t>
  </si>
  <si>
    <t>Aquatic Product as Functional Food Sources</t>
  </si>
  <si>
    <t>TECHNOLOGY &amp; ENGINEERING / Food Science / General</t>
  </si>
  <si>
    <t>Asep Awaludin Prihanto,-Yeni Rizki Prananda</t>
  </si>
  <si>
    <t>A Practical Guide in Writing Research for Students</t>
  </si>
  <si>
    <t>LANGUAGE ARTS &amp; DISCIPLINES / Writing / Academic &amp; Scholarly</t>
  </si>
  <si>
    <t>Alma M. Corpuz</t>
  </si>
  <si>
    <t>Basic Calculus</t>
  </si>
  <si>
    <t>MATHEMATICS / Calculus</t>
  </si>
  <si>
    <t>Elvira C. Catolos-Jenisus O. Dejarlo</t>
  </si>
  <si>
    <t>Sustainable Development Goals</t>
  </si>
  <si>
    <t>John Mark R. Asio, Vina C. Jayubo-John Cavin M. Sabonsolin-Jimmy Bernabe Maming-Sarder A. Haider, Maico Demi B. Aperocho-Wes Harven G. Maravilla-Bolaji Jubril-Oluwaseun Samson Sojino</t>
  </si>
  <si>
    <t>SelbstverstÃ¤ndnisse der Philosophiedidaktik zwischen Fachphilosophie und InterdisziplinaritÃ¤t</t>
  </si>
  <si>
    <t>Frank Brosow-Volker Haase-Ekkehard Martens-Philipp Thomas-Markus Tiedemann</t>
  </si>
  <si>
    <t>The Theory of Chinese Modernization</t>
  </si>
  <si>
    <t>Zhongmin Wu</t>
  </si>
  <si>
    <t>Proceedings of the 1st International Conference of Economics, Management, Accounting, and Business Digital (ICEMAB 2024)</t>
  </si>
  <si>
    <t>Echo Perdana Kusumah-Yanto Yanto</t>
  </si>
  <si>
    <t>3D Research Challenges in Cultural Heritage V</t>
  </si>
  <si>
    <t>Marinos Ioannides-Drew Baker-Athos Agapiou-Petros Siegkas</t>
  </si>
  <si>
    <t>Gleichwertige LebensverhÃ¤ltnisse in Deutschland?</t>
  </si>
  <si>
    <t>Astrid Lorenz-Luisa Pischtschan</t>
  </si>
  <si>
    <t>Energy Citizenship Across Europe</t>
  </si>
  <si>
    <t>Frances Fahy-Edina Vadovics</t>
  </si>
  <si>
    <t>Energy Citizenship</t>
  </si>
  <si>
    <t>Niall P. Dunphy-BreffniÌ Lennon-Alexandra Revez-Bin Bin J. Pearce</t>
  </si>
  <si>
    <t>Civil Society and Intergovernmental Negotiations at the United Nations</t>
  </si>
  <si>
    <t>Leah R. Kimber</t>
  </si>
  <si>
    <t>Protocol Relating to the Madrid Agreement Concerning the International Registration of Marks; Regulations; Administrative Instructions; Schedule of Fees - (as in Force on November 1, 2024)</t>
  </si>
  <si>
    <t>LAW / Intellectual Property / Trademark</t>
  </si>
  <si>
    <t>Protocolo concerniente al Arreglo de Madrid relativo al Registro Internacional de Marcas; Reglamento; Instrucciones Administrativas; Tabla de tasas - (en vigor el 1 de noviembre de 2024)</t>
  </si>
  <si>
    <t>Patent Landscape Report :Agrifood.</t>
  </si>
  <si>
    <t>Global Innovation Index 2024 :Unlocking the Promise of Social Entrepreneurship.</t>
  </si>
  <si>
    <t>BUSINESS &amp; ECONOMICS / Statistics</t>
  </si>
  <si>
    <t>Green Technology Book :Energy Solutions for Climate Change.</t>
  </si>
  <si>
    <t>World Intellectual Property Indicators 2024.</t>
  </si>
  <si>
    <t>Ãndice Mundial de InnovaciÃ³n 2024 :Resumen.</t>
  </si>
  <si>
    <t>2024 å¹´ å…¨çƒåˆ›æ–°æŒ‡æ•° :å†…å®¹æè¦.</t>
  </si>
  <si>
    <t>Global Innovation Index 2024 :Executive Version.</t>
  </si>
  <si>
    <t>Preparar el ecosistema de innovaciÃ³n para la IA : GuÃ­a de polÃ­ticas de PI</t>
  </si>
  <si>
    <t>Metaverse.</t>
  </si>
  <si>
    <t>Panorama de la InnovaciÃ³n : Patentes y Objetivos de Desarrollo Sostenible.</t>
  </si>
  <si>
    <t>Mapeando as inovaÃ§Ãµes : As patentes e os Objetivos de Desenvolvimento SustentÃ¡vel.</t>
  </si>
  <si>
    <t>Cartographier les innovations : Les brevets et les objectifs de dÃ©veloppement durable.</t>
  </si>
  <si>
    <t>Le mÃ©tavers.</t>
  </si>
  <si>
    <t>Metaverso.</t>
  </si>
  <si>
    <t>Protocole Relatif Ã  lâ€™Arrangement de Madrid Concernant lâ€™Enregistrement International des Marques; RÃ¨glement dâ€™ExÃ©cution; Instructions Administratives; BarÃ¨me des Ã‰moluments et Taxes - (texte en vigueur le 1er novembre 2024)</t>
  </si>
  <si>
    <t>Informe de los CATI 2023 : Cultivar los conocimientos especializados para capacitar a los innovadores locales.</t>
  </si>
  <si>
    <t>TECHNOLOGY &amp; ENGINEERING / Inventions</t>
  </si>
  <si>
    <t>WIPO Intellectual Property and Youth Empowerment Strategy (IP-YES!).</t>
  </si>
  <si>
    <t>WIPO Guide to Trade Secrets and Innovation</t>
  </si>
  <si>
    <t>Toolkit on Preservation.</t>
  </si>
  <si>
    <t>GuÃ­a prÃ¡ctica sobre conservaciÃ³n.</t>
  </si>
  <si>
    <t>Country Perspectives :Austriaâ€™s Journey</t>
  </si>
  <si>
    <t>Are the Best Tunes Played on the Oldest Fiddles? :Distribution and Digitization of Recorded Classical Music - Economic Research Working Paper No.87.</t>
  </si>
  <si>
    <t>Oguguo, Prince C.-Cuntz, Alexander-Muscarnera, Alessio</t>
  </si>
  <si>
    <t>Eighteenth-Century Indian MuraqqaÊ¿s</t>
  </si>
  <si>
    <t>Friederike Weis</t>
  </si>
  <si>
    <t>The Conceptualization of Equality and Non-discrimination As Legal Standards</t>
  </si>
  <si>
    <t>Titia Loenen</t>
  </si>
  <si>
    <t>The Preaching of the Third Crusade (1187â€“1192)</t>
  </si>
  <si>
    <t>Alexander Marx</t>
  </si>
  <si>
    <t>Proceedings of the 2024 7th International Conference on Humanities Education and Social Sciences (ICHESS 2024)</t>
  </si>
  <si>
    <t>Feiru Zeng-Asad Khalil-Feng Wu-Jianfei Luo</t>
  </si>
  <si>
    <t>Circularity Days 2024</t>
  </si>
  <si>
    <t>Klaus DrÃ¶der-Thomas Vietor</t>
  </si>
  <si>
    <t>Gendered Memories</t>
  </si>
  <si>
    <t>Xian Wang</t>
  </si>
  <si>
    <t>Proceedings of the 3rd International Conference on Educational Technology and Social Science (ICoETS 2024)</t>
  </si>
  <si>
    <t>Suci Maulina-Heri Fajri-Novita Diana-Fauziah Fauziah-Nurjannah Nurjannah</t>
  </si>
  <si>
    <t>Proceedings of the 7th International Conference on Neuroscience, Neurology, and Psychiatry Universitas Sumatera Utara (ICONAP 2024)</t>
  </si>
  <si>
    <t>Mustafa M. Amin-Elmeida Effendy-Inke Nadia Diniyanti Lubis-Fasihah Irfani Fitri-Roger Ho Chun Man</t>
  </si>
  <si>
    <t>The Theater at Stobi</t>
  </si>
  <si>
    <t>Elizabeth R. Gebhard</t>
  </si>
  <si>
    <t>Tarteso</t>
  </si>
  <si>
    <t>Clara Toscano-PÃ©rez-Javier Bermejo MelÃ©ndez-Juan M. Campos Carrasco</t>
  </si>
  <si>
    <t>Freedoms of Speech</t>
  </si>
  <si>
    <t>Matei Candea-Taras Fedirko-Paolo Heywood-Fiona Wright</t>
  </si>
  <si>
    <t>A Time to Sow</t>
  </si>
  <si>
    <t>Michael Beizer-Ann Komaromi</t>
  </si>
  <si>
    <t>Engineering Chemistry Vol. 8</t>
  </si>
  <si>
    <t>Patrizia Bocchetta-Citlalli Gaona-Tiburcio-Sugianto Sugianto-Karna Wijaya</t>
  </si>
  <si>
    <t>Approches interdisciplinaires en santÃ© animale</t>
  </si>
  <si>
    <t>China</t>
  </si>
  <si>
    <t>Ligang Song-Yixiao Zhou</t>
  </si>
  <si>
    <t>Transformation und Digitalisierung</t>
  </si>
  <si>
    <t>Klaus Jenewein-Thomas Vollmer-Torben Karges-Wilko Reichwein-Tim Richter-Honsbrok-SÃ¶ren SchÃ¼tt-Sayed</t>
  </si>
  <si>
    <t>Heike Horn-Thomas Lux-Verena Ortmanns-Andreas Bachem-Deutsches Institut fÃ¼r Erwachsenenbildung (DIE)</t>
  </si>
  <si>
    <t>Theoretische und empirische Perspektiven auf Interpunktion</t>
  </si>
  <si>
    <t>Miriam Langlotz-Maurice FÃ¼rstenberg-Jonas Romstadt</t>
  </si>
  <si>
    <t>Anerkennung auslÃ¤ndischer BerufsabschlÃ¼sse</t>
  </si>
  <si>
    <t>Katja Tillmann-Pascal Hartwich-Deutsches Jugendinstitut e.V.</t>
  </si>
  <si>
    <t>Digital Girlhoods</t>
  </si>
  <si>
    <t>Temple University Press</t>
  </si>
  <si>
    <t>Katherine A. Phelps</t>
  </si>
  <si>
    <t>Coercion and Violence in Mental Health Settings</t>
  </si>
  <si>
    <t>Nutmeg Hallett-Richard Whittington-Dirk Richter-Emachi Eneje</t>
  </si>
  <si>
    <t>Proceedings of the ASEAN Conference on Sexual Exploitation of Children (ACOSEC 2024)</t>
  </si>
  <si>
    <t>Ahmad Sofian-Febby Mutiara Nelson-Rena Yulia-Yusuf Saefudin</t>
  </si>
  <si>
    <t>Proceedings of the 2024 3rd International Conference on Public Service, Economic Management and Sustainable Development (PESD 2024)</t>
  </si>
  <si>
    <t>Qiujing Wu-Songsong Liu-Guoliang Wang-Jia Li</t>
  </si>
  <si>
    <t>Proceedings of the International Conference on Medical Science and Health (ICOMESH 2024)</t>
  </si>
  <si>
    <t>Dyah Wulan Sumekar Rengganis Wardani-Sutopo Hadi</t>
  </si>
  <si>
    <t>Redefining Global Governance</t>
  </si>
  <si>
    <t>Irma Johanna Mosquera Valderrama-Frederik HeitmÃ¼ller-Julien Chaisse-Allison Christians</t>
  </si>
  <si>
    <t>Genetic Narratology</t>
  </si>
  <si>
    <t xml:space="preserve"> Dirk Van Hulle</t>
  </si>
  <si>
    <t>Der Ãœbergang von der Primar- zur Sekundarstufe aus Kindersicht</t>
  </si>
  <si>
    <t>Jana Herding</t>
  </si>
  <si>
    <t>Betriebliches Aus- und Weiterbildungspersonal im Fokus der Berufsbildungsforschung</t>
  </si>
  <si>
    <t>Sandra Bohlinger-Ina Krause-Juliana Dienel-Luisa Kresse-Manuela Niethammer</t>
  </si>
  <si>
    <t>Placemaking in Practice Volume 3</t>
  </si>
  <si>
    <t>Alexandra Delgado-JimÃ©nez-Tatiana Ruchinskaya-Cristina Palmese-Carlos Smaniotto Costa-GÃ¼lce Kirdar-Conor Horan</t>
  </si>
  <si>
    <t>Placemaking in Practice Volume 2</t>
  </si>
  <si>
    <t>Francesco Rotondo-Aleksandra Djukic-Preben Hansen-Edmond Manahasa-Mastoureh Fathi-Juan A. GarcÃ­a-Esparza</t>
  </si>
  <si>
    <t>RatnakÅ«á¹­a Studies, Volume I</t>
  </si>
  <si>
    <t>RELIGION / Buddhism / General</t>
  </si>
  <si>
    <t>Rafal Felbur</t>
  </si>
  <si>
    <t>Social Codicology</t>
  </si>
  <si>
    <t>Olly Akkerman</t>
  </si>
  <si>
    <t>Secularization and China's Modernization</t>
  </si>
  <si>
    <t>Marine Exploration and Exploitation of Hydrocarbons</t>
  </si>
  <si>
    <t>Violeta S. Radovich</t>
  </si>
  <si>
    <t>Everyday Welfare in Modern British History</t>
  </si>
  <si>
    <t>CaitrÃ­ona Beaumont-Eve Colpus-Ruth Davidson</t>
  </si>
  <si>
    <t>Digital gestÃ¼tzte Lehre</t>
  </si>
  <si>
    <t>Uwe Fahr-Peter Riegler</t>
  </si>
  <si>
    <t>Raumplanungsprozesse im Klinikneubau und Klinikumbau</t>
  </si>
  <si>
    <t>Ludwig Schmid-Kim Oliver Tokarski</t>
  </si>
  <si>
    <t>David S., Rampton-Fergus, Shanahan</t>
  </si>
  <si>
    <t>The Library of Aá¸¥mad Pasha Al-JazzÄr</t>
  </si>
  <si>
    <t>Said Aljoumani-Guy Burak-Konrad Hirschler</t>
  </si>
  <si>
    <t>Digital Ecologies</t>
  </si>
  <si>
    <t>Jonathon Turnbull-Adam Searle-Henry Anderson-Elliott-Eva Haifa Giraud</t>
  </si>
  <si>
    <t>Food Banks in Schools and Nurseries</t>
  </si>
  <si>
    <t>Alice Bradbury-Sharon Vince</t>
  </si>
  <si>
    <t>Proceedings of the 2024 4th International Conference on Social Development and Media Communication (SDMC 2024)</t>
  </si>
  <si>
    <t>Andrea Lorenzo Baldini-Ong Tze San-Chao-Chun Shen-Cuneyt Birkok</t>
  </si>
  <si>
    <t>Cycle of Dreams</t>
  </si>
  <si>
    <t xml:space="preserve"> Eric Weiskott</t>
  </si>
  <si>
    <t>Proceedings of the IUTAM Symposium on Turbulent/Non-Turbulent Interface in Turbulent Shear Flows</t>
  </si>
  <si>
    <t>Jinjun Wang-Ivan Marusic</t>
  </si>
  <si>
    <t>Investing in the Structural Transformation</t>
  </si>
  <si>
    <t xml:space="preserve"> Floriana Cerniglia-Francesco Saraceno</t>
  </si>
  <si>
    <t>Breaking Images</t>
  </si>
  <si>
    <t xml:space="preserve"> Brian Greer-David Kollosche-Ole Skovsmose</t>
  </si>
  <si>
    <t>Proceedings of the International Conference on Communication and Applied Technologies 2024 (ICOMTA 2024)</t>
  </si>
  <si>
    <t>Paulo Carlos LÃ³pez-LÃ³pez-Daniel Barredo IbÃ¡Ã±ez-MÃ³nica LÃ³pez GolÃ¡n-Alberto MejÃ­a Manrique</t>
  </si>
  <si>
    <t>Handbook on Intangible Cultural Practices As Global Strategies for the Future</t>
  </si>
  <si>
    <t>Christoph Wulf</t>
  </si>
  <si>
    <t>Expert Consensus in Science</t>
  </si>
  <si>
    <t>Proceedings of the 2024 6th International Conference on Literature, Art and Human Development (ICLAHD 2024)</t>
  </si>
  <si>
    <t>Sertac Kaki-Bootheina Majoul-Mohd Farid Mohd Sharif-Sharifah Faizah Syed Mohammed</t>
  </si>
  <si>
    <t>Proceedings of the 2024 International Conference on Rail Transit and Transportation (ICRTT 2024)</t>
  </si>
  <si>
    <t>Gongfa Chen-Baohua Guo-Yan Chen-Jingwei Guo</t>
  </si>
  <si>
    <t>Digitales Besuchermanagement in Destinationen</t>
  </si>
  <si>
    <t>Lisa Naschert-Eric Horster-Julian Reif</t>
  </si>
  <si>
    <t>Eigentum ohne EigentÃ¼mer?</t>
  </si>
  <si>
    <t>Judith Froese-Foroud Shirvani</t>
  </si>
  <si>
    <t>Fast Facts: Deficit di piruvato chinasi</t>
  </si>
  <si>
    <t>Fast Facts: Deficiencia de piruvato quinasa</t>
  </si>
  <si>
    <t>Fast Facts: Biosimilares</t>
  </si>
  <si>
    <t>Paul, Cornes-David, Bennett</t>
  </si>
  <si>
    <t>Guy, Regnard</t>
  </si>
  <si>
    <t>Shirly, D'Sa-Emanuele, Zucca</t>
  </si>
  <si>
    <t>Fergus, Shanahan</t>
  </si>
  <si>
    <t>Nicola, Heenan-Kathryn, Coleman-Phil, Tittensor-Sheila, Shepley</t>
  </si>
  <si>
    <t>Pamela, McKay-Martin, Dreyling</t>
  </si>
  <si>
    <t>Rona, Yaeger-Meredith, Pelster</t>
  </si>
  <si>
    <t>Fast Facts: Aromatic L-Amino Decarboxylase Deficiency</t>
  </si>
  <si>
    <t>Heiko, Brennenstuhl</t>
  </si>
  <si>
    <t>Karger AG</t>
  </si>
  <si>
    <t>Dancing on the Fault Lines of History</t>
  </si>
  <si>
    <t>Susan Manning</t>
  </si>
  <si>
    <t>Decentralization, Local Governance, and Inequality in the Middle East and North Africa</t>
  </si>
  <si>
    <t>Kristen Kao-Ellen Lust</t>
  </si>
  <si>
    <t>Key Terms of Public History</t>
  </si>
  <si>
    <t>Christine Gundermann-Juliane Brauer-Filippo CarlÃ -Uhink-Judith Keilbach-Georg Koch-Thorsten Logge-Daniel Morat-Arnika Peselmann-Stefanie Samida-Astrid Schwabe-Miriam SÃ©nÃ©cheau</t>
  </si>
  <si>
    <t>ERiK-Methodological Report IV</t>
  </si>
  <si>
    <t>Sonja Herrmann-Jakob J. Gilg-Franz L. Classe-Diana D. Schacht-Benjamin Gedon-Susanne Kuger</t>
  </si>
  <si>
    <t>Collecting Practices and Opisthographic Collections in Qumran and Herculaneum</t>
  </si>
  <si>
    <t>Ayhan Aksu</t>
  </si>
  <si>
    <t>International Disinformation</t>
  </si>
  <si>
    <t>Tomasz ChÅ‚oÅ„-Robert Kupiecki-Filip Bryjka</t>
  </si>
  <si>
    <t>Aktuelle AnsÃ¤tze und Forschungsbefunde zur beruflichen Bildung im Gesundheits- und Pflegebereich</t>
  </si>
  <si>
    <t>Ulrike Weyland-Wilhelm Koschel</t>
  </si>
  <si>
    <t>Proceedings of the 4th International Conference on New Media Development and Modernized Education (NMDME 2024)</t>
  </si>
  <si>
    <t>COMPUTERS / Design, Graphics &amp; Media / General</t>
  </si>
  <si>
    <t>Jun Yin-Yuan Zhang-Nazgul Shyngyssova-Chanjun Liu</t>
  </si>
  <si>
    <t>Diversity Issues in the USA</t>
  </si>
  <si>
    <t>Melanie Kreitler-Greta Olson</t>
  </si>
  <si>
    <t>Visions of Global Environmental Justice</t>
  </si>
  <si>
    <t>Prof. Alexander Huezo</t>
  </si>
  <si>
    <t>Integrating the UN SDGs Into WTO Law</t>
  </si>
  <si>
    <t>Xinyan Zhao</t>
  </si>
  <si>
    <t>Ecosystem Services Provided by Agricultural Areas</t>
  </si>
  <si>
    <t>AnaÃ¯s Tibi-Olivier Therond</t>
  </si>
  <si>
    <t>Desertification and Climate Change: Are They Part of the Same Fight?</t>
  </si>
  <si>
    <t>Le genre en recherche : Ã©valuation et production des savoirs</t>
  </si>
  <si>
    <t>The EU Internal Market in the Next Decade â€“ Quo Vadis?</t>
  </si>
  <si>
    <t>Ivan Sammut-Ivan Mifsud</t>
  </si>
  <si>
    <t>WertschÃ¤tzung sprachlicher Variation</t>
  </si>
  <si>
    <t>Eugen Unterberger</t>
  </si>
  <si>
    <t>Proceedings of the 4th International Conference on Social Sciences and Law (ICSSL 2024)</t>
  </si>
  <si>
    <t>Galih W. Pradana-Deby F. Eprilianto-Dita Perwitasari-Riyadi Riyadi-Moh. Mudzakkir</t>
  </si>
  <si>
    <t>Proceedings of the 5th International Conference on Global Innovation and Trends in Economy 2024 (INCOGITE 2024)</t>
  </si>
  <si>
    <t>Soebowo Musa-Eric J. Nasution-Derek Ong Lai Teik-Hanny N. Nasution-Gilbert M. Tumibay</t>
  </si>
  <si>
    <t>The Nexus Between Legal Pluralism and Inclusive Finance</t>
  </si>
  <si>
    <t>Gebreyesus Yimer</t>
  </si>
  <si>
    <t>GuÃ­a para la construcciÃ³n de planes comunitarios de gestiÃ³n del riesgo de desastres: camino hacia la resiliencia</t>
  </si>
  <si>
    <t>Mildred Xiomara Arias Arias-Maria Natalia Ãšsuga SepÃºlveda-Edna Margarita RodrÃ­guez Gaviria-Lila MarÃ­a CortÃ©s Fonnegra</t>
  </si>
  <si>
    <t>Thomas Lux-Hella Huntemann-Verena Ortmanns-Andreas Bachem-Deutsches Institut fÃ¼r Erwachsenenbildung (DIE)</t>
  </si>
  <si>
    <t>Wissenschaft weltoffen 2024</t>
  </si>
  <si>
    <t>Deutscher Akademischer Austausch Dienst e.V. (DAAD)-DZHW</t>
  </si>
  <si>
    <t>Les arthropodes du cotonnier</t>
  </si>
  <si>
    <t>Pierre Jean Silvie-Bernard Papierok</t>
  </si>
  <si>
    <t>Les enjeux de l'oie</t>
  </si>
  <si>
    <t>NATURE / Animals / Birds</t>
  </si>
  <si>
    <t>Matthieu Guillemain</t>
  </si>
  <si>
    <t>Les mycotoxines</t>
  </si>
  <si>
    <t>SCIENCE / Life Sciences / Bacteriology</t>
  </si>
  <si>
    <t>AID:A 2023 Blitzlichter</t>
  </si>
  <si>
    <t>Deutsches Jugendinstitut e.V.</t>
  </si>
  <si>
    <t>BiSS-Transfer: Potenziale sichern</t>
  </si>
  <si>
    <t>BiSS-TrÃ¤gerkonsortium</t>
  </si>
  <si>
    <t>Internationalization of Teacher Education in Higher Education</t>
  </si>
  <si>
    <t>Annika BrÃ¼ck-HÃ¼bner-Ulrike Beate MÃ¼ller-Anja Seifert</t>
  </si>
  <si>
    <t>FÃ¶rderungsstrukturen der Weiterbildung</t>
  </si>
  <si>
    <t>Detlef Kuhlenkamp</t>
  </si>
  <si>
    <t>Booksprints in der Hochschullehre</t>
  </si>
  <si>
    <t>Arbeitskollektiv Schreibwissenschaft</t>
  </si>
  <si>
    <t>Wege der BegabungsfÃ¶rderung in Schule und Unterricht</t>
  </si>
  <si>
    <t>Gabriele Weigand-Christian Fischer-Friedhelm KÃ¤pnick-Christoph Perleth-Franzis Preckel-Miriam Vock-Heinz-Werner Wollersheim</t>
  </si>
  <si>
    <t>Wissenschaftskommunikation in den Geisteswissenschaften</t>
  </si>
  <si>
    <t>Georgia GÃ¶decke-Andreas GrÃ¼newald</t>
  </si>
  <si>
    <t>Didaktiken der Beruflichen Fachrichtungen</t>
  </si>
  <si>
    <t>Manuela Niethammer-Manuela Liebig-Marcel Schweder</t>
  </si>
  <si>
    <t>Advances in Frontier Research on Engineering Structures II</t>
  </si>
  <si>
    <t>Dayong Li-Yu Zhang</t>
  </si>
  <si>
    <t>Advances in Frontier Research on Engineering Structures</t>
  </si>
  <si>
    <t>Positionierungen nachhaltigen Verhaltens am Arbeitsplatz</t>
  </si>
  <si>
    <t>Christian Thomas Scheiding</t>
  </si>
  <si>
    <t>New Progress of Regulations and Judicial Practice of Intellectual Property</t>
  </si>
  <si>
    <t>Deli Cheng-Xinmiao Yu-Klaus Bacher</t>
  </si>
  <si>
    <t>Ukraineâ€™s Thorny Path to the EU</t>
  </si>
  <si>
    <t>Maryna Rabinovych-Anne Pintsch</t>
  </si>
  <si>
    <t>Gefahr in Literatur und Film</t>
  </si>
  <si>
    <t>Djuna Lichtenberger</t>
  </si>
  <si>
    <t>Handbuch Queere Zeitgeschichten II</t>
  </si>
  <si>
    <t>Benno Gammerl-Martin LÃ¼cke-Andrea Rottmann</t>
  </si>
  <si>
    <t>InterdisziplinÃ¤re Stadtforschung II</t>
  </si>
  <si>
    <t>Raphaela Kogler-Alexander Hamedinger</t>
  </si>
  <si>
    <t>Caring Infrastructures</t>
  </si>
  <si>
    <t>Sascia Bailer</t>
  </si>
  <si>
    <t>Religion und AtmosphÃ¤re</t>
  </si>
  <si>
    <t>ARCHITECTURE / Buildings / Religious</t>
  </si>
  <si>
    <t>Martin Radermacher</t>
  </si>
  <si>
    <t>Precycling</t>
  </si>
  <si>
    <t>Elisabeth SÃ¼ÃŸbauer-Catharina LÃ¼der</t>
  </si>
  <si>
    <t>Performative Arts and Social Transformation</t>
  </si>
  <si>
    <t>Mira Sack-Milena Meier-Andreas BÃ¼rgisser</t>
  </si>
  <si>
    <t>The Social Organization of Arts</t>
  </si>
  <si>
    <t>Volker Kirchberg-Tasos Zembylas</t>
  </si>
  <si>
    <t>Afro-latinidad e historia de las esclavitudes</t>
  </si>
  <si>
    <t>Michael Zeuske</t>
  </si>
  <si>
    <t>Queer im Pfarrhaus</t>
  </si>
  <si>
    <t>SOCIAL SCIENCE / LGBTQ+ Studies / Lesbian Studies</t>
  </si>
  <si>
    <t>Katrin Burja-Traugott Roser</t>
  </si>
  <si>
    <t>Deutsche JÃ¼d*innen in Chile</t>
  </si>
  <si>
    <t>Ana MarÃ­a Troncoso Salazar</t>
  </si>
  <si>
    <t>ReligiÃ¶se Bildung und Transformation</t>
  </si>
  <si>
    <t>RELIGION / Education</t>
  </si>
  <si>
    <t>Marcin Morawski</t>
  </si>
  <si>
    <t>Â»Conceptual ChangeÂ« in den Â»weichenÂ« SchulfÃ¤chern</t>
  </si>
  <si>
    <t>Stefan SchrÃ¶der-Sophie Faulstich</t>
  </si>
  <si>
    <t>Die Rede vom Â»Religionsstunden-IchÂ«</t>
  </si>
  <si>
    <t>RELIGION / Christian Education / General</t>
  </si>
  <si>
    <t>Matthias Werner</t>
  </si>
  <si>
    <t>Virtuelle Tiere</t>
  </si>
  <si>
    <t>Ina Bolinski-Thomas Hawranke-Stefan Rieger</t>
  </si>
  <si>
    <t>Live Performance and Video Games</t>
  </si>
  <si>
    <t>RÃ©jane Dreifuss-Simon Hagemann-Izabella Pluta</t>
  </si>
  <si>
    <t>Â»Ain't Nothing Like the Real Thing?Â«</t>
  </si>
  <si>
    <t>Amrei Bahr-Gerrit FrÃ¶hlich</t>
  </si>
  <si>
    <t>Land, Arzt, Mangel</t>
  </si>
  <si>
    <t>Andrea Futterer</t>
  </si>
  <si>
    <t>Zwischen Aufnahme und Transit</t>
  </si>
  <si>
    <t>Sarah Knoll</t>
  </si>
  <si>
    <t>Erregende Dokumente</t>
  </si>
  <si>
    <t>Leonie Zilch</t>
  </si>
  <si>
    <t>Libidinal Economies of Crisis Times</t>
  </si>
  <si>
    <t>Ben Gook</t>
  </si>
  <si>
    <t>HÃ¶rspielanalyse</t>
  </si>
  <si>
    <t>Matthias C. HÃ¤nselmann</t>
  </si>
  <si>
    <t>Kashmiri Nationalism, 1989-2016</t>
  </si>
  <si>
    <t>Arshi Javaid</t>
  </si>
  <si>
    <t>Conflicts in Urban Future-Making</t>
  </si>
  <si>
    <t>Monika Grubbauer-Alessandra Manganelli-Louis Volont</t>
  </si>
  <si>
    <t>Die Macht der EntwÃ¤sserung</t>
  </si>
  <si>
    <t>Lutz Budrass-Eva-Maria Roelevink</t>
  </si>
  <si>
    <t>Utopian Architecture Beyond the Concrete</t>
  </si>
  <si>
    <t>Christian Preidel</t>
  </si>
  <si>
    <t>Golden Pudel-Ethnographie</t>
  </si>
  <si>
    <t>Maxime Le CalvÃ©</t>
  </si>
  <si>
    <t>Der Tod und das Geld â€“ Historische Korrelationen</t>
  </si>
  <si>
    <t>Peter LÃ¶ffelbein</t>
  </si>
  <si>
    <t>Seeds For Democratic Futures</t>
  </si>
  <si>
    <t>Frederic Hanusch-Anna Katsman</t>
  </si>
  <si>
    <t>Wandlungen des Sammelns</t>
  </si>
  <si>
    <t>Susanne Friedrich-Jana Mangold-Susanne Rau</t>
  </si>
  <si>
    <t>Politische Theorie des Antiziganismus</t>
  </si>
  <si>
    <t>Laura SorÃ©na Tittel</t>
  </si>
  <si>
    <t>Reproduktion und das gute Leben</t>
  </si>
  <si>
    <t>Isabella Marcinski-Michel-Claudia Wiesemann</t>
  </si>
  <si>
    <t>ZeitrÃ¤ume gestalten</t>
  </si>
  <si>
    <t>Sandra Schuster</t>
  </si>
  <si>
    <t>Digital Feedback in Higher Education</t>
  </si>
  <si>
    <t>Jennifer Schluer</t>
  </si>
  <si>
    <t>Wohnen erforschen</t>
  </si>
  <si>
    <t>Miriam Meuth-Julia von Mende-Antonia Josefa Krahl-Eveline Althaus</t>
  </si>
  <si>
    <t>Die Politisierbarkeit Ã¶konomischer Modellwelten</t>
  </si>
  <si>
    <t>Carsten Damm</t>
  </si>
  <si>
    <t>Choreografie im Museum als Institutionskritik</t>
  </si>
  <si>
    <t>Hannah Rocchi</t>
  </si>
  <si>
    <t>Interdisciplinary Exhibitions and the Production of Knowledge</t>
  </si>
  <si>
    <t>Henriette Pleiger</t>
  </si>
  <si>
    <t>Visionen eines neuen Christentums</t>
  </si>
  <si>
    <t>Maria Hinsenkamp</t>
  </si>
  <si>
    <t>Postmigrantische Literaturgeschichte</t>
  </si>
  <si>
    <t>Wiebke Sievers</t>
  </si>
  <si>
    <t>Warum-Frage und Typentheorie der ErklÃ¤rung</t>
  </si>
  <si>
    <t>Alexander Scheidt</t>
  </si>
  <si>
    <t>Communicative AI in (Inter-)Action</t>
  </si>
  <si>
    <t>Florian Muhle-Indra Bock</t>
  </si>
  <si>
    <t>Historisches ErzÃ¤hlen in Digitalien</t>
  </si>
  <si>
    <t>Christina BrÃ¼ning-Alexandra Krebs</t>
  </si>
  <si>
    <t>Anderes Visualisieren â€“ Zur Kritik der Datengestaltung</t>
  </si>
  <si>
    <t>Paul Heinicker</t>
  </si>
  <si>
    <t>Maschinen und AtmosphÃ¤ren</t>
  </si>
  <si>
    <t>Andreas SieÃŸ</t>
  </si>
  <si>
    <t>Music Across the Ocean - Kulturelle MobilitÃ¤t im transatlantischen Raum, 1800-1950</t>
  </si>
  <si>
    <t>Carola Bebermeier-Clemens Kreutzfeldt-Melanie Unseld</t>
  </si>
  <si>
    <t>Dichter/Frauen</t>
  </si>
  <si>
    <t>Hannah Gerlach</t>
  </si>
  <si>
    <t>Erinnerungen tanzen</t>
  </si>
  <si>
    <t>PERFORMING ARTS / Dance / General</t>
  </si>
  <si>
    <t>Christina Thurner</t>
  </si>
  <si>
    <t>Wissensordnungen des KÃ¼nstlerischen</t>
  </si>
  <si>
    <t>Matthias Handschick-Wolfgang Lessing</t>
  </si>
  <si>
    <t>Philosophy and Jewish Thought</t>
  </si>
  <si>
    <t>Beniamino Fortis-Ellen Rinner-Lars Tittmar</t>
  </si>
  <si>
    <t>NS-Provenienzforschung in Norddeutschland</t>
  </si>
  <si>
    <t>Kathrin Kleibl</t>
  </si>
  <si>
    <t>Demokratische Auszeit</t>
  </si>
  <si>
    <t>AndrÃ© Brodocz-Hagen SchÃ¶lzel</t>
  </si>
  <si>
    <t>War, Migration, Memory</t>
  </si>
  <si>
    <t>Viktoriya Sereda</t>
  </si>
  <si>
    <t>The Aesthetics of Collective Agency</t>
  </si>
  <si>
    <t>Simone Knewitz-Stefanie Mueller</t>
  </si>
  <si>
    <t>Die Feier der Sprache in der Ã„sthetik der Existenz</t>
  </si>
  <si>
    <t>Thomas Becker</t>
  </si>
  <si>
    <t>Anerkennung, Bildung und Migration</t>
  </si>
  <si>
    <t>Sina Isabel Freund</t>
  </si>
  <si>
    <t>Vokabular des Virtuellen</t>
  </si>
  <si>
    <t>Early Career Forum des SFB 1567</t>
  </si>
  <si>
    <t>Narrativity and Violence</t>
  </si>
  <si>
    <t>Doris Reisinger-Christof Mandry-Sabine Andresen</t>
  </si>
  <si>
    <t>Mode und Gender</t>
  </si>
  <si>
    <t>Anna-Brigitte Schlittler-Katharina Tietze</t>
  </si>
  <si>
    <t>Hamburg Climate Futures Outlook 2024</t>
  </si>
  <si>
    <t>Anita Engels-Jochem Marotzke-Beate Ratter-Eduardo GonÃ§alves Gresse-AndrÃ©s LÃ³pez-Rivera-Anna Pagnone-Jan Wilkens</t>
  </si>
  <si>
    <t>(Sonder-)PÃ¤dagogik oder Inklusion?</t>
  </si>
  <si>
    <t>Sven BÃ¤rmig-Marc Willmann</t>
  </si>
  <si>
    <t>Education Research in African Contexts</t>
  </si>
  <si>
    <t xml:space="preserve"> Paul Webb-Mathabo Khau-Proscovia Namubiru Ssentamu</t>
  </si>
  <si>
    <t>Pandemic Genres</t>
  </si>
  <si>
    <t>Neville Wallace Hoad</t>
  </si>
  <si>
    <t>Jahrbuch der berufs- und wirtschaftspÃ¤dagogischen Forschung 2024</t>
  </si>
  <si>
    <t>Pflege-Report 2024</t>
  </si>
  <si>
    <t>Antje Schwinger-Adelheid Kuhlmey-Stefan GreÃŸ-JÃ¼rgen Klauber-Klaus Jacobs</t>
  </si>
  <si>
    <t>Fluidized Bed Reactors for Carbon Capture</t>
  </si>
  <si>
    <t>Lunbo Duan-Dennis Lu</t>
  </si>
  <si>
    <t>Indigenous Early Career Researchers in Australian Universities</t>
  </si>
  <si>
    <t>Michelle Trudgett-Susan Page-Rhonda Povey-Michelle Locke</t>
  </si>
  <si>
    <t>Proceedings of the 7th International Conference on Advanced High Strength Steel and Press Hardening (ICHSU 2024)</t>
  </si>
  <si>
    <t>Yisheng Zhang-Mingtu Ma</t>
  </si>
  <si>
    <t>Proceedings of the 2nd International Conference on Culture and Sustainable Development (ICOCAS 2024)</t>
  </si>
  <si>
    <t>Gani Nur Pramudyo-Izmy Khumairoh-Marta Widyawati</t>
  </si>
  <si>
    <t>Proceedings of the 2024 9th International Conference on Modern Management, Education and Social Sciences (MMET 2024)</t>
  </si>
  <si>
    <t>Chunyi Lin-Fong Peng Chew-Intakhab Alam Khan-Catalin Popescu</t>
  </si>
  <si>
    <t>Brain Development and the Law</t>
  </si>
  <si>
    <t>Stephan Schleim</t>
  </si>
  <si>
    <t>Development and Investment in Infrastructure in Developing Countries: A 10-Year Reflection</t>
  </si>
  <si>
    <t>Innocent Musonda-Erastus Mwanaumo-Adetayo Onososen-Retsepile Kalaoane</t>
  </si>
  <si>
    <t>IMPACT OF DIGITAL GLOBALIZATION</t>
  </si>
  <si>
    <t>Rishikesh Kumar Gautam &amp; Hari Krishna Behera</t>
  </si>
  <si>
    <t>FROM STAGE TO LIFE: PSYCHODRAMA with FEMALE OFFENDERS</t>
  </si>
  <si>
    <t>Rumeysa AKGUN</t>
  </si>
  <si>
    <t>Rethinking Media in Light of Current Discussions and Trends</t>
  </si>
  <si>
    <t>PÄ±nar Ã–ZGÃ–KBEL BILIS Ali Emre BILIS Kemal Cem BAYKAL</t>
  </si>
  <si>
    <t>Creating with Roots</t>
  </si>
  <si>
    <t>Rui Xu</t>
  </si>
  <si>
    <t>Notes on Vermin</t>
  </si>
  <si>
    <t>Caroline Hovanec</t>
  </si>
  <si>
    <t>Continuous Cover Forestry in Boreal Nordic Countries</t>
  </si>
  <si>
    <t>Pasi Rautio-Johanna Routa-Saija Huuskonen-Emma HolmstrÃ¶m-Jonas Cedergren</t>
  </si>
  <si>
    <t>Handbook of Children and Screens</t>
  </si>
  <si>
    <t>Dimitri A. Christakis-Lauren Hale</t>
  </si>
  <si>
    <t>Key Classical Works on Islamic Ethics</t>
  </si>
  <si>
    <t>Mutaz al-Khatib</t>
  </si>
  <si>
    <t>Enabling Learning</t>
  </si>
  <si>
    <t>Marinella Caruso-Nicola Fraschini-John Kinder</t>
  </si>
  <si>
    <t>Climate-Resilient Cities</t>
  </si>
  <si>
    <t>Anvita Arora-Fateh BelaÃ¯d-Sara Lechtenberg-Kasten</t>
  </si>
  <si>
    <t>The Future of Third Sector Research</t>
  </si>
  <si>
    <t>BUSINESS &amp; ECONOMICS / Nonprofit Organizations &amp; Charities / General</t>
  </si>
  <si>
    <t>Andrea Bassi-Mario Aquino Alves-Carolyn Cordery</t>
  </si>
  <si>
    <t>The 4IR and the Humanities in South Africa: Perspectives on Innovation, Power and Potentialities (2024)</t>
  </si>
  <si>
    <t>Bhaso Ndzendze-Asheel Singh-Celine Meyers-Mancha J Sekgololo-Mmatlou J Malatji-Ndivhuwo D Sundani-Nombulelo T Shange-Pfarelo E Matshidze-Pragna Rugunanan-Susan I Brokensha-Suzall Timm-Thizwilondi J Madima-Tinuade A Ojo-Vhonani O Netshandama-Zainab M Olaitan-Zimkhitha Manyana.</t>
  </si>
  <si>
    <t>Digital Developments and Employment: Understanding Trends in Africa (2024)</t>
  </si>
  <si>
    <t>Ali Parry-Wilma Viviers-Emmanuel Orkoh-Susara J Jansen van Rensburg</t>
  </si>
  <si>
    <t>Digital Humanities in Precarious Times</t>
  </si>
  <si>
    <t>Mirna Nel-Phil van Schalkwyk-Abiodun Salawu-Gustav Butler-Gilbert Motsaathebe-Adedamola T Akinlade-AndrÃ© Gouws-Anette Degenaar-Eliza M Govender-Elvis Madondo-Jonathan van der Walt-Liam R Rothballer-Lynnette M Fourie-Marenet Jordaan-Micaela Scholtz-Nina Liebenberg</t>
  </si>
  <si>
    <t>The 1840 Translation of the Gospel of Luke As a Technology of Power: A Decolonial Reflection (2024)</t>
  </si>
  <si>
    <t>Itumeleng D Mothoagae</t>
  </si>
  <si>
    <t>Understanding and Mitigating Cyberfraud in Africa (2024)</t>
  </si>
  <si>
    <t>Oluwatoyin E Akinbowale-Mariann P Mashigo-Mulatu F Zerihun</t>
  </si>
  <si>
    <t>A Framework for Continuous Quality Improvement for Fast-track Queues in Clinics in EThekwini (2024)</t>
  </si>
  <si>
    <t>Dudu G Sokhela</t>
  </si>
  <si>
    <t>The Fabric(ation) of Consciousness: A Neuro-ecological Perspective (2024)</t>
  </si>
  <si>
    <t>Andries G van Aarde-Pieter F Craffert</t>
  </si>
  <si>
    <t>The Global South and Comparative and International Education: A Leitmotif (2024)</t>
  </si>
  <si>
    <t>Charl C Wolhuter</t>
  </si>
  <si>
    <t>Rethinking Commerce Education in South Africa: The Case for Change to Develop Future-fit Business Leaders (2024)</t>
  </si>
  <si>
    <t>ElsabÃ© Loots-Johan Oberholster-Adriana Steyn-Alex Antonites-Alta van der Merwe-Andres Merino-Chris Callaghan-Dinko Herman Boikanyo-Gary Marques-Herman van der Merwe-Jhalukpreya Surujlal-Kato Plant-Liandi van den Berg-Mandie Wentzel-Modimowabarwa Kanyane-Pia Lamberti-Sedzani Musundwa-Sunet Eybers-Susan Benvenuti-Theresa Onaji-Benson-Verona Leendertz-Vusani Moyo-Warren Maroun-Wesley Rosslyn-Smith-Willie T Chinyamurindi</t>
  </si>
  <si>
    <t>From Jungle Rubber to Rubber Agroforestry Systems</t>
  </si>
  <si>
    <t>La dÃ©mocratie environnementale face Ã  la rÃ©alitÃ©</t>
  </si>
  <si>
    <t>Michel BadrÃ©</t>
  </si>
  <si>
    <t>Female Servants in Early Modern England</t>
  </si>
  <si>
    <t>Charmian Mansell</t>
  </si>
  <si>
    <t>ESA Science Programme Missions</t>
  </si>
  <si>
    <t>SCIENCE / Space Science / General</t>
  </si>
  <si>
    <t>Arvind Parmar-Roger-Maurice Bonnet-Guido De Marchi-Pedro GarcÃ­a-Lario-Erik Kuulkers-GÃ¶ran Pilbratt-Celia SÃ¡nchez-FernÃ¡ndez-Maria Santos-LleÃ³-Norbert Schartel-John Zarnecki</t>
  </si>
  <si>
    <t>Skin Necrosis</t>
  </si>
  <si>
    <t>Luc TÃ©ot-Sylvie Meaume-Sadanori Akita-VÃ©ronique Del Marmol-Sebastian Probst</t>
  </si>
  <si>
    <t>Irregularising Human Mobility</t>
  </si>
  <si>
    <t>Sergio Carrera-Davide Colombi</t>
  </si>
  <si>
    <t>Kernels of Resistance</t>
  </si>
  <si>
    <t>Liza Grandia</t>
  </si>
  <si>
    <t>Weiterbildungsstatistik im Verbund 2021</t>
  </si>
  <si>
    <t>Heike Horn-Thomas Lux-Deutsches Institut fÃ¼r Erwachsenenbildung (DIE)</t>
  </si>
  <si>
    <t>ERiK-Forschungsbericht III</t>
  </si>
  <si>
    <t>Christiane Meiner-Teubner-Diana D. Schacht-Nicole Klinkhammer-Susanne Kuger-Bernhard Kalicki-Sina Fackler</t>
  </si>
  <si>
    <t>Lebenslanges Lernen und Hochschulbildung</t>
  </si>
  <si>
    <t>Julietta Adorno</t>
  </si>
  <si>
    <t>Bildung in Deutschland 2024</t>
  </si>
  <si>
    <t>Autor:innengruppe Bildungsberichterstattung</t>
  </si>
  <si>
    <t>Bildung auf einen Blick 2023</t>
  </si>
  <si>
    <t>ERiK-Methodological Report III</t>
  </si>
  <si>
    <t>Diana D. Schacht-Jakob J. Gilg-Benjamin Gedon-Martin Brusis-Janette Buchmann-Doris Drexl-Tony Hoang-Alexandra JÃ¤hnert-Susanne Kuger-Magdalena Molina-Ramirez-Michael MÃ¼ller-Melina PreuÃŸ-Susanne Rahmann-Lisa Ulrich-Felix Wenger</t>
  </si>
  <si>
    <t>Indikatorenentwicklung im Feld der kulturellen Bildung (InKuBi)</t>
  </si>
  <si>
    <t>Stefan KÃ¼hne-Kai Maaz</t>
  </si>
  <si>
    <t>Digital und regional vernetzt â€“ AnsÃ¤tze zur Optimierung der Lernortkooperation in der beruflichen Bildung</t>
  </si>
  <si>
    <t>Dominique Dauser-Andreas Fischer-Sabrina Lorenz-Thomas Schley-Susanne Kretschmer-Iris Pfeiffer</t>
  </si>
  <si>
    <t>Professionalisierung in der Grundbildung Erwachsener</t>
  </si>
  <si>
    <t>Cordula LÃ¶ffler-Ilka Koppel</t>
  </si>
  <si>
    <t>Deutschunterricht zwischen Ideologie und Innovation</t>
  </si>
  <si>
    <t>Roberto HÃ¼bner</t>
  </si>
  <si>
    <t>From Splendid Isolation to Global Engagement</t>
  </si>
  <si>
    <t>Birgit Wolf-Tobias Schmohl-Larisa Buhin-Michael Stricker</t>
  </si>
  <si>
    <t>Reparaturbildung gestalten</t>
  </si>
  <si>
    <t>Janina Klose-Magdalena MeiÃŸner-Laura Beyeler-Luisa Stuhr-Melanie Jaeger-Erben</t>
  </si>
  <si>
    <t>Handbuch Validierung non-formal und informell erworbener Kompetenzen</t>
  </si>
  <si>
    <t>Martin Schmid</t>
  </si>
  <si>
    <t>Perspektiven auf Professionalisierung in Beruflicher Bildung, Erwachsenenbildung und Hochschulbildung</t>
  </si>
  <si>
    <t>Julia SchÃ¼tz-Uwe Elsholz</t>
  </si>
  <si>
    <t>Nachhaltigkeitsorientierte Weiterbildungsdidaktik</t>
  </si>
  <si>
    <t>Claudia MÃ¼ller-Jan Pranger-Jens ReiÃŸland</t>
  </si>
  <si>
    <t>Arbeitgeber kompetent beraten</t>
  </si>
  <si>
    <t>Paulina Jedrzejczyk-Ruth Moritz-Marco de Pinto</t>
  </si>
  <si>
    <t>Qualifizierungsberatung von Betrieben in der Bundesagentur fÃ¼r Arbeit</t>
  </si>
  <si>
    <t>Thomas Freiling-Tim Stanik-Ruth Moritz-Bernd KÃ¤pplinger-Martin Reuter-Caroline Dietz</t>
  </si>
  <si>
    <t>InterdisziplinaritÃ¤t in der Hochschullehre</t>
  </si>
  <si>
    <t>Simone BrandstÃ¤dter-Sebastian Lerch-Mirjam BraÃŸler</t>
  </si>
  <si>
    <t>Grundlagenwissen zu KÃ¼nstlicher Intelligenz von angehenden LehrkrÃ¤ften</t>
  </si>
  <si>
    <t>Jacqueline M.-C. Schmidt</t>
  </si>
  <si>
    <t>Lernort Wohnung</t>
  </si>
  <si>
    <t>Gerd Grampp</t>
  </si>
  <si>
    <t>FachkrÃ¤ftesicherung, VersorgungsqualitÃ¤t und Karrieren in der Pflege</t>
  </si>
  <si>
    <t>Karin Reiber-Jutta Mohr-Michaela Evans-Borchers-Miriam Peters</t>
  </si>
  <si>
    <t>Partnership-Based Governance and Standardization of Vocational Teacher Education in Ukraine</t>
  </si>
  <si>
    <t>Thomas DeiÃŸinger-Oksana Melnyk</t>
  </si>
  <si>
    <t>Kompetenzen im digitalen Lehr- und Lernraum an Hochschulen</t>
  </si>
  <si>
    <t>Katharina Hombach-Heike Rundnagel</t>
  </si>
  <si>
    <t>Barrieren digitaler Teilhabe erkennen und Ã¼berwinden</t>
  </si>
  <si>
    <t>Marianne Kreuder-Schock-Sylvia Lietz-Irina Kreider-Sabrina Lorenz-Thomas Schley</t>
  </si>
  <si>
    <t>Hans Tietgens und die Erwachsenenbildung</t>
  </si>
  <si>
    <t>Wiltrud Gieseke-Bernd KÃ¤pplinger</t>
  </si>
  <si>
    <t>PlaUsiBel lehren und lernen</t>
  </si>
  <si>
    <t>Hans-Walter Kranert-Philipp Hascher-Roland Stein</t>
  </si>
  <si>
    <t>Hochschullehre postdigital</t>
  </si>
  <si>
    <t>Nerea VÃ¶ing-Tobias Jenert-Iris Neiske-Judith Osthushenrich-Ulrike Trier-Tassja Weber-Knut Altroggen</t>
  </si>
  <si>
    <t>"Ich kÃ¶nnte diese Ecke hier besser machen?"</t>
  </si>
  <si>
    <t>Lea Weniger</t>
  </si>
  <si>
    <t>Betriebliches Bildungspersonal als Promotor beruflicher Bildungsprozesse</t>
  </si>
  <si>
    <t>Marisa Kaufhold-Ulrike Weyland-Eva-Luzia Stratmann-Stephanie HÃ¶ke</t>
  </si>
  <si>
    <t>Peer Learning in der beruflichen Ausbildung</t>
  </si>
  <si>
    <t>Philipp Struck</t>
  </si>
  <si>
    <t>The Fast Track Labour Market Integration of Immigrants</t>
  </si>
  <si>
    <t>Andrea Bernert-BÃ¼rkle-Paolo Federighi-Francesca Torlone</t>
  </si>
  <si>
    <t>Wissenschaftliche berufliche Weiterbildung fÃ¼r Kunst und Kultur</t>
  </si>
  <si>
    <t>Steffi Robak-Wiltrud Gieseke-Lena Heidemann-Marion Fleige-Christian KÃ¼hn-Jessica PreuÃŸ-Stephanie Freide-Anneke Krueger</t>
  </si>
  <si>
    <t>Beruflichkeit â€“ Interaktionsarbeit â€“ Kompetenz</t>
  </si>
  <si>
    <t>Stefanie Hiestand</t>
  </si>
  <si>
    <t>Perspektiven fÃ¼r Hanna</t>
  </si>
  <si>
    <t>Andreas Keller-Yasmin Frommont</t>
  </si>
  <si>
    <t>Comparative Research in Adult Education</t>
  </si>
  <si>
    <t>Lisa Breitschwerdt-JÃ¶rg Schwarz-Sabine Schmidt-Lauff</t>
  </si>
  <si>
    <t>Zum Selbstbewusstsein der Erwachsenenbildung</t>
  </si>
  <si>
    <t>Andreas Seiverth-Joachim Twisselmann-Malte Ebner von Eschenbach</t>
  </si>
  <si>
    <t>The Violence of Love</t>
  </si>
  <si>
    <t>Kit W. Myers</t>
  </si>
  <si>
    <t>Music, the Avant-Garde, and Counterculture</t>
  </si>
  <si>
    <t>Anabela Duarte</t>
  </si>
  <si>
    <t>Acceptance and Diffusion of Connected and Automated Driving in Japan and Germany</t>
  </si>
  <si>
    <t>Christine Eisenmann-Dennis Seibert-Torsten Fleischer-Ayako Taniguchi-Takashi Oguchi</t>
  </si>
  <si>
    <t>Assessment of Tensegrity Structures</t>
  </si>
  <si>
    <t>Paulina Obara</t>
  </si>
  <si>
    <t>The European Universities Initiative and the â€˜Euro-internationalisationâ€™ of European Higher Education</t>
  </si>
  <si>
    <t>Alexander Frame-Barbara CuryÅ‚o</t>
  </si>
  <si>
    <t>Philanthropy: Multidisciplinary Perspectives</t>
  </si>
  <si>
    <t>Giulia Neri-Castracane-Giuseppe Ugazio</t>
  </si>
  <si>
    <t>Fanon, Psychoanalysis, and Critical Decolonial Psychology</t>
  </si>
  <si>
    <t>Derek Hook</t>
  </si>
  <si>
    <t>Navigating Issues of Equity in Schools Through Research-Practice Partnerships</t>
  </si>
  <si>
    <t>Jesse Senechal-David Naff-Hillary Parkhouse</t>
  </si>
  <si>
    <t>Children and Violence</t>
  </si>
  <si>
    <t>Christelle Molima Bameka-Jastine C. Barrett-Mohamed Kamara-Karl Hanson-Mark A. Drumbl</t>
  </si>
  <si>
    <t>Legal Empowerment in Informal Settlements</t>
  </si>
  <si>
    <t>LAW / Housing &amp; Urban Development</t>
  </si>
  <si>
    <t>Adrian Di Giovanni-Luciana Bercovich</t>
  </si>
  <si>
    <t>Nordic Neoliberalisms</t>
  </si>
  <si>
    <t>Jenny Andersson-Chris Howell</t>
  </si>
  <si>
    <t>Detention and the Right to Liberty</t>
  </si>
  <si>
    <t>Sabina Garahan</t>
  </si>
  <si>
    <t>The Development of Energy Policy in the European Union</t>
  </si>
  <si>
    <t>Ingmar Versolmann</t>
  </si>
  <si>
    <t>Football, Community and Social Responsibility</t>
  </si>
  <si>
    <t>Chris Stone</t>
  </si>
  <si>
    <t>The Mobility Control Apparatus</t>
  </si>
  <si>
    <t>Maartje van der Woude</t>
  </si>
  <si>
    <t>The Right Not to Use the Internet</t>
  </si>
  <si>
    <t>Dariusz Kloza-ElÅ¼bieta KuÅ¼elewska-Eva Lievens-Valerie Verdoodt</t>
  </si>
  <si>
    <t>The Mapping of a Russian War: The Atlas of the Principality of Polatsk by StanisÅ‚aw PachoÅ‚owiecki (1580)</t>
  </si>
  <si>
    <t>HISTORY / Reference</t>
  </si>
  <si>
    <t>Jakub NiedÅºwiedÅº-Karol Åopatecki-Grzegorz Franczak</t>
  </si>
  <si>
    <t>The Historical Landscape of Ancient KalabrÃ­a</t>
  </si>
  <si>
    <t>Francesco Lopez</t>
  </si>
  <si>
    <t>Karbala in the TaÊ¿ziyeh Episode, ShiÊ¿i Devotional Drama in Iran</t>
  </si>
  <si>
    <t>Eleanor Lucy Deacon</t>
  </si>
  <si>
    <t>Proceedings of the 2024 International Conference on Artificial Intelligence and Digital Management (ICAIDM 2024)</t>
  </si>
  <si>
    <t>Zuriati Ahmad Zukarnain-Mouquan Shen-Thinagaran Perumal-Norhayati Zakuan</t>
  </si>
  <si>
    <t>Proceedings of the 1st International Conference on Climate Change and Emerging Trends in Civil Engineering (CCETC 2024)</t>
  </si>
  <si>
    <t>Muhammad Ashraf Tanoli-Muhammad Arsalan Khan-Shiraz Ahmed</t>
  </si>
  <si>
    <t>Asylum and Nonreligion</t>
  </si>
  <si>
    <t>Ben Laws</t>
  </si>
  <si>
    <t>Children in Migration and International Family Law</t>
  </si>
  <si>
    <t>Stefan Arnold-Bettina Heiderhoff</t>
  </si>
  <si>
    <t>Negotiating Gendered Identities in Primary School</t>
  </si>
  <si>
    <t>Jon Swain</t>
  </si>
  <si>
    <t>Proceedings of the 2024 4th International Conference on Modern Educational Technology and Social Sciences (ICMETSS 2024)</t>
  </si>
  <si>
    <t>Vishalache A/P Balakrishnan-Muhammad Faizal Bin A. Ghani A. Ghani-Rafiza Binti Abdul Razak Abdul Razak-Ghadah Hassan Al Murshidi</t>
  </si>
  <si>
    <t>Proceedings of the International Conference on Innovation &amp; Entrepreneurship in Computing, Engineering &amp; Science Education (InvENT 2024)</t>
  </si>
  <si>
    <t>Nur Atiqah Sia Abdullah-Teoh Sian Hoon-Nurshamshida Md Shamsudin-Rafeah Legino</t>
  </si>
  <si>
    <t>Proceedings of the International Conference on Sustainable Green Tourism Applied Science - Engineering Applied Science 2024 (ICoSTAS-EAS 2024)</t>
  </si>
  <si>
    <t>Anak Agung Ngurah Gde Sapteka-I Gusti Lanang Made Parwita-I Komang Wiratama-Fransiska Moi-Komang Widhi Widantha</t>
  </si>
  <si>
    <t>The Handbook of Marriage in the Arab World</t>
  </si>
  <si>
    <t>Ahmed Aref-Md Mizanur Rahman</t>
  </si>
  <si>
    <t>Italian Contemporary Screen Performers</t>
  </si>
  <si>
    <t>Luca Barra-Cristina Formenti-Mariapaola Pierini-Francesco Pitassio</t>
  </si>
  <si>
    <t>Gematon: Living and Dying in a Kushite Town on the Nile, Volume IV</t>
  </si>
  <si>
    <t>Anna M. Davies-Barrett-Tatiana Vlemincq-Mendieta-Pernille Bangsgaard</t>
  </si>
  <si>
    <t>Gematon: Living and Dying in a Kushite Town on the Nile, Volume II</t>
  </si>
  <si>
    <t>Derek A. Welsby</t>
  </si>
  <si>
    <t>Water Supply and Water Management in the Metal Ages</t>
  </si>
  <si>
    <t>Dirk Brandherm-Thomas Zimmermann</t>
  </si>
  <si>
    <t>Human Societies Facing Climate Change: Volume 3</t>
  </si>
  <si>
    <t>Good Taste, Fashion, Luxury</t>
  </si>
  <si>
    <t>Hayes, Dr Sarah</t>
  </si>
  <si>
    <t>Proceedings of the 4th International Conference on Education and Technology (ICETECH 2023)</t>
  </si>
  <si>
    <t>Jeffry Handhika-Marheny Lukitasari-Sigit Ricahyono-Dewanta Arya Nugraha</t>
  </si>
  <si>
    <t>The Platformization of the Family</t>
  </si>
  <si>
    <t>Julian Sefton-Green-Kate Mannell-Ola Erstad</t>
  </si>
  <si>
    <t>Memory and the Gothic Aesthetic in Film</t>
  </si>
  <si>
    <t>FICTION / Gothic</t>
  </si>
  <si>
    <t>Joana Jacob Ramalho</t>
  </si>
  <si>
    <t>Conversations with Tim Ingold</t>
  </si>
  <si>
    <t xml:space="preserve"> Tim Ingold-Robert Gibb-Philip Tonner-Diego Malara</t>
  </si>
  <si>
    <t>Burning Diagrams in Anthropology</t>
  </si>
  <si>
    <t xml:space="preserve"> Tristan Partridge</t>
  </si>
  <si>
    <t>Heavy Processing</t>
  </si>
  <si>
    <t xml:space="preserve"> T.L. Cowan-Jas Rault</t>
  </si>
  <si>
    <t>A Grammar of Warlmanpa</t>
  </si>
  <si>
    <t>Mitchell Browne</t>
  </si>
  <si>
    <t>Ritual Voices of Revelation</t>
  </si>
  <si>
    <t>James J. Fox</t>
  </si>
  <si>
    <t>Continuity and Change in Ancient Umbrian Cult Places</t>
  </si>
  <si>
    <t>Arianna Zapelloni Pavia</t>
  </si>
  <si>
    <t>Expanding Verse</t>
  </si>
  <si>
    <t>POETRY / Asian / Japanese</t>
  </si>
  <si>
    <t>Andrew Campana</t>
  </si>
  <si>
    <t>Sikh News in India, 1864-1924</t>
  </si>
  <si>
    <t>Kristina Myrvold</t>
  </si>
  <si>
    <t>Three Impeachments</t>
  </si>
  <si>
    <t>R. Kent Guy</t>
  </si>
  <si>
    <t>Proceedings of the 2024 5th International Conference on Modern Education and Information Management (ICMEIM 2024)</t>
  </si>
  <si>
    <t>Donghui Hu-Feng Lu-Fulong Chen-Shuai Liu</t>
  </si>
  <si>
    <t>Heart Disease and Climate Change</t>
  </si>
  <si>
    <t>Simon Stewart</t>
  </si>
  <si>
    <t>Markets, Rights and Power in Australian Social Policy</t>
  </si>
  <si>
    <t>Meagher, Professor Gabrielle-Goodwin, Associate Professor Susan</t>
  </si>
  <si>
    <t>Night Skies of Aboriginal Australia</t>
  </si>
  <si>
    <t>Johnson, Dianne</t>
  </si>
  <si>
    <t>Politische Urteilsbildung von Jugendlichen zu komplexen Problemstellungen einer nachhaltigen Entwicklung</t>
  </si>
  <si>
    <t>Annegret Jansen</t>
  </si>
  <si>
    <t>Smart Urban Safety and Security</t>
  </si>
  <si>
    <t>Anniina Autero-Marcela de Moraes Batista Simao-Ilari Karppi</t>
  </si>
  <si>
    <t>International Childrenâ€™s Rights Instruments</t>
  </si>
  <si>
    <t>Karl Hanson-Ton Liefaard-Roberta Ruggiero-Elena Patrizi-Katrien Klep-Lucy Opoka</t>
  </si>
  <si>
    <t>The Politics of Multifaith</t>
  </si>
  <si>
    <t>Ryszard Bobrowicz</t>
  </si>
  <si>
    <t>Humanâ€“Bug Encounters in Multispecies Networks</t>
  </si>
  <si>
    <t>Laura Hollsten-Otto Latva-Sanna LillbroÃ¤nda-Annala-Suvi Rytty-Tuomas RÃ¤sÃ¤nen</t>
  </si>
  <si>
    <t>Les invasions biologiques marines</t>
  </si>
  <si>
    <t>Philippe Goulletquer</t>
  </si>
  <si>
    <t>Memes, Monsters, and the Digital Grotesque</t>
  </si>
  <si>
    <t>Cristina Moreno-Almeida</t>
  </si>
  <si>
    <t>Frontier Research on High Performance Concrete and Mechanical Properties</t>
  </si>
  <si>
    <t>Ping Xiang-Haifeng Yang-Jianwei Yan</t>
  </si>
  <si>
    <t>Climate Change Adaptation and Mitigation in the Seaflower Biosphere Reserve</t>
  </si>
  <si>
    <t>JosÃ© Ernesto Mancera Pineda-AndrÃ©s F. Osorio-Cesar Toro-Carolina SofÃ­a VelÃ¡squez-CalderÃ³n</t>
  </si>
  <si>
    <t>Shared Mobility Revolution</t>
  </si>
  <si>
    <t>Henriette Cornet-Maria Gkemou</t>
  </si>
  <si>
    <t>No Prices No Games!</t>
  </si>
  <si>
    <t xml:space="preserve"> Michael Richter-Ariel Rubinstein</t>
  </si>
  <si>
    <t>Diachronic Diversity in Classical Biblical Hebrew</t>
  </si>
  <si>
    <t>RELIGION / Biblical Studies / Old Testament / General</t>
  </si>
  <si>
    <t xml:space="preserve"> Aaron D. Hornkohl</t>
  </si>
  <si>
    <t>Knowledge</t>
  </si>
  <si>
    <t xml:space="preserve"> Brian Weatherson</t>
  </si>
  <si>
    <t>Gottlieb von Jagow und die Kriegsschuldfrage 1918 bis 1935.</t>
  </si>
  <si>
    <t>Reinhold Zilch</t>
  </si>
  <si>
    <t>Viability of UNCLOS Amid Emerging Global Maritime Challenges</t>
  </si>
  <si>
    <t>Lan Anh T. Nguyen-Hai Dang Vu</t>
  </si>
  <si>
    <t>Geometric Quantization and Applications to Fields and Fluids</t>
  </si>
  <si>
    <t>V. Parameswaran Nair</t>
  </si>
  <si>
    <t>Une seule santÃ©</t>
  </si>
  <si>
    <t>Nicolas LainÃ©</t>
  </si>
  <si>
    <t>Proceedings of the 7th International Conference on Learning Innovation and Quality Education (ICLIQE 2023)</t>
  </si>
  <si>
    <t>Moh Salimi-Gunarhadi Gunarhadi-Ratna Hidayah-Dewanta Arya Nugraha</t>
  </si>
  <si>
    <t>Proceedings of the 2nd International Conference - Resilience by Technology and Design (RTD 2024)</t>
  </si>
  <si>
    <t>Tu Anh Trinh-Ducksu Seo-Truong Thinh Nguyen</t>
  </si>
  <si>
    <t>Co-Creation for Academic Enhancement in Higher Education</t>
  </si>
  <si>
    <t>Md Golam Jamil-Catherine O'Connor-Fiona Shelton</t>
  </si>
  <si>
    <t>The Globalization of Netherlandish Art</t>
  </si>
  <si>
    <t>Benjamin Schmidt-Thijs Weststeijn</t>
  </si>
  <si>
    <t>The Small Stuff of Roman Antiquity</t>
  </si>
  <si>
    <t>Emily Gowers</t>
  </si>
  <si>
    <t>Proceedings of the 2024 5th International Conference on Management Science and Engineering Management (ICMSEM 2024)</t>
  </si>
  <si>
    <t>Valentin Vasilev-CÄƒtÄƒlin Popescu-Yanhong Guo-Xiaolin Li</t>
  </si>
  <si>
    <t>Complications in Neurosurgery II</t>
  </si>
  <si>
    <t>Keki Turel-Ekkehard M. Kasper</t>
  </si>
  <si>
    <t>Reactor Laboratory Experiments at Kyoto University Critical Assembly</t>
  </si>
  <si>
    <t>Cheol Ho Pyeon-Go Chiba-Tomohiro Endo-Kenichi Watanabe</t>
  </si>
  <si>
    <t>Well-being During the Pandemic</t>
  </si>
  <si>
    <t>Christian Suter-Jenny Chesters-Sandra Fachelli</t>
  </si>
  <si>
    <t>Fabrics of Anthropological Knowledge</t>
  </si>
  <si>
    <t>Hande Birkalan-Gedik-Fabiana Dimpflmeier</t>
  </si>
  <si>
    <t>The Everyday Politics of Food Co-ops</t>
  </si>
  <si>
    <t>Celia Plender</t>
  </si>
  <si>
    <t>Proceedings of the 4th International Conference on Internet, Education and Information Technology (IEIT 2024)</t>
  </si>
  <si>
    <t>Yongjun Feng-Aniruddha Bhattacharjya-Junfeng Diao-Nahed Rajaa Ghlamallah</t>
  </si>
  <si>
    <t>Civil Society Elites in the Italian Third Sector</t>
  </si>
  <si>
    <t>Cecilia Santilli-Roberto Scaramuzzino</t>
  </si>
  <si>
    <t>Management of Hydropower Enterprises</t>
  </si>
  <si>
    <t>Yangju Tu</t>
  </si>
  <si>
    <t>Asian Yearbook of International Law, Volume 28 (2022)</t>
  </si>
  <si>
    <t>Seokwoo Lee-Hee Eun Lee</t>
  </si>
  <si>
    <t>Tea, Fragrance, and Music</t>
  </si>
  <si>
    <t>Kin Sum Li</t>
  </si>
  <si>
    <t>Prosperity Gospel Redefined</t>
  </si>
  <si>
    <t>Leita Ngoy</t>
  </si>
  <si>
    <t>New Media New Society?</t>
  </si>
  <si>
    <t>Istanbul University Press</t>
  </si>
  <si>
    <t>Murat ÅžentÃ¼rk-Massimo Ragnedda-Glenn Muschert</t>
  </si>
  <si>
    <t>Transnational Islam and Muslim Politics: Policies, Identities, and Ideologies</t>
  </si>
  <si>
    <t>Ahmet KÃ¶roÄŸlu-Baptiste Brodard</t>
  </si>
  <si>
    <t>Current Approaches, Solutions and Practices in Conservation of Cultural Heritage</t>
  </si>
  <si>
    <t>GÃ¼lder Emre-Ayberk YÄ±lmaz-Paola Pogliani-GÃ¼lce Ã–ÄŸrÃ¼Ã§ IldÄ±z-Rui Fausto</t>
  </si>
  <si>
    <t>Ecological Changes in the Sea of Marmara</t>
  </si>
  <si>
    <t>Melek Ä°ÅŸinibilir-Ahmet Erkan KÄ±deyÅŸ-Alenka Malej</t>
  </si>
  <si>
    <t>Proceedings for the Second Symposium on Space Economy, Space Law and Space Sciences</t>
  </si>
  <si>
    <t>YÃ¼ksel Bayraktar-Sinan AliÅŸ-Verda Neslihan AkÃ¼n</t>
  </si>
  <si>
    <t>MiftÃ¢huâ€™l-FelÃ¢h ve RÃ¢hatuâ€™l-ErvÃ¢h KurtuluÅŸun AnahtarÄ± ve RuhlarÄ±n Huzuru / Ä°nceleme - MetiÌ‡n</t>
  </si>
  <si>
    <t>Halil Ä°brahim Bulut-Ramazan Tarik</t>
  </si>
  <si>
    <t>Dimensions of Digital Privacy: Research and Discussions in the Digital Space</t>
  </si>
  <si>
    <t>COMPUTERS / Internet / Online Safety &amp; Privacy</t>
  </si>
  <si>
    <t>Elif Kahraman GÃ¶kalp-Ä°brahim YÄ±ldÄ±z</t>
  </si>
  <si>
    <t>Tek Parti DÃ¶nemi AnkarasÄ±â€™nda Bir KalkÄ±nma ve ModernleÅŸme Simgesi: Ã‡ubuk BarajÄ± (1929-1950)</t>
  </si>
  <si>
    <t>Serkan Tuna</t>
  </si>
  <si>
    <t>The European Court of Human Rightsâ€™ Review Methodology: An Evolution</t>
  </si>
  <si>
    <t>Saadet YÃ¼ksel</t>
  </si>
  <si>
    <t>Orlicz UzaylarÄ±nÄ±n Teorisi ve UygulamalarÄ±</t>
  </si>
  <si>
    <t>MATHEMATICS / Mathematical Analysis</t>
  </si>
  <si>
    <t>Serap Ã–ztop KaptanoÄŸlu-Alen OsanÃ§lÄ±ol-RÃ¼ya Ãœster-BÃ¼ÅŸra ArÄ±s-Esra BaÅŸar-Badik HÃ¼seyin Uysal-Åžeyma YaÅŸar-Seren UÃ§ar</t>
  </si>
  <si>
    <t>Symposium on Orphans and Abandoned Children Proceedings</t>
  </si>
  <si>
    <t>Amine ErtÃ¼rk</t>
  </si>
  <si>
    <t>Tradition of Knowledge in the Mamluk Period (13th-14th Centuries)</t>
  </si>
  <si>
    <t>Halil Ä°brahim HanÃ§abay-Mustafa TaÅŸ-Muhammed Enes BuluÅŸ</t>
  </si>
  <si>
    <t>Turkish-German Relations in Literary History From the Fifteenth Through the Twenty-First Century</t>
  </si>
  <si>
    <t>Ä°rem Atasoy-BarÄ±ÅŸ Konukman-Albrecht Classen</t>
  </si>
  <si>
    <t>KuÅŸak DaÄŸÄ±â€™nda (BatÄ± Toroslar) Kuvaterner BuzullaÅŸmalarÄ± ve Eski BuzullarÄ±n Morfometrisi</t>
  </si>
  <si>
    <t>Cihan Bayrakdar</t>
  </si>
  <si>
    <t>Geriatrik Nefroloji</t>
  </si>
  <si>
    <t>Ä°brahim KarayaylalÄ±-Neslihan Seyrek</t>
  </si>
  <si>
    <t>Su ÃœrÃ¼nlerinde GÄ±da GÃ¼venliÄŸi ve Kalite Kontrol</t>
  </si>
  <si>
    <t>Ã–zkan Ã–zden</t>
  </si>
  <si>
    <t>Film ve MÃ¼zik: TÃ¼rk SinemasÄ±â€™nda TÃ¼rk MÃ¼ziÄŸi Ã–gelerinin KullanÄ±mÄ±nÄ±n TÃ¼rk KÃ¼ltÃ¼rÃ¼ne Etkileri</t>
  </si>
  <si>
    <t>Berceste GÃ¼lÃ§in Ã–zdemir</t>
  </si>
  <si>
    <t>Cumhuriyetin 100. YÄ±lÄ±nda TÃ¼rkiye Ekonomisi</t>
  </si>
  <si>
    <t>Ahmet Ä°ncekara-Salim AteÅŸ Oktar</t>
  </si>
  <si>
    <t>CumhuriyetiÌ‡ AnÄ±larla Okumak: YÃ¼zyÄ±lÄ±n AnÄ±larÄ±</t>
  </si>
  <si>
    <t>Emine Zeynep Suda-Hande TatoÄŸlu</t>
  </si>
  <si>
    <t>Geography and the Anthropocene</t>
  </si>
  <si>
    <t>Barbaros GÃ¶nenÃ§gil-Michael E. Meadows</t>
  </si>
  <si>
    <t>Nursing and Ethics</t>
  </si>
  <si>
    <t>MEDICAL / Nursing / Social, Ethical &amp; Legal Issues</t>
  </si>
  <si>
    <t>Nuray Turan-Ayfer AydÄ±n</t>
  </si>
  <si>
    <t>Developmental Education in Children</t>
  </si>
  <si>
    <t>Selman YÄ±lmaz-Birce ArslandoÄŸan</t>
  </si>
  <si>
    <t>Present-Day Turkish Aquacultureand Trends in International Research</t>
  </si>
  <si>
    <t>Mustafa YÄ±ldÄ±z-SÃ¼heyla KarataÅŸ</t>
  </si>
  <si>
    <t>Electoral Systems and Voting Behavior in TÃ¼rkiye</t>
  </si>
  <si>
    <t>Edip Asaf BekaroÄŸlu</t>
  </si>
  <si>
    <t>Sustainability, Policy, and Global Impact: A Comparative Analysis</t>
  </si>
  <si>
    <t>Abdullah Erol</t>
  </si>
  <si>
    <t>Lausanne in the Turkish and World Press</t>
  </si>
  <si>
    <t>Mustafa Budak-AnÄ±l Dincel</t>
  </si>
  <si>
    <t>Follow-Up and Community Care of the Child With a Chronic Disease</t>
  </si>
  <si>
    <t>Emine GÃ¼lbin GÃ¶kÃ§ay-Gonca Keskindemirci</t>
  </si>
  <si>
    <t>Effects of Microbiota on Human Health</t>
  </si>
  <si>
    <t>Mustafa Oral Ã–ncÃ¼l-Zerrin AktaÅŸ</t>
  </si>
  <si>
    <t>Human Geography in TÃ¼rkiÌ‡ye</t>
  </si>
  <si>
    <t>Ä°smet Akova</t>
  </si>
  <si>
    <t>Pursuing Sustainable Development Goals: The Performance of TÃ¼rkiÌ‡ye in the Centennial of the Republic</t>
  </si>
  <si>
    <t>Billur Engin BalÄ±n-Hatice Dilara Mumcu Akan-Ferda KaragÃ¶z Ã–zenÃ§-Ã–zcan Garan</t>
  </si>
  <si>
    <t>The Idea of Republic and Philosophy</t>
  </si>
  <si>
    <t>Murat Ertan KardeÅŸ-Cengiz Ã‡akmak-Arda Telli</t>
  </si>
  <si>
    <t>Current Approaches in Information and Records Management Technology in the 100th Anniversary of the Republic</t>
  </si>
  <si>
    <t>Pervin Bezirci-IÅŸÄ±l Ä°lknur Sert</t>
  </si>
  <si>
    <t>Contemporary Challenges and Practices in Logistics and Supply Chain Management</t>
  </si>
  <si>
    <t>Abdullah OkumuÅŸ-Ebru Demirci-Muhammet GÃ¼l</t>
  </si>
  <si>
    <t>Zor Zamanda IÌ‡stanbulâ€™da KÃ¼ltÃ¼r HayatÄ±: Covid-19 Pandemisi, IÌ‡stanbulâ€™da KÃ¼ltÃ¼r HayatÄ± ve Dijital DÃ¶nÃ¼ÅŸÃ¼m</t>
  </si>
  <si>
    <t>Veysel Bozkurt-CoÅŸkun YÄ±lmaz</t>
  </si>
  <si>
    <t>Transformation of the Public Sphere in TÃ¼rkiye from the Republic Era to the Present</t>
  </si>
  <si>
    <t>Åžebnem Ã‡aÄŸlar-Murat GÃ¼lgÃ¶r</t>
  </si>
  <si>
    <t>Cancer: From Genomics to Pharmaceutics</t>
  </si>
  <si>
    <t>Zeynep KarakaÅŸ-Meryem Sedef Erdal-MÃ¼ge SayitoÄŸlu-Merva Soluk TekkeÅŸin</t>
  </si>
  <si>
    <t>Unveiling Political Conflicts: A Comprehensive Analysis</t>
  </si>
  <si>
    <t>Muharrem Hilmi Ã–zev</t>
  </si>
  <si>
    <t>Private International Law in TÃ¼rkiye</t>
  </si>
  <si>
    <t>Emre Esen-Melis AvÅŸar</t>
  </si>
  <si>
    <t>Freshwater Researches: Fundamentals, Trends and Perspectives</t>
  </si>
  <si>
    <t>TECHNOLOGY &amp; ENGINEERING / Environmental / Water Supply</t>
  </si>
  <si>
    <t>MeriÃ§ Albay-Emine GÃ¶zde Ã–zbayram-Zeynep Dorak-Reyhan AkÃ§aalan</t>
  </si>
  <si>
    <t>Marcel Proust en Turquie</t>
  </si>
  <si>
    <t>BÃ¼lent Ã‡aÄŸlakpÄ±nar-Selin GÃ¼rses Åžanbay</t>
  </si>
  <si>
    <t>State Failure and Fragility: Causes, Cases, Discussions</t>
  </si>
  <si>
    <t>Aylin Ece Ã‡iÃ§ek-Giray Gerim</t>
  </si>
  <si>
    <t>Aquatic Resources in Food Security and Sustainable Food Safety</t>
  </si>
  <si>
    <t>Nuray Erkan-Seda OÄŸur</t>
  </si>
  <si>
    <t>Van BÃ¶lgesiÌ‡ Tarih ve Arkeoloji AraÅŸtÄ±rma Merkezi (VANTAM): KÃ¼ltÃ¼r PolitikalarÄ±, Arkeoloji ve DoÄŸu Anadolu AraÅŸtÄ±rmalarÄ±nÄ±n BelleÄŸine Bir Ã–rnek</t>
  </si>
  <si>
    <t>TÃ¼lay GÃ¼naydÄ±n-Gonca Dardeniz ArÄ±kan</t>
  </si>
  <si>
    <t>Musician Portraits From the Ottoman Bureaucracy</t>
  </si>
  <si>
    <t>HISTORY / Middle East / Turkey &amp; Ottoman Empire</t>
  </si>
  <si>
    <t>AyÅŸegÃ¼l KomsuoÄŸlu-Hikmet Toker</t>
  </si>
  <si>
    <t>Between Household and State</t>
  </si>
  <si>
    <t>HISTORY / Asia / South / General</t>
  </si>
  <si>
    <t>Subah Dayal</t>
  </si>
  <si>
    <t>Event Analytics Across Languages and Communities</t>
  </si>
  <si>
    <t>Ivana Marenzi-Simon Gottschalk-Eric MÃ¼ller-Budack-Marko TadiÄ‡-Jane Winters</t>
  </si>
  <si>
    <t>European Theatre Migrants in the Age of Empire</t>
  </si>
  <si>
    <t>Berenika Szymanski-DÃ¼ll-Lisa Skwirblies</t>
  </si>
  <si>
    <t>Engineering Innovations Vol. 12</t>
  </si>
  <si>
    <t>Risa Suryana-Anna Safitri-Noto Susanto Gultom</t>
  </si>
  <si>
    <t>12th Aluminium Two Thousand World Congress &amp; 7th International Conference on Extrusion and Benchmark</t>
  </si>
  <si>
    <t>Lorenzo Donati</t>
  </si>
  <si>
    <t>Empathie und Perspektivenwechsel in interreligiÃ¶sen Begegnungen</t>
  </si>
  <si>
    <t>Katharina Gaida</t>
  </si>
  <si>
    <t>Young Citizens' Views and Engagement in a Changing Europe</t>
  </si>
  <si>
    <t>Valeria Damiani-Bruno Losito-Gabriella Agrusti-Wolfram Schulz</t>
  </si>
  <si>
    <t>Stochastic Transport in Upper Ocean Dynamics III</t>
  </si>
  <si>
    <t>Bertrand Chapron-Dan Crisan-Darryl D. Holm-Etienne MÃ©min-Jane-Lisa Coughlan</t>
  </si>
  <si>
    <t>Mastering Your Entrepreneurial Journey</t>
  </si>
  <si>
    <t>Andreas Kuckertz-Thomas Leicht-Maximilian Scheu-Indra da Silva Wagner-Bernd Ebersberger</t>
  </si>
  <si>
    <t>Readying the Revolution</t>
  </si>
  <si>
    <t>Jonathan Shandell</t>
  </si>
  <si>
    <t>Proceedings of the 4th Business Innovation Sustainability and Technology International Conference (BISTIC 2024)</t>
  </si>
  <si>
    <t>Ika Zutiasari-Dede Rusmana-Muhammad Fuad</t>
  </si>
  <si>
    <t>Proceedings of the International Conference on Sustainable Collaboration in Business, Technology, Information, and Innovation (SCBTII 2024)</t>
  </si>
  <si>
    <t>BUSINESS &amp; ECONOMICS / Accounting / General</t>
  </si>
  <si>
    <t>Suhal Kusairi-Forget Mingiri Kapingura-Putri Fariska Sugestie-Nizam Ahmat</t>
  </si>
  <si>
    <t>FachkrÃ¤ftemigration â€“ Pflegenotstand â€“ NÃ¤chstenliebe</t>
  </si>
  <si>
    <t>Tobias Santosh GroÃŸmann</t>
  </si>
  <si>
    <t>Epistemic Justice in Mental Healthcare</t>
  </si>
  <si>
    <t>Lisa Bortolotti</t>
  </si>
  <si>
    <t>The Menstrual Movement in the Media</t>
  </si>
  <si>
    <t>Maria Kathryn Tomlinson</t>
  </si>
  <si>
    <t>Proceedings of the 2nd International Conference on History, Social Sciences, and Education (ICHSE 2024)</t>
  </si>
  <si>
    <t>Indah Wahyu Puji Utami-Wahyu Djoko Sulistyo</t>
  </si>
  <si>
    <t>Proceedings of the 3rd International Conference on Financial Innovation, FinTech and Information Technology (FFIT 2024)</t>
  </si>
  <si>
    <t>BUSINESS &amp; ECONOMICS / Corporate Finance / General</t>
  </si>
  <si>
    <t>Lin Liu-Khaled Elbagory-Md. Rabiul Islam-Mohd. Faizal Abdollan</t>
  </si>
  <si>
    <t>Sustainable Aging</t>
  </si>
  <si>
    <t>SCIENCE / Life Sciences / Developmental Biology</t>
  </si>
  <si>
    <t xml:space="preserve"> Anne-Laure Maddy-Bridget Rooth</t>
  </si>
  <si>
    <t>Children's Life-Histories in Primary Schools</t>
  </si>
  <si>
    <t>Eleanore Hargreaves-Denise Buchanan-Laura Quick</t>
  </si>
  <si>
    <t>Plurinationality and Epistemic Justice</t>
  </si>
  <si>
    <t>Ruth Arias-GutiÃƒÂ©rrez-Paola Minoia</t>
  </si>
  <si>
    <t>Prehistoric Wetland Sites of Southern Europe</t>
  </si>
  <si>
    <t>Ariane Ballmer-Albert Hafner-Willy Tinner</t>
  </si>
  <si>
    <t>Modal Pragmatics</t>
  </si>
  <si>
    <t>Konrad Utz</t>
  </si>
  <si>
    <t>Enduring Encounters: Maps of Japan From Leiden University Library</t>
  </si>
  <si>
    <t>TECHNOLOGY &amp; ENGINEERING / Cartography</t>
  </si>
  <si>
    <t>Radu Leca-Martijn Storms</t>
  </si>
  <si>
    <t>The Fragile Juggernaut</t>
  </si>
  <si>
    <t>Harry Cleaver</t>
  </si>
  <si>
    <t>Medieval Mount Athos Between Wealth and Poverty</t>
  </si>
  <si>
    <t>Zachary Chitwood</t>
  </si>
  <si>
    <t>Critically Capitalist</t>
  </si>
  <si>
    <t>Bohyeong Kim</t>
  </si>
  <si>
    <t>Education in China and the World</t>
  </si>
  <si>
    <t>Zhuolin Feng-Qi Wang-Niancai Liu</t>
  </si>
  <si>
    <t>From Electronic to Mobile Government</t>
  </si>
  <si>
    <t>Vincent Homburg-Thomas J. Lampoltshammer-Mihkel Solvak</t>
  </si>
  <si>
    <t>Proceedings of the 2024 4th International Conference on Public Relations and Social Sciences (ICPRSS 2024)</t>
  </si>
  <si>
    <t>BUSINESS &amp; ECONOMICS / Public Relations</t>
  </si>
  <si>
    <t>Lixin Zhu-Jianfei Luo-Ye Dong</t>
  </si>
  <si>
    <t>Plain of Plenty: Farming Practices, Food Production, and the Agricultural Potential of the Late Bronze Age (1600â€“1200 BCE) Argive Plain, Greece</t>
  </si>
  <si>
    <t>Riia Elina Timonen</t>
  </si>
  <si>
    <t>Life and Death in Roman Carlisle</t>
  </si>
  <si>
    <t>Matthew S. Hobson</t>
  </si>
  <si>
    <t>The Future Internet</t>
  </si>
  <si>
    <t>Alex Galis-Anastasius Gavras</t>
  </si>
  <si>
    <t>Federico Alvarez-Frances Cleary-Petros Daras-John Domingue-Alex Galis</t>
  </si>
  <si>
    <t>Cybernetic Avatar</t>
  </si>
  <si>
    <t>Hiroshi Ishiguro-Fuki Ueno-Eiki Tachibana</t>
  </si>
  <si>
    <t>Negotiating Non-Motherhood</t>
  </si>
  <si>
    <t>Jenny BjÃ¶rklund-DovilÄ— KuzminskaitÄ—-Julie Rodgers</t>
  </si>
  <si>
    <t>Frank, Grieser-Axel , Matzdorff</t>
  </si>
  <si>
    <t>Habitats naturels terrestres des Terres australes franÃ§aises</t>
  </si>
  <si>
    <t>NATURE / Ecosystems &amp; Habitats / Polar Regions</t>
  </si>
  <si>
    <t>Diane Espel-Pierre Agnola-SÃ©bastien Traclet-Valentine Dupont-David Renault</t>
  </si>
  <si>
    <t>Transzendentales Ã„gypten</t>
  </si>
  <si>
    <t>Michael Sommer-Stephanie Hallinger-Beatrice Wyss</t>
  </si>
  <si>
    <t>Papusza / BronisÅ‚awa Wajs. Tears of Blood</t>
  </si>
  <si>
    <t>Volha Bartash-Tomasz Kamusella-Viktor Shapoval</t>
  </si>
  <si>
    <t>Embracing Vulnerability: In Search of Communities with a Heart</t>
  </si>
  <si>
    <t>RELIGION / Philosophy</t>
  </si>
  <si>
    <t>Christa Anbeek</t>
  </si>
  <si>
    <t>EU Foreign Policy in a Fragmenting International Order</t>
  </si>
  <si>
    <t>Oriol Costa-Eduard Soler i Lecha-Martijn C. Vlaskamp</t>
  </si>
  <si>
    <t>Key Enabling Technologies for Future Wireless, Wired, Optical and Satcom Applications</t>
  </si>
  <si>
    <t>BjÃ¶rn Debaillie-Philippe Ferrari-Didier Belot-FranÃ§ois Brunier-Christophe Gaquiere-Pierre Busson-UrtÄ— SteikÅ«nienÄ—</t>
  </si>
  <si>
    <t>Nazand Begikhani-Wendelmoet Hamelink-Nerina Weiss</t>
  </si>
  <si>
    <t>Proceedings of the 2024 5th International Conference on Big Data and Social Sciences (ICBDSS 2024)</t>
  </si>
  <si>
    <t>Azah Kamilah Draman Mud-Mohd Soperi Bin Mohd Zahid-Dayang Norhayati Abang Jawawi-Fong Peng Chew</t>
  </si>
  <si>
    <t>Ukraine's Journey to Recovery, Reform and Post-War Reconstruction</t>
  </si>
  <si>
    <t>Silviu Nate</t>
  </si>
  <si>
    <t>New Directions in Digitalisation</t>
  </si>
  <si>
    <t>Annegret Engel-Xavier Groussot-Gunnar Thor Petursson</t>
  </si>
  <si>
    <t>Challenges in Research Policy</t>
  </si>
  <si>
    <t>Gunnar Sivertsen-Liv Langfeldt</t>
  </si>
  <si>
    <t>The Resilience of the Hungarian Legal System Since 2010</t>
  </si>
  <si>
    <t>Fruzsina GÃ¡rdos-Orosz</t>
  </si>
  <si>
    <t>Automatic Imitation</t>
  </si>
  <si>
    <t>Oliver Genschow-Emiel Cracco</t>
  </si>
  <si>
    <t>International Conference on Urban Climate, Sustainability and Urban Design</t>
  </si>
  <si>
    <t>Bao-Jie He-Deo Prasad-Li Yan-Ali Cheshmehzangi-Gloria Pignatta</t>
  </si>
  <si>
    <t>The Non-radicalisation of Muslims in Southern Europe</t>
  </si>
  <si>
    <t>Tina Magazzini-Marina Eleftheriadou-Anna Triandafyllidou</t>
  </si>
  <si>
    <t>Akzeptanz multimodaler MobilitÃ¤t</t>
  </si>
  <si>
    <t>Anne Graf</t>
  </si>
  <si>
    <t>ECMO protokol pro vÅ¡eobecnou sestru intenzivnÃ­ a resuscitaÄnÃ­ pÃ©Äe</t>
  </si>
  <si>
    <t>TalaÅ¡ovÃ¡ KateÅ™ina</t>
  </si>
  <si>
    <t>Lehrer:innenbildung im 19. und 20. Jahrhundert</t>
  </si>
  <si>
    <t>Anke Wegner</t>
  </si>
  <si>
    <t>Erfahrungen von Exklusion</t>
  </si>
  <si>
    <t>Anja Hackbarth-Anne Verena HÃ¤seker-Saskia Bender-Mai-Anh Boger-Karin BrÃ¤u-Julie Argyro Panagiotopoulou</t>
  </si>
  <si>
    <t>Die Corona-Lektionen PÃ¤dagogischer Hochschulen</t>
  </si>
  <si>
    <t>Carsten Quesel-Philipp Hirsch</t>
  </si>
  <si>
    <t>Informational Privacy for Service Design</t>
  </si>
  <si>
    <t>Davide M. Parrilli</t>
  </si>
  <si>
    <t>Global Asylum Governance and the European Union's Role</t>
  </si>
  <si>
    <t>Sergio Carrera Nunez-Eleni Karageorgiou-Gamze Ovacik-Nikolas Feith Tan</t>
  </si>
  <si>
    <t>Recent Advances in Mathematics Textbook Research and Development</t>
  </si>
  <si>
    <t>Chunxia Qi-Lianghuo Fan-Jian Liu-Qimeng Liu-Lianchun Dong</t>
  </si>
  <si>
    <t>Concrete-Polymer Composites in Circular Economy</t>
  </si>
  <si>
    <t>Lech Czarnecki-Andrzej Garbacz-Ru Wang-Mariaenrica Frigione-Jose B. Aguiar</t>
  </si>
  <si>
    <t>Disruptions, Diversity, and Ethics in Marketing</t>
  </si>
  <si>
    <t>Sergio MartÃ­nez-Puertas-Manuel SÃ¡nchez-PÃ©rez-Cristina Segovia-LÃ³pez-Eduardo TerÃ¡n-YÃ©pez</t>
  </si>
  <si>
    <t>Reading Postcolonial Literature</t>
  </si>
  <si>
    <t>Hayley G. Toth</t>
  </si>
  <si>
    <t>Promoting the â€œHumanâ€ in Law, Policy, and Medicine</t>
  </si>
  <si>
    <t>Edward S. Dove-Vasiliki Rahimzadeh-Michael J. S. Beauvais</t>
  </si>
  <si>
    <t>An Invisible Thread: Heresy, Mass Conversions, and the Inquisition in the Kingdom of Castile (1449â€“1559)</t>
  </si>
  <si>
    <t>Stefania Pastore</t>
  </si>
  <si>
    <t>The Hidden Relay. How the Germline Connects Generations</t>
  </si>
  <si>
    <t>Peter de Boer</t>
  </si>
  <si>
    <t>Hydraulic Structure and Hydrodynamics</t>
  </si>
  <si>
    <t>TECHNOLOGY &amp; ENGINEERING / Hydraulics</t>
  </si>
  <si>
    <t>Weiqiang Wang-Chengzhi Wang-Yang Lu</t>
  </si>
  <si>
    <t>An Irish Civil War Dugout: Tormore Cave, County Sligo</t>
  </si>
  <si>
    <t>Marion Dowd-Robert Mulraney-James Bonsall</t>
  </si>
  <si>
    <t>Boschwitz on Wellhausen</t>
  </si>
  <si>
    <t>RELIGION / Biblical Criticism &amp; Interpretation / General</t>
  </si>
  <si>
    <t>Paul Michael Kurtz-Friedemann Boschwitz</t>
  </si>
  <si>
    <t>Elements of Higher Mathematics: Learning Mathematics Through Numbers</t>
  </si>
  <si>
    <t>Frans Keune</t>
  </si>
  <si>
    <t>Memory and New Ways of Knowing</t>
  </si>
  <si>
    <t>Blanca Yaneth GonzÃ¡lez PinzÃ³n-Theresa Lillis</t>
  </si>
  <si>
    <t>Credit Networks in The Preindustrial World</t>
  </si>
  <si>
    <t>Elise M. Dermineur-Matteo Pompermaier</t>
  </si>
  <si>
    <t>Teilhabe an gesellschaftlicher Transformation stÃ¤rken</t>
  </si>
  <si>
    <t>Isabelle Penning-Martin Binder-Marianne Friese</t>
  </si>
  <si>
    <t>The Struggle You Canâ€™t See</t>
  </si>
  <si>
    <t xml:space="preserve"> Ash Lierman</t>
  </si>
  <si>
    <t>EnzyklopÃ¤die Migration in Europa</t>
  </si>
  <si>
    <t>POLITICAL SCIENCE / American Government / State</t>
  </si>
  <si>
    <t>Klaus J. Bade-Pieter Emmer-Jochen Oltmer-Leo Lucassen</t>
  </si>
  <si>
    <t>Digital Humanities in the India Rim</t>
  </si>
  <si>
    <t xml:space="preserve"> Hart Cohen-Ujjwal Jana-Myra Gurney</t>
  </si>
  <si>
    <t>Oblation</t>
  </si>
  <si>
    <t xml:space="preserve"> M.H. Bowker</t>
  </si>
  <si>
    <t>Conversion, Leadership and Identity of the Evangelical Roma in Bulgaria</t>
  </si>
  <si>
    <t>Magdalena Slavkova</t>
  </si>
  <si>
    <t>Local Tax Policy in Central and Eastern Europe</t>
  </si>
  <si>
    <t>PaweÅ‚ Felis-Leszek PatrzaÅ‚ek-Agnieszka Bem-MichaÅ‚ Bernardelli-ElÅ¼bieta Malinowska-MisiÄ…g-JarosÅ‚aw Olejniczak-Milena Kowalska</t>
  </si>
  <si>
    <t>A New Gender Equality Contract for Europe</t>
  </si>
  <si>
    <t>Andrea PetÅ‘-Laeticia Thissen-Amandine Clavaud</t>
  </si>
  <si>
    <t>Rational Anger</t>
  </si>
  <si>
    <t>Stina Bergman Blix-Nina TÃ¶rnqvist</t>
  </si>
  <si>
    <t>Sustainable and Smart Cities</t>
  </si>
  <si>
    <t>BUSINESS &amp; ECONOMICS / Infrastructure</t>
  </si>
  <si>
    <t>Anshuman Khare-Terry Beckman</t>
  </si>
  <si>
    <t>Passive Patient Culture in India</t>
  </si>
  <si>
    <t>Supriya Subramani</t>
  </si>
  <si>
    <t>The Roots of American Politics</t>
  </si>
  <si>
    <t>John Frederick Martin</t>
  </si>
  <si>
    <t>Ancient Pasts for Modern Audiences</t>
  </si>
  <si>
    <t>Chelsea A.M. Gardner-Sabrina C. Higgins</t>
  </si>
  <si>
    <t>Crisis and Body Politics in Twenty-First Century Cultural Production</t>
  </si>
  <si>
    <t>Charlotte Spear-Madeleine Sinclair</t>
  </si>
  <si>
    <t>The People We Watch</t>
  </si>
  <si>
    <t>Emily Coleman</t>
  </si>
  <si>
    <t>Culturally Responsive Assessment in Classrooms and Large-Scale Contexts</t>
  </si>
  <si>
    <t>Carla M. Evans-Catherine S. Taylor</t>
  </si>
  <si>
    <t>NICE</t>
  </si>
  <si>
    <t>Paul Atkinson-Sally Sheard</t>
  </si>
  <si>
    <t>Joy-Centered Pedagogy in Higher Education</t>
  </si>
  <si>
    <t>Eileen Kogl Camfield</t>
  </si>
  <si>
    <t>Coproduction entre savoirs autochtones et sciences</t>
  </si>
  <si>
    <t>Wert und Werte im Bildungsmanagement</t>
  </si>
  <si>
    <t>Ulrich MÃ¼ller-Gerd Schweizer-Thomas Adam</t>
  </si>
  <si>
    <t>LiteralitÃ¤t und Mehrsprachigkeit</t>
  </si>
  <si>
    <t>Irene Corvacho del Toro-Esra Hack-Cengizalp</t>
  </si>
  <si>
    <t>Alphabetisierung und Grundbildung Erwachsener</t>
  </si>
  <si>
    <t>ProjekttrÃ¤ger im Deutschen Zentrum f Luft- u Raumfahrt eV</t>
  </si>
  <si>
    <t>Berufsbildung fÃ¼r nachhaltige Entwicklung</t>
  </si>
  <si>
    <t>Christian Michaelis-Florian Berding</t>
  </si>
  <si>
    <t>Labore in der Hochschullehre</t>
  </si>
  <si>
    <t>Tobias Haertel-Sabrina Heix-Claudius Terkowsky-Silke Frye-Tobias R. Ortelt-Karsten Lensing-Dominik May</t>
  </si>
  <si>
    <t>Differenzierung im Literaturunterricht</t>
  </si>
  <si>
    <t>Digitale Transformation in der Berufsbildung</t>
  </si>
  <si>
    <t>Stephan Schumann-Susan Seeber-Stephan Abele</t>
  </si>
  <si>
    <t>Dropout in der Beruflichen Rehabilitation</t>
  </si>
  <si>
    <t>EDUCATION / Counseling / Crisis Management</t>
  </si>
  <si>
    <t>Hans-Walter Kranert-Roland Stein-Miriam Warmuth</t>
  </si>
  <si>
    <t>Berufliche Teilhabe und Integration von Menschen mit geistiger Behinderung</t>
  </si>
  <si>
    <t>Erhard Fischer-Manuela Heger</t>
  </si>
  <si>
    <t>Digitale Transformation in der wissenschaftlichen Weiterbildung</t>
  </si>
  <si>
    <t>Monica Bravo GranstrÃ¶m-Ilka Koppel-JÃ¶rg Stratmann</t>
  </si>
  <si>
    <t>Akademische Weiterbildung fÃ¼r soziale Berufe</t>
  </si>
  <si>
    <t>Nicolas SchÃ¶pf</t>
  </si>
  <si>
    <t>Integrationsperspektive duales System?</t>
  </si>
  <si>
    <t>Gero Scheiermann</t>
  </si>
  <si>
    <t>Kompetenzanforderungen an das betriebliche Ausbildungspersonal</t>
  </si>
  <si>
    <t>Florian Wolff</t>
  </si>
  <si>
    <t>Beruflichkeit im Wandel</t>
  </si>
  <si>
    <t>Antje Pabst</t>
  </si>
  <si>
    <t>Psychische Belastungen in der Berufsbiografie</t>
  </si>
  <si>
    <t>Roland Stein-Hans-Walter Kranert</t>
  </si>
  <si>
    <t>Fit fÃ¼r die digitale Transformation</t>
  </si>
  <si>
    <t>Susanne Kamsker</t>
  </si>
  <si>
    <t>Dimensions of Validation of Prior Learning in Europe</t>
  </si>
  <si>
    <t>Eva Anslinger-Bodil Lomholt Husted-Franziska Laudenbach-Aleksandra Lis-Ã–zlem ÃœnlÃ¼hisarcikli</t>
  </si>
  <si>
    <t>Von der Ausbildung ins Erwerbsleben</t>
  </si>
  <si>
    <t>Patrick Richter</t>
  </si>
  <si>
    <t>"â€¦ ein fortwÃ¤hrender lebendiger Zusammenhang"</t>
  </si>
  <si>
    <t>EDUCATION / Administration / School Superintendents &amp; Principals</t>
  </si>
  <si>
    <t>Jan GÃ¶schel-RÃ¼diger Grimm</t>
  </si>
  <si>
    <t>40 Begriffe fÃ¼r eine Schreibwissenschaft</t>
  </si>
  <si>
    <t>Andrea Karsten-Stefanie Haacke-Werron</t>
  </si>
  <si>
    <t>Vom Studienstart bis zum Berufseinstieg</t>
  </si>
  <si>
    <t>Ernst Deuer-Thomas Meyer</t>
  </si>
  <si>
    <t>Selbstorganisiertes Lernen in der Weiterbildung</t>
  </si>
  <si>
    <t>Nicolas Schrode-Stephanie Juraschek-Barbara Burger-Kristina Horn-Nathalie Kleestorfer-GAB MÃ¼nchen eG</t>
  </si>
  <si>
    <t>BeitrÃ¤ge zur historischen BerufspÃ¤dagogik und Berufsbildungsforschung</t>
  </si>
  <si>
    <t>Sandra Bohlinger-Christian MÃ¼ller</t>
  </si>
  <si>
    <t>ERiK-Forschungsbericht I</t>
  </si>
  <si>
    <t>Nicole Klinkhammer-Susanne Kuger-Bernhard Kalicki-Birgit Riedel-Diana D. Schacht-Thomas Rauschenbach-Christiane Meiner-Teubner</t>
  </si>
  <si>
    <t>Weiterbildung in der Schweiz</t>
  </si>
  <si>
    <t>Irena Sgier-AndrÃ© SchlÃ¤fli-Bernhard GrÃ¤miger</t>
  </si>
  <si>
    <t>Informelle und non-formale LernaktivitÃ¤ten im Arbeitsalltag</t>
  </si>
  <si>
    <t>Therese Rosemann</t>
  </si>
  <si>
    <t>Nicolas Echarti-Hella Huntemann-Thomas Lux-Elisabeth Reichart-Deutsches Institut fÃ¼r Erwachsenenbildung (DIE)</t>
  </si>
  <si>
    <t>Studienausstieg â€“ und dann?</t>
  </si>
  <si>
    <t>Martin Neugebauer-Charlotte BrÃ¶der-Annabell Daniel</t>
  </si>
  <si>
    <t>HÃ¶rverstehen im Abitur und in der gymnasialen Oberstufe</t>
  </si>
  <si>
    <t>Jessica Bial</t>
  </si>
  <si>
    <t>Wissenschaft weltoffen 2022</t>
  </si>
  <si>
    <t>DZHW-Deutscher Akademischer Austausch Dienst e.V. (DAAD)</t>
  </si>
  <si>
    <t>Social and Economic Conditions of Student Life in Europe</t>
  </si>
  <si>
    <t>Kristina Hauschildt-Christoph Gwosc-Hendrik Schirmer-Froukje Wartenbergh-Cras</t>
  </si>
  <si>
    <t>Deutscher Weiterbildungsatlas 2019</t>
  </si>
  <si>
    <t>Andreas Martin-Josef Schrader-Klaus Schoemann</t>
  </si>
  <si>
    <t>ExistenzgrÃ¼ndung in der Weiterbildung</t>
  </si>
  <si>
    <t>Beate Braun-Ingmar Petersohn-Janine Petersohn</t>
  </si>
  <si>
    <t>Versachlichen - Deuten - Gegensteuern</t>
  </si>
  <si>
    <t>Paul Ciupke-Norbert Reichling</t>
  </si>
  <si>
    <t>Wissenschaft weltoffen 2021</t>
  </si>
  <si>
    <t>Entgrenzungen des Lernens</t>
  </si>
  <si>
    <t>Rolf Arnold</t>
  </si>
  <si>
    <t>Weiterbildung und kommunales Engagement</t>
  </si>
  <si>
    <t>Karin Weiss-Andrea Faulseit-StÃ¼ber-Johanna Gernentz-Ulrike Kron</t>
  </si>
  <si>
    <t>AufklÃ¤rung Ã¼ber das Soziale</t>
  </si>
  <si>
    <t>Rudolf Altrichter-Ehrensperger</t>
  </si>
  <si>
    <t>Das QuBe-Projekt: Modelle, Module, Methoden</t>
  </si>
  <si>
    <t>Gerd Zika-Markus Hummel-Marc Ingo Wolter-Tobias Maier</t>
  </si>
  <si>
    <t>Krise und Nachhaltigkeit - Herausforderungen fÃ¼r berufliche Bildung</t>
  </si>
  <si>
    <t>Peter SchlÃ¶gl-Antje Barabasch-Julia Bock-Schappelwein</t>
  </si>
  <si>
    <t>Lernen am Unterschied</t>
  </si>
  <si>
    <t>Gerd Schweizer-Helmut Keller-Ulrich Iberer</t>
  </si>
  <si>
    <t>Weiterbildung in der zweiten LebenshÃ¤lfte</t>
  </si>
  <si>
    <t>Andreas Kruse</t>
  </si>
  <si>
    <t>Generationen gemeinsam im Betrieb</t>
  </si>
  <si>
    <t>GÃ¶tz Richter</t>
  </si>
  <si>
    <t>Treffpunkt Ethik</t>
  </si>
  <si>
    <t>Helga Gisbertz-Gerhard Kruip-Ralph Bergold</t>
  </si>
  <si>
    <t>Inklusion und Weiterbildung</t>
  </si>
  <si>
    <t>BIOGRAPHY &amp; AUTOBIOGRAPHY / Educators</t>
  </si>
  <si>
    <t>Martin Kronauer</t>
  </si>
  <si>
    <t>50 Jahre fÃ¼r die Erwachsenenbildung</t>
  </si>
  <si>
    <t>Ekkehard Nuissl von Rein</t>
  </si>
  <si>
    <t>OrganisationsverÃ¤nderungen von Bildungseinrichtungen</t>
  </si>
  <si>
    <t>Felicitas von KÃ¼chler</t>
  </si>
  <si>
    <t>Care Work in der gesellschaftlichen Transformation</t>
  </si>
  <si>
    <t>Rita Braches-Chyrek-Marianne Friese</t>
  </si>
  <si>
    <t>La formation continue en Suisse</t>
  </si>
  <si>
    <t>Wissenschaft fÃ¼r die Praxis</t>
  </si>
  <si>
    <t>Josef Schrader</t>
  </si>
  <si>
    <t>Wirtschaft als eigenes Schulfach?</t>
  </si>
  <si>
    <t>GÃ¼nther Seeber-Tim Kaiser-Luis Oberrauch-Mira Eberle</t>
  </si>
  <si>
    <t>Wissenschaft Weltoffen 2022</t>
  </si>
  <si>
    <t>Wie das Menschenbild die Unterrichtspraxis beeinflusst</t>
  </si>
  <si>
    <t>Sabine Albert</t>
  </si>
  <si>
    <t>ERiK-Forschungsbericht II</t>
  </si>
  <si>
    <t>Nicole Klinkhammer-Diana D. Schacht-Christiane Meiner-Teubner-Susanne Kuger-Bernhard Kalicki-Birgit Riedel</t>
  </si>
  <si>
    <t>Grundbildung in der Lebenswelt verankern</t>
  </si>
  <si>
    <t>Ulrike Johannsen-Birgit Peuker-Svenja Langemack-Andrea Bieberstein</t>
  </si>
  <si>
    <t>Wissenschaft Weltoffen 2021</t>
  </si>
  <si>
    <t>Lehren und Lernen in den Ingenieurwissenschaften</t>
  </si>
  <si>
    <t>Uwe Wilkesmann-Martina Schmohr-Ingrid Isenhardt-Marcus Petermann-A. Erman Tekkaya</t>
  </si>
  <si>
    <t>Die Lernenden Regionen in NRW</t>
  </si>
  <si>
    <t>Birgit Klein-Ursula Wohlfart</t>
  </si>
  <si>
    <t>Schreiblehrkonzepte an Hochschulen</t>
  </si>
  <si>
    <t>Frank MeyhÃ¶fer-Friederike Neumann-Swantje Lahm</t>
  </si>
  <si>
    <t>Chancen "bunter LebenslÃ¤ufe" fÃ¼r KMU und soziale Einrichtungen</t>
  </si>
  <si>
    <t>Edeltraud Vomberg</t>
  </si>
  <si>
    <t>Ohne Rechnen kommt man im Leben nicht weiter</t>
  </si>
  <si>
    <t>Melanie Benz-Gydat-Thea KlÃ¼ver-Antje Pabst-Christine Zeuner</t>
  </si>
  <si>
    <t>Bildung auf einen Blick 2022</t>
  </si>
  <si>
    <t>Trends der Weiterbildung</t>
  </si>
  <si>
    <t>Sarah Widany-Elisabeth Reichart-Johannes Christ-Nicolas Echarti</t>
  </si>
  <si>
    <t>Wissenschaft Weltoffen 2023</t>
  </si>
  <si>
    <t>Weiterbildungsstatistik im Verbund 2020</t>
  </si>
  <si>
    <t>Johannes Christ-Heike Horn-Thomas Lux-Deutsches Institut fÃ¼r Erwachsenenbildung (DIE)</t>
  </si>
  <si>
    <t>Teaching and Learning in Virtual Space</t>
  </si>
  <si>
    <t>Sibylle Matern-Klaus Kreulich</t>
  </si>
  <si>
    <t>Das unvergleichliche Abitur</t>
  </si>
  <si>
    <t>EDUCATION / Schools / Levels / Secondary</t>
  </si>
  <si>
    <t>Pauline SchrÃ¶ter-Alexander GroÃŸ-Svenja Mareike Schmid-KÃ¼hn-Petra Stanat-Lars Hoffmann</t>
  </si>
  <si>
    <t>Weiterbildungsverhalten in Deutschland</t>
  </si>
  <si>
    <t>Frauke Bilger-Harm Kuper-Josef Hartmann-Dieter Gnahs</t>
  </si>
  <si>
    <t>Weiterbildungsstatistik im Verbund 2019</t>
  </si>
  <si>
    <t>Heike Horn-Thomas Lux-Johannes Christ-Deutsches Institut fÃ¼r Erwachsenenbildung (DIE)</t>
  </si>
  <si>
    <t>Wissenschaftliche Begleitung im Rahmen von BiSS</t>
  </si>
  <si>
    <t>TrÃ¤gerkonsortium BiSS-Transfer</t>
  </si>
  <si>
    <t>Thomas Lux-Verena Ortmanns-Hella Huntemann-Andreas Bachem-Deutsches Institut fÃ¼r Erwachsenenbildung (DIE)</t>
  </si>
  <si>
    <t>Berufs- und WirtschaftspÃ¤dagogik im selbstkritischen Diskurs</t>
  </si>
  <si>
    <t>Klaus Beck-JÃ¼rgen Seifried</t>
  </si>
  <si>
    <t>ERiK Methodological Report I</t>
  </si>
  <si>
    <t>Diana D. Schacht-Benjamin Gedon-Jakob J. Gilg-Christina Klug-Susanne Kuger</t>
  </si>
  <si>
    <t>Visionen entwickeln - Bildungsprozesse wirksam steuern - FÃ¼hrung professionell gestalten</t>
  </si>
  <si>
    <t>Sven Wippermann-Ulrich MÃ¼ller-Gerd Schweizer</t>
  </si>
  <si>
    <t>Die kalendarische Altersgrenze im Rentensystem: WillkÃ¼r oder Gleichheit?</t>
  </si>
  <si>
    <t>Elmar Stracke</t>
  </si>
  <si>
    <t>FachkrÃ¤ftebarometer FrÃ¼he Bildung 2023</t>
  </si>
  <si>
    <t>Kirsten Fuchs-Rechlin-Thomas Rauschenbach-Karin Beher-Katja Tillmann-Pascal Hartwich-Kirsten Hanssen-Sophie Finger-Deutsches Jugendinstitut e.V.</t>
  </si>
  <si>
    <t>PortrÃ¤t Erwachsenen- und Weiterbildung Ã–sterreich</t>
  </si>
  <si>
    <t>Werner Lenz-Elke Gruber</t>
  </si>
  <si>
    <t>Kindertagesbetreuung und Infektionsgeschehen wÃ¤hrend der COVID-19-Pandemie</t>
  </si>
  <si>
    <t>DJI Deutsches Jugend Institut (DJI)-Robert Koch Institut</t>
  </si>
  <si>
    <t>Wissenschaft weltoffen 2023 kompakt</t>
  </si>
  <si>
    <t>Wissenschaft Weltoffen 2023 Kompakt English Edition</t>
  </si>
  <si>
    <t>Wissenstransfer - KomplexitÃ¤tsreduktion - Design</t>
  </si>
  <si>
    <t>Gerald Moll-Julia SchÃ¼tz</t>
  </si>
  <si>
    <t>HeterogenitÃ¤t in der beruflichen Bildung</t>
  </si>
  <si>
    <t>Karin Heinrichs-Hannes Reinke</t>
  </si>
  <si>
    <t>BildungshÃ¤user im digitalen Wandel</t>
  </si>
  <si>
    <t>SCIENCE / Reference</t>
  </si>
  <si>
    <t>Gaby Filzmoser</t>
  </si>
  <si>
    <t>QualitÃ¤tsoffensive DiversitÃ¤t</t>
  </si>
  <si>
    <t>Ulrike Senger</t>
  </si>
  <si>
    <t>Digitale Medien in der Pflegeausbildung</t>
  </si>
  <si>
    <t>Florian Gasch-Anna Maurus</t>
  </si>
  <si>
    <t>Duales Studium: Umsetzungsmodelle und Entwicklungsbedarfe</t>
  </si>
  <si>
    <t>Sigrun Nickel-Iris Pfeiffer-Andreas Fischer-Marc HÃ¼sch-Barbara Kiepenheuer-Drechsler-Nadja Lauterbach-Nicolas Reum-Anna-Lena Thiele-Saskia Ulrich</t>
  </si>
  <si>
    <t>Reziproke DurchlÃ¤ssigkeit zwischen beruflicher und akademischer Bildung</t>
  </si>
  <si>
    <t>Clarissa Pascoe-Olga Zechiel-Mattia Lisa MÃ¼ller-Martin Frenz-Klaus Jenewein</t>
  </si>
  <si>
    <t>Grundbildung Medien im Studiengang Erwachsenenbildung</t>
  </si>
  <si>
    <t>Franziska Bellinger</t>
  </si>
  <si>
    <t>Betriebliche Weiterbildungsentscheidungen im Garbage Can</t>
  </si>
  <si>
    <t>Christian MÃ¼ller</t>
  </si>
  <si>
    <t>Digitalisierung und Nachhaltigkeit gestalten lernen</t>
  </si>
  <si>
    <t>Axel Grimm-Bernd Mahrin-Uli Neustock-Wilko Reichwein-SÃ¶ren SchÃ¼tt-Sayed-Thomas Vollmer</t>
  </si>
  <si>
    <t>Fachdidaktik Arbeitslehre</t>
  </si>
  <si>
    <t>Silke Bartsch-Marianne Friese</t>
  </si>
  <si>
    <t>Nachschulische BildungsverlÃ¤ufe in Deutschland</t>
  </si>
  <si>
    <t>Christian Michaelis-Robin Busse-Susan Seeber-Marcus Eckelt</t>
  </si>
  <si>
    <t>Berufsbildungspolitik: Strukturen - Krise - Perspektiven</t>
  </si>
  <si>
    <t>Marcus Eckelt-Thilo J. Ketschau-Johannes Klassen-Jennifer Schauer-Johannes Karl Schmees-Christian Steib</t>
  </si>
  <si>
    <t>Bildungsauftrag Medienkompetenz</t>
  </si>
  <si>
    <t>Jan Hellriegel</t>
  </si>
  <si>
    <t>Euregio Mobility in der beruflichen Bildung</t>
  </si>
  <si>
    <t>H.-Hugo Kremer-Jana Stelzer-Stephanie Wilde</t>
  </si>
  <si>
    <t>Berufsausbildung zwischen HygienemaÃŸnahmen und Lockdown(s)</t>
  </si>
  <si>
    <t>Dietmar Heisler-JÃ¶rg A. Meier</t>
  </si>
  <si>
    <t>Berufliche Arbeit und Berufsbildung zwischen KontinuitÃ¤t und Innovation</t>
  </si>
  <si>
    <t>Sebastian Anselmann-Uwe FaÃŸhauer-Hannes Helmut Nepper-Lars Windelband</t>
  </si>
  <si>
    <t>FachkrÃ¤fte in der Kinder- und Jugendhilfe</t>
  </si>
  <si>
    <t>Autor:innengruppe Forschungsverbund DJI TU Dortmund</t>
  </si>
  <si>
    <t>Neue Wege und Begegnungen in der Grundbildung und Grundbildungsforschung</t>
  </si>
  <si>
    <t>Antje Pabst-Natalie Pape</t>
  </si>
  <si>
    <t>Zukunft Lebenslangen Lernens</t>
  </si>
  <si>
    <t>Peter Beier-Anke GrotlÃ¼schen</t>
  </si>
  <si>
    <t>Fit for Industry 4.0 - Innovative Learning and Teaching for Digitalization and Automation</t>
  </si>
  <si>
    <t>Georg SpÃ¶ttl-Paryono Paryono-Siriporn Parvikam</t>
  </si>
  <si>
    <t>ERiK Methodological Report II</t>
  </si>
  <si>
    <t>Diana D. Schacht-Benjamin Gedon-Jakob J. Gilg-Susanne Kuger</t>
  </si>
  <si>
    <t>Vom Bilderbuch aus - zum Bilderbuch hin</t>
  </si>
  <si>
    <t>Christina BÃ¤r-Christoph Jantzen-Sascha Wittmer</t>
  </si>
  <si>
    <t>Betriebliche Bildung in der Holzwirtschaft</t>
  </si>
  <si>
    <t>Philipp Assinger</t>
  </si>
  <si>
    <t>Bildung fÃ¼r eine ungewisse Zukunft</t>
  </si>
  <si>
    <t>Jan Schiller</t>
  </si>
  <si>
    <t>Bildungsregionen in der wissenschaftlichen Weiterbildung</t>
  </si>
  <si>
    <t>Bastian SteinmÃ¼ller</t>
  </si>
  <si>
    <t>Technik spielend (kennen)lernen</t>
  </si>
  <si>
    <t>Janina Klose-Mesut Aktas-Hans-Liudger Dienel</t>
  </si>
  <si>
    <t>Berufliche Bildung im deutsch-kasachischen Kontext</t>
  </si>
  <si>
    <t>Klaus Jenewein-Svetlana Karstina-Olga Zechiel</t>
  </si>
  <si>
    <t>Kompetenzentwicklung im Masterstudium WirtschaftspÃ¤dagogik</t>
  </si>
  <si>
    <t>Elisabeth Riebenbauer</t>
  </si>
  <si>
    <t>Mehrsprachigkeit und Bildungspraxis</t>
  </si>
  <si>
    <t>EDUCATION / Language Experience Approach</t>
  </si>
  <si>
    <t>Esra Hack-Cengizalp-Melanie David-Erb-Irene Corvacho del Toro</t>
  </si>
  <si>
    <t>Corona-Semester reflektiert</t>
  </si>
  <si>
    <t>Autor:innengruppe AEDiL</t>
  </si>
  <si>
    <t>PISA 2022 Ergebnisse (Band I)</t>
  </si>
  <si>
    <t>Ãœber das Schreiben sprechen</t>
  </si>
  <si>
    <t>Dzifa Vode</t>
  </si>
  <si>
    <t>Reflexive Schreibwissenschaft</t>
  </si>
  <si>
    <t>Stefanie Haacke-Werron-Andrea Karsten-Ingrid Scharlau</t>
  </si>
  <si>
    <t>Ã–konomisches Denken lehren und lernen</t>
  </si>
  <si>
    <t>Taiga Brahm-Ulrich Iberer-Tobias KÃ¤rner-Michael Weyland</t>
  </si>
  <si>
    <t>Wissenschaft weltoffen 2023</t>
  </si>
  <si>
    <t>Bildung in Deutschland 2022</t>
  </si>
  <si>
    <t>Berufskundelehrpersonen und ihr professionelles SelbstverstÃ¤ndnis</t>
  </si>
  <si>
    <t>Daniel Degen</t>
  </si>
  <si>
    <t>LehrerÃ¼berzeugungen zur Bedeutung der Digitalisierung</t>
  </si>
  <si>
    <t>Patrick Geiser</t>
  </si>
  <si>
    <t>GeflÃ¼chtete an gewerblich-technischen Berufsschulen unterrichten</t>
  </si>
  <si>
    <t>Ingrid Hotarek</t>
  </si>
  <si>
    <t>Schulisch-berufliche ÃœbergÃ¤nge im Kontext von Inklusion</t>
  </si>
  <si>
    <t>Yuliya Nepomyashcha</t>
  </si>
  <si>
    <t>F&amp;E-Kooperationen in Joint-Ventures</t>
  </si>
  <si>
    <t>Cornelia Unger-Endres</t>
  </si>
  <si>
    <t>ÃœbergangsverlÃ¤ufe am Ende der Sekundarstufe I</t>
  </si>
  <si>
    <t>Robin Busse</t>
  </si>
  <si>
    <t>FÃ¶rderung von heterogenen Zielgruppen im Ãœbergang Schule â€“ Beruf</t>
  </si>
  <si>
    <t>Melanie Sittig</t>
  </si>
  <si>
    <t>Geistig behinderte Menschen in der DDR</t>
  </si>
  <si>
    <t>Sebastian Barsch</t>
  </si>
  <si>
    <t>Zur Methodik der FÃ¶rderung der HandlungsfÃ¤higkeit Geistigbehinderter</t>
  </si>
  <si>
    <t>Hans-JÃ¼rgen Pitsch</t>
  </si>
  <si>
    <t>Nachhaltigkeitsorientierte Facharbeit in industriellen Metallberufen</t>
  </si>
  <si>
    <t>Stefan Nagel</t>
  </si>
  <si>
    <t>Kinder und Jugendliche mit KÃ¶rperbehinderung im gemeinsamen Unterricht</t>
  </si>
  <si>
    <t>Christian Walter-Klose</t>
  </si>
  <si>
    <t>FÃ¶rderung digitaler Kompetenzen in der beruflichen Lehramtsausbildung</t>
  </si>
  <si>
    <t>Markus Gitter</t>
  </si>
  <si>
    <t>Medialisierte Kunsterfahrung</t>
  </si>
  <si>
    <t>Stephanie Sarah Lauke</t>
  </si>
  <si>
    <t>Leib und Melancholie</t>
  </si>
  <si>
    <t>Florian Salzberger</t>
  </si>
  <si>
    <t>InnovationsverlÃ¤ufe im Nachhaltigen Landmanagement</t>
  </si>
  <si>
    <t>Christian Eismann</t>
  </si>
  <si>
    <t>Lernverhalten von Kindern mit Hydrocephalus</t>
  </si>
  <si>
    <t>Antje Blume-Werry</t>
  </si>
  <si>
    <t>Hochschullehre als Gemeinschaftsaufgabe</t>
  </si>
  <si>
    <t>Nora Leben-Katja Reinecke-Ulrike Sonntag</t>
  </si>
  <si>
    <t>Kompetenzen im Nachhaltigkeitsmanagement</t>
  </si>
  <si>
    <t>Carolin Geiser</t>
  </si>
  <si>
    <t>Wie wollen wir arbeiten? Berufliches Lernen zwischen Tradition und Transformation</t>
  </si>
  <si>
    <t>Peter SchlÃ¶gl-Georg Tafner-Annette Ostendorf-Julia Bock-Schappelwein-Franz Gramlinger</t>
  </si>
  <si>
    <t>ProblemlÃ¶sekompetenzen in beruflichen Kontexten</t>
  </si>
  <si>
    <t>Stephan Abele</t>
  </si>
  <si>
    <t>Hochschuldidaktik als professionelle Verbindung von Forschung, Politik und Praxis</t>
  </si>
  <si>
    <t>Astrid Werner-Tobina Brinker-Annette Spiekermann-Marianne Merkt-Birgit Stelzer</t>
  </si>
  <si>
    <t>Digitale PrÃ¼fungsszenarien in der Hochschule</t>
  </si>
  <si>
    <t>Svenja Bedenlier-Stefanie Gerl-Bastian KÃ¼ppers-Matthias Bandtel</t>
  </si>
  <si>
    <t>Dimensionen der Begabungs- und BegabtenfÃ¶rderung in der Schule</t>
  </si>
  <si>
    <t>EDUCATION / Special Education / Gifted</t>
  </si>
  <si>
    <t>Lernende Regionen - Netzwerke gestalten</t>
  </si>
  <si>
    <t>Helmut Kuwan-Andrea Szameitat-Claudia Strobel-Rudolf Tippelt</t>
  </si>
  <si>
    <t>ErwachsenenpÃ¤dagogische Digitalisierungsforschung</t>
  </si>
  <si>
    <t>Christian Bernhard-Skala-Ricarda Bolten-BÃ¼hler-Julia Koller-Matthias Rohs-Johannes Wahl</t>
  </si>
  <si>
    <t>Kristina Hauschildt-Christoph Gwosc-Hendrik Schirmer-Sylvia Mandl-Cordelia Menz</t>
  </si>
  <si>
    <t>Digital Literacy in der beruflichen Lehrer:innenbildung</t>
  </si>
  <si>
    <t>Karl-Heinz Gerholz-Philipp Schlottmann-Peter Slepcevic-Zach-Michaela Stock</t>
  </si>
  <si>
    <t>Das Gesellschaftsregister und die eingetragene Gesellschaft bÃ¼rgerlichen Rechts nach dem MoPeG</t>
  </si>
  <si>
    <t>Patrick Boguslawski</t>
  </si>
  <si>
    <t>IEA International Computer and Information Literacy Study 2023</t>
  </si>
  <si>
    <t>Julian Fraillon-Mojca RoÅ¾man</t>
  </si>
  <si>
    <t>Suffrage, Capital, and Welfare</t>
  </si>
  <si>
    <t>Fia Cottrell-Sundevall-RagnheiÃƒÂ°ur KristjÃƒÂ¡nsdÃƒÂ³ttir</t>
  </si>
  <si>
    <t>Terrorist Risk in Urban Outdoor Built Environment</t>
  </si>
  <si>
    <t>TECHNOLOGY &amp; ENGINEERING / Fire Science</t>
  </si>
  <si>
    <t>Gabriele Bernardini-Elena Cantatore-Fabio Fatiguso-Enrico Quagliarini</t>
  </si>
  <si>
    <t>Loneliness in Europe</t>
  </si>
  <si>
    <t>Sylke V. Schnepf-BÃ©atrice d'Hombres-Caterina Mauri</t>
  </si>
  <si>
    <t>VelÃ¡zquez, Painter &amp; Curator</t>
  </si>
  <si>
    <t>ART / Movements / Baroque &amp; Rococo</t>
  </si>
  <si>
    <t>Julia VÃ¡zquez</t>
  </si>
  <si>
    <t>A Short History of Christianity Beyond the West</t>
  </si>
  <si>
    <t>Klaus Koschorke</t>
  </si>
  <si>
    <t>Proceedings of the 2024 8th International Seminar on Education, Management and Social Sciences (ISEMSS 2024)</t>
  </si>
  <si>
    <t>Lu Chang-Gabriel Antunes de Araujo-Lei Shi-Qian Zhang</t>
  </si>
  <si>
    <t>Proceedings of the International Conference on Advanced Technology and Multidiscipline (ICATAM 2024)</t>
  </si>
  <si>
    <t>Tahta Amrillah-Prihartini Widiyanti-Retno Sari-Purbandini Purbandini-Lilik Jamilatul Awalin</t>
  </si>
  <si>
    <t>Proceedings of the 2024 4th International Conference on Internet Technology and Educational Informatization (ITEI 2024)</t>
  </si>
  <si>
    <t>Mir Sajjad Hussain Talpur-Muhd Khaizer Omar-Masrah Azrifah Azmi Murad-Nur Izura Binti Udzir</t>
  </si>
  <si>
    <t>Insights Into the New Hydrogen Economy</t>
  </si>
  <si>
    <t>William J. Nuttall-Joseph B. Powell-Karim L. Anaya-Stucchi-Adetokunboh T. Bakenne-Andy Wilson</t>
  </si>
  <si>
    <t>China-Africa Science, Technology and Innovation Collaboration</t>
  </si>
  <si>
    <t>Mammo Muchie-Angathevar Baskaran-Mingfeng Tang</t>
  </si>
  <si>
    <t>Circular Economy Design and Management in the Built Environment</t>
  </si>
  <si>
    <t>LuÃ­s BraganÃ§a-Philip Griffiths-Rand Askar-Adriana Salles-Viorel Ungureanu</t>
  </si>
  <si>
    <t>Finance, Growth and Democracy: Connections and Challenges in Europe and Latin America in the Era of Permacrisis</t>
  </si>
  <si>
    <t>Dimitris Katsikas-Maria Antonieta Del Tedesco Lins-Andrea Ribeiro Hoffmann</t>
  </si>
  <si>
    <t>Proceedings of the 2nd Ibn Khaldun International Conference on Applied and Social Sciences (IICASS 2024)</t>
  </si>
  <si>
    <t>Widyasari Widyasari-Poppy Novita Pasaribu-Bambang Karyadi-Alma Indah Oktariani S-Nurman Hakim</t>
  </si>
  <si>
    <t>Proceedings of the 2024 International Conference on Civil Engineering Structures and Concrete Materials (CESCM 2024)</t>
  </si>
  <si>
    <t>Faxing Ding-Xiaomeng Hou-Sudharshan N. Raman-Junjie Zeng</t>
  </si>
  <si>
    <t>Big Earth Data in Support of the Sustainable Development Goals (2022)â€”The Belt and Road</t>
  </si>
  <si>
    <t>Begegnung mit dem eigenen Tod</t>
  </si>
  <si>
    <t>Stefan Nadile</t>
  </si>
  <si>
    <t>The Derecognition of States</t>
  </si>
  <si>
    <t>GÃ«zim Visoka</t>
  </si>
  <si>
    <t>Global Movie Magazine Networks</t>
  </si>
  <si>
    <t>Eric Hoyt-Prof. Kelley Conway</t>
  </si>
  <si>
    <t>Political Ecologies of the Far Right</t>
  </si>
  <si>
    <t>Irma Kinga Allen-Kristoffer Ekberg-StÃ¥le Holgersen-Andreas Malm</t>
  </si>
  <si>
    <t>The Photographs of Zygmunt Bauman</t>
  </si>
  <si>
    <t>Peter Beilharz-Janet Wolff</t>
  </si>
  <si>
    <t>Understanding Baby Loss</t>
  </si>
  <si>
    <t>Kate Reed-Julie Ellis-Elspeth Whitby</t>
  </si>
  <si>
    <t>The Great War and the Anthropocene</t>
  </si>
  <si>
    <t>Kerstin S. Jobst-Oksana Nagornaia-Kerstin von Lingen</t>
  </si>
  <si>
    <t>AnerkennungsverhÃ¤ltnisse in der Schule</t>
  </si>
  <si>
    <t>Sabina Staub</t>
  </si>
  <si>
    <t>Proceedings of the 2023 Brawijaya International Conference (BIC 2023)</t>
  </si>
  <si>
    <t>Yusfan Adeputera Yusran-Dini Kurnia Irmawati-Rizki Prafitri-Muhammad Pramujo</t>
  </si>
  <si>
    <t>Kritische Erfolgsfaktoren zur Implementierung von Strategischem Trendmanagement in Handelsunternehmen</t>
  </si>
  <si>
    <t>Andrea Massimiani</t>
  </si>
  <si>
    <t>Rescaling Sustainability Transitions</t>
  </si>
  <si>
    <t>Maija Halonen-Moritz Albrecht-Irene Kuhmonen</t>
  </si>
  <si>
    <t>Science of Fungi in Grapevine</t>
  </si>
  <si>
    <t>Olivier Viret-Katia Gindro</t>
  </si>
  <si>
    <t>SIMPLE-G</t>
  </si>
  <si>
    <t>Iman Haqiqi-Thomas W. Hertel</t>
  </si>
  <si>
    <t>Redacted</t>
  </si>
  <si>
    <t>POLITICAL SCIENCE / Censorship</t>
  </si>
  <si>
    <t xml:space="preserve"> Lisa Min-Franck BillÃ©-Charlene Makley</t>
  </si>
  <si>
    <t>Towards Pesticide-free Agriculture</t>
  </si>
  <si>
    <t>TECHNOLOGY &amp; ENGINEERING / Agriculture / Sustainable Agriculture</t>
  </si>
  <si>
    <t>Numerical Simulation of Pulsed Plasma Thruster</t>
  </si>
  <si>
    <t>Jianjun Wu-Jian Li-Yuanzheng Zhao-Yu Zhang</t>
  </si>
  <si>
    <t>Bahar BaÅŸer-Ann-Catrin Emanuelsson-Mari Toivanen</t>
  </si>
  <si>
    <t>Nicole Oresme, Questiones in Meteorologica De Prima Lectura</t>
  </si>
  <si>
    <t>Nicole Oresme-Aurora Panzica</t>
  </si>
  <si>
    <t>The RaghupaÃ±cikÄ of Vallabhadeva Being the Earliest Commentary on the Raghuvaá¹ƒÅ›a of KÄlidÄsa</t>
  </si>
  <si>
    <t>Csaba DezsÅ‘-Dominic Goodall-Harunaga Isaacson</t>
  </si>
  <si>
    <t>Jade-Carving Chisel and Luminous Ocean</t>
  </si>
  <si>
    <t>POETRY / Anthologies (multiple authors)</t>
  </si>
  <si>
    <t>Nicholas Morrow Williams</t>
  </si>
  <si>
    <t>Insects and Colors Between Art and Natural History</t>
  </si>
  <si>
    <t>V.E. Mandrij-Giulia Simonini</t>
  </si>
  <si>
    <t>Wie der Verwaltungscomputer die Arbeitsmigration programmierte</t>
  </si>
  <si>
    <t>Moritz MÃ¤hr</t>
  </si>
  <si>
    <t>Recht und Gerechtigkeit?</t>
  </si>
  <si>
    <t>Sabina FerhadbegoviÄ‡</t>
  </si>
  <si>
    <t>The Dilemma of Compliance</t>
  </si>
  <si>
    <t>Svitlana Chernykh</t>
  </si>
  <si>
    <t>Engineering Stability</t>
  </si>
  <si>
    <t>Xiaojun Yan</t>
  </si>
  <si>
    <t>A Comparative History of the Literary Draft in Europe</t>
  </si>
  <si>
    <t>Olga Beloborodova-Dirk Van Hulle</t>
  </si>
  <si>
    <t>Der Fall Eichmann transnational</t>
  </si>
  <si>
    <t>Christian Ernst-Patrick Eser</t>
  </si>
  <si>
    <t>Metasemantics and Possible Expressions</t>
  </si>
  <si>
    <t>Kamil Lemanek</t>
  </si>
  <si>
    <t>Interpretation of Customary International Law</t>
  </si>
  <si>
    <t>Panos Merkouris</t>
  </si>
  <si>
    <t>Adalbert Stifter</t>
  </si>
  <si>
    <t>Benjamin Dinkel</t>
  </si>
  <si>
    <t>Monuments and Territory</t>
  </si>
  <si>
    <t>CEU Oktatasi - Szolgaltato Nonprofit Kft.</t>
  </si>
  <si>
    <t>Mischa Gabowitsch-Mykola Homanyuk</t>
  </si>
  <si>
    <t>Political Leadership and Agricultural Transformation</t>
  </si>
  <si>
    <t>Emelie Rohne Till-Martin Andersson-Isabelle Tsakok</t>
  </si>
  <si>
    <t>Building Trust in Startup Communication</t>
  </si>
  <si>
    <t>Marius Born</t>
  </si>
  <si>
    <t>Education for Citizenship in Times of Global Challenge</t>
  </si>
  <si>
    <t>Wolfram Schulz-John Ainley-Julian Fraillon-Bruno Losito-Gabriella Agrusti</t>
  </si>
  <si>
    <t>Proceedings of the 2024 6th International Conference on Structural Seismic and Civil Engineering Research (ICSSCER 2024)</t>
  </si>
  <si>
    <t>Zhiqiang Zhang-Chaofeng Zeng-Sudharshan N. Raman-Mohammadreza Vafaei</t>
  </si>
  <si>
    <t>Proceedings of the 4th International Conference on Management Science and Software Engineering (ICMSSE 2024)</t>
  </si>
  <si>
    <t>Proceedings of the 2024 2nd International Conference on Finance, Trade and Business Management (FTBM 2024)</t>
  </si>
  <si>
    <t>Amalendu Bhunia-John Gong-Ran Zhang</t>
  </si>
  <si>
    <t>National Spatial Planning in China</t>
  </si>
  <si>
    <t>Kai Wang</t>
  </si>
  <si>
    <t>Environmental Humanities in India</t>
  </si>
  <si>
    <t>Debajyoti Biswas-John C. Ryan</t>
  </si>
  <si>
    <t>Solar Thermal Thruster</t>
  </si>
  <si>
    <t>Minchao Huang-Jianjun Wu-Jian Li-Yuqiang Cheng</t>
  </si>
  <si>
    <t>Roman Military Tribunes (First Century BC to Third Century AD): A Historical and Prosopographical Study. Volume I</t>
  </si>
  <si>
    <t>Ireneusz ÅuÄ‡</t>
  </si>
  <si>
    <t>Global Oil and Gas Resources: Potential and Distribution</t>
  </si>
  <si>
    <t>Lirong Dou-Zhixin Wen-Zhaoming Wang</t>
  </si>
  <si>
    <t>Rechtsgemeinschaft mit Tieren</t>
  </si>
  <si>
    <t>Margot Michel</t>
  </si>
  <si>
    <t>Proceedings of the 2nd Lawang Sewu International Symposium on Health Sciences: Nutrition (LSISHSN 2023)</t>
  </si>
  <si>
    <t>Kartika Nugraheni-Zahra Maharani Latrobdiba-Hersanti Sulistyaningrum</t>
  </si>
  <si>
    <t>Deportation Limbo</t>
  </si>
  <si>
    <t>Annika Lindberg</t>
  </si>
  <si>
    <t>'The Industrialized Designer'</t>
  </si>
  <si>
    <t>Leah Armstrong</t>
  </si>
  <si>
    <t>Gesundheitliche Langzeitfolgen von SED-Unrecht</t>
  </si>
  <si>
    <t>Psychosozial-Verlag GmbH &amp; Co. KG</t>
  </si>
  <si>
    <t>PSYCHOLOGY / Psychotherapy / Group</t>
  </si>
  <si>
    <t>Bernhard StrauÃŸ-JÃ¶rg Frommer-Georg Schomerus-Carsten Spitzer</t>
  </si>
  <si>
    <t>Nondestructive Assay of Nuclear Materials for Safeguards and Security</t>
  </si>
  <si>
    <t>William H. Geist-Peter A. Santi-Martyn T. Swinhoe</t>
  </si>
  <si>
    <t>A Sound Approach to Noise and Health</t>
  </si>
  <si>
    <t>SCIENCE / Acoustics &amp; Sound</t>
  </si>
  <si>
    <t>Irene van Kamp-Fred Woudenberg</t>
  </si>
  <si>
    <t>Design Thinking As a Strategic Approach to E-Participation</t>
  </si>
  <si>
    <t>Ilaria Mariani-Marzia Mortati-Francesca Rizzo-Alessandro Deserti</t>
  </si>
  <si>
    <t>Innowacje pedagogiczne w edukacji polonijnej</t>
  </si>
  <si>
    <t>Michalina Kasprzak (red.)</t>
  </si>
  <si>
    <t>Behind the Science</t>
  </si>
  <si>
    <t>Katherine Harrison</t>
  </si>
  <si>
    <t>Humane Autonomous Technology</t>
  </si>
  <si>
    <t>Rebekah Rousi-Catharina von Koskull-Virpi Roto</t>
  </si>
  <si>
    <t>Taking Vulnerabilities to Labour Exploitation Seriously</t>
  </si>
  <si>
    <t>Letizia Palumbo</t>
  </si>
  <si>
    <t>Ã‰conomie de l'exploitation agricole</t>
  </si>
  <si>
    <t>Laurent Levard</t>
  </si>
  <si>
    <t>Proceedings of the 4th International Conference on Public Administration, Health and Humanity Development (PAHHD 2024)</t>
  </si>
  <si>
    <t>Lei Shi-Nadeem Malik-Ong Tze San-Jun Lu</t>
  </si>
  <si>
    <t>Proceedings of the 2024 3rd International Conference on Economics, Smart Finance and Contemporary Trade (ESFCT 2024)</t>
  </si>
  <si>
    <t>Kun Zhang-Hang Luo-Hongbo Li-Azlina Binti Md Yassin</t>
  </si>
  <si>
    <t>Public Administration and Governance in Democratic South Africa</t>
  </si>
  <si>
    <t>Izimangaliso Malatji-Busani Ngcaweni-Thanyani S. Madzivhandila-Mzukisi Qobo</t>
  </si>
  <si>
    <t>Journey to Ithaca: A Personal Memoir</t>
  </si>
  <si>
    <t>William Rowland</t>
  </si>
  <si>
    <t>Liberal Peace: On Conflict, Gender, and Peacebuilding: Democratic Republic of Congo Case Study</t>
  </si>
  <si>
    <t>Nkwazi. N. Mhango-Evelyn Birabwa M. Namakula</t>
  </si>
  <si>
    <t>Reappraising the Life and Legacy of Jan C. Smuts</t>
  </si>
  <si>
    <t>David Boucher-Bongani Ngqulunga</t>
  </si>
  <si>
    <t>New Frontiers in Contemporary Missiology: Southern African Perspectives</t>
  </si>
  <si>
    <t>RELIGION / Christian Church / General</t>
  </si>
  <si>
    <t>Henry Mbaya</t>
  </si>
  <si>
    <t>The Spicy Anthology: A Collection of Writings</t>
  </si>
  <si>
    <t>Mpho Buntse</t>
  </si>
  <si>
    <t>Theorising Research, Innovation and Internationalisation in African Higher Education</t>
  </si>
  <si>
    <t>Kehdinga George Fomunyam</t>
  </si>
  <si>
    <t>Theorising Curriculum in Unsettling Times in African Higher Education</t>
  </si>
  <si>
    <t>Diaspora in the MENA Region and Beyond</t>
  </si>
  <si>
    <t>Aditya Anshu</t>
  </si>
  <si>
    <t>Phenomenology and the Philosophy of Technology</t>
  </si>
  <si>
    <t>PHILOSOPHY / Movements / Phenomenology</t>
  </si>
  <si>
    <t xml:space="preserve"> Bas de Boer-Jochem Zwier</t>
  </si>
  <si>
    <t>Diversity Across the Arabian Peninsula</t>
  </si>
  <si>
    <t xml:space="preserve"> Fabio Gasparini-Kamala Russell-Janet C.E. Watson</t>
  </si>
  <si>
    <t>Insolubles</t>
  </si>
  <si>
    <t xml:space="preserve"> Walter Segrave-Barbara Bartocci-Stephen Read</t>
  </si>
  <si>
    <t>Cities of Migration</t>
  </si>
  <si>
    <t>Asya Pisarevskaya-Peter Scholten</t>
  </si>
  <si>
    <t>Fundamentals of Manufacturing Engineering Using Digital Visualization</t>
  </si>
  <si>
    <t>Vitalii Ivanov-Artem Evtuhov-Ivan Dehtiarov-Justyna Trojanowska</t>
  </si>
  <si>
    <t>Mimetic Posthumanism</t>
  </si>
  <si>
    <t>Nidesh Lawtoo</t>
  </si>
  <si>
    <t>Proceedings of the 2nd International Conference on Emerging Technologies and Sustainable Business Practices-2024 (ICETSBP 2024)</t>
  </si>
  <si>
    <t>Nitin Pathak-Munish Gupta-Vikas Sharma-Amita Chaudhary</t>
  </si>
  <si>
    <t>Single-Event Effects, From Space to Accelerator Environments</t>
  </si>
  <si>
    <t>TECHNOLOGY &amp; ENGINEERING / Electronics / Circuits / General</t>
  </si>
  <si>
    <t>Ygor Quadros de Aguiar-FrÃ©dÃ©ric Wrobel-Jean-Luc Autran-RubÃ©n GarcÃ­a AlÃ­a</t>
  </si>
  <si>
    <t>Recovering Environmental and Economic Traditions in the Islamic World</t>
  </si>
  <si>
    <t>Sami Al-Daghistani</t>
  </si>
  <si>
    <t>Storyworlds in Short Narratives</t>
  </si>
  <si>
    <t>Stavroula Constantinou-Andria Andreou</t>
  </si>
  <si>
    <t>Performing Artists and Precarity</t>
  </si>
  <si>
    <t>Philip Hancock-Melissa Tyler</t>
  </si>
  <si>
    <t>Proceedings of the International Conference on Science, Technology and Social Sciences â€“ Biology Track (ICONSTAS-BIO 2023)</t>
  </si>
  <si>
    <t>Seca Gandaseca-Asmida Ismail-Adi MD Sikin</t>
  </si>
  <si>
    <t>Systemic Risk and Complex Networks in Modern Financial Systems</t>
  </si>
  <si>
    <t>BUSINESS &amp; ECONOMICS / Finance / Financial Risk Management</t>
  </si>
  <si>
    <t>Vincenzo Pacelli</t>
  </si>
  <si>
    <t>Un piccolo esempio. La psicagogia matematica di Platone</t>
  </si>
  <si>
    <t>Laura Marongiu</t>
  </si>
  <si>
    <t>The Ruins of Solitude</t>
  </si>
  <si>
    <t xml:space="preserve"> Lette Bragg</t>
  </si>
  <si>
    <t>New Gaelic Speakers in Nova Scotia and Scotland</t>
  </si>
  <si>
    <t>Stuart S. Dunmore</t>
  </si>
  <si>
    <t>Spatial Agency and Occupation</t>
  </si>
  <si>
    <t>Evelyn Kwok</t>
  </si>
  <si>
    <t>French Technological Thought and the Nonhuman Turn</t>
  </si>
  <si>
    <t>Madeleine Chalmers</t>
  </si>
  <si>
    <t>Early Modern Womenâ€™s Life-Writing and English Law</t>
  </si>
  <si>
    <t>LITERARY CRITICISM / Subjects &amp; Themes / Women</t>
  </si>
  <si>
    <t>Lotte Fikkers</t>
  </si>
  <si>
    <t>Islamic Themes in US Hip-Hop Culture</t>
  </si>
  <si>
    <t>Anders Ackfeldt</t>
  </si>
  <si>
    <t>The Populist Style</t>
  </si>
  <si>
    <t>ThÃ©o Aiolfi</t>
  </si>
  <si>
    <t>Muslim Sicily</t>
  </si>
  <si>
    <t>Nuha Alshaar</t>
  </si>
  <si>
    <t>The Semi-Future Democracy</t>
  </si>
  <si>
    <t>Andre Santos Campos</t>
  </si>
  <si>
    <t>Between Rebels and Rulers in the Early Islamicate World</t>
  </si>
  <si>
    <t>Hannah-Lena Hagemann-Alasdair C. Grant</t>
  </si>
  <si>
    <t>Diverse Slaveries</t>
  </si>
  <si>
    <t>Jason Douglas Porter</t>
  </si>
  <si>
    <t>Resisting Far-Right Politics in the Middle East and Europe</t>
  </si>
  <si>
    <t>Tunay Altay-Nadje Al-Ali-Katharina Galor</t>
  </si>
  <si>
    <t>The Karbala Story and Early Shi'ite Identity</t>
  </si>
  <si>
    <t>Torsten HylÃ©n</t>
  </si>
  <si>
    <t>Rousseauâ€™s Politics of Taste</t>
  </si>
  <si>
    <t>Jared Holley</t>
  </si>
  <si>
    <t>Shirley Clarke</t>
  </si>
  <si>
    <t>Karen Pearlman</t>
  </si>
  <si>
    <t>The Third InTraders International Conference on International Trade Proceeding Book</t>
  </si>
  <si>
    <t>InTraders Academic Platform</t>
  </si>
  <si>
    <t>KÃ¼rÅŸat Ã‡apraz</t>
  </si>
  <si>
    <t>KÃ¼rÅŸat Ã‡APRAZ-Hilal ALPDOÄžAN-Ä°nanÃ§ KABASAKAL</t>
  </si>
  <si>
    <t>The 4th InTraders International Conference On International Trade Proceeding Book</t>
  </si>
  <si>
    <t>KÃ¼rÅŸat Ã‡APRAZ-Hilal ALPDOÄžAN</t>
  </si>
  <si>
    <t>The 5th InTraders International Conference on International Trade Proceeding Book</t>
  </si>
  <si>
    <t>Rashmi GUJRATI-Asena BOZTAÅž-KÃ¼rÅŸat Ã‡apraz</t>
  </si>
  <si>
    <t>The 6th InTraders International Conference on International Trade Proceeding Book</t>
  </si>
  <si>
    <t>Leena Jenefa-Mamoona Rasheed-KÃ¼rÅŸat Ã‡apraz</t>
  </si>
  <si>
    <t>The 7th InTraders International Conference on International Trade Proceeding Book</t>
  </si>
  <si>
    <t>Liza Alili Sulejmani-KÃ¼rÅŸat Ã‡apraz</t>
  </si>
  <si>
    <t>The 8th InTraders International Conference on Social Sciences and Education Proceeding Book</t>
  </si>
  <si>
    <t>KÃ¼rÅŸat Ã‡apraz-Dilek Sema</t>
  </si>
  <si>
    <t>The 2nd International Conference on Sustainability in Technological, Environmental, Law, Management, Social and Economic Matters Proceeding Book</t>
  </si>
  <si>
    <t>Miheala POP</t>
  </si>
  <si>
    <t>The 2nd IMAS International Conference on Multidisciplinary Academic Studies Abstract Book</t>
  </si>
  <si>
    <t>Aziza Syzdykova</t>
  </si>
  <si>
    <t>The 1st IMAS International Conference on Multidisciplinary Academic Studies Proceeding Book</t>
  </si>
  <si>
    <t>Mihaela POP-Alice-Dalina MATEI-CERNÄ‚IANU</t>
  </si>
  <si>
    <t>The 1st IMAS International Conference On Multidisciplinary Academic Studies Abstract Book</t>
  </si>
  <si>
    <t>Case Studies From Pakistan &amp; Iraq</t>
  </si>
  <si>
    <t>Sobia Hassan-Noor Jehan-KÃ¼rÅŸat Ã‡APRAZ</t>
  </si>
  <si>
    <t>The 3rd InTraders International Conference On International Trade Abstract Book</t>
  </si>
  <si>
    <t>The 4th InTraders International Conference On International Trade Abstract Book</t>
  </si>
  <si>
    <t>The 5th InTraders International Conference on International Trade Abstract Book</t>
  </si>
  <si>
    <t>The 6th InTraders International Conference on International Trade Abstract Book</t>
  </si>
  <si>
    <t>The 7th InTraders International Conference on International Trade Abstract Book</t>
  </si>
  <si>
    <t>The 8th InTraders International Conference on Social Sciences and Education Abstract Book</t>
  </si>
  <si>
    <t>The 9th InTraders International Conference on Social Sciences and Education Abstract Book</t>
  </si>
  <si>
    <t>The 9th InTraders International Conference on Social Sciences and Education Proceeding Book</t>
  </si>
  <si>
    <t>The 10th InTraders International Conference On Social Sciences and Education Abstract Book</t>
  </si>
  <si>
    <t>Miheala Pop-Matei-CernÄƒianu Alice-Dalina</t>
  </si>
  <si>
    <t>The 10th InTraders International Conference on Social Sciences and Education Proceeding Book</t>
  </si>
  <si>
    <t>The 11th InTraders International Conference on Social Sciences and Education Abstract Book</t>
  </si>
  <si>
    <t>Asena BostaÅŸ</t>
  </si>
  <si>
    <t>The 11th InTraders International Conference on Social Sciences and Education Proceeding Book</t>
  </si>
  <si>
    <t>The 12th InTraders International Conference on Social Sciences and Education Conference Book</t>
  </si>
  <si>
    <t>Miheala Pop</t>
  </si>
  <si>
    <t>Inland From Mombasa</t>
  </si>
  <si>
    <t>David P. Bresnahan</t>
  </si>
  <si>
    <t>The Economics of Big Science 2.0</t>
  </si>
  <si>
    <t>Johannes Gutleber-Panagiotis Charitos</t>
  </si>
  <si>
    <t>Teaching Difficult Topics</t>
  </si>
  <si>
    <t>Olivia R. Lucas-Laura Moore Pruett</t>
  </si>
  <si>
    <t>Hydropower and Renewable Energies</t>
  </si>
  <si>
    <t>Shengâ€™an Zheng-Richard M. Taylor-Wenhao Wu-Bjorn Nilsen-Gensheng Zhao</t>
  </si>
  <si>
    <t>Decoding Antisemitism</t>
  </si>
  <si>
    <t>Matthias J. Becker-Hagen Troschke-Matthew Bolton-Alexis Chapelan</t>
  </si>
  <si>
    <t>Plenoptic Imaging and Processing</t>
  </si>
  <si>
    <t>Lu Fang</t>
  </si>
  <si>
    <t>PrzyszÅ‚oÅ›Ä‡ mediacji karnej</t>
  </si>
  <si>
    <t>Joanna Mucha (red.)</t>
  </si>
  <si>
    <t>Geoffrey Haig-Ergin Ã–pengin</t>
  </si>
  <si>
    <t>The Making of Human Dignity in Christian Antiquity</t>
  </si>
  <si>
    <t>Jadwiga Guerrero van der Meijden</t>
  </si>
  <si>
    <t>Qahal und Ekklesia</t>
  </si>
  <si>
    <t>Joachim J. Krause-Stefan Krauter-Wolfgang Oswald</t>
  </si>
  <si>
    <t>Sterbehilfe als Liebestod</t>
  </si>
  <si>
    <t>Marc Keller</t>
  </si>
  <si>
    <t>Quadraturen des Staunens</t>
  </si>
  <si>
    <t>Tim Hofmann</t>
  </si>
  <si>
    <t>Infections in Surgery</t>
  </si>
  <si>
    <t>Stefano Bartoli-Francesco Cortese-Massimo Sartelli-Gabriele Sganga</t>
  </si>
  <si>
    <t>Narrating the Rule of Law</t>
  </si>
  <si>
    <t>Astrid Lorenz-Lisa H. Anders-Dietmar MÃ¼ller-Jan NÄ›mec</t>
  </si>
  <si>
    <t>Traditionen juristisch-notarieller Textproduktion durch Translation</t>
  </si>
  <si>
    <t>Malte Kneifel</t>
  </si>
  <si>
    <t>Improving National Education Systems After COVID-19</t>
  </si>
  <si>
    <t>Nuno Crato-Harry Anthony Patrinos</t>
  </si>
  <si>
    <t>Advances in Cultural Tourism Research</t>
  </si>
  <si>
    <t>Bart Neuts-JoÃ£o Martins-Marinos Ioannides</t>
  </si>
  <si>
    <t>Mounting Pressures on the Rule of Law</t>
  </si>
  <si>
    <t>Jacqueline Behrend-Laurence Whitehead</t>
  </si>
  <si>
    <t>The European Union's Nuclear Non-proliferation Policy</t>
  </si>
  <si>
    <t>Manuel Herrera</t>
  </si>
  <si>
    <t>Masculinities and Language</t>
  </si>
  <si>
    <t>Paul Baker-Gavin Brookes</t>
  </si>
  <si>
    <t>Sustainable Urban Development in the European Arctic</t>
  </si>
  <si>
    <t>Dorothea Wehrmann-MichaÅ‚ Åuszczuk-Katarzyna Radzik-Maruszak-Jacqueline GÃ¶tze-Arne Riedel</t>
  </si>
  <si>
    <t>Designing in Times of Crisis</t>
  </si>
  <si>
    <t>Jorge Cruz Pinto-Ljiljana ÄŒaviÄ‡-Hugo Lopes Farias-Luis Miguel Ginja</t>
  </si>
  <si>
    <t>Language Education, Politics and Technology in South Asia</t>
  </si>
  <si>
    <t>Uma Pradhan-Mohini Gupta</t>
  </si>
  <si>
    <t>Blockchain Technology in Project Finance</t>
  </si>
  <si>
    <t>Witold Srokosz-PaweÅ‚ Lenio-Grzegorz Sobiecki</t>
  </si>
  <si>
    <t>Capitalist Cold</t>
  </si>
  <si>
    <t>Agnes Arndt-Kerstin Maria Pahl</t>
  </si>
  <si>
    <t>Field Experiments in Economics</t>
  </si>
  <si>
    <t>Judith Favereau-Michiru Nagatsu</t>
  </si>
  <si>
    <t>Black Feminist Mothering in 21st Century Literature</t>
  </si>
  <si>
    <t>LITERARY CRITICISM / American / African American &amp; Black</t>
  </si>
  <si>
    <t>Nicole Carr</t>
  </si>
  <si>
    <t>More Than Buildings</t>
  </si>
  <si>
    <t>SÃ©rgio PadrÃ£o Fernandes-JoÃ£o Silva Leite-Carlos Dias Coelho</t>
  </si>
  <si>
    <t>Transgressive Humanism in Mid-Socialist Poland</t>
  </si>
  <si>
    <t>Nina Seiler</t>
  </si>
  <si>
    <t>Modeling the Possible</t>
  </si>
  <si>
    <t>Tarja Knuuttila-Till GrÃ¼ne-Yanoff-Rami Koskinen-Ylwa SjÃ¶lin Wirling</t>
  </si>
  <si>
    <t>Unfair Emotions</t>
  </si>
  <si>
    <t>Jonas Blatter</t>
  </si>
  <si>
    <t>Hybrid Labour</t>
  </si>
  <si>
    <t>Annalisa Murgia</t>
  </si>
  <si>
    <t>Å etÅ™enÃ­ sexuÃ¡lnÃ­ch deliktÅ¯ v cÃ­rkvi a ve stÃ¡tÄ›</t>
  </si>
  <si>
    <t>PSYCHOLOGY / Human Sexuality</t>
  </si>
  <si>
    <t>Botek Libor (ed.), NavrÃ¡tilovÃ¡ JiÅ™ina (ed.)</t>
  </si>
  <si>
    <t>Å½ivotnÃ­ styl a pohybovÃ© chovÃ¡nÃ­ rodin s 3-8letÃ½mi dÄ›tmi</t>
  </si>
  <si>
    <t>Sigmund Erik, SigmundovÃ¡ Dagmar</t>
  </si>
  <si>
    <t>Language Use and Linguistic Structure. Proceedings of the Olomouc Linguistic Colloquium 2023</t>
  </si>
  <si>
    <t>JanebovÃ¡ MarkÃ©ta, ÄŒakÃ¡nyovÃ¡ Michaela, Emonds Joseph (eds.)</t>
  </si>
  <si>
    <t>Jews in the Soviet Union: A History</t>
  </si>
  <si>
    <t>New York University Press</t>
  </si>
  <si>
    <t>Elissa Bemporad</t>
  </si>
  <si>
    <t>The New Reproductive Order</t>
  </si>
  <si>
    <t>Sarah Franklin-Marcia C. Inhorn</t>
  </si>
  <si>
    <t>A Mouse in a Cage</t>
  </si>
  <si>
    <t>Carrie Friese</t>
  </si>
  <si>
    <t>Geschlechterstereotype in den Medien</t>
  </si>
  <si>
    <t>Christian Efing-Sarah Heinemann</t>
  </si>
  <si>
    <t>Israelbezogener Antisemitismus, der Nahostkonflikt und Bildung</t>
  </si>
  <si>
    <t>Elizaveta Firsova-Eckert-Kai Schubert</t>
  </si>
  <si>
    <t>ReprÃ¤sentation von Migrantinnen und Migranten in den Selbstverwaltungsgremien der Kammern in NRW</t>
  </si>
  <si>
    <t>Cem ÅžentÃ¼rk</t>
  </si>
  <si>
    <t>PÃ¤dagogische Beziehung und Digitalisierung</t>
  </si>
  <si>
    <t>Christin Tellisch-Alexander C. Lang</t>
  </si>
  <si>
    <t>From the Battlefield of Books: Essays Celebrating 50 Years of the Taylor-Schechter Genizah Research Unit</t>
  </si>
  <si>
    <t>Nick Posegay-Magdalen M. Connolly-Ben Outhwaite</t>
  </si>
  <si>
    <t>Saved From Desert Sands</t>
  </si>
  <si>
    <t>Kelsey Granger-Imre Galambos</t>
  </si>
  <si>
    <t>Grotesque and Performance in the Art of Aubrey Beardsley</t>
  </si>
  <si>
    <t xml:space="preserve"> Evanghelia Stead</t>
  </si>
  <si>
    <t>Nouvelles Ã©tudes sur les lieux de spectacle de la premiÃ¨re modernitÃ©</t>
  </si>
  <si>
    <t>PERFORMING ARTS / Theater / Direction &amp; Production</t>
  </si>
  <si>
    <t xml:space="preserve"> Pauline BeaucÃ©-Jeffrey M. Leichman</t>
  </si>
  <si>
    <t>Meta-Xenakis</t>
  </si>
  <si>
    <t xml:space="preserve"> Sharon Kanach-Peter Nelson</t>
  </si>
  <si>
    <t>Adaptive Reuse of Cultural Heritage</t>
  </si>
  <si>
    <t>Luigi Fusco Girard-Antonia Gravagnuolo</t>
  </si>
  <si>
    <t>Ranaviruses</t>
  </si>
  <si>
    <t>SCIENCE / Life Sciences / Zoology / General</t>
  </si>
  <si>
    <t>Matthew J. Gray-V. Gregory Chinchar</t>
  </si>
  <si>
    <t>Proceedings of the 2024 2nd International Conference on Management Innovation and Economy Development (MIED 2024)</t>
  </si>
  <si>
    <t>Barbara Siuta-Tokarska-Adriana Grigorescu-Yifeng Zhu</t>
  </si>
  <si>
    <t>Proceedings of the 4th International Conference on Internet Finance and Digital Economy (ICIFDE 2024)</t>
  </si>
  <si>
    <t>School of Architecture(s) - New Frontiers of Architectural Education</t>
  </si>
  <si>
    <t>Michela Barosio-Elena Vigliocco-Santiago Gomes</t>
  </si>
  <si>
    <t>Emergency in Transit</t>
  </si>
  <si>
    <t>Eleanor Paynter</t>
  </si>
  <si>
    <t>Contextualiser Lâ€™Ã©ducation En Milieux Insulaires Plurilingues Et Pluriculturels Contextualising Education in Insular Plurilingual and Pluricultural Environments</t>
  </si>
  <si>
    <t>Zehra Gabillon-Carole Atem</t>
  </si>
  <si>
    <t>Constructed Movements</t>
  </si>
  <si>
    <t>Ragini Shah</t>
  </si>
  <si>
    <t>Metodika pro poÅ™Ã¡dÃ¡nÃ­ zotavovacÃ­ch akcÃ­ v dÄ›tskÃ© onkologii</t>
  </si>
  <si>
    <t>JeÅ¡ina OndÅ™ej, VyhlÃ­dal TomÃ¡Å¡, SyslovÃ¡ Vlasta</t>
  </si>
  <si>
    <t>Statistika pro nelÃ©kaÅ™skÃ© zdravotnickÃ© obory</t>
  </si>
  <si>
    <t>ReiterovÃ¡ Eva</t>
  </si>
  <si>
    <t>KrizovÃ½ management ve zdravotnictvÃ­, management rizik</t>
  </si>
  <si>
    <t>Å amaj Martin</t>
  </si>
  <si>
    <t>Kapitoly z vÃ½zkumu v oÅ¡etÅ™ovatelstvÃ­</t>
  </si>
  <si>
    <t>MazalovÃ¡ Lenka</t>
  </si>
  <si>
    <t>Kapitoly z oÅ¡etÅ™ovatelskÃ© pÃ©Äe v hematologii</t>
  </si>
  <si>
    <t>MachÃ¡lkovÃ¡ Lenka</t>
  </si>
  <si>
    <t>Markovovy Å™etÄ›zce a jejich aplikace</t>
  </si>
  <si>
    <t>FaÄevicovÃ¡ Kamila, Hron Karel, KunderovÃ¡ Pavla</t>
  </si>
  <si>
    <t>FinanÄnÃ­ gramotnost</t>
  </si>
  <si>
    <t>EDUCATION / Finance</t>
  </si>
  <si>
    <t>BohanesovÃ¡ Eva</t>
  </si>
  <si>
    <t>ZÃ¡klady histochemickÃ½ch metod</t>
  </si>
  <si>
    <t>MEDICAL / Histology</t>
  </si>
  <si>
    <t>ÄŒÃ­Å¾kovÃ¡ KateÅ™ina</t>
  </si>
  <si>
    <t>VÃ½Å¾iva a dietetika v oÅ¡etÅ™ovatelskÃ© pÃ©Äi 1</t>
  </si>
  <si>
    <t>MEDICAL / Nursing / Nutrition</t>
  </si>
  <si>
    <t>TomanovÃ¡ Jitka</t>
  </si>
  <si>
    <t>Kapitoly z oÅ¡etÅ™ovatelskÃ© pÃ©Äe v chirurgii a traumatologii</t>
  </si>
  <si>
    <t>Å evÄÃ­kovÃ¡ BlaÅ¾ena</t>
  </si>
  <si>
    <t>VybranÃ© kapitoly z oÅ¡etÅ™ovatelstvÃ­ v onkologii</t>
  </si>
  <si>
    <t>Å Ã¡tekovÃ¡ Lenka</t>
  </si>
  <si>
    <t>Kapitoly z oÅ¡etÅ™ovatelskÃ© pÃ©Äe v pneumologii</t>
  </si>
  <si>
    <t>PraktickÃ½ Ãºvod do metodologie vÃ½zkumu v oÅ¡etÅ™ovatelstvÃ­</t>
  </si>
  <si>
    <t>GurkovÃ¡ Elena</t>
  </si>
  <si>
    <t>VybranÃ© kapitoly z cÃ©vnÃ­ chirurgie a traumatologie pro nelÃ©kaÅ™skÃ© obory</t>
  </si>
  <si>
    <t>MEDICAL / Surgery / Vascular</t>
  </si>
  <si>
    <t>DrÃ¡Ä Petr, DrÃ¡Ä Pavel</t>
  </si>
  <si>
    <t>MatematickÃ¡ analÃ½za 2</t>
  </si>
  <si>
    <t>TomeÄek Jan</t>
  </si>
  <si>
    <t>ÄŒasovÃ© Å™ady ÄasnÄ› a Å™Ã¡dnÄ›</t>
  </si>
  <si>
    <t>MATHEMATICS / Probability &amp; Statistics / Time Series</t>
  </si>
  <si>
    <t>VencÃ¡lek OndÅ™ej</t>
  </si>
  <si>
    <t>SbÃ­rka pÅ™Ã­kladÅ¯ z pravdÄ›podobnosti</t>
  </si>
  <si>
    <t>Hron Karel, FiÅ¡erovÃ¡ Eva</t>
  </si>
  <si>
    <t>MatematickÃ¡ analÃ½za 1</t>
  </si>
  <si>
    <t>Differential calculus I (for teacher studies)</t>
  </si>
  <si>
    <t>TrÃ¡vnÃ­Äek Stanislav, CalÃ¡bek Pavel, Å vrÄek Jaroslav</t>
  </si>
  <si>
    <t>Muzikoterapie na zÃ¡kladÄ› konceptÅ¯ biosyntetickÃ© psychoterapie s osobami se speciÃ¡lnÃ­mi potÅ™ebami a jejich rodinami</t>
  </si>
  <si>
    <t>DrlÃ­ÄkovÃ¡ Svatava, Kantor JiÅ™Ã­, SmrÄkovÃ¡ AlÅ¾bÄ›ta</t>
  </si>
  <si>
    <t>VybranÃ© komunikaÄnÃ­ dovednosti v prÃ¡ci Å™editele mateÅ™skÃ© Å¡koly</t>
  </si>
  <si>
    <t>Å melovÃ¡ Eva</t>
  </si>
  <si>
    <t>VybranÃ© kapitoly z patologickÃ© fyziologie I</t>
  </si>
  <si>
    <t>MEDICAL / Pathophysiology</t>
  </si>
  <si>
    <t>NavrÃ¡tilovÃ¡ Zdenka, PetÅ™ek Martin, VeselÃ½ OndÅ™ej</t>
  </si>
  <si>
    <t>Management sportovnÃ­ch akcÃ­</t>
  </si>
  <si>
    <t>EDUCATION / Behavioral Management</t>
  </si>
  <si>
    <t>Prukner VÃ­tÄ›zslav</t>
  </si>
  <si>
    <t>On the Trail of the Morning Star</t>
  </si>
  <si>
    <t xml:space="preserve"> Dorothea Buck-Susanne Antonetta</t>
  </si>
  <si>
    <t>Tribulations of a Westerner in the Western World</t>
  </si>
  <si>
    <t xml:space="preserve"> Vincent Dachy</t>
  </si>
  <si>
    <t>Ontohackers: Radical Movement Philosophy in the Age of Extinctions and Algorithms, Part I</t>
  </si>
  <si>
    <t>In Defense of Don Giovanni</t>
  </si>
  <si>
    <t xml:space="preserve"> Luisa Passerini</t>
  </si>
  <si>
    <t>Like a Dog</t>
  </si>
  <si>
    <t xml:space="preserve"> Lauren Samblanet</t>
  </si>
  <si>
    <t>Speaking with the Dead</t>
  </si>
  <si>
    <t xml:space="preserve"> Matt Tomlinson</t>
  </si>
  <si>
    <t>Masks</t>
  </si>
  <si>
    <t xml:space="preserve"> T.H.M. Gellar-Goad</t>
  </si>
  <si>
    <t>Alone in the Dark</t>
  </si>
  <si>
    <t xml:space="preserve"> Doug Dibbern</t>
  </si>
  <si>
    <t>The Presence of Absence</t>
  </si>
  <si>
    <t xml:space="preserve"> Katina L. Rogers</t>
  </si>
  <si>
    <t>A Story of Witchery</t>
  </si>
  <si>
    <t>BIOGRAPHY &amp; AUTOBIOGRAPHY / Medical (incl. Patients)</t>
  </si>
  <si>
    <t xml:space="preserve"> Jennifer Calkins</t>
  </si>
  <si>
    <t>Lividity</t>
  </si>
  <si>
    <t xml:space="preserve"> Kim Rosenfield</t>
  </si>
  <si>
    <t>Continuum 2</t>
  </si>
  <si>
    <t xml:space="preserve"> Alessandro De Francesco</t>
  </si>
  <si>
    <t>Predatory Data</t>
  </si>
  <si>
    <t>Anita Say Chan</t>
  </si>
  <si>
    <t>Le Labyrinthe littÃ©raire de Mohamed Mbougar Sarr</t>
  </si>
  <si>
    <t>Sarah Burnautzki-Abdoulaye Imorou-Cornelia Ruhe</t>
  </si>
  <si>
    <t>Fragments of Languages</t>
  </si>
  <si>
    <t>Daniele Baglioni-Luca Rigobianco</t>
  </si>
  <si>
    <t>Gender, Power and Politics in Agriculture</t>
  </si>
  <si>
    <t>Jemimah Njuki-Hale Ann Tufan-Vivian Polar-Hugo Campos-Monifa Morgan-Bell</t>
  </si>
  <si>
    <t>Between Protection and Harm</t>
  </si>
  <si>
    <t>Luc Leboeuf-Cathrine Brun-Hilde LidÃ©n-Sabrina Marchetti-Delphine Nakache</t>
  </si>
  <si>
    <t>Histories of Fetal Knowledge Production in Sweden</t>
  </si>
  <si>
    <t>Solveig JÃ¼lich</t>
  </si>
  <si>
    <t>Framing Sustainability in Language and Communication</t>
  </si>
  <si>
    <t>Maida Kosatica-Sean P. Smith</t>
  </si>
  <si>
    <t>The Global Third Nuclear Age</t>
  </si>
  <si>
    <t>Andrew Futter-Ludovica Castelli-Cameron Hunter-Olamide Samuel-Francesca Silvestri-Benjamin Zala</t>
  </si>
  <si>
    <t>Big Earth Data in Support of the Sustainable Development Goals (2022) - China</t>
  </si>
  <si>
    <t>Media and Propaganda in an Age of Disinformation</t>
  </si>
  <si>
    <t>Nelson Ribeiro-Barbie Zelizer</t>
  </si>
  <si>
    <t>Revisiting Africaâ€™s Flagship Universities</t>
  </si>
  <si>
    <t xml:space="preserve"> James Ransom</t>
  </si>
  <si>
    <t>Transferencia del conocimiento en ciencias sociales: el reto de la academia.</t>
  </si>
  <si>
    <t>Puebla MartÃ­nez, BelÃ©n (Coordinador)-GonzÃ¡lez DÃ­ez, Laura (Coordinador)</t>
  </si>
  <si>
    <t>EducaciÃ³n de la sensibilidad.</t>
  </si>
  <si>
    <t>Dans Ãlvarez de Sotomayor, Isabel (Editor)</t>
  </si>
  <si>
    <t>Descubriendo nuevos horizontes en innovaciÃ³n educativa.</t>
  </si>
  <si>
    <t>Puig GutiÃ©rrez, MarÃ­a (Editor)-GarcÃ­a GonzÃ¡lez, Alfonso Javier (Editor)-Guijarro-CordobÃ©s, Olga (Editor)-Carrillo Cabeza, Mauricio (Editor)</t>
  </si>
  <si>
    <t>The Verb in Classical Hebrew</t>
  </si>
  <si>
    <t xml:space="preserve"> Bo Isaksson</t>
  </si>
  <si>
    <t>Urban Heritage and Sustainability in the Age of Globalisation</t>
  </si>
  <si>
    <t>The Last Years of Polish Jewry</t>
  </si>
  <si>
    <t xml:space="preserve"> Yankev Leshchinsky-Robert Brym</t>
  </si>
  <si>
    <t>CartografÃ­as de gÃ©nero en la expresiÃ³n artÃ­stica contemporÃ¡nea.</t>
  </si>
  <si>
    <t>GutiÃ©rrez Reyes, Cintia (Editor)-Hurtado SuÃ¡rez, Inmaculada (Editor)</t>
  </si>
  <si>
    <t>InterpretaciÃ³n, razÃ³n y cultura: perspectivas hermenÃ©uticas.</t>
  </si>
  <si>
    <t>Mohamed El Mouden El Mouden (Coordinador)-Fernando Crisman, Rafael (Coordinador)-GonzÃ¡lez Galiana, Rafael (Coordinador)-MartÃ­n Castellanos, Antonio Javier (Coordinador)-BaÃ±Ã³n CastellÃ³n, Lola (Coordinador)</t>
  </si>
  <si>
    <t>Una mirada al futuro en la enseÃ±anza en ciencias de la salud.</t>
  </si>
  <si>
    <t>Oliva Contero, Julio (Coordinador)-Quintero Cabello, Ana (Coordinador)</t>
  </si>
  <si>
    <t>EconomÃ­a, derecho y empresa ante una nueva era: digitalizaciÃ³n, IA y competitividad en un entorno global.</t>
  </si>
  <si>
    <t>PÃ©rez Calle, Ricardo Diego (Coordinador)</t>
  </si>
  <si>
    <t>DesafÃ­os de gÃ©nero en la educaciÃ³n, cultura y sociedad: un anÃ¡lisis multidimensional.</t>
  </si>
  <si>
    <t>BandrÃ©s GoldÃ¡raz, Elena (Coordinador)</t>
  </si>
  <si>
    <t>La comunicaciÃ³n ante el reto de las inteligencias artificiales, innovaciÃ³n, investigaciÃ³n y transferencias.</t>
  </si>
  <si>
    <t>Mancinas ChÃ¡vez, Rosalba (Coordinador)-Sussi de Oliveira, Julieti (Coordinador)</t>
  </si>
  <si>
    <t>Inteligencia organizacional, comunicaciÃ³n estratÃ©gica e influencia en la sociedad postdigital.</t>
  </si>
  <si>
    <t>Esteban Navarro, Miguel Ãngel (Coordinador)-GarcÃ­a Madurga, Miguel Ãngel (Coordinador)-PÃ©rez Calle, Ricardo Diego (Coordinador)-Conde Casado, Mariola (Coordinador)</t>
  </si>
  <si>
    <t>IA aplicada a la enseÃ±anza y el aprendizaje.</t>
  </si>
  <si>
    <t>GonzÃ¡lez Vallejo, RubÃ©n (Coordinador)-Badillo Mendoza, Miguel Ezequiel (Coordinador)-Bordignon, Fernando RaÃºl Alfredo (Coordinador)-Navarro Neri, IÃ±aki (Coordinador)</t>
  </si>
  <si>
    <t>Patrimonio y competencias digitales en la sociedad hiperconectada y participativa.</t>
  </si>
  <si>
    <t>Rivero Gracia, Pilar (Coordinador)-GarcÃ­a Cevallos, Silvia (Coordinador)-PeÃ±alva TobÃ­as, Sheila (Coordinador)-BandrÃ©s GoldÃ¡raz, Elena (Coordinador)</t>
  </si>
  <si>
    <t>EducomunicaciÃ³n y transformaciÃ³n social.</t>
  </si>
  <si>
    <t>Arranz MartÃ­nez, Pilar (Coordinador)-SolÃ¡ns GarcÃ­a, MarÃ­a Antonia (Coordinador)-Feltrero Oreja, Roberto (Coordinador)-FernÃ¡ndez MartÃ­nez, Luis Manuel (Coordinador)</t>
  </si>
  <si>
    <t>Patrimonio audiovisual: narrativas, contenidos y formatos.</t>
  </si>
  <si>
    <t>Mancho, Ana (Coordinador)-Bonaut, Joseba (Coordinador)-Bernad, Sagrario (Coordinador)-Segura, Ana (Coordinador)</t>
  </si>
  <si>
    <t>IA, educaciÃ³n y medios de comunicaciÃ³n: modelo TRIC.</t>
  </si>
  <si>
    <t>AlmazÃ¡n-LÃ³pez, Oskar (Coordinador)-CabanÃ©s-Cacho, BegoÃ±a (Coordinador)-Bumbury, Eva (Coordinador)</t>
  </si>
  <si>
    <t>El factor relacional en la era de la IA.</t>
  </si>
  <si>
    <t>GascÃ³n, Patricia (Coordinador)-Morte Nadal, Tamara (Coordinador)-Manrique Villanueva, Lina Maria Patricia (Coordinador)</t>
  </si>
  <si>
    <t>InnovaciÃ³n e investigaciÃ³n con tecnologÃ­a educativa: Explorando las posibilidades de la educaciÃ³n del futuro.</t>
  </si>
  <si>
    <t>Tejada Garitano, Eneko (Coordinador)-Garay Ruiz, Urtza (Coordinador)-LÃ³pez de la Serna, Arantzazu (Coordinador)</t>
  </si>
  <si>
    <t>PedagogÃ­as Feministas. Reflexiones para la igualdad de gÃ©nero en la escuela</t>
  </si>
  <si>
    <t>Matarranz, MarÃ­a (Coordinador)</t>
  </si>
  <si>
    <t>Analizando la Evidencia sobre los DesafÃ­os en Salud.</t>
  </si>
  <si>
    <t>MEDICAL / Evidence-Based Medicine</t>
  </si>
  <si>
    <t>SimÃ³n MÃ¡rquez, MarÃ­a del Mar (Coordinador)-PÃ©rez-Fuentes, MarÃ­a del Carmen (Coordinador)-Molero Jurado, MarÃ­a del Mar (Coordinador)-BarragÃ¡n MartÃ­n, Ana BelÃ©n (Coordinador)-Martos MartÃ­nez, Ãfrica (Coordinador)-GÃ¡zquez Linares, JosÃ© JesÃºs (Coordinador)</t>
  </si>
  <si>
    <t>La promociÃ³n de derechos, buen trato y participaciÃ³n de la infancia y la adolescencia en los centros de educaciÃ³n superior.</t>
  </si>
  <si>
    <t>LAW / Educational Law &amp; Legislation</t>
  </si>
  <si>
    <t>JimÃ©nez HernÃ¡ndez, Antonio Salvador (Coordinador)-MartÃ­n SÃ¡nchez, Miguel Ãngel (Coordinador)-Flores RodrÃ­guez, Cruz MarÃ­a (Coordinador)-Castillo Contreras, Ingrid Catalina (Coordinador)</t>
  </si>
  <si>
    <t>Estudio descriptivo de las enfermedades raras visuales en EspaÃ±a.</t>
  </si>
  <si>
    <t>PeÃ±alver GarcÃ­a, Dolores MarÃ­a-Navarro GÃ³mez, Carmen MÂª-GarcÃ­a Recover, Pedro</t>
  </si>
  <si>
    <t>ProblemÃ¡tica civil y tributaria de los servicios prestados por fundaciones. La experiencia italiana a la luz del Derecho de la UniÃ³n Europea</t>
  </si>
  <si>
    <t>GarcÃ­a Guerrero, David</t>
  </si>
  <si>
    <t>InvestigaciÃ³n, desarrollo e innovaciÃ³n en disciplinas con contenidos normativos y sociales.</t>
  </si>
  <si>
    <t>LAW / Research</t>
  </si>
  <si>
    <t>Principios generales de dramaturgia cuÃ¡ntica.</t>
  </si>
  <si>
    <t>PERFORMING ARTS / Theater / Dramaturgy</t>
  </si>
  <si>
    <t>MorÃ³n, Antonio CÃ©sar</t>
  </si>
  <si>
    <t>CherÃ­n: economÃ­a y sociedad a travÃ©s del libro de apeo y repartimiento en Ã©poca de Felipe II.</t>
  </si>
  <si>
    <t>Onieva Tarifa, Manuel</t>
  </si>
  <si>
    <t>PoesÃ­a de mujeres indÃ­genas en Brasil: existencia y resistencia.</t>
  </si>
  <si>
    <t>POETRY / European / Spanish &amp; Portuguese</t>
  </si>
  <si>
    <t>The eternity of change: adaptation and legal-institutional reform in situations of redefinition of the State in Spain (1476-1917).</t>
  </si>
  <si>
    <t>FernÃ¡ndez RodrÃ­guez, Manuela</t>
  </si>
  <si>
    <t>Los contextos comunicativos de la calidad del aire.</t>
  </si>
  <si>
    <t>Parejo CuÃ©llar, Macarena (Editor)-Pinilla Gil, Eduardo (Editor)-FernÃ¡ndez RodrÃ­guez, Santiago (Editor)</t>
  </si>
  <si>
    <t>Misoginia en las artes y su deconstrucciÃ³n en las aulas.</t>
  </si>
  <si>
    <t>Pena LÃ³pez, Claudia (Coordinador)</t>
  </si>
  <si>
    <t>La persona fÃ­sica y su estatuto: nuevas perspectivas en la interacciÃ³n entre el derecho internacional privado y la libre movilidad intra-UE.</t>
  </si>
  <si>
    <t>BlÃ¡zquez RodrÃ­guez, Irene</t>
  </si>
  <si>
    <t>RÄgs Around the Clock</t>
  </si>
  <si>
    <t>MUSIC / Genres &amp; Styles / Classical</t>
  </si>
  <si>
    <t xml:space="preserve"> David Clarke</t>
  </si>
  <si>
    <t>Study on the National Conditions of Modernization with Chinese Characteristics</t>
  </si>
  <si>
    <t>Angang Hu-Shaojie Zhou-Yize Xie</t>
  </si>
  <si>
    <t>16th International Symposium on Advanced Vehicle Control</t>
  </si>
  <si>
    <t>Giampiero Mastinu-Francesco Braghin-Federico Cheli-Matteo Corno-Sergio M. Savaresi</t>
  </si>
  <si>
    <t>The Dream-Slaves</t>
  </si>
  <si>
    <t>FICTION / LGBTQ+ / General</t>
  </si>
  <si>
    <t xml:space="preserve"> Darieck Scott</t>
  </si>
  <si>
    <t>100 Chinese Silences</t>
  </si>
  <si>
    <t xml:space="preserve"> Timothy Yu</t>
  </si>
  <si>
    <t>State-Managed International Voluntary Service</t>
  </si>
  <si>
    <t>Yasunobu Okabe</t>
  </si>
  <si>
    <t>'My Own Sort of Heaven'</t>
  </si>
  <si>
    <t>BIOGRAPHY &amp; AUTOBIOGRAPHY / Artists, Architects, Photographers</t>
  </si>
  <si>
    <t>Nicola Francis</t>
  </si>
  <si>
    <t>Down Syndrome Culture</t>
  </si>
  <si>
    <t>Benjamin Fraser</t>
  </si>
  <si>
    <t>Samurai with Telephones</t>
  </si>
  <si>
    <t>Christopher Smith</t>
  </si>
  <si>
    <t>Strengthening European Mobility Policy</t>
  </si>
  <si>
    <t>Imre Keseru-Samyajit Basu-Marianne Ryghaug-Tomas Moe SkjÃ¸lsvold</t>
  </si>
  <si>
    <t>Proceedings of the International Conference of Economics Business and Economics Education Science (ICE-BEES-24)</t>
  </si>
  <si>
    <t>Kris Brantas Abiprayu-Avi Budi Setiawan</t>
  </si>
  <si>
    <t>Arquitectura, Cultura y Patrimonio</t>
  </si>
  <si>
    <t>Victor Manuell Salas Velasquez (ed.)</t>
  </si>
  <si>
    <t>Reflexiones sobre Liderazgo LeonÃ­stico</t>
  </si>
  <si>
    <t>William Mirabal</t>
  </si>
  <si>
    <t>Proceedings of the International Conference on Science Technology and Social Sciences â€“ Social Science Track (ICONSTAS-SS 2023)</t>
  </si>
  <si>
    <t>Rafeah Legino-Yarina Ahmad</t>
  </si>
  <si>
    <t>Understanding the Physics of Particle Accelerators</t>
  </si>
  <si>
    <t>FranÃ§ois MÃ©ot</t>
  </si>
  <si>
    <t>Post-Truth Populism</t>
  </si>
  <si>
    <t>Saul Newman-Maximilian Conrad</t>
  </si>
  <si>
    <t>Inklusion und Beteiligung bei BÃ¼rger*innenbeteiligungsverfahren</t>
  </si>
  <si>
    <t>Jonathan Seim</t>
  </si>
  <si>
    <t>Digitale Medien kompetent in Kitas einsetzen</t>
  </si>
  <si>
    <t>Anna Mues-Astrid Wirth-Tina Schiele-Frank Niklas</t>
  </si>
  <si>
    <t>The Simons of Manchester</t>
  </si>
  <si>
    <t>HISTORY / Europe / Great Britain / Victorian Era (1837-1901)</t>
  </si>
  <si>
    <t>Martin Dodge-John Ayshford-Diana Leitch-Stuart Jones-Janet Wolff</t>
  </si>
  <si>
    <t>Im Schatten der Macht</t>
  </si>
  <si>
    <t>Nadir Weber-Nadine Amsler</t>
  </si>
  <si>
    <t>Paradigms on Technology Development for Security Practitioners</t>
  </si>
  <si>
    <t>Ilias Gkotsis-Dimitrios Kavallieros-Nikolai Stoianov-Stefanos Vrochidis-Dimitrios Diagourtas</t>
  </si>
  <si>
    <t>Proceedings of the 2024 3rd International Conference on Science Education and Art Appreciation (SEAA 2024)</t>
  </si>
  <si>
    <t>Yan Li-Hui Liu-Yi Ji-Mohd Fauzi Sedon</t>
  </si>
  <si>
    <t>Proceedings of the 1st International Conference Da'wah and Communication Disruptios Era 5.0 (ICDCDE 2024)</t>
  </si>
  <si>
    <t>Nasrullah Hidayat-Soiman Soiman-Irma Yusriani-Kamalia Kamalia-Khatibah Khatibah</t>
  </si>
  <si>
    <t>Proceedings of the 5th International Seminar on Science and Technology (ISST 2023)</t>
  </si>
  <si>
    <t>Yonelian Yuyun-Mustafid Rasyiid-Muhammad Sulaiman Zubair-Elisa Sesa</t>
  </si>
  <si>
    <t>Strengthening European Energy Policy</t>
  </si>
  <si>
    <t>Ami Crowther-Chris Foulds-Rosie Robison-Ganna Gladkykh</t>
  </si>
  <si>
    <t>Antiquarianismus in Rom</t>
  </si>
  <si>
    <t>Raphael Schwitter</t>
  </si>
  <si>
    <t>Expedition Escape From the Classroom</t>
  </si>
  <si>
    <t>Oded LÃ¶wenheim</t>
  </si>
  <si>
    <t>Turbulence Across the Sea</t>
  </si>
  <si>
    <t>Elie Baranets-Andrew R. Novo</t>
  </si>
  <si>
    <t>The Revolution Will Be Improvised</t>
  </si>
  <si>
    <t>Elizabeth Rodriguez Fielder</t>
  </si>
  <si>
    <t>Fast Facts: Thalassemia Syndromes [Arabic]</t>
  </si>
  <si>
    <t>The Civil Service in Europe</t>
  </si>
  <si>
    <t>LAW / Public</t>
  </si>
  <si>
    <t>Karl-Peter Sommermann-Adam KrzywoÅ„-Cristina Fraenkel-Haeberle</t>
  </si>
  <si>
    <t>Sexualised Masculinity</t>
  </si>
  <si>
    <t>John Mercer-Clarissa Smith</t>
  </si>
  <si>
    <t>Pathways to African Food Security</t>
  </si>
  <si>
    <t>Michiel de Haas-Ken E. Giller</t>
  </si>
  <si>
    <t>Heritage at War</t>
  </si>
  <si>
    <t xml:space="preserve"> Mark Dunkley-Lisa Mol-Anna Tulliach</t>
  </si>
  <si>
    <t>Histories of Spiritual Traditions in China</t>
  </si>
  <si>
    <t>Frank P. Saunders Jr-Richard J. Sage</t>
  </si>
  <si>
    <t>Supervising Student Independence</t>
  </si>
  <si>
    <t>Maria Zackariasson-Jenny Magnusson</t>
  </si>
  <si>
    <t>Applied Linguistics in the Indonesian Context</t>
  </si>
  <si>
    <t>Richmond Stroupe-Lilie Roosman</t>
  </si>
  <si>
    <t>Proceedings of the SSEME Workshop on Economics and Management (SSEME-EM 2024)</t>
  </si>
  <si>
    <t>Ramayah Thurasamy</t>
  </si>
  <si>
    <t>Perspectives on Paradata</t>
  </si>
  <si>
    <t>Isto Huvila-Lisa Andersson-Olle SkÃ¶ld</t>
  </si>
  <si>
    <t>Ocean-Atmosphere Interactions of Gases and Particles</t>
  </si>
  <si>
    <t>Peter S. Liss-Martin T. Johnson</t>
  </si>
  <si>
    <t>Ruptured Commons</t>
  </si>
  <si>
    <t>Anna Guttman-Veronica J. Austen</t>
  </si>
  <si>
    <t>Proceedings of the 2024 SSEME Workshop on Social Sciences and Education (SSEME-SSE 2024)</t>
  </si>
  <si>
    <t>Systems and Innovation Research in Transition</t>
  </si>
  <si>
    <t>Jakob Edler-Rainer Walz</t>
  </si>
  <si>
    <t>Why Is Social Justice Possible?</t>
  </si>
  <si>
    <t>EQUITY IN COVID-19</t>
  </si>
  <si>
    <t>Anika Altaf-Dzodzi Tsikata-Gertrude Dzifa Torvikey-Marleen Dekker</t>
  </si>
  <si>
    <t>Global Elite Migrations</t>
  </si>
  <si>
    <t>Irina Isaakyan</t>
  </si>
  <si>
    <t>The Autonomy of the Ã…land Islands</t>
  </si>
  <si>
    <t>Gudmundur Alfredsson-GÃ¶ran Lindholm</t>
  </si>
  <si>
    <t>Hands-On Accelerator Physics Using MATLABÂ®</t>
  </si>
  <si>
    <t>Volker Ziemann</t>
  </si>
  <si>
    <t>Carolina Currents, Studies in South Carolina Culture</t>
  </si>
  <si>
    <t>Christopher D. Johnson</t>
  </si>
  <si>
    <t>Rebirth</t>
  </si>
  <si>
    <t>Jennifer Whitmer Taylor</t>
  </si>
  <si>
    <t>Free Black Charlestonians in Debate</t>
  </si>
  <si>
    <t>HISTORY / African American &amp; Black</t>
  </si>
  <si>
    <t>Angela G. Ray</t>
  </si>
  <si>
    <t>Die Herstellung von Differenz in Vorbereitungsklassen</t>
  </si>
  <si>
    <t>Lydia Heidrich</t>
  </si>
  <si>
    <t>Tolerable Inequality</t>
  </si>
  <si>
    <t>Chris Pepin-Neff</t>
  </si>
  <si>
    <t>Intersectional Incoherence</t>
  </si>
  <si>
    <t>Cindi Textor</t>
  </si>
  <si>
    <t>Proximity in Design Research</t>
  </si>
  <si>
    <t>ARCHITECTURE / Design, Drafting, Drawing &amp; Presentation</t>
  </si>
  <si>
    <t>Rita Assoreira Almendra</t>
  </si>
  <si>
    <t>Indigenous Statistics</t>
  </si>
  <si>
    <t>Chris Andersen-Maggie Walter-Tahu Kukutai-Chelsea Gabel</t>
  </si>
  <si>
    <t>In a Barbie World</t>
  </si>
  <si>
    <t>Anna Gotlib-Claire Elise Katz</t>
  </si>
  <si>
    <t>Debating â€˜Homo Academicusâ€™ in Management and Organization</t>
  </si>
  <si>
    <t>Silvia Cinque-Daniel Ericsson</t>
  </si>
  <si>
    <t>International Comparisons in Learning and Education</t>
  </si>
  <si>
    <t>Norman Gabriel</t>
  </si>
  <si>
    <t>An Unruly Classic, KalÄ«la and Dimna and Its Syriac, Arabic, and Early Persian Versions</t>
  </si>
  <si>
    <t>Isabel Toral-Beatrice Gruendler</t>
  </si>
  <si>
    <t>Digitale FÃ¼hrung und Zusammenarbeit</t>
  </si>
  <si>
    <t>Conny H. Antoni-Ulrike Hellert-Erich Latniak</t>
  </si>
  <si>
    <t>Proceedings of the 2024 International Conference on Artificial Intelligence and Communication (ICAIC 2024)</t>
  </si>
  <si>
    <t>Yulin Wang</t>
  </si>
  <si>
    <t>Proceedings of the 2024 International Conference on Mechanics, Electronics Engineering and Automation (ICMEEA 2024)</t>
  </si>
  <si>
    <t>Yang Yue</t>
  </si>
  <si>
    <t>Proceedings of the 2024 7th International Symposium on Traffic Transportation and Civil Architecture (ISTTCA 2024)</t>
  </si>
  <si>
    <t>Gaofeng Zhao-Alfrendo Satyanaga-Sujatha Evangelin Ramani-Shehata E. Abdel Raheem</t>
  </si>
  <si>
    <t>L'Ã©levage biologique :</t>
  </si>
  <si>
    <t>NON-CLASSIFIABLE</t>
  </si>
  <si>
    <t>Empire's Daughters</t>
  </si>
  <si>
    <t>POLITICAL SCIENCE / Imperialism</t>
  </si>
  <si>
    <t>Elizabeth Dillenburg</t>
  </si>
  <si>
    <t>David Duenas-Cid-Peter Roenne-Melanie Volkamer-Jurlind Budurushi-Michelle Blom</t>
  </si>
  <si>
    <t>Strengthening European Climate Policy</t>
  </si>
  <si>
    <t>Ester Galende SÃ¡nchez-Alevgul H. Sorman-Violeta Cabello-Sara Heidenreich-Christian A. KlÃ¶ckner</t>
  </si>
  <si>
    <t>Alternating Current Field Measurement Technique for Detection and Measurement of Cracks in Structures</t>
  </si>
  <si>
    <t>Wei Li-Xin'an Yuan-Jianming Zhao-Xiaokang Yin-Xiao Li</t>
  </si>
  <si>
    <t>The Sweetpotato Genome</t>
  </si>
  <si>
    <t>G. Craig Yencho-Bode A. Olukolu-Sachiko Isobe</t>
  </si>
  <si>
    <t>Equity, Diversity, and Inclusion in Software Engineering</t>
  </si>
  <si>
    <t>Daniela Damian-Kelly Blincoe-Denae Ford-Alexander Serebrenik-Zainab Masood</t>
  </si>
  <si>
    <t>Towards Sustainable Good Health and Well-being</t>
  </si>
  <si>
    <t>MEDICAL / Health Policy</t>
  </si>
  <si>
    <t>Torstein Hole-Marit Kvangarsnes-Bodil J. Landstad-Elise Kvalsund BÃ¥rdsgjerde-Sandra Elizabeth Tippett-Spirtou</t>
  </si>
  <si>
    <t>Bildung jenseits von Krisen?</t>
  </si>
  <si>
    <t>Julia Lipkina-AndrÃ© Epp-Thorsten Fuchs</t>
  </si>
  <si>
    <t>Berufsausbildung im 19. Jahrhundert und die AnfÃ¤nge der Berufsschule</t>
  </si>
  <si>
    <t>Erwachsenenbildung und Nachhaltigkeit</t>
  </si>
  <si>
    <t>Malte Ebner von Eschenbach-Bernd KÃ¤pplinger-Maria Kondratjuk-Katrin Kraus-Matthias Rohs-Bernhard Schmidt-Hertha-Karin Rott-Veronika Thalhammer</t>
  </si>
  <si>
    <t>FachkrÃ¤ftemangel und De-Professionalisierung in der Sozialen Arbeit</t>
  </si>
  <si>
    <t>Julia Franz-Christian Spatscheck-Anne van RieÃŸen</t>
  </si>
  <si>
    <t>50 Jahre Sektion Berufs- und WirtschaftspÃ¤dagogik in der Deutschen Gesellschaft fÃ¼r Erziehungswissenschaft (DGfE)</t>
  </si>
  <si>
    <t>Karin BÃ¼chter-Volkmar Herkner-Kristina KÃ¶gler-H.-Hugo Kremer-Ulrike Weyland</t>
  </si>
  <si>
    <t>Religion, Disability, and Sustainable Development in Africa</t>
  </si>
  <si>
    <t>Chioma Ohajunwa-Kudakwashe â€˜AKâ€™ Dube-Ezra Chitando</t>
  </si>
  <si>
    <t>Religion and Artificial Intelligence</t>
  </si>
  <si>
    <t>Beth Singler</t>
  </si>
  <si>
    <t>Which Proximity in Design Education?</t>
  </si>
  <si>
    <t>Strategic City Branding</t>
  </si>
  <si>
    <t>Viriya Taecharungroj</t>
  </si>
  <si>
    <t>The Politics of COVID-19 in Mexico</t>
  </si>
  <si>
    <t>Thomas F Legler</t>
  </si>
  <si>
    <t>African Media and Communication</t>
  </si>
  <si>
    <t>viola c. milton-Winston Mano</t>
  </si>
  <si>
    <t>The Philosophy of Leopold Blaustein</t>
  </si>
  <si>
    <t>Witold PÅ‚otka</t>
  </si>
  <si>
    <t>Romanian Management Theory and Practice</t>
  </si>
  <si>
    <t>Ovidiu Nicolescu-Constantin Oprean-Aurel Mihail Titu-Sebastian Vaduva</t>
  </si>
  <si>
    <t>AI in Drug Discovery</t>
  </si>
  <si>
    <t>Djork-ArnÃ© Clevert-Michael Wand-KristÃ­na MalinovskÃ¡-JÃ¼rgen Schmidhuber-Igor V. Tetko</t>
  </si>
  <si>
    <t>The Embassy, the Ambush, and the Ogre</t>
  </si>
  <si>
    <t xml:space="preserve"> Roberto Morales-Harley</t>
  </si>
  <si>
    <t>Augustus De Morgan, Polymath</t>
  </si>
  <si>
    <t>MATHEMATICS / History &amp; Philosophy</t>
  </si>
  <si>
    <t xml:space="preserve"> Karen Attar-Adrian Rice-Christopher Stray</t>
  </si>
  <si>
    <t>Bitter-Sweet Democracy?</t>
  </si>
  <si>
    <t xml:space="preserve"> Louise Knops-Karen Celis-Virginie Van Ingelgom-Heidi Mercenier-FranÃ§ois Randour</t>
  </si>
  <si>
    <t>Touching Parchment: How Medieval Users Rubbed, Handled, and Kissed Their Manuscripts</t>
  </si>
  <si>
    <t xml:space="preserve"> Kathryn M. Rudy</t>
  </si>
  <si>
    <t>Trix</t>
  </si>
  <si>
    <t xml:space="preserve"> Barbara Fisher</t>
  </si>
  <si>
    <t>An Anthology of Global Risk</t>
  </si>
  <si>
    <t xml:space="preserve"> SJ Beard-Tom Hobson</t>
  </si>
  <si>
    <t>20th International Conference on Silicon Carbide and Related Materials (ICSCRM 2023)</t>
  </si>
  <si>
    <t>Michele Riccio-Andrea Irace-Giovanni Breglio</t>
  </si>
  <si>
    <t>Dick Watkins</t>
  </si>
  <si>
    <t>ART / Individual Artists / Monographs</t>
  </si>
  <si>
    <t>Mary Eagle</t>
  </si>
  <si>
    <t>Proceedings of the Twelfth International Conference on Entrepreneurship and Business Management 2023 (ICEBM 2023)</t>
  </si>
  <si>
    <t>Keni Keni-Hetty Karunia Tunjungsari-Teoh Ai Ping</t>
  </si>
  <si>
    <t>Involving Readers</t>
  </si>
  <si>
    <t>RELIGION / Biblical Studies / General</t>
  </si>
  <si>
    <t>Renske A. Hoff</t>
  </si>
  <si>
    <t>Religion in the Market Era</t>
  </si>
  <si>
    <t>FranÃ§ois Gauthier</t>
  </si>
  <si>
    <t>The Reparative Impulse of Queer Young Adult Literature</t>
  </si>
  <si>
    <t>Angel Daniel Matos</t>
  </si>
  <si>
    <t>Practical Machine Learning</t>
  </si>
  <si>
    <t>COMPUTERS / Data Science / Machine Learning</t>
  </si>
  <si>
    <t>Ally S. Nyamawe-Mohamedi M. Mjahidi-Noe E. Nnko-Salim A. Diwani-Godbless G. Minja-Kulwa Malyango</t>
  </si>
  <si>
    <t>A Cultural History of Physics</t>
  </si>
  <si>
    <t>KÃ¡roly Simonyi</t>
  </si>
  <si>
    <t>Elementary Semiconductor Device Physics</t>
  </si>
  <si>
    <t>TECHNOLOGY &amp; ENGINEERING / Electronics / Semiconductors</t>
  </si>
  <si>
    <t>Kazuya Masu-Shuhei Amakawa</t>
  </si>
  <si>
    <t>Artificial Intelligence and Systems of the Earth</t>
  </si>
  <si>
    <t>Michel Speiser</t>
  </si>
  <si>
    <t>Design of Fibre-Polymer Composite Structures</t>
  </si>
  <si>
    <t>JoÃ£o R. Correia-Thomas Keller-Jan Knippers-J. Toby Mottram-Carlo Paulotto-JosÃ© Sena-Cruz-Luigi Ascione</t>
  </si>
  <si>
    <t>The History of Correlation</t>
  </si>
  <si>
    <t>John Nicholas Zorich</t>
  </si>
  <si>
    <t>Introduction to AI Safety, Ethics, and Society</t>
  </si>
  <si>
    <t>Dan Hendrycks</t>
  </si>
  <si>
    <t>Hybrid and Advanced Technologies</t>
  </si>
  <si>
    <t>S. Prasad Jones Christydass-Nurhayati Nurhayati-S. Kannadhasan</t>
  </si>
  <si>
    <t>Economic Sustainability and Social Equality in the Technological Era</t>
  </si>
  <si>
    <t>Dwi Irawan-Agung Prasetyo Nugroho Wicaksono-Aviani Widyastuti-Rizki Febriani-Ali Roziqin</t>
  </si>
  <si>
    <t>Cancer Care in the United Arab Emirates</t>
  </si>
  <si>
    <t>Stochastic Dynamic Response Analysis and Performance-Based Seismic Safety Evaluation for High Concrete Faced Rockfill Dams</t>
  </si>
  <si>
    <t>Bin Xu-Rui Pang</t>
  </si>
  <si>
    <t>Networks, Poetics and Multilingual Society in the Early Modern Baltic Sea Region</t>
  </si>
  <si>
    <t>Kati Kallio-Tuomas M.S. Lehtonen-Anu Lahtinen-Ilkka LeskelÃ¤</t>
  </si>
  <si>
    <t>Rivers of the Asian Highlands</t>
  </si>
  <si>
    <t>Ruth Gamble-Gillian G. Tan-Hongzhang Xu-Sara Beavis-Petra Maurer-Jamie Pittock-John Powers-Robert J. Wasson</t>
  </si>
  <si>
    <t>Systems Thinking for Sustainable Crime Prevention</t>
  </si>
  <si>
    <t>Vania Ceccato-Andy Newton</t>
  </si>
  <si>
    <t>The Muses of Truth and Transformation</t>
  </si>
  <si>
    <t>Allan B. Chinen</t>
  </si>
  <si>
    <t>A Global Environmental History of Coastal Dunes</t>
  </si>
  <si>
    <t>Joana Gaspar de Freitas</t>
  </si>
  <si>
    <t>Chinaâ€™s Modern Economic Statecraft</t>
  </si>
  <si>
    <t>Zhang Xiaotong</t>
  </si>
  <si>
    <t>British Democracy at the Crossroads</t>
  </si>
  <si>
    <t>Patrick Dunleavy-Christopher T. Husbands</t>
  </si>
  <si>
    <t>Engagement with Culture in Transformative Times</t>
  </si>
  <si>
    <t>Susanne Janssen-Nete Kristensen-Marc Verboord</t>
  </si>
  <si>
    <t>Physician Wellness and Resilience</t>
  </si>
  <si>
    <t>Pauline Davies-Cynthia M. Stonnington</t>
  </si>
  <si>
    <t>Citizenship Utopias in the Global South</t>
  </si>
  <si>
    <t>POLITICAL SCIENCE / Utopias</t>
  </si>
  <si>
    <t>Henri Onodera-Martta Kaskinen-Eija Ranta</t>
  </si>
  <si>
    <t>Ladino on the Internet</t>
  </si>
  <si>
    <t>LANGUAGE STUDY / Yiddish</t>
  </si>
  <si>
    <t>Carlos Yebra LÃ³pez</t>
  </si>
  <si>
    <t>Proceedings of the 2024 5th International Conference on Urban Construction and Management Engineering (ICUCME 2024)</t>
  </si>
  <si>
    <t>Zakiah Ahmad-Seyed Mohammadreza Ghadiri-Rita Yi Man Li-Ruiqing Lang</t>
  </si>
  <si>
    <t>Elections in America</t>
  </si>
  <si>
    <t>Kay Lehman Schlozman</t>
  </si>
  <si>
    <t>The Circular Bioeconomy</t>
  </si>
  <si>
    <t>MaÅ‚gorzata Pink-Agnieszka JÃ³zefowska</t>
  </si>
  <si>
    <t>Blue Security in the Indo-Pacific</t>
  </si>
  <si>
    <t>Ian Hall-Troy Lee-Brown-Rebecca Strating</t>
  </si>
  <si>
    <t>Seeing Like a Platform</t>
  </si>
  <si>
    <t>Petter TÃ¶rnberg-Justus Uitermark</t>
  </si>
  <si>
    <t>The Routledge Handbook of Artificial Intelligence and Philanthropy</t>
  </si>
  <si>
    <t>Giuseppe Ugazio-Milos Maricic</t>
  </si>
  <si>
    <t>Archaeological Perspectives on Burial Practices and Societal Change</t>
  </si>
  <si>
    <t>Frida Espolin Norstein-Irene Selsvold</t>
  </si>
  <si>
    <t>Education and the Politics of Memory in Russia and Eastern Europe</t>
  </si>
  <si>
    <t>Sergey Rumyantsev</t>
  </si>
  <si>
    <t>Educational Internationalism in the Cold War</t>
  </si>
  <si>
    <t>Damiano Matasci-RaphaÃ«lle Ruppen Coutaz</t>
  </si>
  <si>
    <t>Boy Says</t>
  </si>
  <si>
    <t>POETRY / American / Hispanic &amp; Latino</t>
  </si>
  <si>
    <t xml:space="preserve"> NÃ©stor Ponce</t>
  </si>
  <si>
    <t>The Diary of Anna Comnena, or The Very Political Adventures of a Transgender Byzantine Princess in African Elevators</t>
  </si>
  <si>
    <t>FICTION / LGBTQ+ / Transgender</t>
  </si>
  <si>
    <t xml:space="preserve"> Tis Kaoru Zamler-Carhart</t>
  </si>
  <si>
    <t>Revelations</t>
  </si>
  <si>
    <t>Brian Rappert</t>
  </si>
  <si>
    <t>Gerichtsrhetorik</t>
  </si>
  <si>
    <t>Marcus Schnetter</t>
  </si>
  <si>
    <t>Reimagining the Silk Roads</t>
  </si>
  <si>
    <t>Julian Henderson-Stephen L. Morgan-Matteo Salonia</t>
  </si>
  <si>
    <t>Die neue Frauenbewegung und der Nationalsozialismus</t>
  </si>
  <si>
    <t>Sina Speit</t>
  </si>
  <si>
    <t>A History of Rhetoric, Sound, and Health and Healing</t>
  </si>
  <si>
    <t>Kristin Marie Bivens</t>
  </si>
  <si>
    <t>Morality Management and Situation Ethics</t>
  </si>
  <si>
    <t>Jan Franciszek Jacko</t>
  </si>
  <si>
    <t>Contemporary Opera in Flux</t>
  </si>
  <si>
    <t>Yayoi U Everett</t>
  </si>
  <si>
    <t>Lakhpati Kisan</t>
  </si>
  <si>
    <t>Anjal Prakash-Ashwini Chhatre-Ganesh Neelam-Sujit G Kumar-Apurva Duddu</t>
  </si>
  <si>
    <t>Sustainability Teaching for Impact</t>
  </si>
  <si>
    <t>Tony Wall-Eva Ã–sterlind-Eva Hallgren</t>
  </si>
  <si>
    <t>A Critical Reconstruction of Evidence-based Practice in Psychology</t>
  </si>
  <si>
    <t>Henrik Berg</t>
  </si>
  <si>
    <t>Arts in Nature with Children and Young People</t>
  </si>
  <si>
    <t>PSYCHOLOGY / Psychotherapy / Child &amp; Adolescent</t>
  </si>
  <si>
    <t>Zoe Moula-Nicola Walshe</t>
  </si>
  <si>
    <t>Mal-Nutrition</t>
  </si>
  <si>
    <t>Emily Yates-Doerr</t>
  </si>
  <si>
    <t>Japanâ€™s Territory Under International Law</t>
  </si>
  <si>
    <t>Masaharu Yanagihara-Atsuko Kanehara</t>
  </si>
  <si>
    <t>Proceedings of the 2024 3rd International Conference on Comprehensive Art and Cultural Communication (CACC 2024)</t>
  </si>
  <si>
    <t>Bootheina Majoul-Abhisarika Prajapati-Sharifah Faizah Syed Mohammed-Mohd Farid Mohd Sharif</t>
  </si>
  <si>
    <t>Proceedings of the International Agriculture Meeting (IAM 2023)</t>
  </si>
  <si>
    <t>Yohana Kusuma Dewi-Nurliza Nurliza-Purnamawati Purnamawati</t>
  </si>
  <si>
    <t>Urban Terrorism in Contemporary Europe</t>
  </si>
  <si>
    <t>Katharina Karcher-Yordanka Dimcheva-Mireya Toribio Medina-Mia Parkes</t>
  </si>
  <si>
    <t>Etudes on the Philosophy of Music</t>
  </si>
  <si>
    <t>Juozas Rimas-Juozas Rimas Jr.</t>
  </si>
  <si>
    <t>Final Frontiers</t>
  </si>
  <si>
    <t>Bernhard Siegert</t>
  </si>
  <si>
    <t>Philosophical Perspectives on Esotericism</t>
  </si>
  <si>
    <t>Olli PitkÃ¤nen</t>
  </si>
  <si>
    <t>Advancing Future-Orientation in Policymaking</t>
  </si>
  <si>
    <t>Vesa Koskimaa-Lauri Rapeli</t>
  </si>
  <si>
    <t>Breaking Points</t>
  </si>
  <si>
    <t>Neely Laurenzo Myers</t>
  </si>
  <si>
    <t>Godâ€™s Other Book</t>
  </si>
  <si>
    <t>Mohammad Salama</t>
  </si>
  <si>
    <t>The Fourth Invasion</t>
  </si>
  <si>
    <t>SOCIAL SCIENCE / Cultural &amp; Ethnic Studies / Caribbean &amp; Latin American Studies</t>
  </si>
  <si>
    <t>Giovanni Batz</t>
  </si>
  <si>
    <t>Cold War Museology</t>
  </si>
  <si>
    <t>Jessica Douthwaite-Holger Nehring-Samuel J.M.M. Alberti</t>
  </si>
  <si>
    <t>Beyond Virtual Production</t>
  </si>
  <si>
    <t>Tully Barnett-Jason Bevan-Cameron Mackness-ZoÃ« Wallin</t>
  </si>
  <si>
    <t>Legal Education Through an Indigenous Lens</t>
  </si>
  <si>
    <t>LAW / Indigenous Law &amp; Legal Systems</t>
  </si>
  <si>
    <t>Nicole Watson-Heather Douglas</t>
  </si>
  <si>
    <t>Life As a Migrant Muslim Woman in Sectarian Northern Ireland</t>
  </si>
  <si>
    <t>Amanda J. Lubit</t>
  </si>
  <si>
    <t>Gender by the Book</t>
  </si>
  <si>
    <t>Julie Fette</t>
  </si>
  <si>
    <t>Citizenship and Genocide Cards</t>
  </si>
  <si>
    <t>Natalie Brinham</t>
  </si>
  <si>
    <t>The Political Economy of Extreme Poverty in Eastern Europe</t>
  </si>
  <si>
    <t>EnikÅ‘ Vincze-Cornel Ban-Sorin Gog-Jon Horgen Friberg</t>
  </si>
  <si>
    <t>Mapping World Anglophone Studies</t>
  </si>
  <si>
    <t>Pavan Kumar Malreddy-Frank Schulze-Engler</t>
  </si>
  <si>
    <t>Innovative Cultural Tourism in European Peripheries</t>
  </si>
  <si>
    <t>Karol Jan Borowiecki-Antonella Fresa-JosÃ© MarÃ­a MartÃ­n Civantos</t>
  </si>
  <si>
    <t>Fiscal Federalism and Diversity Accommodation in Multilevel States: A Comparative Outlook</t>
  </si>
  <si>
    <t>Francisco Javier Romero Caro-Alice Valdesalici</t>
  </si>
  <si>
    <t>Das ethische Mandat von Pflegekammern</t>
  </si>
  <si>
    <t>Andrea Kuhn</t>
  </si>
  <si>
    <t>Children's Lived Experience of Poverty and Vulnerability in Kenya</t>
  </si>
  <si>
    <t>Elizabeth Ngutuku</t>
  </si>
  <si>
    <t>The Translation of Experience</t>
  </si>
  <si>
    <t>Ricarda Vidal-Madeleine Campbell</t>
  </si>
  <si>
    <t>Building Europe Through Education, Building Education Through Europe</t>
  </si>
  <si>
    <t>RaphaÃ«lle Ruppen Coutaz-Simone Paoli</t>
  </si>
  <si>
    <t>A Guide to Providing LGBTQ+ Inclusive Reproductive Health Care</t>
  </si>
  <si>
    <t>MEDICAL / Nursing / Maternity, Perinatal, Women"s Health</t>
  </si>
  <si>
    <t>Mari Greenfield-Kate Luxion-El Molloy-Alice-Amanda Hinton</t>
  </si>
  <si>
    <t>Talking Images</t>
  </si>
  <si>
    <t>Silvia Ferrara-Mattia Cartolano-Ludovica Ottaviano</t>
  </si>
  <si>
    <t>Exploring Creative Wellbeing Frameworks in Context</t>
  </si>
  <si>
    <t>Wenche Torrissen-Helga SynnevÃ¥g LÃ¸voll</t>
  </si>
  <si>
    <t>Formal Methods</t>
  </si>
  <si>
    <t>Andre Platzer-Kristin Yvonne Rozier-Matteo Pradella-Matteo Rossi</t>
  </si>
  <si>
    <t>Mining and Financial Imperialism</t>
  </si>
  <si>
    <t>Timo SÃ¤rkkÃ¤</t>
  </si>
  <si>
    <t>Power and Influence in the Pacific Islands</t>
  </si>
  <si>
    <t>Joanne Wallis-Henrietta McNeill-Michael Rose-Alan Tidwell</t>
  </si>
  <si>
    <t>Peace Education, Religious Discourse, and Scientific Enquiry</t>
  </si>
  <si>
    <t>JarosÅ‚aw Michalski-Monika WoliÅ„ska</t>
  </si>
  <si>
    <t>Hanan Ali, Obaid-Alsayegh, Khulood Mohamed</t>
  </si>
  <si>
    <t>EurSafe2024 Proceedings</t>
  </si>
  <si>
    <t>Mona Giersberg-Franck Meijboom-Bernice Bovenkerk</t>
  </si>
  <si>
    <t>Anatomie und Physiologie der Seele bei Leonardo da Vinci</t>
  </si>
  <si>
    <t>Klaus F. Steinsiepe</t>
  </si>
  <si>
    <t>Regeneration of Complex Capital Goods</t>
  </si>
  <si>
    <t>Joerg R. Seume-Berend Denkena-Philipp Gilge</t>
  </si>
  <si>
    <t>Public Administration in Japan</t>
  </si>
  <si>
    <t>Koichiro Agata-Hiroaki Inatsugu-Hideaki Shiroyama</t>
  </si>
  <si>
    <t>Tratado de CooperaÃ§Ã£o em MatÃ©ria de Patentes (PCT) : Regulamento de ExecuÃ§Ã£o do PCT (texto em vigor a partir de 1 de Julho de 2024).</t>
  </si>
  <si>
    <t>OrganizaÃ§Ã£o Mundial da Propriedade Intelectual</t>
  </si>
  <si>
    <t>Patent Landscape Report: Generative Artificial Intelligence.</t>
  </si>
  <si>
    <t>Tratado de CooperaciÃ³n en Materia de Patentes (PCT) : Reglamento del PCT (texto en vigor desde el 1 de julio de 2024).</t>
  </si>
  <si>
    <t>OrganizaciÃ³n Mundial de la Propiedad Intelectual</t>
  </si>
  <si>
    <t>Vertrag Ã¼ber die internationale Zusammenarbeit auf dem Gebiet des Patentwesens (PCT) : AusfÃ¼hrungsordnung zum Vertrag Ã¼ber die internationale Zusammenarbeit auf dem Gebiet des Patentwesens (in der ab 1. Juli 2024 geltenden Fassung).</t>
  </si>
  <si>
    <t>Weltorganisation fÃ¼r Geistiges Eigentum</t>
  </si>
  <si>
    <t>World Intellectual Property Report 2024: Making Innovation Work for Development.</t>
  </si>
  <si>
    <t>Mapping Innovations: Patents and the Sustainable Development Goals.</t>
  </si>
  <si>
    <t>Guide d'utilisation de la Classification internationale des brevets 2024.</t>
  </si>
  <si>
    <t>TISCs Report 2023: Cultivating Expertise to Empower Local Innovators.</t>
  </si>
  <si>
    <t>Guide to WIPO's Services for Country Code Top-level Domain Registries.</t>
  </si>
  <si>
    <t>Patent Cooperation Treaty (PCT): Regulations Under the PCT (as in Force From July 1, 2024)</t>
  </si>
  <si>
    <t>Guide to the International Patent Classification 2024.</t>
  </si>
  <si>
    <t>Guide du systÃ¨me de Madrid : Enregistrement international des marques en vertu du Protocole de Madrid.</t>
  </si>
  <si>
    <t>GuÃ­a del Sistema de Madrid : Registro internacional de marcas segÃºn el Protocolo de Madrid.</t>
  </si>
  <si>
    <t>Guide to the Madrid System: International Registration of Marks Under the Madrid Protocol.</t>
  </si>
  <si>
    <t>Hague Agreement Concerning the International Registration of Industrial Designs: Common Regulations (as in Force on January 1, 2024), Administrative Instructions (as in Force on April 1, 2022).</t>
  </si>
  <si>
    <t>CatÃ¡logo de la Academia de la OMPI : Programas de enseÃ±anza, formaciÃ³n y fortalecimiento de capacidades para 2024.</t>
  </si>
  <si>
    <t>Catalogue de lâ€™AcadÃ©mie de lâ€™OMPI : Programmes dâ€™enseignement, de formation et de perfectionnement 2024.</t>
  </si>
  <si>
    <t>The WIPO Academy Portfolio: Education, Training and Skills Development Programs 2024.</t>
  </si>
  <si>
    <t>Models of Intellectual Property Governance and Administration.</t>
  </si>
  <si>
    <t>World Intangible Investment Highlights: Better Data for Better Policy.</t>
  </si>
  <si>
    <t>World Intellectual Property Organization-Luiss Business School</t>
  </si>
  <si>
    <t>Closing Innovation and Intellectual Property Diversity Gaps: A Global Literature Review - Economic Research Working Paper No.86.</t>
  </si>
  <si>
    <t>Carpentier, Ã‰lodie-Brant, Jennifer-Bahl, Utsav-Kanellia, Aikaterini</t>
  </si>
  <si>
    <t>Trattato di Cooperazione in Materia di Brevetti (PCT) : Regolamento d'esecuzione del PCT (testo in vigore dal 1Â° Iuglio 2024).</t>
  </si>
  <si>
    <t>Organizzazione Mondiale della ProprietÃ  Intellettuale</t>
  </si>
  <si>
    <t>TraitÃ© de CoopÃ©ration en MatiÃ¨re de Brevets (PCT) : RÃ¨glement dâ€™exÃ©cution du PCT (texte en vigueur Ã  partir du 1er juillet 2024).</t>
  </si>
  <si>
    <t>Organisation Mondiale de la PropriÃ©tÃ© Intellectuelle</t>
  </si>
  <si>
    <t>GuÃ­a de servicios de la OMPI para los registros de dominios de nivel superior correspondientes a cÃ³digos de paÃ­ses.</t>
  </si>
  <si>
    <t>LAW / Computer &amp; Internet</t>
  </si>
  <si>
    <t>Guide des services de lâ€™OMPI Ã  lâ€™intention des offices dâ€™enregistrement de domaines correspondant aux codes de pays.</t>
  </si>
  <si>
    <t>Perspectives nationales : Lâ€™exemple du Luxembourg</t>
  </si>
  <si>
    <t>IA generativa</t>
  </si>
  <si>
    <t>Lâ€™intelligence Artificielle GÃ©nÃ©rative.</t>
  </si>
  <si>
    <t>Generative AI.</t>
  </si>
  <si>
    <t>Madrid Yearly Review 2024 â€“ Executive Summary: The International Registration of Marks.</t>
  </si>
  <si>
    <t>Hague Yearly Review 2024 â€“ Executive Summary: International Registration of Industrial Designs.</t>
  </si>
  <si>
    <t>PCT Yearly Review 2024 â€“ Executive Summary: The International Patent System.</t>
  </si>
  <si>
    <t>Madrid Yearly Review 2024: The International Registrations of Marks.</t>
  </si>
  <si>
    <t>Hague Yearly Review 2024: International Registrations of Industrial Designs.</t>
  </si>
  <si>
    <t>PCT Yearly Review 2024: The International Patent System.</t>
  </si>
  <si>
    <t>Innovation and Intellectual Property Use in the Global Video Game Industry: Economic Research Working Paper No.85.</t>
  </si>
  <si>
    <t>Oguguo, Prince C</t>
  </si>
  <si>
    <t>Heterogeneous Development Paths to Growth and Innovation: The Evolution of the Video Game Industry Across Four Hubs - Economic Research Working Paper No. 84.</t>
  </si>
  <si>
    <t>Ozalp, Hakan</t>
  </si>
  <si>
    <t>The Evolution of the Two-Wheeler Industry: A Comparative Study of Italy, Japan, and India - Economic Research Working Paper No. 83.</t>
  </si>
  <si>
    <t>BUSINESS &amp; ECONOMICS / Industries / Automobile Industry</t>
  </si>
  <si>
    <t>Aversa, Paolo</t>
  </si>
  <si>
    <t>Innovation Complexity in AgTech: The Case of Brazil, Kenya and the United States of America - Economic Research Working Paper No. 82.</t>
  </si>
  <si>
    <t>Hamdan-Livramento, Intan-Graff, Gregory D.-Daly, Alica</t>
  </si>
  <si>
    <t>Can We Map Innovation Capabilities?: Economic Research Working Paper No.81.</t>
  </si>
  <si>
    <t>Moscatelli, Federico-Chacua, Christian-Matha, Shreyas Gadgin-Hartog, MattÃ©-Hernandez Rodriguez, Eduardo-Raffo, Julio-Yildirim, Muhammed A.</t>
  </si>
  <si>
    <t>Global Trends in Innovation Patterns: A Complexity Approach - Economic Research Working Paper No. 80.</t>
  </si>
  <si>
    <t>Hausmann, Ricardo-Yildirim, Muhammed A.-Chacua, Christian-Hartog, Matte-Matha, Shreyas Gadgin</t>
  </si>
  <si>
    <t>Innovation Policies Under Economic Complexity: Economic Research Working Paper No.79.</t>
  </si>
  <si>
    <t>Hausmann, Ricardo-Yildirim, Muhammed A.,-Chacua, Christian-Hartog, Matte-Matha, Shreyas Gadgin</t>
  </si>
  <si>
    <t>IA generativa : CÃ³mo abordar la propiedad intelectual.</t>
  </si>
  <si>
    <t>Lâ€™IA gÃ©nÃ©rative : Saisir les enjeux en matiÃ¨re de propriÃ©tÃ© intellectuelle.</t>
  </si>
  <si>
    <t>Country Perspectives: TÃ¼rkiyeâ€™s Journey.</t>
  </si>
  <si>
    <t>Revista da OMPI : PI e os ODS.</t>
  </si>
  <si>
    <t>Revista de la OMPI : La OMPI y los ODS.</t>
  </si>
  <si>
    <t>Magazine de l'OMPI : PropriÃ©tÃ© intellectuelle et ODD.</t>
  </si>
  <si>
    <t>WIPO Magazine: IP and the SDGs.</t>
  </si>
  <si>
    <t>Access to Science and Innovation in the Developing World: Economic Research Working Paper No.78.</t>
  </si>
  <si>
    <t>Cuntz, Alexander-Mueller-Langer, Frank-Muscarnera, Alessio-Oguguo, Prince C.,-Scheufen, Marc, author.</t>
  </si>
  <si>
    <t>Contracts in Publishing: A Toolkit for Authors and Publishers.</t>
  </si>
  <si>
    <t>Invenciones de la IA : DiÃ¡logo de la OMPI - Propiedad intelectual (PI) y tecnologÃ­as de vanguardia.</t>
  </si>
  <si>
    <t>Inventions fondÃ©es sur lâ€™intelligence artificielle : Dialogue de lâ€™OMPI - La propriÃ©tÃ© intellectuelle et les technologies de pointe.</t>
  </si>
  <si>
    <t>WIPO International Patent Drafting Training Program.</t>
  </si>
  <si>
    <t>Artificial Intelligence and Intellectual Property: An Economic Perspective - Economic Research Working Paper No. 77.</t>
  </si>
  <si>
    <t>Cuntz, Alexander-Fink, Carsten-Stamm, Hansueli</t>
  </si>
  <si>
    <t>AI Inventions: WIPO Conversation - IP and Frontier Technologies.</t>
  </si>
  <si>
    <t>Generative AI: Navigating Intellectual Property - IP and Frontier Technologies Factsheet.</t>
  </si>
  <si>
    <t>Estrategia de la OMPI en relaciÃ³n con las Patentes Esenciales para Cumplir con las Normas TÃ©cnicas 2024 â€“ 2026.</t>
  </si>
  <si>
    <t>StratÃ©gie de lâ€™OMPI sur les brevets essentiels Ã  des normes 2024â€“2026.</t>
  </si>
  <si>
    <t>WIPO Strategy on Standard Essential Patents 2024â€“2026.</t>
  </si>
  <si>
    <t>PrÃ©parer lâ€™Ã©cosystÃ¨me de lâ€™innovation Ã  lâ€™intelligence artificielle : Guide relatif aux politiques de propriÃ©tÃ© intellectuelle.</t>
  </si>
  <si>
    <t>Getting the Innovation Ecosystem Ready for AI: An IP Policy Toolkit.</t>
  </si>
  <si>
    <t>Country Perspectives: Luxembourgâ€™s Journey.</t>
  </si>
  <si>
    <t>IntroducciÃ³n al marco jurÃ­dico internacional de la propiedad intelectual.</t>
  </si>
  <si>
    <t>Burley, Stephen</t>
  </si>
  <si>
    <t>Arreglo de La Haya relativo al registro internacional de dibujos y modelos industriales : Reglamento ComÃºn (texto en vigor el 1 de enero de 2024) / Instrucciones Administrativas (texto en vigor el 1 de abril de 2022).</t>
  </si>
  <si>
    <t>Arrangement de La Haye concernant l'enregistrement international des dessins et modÃ¨les industriels : RÃ¨glement dâ€™exÃ©cution commun (texte en vigueur le 1er janvier 2024), Instructions administratives (texte en vigueur le 1er avril 2022).</t>
  </si>
  <si>
    <t>Country Perspectives: Chinaâ€™s Journey.</t>
  </si>
  <si>
    <t>Incentives in Technology Transfer: A Guide to Encourage, Recognize and Reward Researchers and Professionals.</t>
  </si>
  <si>
    <t>Challenges in Information, Communication and Computing Technology</t>
  </si>
  <si>
    <t>V. Sharmila-S. Kannadhasan-A. Rajiv Kannan-P. Sivakumar-V. Vennila</t>
  </si>
  <si>
    <t>The Transformative Politics of Music Education</t>
  </si>
  <si>
    <t>Tuulikki Laes-Gert Biesta-Heidi Westerlund</t>
  </si>
  <si>
    <t>East Central Europe Since 1989</t>
  </si>
  <si>
    <t>Sabrina P. Ramet-Lavinia Stan</t>
  </si>
  <si>
    <t>40 Years of the United Nations Convention on the Law of the Sea</t>
  </si>
  <si>
    <t>Tomasz KamiÅ„ski-Karol Karski</t>
  </si>
  <si>
    <t>Critical ICT4D (Information and Communication Technologies for Development)</t>
  </si>
  <si>
    <t>Azadeh Akbari-Silvia Masiero</t>
  </si>
  <si>
    <t>The Moral Lessons of Chemsex</t>
  </si>
  <si>
    <t>SOCIAL SCIENCE / LGBTQ+ Studies / Gay Studies</t>
  </si>
  <si>
    <t>Maurice Nagington</t>
  </si>
  <si>
    <t>The Maya Forest Waterlands</t>
  </si>
  <si>
    <t>Hanna Laako-Edith Kauffer</t>
  </si>
  <si>
    <t>Cooperation and Confrontation in Nordic Civil Societies Since 1800</t>
  </si>
  <si>
    <t>Sunniva Engh-Ruth Hemstad-Mads Mordhorst</t>
  </si>
  <si>
    <t>The Museum Accessibility Spectrum</t>
  </si>
  <si>
    <t>Alison F. Eardley-Vanessa E. Jones</t>
  </si>
  <si>
    <t>Education and Learning for Sustainable Futures</t>
  </si>
  <si>
    <t>Thomas Macintyre-Daniella Tilbury-Arjen Wals</t>
  </si>
  <si>
    <t>Creativity in Military Complexity</t>
  </si>
  <si>
    <t>Cara Wrigley-Murray Simons</t>
  </si>
  <si>
    <t>Dismantling Barriers and Advancing the Right of Persons with Disabilities to Participate in Cultural Life</t>
  </si>
  <si>
    <t>Delia Ferri-Ann Leahy</t>
  </si>
  <si>
    <t>Beyond Perception</t>
  </si>
  <si>
    <t>Caroline Gatt-Jan Peter Laurens Loovers</t>
  </si>
  <si>
    <t>Democracy and Media in Europe</t>
  </si>
  <si>
    <t>Nico Carpentier-Jeffrey Wimmer</t>
  </si>
  <si>
    <t>Youth Voice and Participatory Arts in Global Development</t>
  </si>
  <si>
    <t>The May Group</t>
  </si>
  <si>
    <t>Systemic Service Design</t>
  </si>
  <si>
    <t>Mari Suoheimo-Peter Jones-Sheng-Hung Lee-Birger Sevaldson</t>
  </si>
  <si>
    <t>The Routledge International Handbook of Engineering Ethics Education</t>
  </si>
  <si>
    <t>Shannon Chance-Tom BÃ¸rsen-Diana Adela Martin-Roland Tormey-Thomas Taro Lennerfors-Gunter Bombaerts</t>
  </si>
  <si>
    <t>Digitalization and Sustainable Manufacturing</t>
  </si>
  <si>
    <t>Sverre Gulbrandsen-Dahl-Heidi C. Dreyer-Einar L. Hinrichsen-Halvor Holtskog-Kristian Martinsen-HÃ¥kon Raabe-Gabor Sziebig</t>
  </si>
  <si>
    <t>From Risk Profiling to Enterprise Resilience</t>
  </si>
  <si>
    <t>BUSINESS &amp; ECONOMICS / Insurance / Risk Assessment &amp; Management</t>
  </si>
  <si>
    <t>Sylwia BÄ…k-Piotr Jedynak</t>
  </si>
  <si>
    <t>Disability Studies Meets Microhistory</t>
  </si>
  <si>
    <t>GuÃ°rÃºn ValgerÃ°ur StefÃ¡nsdÃ³ttir-SÃ³lveig Ã“lafsdÃ³ttir-SigurÃ°ur Gylfi MagnÃºsson</t>
  </si>
  <si>
    <t>Media Tactics in the Long Twentieth Century</t>
  </si>
  <si>
    <t>Marie Cronqvist-Fredrik Mohammadi NorÃ©n-Emil Stjernholm</t>
  </si>
  <si>
    <t>Citizen Rights, Migrant Rights and Civic Stratification</t>
  </si>
  <si>
    <t>Lydia Morris</t>
  </si>
  <si>
    <t>Practices, Education and Technology in Audiovisual Translation</t>
  </si>
  <si>
    <t>Alejandro BolaÃ±os GarcÃ­a-Escribano</t>
  </si>
  <si>
    <t>Mining and Indigenous Livelihoods</t>
  </si>
  <si>
    <t>Thierry Rodon-Sophie ThÃ©riault-Arn Keeling-SÃ©verine Bouard-Andrew Taylor</t>
  </si>
  <si>
    <t>Rethinking Modern Austrian Art Beyond the Metropolis</t>
  </si>
  <si>
    <t>Julia Secklehner</t>
  </si>
  <si>
    <t>Feminists Talk Whiteness</t>
  </si>
  <si>
    <t>Leigh-Anne Francis-Janet Gray</t>
  </si>
  <si>
    <t>Patterns of Inclusion</t>
  </si>
  <si>
    <t>Elisabeth Kelan</t>
  </si>
  <si>
    <t>Nordic Peace in Question</t>
  </si>
  <si>
    <t>Christopher S. Browning-Marko Lehti-Johan Strang</t>
  </si>
  <si>
    <t>Intersectional Feminist Research Methodologies</t>
  </si>
  <si>
    <t>Jennifer Cooke-Line Nyhagen</t>
  </si>
  <si>
    <t>Effective Financial Communication</t>
  </si>
  <si>
    <t>Christian Pieter Hoffmann-Nadine StrauÃŸ</t>
  </si>
  <si>
    <t>Rethinking the Concept of Waste and Mass Consumption</t>
  </si>
  <si>
    <t>Richard Waite</t>
  </si>
  <si>
    <t>Gender Imbalance and Marriage Squeeze in China</t>
  </si>
  <si>
    <t>Quanbao Jiang-Shuzhuo Li</t>
  </si>
  <si>
    <t>Industrial Clusters in International Value Chains</t>
  </si>
  <si>
    <t>Joanna Bohatkiewicz-Czaicka-Marta Gancarczyk</t>
  </si>
  <si>
    <t>The Emergence of the Korean Art Collector and the Korean Art Market</t>
  </si>
  <si>
    <t>Charlotte Horlyck</t>
  </si>
  <si>
    <t>Virtue Ethics and the Environment</t>
  </si>
  <si>
    <t>Dominika Dzwonkowska</t>
  </si>
  <si>
    <t>The Routledge Companion to Global Photographies</t>
  </si>
  <si>
    <t>PHOTOGRAPHY / General</t>
  </si>
  <si>
    <t>Lucy Soutter-Duncan Wooldridge</t>
  </si>
  <si>
    <t>Popular Music and the Rise of Populism in Europe</t>
  </si>
  <si>
    <t>Mario Dunkel-Melanie Schiller</t>
  </si>
  <si>
    <t>English Medium Instruction in South Korea</t>
  </si>
  <si>
    <t>Jiye Hong-Helen Basturkmen</t>
  </si>
  <si>
    <t>Europeans and the Media</t>
  </si>
  <si>
    <t>Andrea Miconi</t>
  </si>
  <si>
    <t>Business School Internationalisation in a Changing World</t>
  </si>
  <si>
    <t>Matthew Wood</t>
  </si>
  <si>
    <t>A Queer Reading of Nawabi Architecture and the Colonial Archive</t>
  </si>
  <si>
    <t>Sonal Mithal-Arul Paul</t>
  </si>
  <si>
    <t>Precarity Activism</t>
  </si>
  <si>
    <t>Maribel Casas-CortÃ©s</t>
  </si>
  <si>
    <t>Intelligent Computing for Cultural Heritage</t>
  </si>
  <si>
    <t>Xiaoguang Wang-Marcia Lei Zeng-Jin Gao-Ke Zhao</t>
  </si>
  <si>
    <t>Everyday Urban Practices in Africa</t>
  </si>
  <si>
    <t>Nadine Appelhans-Carmel Rawhani-Marie Huchzermeyer-Basirat Oyalowo-Mfaniseni Fana Sihlongonyane</t>
  </si>
  <si>
    <t>Craft and Design Practice From an Embodied Perspective</t>
  </si>
  <si>
    <t>Nithikul Nimkulrat-Camilla Groth</t>
  </si>
  <si>
    <t>Doing Feminist Urban Research</t>
  </si>
  <si>
    <t>Linda Peake-Nasya S. Razavi-Araby Smyth</t>
  </si>
  <si>
    <t>Social Justice Innovation in Africa</t>
  </si>
  <si>
    <t>Viljam EngstrÃ¶m-Maija Mustaniemi-Laakso-Laura Stark</t>
  </si>
  <si>
    <t>Populism and Conspiracy Theory</t>
  </si>
  <si>
    <t>SOCIAL SCIENCE / Conspiracy Theories</t>
  </si>
  <si>
    <t>Michael Butter-Katerina Hatzikidi-Constanze Jeitler-Giacomo Loperfido-Lili Turza</t>
  </si>
  <si>
    <t>Law, Society and Corruption</t>
  </si>
  <si>
    <t>Rustamjon Urinboyev-MÃ¥ns Svensson</t>
  </si>
  <si>
    <t>Creating Empowering Environments for People with Dementia</t>
  </si>
  <si>
    <t>HEALTH &amp; FITNESS / Diseases &amp; Conditions / Alzheimer"s &amp; Dementia</t>
  </si>
  <si>
    <t>Kevin Charras-Eef Hogervorst-Sarah Wallcook-Saskia Kuliga-Bob Woods</t>
  </si>
  <si>
    <t>Children, Media, and Pandemic Parenting</t>
  </si>
  <si>
    <t>Rebekah Willett-Xinyu Zhao</t>
  </si>
  <si>
    <t>Human Sustainability and Cognitive Overload at Work</t>
  </si>
  <si>
    <t>Alexander D. Stajkovic-Kayla S. Stajkovic</t>
  </si>
  <si>
    <t>The Struggle for Abolition</t>
  </si>
  <si>
    <t>KjÃ¸lv Egeland</t>
  </si>
  <si>
    <t>How Europeans Understand Solidarity, Reciprocity and Fairness in the EU</t>
  </si>
  <si>
    <t>BjÃ¶rn Egner-Hubert Heinelt-Jens Steffek</t>
  </si>
  <si>
    <t>Inside Asylum Appeals</t>
  </si>
  <si>
    <t>Nick Gill-Nicole Hoellerer-Jessica Hambly-Daniel Fisher</t>
  </si>
  <si>
    <t>Humanitarian Aid and Empowerment of Ukrainian Refugees</t>
  </si>
  <si>
    <t>Dorota MoroÅ„-MaÅ‚gorzata Madej-Judit Csoba</t>
  </si>
  <si>
    <t>Digital Culture and the Hermeneutic Tradition</t>
  </si>
  <si>
    <t>Inge van de Ven-Lucie Chateau</t>
  </si>
  <si>
    <t>Freedom and Adaptive Preferences</t>
  </si>
  <si>
    <t>Carl Christian von WeizsÃ¤cker</t>
  </si>
  <si>
    <t>Oral History at a Distance</t>
  </si>
  <si>
    <t>Steven Sielaff-Stephen M. Sloan-Adrienne A. Cain Darough-Michelle Holland</t>
  </si>
  <si>
    <t>Circular Economy Realities</t>
  </si>
  <si>
    <t>Pauline Deutz-Walter J.V. Vermeulen-Rupert J. Baumgartner-TomÃ¡s B. Ramos-Andrea Raggi</t>
  </si>
  <si>
    <t>Critically Assessing the Reputation of Waldorf Education in Academia and the Public: Recent Developments the World Over, 1987â€“2004</t>
  </si>
  <si>
    <t>Ann-Kathrin Hoffmann-Marc Fabian Buck</t>
  </si>
  <si>
    <t>Understanding Public Debates</t>
  </si>
  <si>
    <t>Jens Martin Gurr</t>
  </si>
  <si>
    <t>The Routledge Handbook of Philosophy of Scientific Modeling</t>
  </si>
  <si>
    <t>Tarja Knuuttila-Natalia Carrillo-Rami Koskinen</t>
  </si>
  <si>
    <t>Achieving Global Open Access</t>
  </si>
  <si>
    <t>Stephen Pinfield</t>
  </si>
  <si>
    <t>Unbound Queer Time in Literature, Cinema, and Video Games</t>
  </si>
  <si>
    <t>Juan Francisco Belmonte Ãvila-EstÃ­baliz EncarnaciÃ³n-Pinedo</t>
  </si>
  <si>
    <t>Crowdsourcing in Management Research</t>
  </si>
  <si>
    <t>Regina Lenart-Gansiniec</t>
  </si>
  <si>
    <t>Utopian and Dystopian Explorations of Pandemics and Ecological Breakdown</t>
  </si>
  <si>
    <t>Heather Alberro-Emrah Atasoy-Nora Castle-Rhiannon Firth-Conrad Scott</t>
  </si>
  <si>
    <t>Matteo Ricci and the Missionary Role in the Evolution of Chinese Lexicon</t>
  </si>
  <si>
    <t>Zhao Ming</t>
  </si>
  <si>
    <t>The International Working Group on Women and Sport 1994-2024</t>
  </si>
  <si>
    <t>Elizabeth C.J. Pike</t>
  </si>
  <si>
    <t>Famines and the Making of Heritage</t>
  </si>
  <si>
    <t>MarguÃ©rite Corporaal-Ingrid de Zwarte</t>
  </si>
  <si>
    <t>International Perspectives on Museum Management</t>
  </si>
  <si>
    <t>Darko Babic</t>
  </si>
  <si>
    <t>IntroducciÃ³n a la literatura hispanofilipina</t>
  </si>
  <si>
    <t>RocÃ­o OrtuÃ±o Casanova-Beatriz Ãlvarez-TardÃ­o-Axel Gasquet-Jorge Mojarro-Emmanuelle Sinardet</t>
  </si>
  <si>
    <t>The Seven Virtues of Highly Compassionate People</t>
  </si>
  <si>
    <t>Nancy Guerra-Kirk R. Williams</t>
  </si>
  <si>
    <t>Youth in Post-Apartheid South Africa</t>
  </si>
  <si>
    <t>Acheampong Yaw Amoateng-Elizabeth Biney</t>
  </si>
  <si>
    <t>Small States in EU Policy-Making</t>
  </si>
  <si>
    <t>Anna-Lena HÃ¶genauer-MatÃºÅ¡ MiÅ¡Ã­k</t>
  </si>
  <si>
    <t>Data-Driven Innovation in the Creative Industries</t>
  </si>
  <si>
    <t>Melissa Terras-Vikki Jones-Nicola Osborne-Chris Speed</t>
  </si>
  <si>
    <t>Media, Place and Tourism</t>
  </si>
  <si>
    <t>Stijn Reijnders-Emiel Martens-Deborah Castro-DÃ©bora PÃ³voa-Apoorva Nanjangud-Rosa Schiavone</t>
  </si>
  <si>
    <t>Digitization, Trust and SMEs</t>
  </si>
  <si>
    <t>Anna WziÄ…tek-StaÅ›ko-Karolina PobiedziÅ„ska</t>
  </si>
  <si>
    <t>Switching Diplomatic Recognition Between Taiwan and China</t>
  </si>
  <si>
    <t>Chien-Huei Wu</t>
  </si>
  <si>
    <t>Surges in Party Membership</t>
  </si>
  <si>
    <t>Lynn Bennie-James Mitchell-Robert Johns</t>
  </si>
  <si>
    <t>Participatory Democratic Innovations in Southeast Europe</t>
  </si>
  <si>
    <t>Irena Fiket-ÄŒedomir Markov-Vujo IliÄ‡-Gazela Pudar DraÅ¡ko</t>
  </si>
  <si>
    <t>Scrutinising Polarisation</t>
  </si>
  <si>
    <t>Tomas Berglund-Ylva Ulfsdotter Eriksson</t>
  </si>
  <si>
    <t>Critically Assessing the Reputation of Waldorf Education in Academia and the Public: Early Endeavours of Expansion, 1919â€“1955</t>
  </si>
  <si>
    <t>Corporate Social Responsibility and the Supply Chain</t>
  </si>
  <si>
    <t>Monika Jedynak</t>
  </si>
  <si>
    <t>Practicing Embodied Thinking in Research and Learning</t>
  </si>
  <si>
    <t>Donata Schoeller-Sigridur Thorgeirsdottir-Greg Walkerden</t>
  </si>
  <si>
    <t>Contemporary Chinese Novels in Translation Since 1978</t>
  </si>
  <si>
    <t>Yun Wu</t>
  </si>
  <si>
    <t>Social Processes of Online Hate</t>
  </si>
  <si>
    <t>COMPUTERS / Internet / General</t>
  </si>
  <si>
    <t>Joseph B. Walther-Ronald E. Rice</t>
  </si>
  <si>
    <t>Embodied Learning and Teaching Using the 4E Cognition Approach</t>
  </si>
  <si>
    <t>Theresa Schilhab-Camilla Groth</t>
  </si>
  <si>
    <t>Dutch Neorealism, Cinema, and the Politics of Painting, 1927â€“1945</t>
  </si>
  <si>
    <t>Stephanie Lebas Huber</t>
  </si>
  <si>
    <t>Delivering Effective Adventure Therapy</t>
  </si>
  <si>
    <t>Michael A. Gass</t>
  </si>
  <si>
    <t>Time and Causality in Early Modern Drama</t>
  </si>
  <si>
    <t>Linc Kesler</t>
  </si>
  <si>
    <t>The Memory Politics of the Cursed Soldiers in Poland</t>
  </si>
  <si>
    <t>Krzysztof JaskuÅ‚owski-Piotr Majewski</t>
  </si>
  <si>
    <t>Germany, France and Postwar Democratic Capitalism</t>
  </si>
  <si>
    <t>FranÃ§ois Godard</t>
  </si>
  <si>
    <t>Philosophies of Catholic Education</t>
  </si>
  <si>
    <t>James Arthur</t>
  </si>
  <si>
    <t>Political Beliefs</t>
  </si>
  <si>
    <t>Oliver Traldi</t>
  </si>
  <si>
    <t>The Gender Binary and the Invention of Race</t>
  </si>
  <si>
    <t>Sally Markowitz</t>
  </si>
  <si>
    <t>Political Behaviour in Contemporary Finland</t>
  </si>
  <si>
    <t>Ã…sa von Schoultz-Kim Strandberg</t>
  </si>
  <si>
    <t>Regional Cooperation and Resilience in East Asia</t>
  </si>
  <si>
    <t>Sebastian Bobowski</t>
  </si>
  <si>
    <t>The Ethics of National Security Intelligence Institutions</t>
  </si>
  <si>
    <t>Adam Henschke-Seumas Miller-Andrew Alexandra-Patrick F. Walsh-Roger Bradbury</t>
  </si>
  <si>
    <t>Regional Policy in the Southern African Development Community</t>
  </si>
  <si>
    <t>J. Ernst Drewes-Mariske van Aswegen</t>
  </si>
  <si>
    <t>Education, Parenting, and Mental Health Care in Europe</t>
  </si>
  <si>
    <t>Nicolas Marquis</t>
  </si>
  <si>
    <t>The Experience of Translation</t>
  </si>
  <si>
    <t>Madeleine Campbell-Ricarda Vidal</t>
  </si>
  <si>
    <t>Methodological Individualism</t>
  </si>
  <si>
    <t>Nathalie Bulle</t>
  </si>
  <si>
    <t>Theories of Change in Reality</t>
  </si>
  <si>
    <t>Andrew Koleros-Marie-HÃ©lÃ¨ne Adrien-Tony Tyrrell</t>
  </si>
  <si>
    <t>The Clean Hydrogen Economy and Saudi Arabia</t>
  </si>
  <si>
    <t>Rami Shabaneh-Jitendra Roychoudhury-Jan Frederik Braun-Saumitra Saxena</t>
  </si>
  <si>
    <t>Thirty Years After the Berlin Wall</t>
  </si>
  <si>
    <t>Ayline Heller-Peter Schmidt</t>
  </si>
  <si>
    <t>Viral Times</t>
  </si>
  <si>
    <t>Jaime GarcÃ­a-Iglesias-Maurice Nagington-Peter Aggleton</t>
  </si>
  <si>
    <t>Engaged Decision Making</t>
  </si>
  <si>
    <t>EtiÃ«nne A. J. A. Rouwette-L. Alberto Franco</t>
  </si>
  <si>
    <t>Germany and Nuclear Weapons in the 21st Century</t>
  </si>
  <si>
    <t>Ulrich KÃ¼hn</t>
  </si>
  <si>
    <t>Culturally Responsive and Sustaining Science Teaching</t>
  </si>
  <si>
    <t>Elaine V. Howes-Jamie Wallace</t>
  </si>
  <si>
    <t>The Self, Civic Virtue, and Public Life</t>
  </si>
  <si>
    <t>Nancy E. Snow</t>
  </si>
  <si>
    <t>Supermajorities in Constitutional Courts</t>
  </si>
  <si>
    <t>Mauro Arturo Rivera LeÃ³n</t>
  </si>
  <si>
    <t>Public International Law</t>
  </si>
  <si>
    <t>SuÃ© GonzÃ¡lez Hauck-Raffaela Kunz-Max Milas</t>
  </si>
  <si>
    <t>Global Governance and International Cooperation</t>
  </si>
  <si>
    <t>Richard Falk-Augusto Lopez-Claros</t>
  </si>
  <si>
    <t>Xueqin and Xakespeare</t>
  </si>
  <si>
    <t>LITERARY CRITICISM / Shakespeare</t>
  </si>
  <si>
    <t>Judith Forsyth</t>
  </si>
  <si>
    <t>Black Womenâ€™s Stories of Everyday Racism</t>
  </si>
  <si>
    <t>Simone Drake-James Phelan-Robyn Warhol-Lisa Zunshine</t>
  </si>
  <si>
    <t>Vaccine Hesitancy in the Nordic Countries</t>
  </si>
  <si>
    <t>Lars Borin-Mia-Marie Hammarlin-Dimitrios Kokkinakis-Fredrik Miegel</t>
  </si>
  <si>
    <t>Associative Governance in Scandinavia</t>
  </si>
  <si>
    <t>Anker Brink Lund-Haldor Byrkjeflot-SÃ¸ren Christensen</t>
  </si>
  <si>
    <t>Edgar H. Schein</t>
  </si>
  <si>
    <t>David Coghlan</t>
  </si>
  <si>
    <t>Parliaments in the Late Russian Empire, Revolutionary Russia, and the Soviet Union</t>
  </si>
  <si>
    <t>POLITICAL SCIENCE / World / Russian &amp; Soviet</t>
  </si>
  <si>
    <t>Ivan Sablin</t>
  </si>
  <si>
    <t>Method, Methodology and Research Design in Artistic Research</t>
  </si>
  <si>
    <t>PSYCHOLOGY / Research &amp; Methodology</t>
  </si>
  <si>
    <t>Falk HÃ¼bner</t>
  </si>
  <si>
    <t>Pandemics, Public Health, and the Regulation of Borders</t>
  </si>
  <si>
    <t>Colleen M. Flood-Y.Y. Brandon Chen-Raywat Deonandan-Sam Halabi-Sophie ThÃ©riault</t>
  </si>
  <si>
    <t>Implementing International Environmental Law and Policy</t>
  </si>
  <si>
    <t>Joanna Miller Smallwood</t>
  </si>
  <si>
    <t>Politicisation, Democratisation and EU Identity</t>
  </si>
  <si>
    <t>Claudia Wiesner</t>
  </si>
  <si>
    <t>How Citizens View Science Communication</t>
  </si>
  <si>
    <t>Carolina Moreno-Castro-Aneta KrzewiÅ„ska-MaÅ‚gorzata DzimiÅ„ska</t>
  </si>
  <si>
    <t>Mind Museums</t>
  </si>
  <si>
    <t>Francesca Lanz</t>
  </si>
  <si>
    <t>Crusade: The Uses of a Word From the Middle Ages to the Present</t>
  </si>
  <si>
    <t>Benjamin Weber</t>
  </si>
  <si>
    <t>Bodies and Boundaries of UK Bear Spaces</t>
  </si>
  <si>
    <t>Nick McGlynn</t>
  </si>
  <si>
    <t>Planning and Analyzing Teaching</t>
  </si>
  <si>
    <t>Angelika Kullberg-Ã…ke Ingerman-Ference Marton</t>
  </si>
  <si>
    <t>The Global Politics of Census Taking</t>
  </si>
  <si>
    <t>Walter Bartl-Christian Suter-Alberto Veira-Ramos</t>
  </si>
  <si>
    <t>The Sociology of Translation and the Politics of Sustainability</t>
  </si>
  <si>
    <t>John Ã˜demark-Ã…mund Norum ReslÃ¸kken-Ida Lillehagen-Eivind Engebretsen</t>
  </si>
  <si>
    <t>Creative Work</t>
  </si>
  <si>
    <t>ART / Business Aspects</t>
  </si>
  <si>
    <t>Erika Andersson Cederholm-Katja Lindqvist-Ida de Wit SandstrÃ¶m-Philip Warkander</t>
  </si>
  <si>
    <t>Magnus the Lawmenderâ€™s Laws of the Land</t>
  </si>
  <si>
    <t>JÃ³hanna KatrÃ­n FriÃ°riksdÃ³ttir</t>
  </si>
  <si>
    <t>The Routledge Companion to Global Renaissance Art</t>
  </si>
  <si>
    <t>Stephen J. Campbell-Stephanie Porras</t>
  </si>
  <si>
    <t>How the World Hunger Problem Was Not Solved</t>
  </si>
  <si>
    <t>HISTORY / Africa / East</t>
  </si>
  <si>
    <t>Christian Gerlach</t>
  </si>
  <si>
    <t>Monastic Women and Secular Economy in Later Medieval Europe, Ca. 1200 to 1500</t>
  </si>
  <si>
    <t>Annalena MÃ¼ller</t>
  </si>
  <si>
    <t>The Chobanids of Kastamonu</t>
  </si>
  <si>
    <t>Bruno De Nicola</t>
  </si>
  <si>
    <t>Managing Sustainable Luxury and Digitalization</t>
  </si>
  <si>
    <t>Mario D. Schultz-Peter Seele</t>
  </si>
  <si>
    <t>Anna-daan, Food Charity in India</t>
  </si>
  <si>
    <t>K.V. Raju-S. Manasi</t>
  </si>
  <si>
    <t>Digital Transformation in Educational Organizations</t>
  </si>
  <si>
    <t>PaweÅ‚ Poszytek</t>
  </si>
  <si>
    <t>European Media Systems for Deliberative Communication</t>
  </si>
  <si>
    <t>Zrinjka PeruÅ¡ko</t>
  </si>
  <si>
    <t>Sensitivity Analysis for Business, Technology, and Policymaking</t>
  </si>
  <si>
    <t>BUSINESS &amp; ECONOMICS / Decision-Making &amp; Problem Solving</t>
  </si>
  <si>
    <t>Mariia Kozlova-Julian Scott Yeomans</t>
  </si>
  <si>
    <t>Decoding the Court: Legal Data Insights From the Supreme Court of Canada</t>
  </si>
  <si>
    <t>Wolfgang Alschner-Vanessa MacDonnell-Carissima Mathen</t>
  </si>
  <si>
    <t>The Australian Horn of Plenty</t>
  </si>
  <si>
    <t>Reg Hamilton</t>
  </si>
  <si>
    <t>Querying Childhood</t>
  </si>
  <si>
    <t>Mary E. John-Barbara Lotz-Elisabeth SchÃ¶mbucher</t>
  </si>
  <si>
    <t>Disabling Migration Controls</t>
  </si>
  <si>
    <t>Rebecca Yeo</t>
  </si>
  <si>
    <t>Unequal Security</t>
  </si>
  <si>
    <t>Peter Starke-Laust Lund Elbek-Georg Wenzelburger</t>
  </si>
  <si>
    <t>Cervantine Blackness</t>
  </si>
  <si>
    <t>Nicholas R. Jones</t>
  </si>
  <si>
    <t>Routledge Handbook of Contemporary Sri Lanka</t>
  </si>
  <si>
    <t>REFERENCE / General</t>
  </si>
  <si>
    <t>Kanchana N. Ruwanpura-Amjad Mohamed Saleem</t>
  </si>
  <si>
    <t>Portugal in the 21st Century</t>
  </si>
  <si>
    <t>Nuno Monteiro-PatrÃ­cia Silva-Pedro C. MagalhÃ£es</t>
  </si>
  <si>
    <t>The Uprising of Women in Philanthropy</t>
  </si>
  <si>
    <t>Ndana Bofu-Tawamba-Ruby Bright-Stephanie Clohesy-Christine Grumm-Musimbi Kanyoro-Helen LaKelly Hunt-Ana Oliveira-Laura Risimini-Jane Sloane-Jessica Tomlin</t>
  </si>
  <si>
    <t>Ibsen and Degeneration</t>
  </si>
  <si>
    <t>Henrik Johnsson</t>
  </si>
  <si>
    <t>Histories of Urban Planning and Political Power</t>
  </si>
  <si>
    <t>Victoria Grau-Max Welch Guerra</t>
  </si>
  <si>
    <t>Histories of Sensibilities</t>
  </si>
  <si>
    <t>Isabel Burdiel-Ester GarcÃ­a MoscardÃ³-Elena Serrano</t>
  </si>
  <si>
    <t>Frontier Thinking and Human-Nature Relations</t>
  </si>
  <si>
    <t>The Modern Psychiatristâ€™s Guide to Contemporary Practice</t>
  </si>
  <si>
    <t>Novelty, Innovation and Transformation in Educational Ethnographic Research</t>
  </si>
  <si>
    <t>JÃ¼rgen Budde-Anke Wischmann-Georg RiÃŸler-Michael Meier-Sternberg</t>
  </si>
  <si>
    <t>Linking Ages</t>
  </si>
  <si>
    <t>Anna Wanka-Tabea Freutel-Funke-Sabine Andresen-Frank Oswald</t>
  </si>
  <si>
    <t>Women and the Sikh Diaspora in California</t>
  </si>
  <si>
    <t>Nicole Ranganath</t>
  </si>
  <si>
    <t>The Routledge Handbook on Meaningful Stakeholder Engagement</t>
  </si>
  <si>
    <t>Karin Buhmann-Alberto Fonseca-Nathan Andrews-Giuseppe Amatulli</t>
  </si>
  <si>
    <t>Latin American Economic History</t>
  </si>
  <si>
    <t>Molly C. Ball</t>
  </si>
  <si>
    <t>International Migration and the Law</t>
  </si>
  <si>
    <t>Angela Di Stasi-Ida Caracciolo-Giovanni Cellamare-Pietro Gargiulo</t>
  </si>
  <si>
    <t>Skateboarding and the Senses</t>
  </si>
  <si>
    <t>Sander HÃ¶lsgens-Brian Glenney</t>
  </si>
  <si>
    <t>Partizipation und Wissensaufbau beim LÃ¶sen von Textaufgaben</t>
  </si>
  <si>
    <t>Iris Tanner</t>
  </si>
  <si>
    <t>AndrÃ© Platzer-Kristin Yvonne Rozier-Matteo Pradella-Matteo Rossi</t>
  </si>
  <si>
    <t>Social Media and Digital Politics</t>
  </si>
  <si>
    <t>James Jaehoon Lee-Jeffrey Layne Blevins</t>
  </si>
  <si>
    <t>Modernization of Korean Theatre in the 20th Century</t>
  </si>
  <si>
    <t>Meewon Lee</t>
  </si>
  <si>
    <t>Showing Social Solidarity with Future Generations</t>
  </si>
  <si>
    <t>Marianne Takle</t>
  </si>
  <si>
    <t>The Parliamentary Dimension of the Conference on the Future of Europe</t>
  </si>
  <si>
    <t>Karolina BoroÅ„ska-Hryniewiecka-Lucy Kinski</t>
  </si>
  <si>
    <t>Exploring Party Switching in East-Central European Legislatures</t>
  </si>
  <si>
    <t>Andrzej Antoszewski-PrzemysÅ‚aw Å»ukiewicz</t>
  </si>
  <si>
    <t>Stories of Love From Vikings to Tinder</t>
  </si>
  <si>
    <t>Mads Larsen</t>
  </si>
  <si>
    <t>Health Security Intelligence</t>
  </si>
  <si>
    <t>Patrick F. Walsh</t>
  </si>
  <si>
    <t>Preparing for Hybrid Threats to Security</t>
  </si>
  <si>
    <t>Odd Jarl Borch-Tormod Heier</t>
  </si>
  <si>
    <t>An Introduction to Quantitative Text Analysis for Linguistics</t>
  </si>
  <si>
    <t>Jerid Francom</t>
  </si>
  <si>
    <t>Regenerative Farming and Sustainable Diets</t>
  </si>
  <si>
    <t>Joyce D'Silva-Carol McKenna</t>
  </si>
  <si>
    <t>The President As Statesman</t>
  </si>
  <si>
    <t>POLITICAL SCIENCE / American Government / Executive Branch</t>
  </si>
  <si>
    <t>Daniel D. Stid</t>
  </si>
  <si>
    <t>Montesquieu's Comparative Politics and the Spirit of American Constitutionalism</t>
  </si>
  <si>
    <t>Anne M. Cohler</t>
  </si>
  <si>
    <t>The Vanishing Farmland Crisis</t>
  </si>
  <si>
    <t>John Baden</t>
  </si>
  <si>
    <t>The Democratic State</t>
  </si>
  <si>
    <t>Roger Benjamin-Stephen L. Elkin</t>
  </si>
  <si>
    <t>Diplomat in Khaki</t>
  </si>
  <si>
    <t>BIOGRAPHY &amp; AUTOBIOGRAPHY / Military</t>
  </si>
  <si>
    <t>A. J. Bacevich</t>
  </si>
  <si>
    <t>Getting By</t>
  </si>
  <si>
    <t>Christina E. Gringeri</t>
  </si>
  <si>
    <t>Keeping the People's Liberties</t>
  </si>
  <si>
    <t>John J. Dinan</t>
  </si>
  <si>
    <t>The Lost Promise of Progressivism</t>
  </si>
  <si>
    <t>Eldon J. Eisenach</t>
  </si>
  <si>
    <t>Presidential Lightning Rods</t>
  </si>
  <si>
    <t>Richard J. Ellis</t>
  </si>
  <si>
    <t>Henry Adams</t>
  </si>
  <si>
    <t>James P. Young</t>
  </si>
  <si>
    <t>Our Limits Transgressed</t>
  </si>
  <si>
    <t>Bob Pepperman Taylor</t>
  </si>
  <si>
    <t>Passions and Interests</t>
  </si>
  <si>
    <t>Gerald M. Pomper</t>
  </si>
  <si>
    <t>Democratic Temperament</t>
  </si>
  <si>
    <t>Joshua I. Miller</t>
  </si>
  <si>
    <t>Egyptian Things</t>
  </si>
  <si>
    <t>Edward William Kelting</t>
  </si>
  <si>
    <t>Rural School Improvement in Developing Countries</t>
  </si>
  <si>
    <t>Yuchi Zhao-Jing Liu</t>
  </si>
  <si>
    <t>A History of the Congress of Roman Frontier Studies 1949-2024</t>
  </si>
  <si>
    <t>David J. Breeze-Tatiana Ivleva-Rebecca H. Jones-Andreas Thiel</t>
  </si>
  <si>
    <t>How to Read Ancient Texts</t>
  </si>
  <si>
    <t>Anthony J. Frendo</t>
  </si>
  <si>
    <t>Frontiers of the Roman Empire: The Roman Frontier in Georgia</t>
  </si>
  <si>
    <t>RadosÅ‚aw Karasiewicz-Szczypiorski-Shota Mamuladze â€ -David J. Breeze</t>
  </si>
  <si>
    <t>From Borders to Pathways</t>
  </si>
  <si>
    <t>Matthew Zagor</t>
  </si>
  <si>
    <t>Rhythmisch-energetische Intensivierung</t>
  </si>
  <si>
    <t>Felix Baumann</t>
  </si>
  <si>
    <t>Philosophische Digitalisierungsforschung</t>
  </si>
  <si>
    <t>Rainer Adolphi-Suzana Alpsancar-Susanne Hahn-Matthias Kettner</t>
  </si>
  <si>
    <t>Populismus und autoritÃ¤re Ideologie</t>
  </si>
  <si>
    <t>Felix Breuning</t>
  </si>
  <si>
    <t>Epistemic Injustice and Violence</t>
  </si>
  <si>
    <t>Lena SchÃ¼tzle-Barbara Schellhammer-Anupam Yadav-Cara-Julie Kather-Lou Thomine</t>
  </si>
  <si>
    <t>Radikale Verletzbarkeit</t>
  </si>
  <si>
    <t>Lea Schneider</t>
  </si>
  <si>
    <t>Das Auto und die Ã¶kologische Katastrophe</t>
  </si>
  <si>
    <t>Kilian JÃ¶rg</t>
  </si>
  <si>
    <t>Bildungsarchitektur der Pflege in Deutschland (BAPID)</t>
  </si>
  <si>
    <t>MEDICAL / Nursing / Research &amp; Theory</t>
  </si>
  <si>
    <t>Katharina Genz-Wolfgang von Gahlen-Hoops</t>
  </si>
  <si>
    <t>Kinder und Jugendliche pflegen lernen</t>
  </si>
  <si>
    <t>MEDICAL / Nursing / Pediatric &amp; Neonatal</t>
  </si>
  <si>
    <t>Robert Philip Wietzke-Wolfgang von Gahlen-Hoops</t>
  </si>
  <si>
    <t>Re-Composing YouTube</t>
  </si>
  <si>
    <t>Jonas Wolf</t>
  </si>
  <si>
    <t>Digitale KollektivitÃ¤t?</t>
  </si>
  <si>
    <t>Tim Othold</t>
  </si>
  <si>
    <t>Sozialismus im Kino</t>
  </si>
  <si>
    <t>Daria Gordeeva</t>
  </si>
  <si>
    <t>Leistungsvergleiche und evaluative Praktiken</t>
  </si>
  <si>
    <t>Robert Schmidt-David Kempf-Max Weigelin</t>
  </si>
  <si>
    <t>Transformative Regionen</t>
  </si>
  <si>
    <t>Andreas Willisch-Eleonore Harmel-Anna Eckert</t>
  </si>
  <si>
    <t>Kulturwissenschaften und neue Technologien</t>
  </si>
  <si>
    <t>Johannes Moser-LibuÅ¡e Hannah Veprek</t>
  </si>
  <si>
    <t>Virtual Photography</t>
  </si>
  <si>
    <t>Ali Shobeiri-Helen Westgeest</t>
  </si>
  <si>
    <t>Hass teilen</t>
  </si>
  <si>
    <t>Rupert Gaderer-Vanessa GrÃ¶mmke</t>
  </si>
  <si>
    <t>Bio-Art</t>
  </si>
  <si>
    <t>Julio Velasco-Klaus Weber</t>
  </si>
  <si>
    <t>Kulturpolitik der Weltbeziehungen</t>
  </si>
  <si>
    <t>Tobias J. Knoblich</t>
  </si>
  <si>
    <t>What We Brought with Us</t>
  </si>
  <si>
    <t>Vanessa Agnew</t>
  </si>
  <si>
    <t>Weltoffenheit, Toleranz und Gemeinsinn</t>
  </si>
  <si>
    <t>Anja Gampe-SeÃ§kin SÃ¶ylemez</t>
  </si>
  <si>
    <t>Remixing the Hip-Hop Narrative</t>
  </si>
  <si>
    <t>James Barber-Christian BÃ¼schges-Dianne Violeta Mausfeld-Britta Sweers</t>
  </si>
  <si>
    <t>Wohlstandsalternativen</t>
  </si>
  <si>
    <t>Bastian Lange-Martina HÃ¼lz-Benedikt Schmid-Christian Schulz</t>
  </si>
  <si>
    <t>Ã„sthetiken des Engagements</t>
  </si>
  <si>
    <t>Jan-Tage KÃ¼hling</t>
  </si>
  <si>
    <t>Social Forms of Religion</t>
  </si>
  <si>
    <t>Maren Freudenberg-Astrid Reuter</t>
  </si>
  <si>
    <t>Appropriating History</t>
  </si>
  <si>
    <t>Matthias Schwartz-Nina Weller</t>
  </si>
  <si>
    <t>Jazz 1959</t>
  </si>
  <si>
    <t>FrÃ©dÃ©ric DÃ¶hl</t>
  </si>
  <si>
    <t>Beyond the Euromissile Crisis</t>
  </si>
  <si>
    <t>HISTORY / Modern / 20th Century / Cold War</t>
  </si>
  <si>
    <t>Luc-AndrÃ© Brunet-Eirini Karamouzi</t>
  </si>
  <si>
    <t>Indigenous and Tribal Peoples and Cancer</t>
  </si>
  <si>
    <t>Gail Garvey</t>
  </si>
  <si>
    <t>Exploring Ethnography of Outer Space</t>
  </si>
  <si>
    <t>Jenia Gorbanenko-David (Jeeva) Jeevendrampillai-Adryon Kozel</t>
  </si>
  <si>
    <t>Political Economy of East Asian Economic Integration</t>
  </si>
  <si>
    <t>Fusanori Iwasaki-Keita Oikawa-Shujiro Urata</t>
  </si>
  <si>
    <t>Book of Abstracts Presented at the 7th International Conference on Numerical Modelling in Engineering (NME 2024)</t>
  </si>
  <si>
    <t>Magd Abdel Wahab</t>
  </si>
  <si>
    <t>Book of Abstracts From the International Workshop on Positron Studies of Defects 2024 (PSD-24)</t>
  </si>
  <si>
    <t>Rafael Ferragut-Javier Schmidt-Bernardo Barbiellini-MatÃ­as Bayo-Matteo Vicini-Claudio Conci</t>
  </si>
  <si>
    <t>Book of Abstracts Presented at the 12th International Conference on Fracture Fatigue and Wear (FFW 2024)</t>
  </si>
  <si>
    <t>Book of Abstracts From the 7th International Conference on Powder Metallurgy and Additive Manufacturing of Titanium, PMTi2024</t>
  </si>
  <si>
    <t>Elena Gordo OdÃ©riz-Elisa Maria Ruiz-Navas-Juan Villemur</t>
  </si>
  <si>
    <t>Genome Finland: From Rare Diseases to Data Economy</t>
  </si>
  <si>
    <t>Ilpo HelÃ©n-Karoliina Snell-Heta Tarkkala-Aaro Tupasela</t>
  </si>
  <si>
    <t>Reconfiguring EU Peripheries: Political Elites, Contestation, and Geopolitical Shifts</t>
  </si>
  <si>
    <t>Miruna Butnaru TroncotaÌ†-Ali Onur Ã–zÃ§elik-Radu-Alexandru CucutaÌ†</t>
  </si>
  <si>
    <t>Accounting for Social and Environmental Sustainability</t>
  </si>
  <si>
    <t>Delphine Gibassier</t>
  </si>
  <si>
    <t>II. GLOBAL CONFERENCE ON EDUCATION AND SUSTAINABILITY - 2024 (GCES2024)</t>
  </si>
  <si>
    <t>Beatriz Lucia Salvador Bizotto Santosh Kumar Singh</t>
  </si>
  <si>
    <t>The World's Constitution</t>
  </si>
  <si>
    <t>Adam K. Webb</t>
  </si>
  <si>
    <t>Topographies of African Spirituality</t>
  </si>
  <si>
    <t>Afe Adogame-Ebenezer Obadare-Wale Adebanwi</t>
  </si>
  <si>
    <t>Performing Violence</t>
  </si>
  <si>
    <t>Davide Giovanzana</t>
  </si>
  <si>
    <t>On the Significance of Religion in Climate Change</t>
  </si>
  <si>
    <t>Lan T. Chu-Amy Holmes-Tagchungdarpa-Kalzang Bhutia-Youssef Chouhoud</t>
  </si>
  <si>
    <t>Comparisons in Global Security Politics</t>
  </si>
  <si>
    <t>Thomas MÃ¼ller-Mathias Albert-Kerrin Langer</t>
  </si>
  <si>
    <t>SensorgestÃ¼tzte Kartierung von Bodeneigenschaften fÃ¼r die teilflÃ¤chenspezifische Kalkung</t>
  </si>
  <si>
    <t>Eckart Kramer-JÃ¶rg RÃ¼hlmann-Robin Gebbers</t>
  </si>
  <si>
    <t>Maimonides Review of Philosophy and Religion Volume 3, 2024</t>
  </si>
  <si>
    <t>Transdisciplinarity for Transformation</t>
  </si>
  <si>
    <t>Barbara J. Regeer-Pim Klaassen-Jacqueline E. W. Broerse</t>
  </si>
  <si>
    <t>Asia Rising</t>
  </si>
  <si>
    <t>Ryo Sahashi-Yasuhiro Matsuda-Waka Aoyama</t>
  </si>
  <si>
    <t>Magnetic Microhydrodynamics</t>
  </si>
  <si>
    <t>SCIENCE / Physics / Magnetism</t>
  </si>
  <si>
    <t>Bernard Doudin-Michael Coey-Andrejs CÄ“bers</t>
  </si>
  <si>
    <t>Principles and Practice of Emergency Research Response</t>
  </si>
  <si>
    <t>Robert A. Sorenson-Mosoka P. Fallah-Nicole Lurie-Laura A. McNay-Peter G. Smith</t>
  </si>
  <si>
    <t>Proceedings of the 9th Mathematics, Science, and Computer Science Education International Seminar (MSCEIS 2023)</t>
  </si>
  <si>
    <t>Fitri Khoerunnisa-Galuh Yuliani-Rizki Zakwandi</t>
  </si>
  <si>
    <t>Digitalisierung der Arbeitswelten</t>
  </si>
  <si>
    <t>Sabine Pfeiffer-Manuel Nicklich-Michael Henke-Martina HeÃŸler-Martin Krzywdzinski</t>
  </si>
  <si>
    <t>Psychoanalytische PÃ¤dagogik: Perspektiven auf das kindliche Spiel</t>
  </si>
  <si>
    <t>Tillmann F. Kreuzer-Robert Langnickel-NoÃ«lle Behringer-Pierre-Carl Link</t>
  </si>
  <si>
    <t>Soziale Arbeit zwischen Inklusion und Exklusion</t>
  </si>
  <si>
    <t>Karin Lauermann-Rahel More-Marion Sigot-Stephan Sting</t>
  </si>
  <si>
    <t>Transmigration und Place-making junger GeflÃ¼chteter</t>
  </si>
  <si>
    <t>Charlotte RÃ¶hner-Jessica Schwittek-Antoanneta Potsi</t>
  </si>
  <si>
    <t>Leistungsbeurteilungen an Hochschulen lernfÃ¶rderlich gestalten</t>
  </si>
  <si>
    <t>Tobias Zimmermann</t>
  </si>
  <si>
    <t>Antisemitismus zwischen Latenz und Leidenschaft</t>
  </si>
  <si>
    <t>Luca Zarbock-Salome Richter-Marc Seul-Franziska Thurau-Andreas Borsch-Luisa GÃ¤rtner-Lennard Schmidt-Dorothea Seiler</t>
  </si>
  <si>
    <t>Ethik in der beruflichen Bildung</t>
  </si>
  <si>
    <t>Tom Wellmann-Emanuel John</t>
  </si>
  <si>
    <t>Die Grenzen der Erziehung revisited</t>
  </si>
  <si>
    <t>Daniel Goldmann-Sophia Richter-Thomas Wenzl</t>
  </si>
  <si>
    <t>Emerging Trends in International Development and Climate Policy</t>
  </si>
  <si>
    <t>Stephan Klingebiel-Thomas Kalinowski-Niels Keijzer</t>
  </si>
  <si>
    <t>Proceedings of the 2024 International Conference on Humanities, Arts, and Cultural Industry Development (HACID 2024)</t>
  </si>
  <si>
    <t>Zhong Chen-Shakila Yacob-Guiyun Guan-Nor Fariza Mohd Nor</t>
  </si>
  <si>
    <t>Proceedings of the 2024 10th International Conference on Humanities and Social Science Research (ICHSSR 2024)</t>
  </si>
  <si>
    <t>Zehui Zhan-Jian Liu-Dina M. Elshenawi-Emma Duester</t>
  </si>
  <si>
    <t>Proceedings of the 2024 5th International Conference on Education, Knowledge and Information Management (ICEKIM 2024)</t>
  </si>
  <si>
    <t>Yunshan Kuang-Lixin Zhu-Xiangyang Zhang-Intakhab Alam Khan</t>
  </si>
  <si>
    <t>Proceedings of the 2024 3rd International Conference on Information Economy, Data Modelling and Cloud Computing (ICIDC 2024)</t>
  </si>
  <si>
    <t>Evan Poh Hock Lau-Aslina Baharum-Ali Hussein Wheeb-Lei Chen</t>
  </si>
  <si>
    <t>Proceedings of the 2024 4th International Conference on Enterprise Management and Economic Development (ICEMED 2024)</t>
  </si>
  <si>
    <t>Hongbing Cheng-Sikandar Ali Qalati-Noor Sharoja Binti Sapiei-Mazni Binti Abdullah</t>
  </si>
  <si>
    <t>Digitalization of Medicine in Low- and Middle-Income Countries</t>
  </si>
  <si>
    <t>Zisis Kozlakidis-Armen Muradyan-Karine Sargsyan</t>
  </si>
  <si>
    <t>Samuel Johnson's Lives of the Poets</t>
  </si>
  <si>
    <t>Edward L. Tomarken</t>
  </si>
  <si>
    <t>The Maidan Massacre in Ukraine</t>
  </si>
  <si>
    <t>Translating Technology in Africa. Volume 2: Technicisation</t>
  </si>
  <si>
    <t>Richard Rottenburg-Eva Riedke</t>
  </si>
  <si>
    <t>Redefining the Standards in Attic, Koine, and Atticism</t>
  </si>
  <si>
    <t>Chiara Monaco-Robert Machado-Eleni Bozia</t>
  </si>
  <si>
    <t>Between HIV Prevention and LGBTI Rights</t>
  </si>
  <si>
    <t>Ellie Gore</t>
  </si>
  <si>
    <t>Proceedings of the International Conference on Emerging Intelligent Systems for Sustainable Development (ICEIS 2024)</t>
  </si>
  <si>
    <t>Chaker Abdelaziz Kerrache-Abdou El Karim Tahari-Dounya Kassimi-Chinmay Chakraborty</t>
  </si>
  <si>
    <t>Digital Sustainability</t>
  </si>
  <si>
    <t>Theo Lynn-Pierangelo Rosati-David Kreps-Kieran Conboy</t>
  </si>
  <si>
    <t>ArbeitsatmosphÃ¤ren-Report 2024</t>
  </si>
  <si>
    <t>Christian Julmi-Anna Eifert-Jakob E. Dammert-Sebastian Wittwer</t>
  </si>
  <si>
    <t>Megatrends in Agriculture, Food Industry and Food Markets</t>
  </si>
  <si>
    <t>Henning Otte Hansen</t>
  </si>
  <si>
    <t>The Belt and Road Initiative at Ten</t>
  </si>
  <si>
    <t>CICC Research, CICC Global Institute</t>
  </si>
  <si>
    <t>Dirty Secrets of Nuclear Power in an Era of Climate Change</t>
  </si>
  <si>
    <t>Doug Brugge-Aaron Datesman</t>
  </si>
  <si>
    <t>Socioeconomic Segregation and Educational Inequality</t>
  </si>
  <si>
    <t>Nathan A. Burroughs-Jacqueline A. Gardner-Dirk F. Zuschlag-Craig Joseph Van Vliet</t>
  </si>
  <si>
    <t>Climate-Related Human Mobility in Asia and the Pacific</t>
  </si>
  <si>
    <t>Stellina Jolly-Nafees Ahmad-Matthew Scott</t>
  </si>
  <si>
    <t>Homonegativity and Religiously Motivated Political Extremism</t>
  </si>
  <si>
    <t>Arno Tausch</t>
  </si>
  <si>
    <t>CarathÃ©odory Sets in the Plane</t>
  </si>
  <si>
    <t>MATHEMATICS / Set Theory</t>
  </si>
  <si>
    <t>Joan Josep Carmona, Konstantin Fedorovskiy</t>
  </si>
  <si>
    <t>Geotechnical Engineering Challenges to Meet Current and Emerging Needs of Society</t>
  </si>
  <si>
    <t>Nuno Guerra-Manuel Matos Fernandes-Cristiana Ferreira-AntÃ³nio Gomes Correia-Alexandre Pinto-Pedro SÃªco Pinto</t>
  </si>
  <si>
    <t>Energy, Matter, and Change</t>
  </si>
  <si>
    <t>SCIENCE / Chemistry / Physical &amp; Theoretical</t>
  </si>
  <si>
    <t>William B. Tucker</t>
  </si>
  <si>
    <t>Innovation and Technological Advances for Sustainability</t>
  </si>
  <si>
    <t>Salem Al-Naemi-Rachid Benlamri-Rehan Sadiq-Aitazaz Farooque-Michael Phillips</t>
  </si>
  <si>
    <t>Saudi Women Writers</t>
  </si>
  <si>
    <t>Basma A. Al Mutlaq</t>
  </si>
  <si>
    <t>Public Banks and Public Water in the Global South</t>
  </si>
  <si>
    <t>Thomas Marois-David A. McDonald-Susan Spronk</t>
  </si>
  <si>
    <t>Macrophages - Celebrating 140 Years of Discovery</t>
  </si>
  <si>
    <t>Intech Open</t>
  </si>
  <si>
    <t>MEDICAL / Immunology</t>
  </si>
  <si>
    <t>Vijay Kumar</t>
  </si>
  <si>
    <t>Urban Transition - Perspectives on Urban Systems and Environments</t>
  </si>
  <si>
    <t>Marita Wallhagen-Mathias Cehlin</t>
  </si>
  <si>
    <t>Biotechnological Applications of Biomass</t>
  </si>
  <si>
    <t>SCIENCE / Energy</t>
  </si>
  <si>
    <t>Thalita Peixoto Basso-Thiago Olitta Basso-Luiz Carlos Basso</t>
  </si>
  <si>
    <t>Serotonin and the CNS - New Developments in Pharmacology and Therapeutics</t>
  </si>
  <si>
    <t>Berend Olivier</t>
  </si>
  <si>
    <t>Microgrids and Local Energy Systems</t>
  </si>
  <si>
    <t>TECHNOLOGY &amp; ENGINEERING / Electronics / Solid State</t>
  </si>
  <si>
    <t>Nick Jenkins</t>
  </si>
  <si>
    <t>Forest Biomass - From Trees to Energy</t>
  </si>
  <si>
    <t>Ana Cristina GonÃ§alves-AdÃ©lia Sousa-Isabel Malico</t>
  </si>
  <si>
    <t>Water Quality - Science, Assessments and Policy</t>
  </si>
  <si>
    <t>SCIENCE / Chemistry / Environmental</t>
  </si>
  <si>
    <t>J. Kevin Summers</t>
  </si>
  <si>
    <t>Topics on Quantum Information Science</t>
  </si>
  <si>
    <t>Sergio Curilef-Angel Ricardo Ricardo Plastino</t>
  </si>
  <si>
    <t>Biotechnology to Combat COVID-19</t>
  </si>
  <si>
    <t>Megha Agrawal-Shyamasri Biswas</t>
  </si>
  <si>
    <t>Preparation of Space Experiments</t>
  </si>
  <si>
    <t>Vladimir Pletser</t>
  </si>
  <si>
    <t>Recent Advances in Image Restoration with Applications to Real World Problems</t>
  </si>
  <si>
    <t>COMPUTERS / Image Processing</t>
  </si>
  <si>
    <t>Chiman Kwan</t>
  </si>
  <si>
    <t>Plant Stress Physiology</t>
  </si>
  <si>
    <t>SCIENCE / Life Sciences / Anatomy &amp; Physiology</t>
  </si>
  <si>
    <t>Akbar Hossain</t>
  </si>
  <si>
    <t>Solar Cells - Theory, Materials and Recent Advances</t>
  </si>
  <si>
    <t>Ahmed Mourtada Elseman</t>
  </si>
  <si>
    <t>Chemistry and Biochemistry of Winemaking, Wine Stabilization and Aging</t>
  </si>
  <si>
    <t>SCIENCE / Life Sciences / Biochemistry</t>
  </si>
  <si>
    <t>Fernanda Cosme-Fernando M. Nunes-LuÃ­s Filipe-Ribeiro</t>
  </si>
  <si>
    <t>Nano- and Microencapsulation - Techniques and Applications</t>
  </si>
  <si>
    <t>SCIENCE / Life Sciences / Biophysics</t>
  </si>
  <si>
    <t>Nedal Abu-Thabit</t>
  </si>
  <si>
    <t>Leading Community Based Changes in the Culture of Health in the US - Experiences in Developing the Team and Impacting the Community</t>
  </si>
  <si>
    <t>Claudia S.P. Fernandez-Giselle Corbie-Smith</t>
  </si>
  <si>
    <t>Contemporary Developments and Perspectives in International Health Security - Volume 3</t>
  </si>
  <si>
    <t>Stanislaw P. Stawicki-Ricardo Izurieta-Michael S. Firstenberg-Sagar C. Galwankar</t>
  </si>
  <si>
    <t>Focus on Bacterial Biofilms</t>
  </si>
  <si>
    <t>Theerthankar Das</t>
  </si>
  <si>
    <t>Towards the Eradication of Helicobacter Pylori Infection - Rapid Diagnosis and Precision Treatment</t>
  </si>
  <si>
    <t>MEDICAL / Infectious Diseases</t>
  </si>
  <si>
    <t>Liang Wang-Alfred Chin Yen Tay-Barry J. Marshall</t>
  </si>
  <si>
    <t>Biotechnology - Biosensors, Biomaterials and Tissue Engineering Annual Volume 2023</t>
  </si>
  <si>
    <t>Luis JesÃºs Villarreal-GÃ³mez</t>
  </si>
  <si>
    <t>Quantum Entanglement in High Energy Physics</t>
  </si>
  <si>
    <t>Oliver K. Baker</t>
  </si>
  <si>
    <t>Prefabricated Construction for Sustainability and Mass Customization</t>
  </si>
  <si>
    <t>Masa Noguchi</t>
  </si>
  <si>
    <t>Green Chemistry for Environmental Sustainability - Prevention-Assurance-Sustainability (P-A-S) Approach</t>
  </si>
  <si>
    <t>SCIENCE / Chemistry / Organic</t>
  </si>
  <si>
    <t>Kinjal J. Shah</t>
  </si>
  <si>
    <t>Artificial Intelligence Annual Volume 2022</t>
  </si>
  <si>
    <t>Marco Antonio Aceves-FernÃ¡ndez-Carlos M. Travieso-Gonzalez</t>
  </si>
  <si>
    <t>Innovation - Research and Development for Human, Economic and Institutional Growth</t>
  </si>
  <si>
    <t>Luigi Aldieri</t>
  </si>
  <si>
    <t>Conception and Family Planning - New Aspects</t>
  </si>
  <si>
    <t>MEDICAL / Reproductive Medicine &amp; Technology</t>
  </si>
  <si>
    <t>Panagiotis Tsikouras-Georg-Friedrich Von Tempelhoff-Nikolaos Nikolettos-Werner Rath</t>
  </si>
  <si>
    <t>Gender Inequality - Issues, Challenges and New Perspectives</t>
  </si>
  <si>
    <t>Feyza Bhatti-Elham Taheri</t>
  </si>
  <si>
    <t>Pedagogy, Learning, and Creativity</t>
  </si>
  <si>
    <t>Maria Ampartzaki-Michail Kalogiannakis</t>
  </si>
  <si>
    <t>Recent Advances in Bacterial Biofilm Studies - Formation, Regulation, and Eradication in Human Infections</t>
  </si>
  <si>
    <t>Liang Wang-Bing Gu-Li Zhang-Zuobin Zhu</t>
  </si>
  <si>
    <t>Deep Learning - Recent Findings and Research</t>
  </si>
  <si>
    <t>COMPUTERS / Machine Theory</t>
  </si>
  <si>
    <t>Manuel Jesus DomÃ­nguez-Morales-Javier Civit-Masot-Luis MuÃ±oz-Saavedra-Robertas DamaÅ¡eviÄius</t>
  </si>
  <si>
    <t>Legumes Research - Volume 2</t>
  </si>
  <si>
    <t>Jose C. Jimenez-Lopez-Alfonso Clemente</t>
  </si>
  <si>
    <t>Minorities - New Studies and Perspectives</t>
  </si>
  <si>
    <t>John Hermann</t>
  </si>
  <si>
    <t>Agricultural Value Chains - Some Selected Issues</t>
  </si>
  <si>
    <t>John Stanton-Rosa Caiazza</t>
  </si>
  <si>
    <t>Schiff Base in Organic, Inorganic and Physical Chemistry</t>
  </si>
  <si>
    <t>Takashiro Akitsu</t>
  </si>
  <si>
    <t>Critical Infrastructure - Modern Approach and New Developments</t>
  </si>
  <si>
    <t>Antonio Di Pietro-JosÃ© R. MartÃ­</t>
  </si>
  <si>
    <t>Advanced Biodiesel - Technological Advances, Challenges, and Sustainability Considerations</t>
  </si>
  <si>
    <t>Islam Md Rizwanul Fattah</t>
  </si>
  <si>
    <t>Vortex Simulation and Identification</t>
  </si>
  <si>
    <t>SCIENCE / Mechanics / Fluids</t>
  </si>
  <si>
    <t>Chaoqun Liu-Yifei Yu</t>
  </si>
  <si>
    <t>LGBT+ Communities - Creating Spaces of Identity</t>
  </si>
  <si>
    <t>Deborah Woodman</t>
  </si>
  <si>
    <t>RNA Therapeutics - History, Design, Manufacturing, and Applications</t>
  </si>
  <si>
    <t>Irina Vlasova-St. Louis</t>
  </si>
  <si>
    <t>Neurorehabilitation and Physical Therapy</t>
  </si>
  <si>
    <t>MEDICAL / Allied Health Services / Physical Therapy</t>
  </si>
  <si>
    <t>Hideki Nakano</t>
  </si>
  <si>
    <t>Allergic Disease - New Developments in Diagnosis and Therapy</t>
  </si>
  <si>
    <t>Ã–ner Ã–zdemir</t>
  </si>
  <si>
    <t>The Psychology of Panic</t>
  </si>
  <si>
    <t>Robert W. Motta</t>
  </si>
  <si>
    <t>Advances in Slurry Technology</t>
  </si>
  <si>
    <t>Trevor Frank Jones</t>
  </si>
  <si>
    <t>Clean Energy Technologies - Hydrogen and Gasification Processes</t>
  </si>
  <si>
    <t>Murat Eyvaz-Yongseung Yun-Ahmed Albahnasawi</t>
  </si>
  <si>
    <t>Response Surface Methodology - Research Advances and Applications</t>
  </si>
  <si>
    <t>Palanikumar Kayaroganam</t>
  </si>
  <si>
    <t>Production Engineering and Robust Control</t>
  </si>
  <si>
    <t>Majid Tolouei-Rad-Pengzhong Li-Liang Luo</t>
  </si>
  <si>
    <t>Extracorporeal Membrane Oxygenation Support Therapy</t>
  </si>
  <si>
    <t>MEDICAL / Critical Care</t>
  </si>
  <si>
    <t>Antonio Loforte</t>
  </si>
  <si>
    <t>Updates in Anesthesia - The Operating Room and Beyond</t>
  </si>
  <si>
    <t>MEDICAL / Anesthesiology</t>
  </si>
  <si>
    <t>Anna Ng-Pellegrino-Stanislaw P. Stawicki</t>
  </si>
  <si>
    <t>Hygiene and Health in Developing Countries - Recent Advances</t>
  </si>
  <si>
    <t>Sonja Å ostar Turk-UrÅ¡ka Rozman</t>
  </si>
  <si>
    <t>Infrared Spectroscopy - Perspectives and Applications</t>
  </si>
  <si>
    <t>SCIENCE / Spectroscopy &amp; Spectrum Analysis</t>
  </si>
  <si>
    <t>Marwa El-Azazy-Khalid Al-Saad-Ahmed S. El-Shafie</t>
  </si>
  <si>
    <t>Updates on Supercapacitors</t>
  </si>
  <si>
    <t>TECHNOLOGY &amp; ENGINEERING / Materials Science / Electronic Materials</t>
  </si>
  <si>
    <t>Zoran M. Stevic</t>
  </si>
  <si>
    <t>Biochar - Productive Technologies, Properties and Applications</t>
  </si>
  <si>
    <t>Mattia Bartoli-Mauro Giorcelli-Alberto Tagliaferro</t>
  </si>
  <si>
    <t>River Basin Management - Under a Changing Climate</t>
  </si>
  <si>
    <t>Ram Ray-Dionysia Gregorios Panagoulia-Nimal Abeysingha</t>
  </si>
  <si>
    <t>Maintenance Management - Current Challenges, New Developments, and Future Directions</t>
  </si>
  <si>
    <t>TECHNOLOGY &amp; ENGINEERING / Industrial Design / Product</t>
  </si>
  <si>
    <t>Germano Lambert-Torres-Erik Leandro Bonaldi-Levy Ely Oliveira</t>
  </si>
  <si>
    <t>Sustainable Smart Cities - A Vision for Tomorrow</t>
  </si>
  <si>
    <t>Amjad Almusaed-Asaad Almssad</t>
  </si>
  <si>
    <t>Antenna Arrays - Applications to Modern Wireless and Space-Born Systems</t>
  </si>
  <si>
    <t>TECHNOLOGY &amp; ENGINEERING / Mobile &amp; Wireless Communications</t>
  </si>
  <si>
    <t>Hussain Al-Rizzo-Nijas Kunju-Sulaiman Tariq-Aldebaro Klautau</t>
  </si>
  <si>
    <t>Globalization and Sustainability - Recent Advances, New Perspectives and Emerging Issues</t>
  </si>
  <si>
    <t>Margherita Mori</t>
  </si>
  <si>
    <t>High Entropy Materials - Microstructures and Properties</t>
  </si>
  <si>
    <t>TECHNOLOGY &amp; ENGINEERING / Materials Science / Metals &amp; Alloys</t>
  </si>
  <si>
    <t>Yong A Zhang</t>
  </si>
  <si>
    <t>Forest Degradation Under Global Change</t>
  </si>
  <si>
    <t>Pavel Samec</t>
  </si>
  <si>
    <t>Molecular Docking - Recent Advances</t>
  </si>
  <si>
    <t>Erman Salih Istifli</t>
  </si>
  <si>
    <t>Happiness and Wellness - Biopsychosocial and Anthropological Perspectives</t>
  </si>
  <si>
    <t>Floriana Irtelli-Fabio Gabrielli</t>
  </si>
  <si>
    <t>An International Collection of Multidisciplinary Approaches to Violence and Aggression</t>
  </si>
  <si>
    <t>Catherine Lewis</t>
  </si>
  <si>
    <t>Smart Mobility - Recent Advances, New Perspectives and Applications</t>
  </si>
  <si>
    <t>TRANSPORTATION / Automotive / General</t>
  </si>
  <si>
    <t>Arif Sarwat-Asadullah Khalid-Ahmed Hasnain Jalal</t>
  </si>
  <si>
    <t>Broiler Industry</t>
  </si>
  <si>
    <t>COOKING / Specific Ingredients / Poultry</t>
  </si>
  <si>
    <t>Guillermo TÃ©llez-IsaÃ­as-Juan D. Latorre-Yordan MartÃ­nez-Aguilar</t>
  </si>
  <si>
    <t>Pesticides - Updates on Toxicity, Efficacy and Risk Assessment</t>
  </si>
  <si>
    <t>TECHNOLOGY &amp; ENGINEERING / Pest Control</t>
  </si>
  <si>
    <t>Marcelo L. Larramendy-Sonia Soloneski</t>
  </si>
  <si>
    <t>Cotton</t>
  </si>
  <si>
    <t>Ibrokhim Y. Abdurakhmonov</t>
  </si>
  <si>
    <t>The Circular Economy - Recent Advances in Sustainable Waste Management</t>
  </si>
  <si>
    <t>Tao Zhang</t>
  </si>
  <si>
    <t>Digital Transformation - Towards New Frontiers and Business Opportunities</t>
  </si>
  <si>
    <t>Antonella Petrillo-Fabio De Felice-Monica Violeta Achim-Nawazish Mirza</t>
  </si>
  <si>
    <t>Urban Green Spaces</t>
  </si>
  <si>
    <t>Rui Alexandre Castanho-JosÃ© Cabezas FernÃ¡ndez</t>
  </si>
  <si>
    <t>Geographic Information Systems and Applications in Coastal Studies</t>
  </si>
  <si>
    <t>TECHNOLOGY &amp; ENGINEERING / Surveying</t>
  </si>
  <si>
    <t>Yuanzhi Zhang-Qiuming Cheng</t>
  </si>
  <si>
    <t>Enhanced Oil Recovery - Selected Topics</t>
  </si>
  <si>
    <t>TECHNOLOGY &amp; ENGINEERING / Petroleum</t>
  </si>
  <si>
    <t>Badie I. Morsi-Hseen Baled</t>
  </si>
  <si>
    <t>Smart Grids Technology and Applications</t>
  </si>
  <si>
    <t>Lucian Mihet-Popa</t>
  </si>
  <si>
    <t>Latest Research on Energy Recovery</t>
  </si>
  <si>
    <t>Petrica Vizureanu</t>
  </si>
  <si>
    <t>Progress in Microalgae Research - A Path for Shaping Sustainable Futures</t>
  </si>
  <si>
    <t>Leila Queiroz Zepka-Eduardo Jacob-Lopes-Mariany Costa DeprÃ¡</t>
  </si>
  <si>
    <t>Parasitic Helminths and Zoonoses - From Basic to Applied Research</t>
  </si>
  <si>
    <t>Jorge Morales-Montor-VÃ­ctor Hugo Del RÃ­o-Araiza-Romel HernandÃ©z-Bello</t>
  </si>
  <si>
    <t>Hydrogels - From Tradition to Innovative Platforms with Multiple Applications</t>
  </si>
  <si>
    <t>TECHNOLOGY &amp; ENGINEERING / Textiles &amp; Polymers</t>
  </si>
  <si>
    <t>Lacramioara Popa-Mihaela Violeta Ghica-Cristina Dinu-Pirvu</t>
  </si>
  <si>
    <t>Natural Fiber</t>
  </si>
  <si>
    <t>Han-Yong Jeon</t>
  </si>
  <si>
    <t>Dosimetry</t>
  </si>
  <si>
    <t>SCIENCE / Radiation</t>
  </si>
  <si>
    <t>Thomas J. FitzGerald-Maryann Bishop-Jodoin</t>
  </si>
  <si>
    <t>Evolving Concepts in Insulin Resistance</t>
  </si>
  <si>
    <t>Marco Infante</t>
  </si>
  <si>
    <t>Refractive Surgery - Types of Procedures, Risks, and Benefits</t>
  </si>
  <si>
    <t>Maja BohaÄ-Mateja JagiÄ‡</t>
  </si>
  <si>
    <t>Air Quality and Health</t>
  </si>
  <si>
    <t>AyÅŸe Emel Ã–nal</t>
  </si>
  <si>
    <t>Drug Carriers</t>
  </si>
  <si>
    <t>MEDICAL / Nursing / Pharmacology</t>
  </si>
  <si>
    <t>Advances in Research in STEM Education</t>
  </si>
  <si>
    <t>Michail Kalogiannakis-Maria Ampartzaki</t>
  </si>
  <si>
    <t>Child Abuse and Neglect</t>
  </si>
  <si>
    <t>Michael Fitzgerald</t>
  </si>
  <si>
    <t>Social Work - Perspectives on Leadership and Organisation</t>
  </si>
  <si>
    <t>Maria WolmesjÃ¶</t>
  </si>
  <si>
    <t>Sewage - Recent Advances, New Perspectives and Applications</t>
  </si>
  <si>
    <t>Soil Science - Emerging Technologies, Global Perspectives and Applications</t>
  </si>
  <si>
    <t>TECHNOLOGY &amp; ENGINEERING / Agriculture / Agronomy / Soil Science</t>
  </si>
  <si>
    <t>Michael Aide-Indi Braden</t>
  </si>
  <si>
    <t>Exercise Physiology</t>
  </si>
  <si>
    <t>Ricardo Ferraz-Henrique P. Neiva-Daniel A. Almeida Marinho-JosÃ© E. Teixeira-Pedro Forte-Luis Branquinho</t>
  </si>
  <si>
    <t>Skull Base Surgery</t>
  </si>
  <si>
    <t>Hamid Borghei-Razavi-Mauricio Mandel-Eric Suero-Molina</t>
  </si>
  <si>
    <t>Carotenoids - New Perspectives and Application</t>
  </si>
  <si>
    <t>Rosa MarÃ­a MartÃ­nez-Espinosa</t>
  </si>
  <si>
    <t>Rehabilitation of the Human Bone-Muscle System</t>
  </si>
  <si>
    <t>MEDICAL / Physical Medicine &amp; Rehabilitation</t>
  </si>
  <si>
    <t>Adrian Dumitru Olaru</t>
  </si>
  <si>
    <t>Protective Forests As Ecosystem-based Solution for Disaster Risk Reduction (Eco-DRR)</t>
  </si>
  <si>
    <t>Michaela Teich-Cristian Accastello-Frank Perzl-Karl Kleemayr</t>
  </si>
  <si>
    <t>Current Concepts in Dental Implantology - From Science to Clinical Research</t>
  </si>
  <si>
    <t>MEDICAL / Dentistry / Oral Surgery</t>
  </si>
  <si>
    <t>Dragana GabriÄ‡-Marko VuletiÄ‡</t>
  </si>
  <si>
    <t>Updates on Veterinary Anatomy and Physiology</t>
  </si>
  <si>
    <t>Catrin Sian Rutland-Samir El-Gendy</t>
  </si>
  <si>
    <t>Pedagogy - Challenges, Recent Advances, New Perspectives, and Applications</t>
  </si>
  <si>
    <t>HÃ¼lya Åženol</t>
  </si>
  <si>
    <t>Recent Advances in Medical Statistics</t>
  </si>
  <si>
    <t>COMPUTERS / Mathematical &amp; Statistical Software</t>
  </si>
  <si>
    <t>Cruz Vargas-De-LeÃ³n</t>
  </si>
  <si>
    <t>Legumes Research - Volume 1</t>
  </si>
  <si>
    <t>Environmental Management - Pollution, Habitat, Ecology, and Sustainability</t>
  </si>
  <si>
    <t>John P. Tiefenbacher</t>
  </si>
  <si>
    <t>Stress-Related Disorders</t>
  </si>
  <si>
    <t>Emilio Ovuga</t>
  </si>
  <si>
    <t>From Pathophysiology to Treatment of Huntington's Disease</t>
  </si>
  <si>
    <t>Natalia Szejko</t>
  </si>
  <si>
    <t>Engineering Problems - Uncertainties, Constraints and Optimization Techniques</t>
  </si>
  <si>
    <t>Marcos S.G. Tsuzuki-Rogerio Yugo Takimoto-Andre Kubagawa Sato-Tomoki Saka-Ahmad Barari-Rehab O. Abdel Rahman-Yung-Tse Hung</t>
  </si>
  <si>
    <t>Technology in Agriculture</t>
  </si>
  <si>
    <t>Fiaz Ahmad-Muhammad Sultan</t>
  </si>
  <si>
    <t>Memristor - An Emerging Device for Post-Mooreâ€™s Computing and Applications</t>
  </si>
  <si>
    <t>Yao-Feng Chang</t>
  </si>
  <si>
    <t>Sediment Transport - Recent Advances</t>
  </si>
  <si>
    <t>SCIENCE / Earth Sciences / Sedimentology &amp; Stratigraphy</t>
  </si>
  <si>
    <t>Andrew J. Manning</t>
  </si>
  <si>
    <t>Advances in Fundamental and Applied Research on Spatial Audio</t>
  </si>
  <si>
    <t>TECHNOLOGY &amp; ENGINEERING / Acoustics &amp; Sound</t>
  </si>
  <si>
    <t>Brian F.G. Katz-Piotr Majdak</t>
  </si>
  <si>
    <t>Natural Food Additives</t>
  </si>
  <si>
    <t>Miguel Ãngel Prieto-Paz Otero-MarÃ­a Carpena Rodriguez</t>
  </si>
  <si>
    <t>Dementia in Parkinsonâ€™s Disease - Everything You Need to Know</t>
  </si>
  <si>
    <t>Lin Zhang-John M. Olichney</t>
  </si>
  <si>
    <t>New Advances on Fermentation Processes</t>
  </si>
  <si>
    <t>Abiotic Stress in Plants</t>
  </si>
  <si>
    <t>Shah Fahad-Shah Saud-Yajun Chen-Chao Wu-Depeng Wang</t>
  </si>
  <si>
    <t>MATLAB - A Fundamental Tool for Scientific Computing and Engineering Applications - Volume 3</t>
  </si>
  <si>
    <t>COMPUTERS / Computer Simulation</t>
  </si>
  <si>
    <t>Vasilios N. Katsikis</t>
  </si>
  <si>
    <t>MATLAB - A Fundamental Tool for Scientific Computing and Engineering Applications - Volume 2</t>
  </si>
  <si>
    <t>Open Scientific Data - Why Choosing and Reusing the RIGHT DATA Matters</t>
  </si>
  <si>
    <t>Vera Lipton</t>
  </si>
  <si>
    <t>Industry 4.0 - Current Status and Future Trends</t>
  </si>
  <si>
    <t>JesÃºs Hamilton Ortiz</t>
  </si>
  <si>
    <t>Solar Radiation - Measurement, Modeling and Forecasting Techniques for Photovoltaic Solar Energy Applications</t>
  </si>
  <si>
    <t>Mohammadreza Aghaei</t>
  </si>
  <si>
    <t>Gasification</t>
  </si>
  <si>
    <t>Valter Silva-Celso Eduardo Tuna</t>
  </si>
  <si>
    <t>Emerging Technologies in Hydraulic Fracturing and Gas Flow Modelling</t>
  </si>
  <si>
    <t>Kenneth Imo-Imo Israel Eshiet-Rouzbeh G.Moghanloo</t>
  </si>
  <si>
    <t>Tracing the Domestic Pig</t>
  </si>
  <si>
    <t>SCIENCE / Life Sciences / Zoology / Ethology (Animal Behavior)</t>
  </si>
  <si>
    <t>Goran KuÅ¡ec-Ivona Djurkin KuÅ¡ec</t>
  </si>
  <si>
    <t>Parenting - Studies by an Ecocultural and Transactional Perspective</t>
  </si>
  <si>
    <t>Loredana Benedetto-Massimo Ingrassia</t>
  </si>
  <si>
    <t>Microorganisms</t>
  </si>
  <si>
    <t>Miroslav Blumenberg-Mona Shaaban-Abdelaziz Elgaml</t>
  </si>
  <si>
    <t>Aluminium Alloys and Composites</t>
  </si>
  <si>
    <t>TECHNOLOGY &amp; ENGINEERING / Metallurgy</t>
  </si>
  <si>
    <t>Kavian Omar Cooke</t>
  </si>
  <si>
    <t>Drought - Detection and Solutions</t>
  </si>
  <si>
    <t>Gabrijel Ondrasek</t>
  </si>
  <si>
    <t>Green Technologies to Improve the Environment on Earth</t>
  </si>
  <si>
    <t>Marquidia Pacheco</t>
  </si>
  <si>
    <t>Social Media and Machine Learning</t>
  </si>
  <si>
    <t>Alberto Cano</t>
  </si>
  <si>
    <t>Phytochemicals in Human Health</t>
  </si>
  <si>
    <t>Akkinapally Venketeshwer Rao-Dennis R. A. Mans-Leticia Rao</t>
  </si>
  <si>
    <t>Advances in Grape and Wine Biotechnology</t>
  </si>
  <si>
    <t>TECHNOLOGY &amp; ENGINEERING / Agriculture / Enology &amp; Viticulture</t>
  </si>
  <si>
    <t>Antonio Morata-Iris Loira</t>
  </si>
  <si>
    <t>Extracellular Matrix - Developments and Therapeutics</t>
  </si>
  <si>
    <t>Rama Sashank Madhurapantula-Joseph Orgel P.R.O.-Zvi G. Loewy</t>
  </si>
  <si>
    <t>Science, Technology and Advanced Application of Supercapacitors</t>
  </si>
  <si>
    <t>Takaya Sato</t>
  </si>
  <si>
    <t>Contemporary Topics in Graduate Medical Education - Volume 2</t>
  </si>
  <si>
    <t>Stanislaw P. Stawicki-Michael S. Firstenberg-James P. Orlando-Thomas John Papadimos</t>
  </si>
  <si>
    <t>Chemical Vapor Deposition for Nanotechnology</t>
  </si>
  <si>
    <t>Pietro Mandracci</t>
  </si>
  <si>
    <t>Medical Internet of Things (m-IoT) - Enabling Technologies and Emerging Applications</t>
  </si>
  <si>
    <t>Hamed Farhadi</t>
  </si>
  <si>
    <t>Heat and Mass Transfer - Advances in Science and Technology Applications</t>
  </si>
  <si>
    <t>Alfredo Iranzo</t>
  </si>
  <si>
    <t>Nearly Zero Energy Building (NZEB) - Materials, Design and New Approaches</t>
  </si>
  <si>
    <t>David Bienvenido Huertas</t>
  </si>
  <si>
    <t>Environmental Impact and Remediation of Heavy Metals</t>
  </si>
  <si>
    <t>Hosam M. Saleh-Amal I. Hassan</t>
  </si>
  <si>
    <t>Congenital Heart Defects - Recent Advances</t>
  </si>
  <si>
    <t>P. Syamasundar Rao</t>
  </si>
  <si>
    <t>Clay and Clay Minerals</t>
  </si>
  <si>
    <t>Gustavo Morari Do Nascimento</t>
  </si>
  <si>
    <t>Effective Elimination of Structural Racism</t>
  </si>
  <si>
    <t>Erick Guerrero</t>
  </si>
  <si>
    <t>Drug Repurposing - Molecular Aspects and Therapeutic Applications</t>
  </si>
  <si>
    <t>Shailendra K. Saxena</t>
  </si>
  <si>
    <t>Recent Perspectives in Pyrolysis Research</t>
  </si>
  <si>
    <t>Mattia Bartoli-Mauro Giorcelli</t>
  </si>
  <si>
    <t>MOOC (Massive Open Online Courses)</t>
  </si>
  <si>
    <t>Dragan CvetkoviÄ‡</t>
  </si>
  <si>
    <t>Waste Material Recycling in the Circular Economy - Challenges and Developments</t>
  </si>
  <si>
    <t>Dimitris S. Achilias</t>
  </si>
  <si>
    <t>Anxiety, Uncertainty, and Resilience During the Pandemic Period - Anthropological and Psychological Perspectives</t>
  </si>
  <si>
    <t>Fabio Gabrielli-Floriana Irtelli</t>
  </si>
  <si>
    <t>Reactive Oxygen Species</t>
  </si>
  <si>
    <t>Rizwan Ahmad</t>
  </si>
  <si>
    <t>Fighting the COVID-19 Pandemic</t>
  </si>
  <si>
    <t>Manal Mohammad Baddour</t>
  </si>
  <si>
    <t>Healthcare Access</t>
  </si>
  <si>
    <t>Amit Agrawal-Srinivas Kosgi</t>
  </si>
  <si>
    <t>Brain-Computer Interface</t>
  </si>
  <si>
    <t>Vahid Asadpour</t>
  </si>
  <si>
    <t>Biodegradation Technology of Organic and Inorganic Pollutants</t>
  </si>
  <si>
    <t>Kassio Ferreira Mendes-Rodrigo Nogueira de Sousa-Kamila Cabral Mielke</t>
  </si>
  <si>
    <t>Alternative Energies and Efficiency Evaluation</t>
  </si>
  <si>
    <t>Muhammad Wakil Shahzad-Muhammad Sultan-Laurent Dala-Ben Bin Xu-Muhammad Ahmad Jamil-Nida Imtiaz-Yinzhu Jiang</t>
  </si>
  <si>
    <t>Global Decline of Insects</t>
  </si>
  <si>
    <t>Hamadttu Abdel Farag El-Shafie</t>
  </si>
  <si>
    <t>Phenolic Compounds - Chemistry, Synthesis, Diversity, Non-Conventional Industrial, Pharmaceutical and Therapeutic Applications</t>
  </si>
  <si>
    <t>Farid A. Badria</t>
  </si>
  <si>
    <t>The Nature, Causes, Effects and Mitigation of Climate Change on the Environment</t>
  </si>
  <si>
    <t>Stuart Arthur Harris</t>
  </si>
  <si>
    <t>Contemporary Developments and Perspectives in International Health Security - Volume 2</t>
  </si>
  <si>
    <t>Stanislaw P. Stawicki-Michael S. Firstenberg-Sagar C. Galwankar-Andrew C. Miller-Thomas J. Papadimos</t>
  </si>
  <si>
    <t>Engineered Wood Products for Construction</t>
  </si>
  <si>
    <t>Meng Gong</t>
  </si>
  <si>
    <t>Antioxidants - Benefits, Sources, Mechanisms of Action</t>
  </si>
  <si>
    <t>Viduranga Y. Waisundara</t>
  </si>
  <si>
    <t>SARS-CoV-2 Origin and COVID-19 Pandemic Across the Globe</t>
  </si>
  <si>
    <t>Advances in the Convergence of Blockchain and Artificial Intelligence</t>
  </si>
  <si>
    <t>Tiago M. FernÃ¡ndez-CaramÃ©s-Paula Fraga-Lamas</t>
  </si>
  <si>
    <t>Deep Learning Applications</t>
  </si>
  <si>
    <t>Pier Luigi Mazzeo-Paolo Spagnolo</t>
  </si>
  <si>
    <t>Nitrogen in Agriculture - Physiological, Agricultural and Ecological Aspects</t>
  </si>
  <si>
    <t>Takuji Ohyama-Kazuyuki Inubushi</t>
  </si>
  <si>
    <t>Natural Medicinal Plants</t>
  </si>
  <si>
    <t>Hany El-Shemy</t>
  </si>
  <si>
    <t>Environmental Health</t>
  </si>
  <si>
    <t>Takemi Otsuki</t>
  </si>
  <si>
    <t>Cardiomyopathy - Disease of the Heart Muscle</t>
  </si>
  <si>
    <t>Gustav Mattsson-Peter Magnusson</t>
  </si>
  <si>
    <t>Issues on Risk Analysis for Critical Infrastructure Protection</t>
  </si>
  <si>
    <t>Vittorio Rosato-Antonio Di Pietro</t>
  </si>
  <si>
    <t>Nanopores</t>
  </si>
  <si>
    <t>Sadia Ameen-M. Shaheer Akhtar-Hyung-Shik Shin</t>
  </si>
  <si>
    <t>Response Surface Methodology in Engineering Science</t>
  </si>
  <si>
    <t>Smart Cities and Construction Technologies</t>
  </si>
  <si>
    <t>Sara Shirowzhan-Kefeng Zhang</t>
  </si>
  <si>
    <t>New Trends in the Use of Artificial Intelligence for the Industry 4.0</t>
  </si>
  <si>
    <t>Luis Romeral Martinez-Roque A. Osornio-Rios-Miguel Delgado-Prieto</t>
  </si>
  <si>
    <t>Model Predictive Control Mit MATLAB Und Simulink - Model Predictive Control with MATLAB and Simulink</t>
  </si>
  <si>
    <t>Rainer Dittmar</t>
  </si>
  <si>
    <t>Advanced Statistical Modeling, Forecasting, and Fault Detection in Renewable Energy Systems</t>
  </si>
  <si>
    <t>Fouzi Harrou-Ying Sun</t>
  </si>
  <si>
    <t>Advanced Oxidation Processes - Applications, Trends, and Prospects</t>
  </si>
  <si>
    <t>Ciro Fernando Bustillo-Lecompte</t>
  </si>
  <si>
    <t>Emerging Contaminants</t>
  </si>
  <si>
    <t>Aurel Nuro</t>
  </si>
  <si>
    <t>Updates in Volcanology - Transdisciplinary Nature of Volcano Science</t>
  </si>
  <si>
    <t>SCIENCE / Earth Sciences / Seismology &amp; Volcanism</t>
  </si>
  <si>
    <t>KÃ¡roly NÃ©meth</t>
  </si>
  <si>
    <t>Soil Contamination - Threats and Sustainable Solutions</t>
  </si>
  <si>
    <t>Magnesium Alloys Structure and Properties</t>
  </si>
  <si>
    <t>Tomasz Arkadiusz TaÅ„ski-Pawel Jarka</t>
  </si>
  <si>
    <t>Glaciers and the Polar Environment</t>
  </si>
  <si>
    <t>Masaki Kanao-Danilo Godone-NiccolÃ² Dematteis</t>
  </si>
  <si>
    <t>Landscape Architecture - Processes and Practices Towards Sustainable Development</t>
  </si>
  <si>
    <t>LuÃ­s Loures-Mustafa Ergen</t>
  </si>
  <si>
    <t>Strategies of Sustainable Solid Waste Management</t>
  </si>
  <si>
    <t>Hosam M. Saleh</t>
  </si>
  <si>
    <t>Data Mining - Methods, Applications and Systems</t>
  </si>
  <si>
    <t>Derya Birant</t>
  </si>
  <si>
    <t>Human Rights in the Contemporary World</t>
  </si>
  <si>
    <t>Trudy Corrigan</t>
  </si>
  <si>
    <t>Antimicrobial Resistance - A One Health Perspective</t>
  </si>
  <si>
    <t>Mihai Mares-Swee Hua Erin Lim-Kok-Song Lai-Romeo-Teodor Cristina</t>
  </si>
  <si>
    <t>Renewable Energy - Technologies and Applications</t>
  </si>
  <si>
    <t>Tolga Taner-Archana Tiwari-Taha Selim Ustun</t>
  </si>
  <si>
    <t>Intelligent System and Computing</t>
  </si>
  <si>
    <t>Yang (Cindy) Yi</t>
  </si>
  <si>
    <t>Contemporary Developments and Perspectives in International Health Security - Volume 1</t>
  </si>
  <si>
    <t>Stanislaw P. Stawicki-Michael S. Firstenberg-Sagar C. Galwankar-Ricardo Izurieta-Thomas J. Papadimos</t>
  </si>
  <si>
    <t>Corporate Social Responsibility</t>
  </si>
  <si>
    <t>Beatrice Orlando</t>
  </si>
  <si>
    <t>Trace Metals in the Environment - New Approaches and Recent Advances</t>
  </si>
  <si>
    <t>Mario Alfonso Murillo-Tovar-Hugo Albeiro Saldarriaga NoreÃ±a-Agnieszka Saeid</t>
  </si>
  <si>
    <t>Finite Element Methods and Their Applications</t>
  </si>
  <si>
    <t>Mahboub Baccouch</t>
  </si>
  <si>
    <t>Chemistry and Technology of Natural and Synthetic Dyes and Pigments</t>
  </si>
  <si>
    <t>Ashis Kumar Samanta-Nasser Sayed Awwad-Hamed Majdooa Algarni</t>
  </si>
  <si>
    <t>Bacterial Biofilms</t>
  </si>
  <si>
    <t>SadÄ±k Dincer-Melis Sumengen Ozdenefe-Afet Arkut</t>
  </si>
  <si>
    <t>Advances in Landscape Architecture</t>
  </si>
  <si>
    <t>Murat Ozyavuz</t>
  </si>
  <si>
    <t>Advances in Biomaterials Science and Biomedical Applications</t>
  </si>
  <si>
    <t>Rosario Pignatello</t>
  </si>
  <si>
    <t>Effective and Sustainable Hydraulic Fracturing</t>
  </si>
  <si>
    <t>Robert G. Jeffrey-John Mclennan-Andrew Bunger</t>
  </si>
  <si>
    <t>Biomass Now - Cultivation and Utilization</t>
  </si>
  <si>
    <t>Miodrag Darko Matovic</t>
  </si>
  <si>
    <t>Nanocomposites - New Trends and Developments</t>
  </si>
  <si>
    <t>SCIENCE / Physics / Condensed Matter</t>
  </si>
  <si>
    <t>Farzad Ebrahimi</t>
  </si>
  <si>
    <t>New Polymers for Special Applications</t>
  </si>
  <si>
    <t>SCIENCE / Physics / Polymer</t>
  </si>
  <si>
    <t>Ailton De Souza Gomes</t>
  </si>
  <si>
    <t>Lipid Peroxidation</t>
  </si>
  <si>
    <t>Angel Catala</t>
  </si>
  <si>
    <t>Recent Advances in Novel Drug Carrier Systems</t>
  </si>
  <si>
    <t>Ali Demir Sezer</t>
  </si>
  <si>
    <t>Cellulose - Fundamental Aspects</t>
  </si>
  <si>
    <t>Louis Godbout-Theo G.M. Van De Ven</t>
  </si>
  <si>
    <t>Water Treatment</t>
  </si>
  <si>
    <t>Rezaul Chowdhury-Walid Elshorbagy</t>
  </si>
  <si>
    <t>Carbohydrates - Comprehensive Studies on Glycobiology and Glycotechnology</t>
  </si>
  <si>
    <t>Chuan-Fa Chang</t>
  </si>
  <si>
    <t>Genetic Diversity in Plants</t>
  </si>
  <si>
    <t>Mahmut Ã‡alÄ±ÅŸkan</t>
  </si>
  <si>
    <t>Biomass Now - Sustainable Growth and Use</t>
  </si>
  <si>
    <t>MATLAB - A Fundamental Tool for Scientific Computing and Engineering Applications - Volume 1</t>
  </si>
  <si>
    <t>Food Industrial Processes - Methods and Equipment</t>
  </si>
  <si>
    <t>Benjamin Valdez</t>
  </si>
  <si>
    <t>Health and Environment in Aquaculture</t>
  </si>
  <si>
    <t>Edmir Daniel Carvalho-Reinaldo J. Silva-Gianmarco S. David</t>
  </si>
  <si>
    <t>Insecticides - Basic and Other Applications</t>
  </si>
  <si>
    <t>Mechanical Engineering</t>
  </si>
  <si>
    <t>Murat Gokcek</t>
  </si>
  <si>
    <t>Fourier Transform - Signal Processing</t>
  </si>
  <si>
    <t>Salih Mohammed Salih</t>
  </si>
  <si>
    <t>Toxicity and Drug Testing</t>
  </si>
  <si>
    <t>MEDICAL / Toxicology</t>
  </si>
  <si>
    <t>Bill Acree</t>
  </si>
  <si>
    <t>Nutrition, Well-Being and Health</t>
  </si>
  <si>
    <t>Jaouad Bouayed-Torsten Bohn</t>
  </si>
  <si>
    <t>Applications of Ionic Liquids in Science and Technology</t>
  </si>
  <si>
    <t>Scott Handy</t>
  </si>
  <si>
    <t>Structure and Function of Food Engineering</t>
  </si>
  <si>
    <t>Ayman Hafiz Amer Eissa</t>
  </si>
  <si>
    <t>Applications of MATLAB in Science and Engineering</t>
  </si>
  <si>
    <t>Tadeusz Michalowski</t>
  </si>
  <si>
    <t>MATLAB for Engineers - Applications in Control, Electrical Engineering, IT and Robotics</t>
  </si>
  <si>
    <t>Karel Perutka</t>
  </si>
  <si>
    <t>Engineering Education and Research Using MATLAB</t>
  </si>
  <si>
    <t>Ali Assi</t>
  </si>
  <si>
    <t>Phytochemicals - A Global Perspective of Their Role in Nutrition and Health</t>
  </si>
  <si>
    <t>Akkinapally Venketeshwer Rao</t>
  </si>
  <si>
    <t>Integrated Pest Management and Pest Control - Current and Future Tactics</t>
  </si>
  <si>
    <t>Olive Oil - Constituents, Quality, Health Properties and Bioconversions</t>
  </si>
  <si>
    <t>Dimitrios Boskou</t>
  </si>
  <si>
    <t>Insecticides - Pest Engineering</t>
  </si>
  <si>
    <t>Farzana Khan Perveen</t>
  </si>
  <si>
    <t>Mental Illnesses - Understanding, Prediction and Control</t>
  </si>
  <si>
    <t>Luciano LAbate</t>
  </si>
  <si>
    <t>Biofuel Production - Recent Developments and Prospects</t>
  </si>
  <si>
    <t>Marco Aurelio Dos Santos Bernardes</t>
  </si>
  <si>
    <t>Ionic Liquids - Classes and Properties</t>
  </si>
  <si>
    <t>Regenerative Medicine and Tissue Engineering - Cells and Biomaterials</t>
  </si>
  <si>
    <t>Daniel Eberli</t>
  </si>
  <si>
    <t>MATLAB - A Ubiquitous Tool for the Practical Engineer</t>
  </si>
  <si>
    <t>Clara Mihaela Ionescu</t>
  </si>
  <si>
    <t>Fundamental and Advanced Topics in Wind Power</t>
  </si>
  <si>
    <t>Rupp Carriveau</t>
  </si>
  <si>
    <t>Artificial Neural Networks - Methodological Advances and Biomedical Applications</t>
  </si>
  <si>
    <t>Kenji Suzuki</t>
  </si>
  <si>
    <t>Physics and Applications of Graphene - Experiments</t>
  </si>
  <si>
    <t>Sergey Mikhailov</t>
  </si>
  <si>
    <t>Fungicides</t>
  </si>
  <si>
    <t>SCIENCE / Life Sciences / Mycology</t>
  </si>
  <si>
    <t>Odile Carisse</t>
  </si>
  <si>
    <t>Coherence and Ultrashort Pulse Laser Emission</t>
  </si>
  <si>
    <t>TECHNOLOGY &amp; ENGINEERING / Electronics / Optoelectronics</t>
  </si>
  <si>
    <t>F. J. Duarte</t>
  </si>
  <si>
    <t>Aldosterone-Mineralocorticoid Receptor - Cell Biology to Translational Medicine</t>
  </si>
  <si>
    <t>Brian Harvey-Frederic Jaisser</t>
  </si>
  <si>
    <t>Advances in Membrane Technologies</t>
  </si>
  <si>
    <t>Amira Abdelrasoul-Arash Mollahosseini</t>
  </si>
  <si>
    <t>Carbon-Based Material for Environmental Protection and Remediation</t>
  </si>
  <si>
    <t>Mattia Bartoli-Marco Frediani-Luca Rosi</t>
  </si>
  <si>
    <t>Renewable Energy - Resources, Challenges and Applications</t>
  </si>
  <si>
    <t>Mansour Al Qubeissi-Ahmad El-Kharouf-Hakan Serhad Soyhan</t>
  </si>
  <si>
    <t>Deterministic Artificial Intelligence</t>
  </si>
  <si>
    <t>Timothy Sands</t>
  </si>
  <si>
    <t>Animal Reproduction in Veterinary Medicine</t>
  </si>
  <si>
    <t>Faruk Aral-Rita Payan-Carreira-Miguel Quaresma</t>
  </si>
  <si>
    <t>Antimicrobials, Antibiotic Resistance, Antibiofilm Strategies and Activity Methods</t>
  </si>
  <si>
    <t>Sahra KÄ±rmusaoÄŸlu</t>
  </si>
  <si>
    <t>Security and Privacy From a Legal, Ethical, and Technical Perspective</t>
  </si>
  <si>
    <t>Christos Kalloniatis-Carlos M. Travieso-Gonzalez</t>
  </si>
  <si>
    <t>Extremophilic Microbes and Metabolites - Diversity, Bioprospecting and Biotechnological Applications</t>
  </si>
  <si>
    <t>Afef Najjari-Ameur Cherif-Haitham Sghaier-Hadda Imene Ouzari</t>
  </si>
  <si>
    <t>Climate Change and Agriculture</t>
  </si>
  <si>
    <t>Saddam Hussain</t>
  </si>
  <si>
    <t>Pharmacognosy - Medicinal Plants</t>
  </si>
  <si>
    <t>Shagufta Perveen-Areej Al-Taweel</t>
  </si>
  <si>
    <t>Chemical Properties of Starch</t>
  </si>
  <si>
    <t>Martins Ochubiojo Ochubiojo Emeje</t>
  </si>
  <si>
    <t>Recent Advances in Grain Crops Research</t>
  </si>
  <si>
    <t>Farooq Shah-Zafar Khan-Amjad Iqbal-Metin Turan-Murat Olgun</t>
  </si>
  <si>
    <t>Advances in the Molecular Understanding of Colorectal Cancer</t>
  </si>
  <si>
    <t>Eva Segelov</t>
  </si>
  <si>
    <t>Alginates - Recent Uses of This Natural Polymer</t>
  </si>
  <si>
    <t>Leonel Pereira-JoÃ£o Cotas</t>
  </si>
  <si>
    <t>Abiotic and Biotic Stress in Plants</t>
  </si>
  <si>
    <t>Alexandre Bosco De Oliveira</t>
  </si>
  <si>
    <t>Drug Discovery and Development - New Advances</t>
  </si>
  <si>
    <t>Vishwanath Gaitonde-Partha Karmakar-Ashit Trivedi</t>
  </si>
  <si>
    <t>Essential Oils - Oils of Nature</t>
  </si>
  <si>
    <t>Interpersonal Relationships</t>
  </si>
  <si>
    <t>Martha Peaslee Levine</t>
  </si>
  <si>
    <t>Advances in Spacecraft Attitude Control</t>
  </si>
  <si>
    <t>SCIENCE / Mechanics / Aerodynamics</t>
  </si>
  <si>
    <t>Green Energy Advances</t>
  </si>
  <si>
    <t>Diana Enescu</t>
  </si>
  <si>
    <t>Plant Physiological Aspects of Phenolic Compounds</t>
  </si>
  <si>
    <t>Marcos Soto-HernÃ¡ndez-Rosario GarcÃ­a-Mateos-Mariana Palma-Tenango</t>
  </si>
  <si>
    <t>Desalination - Challenges and Opportunities</t>
  </si>
  <si>
    <t>Mohammad Hossein Davood Abadi Farahani-Vahid Vatanpour-Amir Hooshang Taheri</t>
  </si>
  <si>
    <t>Wind Solar Hybrid Renewable Energy System</t>
  </si>
  <si>
    <t>Kenneth Eloghene Okedu-Ahmed Tahour-Abdel Ghani Aissaoui</t>
  </si>
  <si>
    <t>Biomass for Bioenergy - Recent Trends and Future Challenges</t>
  </si>
  <si>
    <t>Abdelfatah Abomohra</t>
  </si>
  <si>
    <t>Advanced Sorption Process Applications</t>
  </si>
  <si>
    <t>Serpil Edebali</t>
  </si>
  <si>
    <t>Photocatalysts - Applications and Attributes</t>
  </si>
  <si>
    <t>Sher Bahadar Khan-Kalsoom Akhtar</t>
  </si>
  <si>
    <t>Diesel and Gasoline Engines</t>
  </si>
  <si>
    <t>Richard Viskup</t>
  </si>
  <si>
    <t>Cellulose</t>
  </si>
  <si>
    <t>Alejandro RodrÃ­guez Pascual-Maria E. Eugenio Martin</t>
  </si>
  <si>
    <t>Processing of Heavy Crude Oils - Challenges and Opportunities</t>
  </si>
  <si>
    <t>Ramasamy Marappa Gounder</t>
  </si>
  <si>
    <t>Biochar - An Imperative Amendment for Soil and the Environment</t>
  </si>
  <si>
    <t>Vikas Abrol-Peeyush Sharma</t>
  </si>
  <si>
    <t>Poisoning in the Modern World - New Tricks for an Old Dog?</t>
  </si>
  <si>
    <t>Ozgur Karcioglu-Banu Arslan</t>
  </si>
  <si>
    <t>Antimicrobial Resistance - A Global Threat</t>
  </si>
  <si>
    <t>Yashwant Kumar</t>
  </si>
  <si>
    <t>Immune Response Activation and Immunomodulation</t>
  </si>
  <si>
    <t>Rajeev K. Tyagi-Prakash Singh Bisen</t>
  </si>
  <si>
    <t>Frontiers and New Trends in the Science of Fermented Food and Beverages</t>
  </si>
  <si>
    <t>Rosa Lidia SolÃ­s-Oviedo-Ãngel De La Cruz Pech-Canul</t>
  </si>
  <si>
    <t>Anaerobic Digestion</t>
  </si>
  <si>
    <t>Rajesh Banu Jeyakumar-Yukesh Kannah Ravi</t>
  </si>
  <si>
    <t>Phytochemicals - Source of Antioxidants and Role in Disease Prevention</t>
  </si>
  <si>
    <t>Toshiki Asao-Md Asaduzzaman</t>
  </si>
  <si>
    <t>Biofuels - State of Development</t>
  </si>
  <si>
    <t>Krzysztof Biernat</t>
  </si>
  <si>
    <t>Secondary Metabolites - Sources and Applications</t>
  </si>
  <si>
    <t>Ramasamy Vijayakumar-Suresh Selvapuram Sudalaimuthu Raja</t>
  </si>
  <si>
    <t>Recent Applications in Data Clustering</t>
  </si>
  <si>
    <t>Harun Pirim</t>
  </si>
  <si>
    <t>Current Topics in the Utilization of Clay in Industrial and Medical Applications</t>
  </si>
  <si>
    <t>SCIENCE / Earth Sciences / Mineralogy</t>
  </si>
  <si>
    <t>Mansoor Zoveidavianpoor</t>
  </si>
  <si>
    <t>Silver Nanoparticles - Fabrication, Characterization and Applications</t>
  </si>
  <si>
    <t>Maaz Khan</t>
  </si>
  <si>
    <t>Microalgal Biotechnology</t>
  </si>
  <si>
    <t>Eduardo Jacob-Lopes-Leila Queiroz Zepka-Maria Isabel Queiroz</t>
  </si>
  <si>
    <t>Heavy Metals</t>
  </si>
  <si>
    <t>Hosam M. Saleh-Refaat F. Aglan</t>
  </si>
  <si>
    <t>Into Space - A Journey of How Humans Adapt and Live in Microgravity</t>
  </si>
  <si>
    <t>Thais Russomano-Lucas Rehnberg</t>
  </si>
  <si>
    <t>Gene Expression and Regulation in Mammalian Cells - Transcription From General Aspects</t>
  </si>
  <si>
    <t>Fumiaki Uchiumi</t>
  </si>
  <si>
    <t>Titanium Dioxide - Material for a Sustainable Environment</t>
  </si>
  <si>
    <t>Dongfang Yang</t>
  </si>
  <si>
    <t>Corrosion Inhibitors, Principles and Recent Applications</t>
  </si>
  <si>
    <t>TECHNOLOGY &amp; ENGINEERING / Materials Science / Thin Films, Surfaces &amp; Interfaces</t>
  </si>
  <si>
    <t>Mahmood Aliofkhazraei</t>
  </si>
  <si>
    <t>Advances in Biofuels and Bioenergy</t>
  </si>
  <si>
    <t>Jaya Soneji-Madhugiri Nageswara-Rao</t>
  </si>
  <si>
    <t>Machine Learning - Advanced Techniques and Emerging Applications</t>
  </si>
  <si>
    <t>Towards Malaria Elimination - A Leap Forward</t>
  </si>
  <si>
    <t>Vas Dev-Sylvie Manguin</t>
  </si>
  <si>
    <t>Sugarcane - Technology and Research</t>
  </si>
  <si>
    <t>Genotoxicity - A Predictable Risk to Our Actual World</t>
  </si>
  <si>
    <t>Sonia Soloneski-Marcelo L. Larramendy</t>
  </si>
  <si>
    <t>Herbal Medicine</t>
  </si>
  <si>
    <t>Philip Builders</t>
  </si>
  <si>
    <t>Digital Transformation in Smart Manufacturing</t>
  </si>
  <si>
    <t>Antonella Petrillo-Fabio De Felice-Raffaele Cioffi</t>
  </si>
  <si>
    <t>Noble and Precious Metals - Properties, Nanoscale Effects and Applications</t>
  </si>
  <si>
    <t>Alan D. Bristow-Mohindar Singh Seehra</t>
  </si>
  <si>
    <t>RoCKIn - Benchmarking Through Robot Competitions</t>
  </si>
  <si>
    <t>TECHNOLOGY &amp; ENGINEERING / Automation</t>
  </si>
  <si>
    <t>N/A</t>
  </si>
  <si>
    <t>Raman Spectroscopy</t>
  </si>
  <si>
    <t>Symmetry (Group Theory) and Mathematical Treatment in Chemistry</t>
  </si>
  <si>
    <t>SCIENCE / Chemistry / Inorganic</t>
  </si>
  <si>
    <t>Advanced Applications for Artificial Neural Networks</t>
  </si>
  <si>
    <t>Adel El-Shahat</t>
  </si>
  <si>
    <t>Lignin - Trends and Applications</t>
  </si>
  <si>
    <t>Matheus Poletto</t>
  </si>
  <si>
    <t>Search and Rescue Robotics - From Theory to Practice</t>
  </si>
  <si>
    <t>Biosorption</t>
  </si>
  <si>
    <t>Branislav Vrana-Jan Derco</t>
  </si>
  <si>
    <t>Industrial Robotics - Theory, Modelling and Control</t>
  </si>
  <si>
    <t>Sam Cubero</t>
  </si>
  <si>
    <t>Advances in - Seed Biology</t>
  </si>
  <si>
    <t>Jose C. Jimenez-Lopez</t>
  </si>
  <si>
    <t>Physico-Chemical Wastewater Treatment and Resource Recovery</t>
  </si>
  <si>
    <t>Zaki Ahmad-Robina Farooq</t>
  </si>
  <si>
    <t>Phenolic Compounds - Natural Sources, Importance and Applications</t>
  </si>
  <si>
    <t>Marcos Soto-HernÃ¡ndez-Mariana Palma-Tenango-Rosario GarcÃ­a-Mateos</t>
  </si>
  <si>
    <t>Functional Food - Improve Health Through Adequate Food</t>
  </si>
  <si>
    <t>MarÃ­a ChÃ¡varri Hueda</t>
  </si>
  <si>
    <t>Solubility of Polysaccharides</t>
  </si>
  <si>
    <t>Zhenbo Xu</t>
  </si>
  <si>
    <t>Statistical Approaches With Emphasis on Design of Experiments Applied to Chemical Processes</t>
  </si>
  <si>
    <t>Valter Silva</t>
  </si>
  <si>
    <t>Flavonoids - From Biosynthesis to Human Health</t>
  </si>
  <si>
    <t>GonÃ§alo Justino</t>
  </si>
  <si>
    <t>Recent Insights in Petroleum Science and Engineering</t>
  </si>
  <si>
    <t>Cutting Edge Robotics</t>
  </si>
  <si>
    <t>Vedran Kordic-Munir Merdan-Alex Lazinica</t>
  </si>
  <si>
    <t>Pyrolysis</t>
  </si>
  <si>
    <t>Mohamed Samer</t>
  </si>
  <si>
    <t>Pattern Recognition - Techniques, Technology and Applications</t>
  </si>
  <si>
    <t>Peng-Yeng Yin</t>
  </si>
  <si>
    <t>Phenolic Compounds - Biological Activity</t>
  </si>
  <si>
    <t>Modern Technologies for Creating the Thin-film Systems and Coatings</t>
  </si>
  <si>
    <t>Nikolay N. Nikitenkov</t>
  </si>
  <si>
    <t>Enzyme Inhibitors and Activators</t>
  </si>
  <si>
    <t>Murat ÅžentÃ¼rk</t>
  </si>
  <si>
    <t>Superfood and Functional Food - An Overview of Their Processing and Utilization</t>
  </si>
  <si>
    <t>BUSINESS &amp; ECONOMICS / Industries / Food Industry</t>
  </si>
  <si>
    <t>Viduranga Y. Waisundara-Naofumi Shiomi</t>
  </si>
  <si>
    <t>Biological Activities and Application of Marine Polysaccharides</t>
  </si>
  <si>
    <t>Emad Shalaby</t>
  </si>
  <si>
    <t>Biomass Volume Estimation and Valorization for Energy</t>
  </si>
  <si>
    <t>Jaya Shankar Tumuluru</t>
  </si>
  <si>
    <t>Water Quality</t>
  </si>
  <si>
    <t>Hlanganani Tutu</t>
  </si>
  <si>
    <t>Wetting and Wettability</t>
  </si>
  <si>
    <t>Fermentation Processes</t>
  </si>
  <si>
    <t>Angela Faustino Jozala</t>
  </si>
  <si>
    <t>Semiconductor Photocatalysis - Materials, Mechanisms and Applications</t>
  </si>
  <si>
    <t>Wenbin Cao</t>
  </si>
  <si>
    <t>Abiotic and Biotic Stress in Plants - Recent Advances and Future Perspectives</t>
  </si>
  <si>
    <t>Chitra Shanker-Arun Shanker</t>
  </si>
  <si>
    <t>Actinobacteria - Basics and Biotechnological Applications</t>
  </si>
  <si>
    <t>Dharumadurai Dhanasekaran-Yi Jiang</t>
  </si>
  <si>
    <t>Face Recognition</t>
  </si>
  <si>
    <t>Mislav Grgic-Kresimir Delac</t>
  </si>
  <si>
    <t>Cellulose - Fundamental Aspects and Current Trends</t>
  </si>
  <si>
    <t>Heitor Ornaghi Jr.-Matheus Poletto</t>
  </si>
  <si>
    <t>Wastewater Treatment Engineering</t>
  </si>
  <si>
    <t>Advances in Bioremediation of Wastewater and Polluted Soil</t>
  </si>
  <si>
    <t>Naofumi Shiomi</t>
  </si>
  <si>
    <t>Biofuels - Status and Perspective</t>
  </si>
  <si>
    <t>Phytochemicals - Isolation, Characterisation and Role in Human Health</t>
  </si>
  <si>
    <t>Akkinapally Venketeshwer Rao-Leticia Rao</t>
  </si>
  <si>
    <t>Biodiversity in Ecosystems - Linking Structure and Function</t>
  </si>
  <si>
    <t>Juan A. Blanco-Yueh-Hsin Lo-Shovonlal Roy</t>
  </si>
  <si>
    <t>Solar Cells - New Approaches and Reviews</t>
  </si>
  <si>
    <t>Leonid A. Kosyachenko</t>
  </si>
  <si>
    <t>Finite Element Analysis</t>
  </si>
  <si>
    <t>David Moratal</t>
  </si>
  <si>
    <t>Environmental Risk Assessment of Soil Contamination</t>
  </si>
  <si>
    <t>Maria C. Hernandez Soriano</t>
  </si>
  <si>
    <t>Trends in Helicobacter Pylori Infection</t>
  </si>
  <si>
    <t>MEDICAL / Hepatology</t>
  </si>
  <si>
    <t>Bruna Maria Roesler</t>
  </si>
  <si>
    <t>Application of Nanotechnology in Drug Delivery</t>
  </si>
  <si>
    <t>Developments in Corrosion Protection</t>
  </si>
  <si>
    <t>Swarm Intelligence - Focus on Ant and Particle Swarm Optimization</t>
  </si>
  <si>
    <t>Felix T.S. Chan-Manoj Kumar Tiwari</t>
  </si>
  <si>
    <t>Trends in Telecommunications Technologies</t>
  </si>
  <si>
    <t>COMPUTERS / Data Transmission Systems / Wireless</t>
  </si>
  <si>
    <t>Christos J. Bouras</t>
  </si>
  <si>
    <t>Modelling and Simulation</t>
  </si>
  <si>
    <t>Giuliano Cammarata-Giuseppe Petrone</t>
  </si>
  <si>
    <t>MATLAB - Modelling, Programming and Simulations</t>
  </si>
  <si>
    <t>Emilson Pereira Leite</t>
  </si>
  <si>
    <t>Products and Services - From R&amp;D to Final Solutions</t>
  </si>
  <si>
    <t>Igor Fuerstner</t>
  </si>
  <si>
    <t>New Developments in Biomedical Engineering</t>
  </si>
  <si>
    <t>Domenico Campolo</t>
  </si>
  <si>
    <t>Aerial Vehicles</t>
  </si>
  <si>
    <t>T. M. Lam</t>
  </si>
  <si>
    <t>Robotics and Automation in Construction</t>
  </si>
  <si>
    <t>Mohamed Abderrahim-Carlos Balaguer</t>
  </si>
  <si>
    <t>Woven Fabric Engineering</t>
  </si>
  <si>
    <t>Polona Dobnik Dubrovski</t>
  </si>
  <si>
    <t>Biopolymers</t>
  </si>
  <si>
    <t>Magdy M. M. Elnashar</t>
  </si>
  <si>
    <t>Advances in Haptics</t>
  </si>
  <si>
    <t>Mehrdad Hosseini Zadeh</t>
  </si>
  <si>
    <t>Solar Energy</t>
  </si>
  <si>
    <t>Radu Dan Rugescu</t>
  </si>
  <si>
    <t>Climbing and Walking Robots</t>
  </si>
  <si>
    <t>Behnam Miripour-Fard</t>
  </si>
  <si>
    <t>Silver Nanoparticles</t>
  </si>
  <si>
    <t>David Pozo</t>
  </si>
  <si>
    <t>Bioinspiration and Robotics - Walking and Climbing Robots</t>
  </si>
  <si>
    <t>Maki K. Habib</t>
  </si>
  <si>
    <t>Biomimetics - Learning From Nature</t>
  </si>
  <si>
    <t>Amitava Mukherjee</t>
  </si>
  <si>
    <t>Natural Gas</t>
  </si>
  <si>
    <t>PrimoÅ¾ Potocnik</t>
  </si>
  <si>
    <t>Biodegradation - Life of Science</t>
  </si>
  <si>
    <t>Rolando Chamy</t>
  </si>
  <si>
    <t>Recent Advances in Plant in Vitro Culture</t>
  </si>
  <si>
    <t>Annarita Leva-Laura Rinaldi</t>
  </si>
  <si>
    <t>Brain-Computer Interface Systems - Recent Progress and Future Prospects</t>
  </si>
  <si>
    <t>Reza Fazel-Rezai</t>
  </si>
  <si>
    <t>Sintering Applications</t>
  </si>
  <si>
    <t>TECHNOLOGY &amp; ENGINEERING / Materials Science / Ceramics</t>
  </si>
  <si>
    <t>Burcu Ertug</t>
  </si>
  <si>
    <t>Organic Pollutants - Monitoring, Risk and Treatment</t>
  </si>
  <si>
    <t>Mohamed Nageeb Rashed</t>
  </si>
  <si>
    <t>Food Industry</t>
  </si>
  <si>
    <t>Innocenzo Muzzalupo</t>
  </si>
  <si>
    <t>Robust Speech - Recognition and Understanding</t>
  </si>
  <si>
    <t>Kristian Kroschel-Michael Grimm</t>
  </si>
  <si>
    <t>Tissue Engineering</t>
  </si>
  <si>
    <t>Abiotic Stress - Plant Responses and Applications in Agriculture</t>
  </si>
  <si>
    <t>GARDENING / Vegetables</t>
  </si>
  <si>
    <t>Charles Leslie-Kourosh Vahdati</t>
  </si>
  <si>
    <t>Renewable Energy</t>
  </si>
  <si>
    <t>Thomas Hammons</t>
  </si>
  <si>
    <t>Oxidative Stress and Chronic Degenerative Diseases - A Role for Antioxidants</t>
  </si>
  <si>
    <t>Jose Antonio Morales-Gonzalez</t>
  </si>
  <si>
    <t>Frontiers in Guided Wave Optics and Optoelectronics</t>
  </si>
  <si>
    <t>TECHNOLOGY &amp; ENGINEERING / Optics</t>
  </si>
  <si>
    <t>Bishnu P Pal</t>
  </si>
  <si>
    <t>Carbon Nanotubes</t>
  </si>
  <si>
    <t>Jose Mauricio Marulanda</t>
  </si>
  <si>
    <t>Probiotics</t>
  </si>
  <si>
    <t>Everlon Cid Rigobelo</t>
  </si>
  <si>
    <t>Eco-Friendly Textile Dyeing and Finishing</t>
  </si>
  <si>
    <t>Melih Gunay</t>
  </si>
  <si>
    <t>Anopheles Mosquitoes - New Insights Into Malaria Vectors</t>
  </si>
  <si>
    <t>Sylvie Manguin</t>
  </si>
  <si>
    <t>Syntheses and Applications of Carbon Nanotubes and Their Composites</t>
  </si>
  <si>
    <t>Satoru Suzuki</t>
  </si>
  <si>
    <t>Computational Intelligence in Electromyography Analysis - A Perspective on Current Applications and Future Challenges</t>
  </si>
  <si>
    <t>MEDICAL / Diagnosis</t>
  </si>
  <si>
    <t>Ganesh R. Naik</t>
  </si>
  <si>
    <t>A Textbook of Advanced Oral and Maxillofacial Surgery</t>
  </si>
  <si>
    <t>MEDICAL / Surgery / Oral &amp; Maxillofacial</t>
  </si>
  <si>
    <t>Mohammad Hosein Kalantar Motamedi</t>
  </si>
  <si>
    <t>Sustainable Degradation of Lignocellulosic Biomass - Techniques, Applications and Commercialization</t>
  </si>
  <si>
    <t>Silvio Silverio Da Silva-Anuj Chandel</t>
  </si>
  <si>
    <t>Hydrogenation</t>
  </si>
  <si>
    <t>Iyad KaramÃ©</t>
  </si>
  <si>
    <t>Lactic Acid Bacteria - R &amp; D for Food, Health and Livestock Purposes</t>
  </si>
  <si>
    <t>J. Marcelino Kongo</t>
  </si>
  <si>
    <t>Infrared Spectroscopy - Materials Science, Engineering and Technology</t>
  </si>
  <si>
    <t>Theophile Theophanides</t>
  </si>
  <si>
    <t>Scanning Electron Microscopy</t>
  </si>
  <si>
    <t>Viacheslav Kazmiruk</t>
  </si>
  <si>
    <t>Ionic Liquids - Applications and Perspectives</t>
  </si>
  <si>
    <t>Alexander Kokorin</t>
  </si>
  <si>
    <t>Numerical Simulations of Physical and Engineering Processes</t>
  </si>
  <si>
    <t>Jan Awrejcewicz</t>
  </si>
  <si>
    <t>Biogas</t>
  </si>
  <si>
    <t>Sunil Kumar</t>
  </si>
  <si>
    <t>Current Trends in X-Ray Crystallography</t>
  </si>
  <si>
    <t>Annamalai Chandrasekaran</t>
  </si>
  <si>
    <t>Water Stress</t>
  </si>
  <si>
    <t>Hiroshi Hasegawa-Ismail M.M. Rahman</t>
  </si>
  <si>
    <t>Organic Pollutants Ten Years After the Stockholm Convention - Environmental and Analytical Update</t>
  </si>
  <si>
    <t>Aleksandra Mostrag-Tomasz Puzyn</t>
  </si>
  <si>
    <t>Herbicides - Environmental Impact Studies and Management Approaches</t>
  </si>
  <si>
    <t>Ruben Alvarez-Fernandez</t>
  </si>
  <si>
    <t>Biodiesel - Feedstocks and Processing Technologies</t>
  </si>
  <si>
    <t>Gisela Montero-Margarita Stoytcheva</t>
  </si>
  <si>
    <t>Biomedical Science, Engineering and Technology</t>
  </si>
  <si>
    <t>Dhanjoo N. Ghista</t>
  </si>
  <si>
    <t>Electronic Properties of Carbon Nanotubes</t>
  </si>
  <si>
    <t>Biomaterials - Physics and Chemistry</t>
  </si>
  <si>
    <t>Aflatoxins - Biochemistry and Molecular Biology</t>
  </si>
  <si>
    <t>Ramon G. Guevara-Gonzalez</t>
  </si>
  <si>
    <t>Abiotic Stress in Plants - Mechanisms and Adaptations</t>
  </si>
  <si>
    <t>Arun Shanker-Bandi Venkateswarlu</t>
  </si>
  <si>
    <t>Thermodynamics - Interaction Studies - Solids, Liquids and Gases</t>
  </si>
  <si>
    <t>Juan Carlos Moreno PirajÃ¡n</t>
  </si>
  <si>
    <t>Progress in Molecular and Environmental Bioengineering - From Analysis and Modeling to Technology Applications</t>
  </si>
  <si>
    <t>Angelo Carpi</t>
  </si>
  <si>
    <t>Cataract Surgery</t>
  </si>
  <si>
    <t>Farhan Zaidi</t>
  </si>
  <si>
    <t>Carbon Nanotubes - Growth and Applications</t>
  </si>
  <si>
    <t>Mohammad Naraghi</t>
  </si>
  <si>
    <t>Pesticides in the Modern World - Trends in Pesticides Analysis</t>
  </si>
  <si>
    <t>Margarita Stoytcheva</t>
  </si>
  <si>
    <t>Advances in Nanocomposites - Synthesis, Characterization and Industrial Applications</t>
  </si>
  <si>
    <t>Boreddy S.R. Reddy</t>
  </si>
  <si>
    <t>Ionic Liquids - Theory, Properties, New Approaches</t>
  </si>
  <si>
    <t>Pesticides - Strategies for Pesticides Analysis</t>
  </si>
  <si>
    <t>Advances in Induction and Microwave Heating of Mineral and Organic Materials</t>
  </si>
  <si>
    <t>StanisÅ‚aw Teodor Grundas</t>
  </si>
  <si>
    <t>Thermodynamics</t>
  </si>
  <si>
    <t>Tadashi Mizutani</t>
  </si>
  <si>
    <t>New Trends and Developments in Automotive System Engineering</t>
  </si>
  <si>
    <t>Marcello Chiaberge</t>
  </si>
  <si>
    <t>Pectins - Extraction, Purification, Characterization and Applications</t>
  </si>
  <si>
    <t>Martin Alberto Masuelli</t>
  </si>
  <si>
    <t>Antioxidants</t>
  </si>
  <si>
    <t>Fantasies of Ito Michio</t>
  </si>
  <si>
    <t>Tara Rodman</t>
  </si>
  <si>
    <t>Identifying the Stones of Classical Hebrew</t>
  </si>
  <si>
    <t>Ephraim S. Ayil</t>
  </si>
  <si>
    <t>Storying Contemporary Migration</t>
  </si>
  <si>
    <t>Lena Englund</t>
  </si>
  <si>
    <t>Proceedings of the International Conference on Science Technology and Social Sciences â€“ Physics, Material and Industrial Technology (ICONSTAS-PMIT 2023)</t>
  </si>
  <si>
    <t>Rosmamuhamadani Ramli-Mohd Nazarudin Zakaria</t>
  </si>
  <si>
    <t>Cultural Heritage and Development in Fragile Contexts</t>
  </si>
  <si>
    <t>Mirella Loda-Paola Abenante</t>
  </si>
  <si>
    <t>Cancer Intersections</t>
  </si>
  <si>
    <t>Camilo Sanz</t>
  </si>
  <si>
    <t>Being Another Way</t>
  </si>
  <si>
    <t>Dustin Klinger</t>
  </si>
  <si>
    <t>Beyond the River, Under the Eye of Rome</t>
  </si>
  <si>
    <t>Timothy C Hart</t>
  </si>
  <si>
    <t>Quantum Software</t>
  </si>
  <si>
    <t>Iaakov Exman-Ricardo PÃ©rez-Castillo-Mario Piattini-Michael Felderer</t>
  </si>
  <si>
    <t>The Politics of Gender Equality</t>
  </si>
  <si>
    <t>Carol Johnson</t>
  </si>
  <si>
    <t>Gender and Politics</t>
  </si>
  <si>
    <t>Countries and Regions</t>
  </si>
  <si>
    <t>Guang Yang-Jing Zhang-Lanyu Liu-Xinghan Xiong</t>
  </si>
  <si>
    <t>Thermalism in the Roman Provinces</t>
  </si>
  <si>
    <t>Silvia GonzÃ¡lez Soutelo</t>
  </si>
  <si>
    <t>Femmes de spectacle (danse, opÃ©ra, thÃ©Ã¢tre)</t>
  </si>
  <si>
    <t>Valentina Ponzetto-Romain Bionda</t>
  </si>
  <si>
    <t>Knowing - Unknowing</t>
  </si>
  <si>
    <t>Katharina Schramm-Sabelo J. Ndlovu-Gatsheni</t>
  </si>
  <si>
    <t>Preparing a Nation?</t>
  </si>
  <si>
    <t>HISTORY / Oceania</t>
  </si>
  <si>
    <t>Brad Underhill</t>
  </si>
  <si>
    <t>Scripting Suicide in Japan</t>
  </si>
  <si>
    <t>Kirsten Cather</t>
  </si>
  <si>
    <t>Proceedings of the International Conference on Law, Public Policy, and Human Rights (ICLaPH 2023)</t>
  </si>
  <si>
    <t>Armansyah Armansyah-Ujang Badru Jaman</t>
  </si>
  <si>
    <t>Japanische Thomas Mann-Ãœbersetzung zwischen Kulturheteronomie und Emanzipation</t>
  </si>
  <si>
    <t>Nicole Marion Mueller</t>
  </si>
  <si>
    <t>Exploiter durablement les forÃªts tropicales</t>
  </si>
  <si>
    <t>Detectors in Particle Physics</t>
  </si>
  <si>
    <t>Georg Viehhauser-Tony Weidberg</t>
  </si>
  <si>
    <t>Social Touch in Humanâ€“Robot Interaction</t>
  </si>
  <si>
    <t>Masahiro Shiomi-Hidenobu Sumioka</t>
  </si>
  <si>
    <t>Geotechnical Aspects of Underground Construction in Soft Ground</t>
  </si>
  <si>
    <t>Wan-Huan Zhou-Zheng Guan-Xue Li</t>
  </si>
  <si>
    <t>Experiencing and Envisioning Food</t>
  </si>
  <si>
    <t>Ricardo Bonacho-Mariana Eidler-Sonia Massari-Maria JosÃ© Pires</t>
  </si>
  <si>
    <t>Organic Chemistry</t>
  </si>
  <si>
    <t>Circular and Transformative Economy</t>
  </si>
  <si>
    <t>Luxon Nhamo-Sylvester Mpandeli-Stanley Liphadzi-Tafadzwanashe Mabhaudhi</t>
  </si>
  <si>
    <t>Building-Integrated Photovoltaics</t>
  </si>
  <si>
    <t>Nuria MartÃ­n Chivelet-Costa Kapsis-Francesco Frontini</t>
  </si>
  <si>
    <t>Built Heritage in Post-Disaster Scenarios</t>
  </si>
  <si>
    <t>Marcello Balzani-Federica Maietti-Manlio Montuori-Fabiana Raco</t>
  </si>
  <si>
    <t>Porous Carbon Materials for Clean Energy</t>
  </si>
  <si>
    <t>Jing Huang</t>
  </si>
  <si>
    <t>Chemistry</t>
  </si>
  <si>
    <t>Addressing Global Challenges - Exploring Socio-Cultural Dynamics and Sustainable Solutions in a Changing World</t>
  </si>
  <si>
    <t>Parfait M. Eloundou-Enyegue</t>
  </si>
  <si>
    <t>Petroleum Microbiology</t>
  </si>
  <si>
    <t>Biwen Annie An Stepec-Kenneth Wunch-Torben Lund Skovhus</t>
  </si>
  <si>
    <t>Designing Sustainable Working Lives and Environments</t>
  </si>
  <si>
    <t>TECHNOLOGY &amp; ENGINEERING / Industrial Health &amp; Safety</t>
  </si>
  <si>
    <t>Kerstin Nilsson</t>
  </si>
  <si>
    <t>Arsenic in the Environment: Bridging Science to Practice for Sustainable Development As2021</t>
  </si>
  <si>
    <t>Albert van der Wal-Arslan Ahmad-Branislav Petrusevski-Jan Weijma-Dragan Savic-Patrick van der Wens-Erwin Beerendonk-Prosun Bhattacharya-Jochen Bundschuh-Ravi Naidu</t>
  </si>
  <si>
    <t>Challenges in Long-Term Geriatric and Palliative Care. Topics, Pictures, Case Histories, Second Edition</t>
  </si>
  <si>
    <t>Sameer Kassem</t>
  </si>
  <si>
    <t>A Life in Anthropology</t>
  </si>
  <si>
    <t>John Alexander Forrest</t>
  </si>
  <si>
    <t>Pirarucu, Arapaima Gigas, The Amazonian Giant Fish Is Briefly Reviewed</t>
  </si>
  <si>
    <t>SCIENCE / Life Sciences / Marine Biology</t>
  </si>
  <si>
    <t>Luana Cassandra Breitenbach Barroso Coelho</t>
  </si>
  <si>
    <t>Brands, Products, Labels and the COVID-19 Pandemic: Impact and Perspectives</t>
  </si>
  <si>
    <t>Mining and Community in the South African Platinum Belt: A Decade After Marikana</t>
  </si>
  <si>
    <t>Lochner Marais</t>
  </si>
  <si>
    <t>Reality and the Paradigm of Relations</t>
  </si>
  <si>
    <t>Thomas NordstrÃ¶m</t>
  </si>
  <si>
    <t>Experimental Approach for Measuring Rn and U</t>
  </si>
  <si>
    <t>Daniel Marcos Bonotto</t>
  </si>
  <si>
    <t>New Therapy for Liver Disease by Platelets</t>
  </si>
  <si>
    <t>Nobuhiro Ohkohchi</t>
  </si>
  <si>
    <t>Nanostructures and Films Based On Classical Wide Gap Semiconductors for Photovoltaic Applications</t>
  </si>
  <si>
    <t>Anatoliy Opanasyuk</t>
  </si>
  <si>
    <t>AndoSanTM: An Optimal Biological Response Modifier and Health Promoting Ingredient Prepared From Agaricus Blazei Mushroom</t>
  </si>
  <si>
    <t>Geir Hetland</t>
  </si>
  <si>
    <t>Methods and Models to Determine the Groundwater Flow in Rock Masses: Review and Examples</t>
  </si>
  <si>
    <t>Laura Scesi</t>
  </si>
  <si>
    <t>Quantum Cloning Process</t>
  </si>
  <si>
    <t>Wen-Hai Zhang</t>
  </si>
  <si>
    <t>Applications of Nd:Yag Lasers: From Nano-Structures to Nuclei</t>
  </si>
  <si>
    <t>G A. Shafeev</t>
  </si>
  <si>
    <t>Digital Control System Simulation for Nuclear Reactor Neutronic Parameters</t>
  </si>
  <si>
    <t>Antonio Juscelino Pinto</t>
  </si>
  <si>
    <t>Modulation of the Development of Morphine Antinociceptive Tolerance by Endoplasmic Reticulum Chaperones</t>
  </si>
  <si>
    <t>Tomohiko Aoe</t>
  </si>
  <si>
    <t>The Role of Serum Uric Acid in Hypertension and Renal Failure Is a Marker or the Cause?</t>
  </si>
  <si>
    <t>Chung-Sheng Lin</t>
  </si>
  <si>
    <t>Anatomy and Vascularization of Tongue Based on Vascular Corrosion Casting</t>
  </si>
  <si>
    <t>Aparecida Marinho</t>
  </si>
  <si>
    <t>Enhancement of Human Cancer Cell Radiosensitivity by Conjugated Eicosapentaenoic Acid, an Inhibitor of DNA Polymerase and Topoisomerase</t>
  </si>
  <si>
    <t>Yuko Kumamoto-Yonezawa</t>
  </si>
  <si>
    <t>The Pest Importance of Stored Product Mites (Acari: Acaridida)</t>
  </si>
  <si>
    <t>Jan Hubert</t>
  </si>
  <si>
    <t>Polishing of Diamond Surfaces</t>
  </si>
  <si>
    <t>L.C Zhang</t>
  </si>
  <si>
    <t>Retinoic Acid Inducible-1 Gene (RAI1) and Clinical Subtypes of Schizophrenia</t>
  </si>
  <si>
    <t>DuÅ¡anka Savic Pavicevic</t>
  </si>
  <si>
    <t>Visualization of Archaic Cancer Attractors and Chromatin Regulators Connecting to Ageing, Robustness and Cellular Reprogramming</t>
  </si>
  <si>
    <t>Stuart K Calderwood</t>
  </si>
  <si>
    <t>Two Endemic Subspecies of Deer From Korea (Hydropotes Inermis Argyropus and Capreolus Pygargus Ochracea): Genetic Divergence and Conservation</t>
  </si>
  <si>
    <t>Damdingiin Bayarlkhagva</t>
  </si>
  <si>
    <t>Clinical Effects of Continuous Positive Airway Pressure Therapy for Obstructive Sleep Apnoea (OSAS) And/or Chronic Obstructive Pulmonary Disease (COPD) Patients: Implications for Care</t>
  </si>
  <si>
    <t>MEDICAL / Otolaryngology</t>
  </si>
  <si>
    <t>Domenico Maurizio Toraldo</t>
  </si>
  <si>
    <t>Prevention and Management of Stent Thrombosis After Complex Coronary Stenting in Patients with Risk of Gastrointestinal Bleeding</t>
  </si>
  <si>
    <t>Shigenori Ito</t>
  </si>
  <si>
    <t>Telescopic Double Crown-Retained Removable Partial and Complete Overdentures</t>
  </si>
  <si>
    <t>Ralf Buergers</t>
  </si>
  <si>
    <t>Acupuncture and Auriculotherapy Applied to Dentistry</t>
  </si>
  <si>
    <t>JG Quispe-Cabanillas</t>
  </si>
  <si>
    <t>Effects of Iodine and Selenium on the Thyroid Function</t>
  </si>
  <si>
    <t>Teresa Arrobas</t>
  </si>
  <si>
    <t>Social Responsibility of Scientists in the Technological Age: Papers From the AAAS Pacific Division Symposium Hawaii, USA, 2017</t>
  </si>
  <si>
    <t>Raghavan Jayakumar</t>
  </si>
  <si>
    <t>Disorganization of the Collective Envelopes and the Breaking-In Of the Ego of the Child</t>
  </si>
  <si>
    <t>LÃ©la Chikhani-Nacouz</t>
  </si>
  <si>
    <t>Basic Principles of the Quantization of Fields</t>
  </si>
  <si>
    <t>Andrey Volobuev</t>
  </si>
  <si>
    <t>The Slippery Paths of Commemoration and Heritage Tourism: The History of Gomoa Nsuaem and Its Slave Route</t>
  </si>
  <si>
    <t>HISTORY / Africa / West</t>
  </si>
  <si>
    <t>Ofosu-Mensah Emmanuel Ababio</t>
  </si>
  <si>
    <t>Space Business</t>
  </si>
  <si>
    <t>Arto Ojala-William W. Baber</t>
  </si>
  <si>
    <t>Proceedings of Ninth International Congress on Information and Communication Technology</t>
  </si>
  <si>
    <t>Xin-She Yang-Simon Sherratt-Nilanjan Dey-Amit Joshi</t>
  </si>
  <si>
    <t>Progress on the Study of the Ginibre Ensembles</t>
  </si>
  <si>
    <t>Sung-Soo Byun-Peter J. Forrester</t>
  </si>
  <si>
    <t>Remembering Marielle Franco From a Theological Perspective</t>
  </si>
  <si>
    <t>Katharina Merian</t>
  </si>
  <si>
    <t>Dialogues in Data Power</t>
  </si>
  <si>
    <t>Juliane Jarke-Jo Bates</t>
  </si>
  <si>
    <t>Arbitrary Withholding of Consent to Humanitarian Relief in Non-international Armed Conflict</t>
  </si>
  <si>
    <t>Vijitha Veerakatty</t>
  </si>
  <si>
    <t>Encountering the Global in Early Modern Germany</t>
  </si>
  <si>
    <t>Christina Brauner-Renate DÃ¼rr-Philip Hahn-Anne Sophie Overkamp</t>
  </si>
  <si>
    <t>Rock Fracture Mechanics and Fracture Criteria</t>
  </si>
  <si>
    <t>Yu Zhao-Kun Zheng-Chaolin Wang</t>
  </si>
  <si>
    <t>Functional Coexistence in Socio-Political Conflict</t>
  </si>
  <si>
    <t>Tatsushi Arai-Margarita Tadevosyan</t>
  </si>
  <si>
    <t>Transforming Media Accessibility in Europe</t>
  </si>
  <si>
    <t>Ann Marcus-Quinn-Krzysztof Krejtz-Carlos Duarte</t>
  </si>
  <si>
    <t>Freedom of Expression and the Law in Russia</t>
  </si>
  <si>
    <t>Mariya Riekkinen</t>
  </si>
  <si>
    <t>International Student Visibility</t>
  </si>
  <si>
    <t>Catherine Gomes</t>
  </si>
  <si>
    <t>Civil Engineering Innovations for Sustainable Communities with Net Zero Targets</t>
  </si>
  <si>
    <t>Sreevalsa Kolathayar-N Vinod Chandra Menon-Sreekeshava K S</t>
  </si>
  <si>
    <t>States of Surveillance</t>
  </si>
  <si>
    <t>Maya Avis-Daniel Marciniak-Maria Sapignoli</t>
  </si>
  <si>
    <t>Proceedings of 2023 China Science and Technology Information Resource Management and Service Annual Conference (COINFO 2023)</t>
  </si>
  <si>
    <t>Chen Bai-Yue Cao-Wenqian Jin</t>
  </si>
  <si>
    <t>In Search of Admiration and Respect</t>
  </si>
  <si>
    <t>Yanqiu Zheng</t>
  </si>
  <si>
    <t>The Postdevelopmental State</t>
  </si>
  <si>
    <t>Jamie Doucette</t>
  </si>
  <si>
    <t>Natural Scientific Language Processing and Research Knowledge Graphs</t>
  </si>
  <si>
    <t>Georg Rehm-Stefan Dietze-Frank KrÃ¼ger</t>
  </si>
  <si>
    <t>Geographies of Relation</t>
  </si>
  <si>
    <t>Theresa Delgadillo</t>
  </si>
  <si>
    <t>Autocrats Can't Always Get What They Want</t>
  </si>
  <si>
    <t>Nathan J Brown-Steven D Schaaf-Samer Anabtawi-Julian G Waller</t>
  </si>
  <si>
    <t>The Xi Jinping Effect</t>
  </si>
  <si>
    <t>Ashley Esarey-Rongbin Han</t>
  </si>
  <si>
    <t>Digital Synergy</t>
  </si>
  <si>
    <t>Ibrahiem M. M. El Emary-Anna Brzozowska-Piotr MaÅ›loch</t>
  </si>
  <si>
    <t>Solving Stone Age Puzzles: From Artefacts and Sites Towards Archaeological Interpretations</t>
  </si>
  <si>
    <t>AdriÃ¡n Nemergut-Martin NovÃ¡k</t>
  </si>
  <si>
    <t>Prehistoric Exploitation and Workshop Area at Brno â€“ StrÃ¡nskÃ¡ SkÃ¡la</t>
  </si>
  <si>
    <t>Jaroslav BartÃ­k</t>
  </si>
  <si>
    <t>Fragmenty VelkÃ© Moravy. HrnÄÃ­Å™skÃ© znaÄky jako nÃ¡stroj vÃ½zkumu spoleÄenskÃ© a politickÃ© komplexity Moravy 9. stoletÃ­</t>
  </si>
  <si>
    <t>Michal Havica</t>
  </si>
  <si>
    <t>Rane stredovekÃ© pohrebiÅ¡te v DolnÃ­ch VestonicÃ­ch â€“ Na pÃ­skÃ¡ch. DÃ­l II â€“ Katalog</t>
  </si>
  <si>
    <t>Å imon Ungerman</t>
  </si>
  <si>
    <t>Rane stredovekÃ© pohrebiÅ¡te v DolnÃ­ch VestonicÃ­ch â€“ Na pÃ­skÃ¡ch. DÃ­l I â€“ AnalÃ½za</t>
  </si>
  <si>
    <t>HistorickÃ¡ Krajina Na Strednom PomoravÃ­ / Historical Landscape on the Middle Course of the Morava River. InterdiscilinÃ¡rny VÃ½skum a InteraktÃ­vna MapovÃ¡ AplikÃ¡cia / Interdisciplinary Research and Interactive Map Application</t>
  </si>
  <si>
    <t>Marek HladÃ­k-KatarÃ­na HladÃ­kovÃ¡-TadeÃ¡Å¡ ÄŒervÃ­k</t>
  </si>
  <si>
    <t>Carbonised Macro-remains From a Germanic Settlement in JeviÅ¡ovka-NovÃ¡. A Contribution to Current Archaeobotanical Knowledge of the Roman Period</t>
  </si>
  <si>
    <t>Jana Apiar</t>
  </si>
  <si>
    <t>University-Community Partnerships for Transformative Education</t>
  </si>
  <si>
    <t>Mara Welsh Mahmood-Marjorie Elaine-John Cano</t>
  </si>
  <si>
    <t>Flipons</t>
  </si>
  <si>
    <t>Alan Herbert</t>
  </si>
  <si>
    <t>New Perspectives in Interactional Linguistic Research</t>
  </si>
  <si>
    <t>Margret Selting-Dagmar Barth-Weingarten</t>
  </si>
  <si>
    <t>Secession in International Law with a Special Reference to the Post-Soviet Space</t>
  </si>
  <si>
    <t>JÃºlia MiklasovÃ¡</t>
  </si>
  <si>
    <t>Proceedings of the Pacific-Rim Objective Measurement Symposium (PROMS 2023)</t>
  </si>
  <si>
    <t>Quan Zhang</t>
  </si>
  <si>
    <t>First Nations Australian Theatre for Health Equity</t>
  </si>
  <si>
    <t>Sarah Woodland-Kamarra Bell-Wykes</t>
  </si>
  <si>
    <t>How Designers Are Transforming Healthcare</t>
  </si>
  <si>
    <t>Evonne Miller-Abbe Winter-Satyan Chari</t>
  </si>
  <si>
    <t>Impacts of Study Abroad on Higher Education Development</t>
  </si>
  <si>
    <t>Nobuko Kayashima-Miki Sugimura-Kazuo Kuroda-Yuto Kitamura</t>
  </si>
  <si>
    <t>Addressing Inequality â€“ Erziehungs- und sozialwissenschaftliche BeitrÃ¤ge zur Subjektivierungsforschung</t>
  </si>
  <si>
    <t>Nadine Rose</t>
  </si>
  <si>
    <t>Wissenschaftsdidaktik als kritische Kommunikationsanalyse</t>
  </si>
  <si>
    <t>Ingrid Scharlau-Tobias Jenert</t>
  </si>
  <si>
    <t>Der weite Weg zum BÃ¼rgergeld</t>
  </si>
  <si>
    <t>Michael Opielka-Felix Wilke</t>
  </si>
  <si>
    <t>A Burdensome Experiment</t>
  </si>
  <si>
    <t>Christien Philmarc Tompkins</t>
  </si>
  <si>
    <t>A Comprehensive Survey of Rock Art in Upper Tibet: Volume III</t>
  </si>
  <si>
    <t>Exploring the Antonine Wall with Terrestrial Remote Sensing</t>
  </si>
  <si>
    <t>William S. Hanson-Richard E. Jones-Nick Hannon</t>
  </si>
  <si>
    <t>Die Zukunft der Wirtschaftsberichterstattung</t>
  </si>
  <si>
    <t>Karsten Grunewald-Roland Zieschank-Johannes FÃ¶rster-Bernd HansjÃ¼rgens-Tobias M. Wildner</t>
  </si>
  <si>
    <t>Sino-Iranian and Sino-Arabian Relations in Late Antiquity</t>
  </si>
  <si>
    <t>Jeffrey Kotyk</t>
  </si>
  <si>
    <t>Officers, Entrepreneurs, Career Migrants, and Diplomats</t>
  </si>
  <si>
    <t>Philippe Rogger-AndrÃ© Holenstein</t>
  </si>
  <si>
    <t>Atlas of Petromodernity</t>
  </si>
  <si>
    <t xml:space="preserve"> Alexander Klose-Benjamin Steininger</t>
  </si>
  <si>
    <t>Wilhelm Reich Versus the Flying Saucers</t>
  </si>
  <si>
    <t xml:space="preserve"> James Reich</t>
  </si>
  <si>
    <t>Nairobi Becoming</t>
  </si>
  <si>
    <t>ART / Collections, Catalogs, Exhibitions / Group Shows</t>
  </si>
  <si>
    <t xml:space="preserve"> Joost Fontein-Tessa Diphoorn-Peter Lockwood-Constance Smith</t>
  </si>
  <si>
    <t>Voices From Nubia</t>
  </si>
  <si>
    <t xml:space="preserve"> Amal Mazhar-Faten I. Morsy-Mona M. Radwan</t>
  </si>
  <si>
    <t>Taunting the Useful</t>
  </si>
  <si>
    <t>PHILOSOPHY / Methodology</t>
  </si>
  <si>
    <t xml:space="preserve"> Louis Emile Fromet de Rosnay</t>
  </si>
  <si>
    <t>Thinking Blue / Writing Red</t>
  </si>
  <si>
    <t xml:space="preserve"> Stephen Tumino</t>
  </si>
  <si>
    <t>Etosha Pan to the Skeleton Coast</t>
  </si>
  <si>
    <t xml:space="preserve"> Sian Sullivan-Ute Dieckmann-Selma Lendelvo</t>
  </si>
  <si>
    <t>An Annotated Corpus of Three Hundred Proverbs, Sayings, and Idioms in Eastern Jibbali/Åšá¸¥É™rÉ›Ì„Ìt</t>
  </si>
  <si>
    <t xml:space="preserve"> Giuliano Castagna</t>
  </si>
  <si>
    <t>Externe Unternehmensberichterstattung Ã¼ber digitale Transformation</t>
  </si>
  <si>
    <t>Clemens Pelster</t>
  </si>
  <si>
    <t>Advancing Edge Artificial Intelligence</t>
  </si>
  <si>
    <t>Ovidiu Vermesan-Dave Marples</t>
  </si>
  <si>
    <t>Land Carbon Cycle Modeling</t>
  </si>
  <si>
    <t>Yiqi Luo-Benjamin Smith</t>
  </si>
  <si>
    <t>Bridge Maintenance, Safety, Management, Digitalization and Sustainability</t>
  </si>
  <si>
    <t>TECHNOLOGY &amp; ENGINEERING / Civil / Bridges</t>
  </si>
  <si>
    <t>Jens Sandager Jensen-Dan M. Frangopol-Jacob Wittrup Schmidt</t>
  </si>
  <si>
    <t>Applied Design Research in Living Labs and Other Experimental Learning and Innovation Environments</t>
  </si>
  <si>
    <t>Peter Joore-Anja Overdiek-Wina Smeenk-Koen van Turnhout</t>
  </si>
  <si>
    <t>Technological Innovations in Tropical Livestock Development for Environmental Sustainability and Food Security</t>
  </si>
  <si>
    <t>Purnaning Dhian Isnaeni-Mashitah Shikh Maidin-Muh. Amrullah Pagala-Widhi Kurniawan-Asma Bio Kimestri</t>
  </si>
  <si>
    <t>Product Fit and Sizing</t>
  </si>
  <si>
    <t>Kathleen M. Robinette-Daisy Veitch-Sandra Alemany-Karen Bredenkamp</t>
  </si>
  <si>
    <t>Responsible Use of AI in Military Systems</t>
  </si>
  <si>
    <t>Jan Maarten Schraagen</t>
  </si>
  <si>
    <t>Applied Data Science and Smart Systems</t>
  </si>
  <si>
    <t>Jaiteg Singh-SB Goyal-Rajesh Kumar Kaushal-Naveen Kumar-Sukhjit Singh Sehra</t>
  </si>
  <si>
    <t>Tunnelling for a Better Life</t>
  </si>
  <si>
    <t>Jinxiu Yan-Tarcisio Celestino-Markus Thewes-Erik Eberhardt</t>
  </si>
  <si>
    <t>Systems and Implemented Technologies for Data-Driven Innovation, Addressing Data Spaces and Marketplaces Semantic Interoperability Needs</t>
  </si>
  <si>
    <t>COMPUTERS / Security / Network Security</t>
  </si>
  <si>
    <t>MartÃ­n Serrano-Achille Zappa-Waheed Ashraf-Pedro MalÃ³-MÃ¡rcio Mateus-Edgar Fries-IvÃ¡n MartÃ­nez-Alessandro Amicone-Justina Bieliauskaite-Marina Cugurra</t>
  </si>
  <si>
    <t>Concepts and Design Innovations Addressing the Digital Transformation of Data Spaces and Marketplaces</t>
  </si>
  <si>
    <t>Technical Innovation, Solving the Data Spaces and Marketplaces Interoperability Problems for the Global Data-Driven Economy</t>
  </si>
  <si>
    <t>Parting of the Ways</t>
  </si>
  <si>
    <t>Markus Tiwald-Markus Ã–hler</t>
  </si>
  <si>
    <t>Aufbruch in Grenzen</t>
  </si>
  <si>
    <t>Nicole Priesching-Andreas Henkelmann-Pia Nordblom-Derya Ã–zdemir</t>
  </si>
  <si>
    <t>The Getty Fiend</t>
  </si>
  <si>
    <t xml:space="preserve"> Ken White</t>
  </si>
  <si>
    <t>Analogical City</t>
  </si>
  <si>
    <t xml:space="preserve"> Cameron McEwan</t>
  </si>
  <si>
    <t>Redefining the Political</t>
  </si>
  <si>
    <t>Alex J. Moffett-Bateau</t>
  </si>
  <si>
    <t>Lessons in Gratitude</t>
  </si>
  <si>
    <t>Aaron P Dworkin</t>
  </si>
  <si>
    <t>The Troubling State of India's Democracy</t>
  </si>
  <si>
    <t>Dinsha Mistree-Å umit Ganguly-Larry Diamond</t>
  </si>
  <si>
    <t>Making Sense of the Arab State</t>
  </si>
  <si>
    <t>Steven Heydemann-Marc Lynch</t>
  </si>
  <si>
    <t>Biodiversity â€“ Handbook of the Anthropocene in Latin America II</t>
  </si>
  <si>
    <t>Olaf Kaltmeier-Antoine Acker-LeÃ³n Enrique Ãvila Romero-Regina Horta Duarte</t>
  </si>
  <si>
    <t>Allgemeine Didaktik und Unterrichtsforschung</t>
  </si>
  <si>
    <t>Martin Rothland</t>
  </si>
  <si>
    <t>FÃ¼nfzig Jahre Nelkenrevolution</t>
  </si>
  <si>
    <t>Teresa Pinheiro-Robert Stock-Henry Thorau</t>
  </si>
  <si>
    <t>Die ErzÃ¤hlgemeinschaft der Neuen Rechten</t>
  </si>
  <si>
    <t>Felix Schilk</t>
  </si>
  <si>
    <t>Living with Wolves</t>
  </si>
  <si>
    <t>Thorsten Gieser</t>
  </si>
  <si>
    <t>Populismus kritisieren</t>
  </si>
  <si>
    <t>Evelyn AnnuÃŸ-Ralf von Appen-Sarah Chaker-Silke Felber-Andrea Glauser-Therese Kaufmann-Susanne Lettow</t>
  </si>
  <si>
    <t>Soziologie der KÃ¼nstlichen Intelligenz</t>
  </si>
  <si>
    <t>Roger HÃ¤uÃŸling-Claudius HÃ¤rpfer-Marco Schmitt</t>
  </si>
  <si>
    <t>Â»Wie siehst Du Deutschland?Â«</t>
  </si>
  <si>
    <t>Astrid Utler</t>
  </si>
  <si>
    <t>Critical Datafication Literacy</t>
  </si>
  <si>
    <t>Ina Sander</t>
  </si>
  <si>
    <t>Many-Valued Aesthetics</t>
  </si>
  <si>
    <t>Hauke Ohls</t>
  </si>
  <si>
    <t>Teaching Artistic Strategies</t>
  </si>
  <si>
    <t>Fatma Kargin-Zahn-DorothÃ©e King-Selena Savic</t>
  </si>
  <si>
    <t>Â»ParallelgesellschaftenÂ« in populÃ¤rer Musik?</t>
  </si>
  <si>
    <t>Ralf von Appen-Sarah Chaker-Michael Huber-Sean Prieske</t>
  </si>
  <si>
    <t>Innere Erfahrung und Ritual</t>
  </si>
  <si>
    <t>GÃ¼l N. DÃ¼kan</t>
  </si>
  <si>
    <t>Imaginationen des KÃ¶rpers</t>
  </si>
  <si>
    <t>Clarissa SchÃ¤r</t>
  </si>
  <si>
    <t>At the Edge of AI</t>
  </si>
  <si>
    <t>LibuÅ¡e Hannah Veprek</t>
  </si>
  <si>
    <t>GrÃ¼ne Ã–ffentlichkeiten</t>
  </si>
  <si>
    <t>Nina Schuster</t>
  </si>
  <si>
    <t>Wissen Ã¼ber Arbeit in Krisenzeiten</t>
  </si>
  <si>
    <t>Simon Gerards Iglesias</t>
  </si>
  <si>
    <t>Mythen des Lesens</t>
  </si>
  <si>
    <t>Dominik Achtermeier-Lukas Kosch</t>
  </si>
  <si>
    <t>Emotional Drivers of Innovation</t>
  </si>
  <si>
    <t>Franziska SÃ¶rgel</t>
  </si>
  <si>
    <t>Faith in Development</t>
  </si>
  <si>
    <t>Heinz Streib-Ralph W. Hood Jr.</t>
  </si>
  <si>
    <t>Patrimonialization on the Ruins of Empire</t>
  </si>
  <si>
    <t>Maximilian Hartmuth-Ayse Dilsiz Hartmuth</t>
  </si>
  <si>
    <t>Organisierte Halbbildung</t>
  </si>
  <si>
    <t>Clara Gutjahr-Lisa Marie MÃ¼nster-Lukas Geisler-David Morley-Moritz Richter</t>
  </si>
  <si>
    <t>DiversitÃ¤t und DigitalitÃ¤t in der Hochschullehre</t>
  </si>
  <si>
    <t>Theresia Witt-Carmen Herrmann-Lorenz Mrohs-Hannah Brodel-Konstantin Lindner-Ilona Maidanjuk</t>
  </si>
  <si>
    <t>Mediale Gegenwelten</t>
  </si>
  <si>
    <t>Martin Doll</t>
  </si>
  <si>
    <t>Colonial Intervention and Destabilization of African Identities</t>
  </si>
  <si>
    <t>Obed Mfum-Mensah</t>
  </si>
  <si>
    <t>Spiritual Care &amp; Existential Care interprofessionell</t>
  </si>
  <si>
    <t>MEDICAL / Terminal Care</t>
  </si>
  <si>
    <t>Arndt BÃ¼ssing-Astrid Giebel-Traugott Roser</t>
  </si>
  <si>
    <t>A Millennial View of Spainâ€™s Development</t>
  </si>
  <si>
    <t>Leandro Prados de la Escosura</t>
  </si>
  <si>
    <t>Numerical Methods in Industrial Forming Processes</t>
  </si>
  <si>
    <t>Jan Kusiak-Åukasz Rauch-Krzysztof Regulski</t>
  </si>
  <si>
    <t>Struggle for the City</t>
  </si>
  <si>
    <t>Derek G. Handley</t>
  </si>
  <si>
    <t>Primary Adrenal Malignancies</t>
  </si>
  <si>
    <t>Guido A. M. Tiberio</t>
  </si>
  <si>
    <t>Aristotle Reads Hippocrates</t>
  </si>
  <si>
    <t>Hynek BartoÅ¡-VojtÄ›ch Linka</t>
  </si>
  <si>
    <t>The Hegemony of Heritage</t>
  </si>
  <si>
    <t>Deborah L. Stein</t>
  </si>
  <si>
    <t>Frame by Frame</t>
  </si>
  <si>
    <t>PERFORMING ARTS / Film / Genres / Animated</t>
  </si>
  <si>
    <t>Hannah Frank</t>
  </si>
  <si>
    <t>Manhua Modernity</t>
  </si>
  <si>
    <t>John A. Crespi</t>
  </si>
  <si>
    <t>Derivative Media</t>
  </si>
  <si>
    <t>Andrew deWaard</t>
  </si>
  <si>
    <t>Adam Smith @ 300</t>
  </si>
  <si>
    <t>Rainer Klump</t>
  </si>
  <si>
    <t>Proceedings of the International Conference on Nature for an Inclusive and Innovative Urban Regeneration (NATiURB 2022)</t>
  </si>
  <si>
    <t>GonÃ§alo Canto Moniz-BÃ©atrice Bechet-JosÃ© Miguel Lameiras-Marco Acri-Nathalie Nunes</t>
  </si>
  <si>
    <t>Proceedings of the 2024 2nd International Conference on Digital Economy and Management Science (CDEMS 2024)</t>
  </si>
  <si>
    <t>Junfeng Liao-Hongbo Li-Edward H. K. Ng</t>
  </si>
  <si>
    <t>Proceedings of the 2024 3rd International Conference on Artificial Intelligence, Internet and Digital Economy (ICAID 2024)</t>
  </si>
  <si>
    <t>Anandakumar Haldorai-Dilbag Singh-Anil Kumar-Mir Sajjad Hussain Talpur-Chawki Djeddi</t>
  </si>
  <si>
    <t>Proceedings of the International Conference of Inland Water and Ferries Transport Polytechnic of Palembang on Technology and Environment (IWPOSPA-TE 2023)</t>
  </si>
  <si>
    <t>Paulina M. Latuheru-Driaskoro Budi Sidharta-Bambang Setiawan-Fisca Dian Utami-Raden M. Firzatullah</t>
  </si>
  <si>
    <t>Teens, Sex, and Media Effects</t>
  </si>
  <si>
    <t>Stacey J.T. Hust-Jessica Fitts Willoughby-Rebecca Ortiz</t>
  </si>
  <si>
    <t>Zafar Adeel-Benno BÃ¶er</t>
  </si>
  <si>
    <t>Cooperatively Interacting Vehicles</t>
  </si>
  <si>
    <t>Christoph Stiller-Matthias Althoff-Christoph Burger-Barbara Deml-Lutz Eckstein</t>
  </si>
  <si>
    <t>Proceedings of the International Conference of Inland Water and Ferries Transport Polytechnic of Palembang on Law, Economic and Management (IWPOSPA-LEM 2023)</t>
  </si>
  <si>
    <t>BUSINESS &amp; ECONOMICS / Industries / Transportation</t>
  </si>
  <si>
    <t>Ferdinand Pusriansyah-Slamet Prasetyo Sutrisno-Oktrianti Diani-Monica Amanda-Siti Nurlaili Triwahyuni</t>
  </si>
  <si>
    <t>Excluding Diversity Through Intersectional Borderings</t>
  </si>
  <si>
    <t>Laura Merla-Sarah Murru-Giacomo Orsini-Tanja Vuckovic Juros</t>
  </si>
  <si>
    <t>Proceedings of the 7th Symposium of the Hellenic Society for Archaeometry</t>
  </si>
  <si>
    <t>Eleni Filippaki</t>
  </si>
  <si>
    <t>New Perspectives on Intergovernmental Relations</t>
  </si>
  <si>
    <t>Sabine Kuhlmann-Martin Laffin-Ellen Wayenberg-Tomas BergstrÃ¶m</t>
  </si>
  <si>
    <t>The Challenges of Nuclear Security</t>
  </si>
  <si>
    <t>S. Paul Kapur-Rajeswari Pillai Rajagopalan-Diana Wueger</t>
  </si>
  <si>
    <t>QualitÃ¤tsmessung als Prisma</t>
  </si>
  <si>
    <t>Sophie Biesenbender-Judith Hartstein</t>
  </si>
  <si>
    <t>Iconographic Research Poetry</t>
  </si>
  <si>
    <t>Marcy Meyer</t>
  </si>
  <si>
    <t>Advanced Construction Technology and Research of Deep-Sea Tunnels</t>
  </si>
  <si>
    <t>Guoxiong Mei-Zengguang Xu-Fei Zhang</t>
  </si>
  <si>
    <t>Television Drama From Germany</t>
  </si>
  <si>
    <t>Florian KrauÃƒÅ¸</t>
  </si>
  <si>
    <t>Proceedings of the International Conference on Mathematics and Science Education (ICoMSE 2023)</t>
  </si>
  <si>
    <t>Habiddin Habiddin-Hadi Suwono-Nani Farida</t>
  </si>
  <si>
    <t>Proceedings of 5th Borobudur International Symposium on Humanities and Social Science (BISHSS 2023)</t>
  </si>
  <si>
    <t>Zulfikar Bagus Pambuko-Muji Setiyo-Chrisna Bagus Edhita Praja-Agus Setiawan-Fitriana Yuliastuti</t>
  </si>
  <si>
    <t>Proceedings of the 2nd International Conference on Innovation in Information Technology and Business (ICIITB 2024)</t>
  </si>
  <si>
    <t>Nebojsa Bacanin-Hothefa Shaker</t>
  </si>
  <si>
    <t>Proceedings of the International Academic Summer Conference on Number Theory and Information Security (NTIS 2023)</t>
  </si>
  <si>
    <t>Zhiyong Zheng-Tianze Wang</t>
  </si>
  <si>
    <t>Proceedings of the 1st International Conference on Industry Science Technology and Sustainability (IConISTS 2023)</t>
  </si>
  <si>
    <t>Ahmad Zakaria-Ahmad Herison-Hasrul Anwar-Devi Kurnia Sari-Zillia Chairani</t>
  </si>
  <si>
    <t>Proceedings of the 4th International Conference on Economic, Management and Accounting (ICEMAC 2023)</t>
  </si>
  <si>
    <t>Nur Hidayah Kusumaningrum Fadhilah-Kurniawan Kurniawan</t>
  </si>
  <si>
    <t>Rebellion at Coranderrk</t>
  </si>
  <si>
    <t>Diane Barwick</t>
  </si>
  <si>
    <t>After Neoliberalism</t>
  </si>
  <si>
    <t>John Quiggin</t>
  </si>
  <si>
    <t>Shakespeareâ€™s Theater of Judgment</t>
  </si>
  <si>
    <t>Kevin Curran</t>
  </si>
  <si>
    <t>The Diagrammatics of â€˜Raceâ€™</t>
  </si>
  <si>
    <t xml:space="preserve"> Marianne Sommer</t>
  </si>
  <si>
    <t>Business Model Innovation</t>
  </si>
  <si>
    <t>Annabeth Aagaard</t>
  </si>
  <si>
    <t>Ground Anchors</t>
  </si>
  <si>
    <t>Jean-Jacques Henri Rincent</t>
  </si>
  <si>
    <t>Proceedings of Conference on Sustainable Traffic and Transportation Engineering in 2023</t>
  </si>
  <si>
    <t>Andrii Bieliatynskyi-Dmytro Komyshev-Wen Zhao</t>
  </si>
  <si>
    <t>Colonialism and Antarctica</t>
  </si>
  <si>
    <t>Peder Roberts-Alejandra Mancilla</t>
  </si>
  <si>
    <t>Living the Urban Periphery</t>
  </si>
  <si>
    <t>Paula Meth-Sarah Charlton-Tom Goodfellow-Alison Todes</t>
  </si>
  <si>
    <t>Organisationsformen der Erkenntnisgewinnung</t>
  </si>
  <si>
    <t>Rupert Pichler-Thomas Heinze</t>
  </si>
  <si>
    <t>Unlocking Artificial Intelligence</t>
  </si>
  <si>
    <t>Christopher Mutschler-Christian MÃ¼nzenmayer-Norman Uhlmann-Alexander Martin</t>
  </si>
  <si>
    <t>Gendered Vulnerabilities and Violence in Forced Migration</t>
  </si>
  <si>
    <t>Mohammad Musfequs Salehin</t>
  </si>
  <si>
    <t>The Discovery of Mind: From Wundt to Neuroimaging</t>
  </si>
  <si>
    <t>Ardi Roelofs</t>
  </si>
  <si>
    <t>Proceedings of the International Conference on Computational Innovations and Emerging Trends (ICCIET 2024)</t>
  </si>
  <si>
    <t>K. Reddy Madhavi-P. Subba Rao-J. Avanija-I. Lakshmi Manikyamba-Bhuvan Unhelkar</t>
  </si>
  <si>
    <t>COVID-19 and U.S.-China Relations</t>
  </si>
  <si>
    <t>Zheng Wang</t>
  </si>
  <si>
    <t>Coherence in European Teacher Education</t>
  </si>
  <si>
    <t>Gerard Doetjes-Vlatka Domovic-Mirjamaija MikkilÃ¤-Erdmann-Katja Zaki</t>
  </si>
  <si>
    <t>90 Years of ZbMATH</t>
  </si>
  <si>
    <t>Klaus Hulek, Octavio Paniagua Taboada, Olaf Teschke</t>
  </si>
  <si>
    <t>Hegel and the Sciences of Spirit (Geisteswissenschaften)</t>
  </si>
  <si>
    <t>London Academic Publishing Ltd.</t>
  </si>
  <si>
    <t>Madalin Onu</t>
  </si>
  <si>
    <t>Arie Gurfinkel-Vijay Ganesh</t>
  </si>
  <si>
    <t>Gravity, Positioning and Reference Frames</t>
  </si>
  <si>
    <t>Global Agendas and Education Reforms</t>
  </si>
  <si>
    <t>Birol AkgÃ¼n-Yusuf AlpaydÄ±n</t>
  </si>
  <si>
    <t>The Politics of Feminist Foreign Policy and Digital Diplomacy</t>
  </si>
  <si>
    <t>Karin Aggestam-Annika Bergman Rosamond-Elsa Hedling</t>
  </si>
  <si>
    <t>Foltersituationen und WissensflÃ¼sse</t>
  </si>
  <si>
    <t>Max Breger</t>
  </si>
  <si>
    <t>International Regulation of Gene Editing Technologies in Crops</t>
  </si>
  <si>
    <t>Lisa F. Clark-Jill E. Hobbs</t>
  </si>
  <si>
    <t>Proceedings of the 2024 5th International Conference on Mental Health, Education and Human Development (MHEHD 2024)</t>
  </si>
  <si>
    <t>Dana Rad-Fong Peng Chew-Fonny Dameaty Hutagalung-CÃ¼neyt BirkÃ¶k</t>
  </si>
  <si>
    <t>Proceedings of the 2nd Lawang Sewu International Symposium on Engineering and Applied Sciences (LEWIS-EAS 2023)</t>
  </si>
  <si>
    <t>Ilham Yustar Afif-Radiktyo Nindyo Sumarno</t>
  </si>
  <si>
    <t>Proceedings of the International Conference on Business, Economics, Social Sciences, and Humanities - Economics, Business and Management Track (ICOBEST-EBM 2024)</t>
  </si>
  <si>
    <t>Bruno Latour in the Semiotic Turn</t>
  </si>
  <si>
    <t>Paolo Peverini</t>
  </si>
  <si>
    <t>Missing Dollars</t>
  </si>
  <si>
    <t>Gilles Carbonnier-Fritz Brugger-Elisabeth BÃ¼rgi Bonanomi-Fred M. Dzanku-Sthabandith Insisienmay</t>
  </si>
  <si>
    <t>Unfree Lives</t>
  </si>
  <si>
    <t>Magdalena Moorthy Kloss</t>
  </si>
  <si>
    <t>Carolingian Medical Knowledge and Practice, C.775â€“900</t>
  </si>
  <si>
    <t>Claire Burridge</t>
  </si>
  <si>
    <t>Stalin Vs Gypsies</t>
  </si>
  <si>
    <t>Elena Marushiakova-Vesselin Popov</t>
  </si>
  <si>
    <t>Technology-Mediated Language Teaching</t>
  </si>
  <si>
    <t>Javier MuÃ±oz-Basols-Mara Fuertes GutiÃ©rrez-Luis Cerezo</t>
  </si>
  <si>
    <t>RÃ©cits de recherche sur l'eau dans un monde interdisciplinaire</t>
  </si>
  <si>
    <t>Les projets alimentaires territoriaux</t>
  </si>
  <si>
    <t>Market and Monastery</t>
  </si>
  <si>
    <t>Prista Ratanapruck</t>
  </si>
  <si>
    <t>Higher Education ICT Integration in Africa</t>
  </si>
  <si>
    <t>Ke Yu-Reuben Dlamini</t>
  </si>
  <si>
    <t>Deliberation in International Institutions</t>
  </si>
  <si>
    <t>Seebal Aboudounya</t>
  </si>
  <si>
    <t>Behind the Story: Ethical Readings of QurÊ¾Änic Narratives</t>
  </si>
  <si>
    <t>Samer Rashwani</t>
  </si>
  <si>
    <t>Islamic Sensory History</t>
  </si>
  <si>
    <t>Christian Lange-Adam Bursi</t>
  </si>
  <si>
    <t>Proceedings of the 7th International Conference on Civil Engineering for Sustainable Development (ICCESD 2024)</t>
  </si>
  <si>
    <t>Md. Rokonuzzaman-Md. Shahjahan Ali-Zahid Hossain-Mahmdul Hasan Mizan</t>
  </si>
  <si>
    <t>A Brief Social History of Tuberculosis</t>
  </si>
  <si>
    <t>Arnab Chakraborty-Janaka Jayawickrama-Yong-an Zhang</t>
  </si>
  <si>
    <t>The Companion to Digital Humanities in Practice</t>
  </si>
  <si>
    <t>Constance Crompton-Laura Estill-Richard J. Lane-Ray Siemens</t>
  </si>
  <si>
    <t>Globalised Resistance and the Bring Back Our Girls Movement</t>
  </si>
  <si>
    <t>Titilope F. Ajayi</t>
  </si>
  <si>
    <t>Scientific Atheism in East Germany (1963-1990)</t>
  </si>
  <si>
    <t>Aligning the Energy Transition with the Sustainable Development Goals</t>
  </si>
  <si>
    <t>Maryse Labriet-Kari Espegren-George Giannakidis-Brian Ãƒâ€œ GallachÃƒÂ³ir</t>
  </si>
  <si>
    <t>Proceedings of the International Conference on Business, Economics, Social Sciences, and Humanities - Humanities and Social Sciences Track (ICOBEST-HSS 2024)</t>
  </si>
  <si>
    <t>Proceedings of the 2024 3rd International Conference on Applied Mechanics and Engineering Structures (AMES 2024)</t>
  </si>
  <si>
    <t>Ahmad Safuan Bin A Rashid-SÃ¼mer Åžahin-Kh. F. Makhmudov-Mohamed A. Ismail</t>
  </si>
  <si>
    <t>Proceedings of the 2024 9th International Conference on Social Sciences and Economic Development (ICSSED 2024)</t>
  </si>
  <si>
    <t>Radulescu Magdalena-Bootheina Majoul-Satya Narayan Singh-Abdul Rauf</t>
  </si>
  <si>
    <t>Vietnam Over the Long Twentieth Century</t>
  </si>
  <si>
    <t>Liam C. Kelley-Gerard Sasges</t>
  </si>
  <si>
    <t>The Political Economy of Central Asian Law</t>
  </si>
  <si>
    <t>Rustamjon Urinboyev</t>
  </si>
  <si>
    <t>The Spanish Model for Smart Tourism Destination Management</t>
  </si>
  <si>
    <t>Lidia Andrades-Carlos Romero-Dexeus-Enrique MartÃ­nez-MarÃ­n</t>
  </si>
  <si>
    <t>Showing Resistance</t>
  </si>
  <si>
    <t>Harriet Atkinson</t>
  </si>
  <si>
    <t>Using Tonal Data to Recover Japanese Language History</t>
  </si>
  <si>
    <t>Elisabeth M. de Boer-J. Marshall Unger</t>
  </si>
  <si>
    <t>Proceedings of the 2nd Lawang Sewu International Symposium on Health Sciences: Medical Laboratory Technology (LSISHS-MLT 2023)</t>
  </si>
  <si>
    <t>Gela Setya Ayu Putri-Stalis Norma Ethica-Ragil Saptaningtyas</t>
  </si>
  <si>
    <t>Proceedings of the 2nd Lawang Sewu International Symposium on Health Sciences: Nursing (LSISHS-N 2023)</t>
  </si>
  <si>
    <t>Aric Vranada-Yanuan Ben Olina</t>
  </si>
  <si>
    <t>Globalization in State Socialist East Central Europe</t>
  </si>
  <si>
    <t>BÃƒÂ©la Tomka</t>
  </si>
  <si>
    <t>Paul and the Philosophersâ€™ Faith</t>
  </si>
  <si>
    <t>Suzan Sierksma-Agteres</t>
  </si>
  <si>
    <t>Old English Studies and Its Scandinavian Practitioners</t>
  </si>
  <si>
    <t>Robert E Bjork</t>
  </si>
  <si>
    <t>Les Ã©nergies renouvelables en France</t>
  </si>
  <si>
    <t>JÃ©rÃ´me Dubois</t>
  </si>
  <si>
    <t>Proceedings of the 10th International Conference on Civil Engineering</t>
  </si>
  <si>
    <t>Guangliang Feng</t>
  </si>
  <si>
    <t>The Economic Impact of Christian Missionaries in Zambia</t>
  </si>
  <si>
    <t>Michael Chanda Chiseni</t>
  </si>
  <si>
    <t>The Very Long Game</t>
  </si>
  <si>
    <t>Heiko Borchert-Torben SchÃ¼tz-Joseph Verbovszky</t>
  </si>
  <si>
    <t>Policing the Favelas of Rio De Janeiro</t>
  </si>
  <si>
    <t>Tomas Salem</t>
  </si>
  <si>
    <t>Novel Technology and Whole-Process Management in Prefabricated Building</t>
  </si>
  <si>
    <t>Ping Xiang-Liangdong Zuo</t>
  </si>
  <si>
    <t>The American Climate Emergency Narrative</t>
  </si>
  <si>
    <t>Johan HÃƒÂ¶glund</t>
  </si>
  <si>
    <t>A Pragmatic Approach to Conceptualization of Health and Disease</t>
  </si>
  <si>
    <t>Maartje Schermer-Nicholas Binney</t>
  </si>
  <si>
    <t>Nowe media i technologie cyfrowe w ksztaÅ‚ceniu polonistÃ³w</t>
  </si>
  <si>
    <t>MirosÅ‚aw Wobalis</t>
  </si>
  <si>
    <t>Polonista na rynku pracy. O strategiach dostosowania ksztaÅ‚cenia studentÃ³w do wyzwaÅ„ rynku pracy</t>
  </si>
  <si>
    <t>Anita Gis (red.)-MirosÅ‚aw Wobalis (red.)</t>
  </si>
  <si>
    <t>Landmarks of Identity: Bronze Age Towers of the Oman Peninsula</t>
  </si>
  <si>
    <t>Stephanie DÃ¶pper</t>
  </si>
  <si>
    <t>Prehistoria y AntigÃ¼edad en el Alto Valle del RÃ­o Almanzora (AlmerÃ­a, EspaÃ±a)</t>
  </si>
  <si>
    <t>Catalina MartÃ­nez Padilla-MarÃ­a de la Paz RomÃ¡n DÃ­az-MarÃ­a Juana LÃ³pez Medina</t>
  </si>
  <si>
    <t>Modelling the Logistics of Mantzikert</t>
  </si>
  <si>
    <t>Philip Murgatroyd-Vincent Gaffney-John Haldon-Georgios Theodoropoulos</t>
  </si>
  <si>
    <t>Frontiers of the Roman Empire: The Lower Danube Limes in Bulgaria</t>
  </si>
  <si>
    <t>Piotr Dyczek-David J. Breeze</t>
  </si>
  <si>
    <t>Confronting Climate Change: From Mitigation to Adaptation</t>
  </si>
  <si>
    <t>John Barkdull</t>
  </si>
  <si>
    <t>The Shaping of Professional Identities</t>
  </si>
  <si>
    <t>Mette BÃ¸e Lyngstad-Tiri Bergesen Schei-Elin Eriksen Ã˜degaard</t>
  </si>
  <si>
    <t>Muslim Empowerment in Ghana</t>
  </si>
  <si>
    <t>Holger Weiss</t>
  </si>
  <si>
    <t>Ways of the Scientific World-Conception. Rudolf Carnap and Otto Neurath</t>
  </si>
  <si>
    <t>Christian DambÃ¶ck-Johannes Friedl-Ulf HÃ¶fer</t>
  </si>
  <si>
    <t>MÃ©dia a rychlost</t>
  </si>
  <si>
    <t>HubÃ­k Stanislav</t>
  </si>
  <si>
    <t>Radlogistik</t>
  </si>
  <si>
    <t>Tom Assmann-Anna BÃ¼rklen-Johannes Gruber-Dennis Knese-Patrick Mayregger</t>
  </si>
  <si>
    <t>Proceedings of the 2nd Lawang Sewu International Symposium on Humanities and Social Sciences 2023 (LEWIS HUSO 2023)</t>
  </si>
  <si>
    <t>Eko Yuliyanto-Testiana Deni Wijayatiningsih-Heri Dwi Santoso-Budi Tri Santosa</t>
  </si>
  <si>
    <t>Proceedings of the 5th International Conference on Language, Art and Cultural Exchange (ICLACE 2024)</t>
  </si>
  <si>
    <t>Chaoqun Shen-Li Cong-Feiru Zeng-Gabriel Antunes De Araujo</t>
  </si>
  <si>
    <t>Responsibility for Rationality</t>
  </si>
  <si>
    <t>Sebastian Schmidt</t>
  </si>
  <si>
    <t>Climate Change and the Endurance of Democracy</t>
  </si>
  <si>
    <t>Daniel Lindvall</t>
  </si>
  <si>
    <t>Memory Institutions and SÃ¡mi Heritage</t>
  </si>
  <si>
    <t>Trude Fonneland-Rossella Ragazzi</t>
  </si>
  <si>
    <t>The Dissemination of Saint George in Early Modern Art</t>
  </si>
  <si>
    <t>Alison C. Barker</t>
  </si>
  <si>
    <t>Routledge Handbook of Gender and Water Governance</t>
  </si>
  <si>
    <t>Tatiana Acevedo-Guerrero-Lisa Bossenbroek-Irene Leonardelli-Margreet Zwarteveen-Seema Kulkarni</t>
  </si>
  <si>
    <t>Myths in Disguise</t>
  </si>
  <si>
    <t>MichaÅ‚ GÅ‚owiÅ„ski-Jan Burzynski</t>
  </si>
  <si>
    <t>Communism â€“ Legitimacy â€“ Nationalism</t>
  </si>
  <si>
    <t>Marcin Zaremba</t>
  </si>
  <si>
    <t>Von Memel bis Allenstein</t>
  </si>
  <si>
    <t>Andrzej Sakson</t>
  </si>
  <si>
    <t>Transnational Parties and Advocacy in European Integration</t>
  </si>
  <si>
    <t>Karl Magnus Johansson-Tapio Raunio</t>
  </si>
  <si>
    <t>The Self-Deception Trap</t>
  </si>
  <si>
    <t>Carlos Lopes</t>
  </si>
  <si>
    <t>Mathematical Modeling for Womenâ€™s Health</t>
  </si>
  <si>
    <t>Ashlee N. Ford Versypt-Rebecca A. Segal-Suzanne S. Sindi</t>
  </si>
  <si>
    <t>Robust Argumentation Machines</t>
  </si>
  <si>
    <t>Philipp Cimiano-Anette Frank-Michael Kohlhase-Benno Stein</t>
  </si>
  <si>
    <t>Storytelling As a Cultural Practice</t>
  </si>
  <si>
    <t>Maria Cristina Gatti-Jeanette Hoffmann</t>
  </si>
  <si>
    <t>Yellow Perils</t>
  </si>
  <si>
    <t>Franck BillÃ©-SÃ¶ren Urbansky</t>
  </si>
  <si>
    <t>Proceedings of the 2nd Lawang Sewu International Symposium on Health Sciences: Midwifery (LSISHS-M 2023)</t>
  </si>
  <si>
    <t>Sherkia Ichtiarsi Prakasiwi-Lia Mulyanti-Ariyani Lutfitasari</t>
  </si>
  <si>
    <t>Just Prospering? Plato and the Sophistic Debate About Justice</t>
  </si>
  <si>
    <t>Merrick Anderson</t>
  </si>
  <si>
    <t>Demokratie als Selbst-Regieren</t>
  </si>
  <si>
    <t>Brigitte GeiÃŸel</t>
  </si>
  <si>
    <t>Participation in Residential Childcare</t>
  </si>
  <si>
    <t>Claudia Equit</t>
  </si>
  <si>
    <t>GeschlechterverhÃ¤ltnisse jenseits der Norm</t>
  </si>
  <si>
    <t>Sophie Maria Ruby</t>
  </si>
  <si>
    <t>Gender, Class, and Respectability in Leisure</t>
  </si>
  <si>
    <t>GÃ¶kben DemirbaÅŸ</t>
  </si>
  <si>
    <t>Dressaged Animality</t>
  </si>
  <si>
    <t>Lisa Moravec</t>
  </si>
  <si>
    <t>Proceedings of the 2024 3rd International Conference on Engineering Management and Information Science (EMIS 2024)</t>
  </si>
  <si>
    <t>Tang Yao-Shouchang Chen-Zelin Zhang-Yingchen Yan</t>
  </si>
  <si>
    <t>World Archaeo-Geophysics</t>
  </si>
  <si>
    <t>Carmen Cuenca-Garcia-Andrei AsÄƒndulesei-Kelsey M. Lowe</t>
  </si>
  <si>
    <t>Automated Vehicles As a Game Changer for Sustainable Mobility</t>
  </si>
  <si>
    <t>Guy Fournier-Adrian Boos-Dimitri Konstantas-Danielle Attias</t>
  </si>
  <si>
    <t>Mundo organizacional. Emprendimiento e intraemprendimiento</t>
  </si>
  <si>
    <t>Lina MarÃ­a Maya Toro-Manuela GallÃ³n Bedoya-Mario Heimer FlÃ³rez GuzmÃ¡n-Sindy Lorena Nieto Jara-Mercy Liliana BorbÃ³n Hoyos-Juan Felipe Herrera Vargas-Liliana Marcela Ãlvarez MuÃ±oz-Beatriz Helena Villa Acevedo-Feibert Alirio GuzmÃ¡n PÃ©rez-Diana GonzÃ¡lez Valencia</t>
  </si>
  <si>
    <t>La importancia de la risa en la salud de los adultos mayores institucionalizados</t>
  </si>
  <si>
    <t>Jairo LeÃ³n Cardona JimÃ©nez-Edwin Higuita-MarÃ­a Eucaris Henao Villa-Ãngela Quintero Echeverri-MarÃ­a Mercedes Villamil Gallego-Lina M. RamÃ­rez VelÃ¡squez-JosÃ© D. DomÃ­nguez Sierra-Juan C. Ortiz PÃ©rez-Julieth A. Franco Mira-Flor V. Correa Gil-Luisa F. Arboleda Restrepo-German SebastiÃ¡n Yepes Cano-Kate Thurlow</t>
  </si>
  <si>
    <t>Observatorio en delitos corporativos. Una propuesta para la transparencia financiera y la responsabilidad empresarial</t>
  </si>
  <si>
    <t>Gabriel Antonio GÃ³mez-Ocampo-Daniel Alberto Grajales Gaviria-Claudia Patricia FlÃ³rez FlÃ³rez-Estefany Salazar CastaÃ±o</t>
  </si>
  <si>
    <t>Capital Contable. Perspectivas con enfoque investigativo</t>
  </si>
  <si>
    <t>Jorge Armando MuÃ±oz Ruiz-Claudia Patricia FlÃ³rez-FlÃ³rez-Edilgardo de JesÃºs Loaiza-Betancur-Gabriel Antonio GÃ³mez-Ocampo-Juliana Carolina FarfÃ¡n RodrÃ­guez-Valentina Ruiz Acevedo-Jhon Neyler Hinestroza Lagares-NÃ©stor Enrique AmarÃ­s LÃ³pez-MarÃ­a GonzÃ¡lez VelÃ¡squez</t>
  </si>
  <si>
    <t>Nivel de madurez organizacional en la gestiÃ³n de proyectos en la educaciÃ³n superior</t>
  </si>
  <si>
    <t>BUSINESS &amp; ECONOMICS / Project Management</t>
  </si>
  <si>
    <t>Nancy Edith Ochoa Guevara-Luceli Castillo Quintero-Luz Marina PatiÃ±o Nieto-Leonardo RodrÃ­guez GonzÃ¡lez-Martha Liliana Quevedo-Carlos Fajardo</t>
  </si>
  <si>
    <t>PlaneaciÃ³n tributaria y gestiÃ³n financiera en el sector de la construcciÃ³n en Colombia</t>
  </si>
  <si>
    <t xml:space="preserve">BUSINESS &amp; ECONOMICS / Industries / Construction </t>
  </si>
  <si>
    <t>Juliana Carolina FarfÃ¡n RodrÃ­guez-Yessica Leonor Mosquera Restrepo</t>
  </si>
  <si>
    <t>La enseÃ±anza virtual. SocializaciÃ³n de experiencias en la formaciÃ³n en DiseÃ±o</t>
  </si>
  <si>
    <t>John K. Arismendy Escobar-Claudia Elena Zuluaga IdÃ¡rraga-Alejandro Mesa Moreno-Jenny Mercedes Osorio Chica</t>
  </si>
  <si>
    <t>Comprensiones de las humanidades en la educaciÃ³n superior</t>
  </si>
  <si>
    <t>Gerzon Yair Calle Ãlvarez-Diana Patricia Ortega GarcÃ­a-Maritza GarcÃ­a Toro-Delio David Arango Navarro-MarÃ­a Victoria Santana LondoÃ±o-Diego Alejandro Ocampo Zapata-Fernando Antonio Zapata Muriel</t>
  </si>
  <si>
    <t>La ciudad y sus formas de representaciÃ³n. Estrategias del desastre</t>
  </si>
  <si>
    <t>Manuel Bernardo Rojas LÃ³pez</t>
  </si>
  <si>
    <t>Las tecnologÃ­as de la informaciÃ³n y de la comunicaciÃ³n como estrategia mediadora en la formaciÃ³n del Ingeniero</t>
  </si>
  <si>
    <t>Giovanny Alberto FlÃ³rez Osorio-MÃ³nica MarÃ­a CÃ³rdoba CastrillÃ³n-Piedad MarÃ­a Metaute Paniagua-Roberto Carlos Guevara Calume-Yolfaris Naidit Fuertes Arroyo-Lina MarÃ­a Montoya SuÃ¡rez</t>
  </si>
  <si>
    <t>Reflexiones sobre las competencias transversales en la educaciÃ³n superior</t>
  </si>
  <si>
    <t>Gerzon Yair Calle Ãlvarez-Clemencia Toro Espinosa-Delio David Arango Navarro-Diego Alejandro Ocampo Zapata-Edwin Alberto Zuluaga Arias-Fernando Antonio Zapata Muriel-Gloria Cecilia Quintero GarcÃ­a-Gonzalo Calle VÃ©lez-HÃ©ctor Mauricio Mazo Ãlvarez-Juan Jacobo Agudelo Galeano-MarÃ­a Mercedes Villamil Gallego-Maritza GarcÃ­a-Toro-Renier Castellanos Meneses-Roberto Carlos Guevara Calume-Yolfaris Naidit Fuertes Arroyo</t>
  </si>
  <si>
    <t>LÃ³gica de programaciÃ³n con Pseint. Enfoque prÃ¡ctico</t>
  </si>
  <si>
    <t>COMPUTERS / Programming / General</t>
  </si>
  <si>
    <t>MÃ¡ximo Miguel Arteaga MartÃ­nez</t>
  </si>
  <si>
    <t>Manual de etnografÃ­a culinaria: un enfoque antropolÃ³gico</t>
  </si>
  <si>
    <t>Luis A. RamÃ­rez Vidal</t>
  </si>
  <si>
    <t>Una agenda en movimiento. PlaneaciÃ³n y ordenamiento territorial en contexto</t>
  </si>
  <si>
    <t>Natalia MarÃ­a Posada-PÃ©rez-Carolina Espinal-PatiÃ±o (Eds)</t>
  </si>
  <si>
    <t>Proceedings of the 8th International Conference of Food, Agriculture and Natural Resources &amp; the 2nd International Conference of Sustainable Industrial Agriculture (IC-FANRes-IC-SIA 2023)</t>
  </si>
  <si>
    <t>Ali Wafa-Mohammad Rondhi-Yuli Witono-Yosuhiro Mori-Shinjiro Ogita</t>
  </si>
  <si>
    <t>Efficient Energy-Saving Control and Optimization for Multi-Unit Systems</t>
  </si>
  <si>
    <t>Fulai Yao-Yaming Yao</t>
  </si>
  <si>
    <t>Small Islands in Peril?</t>
  </si>
  <si>
    <t>Colin Filer</t>
  </si>
  <si>
    <t>Managing Nordic Local Governments</t>
  </si>
  <si>
    <t>Eva MarÃƒÂ­n HlynsdÃƒÂ³ttir-Morten Balle Hansen-Anna CregÃƒÂ¥rd-Dag Olaf Torjesen-Siv Sandberg</t>
  </si>
  <si>
    <t>Atlas der DatenkÃ¶rper 2</t>
  </si>
  <si>
    <t>Marlene Bart-Johannes Breuer</t>
  </si>
  <si>
    <t>Wissenschaftsdidaktik IV</t>
  </si>
  <si>
    <t>Gabi Reinmann-RÃ¼diger Rhein</t>
  </si>
  <si>
    <t>Democratic Nationalism in Scotland</t>
  </si>
  <si>
    <t>Philipp RÃ¼ckheim</t>
  </si>
  <si>
    <t>Friedensgutachten 2024</t>
  </si>
  <si>
    <t>Bonn International Centre-Institut fÃ¼r Friedensforschung-Institut fÃ¼r Entwicklung-PRIF â€“ Leibniz-Institut fÃ¼r Friedens-</t>
  </si>
  <si>
    <t>Nachverdichtung im StÃ¤dtebau</t>
  </si>
  <si>
    <t>Lisa Kaufmann</t>
  </si>
  <si>
    <t>Kritische PÃ¤dagogik im 21. Jahrhundert</t>
  </si>
  <si>
    <t>Katarina Schneider-Bertan</t>
  </si>
  <si>
    <t>Mensch-Wolf-Beziehungen in den Alpen</t>
  </si>
  <si>
    <t>Verena SchrÃ¶der</t>
  </si>
  <si>
    <t>Klangwelten digitaler Spiele</t>
  </si>
  <si>
    <t>BjÃ¶rn Redecker</t>
  </si>
  <si>
    <t>Afrodiasporic Identities in Germany</t>
  </si>
  <si>
    <t>Silvia Wojczewski</t>
  </si>
  <si>
    <t>Queere Theologie</t>
  </si>
  <si>
    <t>Lara A. KneubÃ¼hler-Miriam LÃ¶hr</t>
  </si>
  <si>
    <t>Radio Explorations</t>
  </si>
  <si>
    <t>Selena Savic</t>
  </si>
  <si>
    <t>Lernen am Artefakt</t>
  </si>
  <si>
    <t>Claudia MÃ¶rgeli</t>
  </si>
  <si>
    <t>Respiration Essays</t>
  </si>
  <si>
    <t>Edith Kollath</t>
  </si>
  <si>
    <t>Natur und Bildung</t>
  </si>
  <si>
    <t>Sophia Feige-Nicola Sophie Richter</t>
  </si>
  <si>
    <t>Texte vererben</t>
  </si>
  <si>
    <t>Amalia Witt</t>
  </si>
  <si>
    <t>LÃ¤ndliche Utopien</t>
  </si>
  <si>
    <t>Michael MieÃŸner-Matthias Naumann-Ulrike Grabski-Kieron-Annett SteinfÃ¼hrer-Werner Nell-Marc Weiland</t>
  </si>
  <si>
    <t>Saving and Being Safe Away From Home</t>
  </si>
  <si>
    <t>Kim GlÃ¼ck-Sophia Thubauville</t>
  </si>
  <si>
    <t>Fantasy Aesthetics</t>
  </si>
  <si>
    <t>Hans Rudolf Velten-Joseph Imorde</t>
  </si>
  <si>
    <t>Land Use â€“ Handbook of the Anthropocene in Latin America I</t>
  </si>
  <si>
    <t>Olaf Kaltmeier-MarÃ­a Fernanda LÃ³pez Sandoval-JosÃ© Augusto PÃ¡dua-AdriÃ¡n Gustavo Zarrilli</t>
  </si>
  <si>
    <t>Theatre in Handwriting</t>
  </si>
  <si>
    <t>Martin JÃ¶rg SchÃ¤fer-Alexander Weinstock</t>
  </si>
  <si>
    <t>IM/MOBIL â€“ Schnittstellen zwischen Architektur und Technik</t>
  </si>
  <si>
    <t>Robin Augenstein-Frank Schmitz</t>
  </si>
  <si>
    <t>Handbook of Qualitative and Visual Methods in Spatial Research</t>
  </si>
  <si>
    <t>Anna Juliane Heinrich-SÃ©verine Marguin-Angela Million-JÃ¶rg Stollmann</t>
  </si>
  <si>
    <t>Â»Die Poesie der ReformenÂ«</t>
  </si>
  <si>
    <t>Julika Griem-David Kaldewey-Il-Tschung Lim</t>
  </si>
  <si>
    <t>It's How You Flip It</t>
  </si>
  <si>
    <t>Linus Eusterbrock-Chris Kattenbeck-Oliver Kautny</t>
  </si>
  <si>
    <t>Kulturproduktion in der Migrationsgesellschaft</t>
  </si>
  <si>
    <t>Jens Schneider-Jochen Oltmer-Andreas Pott-Antonie Schmiz</t>
  </si>
  <si>
    <t>Obdach- und Wohnungslosigkeit in pandemischen Zeiten</t>
  </si>
  <si>
    <t>Frank Sowa-Marco Heinrich-Frieda Heinzelmann</t>
  </si>
  <si>
    <t>Cultural-historical Digital Methodology in Early Childhood Settings</t>
  </si>
  <si>
    <t>Marilyn Fleer-Glykeria Fragkiadaki-Elin Eriksen Ã˜degaard-Prabhat Rai-Alicja R. Sadownik</t>
  </si>
  <si>
    <t>Proceedings of the 2nd International Conference on Advanced Research in Social and Economic Science (ICARSE 2023)</t>
  </si>
  <si>
    <t>Bobur Sobirov-Mochammad Tanzil Multazam-Hyeyun Ku-Ayapbergen Taubayev</t>
  </si>
  <si>
    <t>Proceedings of the International Renewable Energy Storage and Systems Conference (IRES 2023)</t>
  </si>
  <si>
    <t>Peter Droege-Lelia Quint</t>
  </si>
  <si>
    <t>Transformationen gestalten</t>
  </si>
  <si>
    <t>Kim Oliver Tokarski-Nada Endrissat-Ingrid Kissling-NÃ¤f</t>
  </si>
  <si>
    <t>Proceedings of the 2024 International Conference on Urban Planning and Design (UPD 2024)</t>
  </si>
  <si>
    <t>Mujahid Ali-Ping Xiang-Mohamed A. Ismail-Amin Mojiri</t>
  </si>
  <si>
    <t>Start-up Cultures in Times of Global Crises</t>
  </si>
  <si>
    <t>Arie Hans Verkuil</t>
  </si>
  <si>
    <t>Advancing Responsible Sourcing in Mineral Value Chains</t>
  </si>
  <si>
    <t>Masuma Farooki-Alexander Graf-Stefanie Degreif</t>
  </si>
  <si>
    <t>Urbanization in Europe</t>
  </si>
  <si>
    <t>David Evers-Ivana KaturiÄ‡-Ries van der Wouden</t>
  </si>
  <si>
    <t>The Evolution of Team-Based Buddhist Scripture Translation in Tang China</t>
  </si>
  <si>
    <t>Sai Yau Siu</t>
  </si>
  <si>
    <t>Academic Libraries in Africa</t>
  </si>
  <si>
    <t>Maria Frahm-Arp</t>
  </si>
  <si>
    <t>Through My Voice</t>
  </si>
  <si>
    <t>LITERARY COLLECTIONS / Speeches</t>
  </si>
  <si>
    <t>Jerry Matthews Matjila</t>
  </si>
  <si>
    <t>Mama</t>
  </si>
  <si>
    <t>Letlhokwa George Mpedi</t>
  </si>
  <si>
    <t>Improving Health Literacy for People with Low Literacy: An Analysis of a South African HIV Health Education Programme</t>
  </si>
  <si>
    <t>MEDICAL / AIDS &amp; HIV</t>
  </si>
  <si>
    <t>Njabulo Mbanda</t>
  </si>
  <si>
    <t>Demystifying the Jewel Called the ILO: A Labour of Love</t>
  </si>
  <si>
    <t>Mthunzi Mdwaba</t>
  </si>
  <si>
    <t>Adrianus Van Selms: Concise Versions of His Contributions in Dutch and Afrikaans Theological Journals (1936-1982)</t>
  </si>
  <si>
    <t>Hans van Rensburg</t>
  </si>
  <si>
    <t>Rated A</t>
  </si>
  <si>
    <t>Darshana Sreedhar Mini</t>
  </si>
  <si>
    <t>Recent Development of Alternating Current Field Measurement Combine with New Technology</t>
  </si>
  <si>
    <t>Xin'an Yuan-Wei Li-Jianming Zhao-Xiaokang Yin-Xiao Li</t>
  </si>
  <si>
    <t>Intraocular Lens Calculations</t>
  </si>
  <si>
    <t>Jaime Aramberri-Kenneth J. Hoffer-Thomas Olsen-Giacomo Savini-H. John Shammas</t>
  </si>
  <si>
    <t>Le Phenix PoÃ«te et les AlouÃ«tes</t>
  </si>
  <si>
    <t>Riccardo Raimondo</t>
  </si>
  <si>
    <t>Mediatizing Secular State</t>
  </si>
  <si>
    <t>Damian Guzek</t>
  </si>
  <si>
    <t>Sustainable Energy Pathways to Net Zero</t>
  </si>
  <si>
    <t>Larry E. Erickson-Gary Brase</t>
  </si>
  <si>
    <t>A Global Law of Diversity</t>
  </si>
  <si>
    <t>NicolÃ² Paolo Alessi</t>
  </si>
  <si>
    <t>Governing Urban Development in China</t>
  </si>
  <si>
    <t>Fulong Wu-Fangzhu Zhang</t>
  </si>
  <si>
    <t>66 Simple Rules for Entrepreneurs</t>
  </si>
  <si>
    <t>Dean A. Shepherd-Holger Patzelt-Nicola Breugst</t>
  </si>
  <si>
    <t>Biologiedidaktische Nature of Science-Forschung: Zukunftsweisende Praxis</t>
  </si>
  <si>
    <t>Bianca Reinisch-Dirk KrÃ¼ger-Daniela Mahler</t>
  </si>
  <si>
    <t>Automated Reasoning</t>
  </si>
  <si>
    <t>Christoph BenzmÃ¼ller-Marijn J.H. Heule-Renate A. Schmidt</t>
  </si>
  <si>
    <t>Diversity and Disagreement</t>
  </si>
  <si>
    <t>Adam Feltz-Edward T. Cokely</t>
  </si>
  <si>
    <t>Angels and Other Cows</t>
  </si>
  <si>
    <t>Anxiety As Vibration</t>
  </si>
  <si>
    <t>Ana C. Minozzo</t>
  </si>
  <si>
    <t>Security, Disinformation and Harmful Narratives: RT and Sputnik News Coverage About Sweden</t>
  </si>
  <si>
    <t>Maria Hellman</t>
  </si>
  <si>
    <t>Feature Models</t>
  </si>
  <si>
    <t>Alexander Felfernig-Andreas Falkner-David Benavides</t>
  </si>
  <si>
    <t>Nestwork</t>
  </si>
  <si>
    <t>Jennifer Clary-Lemon</t>
  </si>
  <si>
    <t>Rhetoric in Debt</t>
  </si>
  <si>
    <t>Kellie Sharp-Hoskins</t>
  </si>
  <si>
    <t>Oil Fictions</t>
  </si>
  <si>
    <t>Stacey Balkan-Swaralipi Nandi</t>
  </si>
  <si>
    <t>Proceedings of the 2nd International Conference on Neural Networks and Machine Learning 2023 (ICNNML 2023)</t>
  </si>
  <si>
    <t>Ika Hesti Agustin</t>
  </si>
  <si>
    <t>Music in the Writings and Imagination of Silesian Humanists</t>
  </si>
  <si>
    <t>Tomasz JeÅ¼</t>
  </si>
  <si>
    <t>â€žGeschichte zerfÃ¤llt in Bilder, nicht in Geschichtenâ€œ</t>
  </si>
  <si>
    <t>Anna-Lena Eick</t>
  </si>
  <si>
    <t>Zukunftsort Archiv.</t>
  </si>
  <si>
    <t>Tales of Two Cities: Settlement and Suburb in Old Sarum and Salisbury</t>
  </si>
  <si>
    <t>Hadrian Cook-Alex Langlands</t>
  </si>
  <si>
    <t>Cultures of Sustainable Peace</t>
  </si>
  <si>
    <t>Hyab Teklehaimanot Yohannes-Alison Phipps-Tawona SitholÃ©</t>
  </si>
  <si>
    <t>Engineering Chemistry Vol. 7</t>
  </si>
  <si>
    <t>Patrizia Bocchetta-Citlalli Gaona-Tiburcio-Femiana Gapsari</t>
  </si>
  <si>
    <t>Engineering Innovations Vol. 11</t>
  </si>
  <si>
    <t>Afrooz Barnoush-Elena Gordo OdÃ©riz-Femiana Gapsari</t>
  </si>
  <si>
    <t>Book of Abstracts From the 10th International Conference on Tribology in Manufacturing Processes and Advanced Surface Engineering</t>
  </si>
  <si>
    <t>Miguel Ãngel SellÃ©s CantÃ³-Samuel SÃ¡nchez-Caballero</t>
  </si>
  <si>
    <t>Capital Punishment, Clemency and Colonialism in Papua New Guinea, 1954â€“65</t>
  </si>
  <si>
    <t>Murray Chisholm</t>
  </si>
  <si>
    <t>Delegowanie sÄ™dziego przez Ministra SprawiedliwoÅ›ci</t>
  </si>
  <si>
    <t>Jan Denka</t>
  </si>
  <si>
    <t>Lekcja POLSKI(ego). Praktyki edukacyjne wobec niepokojÃ³w XXI wieku, TOM 2: Praktyki edukacyjne</t>
  </si>
  <si>
    <t>LANGUAGE STUDY / Polish</t>
  </si>
  <si>
    <t>Anita Gis (red.)-Krzysztof Koc (red.)-Maria Kwiatkowska-Ratajczak (red.)-MirosÅ‚aw Wobalis (red.)</t>
  </si>
  <si>
    <t>Lekcja POLSKI(ego). Praktyki edukacyjne wobec niepokojÃ³w XXI wieku, TOM 1: Narracje toÅ¼samoÅ›ciowe w edukacji polonistycznej</t>
  </si>
  <si>
    <t>Dictionnaire d'agroÃ©cologie</t>
  </si>
  <si>
    <t>Biomedical Innovation in Fertility Care</t>
  </si>
  <si>
    <t>Manuela Perrotta</t>
  </si>
  <si>
    <t>Estrategias para la transferencia de conocimiento y la innovaciÃ³n educativa: usos y aplicaciones de tecnologÃ­as innovadoras en la docencia</t>
  </si>
  <si>
    <t>FarfÃ¡n Montero, Juana (Coordinador)-Guede Cid, RocÃ­o (Coordinador)-Velasco Furlong, Lilian (Coordinador)</t>
  </si>
  <si>
    <t>Las fronteras del conocimiento: perspectivas y aplicaciones en la era digital</t>
  </si>
  <si>
    <t>BermÃºdez VÃ¡zquez, Manuel (Coordinador)-Chaves Montero, Alfonso (Coordinador)-Otero SantamarÃ­a, Julio (Coordinador)</t>
  </si>
  <si>
    <t>Territorios del pensamiento</t>
  </si>
  <si>
    <t>Ruiz SÃ¡nchez, JosÃ© Carlos (Coordinador)-BermÃºdez VÃ¡zquez, Manuel (Coordinador)</t>
  </si>
  <si>
    <t>Repensar la innovaciÃ³n en el aula: otras formas de enseÃ±anza</t>
  </si>
  <si>
    <t>Cruz Carvajal, Isleny (Coordinador)-Pinilla GÃ³mez, Raquel (Coordinador)-Puebla MartÃ­nez, BelÃ©n (Coordinador)</t>
  </si>
  <si>
    <t>InnovaciÃ³n docente ante una realidad en constante cambio: iniciativas desde la comunicaciÃ³n, la creatividad la legislaciÃ³n y el pensamiento</t>
  </si>
  <si>
    <t>Ventura-Salom, Borja (Coordinador)-Tabuenca Bengoa, MarÃ­a (Coordinador)-Vicente FernÃ¡ndez, Pilar (Coordinador)</t>
  </si>
  <si>
    <t>Materiales, tÃ©cnicas, estrategias y resultados. Planteamientos humanos ante los retos socio-culturales</t>
  </si>
  <si>
    <t>Olivero Guidobono, Sandra (Coordinador)</t>
  </si>
  <si>
    <t>Perspectivas contemporÃ¡neas en educaciÃ³n: innovaciÃ³n, investigaciÃ³n y transformaciÃ³n</t>
  </si>
  <si>
    <t>Cabero Fayos, Ismael (Coordinador)</t>
  </si>
  <si>
    <t>La evaluaciÃ³n alternativa en los procesos educativos, un nuevo camino hacia la atenciÃ³n a la diversidad</t>
  </si>
  <si>
    <t>Vega Caro, Luisa (Coordinador)-Vico Bosch, Alba (Coordinador)</t>
  </si>
  <si>
    <t>Empoderando la docencia en la era digital: innovaciÃ³n, tecnologÃ­a y renovaciÃ³n pedagÃ³gica</t>
  </si>
  <si>
    <t>Tejiendo palabras: explorando la lengua, la lingÃ¼Ã­stica y el proceso de traducciÃ³n en la era de la inteligencia artificial</t>
  </si>
  <si>
    <t>Flores Borjabad, Salud Adelaida (Coordinador)-Nisa Ãvila, Javier Antonio (Coordinador)-Ould GarcÃ­a, Omar Salem (Coordinador)</t>
  </si>
  <si>
    <t>TravesÃ­a por los lÃ­mites de la literatura: entre cultura, crÃ­tica y la innovaciÃ³n docente mÃ¡s allÃ¡ de la inteligencia artificial</t>
  </si>
  <si>
    <t>Flores Borjabad, Salud Adelaida (Coordinador)-Ortega MartÃ­n, JosÃ© LuÃ­s (Coordinador)-Nisa Ãvila, Javier Antonio (Coordinador)</t>
  </si>
  <si>
    <t>InnovaciÃ³n y expresiÃ³n: un recorrido por las artes, la cultura visual y la inteligencia artificial en la era digital</t>
  </si>
  <si>
    <t>Albar Mansoa, Javier (Coordinador)</t>
  </si>
  <si>
    <t>Comunicar soluciones ante el cambio climÃ¡tico</t>
  </si>
  <si>
    <t>Ãlvarez Rivas, David (Coordinador)-FernÃ¡ndez Reyes, Rogelio (Coordinador)-JimÃ©nez GÃ³mez, Isidro (Coordinador)</t>
  </si>
  <si>
    <t>ComunicaciÃ³n polÃ­tica e institucional en tiempos de conflicto. DesafÃ­os de la uniÃ³n europea y nuevas narrativas ante la desinformaciÃ³n</t>
  </si>
  <si>
    <t>PÃ©rez-Curiel, Concha (Coordinador)-Navarro-Moreno, JosÃ© Antonio (Coordinador)-DomÃ­nguez-GarcÃ­a, Ricardo (Coordinador)</t>
  </si>
  <si>
    <t>Exigencias de gobernabilidad, sostenibilidad y perspectiva de gÃ©nero en la atenciÃ³n al mundo rural</t>
  </si>
  <si>
    <t>MartÃ­n LÃ³pez, Miguel Ãngel (Coordinador)-Fillol Mazo, Adriana (Coordinador)</t>
  </si>
  <si>
    <t>DesafÃ­os educativos a travÃ©s de la interdisciplinariedad en la investigaciÃ³n y la innovaciÃ³n</t>
  </si>
  <si>
    <t>Santos Villalba, MarÃ­a JesÃºs-AlcalÃ¡ del Olmo FernÃ¡ndez, MarÃ­a JosÃ©-FernÃ¡ndez Cerero, JosÃ©-Montenegro Rueda, Marta</t>
  </si>
  <si>
    <t>EducaciÃ³n integral con perspectivas innovadoras para el desarrollo educativo</t>
  </si>
  <si>
    <t>Cevallos Uve, Gabriel Estuardo-Santos Villalba, MarÃ­a JesÃºs-AlcalÃ¡ del Olmo FernÃ¡ndez, MarÃ­a JosÃ©-Ãlvarez FerrÃ¡ndiz, Daniel</t>
  </si>
  <si>
    <t>Sociedades del cuidado en transiciÃ³n: una perspectiva iberoamericana</t>
  </si>
  <si>
    <t>PÃ©rez De GuzmÃ¡n PadrÃ³n, SofÃ­a (Coordinador)-Iglesias Onofrio, Marcela (Coordinador)</t>
  </si>
  <si>
    <t>Corresponsabilidad, espacios de cuidados y polÃ­ticas pÃºblicas de igualdad de gÃ©nero en IberoamÃ©rica</t>
  </si>
  <si>
    <t>Iglesias Onofrio, Marcela (Coordinador)-PÃ©rez De GuzmÃ¡n PadrÃ³n, SofÃ­a (Coordinador)</t>
  </si>
  <si>
    <t>Precariedades laborales y desigualdades de gÃ©nero en IberoamÃ©rica</t>
  </si>
  <si>
    <t>Las ciencias sociales, las humanidades y sus expresiones artÃ­sticas y culturales: una trÃ­ada indisoluble desde un enfoque educativa</t>
  </si>
  <si>
    <t>PizÃ -Mir, BartolomÃ© (Coordinador)-SuÃ¡rez Vilagran, MarÃ­a del Mar (Coordinador)-Gavilanes PÃ©rez, RocÃ­o (Coordinador)-Planisi Gili, Herminia Pilar (Coordinador)-Capriles GonzÃ¡lez, Irina (Coordinador)-BauÃ§Ã  de MirabÃ² Gralla, ConcepciÃ³ (Coordinador)-Matas Pastor, Joan Josep (Coordinador)</t>
  </si>
  <si>
    <t>Herramienta del desarrollo integral humano: avances, senderos y miradas desde un enfoque integrado en los objetivos del desarrollo sostenible</t>
  </si>
  <si>
    <t>PizÃ -Mir, BartolomÃ© (Coordinador)-Baena Morales, Salvador (Coordinador)-Benito Colio, Berta (Coordinador)-Delgado GarcÃ­a, Gabriel (Coordinador)-GarcÃ­a Taibo, Olalla (Coordinador)-Torrente MartÃ­nez, MarÃ­a JesÃºs (Coordinador)-VÃ¡zquez Allegue, Jaime (Coordinador)</t>
  </si>
  <si>
    <t>Sobre la educaciÃ³n cientÃ­fica y el cuidado de la casa comÃºn: necesidades y perspectivas</t>
  </si>
  <si>
    <t>DÃ­ez Ojeda, MarÃ­a (Coordinador)-MartÃ­nez Juste, Sergio (Coordinador)-Bogdan Toma, Radu (Coordinador)-Dies Ãlvarez, MarÃ­a Eugenia (Coordinador)-RamÃ­rez Segado, Alejandra (Coordinador)-JimÃ©nez Fontana, RocÃ­o (Coordinador)-GarcÃ­a GonzÃ¡lez, Esther (Coordinador)</t>
  </si>
  <si>
    <t>Propuestas, estrategias y modelos para el desarrollo de la educaciÃ³n fÃ­sica, la salud y el bienestar</t>
  </si>
  <si>
    <t>PizÃ -Mir, BartolomÃ© (Coordinador)-Quilez MaimÃ³n, Arturo (Coordinador)-GarcÃ­a Taibo, Olalla (Coordinador)-Boned GÃ³mez, Salvador (Coordinador)-Monserrat Monserrat, MarÃ­a Ventura (Coordinador)-MartÃ­n LÃ³pez, Isabel (Coordinador)-Moreno Vecino, Beatriz (Coordinador)-RodrÃ­guez GarcÃ­a, Lorena (Coordinador)</t>
  </si>
  <si>
    <t>La cotidianidad de lo vulnerable. Identidad, conflictividad y desigualdades en IberoamÃ©rica. Miradas pluridisciplinares a una problemÃ¡tica comÃºn</t>
  </si>
  <si>
    <t>Arquitectura excavada y paisaje cultural</t>
  </si>
  <si>
    <t>Sorroche Cuerva, Miguel Ãngel (Editor)-Ruiz Ãlvarez, RaÃºl (Editor)</t>
  </si>
  <si>
    <t>Modelos y teorÃ­as clave para la promociÃ³n de comportamientos y hÃ¡bitos saludables</t>
  </si>
  <si>
    <t>Selva Pareja, Laia (Editor)</t>
  </si>
  <si>
    <t>Desarrollo econÃ³mico desde el emprendimiento social y familiar</t>
  </si>
  <si>
    <t>Cardella, Giuseppina Maria (Editor)-HernÃ¡ndez-SÃ¡nchez, Brizeida R. (Editor)-SÃ¡nchez-GarcÃ­a, JosÃ© C. (Editor)</t>
  </si>
  <si>
    <t>El control interno y los tiempos de control</t>
  </si>
  <si>
    <t>Torres Paredes, MarÃ­a de los Ãngeles</t>
  </si>
  <si>
    <t>Hilando saberes desde diÃ¡logos transdisciplinarios</t>
  </si>
  <si>
    <t>HISTORY / Indigenous / General</t>
  </si>
  <si>
    <t>Vargas Cancino, Hilda C. (Coordinador)-Sandoval ZÃºÃ±iga, Oscar RaÃºl (Coordinador)-CerÃ³n RÃ­os, Gineth Magaly (Coordinador)</t>
  </si>
  <si>
    <t>Formar: aprendiendo a diseÃ±ar contextos para un aprendizaje autÃ³nomo</t>
  </si>
  <si>
    <t>NÃºÃ±ez, JosÃ© Carlos (Coordinador)-RodrÃ­guez, Celestino (Coordinador)-RosÃ¡rio, Pedro (Coordinador)</t>
  </si>
  <si>
    <t>Actores y vÃ­ctimas: los crÃ­menes internacionales y la ayuda humanitaria</t>
  </si>
  <si>
    <t>Iglesias, MarÃ­a del Ãngel</t>
  </si>
  <si>
    <t>International congress on sustainable social development and indess workshop</t>
  </si>
  <si>
    <t>MartÃ­n Navarro, Alicia (Editor)-Zebda, Siham (Editor)-DÃ­az Candela, Enrique (Editor)</t>
  </si>
  <si>
    <t>Derecho y competencias prÃ¡cticas</t>
  </si>
  <si>
    <t>LAW / Legal Education</t>
  </si>
  <si>
    <t>Bastante Granell, VÃ­ctor (Coordinador)-Bonachera Villegas, Raquel D. (Coordinador)-Leiva LÃ³pez, Alejandro D. (Coordinador)-Martos CalabrÃºs, MarÃ­a Angustias (Coordinador)-Moreno GarcÃ­a, LucÃ­a (Coordinador)-Roca FernÃ¡ndez-Castanys, MarÃ­a Luisa (Coordinador)</t>
  </si>
  <si>
    <t>Transformando la educaciÃ³n: tecnologÃ­a, innovaciÃ³n y sociedad en la era digital</t>
  </si>
  <si>
    <t>HervÃ¡s-GÃ³mez, Carlos (Coordinador)-DÃ­az-Noguera, MarÃ­a Dolores (Coordinador)-Florina Grosu, Emilia (Coordinador)-MÃ¢È›Äƒ, Liliana (Coordinador)-Angel-Alex, HÄƒisan (Coordinador)-Barkoczi, Nadia (Coordinador)</t>
  </si>
  <si>
    <t>La seguridad deportiva a debate III</t>
  </si>
  <si>
    <t>Flores Allende, Gabriel (Editor)-Magaz GonzÃ¡lez, Ana MarÃ­a (Editor)-GarcÃ­a TascÃ³n, Marta (Editor)</t>
  </si>
  <si>
    <t>TecnologÃ­a, inclusiÃ³n y diversidad en el aprendizaje del siglo XXI</t>
  </si>
  <si>
    <t>HervÃ¡s-GÃ³mez, Carlos (Coordinador)-Neagu, Sonia Gabriela (Coordinador)-Grosu, Vlad Teodor (Coordinador)-MartÃ­n GutiÃ©rrez, Ãngela (Coordinador)-Jaime Mirabal, Gloria MarÃ­a (Coordinador)-DomÃ­nguez-GonzÃ¡lez, MarÃ­a de los Ãngeles (Coordinador)</t>
  </si>
  <si>
    <t>GestiÃ³n del conocimiento en educaciÃ³n superior</t>
  </si>
  <si>
    <t>BUSINESS &amp; ECONOMICS / Knowledge Capital</t>
  </si>
  <si>
    <t>Suazo Galdames, IvÃ¡n-Saracostti Schwartzman, Mahia</t>
  </si>
  <si>
    <t>Mapeando la intolerancia juvenil</t>
  </si>
  <si>
    <t>Pina Castillo, MarÃ­a-HernÃ¡ndez Prados, MÂª Ãngeles-GaliÃ¡n, BegoÃ±a</t>
  </si>
  <si>
    <t>ProfesionalizaciÃ³n docente: discursos, polÃ­ticas y prÃ¡cticas</t>
  </si>
  <si>
    <t>Monarca, HÃ©ctor (Coordinador)</t>
  </si>
  <si>
    <t>Aprendizaje y gestiÃ³n de la educaciÃ³n en IberoamÃ©rica: perspectivas y experiencias</t>
  </si>
  <si>
    <t>Jabonero Blanco, Mariano (Coordinador)-MartÃ­n Bris, Mario (Coordinador)-Bizelli, JosÃ© Luis (Coordinador)</t>
  </si>
  <si>
    <t>Cross-border litigation in a digital context: from classrooms to judiciary</t>
  </si>
  <si>
    <t>Spada JimÃ©nez, Andrea (Director)-Lucchi LÃ³pez-Tapia, Yolanda de (Director)-LÃ³pez PicÃ³, RubÃ©n (Coordinador)</t>
  </si>
  <si>
    <t>Avances sobre la pedagogÃ­a actual. Propuestas de educaciÃ³n cÃ­vica y educaciÃ³n del carÃ¡cter</t>
  </si>
  <si>
    <t>Fuentes, Juan Luis (Coordinador)-FernÃ¡ndez-Salinero, Carolina (Coordinador)-Ahedo Ruiz, Josu (Coordinador)</t>
  </si>
  <si>
    <t>Los itinerarios lingÃ¼Ã­sticos de Marco Polo</t>
  </si>
  <si>
    <t>GarcÃ­a Marcos, Francisco</t>
  </si>
  <si>
    <t>Poder y comunicaciÃ³n mediÃ¡tica en la era digital: perspectivas y desafÃ­os</t>
  </si>
  <si>
    <t>Mancinas-ChÃ¡vez, Rosalba (Coordinador)</t>
  </si>
  <si>
    <t>Music and Spirituality</t>
  </si>
  <si>
    <t>MUSIC / Religious / General</t>
  </si>
  <si>
    <t xml:space="preserve"> George Corbett-Sarah Moerman</t>
  </si>
  <si>
    <t>India Migration Report 2024</t>
  </si>
  <si>
    <t>S Irudaya Rajan</t>
  </si>
  <si>
    <t>Performance</t>
  </si>
  <si>
    <t>Hanna B. HÃ¶lling-Jules Pelta Feldman-Emilie Magnin</t>
  </si>
  <si>
    <t>The Foreign Policy of Irregular Migration Governance</t>
  </si>
  <si>
    <t>Gabriele Abbondanza</t>
  </si>
  <si>
    <t>India and Central Asia in the Post-Cold War Era</t>
  </si>
  <si>
    <t>Saroj Kumar Aryal</t>
  </si>
  <si>
    <t>Environmental Justice in Nepal</t>
  </si>
  <si>
    <t>Jonathan K London-Jagannath Adhikari-Thomas Robertson</t>
  </si>
  <si>
    <t>Peace and the Politics of Memory</t>
  </si>
  <si>
    <t>Johanna Mannergren-Annika BjÃ¶rkdahl-Susanne Buckley-Zistel-Stefanie Kappler-Timothy Williams</t>
  </si>
  <si>
    <t>Optimization Problems in Transportation and Logistics: A Practical Guide</t>
  </si>
  <si>
    <t>Raj, Bridgelall</t>
  </si>
  <si>
    <t>Thermal Evaluation of Indoor Climate and Energy Storage in Buildings</t>
  </si>
  <si>
    <t>Shailendra Kumar Shukla</t>
  </si>
  <si>
    <t>Portuguese Landscape Architecture Education, Heritage and Research</t>
  </si>
  <si>
    <t>Maria Matos Silva-Cristina Castel-Branco-JoÃ£o Ferreira Nunes-LuÃ­s Paulo Ribeiro-Teresa Andresen</t>
  </si>
  <si>
    <t>Dynamics of Sexual Consent</t>
  </si>
  <si>
    <t>Lena Gunnarsson</t>
  </si>
  <si>
    <t>Ageing and Urban Planning</t>
  </si>
  <si>
    <t>Matthias Drilling-Pamela Suero-Hind Al-Shoubaki-Fabian Neuhaus</t>
  </si>
  <si>
    <t>The Applied Studio Model in Higher Music Education</t>
  </si>
  <si>
    <t>Kelly A. Parkes-Ryan Daniel</t>
  </si>
  <si>
    <t>Rectifying Climate Injustice</t>
  </si>
  <si>
    <t>Laura GarcÃ­a-Portela</t>
  </si>
  <si>
    <t>The Computational Content Analyst</t>
  </si>
  <si>
    <t>Chris J. Vargo</t>
  </si>
  <si>
    <t>Reading Literature and Theory at the Intersections of Queer and Class</t>
  </si>
  <si>
    <t>Maria Alexopoulos-Tomasz Basiuk-Susanne Hochreiter-Tijana Ristic Kern</t>
  </si>
  <si>
    <t>Logomimesis</t>
  </si>
  <si>
    <t>Esa Kirkkopelto</t>
  </si>
  <si>
    <t>Making Mental Health</t>
  </si>
  <si>
    <t>Elizabeth Roberts-Pedersen</t>
  </si>
  <si>
    <t>A Love Letter to the Many</t>
  </si>
  <si>
    <t>Vishwas Satgar</t>
  </si>
  <si>
    <t>Forced Migration and Humanitarian Action</t>
  </si>
  <si>
    <t>Lorenzo Guadagno-Lisette R. Robles</t>
  </si>
  <si>
    <t>How to QuantCrit</t>
  </si>
  <si>
    <t>Wendy Castillo-Kamden K. Strunk</t>
  </si>
  <si>
    <t>A Team of Five Million?</t>
  </si>
  <si>
    <t>Jennifer Curtin-Lara Greaves-Jack Vowles</t>
  </si>
  <si>
    <t>1001 Ways to Save Money: Quit Flushing Your Hard-Earned Money Down the Toilet</t>
  </si>
  <si>
    <t>Annie Yang Financial</t>
  </si>
  <si>
    <t>BUSINESS &amp; ECONOMICS / Personal Finance / Budgeting</t>
  </si>
  <si>
    <t>Annie Margarita Yang</t>
  </si>
  <si>
    <t>The 5-Day Job Search: Proven Strategies To Answering Tough Interview Questions &amp; Getting Multiple Job Offers</t>
  </si>
  <si>
    <t>BUSINESS &amp; ECONOMICS / Careers / Job Hunting</t>
  </si>
  <si>
    <t>Innovatorinnen gestalten Zukunft</t>
  </si>
  <si>
    <t>Julia VoÃŸ-Clara Meyer zu Altenschildesche-Kerstin Ettl</t>
  </si>
  <si>
    <t>Identification des poissons par leurs otolithes en 3D</t>
  </si>
  <si>
    <t>Teachers and the Epistemology of History</t>
  </si>
  <si>
    <t>Henrik Ãƒâ€¦strÃƒÂ¶m ElmersjÃƒÂ¶-Paul Zanazanian</t>
  </si>
  <si>
    <t>Vanquished and Victorious</t>
  </si>
  <si>
    <t>VÃ¡clav Å midrkal-Laurence Cole-Hannes Leidinger-Rudolf KuÄera-Julia Walleczek-Fritz-Radka Å ustrovÃ¡</t>
  </si>
  <si>
    <t>Proceedings of the 8th Global Conference on Business, Management, and Entrepreneurship (GCBME 2023)</t>
  </si>
  <si>
    <t>Ratih Hurriyati-Lili Adi Wibowo-Sulastri Sulastri-Lisnawati Lisnawati</t>
  </si>
  <si>
    <t>Learning Analytics Methods and Tutorials</t>
  </si>
  <si>
    <t>Tourism and ICTs: Advances in Data Science, Artificial Intelligence and Sustainability</t>
  </si>
  <si>
    <t>Antonio J. Guevara Plaza-Alfonso Cerezo Medina-Enrique Navarro Jurado</t>
  </si>
  <si>
    <t>The Life of Nuns</t>
  </si>
  <si>
    <t xml:space="preserve"> Henrike LÃ¤hnemann-Eva Schlotheuber</t>
  </si>
  <si>
    <t>Psychological Perspectives on Musical Experiences and Skills</t>
  </si>
  <si>
    <t xml:space="preserve"> Blanka BogunoviÄ‡-Renee Timmers-Sanela NikoliÄ‡</t>
  </si>
  <si>
    <t>SociÃ¡lnÃ­ pedagog a jeho role v kontextu potÅ™eb zÃ¡kladnÃ­ch Å¡kol</t>
  </si>
  <si>
    <t>Å mÃ­da Jan, ÄŒech TomÃ¡Å¡, JÅ¯vovÃ¡ Alena</t>
  </si>
  <si>
    <t>Continuity and Change in Asia</t>
  </si>
  <si>
    <t>Kraus Filip, Westlake Renata, Å amajovÃ¡ KateÅ™ina, et al. (eds.)</t>
  </si>
  <si>
    <t>The Fundamentals of Campaign Finance in the U.S.</t>
  </si>
  <si>
    <t>Diana Dwyre-Robin Kolodny</t>
  </si>
  <si>
    <t>Massâ€“Elite Representation Gap in Old and New Democracies</t>
  </si>
  <si>
    <t>Jaemin Shim</t>
  </si>
  <si>
    <t>Whole School Approaches to Sustainability</t>
  </si>
  <si>
    <t>Arjen E.J. Wals-Birgitte BjÃ¸nness-Astrid Sinnes-Ingrid Eikeland</t>
  </si>
  <si>
    <t>A Primer to Causal Reasoning About a Complex World</t>
  </si>
  <si>
    <t>Lars-GÃ¶ran Johansson-Thomas Banitz-Volker Grimm-Tilman Hertz-Emilie Lindkvist</t>
  </si>
  <si>
    <t>Digital Health und Recht</t>
  </si>
  <si>
    <t>Gabriele Buchholtz-Laura Hering</t>
  </si>
  <si>
    <t>Dignity, Freedom and Justice</t>
  </si>
  <si>
    <t>Reiko Gotoh</t>
  </si>
  <si>
    <t>The Square Kilometre Array</t>
  </si>
  <si>
    <t>Richard T. Schilizzi-Ronald D. Ekers-Peter E. Dewdney-Philip Crosby</t>
  </si>
  <si>
    <t>A Perfect Storm in the Amazon Wilderness â€“ Success and Failure in the Fight to Save an Ecosystem of Critical Importance to the Planet, Volume 1: The Conventional Economy and the Drivers of Change</t>
  </si>
  <si>
    <t>White Horse Press</t>
  </si>
  <si>
    <t>Timothy Killeen</t>
  </si>
  <si>
    <t>Proceedings of the 2024 3rd International Conference on Social Sciences and Humanities and Arts (SSHA 2024)</t>
  </si>
  <si>
    <t>Mohd Fauzi bin Sedon-Intakhab Alam Khan-Mehmet CÃ¼neyt BirkÃ¶k-KinSun Chan</t>
  </si>
  <si>
    <t>Machine Learning for Cyber-Physical Systems</t>
  </si>
  <si>
    <t>Oliver Niggemann-JÃ¼rgen Beyerer-Maria Krantz-Christian KÃ¼hnert</t>
  </si>
  <si>
    <t>Enhancing Global Governance in a Fragmented World</t>
  </si>
  <si>
    <t>Salish Archipelago</t>
  </si>
  <si>
    <t>Moshe Rapaport</t>
  </si>
  <si>
    <t>Proceedings of the 4th International Conference on Halal Development (4th ICHaD 2023)</t>
  </si>
  <si>
    <t>Dediek Tri Kurniawan-Abdul Basid</t>
  </si>
  <si>
    <t>Proceedings of the 2023 International Conference on Economic Management, Financial Innovation and Public Service (EMFIPS 2023)</t>
  </si>
  <si>
    <t>Die Sorge um Andere am Lebensende als Beruf</t>
  </si>
  <si>
    <t>Karin A. Stadelmann</t>
  </si>
  <si>
    <t>Intelligent Secure Trustable Things</t>
  </si>
  <si>
    <t>Michael Karner-Johannes Peltola-Michael Jerne-Lukas Kulas-Peter Priller</t>
  </si>
  <si>
    <t>Une recherche dÃ©-coÃ¯ncidente pour se prÃ©parer aux crises environnementales et alimentaires</t>
  </si>
  <si>
    <t>An Anthropology of Crosslocations</t>
  </si>
  <si>
    <t>SOCIAL SCIENCE / Anthropology / Physical</t>
  </si>
  <si>
    <t>Sarah Green-Samuli LÃ¤hteenaho-Phaedra Douzina-Bakalaki-Carl Rommel-Joseph J. Viscomi-Laia Soto Bermant-Patricia Scalco</t>
  </si>
  <si>
    <t>Being Pagan, Being Christian in Late Antiquity and Early Middle Ages</t>
  </si>
  <si>
    <t>ANTIQUES &amp; COLLECTIBLES / Subjects &amp; Themes / Religious</t>
  </si>
  <si>
    <t>Katja Ritari-Jan R. Stenger-William Van Andringa</t>
  </si>
  <si>
    <t>â€œSlava Ukraini!â€: Strategy and The Spirit of Ukrainian Resistance, 2014â€“2023</t>
  </si>
  <si>
    <t>HISTORY / Military / Strategy</t>
  </si>
  <si>
    <t>Ilmari KÃ¤ihkÃ¶</t>
  </si>
  <si>
    <t>Military Revolution and the Thirty Years War 1618â€“1648: Aspects of Institutional Change and Decline</t>
  </si>
  <si>
    <t>HISTORY / Military / Early Modern Warfare (1500-1800)</t>
  </si>
  <si>
    <t>Olli BÃ¤ckstrÃ¶m</t>
  </si>
  <si>
    <t>Global Perspectives on Leadership in Early Childhood Education</t>
  </si>
  <si>
    <t>Matshediso Modise-Elina FonsÃ©n-Johanna Heikka-Nkidi Phatudi-Marit BÃ¸e-Thembi Phala</t>
  </si>
  <si>
    <t>Banal Security: Queer Korea in the Time of Viruses</t>
  </si>
  <si>
    <t>Timothy Gitzen</t>
  </si>
  <si>
    <t>Living Communities and Their Archaeologies in the Middle East</t>
  </si>
  <si>
    <t>Rick Bonnie-Marta Lorenzon-Suzie Thomas</t>
  </si>
  <si>
    <t>Proceedings of the University of Fort Hare Teaching and Learning Conference (UFHTL 2023)</t>
  </si>
  <si>
    <t>Thabisa Mayisela-Liezel Cilliers</t>
  </si>
  <si>
    <t>Financial, Staffing and Societal Sustainability of Dutch Health Care</t>
  </si>
  <si>
    <t>Gijsbert Werner-Arthur van Riel-MÃ©rove Gijsberts-Marianne de Visser</t>
  </si>
  <si>
    <t>The Book of Disputation: A Mudejar Religious-Philosophical Treatise Against Christians and Jews</t>
  </si>
  <si>
    <t>MÃ²nica Colominas Aparicio</t>
  </si>
  <si>
    <t>Quranic Arabic</t>
  </si>
  <si>
    <t>Marijn van Putten</t>
  </si>
  <si>
    <t>The Twentieth Century in European Memory</t>
  </si>
  <si>
    <t>Tea SindbÃ¦k Andersen-Barbara TÃ¶rnquist-Plewa</t>
  </si>
  <si>
    <t>The Return of Malthus: Environmentalism and Post-war Populationâ€“Resource Crises</t>
  </si>
  <si>
    <t>BjÃ¶rn-Ola Linner</t>
  </si>
  <si>
    <t>The Environment and the European Public Sphere: Perceptions, Actions, Policies</t>
  </si>
  <si>
    <t>Christian Wenkel</t>
  </si>
  <si>
    <t>The Eclipse of Urbanism and the Greening of Public Space: Image Making and the Search for a Commons in the United States, 1682â€“1865</t>
  </si>
  <si>
    <t>HISTORY / United States / 19th Century</t>
  </si>
  <si>
    <t>Mark Luccarelli</t>
  </si>
  <si>
    <t>The Age of the Soybean: An Environmental History of Soy During the Great Acceleration</t>
  </si>
  <si>
    <t>Claiton Marcio da Silva-Claudio de Majo</t>
  </si>
  <si>
    <t>Policy and Practice in Rural Tanzania: Grazing, Fishing and Farming at the Localâ€“Global Interface</t>
  </si>
  <si>
    <t>Antonio Allegretti</t>
  </si>
  <si>
    <t>Pathways: Exploring the Routes of a Movement Heritage</t>
  </si>
  <si>
    <t>SPORTS &amp; RECREATION / Walking</t>
  </si>
  <si>
    <t>Daniel Svensson-Katarina Saltzman-Sverker SÃ¶rlin</t>
  </si>
  <si>
    <t>Paradise Blues: Travels Through American Environmental History</t>
  </si>
  <si>
    <t>Christof Mauch</t>
  </si>
  <si>
    <t>Mount Sacred: A Brief Global History of Holy Mountains Since 1500</t>
  </si>
  <si>
    <t>NATURE / Ecosystems &amp; Habitats / Mountains</t>
  </si>
  <si>
    <t>Jon Mathieu</t>
  </si>
  <si>
    <t>Green Development or Greenwashing?: Environmental Histories of Finland</t>
  </si>
  <si>
    <t>Viktor PÃ¡l-Tuomas RÃ¤sÃ¤nen-Mikko Saikku</t>
  </si>
  <si>
    <t>Environmental and Social Justice in the City: Historical Perspectives</t>
  </si>
  <si>
    <t>GeneviÃ¨ve Massard-Guilbaud-Richard Rodger</t>
  </si>
  <si>
    <t>Entire of Itself?</t>
  </si>
  <si>
    <t xml:space="preserve"> Milica Prokic-Pavla Å imkovÃ¡</t>
  </si>
  <si>
    <t>Changing Deserts: Integrating People and Their Environment</t>
  </si>
  <si>
    <t>NATURE / Ecosystems &amp; Habitats / Deserts</t>
  </si>
  <si>
    <t>Lisa Mol-Troy Sternberg</t>
  </si>
  <si>
    <t>Anne Frank's Tree: Nature's Confrontation with Technology, Domination, and the Holocaust</t>
  </si>
  <si>
    <t>Eric Katz</t>
  </si>
  <si>
    <t>RozwÃ³j zrÃ³wnowaÅ¼onych, inteligentnych i odpornych miejskich systemÃ³w transportowych â€“ perspektywa mieszkaÅ„cÃ³w</t>
  </si>
  <si>
    <t>Aldona PodgÃ³rniak-Krzykacz-Justyna Przywojska</t>
  </si>
  <si>
    <t>Neo-Ottomanism and the Politics of Emotions in Turkey</t>
  </si>
  <si>
    <t>Nagehan TokdoÄŸan-John William Day</t>
  </si>
  <si>
    <t>Area-Based Management of Shipping</t>
  </si>
  <si>
    <t>Aldo Chircop-Floris Goerlandt-Ronald Pelot-Claudio Aporta</t>
  </si>
  <si>
    <t>Human Evolutionary Demography</t>
  </si>
  <si>
    <t xml:space="preserve"> Oskar Burger-Ronald Lee-Rebecca Sear</t>
  </si>
  <si>
    <t>Feliks Volkhovskii</t>
  </si>
  <si>
    <t xml:space="preserve"> Michael Hughes</t>
  </si>
  <si>
    <t>Antisemitism in Online Communication</t>
  </si>
  <si>
    <t xml:space="preserve"> Matthias J. Becker-Laura Ascone-Karolina Placzynta-ChloÃ© Vincent</t>
  </si>
  <si>
    <t>Politik und Geschlecht</t>
  </si>
  <si>
    <t>Christine M. Klapeer-Johanna Leinius-Franziska Martinsen-Heike Mauer-Inga NÃ¼then</t>
  </si>
  <si>
    <t>Contested Social and Ecological Reproduction</t>
  </si>
  <si>
    <t>Antonia Kupfer-Constanze Stutz</t>
  </si>
  <si>
    <t>Justice in Climate Policy</t>
  </si>
  <si>
    <t>Annick de Vries-Gijsbert Werner-Elsenoor Wijlhuizen-Victor Toom-Mark Bovens-Suzanne Hulscher</t>
  </si>
  <si>
    <t>Lingua: nervus rerum humanarum. Essays in Honour of Professor StanisÅ‚aw Puppel on the Occasion of his 65th Birthday</t>
  </si>
  <si>
    <t>Marta Koszko (red.)-Kinga Kowalewska (red.)-Joanna Puppel (red.)-Emilia WÄ…sikiewicz-Firlej (red.)</t>
  </si>
  <si>
    <t>ObecnoÅ›Ä‡ i rola gestÃ³w rytualnych w przestrzeni publicznej. Analiza na przykÅ‚adzie rzeÅºb sakralnych w Å›wiÄ…tyniach katolickich na terenie miasta Poznania i wybranych okolic</t>
  </si>
  <si>
    <t>Joanna Puppel</t>
  </si>
  <si>
    <t>Enlightenment Traditions and the Legal and Political System of the United States of America</t>
  </si>
  <si>
    <t>MichaÅ‚ UrbaÅ„czyk-Kamil GaweÅ‚-Fatma Mejri (eds.)</t>
  </si>
  <si>
    <t>The Sun Also Rises in Portugal</t>
  </si>
  <si>
    <t>Siddharth Sareen</t>
  </si>
  <si>
    <t>Activists in the Data Stream</t>
  </si>
  <si>
    <t>Alice Mattoni-Diego Ceccobelli</t>
  </si>
  <si>
    <t>Peer Relationships at School</t>
  </si>
  <si>
    <t>Emma Soye</t>
  </si>
  <si>
    <t>Retail and Community</t>
  </si>
  <si>
    <t>George Campbell Gosling-Alix R. Green-Grace Millar</t>
  </si>
  <si>
    <t>Data Power in Action</t>
  </si>
  <si>
    <t>Ola SÃ¶derstrÃ¶m-Ayona Datta</t>
  </si>
  <si>
    <t>Trafficking Chains</t>
  </si>
  <si>
    <t>Sylvia Walby-Karen A. Shire</t>
  </si>
  <si>
    <t>Theorising Justice</t>
  </si>
  <si>
    <t>Johanna Ohlsson-Stephen Przybylinski</t>
  </si>
  <si>
    <t>Ethnographic Methods in Gypsy, Roma and Traveller Research</t>
  </si>
  <si>
    <t>SOCIAL SCIENCE / Minority Studies</t>
  </si>
  <si>
    <t>Martin Fotta-Paloma Gay y Blasco</t>
  </si>
  <si>
    <t>Belief in Marriage</t>
  </si>
  <si>
    <t>LAW / Family Law / Marriage</t>
  </si>
  <si>
    <t>Rebecca Probert-Rajnaara C. Akhtar-Sharon Blake</t>
  </si>
  <si>
    <t>Using Participatory Methods to Explore Freedom of Religion and Belief</t>
  </si>
  <si>
    <t>Jo Howard-Mariz Tadros</t>
  </si>
  <si>
    <t>Poverty and Prejudice</t>
  </si>
  <si>
    <t>Mariz Tadros-Philip Mader-Kathryn Cheeseman</t>
  </si>
  <si>
    <t>Climate Litigation and Justice in Africa</t>
  </si>
  <si>
    <t>Kim Bouwer-Uzuazo Etemire-Tracy-Lynn Field-Ademola Oluborode Jegede</t>
  </si>
  <si>
    <t>Childrenâ€™s Voices, Family Disputes and Child-Inclusive Mediation</t>
  </si>
  <si>
    <t>LAW / Family Law / Divorce &amp; Separation</t>
  </si>
  <si>
    <t>Anne Barlow-Jan Ewing</t>
  </si>
  <si>
    <t>DataPublics</t>
  </si>
  <si>
    <t>Jannie MÃ¸ller Hartley-Jannick Kirk SÃ¸rensen-David Mathieu</t>
  </si>
  <si>
    <t>The Environment in Global Sustainability Governance</t>
  </si>
  <si>
    <t>Lena Partzsch</t>
  </si>
  <si>
    <t>Childrenâ€™s Work in African Agriculture</t>
  </si>
  <si>
    <t>James Sumberg-Rachel Sabates-Wheeler</t>
  </si>
  <si>
    <t>Infrastructuring Urban Futures</t>
  </si>
  <si>
    <t>Alan Wiig-Kevin Ward-Theresa Enright-Mike Hodson-Hamil Pearsall-Jonathan Silver</t>
  </si>
  <si>
    <t>Conceptualising Arbitrary Detention</t>
  </si>
  <si>
    <t>Carla Ferstman</t>
  </si>
  <si>
    <t>Architectures of Inequality</t>
  </si>
  <si>
    <t>Rachel Verdin</t>
  </si>
  <si>
    <t>A Realist Philosophy of Economics</t>
  </si>
  <si>
    <t>Epigenetics and Responsibility</t>
  </si>
  <si>
    <t>Emma Moormann-Anna Smajdor-Daniela Cutas</t>
  </si>
  <si>
    <t>Social Policy Review 36</t>
  </si>
  <si>
    <t>Bozena Sojka-Stephan KÃ¶ppe-Andrea Parma-Ruggero Cefalo</t>
  </si>
  <si>
    <t>Social Policy Review 35</t>
  </si>
  <si>
    <t>Ruggero Cefalo-Marcia Rose-Andy Jolly</t>
  </si>
  <si>
    <t>Reimagining Age-Friendly Communities</t>
  </si>
  <si>
    <t>Tine Buffel-Patty Doran-Sophie Yarker</t>
  </si>
  <si>
    <t>Combining Work and Care</t>
  </si>
  <si>
    <t>Kate Hamblin-Jason Heyes-Janet Fast</t>
  </si>
  <si>
    <t>Innovation in Social Care</t>
  </si>
  <si>
    <t>Michelle Lefevre-Nathalie Huegler-Jenny Lloyd-Rachael Owens-Jeri Damman-Gillian Ruch-Carlene Firmin</t>
  </si>
  <si>
    <t>The Escape From Poverty</t>
  </si>
  <si>
    <t>Olivier De Schutter-Hugh Frazer-Anne-Catherine Guio-Eric Marlier</t>
  </si>
  <si>
    <t>Beyond Bars</t>
  </si>
  <si>
    <t>Kristen M. Budd-David C. Lane-Glenn W. Muschert-Jason A. Smith</t>
  </si>
  <si>
    <t>Northern Exposure</t>
  </si>
  <si>
    <t>Clare Bambra-Luke Munford-Sam Khavandi-Natalie Bennett</t>
  </si>
  <si>
    <t>Desistance and Children</t>
  </si>
  <si>
    <t>Alexandra Wigzell-Claire Paterson-Young-Tim Bateman</t>
  </si>
  <si>
    <t>How Britain Loves the NHS</t>
  </si>
  <si>
    <t>Ellen A. Stewart</t>
  </si>
  <si>
    <t>Racism and Ethnic Inequality in a Time of Crisis</t>
  </si>
  <si>
    <t>Nissa Finney-James Nazroo-Laia BÃ©cares-Dharmi Kapadia-Natalie Shlomo</t>
  </si>
  <si>
    <t>Nurturing Equality, Diversity and Inclusion</t>
  </si>
  <si>
    <t>Aleksandra Thomson-Rachael Gooberman-Hill</t>
  </si>
  <si>
    <t>COVID-19, Inequality and Older People</t>
  </si>
  <si>
    <t>Camilla Lewis-Chris Phillipson-Sophie Yarker-Luciana Lang</t>
  </si>
  <si>
    <t>What Is Public Trust in the Health System?</t>
  </si>
  <si>
    <t>Felix Gille</t>
  </si>
  <si>
    <t>Co-creation in Public Services for Innovation and Social Justice</t>
  </si>
  <si>
    <t>Sue Baines-Rob Wilson-Chris Fox-Inga NarbutaitÃ© Aflaki-Andrea Bassi-Heli Aramo-Immonen-Riccardo Prandini</t>
  </si>
  <si>
    <t>The Marketisation of Welfare-To-Work in Ireland</t>
  </si>
  <si>
    <t>Michael McGann</t>
  </si>
  <si>
    <t>Living on the Edge</t>
  </si>
  <si>
    <t>Samuel Keller-Inger Oterholm-Veronika Paulsen-Adrian D. van Breda</t>
  </si>
  <si>
    <t>Unpaid Work in Nursing Homes</t>
  </si>
  <si>
    <t>Pat Armstrong</t>
  </si>
  <si>
    <t>Zagadnienia prawa konstytucyjnego. KsiÄ™ga jubileuszowa dedykowana Profesorowi Krzysztofowi Skotnickiemu w siedemdziesiÄ…tÄ… rocznicÄ™ urodzin. Tom 1</t>
  </si>
  <si>
    <t>Aldona DomaÅ„ska</t>
  </si>
  <si>
    <t>PochwaÅ‚a zÅ‚otego Å›rodka, czyli o rozwiÄ…zaniach poÅ›rednich w gospodarce przestrzennej</t>
  </si>
  <si>
    <t>Mariusz E. SokoÅ‚owicz</t>
  </si>
  <si>
    <t>Dyskursywny obraz Åodzi w mediach</t>
  </si>
  <si>
    <t>Mateusz Gaze</t>
  </si>
  <si>
    <t>Kredyty zagroÅ¼one NPL oraz odpisy na straty kredytowe w sektorze bankowym</t>
  </si>
  <si>
    <t>Iwona Dorota Czechowska-CzesÅ‚aw LipiÅ„ski-Joanna Stawska-Joanna StÄ™piÅ„ska-Wojciech ZatoÅ„-Marcin Borys</t>
  </si>
  <si>
    <t>Przestrzenie kultury ksiÄ…Å¼ki w publikacjach z zakresu savoir-vivreâ€™u. Od PRL do Facebooka</t>
  </si>
  <si>
    <t>StanisÅ‚awa Kurek-KokociÅ„ska</t>
  </si>
  <si>
    <t>Plenerowa rekreacja twÃ³rcza. PrzykÅ‚ad Åodzi</t>
  </si>
  <si>
    <t>CRAFTS &amp; HOBBIES / General</t>
  </si>
  <si>
    <t>Aleksandra Mroczek-Å»ulicka</t>
  </si>
  <si>
    <t>The Woman Artist: Essays in Memory of Dorota Filipczak</t>
  </si>
  <si>
    <t>Tomasz Dobrogoszcz-Tomasz Fisiak-Agata Handley-Krzysztof Majer</t>
  </si>
  <si>
    <t>Proceedings of the 2024 5th International Conference on Civil, Architecture and Disaster Prevention and Control (CADPC 2024)</t>
  </si>
  <si>
    <t>Peng Liu-HÃ¼seyin Bilgin-Jialing Yang-Bin Hu</t>
  </si>
  <si>
    <t>Gendered Urban Violence Among Brazilians</t>
  </si>
  <si>
    <t>Cathy McIlwaine-Paul Heritage-Miriam Krenzinger Azambuja-Moniza Rizzini Ansari-Eliana Sousa Silva-Yara Evans</t>
  </si>
  <si>
    <t>Pandemic Culture</t>
  </si>
  <si>
    <t>Ben Walmsley-Abigail Gilmore-Dave O'Brien</t>
  </si>
  <si>
    <t>Politicising and Gendering Care for Older People</t>
  </si>
  <si>
    <t>Anca Dohotariu-Ana Paula Gil-Lubica VolanskÃ¡</t>
  </si>
  <si>
    <t>Defying Beijing</t>
  </si>
  <si>
    <t>Debby Chan</t>
  </si>
  <si>
    <t>Living Well in a World Worth Living in for All</t>
  </si>
  <si>
    <t>Kristin Elaine Reimer-Mervi Kaukko-Sally Windsor-Stephen Kemmis-Kathleen Mahon</t>
  </si>
  <si>
    <t>Proceedings of the NDIEAS-2024 International Symposium on New Dimensions and Ideas in Environmental Anthropology-2024 (NDIEAS 2024)</t>
  </si>
  <si>
    <t>Tulishree Pradhan-Amareswar Galla-Maria Stoicheva-Amitabh Pandey</t>
  </si>
  <si>
    <t>Proceedings of the International Conference on Innovation and Regenerative Trends in Tourism and Hospitality Industry (IRTTHI 2024)</t>
  </si>
  <si>
    <t>MediÃ¡lnÃ­ vÃ½chova v kontextu infodemie a novÃ½ch mÃ©diÃ­</t>
  </si>
  <si>
    <t>GrÃ¼re KlÃ¡ra</t>
  </si>
  <si>
    <t>PÅ™ekonÃ¡vÃ¡nÃ­ obtÃ­Å¾Ã­ po amputaci dolnÃ­ konÄetiny</t>
  </si>
  <si>
    <t>BrhÃ¡Äek LubomÃ­r, BirgusovÃ¡ Gabriela, Orel Miroslav, et al.</t>
  </si>
  <si>
    <t>Didaktika ÄeÅ¡tiny jako cizÃ­ho a druhÃ©ho jazyka</t>
  </si>
  <si>
    <t>HradilovÃ¡ Darina, KopeÄkovÃ¡ Michaela, SvobodovÃ¡ JindÅ™iÅ¡ka</t>
  </si>
  <si>
    <t>Nurturing the Wellbeing of Students in Difficulty</t>
  </si>
  <si>
    <t>Carmel Cefai</t>
  </si>
  <si>
    <t>Energy Efficiency and Robustness of Advanced Machine Learning Architectures</t>
  </si>
  <si>
    <t>Alberto Marchisio-Muhammad Shafique</t>
  </si>
  <si>
    <t>Ransomware Analysis</t>
  </si>
  <si>
    <t>Claudia Lanza-Abdelkader Lahmadi-JÃ©rÃ´me FranÃ§ois</t>
  </si>
  <si>
    <t>Intelligent Computing and Optimization for Sustainable Development</t>
  </si>
  <si>
    <t>Veena Grover-Rajesh Kumar Dhanaraj-Balamurugan Balusamy-Gopal Rathinam</t>
  </si>
  <si>
    <t>Waste-to-Wealth</t>
  </si>
  <si>
    <t>Vinay Yadav-Shishir Shrotriya</t>
  </si>
  <si>
    <t>Designing Interactions with Robots</t>
  </si>
  <si>
    <t>Maria Luce Lupetti-Cristina Zaga-Nazli Cila-Selma Å abanoviÄ‡-Malte F. Jung</t>
  </si>
  <si>
    <t>Value and Worthlessness</t>
  </si>
  <si>
    <t>Don Kalb</t>
  </si>
  <si>
    <t>Refugee Protection in Southeast Asia</t>
  </si>
  <si>
    <t>Susan Kneebone-Reyvi MariÃ±as-Antje Missbach-Max Walden</t>
  </si>
  <si>
    <t>The Hoarding Vikings</t>
  </si>
  <si>
    <t>Gitte T. Ingvardson</t>
  </si>
  <si>
    <t>Liberal Perspectives on Inclusion</t>
  </si>
  <si>
    <t>Joseph Mintz</t>
  </si>
  <si>
    <t>Future Memory Practices</t>
  </si>
  <si>
    <t>Gertraud Koch-Rachel Charlotte Smith</t>
  </si>
  <si>
    <t>The Borders of Violence</t>
  </si>
  <si>
    <t>Marie Segrave-Stefani Vasil</t>
  </si>
  <si>
    <t>Objects in the Archives</t>
  </si>
  <si>
    <t>KristjÃ¡n MÃ­misson-DaviÃ° Ã“lafsson</t>
  </si>
  <si>
    <t>Israel and the Creation of a Palestinian State</t>
  </si>
  <si>
    <t>J. H. H. Weiler</t>
  </si>
  <si>
    <t>South Asia Migration Report 2024</t>
  </si>
  <si>
    <t>Research Mobilities in Primary Literacy Education</t>
  </si>
  <si>
    <t>Cathy Burnett-Gill Adams-Julia Gillen-Terrie Lynn Thompson-Anna Cermakova-David Ben Shannon-Parinita Shetty</t>
  </si>
  <si>
    <t>Why We Worry</t>
  </si>
  <si>
    <t>Roland Paulsen</t>
  </si>
  <si>
    <t>Management, Conflict Resolution and Strategy</t>
  </si>
  <si>
    <t>Magdalena Kraczla-Anna WziÄ…tek-StaÅ›ko</t>
  </si>
  <si>
    <t>The Russian-Ukrainian Conflict and War Crimes</t>
  </si>
  <si>
    <t>Patrycja Grzebyk-Dominika Uczkiewicz</t>
  </si>
  <si>
    <t>Museums, Identity and Family Practices</t>
  </si>
  <si>
    <t>Theano Moussouri</t>
  </si>
  <si>
    <t>Innovation Pathways to Sustainability</t>
  </si>
  <si>
    <t>Michael Lester-Marie dela Rama</t>
  </si>
  <si>
    <t>The Routledge Handbook of Cooperative Economics and Management</t>
  </si>
  <si>
    <t>Jerome Nikolai Warren-Lucio Biggiero-Jamin HÃ¼bner-Kemi Ogunyemi</t>
  </si>
  <si>
    <t>Artificial Intelligence and Evaluation</t>
  </si>
  <si>
    <t>Steffen Bohni Nielsen-Francesco Mazzeo Rinaldi-Gustav Jakob Petersson</t>
  </si>
  <si>
    <t>Masculinities and Queer Perspectives in Transitional Justice</t>
  </si>
  <si>
    <t>Philipp Schulz-Brandon Hamber-Heleen Touquet</t>
  </si>
  <si>
    <t>Empowering Marginalised Women in Remote Indian Villages</t>
  </si>
  <si>
    <t>Udoy Saikia-Jim Chalmers-Dency Michael-Janice Orrell</t>
  </si>
  <si>
    <t>Inside the Expressive Culture of Chinese Women's Mosques</t>
  </si>
  <si>
    <t>Maria Jaschok</t>
  </si>
  <si>
    <t>Climate Politics in Populist Times</t>
  </si>
  <si>
    <t>Mirjam Gruber</t>
  </si>
  <si>
    <t>Governance, Regulation and Management of Global Sport Organisations</t>
  </si>
  <si>
    <t>SPORTS &amp; RECREATION / Business Aspects</t>
  </si>
  <si>
    <t>Emmanuel Bayle</t>
  </si>
  <si>
    <t>The Rise of Nationalist Populism</t>
  </si>
  <si>
    <t>Daniel Rueda</t>
  </si>
  <si>
    <t>State-Sponsored Disinformation Around the Globe</t>
  </si>
  <si>
    <t>Martin EcheverrÃ­a-Sara GarcÃ­a SantamarÃ­a-Daniel C. Hallin</t>
  </si>
  <si>
    <t>Social Policy and EU Polity-building Through Crises and Beyond</t>
  </si>
  <si>
    <t>Anna Kyriazi-Joan MirÃ³-Marcello Natili-Stefano Ronchi</t>
  </si>
  <si>
    <t>Digital Inequality</t>
  </si>
  <si>
    <t>Anna Gladkova-Elena Vartanova-Shi-xu</t>
  </si>
  <si>
    <t>Dementia: Stigma and Stories</t>
  </si>
  <si>
    <t>Shadhvika Nandhakumar</t>
  </si>
  <si>
    <t>Authoritarian Populism and the Challenges for News Journalism</t>
  </si>
  <si>
    <t>Mats EkstrÃ¶m-Marianna Patrona</t>
  </si>
  <si>
    <t>Collections As Relations</t>
  </si>
  <si>
    <t>HansjÃ¶rg Dilger-Barbara GÃ¶bel-Lars-Christian Koch-Stephanie SchÃ¼tze-Alexis von Poser</t>
  </si>
  <si>
    <t>Medical Interpreting</t>
  </si>
  <si>
    <t>Almudena Nevado Llopis-Ana Isabel FoulquiÃ© Rubio</t>
  </si>
  <si>
    <t>Language Attitudes, Collective Memory and (Trans)National Identity Construction Among the Armenian Diaspora in Bulgaria</t>
  </si>
  <si>
    <t>Giustina Selvelli</t>
  </si>
  <si>
    <t>Sprache Und Interkulturalitaet in Der Digitalen Welt / Language and Interculturality in the Digital World</t>
  </si>
  <si>
    <t>Roman Lietz-Milene Mendes de Oliveira-Luisa Conti-Fergal Lenehan</t>
  </si>
  <si>
    <t>American Law and American Jurisprudence: Interpretations, Challenges, Procedures</t>
  </si>
  <si>
    <t>Åukasz D. Bartosik-MichaÅ‚ UrbaÅ„czyk-Damian Szlingiert</t>
  </si>
  <si>
    <t>Cyfrowy Å›wiat dzieci we wczesnym wieku szkolnym. Uwarunkowania korzystania z nowych technologii przez dzieci</t>
  </si>
  <si>
    <t>Agnieszka Iwanicka</t>
  </si>
  <si>
    <t>Progress in Landslide Research and Technology, Volume 3 Issue 1, 2024</t>
  </si>
  <si>
    <t>Biljana Abolmasov-Irasema AlcÃ¡ntara-Ayala-Å½eljko Arbanas-David Huntley-Kazuo Konagai</t>
  </si>
  <si>
    <t>Ageing As Future</t>
  </si>
  <si>
    <t>Frieder R. Lang-Stephan Lessenich-Klaus Rothermund</t>
  </si>
  <si>
    <t>The Illiberal Public Sphere</t>
  </si>
  <si>
    <t>VÃƒÂ¡clav Ã… tÃ„â€ºtka-Sabina Mihelj</t>
  </si>
  <si>
    <t>The Future of Manufacturing: The Italian Roadmap</t>
  </si>
  <si>
    <t>Rosanna Fornasiero-Tullio A. M. Tolio</t>
  </si>
  <si>
    <t>ProyecciÃ³n de la EscolÃ¡stica jesuita espaÃ±ola en el pensamiento britÃ¡nico</t>
  </si>
  <si>
    <t>Leopoldo J. Prieto LÃ³pez-JosÃ© Luis Cendejas Bueno</t>
  </si>
  <si>
    <t>Platoâ€™s Gorgias: Speech, Soul and Politics</t>
  </si>
  <si>
    <t>David Machek-VladimÃ­r MikeÅ¡</t>
  </si>
  <si>
    <t>Who Benefits From the Sanitized Language of Violence?</t>
  </si>
  <si>
    <t>Matthew Fyjis-Walker</t>
  </si>
  <si>
    <t>The Suburban Frontier</t>
  </si>
  <si>
    <t>Claire Mercer</t>
  </si>
  <si>
    <t>Asian Yearbook of International Law, Volume 13 (2007)</t>
  </si>
  <si>
    <t>B S Chimni-Miyoshi Masahiro-Li-ann Thio</t>
  </si>
  <si>
    <t>Asian Yearbook of International Law, Volume 20 (2014)</t>
  </si>
  <si>
    <t>Kevin YL Tan</t>
  </si>
  <si>
    <t>Asian Yearbook of International Law, Volume 18 (2012)</t>
  </si>
  <si>
    <t>Asian Yearbook of International Law, Volume 17 (2011)</t>
  </si>
  <si>
    <t>Asian Yearbook of International Law, Volume 19 (2013)</t>
  </si>
  <si>
    <t>Asian Yearbook of International Law, Volume 16 (2010)</t>
  </si>
  <si>
    <t>Asian Yearbook of International Law, Volume 15 (2009)</t>
  </si>
  <si>
    <t>B S Chimini-Miyoshi Masahiro-Javaid Rehman</t>
  </si>
  <si>
    <t>Asian Yearbook of International Law, Volume 14 (2008)</t>
  </si>
  <si>
    <t>B S Chimini-Miyoshi Masahiro-Li-Ann Thio</t>
  </si>
  <si>
    <t>Adult Education Policy and the European Union: Theoretical and Methodological Perspectives</t>
  </si>
  <si>
    <t>Marcella Milana-John Holford</t>
  </si>
  <si>
    <t>Asian Yearbook of International Law, Volume 22 (2016)</t>
  </si>
  <si>
    <t>The Lifework of a Labor Historian: Essays in Honor of Marcel Van Der Linden</t>
  </si>
  <si>
    <t>Ulbe Bosma-Karin Hofmeester</t>
  </si>
  <si>
    <t>Asian Yearbook of International Law, Volume 21 (2015)</t>
  </si>
  <si>
    <t>International Submarine Cables and Biodiversity of Areas Beyond National Jurisdiction</t>
  </si>
  <si>
    <t>Douglas R. Burnett-Lionel Carter</t>
  </si>
  <si>
    <t>The European Union and the Arctic</t>
  </si>
  <si>
    <t>Nengye Liu-Elizabeth A. Kirk-Tore Henriksen</t>
  </si>
  <si>
    <t>Combining Economic and Political Development</t>
  </si>
  <si>
    <t>Giacomo Luciani</t>
  </si>
  <si>
    <t>From Josephus to Yosippon and Beyond</t>
  </si>
  <si>
    <t>RELIGION / Judaism / General</t>
  </si>
  <si>
    <t>Carson Bay-Michael Avioz-Jan Willem van Henten</t>
  </si>
  <si>
    <t>Seventy Years of the International Law Commission</t>
  </si>
  <si>
    <t>The United Nations</t>
  </si>
  <si>
    <t>BITE: Recipes for Remarkable Research</t>
  </si>
  <si>
    <t>Alison Williams-Derek Jones-Judy Robertson</t>
  </si>
  <si>
    <t>Doing Critical and Creative Research in Adult Education</t>
  </si>
  <si>
    <t>Bernie Grummell-Fergal Finnegan</t>
  </si>
  <si>
    <t>The Years of Jesuit Suppression, 1773â€“1814: Survival, Setbacks, and Transformation</t>
  </si>
  <si>
    <t>Paul Shore</t>
  </si>
  <si>
    <t>The Societal Unconscious</t>
  </si>
  <si>
    <t>Henning Salling Olesen</t>
  </si>
  <si>
    <t>Power and Possibility</t>
  </si>
  <si>
    <t>Fergal Finnegan-Bernie Grummell</t>
  </si>
  <si>
    <t>Domestic Courts and the Interpretation of International Law</t>
  </si>
  <si>
    <t>Odile Ammann</t>
  </si>
  <si>
    <t>International Organizations and the Promotion of Effective Dispute Resolution</t>
  </si>
  <si>
    <t>Peter Quayle-Xuan Gao</t>
  </si>
  <si>
    <t>Trust in Contemporary Society</t>
  </si>
  <si>
    <t>Masamichi Sasaki</t>
  </si>
  <si>
    <t>Rural Granaries in Northern Gaul (Sixth Century BCE â€“ Fourth Century CE)</t>
  </si>
  <si>
    <t>StÃ©phane Martin</t>
  </si>
  <si>
    <t>Snow in the Tropics</t>
  </si>
  <si>
    <t>Thomas Taro Lennerfors-Peter Birch</t>
  </si>
  <si>
    <t>Education for Democratic Intercultural Citizenship</t>
  </si>
  <si>
    <t>Wiel Veugelers</t>
  </si>
  <si>
    <t>Ecritures Digitales</t>
  </si>
  <si>
    <t>Claire Clivaz</t>
  </si>
  <si>
    <t>Good Governance and Modern International Financial Institutions</t>
  </si>
  <si>
    <t>The ILO @ 100</t>
  </si>
  <si>
    <t>Christophe Gironde-Gilles Carbonnier</t>
  </si>
  <si>
    <t>Ancient Manuscripts in Digital Culture</t>
  </si>
  <si>
    <t>David HamidoviÄ‡-Claire Clivaz-Sarah Bowen Savant</t>
  </si>
  <si>
    <t>Animal Experimentation: Working Towards a Paradigm Change</t>
  </si>
  <si>
    <t>Kathrin Herrmann-Kimberley Jayne</t>
  </si>
  <si>
    <t>Islamic Ethics and the Genome Question</t>
  </si>
  <si>
    <t>Mohammed Ghaly</t>
  </si>
  <si>
    <t>The Ecosystem Approach in Ocean Planning and Governance</t>
  </si>
  <si>
    <t>David Langlet-Rosemary Rayfuse</t>
  </si>
  <si>
    <t>Gathering Souls: Jesuit Missions and Missionaries in Oceania (1668â€“1945)</t>
  </si>
  <si>
    <t>Alexandre Coello de la Rosa</t>
  </si>
  <si>
    <t>Money and Coinage in the Middle Ages</t>
  </si>
  <si>
    <t>Rory Naismith</t>
  </si>
  <si>
    <t>The Corporation As a Protagonist in Global History, C. 1550-1750</t>
  </si>
  <si>
    <t>William A. Pettigrew-David Veevers</t>
  </si>
  <si>
    <t>EqualBITE</t>
  </si>
  <si>
    <t>Judy Robertson</t>
  </si>
  <si>
    <t>Les manuscrits arabes des lettres de Paul</t>
  </si>
  <si>
    <t>RELIGION / Ecumenism &amp; Interfaith</t>
  </si>
  <si>
    <t>Sara Schulthess</t>
  </si>
  <si>
    <t>CyberResearch on the Ancient Near East and Neighboring Regions</t>
  </si>
  <si>
    <t>Vanessa Bigot Juloux-Amy Rebecca Gansell-Alessandro Di Ludovico</t>
  </si>
  <si>
    <t>Architecture and Asceticism: Cultural Interaction Between Syria and Georgia in Late Antiquity</t>
  </si>
  <si>
    <t>Emma Loosley Leeming</t>
  </si>
  <si>
    <t>The Governance Regime of the Mekong River Basin</t>
  </si>
  <si>
    <t>RÃ©my Kinna-Alistair Rieu-Clarke</t>
  </si>
  <si>
    <t>Alternative Pathways to Sustainable Development: Lessons From Latin America</t>
  </si>
  <si>
    <t>Gilles Carbonnier-Humberto CampodÃ³nico-Sergio Tezanos VÃ¡zquez</t>
  </si>
  <si>
    <t>Development As a Battlefield</t>
  </si>
  <si>
    <t>Irene Bono-BÃ©atrice Hibou</t>
  </si>
  <si>
    <t>The Independence and Impartiality of ICSID Arbitrators</t>
  </si>
  <si>
    <t>Maria Nicole Cleis</t>
  </si>
  <si>
    <t>"Arise Ye Wretched of the Earth": The First International in a Global Perspective</t>
  </si>
  <si>
    <t>Fabrice Bensimon-Deluermoz Quentin-Jeanne Moisand</t>
  </si>
  <si>
    <t>East African Community Law</t>
  </si>
  <si>
    <t>Emmanuel Ugirashebuja-John Eudes Ruhangisa-Tom Ottervanger-Armin Cuyvers</t>
  </si>
  <si>
    <t>Politics and Cultures of Liberation</t>
  </si>
  <si>
    <t>Frank Mehring-Hans Bak-Mathilde Roza</t>
  </si>
  <si>
    <t>Otto Bauer (1881-1938)</t>
  </si>
  <si>
    <t>Ewa CzerwiÅ„ska-Schupp</t>
  </si>
  <si>
    <t>Tracks on the Trail</t>
  </si>
  <si>
    <t>Dana Gorzelany-Mostak</t>
  </si>
  <si>
    <t>The Women Who Ruled China</t>
  </si>
  <si>
    <t>Stephanie Balkwill</t>
  </si>
  <si>
    <t>Power Projection: Proceedings From the 2022 Strategic Landpower Symposium</t>
  </si>
  <si>
    <t>Marine Corps University Press</t>
  </si>
  <si>
    <t>Cantwell, Gregory-Barry, William-Magula, Justin</t>
  </si>
  <si>
    <t>Marines in Crisis: The Cold War Transformation of the U.S. Marine Corps, 1947-1995</t>
  </si>
  <si>
    <t>Neimeyer, Charles P.</t>
  </si>
  <si>
    <t>On Contested Shores: The Evolving Role of Amphibious Operations in the History of Warfare, Vol. 2</t>
  </si>
  <si>
    <t>Heck, Timothy-Friedman, B.A.-Mills, Walker D.</t>
  </si>
  <si>
    <t>Coalition Leadership: Lessons Learned While Commanding A NATO Brigade in Afghanistan</t>
  </si>
  <si>
    <t>Creighton, James L.</t>
  </si>
  <si>
    <t>From the Major to the Missus: Letters From the War in Vietnam, October 1966-October 1967</t>
  </si>
  <si>
    <t>Stice Maroney, Robin-Curatola, John M.</t>
  </si>
  <si>
    <t>Culture General Guidebook: Globally Applicable Concepts and Skills for Military Professionals</t>
  </si>
  <si>
    <t>Fosher, Kerry-Mackenzie, Lauren</t>
  </si>
  <si>
    <t>Wargaming Waterloo</t>
  </si>
  <si>
    <t>Esdaile, Charles J.</t>
  </si>
  <si>
    <t>The Race with No Finish Line: Assessing the Strategy of Regional Great Power Competition</t>
  </si>
  <si>
    <t>Skold, Martin</t>
  </si>
  <si>
    <t>Strategic Water: Iraq and Security Planning in the Euphrates - Tigris Basin, Expanded Edition</t>
  </si>
  <si>
    <t>Lorenz, Frederick-Edward J. Erickson</t>
  </si>
  <si>
    <t>Warfare in Peacetime: Proxies and State Powers</t>
  </si>
  <si>
    <t>Harmon, Christopher C.</t>
  </si>
  <si>
    <t>Boots and Suits: Historical Cases and Contemporary Lessons in Military Diplomacy</t>
  </si>
  <si>
    <t>Kosnett, Philip S.</t>
  </si>
  <si>
    <t>Shared Experience: Organizational Culture and Ethos at the U.S. Marine Corps Basic School, 1924-1941</t>
  </si>
  <si>
    <t>Mazzara, Jennifer L.</t>
  </si>
  <si>
    <t>What It Means to Be a Man: How to Become a Better Person</t>
  </si>
  <si>
    <t>Mullen, Bill</t>
  </si>
  <si>
    <t>From Hegemony to Competition: Marine Perspectives on Expeditionary Advanced Base Operations</t>
  </si>
  <si>
    <t>Slater, Matthew R.</t>
  </si>
  <si>
    <t>The Mud and the Mirth: Marine Cartoonists in World War I</t>
  </si>
  <si>
    <t>Scott, Cord</t>
  </si>
  <si>
    <t>Women, Peace, and Security in Professional Military Education</t>
  </si>
  <si>
    <t>Mackenzie, Lauren-Perkins, Dana</t>
  </si>
  <si>
    <t>Forging Wargamers: A Framework for Professional Military Education</t>
  </si>
  <si>
    <t>Bae, Sebastian J.</t>
  </si>
  <si>
    <t>The Trillion Dollar War: The U.S. Effort to Rebuild Afghanistan, 199-2021</t>
  </si>
  <si>
    <t>Amiri, Abid</t>
  </si>
  <si>
    <t>The Rise and Decline of U.S. Military Culture Programs, 2004-20</t>
  </si>
  <si>
    <t>HISTORY / Military / United States</t>
  </si>
  <si>
    <t>Fosher, Kerry B.-Mackenzie, Lauren</t>
  </si>
  <si>
    <t>Khaos Company: A Commander's Account and Lessons Learned From the 2019 MAGTF Warfighting Exercise</t>
  </si>
  <si>
    <t>Hanks, Captain Matthew S.-Williamson Murray</t>
  </si>
  <si>
    <t>An Annotated Guide to Tactics: Carl Von Clausewitz's Theory of the Combat</t>
  </si>
  <si>
    <t>Garard, Olivia A.</t>
  </si>
  <si>
    <t>Raging Waters: China, India, Bangladesh, and Brahmaputra River Politics</t>
  </si>
  <si>
    <t>Samarayake, Nilanthi-Limaye, Satu-Wuthnow, Joel</t>
  </si>
  <si>
    <t>Political Warfare: Strategies for Combating China's Plan to "Win Without Fighting"</t>
  </si>
  <si>
    <t>Gershaneck, Kerry K.</t>
  </si>
  <si>
    <t>Phase Line Attila: The Amphibious Campaign for Cyprus</t>
  </si>
  <si>
    <t>Erickson, Edward J.-Uyer, Mesut</t>
  </si>
  <si>
    <t>Patterns of Influence: Strategic Culture Case Studies and Conclusions</t>
  </si>
  <si>
    <t>Pacifist to Padre: The World War II Memoir of Chaplain Roland B. Gittelsohn, December 1941-January 1946</t>
  </si>
  <si>
    <t>Bishop, Donald M.</t>
  </si>
  <si>
    <t>On Contested Shores: The Evolving Role of Amphibious Operations in the History of Warfare</t>
  </si>
  <si>
    <t>Heck, Timothy-Friedman, B. A.</t>
  </si>
  <si>
    <t>Oil &amp; War: How the Deadly Struggle for Fuel in World War II Meant Victory or Defeat</t>
  </si>
  <si>
    <t>Goralski, Robert-Freeburg, Russell W.</t>
  </si>
  <si>
    <t>The Marine Corps War College Strategy Primer</t>
  </si>
  <si>
    <t>Marine Corps War College Faculty</t>
  </si>
  <si>
    <t>Information Warfare: Forging Communication Strategies for Twenty-first Century Operational Environments</t>
  </si>
  <si>
    <t>Farwell, James P.</t>
  </si>
  <si>
    <t>Disaster Labs: How American States Use Partnerships to Manage the Unthinkable</t>
  </si>
  <si>
    <t>Givens, Austen</t>
  </si>
  <si>
    <t>Complex Terrain: Megacities and the Changing Character of Urban Operations</t>
  </si>
  <si>
    <t>Jensen, Benjamin-Breitenbauch, Henrik-Valeriano, Brandon</t>
  </si>
  <si>
    <t>A New Conception of War: John Boyd, the U.S. Marines, and Maneuver Warfare</t>
  </si>
  <si>
    <t>Brown, Ia T.</t>
  </si>
  <si>
    <t>A Game of Hare &amp; Hounds: An Operational-level Command Study of the Guilford Courthouse Campaign, 18 January-15 March 1781</t>
  </si>
  <si>
    <t>Skinner, Harold Allen</t>
  </si>
  <si>
    <t>Relativistic Quantum Mechanics</t>
  </si>
  <si>
    <t>Luciano Maiani-Omar Benhar</t>
  </si>
  <si>
    <t>The Palgrave Handbook of Political Norms in Southeast Asia</t>
  </si>
  <si>
    <t>Gabriel Facal-Elsa Lafaye de Micheaux-Astrid NorÃ©n-Nilsson</t>
  </si>
  <si>
    <t>Transcultural Insights Into Contemporary Irish Literature and Society</t>
  </si>
  <si>
    <t>MarÃ­a Amor Barros-del RÃ­o</t>
  </si>
  <si>
    <t>Sports and Human Rights</t>
  </si>
  <si>
    <t>VÃ©ronique Boillet-Sophie Weerts-Andreas R. Ziegler</t>
  </si>
  <si>
    <t>Proceedings of the 2024 7th International Conference on Structural Engineering and Industrial Architecture (ICSEIA 2024)</t>
  </si>
  <si>
    <t>Qingfei Gao-Liqiang Jiang-Yu Chen</t>
  </si>
  <si>
    <t>3 Degrees More</t>
  </si>
  <si>
    <t>Klaus Wiegandt</t>
  </si>
  <si>
    <t>Policing Rape</t>
  </si>
  <si>
    <t>Katrin Hohl-Elizabeth A. Stanko</t>
  </si>
  <si>
    <t>Wissenschaftskarrieren und Gender Bias</t>
  </si>
  <si>
    <t>Jennifer Dahmen-Adkins-Andrea Wolffram</t>
  </si>
  <si>
    <t>Environmental Liberation Education</t>
  </si>
  <si>
    <t>Micaela Rubalcava</t>
  </si>
  <si>
    <t>China's New Era</t>
  </si>
  <si>
    <t>Ben Hillman-Annie Luman Ren</t>
  </si>
  <si>
    <t>Ginkgo Village</t>
  </si>
  <si>
    <t>Tamara Jacka</t>
  </si>
  <si>
    <t>Disorienting Politics</t>
  </si>
  <si>
    <t>Fan Yang</t>
  </si>
  <si>
    <t>Dancing with the Modernist City</t>
  </si>
  <si>
    <t>Wesley Lim</t>
  </si>
  <si>
    <t>Proceedings of the 3rd Annual International Conference on Natural and Social Science Education (ICNSSE 2023)</t>
  </si>
  <si>
    <t>Elizabeth Edwards-Mochammad Tanzil Multazam-William GuÃ©raiche-Siska Siska-Suswandari Suswandari</t>
  </si>
  <si>
    <t>Decided Return Migration</t>
  </si>
  <si>
    <t>Aida IbriÄeviÄ‡</t>
  </si>
  <si>
    <t>â€Trabajo de grado: elaborar y publicar sus resultados. Una guÃ­a para lograrlo</t>
  </si>
  <si>
    <t>Morela Pereira Burgos (ed.)</t>
  </si>
  <si>
    <t>Staging Interspaces in Contemporary British Theatre</t>
  </si>
  <si>
    <t>Vicky Angelaki</t>
  </si>
  <si>
    <t>Listen and Design</t>
  </si>
  <si>
    <t>Iwan J. Azis</t>
  </si>
  <si>
    <t>Refugees and Asylum Seekers in East Asia</t>
  </si>
  <si>
    <t>Lara Momesso-Polina Ivanova</t>
  </si>
  <si>
    <t>Teachers of Mathematics Working and Learning in Collaborative Groups</t>
  </si>
  <si>
    <t>Hilda Borko-Despina Potari</t>
  </si>
  <si>
    <t>Proceedings of the International Conference on Digital Transformation in Business: Navigating the New Frontiers Beyond Boundaries (DTBNNF 2024)</t>
  </si>
  <si>
    <t>N. V. Suresh-P. S. Buvaneswari</t>
  </si>
  <si>
    <t>A Decade of Research Activities at the Department of Industrial Engineering (UniNa-DII)</t>
  </si>
  <si>
    <t>Nicola Bianco-Agostino De Marco-Sergio De Rosa-Michele Grassi</t>
  </si>
  <si>
    <t>Sector-Based Action Against Corruption</t>
  </si>
  <si>
    <t>Mark Pyman-Paul M. Heywood</t>
  </si>
  <si>
    <t>Teaching Music Performance in Higher Education</t>
  </si>
  <si>
    <t xml:space="preserve"> Helen Julia Minors-Stefan Ã–stersjÃ¶-Gilvano Dalagna-Jorge Salgado Correia</t>
  </si>
  <si>
    <t>Roles and Relations in Biblical Law</t>
  </si>
  <si>
    <t>RELIGION / Biblical Biography / Old Testament</t>
  </si>
  <si>
    <t xml:space="preserve"> Christian Canu HÃ¸jgaard</t>
  </si>
  <si>
    <t>Cultural Adaptation in Chinese Mental Health Translation</t>
  </si>
  <si>
    <t>Yi Shan-Meng Ji</t>
  </si>
  <si>
    <t>Music and the Making of Modern Japan</t>
  </si>
  <si>
    <t xml:space="preserve"> Margaret Mehl</t>
  </si>
  <si>
    <t>A Bibliography of Sign Languages, 2008-2017</t>
  </si>
  <si>
    <t>Anne Aarssen-RenÃ© Genis-Eline van der Veken</t>
  </si>
  <si>
    <t>A Bibliography of South African Languages, 2008-2017</t>
  </si>
  <si>
    <t>Art Intelligence</t>
  </si>
  <si>
    <t>Jan Svenungsson</t>
  </si>
  <si>
    <t>Digitale Schriftlichkeit</t>
  </si>
  <si>
    <t>Martin Bartelmus-Alexander Nebrig</t>
  </si>
  <si>
    <t>Digitale Technik fÃ¼r ambulante Pflege und Therapie III</t>
  </si>
  <si>
    <t>Karsten Weber-Sonja Haug-Norina Lauer-Christa Mohr-Andrea Pfingsten-Georgios Raptis-Gudrun Bahr</t>
  </si>
  <si>
    <t>Sinn in der Klimakrise</t>
  </si>
  <si>
    <t>Simon Probst</t>
  </si>
  <si>
    <t>Forschendes Entwerfen</t>
  </si>
  <si>
    <t>Gabi Reinmann-Dominikus Herzberg-Alexa Brase</t>
  </si>
  <si>
    <t>Mediterrane RÃ¤ume</t>
  </si>
  <si>
    <t>Tomislav Zelic-Zaneta Vidas Sambunjak-Helga Begonja-Anita Pavic Pintaric-Gesine Lenore Schiewer</t>
  </si>
  <si>
    <t>Great Queer Provocation</t>
  </si>
  <si>
    <t>Martin J. GÃ¶ssl</t>
  </si>
  <si>
    <t>Social Entrepreneurship in Germany</t>
  </si>
  <si>
    <t>Philipp Kenel</t>
  </si>
  <si>
    <t>Kompetenzen kommunikativen Handelns im Kontext mediatisierter DigitalitÃ¤t</t>
  </si>
  <si>
    <t>Ann-Kathrin Maria Watolla</t>
  </si>
  <si>
    <t>Migration und Recht auf Bildung</t>
  </si>
  <si>
    <t>B. Johanna Funck</t>
  </si>
  <si>
    <t>Geopolitics and Energy Diplomacy in the Caspian Region</t>
  </si>
  <si>
    <t>Yunis Gurbanov</t>
  </si>
  <si>
    <t>Der demokratische KonfÃ¶deralismus</t>
  </si>
  <si>
    <t>MÃ¼slÃ¼m Ã–rtÃ¼lÃ¼</t>
  </si>
  <si>
    <t>Das Revival der traditionellen gÃ¤lischen Musik Schottlands</t>
  </si>
  <si>
    <t>Martin SchrÃ¶der</t>
  </si>
  <si>
    <t>Decoding Digital Culture with Science Fiction</t>
  </si>
  <si>
    <t>Alan N. Shapiro</t>
  </si>
  <si>
    <t>Webfare</t>
  </si>
  <si>
    <t>Maurizio Ferraris</t>
  </si>
  <si>
    <t>Die bedrohte Ordnung der Vielfalt</t>
  </si>
  <si>
    <t>Daniela Simon</t>
  </si>
  <si>
    <t>Wer zÃ¤hlt?</t>
  </si>
  <si>
    <t>Ellen Geiser</t>
  </si>
  <si>
    <t>Die liberale Kraft Europas</t>
  </si>
  <si>
    <t>Mathieu Dubois</t>
  </si>
  <si>
    <t>The Youth Climate Uprising</t>
  </si>
  <si>
    <t>David Fopp-Isabelle Axelsson-Loukina Tille</t>
  </si>
  <si>
    <t>La Chance</t>
  </si>
  <si>
    <t>Susann Ludwig</t>
  </si>
  <si>
    <t>The Making of Modern Subjects</t>
  </si>
  <si>
    <t>PERFORMING ARTS / Dance / Classical &amp; Ballet</t>
  </si>
  <si>
    <t>Sung Un Gang</t>
  </si>
  <si>
    <t>Being There, but How?</t>
  </si>
  <si>
    <t>Sebastian DÃ¼mling-Zhenwei Wang</t>
  </si>
  <si>
    <t>Die Politik des Kritischen Komponierens</t>
  </si>
  <si>
    <t>Lena Drazic</t>
  </si>
  <si>
    <t>Enduring Enmity</t>
  </si>
  <si>
    <t>Hubertus Buchstein</t>
  </si>
  <si>
    <t>Geschlecht und MaterialitÃ¤t</t>
  </si>
  <si>
    <t>Christina Antenhofer-Ulrich Leitner</t>
  </si>
  <si>
    <t>De l'arbre en ville Ã  la forÃªt urbaine</t>
  </si>
  <si>
    <t>NATURE / Plants / Trees</t>
  </si>
  <si>
    <t>Ã‰pigÃ©nÃ©tique</t>
  </si>
  <si>
    <t>Large Language Models in Cybersecurity</t>
  </si>
  <si>
    <t>Andrei Kucharavy-Octave Plancherel-Valentin Mulder-Alain Mermoud-Vincent Lenders</t>
  </si>
  <si>
    <t>Hydraulics in Civil Engineering</t>
  </si>
  <si>
    <t>Christoph Rapp</t>
  </si>
  <si>
    <t>Jacopo Strada and Cultural Patronage at The Imperial Court (2 Vols.)</t>
  </si>
  <si>
    <t>Dirk Jacob Jansen</t>
  </si>
  <si>
    <t>Domestic Devotions in the Early Modern World</t>
  </si>
  <si>
    <t>Marco Faini-Alessia Meneghin</t>
  </si>
  <si>
    <t>Intersections</t>
  </si>
  <si>
    <t>Domestic Devotions in Early Modern Italy</t>
  </si>
  <si>
    <t>Maya Corry-Marco Faini-Alessia Meneghin</t>
  </si>
  <si>
    <t>The Quest for an Appropriate Past in Literature, Art and Architecture</t>
  </si>
  <si>
    <t>Karl A.E. Enenkel-Konrad Adriaan Ottenheym</t>
  </si>
  <si>
    <t>A Collated and Critical Study of the Xiangâ€™er Commentary to the Laozi</t>
  </si>
  <si>
    <t>ART / Techniques / General</t>
  </si>
  <si>
    <t>Tsung-i Jao-David Chai</t>
  </si>
  <si>
    <t>The Teaching and Learning of Arabic in Early Modern Europe</t>
  </si>
  <si>
    <t>Jan Loop-Alastair Hamilton-Charles Burnett</t>
  </si>
  <si>
    <t>Marmaduke Pickthall: Islam and the Modern World</t>
  </si>
  <si>
    <t>Geoffrey P. Nash</t>
  </si>
  <si>
    <t>(Un)Settling Place</t>
  </si>
  <si>
    <t>Nanneke Winters-Heike Drotbohm-Yaatsil Guevara GonzÃ¡lez</t>
  </si>
  <si>
    <t>Human Rights Politics</t>
  </si>
  <si>
    <t>Michael Krennerich</t>
  </si>
  <si>
    <t>Chinese Mental Health Scale Translation</t>
  </si>
  <si>
    <t>The Semantics of Development in Asia</t>
  </si>
  <si>
    <t>Jin Sato-Soyeun Kim</t>
  </si>
  <si>
    <t>Race, Capital, and Equity in Higher Education</t>
  </si>
  <si>
    <t>Alexander Hensby-Barbara Adewumi</t>
  </si>
  <si>
    <t>St Albans Abbey: The Excavation of the Chapter House 1978</t>
  </si>
  <si>
    <t>Martin Biddle-Birthe KjÃ¸lbye-Biddle-Megan Kirkpatrick-Francis M. Morris</t>
  </si>
  <si>
    <t>Devotional Portraiture and Spiritual Experience in Early Netherlandish Painting | Catalogue</t>
  </si>
  <si>
    <t>Ingrid Falque</t>
  </si>
  <si>
    <t>Enlightened Religion</t>
  </si>
  <si>
    <t>Joke Spaans-Jetze Touber</t>
  </si>
  <si>
    <t>Investigating Understanding</t>
  </si>
  <si>
    <t>POETRY / General</t>
  </si>
  <si>
    <t>Leonie Kirchhoff</t>
  </si>
  <si>
    <t>â€œThe Turkâ€ in the Czech Imagination (1870s-1923)</t>
  </si>
  <si>
    <t>Jitka MaleÄkovÃ¡</t>
  </si>
  <si>
    <t>Hiobs Begegnung</t>
  </si>
  <si>
    <t>Lukas WiesenhÃ¼tter</t>
  </si>
  <si>
    <t>Weil ich ich bin</t>
  </si>
  <si>
    <t>Nele RÃ¶ttger</t>
  </si>
  <si>
    <t>Transformations in Social Science Research Methods During the COVID-19 Pandemic</t>
  </si>
  <si>
    <t>J. Michael Ryan-Valerie Visanich-Gaspar BrÃ¤ndle</t>
  </si>
  <si>
    <t>A Toolkit for Effective Everyday Activism</t>
  </si>
  <si>
    <t>Alison Rogers-Leanne Kelly</t>
  </si>
  <si>
    <t>Abstraction in Science and Art</t>
  </si>
  <si>
    <t>Chiara Ambrosio-Julia SÃ¡nchez-Dorado</t>
  </si>
  <si>
    <t>Proceedings of Selected Papers of International Conference on Health, Science, and Environment (ICHSE 2023)</t>
  </si>
  <si>
    <t>I Putu Mahendra-Sarmoko Sarmoko-Indra Pardede-Akaraphol Watcarawipas-Nur Ayunie Binti Zulkepli</t>
  </si>
  <si>
    <t>Darja SÌŒmite-Eduardo Guerra-Xiaofeng Wang-Michele Marchesi-Peggy Gregory</t>
  </si>
  <si>
    <t>Cultural and Political Imaginaries in Putinâ€™s Russia</t>
  </si>
  <si>
    <t>Niklas Bernsand-Barbara TÃ¶rnquist-Plewa</t>
  </si>
  <si>
    <t>Marianne Werefkin and the Women Artists in Her Circle</t>
  </si>
  <si>
    <t>Tanja Malycheva-Isabel WÃ¼nsche</t>
  </si>
  <si>
    <t>Governance, Democracy and Ethics in Crisis-decision-making</t>
  </si>
  <si>
    <t>Caroline Redhead-Melanie Smallman</t>
  </si>
  <si>
    <t>Creative Approaches to Wellbeing</t>
  </si>
  <si>
    <t>Karen Gray-Victoria Tischler</t>
  </si>
  <si>
    <t>Knowing COVID-19</t>
  </si>
  <si>
    <t>Fred Cooper-Des Fitzgerald</t>
  </si>
  <si>
    <t>Adaptation and Resilience in the Performing Arts</t>
  </si>
  <si>
    <t>Pascale Aebischer-Rachael Nicholas</t>
  </si>
  <si>
    <t>Reading Capital's Materialist Dialectic</t>
  </si>
  <si>
    <t>Nick Nesbitt</t>
  </si>
  <si>
    <t>A Life Course Perspective on Chinese Youths</t>
  </si>
  <si>
    <t>Sandra V. Constantin</t>
  </si>
  <si>
    <t>COVID-19 and Bangladesh</t>
  </si>
  <si>
    <t>Debapriya Bhattacharya-Towfiqul Islam Khan</t>
  </si>
  <si>
    <t>Proceedings of the 2nd International Conference on Management and Business (ICOMB 2023)</t>
  </si>
  <si>
    <t>Budi Setiawan-Nurul Myristica Indraswari</t>
  </si>
  <si>
    <t>Storytelling to Accelerate Climate Solutions</t>
  </si>
  <si>
    <t>Emily Coren-Hua Wang</t>
  </si>
  <si>
    <t>Recherche LittÃ©raire / Literary Research</t>
  </si>
  <si>
    <t>Marc Maufort</t>
  </si>
  <si>
    <t>Des mÃ©diations au cÅ“ur de la transmission du mÃ©tier enseignant</t>
  </si>
  <si>
    <t>Soraya De Simone</t>
  </si>
  <si>
    <t>La mobilitÃ© dans la formation des enseignant.e.s en Suisse : quelles conceptions scientifiques pour quels dÃ©fis didactiques ? / Mobilitaet in der schweizerischen Lehrer:innenbildung: Wissenschaftliches Verstaendnis und didaktische Herausforderungen</t>
  </si>
  <si>
    <t>JÃ©sabel Robin-Simone Ganguillet</t>
  </si>
  <si>
    <t>Vatican II</t>
  </si>
  <si>
    <t>Willy-Pierre Mayunda Mbuinga</t>
  </si>
  <si>
    <t>Das Historische als Argument</t>
  </si>
  <si>
    <t>Katharina Gather-Ulrich Schwerdt-Norbert Grube</t>
  </si>
  <si>
    <t>Dangers of Narrative and Fictionality</t>
  </si>
  <si>
    <t>Samuli BjÃ¶rninen-Pernille Meyer-Maria MÃ¤kelÃ¤-Henrik Zetterberg-Nielsen</t>
  </si>
  <si>
    <t>Modern Natural Product Synthesis</t>
  </si>
  <si>
    <t>Masahisa Nakada-Keiji Tanino-Kazuo Nagasawa-Satoshi Yokoshima</t>
  </si>
  <si>
    <t>Proceedings of the 2024 3rd International Conference on Humanities, Wisdom Education and Service Management (HWESM 2024)</t>
  </si>
  <si>
    <t>Intakhab Alam Khan-Siti Hajar Halili-Vishalache Balakrishnan-Rose Amnah Abd. Rauf</t>
  </si>
  <si>
    <t>Proceedings of the 3rd International Conference on Education for All (ICEDUALL 2023)</t>
  </si>
  <si>
    <t>Harun Joko Prayitno-Yasir Sidiq-Naufal Ishartono</t>
  </si>
  <si>
    <t>X Hotine-Marussi Symposium on Mathematical Geodesy</t>
  </si>
  <si>
    <t>Itâ€™s My Party</t>
  </si>
  <si>
    <t>Yiu Fai Chow-Jeroen de Kloet-Leonie Schmidt</t>
  </si>
  <si>
    <t>The Fight Against Systemic Corruption</t>
  </si>
  <si>
    <t>Maria Eugenia Trombini-Elizangela Valarini-Vanessa Elias de Oliveira-Markus Pohlmann</t>
  </si>
  <si>
    <t>Covid-19 Containment Policies in Europe</t>
  </si>
  <si>
    <t>Clara Egger-Raul Magni-Berton-EugÃ©nie de Saint-Phalle</t>
  </si>
  <si>
    <t>Human Privacy in Virtual and Physical Worlds</t>
  </si>
  <si>
    <t>Mary C. Lacity-Lynda Coon</t>
  </si>
  <si>
    <t>Proceedings of the 20th International Conference of the Asia Association of Computer-Assisted Language Learning (AsiaCALL 2023)</t>
  </si>
  <si>
    <t>Vu Phi Ho Pham-Andrew Lian-Ania Lian</t>
  </si>
  <si>
    <t>Proceedings of the 2024 International Conference on Applied Economics, Management Science and Social Development (AEMSS 2024)</t>
  </si>
  <si>
    <t>T. Ramayah-Pui Mun Lee-Edward H. K. Ng</t>
  </si>
  <si>
    <t>Ordinary Jerusalem, 1840-1940</t>
  </si>
  <si>
    <t>Angelos Dalachanis-Vincent Lemire</t>
  </si>
  <si>
    <t>Prince, Pen, and Sword: Eurasian Perspectives</t>
  </si>
  <si>
    <t>Maaike van Berkel-Jeroen Duindam</t>
  </si>
  <si>
    <t>The Hajj and Europe in the Age of Empire</t>
  </si>
  <si>
    <t>Umar Ryad</t>
  </si>
  <si>
    <t>Purple Brains. Feminisms at the Limits of Philosophy</t>
  </si>
  <si>
    <t>Annabelle Dufourcq, Annemie Halsema, Katrine Smiet-Karen Vintges (eds.)</t>
  </si>
  <si>
    <t>Eredoctoraat dr.h.c. Jeroen Brouwers</t>
  </si>
  <si>
    <t>Jeroen Brouwers, Jos Joosten en Johan Vandenbroucke</t>
  </si>
  <si>
    <t>Honorary Doctorate Prof. Stella Nkomo</t>
  </si>
  <si>
    <t>BIOGRAPHY &amp; AUTOBIOGRAPHY / African American &amp; Black</t>
  </si>
  <si>
    <t>Stella Nkomo-Yvonne Benschop</t>
  </si>
  <si>
    <t>Islamic Ethics and Incidental Findings</t>
  </si>
  <si>
    <t>Populism, Artificial Intelligence and Law</t>
  </si>
  <si>
    <t>David Grant</t>
  </si>
  <si>
    <t>Emotional and Ecological Literacy for a More Sustainable Society</t>
  </si>
  <si>
    <t>Giuliana Panieri-Margherita Paola Poto-Emily Margaret Murray</t>
  </si>
  <si>
    <t>Media, Religion, Citizenship</t>
  </si>
  <si>
    <t>Dr Kumru Berfin Emre</t>
  </si>
  <si>
    <t>State Communication and Public Politics in the Dutch Golden Age</t>
  </si>
  <si>
    <t>Arthur der Weduwen</t>
  </si>
  <si>
    <t>Towards a Vigilant Society</t>
  </si>
  <si>
    <t>Matthijs Gardenier</t>
  </si>
  <si>
    <t>Memorializing the Unsung</t>
  </si>
  <si>
    <t>Elochukwu Uzukwu, C.S.Sp.</t>
  </si>
  <si>
    <t>World Christianity</t>
  </si>
  <si>
    <t>Romancing Yesenia</t>
  </si>
  <si>
    <t>Masha Salazkina</t>
  </si>
  <si>
    <t>Proceedings of the 4th International Conference on Linguistics and Culture (ICLC-4 2023)</t>
  </si>
  <si>
    <t>Muhammad Hasyim</t>
  </si>
  <si>
    <t>Proceedings of International Conference on Governance, Management &amp; Social Innovation (ICGMSI 2023)</t>
  </si>
  <si>
    <t>Marziana Madah Marzuki-Wan Marhaini Wan Omar-Siti Nur Zahirah Omar-Khalid Abdul Wahid-Wan Nazihah Wan Mohamed</t>
  </si>
  <si>
    <t>Proceedings of the 8th International Conference on Accounting, Management, and Economics (ICAME 2023)</t>
  </si>
  <si>
    <t>Arianto Patunru-Mubariq Ahmad-Mursalim Nohong-Arifuddin Arifuddin-Anas Iswanto Anwar</t>
  </si>
  <si>
    <t>Proceedings of the 1st Halu Oleo International Conference on Public Health (HOICPH 2023)</t>
  </si>
  <si>
    <t>Jumakil Jumakil-Yusuf Sabilu-Ruslan Majid-Suhadi Suhadi-Jafriati Jafriati</t>
  </si>
  <si>
    <t>Digital Transformation in Design</t>
  </si>
  <si>
    <t>Laura S. Scherling</t>
  </si>
  <si>
    <t>Stiftungen der Gesellschaft</t>
  </si>
  <si>
    <t>Pascal Goeke-Evelyn Moser-Ramin Bahrami-Julia Burgold-Marc MÃ¶lders-Galina Selivanova</t>
  </si>
  <si>
    <t>Beyond Neoliberalism and Neo-illiberalism</t>
  </si>
  <si>
    <t>Markus Gabriel-Anna Katsman-Thomas Liess-William Milberg</t>
  </si>
  <si>
    <t>Entangled Future Im/mobilities</t>
  </si>
  <si>
    <t>Daniela Atanasova-Romana Bund-Dovaine Buschmann-Rachael Diniega-Jana Donat-Barbara Gfoellner-Nicola Kopf</t>
  </si>
  <si>
    <t>Mediating the Real</t>
  </si>
  <si>
    <t>Pascal Sigg</t>
  </si>
  <si>
    <t>Horizontale Wissensproduktion</t>
  </si>
  <si>
    <t>Sarah Corona Berkin</t>
  </si>
  <si>
    <t>Afghanistan 2001-2021</t>
  </si>
  <si>
    <t>Abbas Poya</t>
  </si>
  <si>
    <t>Securitising Decolonisation</t>
  </si>
  <si>
    <t>Julius Heise</t>
  </si>
  <si>
    <t>The Capitalist Economy and Its Prosthetics</t>
  </si>
  <si>
    <t>Gerhard H. WÃ¤chter</t>
  </si>
  <si>
    <t>Kritische Theorie aktualisieren</t>
  </si>
  <si>
    <t>Paul Erxleben</t>
  </si>
  <si>
    <t>Kroatisch, katholisch, konservativ</t>
  </si>
  <si>
    <t>Rebekka Rieser</t>
  </si>
  <si>
    <t>Der politische Konsens</t>
  </si>
  <si>
    <t>Tobias Braun</t>
  </si>
  <si>
    <t>Die Filmkultur des Making-of</t>
  </si>
  <si>
    <t>Felix Hasebrink</t>
  </si>
  <si>
    <t>AmbiguitÃ¤t und Geschlecht in der Neuzeit</t>
  </si>
  <si>
    <t>Frank Becker-Patricia Plummer</t>
  </si>
  <si>
    <t>Transformationspolitik</t>
  </si>
  <si>
    <t>Knut Bergmann-Matthias Diermeier</t>
  </si>
  <si>
    <t>Interventionswissenschaft</t>
  </si>
  <si>
    <t>Roland J. Schuster</t>
  </si>
  <si>
    <t>Achtsamkeit und pÃ¤dagogische ProfessionalitÃ¤t in der Lehrer*innenbildung</t>
  </si>
  <si>
    <t>Dominik Weghaupt</t>
  </si>
  <si>
    <t>Projektmanagement und Digital Humanities</t>
  </si>
  <si>
    <t>COMPUTERS / Software Development &amp; Engineering / Project Management</t>
  </si>
  <si>
    <t>Fabian Cremer-Swantje Dogunke-Anna Maria Neubert-Thorsten WÃ¼bbena</t>
  </si>
  <si>
    <t>Artificial Intelligence â€“ Intelligent Art?</t>
  </si>
  <si>
    <t>Robin Markus Auer-Dietmar Elflein-Sebastian Kunas-Jan RÃ¶hnert-Christoph Seelinger-Eckart Voigts</t>
  </si>
  <si>
    <t>Sufficiency in Business</t>
  </si>
  <si>
    <t>Maike Gossen-Laura Niessen</t>
  </si>
  <si>
    <t>KÃ¼nstliche Intelligenz und ethische Verantwortung</t>
  </si>
  <si>
    <t>Michael Reder-Christopher Koska</t>
  </si>
  <si>
    <t>Denken des Medialen</t>
  </si>
  <si>
    <t>JÃ¶rg Sternagel-Eva SchÃ¼rmann</t>
  </si>
  <si>
    <t>Geschlecht als Erfahrung</t>
  </si>
  <si>
    <t>Vera Kallenberg-Tomke KÃ¶nig-Walter Erhart</t>
  </si>
  <si>
    <t>Hope and Uncertainty in Health and Medicine</t>
  </si>
  <si>
    <t>Bernhard Hadolt-Andrea StÃ¶ckl</t>
  </si>
  <si>
    <t>Shared Heritage Revisited</t>
  </si>
  <si>
    <t>Dalya Yafa Markovich-Christiane DÃ¤tsch</t>
  </si>
  <si>
    <t>Multiword Expressions in Lexical Resources</t>
  </si>
  <si>
    <t>Giouli, Voula-Mititelu, Verginica Barbu</t>
  </si>
  <si>
    <t>ACAL in SoCAL</t>
  </si>
  <si>
    <t>Huang, Yaqian-Kaldhol, Nina Hagen-Lim, Jun Jie-Rose, Sharon-Struthers-Young, Anthony</t>
  </si>
  <si>
    <t>Noun Phrases in Early Germanic Languages</t>
  </si>
  <si>
    <t>Bech, Kristin-Pfaff, Alexander</t>
  </si>
  <si>
    <t>Genusresolution bei mittelhochdeutsch beide</t>
  </si>
  <si>
    <t>Becker, Carsten</t>
  </si>
  <si>
    <t>The Ghanaian Linguistics Nexus</t>
  </si>
  <si>
    <t>Green, Christopher R.-Lotven, Samson</t>
  </si>
  <si>
    <t>Compound Intonation Units in Totoli</t>
  </si>
  <si>
    <t>Bracks, Christoph</t>
  </si>
  <si>
    <t>A Grammar of Paunaka</t>
  </si>
  <si>
    <t>Terhart, Lena</t>
  </si>
  <si>
    <t>A Grammar and Dictionary of GayogoÌ±hÃ³:nÇ«Ë€ (Cayuga)</t>
  </si>
  <si>
    <t>Dyck, Carrie-Froman, Frances-Keye, Alfred-Keye, Lottie</t>
  </si>
  <si>
    <t>Morphosyntactic Variation in East African Bantu Languages</t>
  </si>
  <si>
    <t>Gibson, Hannah-GuÃ©rois, Rozenn-Mapunda, Gastor-Marten, Lutz</t>
  </si>
  <si>
    <t>Global and Local Perspectives on Language Contact</t>
  </si>
  <si>
    <t>Pfadenhauer, Katrin-RÃ¼diger, Sofia-Serreli, Valentina</t>
  </si>
  <si>
    <t>Kobieta w wiÄ™zieniu i jej resocjalizacja â€“ zamierzenia a rzeczywistoÅ›Ä‡</t>
  </si>
  <si>
    <t>Jana Chojecka</t>
  </si>
  <si>
    <t>62nd International Conference of Machine Design Departments (ICMD 2022)</t>
  </si>
  <si>
    <t>Michal PetrÅ¯-Petr LepÅ¡Ã­k-Ladislav Å evÄÃ­k-Pavel Srb</t>
  </si>
  <si>
    <t>Proceedings of the International Seminar and Workshop Public Health (ISWHOPHA 2023)</t>
  </si>
  <si>
    <t>Adian Khoironi-Nurjanah Nurjanah-Haikal Haikal</t>
  </si>
  <si>
    <t>Vietnamese Language, Education and Change In and Outside Vietnam</t>
  </si>
  <si>
    <t>Phan Le Ha-Dat Bao-Joel Windle</t>
  </si>
  <si>
    <t>Theses on the Metaphors of Digital-Textual History</t>
  </si>
  <si>
    <t>Stanford University Press</t>
  </si>
  <si>
    <t>Martin Paul Eve</t>
  </si>
  <si>
    <t>Routledge Handbook of High-Performance Workplaces</t>
  </si>
  <si>
    <t>BUSINESS &amp; ECONOMICS / Office Management</t>
  </si>
  <si>
    <t>Christhina Candido-Iva Durakovic-Samin Marzban</t>
  </si>
  <si>
    <t>Beyond Suspicion</t>
  </si>
  <si>
    <t>Nissim Mizrachi</t>
  </si>
  <si>
    <t>To Be an Actress</t>
  </si>
  <si>
    <t>Yiman Wang</t>
  </si>
  <si>
    <t>Making Sense</t>
  </si>
  <si>
    <t>E. Mara Green</t>
  </si>
  <si>
    <t>Is There Any â€˜new Normalâ€™? Economics of the Turmoil</t>
  </si>
  <si>
    <t>Ewa MiÅ„ska-Struzik, Barbara Jankowska</t>
  </si>
  <si>
    <t>ShiÊ¿i Materiality Beyond Karbala</t>
  </si>
  <si>
    <t>Fouad Gehad Marei-Yafa Shanneik-Christian Funke</t>
  </si>
  <si>
    <t>Free Will, Causality, and Neuroscience</t>
  </si>
  <si>
    <t>Bernard Feltz-Marcus Missal-Andrew Cameron Sims</t>
  </si>
  <si>
    <t>Creative Applications of Artificial Intelligence in Education</t>
  </si>
  <si>
    <t>Alex Urmeneta-Margarida Romero</t>
  </si>
  <si>
    <t>Community Energy and Sustainable Energy Transitions</t>
  </si>
  <si>
    <t>Vanesa CastÃƒÂ¡n Broto</t>
  </si>
  <si>
    <t>Proceedings of the 6th International Conference on Current Issues in Education (ICCIE) 2023</t>
  </si>
  <si>
    <t>Paramita Cahyaningrum Kuswandi-Ezi Apino-Syahri Ramadhan-Ririn Susetyaningsih-Siwi Widiastuti</t>
  </si>
  <si>
    <t>Proceedings of the 4th International Conference of Local Wisdom (Incolwis 2022)</t>
  </si>
  <si>
    <t>Prasetyo Adi Wisnu Wibowo-Sumarlam Sumarlam-Wakit Abdullah Rais-Dewanta Arya Nugraha</t>
  </si>
  <si>
    <t>Threats to Our Ocean Heritage: Potentially Polluting Wrecks</t>
  </si>
  <si>
    <t>Michael L. Brennan</t>
  </si>
  <si>
    <t>Im Brennpunkt der Wirtschaftspolitik</t>
  </si>
  <si>
    <t>Christian Keuschnigg</t>
  </si>
  <si>
    <t>Dissenting Church</t>
  </si>
  <si>
    <t>Judith Gruber-Michael SchÃ¼ÃŸler-Ryszard Bobrowicz</t>
  </si>
  <si>
    <t>Promieniowanie synchrotronowe w fizyce i chemii ciaÅ‚a staÅ‚ego: wybrane zagadnienia</t>
  </si>
  <si>
    <t>Bogdan J. Kowalski-Wojciech Paszkowicz</t>
  </si>
  <si>
    <t>Engaging with Human Rights</t>
  </si>
  <si>
    <t>Jonathan Miaz-Evelyne Schmid-Matthieu Niederhauser-Constance Kaempfer-Martino Maggetti</t>
  </si>
  <si>
    <t>Exploring the Effectiveness of International Knowledge Cooperation</t>
  </si>
  <si>
    <t>Stephan Klingebiel-Flora L. Hartmann-Elisa Madani-Jonas Paintner-Rebekka A. Rohe</t>
  </si>
  <si>
    <t>The Chinese in Papua New Guinea</t>
  </si>
  <si>
    <t>Anna Hayes-Rosita Henry-Michael Wood</t>
  </si>
  <si>
    <t>Renegotiating Boundaries</t>
  </si>
  <si>
    <t>H.G.C. Schulte Nordholt-Gerry van Klinken</t>
  </si>
  <si>
    <t>Climate Change and Safety in High-Risk Industries</t>
  </si>
  <si>
    <t>Corinne Bieder-Gudela Grote-Johannes Weyer</t>
  </si>
  <si>
    <t>Proceedings of the International Conference on Education, Humanities, and Social Science (ICEHoS 2023)</t>
  </si>
  <si>
    <t>Dhea Adhela-Joko Suprapmanto</t>
  </si>
  <si>
    <t>Proceedings of the International Conference on Multidisciplinary Studies (ICoMSi 2023)</t>
  </si>
  <si>
    <t>Agung Hidayat-Chanel Tri Handoko-Siti Khoiriyah-Akbarudin Arif-Haryani Saptaningtyas</t>
  </si>
  <si>
    <t>Water Resources in the Lancang-Mekong River Basin: Impact of Climate Change and Human Interventions</t>
  </si>
  <si>
    <t>Deliang Chen-Junguo Liu-Qiuhong Tang</t>
  </si>
  <si>
    <t>African Cities and the Development Conundrum</t>
  </si>
  <si>
    <t>Carole Ammann-Till FÃ¶rster</t>
  </si>
  <si>
    <t>What Politics?</t>
  </si>
  <si>
    <t>Elina Oinas-Henri Onodera-Leena SuurpÃ¤Ã¤</t>
  </si>
  <si>
    <t>Modernity, Minority, and the Public Sphere</t>
  </si>
  <si>
    <t>S.R. Goldstein-Sabbah-H.L. Murre-van den Berg</t>
  </si>
  <si>
    <t>Beyond Empire and Nation</t>
  </si>
  <si>
    <t>Els Bogaerts-Remco Raben</t>
  </si>
  <si>
    <t>Proceedings of the 10th International Conference on Technical and Vocational Education and Training (ICTVET 2023)</t>
  </si>
  <si>
    <t>Unung Verawardina-Akrimullah Mubai</t>
  </si>
  <si>
    <t>Folk Devils and Moral Panics in the COVID-19 Pandemic</t>
  </si>
  <si>
    <t>Morena Tartari-Cosimo Marco Scarcelli-Cirus Rinaldi</t>
  </si>
  <si>
    <t>Encounters Between Jesuits and Protestants in Africa</t>
  </si>
  <si>
    <t>Robert Aleksander Maryks-Festo Mkenda, S.J.</t>
  </si>
  <si>
    <t>Jesuits in Spanish America Before the Suppression</t>
  </si>
  <si>
    <t>Robert H. Jackson</t>
  </si>
  <si>
    <t>Jesuits in the North American Colonies and the United States</t>
  </si>
  <si>
    <t>Catherine O'Donnell</t>
  </si>
  <si>
    <t>Autor:innenschaft und/als Arbeit</t>
  </si>
  <si>
    <t>Alena Heinritz-Julia Nantke</t>
  </si>
  <si>
    <t>Raoul Wallenberg</t>
  </si>
  <si>
    <t>Ulf Zander</t>
  </si>
  <si>
    <t>Raumnutzungsverhalten von Menschen in Obdachlosigkeit</t>
  </si>
  <si>
    <t>Nora Sellner-Werner SchÃ¶nig-Guido Heuel</t>
  </si>
  <si>
    <t>Reign of the Beast</t>
  </si>
  <si>
    <t xml:space="preserve"> Adrian Desmond</t>
  </si>
  <si>
    <t>Justice and Recovery for Victimised Children</t>
  </si>
  <si>
    <t>Susanna Johansson-Kari Stefansen-Elisiv Bakketeig-Anna Kaldal</t>
  </si>
  <si>
    <t>Proceedings of the 2023 9th International Conference on Advances in Energy Resources and Environment Engineering (ICAESEE 2023)</t>
  </si>
  <si>
    <t>Abd El-Fatah Abomohra-Rongkui Su-Md Wasikur Rahman-Jiwei Wen</t>
  </si>
  <si>
    <t>Proceedings of the International Conference on Economic Management, Accounting and Tourism (ICEMAT 2023)</t>
  </si>
  <si>
    <t>Rolland Fanggidae-Paulina Amtiran-Petrus de Rozari-Doppy Roy Nendissa-I Komang Arthana</t>
  </si>
  <si>
    <t>Transformation Towards Sustainability</t>
  </si>
  <si>
    <t>Peter Letmathe-Christine Roll-Almut Balleer-Stefan BÃ¶schen-Wolfgang Breuer</t>
  </si>
  <si>
    <t>The Court of Appeal in Northern Ireland</t>
  </si>
  <si>
    <t>LAW / Courts</t>
  </si>
  <si>
    <t>Conor McCormick-Brice Dickson</t>
  </si>
  <si>
    <t>Threats to Our Ocean Heritage: Bottom Trawling</t>
  </si>
  <si>
    <t>Deep-Time Images in the Age of Globalization</t>
  </si>
  <si>
    <t>Oscar Moro AbadÃ­a-Margaret W. Conkey-Josephine McDonald</t>
  </si>
  <si>
    <t>Proceedings of the First International Conference on Applied Mathematics, Statistics, and Computing (ICAMSAC 2023)</t>
  </si>
  <si>
    <t>Komang Dharmawan-Ngurah Agus Sanjaya ER</t>
  </si>
  <si>
    <t>Proceedings of the International Conference on Consumer Technology and Engineering Innovation (ICONTENTION 2023)</t>
  </si>
  <si>
    <t>Utamy Sukmayu Saputri-Muchtar Ali Setyo Yudono</t>
  </si>
  <si>
    <t>Digitale Kulturen der Lehre entwickeln</t>
  </si>
  <si>
    <t>4th International Conference 'Coordinating Engineering for Sustainability and Resilience' &amp; Midterm Conference of CircularB â€œImplementation of Circular Economy in the Built Environmentâ€</t>
  </si>
  <si>
    <t>Viorel Ungureanu-LuÃ­s BraganÃ§a-Charalambos Baniotopoulos-Khairedin M. Abdalla</t>
  </si>
  <si>
    <t>Sonic Design</t>
  </si>
  <si>
    <t>Alexander Refsum Jensenius</t>
  </si>
  <si>
    <t>A Literary History of Medicine</t>
  </si>
  <si>
    <t>Emilie Savage-Smith-Simon Swain-Geert Jan van Gelder</t>
  </si>
  <si>
    <t>Essays on Marxâ€™s Capital</t>
  </si>
  <si>
    <t>Geert Reuten</t>
  </si>
  <si>
    <t>Social Media and Law Enforcement Practice in Poland</t>
  </si>
  <si>
    <t>PaweÅ‚ Waszkiewicz</t>
  </si>
  <si>
    <t>Aum ShinrikyÅ and Religious Terrorism in Japanese Collective Memory.</t>
  </si>
  <si>
    <t>Rin Ushiyama</t>
  </si>
  <si>
    <t>Feminist Transformations and Domestic Violence Activism in Divided Berlin, 1968-2002</t>
  </si>
  <si>
    <t>Jane Freeland</t>
  </si>
  <si>
    <t>Forty Years in the South Seas</t>
  </si>
  <si>
    <t>Anne Ford-Dylan Gaffney-Ben Shaw</t>
  </si>
  <si>
    <t>Dreaming Ecology</t>
  </si>
  <si>
    <t>Deborah Bird Rose-Margaret Jolly-Darrell Lewis</t>
  </si>
  <si>
    <t>Act Like a Man</t>
  </si>
  <si>
    <t>Robert H. Vorlicky</t>
  </si>
  <si>
    <t>The Dynamics of European Integration</t>
  </si>
  <si>
    <t>Thomas KÃ¶nig</t>
  </si>
  <si>
    <t>On Efficient Algorithms for Computing Near-Best Polynomial Approximations to High-Dimensional, Hilbert-Valued Functions From Limited Samples</t>
  </si>
  <si>
    <t>Ben Adcock, Simone Brugiapaglia, Nick Dexter, Sebastian Moraga</t>
  </si>
  <si>
    <t>Religious Changes and Cultural Transformations in the Early Modern Western Sephardic Communities</t>
  </si>
  <si>
    <t>Yosef Kaplan</t>
  </si>
  <si>
    <t>Narratives of Kingship in Eurasian Empires, 1300-1800</t>
  </si>
  <si>
    <t>Richard van Leeuwen</t>
  </si>
  <si>
    <t>Proceedings of the 2024 5th International Conference on Big Data and Informatization Education (ICBDIE 2024)</t>
  </si>
  <si>
    <t>Miao Yu-Kannimuthu Subramaniyam-Mohammad Akour-Hafizoah Kassim</t>
  </si>
  <si>
    <t>Proceedings of the 9th International Conference on Financial Innovation and Economic Development (ICFIED 2024)</t>
  </si>
  <si>
    <t>Khaled Elbagory-Zefu Wu-Hamdan Amer Ali Al-Jaifi-Shafie Mohamed Zabri</t>
  </si>
  <si>
    <t>Jane Austen Speaks Norwegian</t>
  </si>
  <si>
    <t>Marie N. SÃ¸rbÃ¸</t>
  </si>
  <si>
    <t>Steamboat Modernity</t>
  </si>
  <si>
    <t>Amsterdam University Press</t>
  </si>
  <si>
    <t>Constantin Ardeleanu</t>
  </si>
  <si>
    <t>Proceedings of the 3rd International Academic Conference on Blockchain, Information Technology and Smart Finance (ICBIS 2024)</t>
  </si>
  <si>
    <t>COMPUTERS / Blockchain</t>
  </si>
  <si>
    <t>Kannimuthu Subramaniyam-Lu Leng-Jing Li-Ali Hussein Wheeb</t>
  </si>
  <si>
    <t>Galen's Treatise Î ÎµÏá½¶ á¼ˆÎ»Ï…Ï€Î¯Î±Ï‚ (De Indolentia) in Context</t>
  </si>
  <si>
    <t>Caroline Petit</t>
  </si>
  <si>
    <t>Human-Centered Services Computing for Smart Cities</t>
  </si>
  <si>
    <t>Yohei Murakami-Kosaku Kimura</t>
  </si>
  <si>
    <t>Digital Health and Wireless Solutions</t>
  </si>
  <si>
    <t>MEDICAL / Informatics</t>
  </si>
  <si>
    <t>Mariella SÃ¤restÃ¶niemi-Pantea Keikhosrokiani-Daljeet Singh-Erkki Harjula-Aleksei Tiulpin</t>
  </si>
  <si>
    <t>Schutz und Schranken des Wissenschaftsurheberrechts.</t>
  </si>
  <si>
    <t>Marten Tiessen</t>
  </si>
  <si>
    <t>Information and Communication Technologies in Tourism 2024</t>
  </si>
  <si>
    <t>Katerina Berezina-Lyndon Nixon-Aarni Tuomi</t>
  </si>
  <si>
    <t>Educational Processes, Decisions, and the Development of Competencies From Early Preschool Age to Adolescence</t>
  </si>
  <si>
    <t>Sabine Weinert-Hans-GÃ¼nther Rossbach-Jutta von Maurice-Hans-Peter Blossfeld-Cordula Artelt</t>
  </si>
  <si>
    <t>Migration and Cities</t>
  </si>
  <si>
    <t>Anna Triandafyllidou-Amin Moghadam-Melissa Kelly-Zeynep Åžahin-MencÃ¼tek</t>
  </si>
  <si>
    <t>Multifunctional Ceramic Filter Systems for Metal Melt Filtration</t>
  </si>
  <si>
    <t>Christos G. Aneziris-Horst Biermann</t>
  </si>
  <si>
    <t>Imperial Matter</t>
  </si>
  <si>
    <t>Lori Khatchadourian</t>
  </si>
  <si>
    <t>Protecting Crops Through Plant Diversity</t>
  </si>
  <si>
    <t>Modelling the City</t>
  </si>
  <si>
    <t>WiesÅ‚awa DuÅ¼y</t>
  </si>
  <si>
    <t>Private International Law: A Hungarian Perspective</t>
  </si>
  <si>
    <t>Csongor IstvÃ¡n Nagy</t>
  </si>
  <si>
    <t>Local Voices, Global Debates</t>
  </si>
  <si>
    <t>Joseph Sony Jean-Eduardo Herrera Malatesta</t>
  </si>
  <si>
    <t>Synagonism: Theory and Practice in Early Modern Art</t>
  </si>
  <si>
    <t>Yannis Hadjinicolaou-Joris van Gastel-Markus Rath</t>
  </si>
  <si>
    <t>New Vistas in Natural Resources Law</t>
  </si>
  <si>
    <t>TGI Books / The Grassroots Institute</t>
  </si>
  <si>
    <t>LAW / Natural Resources</t>
  </si>
  <si>
    <t>Hasrat Arjjumend</t>
  </si>
  <si>
    <t>Advances in Environmental Law</t>
  </si>
  <si>
    <t>Mountain Ecosystems and Resources Management, Vol.1</t>
  </si>
  <si>
    <t>La nÃ©cropole aux amants petrifies. Ruines mÃ©galithiques de Wanar (RÃ©gion de Kaffrine, SÃ©nÃ©gal)</t>
  </si>
  <si>
    <t>Luc Laporte-Matar Ndiaye-Adrien Delvoye-Jean-Paul Cros-Aziz Ballouche-Pierre Lamotte-Selim Djouad-Laurent Quesnel</t>
  </si>
  <si>
    <t>DÅ¾arkutan Nekropole 4A</t>
  </si>
  <si>
    <t>Boriboi Abdullaev-Kai Kaniuth</t>
  </si>
  <si>
    <t>Double-Sided Antler and Bone Combs in Late Roman Britain</t>
  </si>
  <si>
    <t>Nina Crummy-Richard Henry</t>
  </si>
  <si>
    <t>Dirt, Dwellings and Culture: Living Conditions in Early Medieval Dublin</t>
  </si>
  <si>
    <t>Eileen Reilly</t>
  </si>
  <si>
    <t>Apotropaia and Phylakteria: Confronting Evil in Ancient Greece</t>
  </si>
  <si>
    <t>Maria G. Spathi-Maria Chidiroglou-Jenny Wallensten</t>
  </si>
  <si>
    <t>Hunting and Fishing in the Neolithic and Eneolithic</t>
  </si>
  <si>
    <t>Selena Vitezovic-Christoforos Arampatzis</t>
  </si>
  <si>
    <t>Nordic Approaches to Climate-Related Human Mobility</t>
  </si>
  <si>
    <t>Miriam Cullen-Matthew Scott</t>
  </si>
  <si>
    <t>Proceedings of the International Conference on Environmental Learning Educational Technologies (ICELET 2023)</t>
  </si>
  <si>
    <t>Dimas Kurnia Robby-Firmanul Catur Wibowo-Uswatun Hasanah</t>
  </si>
  <si>
    <t>Climate Disaster Preparedness</t>
  </si>
  <si>
    <t>Dennis Del Favero-Susanne Thurow-Michael J. Ostwald-Ursula Frohne</t>
  </si>
  <si>
    <t>The Borders of the European Union in a Conflictual World</t>
  </si>
  <si>
    <t>Antonina Bakardjieva Engelbrekt-Per Ekman-Anna Michalski-Lars Oxelheim</t>
  </si>
  <si>
    <t>Doing Psychiatry in Postwar Europe</t>
  </si>
  <si>
    <t>Gundula Gahlen-Volker Hess-Marianna Scarfone-Henriette Voelker</t>
  </si>
  <si>
    <t>Towards a Holistic Approach to Support Learners at Risk of Interrupted Development: Midst- and Post-COVID-19 Interventions</t>
  </si>
  <si>
    <t>Macalane J. Malindi-Johnnie Hay-Thabo Makhalemele-Andri Schoonen-Appolonia Masunungure-Carolina Botha-Chanelle Kemp-Corlia Twine-CornÃ¨ Kruger-Dorita du Toit-Elmari FouchÃ©-ElsabÃ© Wessels-Francois Willemse-Hannelie Louw-Hantie Theron-Isabel Payne-van Staden-Itumeleng B. Lesabe-Julialet Rens-Kedibone J. Ramadie-Lettie Botha-Lynn D. Preston-MariÃ«tte P. Koen-Matabe R. Modiba-Niekie van der Merwe-Nomsa Mohosho-Nothile T. Kunene-Pateka P. Jama-Prosper Lunga-Rachel R. Mayimele-Shantha Naidoo-Stef Esterhuizen-Wanda van der Merwe</t>
  </si>
  <si>
    <t>Equitable Evaluation: Voices From the Global South</t>
  </si>
  <si>
    <t>Steven Masvaure-Takunda J Chirau-Tebogo Fish-Candice Morkel-Amy Murgatroyd-Ayabulela Dlakavu-Cecile Feront-Desiree Jason-Ian Goldman-Jennifer Norins-Kguagelo Moshia-Molebatsi-Matodzi Amisi-Penny Parenzee-Samukelisiwe Mkhize-SeÃ¡n M Muller-Sinenhlanhla Tsekiso-Sybert Mutereko-Thandolwethu Lukuko-Umali Saidi-Zacharia Grand-Zulaikha Brey.</t>
  </si>
  <si>
    <t>Information Technology Governance Practices and Inhibitors in South African Private and Public Health Care</t>
  </si>
  <si>
    <t>John Mangundu</t>
  </si>
  <si>
    <t>Factors Impacting African Womenâ€™s Doctoral Success</t>
  </si>
  <si>
    <t>Lifutso Tsephe</t>
  </si>
  <si>
    <t>The Great Gatsby Meets Alain Badiou: Rethinking Fidelity in Film Adaptation</t>
  </si>
  <si>
    <t>Ursula Vooght</t>
  </si>
  <si>
    <t>Local Economies and Pandemics: Regional Perspectives</t>
  </si>
  <si>
    <t>Marius Venter-ChanÃ© de Bruyn-Charbel JosÃ© Chiappetta Jabbour-Daniel F Meyer-Daniel Valotto-Jan P Grundling-Lizl Steynberg-Marcos Ferasso-Marinda Pretorius-Natanya Meyer-Peter Baur-Peter Kearns-Shirley A Lloyd-Weber H Radael</t>
  </si>
  <si>
    <t>Six BricksÂ®: A Path to Wellness in the Educational and Health Systems</t>
  </si>
  <si>
    <t>Lynn Preston-Wanda van der Merwe-Christelle Liversage-Christi Niesing-ElmarÃ© Mong-Elmari FouchÃ©-Jaco van der Merwe-Kedibone J Ramadie-Petra Bester-Tarien Breytenbach-Villera le Roux</t>
  </si>
  <si>
    <t>Theological Perspectives on Re-imagining Leadership in Post-COVID-19 Africa</t>
  </si>
  <si>
    <t>RELIGION / Christian Living / Leadership &amp; Mentoring</t>
  </si>
  <si>
    <t>Philip La G du Toit-Alfred R Brunsdon-Albert J Coetsee-Christopher Magezi-Elma Cornelius-Francois P Viljoen-Frederick Marais-Jacobus Kok-Manitza KotzÃ©-Nelus Niemandt-Rudy A Denton</t>
  </si>
  <si>
    <t>The Biblical Concept of the â€˜Davidic Covenantâ€™ in 2 Samuel and Ezekiel and Its Implications for African Leadership</t>
  </si>
  <si>
    <t>RELIGION / Biblical Meditations / General</t>
  </si>
  <si>
    <t>Andries G. van Aarde-Victor Lonu Budha</t>
  </si>
  <si>
    <t>The Belgic Confession: Historical Background, Contextual Meaning, Contemporary Relevance</t>
  </si>
  <si>
    <t>Albert J Coetsee-Arnold Huijgen-D Francois Muller-Gijsbert van den Brink-HH (Erik) van Alten-Leon van den Broeke-Manitza KotzÃ©-P Paul Kruger-Raymond M Potgieter-Rikus Fick-Sarel P van der Walt-Wim Dreyer</t>
  </si>
  <si>
    <t>Innovative Curriculum Design</t>
  </si>
  <si>
    <t>Neal Petersen-Adri du Toit-Elsa Mentz-Robert J Balfour-Anitia Lubbe-Awad Awad-Byron J Bunt-Gontse Mokwatsi-Iman C Chahine-Jessica Pool-Josef de Beer-Lounell White-Marry Mdakane-Rhea Koch-Yolande Heymans</t>
  </si>
  <si>
    <t>Problem-based Learning and Pedagogies of Play</t>
  </si>
  <si>
    <t>Marietjie Havenga-Jako Olivier-Byron J Bunt-Amane Oueriagli-Amit Dhakulkar-Aubrey Golightly-Azeddine Benelrhali-Carolina Botha-Chanene Nordgaard-Charlene du Toit-Brits-Daniel Burgos-Elma Marais-Ewie Erasmus-Henry Blignaut-Ibrahim Ouahbi-Khadija El Kharki-Khalid Berrada-Louise Olivier-Maryna Reyneke-Motlhale J Sebatana-Olukayode S Aboderin-Tertia Jordaan-Thomas P Mackey-Trudi E Jacobson</t>
  </si>
  <si>
    <t>The Rhinoceros of South Asia</t>
  </si>
  <si>
    <t>Kees Rookmaaker</t>
  </si>
  <si>
    <t>Das Nachleben der KÃ¼nste</t>
  </si>
  <si>
    <t>Christian GrÃ¼ny</t>
  </si>
  <si>
    <t>Vulnerability Revisited</t>
  </si>
  <si>
    <t>Doris Schroeder-Kate Chatfield-Roger Chennells-Hazel Partington-Joshua Kimani</t>
  </si>
  <si>
    <t>Proceedings of the International Conference on Business, Management, Accounting and Sustainable Economy (ICBMASE 2023)</t>
  </si>
  <si>
    <t>Ahmad Farabi-Sharifah Nabilah Syed Salleh-Qurroh Ayuniyyah-Nawalin Nazah</t>
  </si>
  <si>
    <t>Tracing the Sources and Fate of Contaminants in Agroecosystems</t>
  </si>
  <si>
    <t>Joseph Adu-Gyamfi-Grzegorz Skrzypek-GwenaÃƒÂ«l Imfeld-Lee Heng</t>
  </si>
  <si>
    <t>Global collaboration, local production</t>
  </si>
  <si>
    <t>Manuel Moritz-Tobias Redlich-Sonja Buxbaum-Conradi-Jens P. Wulfsberg</t>
  </si>
  <si>
    <t>Czechoslovakia at the Worldâ€™s Fairs</t>
  </si>
  <si>
    <t>Marta FilipovÃ¡</t>
  </si>
  <si>
    <t>Honorary Doctorate Prof. Dr. Karl-Henrik RobÃ¨rt</t>
  </si>
  <si>
    <t>Karl-Henrik RobÃ¨rt-Han van Krieken</t>
  </si>
  <si>
    <t>Honorary Doctorate Prof. Mary Beckman</t>
  </si>
  <si>
    <t>Mary Beckman-Mirjam Ernestus</t>
  </si>
  <si>
    <t>Arabic Documents From Medieval Nubia</t>
  </si>
  <si>
    <t>LANGUAGE STUDY / Hebrew</t>
  </si>
  <si>
    <t xml:space="preserve"> Geoffrey Khan</t>
  </si>
  <si>
    <t>Making Sense of Large Social Media Corpora</t>
  </si>
  <si>
    <t>Antonio Moreno-Ortiz</t>
  </si>
  <si>
    <t>The War Against Ukraine and the EU</t>
  </si>
  <si>
    <t>Claudia Wiesner-MichÃ¨le Knodt</t>
  </si>
  <si>
    <t>Proceedings of the 2nd Annual International Conference: Reimagining Guidance and Counselling in the VUCA Era (AICGC 2023)</t>
  </si>
  <si>
    <t>Luky Kurniawan-M. Wahyu Kuncoro-Sri Muliati Abdullah-Triana Noor Edwina DS</t>
  </si>
  <si>
    <t>The Reshaping of Chinaâ€™s Industry Chains</t>
  </si>
  <si>
    <t>Noncomplainer-Management im BtB-Marketing</t>
  </si>
  <si>
    <t>Fabio-Yannick Laschet</t>
  </si>
  <si>
    <t>Proceedings of the 3rd International Conference of Art, Craft, Culture and Design (ICON-ARCCADE 2023)</t>
  </si>
  <si>
    <t>Tyar Ratuannisa-Meirina Triharini-Kiki Rizky Soetisna Putri-Ardhana Riswarie-Bintan Titisari</t>
  </si>
  <si>
    <t>Proceedings of the World Conference on Governance and Social Sciences (WCGSS 2023)</t>
  </si>
  <si>
    <t>Abdul Razaq Cangara-Ahmad Ismail-Muhammad Chaeroel Ansar</t>
  </si>
  <si>
    <t>Proceedings of the 4th International Conference on New Computational Social Science (ICNCSS 2024)</t>
  </si>
  <si>
    <t>Roshan Chitrakar-Mata Liliana-Dan Dobrota-Chew Fong Peng-Ameha Tefera Tessema</t>
  </si>
  <si>
    <t>Proceedings of the 2024 3rd International Conference on Structural Seismic Resistance, Monitoring and Detection (SSRMD 2024)</t>
  </si>
  <si>
    <t>Abhijit Mohanrao Zende-Yongding Tian-Lingkun Chen-Saeed Ghaffarpour Jahromi</t>
  </si>
  <si>
    <t>City, Citizen, Citizenship, 400â€“1500</t>
  </si>
  <si>
    <t>Els Rose-Robert Flierman-Merel de Bruin-van de Beek</t>
  </si>
  <si>
    <t>Colonial Discourse and the Suffering of Indian American Children</t>
  </si>
  <si>
    <t>Kundan Singh-Krishna Maheshwari</t>
  </si>
  <si>
    <t>FrÃ¼he Kindheit(en)</t>
  </si>
  <si>
    <t>Melanie Holztrattner</t>
  </si>
  <si>
    <t>Nations Apart</t>
  </si>
  <si>
    <t>Radka Å ustrovÃ¡</t>
  </si>
  <si>
    <t>Pay for Performance in Health Care</t>
  </si>
  <si>
    <t>Research Triangle Institute, d/b/a RTI International</t>
  </si>
  <si>
    <t>Jerry Cromwell-Michael G. Trisolini-Gregory C. Pope-Janet B. Mitchell-Leslie M. Greenwald</t>
  </si>
  <si>
    <t>Aerosol Science and Technology</t>
  </si>
  <si>
    <t>David Ensor</t>
  </si>
  <si>
    <t>Noncognitive Skills in the Classroom</t>
  </si>
  <si>
    <t>Jeffrey A. Rosen-Elizabeth J. Glennie-Ben W. Dalton-Jean M. Lennon-Robert N. Bozick</t>
  </si>
  <si>
    <t>Young Adults in the Workplace</t>
  </si>
  <si>
    <t>Jeremy W. Bray-Deborah M. Galvin-Laurie A. Cluff</t>
  </si>
  <si>
    <t>Viewing America's Energy Future in Three Dimensions</t>
  </si>
  <si>
    <t>BUSINESS &amp; ECONOMICS / Economic Conditions</t>
  </si>
  <si>
    <t>Robert Beach-Philip Cooley-Allen Duffer-Michael Gallaher-Louis Hegedus-Markus Lesemann-Toby Moore-Edo Pellizzari-Dorota Temple</t>
  </si>
  <si>
    <t>The Early Grade Reading Assessment</t>
  </si>
  <si>
    <t>Amber Gove-Anna Wetterberg</t>
  </si>
  <si>
    <t>Dissecting American Health Care</t>
  </si>
  <si>
    <t>Douglas Kamerow</t>
  </si>
  <si>
    <t>Shale Gas</t>
  </si>
  <si>
    <t>Vikram Rao</t>
  </si>
  <si>
    <t>The Nation's Health Care Bill</t>
  </si>
  <si>
    <t>Jerry Cromwell-Deborah Healy-Elizabeth Seeley-Diana Trebino-Genevieve Cromwell</t>
  </si>
  <si>
    <t>Shale Oil and Gas</t>
  </si>
  <si>
    <t>National Assessment Approach to Sampling Error Estimation</t>
  </si>
  <si>
    <t>SOCIAL SCIENCE / Statistics</t>
  </si>
  <si>
    <t>Ralph E. Folsom</t>
  </si>
  <si>
    <t>Patient-Reported Outcomes in Performance Measurement</t>
  </si>
  <si>
    <t>David Cella-Elizabeth A. Hahn-Sally E. Jensen-Zeeshan Butt-Cindy J. Nowinski</t>
  </si>
  <si>
    <t>Innovations in Home Energy Use</t>
  </si>
  <si>
    <t>Brian G. Southwell-Elizabeth M. B. Doran-Laura S. Richman</t>
  </si>
  <si>
    <t>Improving Outcomes for Noncommunicable Diseases in Low- and Middle-Income Countries</t>
  </si>
  <si>
    <t>Kenneth A. LaBresh</t>
  </si>
  <si>
    <t>Reproducibility</t>
  </si>
  <si>
    <t>Edo Pellizzari-Kathleen Lohr-Alan Blatecky-Darryl Creel</t>
  </si>
  <si>
    <t>Methods in Statistical Genomics</t>
  </si>
  <si>
    <t>Philip Chester Cooley</t>
  </si>
  <si>
    <t>Measuring Nonuse Damages Using Contingent Valuation</t>
  </si>
  <si>
    <t>William H. Desvousges-F. Reed Johnson-Richard W. Dunford-Kevin J. Boyle-Sara P. Hudson-K. Nicole Wilson</t>
  </si>
  <si>
    <t>Leveraging Data for Student Success</t>
  </si>
  <si>
    <t>EDUCATION / Decision-Making &amp; Problem Solving</t>
  </si>
  <si>
    <t>Laura G. Knapp-Elizabeth Glennie-Karen J. Charles</t>
  </si>
  <si>
    <t>Governance and Service Delivery</t>
  </si>
  <si>
    <t>Anna Wetterberg-Derick W. Brinkerhoff-Jana C. Hertz</t>
  </si>
  <si>
    <t>Cultivating Dynamic Educators</t>
  </si>
  <si>
    <t>Sarah Pouezevara</t>
  </si>
  <si>
    <t>Systemy wychowawcze gentryfikujÄ…cych spoÅ‚ecznoÅ›ci lokalnych. Rozpad â€“ stagnacja â€“ rozwÃ³j</t>
  </si>
  <si>
    <t>Agnieszka Barczykowska</t>
  </si>
  <si>
    <t>ArchÃ¦ographies: Excavating Neolithic Dispilio â€“ X</t>
  </si>
  <si>
    <t>Fotis Ifantidis</t>
  </si>
  <si>
    <t>ArchÃ¦ographies: Excavating Neolithic Dispilio</t>
  </si>
  <si>
    <t>Le Banquet cÃ©rÃ©moniel entre archÃ©ologie et ethnologie</t>
  </si>
  <si>
    <t>Matthieu Michler-Pierre Le Roux-Florent Jodry</t>
  </si>
  <si>
    <t>Evaluating Economic Success</t>
  </si>
  <si>
    <t>Michael Joffe</t>
  </si>
  <si>
    <t>Oblicza Wojny, t. 9. NarzÄ™dzia wojny</t>
  </si>
  <si>
    <t>Tadeusz Grabarczyk</t>
  </si>
  <si>
    <t>Wielcy minores. Miniatury teatralne francuskojÄ™zycznej Kanady w okresie belle Ã©poque</t>
  </si>
  <si>
    <t>Sebastian Zacharow</t>
  </si>
  <si>
    <t>RozwÃ³j lokalny a polityka mieszkaniowa w gminach wiejskich</t>
  </si>
  <si>
    <t>Anna Miklaszewska, MaÅ‚gorzata Marks-Krzyszkowska, PaweÅ‚ Starosta</t>
  </si>
  <si>
    <t>Jesus and the Making of the Modern Mind, 1380-1520</t>
  </si>
  <si>
    <t xml:space="preserve"> Luke Clossey</t>
  </si>
  <si>
    <t>(An)Archive</t>
  </si>
  <si>
    <t xml:space="preserve"> Zsuzsa Millei-Nelli Piattoeva-Iveta Silova-Mnemo ZIN</t>
  </si>
  <si>
    <t>Moses Among the Moderns</t>
  </si>
  <si>
    <t>Paul Michael Kurtz</t>
  </si>
  <si>
    <t>Systemy oddziaÅ‚ywaÅ„ resocjalizacyjnych Anglii i StanÃ³w Zjednoczonych Ameryki</t>
  </si>
  <si>
    <t>Agnieszka Barczykowska-Sonia DzierzyÅ„ska-BreÅ›-Maciej MuskaÅ‚a</t>
  </si>
  <si>
    <t>What Side Are You On?</t>
  </si>
  <si>
    <t>University of North Carolina Press</t>
  </si>
  <si>
    <t>SOCIAL SCIENCE / Native American Studies</t>
  </si>
  <si>
    <t>Michael Steven Wilson-JosÃ© Antonio Lucero</t>
  </si>
  <si>
    <t>Proceedings of the 2023 5th International Conference on Hydraulic, Civil and Construction Engineering (HCCE 2023)</t>
  </si>
  <si>
    <t>Ping Xiang-Haifeng Yang-Jianwei Yan-Faxing Ding</t>
  </si>
  <si>
    <t>Research Ethics in Epidemics and Pandemics: A Casebook</t>
  </si>
  <si>
    <t>Susan Bull-Michael Parker-Joseph Ali-Monique Jonas-Vasantha Muthuswamy</t>
  </si>
  <si>
    <t>Urban Agriculture in Public Space</t>
  </si>
  <si>
    <t>Beata Sirowy-Deni Ruggeri</t>
  </si>
  <si>
    <t>Journalism As the Fourth Emergency Service</t>
  </si>
  <si>
    <t>Lisa Bradley-Emma Heywood</t>
  </si>
  <si>
    <t>The Essential Role of Language in Survey Research</t>
  </si>
  <si>
    <t>Mandy Sha-Tim Gabel</t>
  </si>
  <si>
    <t>Measuring Everyday Life</t>
  </si>
  <si>
    <t>Brian Southwell-Karen Keaton Jackson-Bridget Pittman-Blackwell</t>
  </si>
  <si>
    <t>Knowledge System Development</t>
  </si>
  <si>
    <t>Jana C. Hertz-Primatia Romana Wulandari-Budiati Prasetiamartati</t>
  </si>
  <si>
    <t>Carbon-Free Power</t>
  </si>
  <si>
    <t>Vikram Rao-Chris Gould</t>
  </si>
  <si>
    <t>Krankenhaus-Report 2024</t>
  </si>
  <si>
    <t>Die Mindestbesteuerung multinationaler Konzerne</t>
  </si>
  <si>
    <t>Nicolas Steinmeister</t>
  </si>
  <si>
    <t>Threshold Concepts in the Moment</t>
  </si>
  <si>
    <t>Jason P. Davies-Elia Gironacci-Susannah McGowan-Abel Nyamapfene-Julie Rattray-Anne M. Tierney-Andrea S. Webb</t>
  </si>
  <si>
    <t>Cripping Girlhood</t>
  </si>
  <si>
    <t>Anastasia Todd</t>
  </si>
  <si>
    <t>Generational Politics in the United States</t>
  </si>
  <si>
    <t>Sally Friedman-David Schultz</t>
  </si>
  <si>
    <t>Proceedings of the 1st International Conference Medical and Health Science Halu Oleo (IMHO 2023)</t>
  </si>
  <si>
    <t>Kondwani Joseph Banda-Sri Susanty</t>
  </si>
  <si>
    <t>Corruption and Illegality in Asian Investment Arbitration</t>
  </si>
  <si>
    <t>Nobumichi Teramura-Luke Nottage-Bruno Jetin</t>
  </si>
  <si>
    <t>Global Citizenship Education</t>
  </si>
  <si>
    <t>SÃ©bastien Urbanski-Lucy Bell</t>
  </si>
  <si>
    <t>Himmlische Vorstellung</t>
  </si>
  <si>
    <t>Michael F. KÃ¶ck</t>
  </si>
  <si>
    <t>The Ever-Reviving Phoenix</t>
  </si>
  <si>
    <t>BÃ©la Mihalik</t>
  </si>
  <si>
    <t>Delivering a Climate Neutral Europe</t>
  </si>
  <si>
    <t>Jos Delbeke</t>
  </si>
  <si>
    <t>Kinethic California</t>
  </si>
  <si>
    <t>Naomi Macalalad Bragin</t>
  </si>
  <si>
    <t>Revolutionary Stagecraft</t>
  </si>
  <si>
    <t>Tarryn Li-Min Chun</t>
  </si>
  <si>
    <t>Handbook of Digital 3D Reconstruction of Historical Architecture</t>
  </si>
  <si>
    <t>Sander MÃ¼nster-Fabrizio Ivan Apollonio-Ina Bluemel-Federico Fallavollita-Riccardo Foschi</t>
  </si>
  <si>
    <t>Harmony and Paradox</t>
  </si>
  <si>
    <t>Luca Tranchini</t>
  </si>
  <si>
    <t>Social Protection in Latin America</t>
  </si>
  <si>
    <t>Armando Barrientos</t>
  </si>
  <si>
    <t>The Archaeology of the Aru Islands, Eastern Indonesia</t>
  </si>
  <si>
    <t>Sue O'Connor-Matthew Spriggs-Peter Veth</t>
  </si>
  <si>
    <t>The Nature of Northern Australia</t>
  </si>
  <si>
    <t>John Woinarski-Brendan Mackey-Henry Nix-Barry Traill</t>
  </si>
  <si>
    <t>A New Idea Each Morning</t>
  </si>
  <si>
    <t>Wendy Way</t>
  </si>
  <si>
    <t>A Good Life</t>
  </si>
  <si>
    <t>Mary Edmunds</t>
  </si>
  <si>
    <t>Policing Same-Sex Relations in Eighteenth-Century Paris</t>
  </si>
  <si>
    <t>Jeffrey Merrick</t>
  </si>
  <si>
    <t>Fernando De Rojas and the Renaissance Vision</t>
  </si>
  <si>
    <t>Ricardo Castells</t>
  </si>
  <si>
    <t>Life at the Center</t>
  </si>
  <si>
    <t>Erica Caple James</t>
  </si>
  <si>
    <t>Towards a Data-driven Military</t>
  </si>
  <si>
    <t>Peter Pijpers-Mark Voskuijl-Robert Beeres</t>
  </si>
  <si>
    <t>â€œCovid-19,â€ Psychological Operations, and the War for Technocracy</t>
  </si>
  <si>
    <t>David A. Hughes</t>
  </si>
  <si>
    <t>Building Bridges for Effective Environmental Participation: The Path of Law Co-Creation</t>
  </si>
  <si>
    <t>Margherita Paola Poto-Giulia Parola</t>
  </si>
  <si>
    <t>Migrants with a Precarious Status</t>
  </si>
  <si>
    <t>Sarah Spencer-Ilker AtaÃ§-Zach Bastick-Adrienne Homberger-Simon GÃ¼ntner</t>
  </si>
  <si>
    <t>Atlas nÃ¡Å™eÄÃ­ ÄeskÃ©ho jazyka â€“ nominativ singulÃ¡ru feminin</t>
  </si>
  <si>
    <t>LANGUAGE STUDY / Czech</t>
  </si>
  <si>
    <t>IreinovÃ¡ Martina, VoÅ¾enÃ­lek VÃ­t, KonÃ­Äek Jakub, et al.</t>
  </si>
  <si>
    <t>First Working Conference on Artificial Intelligence Development for a Resilient and Sustainable Tomorrow</t>
  </si>
  <si>
    <t>Christian Zinke-Wehlmann-Julia Friedrich</t>
  </si>
  <si>
    <t>Chasing Greatness</t>
  </si>
  <si>
    <t>Anatoly Reshetnikov</t>
  </si>
  <si>
    <t>State Institutions, Civic Associations, and Identity Demands</t>
  </si>
  <si>
    <t>Amy H. Liu-Joel Selway</t>
  </si>
  <si>
    <t>Sensing Health</t>
  </si>
  <si>
    <t>Mikki Kressbach</t>
  </si>
  <si>
    <t>Greenland in Arctic Security</t>
  </si>
  <si>
    <t>Marc Jacobsen-Ulrik Pram Gad-Ole WÃ¦ver</t>
  </si>
  <si>
    <t>After Disruption</t>
  </si>
  <si>
    <t>Trevor Owens</t>
  </si>
  <si>
    <t>Seeds of Mobilization</t>
  </si>
  <si>
    <t>Joan E. Cho</t>
  </si>
  <si>
    <t>Seeking a Future for the Past</t>
  </si>
  <si>
    <t>Philipp Demgenski</t>
  </si>
  <si>
    <t>None of the Above</t>
  </si>
  <si>
    <t>Mollie J. Cohen</t>
  </si>
  <si>
    <t>Security. Cooperation. Governance.</t>
  </si>
  <si>
    <t>Christian Leuprecht-Todd Hataley</t>
  </si>
  <si>
    <t>Singing the Land</t>
  </si>
  <si>
    <t>Eli Sperling</t>
  </si>
  <si>
    <t>StarCraft</t>
  </si>
  <si>
    <t>Simon Dor</t>
  </si>
  <si>
    <t>Instrument of Memory</t>
  </si>
  <si>
    <t>Lisa Lampert-Weissig</t>
  </si>
  <si>
    <t>Mediating Gender in Post-Authoritarian South Korea</t>
  </si>
  <si>
    <t>Jesook Song-Michelle Cho</t>
  </si>
  <si>
    <t>Decisiveness and Fear of Disorder</t>
  </si>
  <si>
    <t>Julius Maximilian Rogenhofer</t>
  </si>
  <si>
    <t>BezpieczeÅ„stwo sieci i usÅ‚ug Å‚Ä…cznoÅ›ci elektronicznej w prawie Unii Europejskiej oraz w prawie polskim</t>
  </si>
  <si>
    <t>Maciej Rogalski</t>
  </si>
  <si>
    <t>Public Interiority</t>
  </si>
  <si>
    <t>ARCHITECTURE / Interior Design / General</t>
  </si>
  <si>
    <t>Liz Teston</t>
  </si>
  <si>
    <t>Everyday Agri-Environmental Governance</t>
  </si>
  <si>
    <t>JÃ©rÃ©mie Forney-Dana Bentia-Angga Dwiartama</t>
  </si>
  <si>
    <t>Community Development and Schools</t>
  </si>
  <si>
    <t>Mildred E. Warner-Jason Reece-Xue Zhang</t>
  </si>
  <si>
    <t>Andrew Dansie-Heidi K. Alleway-Benno BÃ¶er</t>
  </si>
  <si>
    <t>Everyday Silence and the Holocaust</t>
  </si>
  <si>
    <t>Irene Levin</t>
  </si>
  <si>
    <t>Automation in Communication</t>
  </si>
  <si>
    <t>Lionel Wee</t>
  </si>
  <si>
    <t>Digital Media, Denunciation and Shaming</t>
  </si>
  <si>
    <t>Daniel Trottier-Qian Huang-Rashid Gabdulhakov</t>
  </si>
  <si>
    <t>Towards a Metropolitan Public Space Network</t>
  </si>
  <si>
    <t>JoÃ£o Rafael Santos-Maria Matos Silva-Ana Beja da Costa</t>
  </si>
  <si>
    <t>Chorwacka (nie)pamiÄ™Ä‡ o JugosÅ‚awii. Przemilczenia, pominiÄ™cia i odpamiÄ™tanie w prozie chorwackiej po roku 1991</t>
  </si>
  <si>
    <t>Ewa Szperlik</t>
  </si>
  <si>
    <t>Multilevel Pedagogical Leadership in Higher Education</t>
  </si>
  <si>
    <t>Janne Elo-Michael Uljens</t>
  </si>
  <si>
    <t>Geographies of New Caledonia-Kanaky</t>
  </si>
  <si>
    <t>Matthias Kowasch-Simon P. J. Batterbury</t>
  </si>
  <si>
    <t>Ligang Song-Ross Garnaut</t>
  </si>
  <si>
    <t>In the Service of the Company - Volume 2</t>
  </si>
  <si>
    <t>Sir William Edward Parry-Noel Butlin Archives Centre</t>
  </si>
  <si>
    <t>Negotiating the Sacred</t>
  </si>
  <si>
    <t>RELIGION / Psychology of Religion</t>
  </si>
  <si>
    <t>E. Coleman-K. White</t>
  </si>
  <si>
    <t>The Land Is a Map</t>
  </si>
  <si>
    <t>Luise Hercus</t>
  </si>
  <si>
    <t>Double Vision</t>
  </si>
  <si>
    <t>Alison Broinowski</t>
  </si>
  <si>
    <t>Inside Austronesian Houses</t>
  </si>
  <si>
    <t>Viet Nam</t>
  </si>
  <si>
    <t>Brian Van Arkadie-Raymond Mallon</t>
  </si>
  <si>
    <t>Aboriginal Population Profiles for Development Planning in the Northern East Kimberley</t>
  </si>
  <si>
    <t>John Taylor</t>
  </si>
  <si>
    <t>Pieces of the Vanuatu Puzzle</t>
  </si>
  <si>
    <t>Stuart Bedford</t>
  </si>
  <si>
    <t>What's Changing: Population Size or Land Use Patterns?</t>
  </si>
  <si>
    <t>Val Attenbrow</t>
  </si>
  <si>
    <t>The China Boom and Its Discontents</t>
  </si>
  <si>
    <t>Ross Garnaut-Ligang Song</t>
  </si>
  <si>
    <t>Indigenous People and the Pilbara Mining Boom</t>
  </si>
  <si>
    <t>John Taylor-B. Scambary</t>
  </si>
  <si>
    <t>Coastal Themes</t>
  </si>
  <si>
    <t>Sean Ulm</t>
  </si>
  <si>
    <t>Assessing the Evidence on Indigenous Socioeconomic Outcomes</t>
  </si>
  <si>
    <t>Boyd Hunter</t>
  </si>
  <si>
    <t>Maverick Mathematician</t>
  </si>
  <si>
    <t>Ann Moyal</t>
  </si>
  <si>
    <t>State, Communities and Forests in Contemporary Borneo</t>
  </si>
  <si>
    <t>F. Cooke</t>
  </si>
  <si>
    <t>Sharing the Earth, Dividing the Land</t>
  </si>
  <si>
    <t>Thomas A. Reuter</t>
  </si>
  <si>
    <t>Australian Department Heads Under Howard</t>
  </si>
  <si>
    <t>POLITICAL SCIENCE / Political Process / Leadership</t>
  </si>
  <si>
    <t>Paul Malone</t>
  </si>
  <si>
    <t>Islands of Turmoil</t>
  </si>
  <si>
    <t>Brij V. Lal</t>
  </si>
  <si>
    <t>Australian Political Lives</t>
  </si>
  <si>
    <t>Tracey Arklay-John Nethercote-John Wanna</t>
  </si>
  <si>
    <t>Power and Pork</t>
  </si>
  <si>
    <t>BIOGRAPHY &amp; AUTOBIOGRAPHY / Presidents &amp; Heads of State</t>
  </si>
  <si>
    <t>Aurelia George Mulgan</t>
  </si>
  <si>
    <t>Informative Psychometric Filters</t>
  </si>
  <si>
    <t>SCIENCE / Experiments &amp; Projects</t>
  </si>
  <si>
    <t>Robert Gregson</t>
  </si>
  <si>
    <t>Arndt's Story</t>
  </si>
  <si>
    <t>BIOGRAPHY &amp; AUTOBIOGRAPHY / Business</t>
  </si>
  <si>
    <t>Selwyn Cornish-Peter Coleman-Peter Drake-Bettina Arndt</t>
  </si>
  <si>
    <t>What Good Condition?</t>
  </si>
  <si>
    <t>Peter Read-Gary Meyers-Bob Reece</t>
  </si>
  <si>
    <t>From Election to Coup in Fiji</t>
  </si>
  <si>
    <t>Jonathan Fraenkel-Stewart Firth</t>
  </si>
  <si>
    <t>Statistical Mechanics of Nonequilibrium Liquids</t>
  </si>
  <si>
    <t>SCIENCE / Chemistry / Computational &amp; Molecular Modeling</t>
  </si>
  <si>
    <t>Denis J. Evans-Gary R. Morris</t>
  </si>
  <si>
    <t>Culture in Translation</t>
  </si>
  <si>
    <t>Martin Thomas</t>
  </si>
  <si>
    <t>Myanmar</t>
  </si>
  <si>
    <t>Trevor Wilson-Monique Skidmore</t>
  </si>
  <si>
    <t>Japan's Future in East Asia and the Pacific</t>
  </si>
  <si>
    <t>Mari Pangestu-Ligang Song</t>
  </si>
  <si>
    <t>Agriculture and Food Security in China</t>
  </si>
  <si>
    <t>Chunlai Chen-Ron Duncan</t>
  </si>
  <si>
    <t>Politics and State Building in Solomon Islands</t>
  </si>
  <si>
    <t>Sinclair Dinnen-Stewart Firth</t>
  </si>
  <si>
    <t>China's Dilemma</t>
  </si>
  <si>
    <t>Ligang Song-Wing Thye Woo</t>
  </si>
  <si>
    <t>Troubled Waters</t>
  </si>
  <si>
    <t>Patrick Troy</t>
  </si>
  <si>
    <t>Tracking Rural Change</t>
  </si>
  <si>
    <t>Francesca Merlan-David Raftery</t>
  </si>
  <si>
    <t>China's New Place in a World in Crisis</t>
  </si>
  <si>
    <t>Ross Garnaut-Ligang Song-Wing Thye Woo</t>
  </si>
  <si>
    <t>Quaternary Palaeontology and Archaeology of Sumatra</t>
  </si>
  <si>
    <t>Paul C.H. Albers-Julien Louys-Alexandra A.E. van der Geer</t>
  </si>
  <si>
    <t>Power, Culture, Economy</t>
  </si>
  <si>
    <t>Jon Altman-David Martin</t>
  </si>
  <si>
    <t>The Two Rainbow Serpents Travelling</t>
  </si>
  <si>
    <t>RELIGION / Folk &amp; Tribal</t>
  </si>
  <si>
    <t>Jeremy Beckett-Luise Hercus</t>
  </si>
  <si>
    <t>Timing Is Everything</t>
  </si>
  <si>
    <t>Peter Greener</t>
  </si>
  <si>
    <t>Racial Folly</t>
  </si>
  <si>
    <t>Gordon Briscoe</t>
  </si>
  <si>
    <t>Financing Higher Education and Economic Development in East Asia</t>
  </si>
  <si>
    <t>Shiro Armstrong-Bruce Chapman</t>
  </si>
  <si>
    <t>Groundwater Exploitation in the High Plains</t>
  </si>
  <si>
    <t>NATURE / Ecosystems &amp; Habitats / Plains &amp; Prairies</t>
  </si>
  <si>
    <t>David E. Kromm-Stephen E. White</t>
  </si>
  <si>
    <t>The Cattle Guard</t>
  </si>
  <si>
    <t>James F. Hoy</t>
  </si>
  <si>
    <t>Class and Community in Frontier Colorado</t>
  </si>
  <si>
    <t>Richard Hogan</t>
  </si>
  <si>
    <t>Critical Pluralism, Democratic Performance, and Community Power</t>
  </si>
  <si>
    <t>POLITICAL SCIENCE / American Government / Local</t>
  </si>
  <si>
    <t>Paul Schumaker</t>
  </si>
  <si>
    <t>The Black Towns</t>
  </si>
  <si>
    <t>Norman L. Crockett</t>
  </si>
  <si>
    <t>The Frontier Challenge</t>
  </si>
  <si>
    <t>John G. Clark</t>
  </si>
  <si>
    <t>Kansas Governors</t>
  </si>
  <si>
    <t>Homer E. Socolofsky</t>
  </si>
  <si>
    <t>On Turner's Trail</t>
  </si>
  <si>
    <t>Wilbur R. Jacobs</t>
  </si>
  <si>
    <t>Lucius Polk Brown and Progressive Food and Drug Control</t>
  </si>
  <si>
    <t>Margaret Ripley Wolfe</t>
  </si>
  <si>
    <t>Leaders of Reform</t>
  </si>
  <si>
    <t>Robert Sherman La Forte</t>
  </si>
  <si>
    <t>Landlord William Scully</t>
  </si>
  <si>
    <t>Quest and Response</t>
  </si>
  <si>
    <t>Donald R. McCoy-Richard T. Ruetten</t>
  </si>
  <si>
    <t>Slave Women in the New World</t>
  </si>
  <si>
    <t>Marietta Morrissey</t>
  </si>
  <si>
    <t>The Constitution of the People</t>
  </si>
  <si>
    <t>POLITICAL SCIENCE / Political Freedom</t>
  </si>
  <si>
    <t>Robert E. Calvert</t>
  </si>
  <si>
    <t>State-of-the-Art Digital Twin Applications for Shipping Sector Decarbonization</t>
  </si>
  <si>
    <t>Bill Karakostas-Takis Katsoulakos</t>
  </si>
  <si>
    <t>Effective Field Theory for Spontaneously Broken Symmetry</t>
  </si>
  <si>
    <t>TomÃ¡Å¡ Brauner</t>
  </si>
  <si>
    <t>Nahj Al-BalÄghah: The Wisdom and Eloquence of Ê¿AlÄ«</t>
  </si>
  <si>
    <t>al-SharÄ«f al-Raá¸Ä«-Tahera Qutbuddin</t>
  </si>
  <si>
    <t>Thauma(u)topoiesis</t>
  </si>
  <si>
    <t>Micha Huff</t>
  </si>
  <si>
    <t>Eskapade und Beherrschung</t>
  </si>
  <si>
    <t>Elisabeth Hutter</t>
  </si>
  <si>
    <t>Ehrenamtliche BÃ¼rgermeister in Deutschland</t>
  </si>
  <si>
    <t>JÃ¶rg Bogumil-David H. Gehne-Louisa Anna SÃ¼ÃŸ</t>
  </si>
  <si>
    <t>Ritual, Rapture and Rebellion</t>
  </si>
  <si>
    <t>Marianne Blom Brodersen</t>
  </si>
  <si>
    <t>Arterial Oscillography: New Capabilities of the Blood Pressure Monitor with the Oranta-AO Information System</t>
  </si>
  <si>
    <t>Liudmyla Vakulenko</t>
  </si>
  <si>
    <t>Literatures of the Hundred Years War</t>
  </si>
  <si>
    <t>Daniel Davies-R. D. Perry</t>
  </si>
  <si>
    <t>Pindarâ€™s Pythian Twelve: A Linguistic Commentary and a Comparative Study</t>
  </si>
  <si>
    <t>Laura Massetti</t>
  </si>
  <si>
    <t>International Human Rights and Local Courts</t>
  </si>
  <si>
    <t>Aksel TÃ¸mte-Eko Riyadi</t>
  </si>
  <si>
    <t>Toxic Parliaments</t>
  </si>
  <si>
    <t>Marian Sawer-Maria Maley</t>
  </si>
  <si>
    <t>Reflections on the Russia-Ukraine War</t>
  </si>
  <si>
    <t>Maarten Rothman-Lonneke Peperkamp-Sebastiaan Rietjens</t>
  </si>
  <si>
    <t>Gospodarka miÄ™dzynarodowa w ujÄ™ciu regionalnym. Wybrane case studies paÅ„stw z Europy, Ameryk i Azji</t>
  </si>
  <si>
    <t>Magdalena RosiÅ„ska-Bukowska-Klaudia ZieliÅ„ska-Lont</t>
  </si>
  <si>
    <t>Feminist Cyberlaw</t>
  </si>
  <si>
    <t>Meg Leta Jones</t>
  </si>
  <si>
    <t>APCC Special Report: Landnutzung und Klimawandel in Ã–sterreich</t>
  </si>
  <si>
    <t>Robert Jandl-Ulrike Tappeiner-Cecilie Birgitte Foldal-Karlheinz Erb</t>
  </si>
  <si>
    <t>Educational Commons</t>
  </si>
  <si>
    <t>Gianna Cappello-Marianna Siino-NatÃ¡lia Fernandes-Mittzy Arciniega-Caceres</t>
  </si>
  <si>
    <t>Komunikacja marketingowa w kreowaniu wizerunku instytucji kultury na przykÅ‚adzie muzeÃ³w narodowych</t>
  </si>
  <si>
    <t>Katarzyna ÅšmiaÅ‚owicz</t>
  </si>
  <si>
    <t>Narracje w rachunkowoÅ›ci jako narzÄ™dzie zarzÄ…dzania wraÅ¼eniem</t>
  </si>
  <si>
    <t>Katarzyna Czajkowska</t>
  </si>
  <si>
    <t>The Nordic Minuet</t>
  </si>
  <si>
    <t>PERFORMING ARTS / Dance / Ballroom</t>
  </si>
  <si>
    <t xml:space="preserve"> Petri Hoppu-Egil Bakka-Anne Margrete Fiskvik</t>
  </si>
  <si>
    <t>Tangible and Intangible Heritage in the Age of Globalisation</t>
  </si>
  <si>
    <t>Vom Heim nach Hause: Herstellungsleistungen von Familie bei RÃ¼ckkehrprozessen aus stationÃ¤ren Erziehungshilfen</t>
  </si>
  <si>
    <t>Christina Lienhart</t>
  </si>
  <si>
    <t>Musealisation of Communism in Poland and East Central Europe</t>
  </si>
  <si>
    <t>Anna ZiÄ™biÅ„ska Witek</t>
  </si>
  <si>
    <t>Tradition and Power in the Roman Empire</t>
  </si>
  <si>
    <t>Sven Betjes-Olivier Hekster-Erika Manders</t>
  </si>
  <si>
    <t>Transformative Participation for Socio-Ecological Sustainability</t>
  </si>
  <si>
    <t>GAMES &amp; ACTIVITIES / Board Games</t>
  </si>
  <si>
    <t>Riverine Citizenship</t>
  </si>
  <si>
    <t>Azra HromadÅ¾iÄ‡</t>
  </si>
  <si>
    <t>Mariupol 2013-2022</t>
  </si>
  <si>
    <t>Hana Josticova</t>
  </si>
  <si>
    <t>The Habsburg Garrison Complex in Trebinje</t>
  </si>
  <si>
    <t>HISTORY / Europe / Austria &amp; Hungary</t>
  </si>
  <si>
    <t>Cathie Carmichael</t>
  </si>
  <si>
    <t>Biopower in Putinâ€™s Russia</t>
  </si>
  <si>
    <t>Andrey Makarychev-Sergei Medvedev</t>
  </si>
  <si>
    <t>Rechtsschutz durch Entscheidungsarchitekturen.</t>
  </si>
  <si>
    <t>Johannes H. Schmees</t>
  </si>
  <si>
    <t>Kinder- und Jugendhilfereport 2024</t>
  </si>
  <si>
    <t>Thomas Rauschenbach-Thomas MÃ¼hlmann-Christiane Meiner- Teubner-Sandra Fendrich-Sebastian Volberg-Melanie BÃ¶wing-Schmalenbrock-Agathe Tabel-Ninja Olszenka-Lena Afflerbach-Jens Pothmann-Julia Erdmann-Catherine Tiedemann-Benjamin Froncek-Ines RÃ¶hm-Julia Haubrich-Katharina Kopp</t>
  </si>
  <si>
    <t>Searching for Dr. Harris</t>
  </si>
  <si>
    <t>Margaret Humphreys</t>
  </si>
  <si>
    <t>Proceedings of the International Moving Image Cultures Conference (IMOVICCON 2023)</t>
  </si>
  <si>
    <t>Rista Ihwanny-Salima Hakim</t>
  </si>
  <si>
    <t>Industry 4.0 to Industry 5.0</t>
  </si>
  <si>
    <t>Susu Nousala-Gary Metcalf-David Ing</t>
  </si>
  <si>
    <t>Dirk Beyer-Ana Cavalcanti</t>
  </si>
  <si>
    <t>Naoki Kobayashi-James Worrell</t>
  </si>
  <si>
    <t>Buddhism in Central Asia III</t>
  </si>
  <si>
    <t>Lewis Doney-Carmen Meinert-Henrik H. SÃ¸rensen-Yukiyo Kasai</t>
  </si>
  <si>
    <t>Creating the University of the Future</t>
  </si>
  <si>
    <t>Ulf-Daniel Ehlers-Laura Eigbrecht</t>
  </si>
  <si>
    <t>Bernd Finkbeiner-Laura KovÃ¡cs</t>
  </si>
  <si>
    <t>Stephanie Weirich</t>
  </si>
  <si>
    <t>Settler Ecologies</t>
  </si>
  <si>
    <t>Charis Enns-Brock Bersaglio</t>
  </si>
  <si>
    <t>Heavy Metal</t>
  </si>
  <si>
    <t xml:space="preserve"> Philippe D. Tortell</t>
  </si>
  <si>
    <t>A Grammar of the Jewish Arabic Dialect of Gabes</t>
  </si>
  <si>
    <t xml:space="preserve"> Wiktor GÄ™bski</t>
  </si>
  <si>
    <t>Vergleichendes Lesen</t>
  </si>
  <si>
    <t>Kristina Petzold-Elisa Ronzheimer</t>
  </si>
  <si>
    <t>Antisemitismus und Recht</t>
  </si>
  <si>
    <t>Christoph Schuch</t>
  </si>
  <si>
    <t>Transformation von MittelstÃ¤dten</t>
  </si>
  <si>
    <t>Agnes FÃ¶rster-Cordula Kropp-Sabine Kuhlmann-Frank Lohrberg-Christopher Neuwirth-Jan PolÃ­vka-Christa Reicher</t>
  </si>
  <si>
    <t>Â»DeradikalisierungÂ« als Transitional Work</t>
  </si>
  <si>
    <t>SOCIAL SCIENCE / Penology</t>
  </si>
  <si>
    <t>DÃ¶rte Negnal-Robert Thiele-Anna Kristina Sauerwein-Henrike Bruhn</t>
  </si>
  <si>
    <t>Comparing and Change</t>
  </si>
  <si>
    <t>Antje FlÃ¼chter-Kirsten Kramer-Rebecca Mertens-Silke Schwandt</t>
  </si>
  <si>
    <t>Scientific Understanding</t>
  </si>
  <si>
    <t>Anna Elisabeth HÃ¶hl</t>
  </si>
  <si>
    <t>Wie gestalten wir Gesellschaft?</t>
  </si>
  <si>
    <t>Iris Ebert-Sebastian Rahn-Christoph Rodatz</t>
  </si>
  <si>
    <t>Sammeln nach 1998</t>
  </si>
  <si>
    <t>JÃ¼rgen Weber</t>
  </si>
  <si>
    <t>Superspreader â€“ Popkultur und mediale Diskurse im Angesicht der Pandemie</t>
  </si>
  <si>
    <t>Arno GÃ¶rgen-Tobias Eichinger-Eugen Pfister</t>
  </si>
  <si>
    <t>The Prize of Success</t>
  </si>
  <si>
    <t>Jonas Berthod</t>
  </si>
  <si>
    <t>Politische Theorie des Anarchismus</t>
  </si>
  <si>
    <t>Jonathan Eibisch</t>
  </si>
  <si>
    <t>Reise ins bekannte Fremde</t>
  </si>
  <si>
    <t xml:space="preserve">ART / Asian / Japanese </t>
  </si>
  <si>
    <t>Marina Sammeck</t>
  </si>
  <si>
    <t>Audiovision zwischen Hand und Haut</t>
  </si>
  <si>
    <t>Sonja Kirschall</t>
  </si>
  <si>
    <t>Inklusion und Grenzen</t>
  </si>
  <si>
    <t>Kathrin Blaha-Mai-Anh Boger-Jens Geldner-Belli-Nadja KÃ¶rner-Vera Moser-Katharina Walgenbach</t>
  </si>
  <si>
    <t>Beyond Molotovs â€“ A Visual Handbook of Anti-Authoritarian Strategies</t>
  </si>
  <si>
    <t>International Research Group on Authoritarianism and Counter-Strategies-kollektiv orangotango</t>
  </si>
  <si>
    <t>Ackerbau des Lebendigen</t>
  </si>
  <si>
    <t>StÃ©phanie Majerus</t>
  </si>
  <si>
    <t>Die Frauengesundheitsbewegung</t>
  </si>
  <si>
    <t>Susanne Boehm</t>
  </si>
  <si>
    <t>Kontingenz und Bildung</t>
  </si>
  <si>
    <t>Matthias Rangger</t>
  </si>
  <si>
    <t>Literaturwissenschaft und Informatik</t>
  </si>
  <si>
    <t>Alexa Lucke-Hermann Johannes</t>
  </si>
  <si>
    <t>Masculinities Ageing Between Cultures</t>
  </si>
  <si>
    <t>Heike Hartung-Roberta Maierhofer-Christian Schmitt-Kilb</t>
  </si>
  <si>
    <t>Digitale Lerntechnologien</t>
  </si>
  <si>
    <t>Sigrid Hartong-AndrÃ© Renz</t>
  </si>
  <si>
    <t>Friedensethik der Zukunft</t>
  </si>
  <si>
    <t>Alois Halbmayr-Josef P. Mautner</t>
  </si>
  <si>
    <t>Spiel*Kritik</t>
  </si>
  <si>
    <t>Thomas Spies-Seyda Kurt-Holger PÃ¶tzsch</t>
  </si>
  <si>
    <t>Ethik des assistierten Suizids</t>
  </si>
  <si>
    <t>Claudia Bozzaro-Gesine Richter-Christoph Rehmann-Sutter</t>
  </si>
  <si>
    <t>Performing Technocapitalism</t>
  </si>
  <si>
    <t>Alev Coban</t>
  </si>
  <si>
    <t>Spaces for Shaping the Nation</t>
  </si>
  <si>
    <t>Marina Beck-Christina Strunck</t>
  </si>
  <si>
    <t>Besser ausstellen</t>
  </si>
  <si>
    <t>DASA Arbeitswelt Ausstellung-Professur fÃ¼r Museologie der UniversitÃ¤t WÃ¼rzburg-Institut fÃ¼r Museumsforschung</t>
  </si>
  <si>
    <t>Neue SuburbanitÃ¤t?</t>
  </si>
  <si>
    <t>Uwe Altrock-Henriette Bertram-Arvid KrÃ¼ger</t>
  </si>
  <si>
    <t>Influencing nach Geschlecht</t>
  </si>
  <si>
    <t>Anastasia-Patricia Och</t>
  </si>
  <si>
    <t>Kooperation in inklusiven Schulen</t>
  </si>
  <si>
    <t>Birgit LÃ¼tje-Klose-Elke Wild-Sandra GrÃ¼ter-Julia Gorges-Phillip Neumann-Antonia Papenberg-Janka Goldan</t>
  </si>
  <si>
    <t>Common Good and Self-Interest in Medieval and Early Modern Philosophy</t>
  </si>
  <si>
    <t>Heikki Haara-Juhana Toivanen</t>
  </si>
  <si>
    <t>Figuring a Scene</t>
  </si>
  <si>
    <t>National Gallery Singapore</t>
  </si>
  <si>
    <t>Patrick Flores</t>
  </si>
  <si>
    <t>Entscheidungen in die weite Zukunft</t>
  </si>
  <si>
    <t>Anne Eckhardt-Frank Becker-Volker Mintzlaff-Dirk Scheer-Roman Seidl</t>
  </si>
  <si>
    <t>Digitale Teilhabe von Menschen mit einer geistigen BeeintrÃ¤chtigung</t>
  </si>
  <si>
    <t>Joanna Albrecht-Nadine HÃ¼ning</t>
  </si>
  <si>
    <t>Uneven Connections</t>
  </si>
  <si>
    <t>Robert. J Foster</t>
  </si>
  <si>
    <t>CaractÃ©risation, continuitÃ©s et discontinuitÃ©s des manifestations graphiques des sociÃ©tÃ©s prÃ©historiques</t>
  </si>
  <si>
    <t>Elena Paillet-Marcela Sepulveda-Eric Robert-Patrick Paillet-Nicolas MÃ©lard</t>
  </si>
  <si>
    <t>Autour de la traduction : voix, rythmes et rÃ©sonances</t>
  </si>
  <si>
    <t>Laura Santone</t>
  </si>
  <si>
    <t>Faith in Law, Law in Faith</t>
  </si>
  <si>
    <t>Rafael Domingo-Gary S. Hauk-Timothy P. Jackson</t>
  </si>
  <si>
    <t>Fire Hazards: Socio-economic and Regional Issues</t>
  </si>
  <si>
    <t>JesÃºs Rodrigo-Comino-Luca Salvati</t>
  </si>
  <si>
    <t>Bayesian Filter Design for Computational Medicine</t>
  </si>
  <si>
    <t>Dilranjan S. Wickramasuriya-Rose T. Faghih</t>
  </si>
  <si>
    <t>Ernst Denert Award for Software Engineering 2022</t>
  </si>
  <si>
    <t>Eric Bodden-Michael Felderer-Wilhelm Hasselbring-Paula Herber-Heiko Koziolek</t>
  </si>
  <si>
    <t>Digital Inclusion</t>
  </si>
  <si>
    <t>Simeon Yates-Elinor Carmi</t>
  </si>
  <si>
    <t>BUiD Doctoral Research Conference 2023</t>
  </si>
  <si>
    <t>Khalid Al Marri-Farzana Asad Mir-Solomon Arulraj David-Mostafa Al-Emran</t>
  </si>
  <si>
    <t>Staatsbildung und Legitimation im Himalaya</t>
  </si>
  <si>
    <t>Stefan LÃ¼der</t>
  </si>
  <si>
    <t>Colloids and the Depletion Interaction</t>
  </si>
  <si>
    <t>Henk N.W. Lekkerkerker-Remco Tuinier-Mark Vis</t>
  </si>
  <si>
    <t>Ãœbersetzungspolitiken in der FrÃ¼hen Neuzeit / Translation Policy and the Politics of Translation in the Early Modern Period</t>
  </si>
  <si>
    <t>Antje FlÃ¼chter-Andreas Gipper-Susanne Greilich-Hans-JÃ¼rgen LÃ¼sebrink-Annkathrin Koppers</t>
  </si>
  <si>
    <t>EssensWert - Werte als multidisziplinÃ¤rer Sammelbegriff im Kontext von ErnÃ¤hrung</t>
  </si>
  <si>
    <t>Karolin HÃ¶hl-Jana Dreyer-Silke Lichtenstein</t>
  </si>
  <si>
    <t>Building an Olive-Shaped Society</t>
  </si>
  <si>
    <t>Positive Tipping Points Towards Sustainability</t>
  </si>
  <si>
    <t>J. David TÃ bara-Alexandros Flamos-Diana Mangalagiu-Serafeim Michas</t>
  </si>
  <si>
    <t>China in 2035</t>
  </si>
  <si>
    <t>Angang Hu-Shaojie Zhou</t>
  </si>
  <si>
    <t>Conviviality in Burgaz</t>
  </si>
  <si>
    <t>Deniz N. Duru</t>
  </si>
  <si>
    <t>Of Worlds and Artworks</t>
  </si>
  <si>
    <t>Ute Fendler-Marie-Anne Kohl-Gilbert Shang Ndi-Christopher Joseph Odhiambo-Clarissa Vierke</t>
  </si>
  <si>
    <t>Rest in Plastic</t>
  </si>
  <si>
    <t>Isabel BredenbrÃ¶ker</t>
  </si>
  <si>
    <t>Historia de una pionera, de Anna Howard Shaw. TraducciÃ³n anotada y estudio crÃ­tico.</t>
  </si>
  <si>
    <t>MartÃ­n PÃ¡rraga, Javier</t>
  </si>
  <si>
    <t>Flora TristÃ¡n: pensamiento econÃ³mico y comunicaciÃ³n social en tiempos del romanticismo.</t>
  </si>
  <si>
    <t>PÃ©rez Calle, BegoÃ±a</t>
  </si>
  <si>
    <t>EnseÃ±ar con el cÃ³mic: investigaciÃ³n y aplicaciones.</t>
  </si>
  <si>
    <t>Rodrigo Segura, Francesc Josep (Coordinador)-MÃ©ndez Cabrera, JerÃ³nimo (Coordinador)-FajkisovÃ¡, Dominika (Coordinador)</t>
  </si>
  <si>
    <t>EnseÃ±ar con el cÃ³mic: dinÃ¡micas transversales y especÃ­ficas del aula.</t>
  </si>
  <si>
    <t>Pons Moreno, Ãlvaro M. (Coordinador)-Ibarra-Rius, Noelia (Coordinador)</t>
  </si>
  <si>
    <t>La educaciÃ³n fÃ­sica en la escuela: recursos, experiencias y prÃ¡cticas innovadoras en educaciÃ³n infantil y primaria.</t>
  </si>
  <si>
    <t>EirÃ­n NemiÃ±a, RaÃºl (Coordinador)-RodrÃ­guez RodrÃ­guez, JesÃºs (Coordinador)-MarÃ­n Suelves, Diana (Coordinador)</t>
  </si>
  <si>
    <t>Adolescentes migrantes sin referentes familiares. La cooperaciÃ³n al desarrollo en el norte de Ãfrica y Marruecos</t>
  </si>
  <si>
    <t>JimÃ©nez HernÃ¡ndez, Antonio Salvador (Coordinador)-Pedrosa Vico, Beatriz (Coordinador)-GÃ³mez Vicario, Mariana (Coordinador)-LÃ³pez Lajusticia, Gema (Coordinador)</t>
  </si>
  <si>
    <t>RegÃ­menes de verdad en educaciÃ³n.</t>
  </si>
  <si>
    <t>InnovaciÃ³n en la docencia y en la investigaciÃ³n de la didÃ¡ctica de la lengua y la literatura.</t>
  </si>
  <si>
    <t>La educaciÃ³n superior ante la diversidad cultural y el avance tecnolÃ³gico.</t>
  </si>
  <si>
    <t>Guerra GonzÃ¡lez, MarÃ­a del Rosario (Coordinador)-Villamar LÃ³pez, Leticia (Coordinador)-Caballero Reynaga, Nancy (Coordinador)</t>
  </si>
  <si>
    <t>TeorÃ­a y prÃ¡ctica de la participaciÃ³n familiar en los centros educativos. Orientaciones para la formaciÃ³n docente</t>
  </si>
  <si>
    <t>GaliÃ¡n, BegoÃ±a-HernÃ¡ndez-Prados, MarÃ­a Ãngeles</t>
  </si>
  <si>
    <t>Rompiendo el silencio: voces contra los delitos de odio.</t>
  </si>
  <si>
    <t>Pina Castillo, MarÃ­a-HernÃ¡ndez Prados, MÂª Ãngeles-DÃ³lera GonzÃ¡lez, Marina</t>
  </si>
  <si>
    <t>Actas de las I Jornadas sobre innovaciÃ³n, sostenibilidad y competitividad turÃ­stica. La imagen de los destinos turÃ­sticos a travÃ©s del cine. 5, 19 y 26 de octubre 2023 Campus de Fuenlabrada</t>
  </si>
  <si>
    <t>LÃ³pez Ronco, MarÃ­a Ãngeles (Editor)</t>
  </si>
  <si>
    <t>Entrelazando lenguas y culturas: Perspectivas actuales en torno a la adquisiciÃ³n y didÃ¡ctica de lenguas, estudios lingÃ¼Ã­sticos y traducciÃ³n, y estudios culturales y literatura.</t>
  </si>
  <si>
    <t>PÃ©rez FernÃ¡ndez, Lucila MarÃ­a (Coordinador)-Jorge, Richard (Coordinador)</t>
  </si>
  <si>
    <t>EnseÃ±anza e innovaciÃ³n educativa en el Ã¡mbito universitario.</t>
  </si>
  <si>
    <t>Llorente Cejudo, Carmen (Coordinador)-BarragÃ¡n-SÃ¡nchez, Raquel (Coordinador)-PÃ©rez RodrÃ­guez, Noelia (Coordinador)-MartÃ­n PÃ¡rraga, Lorena (Coordinador)</t>
  </si>
  <si>
    <t>The Intercultural Dimension of Foreign Language Teaching, Learning and Assessment: Theory and Practice</t>
  </si>
  <si>
    <t>Prof. Dr. DinÃ§ay KÃ–KSAL Dr. Ã–zlem KARAAÄžAÃ‡ TUNA</t>
  </si>
  <si>
    <t>Fighting Fake Facts</t>
  </si>
  <si>
    <t>Peter Seitz-Mark Eisenegger-Manfred Max Bergman</t>
  </si>
  <si>
    <t>Applied Mathematics in Ferroelectricity and Piezoelectricity</t>
  </si>
  <si>
    <t>Kenji Uchino</t>
  </si>
  <si>
    <t>Katechetischer Schriftgebrauch im frÃ¼hmittelalterlichen Konstantinopel</t>
  </si>
  <si>
    <t>Konstantin Anikin</t>
  </si>
  <si>
    <t>'A dream within a dream within a dream ...'?</t>
  </si>
  <si>
    <t>Kathrin Svenja Neis</t>
  </si>
  <si>
    <t>Almost Futures</t>
  </si>
  <si>
    <t>SOCIAL SCIENCE / Cultural &amp; Ethnic Studies / American / Asian American &amp; Pacific Islander Studies</t>
  </si>
  <si>
    <t>Thu-huong Nguyen-vo</t>
  </si>
  <si>
    <t>SPACE IN TURKISH</t>
  </si>
  <si>
    <t>LANGUAGE STUDY / Turkish &amp; Turkic Languages</t>
  </si>
  <si>
    <t>Ä°smail BAÄžÃ‡EVAN</t>
  </si>
  <si>
    <t>Visualising Language Students and Teachers As Multilinguals</t>
  </si>
  <si>
    <t>Paula Kalaja-SÃ­lvia Melo-Pfeifer</t>
  </si>
  <si>
    <t>Lexicon of Proto Oceanic</t>
  </si>
  <si>
    <t>Malcolm D. Ross-Andrew Pawley-Meredith Osmond</t>
  </si>
  <si>
    <t>Political and Social Control in China</t>
  </si>
  <si>
    <t>Ben Hillman-Chien-wen Kou</t>
  </si>
  <si>
    <t>Unequal Development and Capitalism</t>
  </si>
  <si>
    <t>Adalmir Antonio Marquetti-Alessandro Miebach-Henrique Morrone</t>
  </si>
  <si>
    <t>SpoÅ‚eczny wymiar problemu alkoholowego kobiet. Obraz i instytucjonalne reakcje Å›rodowiska wielkomiejskiego</t>
  </si>
  <si>
    <t>SELF-HELP / Substance Abuse &amp; Addictions / Alcohol</t>
  </si>
  <si>
    <t>Ewa WÅ‚odarczyk</t>
  </si>
  <si>
    <t>Water and the Law: Water Management in the Statutory Legislation of Later Communal Italy</t>
  </si>
  <si>
    <t>Francesco Salvestrini</t>
  </si>
  <si>
    <t>No Life Without You</t>
  </si>
  <si>
    <t xml:space="preserve"> Franklin Felsenstein</t>
  </si>
  <si>
    <t>A Country of Defiance</t>
  </si>
  <si>
    <t>Mark W. Deets</t>
  </si>
  <si>
    <t>Moralische PluralitÃ¤t und ethische Bildung</t>
  </si>
  <si>
    <t>Christian Feichtinger</t>
  </si>
  <si>
    <t>Strengthening Professional and Spiritual Education Through 21st Century Skill Empowerment in a Pandemic and Post-Pandemic Era</t>
  </si>
  <si>
    <t>BUSINESS &amp; ECONOMICS / Government &amp; Business</t>
  </si>
  <si>
    <t>Syamsul Arifin-Ahmad Fauzi-Triastama Wiraatmaja-Eggy Fajar Andalas-Nafik Muthohirin</t>
  </si>
  <si>
    <t>Music and Its Narrative Potential</t>
  </si>
  <si>
    <t>Carolien Van Nerom-Ann Peeters-Bart Bouckaert</t>
  </si>
  <si>
    <t>Indigenizing Archaeology</t>
  </si>
  <si>
    <t>University Press of Florida</t>
  </si>
  <si>
    <t>Emily C. Van Alst-Carlton Shield Chief Gover</t>
  </si>
  <si>
    <t>Francesco Amigoni</t>
  </si>
  <si>
    <t>Planning for Equitable Urban Agriculture in the United States</t>
  </si>
  <si>
    <t>Samina Raja-Marcia Caton Campbell-Alexandra Judelsohn-Branden Born-Alfonso Morales</t>
  </si>
  <si>
    <t>Effective and Equitable Teacher Practice in Mathematics and Science Education</t>
  </si>
  <si>
    <t>Nani Teig-Trude Nilsen-Kajsa Yang Hansen</t>
  </si>
  <si>
    <t>Social Accountability Initiatives in Morocco, Tunisia, and Lebanon</t>
  </si>
  <si>
    <t>Ward Vloeberghs-Sylvia I. Bergh</t>
  </si>
  <si>
    <t>Assessing Progress in Decarbonizing SpainÃ¢â‚¬â„¢s Building Stock</t>
  </si>
  <si>
    <t>Belinda LÃƒÂ³pez-Mesa-Xabat Oregi</t>
  </si>
  <si>
    <t>Party System Changes and Challenges to Democracy</t>
  </si>
  <si>
    <t>Danica Fink-Hafner</t>
  </si>
  <si>
    <t>Late Industrialization, Tradition, and Social Change in South Korea</t>
  </si>
  <si>
    <t>Yong-Chool Ha</t>
  </si>
  <si>
    <t>The Creative Gesture</t>
  </si>
  <si>
    <t>LANGUAGE ARTS &amp; DISCIPLINES / Writing / General</t>
  </si>
  <si>
    <t>Pier Paolo Bellini</t>
  </si>
  <si>
    <t>Australian Urban Policy</t>
  </si>
  <si>
    <t>Robert Freestone-Bill Randolph-Wendy Steele</t>
  </si>
  <si>
    <t>School Projects for Development of Entrepreneurship - And It's Done - Nine Crafts - A Year Not Only Outdoors</t>
  </si>
  <si>
    <t>Alena JÅ¯vovÃ¡, Michaela TomÃ¡Å¡kovÃ¡, OndÅ™ej Duda</t>
  </si>
  <si>
    <t>Å kolnÃ­ projekty pro rozvoj podnikavosti: A je to - Devatero Å™emesel - Rok nejen v pÅ™Ã­rodÄ›</t>
  </si>
  <si>
    <t>Assessment Framework for People-Centred Solutions to Carbon Neutrality</t>
  </si>
  <si>
    <t>Sabrina Bresciani-Francesca Rizzo-Francesco Mureddu</t>
  </si>
  <si>
    <t>Epistemische AutoritÃ¤ten</t>
  </si>
  <si>
    <t>Rico Hauswald</t>
  </si>
  <si>
    <t>Scale-ups and High-Growth Firms</t>
  </si>
  <si>
    <t>Alex Coad-Anders BornhÃ¤ll-Sven-Olov Daunfeldt-Alexander McKelvie</t>
  </si>
  <si>
    <t>How to Be Disabled in a Pandemic</t>
  </si>
  <si>
    <t>LAW / Disability</t>
  </si>
  <si>
    <t>Mara Mills-Harris Kornstein-Faye Ginsburg-Rayna Rapp</t>
  </si>
  <si>
    <t>Pas D'armes and Late Medieval Chivalry</t>
  </si>
  <si>
    <t>Rosalind Brown-Grant-Mario Damen</t>
  </si>
  <si>
    <t>Jurisdictional Battlefields</t>
  </si>
  <si>
    <t>Mario GraÃ±a Taborelli</t>
  </si>
  <si>
    <t>Democrazy in Spain: Cinema and New Forms of Social Life (1968-2008)</t>
  </si>
  <si>
    <t>Isabel M. Estrada</t>
  </si>
  <si>
    <t>Taiwan Lives</t>
  </si>
  <si>
    <t>Niki J. P. Alsford</t>
  </si>
  <si>
    <t>Traktat o zÅ‚ej robocie</t>
  </si>
  <si>
    <t>Krystyna Daszkiewicz</t>
  </si>
  <si>
    <t>Uwarunkowania gotowoÅ›ci do resocjalizacji</t>
  </si>
  <si>
    <t>Jana Chojecka-Maciej MuskaÅ‚a</t>
  </si>
  <si>
    <t>Niepokorni. Brudni. Å¹li. Ludzie marginesu w prozie polskiej XX wieku</t>
  </si>
  <si>
    <t>Zbigniew KopeÄ‡</t>
  </si>
  <si>
    <t>From Wilderness to Paradise: A Sixth-Century Mosaic Pavement at Qasr El-Lebia in Cyrenaica, Libya</t>
  </si>
  <si>
    <t>HISTORY / Africa / North</t>
  </si>
  <si>
    <t>Jane Chick</t>
  </si>
  <si>
    <t>Protestant Bible Scholarship: Antisemitism, Philosemitism and Anti-Judaism</t>
  </si>
  <si>
    <t>Arjen F. Bakker-RenÃ© Bloch-Yael Fisch-Paula Fredriksen-Hindy Najman</t>
  </si>
  <si>
    <t>Miasto mozaika. Opis kulturowy</t>
  </si>
  <si>
    <t>Aleksandra Krupa-Åawrynowicz, Katarzyna Orszulak-Dudkowska</t>
  </si>
  <si>
    <t>The Importance of Social Innovations in the Knowledge-based Economy in the Context of Footwear Sector Solutions Seria: EKONOMIA</t>
  </si>
  <si>
    <t>Katarzyna ÅawiÅ„ska-MaÅ‚gorzata JabÅ‚oÅ„ska</t>
  </si>
  <si>
    <t>Miejsce i rola Krymu w polityce rosyjskiej i miÄ™dzynarodowej</t>
  </si>
  <si>
    <t>Law and Revolution</t>
  </si>
  <si>
    <t>Matej Accetto-Katja Å krubej-Joseph H. H. Weiler</t>
  </si>
  <si>
    <t>The Hydrocene</t>
  </si>
  <si>
    <t>Bronwyn Bailey-Charteris</t>
  </si>
  <si>
    <t>Quinine's Remains</t>
  </si>
  <si>
    <t>Townsend Middleton</t>
  </si>
  <si>
    <t>Managing the Transition to a Circular Economy</t>
  </si>
  <si>
    <t>Marival Segarra-OÃƒÂ±a-Virginia Santamarina-Campos-ÃƒÂngel PeirÃƒÂ³-Signes</t>
  </si>
  <si>
    <t>AI, Data, and Digitalization</t>
  </si>
  <si>
    <t>Rajendra Akerkar</t>
  </si>
  <si>
    <t>Advanced Mathematical Science for Mobility Society</t>
  </si>
  <si>
    <t>Kazushi Ikeda-Yoshiumi Kawamura-Kazuhisa Makino-Satoshi Tsujimoto-Nobuo Yamashita</t>
  </si>
  <si>
    <t>The Picture Is the Window, the Window Is the Picture</t>
  </si>
  <si>
    <t>Abby Weed Grey</t>
  </si>
  <si>
    <t>Die Praxis des Heiratens</t>
  </si>
  <si>
    <t>Fleur Weibel</t>
  </si>
  <si>
    <t>Landschaft und Vegetation</t>
  </si>
  <si>
    <t>Florian Bellin-Harder</t>
  </si>
  <si>
    <t>Autobiographisches WiedererzÃ¤hlen</t>
  </si>
  <si>
    <t>Shevek K. Selbert</t>
  </si>
  <si>
    <t>Im Schatten des Schweigens</t>
  </si>
  <si>
    <t>Lotte Warnsholdt</t>
  </si>
  <si>
    <t>Bildung, Praxistransfer und Kooperation</t>
  </si>
  <si>
    <t>Charlotte Axelsson-Dana Blume-Benno Volk</t>
  </si>
  <si>
    <t>Unterwegs in die Stadt der Zukunft</t>
  </si>
  <si>
    <t>Andrea Baier-Christa MÃ¼ller-Karin Werner</t>
  </si>
  <si>
    <t>Die Beschleunigung der Schrift</t>
  </si>
  <si>
    <t>Wolf-RÃ¼diger Wagner</t>
  </si>
  <si>
    <t>Abgrenzen, Entgrenzen, Begrenzen</t>
  </si>
  <si>
    <t>Hannah Ahlheim-Franziska Rehlinghaus</t>
  </si>
  <si>
    <t>Competing Climate Cultures in Germany</t>
  </si>
  <si>
    <t>Sarah Kessler</t>
  </si>
  <si>
    <t>Starker Liberalismus</t>
  </si>
  <si>
    <t>POLITICAL SCIENCE / Political Ideologies / Libertarianism</t>
  </si>
  <si>
    <t>Walter Oswalt</t>
  </si>
  <si>
    <t>Bildung dekonstruieren</t>
  </si>
  <si>
    <t>Robert Wartmann</t>
  </si>
  <si>
    <t>Leitmotifs in Life Stories</t>
  </si>
  <si>
    <t>Ramona Bullik</t>
  </si>
  <si>
    <t>Translations and Participation</t>
  </si>
  <si>
    <t>JÃ¶rg Dinkelaker-Klara-Aylin Wenten</t>
  </si>
  <si>
    <t>Sowjetisches Gerichtstheater</t>
  </si>
  <si>
    <t>Gianna FrÃ¶licher</t>
  </si>
  <si>
    <t>VorlÃ¤ufige Gewissheiten</t>
  </si>
  <si>
    <t>Thomas G. Kirsch-Christina Wald</t>
  </si>
  <si>
    <t>GrÃ¼ner Sozialismus?</t>
  </si>
  <si>
    <t>Thomas E. Goes</t>
  </si>
  <si>
    <t>Politik Inklusiver Bildung</t>
  </si>
  <si>
    <t>Carla Jana Svaton</t>
  </si>
  <si>
    <t>Musikalische Schrift und Gender</t>
  </si>
  <si>
    <t>Gesa Finke-Julia Freund</t>
  </si>
  <si>
    <t>Ibsen at the Theatrical Crossroads of Europe</t>
  </si>
  <si>
    <t>Gianina Druta</t>
  </si>
  <si>
    <t>StÃ¤dte auf dem Weg zur Nachhaltigkeit</t>
  </si>
  <si>
    <t>Britta Acksel</t>
  </si>
  <si>
    <t>Ladies in Arms</t>
  </si>
  <si>
    <t>Teresa Hiergeist-Stefanie SchÃ¤fer</t>
  </si>
  <si>
    <t>Dialog als Denkfigur</t>
  </si>
  <si>
    <t>Marten Weise</t>
  </si>
  <si>
    <t>Geographical Research in the Digital Humanities</t>
  </si>
  <si>
    <t>Finn Dammann-Dominik Kremer</t>
  </si>
  <si>
    <t>SexualitÃ¤ten und Geschlechter</t>
  </si>
  <si>
    <t>Richard KÃ¼hl-Daniela Link-Lisa Heiberger</t>
  </si>
  <si>
    <t>Lifewide Learning in Postdigital Societies</t>
  </si>
  <si>
    <t>Luisa Conti-Fergal Lenehan</t>
  </si>
  <si>
    <t>Choreophonien</t>
  </si>
  <si>
    <t>Julia Ostwald</t>
  </si>
  <si>
    <t>Religious Freedom and Populism</t>
  </si>
  <si>
    <t>Bernd Hirschberger-Katja Voges</t>
  </si>
  <si>
    <t>Spielformen der StÃ¶rung</t>
  </si>
  <si>
    <t>Barbara Bausch</t>
  </si>
  <si>
    <t>The Multi-Sided Ethnographer</t>
  </si>
  <si>
    <t>Tim Burger-Usman Mahar-Pascale Schild-Anna-Maria Walter</t>
  </si>
  <si>
    <t>The Palladio Method</t>
  </si>
  <si>
    <t>Thorsten BÃ¼rklin-Martin Ebert</t>
  </si>
  <si>
    <t>StadtTeilen</t>
  </si>
  <si>
    <t>Floris Bernhardt-Nada Bretfeld-Josefine Buzwan-Morell-Helena CermeÃ±o-Sina Doukas-Elisabeth GÃ¼de-Constantin HÃ¶rburger-Carsten Keller-Florian Koch</t>
  </si>
  <si>
    <t>Desprecios que matan</t>
  </si>
  <si>
    <t>Eduardo Restrepo</t>
  </si>
  <si>
    <t>Brennpunkte der Â»neuenÂ« Rechten</t>
  </si>
  <si>
    <t>Stefan Garsztecki-Thomas Laux-Marian Nebelin</t>
  </si>
  <si>
    <t>Building Institution</t>
  </si>
  <si>
    <t>Kim FÃ¶rster</t>
  </si>
  <si>
    <t>Erinnerungskultur und Holocaust Education im digitalen Wandel</t>
  </si>
  <si>
    <t>Victoria Kumar-Gerald Lamprecht-Lukas Nievoll-Grit Oelschlegel-Sebastian Stoff</t>
  </si>
  <si>
    <t>Herausforderung SolidaritÃ¤t</t>
  </si>
  <si>
    <t>Kerstin Schmidt-Joost van Loon</t>
  </si>
  <si>
    <t>Levinas und die KÃ¼nste</t>
  </si>
  <si>
    <t>Johannes Bennke-Dieter Mersch</t>
  </si>
  <si>
    <t>Constitutionalism and Transnational Governance Failures</t>
  </si>
  <si>
    <t>Ernst-Ulrich Petersmann-Armin Steinbach</t>
  </si>
  <si>
    <t>Diffusionics</t>
  </si>
  <si>
    <t>Fu-Bao Yang-Ji-Ping Huang</t>
  </si>
  <si>
    <t>The 3 Dimensions of Digitalised Archaeology</t>
  </si>
  <si>
    <t>Marco Hostettler-Anja Buhlke-Clara Drummer-Lea Emmenegger-Johannes Reich</t>
  </si>
  <si>
    <t>Pinewood</t>
  </si>
  <si>
    <t>Sarah Street</t>
  </si>
  <si>
    <t>Yagara Dictionary and Salvage Grammar</t>
  </si>
  <si>
    <t>Glenda Harward-Nalder-Karen Sullivan</t>
  </si>
  <si>
    <t>Saki (H.H. Munro)</t>
  </si>
  <si>
    <t xml:space="preserve"> Bruce Gaston</t>
  </si>
  <si>
    <t>A Country of Shepherds</t>
  </si>
  <si>
    <t xml:space="preserve"> Kathleen Ann Myers</t>
  </si>
  <si>
    <t>Byron and Trinity</t>
  </si>
  <si>
    <t xml:space="preserve"> Adrian Poole</t>
  </si>
  <si>
    <t>Breaking the Dead Silence</t>
  </si>
  <si>
    <t>Christina Horvath-Richard S. White</t>
  </si>
  <si>
    <t>Being Algae</t>
  </si>
  <si>
    <t>Yogi Hale Hendlin-Johanna Weggelaar-Natalia Derossi-Sergio Mugnai</t>
  </si>
  <si>
    <t>Creating Future People</t>
  </si>
  <si>
    <t>Jonathan Anomaly</t>
  </si>
  <si>
    <t>Przesilenie. KrÄ™gi kryzysÃ³w kontekstÃ³w edukacji - wyzwania dla pedagogiki</t>
  </si>
  <si>
    <t>Anna OdrowÄ…Å¼-Coates-Zbigniew KwieciÅ„ski-MirosÅ‚aw J. SzymaÅ„ski</t>
  </si>
  <si>
    <t>City of Culture 2600 BC: Early Mesopotamian History and Archaeology at Abu Salabikh</t>
  </si>
  <si>
    <t>John Nicholas Postgate</t>
  </si>
  <si>
    <t>Beyond the Binary</t>
  </si>
  <si>
    <t>HISTORY / Middle East / Arabian Peninsula</t>
  </si>
  <si>
    <t>Saadia Yacoob</t>
  </si>
  <si>
    <t>Vigne, vin et changement climatique</t>
  </si>
  <si>
    <t>Nationalisation of the Sacred</t>
  </si>
  <si>
    <t>Emil Hilton Saggau</t>
  </si>
  <si>
    <t>Seventeenth- Century Dutch Painting and Modern Literature</t>
  </si>
  <si>
    <t>Magdalena Åšniedziewska</t>
  </si>
  <si>
    <t>Designing Democratic Schools and Learning Environments</t>
  </si>
  <si>
    <t>Linda F. Nathan-Jonathan F. Mendonca-Gustavo Rojas Ayala</t>
  </si>
  <si>
    <t>Nachhaltige Gestaltung von lokalen ErnÃ¤hrungssystemen durch Kommunalpolitik und -verwaltung</t>
  </si>
  <si>
    <t>David Sipple-Arnim Wiek-Heiner Schanz</t>
  </si>
  <si>
    <t>Climate Change in Regional Perspective</t>
  </si>
  <si>
    <t>Andrea Ribeiro Hoffmann-Paula Sandrin-Yannis E. Doukas</t>
  </si>
  <si>
    <t>Forensic Cultures in Modern Europe</t>
  </si>
  <si>
    <t>MEDICAL / Forensic Medicine</t>
  </si>
  <si>
    <t>Willemijn Ruberg-Lara Bergers-Pauline Dirven-Sara Serrano MartÃ­nez</t>
  </si>
  <si>
    <t>Proceedings of the 2022 International Conference on International Studies in Social Sciences and Humanities (CISOC 2022)</t>
  </si>
  <si>
    <t>Daniel Barredo-IbÃ¡Ã±ez-Farrah BÃ©rubÃ©-Paulo Carlos LÃ³pez-LÃ³pez-Daniel H. Mutibwa</t>
  </si>
  <si>
    <t>Proceedings of the First International Conference on Advances in Computer Vision and Artificial Intelligence Technologies (ACVAIT 2022)</t>
  </si>
  <si>
    <t>Ramesh Manza-Bharti Gawali-Pravin Yannawar-Filbert Juwono</t>
  </si>
  <si>
    <t>Proceedings of the 2022 3rd International Conference on Big Data and Social Sciences (ICBDSS 2022)</t>
  </si>
  <si>
    <t>Guiyun Guan-Bo Qu-Ding Zhou</t>
  </si>
  <si>
    <t>2022 2nd International Conference on Management Science and Software Engineering (ICMSSE 2022)</t>
  </si>
  <si>
    <t>Syed Abdul Rehman Khan-Noor Zaman Jhanjhi-Hongbo Li</t>
  </si>
  <si>
    <t>Proceedings of the 2022 3rd International Conference on Artificial Intelligence and Education (IC-ICAIE 2022)</t>
  </si>
  <si>
    <t>Bob Fox-Chuan Zhao-Marcus T. Anthony</t>
  </si>
  <si>
    <t>Proceedings of the 2022 2nd International Conference on Public Management and Intelligent Society (PMIS 2022)</t>
  </si>
  <si>
    <t>PSYCHOLOGY / Personality</t>
  </si>
  <si>
    <t>Adeel Luqman-Hongbo Li-Ghaffar Ali</t>
  </si>
  <si>
    <t>Proceedings of the 2022 2nd International Conference on Computer Technology and Media Convergence Design (CTMCD 2022)</t>
  </si>
  <si>
    <t>Kannimuthu Subramanian-Jian Ouyang-Wei Wei</t>
  </si>
  <si>
    <t>Proceedings of the International Conference on Artificial Intelligence Techniques for Electrical Engineering Systems (AITEES 2022)</t>
  </si>
  <si>
    <t>Valentina E. Balas-Ramesh C. Bansal-Siva Kumar Mangipudi-Subhojit Dawn</t>
  </si>
  <si>
    <t>Proceedings of the 8th International Conference on Financial Innovation and Economic Development (ICFIED 2023)</t>
  </si>
  <si>
    <t>Yushi Jiang-Guangming Li-Wilson Xinbao Li</t>
  </si>
  <si>
    <t>Proceedings of the 10th International Conference on Business, Accounting, Finance and Economics (BAFE 2022)</t>
  </si>
  <si>
    <t>Fanyu Chen-Keng Soon William Choo-Voon Hsien Lee-Chooi Yi Wei</t>
  </si>
  <si>
    <t>Proceedings of the International Conference on Sustainable Environment, Agriculture and Tourism (ICOSEAT 2022)</t>
  </si>
  <si>
    <t>Arifin Dwi Saputro-Lilik Sutiarso-Rudiati Evi Masithoh-Jik Chang Leong-Katharina Keiblinger</t>
  </si>
  <si>
    <t>Proceedings of the Workshop on Computation: Theory and Practice (WCTP 2023)</t>
  </si>
  <si>
    <t>International Conference on Lifelong Education and Leadership for All (ICLEL 2023)</t>
  </si>
  <si>
    <t>Osman Titrek-Carlos Sousa de Reis-JosÃ© Gijon Puerta</t>
  </si>
  <si>
    <t>Simple Solutions to Complex Catastrophes</t>
  </si>
  <si>
    <t>John Braithwaite</t>
  </si>
  <si>
    <t>Proceedings of the 8th International Conference on Attosecond Science and Technology</t>
  </si>
  <si>
    <t>SCIENCE / Physics / Atomic &amp; Molecular</t>
  </si>
  <si>
    <t>Luca Argenti-Michael Chini-Li Fang</t>
  </si>
  <si>
    <t>Handbook of Rituals in Contemporary Studies of Religion</t>
  </si>
  <si>
    <t>Ive Brissman-Paul Linjamaa-Tao Thykier Makeeff</t>
  </si>
  <si>
    <t>Courts and Diversity</t>
  </si>
  <si>
    <t>Bertus de Villiers-Saldi Isra-Pan Mohamad Faiz</t>
  </si>
  <si>
    <t>Engineering Chemistry Vol. 6</t>
  </si>
  <si>
    <t>Gaanty Pragas Maniam</t>
  </si>
  <si>
    <t>Engineering Innovations Vol. 10</t>
  </si>
  <si>
    <t>Magd Abdel Wahab-Sheila Tobing-Mosbeh Kaloop</t>
  </si>
  <si>
    <t>SebaregulÃ¡cia v kontexte rizikovÃ©ho sprÃ¡vania v dospievanÃ­</t>
  </si>
  <si>
    <t>PSYCHOLOGY / Developmental / Adolescent</t>
  </si>
  <si>
    <t>KatarÃ­nÃ¡ BanÃ¡rovÃ¡-et al</t>
  </si>
  <si>
    <t>Listening Without Borders</t>
  </si>
  <si>
    <t>Magdalena Kubanyiova-Parinita Shetty</t>
  </si>
  <si>
    <t>Truth-Seeking in an Age of (Mis)Information Overload</t>
  </si>
  <si>
    <t>David R. Castillo-Siwei Lyu-Christina Milletti-Cynthia Stewart</t>
  </si>
  <si>
    <t>Populismus und Protest</t>
  </si>
  <si>
    <t>Sabrina Schenk</t>
  </si>
  <si>
    <t>Reading Digital Fiction</t>
  </si>
  <si>
    <t>Alice Bell-Astrid Ensslin</t>
  </si>
  <si>
    <t>Reconfiguring the Land of Israel</t>
  </si>
  <si>
    <t>Constanza Cordoni</t>
  </si>
  <si>
    <t>Herwig Schopper</t>
  </si>
  <si>
    <t>Herwig Schopper-James Gillies</t>
  </si>
  <si>
    <t>Sols urbains, environnement et santÃ©</t>
  </si>
  <si>
    <t>Sustainable Food. Production and Consumption Perspectives</t>
  </si>
  <si>
    <t>Katarzyna Pawlak-LemaÅ„ska, Barbara Borusiak, Ewa Sikorska (ed.)</t>
  </si>
  <si>
    <t>Pluribiose</t>
  </si>
  <si>
    <t>Charlotte Brives</t>
  </si>
  <si>
    <t>The Power of Prophecy</t>
  </si>
  <si>
    <t>P.B.R. Carey</t>
  </si>
  <si>
    <t>The Economics of the Manuscript and Rare Book Trade, Ca. 1890â€“1939</t>
  </si>
  <si>
    <t>Federico Botana-Laura Cleaver</t>
  </si>
  <si>
    <t>Reading Nature in the Early Middle Ages</t>
  </si>
  <si>
    <t>Anna Dorofeeva</t>
  </si>
  <si>
    <t>The Museum As Experience</t>
  </si>
  <si>
    <t>Susan Shifrin</t>
  </si>
  <si>
    <t>Critical Research and Creative Practice with Migrant and Refugee Communities</t>
  </si>
  <si>
    <t>Brian Callan-Pearson Nkhoma-Naomi Thompson</t>
  </si>
  <si>
    <t>Preventing and Countering Violent Extremism and Radicalisation</t>
  </si>
  <si>
    <t>Teresa C. Silva-Marzena Kordaczuk-Was</t>
  </si>
  <si>
    <t>Controversial Encounters in the Age of Algorithms</t>
  </si>
  <si>
    <t>Sine N. Just</t>
  </si>
  <si>
    <t>Reappraising Legal, Political and Ethical Questions Concerning the Herero and Nama Genocide</t>
  </si>
  <si>
    <t>Julia Franziska Maria BÃ¶cker</t>
  </si>
  <si>
    <t>The Epistemic Injustice of Genocide Denialism</t>
  </si>
  <si>
    <t>Melanie Altanian</t>
  </si>
  <si>
    <t>Eliza Ormeâ€™s Ambitions</t>
  </si>
  <si>
    <t xml:space="preserve"> Leslie Howsam</t>
  </si>
  <si>
    <t>Preisausschreiben.</t>
  </si>
  <si>
    <t>Adrian Bromme</t>
  </si>
  <si>
    <t>Das SchÃ¼lerbild der ReligionspÃ¤dagogik</t>
  </si>
  <si>
    <t>Evelyn Krimmer</t>
  </si>
  <si>
    <t>Learning Inclusion in a Digital Age</t>
  </si>
  <si>
    <t>Stephen Dobson-Brit Svoen-Gabriella Agrusti-Pip Hardy</t>
  </si>
  <si>
    <t>Proceedings of the Conference on Quality Assurance in Higher Education: Transforming Education-new Generation of Learners (QAHE 2023)</t>
  </si>
  <si>
    <t>Horoldagva Batmend-Onolragchaa Ganbold</t>
  </si>
  <si>
    <t>Toward Good Simulation Practice</t>
  </si>
  <si>
    <t>Marco Viceconti-Luca Emili</t>
  </si>
  <si>
    <t>The Queer Museum</t>
  </si>
  <si>
    <t>Erica Robenalt</t>
  </si>
  <si>
    <t>Islamists and the Global Order</t>
  </si>
  <si>
    <t>Hanna Pfeifer</t>
  </si>
  <si>
    <t>Voices in the Dark</t>
  </si>
  <si>
    <t>Sarah Rosenberg-Jansen</t>
  </si>
  <si>
    <t>Calibrated Engagement</t>
  </si>
  <si>
    <t>StÃ©phen Huard</t>
  </si>
  <si>
    <t>Unexpected Encounters</t>
  </si>
  <si>
    <t>Francesco Vietti</t>
  </si>
  <si>
    <t>Performing State Boundaries</t>
  </si>
  <si>
    <t>Christof Lammer</t>
  </si>
  <si>
    <t>Proceedings of the International Conference on Law, Economic &amp; Good Governance (IC-LAW 2023)</t>
  </si>
  <si>
    <t>Abdul Kadir Jaelani-Irwansyah Irwansyah-Fokke Fernhout-Agus Raharjo-Mohd Rizal Palil</t>
  </si>
  <si>
    <t>Proceedings of the 2nd Annual International Conference on Mathematics, Science and Technology Education (2nd AICMSTE)</t>
  </si>
  <si>
    <t>Rahmah Johar-Rohaida Binti Mohd Saat-Cathy Wissehr-Vibol Sao-Sajid Ali Yousuf Zai</t>
  </si>
  <si>
    <t>Understanding Chinaâ€™s Belt and Road Initiative</t>
  </si>
  <si>
    <t>Hong Yu</t>
  </si>
  <si>
    <t>Kantian Ethics and the Attention Economy</t>
  </si>
  <si>
    <t>Timothy Aylsworth-Clinton Castro</t>
  </si>
  <si>
    <t>The Universal Coefficient Theorem for C*-Algebras with Finite Complexity</t>
  </si>
  <si>
    <t>Rufus Willett-Guoliang Yu</t>
  </si>
  <si>
    <t>The Limiting Absorption Principle for Massless Dirac Operators, Properties of Spectral Shift Functions, and an Application to the Witten Index of Non-Fredholm Operators</t>
  </si>
  <si>
    <t>Alan Carey-Fritz Gesztesy-Galina Levitina-Roger Nichols-Fedor Sukochev-Dmitriy Zanin</t>
  </si>
  <si>
    <t>The LÃ©vy Flight Foraging Hypothesis in Bounded Regions | Subordinate Brownian Motions and High-risk/High-gain Strategies</t>
  </si>
  <si>
    <t>Serena Dipierro-Giovanni Giacomin-Enrico Valdinoci</t>
  </si>
  <si>
    <t>Purely Arithmetic PDEs Over a P-Adic Field: Î”-Characters and Î”-Modular Forms</t>
  </si>
  <si>
    <t>MATHEMATICS / Arithmetic</t>
  </si>
  <si>
    <t>Alexandru Buium-Lance Edward Miller</t>
  </si>
  <si>
    <t>Positive Energy Representations of Gauge Groups I | Localization</t>
  </si>
  <si>
    <t>MATHEMATICS / Group Theory</t>
  </si>
  <si>
    <t>Bas Janssens-Karl-Hermann Neeb</t>
  </si>
  <si>
    <t>On Einstein's Effective Viscosity Formula</t>
  </si>
  <si>
    <t>MATHEMATICS / Combinatorics</t>
  </si>
  <si>
    <t>Mitia Duerinckx-Antoine Gloria</t>
  </si>
  <si>
    <t>Long-Time Dispersive Estimates for Perturbations of a Kink Solution of One-Dimensional Cubic Wave Equations</t>
  </si>
  <si>
    <t>MATHEMATICS / Infinity</t>
  </si>
  <si>
    <t>Jean-Marc Delort-Nader Masmoudi</t>
  </si>
  <si>
    <t>Laplacians on Infinite Graphs</t>
  </si>
  <si>
    <t>MATHEMATICS / Graphic Methods</t>
  </si>
  <si>
    <t>Aleksey Kostenko-Noema Nicolussi</t>
  </si>
  <si>
    <t>Cyclic Stratum of Frobenius Manifolds, Borel-Laplace (Î±,Î²)-Multitransforms, and Integral Representations of Solutions of Quantum Differential Equations</t>
  </si>
  <si>
    <t>Giordano Cotti</t>
  </si>
  <si>
    <t>Conductive Homogeneity of Compact Metric Spaces and Construction of P-Energy</t>
  </si>
  <si>
    <t>Jun Kigami</t>
  </si>
  <si>
    <t>Music and Knowledge: A Performer's Perspective</t>
  </si>
  <si>
    <t>Per Dahl</t>
  </si>
  <si>
    <t>Manifold Learning</t>
  </si>
  <si>
    <t>David Ryckelynck-Fabien Casenave-Nissrine Akkari</t>
  </si>
  <si>
    <t>Proceedings of the 3rd International Conference on Education, Language and Art (ICELA 2023)</t>
  </si>
  <si>
    <t>Shoutong Zhu-Andrea L. Baldini-Yongming Hong-Zhihua Xu-Sharifah Faizah Syed Mohammed</t>
  </si>
  <si>
    <t>Computergestuetzte Transkription arabisch-deutscher Gespraechsdaten</t>
  </si>
  <si>
    <t>Rahaf Farag</t>
  </si>
  <si>
    <t>Proceedings of the 2nd International Conference on Railway and Transportation 2023 (ICORT 2023)</t>
  </si>
  <si>
    <t>Andri Pradipta-Willy Artha Wirawan-Hiroyasu Kobayashi-Joewono Prasetijo</t>
  </si>
  <si>
    <t>Proceedings of the 3rd International Conference on Reinventing Business Practices, Start-ups and Sustainability (ICRBSS 2023)</t>
  </si>
  <si>
    <t>Meena Rani Nimmagadda-Catherine S.-Praseeda Challapalli-V. Sasirekha</t>
  </si>
  <si>
    <t>Vom Hauen und Stechen</t>
  </si>
  <si>
    <t>Anja Probst-BÃ¶hm</t>
  </si>
  <si>
    <t>The Forum of Federations Handbook on Local Government in Federal Systems</t>
  </si>
  <si>
    <t>Nico Steytler</t>
  </si>
  <si>
    <t>The Contextualisation of 21st Century Skills</t>
  </si>
  <si>
    <t>Esther Care-Mauro Giacomazzi-John Kabutha Mugo</t>
  </si>
  <si>
    <t>Tener Demasiado</t>
  </si>
  <si>
    <t xml:space="preserve"> Ingrid Robeyns</t>
  </si>
  <si>
    <t>Religious Experience, Secular Reason and Politics Around 1945</t>
  </si>
  <si>
    <t>Hans Schelkshorn-Herman Westerink</t>
  </si>
  <si>
    <t>Entheimatung</t>
  </si>
  <si>
    <t>Karl Leidlmair</t>
  </si>
  <si>
    <t>Poetische Gerechtigkeit als kognitives Prinzip der Rezeption</t>
  </si>
  <si>
    <t>MÃ¡rta HorvÃ¡th</t>
  </si>
  <si>
    <t>Human Security and Epidemics in Africa</t>
  </si>
  <si>
    <t>Andreas Velthuizen-Caroline Varin</t>
  </si>
  <si>
    <t>The Impact of the United Nations Human Rights Treaties on the Domestic Level: Twenty Years On</t>
  </si>
  <si>
    <t>Christof Heyns-Frans Jacobus Viljoen-Rachel Murray</t>
  </si>
  <si>
    <t>Proceedings of the 2023 4th International Conference on Big Data and Social Sciences (ICBDSS 2023)</t>
  </si>
  <si>
    <t>Xiaofeng Ding-Chaochun Shen-Neema Ghenim-Nor Fariza Binti Mohd Nor</t>
  </si>
  <si>
    <t>The 2018 Archaeological Survey at Tawi Said, Sultanate of Oman</t>
  </si>
  <si>
    <t>Stephanie DÃ¶pper-Irini Biezeveld-Maria Pia Maiorano-Jonas Kluge</t>
  </si>
  <si>
    <t>Landscapes of Death: Early Bronze Age Tombs and Mortuary Rituals on the Oman Peninsula</t>
  </si>
  <si>
    <t>Kimberly D. Williams</t>
  </si>
  <si>
    <t>Inclusion and Belonging in Cities of Tomorrow</t>
  </si>
  <si>
    <t>Victor Santiago Pineda</t>
  </si>
  <si>
    <t>Miscellany of the South Seas</t>
  </si>
  <si>
    <t>Cai Tinglan</t>
  </si>
  <si>
    <t>Proceedings of the International Conference on Applied Science and Technology on Engineering Science 2023 (iCAST-ES 2023)</t>
  </si>
  <si>
    <t>M. Udin Harun Al Rasyid-Mohammad Robihul Mufid</t>
  </si>
  <si>
    <t>The Material Body</t>
  </si>
  <si>
    <t>Elizabeth Craig-Atkins-Karen Harvey</t>
  </si>
  <si>
    <t>Proceedings of the International Seminar on Border Region (INTSOB 2023)</t>
  </si>
  <si>
    <t>Mohd Kamarulnizam bin Abdullah-Mohd Zakhiri bin Md. Nor-Irma Rachmawati Maruf</t>
  </si>
  <si>
    <t>Proceedings of the International Conference on Applied Science and Technology on Social Science 2023 (iCAST-SS 2023)</t>
  </si>
  <si>
    <t>BUSINESS &amp; ECONOMICS / E-Commerce / General</t>
  </si>
  <si>
    <t>Amiril Azizah-Nurul Fahmi-Emma Dwi Ariyani</t>
  </si>
  <si>
    <t>Compliance and Initiative in the Production of Safety</t>
  </si>
  <si>
    <t>Jean-Christophe Le Coze-BenoÃ®t JournÃ©</t>
  </si>
  <si>
    <t>The Deshima Diaries</t>
  </si>
  <si>
    <t>Paul van der Velde-Rudolf Bachofner</t>
  </si>
  <si>
    <t>Las versiones sefardÃ­es de Robinson Crusoe</t>
  </si>
  <si>
    <t>Marta Kacprzak</t>
  </si>
  <si>
    <t>Proceedings of the 2023 International Conference on Data Science, Advanced Algorithm and Intelligent Computing (DAI 2023)</t>
  </si>
  <si>
    <t>Badrul Hisham Ahmad</t>
  </si>
  <si>
    <t>Proceedings of the 2023 5th International Conference on Economic Management and Cultural Industry (ICEMCI 2023)</t>
  </si>
  <si>
    <t>Feng-xia Cao-Satya Narayan Singh-Ahmad Jusoh-Deepanjali Mishra</t>
  </si>
  <si>
    <t>Dryland Social-Ecological Systems in Changing Environments</t>
  </si>
  <si>
    <t>Bojie Fu-Mark Stafford-Smith</t>
  </si>
  <si>
    <t>World Trade, Child Labour and Transnational Constitutionalism</t>
  </si>
  <si>
    <t>Franziska Humbert</t>
  </si>
  <si>
    <t>Belonging and Belongings</t>
  </si>
  <si>
    <t>Laura Merla-BÃ©rengÃ¨re Nobels</t>
  </si>
  <si>
    <t>Peter Schroeder-Heister on Proof-Theoretic Semantics</t>
  </si>
  <si>
    <t>Thomas Piecha-Kai F. Wehmeier</t>
  </si>
  <si>
    <t>Der Beauftragte als Rechtsfigur.</t>
  </si>
  <si>
    <t>Wibke Werner</t>
  </si>
  <si>
    <t>Die analoge Anwendung von Â§ 305c Abs. 2 BGB auf die Auslegung von automatisierten WillenserklÃ¤rungen.</t>
  </si>
  <si>
    <t>Marie Elisabeth PennÃ©</t>
  </si>
  <si>
    <t>The Changing South Pacific</t>
  </si>
  <si>
    <t>Serge Tcherkezoff-Francoise Douaire-Marsaudon</t>
  </si>
  <si>
    <t>Prime Ministers at The Australian National University</t>
  </si>
  <si>
    <t>Michael Piggott-Maggie Shapley</t>
  </si>
  <si>
    <t>Facing Asia</t>
  </si>
  <si>
    <t>Daniel Oakman</t>
  </si>
  <si>
    <t>Information Systems Foundations</t>
  </si>
  <si>
    <t>Dennis N. Hart-Shirley Diane Gregor</t>
  </si>
  <si>
    <t>Shirley Diane Gregor-Dennis N. Hart</t>
  </si>
  <si>
    <t>COMPUTERS / Management Information Systems</t>
  </si>
  <si>
    <t>Pacific Islands Regional Integration and Governance</t>
  </si>
  <si>
    <t>Satish Chand</t>
  </si>
  <si>
    <t>State and Society in Papua New Guinea</t>
  </si>
  <si>
    <t>R. J. May</t>
  </si>
  <si>
    <t>Mandates and Missteps</t>
  </si>
  <si>
    <t>Anna Kent</t>
  </si>
  <si>
    <t>The Chinese Communist Party</t>
  </si>
  <si>
    <t>JÃ©rÃ´me Doyon-ChloÃ© Froissart</t>
  </si>
  <si>
    <t>Grassroots Law in Papua New Guinea</t>
  </si>
  <si>
    <t>Melissa Demian</t>
  </si>
  <si>
    <t>China Between Peace and War</t>
  </si>
  <si>
    <t>Victor S. C. Cheng</t>
  </si>
  <si>
    <t>After the Coup</t>
  </si>
  <si>
    <t>Monique Skidmore-Anthony Ware</t>
  </si>
  <si>
    <t>Memory in Place</t>
  </si>
  <si>
    <t>Ashley Barnwell-Cameo Dalley</t>
  </si>
  <si>
    <t>Visions and Revisions in Sanskrit Narrative</t>
  </si>
  <si>
    <t>Raj Balkaran-McComas Taylor</t>
  </si>
  <si>
    <t>The Road to Batemans Bay</t>
  </si>
  <si>
    <t>Alastair Greig</t>
  </si>
  <si>
    <t>The Compleat Busoni, Volume 3</t>
  </si>
  <si>
    <t>Larry Sitsky</t>
  </si>
  <si>
    <t>Redeveloping China's Villages in the Twenty-First Century</t>
  </si>
  <si>
    <t>Lior Rosenberg</t>
  </si>
  <si>
    <t>The Compleat Busoni, Volume 2</t>
  </si>
  <si>
    <t>Sisters in Peace</t>
  </si>
  <si>
    <t>Kate Laing</t>
  </si>
  <si>
    <t>Adapting for Inertia</t>
  </si>
  <si>
    <t>Grant Douglas</t>
  </si>
  <si>
    <t>Return to Volcano Town</t>
  </si>
  <si>
    <t>R. W. Johnson-Neville A. Threlfall</t>
  </si>
  <si>
    <t>A Young Englishman in Victorian Hong Kong</t>
  </si>
  <si>
    <t>Benjamin Penny</t>
  </si>
  <si>
    <t>Ethnography &amp; the Production of Anthropological Knowledge</t>
  </si>
  <si>
    <t>Marcus Barber-Yasmine Musharbash</t>
  </si>
  <si>
    <t>Gendering the Field</t>
  </si>
  <si>
    <t>Kuntala Lahiri-Dutt</t>
  </si>
  <si>
    <t>The Ayes Have It</t>
  </si>
  <si>
    <t>John Wanna-Tracey Arklay</t>
  </si>
  <si>
    <t>'The Axe Had Never Sounded'</t>
  </si>
  <si>
    <t>John Mulvaney</t>
  </si>
  <si>
    <t>Exploring the Legacy of the 1948 Arnhem Land Expedition</t>
  </si>
  <si>
    <t>Martin Thomas-Margo Neale</t>
  </si>
  <si>
    <t>Working Together in Vanuatu</t>
  </si>
  <si>
    <t>John Taylor-Nick Thieberger</t>
  </si>
  <si>
    <t>NGOs and Post-Conflict Recovery</t>
  </si>
  <si>
    <t>Helen Hakena-Peter Ninnes-Bert Jenkins</t>
  </si>
  <si>
    <t>Australian Chamber Music with Piano</t>
  </si>
  <si>
    <t>Rule of Law, Legitimate Governance and Development in the Pacific</t>
  </si>
  <si>
    <t>Iutisone Salevao</t>
  </si>
  <si>
    <t>Rudd Government</t>
  </si>
  <si>
    <t>Chris Aulich</t>
  </si>
  <si>
    <t>The Role of Departmental Secretaries</t>
  </si>
  <si>
    <t>Andrew Podger</t>
  </si>
  <si>
    <t>Man Bac</t>
  </si>
  <si>
    <t>Marc.F Oxenham-Nguyen Kim Dung-Hirofumi Matsumura</t>
  </si>
  <si>
    <t>Sung Tales From the Papua New Guinea Highlands</t>
  </si>
  <si>
    <t>Alan Rumsey-Don Niles</t>
  </si>
  <si>
    <t>'I Succeeded Once'</t>
  </si>
  <si>
    <t>Marie Hansen Fels</t>
  </si>
  <si>
    <t>Datenreport Erziehungswissenschaft 2024</t>
  </si>
  <si>
    <t>Bernhard Schmidt-Hertha-Anja Tervooren-Renate Martini-Ivo ZÃ¼chner</t>
  </si>
  <si>
    <t>Differenz und Krise</t>
  </si>
  <si>
    <t>Anke Wischmann-Juliane Engel-Christine Demmer-Paul Vehse</t>
  </si>
  <si>
    <t>PÃ¤dagogische Institutionen zwischen Transformation und Tradierung</t>
  </si>
  <si>
    <t>Christine Demmer-Juliane Engel-Thorsten Fuchs-Rebekka Hahn-Anke Wischmann</t>
  </si>
  <si>
    <t>Nachhaltige Entwicklung von Hochschulen</t>
  </si>
  <si>
    <t>Marco Rieckmann-Bror Giesenbauer-Benjamin NÃ¶lting-Thomas Potthast-Claudia T. Schmitt</t>
  </si>
  <si>
    <t>Kita-Entwicklung â€“ AnsÃ¤tze und Konzepte fÃ¼r Organisationsentwicklung in der frÃ¼hen Bildung</t>
  </si>
  <si>
    <t>Itala Ballaschk-Petra Strehmel-Stiftung Haus der kleinen Forscher</t>
  </si>
  <si>
    <t>Konstituierende Rahmung und professionelle Praxis</t>
  </si>
  <si>
    <t>Ralf Bohnsack-Tanja Sturm-Benjamin Wagener</t>
  </si>
  <si>
    <t>The Kingdom and the Qurâ€™an</t>
  </si>
  <si>
    <t xml:space="preserve"> Mykhaylo Yakubovych</t>
  </si>
  <si>
    <t>Proceedings of the International Conference on Cultural Studies (ICCuS 2023)</t>
  </si>
  <si>
    <t>Proceedings of the 2023 5th International Conference on Civil Architecture and Urban Engineering (ICCAUE 2023)</t>
  </si>
  <si>
    <t>Gaofeng Zhao-Guoxiong Mei-Zengguang Xu-Fei Zhang</t>
  </si>
  <si>
    <t>Diseases of the Brain, Head and Neck, Spine 2024-2027</t>
  </si>
  <si>
    <t>Moonshots and the New Industrial Policy</t>
  </si>
  <si>
    <t>Magnus Henrekson-Christian SandstrÃ¶m-Mikael Stenkula</t>
  </si>
  <si>
    <t>Global Forest Visualization</t>
  </si>
  <si>
    <t>Lynda Olman-Birgit Schneider</t>
  </si>
  <si>
    <t>Research Journeys to Net Zero</t>
  </si>
  <si>
    <t>Kyungeun Sung-Patrick Isherwood-Richie Moalosi</t>
  </si>
  <si>
    <t>Feminist Encounters in Statebuilding</t>
  </si>
  <si>
    <t>Vjosa Musliu-Itziar Mujika Chao</t>
  </si>
  <si>
    <t>Religion, Education, Science and Technology Towards a More Inclusive and Sustainable Future</t>
  </si>
  <si>
    <t>The Space and Power of Young People's Social Relationships</t>
  </si>
  <si>
    <t>Louise Holt</t>
  </si>
  <si>
    <t>Artificial Intelligence in Manufacturing</t>
  </si>
  <si>
    <t>John Soldatos</t>
  </si>
  <si>
    <t>Digital Twin</t>
  </si>
  <si>
    <t>Software Business</t>
  </si>
  <si>
    <t>BUSINESS &amp; ECONOMICS / Industries / Computers &amp; Information Technology</t>
  </si>
  <si>
    <t>Sami Hyrynsalmi-JÃ¼rgen MÃ¼nch-Kari Smolander-Jorge Melegati</t>
  </si>
  <si>
    <t>Misrepresentation and Silence in United States History Textbooks</t>
  </si>
  <si>
    <t>Mneesha Gellman</t>
  </si>
  <si>
    <t>NEETs in European Rural Areas</t>
  </si>
  <si>
    <t>Francisco SimÃµes-Emre Erdogan</t>
  </si>
  <si>
    <t>Yearbook of Pediatric Endocrinology 2005</t>
  </si>
  <si>
    <t>J. -C. Carel-Z. Hochberg</t>
  </si>
  <si>
    <t>IMRT, IGRT, SBRT - Advances in the Treatment Planning and Delivery of Radiotherapy</t>
  </si>
  <si>
    <t>J. L. Meyer-B. D. Kavanagh-J. A. Purdy-R. Timmerman</t>
  </si>
  <si>
    <t>Berthold, Koletzko-Moshe, Phillip-Dominique, Turck-Raanan, Shamir</t>
  </si>
  <si>
    <t>Yearbook of Pediatric Endocrinology 2006</t>
  </si>
  <si>
    <t>Using and Understanding Medical Statistics</t>
  </si>
  <si>
    <t>D. E. Matthews-V. T. Farewell</t>
  </si>
  <si>
    <t>Yearbook of Pediatric Endocrinology 2007</t>
  </si>
  <si>
    <t>Yearbook of Pediatric Endocrinology 2008</t>
  </si>
  <si>
    <t>Proceedings of the 2nd International Conference of Science and Technology in Elementary Education (ICSTEE 2023)</t>
  </si>
  <si>
    <t>Ramlan Mahmud-Abdul Rahman-Hotimah Hotimah-Muhammad Amran-Rahmawati Patta</t>
  </si>
  <si>
    <t>Medienprojekte im Mathematikunterricht</t>
  </si>
  <si>
    <t>Daniel Barton</t>
  </si>
  <si>
    <t>Kathryn, Huntley-Anna, Schuh-Alessandra, Tedeschi</t>
  </si>
  <si>
    <t>Aspects of Preventive Psychiatry</t>
  </si>
  <si>
    <t>G. N. Christodoulou</t>
  </si>
  <si>
    <t>Karger - Connecting the World of Biomedical Science</t>
  </si>
  <si>
    <t>H.M., Schmeck Jr.-M., Hempe</t>
  </si>
  <si>
    <t>Wilma, Barcellini-Catherine M., Broome-SigbjÃ¸rn, Berentsen</t>
  </si>
  <si>
    <t>GeburtshÃ¼lfliches Vademecum fÃ¼r Studirende und Ã„rzte</t>
  </si>
  <si>
    <t>A. DÃ¼hrssen</t>
  </si>
  <si>
    <t>Mohamed, Mehasseb-Paula, Briggs</t>
  </si>
  <si>
    <t>Systemische Therapie in der Dermatologie</t>
  </si>
  <si>
    <t>S., Domm-R., GlÃ¤ser-U., Mrowietz</t>
  </si>
  <si>
    <t>Remote Patient Management in Peritoneal Dialysis</t>
  </si>
  <si>
    <t>Claudio, Ronco-Carlo, Crepaldi-Mitchell H., Rosner</t>
  </si>
  <si>
    <t>Die Behandlung der LeukÃ¤mie</t>
  </si>
  <si>
    <t>H. Vehsemeyer</t>
  </si>
  <si>
    <t>Statistical Techniques in Bioassay</t>
  </si>
  <si>
    <t>MEDICAL / Pathology</t>
  </si>
  <si>
    <t>Z. Govindarajulu</t>
  </si>
  <si>
    <t>Mathematical Methods for Population Genetics</t>
  </si>
  <si>
    <t>G. Dahlberg</t>
  </si>
  <si>
    <t>Manish I., Patel-Darren M.C., Poon</t>
  </si>
  <si>
    <t>Ratgeber Rheumatologie</t>
  </si>
  <si>
    <t>MEDICAL / Rheumatology</t>
  </si>
  <si>
    <t>K. Loddenkemper-T. Ulrichs-G. -R. Burmester</t>
  </si>
  <si>
    <t>Proceedings of the 2nd International Conference on Multidisciplinary Sciences for Humanity in Society 5.0 Era (ICOMSH 2022)</t>
  </si>
  <si>
    <t>Junaidi Mistar-Ronny Malavia Mardani-Ifit Novita Sari-Heri Nurdiyanto</t>
  </si>
  <si>
    <t>Emerging Battery Technologies to Boost the Clean Energy Transition</t>
  </si>
  <si>
    <t>Stefano Passerini-Linda Barelli-Manuel Baumann-Jens Peters-Marcel Weil</t>
  </si>
  <si>
    <t>Neues von der Insel</t>
  </si>
  <si>
    <t>LITERARY CRITICISM / Modern / 17th Century</t>
  </si>
  <si>
    <t>JÃ¶rg Wesche-Silvia Serena Tschopp-Franz Fromholzer</t>
  </si>
  <si>
    <t>Series de investigaciÃ³n REOALCEI II. InvestigaciÃ³n cientÃ­fica e interdisciplinariedad para la transformaciÃ³n de las  organizaciones.</t>
  </si>
  <si>
    <t>â€Lisandro Joe Alvarado-PeÃ±a-Milagros Villasmil Molero (eds)</t>
  </si>
  <si>
    <t>Human-Centered AI</t>
  </si>
  <si>
    <t>Catherine RÃ©gis-Jean-Louis Denis-Maria Luciana Axente-Atsuo Kishimoto</t>
  </si>
  <si>
    <t>Gebietsbezogener Drittschutz im Baurecht.</t>
  </si>
  <si>
    <t>LAW / Construction</t>
  </si>
  <si>
    <t>Annette Eichinger</t>
  </si>
  <si>
    <t>Privatisierung und private TrÃ¤gerschaft im Justiz- und MaÃŸregelvollzug.</t>
  </si>
  <si>
    <t>Tassilo du Mesnil de Rochemont</t>
  </si>
  <si>
    <t>Gendered Violence in Biblical Narrative</t>
  </si>
  <si>
    <t>Esther Brownsmith</t>
  </si>
  <si>
    <t>Transforming University-based Teacher Education Through Innovation</t>
  </si>
  <si>
    <t>Ida K. Riksaasen Hatlevik-Rachel Jakhelln-Doris Jorde</t>
  </si>
  <si>
    <t>Disability, Happiness and the Welfare State</t>
  </si>
  <si>
    <t>Hisayo Katsui-Matti T. Laitinen</t>
  </si>
  <si>
    <t>Rooted Cosmopolitanism, Heritage and the Question of Belonging</t>
  </si>
  <si>
    <t>Lennart Wouter Kruijer-Miguel John Versluys-Ian Lilley</t>
  </si>
  <si>
    <t>The Politics of Crime, Punishment and Justice</t>
  </si>
  <si>
    <t>Stephen Farrall-Emily Gray</t>
  </si>
  <si>
    <t>INTERNATIONAL CONFERENCE ON SMART TECHNOLOGIES AND APPLIED RESEARCH ABSTRACT BOOK</t>
  </si>
  <si>
    <t>Prof. Dr. Khadija SLIMANI</t>
  </si>
  <si>
    <t>Proceedings of the 11th International Conference on Emerging Challenges: Smart Business and Digital Economy 2023 (ICECH 2023)</t>
  </si>
  <si>
    <t>Nguyen Danh Nguyen-Pham Thi Thanh Hong</t>
  </si>
  <si>
    <t>Understanding the Generality of Mathematical Statements</t>
  </si>
  <si>
    <t>Milena Damrau</t>
  </si>
  <si>
    <t>Segregierte Quartiere â€“ segregierte FreizeitrÃ¤ume</t>
  </si>
  <si>
    <t>Moritz Merten</t>
  </si>
  <si>
    <t>Proceedings of the 2023 1st International Conference on Advanced Informatics and Intelligent Information Systems (ICAI3S 2023)</t>
  </si>
  <si>
    <t>Andiko Putro Suryotomo-Heru Cahya Rustamaji</t>
  </si>
  <si>
    <t>Is It French? Popular Postnational Screen Fiction From France</t>
  </si>
  <si>
    <t>Mary Harrod-RaphaÃ«lle Moine</t>
  </si>
  <si>
    <t>Research Thinking for Responsive Teaching</t>
  </si>
  <si>
    <t>John Willison</t>
  </si>
  <si>
    <t>Migration and Home</t>
  </si>
  <si>
    <t>Mastoureh Fathi-CaitrÃ­ona NÃ­ Laoire</t>
  </si>
  <si>
    <t>Worship, Ritual, and Pentecostal Spirituality-as-Theology</t>
  </si>
  <si>
    <t>RELIGION / Christianity / Pentecostal &amp; Charismatic</t>
  </si>
  <si>
    <t>Martina BjÃ¶rkander</t>
  </si>
  <si>
    <t>Kretek Capitalism</t>
  </si>
  <si>
    <t>Marina Welker</t>
  </si>
  <si>
    <t>Governing Migration Through Paperwork</t>
  </si>
  <si>
    <t>Sophie Andreetta-Lisa Marie Borrelli</t>
  </si>
  <si>
    <t>UmysÅ‚ uzewnÄ™trzniony w komunikacji. Podstawy teoretyczne</t>
  </si>
  <si>
    <t>Aleksy Awdiejew-GraÅ¼yna Habrajska</t>
  </si>
  <si>
    <t>Sztuka dostÄ™pna dla niewidomych i niedowidzÄ…cych odbiorcÃ³w w londyÅ„skich muzeach</t>
  </si>
  <si>
    <t>Anna Wendorff</t>
  </si>
  <si>
    <t>The Biographical Experience of Entering the Academic Profession. Popular-Class Lecturers at the Post-Socialist University</t>
  </si>
  <si>
    <t>Kamil Åuczaj</t>
  </si>
  <si>
    <t>ÅÃ³dzkie geobiografie zamieszkiwania</t>
  </si>
  <si>
    <t>MaÅ‚gorzata Rejter</t>
  </si>
  <si>
    <t>ItaliAMO. Upowszechnianie wiedzy italianistycznej w Å›rodowisku akademickim i pozaakademickim / ItaliAMO. Promozione degli studi italiani nellâ€™ambiente accademico e non accademico</t>
  </si>
  <si>
    <t>Justyna GrobliÅ„ska-Dominika Kobylska-Katarzyna Kowalik</t>
  </si>
  <si>
    <t>Gospodarka miÄ™dzynarodowa. Rys teoretyczny</t>
  </si>
  <si>
    <t>WspÃ³Å‚czesne wyzwania transportu, spedycji oraz logistyki â€“ wybrane aspekty</t>
  </si>
  <si>
    <t>Åukasz JarosÅ‚aw Kozar-MaÅ‚gorzata Matusiak</t>
  </si>
  <si>
    <t>Granice i obszary wpÅ‚ywÃ³w w polityce wewnÄ™trznej i relacjach miÄ™dzynarodowych</t>
  </si>
  <si>
    <t>Agnieszka KiszteliÅ„ska-WÄ™grzyÅ„ska-Natalia Matiaszczyk</t>
  </si>
  <si>
    <t>Kobieta na rynku pracy w Polsce. Analizy przestrzenne, przekrojowe, czasowe</t>
  </si>
  <si>
    <t>Karolina Lewandowska-Gwarda</t>
  </si>
  <si>
    <t>Combinatorial Point Configurations and Polytopes</t>
  </si>
  <si>
    <t>Sergiy Yakovlev-Oksana Pichugina-Liudmyla Koliechkina</t>
  </si>
  <si>
    <t>Sociologie des mondes ruraux en Pologne et en France : terrains et Ã©tudes</t>
  </si>
  <si>
    <t>Josette Debroux-Anna Matuchniak-Mystkowska-PaweÅ‚ Starosta</t>
  </si>
  <si>
    <t>Unveiling Resilience: Navigating the Pandemic and Redefining Higher Education</t>
  </si>
  <si>
    <t>Ahmed Nawaz Hakro</t>
  </si>
  <si>
    <t>Andererseits â€“ Yearbook of Transatlantic German Studies</t>
  </si>
  <si>
    <t>William Collins Donahue-Georg Mein-Rolf Parr</t>
  </si>
  <si>
    <t>Theater, Terror, Tod</t>
  </si>
  <si>
    <t>Giovanna-Beatrice Carlesso</t>
  </si>
  <si>
    <t>Die private und die verteilte Person</t>
  </si>
  <si>
    <t>Fabian Pittroff</t>
  </si>
  <si>
    <t>Rassismus und Altenpflege in Ostdeutschland</t>
  </si>
  <si>
    <t>Monique Ritter</t>
  </si>
  <si>
    <t>Momente der Datafizierung</t>
  </si>
  <si>
    <t>Markus UnternÃ¤hrer</t>
  </si>
  <si>
    <t>O My Friends, There Is No Friend</t>
  </si>
  <si>
    <t>Matt Hern-Am Johal</t>
  </si>
  <si>
    <t>Die dunkle Seite des Spiels</t>
  </si>
  <si>
    <t>Gunter LÃ¶sel</t>
  </si>
  <si>
    <t>UniversitÃ¤t und militÃ¤rische Sicherheit</t>
  </si>
  <si>
    <t>Thomas Jung-Olaf Sanders</t>
  </si>
  <si>
    <t>Menschenrechtsbildung in der Sozialen Arbeit</t>
  </si>
  <si>
    <t>Katrin Rossmann</t>
  </si>
  <si>
    <t>GedÃ¤chtnis und ErzÃ¤hlen</t>
  </si>
  <si>
    <t>Richard Slipp</t>
  </si>
  <si>
    <t>Performance und Irritation</t>
  </si>
  <si>
    <t>Alina Paula Gregor</t>
  </si>
  <si>
    <t>Large Housing Estates Under Socialism</t>
  </si>
  <si>
    <t>Barbara Engel-Nikolas Rogge</t>
  </si>
  <si>
    <t>Beschwerde fÃ¼hren</t>
  </si>
  <si>
    <t>Rupert Gaderer-Juliane Prade-Weiss</t>
  </si>
  <si>
    <t>Soziale Arbeit in der Rehabilitation</t>
  </si>
  <si>
    <t>Tobias Knoop-Nadja Scheiblich-Stephan Dettmers-Thorsten Meyer-Feil</t>
  </si>
  <si>
    <t>DiversitÃ¤t und Darstellung</t>
  </si>
  <si>
    <t>Sebastian SchÃ¶nbeck-Magdalena HÃ¼lscher</t>
  </si>
  <si>
    <t>Bildung im Kontext von Flucht und Migration</t>
  </si>
  <si>
    <t>Bettina Fritzsche-Natascha Khakpour-Christine Riegel-Miriam Scheffold-Stephanie Warkentin</t>
  </si>
  <si>
    <t>Urbane Mixturen</t>
  </si>
  <si>
    <t>Christian Peer-Angelika Psenner</t>
  </si>
  <si>
    <t>Delay â€“ Mediengeschichten der VerzÃ¶gerung, 1850-1950</t>
  </si>
  <si>
    <t>Christoph Borbach</t>
  </si>
  <si>
    <t>Queering Urbanism</t>
  </si>
  <si>
    <t>Stathis G. Yeros</t>
  </si>
  <si>
    <t>Academia in Crisis</t>
  </si>
  <si>
    <t>Leonidas Donskis-Ida Sabelis-Frans Kamsteeg-Harry Wels</t>
  </si>
  <si>
    <t>Verbraucherschutz im Immobilienmaklerrecht.</t>
  </si>
  <si>
    <t>Tim Wistokat</t>
  </si>
  <si>
    <t>Ein Update fÃ¼r den Kernbereichsschutz.</t>
  </si>
  <si>
    <t>Catharina Pia Conrad</t>
  </si>
  <si>
    <t>Police Custody in Ireland</t>
  </si>
  <si>
    <t>Yvonne Daly</t>
  </si>
  <si>
    <t>The Russia-Ukraine War</t>
  </si>
  <si>
    <t>Viktoriya Fedorchak</t>
  </si>
  <si>
    <t>African Perspectives on Southâ€“South Migration</t>
  </si>
  <si>
    <t>Meron Zeleke-Lahra Smith</t>
  </si>
  <si>
    <t>Authoritarian Populism and Bovine Political Economy in Modiâ€™s India</t>
  </si>
  <si>
    <t>Jostein Jakobsen-Kenneth Bo Nielsen</t>
  </si>
  <si>
    <t>Endangered African Knowledges and the Challenge of Modernity</t>
  </si>
  <si>
    <t>Donald Mark C. Ude</t>
  </si>
  <si>
    <t>Beyond Hashtags</t>
  </si>
  <si>
    <t>Sarah Florini</t>
  </si>
  <si>
    <t>Infrastructures de transport crÃ©atives</t>
  </si>
  <si>
    <t>Reimagining the Globe and Cultural Exchange</t>
  </si>
  <si>
    <t>Laura Hostetler</t>
  </si>
  <si>
    <t>Compound Histories</t>
  </si>
  <si>
    <t>Lissa Roberts-Simon Werrett</t>
  </si>
  <si>
    <t>The Winchester Mint and Coins and Related Finds From the Excavations of 1961â€“71</t>
  </si>
  <si>
    <t>Pratiques et politiques en petite enfance</t>
  </si>
  <si>
    <t>Florence Pirard-Marianne Zogmal-Pascale Garnier</t>
  </si>
  <si>
    <t>Proceedings of the 4th International Conference on Communication, Language, Education and Social Sciences (CLESS 2023)</t>
  </si>
  <si>
    <t>Muhamad Izzuddin Zainudin-Hawa Rahmat</t>
  </si>
  <si>
    <t>Proceedings of the Second Makassar International Conference on Sports Science and Health (MICSSH 2023)</t>
  </si>
  <si>
    <t>Bustang Bustang-Nurussyariah Hammado-Hasmyati Hasmyati-Arimbi Arimbi-Yade Kurnia Yasin</t>
  </si>
  <si>
    <t>Knowledge and Digital Technology</t>
  </si>
  <si>
    <t>Johannes GlÃ¼ckler-Robert Panitz</t>
  </si>
  <si>
    <t>The Future of Chinaâ€™s Development and Globalization</t>
  </si>
  <si>
    <t>Proceedings of the 2nd International Interdisciplinary Conference on Environmental Sciences and Sustainable Developments 2022 Environment and Sustainable Development (IICESSD-ESD 2022)</t>
  </si>
  <si>
    <t>Nur Edy-Anshary Alam-Syamsu Rijal-Rahadian Pratama-Agung Wibowo</t>
  </si>
  <si>
    <t>Water: A Dutch Cultural History</t>
  </si>
  <si>
    <t>Lotte Jensen</t>
  </si>
  <si>
    <t>Proceedings of the International Conference on Educational Technology and Social Science (ICoETS 2023)</t>
  </si>
  <si>
    <t>Bansu Irianto Ansari-Mustakim Sagita</t>
  </si>
  <si>
    <t>Manufacturing Refused Knowledge in the Age of Epistemic Pluralism</t>
  </si>
  <si>
    <t>Federico Neresini-Maria Carmela Agodi-Stefano Crabu-Simone Tosoni</t>
  </si>
  <si>
    <t>Digital Unsettling</t>
  </si>
  <si>
    <t>Sahana Udupa-Ethiraj Gabriel Dattatreyan</t>
  </si>
  <si>
    <t>Signs of Disability</t>
  </si>
  <si>
    <t>HEALTH &amp; FITNESS / Hearing &amp; Speech</t>
  </si>
  <si>
    <t>Stephanie L. Kerschbaum</t>
  </si>
  <si>
    <t>Loving Justice</t>
  </si>
  <si>
    <t>Kathryn D. Temple</t>
  </si>
  <si>
    <t>By Any Media Necessary</t>
  </si>
  <si>
    <t>Henry Jenkins-Sangita Shresthova-Liana Gamber-Thompson-Neta Kligler-Vilenchik-Arely Zimmerman</t>
  </si>
  <si>
    <t>The Ugly Laws</t>
  </si>
  <si>
    <t>Susan M. Schweik</t>
  </si>
  <si>
    <t>The Scar That Binds</t>
  </si>
  <si>
    <t>HISTORY / Wars &amp; Conflicts / Vietnam War</t>
  </si>
  <si>
    <t>Keith Beattie</t>
  </si>
  <si>
    <t>The Prophetic Tradition and Radical Rhetoric in America</t>
  </si>
  <si>
    <t>James Darsey</t>
  </si>
  <si>
    <t>Soft Soil, Black Grapes</t>
  </si>
  <si>
    <t>Simone Cinotto</t>
  </si>
  <si>
    <t>Seasons of Captivity</t>
  </si>
  <si>
    <t>Amia Lieblich</t>
  </si>
  <si>
    <t>Raising Freedom's Child</t>
  </si>
  <si>
    <t>HISTORY / United States / Civil War Period (1850-1877)</t>
  </si>
  <si>
    <t>Mary Niall Mitchell</t>
  </si>
  <si>
    <t>Policing Pleasure</t>
  </si>
  <si>
    <t>Susan Dewey-Patty Kelly</t>
  </si>
  <si>
    <t>Our Monica, Ourselves</t>
  </si>
  <si>
    <t>Lauren Berlant-Lisa A. Duggan</t>
  </si>
  <si>
    <t>How the Left Can Win Arguments and Influence People</t>
  </si>
  <si>
    <t>John K. Wilson</t>
  </si>
  <si>
    <t>Control</t>
  </si>
  <si>
    <t>PSYCHOLOGY / History</t>
  </si>
  <si>
    <t>John A. Mills</t>
  </si>
  <si>
    <t>Children of Alcoholism</t>
  </si>
  <si>
    <t>Barbara L. Wood</t>
  </si>
  <si>
    <t>Childhood Deployed</t>
  </si>
  <si>
    <t>Susan Shepler</t>
  </si>
  <si>
    <t>Bending Over Backwards</t>
  </si>
  <si>
    <t>Lennard J. Davis</t>
  </si>
  <si>
    <t>Autism and the Myth of the Person Alone</t>
  </si>
  <si>
    <t>Douglas Biklen-Richard Attfield-Larry Bissonnette-Lucy Blackman</t>
  </si>
  <si>
    <t>Anti-Americanism</t>
  </si>
  <si>
    <t>Andrew Ross-Kristin Ross</t>
  </si>
  <si>
    <t>Pueblos y comunidades indÃ­genas. Definiendo los hechos, la realidad y sus derechos</t>
  </si>
  <si>
    <t>Iglesias VÃ¡zquez, MarÃ­a del Ãngel</t>
  </si>
  <si>
    <t>SÃ­ndrome Deburnout en el profesorado universitario. AplicaciÃ³n del programa Reset Life para su prevenciÃ³n</t>
  </si>
  <si>
    <t>Salguero GarcÃ­a, DarÃ­o-Monserrat HernÃ¡ndez, Montserrat-Casimiro AndÃºjar, Antonio-Checa Olmos, Juan Carlos</t>
  </si>
  <si>
    <t>UPSA INNOVA 2022_2023. Investigadores y alumnos de los proyectos del CUI 22_23</t>
  </si>
  <si>
    <t>Universidad Pontificia de Salamanca</t>
  </si>
  <si>
    <t>La comunicaciÃ³n para la paz ante los desafÃ­os globales.</t>
  </si>
  <si>
    <t>ArÃ©valo Salinas, Alex IvÃ¡n (Editor)-Blanco Morett, Ãlvaro (Editor)-Barranquero Carretero, Alejandro (Editor)</t>
  </si>
  <si>
    <t>Aportaciones para transformar la enseÃ±anza universitaria desde la experiencia docente.</t>
  </si>
  <si>
    <t>Trujillo Herrada, Marcela Nhaxielli (Coordinador)-PeÃ±a Estrada, Claudia Cintya (Coordinador)-Gamboa Rosales, Abubeker (Coordinador)</t>
  </si>
  <si>
    <t>Tendencias y acciones en educaciÃ³n patrimonial.</t>
  </si>
  <si>
    <t>Castro MartÃ­n, Pablo de (Coordinador)-Luna, Ãšrsula (Coordinador)-MartÃ­nez RodrÃ­guez, Marta (Coordinador)</t>
  </si>
  <si>
    <t>Koncepcje zajÄ™Ä‡ terenowych na rÃ³Å¼nych etapach edukacji geograficznej. Relacje przyroda â€“ czÅ‚owiek</t>
  </si>
  <si>
    <t>ElÅ¼bieta SzkurÅ‚at-Maria Adamczewska</t>
  </si>
  <si>
    <t>Oblicza Wojny. Tom 8. NarzÄ™dzia wojny</t>
  </si>
  <si>
    <t>HISTORY / Europe / Ukraine</t>
  </si>
  <si>
    <t>Tadeusz Grabarczyk-JarosÅ‚aw Kita-Magdalena PogoÅ„ska-Pol-Myroslav Voloshchuk</t>
  </si>
  <si>
    <t>Rethinking Asia in World Politics</t>
  </si>
  <si>
    <t>Joanna Ciesielska-Klikowska</t>
  </si>
  <si>
    <t>Planowanie lekcji jÄ™zyka angielskiego, czyli to plan or not plan. Karty pracy</t>
  </si>
  <si>
    <t>LANGUAGE ARTS &amp; DISCIPLINES / Linguistics / Psycholinguistics / Language Acquisition</t>
  </si>
  <si>
    <t>Anna Parr-Modrzejewska-Weronika Szubko-Sitarek</t>
  </si>
  <si>
    <t>Planowanie lekcji jÄ™zyka angielskiego, czyli to plan or not to plan. Przewodnik metodyczny</t>
  </si>
  <si>
    <t>Etyka w systemie edukacji w wybranych krajach Å›wiata zachodniego (Francja, Hiszpania, Portugalia)</t>
  </si>
  <si>
    <t>Joanna Miksa</t>
  </si>
  <si>
    <t>Klasyczne I nieklasyczne metody analizy nierÃ³wnoÅ›ci dochodowych</t>
  </si>
  <si>
    <t>Alina JÄ™drzejczak</t>
  </si>
  <si>
    <t>Narodowe kultury biznesowe i korporacyjne Polski i Ukrainy Czynniki doskonalenia i integracja miÄ™dzynarodowa</t>
  </si>
  <si>
    <t>Beata Glinkowska-Krauze-Iegor Chebotarov-Viacheslav Chebotarov-BogusÅ‚aw Kaczmarek</t>
  </si>
  <si>
    <t>Lâ€™art de vivre, de survivre, de revivre Lâ€™arte di vivere, di sopravvivere, di rivivere El arte de vivir, de sobrevivir, de revivir Approches littÃ©raires. Le 50e anniversaire des Ã©tudes romanes Ã  lâ€™UniversitÃ© de ÅÃ³dÅº.</t>
  </si>
  <si>
    <t>Magdalena KoÅºluk-Anita StaroÅ„</t>
  </si>
  <si>
    <t>La realtÃ  dellâ€™Italia post-unitaria nelle opere di Alfredo Oriani. Lâ€™analisi storicoletteraria del caso della ricezione di un autore preteso dal regime politico</t>
  </si>
  <si>
    <t>Katarzyna Kowalik</t>
  </si>
  <si>
    <t>Estetyka sprawczoÅ›ci w grach wideo</t>
  </si>
  <si>
    <t>Marcin M. Chojnacki</t>
  </si>
  <si>
    <t>Completed Adulthood &amp; Public Policies. How Institutional and Policy Instruments Facilitate the Educational, Vocational, Family and Civic Life of Polish Young Adults?</t>
  </si>
  <si>
    <t>PSYCHOLOGY / Developmental / Lifespan Development</t>
  </si>
  <si>
    <t>Jolanta Grotowska-Leder-Agnieszka Dziedziczak-Foltyn-Marcin Kotras-Marcin GoÅ„da</t>
  </si>
  <si>
    <t>BezpieczeÅ„stwo ekonomiczne a przestÄ™pstwa gospodarcze. Analiza uwarunkowaÅ„ prawno-organizacyjnych na przykÅ‚adzie Federacji Rosyjskiej</t>
  </si>
  <si>
    <t>Gongsheng Across Contexts</t>
  </si>
  <si>
    <t>Bing Song-Yiwen Zhan</t>
  </si>
  <si>
    <t>Dog Politics</t>
  </si>
  <si>
    <t>Mariam Motamedi Fraser</t>
  </si>
  <si>
    <t>Motherhood Confined</t>
  </si>
  <si>
    <t>Rachel E. Bennett</t>
  </si>
  <si>
    <t>Energy Cooperatives in Selected Countries of the World. Legal and Economic Aspects</t>
  </si>
  <si>
    <t>Aneta SuchoÅ„ (ed.)-Tomasz Marzec (ed.)</t>
  </si>
  <si>
    <t>Rethinking Community in Myanmar</t>
  </si>
  <si>
    <t>Judith Beyer</t>
  </si>
  <si>
    <t>Being Korean, Becoming Japanese?</t>
  </si>
  <si>
    <t>Hwaji Shin</t>
  </si>
  <si>
    <t>Wege der Germanistik in transkultureller Perspektive</t>
  </si>
  <si>
    <t>LANGUAGE STUDY / Miscellaneous</t>
  </si>
  <si>
    <t>Laura Auteri-Natascia Barrale-Arianna Di Bella-Sabine Hoffmann</t>
  </si>
  <si>
    <t>Zur Integration ausgewaehlter mittel- und osteuropaeischer Laender in die waehrungspolitische Ordnung Europas</t>
  </si>
  <si>
    <t>BUSINESS &amp; ECONOMICS / Economics / Comparative</t>
  </si>
  <si>
    <t>Ingo Konrad</t>
  </si>
  <si>
    <t>Auswirkungen der Einfuehrung einer konsolidierten Koerperschaftsteuer-Bemessungsgrundlage in der Europaeischen Union</t>
  </si>
  <si>
    <t>Andreas Poppe</t>
  </si>
  <si>
    <t>Szenarien im Gesundheitswesen</t>
  </si>
  <si>
    <t>Manfred Albring-Eberhard Wille</t>
  </si>
  <si>
    <t>Science Fiction Literature in East Germany</t>
  </si>
  <si>
    <t>Sonja Fritzsche</t>
  </si>
  <si>
    <t>At the Origins of Classical Opera</t>
  </si>
  <si>
    <t>Pervinca Rista</t>
  </si>
  <si>
    <t>'Othernessâ€™ in Space and Architecture</t>
  </si>
  <si>
    <t>Maria Portmann</t>
  </si>
  <si>
    <t>In This Together</t>
  </si>
  <si>
    <t>Melinda Ann Dooly Owenby-Robert O'Dowd</t>
  </si>
  <si>
    <t>Das Â«Prohemium longumÂ» des Erfurter Kartaeuserkatalogs aus der Zeit um 1475</t>
  </si>
  <si>
    <t>Almuth MÃ¤rker</t>
  </si>
  <si>
    <t>Die Macht des Kontextes: Sprache(n) und Kommunikation</t>
  </si>
  <si>
    <t>Anastasija KostiuÄenko-Martha Kuhnhenn</t>
  </si>
  <si>
    <t>Reading Autobiographical Comics: A Framework for Educational Settings</t>
  </si>
  <si>
    <t>Markus Oppolzer</t>
  </si>
  <si>
    <t>In the Shadow of Djoserâ€™s Pyramid</t>
  </si>
  <si>
    <t>Karol Jan MyÅ›liwiec</t>
  </si>
  <si>
    <t>Mobile Erreichbarkeit von Arbeitnehmern</t>
  </si>
  <si>
    <t>Peter KÃ¶rlings</t>
  </si>
  <si>
    <t>Ð¡ÑƒÐ±ÑŠÐµÐºÑ‚ Ð² Ð½Ð¾Ð²ÐµÐ¹ÑˆÐµÐ¹ Ñ€ÑƒÑÑÐºÐ¾ÑÐ·Ñ‹Ñ‡Ð½Ð¾Ð¹ Ð¿Ð¾ÑÐ·Ð¸Ð¸ â€“ Ñ‚ÐµÐ¾Ñ€Ð¸Ñ Ð¸ Ð¿Ñ€Ð°ÐºÑ‚Ð¸ÐºÐ°</t>
  </si>
  <si>
    <t>Henrieke Stahl-Ekaterina Evgrashkina</t>
  </si>
  <si>
    <t>Welchen Finanzausgleich braucht Europa?</t>
  </si>
  <si>
    <t>Holger Niermann-CEGE - Centrum fÃ¼r Europa-,</t>
  </si>
  <si>
    <t>Wegekostenfinanzierung und Lenkung im deregulierten europaeischen Verkehrsmarkt</t>
  </si>
  <si>
    <t>Axel Hennighausen</t>
  </si>
  <si>
    <t>Wechselkurspolitik in Mittel- und Osteuropa</t>
  </si>
  <si>
    <t>BUSINESS &amp; ECONOMICS / Money &amp; Monetary Policy</t>
  </si>
  <si>
    <t>Axel Gerloff</t>
  </si>
  <si>
    <t>The Stability of Currency Boards</t>
  </si>
  <si>
    <t>Kai Stukenbrock</t>
  </si>
  <si>
    <t>Systemwettbewerb und Umverteilung</t>
  </si>
  <si>
    <t>Ingmar Kumpmann</t>
  </si>
  <si>
    <t>Perspektiven der Gemeinschaftspolitiken in der erweiterten EU</t>
  </si>
  <si>
    <t>GÃ¶tz Zeddies</t>
  </si>
  <si>
    <t>Meta-Analyse angewandter Gleichgewichtsmodelle des internationalen Agrarhandels</t>
  </si>
  <si>
    <t>Sebastian Hess</t>
  </si>
  <si>
    <t>Kapitalsteuerwettbewerb zwischen Nationalstaaten - unter besonderer Beruecksichtigung Deutschlands</t>
  </si>
  <si>
    <t>Peter Schwarz</t>
  </si>
  <si>
    <t>Effects of Including Agricultural Products in the Customs Union Between Turkey and the EU</t>
  </si>
  <si>
    <t>Harald Grethe</t>
  </si>
  <si>
    <t>Effects of EU Enlargement to the Central European Countries on Agricultural Markets</t>
  </si>
  <si>
    <t>Wolfgang MÃ¼nch</t>
  </si>
  <si>
    <t>Der Geldmarkt im Euro-Waehrungsraum</t>
  </si>
  <si>
    <t>Christoph Schinke</t>
  </si>
  <si>
    <t>Bestimmungsfaktoren der Vertragsforschung in Deutschland</t>
  </si>
  <si>
    <t>Katarzyna Haverkamp</t>
  </si>
  <si>
    <t>Auslaendische Direktinvestitionen und regionale Integration â€“ das Beispiel Irland</t>
  </si>
  <si>
    <t>Mareike KÃ¶ller</t>
  </si>
  <si>
    <t>Agglomeration and Regional Unemployment Disparities</t>
  </si>
  <si>
    <t>Jens SÃ¼dekum</t>
  </si>
  <si>
    <t>Institutionenoekonomische Analyse von Innovationsfoerderung</t>
  </si>
  <si>
    <t>Verena Mertins</t>
  </si>
  <si>
    <t>Die Aufkommens- und Belastungswirkungen alternativer Vorschlaege zur Reform der Konzernbesteuerung in Europa</t>
  </si>
  <si>
    <t>Reinald Koch</t>
  </si>
  <si>
    <t>Zur Finanzierung von Kranken- und Pflegeversicherung</t>
  </si>
  <si>
    <t>Christian Igel</t>
  </si>
  <si>
    <t>Zum gesellschaftlichen Nutzen pharmazeutischer Innovationen</t>
  </si>
  <si>
    <t>Eberhard Wille-Angelika Mehnert-Jan Philipp Rohweder</t>
  </si>
  <si>
    <t>Zielgerichtete Ressourcenallokation</t>
  </si>
  <si>
    <t>Karl Sputek</t>
  </si>
  <si>
    <t>X-Ineffizienz, Managementanreize und Produktmarktwettbewerb</t>
  </si>
  <si>
    <t>Uwe Jirjahn</t>
  </si>
  <si>
    <t>Strategische Erfolgsfaktoren im Einzelhandel</t>
  </si>
  <si>
    <t>Paul-Josef Patt</t>
  </si>
  <si>
    <t>Wettbewerb im Gesundheitswesen: Chancen und Grenzen</t>
  </si>
  <si>
    <t>Eberhard Wille-Klaus Knabner</t>
  </si>
  <si>
    <t>Was ist den Buergern die Verminderung eines Risikos wert?</t>
  </si>
  <si>
    <t>Anselm RÃ¶mer</t>
  </si>
  <si>
    <t>Versorgungsstrukturen und Finanzierungsoptionen auf dem Pruefstand</t>
  </si>
  <si>
    <t>Eberhard Wille-Manfred Albring</t>
  </si>
  <si>
    <t>Umweltressourcen als Gegenstand internationaler Verhandlungen</t>
  </si>
  <si>
    <t>Umweltallokation im Raum</t>
  </si>
  <si>
    <t>Horst Siebert</t>
  </si>
  <si>
    <t>Theorie und Empirie der Arzt-Patient-Beziehung</t>
  </si>
  <si>
    <t>Udo Schneider</t>
  </si>
  <si>
    <t>Theorie und Empirie betrieblicher Ausbildungsplatzangebote</t>
  </si>
  <si>
    <t>Steuerwirkungen in einem dynamischen Unternehmensmodell</t>
  </si>
  <si>
    <t>Hans-Joachim Schulz</t>
  </si>
  <si>
    <t>Risikoselektion im Mitgliederwettbewerb der Gesetzlichen Krankenversicherung</t>
  </si>
  <si>
    <t>Stefan Resch</t>
  </si>
  <si>
    <t>Risikomanagement rohstoffexportierender Entwicklungslaender</t>
  </si>
  <si>
    <t>Evamaria Wagner</t>
  </si>
  <si>
    <t>Regionale Umweltnutzungen in der Zeit</t>
  </si>
  <si>
    <t>Helga Gebauer</t>
  </si>
  <si>
    <t>Reaktionen auf Energiepreissteigerungen</t>
  </si>
  <si>
    <t>Rationalisierungsreserven im deutschen Gesundheitswesen</t>
  </si>
  <si>
    <t>Qualitaetsorientierte Verguetungssysteme in der ambulanten und stationaeren Behandlung</t>
  </si>
  <si>
    <t>Qualitaet und Nutzen medizinischer Leistungen</t>
  </si>
  <si>
    <t>Klaus Knabner-Eberhard Wille</t>
  </si>
  <si>
    <t>Public Goods and Public Allocation Policy</t>
  </si>
  <si>
    <t>Preis- und Mengeneffekte im Gesundheitswesen</t>
  </si>
  <si>
    <t>Volker Ulrich</t>
  </si>
  <si>
    <t>Paradigmenwechsel im Gesundheitswesen durch neue Versorgungsstrukturen?</t>
  </si>
  <si>
    <t>samOeffentliche Planungsziele und staatliche Budgets</t>
  </si>
  <si>
    <t>Ulrich Ring</t>
  </si>
  <si>
    <t>Oeffentliche Planung auf Landesebene</t>
  </si>
  <si>
    <t>Eberhard Wille</t>
  </si>
  <si>
    <t>Neuere Entwicklungen linearer latenter Kovarianzstrukturmodelle mit quantitativen und qualitativen Indikatorvariablen</t>
  </si>
  <si>
    <t>BUSINESS &amp; ECONOMICS / Development / Business Development</t>
  </si>
  <si>
    <t>Wolfgang Krader</t>
  </si>
  <si>
    <t>Mehrheitswahl-Entscheidungen ueber Umweltnutzungen</t>
  </si>
  <si>
    <t>Lebensstilwandel in Ostdeutschland</t>
  </si>
  <si>
    <t>Paul Marschall</t>
  </si>
  <si>
    <t>Lebenserwartung, Morbiditaet und Gesundheitsausgaben</t>
  </si>
  <si>
    <t>Holger Cischinsky</t>
  </si>
  <si>
    <t>Konzeptionelle Probleme oeffentlicher Planung</t>
  </si>
  <si>
    <t>Kontrolltheoretische Ansaetze in makrooekonometrischen Modellen</t>
  </si>
  <si>
    <t>Konkrete Probleme oeffentlicher Planung</t>
  </si>
  <si>
    <t>Konfliktfeld Arzneimittelversorgung</t>
  </si>
  <si>
    <t>Intertemporale Wirkungen der Staatsverschuldung</t>
  </si>
  <si>
    <t>BUSINESS &amp; ECONOMICS / Personal Finance / General</t>
  </si>
  <si>
    <t>Integrierte Entwicklungsplanung als Allokationsinstrument auf Landesebene</t>
  </si>
  <si>
    <t>Christine Pfitzer</t>
  </si>
  <si>
    <t>Intertemporale Allokation</t>
  </si>
  <si>
    <t>Innovationen in der Arzneimitteltherapie</t>
  </si>
  <si>
    <t>Informationseffizienz von Terminkontraktmaerkten fuer Waehrungen</t>
  </si>
  <si>
    <t>Ehrentraud Graw</t>
  </si>
  <si>
    <t>Informations- und Planungsprobleme in oeffentlichen Aufgabenbereichen</t>
  </si>
  <si>
    <t>Information und Nutzen der medizinischen Diagnostik</t>
  </si>
  <si>
    <t>Walter Ried</t>
  </si>
  <si>
    <t>Hans-Michael Geiger- Informational Efficiency in Speculative Markets- A Theoretical Investigation</t>
  </si>
  <si>
    <t>Hans-Michael Geiger</t>
  </si>
  <si>
    <t>SamGlobal Environmental Resources</t>
  </si>
  <si>
    <t>Gesundheit und Bildung</t>
  </si>
  <si>
    <t>Brit S. Schneider</t>
  </si>
  <si>
    <t>Exporterloesinstabilitaet</t>
  </si>
  <si>
    <t>Die Wahl des Rentenalters</t>
  </si>
  <si>
    <t>Peter Schmidt</t>
  </si>
  <si>
    <t>Die oeffentlichen Personalausgaben</t>
  </si>
  <si>
    <t>Manfred Erbsland</t>
  </si>
  <si>
    <t>Die Grundlagen der Einkommensteuer</t>
  </si>
  <si>
    <t>Michael Ohmer</t>
  </si>
  <si>
    <t>Decidim, a Technopolitical Network for Participatory Democracy</t>
  </si>
  <si>
    <t>Xabier E. Barandiaran-Antonio Calleja-LÃƒÂ³pez-Arnau Monterde-Carol Romero</t>
  </si>
  <si>
    <t>The Production of Knowledge of Normativity in the Age of the Printing Press</t>
  </si>
  <si>
    <t>Manuela Bragagnolo</t>
  </si>
  <si>
    <t>Proceedings of the Southeast Asian Conference on Migration and Development (SeaCMD 2023)</t>
  </si>
  <si>
    <t>Pamungkas A. Dewanto-Kinanti R. Sabilla-Tri S. Nurkholiq</t>
  </si>
  <si>
    <t>Engineering Chemistry Vol. 5</t>
  </si>
  <si>
    <t>Azzah Dyah Pramata</t>
  </si>
  <si>
    <t>Engineering Innovations Vol. 9</t>
  </si>
  <si>
    <t>Khairunisak Abdul Razak-Anif Jamaluddin-Dong Keon Kim</t>
  </si>
  <si>
    <t>Freibad-Kolonnade</t>
  </si>
  <si>
    <t>Stephan SchÃ¼tz-Kassandra LÃ¶ffler-Julius Tischler</t>
  </si>
  <si>
    <t>Geneva Health Forum 2022 Poster Book</t>
  </si>
  <si>
    <t>Flahault, Antoine-Geissbuhler, Antoine-Maye, VÃ©ronique-Lab, Bruno</t>
  </si>
  <si>
    <t>History of Stroke</t>
  </si>
  <si>
    <t>Bogousslavsky, Julien-Paciaroni, Maurizio-Hennerici, Michael G.-Tatu, Laurent</t>
  </si>
  <si>
    <t>Toxoplasmosis: Epidemiology, Prevention and Control</t>
  </si>
  <si>
    <t>Hotea, Ionela-DÄƒrÄƒbuÈ™, Gheorghe</t>
  </si>
  <si>
    <t>Large-Scale Urban Parks on Post-Industrial Sites in Contemporary Urban Landscape Conceptions</t>
  </si>
  <si>
    <t>Li, Mengyixin</t>
  </si>
  <si>
    <t>The Impact of Climate Change on Vulnerable Populations</t>
  </si>
  <si>
    <t>Joseph, Debra D.-Doon, Roshnie A.</t>
  </si>
  <si>
    <t>Biodeterioration of Cultural Heritage</t>
  </si>
  <si>
    <t>Szczepanowska, Hanna</t>
  </si>
  <si>
    <t>Transitioning to Sustainable Industry, Innovation and Infrastructure</t>
  </si>
  <si>
    <t>Cynarski, Wojciech-Gajdzik, BoÅ¼ena</t>
  </si>
  <si>
    <t>Transitioning to Zero Hunger</t>
  </si>
  <si>
    <t>Kiba, DelwendÃ© Innocent</t>
  </si>
  <si>
    <t>Picta Nilotica Romana</t>
  </si>
  <si>
    <t>Eleonora Voltan</t>
  </si>
  <si>
    <t>Advances in UAE Archaeology</t>
  </si>
  <si>
    <t>Zayed National Museum</t>
  </si>
  <si>
    <t>Landscape 3: una sintesi di elementi diacronici</t>
  </si>
  <si>
    <t>Federica Carbotti-Davide Gangale Risoleo-Eleonora Iacopini-Francesco Pizzimenti-Ippolita Raimondo</t>
  </si>
  <si>
    <t>Experiencias educativas de renovaciÃ³n pedagÃ³gica y procesos de formaciÃ³n del profesorado.</t>
  </si>
  <si>
    <t>EducaciÃ³n, tecnologÃ­a, innovaciÃ³n y transferencia del conocimiento.</t>
  </si>
  <si>
    <t>LÃ³pez Meneses, Eloy (Editor)-Bernal Bravo, CÃ©sar (Editor)</t>
  </si>
  <si>
    <t>Arte y educaciÃ³n en contextos multidisciplinares.</t>
  </si>
  <si>
    <t>YaÃ±ez-MartÃ­nez, BegoÃ±a (Coordinador)-LÃ³pez-MÃ©ndez, Lorena (Coordinador)-Zapatero GuillÃ©n, Daniel (Coordinador)</t>
  </si>
  <si>
    <t>Avances para la innovaciÃ³n docente en salud y comunicaciÃ³n.</t>
  </si>
  <si>
    <t>Serrano Villalobos, Olga (Coordinador)-Velasco Furlong, Lilian (Coordinador)-Arcos RodrÃ­guez, Aroa (Coordinador)</t>
  </si>
  <si>
    <t>InvestigaciÃ³n y experiencias educativas centradas en la creatividad artÃ­stica, MÃºsica, cultura audiovisual y artes escÃ©nicas en la sociedad de las pantallas.</t>
  </si>
  <si>
    <t>Morales Caruncho, Xana (Coordinador)-TizÃ³n DÃ­az, Manuel (Coordinador)-Marfil Carmona, Rafael (Coordinador)</t>
  </si>
  <si>
    <t>Impacto social de las tecnologÃ­as de la informaciÃ³n en instituciones pÃºblicas.</t>
  </si>
  <si>
    <t>Mena HernÃ¡ndez, Ernesto (Coordinador)</t>
  </si>
  <si>
    <t>La Ley Vasca de Cooperativas en el contexto del Derecho Cooperativo Internacional. Basque Cooperative Law in the context of International Cooperative Law, Kooperatiben Euskal Legea Nazioarteko Zuzenbide Kooperatiboaren Testuinguruan</t>
  </si>
  <si>
    <t>Bengoetxea Alkorta, Aitor (Director)-Ruiz, Aingeru (Director)-VillafÃ¡Ã±ez PÃ©rez, Itziar (Director)-Ruiz, Aingeru (Coordinador)</t>
  </si>
  <si>
    <t>Disinformation and fact-checking in contemporary society.</t>
  </si>
  <si>
    <t>CatalÃ¡n-Matamoros, Daniel (Coordinador)</t>
  </si>
  <si>
    <t>La alfabetizaciÃ³n mediÃ¡tica y digital en el curriculum. Propuestas didÃ¡cticas transformadoras</t>
  </si>
  <si>
    <t>GarcÃ­a Ruiz, Rosa (Editor)</t>
  </si>
  <si>
    <t>E-book on Nutrition and Well-Being Fact-Checking for Higher Education - NUTRIWELLB.</t>
  </si>
  <si>
    <t>Brey, Elisa (Editor)-Ezquiaga-Bravo, Ainhoa (Editor)-FernÃ¡ndez-MuÃ±oz, CristÃ³bal (Editor)-GarcÃ­a-Guardia, MarÃ­a Luisa (Editor)</t>
  </si>
  <si>
    <t>Materiales docentes para el diseÃ±o y desarrollo de investigaciones, innovaciones y revisiones sistemÃ¡ticas en la formaciÃ³n inicial del profesorado.</t>
  </si>
  <si>
    <t>Hidalgo, Nina (Coordinador)-CaÃ±adas, Laura (Coordinador)</t>
  </si>
  <si>
    <t>Materiales docentes para el empleo de metodologÃ­as y procesos de evaluaciÃ³n formativa en la formaciÃ³n inicial de profesorado.</t>
  </si>
  <si>
    <t>CaÃ±adas, Laura (Coordinador)-Hidalgo, Nina (Coordinador)</t>
  </si>
  <si>
    <t>Informe Guesss 2021. Emprendimiento estudiantil en la Universitat PolitÃ¨cnica de ValÃ¨ncia (UPV)</t>
  </si>
  <si>
    <t>SeguÃ­-Mas, Elies-Tormo-CarbÃ³, Guillermina</t>
  </si>
  <si>
    <t>Construyendo un mundo sostenible: ODS clave para el cambio.</t>
  </si>
  <si>
    <t>Ramos Pla, Anabel (Editor)-Olondriz Valverde, Aleix (Editor)</t>
  </si>
  <si>
    <t>TecnologÃ­as emergentes aplicadas a las metodologÃ­as activas en la era de la inteligencia artificial.</t>
  </si>
  <si>
    <t>EducaciÃ³n hacia el futuro: enfoque STEAM, ciencias de la salud y deporte.</t>
  </si>
  <si>
    <t>SÃ¡nchez GonzÃ¡lez, Antonio (Coordinador)-Quintero Cabello, Ana (Coordinador)</t>
  </si>
  <si>
    <t>European handbook for gender equality, equity, inclusion in sport: a perspective through the erasmus + women-up project.</t>
  </si>
  <si>
    <t>Amin, Shirin (Editor)-Mbah, Orlando (Editor)-Mateo-Orcajada, AdriÃ¡n (Editor)-Albaladejo-Saura, Mario (Editor)-Vaquero-CristÃ³bal, Raquel (Editor)</t>
  </si>
  <si>
    <t>Interrelaciones entre la imagen, el texto y las tecnologÃ­as digitales, Nuevas perspectivas en la enseÃ±anza de las ciencias sociales.</t>
  </si>
  <si>
    <t>Castro LeÃ³n, Elke (Coordinador)</t>
  </si>
  <si>
    <t>Caminando hacia la innovaciÃ³n en educaciÃ³n: de la teorÃ­a a la prÃ¡ctica.</t>
  </si>
  <si>
    <t>Vico Bosch, Alba (Coordinador)-Vega Caro, Luisa (Coordinador)</t>
  </si>
  <si>
    <t>Igualdad de gÃ©nero y atenciÃ³n a la diversidad.</t>
  </si>
  <si>
    <t>Periodismo, ciudadanÃ­a y polÃ­tica en el escenario digital.</t>
  </si>
  <si>
    <t>MÃ­guez-GonzÃ¡lez, MarÃ­a Isabel (Coordinador)-Dafonte-GÃ³mez, Alberto (Coordinador)</t>
  </si>
  <si>
    <t>El fenÃ³meno de la desinformaciÃ³n: reflexiones, casos y propuestas.</t>
  </si>
  <si>
    <t>Dafonte-GÃ³mez, Alberto (Coordinador)-MÃ­guez-GonzÃ¡lez, MarÃ­a Isabel (Coordinador)</t>
  </si>
  <si>
    <t>Estudios sobre y desde la frontera.</t>
  </si>
  <si>
    <t>Trujillo, Fernando (Coordinador)-Cortina-PÃ©rez, Beatriz (Coordinador)</t>
  </si>
  <si>
    <t>Conexiones digitales: las tecnologÃ­as como puentes de aprendizaje.</t>
  </si>
  <si>
    <t>HervÃ¡s-GÃ³mez, Carlos (Coordinador)-RomÃ¡n GravÃ¡n, Pedro (Coordinador)-GarcÃ­a JimÃ©nez, JesÃºs (Coordinador)-ArgÃ¼ello GutiÃ©rrez, Catalina (Coordinador)</t>
  </si>
  <si>
    <t>InnovaciÃ³n sin fronteras: una mirada transversal a la educaciÃ³n y la investigaciÃ³n.</t>
  </si>
  <si>
    <t>HervÃ¡s-GÃ³mez, Carlos (Coordinador)-DomÃ­nguez-GonzÃ¡lez, MarÃ­a de los Ãngeles (Coordinador)-Corujo-VÃ©lez, MÂª del Carmen (Coordinador)-Luque-De La Rosa, Antonio (Coordinador)</t>
  </si>
  <si>
    <t>A holistic approach to the dual career of the student-athlete.</t>
  </si>
  <si>
    <t>SPORTS &amp; RECREATION / Training</t>
  </si>
  <si>
    <t>MaciÃ¡-Andreu, MarÃ­a JosÃ© (Editor)-Morales-Belando, MarÃ­a T, (Editor)-MeroÃ±o, Lourdes (Editor)-SÃ¡nchez-Pato, Antonio (Editor)-GarcÃ­a-Roca, Juan Alfonso (Editor)</t>
  </si>
  <si>
    <t>Sembrando el futuro: la revoluciÃ³n en la formaciÃ³n y desarrollo de competencias.</t>
  </si>
  <si>
    <t>DÃ­az-Noguera, MarÃ­a Dolores (Coordinador)-HervÃ¡s-GÃ³mez, Carlos (Coordinador)-DomÃ­nguez-GonzÃ¡lez, MarÃ­a de los Ãngeles (Coordinador)-MartÃ­n GutiÃ©rrez, Ãngela (Coordinador)</t>
  </si>
  <si>
    <t>Aprender jugando: gamificaciÃ³n, simulaciÃ³n y colaboraciÃ³n en el aula del siglo XXI.</t>
  </si>
  <si>
    <t>HervÃ¡s-GÃ³mez, Carlos (Coordinador)-Morales-PÃ©rez, Gloria Luisa (Coordinador)-Belver, JosÃ© Luis (Coordinador)-Hevia Artime, Isabel (Coordinador)</t>
  </si>
  <si>
    <t>Nuevas herramientas metodolÃ³gicas para el fortalecimiento de las competencias en derecho.</t>
  </si>
  <si>
    <t>Rabet Temsaani, Rabia MÂª (Coordinador)-Caller Tramullas, Lorena (Coordinador)</t>
  </si>
  <si>
    <t>InnovaciÃ³n en la formaciÃ³n docente y en el desarrollo de competencias en el aprendizaje de las ciencias econÃ³micas y empresariales.</t>
  </si>
  <si>
    <t>Oliver Alonso, MarÃ­a Dolores (Coordinador)-Albort MorÃ¡n, Gema (Coordinador)</t>
  </si>
  <si>
    <t>InnovaciÃ³n docente y renovaciÃ³n pedagÃ³gica en derecho. Especial referencia a experiencias exitosas de proyectos de innovaciÃ³n docente y la utilizaciÃ³n de herramientas y metodologÃ­as colaborativas</t>
  </si>
  <si>
    <t>Soria RodrÃ­guez, Carlos (Coordinador)</t>
  </si>
  <si>
    <t>Ensayos Ciberfeministas.</t>
  </si>
  <si>
    <t>Technologies, multimodality and media culture for gender equality, Advancing in digital transformation of education.</t>
  </si>
  <si>
    <t>JimÃ©nez Cortes, RocÃ­o (Coordinador)-TriviÃ±o Cabrera, Laura (Coordinador)</t>
  </si>
  <si>
    <t>Educar, comunicar, sociabilizar en la heterogeneidad.</t>
  </si>
  <si>
    <t>Ãlvarez DÃ­az, Katia (Coordinador)</t>
  </si>
  <si>
    <t>Las identidades analizadas a travÃ©s de las segregaciones histÃ³rico-culturales.</t>
  </si>
  <si>
    <t>Salud pÃºblica, limitaciÃ³n de derechos y mundo digital. Especial referencia a las emergencias sanitarias internacionales</t>
  </si>
  <si>
    <t>Gallego HernÃ¡ndez, Ana Cristina</t>
  </si>
  <si>
    <t>Praxis y espacios de intervenciÃ³n desde el arte y la educaciÃ³n.</t>
  </si>
  <si>
    <t>Albar Mansoa, Javier (Coordinador)-Ranilla RodrÃ­guez, Miguel (Coordinador)-HernÃ¡ndez UllÃ¡n, Clara (Coordinador)</t>
  </si>
  <si>
    <t>La esfera universitaria hoy: retos, proyectos de investigaciÃ³n y transferencia de conocimiento.</t>
  </si>
  <si>
    <t>Hidalgo-MarÃ­, Tatiana (Coordinador)-Herrero GutiÃ©rrez, Francisco Javier (Coordinador)-RodrÃ­guez RodrÃ­guez, MarÃ­a del Carmen (Coordinador)</t>
  </si>
  <si>
    <t>EducaciÃ³n en valores y normas: innovaciÃ³n docente y transferencia de conocimiento en cuestiones de equidad y derecho.</t>
  </si>
  <si>
    <t>Cucinotta, Caterina (Coordinador)-Molina HernÃ¡ndez, Cecilio (Coordinador)-SÃ¡enz de Santa MarÃ­a GÃ³mez-Mampaso, Blanca (Coordinador)</t>
  </si>
  <si>
    <t>Sostenibilidad e internacionalizaciÃ³n como pilares de vanguardia educativa.</t>
  </si>
  <si>
    <t>Cruz-Carvajal, Isleny (Coordinador)-MÃ©ndez DomÃ­nguez, CÃ©sar (Coordinador)-Suay PÃ©rez, Francisco (Coordinador)</t>
  </si>
  <si>
    <t>Nuevas tendencias en innovaciÃ³n educativa en arquitectura, arte, moda, historia y humanidades.</t>
  </si>
  <si>
    <t>LuceÃ±o Casals, Laura (Coordinador)-HernÃ¡ndez HernÃ¡ndez, Carlos Gregorio (Coordinador)-Campos Calvo-Sotelo, Pablo (Coordinador)</t>
  </si>
  <si>
    <t>InnovaciÃ³n en la enseÃ±anza de lenguas: mejoras docentes para el aprendizaje del siglo XXI.</t>
  </si>
  <si>
    <t>Valero-Redondo, MarÃ­a (Coordinador)-RodrÃ­guez-Mesa, Francisco JosÃ© (Coordinador)</t>
  </si>
  <si>
    <t>Construyendo la educaciÃ³n del futuro en Ã¡reas de ingenierÃ­a, economÃ­a y STEM.</t>
  </si>
  <si>
    <t>MartÃ­n, Alejandro (Coordinador)-Mateu Gordon, JosÃ© Luis (Coordinador)-Guede Cid, RocÃ­o (Coordinador)</t>
  </si>
  <si>
    <t>Nuevos caminos en las prÃ¡cticas innovadoras docentes del ecosistema educativo.</t>
  </si>
  <si>
    <t>Vicente FernÃ¡ndez, Pilar (Coordinador)-Pinilla GÃ³mez, Raquel (Coordinador)-Puebla MartÃ­nez, BelÃ©n (Coordinador)</t>
  </si>
  <si>
    <t>ComunicaciÃ³n, creaciÃ³n artÃ­stica y audiovisual: un marco para la innovaciÃ³n educativa.</t>
  </si>
  <si>
    <t>GÃ¡lvez de la Cuesta, MarÃ­a del Carmen (Coordinador)-Gertrudis Casado, MarÃ­a del Carmen (Coordinador)-Ventura-Salom, Borja (Coordinador)</t>
  </si>
  <si>
    <t>Uso de razÃ³n: argumentos y ley a lo largo de la historia de la filosofÃ­a.</t>
  </si>
  <si>
    <t>BermÃºdez VÃ¡zquez, Manuel (Coordinador)-Macho Reyes, Rafael Diego (Coordinador)</t>
  </si>
  <si>
    <t>TecnofilosofÃ­a: reflexiÃ³n filosÃ³fica, inteligencia artificial y ciencia.</t>
  </si>
  <si>
    <t>BermÃºdez VÃ¡zquez, Manuel (Coordinador)-SÃ¡nchez Cotta, AgustÃ­n (Coordinador)</t>
  </si>
  <si>
    <t>La palabra a travÃ©s: diÃ¡logos entre el pensamiento, la palabra y el cuerpo.</t>
  </si>
  <si>
    <t>BermÃºdez VÃ¡zquez, Manuel (Coordinador)-MartÃ­n PÃ¡rraga, Javier (Coordinador)</t>
  </si>
  <si>
    <t>Estudios sociales, estÃ©tica, arte y gÃ©nero: Nuevos enfoques.</t>
  </si>
  <si>
    <t>GÃ©nero y educaciÃ³n ante la manipulaciÃ³n de la comunicaciÃ³n.</t>
  </si>
  <si>
    <t>Rebollo Bueno, Sara (Coordinador)-PÃ©rez de Algaba, Cristina (Coordinador)-FernÃ¡ndez MartÃ­nez, Luis Manuel (Coordinador)</t>
  </si>
  <si>
    <t>Acciones y realidades ante la manipulaciÃ³n social: redes sociales, publicidad y marketing.</t>
  </si>
  <si>
    <t>Baena Cuder, Irene (Coordinador)-Rando Cueto, Dolores (Coordinador)-Otero Escudero, Sofia (Coordinador)</t>
  </si>
  <si>
    <t>Universos distÃ³picos y manipulaciÃ³n en la comunicaciÃ³n contemporÃ¡nea: del periodismo a las series pasando por la polÃ­tica.</t>
  </si>
  <si>
    <t>Guarinos GalÃ¡n, Virginia (Coordinador)-Blanco PÃ©rez, Manuel (Coordinador)</t>
  </si>
  <si>
    <t>Aportes de la filosofÃ­a al campo educativo.</t>
  </si>
  <si>
    <t>RoldÃ¡n, Concha (Coordinador)-Monarca, HÃ©ctor (Coordinador)</t>
  </si>
  <si>
    <t>ManipulaciÃ³n en imÃ¡genes visuales y sonoras en ficciÃ³n y no ficciÃ³n.</t>
  </si>
  <si>
    <t>GÃ³mez GÃ³mez, AgustÃ­n (Coordinador)-Acle, Daniel (Coordinador)-Carballeda Camacho, Mireya RocÃ­o (Coordinador)</t>
  </si>
  <si>
    <t>PedagogÃ­a digital feminista en educaciÃ³n superior.</t>
  </si>
  <si>
    <t>InvestigaciÃ³n y mediaciÃ³n en patrimonio cultural museos, entornos y paisajes sensoriales.</t>
  </si>
  <si>
    <t>PÃ©rez Valero, Manuel (Coordinador)-Ãlvares RodrÃ­guez, Dolores (Coordinador)-Fontal Merillas, Olaia (Coordinador)</t>
  </si>
  <si>
    <t>Inequidad y justicia social frente a la digitalizaciÃ³n en educaciÃ³n y salud.</t>
  </si>
  <si>
    <t>Espart Herrero, Anna (Editor)</t>
  </si>
  <si>
    <t>Residues &amp; Remixes</t>
  </si>
  <si>
    <t>Syaheedah Iskandar-Teng Yen Hui</t>
  </si>
  <si>
    <t>Governable Spaces</t>
  </si>
  <si>
    <t>Nathan Schneider</t>
  </si>
  <si>
    <t>Enhancing the Value of Teacher Education Research</t>
  </si>
  <si>
    <t>Vasileios Symeonidis</t>
  </si>
  <si>
    <t>Disorder-Specific Psychodrama Therapy in Theory and Practice</t>
  </si>
  <si>
    <t>Reinhard T. KrÃ¼ger</t>
  </si>
  <si>
    <t>Proceedings of the 1st International Conference on Law, Social, and Political Science (ICSP 2023)</t>
  </si>
  <si>
    <t>Achmad Nurmandi-Eko Priyo Purnomo-Mitja Decman-Hazel D. Jovita-Ching-Fu Hung</t>
  </si>
  <si>
    <t>Akko III :the 1991â€“1998 Excavations: the Late Periods.Part I,The Hospitaller Compound</t>
  </si>
  <si>
    <t>Eliezer Stern-Danny Syon</t>
  </si>
  <si>
    <t>Frequenz. Prototyp. Schema.</t>
  </si>
  <si>
    <t>Schmitt, Eleonore</t>
  </si>
  <si>
    <t>Nominale Flexionsmorphologie in den ostoberdeutschen Dialekten Bayerns</t>
  </si>
  <si>
    <t>Nickel, Grit</t>
  </si>
  <si>
    <t>Eredoctoraat prof. mr. Geert Corstens</t>
  </si>
  <si>
    <t>Geert Corstens-Roel Schutgens</t>
  </si>
  <si>
    <t>Beyond the Spirit of Bandung. Philosophies of National Unity: Secular or Religious?</t>
  </si>
  <si>
    <t>Frans Dokman-Antoinette Kankindi (eds.)</t>
  </si>
  <si>
    <t>Red Pope. A Biography of Cardinal Willem Van Rossum C.Ss.R. (1854â€“1932)</t>
  </si>
  <si>
    <t>Vefie Poels</t>
  </si>
  <si>
    <t>Morbidity in Primary Care. Epidemiologic Data From Family Medicine Network</t>
  </si>
  <si>
    <t>Hilde Luijks-Floris van de Laar-Henk Schers (eds.)</t>
  </si>
  <si>
    <t>Vita Radbodi. Het Leven van Radboud</t>
  </si>
  <si>
    <t>Vincent Hunink-Peter Nissen</t>
  </si>
  <si>
    <t>Zeven hoofdzonden en een paar deugden. Theologische inzichten voor het alledaagse leven</t>
  </si>
  <si>
    <t>Carl Sterkens-Christoph HÃ¼benthal (eds.)</t>
  </si>
  <si>
    <t>Human and Planetary Health. The Urgency to Integrate Into One Health</t>
  </si>
  <si>
    <t>Kees van Laarhoven</t>
  </si>
  <si>
    <t>Harvesting. The Results and Impact of Research Based on Historical Longitudinal Databases</t>
  </si>
  <si>
    <t>SÃ¶ren Edvinsson-Kees Mandemakers-Ken R. Smith-Paul Puschmann (eds.)</t>
  </si>
  <si>
    <t>Sowing. The Construction of Historical Longitudinal Population Databases</t>
  </si>
  <si>
    <t>Kees Mandemakers-George Alter-HÃ©lÃ¨ne VÃ©zina-Paul PuschmannÂ (eds.)</t>
  </si>
  <si>
    <t>Observant Reforms and Cultural Production in Europe. Learning, Liturgy and Spiritual Practice</t>
  </si>
  <si>
    <t>Pietro Delcorno-Bert Roest (eds.)</t>
  </si>
  <si>
    <t>Engaged Scholarship and Emancipation. 75 Years of Cultural Anthropology and Development Studies at Radboud University</t>
  </si>
  <si>
    <t>Toon van Meijl-Frans Wijsen (eds.)</t>
  </si>
  <si>
    <t>Over honderd ziekten</t>
  </si>
  <si>
    <t>Dirk Ruiter-Lucas Boer-Jan Brabers</t>
  </si>
  <si>
    <t>Leven als zoekpartij. Intergenerationele zingeving en spiritualiteit</t>
  </si>
  <si>
    <t>Wim Smeets (ed.)</t>
  </si>
  <si>
    <t>Number Fields</t>
  </si>
  <si>
    <t>MATHEMATICS / Number Theory</t>
  </si>
  <si>
    <t>Honorary Doctorate Dr. Souha Kanj</t>
  </si>
  <si>
    <t>Souha Kanj-Heiman Wertheim</t>
  </si>
  <si>
    <t>Honorary Doctorate Dr. Katalin KarikÃ³</t>
  </si>
  <si>
    <t>Katalin KarikÃ³-Floris Rutjes</t>
  </si>
  <si>
    <t>De verborgen estafette. Hoe de kiembaan de generaties verbindt</t>
  </si>
  <si>
    <t>Holding still, together. Portraying Parkinsonâ€™s care</t>
  </si>
  <si>
    <t>PHOTOGRAPHY / Subjects &amp; Themes / Portraits &amp; Selfies</t>
  </si>
  <si>
    <t>Thieme Stap-Richard Grol-Jur Koksma (eds.)</t>
  </si>
  <si>
    <t>Holding still, together. Parkinson in Beeld</t>
  </si>
  <si>
    <t>Strafvorderlijke gegevensverwerking. Een verkennende studie naar de relevante gezichtspunten bij de normering van het verwerken van persoonsgegevens voor strafvorderlijke doeleinden</t>
  </si>
  <si>
    <t>M.I. Fedorova-R.M. te Molder-M.J. Dubelaar-S.M.A. Lestrade-T.F. Walree</t>
  </si>
  <si>
    <t>Honorary Doctorate Dr.H.C. Adriaan van Dis</t>
  </si>
  <si>
    <t>Adriaan van Dis-Margot van Mulken-JosÃ© Sanders-Paul Sars-Eva de Waal-Bjorn Teeuwen</t>
  </si>
  <si>
    <t>The VALIDATE Handbook. An Approach on the Integration of Values in Doing Assessments of Health Technologies</t>
  </si>
  <si>
    <t>Wija Oortwijn-Laura Sampietro-Colom (eds.)</t>
  </si>
  <si>
    <t>Advances in Formal Slavic Linguistics 2021</t>
  </si>
  <si>
    <t>Biskup, Petr-Guhl), Marcel BÃ¶rner (nÃ©-Mueller-Reichau, Olav-Shcherbina, Iuliia</t>
  </si>
  <si>
    <t>Sound Structure and Sound Change</t>
  </si>
  <si>
    <t>Morley, Rebecca L.</t>
  </si>
  <si>
    <t>The Size of Things II</t>
  </si>
  <si>
    <t>Shen, Zheng-Laszakovits, Sabine</t>
  </si>
  <si>
    <t>Language Contact</t>
  </si>
  <si>
    <t>Gijn, Rik van-Ruch, Hanna-WahlstrÃ¶m, Max-Hasse, Anja</t>
  </si>
  <si>
    <t>Grammatical Systems Without Language Borders</t>
  </si>
  <si>
    <t>Wiese, Heike</t>
  </si>
  <si>
    <t>Language, Creoles, Varieties</t>
  </si>
  <si>
    <t>Granget, Cyrille-Repiso, Isabel-Sing, Guillaume Fon</t>
  </si>
  <si>
    <t>Intersections of Language Rights and Social Justice in the Caribbean Context</t>
  </si>
  <si>
    <t>Forrester, Clive</t>
  </si>
  <si>
    <t>Conversation and Intonation in Autism</t>
  </si>
  <si>
    <t>Wehrle, Simon</t>
  </si>
  <si>
    <t>The Syntax of Functional Left Peripheries</t>
  </si>
  <si>
    <t>Bacskai-Atkari, Julia</t>
  </si>
  <si>
    <t>L2 Spanish and Italian Intonation</t>
  </si>
  <si>
    <t>PeÅ¡kovÃ¡, Andrea</t>
  </si>
  <si>
    <t>Modal Particles in Italian</t>
  </si>
  <si>
    <t>Favaro, Marco</t>
  </si>
  <si>
    <t>Referring to Discourse Participants in Ibero-Romance Languages</t>
  </si>
  <si>
    <t>Posio, Pekka-Herbeck, Peter</t>
  </si>
  <si>
    <t>Concessive Constructions in Varieties of English</t>
  </si>
  <si>
    <t>SchÃ¼tzler, Ole</t>
  </si>
  <si>
    <t>A Grammar of Iranian Armenian</t>
  </si>
  <si>
    <t>Dolatian, Hossep-Sharifzadeh, Afsheen-Vaux, Bert</t>
  </si>
  <si>
    <t>Handbook of Lexical Functional Grammar</t>
  </si>
  <si>
    <t>Dalrymple, Mary</t>
  </si>
  <si>
    <t>Reflexive Constructions in the World's Languages</t>
  </si>
  <si>
    <t>Janic, Katarzyna-Puddu, Nicoletta-Haspelmath, Martin</t>
  </si>
  <si>
    <t>Wie Bilder Â«entstehenÂ».</t>
  </si>
  <si>
    <t>Dieter Maurer-Claudia Riboni</t>
  </si>
  <si>
    <t>Berlin-Brandenburger Beitraege zur Bildungsforschung 2022</t>
  </si>
  <si>
    <t>Jurik Stiller-Christin Laschke-Lennart Goecke</t>
  </si>
  <si>
    <t>Schweizer Jahrbuch fuer Musikwissenschaft- Annales Suisses de Musicologie- Annuario Svizzero di Musicologia</t>
  </si>
  <si>
    <t>MUSIC / Genres &amp; Styles / Dance</t>
  </si>
  <si>
    <t>Luca Zoppelli</t>
  </si>
  <si>
    <t>Data Rights Law 1.0</t>
  </si>
  <si>
    <t>Key Laboratory of Big Data Strategy-Yuming Lian</t>
  </si>
  <si>
    <t>Dieter Maurer-Claudia Riboni-Birute Gujer</t>
  </si>
  <si>
    <t>Trust and Communication: Foundations of Interconnectivity</t>
  </si>
  <si>
    <t>Anil Jacob Kunnel</t>
  </si>
  <si>
    <t>InclusiÃ³n, integraciÃ³n, diferenciaciÃ³n</t>
  </si>
  <si>
    <t>Susanne Hartwig</t>
  </si>
  <si>
    <t>Effort environnemental et Ã©quitÃ©</t>
  </si>
  <si>
    <t>ValÃ©rie DeldrÃ¨ve-Jacqueline Candau-Camille NoÃ»s</t>
  </si>
  <si>
    <t>Internationalismes Ã©ducatifs entre dÃ©bats et combats (fin du 19e - premier 20e siÃ¨cle)</t>
  </si>
  <si>
    <t>JoÃ«lle Droux-Rita Hofstetter</t>
  </si>
  <si>
    <t>Â« Apprendre la langue de la majoritÃ© des ConfÃ©dÃ©rÃ©s Â»</t>
  </si>
  <si>
    <t>Viviane Rouiller</t>
  </si>
  <si>
    <t>D'une guerre Ã  l'autre : L'itinÃ©raire pÃ©trolier dâ€™Ernest Mercier</t>
  </si>
  <si>
    <t>FranÃ§ois Pelletier</t>
  </si>
  <si>
    <t>Â«In Agro CrotoniensiÂ» â€“ ArchÃ©ologie et histoire de Crotone durant la pÃ©riode romaine (3Ã¨me siÃ¨cle av. J.-C. â€“ 6Ã¨me siÃ¨cle apr. J.-C.) â€“ KROTON 2</t>
  </si>
  <si>
    <t>Marc Duret</t>
  </si>
  <si>
    <t>Lâ€™Ã©mergence de la norme internationale sur le Â« crime dâ€™honneur Â»</t>
  </si>
  <si>
    <t>De fragments en traces</t>
  </si>
  <si>
    <t>Marie-FranÃ§oise Pungier</t>
  </si>
  <si>
    <t>Doing Family on the Move</t>
  </si>
  <si>
    <t>Florian Tissot</t>
  </si>
  <si>
    <t>Chinese Reverse Glass Painting 1720-1820</t>
  </si>
  <si>
    <t>Thierry Audric</t>
  </si>
  <si>
    <t>Actions et conduites mimo-gestuelles dans lâ€™usage conversationnel des relatives en franÃ§ais</t>
  </si>
  <si>
    <t>Ioana-Maria StoenicÄƒ</t>
  </si>
  <si>
    <t>MIMOS 2019</t>
  </si>
  <si>
    <t>Paola Gilardi-Delphine Abrecht-Anne Fournier-Andreas Klaeui</t>
  </si>
  <si>
    <t>Les origines du baby-boom en Suisse au prisme des parcours fÃ©minins</t>
  </si>
  <si>
    <t>Aline Duvoisin</t>
  </si>
  <si>
    <t>Transmission et sentiments : les relations familiales en Dordogne, 1780-1839</t>
  </si>
  <si>
    <t>Isabelle Leveque Lamotte</t>
  </si>
  <si>
    <t>Laura Auteri</t>
  </si>
  <si>
    <t>Parcours de vie et mÃ©moires de pauvres</t>
  </si>
  <si>
    <t>Aude Martenot</t>
  </si>
  <si>
    <t>Pure Leiblichkeit</t>
  </si>
  <si>
    <t>Pauline Bachmann</t>
  </si>
  <si>
    <t>The Remaking of the Euro-Mediterranean Vision</t>
  </si>
  <si>
    <t>Aybars GÃ¶rgÃ¼lÃ¼-GÃ¼lÅŸah Dark KahyaoÄŸlu</t>
  </si>
  <si>
    <t>Meaningful Reform in the Western Balkans</t>
  </si>
  <si>
    <t>Eric Gordy-Adnan Efendic</t>
  </si>
  <si>
    <t>Choricios de Gaza, Â« Lâ€™Apologie des mimes Â»</t>
  </si>
  <si>
    <t>Christian Pernet</t>
  </si>
  <si>
    <t>La nÃ©gation et ses emplois spÃ©ciaux en chinois mandarin</t>
  </si>
  <si>
    <t>LANGUAGE STUDY / Chinese</t>
  </si>
  <si>
    <t>Baiyao Zuo</t>
  </si>
  <si>
    <t>Media Distortions</t>
  </si>
  <si>
    <t>Elinor Carmi</t>
  </si>
  <si>
    <t>Deutsche und weitere germanische Sprachminderheiten in Lateinamerika</t>
  </si>
  <si>
    <t>LANGUAGE STUDY / Italian</t>
  </si>
  <si>
    <t>Patrick Wolf-FarrÃ©-Lucas LÃ¶ff Machado-AngÃ©lica Prediger-Sebastian KÃ¼rschner</t>
  </si>
  <si>
    <t>Spracharbeit mit Gefluechteten</t>
  </si>
  <si>
    <t>Karin Birkner-Britta Hufeisen-Peter Rosenberg</t>
  </si>
  <si>
    <t>Fankulturen und Fankommunikation</t>
  </si>
  <si>
    <t>Stefan Hauser-Simon Meier-Vieracker</t>
  </si>
  <si>
    <t>Explorations in Augustine's Anthropology</t>
  </si>
  <si>
    <t>Fabio Dalpra-Anders-Christian Jacobsen</t>
  </si>
  <si>
    <t>Learning English Out of School: An Inclusive Approach to Research and Action</t>
  </si>
  <si>
    <t>Emilee Moore-Claudia Vallejo</t>
  </si>
  <si>
    <t>Critical Thinking in Higher Education and Labour Market</t>
  </si>
  <si>
    <t>ValdonÄ— IndraÅ¡ienÄ—-Violeta JegeleviÄienÄ—-Odeta MerfeldaitÄ—-Daiva PenkauskienÄ—-Jolanta PivorienÄ—-Asta RailienÄ—-Justinas Sadauskas-Natalija ValaviÄienÄ—</t>
  </si>
  <si>
    <t>Die Kolmarer Liederhandschrift und ihr Umfeld</t>
  </si>
  <si>
    <t>Judith Lange-Eva Rothenberger-Martin Schubert</t>
  </si>
  <si>
    <t>Druze Reincarnation Narratives</t>
  </si>
  <si>
    <t>Gebhard Fartacek</t>
  </si>
  <si>
    <t>Israelâ€™s Academic Arena</t>
  </si>
  <si>
    <t>Pinhas Haliwa</t>
  </si>
  <si>
    <t>Cuba: realidades e imaginarios lingueÃ­sticos</t>
  </si>
  <si>
    <t>Roxana Sobrino Triana</t>
  </si>
  <si>
    <t>Cultures in Conflict</t>
  </si>
  <si>
    <t>Alexander Maurits-Johannes Ljungberg-Erik Sidenvall</t>
  </si>
  <si>
    <t>Echoes of Reaganism in Hollywood Blockbuster Movies From the 1980s to the 2010s</t>
  </si>
  <si>
    <t>Ilias Ben Mna</t>
  </si>
  <si>
    <t>Technologies and Innovations in Regional Development: The European Union and Its Strategies</t>
  </si>
  <si>
    <t>Borut RonÄeviÄ‡-Victor Cepoi</t>
  </si>
  <si>
    <t>Neue Ansaetze zur Skizzenforschung fuer die Musik des langen 19. Jahrhunderts</t>
  </si>
  <si>
    <t>Stefanie Acquavella-Rauch-Birger Petersen</t>
  </si>
  <si>
    <t>Polish State Railways As a Mode of Transport for Troops of the Warsaw Pact</t>
  </si>
  <si>
    <t>Zbigniew Tucholski</t>
  </si>
  <si>
    <t>Narrative der Ueberwachung</t>
  </si>
  <si>
    <t>Kilian Hauptmann-Martin Hennig-Hans Krah</t>
  </si>
  <si>
    <t>Book Value Categories and the Acceptance of Technological Changes in English Book Production</t>
  </si>
  <si>
    <t>Simon Rosenberg</t>
  </si>
  <si>
    <t>Ehrverletzungen in der elektronischen Presse</t>
  </si>
  <si>
    <t>Gianandrea Schmidt</t>
  </si>
  <si>
    <t>Concrete Horizons: Romantic Irony in the Poetry of David Malouf and Samuel Wagan Watson</t>
  </si>
  <si>
    <t>Ruth Barratt-Peacock</t>
  </si>
  <si>
    <t>Futures Past. Economic Forecasting in the 20th and 21st Century</t>
  </si>
  <si>
    <t>Ulrich Fritsche-Roman KÃ¶ster-Laetitia Lenel</t>
  </si>
  <si>
    <t>The Political Economy of Local Cinema: A Critical Introduction</t>
  </si>
  <si>
    <t>Anne Rajala-Daniel Lindblom-Matteo Stocchetti</t>
  </si>
  <si>
    <t>Sprachlernspiele im DaF-Unterricht in der VR China</t>
  </si>
  <si>
    <t>Jing Zeng</t>
  </si>
  <si>
    <t>Musikgeschichten: Von vergessenen Musikern und â€ºverlorenen Residenzenâ€¹ im 18. Jahrhundert</t>
  </si>
  <si>
    <t>Stefanie Acquavella-Rauch</t>
  </si>
  <si>
    <t>Professionelles Schreiben in mehreren Sprachen</t>
  </si>
  <si>
    <t>Sabine E. Dengscherz</t>
  </si>
  <si>
    <t>Verleger als Leser und als Vermittler von Lesekultur</t>
  </si>
  <si>
    <t>Sandra Simon</t>
  </si>
  <si>
    <t>Smarte private Videoueberwachung</t>
  </si>
  <si>
    <t>Julia Kristina Krumm</t>
  </si>
  <si>
    <t>Analoges Recht in der digitalen Welt</t>
  </si>
  <si>
    <t>Jens Grabosch</t>
  </si>
  <si>
    <t>Die europaeische Regulierung audiovisueller Mediendienste</t>
  </si>
  <si>
    <t>Sarah Hartmann</t>
  </si>
  <si>
    <t>ePortfolios im Fremdsprachenunterricht</t>
  </si>
  <si>
    <t>Lena Bellingrodt</t>
  </si>
  <si>
    <t>Literarische Bildung in der heutigen Mediengesellschaft</t>
  </si>
  <si>
    <t>Christian Dawidowski</t>
  </si>
  <si>
    <t>Classical Music Futures</t>
  </si>
  <si>
    <t xml:space="preserve"> Neil Thomas Smith-Peter Peters-Karoly Molina</t>
  </si>
  <si>
    <t>Translating Russian Literature in the Global Context</t>
  </si>
  <si>
    <t xml:space="preserve"> Muireann Maguire-Cathy McAteer</t>
  </si>
  <si>
    <t>How Divine Images Became Art</t>
  </si>
  <si>
    <t xml:space="preserve"> Oleg Tarasov</t>
  </si>
  <si>
    <t>Genetic Inroads Into the Art of James Joyce</t>
  </si>
  <si>
    <t xml:space="preserve"> Hans Walter Gabler</t>
  </si>
  <si>
    <t>Realismus des Kapitals</t>
  </si>
  <si>
    <t>Sebastian Schuller</t>
  </si>
  <si>
    <t>Planetary Justice</t>
  </si>
  <si>
    <t>Michele Lobo-Eve Mayes-Laura Bedford</t>
  </si>
  <si>
    <t>Anthropological Linguistics</t>
  </si>
  <si>
    <t>Andrea Hollington-Alice Mitchell-Nico Nassenstein</t>
  </si>
  <si>
    <t>NeubÃ¼rger im spÃ¤ten Mittelalter.</t>
  </si>
  <si>
    <t>Rainer Christoph Schwinges</t>
  </si>
  <si>
    <t>Data Rights Law 3.0</t>
  </si>
  <si>
    <t>SSAP International-Yuming Lian</t>
  </si>
  <si>
    <t>The Belt and Road Initiative in Italy</t>
  </si>
  <si>
    <t>Beatrice Gallelli-Francesca Ghiretti</t>
  </si>
  <si>
    <t>Regesten der Urkunden Â«Kurmaerkische StaendeÂ» (Rep. 23 A) des Brandenburgischen Landeshauptarchivs</t>
  </si>
  <si>
    <t>Brandenburgisches Landeshauptarchiv</t>
  </si>
  <si>
    <t>Gemeinsam/Together</t>
  </si>
  <si>
    <t>Droit des donnÃ©es 3.0</t>
  </si>
  <si>
    <t>Laboratoire clÃ© de la stratÃ©gie des mÃ©gadonnÃ©es-Lian Yuming</t>
  </si>
  <si>
    <t>Datenrechtsgesetz 3.0</t>
  </si>
  <si>
    <t>SchlÃ¼ssellabor fÃ¼r Big Data-Strategie-Yuming Lian</t>
  </si>
  <si>
    <t>Uno spazio narrativo immersivo</t>
  </si>
  <si>
    <t>Alessandro Bosco</t>
  </si>
  <si>
    <t>Datenrechtsgesetz 2.0</t>
  </si>
  <si>
    <t>Das SchlÃ¼ssellabor fÃ¼r Big Data-Strategie-Yuming Lian</t>
  </si>
  <si>
    <t>Droit des donnÃ©es 2.0</t>
  </si>
  <si>
    <t>Laboratoire clÃ© de la stratÃ©gie des mÃ©gadonnÃ©es-Yuming Lian</t>
  </si>
  <si>
    <t>Les immersions de munitions dans les lacs suisses et franÃ§ais (1919-aujourdâ€™hui), de lâ€™oubli Ã  un statu quo Ã©volutif</t>
  </si>
  <si>
    <t>Elodie CharriÃ¨re</t>
  </si>
  <si>
    <t>Genre : didactique(s) et pratiques d'enseignement</t>
  </si>
  <si>
    <t>Ingrid Verscheure-Isabelle Collet</t>
  </si>
  <si>
    <t>Le doctorat, aventure de (trans)formation singuliÃ¨re et sociale</t>
  </si>
  <si>
    <t>Colette Niclasse</t>
  </si>
  <si>
    <t>Trade Unions in the European Union</t>
  </si>
  <si>
    <t>Jeremy Waddington-Torsten MÃ¼ller-Kurt Vandaele</t>
  </si>
  <si>
    <t>Femmes de spectacle au XIXe siÃ¨cle</t>
  </si>
  <si>
    <t>Valentina Ponzetto-Florence Fix</t>
  </si>
  <si>
    <t>Les paysages de lâ€™Ã©lectricitÃ©</t>
  </si>
  <si>
    <t>Christophe Bouneau-Denis Varaschin-LÃ©onard Laborie-Renan ViguiÃ©</t>
  </si>
  <si>
    <t>Au fil du soin</t>
  </si>
  <si>
    <t>FAMILY &amp; RELATIONSHIPS / Eldercare</t>
  </si>
  <si>
    <t>Natalie Rigaux</t>
  </si>
  <si>
    <t>Lutter contre le terrorisme au nom de lâ€™Â« esprit de Shanghai Â»</t>
  </si>
  <si>
    <t>Annick Valleau</t>
  </si>
  <si>
    <t>Learning From Resilience Strategies in Tanzania</t>
  </si>
  <si>
    <t>Pascaline Gaborit-Donath Olomi</t>
  </si>
  <si>
    <t>Midiendo la efectividad del derecho ambiental</t>
  </si>
  <si>
    <t>Michel Prieur-Christophe Bastin-Ali Mekouar</t>
  </si>
  <si>
    <t>Measuring the Effectivity of Environmental Law</t>
  </si>
  <si>
    <t>Mesurer lâ€™effectivitÃ© du droit de lâ€™environnement</t>
  </si>
  <si>
    <t>Le Bureau international dâ€™Ã©ducation, matrice de lâ€™internationalisme Ã©ducatif</t>
  </si>
  <si>
    <t>Rita Hofstetter-Ã‰rhise</t>
  </si>
  <si>
    <t>Agroecological Transitions, Between Determinist and Open-ended Visions</t>
  </si>
  <si>
    <t>Claire Lamine-DaniÃ¨le Magda-Marta Rivera-Ferre-Terry Marsden</t>
  </si>
  <si>
    <t>Projet en partage, partage sans projet</t>
  </si>
  <si>
    <t>Pauline Bosredon-FrÃ©dÃ©ric Dumont</t>
  </si>
  <si>
    <t>Diversidad cultural, desigualdades y democratizaciÃ³n en AmÃ©rica Latina</t>
  </si>
  <si>
    <t>Victor Armony-StÃ©phanie Rousseau</t>
  </si>
  <si>
    <t>MÃ©moire et dÃ©mocratie en Occident</t>
  </si>
  <si>
    <t>Jacques Beauchemin</t>
  </si>
  <si>
    <t>Canadian Federalism and Treaty Powers</t>
  </si>
  <si>
    <t>Hugo Cyr</t>
  </si>
  <si>
    <t>Les nouveaux paradigmes du projet ?</t>
  </si>
  <si>
    <t>Helga-Jane Scarwell-Philippe Deboudt</t>
  </si>
  <si>
    <t>How Musical Rhythm Reveals Human Attitudes</t>
  </si>
  <si>
    <t>Nigel Nettheim</t>
  </si>
  <si>
    <t>The Pragmatics of Commitment</t>
  </si>
  <si>
    <t>Kira Boulat</t>
  </si>
  <si>
    <t>Catherine Colombâ€™s Vision of Time: In Dialogue with Marcel Proust and Virginia Woolf</t>
  </si>
  <si>
    <t>Tamar Barbakadze</t>
  </si>
  <si>
    <t>International Aid and Urban Change</t>
  </si>
  <si>
    <t>Pablo de Roulet</t>
  </si>
  <si>
    <t>S/confinare</t>
  </si>
  <si>
    <t>Alessandro Bosco-Stefano Bragato-Felicity Brunner-Tatiana Crivelli-Raffaella Castagnola Rossini</t>
  </si>
  <si>
    <t>Lâ€™agir littÃ©raire dans la perspective actionnelle en classe dâ€™allemand langue Ã©trangÃ¨re dans les gymnases vaudois</t>
  </si>
  <si>
    <t>Luc Fivaz</t>
  </si>
  <si>
    <t>ParentÃ©, proximitÃ© spatiale et liens sociaux de lâ€™Ancien RÃ©gime Ã  la Suisse Moderne</t>
  </si>
  <si>
    <t>Lucas Rappo-Michel Oris</t>
  </si>
  <si>
    <t>Les mots de la vidÃ©o</t>
  </si>
  <si>
    <t>Melissa RÃ©rat</t>
  </si>
  <si>
    <t>Faire famille sans faire couple</t>
  </si>
  <si>
    <t>Pierre-Yves Wauthier</t>
  </si>
  <si>
    <t>Reframing Roman Liturgy</t>
  </si>
  <si>
    <t>Filip Malesevic</t>
  </si>
  <si>
    <t>Lehrpersonenhandeln im Klassenrat</t>
  </si>
  <si>
    <t>Nina Gregori</t>
  </si>
  <si>
    <t>MIMOS 2020</t>
  </si>
  <si>
    <t>Paola Gilardi-Anne Fournier-Andreas Klaeui-Yvonne Schmidt</t>
  </si>
  <si>
    <t>The (Near) Future of Central Bank Digital Currencies</t>
  </si>
  <si>
    <t>Nicola Bilotta-Fabrizio Botti</t>
  </si>
  <si>
    <t>Terminologie numÃ©rique : conception, reprÃ©sentation et gestion</t>
  </si>
  <si>
    <t>Federica Vezzani</t>
  </si>
  <si>
    <t>Restored Order</t>
  </si>
  <si>
    <t>RELIGION / Biblical Commentary / New Testament / General</t>
  </si>
  <si>
    <t>Steve Carter</t>
  </si>
  <si>
    <t>Feminismos, violencias y redes sociales</t>
  </si>
  <si>
    <t>Inmaculada Postigo GÃ³mez-Teresa Vera Balanza-Ruth de Frutos GarcÃ­a</t>
  </si>
  <si>
    <t>Estudios de paz y conflictos</t>
  </si>
  <si>
    <t>CÃ©cile Mouly</t>
  </si>
  <si>
    <t>Go Online!</t>
  </si>
  <si>
    <t>Laura Gray-Rosendale-Steven Rosendale</t>
  </si>
  <si>
    <t>Teaching History to Face the World Today</t>
  </si>
  <si>
    <t>Cosme J. GÃ³mez Carrasco-JosÃ© Monteagudo FernÃ¡ndez-Juan RamÃ³n Moreno Vera</t>
  </si>
  <si>
    <t>Binnendifferenzierung im Alphabetisierungskurs im Bereich Deutsch als Zweitsprache</t>
  </si>
  <si>
    <t>Anja BÃ¶ttinger</t>
  </si>
  <si>
    <t>(Auto-)Biographische Texte im Literaturunterricht</t>
  </si>
  <si>
    <t>Matthias Pauldrach</t>
  </si>
  <si>
    <t>Development and Implementation of the EU Grand Strategies: Sociological, Policy, and Regional Considerations of Agenda 2030</t>
  </si>
  <si>
    <t>Borut RonÄeviÄ‡-Cristian Gangaliuc-Alenka Pandiloska Jurak-Victor Cepoi-Urska Fric-Erika Ursic-Tamara Besednjak ValiÄ</t>
  </si>
  <si>
    <t>Progress in Origen and the Origenian Tradition</t>
  </si>
  <si>
    <t>Anders-Christian Jacobsen-Gaetano Lettieri-Maria Fallica</t>
  </si>
  <si>
    <t>Wits and Interpretation</t>
  </si>
  <si>
    <t>Bengt Edlund</t>
  </si>
  <si>
    <t>Das Geld des Koenigs</t>
  </si>
  <si>
    <t>Udo GÃ¶llmann</t>
  </si>
  <si>
    <t>Validitaet und schriftliche Sprachkompetenz</t>
  </si>
  <si>
    <t>Maria Ramberg</t>
  </si>
  <si>
    <t>Mitos e identidades en las autoras hispÃ¡nicas contemporÃ¡neas</t>
  </si>
  <si>
    <t>Pilar Nieva-de la Paz</t>
  </si>
  <si>
    <t>Information Disorder</t>
  </si>
  <si>
    <t>Francesco Biondo-Gevisa La Rocca-Viviana Viviana Trapani</t>
  </si>
  <si>
    <t>British Periodicals and Spanish Literature</t>
  </si>
  <si>
    <t>MÂª Eugenia Perojo Arronte-Cristina Flores Moreno</t>
  </si>
  <si>
    <t>Lachgemeinschaften?</t>
  </si>
  <si>
    <t>Symbiotic Posthumanist Ecologies in Western Literature, Philosophy and Art</t>
  </si>
  <si>
    <t>Peggy Karpouzou-Nikoleta Zampaki</t>
  </si>
  <si>
    <t>Discovering the New Place of Learning</t>
  </si>
  <si>
    <t>Natalija MaÅ¾eikienÄ—</t>
  </si>
  <si>
    <t>Berufliche Weiterbildung in Volkshochschulen</t>
  </si>
  <si>
    <t>Marion Fleige-Wiltrud Gieseke-Aiga von Hippel-Maria Stimm</t>
  </si>
  <si>
    <t>Protagonists of Production in Preindustrial European Literature (1700-1800)</t>
  </si>
  <si>
    <t>Beatrice Schuchardt-Christian von Tschilschke</t>
  </si>
  <si>
    <t>Didaktiken des Komischen</t>
  </si>
  <si>
    <t>Stefan Born</t>
  </si>
  <si>
    <t>Social Investment and Territorial Inequalities: Mapping Policies and Services in the Baltic States</t>
  </si>
  <si>
    <t>Jurga BuÄaitÄ—-VilkÄ—</t>
  </si>
  <si>
    <t>Diversidad funcional en clave de gÃ©nero</t>
  </si>
  <si>
    <t>Julio E. Checa Puerta-Alba GÃ³mez GarcÃ­a</t>
  </si>
  <si>
    <t>Neumaerkische Staende (Rep. 23 B)</t>
  </si>
  <si>
    <t>Margot Beck-Wolfgang Neugebauer</t>
  </si>
  <si>
    <t>Im Dienste von Verwaltung, Archivwissenschaft und brandenburgischer Landesgeschichte</t>
  </si>
  <si>
    <t>Die Revolution 1848/49 in Brandenburg</t>
  </si>
  <si>
    <t>Zwischen Koenigtum und Volkssouveraenitaet</t>
  </si>
  <si>
    <t>Brandenburgische Kirchenbuchduplikate 1794-1874</t>
  </si>
  <si>
    <t>Klaus Neitmann-Brandenburgisches Landeshauptarchiv</t>
  </si>
  <si>
    <t>Aufgaben und Struktur der Bezirkstage und Raete der Bezirke in der DDR 1952-1990/91 am Beispiel des Bezirkes Cottbus</t>
  </si>
  <si>
    <t>Klaus Neitmann-Eva Rickmers</t>
  </si>
  <si>
    <t>Die Vogtei Salzwedel</t>
  </si>
  <si>
    <t>Joachim Stephan-Brandenburgisches Landeshauptarchiv</t>
  </si>
  <si>
    <t>Inventar der Offenen Befehle der Sowjetischen Militaeradministration des Landes Brandenburg</t>
  </si>
  <si>
    <t>Urkunden der Stadt Beeskow in Regesten (1272-1649)</t>
  </si>
  <si>
    <t>Die Enteignung von Â«Nazi- und KriegsverbrechernÂ» im Land Brandenburg</t>
  </si>
  <si>
    <t>Befehle der Sowjetischen Militaeradministration des Landes Brandenburg 1945-1949</t>
  </si>
  <si>
    <t>A memÃ³ria da DestruiÃ§Ã£o na escrita judaico-brasileira depois de 1985</t>
  </si>
  <si>
    <t>Joanna M. MoszczyÅ„ska</t>
  </si>
  <si>
    <t>Lebensreform in der Schweiz (1850â€“1950)</t>
  </si>
  <si>
    <t>Stefan Rindlisbacher</t>
  </si>
  <si>
    <t>Urkunden der Stadt Pritzwalk in Regesten (1256-1703)</t>
  </si>
  <si>
    <t>Klaus Neitmann</t>
  </si>
  <si>
    <t>Fuentes lexicogrÃ¡ficas del estudio histÃ³rico del lÃ©xico hispanoamericano</t>
  </si>
  <si>
    <t>JosÃ© Carlos Huisa TÃ©llez</t>
  </si>
  <si>
    <t>Cultural Policy for Arts Education</t>
  </si>
  <si>
    <t>Wolfgang Schneider-Yvette Hardie-Emily Akuno-Daniel Gad</t>
  </si>
  <si>
    <t>Interests and Power in Language Management</t>
  </si>
  <si>
    <t>Marek Nekula-Tamah Sherman-Halina ZawiszovÃ¡</t>
  </si>
  <si>
    <t>Retos e incertidumbres: sobre la traducciÃ³n de literatura en lenguas ibÃ©ricas</t>
  </si>
  <si>
    <t>Marta Kacprzak-Gerardo BeltrÃ¡n-Cejudo</t>
  </si>
  <si>
    <t>Constituents of Political Theory</t>
  </si>
  <si>
    <t>MirosÅ‚aw Karwat-Filip Pierzchalski-Marcin Tobiasz</t>
  </si>
  <si>
    <t>Normatividad, equivalencia y calidad en la traducciÃ³n e interpretaciÃ³n de lenguas ibÃ©ricas</t>
  </si>
  <si>
    <t>Katarzyna Popek-Bernat</t>
  </si>
  <si>
    <t>Ficciones y lÃ­mites</t>
  </si>
  <si>
    <t>Alba GÃ³mez GarcÃ­a-David Navarro Juan-Javier Velloso Ãlvarez</t>
  </si>
  <si>
    <t>Ibrahim Ibn Yaqubâ€™s Account of His Travel to Slavic Countries As Transmitted by Al-Bakri</t>
  </si>
  <si>
    <t>Tadeusz Kowalski</t>
  </si>
  <si>
    <t>Gentrifiktionen</t>
  </si>
  <si>
    <t>Hanna Henryson</t>
  </si>
  <si>
    <t>Wege zu einer erklaerungsorientierten Linguistik im systemtheoretischen Paradigma</t>
  </si>
  <si>
    <t>Walther Kindt</t>
  </si>
  <si>
    <t>Urban Now</t>
  </si>
  <si>
    <t>Maciej Kurcz</t>
  </si>
  <si>
    <t>Learning the Nuclear: Educational Tourism in (Post)Industrial Sites</t>
  </si>
  <si>
    <t>Die Bezeichnung Â«experienceÂ» im Werk John Deweys</t>
  </si>
  <si>
    <t>Udo Ohm</t>
  </si>
  <si>
    <t>Arbuscular Mycorrhizal Fungi and Higher Plants</t>
  </si>
  <si>
    <t>Golam Jalal Ahammed-Roghieh Hajiboland</t>
  </si>
  <si>
    <t>Sustainability Objectives in Competition and Intellectual Property Law</t>
  </si>
  <si>
    <t>Pranvera KÃ«llezi-Pierre Kobel-Bruce Kilpatrick</t>
  </si>
  <si>
    <t>Proceedings of the 10th Hydrogen Technology Convention, Volume 1</t>
  </si>
  <si>
    <t>Hexu Sun-Wei Pei-Yan Dong-Hongmei Yu-Shi You</t>
  </si>
  <si>
    <t>Innovative Teaching Learning Practices</t>
  </si>
  <si>
    <t>Prof. Dr. Pramod Kumar-Prof. Dr. Anviti Gupta-Prof. Dr. Anna O. Budarina</t>
  </si>
  <si>
    <t>Centers and Peripheries in Romance Language Literatures in the Americas and Africa</t>
  </si>
  <si>
    <t>Petr KylouÅ¡ek</t>
  </si>
  <si>
    <t>Una paz aplazada, pero urgente y necesaria</t>
  </si>
  <si>
    <t>CÃ©cile Mouly-Esperanza HernÃ¡ndez Delgado</t>
  </si>
  <si>
    <t>Proceedings of the 5th Annual Advanced Technology, Applied Science, and Engineering Conference (ATASEC) 2023</t>
  </si>
  <si>
    <t>Rosa Andrie Asmara-Agung Nugroho Pramudhita-Vivi Nur Wijayaningrum-Muhmmad Shulhan Khairy-Indrazno Siradjuddin</t>
  </si>
  <si>
    <t>Proceedings of the Conference on SDGs Transformation Through the Creative Economy: Encouraging Innovation and Sustainability (TCEEIS 2023)</t>
  </si>
  <si>
    <t>Imam Abrori-Indrian Supheni-Muhammad Mudhofar-Wahyuning Murniati-Nico Irawan</t>
  </si>
  <si>
    <t>BiorÃ³Å¼norodnoÅ›Ä‡ mojej okolicy ukryta w historii â€“ dane archiwalne i wspÃ³Å‚czesne w obserwacjach przyrodniczych. PodrÄ™cznik dla nauczycieli i praktykÃ³w ochrony przyrody</t>
  </si>
  <si>
    <t>Maciej Marcin Nowak-Katarzyna SÅ‚upecka-Krystian Florkowski</t>
  </si>
  <si>
    <t>Profilaktyka zachowaÅ„ ryzykownych â€“ dobre praktyki i dowody naukowe</t>
  </si>
  <si>
    <t>Maciej MuskaÅ‚a (red.)-Hanna Karaszewska (red.)</t>
  </si>
  <si>
    <t>Habilidades directivas y clima organizacional. Resultados de una investigaciÃ³n en las micro y pequeÃ±as empresas latinoamericanas</t>
  </si>
  <si>
    <t>Nuria PeÃ±a Ahumada-Oscar C Aguilar Rascon</t>
  </si>
  <si>
    <t>Untersuchungen zur poetischen Struktur der Lyrik von Sima PanduroviÄ‡. "Posmrtne poÄasti"</t>
  </si>
  <si>
    <t>BÃ¤rbel Schulte</t>
  </si>
  <si>
    <t>Intra-Writer Variation in Historical Sociolinguistics</t>
  </si>
  <si>
    <t>Markus Schiegg-Judith Huber</t>
  </si>
  <si>
    <t>Lâ€™expÃ©rience de la subjectivitÃ© dans lâ€™enseignement littÃ©raire</t>
  </si>
  <si>
    <t>Bruno VÃ©drines</t>
  </si>
  <si>
    <t>Moving Towards Europe</t>
  </si>
  <si>
    <t>Asli Selin Okyay-Luca Barana-Colleen Elizabeth Boland</t>
  </si>
  <si>
    <t>Communication and Politics in the Hispanic Monarchy</t>
  </si>
  <si>
    <t>Domenico Cecere-Alessandro Tuccillo</t>
  </si>
  <si>
    <t>Positive Psychology in the Military</t>
  </si>
  <si>
    <t>Hubert Annen</t>
  </si>
  <si>
    <t>Transferwissenschaften: Mode oder Mehrwert?</t>
  </si>
  <si>
    <t>Konstantin S. Kiprijanov-Thorsten Philipp-Thorsten Roelcke</t>
  </si>
  <si>
    <t>Ritual Boundaries</t>
  </si>
  <si>
    <t>Joseph E. Sanzo</t>
  </si>
  <si>
    <t>Cancer Care in Pandemic Times: Building Inclusive Local Health Security in Africa and India</t>
  </si>
  <si>
    <t>Geoffrey Banda-Maureen Mackintosh-Mercy Karimi Njeru-Fortunata Songora Makene-Smita Srinivas</t>
  </si>
  <si>
    <t>Proceedings of the Critical Island Studies 2023 Conference (CISC 2023)</t>
  </si>
  <si>
    <t>Ramayda Akmal-Iping Liang-Vincenz Serrano-Wulan Tri Astuti-Raymon D. Ritumban</t>
  </si>
  <si>
    <t>Muddy Thinking in the Mississippi River Delta</t>
  </si>
  <si>
    <t>Ned Randolph</t>
  </si>
  <si>
    <t>Proceedings of the 12th UUM International Legal Conference 2023 (UUMILC 2023)</t>
  </si>
  <si>
    <t>Rohana Abdul Rahman-Mohamad Fateh Labanieh-Md. Zahurul Haq-Zuryati Mohamed Yusoff-Ahmad Shamsul Abd. Aziz</t>
  </si>
  <si>
    <t>Proceedings of the International Conference on Entrepreneurship, Leadership and Business Innovation (ICELBI 2022)</t>
  </si>
  <si>
    <t>Donard Games-Maruf</t>
  </si>
  <si>
    <t>Proceedings of the 2023 2nd International Conference on Public Service, Economic Management and Sustainable Development (PESD 2023)</t>
  </si>
  <si>
    <t>BUSINESS &amp; ECONOMICS / Industries / Service</t>
  </si>
  <si>
    <t>Zhikai Wang-Qiujing Wu-Songsong Liu-Guoliang Wang-Jia Li</t>
  </si>
  <si>
    <t>Basic Modeling and Theory of Creep of Metallic Materials</t>
  </si>
  <si>
    <t>Rolf SandstrÃ¶m</t>
  </si>
  <si>
    <t>The Principal Pauline Epistles: A Collation of Old Latin Witnesses</t>
  </si>
  <si>
    <t>H.A.G. Houghton-C.M. Kreinecker-R.F MacLachlan-C.J Smith</t>
  </si>
  <si>
    <t>Men and Masculinities in Modern Britain</t>
  </si>
  <si>
    <t>Matt Houlbrook-Katie Jones-Ben Mechen</t>
  </si>
  <si>
    <t>Researching Animal Research</t>
  </si>
  <si>
    <t>Gail Davies-Beth Greenhough-Pru Hobson-West-Robert G. W. Kirk-Alexandra Palmer-Emma Roe</t>
  </si>
  <si>
    <t>Solidarity: Nature, Grounds, and Value</t>
  </si>
  <si>
    <t>Andrea Sangiovanni</t>
  </si>
  <si>
    <t>Ways of Seeking</t>
  </si>
  <si>
    <t>LITERARY CRITICISM / Middle Eastern</t>
  </si>
  <si>
    <t>Emily Drumsta</t>
  </si>
  <si>
    <t>Religious Entanglements Between Germans and Indians, 1800â€“1945</t>
  </si>
  <si>
    <t>Isabella Schwaderer-Gerdien Jonker</t>
  </si>
  <si>
    <t>Green Hydrogen Production by Water Electrolysis</t>
  </si>
  <si>
    <t>Junbo Hou-Min Yang</t>
  </si>
  <si>
    <t>Real Estate and Sustainable Crisis Management in Urban Environments</t>
  </si>
  <si>
    <t>Saija Toivonen-Sirkka Heinonen-Ira Verma-RaÃºl CastaÃ±o-Rosa-Sara Wilkinson</t>
  </si>
  <si>
    <t>Political Modernity and Social Theory</t>
  </si>
  <si>
    <t>Jose MaurÂ¡cio Domingues</t>
  </si>
  <si>
    <t>India Migration Report 2023</t>
  </si>
  <si>
    <t>Generative AI in Higher Education</t>
  </si>
  <si>
    <t>Cecilia Ka Yuk Chan-Tom Colloton</t>
  </si>
  <si>
    <t>Early Modern Genres of History</t>
  </si>
  <si>
    <t>Emil Nicklas Johnsen-Ina Louise Stovner</t>
  </si>
  <si>
    <t>Innovations in Journalism</t>
  </si>
  <si>
    <t>Klaus Meier-Jose A. GarcÃ­a-AvilÃ©s-Andy Kaltenbrunner-Colin Porlezza-Vinzenz Wyss-RenÃ©e Lugschitz-Korbinian Klinghardt</t>
  </si>
  <si>
    <t>The Routledge Handbook of Global Sustainability Education and Thinking for the 21st Century</t>
  </si>
  <si>
    <t>Michele John</t>
  </si>
  <si>
    <t>A Multidisciplinary Exploration Into Flow in Writing</t>
  </si>
  <si>
    <t>LANGUAGE ARTS &amp; DISCIPLINES / Writing / Composition</t>
  </si>
  <si>
    <t>Deborah F. Rossen-Knill-Katherine L. Schaefer-Matthew W. Bayne-Whitney Gegg-Harrison-Dev Crasta-Alessandra DiMauro</t>
  </si>
  <si>
    <t>School Children and the Challenge of Managing AI Technologies</t>
  </si>
  <si>
    <t>Emanuela Guarcello-Abele Longo</t>
  </si>
  <si>
    <t>Power and Freedom in the Space of Reasons</t>
  </si>
  <si>
    <t>Tuomo Tiisala</t>
  </si>
  <si>
    <t>Social Structure Adaptation to COVID-19</t>
  </si>
  <si>
    <t>Suresh Nanwani-William Loxley</t>
  </si>
  <si>
    <t>Philosophy and Leadership</t>
  </si>
  <si>
    <t>Business Models and Digital Technology Platforms</t>
  </si>
  <si>
    <t>Krzysztof Bartczak</t>
  </si>
  <si>
    <t>From Overtourism to Sustainability Governance</t>
  </si>
  <si>
    <t>Harald Pechlaner-Elisa Innerhofer-Julian Philipp</t>
  </si>
  <si>
    <t>Start-up Wolf</t>
  </si>
  <si>
    <t>Olivia Yijian Liu</t>
  </si>
  <si>
    <t>The Pedagogies of Re-Use</t>
  </si>
  <si>
    <t>ARCHITECTURE / Adaptive Reuse &amp; Renovation</t>
  </si>
  <si>
    <t>Duncan Baker-Brown-Graeme Brooker</t>
  </si>
  <si>
    <t>The Feminist Legislation Project</t>
  </si>
  <si>
    <t>Becky Batagol-Kate Seear-Heli Askola-Jamie Walvisch</t>
  </si>
  <si>
    <t>Constitutional Discussions on Nuclear Energy in Germany</t>
  </si>
  <si>
    <t>Robert Rybski</t>
  </si>
  <si>
    <t>How Migrants Choose Their Destinations</t>
  </si>
  <si>
    <t>Dominika PszczÃ³Å‚kowska</t>
  </si>
  <si>
    <t>Handbook of Mental Performance</t>
  </si>
  <si>
    <t>Nathalie Pattyn-Robin Hauffa</t>
  </si>
  <si>
    <t>The Political Economy of Hungarian Authoritarian Populism</t>
  </si>
  <si>
    <t>Samuel Rogers</t>
  </si>
  <si>
    <t>Fifty Years of Family Planning in the Democratic Republic of the Congo</t>
  </si>
  <si>
    <t>Jane T. Bertrand</t>
  </si>
  <si>
    <t>Documenting Maritime Heritage at Risk</t>
  </si>
  <si>
    <t>Elizabeth Shotton-Oriel Prizeman</t>
  </si>
  <si>
    <t>A Critical History of Health Films in Central and Eastern Europe and Beyond</t>
  </si>
  <si>
    <t>Victoria Shmidt-Karl Kaser</t>
  </si>
  <si>
    <t>Fatal Family Violence and the Dementias</t>
  </si>
  <si>
    <t>Neil Websdale</t>
  </si>
  <si>
    <t>The Books SÄnk and PÄtanÄŸal</t>
  </si>
  <si>
    <t>NoÃ©mie Verdon</t>
  </si>
  <si>
    <t>Honorable and Brilliant Labors</t>
  </si>
  <si>
    <t>John D. Miller</t>
  </si>
  <si>
    <t>Academic Research &amp; Reviews in Social, Human and Administrative Sciences - III-</t>
  </si>
  <si>
    <t>Beatriz Lucia Salvador-Bizotto-M. O. DEMIR-H.Bilgin-C. Kartal-O.M.Sungur-T.Durukan-N.SevinÃ§-M.?.Solak-M.Ramazano?lu-I.BahÃ§evan-B.Nohayla-G.Barzi-L.B.Provensi-G.Lazzari-R.Jesus-B.U.Eze-A.Azeez-F.Ekechi-A.Akeem</t>
  </si>
  <si>
    <t>FEMALE CRIMINALITY</t>
  </si>
  <si>
    <t>Rumeysa AKGÃœN</t>
  </si>
  <si>
    <t>Academic Research &amp; Reviews in Art, Design, Architecture and Fashion Breaking Creative Boundaries</t>
  </si>
  <si>
    <t>Ãtalo Dantas-LÃ­via Solino-Fabiano AtÃ­lio Batista-Milena Oliveira-Fatih M. Alhan-Aysu C. YÄ±lmaz BarÄ±ÅŸ-GÃ¼l A. Ã‡obanlar-Tunjung Wijanarka</t>
  </si>
  <si>
    <t>Analysing Education Policy</t>
  </si>
  <si>
    <t>Meghan Stacey-Nicole Mockler</t>
  </si>
  <si>
    <t>Monuments and Memory in Africa</t>
  </si>
  <si>
    <t>John Sodiq Sanni-Madalitso Zililo Phiri</t>
  </si>
  <si>
    <t>The Edinburgh Companion to the New European Humanities</t>
  </si>
  <si>
    <t>Rosi Braidotti-Hiltraud Casper-Hehne-Marjan IvkoviÄ‡-Daan F. Oostveen</t>
  </si>
  <si>
    <t>Greek Captives and Mediterranean Slavery, 1260â€“1460</t>
  </si>
  <si>
    <t>Alasdair C. Grant</t>
  </si>
  <si>
    <t>Disentangling Jihad, Political Violence and Media</t>
  </si>
  <si>
    <t>Simone Pfeifer-Christoph GÃ¼nther-Robert DÃ¶rre</t>
  </si>
  <si>
    <t>Art and Technology in Maurice Blanchot</t>
  </si>
  <si>
    <t>Holly Langstaff</t>
  </si>
  <si>
    <t>Nineteenth-Century African American Speeches in Britain and Ireland</t>
  </si>
  <si>
    <t>Celeste-Marie Bernier-Hannah-Rose Murray</t>
  </si>
  <si>
    <t>Nineteenth-Century African American Narratives in Britain and Ireland</t>
  </si>
  <si>
    <t>Music Making in Iran From the 15th to the Early 20th Century</t>
  </si>
  <si>
    <t>HISTORY / Middle East / Iran</t>
  </si>
  <si>
    <t>Amir Hosein Pourjavady</t>
  </si>
  <si>
    <t>Historical Media Memories of the Rwandan Genocide</t>
  </si>
  <si>
    <t>Tommy Gustafsson</t>
  </si>
  <si>
    <t>Filming Death</t>
  </si>
  <si>
    <t>Outi Hakola</t>
  </si>
  <si>
    <t>Global Perspectives on Anti-Feminism</t>
  </si>
  <si>
    <t>Judith Goetz-Stefanie Mayer</t>
  </si>
  <si>
    <t>On the Threshold</t>
  </si>
  <si>
    <t>Sophie E. Battell</t>
  </si>
  <si>
    <t>Judging Complicity</t>
  </si>
  <si>
    <t>Gisli Vogler</t>
  </si>
  <si>
    <t>Urban Inequality in Finland</t>
  </si>
  <si>
    <t>Mika HyÃ¶tylÃ¤inen</t>
  </si>
  <si>
    <t>Governance and Islam in East Africa</t>
  </si>
  <si>
    <t>LAW / Government / State, Provincial &amp; Municipal</t>
  </si>
  <si>
    <t>Farouk Topan-Kai Kresse-Erin E. Stiles-Hassan Mwakimako</t>
  </si>
  <si>
    <t>African Literature and US Empire</t>
  </si>
  <si>
    <t>Katherine Hallemeier</t>
  </si>
  <si>
    <t>Epigraphs in the English Novel 1750â€“1850</t>
  </si>
  <si>
    <t>Corrina Readioff</t>
  </si>
  <si>
    <t>Situating Shakespeare Pedagogy in US Higher Education</t>
  </si>
  <si>
    <t>Marissa Greenberg-Elizabeth Williamson</t>
  </si>
  <si>
    <t>Gilles Deleuze and the Atheist Machine</t>
  </si>
  <si>
    <t>F. LeRon Shults</t>
  </si>
  <si>
    <t>Rethinking the Concept of World</t>
  </si>
  <si>
    <t>Rok BenÄin</t>
  </si>
  <si>
    <t>Proceedings of the 2nd International Conference on Democracy and Social Transformation (ICON-DEMOST 2023)</t>
  </si>
  <si>
    <t>Naili Ni'matul Illiyyun-Endang Supriadi-Ririh Megah Safitri-Masrohatun Masrohatun</t>
  </si>
  <si>
    <t>International Standardization and Trade Regulation</t>
  </si>
  <si>
    <t>Sebastian Klotz</t>
  </si>
  <si>
    <t>Beyond Becquerel and Biology to Precision Radiomolecular Oncology: Festschrift in Honor of Richard P. Baum</t>
  </si>
  <si>
    <t>Vikas Prasad</t>
  </si>
  <si>
    <t>Gute Kinderschutzverfahren</t>
  </si>
  <si>
    <t>JÃ¶rg M. Fegert-Thomas Meysen-Heinz Kindler-Katrin ChauvirÃ©-Geib-Ulrike Hoffmann</t>
  </si>
  <si>
    <t>Political Moods</t>
  </si>
  <si>
    <t>Travis Workman</t>
  </si>
  <si>
    <t>Sustainable Structures and Buildings</t>
  </si>
  <si>
    <t>Alireza Bahrami</t>
  </si>
  <si>
    <t>Sustainability of Southern African Ecosystems Under Global Change</t>
  </si>
  <si>
    <t>Graham P. von Maltitz-Guy F. Midgley-Jennifer Veitch-Christian BrÃ¼mmer-Reimund P. RÃ¶tter</t>
  </si>
  <si>
    <t>UnterstÃ¼tztes Wohnen und Teilhabe</t>
  </si>
  <si>
    <t>Friedrich Dieckmann-Theresia Heddergott-Antonia Thimm</t>
  </si>
  <si>
    <t>Conservation in Chilean Patagonia</t>
  </si>
  <si>
    <t>Juan Carlos Castilla-Juan J. Armesto Zamudio-MarÃ­a JosÃ© MartÃ­nez-Harms-David Tecklin</t>
  </si>
  <si>
    <t>Arab Americans in the United States</t>
  </si>
  <si>
    <t>Shaikha H. Al-Kuwari</t>
  </si>
  <si>
    <t>Proceedings of the International Conference on Applied Sciences and Engineering (ICASE 2023)</t>
  </si>
  <si>
    <t>Ulziibayar Vandandoo-Namnan Tumurpurev-Ochirbat Baatar-Ankhbayar Gelegbadam-Ayurzana Badarch</t>
  </si>
  <si>
    <t>Proceedings of the 6th Yogyakarta International Seminar on Health, Physical Education, and Sports Science (YISHPESS 2023)</t>
  </si>
  <si>
    <t>Yudik Prasetyo-Siswantoyo-Soni Nopembri-Novita Intan Arovah-Nurdiana Gaus</t>
  </si>
  <si>
    <t>Gaming and Extremism</t>
  </si>
  <si>
    <t>Linda Schlegel-Rachel Kowert</t>
  </si>
  <si>
    <t>Â«Esemplari umaniÂ»</t>
  </si>
  <si>
    <t>LITERARY CRITICISM / Gothic &amp; Romance</t>
  </si>
  <si>
    <t>Giovanna Cordibella-Martina Mengoni</t>
  </si>
  <si>
    <t>Scripta manent". Historia del espaÃ±ol, documentaciÃ³n archivÃ­stica y humanidades digitales</t>
  </si>
  <si>
    <t>Miguel CalderÃ³n Campos-Inmaculada GonzÃ¡lez SopeÃ±a</t>
  </si>
  <si>
    <t>Cultivating Compassion</t>
  </si>
  <si>
    <t>PHILOSOPHY / Buddhist</t>
  </si>
  <si>
    <t>Juewei Shi-Stephen Hill-Suzanne Franzway</t>
  </si>
  <si>
    <t>The Redefinition of the EU Presence in Latin America and the Caribbean</t>
  </si>
  <si>
    <t>Gian Luca Gardini</t>
  </si>
  <si>
    <t>Kontrastive Feldermodelle als didaktische Werkzeuge im universitaeren DaF-Unterricht fuer norwegische Muttersprachler</t>
  </si>
  <si>
    <t>Franziska Jensen</t>
  </si>
  <si>
    <t>Chinese Marriages in Transition</t>
  </si>
  <si>
    <t>Xiaoling Shu-Jingjing Chen</t>
  </si>
  <si>
    <t>The Business of Densification</t>
  </si>
  <si>
    <t>Gabriela Debrunner</t>
  </si>
  <si>
    <t>Global Digital Data Governance</t>
  </si>
  <si>
    <t>Carolina Aguerre-Malcolm Campbell-Verduyn-Jan Aart Scholte</t>
  </si>
  <si>
    <t>Japanese Diplomacy and East Asian International Politics, 1918â€“1931</t>
  </si>
  <si>
    <t>Ryuji Hattori</t>
  </si>
  <si>
    <t>Niancai Liu-Zhuolin Feng-Qi Wang</t>
  </si>
  <si>
    <t>Sinsoekers: Tussen Twyfel en Troos</t>
  </si>
  <si>
    <t>RELIGION / Christian Living / Inspirational</t>
  </si>
  <si>
    <t>Johan Cilliers</t>
  </si>
  <si>
    <t>Poison: A Play in One Act</t>
  </si>
  <si>
    <t>DRAMA / African</t>
  </si>
  <si>
    <t>Sandile Mdlongwa</t>
  </si>
  <si>
    <t>Futures and Beyond: Creativity and 4IR Conference 2022</t>
  </si>
  <si>
    <t>DESIGN / Graphic Arts / General</t>
  </si>
  <si>
    <t>Alex Halligey</t>
  </si>
  <si>
    <t>Scattering Amplitudes in Quantum Field Theory</t>
  </si>
  <si>
    <t>Simon Badger-Johannes Henn-Jan Christoph Plefka-Simone Zoia</t>
  </si>
  <si>
    <t>Ritualisierende Agency in Todesritualen</t>
  </si>
  <si>
    <t>Lilo Ruther</t>
  </si>
  <si>
    <t>Celestina y ecos celestinescos</t>
  </si>
  <si>
    <t>Ruth MartÃ­nez Alcorlo-Amaranta Saguar GarcÃ­a</t>
  </si>
  <si>
    <t>The Western Sahara Question and International Law</t>
  </si>
  <si>
    <t>Stephen Allen-Jamie Trinidad</t>
  </si>
  <si>
    <t>Reviving Classical Liberalism Against Populism</t>
  </si>
  <si>
    <t>Nils Karlson</t>
  </si>
  <si>
    <t>Measuring Gender Equality</t>
  </si>
  <si>
    <t>Enrico di Bella-Sandra Fachelli-Pedro LÃ³pez-RoldÃ¡n-Christian Suter</t>
  </si>
  <si>
    <t>Conservation of Contemporary Art</t>
  </si>
  <si>
    <t>RenÃ©e van de Vall-Vivian van Saaze</t>
  </si>
  <si>
    <t>Multidisciplinary Aspects of Design</t>
  </si>
  <si>
    <t>Francesca Zanella-Giampiero Bosoni-Elisabetta Di Stefano-Gioia Laura Iannilli-Giovanni Matteucci</t>
  </si>
  <si>
    <t>Proceedings of the 2nd UPY International Conference on Education and Social Science (UPINCESS 2023)</t>
  </si>
  <si>
    <t>Reshaping Engineering Education</t>
  </si>
  <si>
    <t>Fawwaz Habbal-Anette Kolmos-Roger G. Hadgraft-Jette Egelund Holgaard-Kamar Reda</t>
  </si>
  <si>
    <t>PeaceTech: Digital Transformation to End Wars</t>
  </si>
  <si>
    <t>Christine Bell</t>
  </si>
  <si>
    <t>Internet of Production</t>
  </si>
  <si>
    <t>Christian Brecher-GÃ¼nther Schuh-Wil van der Aalst-Matthias Jarke-Frank T. Piller</t>
  </si>
  <si>
    <t>Proceedings of the 2nd Annual Conference of Islamic Education 2023 (ACIE 2023)</t>
  </si>
  <si>
    <t>Depict Pristine Adi-Setya Chendra Wibawa-Mashudi-Taha Romadhan Zaghloul-Fiqru Mafar</t>
  </si>
  <si>
    <t>Proceedings of the 2nd International Interdisciplinary Conference on Environmental Sciences and Sustainable Developments Education and Green Economy (IICESSD-EGE 2022)</t>
  </si>
  <si>
    <t>Femilia Zahra-Salahudin Muhidin-Norbani Che-Ha-Husnah Husnah-Mery Napitupulu</t>
  </si>
  <si>
    <t>Proceedings of the 2023 5th International Conference on Literature, Art and Human Development (ICLAHD 2023)</t>
  </si>
  <si>
    <t>Elisabetta Marino-Yixiang Wang-Bootheina Majoul-Hsuan Lee</t>
  </si>
  <si>
    <t>Proceedings of the 11th International Conference on Business, Accounting, Finance and Economics (BAFE 2023)</t>
  </si>
  <si>
    <t>Yuen Onn Choong-Fanyu Chen-Keng Soon William Choo-Voon Hsien Lee-Chooi Yi Wei</t>
  </si>
  <si>
    <t>Proceedings of the World Anthropology Congress 2023 (WAC 2023)</t>
  </si>
  <si>
    <t>Tulishree Pradhan-Deepak Kumar Behera-Savarimuthu Gregory-Pooran Chand Joshi-Madhuri Meelee</t>
  </si>
  <si>
    <t>Proceedings of the 5th International Scientific Meeting on Public Health and Sports (ISMoPHS 2023)</t>
  </si>
  <si>
    <t>Tika Dwi Tama-Dian Mawarni-Ema Novita Deniati-Anindya Hapsari-Yulingga Nanda Hanief</t>
  </si>
  <si>
    <t>Agroforestry As Climate Change Adaptation</t>
  </si>
  <si>
    <t>Mette Fog Olwig-Aske Skovmand Bosselmann-Kwadwo Owusu</t>
  </si>
  <si>
    <t>ErklÃ¤rvideos im Sachunterricht</t>
  </si>
  <si>
    <t>Stefan Meller</t>
  </si>
  <si>
    <t>Die politische Ã–konomie der â€žÃœberflÃ¼ssigenâ€œ</t>
  </si>
  <si>
    <t>Jakob Graf</t>
  </si>
  <si>
    <t>Scripting Farming Simulator with Lua</t>
  </si>
  <si>
    <t>Zander Brumbaugh-Manuel Leithner</t>
  </si>
  <si>
    <t>Womenâ€™s Private Practices of Knowledge Production in Early Modern Europe</t>
  </si>
  <si>
    <t>Natacha Klein KÃ¤fer-NatÃ¡lia da Silva Perez</t>
  </si>
  <si>
    <t>Gen- und Zelltherapie 2.023 - Forschung, klinische Anwendung und Gesellschaft</t>
  </si>
  <si>
    <t>Boris Fehse-Hannah Schickl-Sina Bartfeld-Martin Zenke</t>
  </si>
  <si>
    <t>Transformations of European Welfare States and Social Rights</t>
  </si>
  <si>
    <t>Stine Piilgaard Porner Nielsen-Ole Hammerslev</t>
  </si>
  <si>
    <t>Energy Management of Integrated Energy System in Large Ports</t>
  </si>
  <si>
    <t>Wentao Huang-Moduo Yu-Hao Li-Nengling Tai</t>
  </si>
  <si>
    <t>Risible</t>
  </si>
  <si>
    <t>Delia Casadei</t>
  </si>
  <si>
    <t>Sounding Bodies</t>
  </si>
  <si>
    <t>Shannon Draucker</t>
  </si>
  <si>
    <t>Radio and Women's Empowerment in Francophone West Africa</t>
  </si>
  <si>
    <t>Emma Heywood</t>
  </si>
  <si>
    <t>Documenting the Armenian Genocide</t>
  </si>
  <si>
    <t>Thomas KÃ¼hne-Mary Jane Rein-Marc A. Mamigonian</t>
  </si>
  <si>
    <t>NGOs Mediating Peace</t>
  </si>
  <si>
    <t>Julia Palmiano Federer</t>
  </si>
  <si>
    <t>Progress in Landslide Research and Technology, Volume 2 Issue 2, 2023</t>
  </si>
  <si>
    <t>Irasema AlcÃ¡ntara-Ayala-Å½eljko Arbanas-David Huntley-Kazuo Konagai-SnjeÅ¾ana MihaliÄ‡ Arbanas</t>
  </si>
  <si>
    <t>Civil Society Elites</t>
  </si>
  <si>
    <t>HÃ¥kan Johansson-Anna Meeuwisse</t>
  </si>
  <si>
    <t>Proceedings of the 2nd International Conference on Education Innovation and Social Science (ICEISS 2023)</t>
  </si>
  <si>
    <t>Rochman Hadi Mustofa-Tri Nur Wahyudi-Titik Ulfatun-Dhany Efita Sari</t>
  </si>
  <si>
    <t>Proceedings of the 2nd Semarang International Conference on Counseling and Educational Psychology (SICCEP 2023)</t>
  </si>
  <si>
    <t>Eem Munawaroh</t>
  </si>
  <si>
    <t>Proceedings of the 2023 3rd International Conference on Social Development and Media Communication (SDMC 2023)</t>
  </si>
  <si>
    <t>Sikandar Ali Qalati-Mohd Farid Mohd Sharif-Mohd. Khairie Ahmad-Dragana Ostic</t>
  </si>
  <si>
    <t>Proceedings of the Second International Conference on Resources and Technology (RESAT 2023)</t>
  </si>
  <si>
    <t>Altangerel Lkhamsuren-Battsengel Baatar-Gantuya Ganbat</t>
  </si>
  <si>
    <t>Proceedings of the Second Conference on Psychology and Flourishing Humanity (PFH 2023)</t>
  </si>
  <si>
    <t>Yusuf Ratu Agung-Muchamad Adam Basori-Fina Hidayati-Ermita Zakiyah</t>
  </si>
  <si>
    <t>Making Universities Matter</t>
  </si>
  <si>
    <t>Pauline Mattsson-Eugenia Perez Vico-Linus SalÃ¶</t>
  </si>
  <si>
    <t>DÃ©sertification et changement climatique, un mÃªme combat ?</t>
  </si>
  <si>
    <t>A History of East Baltic Through Language Contact</t>
  </si>
  <si>
    <t>Anthony Jakob</t>
  </si>
  <si>
    <t>EstadÃ­stica y medicina. Un enfoque para principiantes</t>
  </si>
  <si>
    <t>Religacion Press</t>
  </si>
  <si>
    <t>EDUCATION / Statistics</t>
  </si>
  <si>
    <t>Axel Javier Zevallos Aquije-Alvaro JosÃ© Maravi Cardenas-Karen Juliza Palomino Salcedo</t>
  </si>
  <si>
    <t>GestiÃ³n de la cadena de suministros. Enfoques y perspectivas modernas</t>
  </si>
  <si>
    <t>Alvaro JosÃ© Maravi Cardenas-Axel Javier Zevallos Aquije-Karen Juliza Palomino Salcedo</t>
  </si>
  <si>
    <t>Dosidicus gigas (D'Orbigny 1835). Estudio sobre el consumo de calamar gigante</t>
  </si>
  <si>
    <t>Edgardo David Quinde RenterÃ­a-Antia Rangel Vega-Juan Manuel Tume Ruiz-MartÃ­n Roberto Zeta Flores</t>
  </si>
  <si>
    <t>Transformaciones en la educaciÃ³n universitaria. Modelo de mentorÃ­a para mejorar el logro de aprendizajes</t>
  </si>
  <si>
    <t>Carmen Isaura DÃ­az Ãlvarez-Frisa MarÃ­a Antonieta Aliaga Guevara-Anita Elizabeth Preciado Marchan</t>
  </si>
  <si>
    <t>ProducciÃ³n de biofertilizante en biorreactor con cÃºpula flotante a partir de guano de la isla GuaÃ±ape</t>
  </si>
  <si>
    <t>Haniel SolÃ­s MuÃ±oz-Antonio Manuel Otoya Zelada-Elias Fernando Haro Aro-Laura Isabel Gutierrez Escarcena</t>
  </si>
  <si>
    <t>BiopolÃ­mero quitosano comercial. Impacto en la eliminaciÃ³n de metales pesados en los rÃ­os</t>
  </si>
  <si>
    <t>Laura Isabel Gutierrez Escarcena-Antonio Manuel Otoya Zelada-Elias Fernando Haro Aro-Haniel SolÃ­s MuÃ±oz</t>
  </si>
  <si>
    <t>Perspectivas de la InvestigaciÃ³n. Explorando las complejidades de AmÃ©rica Latina a travÃ©s de estudios de caso</t>
  </si>
  <si>
    <t>Johana Vargas-Roberto SimbaÃ±a Q. (Editors)</t>
  </si>
  <si>
    <t>Complejidades del ambiente laboral. Impacto en la felicidad y el compromiso de empleados en la industria pesquera</t>
  </si>
  <si>
    <t>Miguel Angel CancharÃ­ Preciado-Manuel Antonio Espinoza de la Cruz-JosÃ© German Linares Cazola-Miguel Angel DomÃ­nguez Moreno-Fiorella Manuela Chervellini Orbegozo</t>
  </si>
  <si>
    <t>Cultura empresarial. Desarrollo estratÃ©gico e impacto en una InstituciÃ³n Educativa</t>
  </si>
  <si>
    <t>JosÃ© Felipe Villanueva ButrÃ³n-Groover Valenty Villanueva ButrÃ³n-RocÃ­o BelÃº Ortecho Aguirre</t>
  </si>
  <si>
    <t>Un plan articulador para eventos adversos. Neutralizando los efectos psicolÃ³gicos para mejorar el desempeÃ±o de equipos asistenciales</t>
  </si>
  <si>
    <t>Katherine Piedad Vega Gomez-Hernan Efilio GarcÃ­a Cabrera-Gladys Lola LujÃ¡n Johnson</t>
  </si>
  <si>
    <t>Entre despachos fiscales y trÃ¡mites. Un estudio descriptivo y correlacional sobre la penalizaciÃ³n del aborto por violaciÃ³n sexual</t>
  </si>
  <si>
    <t>Lisbeth Celinda Aguilar Santa Cruz-Rene Felipe Ramos Guevara-Eliana Vanessa CalderÃ³n Guanilo-RubÃ©n Santiesteban Seclen-Carmela Neyra Cruz</t>
  </si>
  <si>
    <t>Libro de memorias. I Simposio de investigadores emergentes en ciencia y tecnologÃ­a</t>
  </si>
  <si>
    <t>Manuel Alejandro Bonilla Bonilla (ed)-Roxana Katherine GÃ³ngora Cheme (ed)-CÃ©sar IvÃ¡n Casanova-Villalba (ed)-Ramiro Enrique GuamÃ¡n ChÃ¡vez (ed)</t>
  </si>
  <si>
    <t>ObligaciÃ³n alimentaria. Incumplimiento y cÃ³mo determinar la reparaciÃ³n civil</t>
  </si>
  <si>
    <t>Carmela Neyra Cruz-Lisbeth Celinda Aguilar Santa Cruz-Rene Felipe Ramos Guevara-Eliana Vanessa CalderÃ³n Guanilo-RubÃ©n Santiesteban Seclen</t>
  </si>
  <si>
    <t>Cultivar lectores para toda la vida. El papel crucial de la dinÃ¡mica niÃ±o-instructor en la competencia lectora temprana</t>
  </si>
  <si>
    <t>Adela Mercedes Urquizo VillamarÃ­n-Rosa Olivia Minango Cunalata-Diana del Rosario PazmiÃ±o Medina-MarÃ­a Cristina Perez Veloz-Daisy Pricila Acurio Mayorga-Fabiola de JesÃºs Merino LÃ³pez</t>
  </si>
  <si>
    <t>Philippe Kruchten-Peggy Gregory</t>
  </si>
  <si>
    <t>The Palgrave Handbook of Southâ€“South Migration and Inequality</t>
  </si>
  <si>
    <t>Heaven Crawley-Joseph Kofi Teye</t>
  </si>
  <si>
    <t>Proceedings of the International Conference on English Language and Teaching (ICOELT 2022)</t>
  </si>
  <si>
    <t>Havid Ardi-M. Affandi Arianto-Nur Rosita-Carbiriena Solusia-Rizaldy Hanifa</t>
  </si>
  <si>
    <t>Proceedings of the 2023 9th International Conference on Architectural, Civil and Hydraulic Engineering (ICACHE 2023)</t>
  </si>
  <si>
    <t>Dayong Li-Yu Zhang-Yalin Luan</t>
  </si>
  <si>
    <t>Proceedings of the International Conference on Enterprise and Industrial Systems (ICOEINS 2023)</t>
  </si>
  <si>
    <t>Mahmud Dwi Sulistiyo-Ryan Adhitya Nugraha</t>
  </si>
  <si>
    <t>Lived Institutions As History of Experience</t>
  </si>
  <si>
    <t>Johanna Annola-Hanna Lindberg-Pirjo Markkola</t>
  </si>
  <si>
    <t>Feminist Activism, Travel and Translation Around 1900</t>
  </si>
  <si>
    <t>Johanna Gehmacher</t>
  </si>
  <si>
    <t>Proceeding of the 3rd International Conference on Social Knowledge Sciences and Education (ICSKSE) 2023'Change and Continuity in Southeast Asia'</t>
  </si>
  <si>
    <t>Aditya Nugroho Widiadi-Sharina Osman-Idris Idris-Azmil Mohd Tayeb</t>
  </si>
  <si>
    <t>Proceedings of the 2023 3rd International Conference on Business Administration and Data Science (BADS 2023)</t>
  </si>
  <si>
    <t>Bijay Kumar Kandel-Anuranjan Misra-Junfeng Liao-Changiz Valmohammadi</t>
  </si>
  <si>
    <t>Proceedings of the Conference on Natural Resources and Life Sciences 2022 (NRLS-BIO 2022)</t>
  </si>
  <si>
    <t>Johan Sukweenadhi-Finna Setiawan</t>
  </si>
  <si>
    <t>Multidisciplinary Perspectives on Artificial Intelligence and the Law</t>
  </si>
  <si>
    <t>Henrique Sousa Antunes-Pedro Miguel Freitas-Arlindo L. Oliveira-Clara Martins Pereira-Elsa Vaz de Sequeira</t>
  </si>
  <si>
    <t>Managing Protected Areas</t>
  </si>
  <si>
    <t>Niall Finneran-Denise Hewlett-Richard Clarke</t>
  </si>
  <si>
    <t>Polarization, Shifting Borders and Liquid Governance</t>
  </si>
  <si>
    <t>Anja Mihr-Chiara Pierobon</t>
  </si>
  <si>
    <t>Progress in Landslide Research and Technology, Volume 2 Issue 1, 2023</t>
  </si>
  <si>
    <t>Irasema AlcÃ¡ntara-Ayala-Å½eljko Arbanas-Sabatino Cuomo-David Huntley-Kazuo Konagai</t>
  </si>
  <si>
    <t>Industrielle Datenanalyse</t>
  </si>
  <si>
    <t>Jochen Deuse-Ralf Klinkenberg-Nikolai West</t>
  </si>
  <si>
    <t>Women's Empowerment and Public Policy in the Arab Gulf States</t>
  </si>
  <si>
    <t>Rabia Naguib</t>
  </si>
  <si>
    <t>Proceedings of the 2023 International Conference on Information Technology and Engineering (ICITE 2023)</t>
  </si>
  <si>
    <t>Proceedings of the International Seminar SEMANTIKS &amp; PRASASTI 2023 Theme: Language in the Workplace (PRASASTI 2023)</t>
  </si>
  <si>
    <t>Djatmika Djatmika-Riyadi Santosa-Agus Hari Wibowo-Dyah Ayu Nila Khrisna-Bahtiar Mohamad</t>
  </si>
  <si>
    <t>Proceedings of the 6th International Conference of Health Polytechnic Surabaya (ICoHPS 2023)</t>
  </si>
  <si>
    <t>Triwiyanto Triwiyanto-Slamet Wardoyo-Ayu Puspitasari-Sari Luthfiyah</t>
  </si>
  <si>
    <t>Quantifying Climate Risk and Building Resilience in the UK</t>
  </si>
  <si>
    <t>Suraje Dessai-Kate Lonsdale-Jason Lowe-Rachel Harcourt</t>
  </si>
  <si>
    <t>Ichthyology in Context (1500â€“1880)</t>
  </si>
  <si>
    <t>Paul J. Smith-Florike Egmond</t>
  </si>
  <si>
    <t>Die Verletzung der Unterhaltspflicht gemÃ¤ÃŸ Â§ 170 I StGB.</t>
  </si>
  <si>
    <t>Lara HÃ¶hne</t>
  </si>
  <si>
    <t>Die ZulÃ¤ssigkeit der Legendierten Kontrolle unter besonderer BerÃ¼cksichtigung der Legendierten AktenfÃ¼hrung.</t>
  </si>
  <si>
    <t>Katharina Funcke</t>
  </si>
  <si>
    <t>ZulÃ¤ssigkeit und Grenzen der Projektbefristung.</t>
  </si>
  <si>
    <t>Marie-Katrin Schaich</t>
  </si>
  <si>
    <t>Dictatorship, Democracy, and Transitional Justice in Global Legal History.</t>
  </si>
  <si>
    <t>Ignacio Czeguhn-Jan Thiessen</t>
  </si>
  <si>
    <t>Producing Feminism</t>
  </si>
  <si>
    <t>Jennifer S. Clark</t>
  </si>
  <si>
    <t>Three Forts on the Tay: Excavations at Moncreiffe, Moredun and Abernethy, Perth and Kinross 2014â€“17</t>
  </si>
  <si>
    <t>David Strachan-Martin Cook-Dawn McLaren</t>
  </si>
  <si>
    <t>Material Worlds: Interdisciplinary Approaches to Contacts and Exchange in the Ancient Near East</t>
  </si>
  <si>
    <t>Arnulf Hausleiter</t>
  </si>
  <si>
    <t>Londonâ€™s Waterfront and Its World, 1666â€“1800</t>
  </si>
  <si>
    <t>HISTORY / Europe / Great Britain / Georgian Era (1714-1837)</t>
  </si>
  <si>
    <t>John Schofield-Stephen Freeth</t>
  </si>
  <si>
    <t>Das zukunftsfÃ¤hige Familienunternehmen</t>
  </si>
  <si>
    <t>Werner GleiÃŸner-Arnold Weissman</t>
  </si>
  <si>
    <t>Proceedings of the Fourth International Conference on Advances in Computer Engineering and Communication Systems (ICACECS 2023)</t>
  </si>
  <si>
    <t>C. Kiran Mai-D. N. Vasundhara-P. V. Siva Kumar-K. Srujan Raju-Raghava Rao Mukkamala</t>
  </si>
  <si>
    <t>Proceedings of the 1st Bengkulu International Conference on Economics, Management, Business and Accounting (BICEMBA 2023)</t>
  </si>
  <si>
    <t>Roosemarina Anggraini Rambe-Lizar Alfansi-Robinson Robinson-Dewi Rahmayanti-Agustina Suparyati</t>
  </si>
  <si>
    <t>OKAY</t>
  </si>
  <si>
    <t>Laura Herzberg</t>
  </si>
  <si>
    <t>Egalitarian Dynamics</t>
  </si>
  <si>
    <t>Bruce Kapferer-Marina Gold</t>
  </si>
  <si>
    <t>Political Friendship</t>
  </si>
  <si>
    <t>Michael Weaver</t>
  </si>
  <si>
    <t>Visualization of Time-Oriented Data</t>
  </si>
  <si>
    <t>Wolfgang Aigner-Silvia Miksch-Heidrun Schumann-Christian Tominski</t>
  </si>
  <si>
    <t>Improvement of Cocoa Tree Resistance to Phytophthora Diseases</t>
  </si>
  <si>
    <t>Christian Cilas-Denis DesprÃ©aux</t>
  </si>
  <si>
    <t>Planification du dÃ©veloppement territorial au BrÃ©sil</t>
  </si>
  <si>
    <t>Olivio Alberto Teixeira-Ã‰ric Sabourin</t>
  </si>
  <si>
    <t>Le travail du sol dans les systÃ¨mes mÃ©canisÃ©s tropicaux</t>
  </si>
  <si>
    <t>Roland Pirot-Sylvain Perret-Hubert Manichon</t>
  </si>
  <si>
    <t>Politiques publiques et agriculture</t>
  </si>
  <si>
    <t>FrÃ©dÃ©ric Varlet-FranÃ§ois Ruf-Nancy LaudiÃ©-Bruno Losch</t>
  </si>
  <si>
    <t>Recherche agricole et innovation en Afrique tropicale</t>
  </si>
  <si>
    <t>Ellen Hanak Freud-Pierre-Marie Bosc</t>
  </si>
  <si>
    <t>DÃ©forestation et systÃ¨mes agraires Ã  Madagascar</t>
  </si>
  <si>
    <t>Serge Razafiarison-Alain Bertrand-Bernard Aubert</t>
  </si>
  <si>
    <t>Genetic Diversity of Cultivated Tropical Plants</t>
  </si>
  <si>
    <t>Jean-Christophe Glaszmann-Xavier Perrier-Marc Seguin-Perla Hamon</t>
  </si>
  <si>
    <t>FiliÃ¨res et dialogue pour l'action</t>
  </si>
  <si>
    <t>Robin Bourgeois-Danilo Herrera</t>
  </si>
  <si>
    <t>Mesure du collage des fibres de coton et moyens de lutte</t>
  </si>
  <si>
    <t>Jean-Paul Gourlot-Richard Frydrych</t>
  </si>
  <si>
    <t>Finance et dÃ©veloppement rural en Afrique de l'Ouest / Finance and Rural Development in West Africa</t>
  </si>
  <si>
    <t>Carlos Cuevas-Michel Benoit-Cattin</t>
  </si>
  <si>
    <t>Proceedings of the 3rd International Conference on Law, Governance, and Social Justice (ICoLGaS 2023)</t>
  </si>
  <si>
    <t>Abdul Aziz Nassihudin-Tedi Sudrajat-Sri Wahyu Handayani-Aryuni Yuliantiningsih-Riris Ardhanariswari</t>
  </si>
  <si>
    <t>Introduction to Digital Humanism</t>
  </si>
  <si>
    <t>Hannes Werthner-Carlo Ghezzi-Jeff Kramer-Julian Nida-RÃ¼melin-Bashar Nuseibeh</t>
  </si>
  <si>
    <t>Narrating the Many Autisms</t>
  </si>
  <si>
    <t>BIOGRAPHY &amp; AUTOBIOGRAPHY / Disability</t>
  </si>
  <si>
    <t>Anna Stenning</t>
  </si>
  <si>
    <t>COVID-19 and Psychological Distress in Africa</t>
  </si>
  <si>
    <t>Yamikani Ndasauka</t>
  </si>
  <si>
    <t>Placemaking in Practice Volume 1</t>
  </si>
  <si>
    <t>Carlos Smaniotto Costa-Mastoureh Fathi-Juan A. GarcÃ­a-Esparza-Aleksandra Djukic-Conor Horan-Francesco Rotondo</t>
  </si>
  <si>
    <t>Der zerbrochene Spiegel</t>
  </si>
  <si>
    <t>Sonja Ammann</t>
  </si>
  <si>
    <t>FUTURE/PRESENT</t>
  </si>
  <si>
    <t>ART / American / General</t>
  </si>
  <si>
    <t>Daniela Alvarez-Roberta Uno-Elizabeth M. Webb</t>
  </si>
  <si>
    <t>GIS and Housing</t>
  </si>
  <si>
    <t>Laxmi Ramasubramanian-Jochen Albrecht-Deborah Rojas De Leon</t>
  </si>
  <si>
    <t>Through the Prism of Gender and Work</t>
  </si>
  <si>
    <t>Selin Ã‡aÄŸatay-Alexandra Ghit-Olga Gnydiuk-Veronika Helfert-Ivelina Masheva-Zhanna Popova-Jelena TeÅ¡ija-Eszter Varsa-Susan Zimmermann</t>
  </si>
  <si>
    <t>The Legacy of Birgitta of Sweden</t>
  </si>
  <si>
    <t>RELIGION / Christian Living / General</t>
  </si>
  <si>
    <t>Unn Falkeid-Anna Wainwright</t>
  </si>
  <si>
    <t>Engineering Innovations Vol. 8</t>
  </si>
  <si>
    <t>Santina Di Salvo</t>
  </si>
  <si>
    <t>â€˜Witâ€™s Wild Dancing Lightâ€™</t>
  </si>
  <si>
    <t xml:space="preserve"> William Hutchings</t>
  </si>
  <si>
    <t>Social Infrastructure and Left Behind Places</t>
  </si>
  <si>
    <t>John Tomaney-Maeve Blackman-Lucy Natarajan-Dimitrios Panayotopoulos-Tsiros-Florence Sutcliffe-Braithwaite-Myfanwy Taylor</t>
  </si>
  <si>
    <t>Shareholders, Strategy and Value Creation</t>
  </si>
  <si>
    <t>Wojciech Muras-Katarzyna SzczepaÅ„ska-Woszczyna</t>
  </si>
  <si>
    <t>DurabilitÃ© des systÃ¨mes pour la sÃ©curitÃ© alimentaire</t>
  </si>
  <si>
    <t>Proceedings of the International Joint Conference on Arts and Humanities 2023 (IJCAH 2023)</t>
  </si>
  <si>
    <t>Ali Mustofa-Ima Widiyanah-Binar K. Prahani-Imami A. T. Rahayu-Moh. Mudzakkir</t>
  </si>
  <si>
    <t>Mutation Breeding and Efficiency Enhancing Technologies for Resistance to Striga in Cereals</t>
  </si>
  <si>
    <t>Abdelbagi M. A. Ghanim-Shoba Sivasankar-Patrick J. Rich</t>
  </si>
  <si>
    <t>Financing Investment in Times of High Public Debt</t>
  </si>
  <si>
    <t xml:space="preserve"> Floriana Cerniglia-Francesco Saraceno-Andrew Watt</t>
  </si>
  <si>
    <t>Synopses and Lists</t>
  </si>
  <si>
    <t xml:space="preserve"> Teresa Bernheimer-Ronny Vollandt</t>
  </si>
  <si>
    <t>Modelling Between Digital and Humanities</t>
  </si>
  <si>
    <t xml:space="preserve"> Arianna Ciula-Ã˜yvind Eide-Cristina Marras-Patrick Sahle</t>
  </si>
  <si>
    <t>Soviet-Born</t>
  </si>
  <si>
    <t>Karolina Krasuska</t>
  </si>
  <si>
    <t>Teaching International Law</t>
  </si>
  <si>
    <t>Peter Hilpold-Giuseppe Nesi</t>
  </si>
  <si>
    <t>Endangered Compound Prosody in Kansai Japanese</t>
  </si>
  <si>
    <t>Andrew Angeles</t>
  </si>
  <si>
    <t>Proceedings of the 2023 International Conference on Applied Psychology and Modern Education (ICAPME 2023)</t>
  </si>
  <si>
    <t>Kahirol Mohd Salleh-Muhammad Ismath Ramzy Mohammad Ismail-Lizhuang Yuan</t>
  </si>
  <si>
    <t>Proceedings of the 5th International Conference on Statistics, Mathematics, Teaching, and Research 2023 (ICSMTR 2023)</t>
  </si>
  <si>
    <t>Nurwati Djam'an-Sahlan Sidjara-Said Fachry-Nur Wahidin Ashari</t>
  </si>
  <si>
    <t>Proceedings of the 6th International Conference on Neuroscience, Neurology and Psychiatry (ICONAP 2023)</t>
  </si>
  <si>
    <t>Mustafa M. Amin-Elmeida Effendy-Dina Keumala Sari-Kiking Ritarwan-Roger Ho Chun Man</t>
  </si>
  <si>
    <t>Sozialrechtsbezogene Beratung</t>
  </si>
  <si>
    <t>Katharina Weyrich</t>
  </si>
  <si>
    <t>Proceedings of the 6th Biennial Conference of Organization for Women in Science for the Developing World Nigeria (OWSD Garden City 2023)</t>
  </si>
  <si>
    <t>Eucharia Oluchi Nwaichi-Florence Onyemachi Nduka</t>
  </si>
  <si>
    <t>A Roadmap for Plant Genome Editing</t>
  </si>
  <si>
    <t>AgnÃ¨s Ricroch-Dennis Eriksson-Dragana MiladinoviÄ‡-Jeremy Sweet-Katrijn Van Laere</t>
  </si>
  <si>
    <t>History and Speculative Fiction</t>
  </si>
  <si>
    <t>John L. Hennessey</t>
  </si>
  <si>
    <t>Language Contacts and Discourses in the Far North</t>
  </si>
  <si>
    <t>Maria Frick-Tiina RÃ¤isÃ¤nen-Jussi Ylikoski</t>
  </si>
  <si>
    <t>Paradigmenwechsel in Bau- und Immobilienwirtschaft</t>
  </si>
  <si>
    <t>Michaela Gebetsroither-Meliha Honic-Iva Kovacic-Christoph LÃ¶ffler-Klemens Marx</t>
  </si>
  <si>
    <t>Religion, Gender and Race in Western European Arts and Culture</t>
  </si>
  <si>
    <t>Nella van den Brandt</t>
  </si>
  <si>
    <t>La enseÃ±anza del espaÃ±ol mediada por tecnologÃ­a</t>
  </si>
  <si>
    <t>Routledge Handbook of Climate Change Impacts on Indigenous Peoples and Local Communities</t>
  </si>
  <si>
    <t>Victoria Reyes-GarcÃ­a</t>
  </si>
  <si>
    <t>China As Number One?</t>
  </si>
  <si>
    <t>Yang Zhong-Ronald F. Inglehart</t>
  </si>
  <si>
    <t>Gandharan Art and the Classical World: A Short Introduction</t>
  </si>
  <si>
    <t>Tango Dance and Music</t>
  </si>
  <si>
    <t>Kendra Stepputat</t>
  </si>
  <si>
    <t>In the Shadow of War and Empire</t>
  </si>
  <si>
    <t>GÃ¶rkem AkgÃ¶z</t>
  </si>
  <si>
    <t>Proceedings of the International Conference on Theology, Humanities and Christian Education 2022 (ICONTHCE 2022)</t>
  </si>
  <si>
    <t>Sonny Eli Zaluchu-Harls Evan R. Siahaan-Martina Novalina-Randy Frank Rouw-Fredy Simanjuntak</t>
  </si>
  <si>
    <t>Proceedings of the 2nd International Conference on Educational Management and Technology (ICEMT 2023)</t>
  </si>
  <si>
    <t>Ediyanto Ediyanto-Dedi Kuswandi-Ali Imron-Burhanuddin Burhanuddin-Ahmad Suriansyah</t>
  </si>
  <si>
    <t>Proceedings of the 2023 5th International Conference on Civil Engineering, Environment Resources and Energy Materials (CCESEM 2023)</t>
  </si>
  <si>
    <t>HÃ¼seyin Bilgin-Jiwei Wen-Muhsin Elie Rahhal</t>
  </si>
  <si>
    <t>Smart and Sustainable Planning for Cities and Regions</t>
  </si>
  <si>
    <t>Adriano Bisello-Daniele Vettorato-Marta Bottero-Dionysia Kolokotsa</t>
  </si>
  <si>
    <t>Biographical Life Course Research</t>
  </si>
  <si>
    <t>Ann Nilsen</t>
  </si>
  <si>
    <t>Biodiversity and Strategy</t>
  </si>
  <si>
    <t>HervÃ© BrÃ©dif-Laurent Simon</t>
  </si>
  <si>
    <t>Studying Food and Eaters</t>
  </si>
  <si>
    <t>Le marchÃ© alimentaire Ã  horizon 2050 en France</t>
  </si>
  <si>
    <t>BUSINESS &amp; ECONOMICS / E-Commerce / Online Trading</t>
  </si>
  <si>
    <t>Bernard Ruffieux-AurÃ©lie Level</t>
  </si>
  <si>
    <t>Sharing Less Commonly Taught Languages in Higher Education</t>
  </si>
  <si>
    <t>Emily Heidrich Uebel-Angelika Kraemer-Luca Giupponi</t>
  </si>
  <si>
    <t>Ni una mÃ¡s. Cuarenta escritores contra el feminicidio</t>
  </si>
  <si>
    <t>PromociÃ³n de la cultura y la educaciÃ³n superior del BajÃ­o, A.C.</t>
  </si>
  <si>
    <t>FICTION / Anthologies (multiple authors)</t>
  </si>
  <si>
    <t>Clara Ferri-Fabrizio Lorusso</t>
  </si>
  <si>
    <t>Derechos humanos, parlamento y control del poder en MÃ©xico. Una perspectiva local</t>
  </si>
  <si>
    <t>JosÃ© Ricardo NarvÃ¡ez MartÃ­nez-Gabriela Naranjo Guevara-Francisco M. Mora Sifuentes</t>
  </si>
  <si>
    <t>Modelo de convivencia para atender, prevenir y erradicar la violencia escolar</t>
  </si>
  <si>
    <t>Cecilia Fierro-Patricia Carbajal</t>
  </si>
  <si>
    <t>A convivir se aprende. Narraciones de escuelas latinoamericanas</t>
  </si>
  <si>
    <t>Eduardo Arias-Isidora Mena-Cecilia Fierro-Marcial Huneeus</t>
  </si>
  <si>
    <t>Intercultural Competence and Pragmatics</t>
  </si>
  <si>
    <t>Gila A. Schauer</t>
  </si>
  <si>
    <t>Chronotropics</t>
  </si>
  <si>
    <t>Odile Ferly-Tegan Zimmerman</t>
  </si>
  <si>
    <t>New Mechanism</t>
  </si>
  <si>
    <t>JoÃ£o L. Cordovil-Gil Santos-Davide Vecchi</t>
  </si>
  <si>
    <t>The European Digital Economy</t>
  </si>
  <si>
    <t>Judyta Lubacha-Beata MÃ¤ihÃ¤niemi-RafaÅ‚ WisÅ‚a</t>
  </si>
  <si>
    <t>Critical Ancient World Studies</t>
  </si>
  <si>
    <t>Mathura Umachandran-Marchella Ward</t>
  </si>
  <si>
    <t>Cultural Change in Post-Migrant Societies</t>
  </si>
  <si>
    <t>Business School Research</t>
  </si>
  <si>
    <t>Eric Cornuel-Howard Thomas-Matthew Wood</t>
  </si>
  <si>
    <t>A History of Australian Co-operatives 1827â€“2023</t>
  </si>
  <si>
    <t>Greg Patmore-Nikola Balnave-Olivera Marjanovic</t>
  </si>
  <si>
    <t>Developing a Didactic Framework Across and Beyond School Subjects</t>
  </si>
  <si>
    <t>SÃ¸ren Harnow Klausen-Nina MÃ¥rd</t>
  </si>
  <si>
    <t>Far From the Truth</t>
  </si>
  <si>
    <t>HISTORY / Expeditions &amp; Discoveries</t>
  </si>
  <si>
    <t>Michiel van Groesen-Johannes MÃ¼ller</t>
  </si>
  <si>
    <t>Civil Democracy Protection</t>
  </si>
  <si>
    <t>Uwe Backes-Thomas Lindenberger</t>
  </si>
  <si>
    <t>Globalisation and Livelihood Transformations in the Indonesian Seaweed Industry</t>
  </si>
  <si>
    <t>Zannie Langford</t>
  </si>
  <si>
    <t>Kompetenzen von Mitarbeitenden in der digitalisierten Arbeitswelt</t>
  </si>
  <si>
    <t>Simone Kauffeld-Sandra Rothenbusch</t>
  </si>
  <si>
    <t>Proceedings of the 2023 8th International Conference on Engineering Management (ICEM 2023)</t>
  </si>
  <si>
    <t>Bijay Kumar Kandel-Jun Yang-J. JOSE PRABHU-Xueyuan Wang</t>
  </si>
  <si>
    <t>Sociology in Mexico</t>
  </si>
  <si>
    <t>Gina Zabludovsky</t>
  </si>
  <si>
    <t>The Lead Books of the Sacromonte and the Parchment of the Torre Turpiana: Granada, 1588-1606</t>
  </si>
  <si>
    <t>Gerard A. Wiegers-P.S. Van Koningsveld</t>
  </si>
  <si>
    <t>Groei en productie van douglas in Nederland</t>
  </si>
  <si>
    <t>J.J. Jansen-H. Schoonderwoerd-G.M.J. Mohren-J. den Ouden</t>
  </si>
  <si>
    <t>Opbrengsttabellen Nederland 2018</t>
  </si>
  <si>
    <t>Hans Jansen-Anne Oosterbaan</t>
  </si>
  <si>
    <t>Founding Territorial Cults in Early Japan</t>
  </si>
  <si>
    <t>G. Domenig</t>
  </si>
  <si>
    <t>Reducing Emissions of Short-Lived Climate Pollutants</t>
  </si>
  <si>
    <t>Yulia Yamineva-Kati Kulovesi-Eugenia Recio</t>
  </si>
  <si>
    <t>Volunteered Geographic Information</t>
  </si>
  <si>
    <t>Dirk Burghardt-Elena Demidova-Daniel A. Keim</t>
  </si>
  <si>
    <t>The Art of Fugue</t>
  </si>
  <si>
    <t>Joseph Kerman</t>
  </si>
  <si>
    <t>Rivers of the Anthropocene</t>
  </si>
  <si>
    <t>Jason M. Kelly</t>
  </si>
  <si>
    <t>The Social Question in the Twenty-First Century</t>
  </si>
  <si>
    <t>Jan Breman-Kevan Harris-Ching Kwan Lee-Marcel van der Linden</t>
  </si>
  <si>
    <t>Mobile Hollywood</t>
  </si>
  <si>
    <t>Kevin Sanson</t>
  </si>
  <si>
    <t>Globalization</t>
  </si>
  <si>
    <t>Prof. Manfred B. Steger</t>
  </si>
  <si>
    <t>Golden Ages</t>
  </si>
  <si>
    <t>Jeremiah Lockwood</t>
  </si>
  <si>
    <t>Higher Powers</t>
  </si>
  <si>
    <t>China Scherz-George Mpanga-Sarah Namirembe</t>
  </si>
  <si>
    <t>Novel Palestine</t>
  </si>
  <si>
    <t>Dr. Nora E.H. Parr</t>
  </si>
  <si>
    <t>Ground Truths</t>
  </si>
  <si>
    <t>Chad Raphael-Martha Matsuoka</t>
  </si>
  <si>
    <t>Becoming Global Asia</t>
  </si>
  <si>
    <t>Cheryl Narumi Naruse</t>
  </si>
  <si>
    <t>How Hip Hop Became Hit Pop</t>
  </si>
  <si>
    <t>Amy Coddington</t>
  </si>
  <si>
    <t>Lived Refuge</t>
  </si>
  <si>
    <t>Vinh Nguyen</t>
  </si>
  <si>
    <t>Pious Labor</t>
  </si>
  <si>
    <t>HISTORY / Islamic</t>
  </si>
  <si>
    <t>Amanda Lanzillo</t>
  </si>
  <si>
    <t>The Price of Freedom</t>
  </si>
  <si>
    <t>Michaela Soyer</t>
  </si>
  <si>
    <t>Sounding the Indian Ocean</t>
  </si>
  <si>
    <t>Prof. Jim Sykes-Prof. Julia Suzanne Byl</t>
  </si>
  <si>
    <t>Banished Men</t>
  </si>
  <si>
    <t>Abigail Leslie Andrews</t>
  </si>
  <si>
    <t>Aspects of Kinship in Ancient Iran</t>
  </si>
  <si>
    <t>D. T. Potts</t>
  </si>
  <si>
    <t>Celluloid Democracy</t>
  </si>
  <si>
    <t>Hieyoon Kim</t>
  </si>
  <si>
    <t>A Life of Worry</t>
  </si>
  <si>
    <t>Allen L Tran</t>
  </si>
  <si>
    <t>Maverick Movies</t>
  </si>
  <si>
    <t>Daniel Herbert</t>
  </si>
  <si>
    <t>Analytic Induction for Social Research</t>
  </si>
  <si>
    <t>Charles C. Ragin</t>
  </si>
  <si>
    <t>When a Human Gives Birth to a Raven</t>
  </si>
  <si>
    <t>Rafael Rachel Neis</t>
  </si>
  <si>
    <t>Transnational Trailblazers of Early Cinema</t>
  </si>
  <si>
    <t>Prof. Victoria Duckett</t>
  </si>
  <si>
    <t>A Jewish Childhood in the Muslim Mediterranean</t>
  </si>
  <si>
    <t>Lia Brozgal</t>
  </si>
  <si>
    <t>Provincializing Empire</t>
  </si>
  <si>
    <t>Jun Uchida</t>
  </si>
  <si>
    <t>Thinking with an Accent</t>
  </si>
  <si>
    <t>Pooja Rangan</t>
  </si>
  <si>
    <t>Recovering Identity</t>
  </si>
  <si>
    <t>CesraÃ©a Rumpf</t>
  </si>
  <si>
    <t>Fractured Tablets</t>
  </si>
  <si>
    <t>Mira Balberg</t>
  </si>
  <si>
    <t>The Celluloid Specimen</t>
  </si>
  <si>
    <t>Benjamin Schultz-Figueroa</t>
  </si>
  <si>
    <t>Equality Within Our Lifetimes</t>
  </si>
  <si>
    <t>Jody Heymann-Aleta Sprague-Amy Raub</t>
  </si>
  <si>
    <t>Merchants of Virtue</t>
  </si>
  <si>
    <t>HISTORY / Asia / South / India</t>
  </si>
  <si>
    <t>Divya Cherian</t>
  </si>
  <si>
    <t>World Socialist Cinema</t>
  </si>
  <si>
    <t>Practicing Asylum</t>
  </si>
  <si>
    <t>Kimberly Gauderman</t>
  </si>
  <si>
    <t>Beyond the Movie Theater</t>
  </si>
  <si>
    <t>Gregory A. Waller</t>
  </si>
  <si>
    <t>Impersonations</t>
  </si>
  <si>
    <t>Harshita Mruthinti Kamath</t>
  </si>
  <si>
    <t>Knowing About Genocide</t>
  </si>
  <si>
    <t>Joachim J. Savelsberg</t>
  </si>
  <si>
    <t>Hydrohumanities</t>
  </si>
  <si>
    <t>Kim De Wolff-Rina C. Faletti-Ignacio LÃ³pez-Calvo</t>
  </si>
  <si>
    <t>Societies in Transition in Early Greece</t>
  </si>
  <si>
    <t>Alex R. Knodell</t>
  </si>
  <si>
    <t>Insistent Life</t>
  </si>
  <si>
    <t>RELIGION / Jainism</t>
  </si>
  <si>
    <t>Brianne Donaldson-Ana BajÅ¾elj</t>
  </si>
  <si>
    <t>The Endurance of Palestinian Political Factions</t>
  </si>
  <si>
    <t>Perla Issa</t>
  </si>
  <si>
    <t>Everyday Cosmopolitanisms</t>
  </si>
  <si>
    <t>Kate Franklin</t>
  </si>
  <si>
    <t>Language, Nation, Race</t>
  </si>
  <si>
    <t>Atsuko Ueda</t>
  </si>
  <si>
    <t>Amphibious Subjects</t>
  </si>
  <si>
    <t>Kwame Edwin Otu</t>
  </si>
  <si>
    <t>The Funeral of Mr. Wang</t>
  </si>
  <si>
    <t>Andrew B. Kipnis</t>
  </si>
  <si>
    <t>What Makes a Church Sacred?</t>
  </si>
  <si>
    <t>Mary K. Farag</t>
  </si>
  <si>
    <t>A Proximate Remove</t>
  </si>
  <si>
    <t>Reginald Jackson</t>
  </si>
  <si>
    <t>Law As Reproduction and Revolution</t>
  </si>
  <si>
    <t>Bryant G. Garth</t>
  </si>
  <si>
    <t>Camera Palaestina</t>
  </si>
  <si>
    <t>Issam Nassar-Stephen Sheehi-Salim Tamari</t>
  </si>
  <si>
    <t>Acquired Alterity</t>
  </si>
  <si>
    <t>LITERARY COLLECTIONS / Asian / Japanese</t>
  </si>
  <si>
    <t>Edward Mack</t>
  </si>
  <si>
    <t>Networked Refugees</t>
  </si>
  <si>
    <t>Nadya Hajj</t>
  </si>
  <si>
    <t>The Practice of Texts</t>
  </si>
  <si>
    <t>Anthony Cerulli</t>
  </si>
  <si>
    <t>Ink-Stained Hollywood</t>
  </si>
  <si>
    <t>Eric Hoyt</t>
  </si>
  <si>
    <t>The Stains of Imprisonment</t>
  </si>
  <si>
    <t>Alice Ievins</t>
  </si>
  <si>
    <t>Sensitive Reading</t>
  </si>
  <si>
    <t>LITERARY COLLECTIONS / Asian / Indic</t>
  </si>
  <si>
    <t>Prof. Yigal Bronner-Charles Hallisey</t>
  </si>
  <si>
    <t>At the Edges of Sleep</t>
  </si>
  <si>
    <t>Jean Ma</t>
  </si>
  <si>
    <t>Huizhou</t>
  </si>
  <si>
    <t>Prof. Qitao Guo</t>
  </si>
  <si>
    <t>Accidental Holy Land</t>
  </si>
  <si>
    <t>Joseph W. Esherick</t>
  </si>
  <si>
    <t>Rethinking Statehood in Palestine</t>
  </si>
  <si>
    <t>Leila H. Farsakh</t>
  </si>
  <si>
    <t>The Bastille Effect</t>
  </si>
  <si>
    <t>Michael Welch</t>
  </si>
  <si>
    <t>Cinematic Independence</t>
  </si>
  <si>
    <t>A Greek State in Formation</t>
  </si>
  <si>
    <t>Jack L. Davis</t>
  </si>
  <si>
    <t>Until the Storm Passes</t>
  </si>
  <si>
    <t>Bryan Pitts</t>
  </si>
  <si>
    <t>Spiritual Ends</t>
  </si>
  <si>
    <t>Timothy O. Benedict</t>
  </si>
  <si>
    <t>Capitalizing a Cure</t>
  </si>
  <si>
    <t>Victor Roy</t>
  </si>
  <si>
    <t>Creating the Qurâ€™an</t>
  </si>
  <si>
    <t>Stephen J. Shoemaker</t>
  </si>
  <si>
    <t>Nakba and Survival</t>
  </si>
  <si>
    <t>Adel Manna</t>
  </si>
  <si>
    <t>Being Single in India</t>
  </si>
  <si>
    <t>Sarah Lamb</t>
  </si>
  <si>
    <t>Discrimination at Work</t>
  </si>
  <si>
    <t>Marie Mercat-Bruns</t>
  </si>
  <si>
    <t>Making Things Stick</t>
  </si>
  <si>
    <t>Keith Guzik</t>
  </si>
  <si>
    <t>Equity, Growth, and Community</t>
  </si>
  <si>
    <t>Chris Benner-Manuel Pastor</t>
  </si>
  <si>
    <t>Public Debt, Inequality, and Power</t>
  </si>
  <si>
    <t>HISTORY / United States / 21st Century</t>
  </si>
  <si>
    <t>Sandy Brian Hager</t>
  </si>
  <si>
    <t>Migrating Into Financial Markets</t>
  </si>
  <si>
    <t>Matt Bakker</t>
  </si>
  <si>
    <t>Christianity, Islam, and Orisa-Religion</t>
  </si>
  <si>
    <t>J.D.Y. Peel</t>
  </si>
  <si>
    <t>Writing Self, Writing Empire</t>
  </si>
  <si>
    <t>Rajeev Kinra</t>
  </si>
  <si>
    <t>The Place of Devotion</t>
  </si>
  <si>
    <t>Sukanya Sarbadhikary</t>
  </si>
  <si>
    <t>Representing Mass Violence</t>
  </si>
  <si>
    <t>Instruments for New Music</t>
  </si>
  <si>
    <t>Thomas Patteson</t>
  </si>
  <si>
    <t>Hokum!</t>
  </si>
  <si>
    <t>Rob King</t>
  </si>
  <si>
    <t>Precarious Claims</t>
  </si>
  <si>
    <t>Shannon Gleeson</t>
  </si>
  <si>
    <t>Imperial Genus</t>
  </si>
  <si>
    <t>Precarious Creativity</t>
  </si>
  <si>
    <t>Michael Curtin-Kevin Sanson</t>
  </si>
  <si>
    <t>Keys to Play</t>
  </si>
  <si>
    <t>Roger Moseley</t>
  </si>
  <si>
    <t>Virtuous Waters</t>
  </si>
  <si>
    <t>Casey Walsh</t>
  </si>
  <si>
    <t>Scale</t>
  </si>
  <si>
    <t>E. Summerson Carr-Michael Lempert</t>
  </si>
  <si>
    <t>Polemics and Patronage in the City of Victory</t>
  </si>
  <si>
    <t>Valerie Stoker</t>
  </si>
  <si>
    <t>Mirage of Police Reform</t>
  </si>
  <si>
    <t>Prof. Robert E. Worden-Sarah J. McLean</t>
  </si>
  <si>
    <t>Water and Los Angeles</t>
  </si>
  <si>
    <t>HISTORY / United States / State &amp; Local / West (AK, CA, CO, HI, ID, MT, NV, UT, WY)</t>
  </si>
  <si>
    <t>William F. Deverell-Tom Sitton</t>
  </si>
  <si>
    <t>Luxury and Rubble</t>
  </si>
  <si>
    <t>Erik Harms</t>
  </si>
  <si>
    <t>The Dream Is Over</t>
  </si>
  <si>
    <t>Simon Marginson</t>
  </si>
  <si>
    <t>Hindu Pluralism</t>
  </si>
  <si>
    <t>RELIGION / Hinduism / History</t>
  </si>
  <si>
    <t>Elaine M. Fisher</t>
  </si>
  <si>
    <t>The Pitfalls of Protection</t>
  </si>
  <si>
    <t>Torunn Wimpelmann</t>
  </si>
  <si>
    <t>A Vietnamese Moses</t>
  </si>
  <si>
    <t>George E. Dutton</t>
  </si>
  <si>
    <t>Almost Hollywood, Nearly New Orleans</t>
  </si>
  <si>
    <t>Vicki Mayer</t>
  </si>
  <si>
    <t>Placing Empire</t>
  </si>
  <si>
    <t>Kate McDonald</t>
  </si>
  <si>
    <t>The Indigenous State</t>
  </si>
  <si>
    <t>Nancy Postero</t>
  </si>
  <si>
    <t>Afghanistan's Islam</t>
  </si>
  <si>
    <t>Nile Green</t>
  </si>
  <si>
    <t>Citizen Outsider</t>
  </si>
  <si>
    <t>Jean Beaman</t>
  </si>
  <si>
    <t>Modernizing Composition</t>
  </si>
  <si>
    <t>Garrett Field</t>
  </si>
  <si>
    <t>Finding Jerusalem</t>
  </si>
  <si>
    <t>Katharina Galor</t>
  </si>
  <si>
    <t>Parameters of Disavowal</t>
  </si>
  <si>
    <t>Jinsoo An</t>
  </si>
  <si>
    <t>Voices of Labor</t>
  </si>
  <si>
    <t>Taiwan and China</t>
  </si>
  <si>
    <t>Lowell Dittmer</t>
  </si>
  <si>
    <t>Ginseng and Borderland</t>
  </si>
  <si>
    <t>Seonmin Kim</t>
  </si>
  <si>
    <t>Building Green</t>
  </si>
  <si>
    <t>Anne Rademacher</t>
  </si>
  <si>
    <t>Holy Hip Hop in the City of Angels</t>
  </si>
  <si>
    <t>Christina Zanfagna</t>
  </si>
  <si>
    <t>Outcasts of Empire</t>
  </si>
  <si>
    <t>Paul D. Barclay</t>
  </si>
  <si>
    <t>Language of the Snakes</t>
  </si>
  <si>
    <t>Andrew Ollett</t>
  </si>
  <si>
    <t>Child's Play</t>
  </si>
  <si>
    <t>Sabine FrÃ¼hstÃ¼ck-Anne Walthall</t>
  </si>
  <si>
    <t>Protect, Serve, and Deport</t>
  </si>
  <si>
    <t>Amada Armenta</t>
  </si>
  <si>
    <t>The Erotics of History</t>
  </si>
  <si>
    <t>Donald L. Donham</t>
  </si>
  <si>
    <t>The Stranger at the Feast</t>
  </si>
  <si>
    <t>Tom Boylston</t>
  </si>
  <si>
    <t>Cold War Cosmopolitanism</t>
  </si>
  <si>
    <t>Christina Klein</t>
  </si>
  <si>
    <t>The Prison of Democracy</t>
  </si>
  <si>
    <t>Sara M. Benson</t>
  </si>
  <si>
    <t>Renaissance Futurities</t>
  </si>
  <si>
    <t>Charlene VillaseÃ±or Black-Mari-Tere Ãlvarez</t>
  </si>
  <si>
    <t>Unjust Conditions</t>
  </si>
  <si>
    <t>Tara Patricia Cookson</t>
  </si>
  <si>
    <t>The Monastery Rules</t>
  </si>
  <si>
    <t>Berthe Jansen</t>
  </si>
  <si>
    <t>Morals Not Knowledge</t>
  </si>
  <si>
    <t>RELIGION / Religion &amp; Science</t>
  </si>
  <si>
    <t>John H. Evans</t>
  </si>
  <si>
    <t>The Eternal Dissident</t>
  </si>
  <si>
    <t>RELIGION / Judaism / Reform</t>
  </si>
  <si>
    <t>David N. Myers</t>
  </si>
  <si>
    <t>Language Between God and the Poets</t>
  </si>
  <si>
    <t>Alexander Key</t>
  </si>
  <si>
    <t>Mountain, Water, Rock, God</t>
  </si>
  <si>
    <t>RELIGION / Hinduism / Rituals &amp; Practice</t>
  </si>
  <si>
    <t>Luke Whitmore</t>
  </si>
  <si>
    <t>Middlebrow Modernism</t>
  </si>
  <si>
    <t>Christopher Chowrimootoo</t>
  </si>
  <si>
    <t>The Big Gamble</t>
  </si>
  <si>
    <t>Milena Belloni</t>
  </si>
  <si>
    <t>Sounding Islam</t>
  </si>
  <si>
    <t>Patrick Eisenlohr</t>
  </si>
  <si>
    <t>The Saburo Hasegawa Reader</t>
  </si>
  <si>
    <t>Mark Dean Johnson-Dakin Hart</t>
  </si>
  <si>
    <t>Multiculturalism in the British Commonwealth</t>
  </si>
  <si>
    <t>Richard T. Ashcroft-Mark Bevir</t>
  </si>
  <si>
    <t>The Clarion of Syria</t>
  </si>
  <si>
    <t>Butrus al-Bustani</t>
  </si>
  <si>
    <t>Migration and Hybrid Political Regimes</t>
  </si>
  <si>
    <t>Islamic Shangri-La</t>
  </si>
  <si>
    <t>David G. Atwill</t>
  </si>
  <si>
    <t>Intimate Communities</t>
  </si>
  <si>
    <t>Nicole Elizabeth Barnes</t>
  </si>
  <si>
    <t>Revolutionary Bodies</t>
  </si>
  <si>
    <t>Emily Wilcox</t>
  </si>
  <si>
    <t>Music of a Thousand Years</t>
  </si>
  <si>
    <t>Ann E. Lucas</t>
  </si>
  <si>
    <t>The Persianate World</t>
  </si>
  <si>
    <t>Where Truth Lies</t>
  </si>
  <si>
    <t>PERFORMING ARTS / Film / Genres / Documentary</t>
  </si>
  <si>
    <t>Kris Fallon</t>
  </si>
  <si>
    <t>The Divo and the Duce</t>
  </si>
  <si>
    <t>Giorgio Bertellini</t>
  </si>
  <si>
    <t>Rules of the House</t>
  </si>
  <si>
    <t>Sungyun Lim</t>
  </si>
  <si>
    <t>Public Goods Provision in the Early Modern Economy</t>
  </si>
  <si>
    <t>Masayuki Tanimoto-R. Bin Wong</t>
  </si>
  <si>
    <t>Creating the Intellectual</t>
  </si>
  <si>
    <t>Eddy U</t>
  </si>
  <si>
    <t>Male Survivors of Wartime Sexual Violence</t>
  </si>
  <si>
    <t>SOCIAL SCIENCE / Men"s Studies</t>
  </si>
  <si>
    <t>Philipp Schulz</t>
  </si>
  <si>
    <t>Louder and Faster</t>
  </si>
  <si>
    <t>Deborah Wong</t>
  </si>
  <si>
    <t>Witness to Marvels</t>
  </si>
  <si>
    <t>Tony K. Stewart</t>
  </si>
  <si>
    <t>The Emergence of Modern Hinduism</t>
  </si>
  <si>
    <t>Richard S. Weiss</t>
  </si>
  <si>
    <t>Advancing Equality</t>
  </si>
  <si>
    <t>Documenting Death</t>
  </si>
  <si>
    <t>Adrienne E. Strong</t>
  </si>
  <si>
    <t>What Is a Family?</t>
  </si>
  <si>
    <t>Mary Elizabeth Berry-Marcia Yonemoto</t>
  </si>
  <si>
    <t>Exit and Voice</t>
  </si>
  <si>
    <t>Lauren Duquette-Rury</t>
  </si>
  <si>
    <t>Palestinian Chicago</t>
  </si>
  <si>
    <t>HISTORY / United States / State &amp; Local / General</t>
  </si>
  <si>
    <t>Loren D. Lybarger</t>
  </si>
  <si>
    <t>High-Tech Trash</t>
  </si>
  <si>
    <t>Carolyn L. Kane</t>
  </si>
  <si>
    <t>Migrant Conversions</t>
  </si>
  <si>
    <t>Erica Vogel</t>
  </si>
  <si>
    <t>The Scarcity Slot</t>
  </si>
  <si>
    <t>Amanda L. Logan</t>
  </si>
  <si>
    <t>Anthropologies of Revolution</t>
  </si>
  <si>
    <t>Igor Cherstich-Martin Holbraad</t>
  </si>
  <si>
    <t>Camphill and the Future</t>
  </si>
  <si>
    <t>Dan McKanan</t>
  </si>
  <si>
    <t>Of Love and Papers</t>
  </si>
  <si>
    <t>Laura E. Enriquez</t>
  </si>
  <si>
    <t>Translating Wisdom</t>
  </si>
  <si>
    <t>Shankar Nair</t>
  </si>
  <si>
    <t>Palimpsests of Themselves</t>
  </si>
  <si>
    <t>Asad Q. Ahmed</t>
  </si>
  <si>
    <t>God's Property</t>
  </si>
  <si>
    <t>Nada Moumtaz</t>
  </si>
  <si>
    <t>Fencing in AIDS</t>
  </si>
  <si>
    <t>Holly Wardlow</t>
  </si>
  <si>
    <t>Togo Mizrahi and the Making of Egyptian Cinema</t>
  </si>
  <si>
    <t>Prof. Deborah A. Starr</t>
  </si>
  <si>
    <t>Brought to Life by the Voice</t>
  </si>
  <si>
    <t>Amanda Weidman</t>
  </si>
  <si>
    <t>Sirens of Modernity</t>
  </si>
  <si>
    <t>Samhita Sunya</t>
  </si>
  <si>
    <t>Al-Haq</t>
  </si>
  <si>
    <t>Lynn Welchman</t>
  </si>
  <si>
    <t>Placing Islam</t>
  </si>
  <si>
    <t>Timur Warner Hammond</t>
  </si>
  <si>
    <t>The Cultural Legacy of the Pre-Ashkenazic Jews in Eastern Europe</t>
  </si>
  <si>
    <t>Moshe Taube</t>
  </si>
  <si>
    <t>Disrupting the Patron</t>
  </si>
  <si>
    <t>Joel E. Correia</t>
  </si>
  <si>
    <t>Angloscene</t>
  </si>
  <si>
    <t>Jay Ke-Schutte</t>
  </si>
  <si>
    <t>Possible Histories</t>
  </si>
  <si>
    <t>HISTORY / LGBTQ+</t>
  </si>
  <si>
    <t>Charlotte Karem Albrecht</t>
  </si>
  <si>
    <t>The Fluvial Imagination</t>
  </si>
  <si>
    <t>Colin Hoag</t>
  </si>
  <si>
    <t>Bridging Two Worlds</t>
  </si>
  <si>
    <t>Daniel A. Bell</t>
  </si>
  <si>
    <t>Scaling Migrant Worker Rights</t>
  </si>
  <si>
    <t>Xochitl Bada</t>
  </si>
  <si>
    <t>Dangerous Love</t>
  </si>
  <si>
    <t>Jennifer Leigh Syvertsen</t>
  </si>
  <si>
    <t>Archipelago of Resettlement</t>
  </si>
  <si>
    <t>Evyn LÃª Espiritu Gandhi</t>
  </si>
  <si>
    <t>Wissensproduktion, Wissensmobilisierung und Wissenstransfer</t>
  </si>
  <si>
    <t>Johannes Schuster-Julia Hugo-Nina Bremm-Nina Kolleck-EnikÃ¶ Zala-MezÃ¶</t>
  </si>
  <si>
    <t>Eigene und gemeinsame Lernarbeit</t>
  </si>
  <si>
    <t>JÃ¶rg SchlÃ¶merkemper</t>
  </si>
  <si>
    <t>Demokratiebildung in Verfahren der QualitÃ¤tsentwicklung in Kitas: Eine Dokumentenanalyse</t>
  </si>
  <si>
    <t>Hoa Mai Tráº§n-Fachstelle Kinderwelten/ ISTA</t>
  </si>
  <si>
    <t>City Folk</t>
  </si>
  <si>
    <t>Daniel J. Walkowitz</t>
  </si>
  <si>
    <t>A Comprehensive Survey of Rock Art in Upper Tibet: Volume II</t>
  </si>
  <si>
    <t>Compulsion and Control in Ancient Egypt</t>
  </si>
  <si>
    <t>Alexandre Loktionov</t>
  </si>
  <si>
    <t>Translation and Race</t>
  </si>
  <si>
    <t>Corine Tachtiris</t>
  </si>
  <si>
    <t>Place, Craft and Neurodiversity</t>
  </si>
  <si>
    <t>Aonghus Gordon-Laurence Cox</t>
  </si>
  <si>
    <t>Translations of Responsibility</t>
  </si>
  <si>
    <t>Thomas VÃ¶lker-Rasmus Slaattelid-Roger Strand</t>
  </si>
  <si>
    <t>Proceedings of the 2023 5th International Conference on Structural Seismic and Civil Engineering Research (ICSSCER 2023)</t>
  </si>
  <si>
    <t>Zakiah Ahmad-Amit Srivastava-Sudharshan N. Raman</t>
  </si>
  <si>
    <t>Gender Equality, Climate Action, and Technological Innovation for Sustainable Development in Africa</t>
  </si>
  <si>
    <t>Ogechi Adeola-Olaniyi Evans-Innocent Ngare</t>
  </si>
  <si>
    <t>Classification and Data Science in the Digital Age</t>
  </si>
  <si>
    <t>Paula Brito-JosÃ© G. Dias-Berthold Lausen-Angela Montanari-Rebecca Nugent</t>
  </si>
  <si>
    <t>Children in Custody Disputes</t>
  </si>
  <si>
    <t>Anna Kaldal-Agnes Hellner-Titti Mattsson</t>
  </si>
  <si>
    <t>Disability Practice</t>
  </si>
  <si>
    <t>Christine Bigby-Alan Hough</t>
  </si>
  <si>
    <t>Living with Nature, Cherishing Language</t>
  </si>
  <si>
    <t>Justyna Olko-Cynthia Radding</t>
  </si>
  <si>
    <t>The Standard Language Ideology of the Hebrew and Arabic Grammarians of the Ê¿Abbasid Period</t>
  </si>
  <si>
    <t>RELIGION / Biblical Biography / General</t>
  </si>
  <si>
    <t xml:space="preserve"> Benjamin Paul Kantor</t>
  </si>
  <si>
    <t>Divine Style</t>
  </si>
  <si>
    <t>LITERARY COLLECTIONS / American / General</t>
  </si>
  <si>
    <t xml:space="preserve"> F. W. Dobbs-Allsopp</t>
  </si>
  <si>
    <t>Rights and Social Justice in Research</t>
  </si>
  <si>
    <t>Kathryn McGarry-Ciara Bradley-Gloria Kirwan</t>
  </si>
  <si>
    <t>What Matters and Who Matters to Young People Leaving Care</t>
  </si>
  <si>
    <t>Peter Appleton</t>
  </si>
  <si>
    <t>Feminism in Public Debt</t>
  </si>
  <si>
    <t>Juan Pablo Bohoslavsky-Mariana Rulli</t>
  </si>
  <si>
    <t>Low-Paid EU Migrant Workers</t>
  </si>
  <si>
    <t>Catherine Barnard-Fiona Costello-Sarah Fraser Butlin</t>
  </si>
  <si>
    <t>Ecologies of Care in Times of Climate Change</t>
  </si>
  <si>
    <t>Michael Buser</t>
  </si>
  <si>
    <t>Observing Dark Innovation</t>
  </si>
  <si>
    <t>Ryan T. MacNeil</t>
  </si>
  <si>
    <t>Remaking Money for a Sustainable Future</t>
  </si>
  <si>
    <t>BUSINESS &amp; ECONOMICS / Bitcoin &amp; Cryptocurrencies</t>
  </si>
  <si>
    <t>Ester Barinaga MartÃ­n</t>
  </si>
  <si>
    <t>Mundania</t>
  </si>
  <si>
    <t>Robert Willim</t>
  </si>
  <si>
    <t>Widening Scripts</t>
  </si>
  <si>
    <t>Punctum Books</t>
  </si>
  <si>
    <t xml:space="preserve"> Mariana Prandini Assis-Michelle Forrest-Angela Henderson-Lindsey MacCallum-Ian Reilly-Ellen Shaffner-Scott Stoneman</t>
  </si>
  <si>
    <t>Artificial Earth</t>
  </si>
  <si>
    <t xml:space="preserve"> J. Daniel Andersson</t>
  </si>
  <si>
    <t>Trajectoires de transition Ã©cologique</t>
  </si>
  <si>
    <t>L'acidification des ocÃ©ans</t>
  </si>
  <si>
    <t>Improvising Across Abilities</t>
  </si>
  <si>
    <t>Thomas Ciufo-Abbey L. Dvorak-Kip Haaheim-Jennifer Hurst-Grace Shih-en Leu-Leaf Miller-Ray Mizumura-Pence-Nicola Oddy-Jesse Stewart-John Sullivan-Sherrie Tucker-Ellen Waterman-Ranita Wilks</t>
  </si>
  <si>
    <t>Dispossession</t>
  </si>
  <si>
    <t>Catherine Wanner</t>
  </si>
  <si>
    <t>Power Dynamics in African Forests</t>
  </si>
  <si>
    <t>Symphorien Ongolo-Max Krott</t>
  </si>
  <si>
    <t>Intellectual Property Rights, Copynorm and the Fashion Industry</t>
  </si>
  <si>
    <t>Marlena Jankowska</t>
  </si>
  <si>
    <t>Byzantine Ideas of Persia, 650â€“1461</t>
  </si>
  <si>
    <t>Rustam Shukurov</t>
  </si>
  <si>
    <t>Przesilenie. Budujmy lepszy Å›wiat w sobie i pomiÄ™dzy nami. WystÄ…pienia plenarne na XI OgÃ³lnopolskim ZjeÅºdzie Pedagogicznym</t>
  </si>
  <si>
    <t>Agnieszka Cybal-Michalska (red.)-Piotr KostyÅ‚o (red.)</t>
  </si>
  <si>
    <t>Learning in a World of Cultural and Social Change. Interdisciplinary Perspective</t>
  </si>
  <si>
    <t>Mateusz Marciniak (ed.)-Joanna Sikorska (ed.)-MichaÅ‚ Klichowski (ed.)-Hanna Krauze-Sikorska (ed.)</t>
  </si>
  <si>
    <t>Proceedings of the International Conference for Democracy and National Resilience (ICDNR 2023)</t>
  </si>
  <si>
    <t>Waluyo Waluyo-Dona Budi Kharisma-Hsu Myat Noe Htet-Sunny Ummul Firdaus</t>
  </si>
  <si>
    <t>Creating a Roadmap Towards Circularity in the Built Environment</t>
  </si>
  <si>
    <t>LuÃƒÂ­s BraganÃƒÂ§a-Meri Cvetkovska-Rand Askar-Viorel Ungureanu</t>
  </si>
  <si>
    <t>Staging Difficult Pasts</t>
  </si>
  <si>
    <t>Maria M. Delgado-Michal Kobialka-Bryce Lease</t>
  </si>
  <si>
    <t>Love at a Crux</t>
  </si>
  <si>
    <t>Cameron Cross</t>
  </si>
  <si>
    <t>Urban Heritage Planning in Tehran and Beyond</t>
  </si>
  <si>
    <t>Solmaz Yadollahi</t>
  </si>
  <si>
    <t>The Biosecurity Individual</t>
  </si>
  <si>
    <t>Frederike Offizier</t>
  </si>
  <si>
    <t>Strategien der Moderne</t>
  </si>
  <si>
    <t>Christopher Jakob Rudoll</t>
  </si>
  <si>
    <t>Nietzsches Architektur der Erkennenden</t>
  </si>
  <si>
    <t>Stephen Griek</t>
  </si>
  <si>
    <t>Uni von innen</t>
  </si>
  <si>
    <t>Hans Michael Piper</t>
  </si>
  <si>
    <t>Digitale Sammlungen</t>
  </si>
  <si>
    <t>Sonja Gasser-Stiftung fÃ¼r Kunst, Kultur und Geschicht</t>
  </si>
  <si>
    <t>Cultures of Citizenship in the Twenty-First Century</t>
  </si>
  <si>
    <t>Vanessa Evans-Mita Banerjee</t>
  </si>
  <si>
    <t>Bilder nationaler ZugehÃ¶rigkeit</t>
  </si>
  <si>
    <t>Mirjam Aeschbach</t>
  </si>
  <si>
    <t>InterkulturalitÃ¤t und Kirchengemeinde</t>
  </si>
  <si>
    <t>Friedemann Burkhardt</t>
  </si>
  <si>
    <t>Kritik des reaktionÃ¤ren Denkens</t>
  </si>
  <si>
    <t>Robert Hugo Ziegler</t>
  </si>
  <si>
    <t>Law in Conflict</t>
  </si>
  <si>
    <t>Angela Lindt</t>
  </si>
  <si>
    <t>Das Inspection Panel der Weltbank</t>
  </si>
  <si>
    <t>Dustin SchÃ¤fer</t>
  </si>
  <si>
    <t>Studies in the Arts II â€“ KÃ¼nste, Design und Wissenschaft im Austausch</t>
  </si>
  <si>
    <t>Thomas Gartmann-Cristina UrchueguÃ­a-Hannah AmbÃ¼hl-Baur</t>
  </si>
  <si>
    <t>Das romantische Mittelalter der Germanistik</t>
  </si>
  <si>
    <t>Michael R. Ott-Helge Perplies</t>
  </si>
  <si>
    <t>Wie kommt der Religionsunterricht zu seinen Inhalten?</t>
  </si>
  <si>
    <t>Tanja Gojny-Susanne Schwarz-Ulrike Witten</t>
  </si>
  <si>
    <t>Das Konzert als Resonanzraum</t>
  </si>
  <si>
    <t>Irena MÃ¼ller-Brozovic</t>
  </si>
  <si>
    <t>AI in Museums</t>
  </si>
  <si>
    <t>Sonja Thiel-Johannes C. Bernhardt</t>
  </si>
  <si>
    <t>Transformationen des Politischen</t>
  </si>
  <si>
    <t>Lucas von Ramin-Karsten Schubert-Vincent Gengnagel-Georg Spoo</t>
  </si>
  <si>
    <t>Museum und Ausstellung als gesellschaftlicher Raum</t>
  </si>
  <si>
    <t>SÃ¸nke Gau-Angeli Sachs-Thomas Sieber</t>
  </si>
  <si>
    <t>Sprachwechsel â€“ Perspektivenwechsel?</t>
  </si>
  <si>
    <t>Gabriella Pelloni-Ievgeniia Voloshchuk</t>
  </si>
  <si>
    <t>Datafizierung (in) der Bildung</t>
  </si>
  <si>
    <t>Mandy Schiefner-Rohs-Sandra Hofhues-Andreas Breiter</t>
  </si>
  <si>
    <t>Theorizing Justice in Contemporary Arabo-Islamic Philosophy</t>
  </si>
  <si>
    <t>Kaouther Karoui</t>
  </si>
  <si>
    <t>Digitalisierung von Gegenmacht</t>
  </si>
  <si>
    <t>Martin Oppelt-Falko Blumenthal</t>
  </si>
  <si>
    <t>Autonomie</t>
  </si>
  <si>
    <t>Mathias Lindenau-Marcel Meier Kressig</t>
  </si>
  <si>
    <t>The Discovery of Anxiousness</t>
  </si>
  <si>
    <t>Joana Serrado</t>
  </si>
  <si>
    <t>Therapie der Dinge?</t>
  </si>
  <si>
    <t>Martin Bartelmus-Friederike Danebrock</t>
  </si>
  <si>
    <t>Periodismo de frontera en AmÃ©rica Latina</t>
  </si>
  <si>
    <t>Celia del Palacio</t>
  </si>
  <si>
    <t>Umstrittene SolidaritÃ¤t</t>
  </si>
  <si>
    <t>Ralf Mayer-Alfred SchÃ¤fer-Maren SchÃ¼ll</t>
  </si>
  <si>
    <t>Wirklichkeit und Wahrheit in der italienischen Nachkriegsliteratur</t>
  </si>
  <si>
    <t>Britta KÃ¶hler-Hoff</t>
  </si>
  <si>
    <t>Kritische Theorie der extremen Rechten</t>
  </si>
  <si>
    <t>Leo Roepert</t>
  </si>
  <si>
    <t>Feminisms in Movement</t>
  </si>
  <si>
    <t>LÃ­via De Souza Lima-Edith Otero Quezada-Julia Roth</t>
  </si>
  <si>
    <t>Wikipedia: Die rationale Seite der Digitalisierung?</t>
  </si>
  <si>
    <t>Olaf Rahmstorf</t>
  </si>
  <si>
    <t>Proceedings of the 3rd International Conference on Law and Digitalization 2023 (ICLD 2023)</t>
  </si>
  <si>
    <t>Yang Chik Adam-Shahrina Anis Binti Samsudin</t>
  </si>
  <si>
    <t>Scenes and Communities in the City</t>
  </si>
  <si>
    <t>Marta Klekotko</t>
  </si>
  <si>
    <t>Child Development with the D-score</t>
  </si>
  <si>
    <t>Stef van Buuren-Iris Eekhout</t>
  </si>
  <si>
    <t>Climate, Science and Society</t>
  </si>
  <si>
    <t>Zeke Baker-Tamar Law-Mark Vardy-Stephen Zehr</t>
  </si>
  <si>
    <t>Cosmological Readings of Contemporary Australian Literature</t>
  </si>
  <si>
    <t>Kathrin Bartha-Mitchell</t>
  </si>
  <si>
    <t>Stephanie Dinkins</t>
  </si>
  <si>
    <t>Srimoyee Mitra</t>
  </si>
  <si>
    <t>Finding a Moral Compass for South Africa</t>
  </si>
  <si>
    <t>JM Vorster</t>
  </si>
  <si>
    <t>Biblical Theology of Prayer in the New Testament</t>
  </si>
  <si>
    <t>Francois P Viljoen-Albert J Coetsee-Alistair I Wilson</t>
  </si>
  <si>
    <t>Biblical Theology of Prayer in the Old Testament</t>
  </si>
  <si>
    <t>Albert J Coetsee-Francois P Viljoen-David G Firth-Edward Ho-Gideon R KotzÃ©</t>
  </si>
  <si>
    <t>Space, People and Technology</t>
  </si>
  <si>
    <t>Amira Osman-Geci Karuri-Sebina-Amanda Gibberd-Beisi Jia-Jody Paterson-Nisa Mammon-Russel Hlongwane</t>
  </si>
  <si>
    <t>Living Water</t>
  </si>
  <si>
    <t>Manitza KotzÃ©-Kobus van der Walt-JM Vorster-GermariÃ© Viljoen-Koos Vivier-Nadia Marais-Riaan Rheeder-Stephan J Pretorius-TN Lemmer</t>
  </si>
  <si>
    <t>Resilience in a VUCA World: Reflections on Teaching, Learning and Health in Turbulent Times</t>
  </si>
  <si>
    <t>Annette Potgieter-Jacques Beukes</t>
  </si>
  <si>
    <t>Innovations in Online Teaching and Learning</t>
  </si>
  <si>
    <t>Judah P. Makonye-Nokulunga S. Ndlovu</t>
  </si>
  <si>
    <t>Transformation of Learning and Teaching in Rehabilitation Sciences</t>
  </si>
  <si>
    <t>Dawn V. Ernstzen</t>
  </si>
  <si>
    <t>Complexities and Challenges in Preventive Audiology: An African Perspective</t>
  </si>
  <si>
    <t>MEDICAL / Audiology &amp; Speech Pathology</t>
  </si>
  <si>
    <t>Katijah Khoza-Shangase-Ben Sebothoma</t>
  </si>
  <si>
    <t>Promoting Sustainable Local Economic Development Initiatives - Case Studies</t>
  </si>
  <si>
    <t>Marius Venter-Peter Baur</t>
  </si>
  <si>
    <t>Education Leadership - Scoping, Perspectives and Future Trajectory</t>
  </si>
  <si>
    <t>Leentjie van Jaarsveld-Charl C. Wolhuter</t>
  </si>
  <si>
    <t>Scholarship of Education and Human Rights in Diversity: Engaging Discourses From the South</t>
  </si>
  <si>
    <t>Erika M. Serfontein-Charl C. Wolhuter</t>
  </si>
  <si>
    <t>Preventive Audiology: An African Perspective</t>
  </si>
  <si>
    <t>Occupational Noise-induced Hearing Loss: An African Perspective</t>
  </si>
  <si>
    <t>MEDICAL / Occupational &amp; Industrial Medicine</t>
  </si>
  <si>
    <t>States of Exclusion: A Critical Systems Theory Reading of International Law</t>
  </si>
  <si>
    <t>Nicolaas Buitendag</t>
  </si>
  <si>
    <t>International Trade and Recovery Strategies in Kenya in the Context of COVID-19</t>
  </si>
  <si>
    <t>Benedicto O. Ongeri-Daniel O. Abala</t>
  </si>
  <si>
    <t>Contextualised Open Educational Practices</t>
  </si>
  <si>
    <t>Jako Olivier-Charlene du Toit-Brits</t>
  </si>
  <si>
    <t>Verskyning en verdwyning van â€™n verligte mens</t>
  </si>
  <si>
    <t>J.S. Kruger</t>
  </si>
  <si>
    <t>Perspectives on Comprehensive Internationalisation of Higher Education</t>
  </si>
  <si>
    <t>Nirmala Dorasamy-Gift Mugano</t>
  </si>
  <si>
    <t>Innovation for Inclusive Development and Transformation in South Africa</t>
  </si>
  <si>
    <t>Charles Hongoro-Cyril Adonis</t>
  </si>
  <si>
    <t>Environmental Ergonomics: Commercial Kitchens in a Semi-tropical City</t>
  </si>
  <si>
    <t>Sasi Gangiah</t>
  </si>
  <si>
    <t>Recalibrating Teacher Training in African Higher Education Institutions</t>
  </si>
  <si>
    <t>Sifiso Sibanda (https//orcid.org/0000-0002-3924-5414)-Gideon (Deon) P. van Tonder (https://orcid.org/0000-0001-5486-1242)-Washington T. Dudu (https://orcid.org/0000-0002-0194-0833)-Martha Matashu (https://orcid.org/0000-0001-8029-283X)-Melikhaya Skhephe (https://orcid.org/0000-0002-2507-735X)-Benedict Mofosi (https://orcid.org/0000-0003-4374-1936)-Louise Olivier (http://orcid.org/0000-0001-7057-2766)-Muchativugwa L. Hove (https://orcid.org/0000-0002-6021-4639)-Byron J. Bunt (https://orcid.org/0000-0002-2102-4381)-Kufakunesu Zano (https://orcid.org/0000-0003-4767-3109)-Esther Mavengano (https://orcid.org/0000-0002-9630-3334)-Kgomotsego B. Samuel (https://orcid.org/0000-0002-8118-5080)-Adri du Toit (https://orcid.org/0000-0002-3354-6830)-Joyce P. Dhlamini (https//orcid.org/0000-0002-6903-7843)-Precious-Pearl V. Mlotshwa (https//orcid.org/0000-0002-4528-2035)-Tobias Marevesa (https://orcid.org/0000-0001-5479-6735)</t>
  </si>
  <si>
    <t>Higher Education for Public Good: Perspectives on the New Academic Landscape in South Africa</t>
  </si>
  <si>
    <t>Noluthando S. Matsiliza</t>
  </si>
  <si>
    <t>Science and Faith in Dialogue</t>
  </si>
  <si>
    <t>Frederik van Niekerk-Nico Vorster</t>
  </si>
  <si>
    <t>Working with Indigenous Knowledge: Strategies for Health Professionals</t>
  </si>
  <si>
    <t>HEALTH &amp; FITNESS / Indigenous Health &amp; Healing</t>
  </si>
  <si>
    <t>Fhumulani M. Mulaudzi</t>
  </si>
  <si>
    <t>Speaking of Satan in Zambia</t>
  </si>
  <si>
    <t>RELIGION / Demonology &amp; Satanism</t>
  </si>
  <si>
    <t>Johanneke Kroesbergen-Kamps</t>
  </si>
  <si>
    <t>Studentsâ€™ Participation in University Governance in South Africa</t>
  </si>
  <si>
    <t>Vuyo Mthethwa</t>
  </si>
  <si>
    <t>Education for Sustainable Development in BRICS</t>
  </si>
  <si>
    <t>Zacharias Louw de Beer (https://orcid.org/0000-0002-9682-2441)-Ewelina K. Niemczyk (https://orcid.org/0000-0002-9381-5449)-Susanna C.M. Greyling (https://orcid.org/0000-0003-3871-7296)-Nicholus T. Mollo (https://orcid.org/0000-0003-0427-0836)-Marinda Neethling (https://orcid.org/0000-0002-4548-426X)-Lynn D. Preston (0000-0001-9594-7069)-Hennie J. Steyn (https://orcid.org/0000-0002-7596-8361)-Benita Taylor (https://orcid.org/0000-0002-8600-8593)</t>
  </si>
  <si>
    <t>State-owned Enterprises in Africa and the Economics of Public Service Delivery</t>
  </si>
  <si>
    <t>Fulufhelo G. Netswera (https://orcid.org/0000-0001-5382-4992)-Omololu M. Fagbadebo (https://orcid.org/0000-0002-0195-5189)-Nirmala Dorasamy (https://orcid.org/0000-0002-8964-7825)-Tunde A. Abioro (https://orcid.org/0000-0003-4508-8555)-Arulraj Arockiasamy (https://orcid.org/0000-0002-0767-8231)-Benon C. Basheka (https://orcid.org/0000-0003-1592-222X)-Edward Bbaale (https://orcid.org/0000-0003-0292-8606)-Gregory J. Davids (https://orcid.org/0000-0002-9633-2127)-John S. Kihamba (https://orcid.org/0000-0003-4979-9848)-Msuthukazi Makiva (https://orcid.org/0000-0003-0749-4720)-Ibrahim Mukisa (https://orcid.org/0000-0003-0429-2031)-Magashi J. Ntegwa (https://orcid.org/0000-0003-4746-0453)-Ibrahim M. Okumu (https://orcid.org/0000-0001-9652-675X)-Ravinder Rena (https://orcid.org/0000-0002-4156-8693)-Evans Sokro (https://orcid.org/0000-0002-5692-2886)-Joweria M. Teera (https://orcid.org/0000-0002-2729-0728)</t>
  </si>
  <si>
    <t>Christian Hermeneutics in South Africa</t>
  </si>
  <si>
    <t>Hendrik Goede (https://orcid.org/0000-0001-9999-7688)-Nico Vorster (https://orcid.org/0000-0003-2989-2877)-Albert J. Coetsee (https://orcid.org/0000-0002-5549-2474)-Zorodzai Dube (https://orcid.org/0000-0003-1859-2043)-Philip La Grange du Toit (https://orcid.org/0000-0002-7353-9176)-Jaco Kruger (https://orcid.org/0000-0001-8229-1224)-Marius Nel (https://orcid.org/0000-0003-0304-5805)-Susara J. NortjÃ©-Meyer (https://orcid.org/0000-0002-4625-4159)-J.M. Vorster (https://orcid.org/0000-0003-4529-5343)-Hulisani Ramantswana (https://orcid.org/0000-0002-6629-9194)</t>
  </si>
  <si>
    <t>Self-Directed Learning in the Era of the COVID-19 Pandemic: Research on the Affordances of Online Virtual Excursions (NWU Self-Directed Learning Series Volume 9)</t>
  </si>
  <si>
    <t>Josef de Beer (https://orcid.org/0000-0002-2411-6599)-Neal Petersen (https://orcid.org/0000-0002-4415-2853)-Elsa Mentz (https://orcid.org/0000-0002-7267-080X)-Robert J. Balfour (https://orcid.org/0000-0001-9119-6886)-Sanette Brits (https://orcid.org/0000-0002-8675-1547)-Byron J. Bunt (https://orcid.org/0000-0002-2102-4381)-Lloyd Conley (https://orcid.org/0000-0002-1470-0433)-Ninette Crous (https://orcid.org/0000-0001-6476-6708)-Adri du Toit (https://orcid.org/0000-0002-3354-6830)-Yolani Geldenhuys (https://orcid.org/0000-0002-4281-8762)-Susanna M. Hanekom (https://orcid.org/0000-0002-4281-8762)-Marietjie Havenga (https://orcid.org/0000-0003-1638-9834)-Anette Hay (https://orcid.org/0000-0002-2210-7218)-Yolande Heymans (https://orcid.org/0000-0003-4459-2266)-Rhea Koch (https://orcid.org/0000-0003-2398-9475)-RenÃ© Koraan (https://orcid.org/0000-0002-9426-6517)-Nothile A.T. Kunene (https://orcid.org/0000-0002-8219-8086)-Elize KÃ¼ng (https://orcid.org/0000-0002-3249-5517)</t>
  </si>
  <si>
    <t>Blended Learning Environments to Foster Self-directed Learning</t>
  </si>
  <si>
    <t>Roxanne Bailey (https://orcid.org/0000-0001-5326-274X)-Mncedisi C. Maphalala (https://orcid.org/0000-0002-1078-1985)-Christo van der Westhuizen (https://orcid.org/0000-0002-4762-8538)-Nicole Bergamin (https://orcid.org/0000-0002-0638-6325)-Per B. Bergamin (https://orcid.org/0000-0002-2551-9058)-Betty Breed (https://orcid.org/0000-0002-1127-4985)-Byron J. Bunt (https://orcid.org/0000-0002-2102-4381)-Joyce P. Dhlamini (https://orcid.org/0000-0002-6903-7843)-Divan Jagals (https://orcid.org/0000-0001-5840-6298)-Albert Kemp (https://orcid.org/0000-0002-5335-262X)-CornÃ© Kruger (http://orcid.org/0000-0003-4042-4476)-Donnavan Kruger (https://orcid.org/0000-0003-2013-261X)-Celizma Lotz (https://orcid.org/0000-0001-8182-1203)-Matome M. Mabiletja (https://orcid.org/0000-0002-0714-6673)-Sfiso C. Mahlaba (https://orcid.org/0000-0001-6153-3917)-Victoria Mirata (https://orcid.org/0000-0003-4147-2090)-Emmanuel Ngwenya (https://orcid.org/0000-0002-0774-7612)-Jako Olivier (https://orcid</t>
  </si>
  <si>
    <t>Music, Art and Emotion: Depictions of the Night Inspired by Romantic Art Song</t>
  </si>
  <si>
    <t>Conroy Cupidol (https://orcid.org/0000-0001-6813-6877)-Jaco Meyer (https://orcid.org/0000-0002-5281-3834)-Willem Venter https://orcid.org/0000-0001-5205-5650)</t>
  </si>
  <si>
    <t>Philipp Melanchthon: Die denker, leermeester en opvoeder van die Reformasie</t>
  </si>
  <si>
    <t>Ignatius W.C. van Wyk (https://orcid.org/0000-0002-5761-2572)</t>
  </si>
  <si>
    <t>Faith Seeking Understanding</t>
  </si>
  <si>
    <t>RELIGION / Biblical Studies / Bible Study Guides</t>
  </si>
  <si>
    <t>Jaco Beyers (https://orcid.org/0000-0001-5432-2898)-Manitza KotzÃ© (https://orcid.org/0000-0002-3120-2807)-Andrew Loke (https://orcid.org/0000-0001-8569-482X)-Marius Nel (https://orcid.org/0000-0003-0304-5805)-Riaan Rheeder (https://orcid.org/0000-0001-9355-7331)-Konrad Schmid (https://orcid.org/0000-0002-8968-2604)-Frederik van Niekerk (https://orcid.org/0000-0002-3425-8507)-J.M. Vorster (https://orcid.org/0000-0003-4529-5343)-Nico Vorster (https://orcid.org/0000-0003-2989-2877)</t>
  </si>
  <si>
    <t>The 4IR and Teacher Education in South Africa</t>
  </si>
  <si>
    <t>Felix Maringe (https://orcid.org/0000-0002-7992-9079)-Otilia Chiramba (https://orcid.org/0000-0003-4668-8536)-Anilkumar Krishnannair (https://orcid.org/0000-0001-8198-3851)-Syamala Krishnannair (https://orcid.org/0000-0001-8532-5434)-Jako Olivier (https://orcid.org/0000-0002-5860-6027)-Maria Tsakeni (https://orcid.org/0000-0003-3208-1362)-Vusiwana C. Babane (https://orcid.org/0000-0002-1520-1513)-Emure Kadenge (https://orcid.org/0000-0001-6348-4442)-Melanie B. Luckay (https://orcid.org/0000-0002-8601-1215)-Edmore Mutekwe (https://orcid.org/0000-0001-7830-6171)-Jayaluxmi Naidoo (https://orcid.org/0000-0003-3433-5354)-Asheena Singh-Pillay (https://orcid.org/0000-0003-1540-8992)-Abueng R. Molotsi (https://orcid.org/0000-0002-4910-2265)</t>
  </si>
  <si>
    <t>Shaping the Future of Biological Education Research</t>
  </si>
  <si>
    <t>Konstantinos Korfiatis-Marcus Grace-Marcus Hammann</t>
  </si>
  <si>
    <t>Human-Centred Economics</t>
  </si>
  <si>
    <t>Richard Samans</t>
  </si>
  <si>
    <t>EASyQuart - Energieeffiziente Auslegung und Planung dezentraler Versorgungsnetze von Stadtquartieren</t>
  </si>
  <si>
    <t>Anke Bucher-Haibing Shao-RÃ¼diger Grimm-Stephan SchÃ¶nfelder-Jakob Randow</t>
  </si>
  <si>
    <t>Proceedings of the International Conference on Sustainability in Technological, Environmental, Law, Management, Social and Economic Matters (ICOSTELM 2022)</t>
  </si>
  <si>
    <t>Tulus Suryanto-Liza Alili Sulejmani-Juhary Ali-Ravinder Rena-Simon Grima</t>
  </si>
  <si>
    <t>European Actorness in a Shifting Geopolitical Order</t>
  </si>
  <si>
    <t>Pernille Rieker-Mathilde T. E. Giske</t>
  </si>
  <si>
    <t>Proceedings of the International Conference Social - Humanities in Maritime and Border Area (SHIMBA 2023)</t>
  </si>
  <si>
    <t>Azhari Setiawan-Rizky Octa Putri Chairin-Rizqi Apriani Putri-Agung Dhamar Syakti-Hilfi Pardi</t>
  </si>
  <si>
    <t>Proceedings of the 1st International Conference on Research in Communication and Media (ICORCOM 2021)</t>
  </si>
  <si>
    <t>Oktaviana Purnamasari-Muhammad Yusuf-Kirti Dang Longani-Syifa Astasia Utari-Tria Patrianti</t>
  </si>
  <si>
    <t>Proceedings of the 3rd International Conference on Digital Economy and Computer Application (DECA 2023)</t>
  </si>
  <si>
    <t>Charles Chen-Satya Narayan Singh-Sandeep Saxena-Ali Hussein Wheeb</t>
  </si>
  <si>
    <t>Automatisierter Ã–PNV</t>
  </si>
  <si>
    <t>Robert Yen-Nadja Braun Binder-Constantin Pitzen-Jens Schippl</t>
  </si>
  <si>
    <t>Proceedings of the 6th International Conference on Learning Innovation and Quality Education (ICLIQE 2022)</t>
  </si>
  <si>
    <t>Moh Salimi-Gunarhadi-Ratna Hidayah-Dewanta Arya Nugraha</t>
  </si>
  <si>
    <t>4th International Conference on Tourism, Gastronomy, and Tourist Destination (TGDIC 2023)</t>
  </si>
  <si>
    <t>Myrza Rahmanita-Rina Suprina-Willy Arafah</t>
  </si>
  <si>
    <t>The Power of Energy Justice &amp; the Social Contract</t>
  </si>
  <si>
    <t>Raphael J. Heffron-Louis de Fontenelle</t>
  </si>
  <si>
    <t>PRATÄ°K YANGIN ARAÅžTIRMASI PRACTICAL FIRE RESEARCH</t>
  </si>
  <si>
    <t>Sakarya University Press</t>
  </si>
  <si>
    <t>Orhan Oduncu-Huseyin Altundag</t>
  </si>
  <si>
    <t>BAÄžIMSIZLIÄžIN 30. YILINDA: TÃœRK DÃœNYASI ANALIZLERIANALIZLERI ANALYSIS OF THE TURKIC WORLD IN THE 30TH ANNIVERSARY OF INDEPENDENCE</t>
  </si>
  <si>
    <t>Koksal Sahin-Suat Kol</t>
  </si>
  <si>
    <t>TEMELDEN KLINIÄžE COVID-19 FROM BASIC TO CLINICAL COVID-19</t>
  </si>
  <si>
    <t>HEALTH &amp; FITNESS / Diseases &amp; Conditions / Contagious (incl. Pandemics)</t>
  </si>
  <si>
    <t>Oguz Karabay-Hamad Dheir-Selcuk Yaylaci</t>
  </si>
  <si>
    <t>ExploraciÃ³n y sistematizaciÃ³n del objeto de estudio de las ciencias de la educaciÃ³n. Claves para su enseÃ±anza-aprendizaje</t>
  </si>
  <si>
    <t>Editorial TecnocientÃ­fica Americana (ETECAM)</t>
  </si>
  <si>
    <t>Colectivo de autores</t>
  </si>
  <si>
    <t>Feminist Animal and Multispecies Studies: Critical Perspectives on Food and Eating</t>
  </si>
  <si>
    <t>Kadri Aavik-Kuura Irni-Milla-Maria Joki</t>
  </si>
  <si>
    <t>MIMOS 2022</t>
  </si>
  <si>
    <t>Paola Gilardi-Anne Fournier-Andreas Klaeui</t>
  </si>
  <si>
    <t>Theologie angesichts des Digitalen</t>
  </si>
  <si>
    <t>RELIGION / Institutions &amp; Organizations</t>
  </si>
  <si>
    <t>Roman Winter-Tietel-Lukas Ohly</t>
  </si>
  <si>
    <t>Zjawiska niepoÅ¼Ä…dane w zatrudnieniu z perspektywy prawa pracy â€“ wybrane zagadnienia</t>
  </si>
  <si>
    <t>Magdalena Paluszkiewicz-Ewa Staszewska</t>
  </si>
  <si>
    <t>Przed BitwÄ…, T. 7 Seria â€žOblicza Wojnyâ€</t>
  </si>
  <si>
    <t>Tadeusz Grabarczyk-Magdalena PogoÅ„ska-Pol</t>
  </si>
  <si>
    <t>Rola i efekty funkcjonowania centrÃ³w usÅ‚ug wspÃ³lnych w Polsce</t>
  </si>
  <si>
    <t>Tomasz Motowidlakl-Urszula Motowidlak</t>
  </si>
  <si>
    <t>Applied Human Rights</t>
  </si>
  <si>
    <t>The Impact of the Roman Empire on Landscapes</t>
  </si>
  <si>
    <t>Marietta Horster-Nikolas HÃ¤chler</t>
  </si>
  <si>
    <t>Decarbonize Urban Heating System</t>
  </si>
  <si>
    <t>Building Energy Research Center of THU</t>
  </si>
  <si>
    <t>Proceedings of the BISTIC Business Innovation Sustainability and Technology International Conference (BISTIC 2023)</t>
  </si>
  <si>
    <t>Ika Zutiasari-Dediek Tri Kurniawan</t>
  </si>
  <si>
    <t>Proceedings of the 2023 International Conference on Finance, Trade and Business Management (FTBM 2023)</t>
  </si>
  <si>
    <t>Amalendu Bhunia-Rubi Binti Ahmad-Yifeng Zhu</t>
  </si>
  <si>
    <t>Discourses, Dialogue and Diversity in Biographical Research</t>
  </si>
  <si>
    <t>Alan Bainbridge-Laura Formenti-Linden West</t>
  </si>
  <si>
    <t>Contemporary Canadian Picture Books</t>
  </si>
  <si>
    <t>Beverley Brenna-Richard Dionne-Theresa Tavares</t>
  </si>
  <si>
    <t>The Orient in Utrecht: Adriaan Reland (1676-1718), Arabist, Cartographer, Antiquarian and Scholar of Comparative Religion</t>
  </si>
  <si>
    <t>Bart Jaski-Christian Lange-Anna Pytlowany-Henk J. van Rinsum</t>
  </si>
  <si>
    <t>The Economy of Western Xia</t>
  </si>
  <si>
    <t>Jinbo Shi-Hansong Li</t>
  </si>
  <si>
    <t>Urban Rituals in Sacred Landscapes in Hellenistic Asia Minor</t>
  </si>
  <si>
    <t>Christina G. Williamson</t>
  </si>
  <si>
    <t>A Global Radical Waterfront</t>
  </si>
  <si>
    <t>The Manichaean Church in Kellis</t>
  </si>
  <si>
    <t>HÃ¥kon Fiane Teigen</t>
  </si>
  <si>
    <t>Nicole Oresme, Questiones in Meteorologica De Ultima Lectura, Recensio Parisiensis</t>
  </si>
  <si>
    <t>Supersapientia: Berthold of Moosburg and the Divine Science of the Platonists</t>
  </si>
  <si>
    <t>Evan King</t>
  </si>
  <si>
    <t>Theatre and Its Other</t>
  </si>
  <si>
    <t>Elisa Ganser</t>
  </si>
  <si>
    <t>Print and Power in Early Modern Europe (1500â€“1800)</t>
  </si>
  <si>
    <t>Nina Lamal-Jamie Cumby-Helmer J. Helmers</t>
  </si>
  <si>
    <t>Heart Speaks Unto Heart</t>
  </si>
  <si>
    <t>Jan KÅ‚os</t>
  </si>
  <si>
    <t>History of Wills, Testators and Their Families in Late Medieval Krakow</t>
  </si>
  <si>
    <t>Jakub WysmuÅ‚ek</t>
  </si>
  <si>
    <t>The Renewal of Medieval Metaphysics</t>
  </si>
  <si>
    <t>Dragos Calma-Evan King</t>
  </si>
  <si>
    <t>Ergativity and Other Alignment Types in Neo-Aramaic</t>
  </si>
  <si>
    <t>Paul M. Noorlander</t>
  </si>
  <si>
    <t>International Law and Transition to Peace in Colombia</t>
  </si>
  <si>
    <t>CÃ©sar Rojas-Orozco</t>
  </si>
  <si>
    <t>Switzerland and Sub-Saharan Africa in the Cold War, 1967-1979</t>
  </si>
  <si>
    <t>Sabina Widmer</t>
  </si>
  <si>
    <t>The Pechenegs: Nomads in the Political and Cultural Landscape of Medieval Europe</t>
  </si>
  <si>
    <t>Aleksander ParoÅ„</t>
  </si>
  <si>
    <t>Handbook of Islamic Sects and Movements</t>
  </si>
  <si>
    <t>Muhammad Afzal Upal-Carole M. Cusack</t>
  </si>
  <si>
    <t>Ten Lectures on Diachronic Construction Grammar</t>
  </si>
  <si>
    <t>Martin Hilpert</t>
  </si>
  <si>
    <t>Imaging and Imagining Palestine</t>
  </si>
  <si>
    <t>KarÃ¨ne Sanchez Summerer-Sary Zananiri</t>
  </si>
  <si>
    <t>Postkolonialismus, Theologie und die Konstruktion des Anderen / Postcolonialism, Theology and the Construction of the Other</t>
  </si>
  <si>
    <t>Britta Konz-Bernhard Ortmann-Christian Wetz</t>
  </si>
  <si>
    <t>Value Without Fetish</t>
  </si>
  <si>
    <t>Elena Louisa Lange</t>
  </si>
  <si>
    <t>Formal Axiology and Its Critics</t>
  </si>
  <si>
    <t>Rem B. Edwards</t>
  </si>
  <si>
    <t>The Knowledge of Good</t>
  </si>
  <si>
    <t>Robert S. Hartman-Arthur R. Ellis-Rem B. Edwards</t>
  </si>
  <si>
    <t>What Caused the Big Bang?</t>
  </si>
  <si>
    <t>Rational Use of Intravenous Fluids in Critically Ill Patients</t>
  </si>
  <si>
    <t>Manu L.N.G. Malbrain-Adrian Wong-Prashant Nasa-Supradip Ghosh</t>
  </si>
  <si>
    <t>An Interdependent Approach to Happiness and Well-Being</t>
  </si>
  <si>
    <t>Yukiko Uchida-Jeremy Rappleye</t>
  </si>
  <si>
    <t>The New Production of Expert Knowledge</t>
  </si>
  <si>
    <t>Sotiria Grek</t>
  </si>
  <si>
    <t>Muslims in Spain, 1492-1814</t>
  </si>
  <si>
    <t>Eloy MartÃ­n-Corrales</t>
  </si>
  <si>
    <t>Marine Biodiversity of Areas Beyond National Jurisdiction</t>
  </si>
  <si>
    <t>Myron H. Nordquist-RonÃ¡n Long</t>
  </si>
  <si>
    <t>The Stone Age of Indonesia</t>
  </si>
  <si>
    <t>H.R. van Heekeren</t>
  </si>
  <si>
    <t>Asian Yearbook of International Law, Volume 1 (1991)</t>
  </si>
  <si>
    <t>Sik Ko Swan-J.J.G. Syatauw-M.C.W. Pinto</t>
  </si>
  <si>
    <t>Asian Yearbook of International Law, Volume 5 (1995)</t>
  </si>
  <si>
    <t>Asian Yearbook of International Law, Volume 24 (2018)</t>
  </si>
  <si>
    <t>Platoâ€™s Timaeus</t>
  </si>
  <si>
    <t>Chad Jorgenson-Filip KarfÃ­k-Å tÄ›pÃ¡n Å pinka</t>
  </si>
  <si>
    <t>The Role of International Administrative Law at International Organizations</t>
  </si>
  <si>
    <t>Peter Quayle</t>
  </si>
  <si>
    <t>Reading Proclus and the Book of Causes, Volume 2</t>
  </si>
  <si>
    <t>Dragos Calma</t>
  </si>
  <si>
    <t>Asian Yearbook of International Law, Volume 11 (2003-2004)</t>
  </si>
  <si>
    <t>B.S. Chimni-Masahiro Miyoshi-Surya Subedi</t>
  </si>
  <si>
    <t>Asian Yearbook of International Law, Volume 8 (1998-1999)</t>
  </si>
  <si>
    <t>B.S. Chimni-Sik Ko Swan-Masahiro Miyoshi-M.C.W. Pinto-Surya Subedi</t>
  </si>
  <si>
    <t>Asian Yearbook of International Law, Volume 7 (1997)</t>
  </si>
  <si>
    <t>Sik Ko Swan-M.C.W. Pinto-Surya Subedi</t>
  </si>
  <si>
    <t>Asian Yearbook of International Law, Volume 6 (1996)</t>
  </si>
  <si>
    <t>Asian Yearbook of International Law, Volume 4 (1994)</t>
  </si>
  <si>
    <t>Asian Yearbook of International Law, Volume 2 (1992)</t>
  </si>
  <si>
    <t>The SkandapurÄá¹‡a Volume V</t>
  </si>
  <si>
    <t>Peter Bisschop-Yuko Yokochi</t>
  </si>
  <si>
    <t>Antique Dealing and Creative Reuse in Cairo and Damascus 1850-1890</t>
  </si>
  <si>
    <t>Mercedes Volait</t>
  </si>
  <si>
    <t>The Diachrony of Definiteness in North Germanic</t>
  </si>
  <si>
    <t>Dominika Skrzypek-Alicja Piotrowska-RafaÅ‚ Jaworski</t>
  </si>
  <si>
    <t>Due Process and Fair Trial in EU Competition Law</t>
  </si>
  <si>
    <t>Cristina Teleki</t>
  </si>
  <si>
    <t>National Stereotyping, Identity Politics, European Crises</t>
  </si>
  <si>
    <t>JÃ¼rgen Barkhoff-Joep Leerssen</t>
  </si>
  <si>
    <t>Socially Responsible Higher Education</t>
  </si>
  <si>
    <t>Budd L. Hall-Rajesh Tandon</t>
  </si>
  <si>
    <t>Indigenous Research Methodologies in SÃ¡mi and Global Contexts</t>
  </si>
  <si>
    <t>Pirjo Kristiina Virtanen-Pigga Keskitalo-Torjer Olsen</t>
  </si>
  <si>
    <t>Early Makuria Research Project. El-Zuma Cemetery (3-vol. Set)</t>
  </si>
  <si>
    <t>Mahmoud El-Tayeb-Ewa CzyÅ¼ewska-Zalewska-Urszula Iwaszczuk-Jolanta Juchniewicz-Zofia Kowarska-Iwona Kozieradzka-Ogunmakin-Szymon Lenarczyk-Robert Mahler-Ewa SkowroÅ„ska-Zych-Aneta Cedro</t>
  </si>
  <si>
    <t>The Wolio Language</t>
  </si>
  <si>
    <t>J.C. Anceaux</t>
  </si>
  <si>
    <t>New Readings in Arabic Historiography From Late Medieval Egypt and Syria</t>
  </si>
  <si>
    <t>Jo van Steenbergen-Maya Termonia</t>
  </si>
  <si>
    <t>Negotiating Asylum</t>
  </si>
  <si>
    <t>Gregor Noll</t>
  </si>
  <si>
    <t>Beauvoir in Time</t>
  </si>
  <si>
    <t>Meryl Altman</t>
  </si>
  <si>
    <t>Europe From Below</t>
  </si>
  <si>
    <t>Tuuli LÃ¤hdesmÃ¤ki-Katja MÃ¤kinen-Viktorija Linda Aldona ÄŒeginskas-Sigrid Kaasik-Krogerus</t>
  </si>
  <si>
    <t>The School of Salamanca: A Case of Global Knowledge Production</t>
  </si>
  <si>
    <t>Thomas Duve-JosÃ© Luis EgÃ­o-Christiane Birr</t>
  </si>
  <si>
    <t>The Western Karaim Torah</t>
  </si>
  <si>
    <t>MichaÅ‚ NÃ©meth</t>
  </si>
  <si>
    <t>Traces of Ink</t>
  </si>
  <si>
    <t>Lucia Raggetti</t>
  </si>
  <si>
    <t>WTO Law and Trade Policy Reform for Low-Carbon Technology Diffusion</t>
  </si>
  <si>
    <t>Zaker Ahmad</t>
  </si>
  <si>
    <t>Hakol Kol Yaakov</t>
  </si>
  <si>
    <t>Robert A. Harris-Jonathan S. Milgram</t>
  </si>
  <si>
    <t>Music of the Baduy People of Western Java</t>
  </si>
  <si>
    <t>Wim van Zanten</t>
  </si>
  <si>
    <t>New Approaches to the Study of Esotericism</t>
  </si>
  <si>
    <t>Egil Asprem-Julian Strube</t>
  </si>
  <si>
    <t>Martha Frederiks-Dorottya Nagy</t>
  </si>
  <si>
    <t>Everyday Crime, Criminal Justice and Gender in Early Modern Bologna</t>
  </si>
  <si>
    <t>Sanne Muurling</t>
  </si>
  <si>
    <t>Staging Holiness: The Case of Hospitaller Rhodes (ca. 1309-1522)</t>
  </si>
  <si>
    <t>Sofia Zoitou</t>
  </si>
  <si>
    <t>Worlds of Labour Turned Upside Down</t>
  </si>
  <si>
    <t>Pepijn Brandon-Peyman Jafari-Stefan MÃ¼ller</t>
  </si>
  <si>
    <t>Roman Rule and Civic Life: Local and Regional Perspectives</t>
  </si>
  <si>
    <t>Luuk de Ligt-Emily Hemelrijk-H.W. Singor</t>
  </si>
  <si>
    <t>The Transformation of Economic Life Under the Roman Empire</t>
  </si>
  <si>
    <t>Lukas de Blois-J. Rich</t>
  </si>
  <si>
    <t>Administration, Prosopography and Appointment Policies in the Roman Empire</t>
  </si>
  <si>
    <t>Lukas de Blois</t>
  </si>
  <si>
    <t>An Overview of the Pre-suppression Society of Jesus in Spain</t>
  </si>
  <si>
    <t>Patricia W. Manning</t>
  </si>
  <si>
    <t>Exile, Diplomacy and Texts</t>
  </si>
  <si>
    <t>Ana SÃ¡ez-Hidalgo-Berta Cano EchevarrÃ­a</t>
  </si>
  <si>
    <t>Four Kingdom Motifs Before and Beyond the Book of Daniel</t>
  </si>
  <si>
    <t>Andrew B. Perrin-Loren T. Stuckenbruck</t>
  </si>
  <si>
    <t>Enthymemes and Topoi in Dialogue</t>
  </si>
  <si>
    <t>Ellen Breitholtz</t>
  </si>
  <si>
    <t>All Things Arabia</t>
  </si>
  <si>
    <t>Ileana Baird-HÃ¼lya YaÄŸcÄ±oÄŸlu</t>
  </si>
  <si>
    <t>Childhood Cultures in Transformation</t>
  </si>
  <si>
    <t>Elin Eriksen Ã˜degaard-Jorunn Spord Borgen</t>
  </si>
  <si>
    <t>Women and Crime in Post-Transitional South African Crime Fiction</t>
  </si>
  <si>
    <t>Sabine Binder</t>
  </si>
  <si>
    <t>The Medieval Iberian Treasury in the Context of Cultural Interchange (Expanded Edition)</t>
  </si>
  <si>
    <t>Therese Martin</t>
  </si>
  <si>
    <t>The Phoebe A. Hearst Expedition to Naga Ed-Deir, Cemeteries N 2000 and N 2500</t>
  </si>
  <si>
    <t>Vanessa Davies</t>
  </si>
  <si>
    <t>Migrants and Religion: Paths, Issues, and Lenses</t>
  </si>
  <si>
    <t>Laura Zanfrini</t>
  </si>
  <si>
    <t>Historicizing Sunni Islam in the Ottoman Empire, C. 1450-c. 1750</t>
  </si>
  <si>
    <t>Tijana KrstiÄ‡-Derin TerzioÄŸlu</t>
  </si>
  <si>
    <t>Disentangling Bare Nouns and Nominals Introduced by a Partitive Article</t>
  </si>
  <si>
    <t>Tabea Ihsane</t>
  </si>
  <si>
    <t>Pragmatic Approaches to Drama</t>
  </si>
  <si>
    <t>Gunther Martin-Federica Iurescia-Severin Hof-Giada Sorrentino</t>
  </si>
  <si>
    <t>"At the Shores of the Sky"</t>
  </si>
  <si>
    <t>Paul W. Kroll-Jonathan A. Silk</t>
  </si>
  <si>
    <t>The Devotion and Promotion of Stigmatics in Europe, C. 1800â€“1950</t>
  </si>
  <si>
    <t>Tine Van Osselaer-Andrea Graus-Leonardo Rossi-Kristof Smeyers</t>
  </si>
  <si>
    <t>Drug Policies and Development</t>
  </si>
  <si>
    <t>Julia Buxton-Mary Chinery-Hesse-Khalid Tinasti</t>
  </si>
  <si>
    <t>Islamic Ethics and the Trusteeship Paradigm: Taha Abderrahmaneâ€™s Philosophy in Comparative Perspectives</t>
  </si>
  <si>
    <t>Mohammed Hashas-Mutaz al-Khatib</t>
  </si>
  <si>
    <t>Schutz Und Andacht Im Islam: Dokumente in Rollenform Aus Dem 14.â€“19. Jh.</t>
  </si>
  <si>
    <t>Tobias NÃ¼nlist</t>
  </si>
  <si>
    <t>Humanitarianism: Keywords</t>
  </si>
  <si>
    <t>Antonio De Lauri</t>
  </si>
  <si>
    <t>Lire lâ€™Histoire gÃ©nÃ©rale des Antilles de J.-B. Du Tertre</t>
  </si>
  <si>
    <t>Christina Kullberg</t>
  </si>
  <si>
    <t>European Citizenship Under Stress</t>
  </si>
  <si>
    <t>Nathan Cambien-Dimitry Kochenov-Elise Muir</t>
  </si>
  <si>
    <t>Authoritarian Modernization in Indonesiaâ€™s Early Independence Period</t>
  </si>
  <si>
    <t>Farabi Fakih</t>
  </si>
  <si>
    <t>Medicine in Ancient Assur</t>
  </si>
  <si>
    <t>Troels Pank ArbÃ¸ll</t>
  </si>
  <si>
    <t>Christian Missions and Humanitarianism in The Middle East, 1850-1950</t>
  </si>
  <si>
    <t>Inger Marie Okkenhaug-KarÃ¨ne Sanchez Summerer</t>
  </si>
  <si>
    <t>Practicing Biomedicine at the Albert Schweitzer Hospital 1913-1965</t>
  </si>
  <si>
    <t>Tizian Zumthurm</t>
  </si>
  <si>
    <t>A Companion to Geoffrey of Monmouth</t>
  </si>
  <si>
    <t>Joshua Byron Smith-Georgia Henley</t>
  </si>
  <si>
    <t>The Journeys of a Taymiyyan Sufi</t>
  </si>
  <si>
    <t>RELIGION / Islam / Sufi</t>
  </si>
  <si>
    <t>Arjan Post</t>
  </si>
  <si>
    <t>The Jewel of Annual Astrology</t>
  </si>
  <si>
    <t>BODY, MIND &amp; SPIRIT / Divination / General</t>
  </si>
  <si>
    <t>Martin Gansten-Balabhadra DaivajÃ±a</t>
  </si>
  <si>
    <t>Åšaivism and the Tantric Traditions</t>
  </si>
  <si>
    <t>Dominic Goodall-Shaman Hatley-Harunaga Isaacson-Srilata Raman</t>
  </si>
  <si>
    <t>Breaching the Bronze Wall: Franks at Mamluk and Ottoman Courts and Markets</t>
  </si>
  <si>
    <t>Francisco ApellÃ¡niz</t>
  </si>
  <si>
    <t>The Matter of Piety</t>
  </si>
  <si>
    <t>Ruben Suykerbuyk</t>
  </si>
  <si>
    <t>The Representation and Perception of Roman Imperial Power</t>
  </si>
  <si>
    <t>Paul Erdkamp-O. Hekster-G. de Kleijn-Stephan T.A.M. Mols-Lukas de Blois</t>
  </si>
  <si>
    <t>Trajectories of State Formation Across Fifteenth-Century Islamic West-Asia</t>
  </si>
  <si>
    <t>Jo Van Steenbergen</t>
  </si>
  <si>
    <t>Reconstructing Syntax</t>
  </si>
  <si>
    <t>JÃ³hanna BarÃ°dal-Spike Gildea-Eugenio R. Lujan</t>
  </si>
  <si>
    <t>Critical Perspectives on Interreligious Education</t>
  </si>
  <si>
    <t>Najeeba Syeed-Heidi Hadsell</t>
  </si>
  <si>
    <t>Islam at 250</t>
  </si>
  <si>
    <t>Petra M. Sijpesteijn-Camilla Adang</t>
  </si>
  <si>
    <t>Migration Histories of the Medieval Afroeurasian Transition Zone</t>
  </si>
  <si>
    <t>Johannes Preiser-Kapeller-Lucian Reinfandt-Yannis Stouraitis</t>
  </si>
  <si>
    <t>The Land of the English Kin</t>
  </si>
  <si>
    <t>Alexander James Langlands-Ryan Lavelle</t>
  </si>
  <si>
    <t>Grading Goal Four</t>
  </si>
  <si>
    <t>Antonia Wulff</t>
  </si>
  <si>
    <t>A History of Population Health</t>
  </si>
  <si>
    <t>Johan P. Mackenbach</t>
  </si>
  <si>
    <t>Early Christians Adapting to the Roman Empire</t>
  </si>
  <si>
    <t>Niko Huttunen</t>
  </si>
  <si>
    <t>Knowledge of the Pragmatici</t>
  </si>
  <si>
    <t>Thomas Duve-Otto Danwerth</t>
  </si>
  <si>
    <t>The Early Reception and Appropriation of the Apostle Peter (60-800 CE)</t>
  </si>
  <si>
    <t>Roald Dijkstra</t>
  </si>
  <si>
    <t>Mapping the PÄÅ›upata Landscape</t>
  </si>
  <si>
    <t>Elizabeth A. Cecil</t>
  </si>
  <si>
    <t>Arabic and Its Alternatives</t>
  </si>
  <si>
    <t>Heleen Murre-van den Berg-KarÃ¨ne Sanchez Summerer-Tijmen Baarda</t>
  </si>
  <si>
    <t>Young People in the Global South</t>
  </si>
  <si>
    <t>Kate Pincock-Nicola Jones-Lorraine van Blerk-Nyaradzayi Gumbonzvanda</t>
  </si>
  <si>
    <t>Reading Proclus and the Book of Causes Volume 1</t>
  </si>
  <si>
    <t>The Impact of Justice on the Roman Empire</t>
  </si>
  <si>
    <t>Olivier Hekster-Koenraad Verboven</t>
  </si>
  <si>
    <t>Asian Yearbook of International Law, Volume 3 (1993)</t>
  </si>
  <si>
    <t>Buddhism in Central Asia I</t>
  </si>
  <si>
    <t>Carmen Meinert-Henrik SÃ¸rensen</t>
  </si>
  <si>
    <t>Walking on the Pages of the Word of God</t>
  </si>
  <si>
    <t>Aron Engberg</t>
  </si>
  <si>
    <t>Handbook of Leaving Religion</t>
  </si>
  <si>
    <t>RELIGION / Blasphemy, Heresy &amp; Apostasy</t>
  </si>
  <si>
    <t>Daniel Enstedt-GÃ¶ran Larsson-Teemu T. Mantsinen</t>
  </si>
  <si>
    <t>Environmental Change and African Societies</t>
  </si>
  <si>
    <t>Julia Tischler-Ingo Haltermann</t>
  </si>
  <si>
    <t>Finding Allies and Making Revolution</t>
  </si>
  <si>
    <t>Tony Saich</t>
  </si>
  <si>
    <t>The Law of the Seabed</t>
  </si>
  <si>
    <t>Catherine Banet</t>
  </si>
  <si>
    <t>The Citizenship Experiment</t>
  </si>
  <si>
    <t>RenÃ© Koekkoek</t>
  </si>
  <si>
    <t>Enough Already! A Socialist Feminist Response to the Re-emergence of Right Wing Populism and Fascism in Media</t>
  </si>
  <si>
    <t>Faith Agostinone-Wilson</t>
  </si>
  <si>
    <t>On the Margins</t>
  </si>
  <si>
    <t>Gerdien Jonker</t>
  </si>
  <si>
    <t>Paul Muldoon and the Language of Poetry</t>
  </si>
  <si>
    <t>Ruben Moi</t>
  </si>
  <si>
    <t>Ibn Taymiyya on Reason and Revelation</t>
  </si>
  <si>
    <t>Carl Sharif El-Tobgui</t>
  </si>
  <si>
    <t>Holy Ground: Where Art and Text Meet</t>
  </si>
  <si>
    <t>Hans T. Bakker</t>
  </si>
  <si>
    <t>Judeans in Babylonia</t>
  </si>
  <si>
    <t>Tero Alstola</t>
  </si>
  <si>
    <t>Childrenâ€™s Constitutional Rights in the Nordic Countries</t>
  </si>
  <si>
    <t>Trude Haugli-Anna Nylund-Randi Sigurdsen-Lena R.L. Bendiksen</t>
  </si>
  <si>
    <t>Georges Sorelâ€™s Study on Vico</t>
  </si>
  <si>
    <t>Eric Brandom-Tommaso Giordani</t>
  </si>
  <si>
    <t>Maximilian Hell (1720â€“92) and the Ends of Jesuit Science in Enlightenment Europe</t>
  </si>
  <si>
    <t>Per Pippin Aspaas-LÃ¡szlÃ³ Kontler</t>
  </si>
  <si>
    <t>The Law of Nations and Natural Law 1625â€“1800</t>
  </si>
  <si>
    <t>Simone Zurbuchen</t>
  </si>
  <si>
    <t>Migration and Islamic Ethics</t>
  </si>
  <si>
    <t>Ray Jureidini-Said Fares Hassan</t>
  </si>
  <si>
    <t>Governing the Galleys: Jurisdiction, Justice, and Trade in the Squadrons of the Hispanic Monarchy (Sixteenth-Seventeenth Centuries)</t>
  </si>
  <si>
    <t>Manuel Lomas</t>
  </si>
  <si>
    <t>Among Digitized Manuscripts. Philology, Codicology, Paleography in a Digital World</t>
  </si>
  <si>
    <t>L.W.C. van Lit</t>
  </si>
  <si>
    <t>Genre in Archaic and Classical Greek Poetry: Theories and Models</t>
  </si>
  <si>
    <t>Margaret Foster-Leslie Kurke-Naomi Weiss</t>
  </si>
  <si>
    <t>Vision, Narrative, and Wisdom in the Aramaic Texts From Qumran</t>
  </si>
  <si>
    <t>Mette Bundvad-Kasper Siegismund</t>
  </si>
  <si>
    <t>Faith in African Lived Christianity</t>
  </si>
  <si>
    <t>Karen Lauterbach-Mika VÃ¤hÃ¤kangas</t>
  </si>
  <si>
    <t>Fabricating Modern Societies: Education, Bodies, and Minds in the Age of Steel</t>
  </si>
  <si>
    <t>Karin Priem-Frederik Herman</t>
  </si>
  <si>
    <t>Women and Gender in the Early Modern Low Countries, 1500 - 1750</t>
  </si>
  <si>
    <t>Sarah Joan Moran-Amanda C. Pipkin</t>
  </si>
  <si>
    <t>Vedic Cosmology and Ethics</t>
  </si>
  <si>
    <t>Henk W. Bodewitz-Dory H. Heilijgers-Jan E.M. Houben-Karel van Kooij</t>
  </si>
  <si>
    <t>Daily Life for the Common People of China, 1850 to 1950</t>
  </si>
  <si>
    <t>Ronald Suleski</t>
  </si>
  <si>
    <t>The Unity of the Capitalist Economy and State</t>
  </si>
  <si>
    <t>Universal Åšaivism</t>
  </si>
  <si>
    <t>Peter Bisschop</t>
  </si>
  <si>
    <t>The SkandapurÄá¹‡a Volume IV</t>
  </si>
  <si>
    <t>Imagining Chinese Medicine</t>
  </si>
  <si>
    <t>Vivienne Lo-Penelope Barrett</t>
  </si>
  <si>
    <t>Travelling Chronicles: News and Newspapers From the Early Modern Period to the Eighteenth Century</t>
  </si>
  <si>
    <t>Siv GÃ¸ril BrandtzÃ¦g-Paul Goring-Christine Watson</t>
  </si>
  <si>
    <t>News Networks in Early Modern Europe</t>
  </si>
  <si>
    <t>Joad Raymond-Noah Moxham</t>
  </si>
  <si>
    <t>Ekagi-Dutch-English-Indonesian Dictionary</t>
  </si>
  <si>
    <t>J. Steltenpool</t>
  </si>
  <si>
    <t>The Politics of Written Language in the Arab World</t>
  </si>
  <si>
    <t>Jacob HÃ¸igilt-Gunvor Mejdell</t>
  </si>
  <si>
    <t>Tang Junyi</t>
  </si>
  <si>
    <t>Thomas FrÃ¶hlich</t>
  </si>
  <si>
    <t>From Accelerated Accumulation to Socialist Market Economy in China</t>
  </si>
  <si>
    <t>Kjeld Erik Brodsgaard-Koen Rutten</t>
  </si>
  <si>
    <t>Visions of Justice</t>
  </si>
  <si>
    <t>RELIGION / Islam / Law</t>
  </si>
  <si>
    <t>Paolo Sartori</t>
  </si>
  <si>
    <t>Art Crossing Borders</t>
  </si>
  <si>
    <t>Jan Dirk Baetens-Dries Lyna</t>
  </si>
  <si>
    <t>New Perspectives on Power and Political Representation From Ancient History to the Present Day</t>
  </si>
  <si>
    <t>DaniÃ«lle Slootjes-Harm Kaal</t>
  </si>
  <si>
    <t>Controversial Poetry 1400â€“1625</t>
  </si>
  <si>
    <t>POETRY / Ancient &amp; Classical</t>
  </si>
  <si>
    <t>Judith KeÃŸler-Ursula Kundert-Johan Oosterman</t>
  </si>
  <si>
    <t>Timing and Time Perception: Procedures, Measures, &amp; Applications</t>
  </si>
  <si>
    <t>Argiro Vatakis-Fuat BalcÄ±-Massimiliano Di Luca-Ãngel Correa</t>
  </si>
  <si>
    <t>Modes of Philology in Medieval South India</t>
  </si>
  <si>
    <t>Whitney Cox</t>
  </si>
  <si>
    <t>Dramatic Experience</t>
  </si>
  <si>
    <t>Katja Gvozdeva-Tatiana Korneeva-Kirill Ospovat</t>
  </si>
  <si>
    <t>Islam in a Post-Secular Society</t>
  </si>
  <si>
    <t>Dustin Byrd</t>
  </si>
  <si>
    <t>After Conversion</t>
  </si>
  <si>
    <t>Mercedes GarcÃ­a-Arenal</t>
  </si>
  <si>
    <t>China: Promise or Threat?</t>
  </si>
  <si>
    <t>Horst JÃ¼rgen Helle</t>
  </si>
  <si>
    <t>Lifelong Religion As Habitus</t>
  </si>
  <si>
    <t>Helena Kupari</t>
  </si>
  <si>
    <t>Politics and Aesthetics in European Baroque and Classicist Tragedy</t>
  </si>
  <si>
    <t>Jan Bloemendal-Nigel Smith</t>
  </si>
  <si>
    <t>Ceremonial Entries, Municipal Liberties and the Negotiation of Power in Valois France, 1328-1589</t>
  </si>
  <si>
    <t>Neil Murphy</t>
  </si>
  <si>
    <t>The Echo of Die Blechtrommel in Europe</t>
  </si>
  <si>
    <t>Jos Joosten-Christoph Parry</t>
  </si>
  <si>
    <t>Tibetan Printing: Comparison, Continuities, and Change</t>
  </si>
  <si>
    <t>Hildegard Diemberger-Karl Ehrhard-Peter F. Kornicki</t>
  </si>
  <si>
    <t>Meanings of Community Across Medieval Eurasia</t>
  </si>
  <si>
    <t>Eirik Hovden-Christina Lutter-Walter Pohl</t>
  </si>
  <si>
    <t>In Praise of Prambanan</t>
  </si>
  <si>
    <t>R. Jordaan</t>
  </si>
  <si>
    <t>Surinaams contrast</t>
  </si>
  <si>
    <t>A.A. van Stipriaan</t>
  </si>
  <si>
    <t>Exploring Jesuit Distinctiveness</t>
  </si>
  <si>
    <t>Robert Aleksander Maryks</t>
  </si>
  <si>
    <t>The Look of Lyric: Greek Song and the Visual</t>
  </si>
  <si>
    <t>Vanessa Cazzato-AndrÃ© Lardinois</t>
  </si>
  <si>
    <t>The Newest Sappho: P. Sapph. Obbink and P. GC Inv. 105, Frs. 1-4</t>
  </si>
  <si>
    <t>Anton Bierl-AndrÃ© Lardinois</t>
  </si>
  <si>
    <t>Tense and Text in Classical Arabic</t>
  </si>
  <si>
    <t>Michal Marmorstein</t>
  </si>
  <si>
    <t>Middle Class Pentecostalism in Argentina</t>
  </si>
  <si>
    <t>Jens KÃ¶hrsen</t>
  </si>
  <si>
    <t>Preterit Expansion and Perfect Demise in PorteÃ±o Spanish and Beyond</t>
  </si>
  <si>
    <t>Guro FlÃ¸gstad</t>
  </si>
  <si>
    <t>Norse Revival</t>
  </si>
  <si>
    <t>Stefanie von Schnurbein</t>
  </si>
  <si>
    <t>Public Justice and the Criminal Trial in Late Medieval Italy</t>
  </si>
  <si>
    <t>Joanna Carraway Vitiello</t>
  </si>
  <si>
    <t>Childhood in the Late Ottoman Empire and After</t>
  </si>
  <si>
    <t>Benjamin C. Fortna</t>
  </si>
  <si>
    <t>Muslims in Interwar Europe</t>
  </si>
  <si>
    <t>Bekim Agai-Umar Ryad-Mehdi Sajid</t>
  </si>
  <si>
    <t>Performances of Peace: Utrecht 1713</t>
  </si>
  <si>
    <t>Renger de Bruin-Cornelis van der Haven-Lotte Jensen-David Onnekink</t>
  </si>
  <si>
    <t>Large-Scale Land Acquisitions</t>
  </si>
  <si>
    <t>Christophe Gironde-Christophe Golay-Peter Messerli</t>
  </si>
  <si>
    <t>Locating Hell in Islamic Traditions</t>
  </si>
  <si>
    <t>Christian Lange</t>
  </si>
  <si>
    <t>Texts, Transmissions, Receptions</t>
  </si>
  <si>
    <t>AndrÃ© Lardinois-Sophie Levie-Hans Hoeken-Christoph LÃ¼thy</t>
  </si>
  <si>
    <t>Maria Petyt â€“ A Carmelite Mystic in Wartime</t>
  </si>
  <si>
    <t>Joseph Chalmers-Elisabeth Hense-Veronie Meeuwsen-Esther van de Vate</t>
  </si>
  <si>
    <t>East and West in the Roman Empire of the Fourth Century</t>
  </si>
  <si>
    <t>Roald Dijkstra-Sanne van Poppel-DaniÃ«lle Slootjes</t>
  </si>
  <si>
    <t>Jan Verschueren's Description of YÃ©i-Nan Culture</t>
  </si>
  <si>
    <t>Jan Verschueren-J. van Baal</t>
  </si>
  <si>
    <t>Migration and Its Alternatives Among the Iban of Sarawak</t>
  </si>
  <si>
    <t>Christine Padoch</t>
  </si>
  <si>
    <t>Planters Against Peasants</t>
  </si>
  <si>
    <t>Karl J. Pelzer</t>
  </si>
  <si>
    <t>Komodo</t>
  </si>
  <si>
    <t>Jilis A.J. Verheijen</t>
  </si>
  <si>
    <t>Symbolic Anthropology in the Netherlands</t>
  </si>
  <si>
    <t>P.E. de Josselin de Jong-Erik Schwimmer</t>
  </si>
  <si>
    <t>Rebellion Under the Banner of Islam</t>
  </si>
  <si>
    <t>C. (Kees) van Dijk</t>
  </si>
  <si>
    <t>Rindi</t>
  </si>
  <si>
    <t>Gregory L. Forth</t>
  </si>
  <si>
    <t>Bima Swarga in Balinese Wayang</t>
  </si>
  <si>
    <t>H.I.R. Hinzler</t>
  </si>
  <si>
    <t>Man, Meaning and History</t>
  </si>
  <si>
    <t>R. Schefold-J.W. Schoorl-J. Tennekes</t>
  </si>
  <si>
    <t>Javanese Literature Since Independence</t>
  </si>
  <si>
    <t>J.J. Ras</t>
  </si>
  <si>
    <t>Overleveringen en zangen der Zuid-Toradja's</t>
  </si>
  <si>
    <t>H. van der Veen</t>
  </si>
  <si>
    <t>Planter and Peasant</t>
  </si>
  <si>
    <t>Nuaulu Settlement and Ecology</t>
  </si>
  <si>
    <t>Roy F. Ellen</t>
  </si>
  <si>
    <t>In Leijdeckers voetspoor</t>
  </si>
  <si>
    <t>J.L. Swellengrebel</t>
  </si>
  <si>
    <t>Directions for Travellers on the Mystic Path</t>
  </si>
  <si>
    <t>G.W.J. Drewes</t>
  </si>
  <si>
    <t>From Isolation Towards Integration</t>
  </si>
  <si>
    <t>Silvia W. de Groot</t>
  </si>
  <si>
    <t>De slimme en de domme</t>
  </si>
  <si>
    <t>A. Klokke-Coster-A.H. Klokke-M. Saha</t>
  </si>
  <si>
    <t>Tan Malaka: strijder voor IndonesiÃ«'s vrijheid</t>
  </si>
  <si>
    <t>Harry A. Poeze</t>
  </si>
  <si>
    <t>Male and Female and the Afro-CuraÃ§aoan Household</t>
  </si>
  <si>
    <t>A.F. Marks</t>
  </si>
  <si>
    <t>CuraÃ§ao and GuzmÃ¡n Blanco</t>
  </si>
  <si>
    <t>C.Ch. Goslinga</t>
  </si>
  <si>
    <t>The Logic of the Laws</t>
  </si>
  <si>
    <t>David S. Moyer</t>
  </si>
  <si>
    <t>The Reconstruction of Proto-Malayo-Javanic</t>
  </si>
  <si>
    <t>Bernd Nothofer</t>
  </si>
  <si>
    <t>Het Sultanaat Palembang 1811-1825</t>
  </si>
  <si>
    <t>M.O. Woelders</t>
  </si>
  <si>
    <t>De eerste moslimse vorstendommen op Java</t>
  </si>
  <si>
    <t>H.J. de Graaf-Theodore G.Th. Pigeaud</t>
  </si>
  <si>
    <t>Mannen in het draagnet</t>
  </si>
  <si>
    <t>S. Hylkema</t>
  </si>
  <si>
    <t>Cultuur als antwoord</t>
  </si>
  <si>
    <t>L. Onvlee</t>
  </si>
  <si>
    <t>The Demographic Evolution of Surinam 1920-1970</t>
  </si>
  <si>
    <t>H.E. Lamur</t>
  </si>
  <si>
    <t>Life at Maripaston</t>
  </si>
  <si>
    <t>Johannes King-H.F. de Ziel</t>
  </si>
  <si>
    <t>Chairil Anwar: The Poet and His Language</t>
  </si>
  <si>
    <t>Boen S. Oemarjati</t>
  </si>
  <si>
    <t>The Khilafat Movement in India 1919-1924</t>
  </si>
  <si>
    <t>A.C. Niemeijer</t>
  </si>
  <si>
    <t>The Political System of the Atoni of Timor</t>
  </si>
  <si>
    <t>H.G. (Herman) Schulte Nordholt</t>
  </si>
  <si>
    <t>A Subgrouping of Nine Philippine Languages</t>
  </si>
  <si>
    <t>Teodoro A. Llamzon</t>
  </si>
  <si>
    <t>Government in Wanggulam</t>
  </si>
  <si>
    <t>A. Ploeg</t>
  </si>
  <si>
    <t>The Carib Language</t>
  </si>
  <si>
    <t>B.J. Hoff</t>
  </si>
  <si>
    <t>On the Old-Javanese Cantakaparwa and Its Tale of Sutasoma</t>
  </si>
  <si>
    <t>Jacob Ensink</t>
  </si>
  <si>
    <t>Music in New Guinea</t>
  </si>
  <si>
    <t>Jaap Kunst</t>
  </si>
  <si>
    <t>Francisco Vieira De Figueiredo: A Portuguese Merchant-Adventurer in South East Asia, 1624-1667</t>
  </si>
  <si>
    <t>C.R. Boxer</t>
  </si>
  <si>
    <t>Der Totenkult der Ngadju Dajak in SÃ¼d-Borneo (2 vols.)</t>
  </si>
  <si>
    <t>Hans SchÃ¤rer</t>
  </si>
  <si>
    <t>The Peasants' Revolt of Banten in 1888</t>
  </si>
  <si>
    <t>Sartono Kartodirdjo</t>
  </si>
  <si>
    <t>The Sa'dan Toradja Chant for the Deceased</t>
  </si>
  <si>
    <t>Outline of Dani Morphology</t>
  </si>
  <si>
    <t>P.A.M. van der Stap</t>
  </si>
  <si>
    <t>Grammar of the Sentani Language</t>
  </si>
  <si>
    <t>H.K.J. Cowan</t>
  </si>
  <si>
    <t>The Flamingo Bay Dialect of the Asmat Language</t>
  </si>
  <si>
    <t>C.L. Voorhoeve</t>
  </si>
  <si>
    <t>The Merok Feast of the Sa'dan Toradja</t>
  </si>
  <si>
    <t>The Nimboran Language</t>
  </si>
  <si>
    <t>De Uma-taal (West Midden-Celebes)</t>
  </si>
  <si>
    <t>S.J. Esser-J. Noorduyn</t>
  </si>
  <si>
    <t>Drie Asmat-dialecten</t>
  </si>
  <si>
    <t>P. Drabbe</t>
  </si>
  <si>
    <t>Van isolatie naar integratie</t>
  </si>
  <si>
    <t>Sja'ir Perang Mengkasar</t>
  </si>
  <si>
    <t>Entji' Amin-C. Skinner</t>
  </si>
  <si>
    <t>De regering van Sunan Mangku-Rat I Tegal-Wangi, vorst van Mataram 1646-1677</t>
  </si>
  <si>
    <t>H.J. de Graaf</t>
  </si>
  <si>
    <t>Jan Company in Coromandel 1605-1690</t>
  </si>
  <si>
    <t>Tapan Raychaudhuri</t>
  </si>
  <si>
    <t>Etnografie van de KaowerawÃ©dj (Centraal Nieuw-Guinea)</t>
  </si>
  <si>
    <t>J.P.K. van Eechoud</t>
  </si>
  <si>
    <t>De biografie van een Minangkabausen peperhandelaar in de Lampongs</t>
  </si>
  <si>
    <t>The Linguistic Situation in the Islands of Yapen, Kurudu, Nau and Miosnum, New Guinea</t>
  </si>
  <si>
    <t>The Phonology of Lower Grand Valley Dani</t>
  </si>
  <si>
    <t>H. Myron Bromley</t>
  </si>
  <si>
    <t>An Outline of the Recent History of Indonesian Criminal Law</t>
  </si>
  <si>
    <t>Han Bing Siong</t>
  </si>
  <si>
    <t>The Dutch East India Company and Mysore 1762-1790</t>
  </si>
  <si>
    <t>Jan van Lohuizen</t>
  </si>
  <si>
    <t>De systematiek der Javaanse pronomina</t>
  </si>
  <si>
    <t>E.M. Uhlenbeck</t>
  </si>
  <si>
    <t>Aantekeningen bij Tjan Tjoe Siem's vertaling van de Lakon Kurupati Rabi</t>
  </si>
  <si>
    <t>De betekenis van het Mohammedaanse recht in het hedendaagse Egypte</t>
  </si>
  <si>
    <t>J. Brugman</t>
  </si>
  <si>
    <t>The First Contest for Singapore 1819-1824</t>
  </si>
  <si>
    <t>Harry J. Marks</t>
  </si>
  <si>
    <t>De Hikajat AtjÃ©h</t>
  </si>
  <si>
    <t>Teuku Iskandar</t>
  </si>
  <si>
    <t>Lombok</t>
  </si>
  <si>
    <t>A. Teeuw</t>
  </si>
  <si>
    <t>Adat AtjÃ¨h</t>
  </si>
  <si>
    <t>G.W.J. Drewes-P. Voorhoeve</t>
  </si>
  <si>
    <t>De regering van Sultan Agung, vorst van Mataram (1613-1645) en die van zijn voorganger Panembahan SÃ©da-ing-Krapjak (1601-1613)</t>
  </si>
  <si>
    <t>The Bronze-Iron Age of Indonesia</t>
  </si>
  <si>
    <t>Waropense teksten (Geelvinkbaai, Noord Nieuw-Guinea)</t>
  </si>
  <si>
    <t>G.J. Held</t>
  </si>
  <si>
    <t>Commentaar op de Salasilah van Koetai</t>
  </si>
  <si>
    <t>W. Kern</t>
  </si>
  <si>
    <t>Een 16de eeuwse Maleise vertaling van de Burda van al-BÅ«á¹£Ä«rÄ«</t>
  </si>
  <si>
    <t>Kana Sera, zang der zwangerschap</t>
  </si>
  <si>
    <t>P. Donatus Dunselman</t>
  </si>
  <si>
    <t>The Old-Javanese RÄmÄyaá¹‡a Kakawin</t>
  </si>
  <si>
    <t>C. Hooykaas</t>
  </si>
  <si>
    <t>Nineteenth-Century Borneo</t>
  </si>
  <si>
    <t>Graham Irwin</t>
  </si>
  <si>
    <t>Raffles' Ideas on the Land Rent System in Java and the Mackenzie Land Tenure Commission</t>
  </si>
  <si>
    <t>John Bastin</t>
  </si>
  <si>
    <t>De regering van Panembahan SÃ©napati Ingalaga</t>
  </si>
  <si>
    <t>Het passieve werkwoord in de Indonesische talen</t>
  </si>
  <si>
    <t>J. Wils</t>
  </si>
  <si>
    <t>Proeve van een Bulische spraakkunst</t>
  </si>
  <si>
    <t>G. Maan</t>
  </si>
  <si>
    <t>Hariwaá¹…Å›a</t>
  </si>
  <si>
    <t>Loetoeng Kasaroeng</t>
  </si>
  <si>
    <t>Fokko Siebold Eringa</t>
  </si>
  <si>
    <t>De kraton van Majapahit</t>
  </si>
  <si>
    <t>W.F. Stutterheim</t>
  </si>
  <si>
    <t>Banggaisch adatrecht</t>
  </si>
  <si>
    <t>J.J. Dormeier</t>
  </si>
  <si>
    <t>Over de gewoonten en gebruiken der Soendaneezen</t>
  </si>
  <si>
    <t>Hadji Hasan Moestapa-R.A. Kern</t>
  </si>
  <si>
    <t>De vestiging der Nederlanders ter kuste Malabar</t>
  </si>
  <si>
    <t>M. Antoinette P. Roelofsz</t>
  </si>
  <si>
    <t>Oost-Soemba</t>
  </si>
  <si>
    <t>Christiaan Nooteboom</t>
  </si>
  <si>
    <t>In het land van de overheerser</t>
  </si>
  <si>
    <t>Gert Oostindie-Emy Maduro</t>
  </si>
  <si>
    <t>De val van Sora</t>
  </si>
  <si>
    <t>E.J. van den Berg</t>
  </si>
  <si>
    <t>De factorij der Oostindische Compagnie te Patani</t>
  </si>
  <si>
    <t>H. Terpstra</t>
  </si>
  <si>
    <t>Time Distortions in Mind</t>
  </si>
  <si>
    <t>Argiro Vatakis-Melissa Allman</t>
  </si>
  <si>
    <t>Environment, Trade and Society in Southeast Asia</t>
  </si>
  <si>
    <t>David Henley-H.G.C. (Henk) Schulte Nordholt</t>
  </si>
  <si>
    <t>Religion and Conflict Attribution</t>
  </si>
  <si>
    <t>Francis-Vincent Anthony-Chris Hermans-Carl J.A. Sterkens</t>
  </si>
  <si>
    <t>Unraveling the Nagoya Protocol</t>
  </si>
  <si>
    <t>Elisa Morgera-Elsa Tsioumani-Matthias Buck</t>
  </si>
  <si>
    <t>The Making of Middle Indonesia</t>
  </si>
  <si>
    <t>Gerry van Klinken</t>
  </si>
  <si>
    <t>Asian Yearbook of International Law, Volume 27 (2021)</t>
  </si>
  <si>
    <t>Yearbook on the African Union Volume 3 (2022)</t>
  </si>
  <si>
    <t>Ulf Engel</t>
  </si>
  <si>
    <t>Three Christian Martyrdoms From Early Islamic Palestine</t>
  </si>
  <si>
    <t>The First Christian Hymnal</t>
  </si>
  <si>
    <t>Defining the Identity of the Younger Europe</t>
  </si>
  <si>
    <t>Miroslawa Hanusiewicz-Lavallee-Robert Aleksander Maryks</t>
  </si>
  <si>
    <t>Bridging Knowledge Cultures</t>
  </si>
  <si>
    <t>Walter Lepore-Budd L. Hall-Rajesh Tandon</t>
  </si>
  <si>
    <t>A Guide to the Heavens</t>
  </si>
  <si>
    <t>RadosÅ‚aw GrzeÅ›kowiak</t>
  </si>
  <si>
    <t>Translating Technology in Africa. Volume 1: Metrics</t>
  </si>
  <si>
    <t>Richard Rottenburg-Faeeza Ballim-Bronwyn Kotzen</t>
  </si>
  <si>
    <t>Disability and Aid</t>
  </si>
  <si>
    <t>Maria-Theres Schuler</t>
  </si>
  <si>
    <t>Global Public Goods and Sustainable Development in the Practice of International Organizations</t>
  </si>
  <si>
    <t>Ewa Latoszek-Agnieszka KÅ‚os</t>
  </si>
  <si>
    <t>Muá¸¥ammad and His Followers in Context</t>
  </si>
  <si>
    <t>Ilkka Lindstedt</t>
  </si>
  <si>
    <t>Biography of a Landmark, The Chora Monastery and Kariye Camii in Constantinople/Istanbul From Late Antiquity to the 21st Century</t>
  </si>
  <si>
    <t>Manuela Studer-Karlen</t>
  </si>
  <si>
    <t>Narratives in Silius Italicusâ€™ Punica</t>
  </si>
  <si>
    <t>Pieter van den Broek</t>
  </si>
  <si>
    <t>The Afterlives of Extraction</t>
  </si>
  <si>
    <t>Filipe CalvÃ£o-Matthew Archer-Asanda Benya</t>
  </si>
  <si>
    <t>The Lives of Extraction</t>
  </si>
  <si>
    <t>Collective Violence and Memory in the Ancient Mediterranean</t>
  </si>
  <si>
    <t>Sonja Ammann-Helge Bezold-Stephen Germany-Julia Rhyder</t>
  </si>
  <si>
    <t>Natural Law and the Law of Nations in Eighteenth- and Nineteenth-Century Italy</t>
  </si>
  <si>
    <t>Elisabetta Fiocchi Malaspina-Gabriella Silvestrini</t>
  </si>
  <si>
    <t>Table Talk</t>
  </si>
  <si>
    <t>John Witte, Jr.</t>
  </si>
  <si>
    <t>Making Islam Work</t>
  </si>
  <si>
    <t>Thijl Sunier</t>
  </si>
  <si>
    <t>Truth and Responsibility: A Personalist Reading of Newman</t>
  </si>
  <si>
    <t>Reading Greek and Hellenistic-Roman Spolia</t>
  </si>
  <si>
    <t>Irene J.F. de Jong-Miguel John Versluys</t>
  </si>
  <si>
    <t>Impact of Hybrid Potato</t>
  </si>
  <si>
    <t>TECHNOLOGY &amp; ENGINEERING / Agriculture / Agronomy / Crop Science</t>
  </si>
  <si>
    <t>Paul C. Struik-Peter R. Gildemacher-Dirk Stemerding-Pim Lindhout</t>
  </si>
  <si>
    <t>Design of a Worker Cooperatives Society</t>
  </si>
  <si>
    <t>The Great Restoration: Post-Communist Transformations From the Viewpoint of Comparative Historical Sociology of Restorations</t>
  </si>
  <si>
    <t>Zenonas Norkus</t>
  </si>
  <si>
    <t>Jesuits and Islam in Europe</t>
  </si>
  <si>
    <t>Emanuele Colombo-Paul Shore</t>
  </si>
  <si>
    <t>Maimonides Review of Philosophy and Religion Volume 2, 2023</t>
  </si>
  <si>
    <t>Ze'ev Strauss-Isaac Slater</t>
  </si>
  <si>
    <t>Blockchain and Private International Law</t>
  </si>
  <si>
    <t>Andrea Bonomi-Matthias Lehmann-Shaheeza Lalani</t>
  </si>
  <si>
    <t>The Presence of the Prophet in Early Modern and Contemporary Islam</t>
  </si>
  <si>
    <t>Nelly Amri-Rachida Chih-Stefan Reichmuth</t>
  </si>
  <si>
    <t>Maker Education Meets Technology Education</t>
  </si>
  <si>
    <t>Remke M. Klapwijk-Jianjun Gu-Qiuyue Yang-Marc J. de Vries</t>
  </si>
  <si>
    <t>The Heirs of Avicenna: Philosophy in the Islamic East, 12-13th Centuries</t>
  </si>
  <si>
    <t>Peter Adamson-Fedor Benevich</t>
  </si>
  <si>
    <t>Goethe's Faust I Outlined</t>
  </si>
  <si>
    <t>Evanghelia Stead</t>
  </si>
  <si>
    <t>The Jesuit Encounters with Islam in the Asia-Pacific</t>
  </si>
  <si>
    <t>Alexandre Coello de la Rosa-JoÃ£o Vicente Melo</t>
  </si>
  <si>
    <t>The Tale of a Feud</t>
  </si>
  <si>
    <t>Marieke Brandt</t>
  </si>
  <si>
    <t>Historical-Critical Dictionary of Marxism</t>
  </si>
  <si>
    <t>Wolfgang Fritz Haug-Frigga Haug-Peter Jehle-Wolfgang KÃ¼ttler-Konstantin Baehrens-Juha Koivisto-Victor Strazzeri</t>
  </si>
  <si>
    <t>The Common Core of European Administrative Laws</t>
  </si>
  <si>
    <t>Giacinto della Cananea</t>
  </si>
  <si>
    <t>Agents of Change in the Greco-Roman and Early Modern Periods</t>
  </si>
  <si>
    <t>Silvia Castelli-Ineke Sluiter</t>
  </si>
  <si>
    <t>Stepping Back and Looking Ahead: Twelve Years of Studying Religious Contact at the KÃ¤te Hamburger Kolleg Bochum</t>
  </si>
  <si>
    <t>Maren Freudenberg-Frederik Elwert-Tim Karis-Martin Radermacher-Jens Schlamelcher</t>
  </si>
  <si>
    <t>Chinese in France Amid the Covid-19 Pandemic</t>
  </si>
  <si>
    <t>Simeng Wang</t>
  </si>
  <si>
    <t>The Power of Parables</t>
  </si>
  <si>
    <t>Eric Ottenheijm-Marcel Poorthuis-Annette Merz</t>
  </si>
  <si>
    <t>The Dragon and the Rainbow</t>
  </si>
  <si>
    <t>Robert Blust</t>
  </si>
  <si>
    <t>Federico Giusfredi-Valerio Pisaniello-Alvise Matessi</t>
  </si>
  <si>
    <t>'EntrÃ© en tant que cousin, sorti en tant que gendarme'</t>
  </si>
  <si>
    <t>RÃ©mi Armand Tchokothe</t>
  </si>
  <si>
    <t>Private Libraries and Their Documentation, 1665â€“1830</t>
  </si>
  <si>
    <t>REFERENCE / Bibliographies &amp; Indexes</t>
  </si>
  <si>
    <t>Rindert Jagersma-Helwi Blom-Evelien Chayes-Ann-Marie Hansen</t>
  </si>
  <si>
    <t>Buddhism and the Body</t>
  </si>
  <si>
    <t>Kenneth W. Holloway</t>
  </si>
  <si>
    <t>Storied Island</t>
  </si>
  <si>
    <t>Ronit Ricci</t>
  </si>
  <si>
    <t>Vernacular Books and Their Readers in the Early Age of Print (c. 1450â€“1600)</t>
  </si>
  <si>
    <t>Anna DlabaÄovÃ¡-Andrea van Leerdam-John J. Thompson</t>
  </si>
  <si>
    <t>The Dynamic Lexicon of English</t>
  </si>
  <si>
    <t>Julia Landmann</t>
  </si>
  <si>
    <t>Colonial Ports, Global Trade, and the Roots of the American Revolution (1700â€“1776)</t>
  </si>
  <si>
    <t>Jeremy Land</t>
  </si>
  <si>
    <t>Rural Life in Late Socialism</t>
  </si>
  <si>
    <t>Phill Wilcox-Jonathan Rigg-Minh T.N. Nguyen</t>
  </si>
  <si>
    <t>Faces of God: Images of Devotion in Indo-Muslim Painting, 1500â€“1800</t>
  </si>
  <si>
    <t>Murad Khan Mumtaz</t>
  </si>
  <si>
    <t>The Baltic Battle of Books</t>
  </si>
  <si>
    <t>Jonas Nordin-Gustavs Strenga-Peter SjÃ¶kvist</t>
  </si>
  <si>
    <t>Sustainability Through Participation?</t>
  </si>
  <si>
    <t>Birgit Peters-Eva Julia Lohse</t>
  </si>
  <si>
    <t>New Ancient Greek in a Neo-Latin World</t>
  </si>
  <si>
    <t>Raf Van Rooy</t>
  </si>
  <si>
    <t>Educating Multilingual Students in Rural Schools</t>
  </si>
  <si>
    <t>Maria R. Coady-Paula Golombek-Nidza V. Marichal</t>
  </si>
  <si>
    <t>Confucian Relationism and Global Ethics</t>
  </si>
  <si>
    <t>RELIGION / Confucianism</t>
  </si>
  <si>
    <t>Jana S. RoÅ¡ker</t>
  </si>
  <si>
    <t>Metaphysics of Cooperation</t>
  </si>
  <si>
    <t>BartÅ‚omiej BÅ‚esznowski-Cezary Rudnicki</t>
  </si>
  <si>
    <t>Frames That Speak: Cartouches on Early Modern Maps</t>
  </si>
  <si>
    <t>Chet Van Duzer</t>
  </si>
  <si>
    <t>Asian Yearbook of International Law, Volume 26 (2020)</t>
  </si>
  <si>
    <t>The Human Right to Citizenship</t>
  </si>
  <si>
    <t>Barbara von RÃ¼tte</t>
  </si>
  <si>
    <t>Peaceful Maritime Engagement in East Asia and the Pacific Region</t>
  </si>
  <si>
    <t>James Kraska-Ronan Long-Myron H. Nordquist</t>
  </si>
  <si>
    <t>Illegal Annexation and State Continuity</t>
  </si>
  <si>
    <t>Lauri MÃ¤lksoo</t>
  </si>
  <si>
    <t>Printing Spinoza</t>
  </si>
  <si>
    <t>Jeroen M.M. van de Ven</t>
  </si>
  <si>
    <t>Buddhism in Central Asia II</t>
  </si>
  <si>
    <t>Yukiyo Kasai-Henrik H. SÃ¸rensen</t>
  </si>
  <si>
    <t>African Futures</t>
  </si>
  <si>
    <t>Clemens Greiner-Steven Van Wolputte-Michael Bollig</t>
  </si>
  <si>
    <t>New Aramaic Papyri From Elephantine in Berlin</t>
  </si>
  <si>
    <t>James D. Moore</t>
  </si>
  <si>
    <t>The Rights of the Child</t>
  </si>
  <si>
    <t>Rebecca Adami-Anna Kaldal-Margareta AspÃ¡n</t>
  </si>
  <si>
    <t>Art, Play, Labour: the Music Profession in Germany (1850â€“1960)</t>
  </si>
  <si>
    <t>Martin Rempe</t>
  </si>
  <si>
    <t>Field Station Bahia</t>
  </si>
  <si>
    <t>Livio Sansone</t>
  </si>
  <si>
    <t>Colours on East Asian Maps</t>
  </si>
  <si>
    <t>Diana Lange-Oliver Hahn</t>
  </si>
  <si>
    <t>Administrating Kinship: Marriage Impediments and Dispensation Policies in the 18th and 19th Centuries</t>
  </si>
  <si>
    <t>Margareth Lanzinger</t>
  </si>
  <si>
    <t>Shipping in Inuit Nunangat</t>
  </si>
  <si>
    <t>Kristin Bartenstein-Aldo Chircop</t>
  </si>
  <si>
    <t>Patent Exhaustion and International Trade Regulation</t>
  </si>
  <si>
    <t>Santanu Mukherjee</t>
  </si>
  <si>
    <t>Europeâ€™s Islamic Legacy: 1900 to the Present</t>
  </si>
  <si>
    <t>Elizabeth Drayson</t>
  </si>
  <si>
    <t>The Secret of Time: Reconfiguring Wisdom in the Dead Sea Scrolls</t>
  </si>
  <si>
    <t>Arjen F. Bakker</t>
  </si>
  <si>
    <t>Memory and Commemoration Across Central Asia</t>
  </si>
  <si>
    <t>Elena Paskaleva-Gabrielle van den Berg</t>
  </si>
  <si>
    <t>Early Modern Litterae Indipetae for the East Indies</t>
  </si>
  <si>
    <t>Elisa Frei</t>
  </si>
  <si>
    <t>Early Chinese Manuscript Collections</t>
  </si>
  <si>
    <t>Rens Krijgsman</t>
  </si>
  <si>
    <t>The Intellectual and Cultural Origins of ChaÃ¯m Perelman and Lucie Olbrechts-Tytecaâ€™s New Rhetoric Project</t>
  </si>
  <si>
    <t>Michelle Bolduc-David A. Frank</t>
  </si>
  <si>
    <t>The Writing Culture of Ancient DadÄn</t>
  </si>
  <si>
    <t>Fokelien Kootstra</t>
  </si>
  <si>
    <t>The Paradox of ASEAN Centrality: Timor-Leste Betwixt and Between</t>
  </si>
  <si>
    <t>Paulo Castro Seixas-Nuno Canas Mendes-Nadine Lobner</t>
  </si>
  <si>
    <t>Does the UN Model Still Work? Challenges and Prospects for the Future of Multilateralism</t>
  </si>
  <si>
    <t>Kim Fontaine-Skronski-Valeriane Thool-Norbert Eschborn</t>
  </si>
  <si>
    <t>Jesuit Libraries</t>
  </si>
  <si>
    <t>Kathleen M. Comerford</t>
  </si>
  <si>
    <t>HaribhaktivilÄsa of SanÄtana GosvÄmin, Volume One</t>
  </si>
  <si>
    <t>Aurores Et CrÃ©puscules Dans La ThÃ©baÃ¯de De Stace</t>
  </si>
  <si>
    <t>Melissande Tomcik</t>
  </si>
  <si>
    <t>Narrating the Pilgrimage to Mecca</t>
  </si>
  <si>
    <t>Marjo Buitelaar-Richard van Leeuwen</t>
  </si>
  <si>
    <t>Governing, Protecting, and Regulating the Future of Genome Editing</t>
  </si>
  <si>
    <t>Santa Slokenberga-Timo Minssen-Ana Nordberg</t>
  </si>
  <si>
    <t>The Libri Feudorum (the â€˜Books of Fiefsâ€™)</t>
  </si>
  <si>
    <t>Attilio Stella</t>
  </si>
  <si>
    <t>Climate Change Integration in the Multilevel Governance of Italy and Austria</t>
  </si>
  <si>
    <t>Federica Cittadino-Louisa Parks-Peter BuÃŸjÃ¤ger-Francesca Rosignoli</t>
  </si>
  <si>
    <t>The Aesthetics of Taste: Eating Within the Realm of Art</t>
  </si>
  <si>
    <t>Dorota Koczanowicz</t>
  </si>
  <si>
    <t>A South Indian Digest of Commentaries on the NyÄyasÅ«tra</t>
  </si>
  <si>
    <t>Oliver Philipp Frey</t>
  </si>
  <si>
    <t>Women Writing Intimate Spaces</t>
  </si>
  <si>
    <t>Birgitta Lindh Estelle-Carmen Beatrice DuÈ›u-Viola Parente-ÄŒapkovÃ¡</t>
  </si>
  <si>
    <t>Frisian Land Law: A Critical Edition and Translation of the Freeska Landriucht</t>
  </si>
  <si>
    <t>Han Nijdam-Jan Hallebeek-Hylkje de Jong</t>
  </si>
  <si>
    <t>á¸¤adÄ«th and Ethics Through the Lens of Interdisciplinarity</t>
  </si>
  <si>
    <t>Traces of Contact in the Lexicon</t>
  </si>
  <si>
    <t>Marian Klamer-Francesca Moro</t>
  </si>
  <si>
    <t>Florilegia Syriaca: Mapping a Knowledge-Organizing Practice in the Syriac World</t>
  </si>
  <si>
    <t>Emiliano Fiori-Bishara Ebeid</t>
  </si>
  <si>
    <t>Astrophysics, Astronomy and Space Sciences in the History of the Max Planck Society</t>
  </si>
  <si>
    <t>Luisa Bonolis-Juan-Andres Leon</t>
  </si>
  <si>
    <t>Global Agricultural Workers From the 17th to the 21st Century</t>
  </si>
  <si>
    <t>Elise van Nederveen Meerkerk-Rolf Bauer</t>
  </si>
  <si>
    <t>Karel Van Mander and His Foundation of the Noble, Free Art of Painting</t>
  </si>
  <si>
    <t>Walter S. Melion</t>
  </si>
  <si>
    <t>European Modernity and the Passionate South</t>
  </si>
  <si>
    <t>Xavier Andreu-Miralles-MÃ³nica Bolufer-Peruga</t>
  </si>
  <si>
    <t>End-of-Life Care, Dying and Death in the Islamic Moral Tradition</t>
  </si>
  <si>
    <t>Ovid, Death and Transfiguration</t>
  </si>
  <si>
    <t>Joseph Farrell-John F. Miller-Damien Nelis-Alessandro Schiesaro</t>
  </si>
  <si>
    <t>Cinema and the Festivalization of Capitalism</t>
  </si>
  <si>
    <t>Ann Vogel</t>
  </si>
  <si>
    <t>Funding International Development Organizations</t>
  </si>
  <si>
    <t>Christopher Smith-Xuan Gao-Thomas Dollmaier</t>
  </si>
  <si>
    <t>Conditional Freedom</t>
  </si>
  <si>
    <t>Thomas Mareite</t>
  </si>
  <si>
    <t>Where Shrimp Eat Better Than People</t>
  </si>
  <si>
    <t>Wilma Dunaway-Maria Cecilia Macabuac</t>
  </si>
  <si>
    <t>Missions and Preaching</t>
  </si>
  <si>
    <t>Norig Neveu-KarÃ¨ne Sanchez Summerer-Annalaura Turiano</t>
  </si>
  <si>
    <t>A Handbook of the Aramaic Scrolls From the Qumran Caves</t>
  </si>
  <si>
    <t>Daniel Machiela</t>
  </si>
  <si>
    <t>Digital Fashion Communication</t>
  </si>
  <si>
    <t>Alice Noris-Lorenzo Cantoni</t>
  </si>
  <si>
    <t>Ancient Egypt, New Technology</t>
  </si>
  <si>
    <t>Rita Lucarelli-Joshua A. Roberson-Steve Vinson</t>
  </si>
  <si>
    <t>In Search of Singularity</t>
  </si>
  <si>
    <t>Joanna Krenz</t>
  </si>
  <si>
    <t>Harmoniousness: Essays in Chinese Musicology</t>
  </si>
  <si>
    <t>Tsung-i Jao-Colin Huehns</t>
  </si>
  <si>
    <t>The Saqqara Necropolis Through the New Kingdom</t>
  </si>
  <si>
    <t>Nico Staring</t>
  </si>
  <si>
    <t>The Interpretation and Application of the Most-Favored-Nation Clause in Investment Arbitration</t>
  </si>
  <si>
    <t>Anqi Wang</t>
  </si>
  <si>
    <t>The Challenge of Radicalization and Extremism</t>
  </si>
  <si>
    <t>Eveline Gutzwiller-Helfenfinger-Hermann J. Abs-Kerstin GÃ¶bel</t>
  </si>
  <si>
    <t>Regulation of Risk</t>
  </si>
  <si>
    <t>Abhinayan Basu Bal-Trisha Rajput-Gabriela ArgÃ¼ello-David Langlet</t>
  </si>
  <si>
    <t>In This Fragile World</t>
  </si>
  <si>
    <t>Ustadh Mahmoud Mau-Annachiara Raia-Clarissa Vierke</t>
  </si>
  <si>
    <t>The Spectre of Capital: Idea and Reality</t>
  </si>
  <si>
    <t>Christopher J. Arthur</t>
  </si>
  <si>
    <t>Climate Change, Disasters and People on the Move</t>
  </si>
  <si>
    <t>Aylin Yildiz Noorda</t>
  </si>
  <si>
    <t>Mediterranean Seafarers in Transition</t>
  </si>
  <si>
    <t>Apostolos Delis-Jordi Ibarz-Anna Sydorenko-Matteo Barbano</t>
  </si>
  <si>
    <t>Economics and Mathematical Modeling in Health-Related Research</t>
  </si>
  <si>
    <t>Marzenna Anna Weresa-Christina Ciecierski-Lidia Filus</t>
  </si>
  <si>
    <t>Space, Time, Myth, and Morals: A Selection of Jao Tsung-iâ€™s Studies on Cosmological Thought in Early China and Beyond</t>
  </si>
  <si>
    <t>Tsung-i Jao-Joern Peter Grundmann</t>
  </si>
  <si>
    <t>Hybrid Threats and the Law of the Sea</t>
  </si>
  <si>
    <t>Alexander Lott</t>
  </si>
  <si>
    <t>Theological Libraries and Library Associations in Europe</t>
  </si>
  <si>
    <t>Leo Kenis-Penelope R. Hall-Marek Rostkowski</t>
  </si>
  <si>
    <t>Treasured Oases: A Selection of Jao Tsung-iâ€™s Dunhuang Studies</t>
  </si>
  <si>
    <t>Tsung-i Jao-David J. Lebovitz</t>
  </si>
  <si>
    <t>A Critical Companion to the 'Mirrors for Princes' Literature</t>
  </si>
  <si>
    <t>NoÃ«lle-Laetitia Perret-StÃ©phane PÃ©quignot</t>
  </si>
  <si>
    <t>Canonisation As Innovation</t>
  </si>
  <si>
    <t>Damien Agut-LabordÃ¨re-Miguel John Versluys</t>
  </si>
  <si>
    <t>Aramaic Daniel</t>
  </si>
  <si>
    <t>Benjamin D. Suchard</t>
  </si>
  <si>
    <t>Sforza Pallavicino</t>
  </si>
  <si>
    <t>Maarten Delbeke</t>
  </si>
  <si>
    <t>Critical Storytelling: Experiences of Power Abuse in Academia</t>
  </si>
  <si>
    <t>Julie Hansen-Ingela Nilsson</t>
  </si>
  <si>
    <t>Gender Equality in the Mirror</t>
  </si>
  <si>
    <t>Qing Imperial Illustrations of Tributary Peoples (Huang Qing Zhigong Tu)</t>
  </si>
  <si>
    <t>Laura Hostetler-Xuemei Wu</t>
  </si>
  <si>
    <t>The Impact of Covid on International Disputes</t>
  </si>
  <si>
    <t>Shaheeza Lalani-Steven G. Shapiro</t>
  </si>
  <si>
    <t>Up in Arms: Gun Imaginaries in Texas</t>
  </si>
  <si>
    <t>Benita Heiskanen-Albion M. Butters-Pekka M. Kolehmainen</t>
  </si>
  <si>
    <t>An Introduction to the Japonic Languages</t>
  </si>
  <si>
    <t>Michinori Shimoji</t>
  </si>
  <si>
    <t>Creating and Sharing Legal Knowledge in the Twelfth Century</t>
  </si>
  <si>
    <t>Stephan Dusil-Andreas Thier</t>
  </si>
  <si>
    <t>Censorship of Literature in Austria, 1751-1848</t>
  </si>
  <si>
    <t>Norbert Bachleitner</t>
  </si>
  <si>
    <t>A Poetic History of the Oceans</t>
  </si>
  <si>
    <t>SÃ¸ren Frank</t>
  </si>
  <si>
    <t>Unilateral Sanctions in International Law and the Enforcement of Human Rights</t>
  </si>
  <si>
    <t>Iryna Bogdanova</t>
  </si>
  <si>
    <t>The Idea of Economic Constitution in Europe</t>
  </si>
  <si>
    <t>Guillaume GrÃ©goire-Xavier Miny</t>
  </si>
  <si>
    <t>Remaking Communities and Adult Learning</t>
  </si>
  <si>
    <t>Rob Evans-Ewa Kurantowicz-Emilio Lucio-Villegas</t>
  </si>
  <si>
    <t>'The House of the Priest'</t>
  </si>
  <si>
    <t>Sarah Irving-Charbel Nassif-KarÃ¨ne Sanchez Summerer</t>
  </si>
  <si>
    <t>The Chronographia of George the Synkellos and Theophanes</t>
  </si>
  <si>
    <t>Jesse W. Torgerson</t>
  </si>
  <si>
    <t>The Dead Sea Scrolls and the Nag Hammadi Codices</t>
  </si>
  <si>
    <t>Dylan M. Burns-Matthew J. Goff</t>
  </si>
  <si>
    <t>The Linguistic Landscape of the Indian Himalayas</t>
  </si>
  <si>
    <t>Anju Saxena</t>
  </si>
  <si>
    <t>Ethiopian Orthodox Christianity in a Global Context</t>
  </si>
  <si>
    <t>Stanislau Paulau-Martin Tamcke</t>
  </si>
  <si>
    <t>The Land Between Two Seas: Art on the Move in the Mediterranean and the Black Sea 1300â€“1700</t>
  </si>
  <si>
    <t>Alina Payne</t>
  </si>
  <si>
    <t>Songs of the Royal ZhÅu and the Royal ShÃ o</t>
  </si>
  <si>
    <t>Dirk Meyer-Adam Craig Schwartz</t>
  </si>
  <si>
    <t>Amulets and Talismans of the Middle East and North Africa in Context</t>
  </si>
  <si>
    <t>Marcela A. Garcia Probert-Petra M. Sijpesteijn</t>
  </si>
  <si>
    <t>New Perspectives on Imagology</t>
  </si>
  <si>
    <t>Katharina Edtstadler-Sandra Folie-Gianna Zocco</t>
  </si>
  <si>
    <t>The Mitigation of Marine Plastic Pollution in International Law</t>
  </si>
  <si>
    <t>Judith SchÃ¤li</t>
  </si>
  <si>
    <t>Scholarship in Action: Essays on the Life and Work of Christiaan Snouck Hurgronje (1857-1936)</t>
  </si>
  <si>
    <t>LÃ©on Buskens-Jan Just Witkam-Annemarie van Sandwijk</t>
  </si>
  <si>
    <t>Discourses of Decline</t>
  </si>
  <si>
    <t>Joris Oddens-Mart Rutjes-Arthur Weststeijn</t>
  </si>
  <si>
    <t>Jesuits in Africa</t>
  </si>
  <si>
    <t>Festo Mkenda SJ</t>
  </si>
  <si>
    <t>Casuistry and Early Modern Spanish Literature</t>
  </si>
  <si>
    <t>Marlen Bidwell-Steiner-Michael Scham</t>
  </si>
  <si>
    <t>Qarakhanid Roads to China</t>
  </si>
  <si>
    <t>Dilnoza Duturaeva</t>
  </si>
  <si>
    <t>Plotinus on Beauty</t>
  </si>
  <si>
    <t>Ota GÃ¡l</t>
  </si>
  <si>
    <t>Elisabeth Mann Borgese and the Law of the Sea</t>
  </si>
  <si>
    <t>Tirza Meyer</t>
  </si>
  <si>
    <t>Maimonides Review of Philosophy and Religion Volume 1, 2022</t>
  </si>
  <si>
    <t>Ze'ev Strauss</t>
  </si>
  <si>
    <t>Monetary Stability As a Common Concern in International Law</t>
  </si>
  <si>
    <t>LucÃ­a Satragno</t>
  </si>
  <si>
    <t>Taking a Common Concern Approach to Economic Inequality</t>
  </si>
  <si>
    <t>Alexander D. Beyleveld</t>
  </si>
  <si>
    <t>Writing Tamil Catholicism</t>
  </si>
  <si>
    <t>Margherita Trento</t>
  </si>
  <si>
    <t>Buddhist Statecraft in East Asia</t>
  </si>
  <si>
    <t>Stephanie Balkwill-James A. Benn</t>
  </si>
  <si>
    <t>Religion and the Everyday Life of Manichaeans in Kellis</t>
  </si>
  <si>
    <t>Mattias Brand</t>
  </si>
  <si>
    <t>Meanings and Functions of the Ruler's Image in the Mediterranean World (11th â€“ 15th Centuries)</t>
  </si>
  <si>
    <t>Michele Bacci-Manuela Studer-Karlen-Mirko Vagnoni</t>
  </si>
  <si>
    <t>Athanasius RaczyÅ„ski (1788â€“1874). Aristocrat, Diplomat, and Patron of the Arts</t>
  </si>
  <si>
    <t>MichaÅ‚ Mencfel</t>
  </si>
  <si>
    <t>Memory and Identity in the Learned World</t>
  </si>
  <si>
    <t>Koen Scholten-Dirk van Miert-Karl A.E. Enenkel</t>
  </si>
  <si>
    <t>Esther Tellermann</t>
  </si>
  <si>
    <t>Aaron Prevots</t>
  </si>
  <si>
    <t>International Law and Chemical, Biological, Radio-Nuclear (CBRN) Events</t>
  </si>
  <si>
    <t>Andreas de Guttry-Micaela Frulli-Federico Casolari-Ludovica Poli</t>
  </si>
  <si>
    <t>Asian Yearbook of International Law, Volume 25 (2019)</t>
  </si>
  <si>
    <t>Contract Interpretation in Investment Treaty Arbitration</t>
  </si>
  <si>
    <t>Yuliya Chernykh</t>
  </si>
  <si>
    <t>Crisis Narratives in International Law</t>
  </si>
  <si>
    <t>Makane MoÃ¯se Mbengue-Jean D'Aspremont</t>
  </si>
  <si>
    <t>Norms Beyond Empire</t>
  </si>
  <si>
    <t>Private Enterprise and the China Trade</t>
  </si>
  <si>
    <t>Meike von Brescius</t>
  </si>
  <si>
    <t>The Religion and Rituals of the Nomads of Pre-Islamic Arabia</t>
  </si>
  <si>
    <t>Ahmad Al-Jallad</t>
  </si>
  <si>
    <t>Africa, the Cradle of Human Diversity</t>
  </si>
  <si>
    <t>Cesar Fortes-Lima-Ezekia Mtetwa-Carina Schlebusch</t>
  </si>
  <si>
    <t>Reading Proclus and the Book of Causes, Volume 3</t>
  </si>
  <si>
    <t>Shrines in a Fluid Space: The Shaping of New Holy Sites in the Ionian Islands, the Peloponnese and Crete Under Venetian Rule (14th-16th Centuries)</t>
  </si>
  <si>
    <t>Argyri Dermitzaki</t>
  </si>
  <si>
    <t>Lâ€™imaginaire Du DÃ©moniaque Dans La Septante</t>
  </si>
  <si>
    <t>Anna Angelini</t>
  </si>
  <si>
    <t>Home-Based Work and Home-Based Workers (1800-2021)</t>
  </si>
  <si>
    <t>Malin Nilsson-Indrani Mazumdar-Silke Neunsinger</t>
  </si>
  <si>
    <t>Connecting Territories</t>
  </si>
  <si>
    <t>Simona Boscani Leoni-Sarah Baumgartner-Meike Knittel</t>
  </si>
  <si>
    <t>From Exception to Promotion</t>
  </si>
  <si>
    <t>Elena Cima</t>
  </si>
  <si>
    <t>Rachida Chih-Stefan Reichmuth-David Jordan</t>
  </si>
  <si>
    <t>Denis Gril-Stefan Reichmuth-Dilek Sarmis</t>
  </si>
  <si>
    <t>Reformation, Revolution, Renovation</t>
  </si>
  <si>
    <t>Lyke de Vries</t>
  </si>
  <si>
    <t>Representing Poverty and Precarity in a Postcolonial World</t>
  </si>
  <si>
    <t>Barbara Schmidt-Haberkamp-Marion Gymnich-Klaus P. Schneider</t>
  </si>
  <si>
    <t>Jesuit Art</t>
  </si>
  <si>
    <t>Mia M. Mochizuki</t>
  </si>
  <si>
    <t>Composition Analysis of Writing Materials in Cairo Genizah Documents</t>
  </si>
  <si>
    <t>Zina Cohen</t>
  </si>
  <si>
    <t>Samuel Beckett dans les marges du surrÃ©alisme</t>
  </si>
  <si>
    <t>Bernard-Olivier Posse</t>
  </si>
  <si>
    <t>Sinophone Southeast Asia</t>
  </si>
  <si>
    <t>Tom Hoogervorst-Caroline Chia</t>
  </si>
  <si>
    <t>Printing and Publishing Chinese Religion and Philosophy in the Dutch Republic, 1595â€“1700</t>
  </si>
  <si>
    <t>Trude Dijkstra</t>
  </si>
  <si>
    <t>A Byzantine Book on Dream Interpretation</t>
  </si>
  <si>
    <t>Maria V. Mavroudi</t>
  </si>
  <si>
    <t>"Those Infidel Greeks" (2 Vols.)</t>
  </si>
  <si>
    <t>H. ÅžÃ¼krÃ¼ IlÄ±cak</t>
  </si>
  <si>
    <t>The Reflexes of Syllabic Liquids in Ancient Greek</t>
  </si>
  <si>
    <t>Lucien van Beek</t>
  </si>
  <si>
    <t>Articulating the á¸¤ijÄba: Cultural Patronage and Political Legitimacy in Al-Andalus</t>
  </si>
  <si>
    <t>Mariam Rosser-Owen</t>
  </si>
  <si>
    <t>Een beeld in technicolor. Vijftig jaar oorlogen in Vietnam 1940-1990</t>
  </si>
  <si>
    <t>Pieter Meulendijks</t>
  </si>
  <si>
    <t>Foundations of General Relativity. From Einstein to Black Holes</t>
  </si>
  <si>
    <t>SCIENCE / Physics / Gravity</t>
  </si>
  <si>
    <t>Klaas Landsman</t>
  </si>
  <si>
    <t>Homo Educandus. Why Our School System Is Broken and What We Can Do About It</t>
  </si>
  <si>
    <t>Jan Bransen</t>
  </si>
  <si>
    <t>HÃ¶lderlin-Jahrbuch</t>
  </si>
  <si>
    <t>Martin VÃ¶hler-Sabine Doering-Michael Franz</t>
  </si>
  <si>
    <t>Medienhorror</t>
  </si>
  <si>
    <t>Florian Leitner</t>
  </si>
  <si>
    <t>Inklusive Verwaltung</t>
  </si>
  <si>
    <t>Bernd J. Hartmann</t>
  </si>
  <si>
    <t>Gesichter der Gewalt</t>
  </si>
  <si>
    <t>Michael Staudigl</t>
  </si>
  <si>
    <t>Geltung und Macht</t>
  </si>
  <si>
    <t>Christian Marxsen</t>
  </si>
  <si>
    <t>Elektrochemia: wybrane zagadnienia z Ä‡wiczeniami</t>
  </si>
  <si>
    <t xml:space="preserve">SCIENCE / Chemistry / Electrochemistry </t>
  </si>
  <si>
    <t>PaweÅ‚ Krzyczmonik-Barbara Burnat-SÅ‚awomir DomagaÅ‚a-Andrzej Leniar</t>
  </si>
  <si>
    <t>Edukacja i wychowanie dzieci i mÅ‚odzieÅ¼y w czasopiÅ›miennictwie spoÅ‚eczno-kulturalnym KrÃ³lestwa Polskiego w latach 1905â€“1918. Bibliografia adnotowana. CzÄ™Å›Ä‡ 2</t>
  </si>
  <si>
    <t>Renata Bednarz-Grzybek-Aneta BoÅ‚dyrew-Marta M. Kacprzak</t>
  </si>
  <si>
    <t>La competenza onomastica nell'insegnamento e nell'uso dell' italiano L2. Il contesto polacco</t>
  </si>
  <si>
    <t>Artur GaÅ‚kowski</t>
  </si>
  <si>
    <t>Kompetencje emerytalne polskich pracownikÃ³w migrujÄ…cych do paÅ„stw objÄ™tych koordynacjÄ… systemÃ³w zabezpieczenia spoÅ‚ecznego w Unii Europejskiej</t>
  </si>
  <si>
    <t>Monika Gzik</t>
  </si>
  <si>
    <t>Badania problemÃ³w spoÅ‚ecznych w (przed)pandemicznej rzeczywistoÅ›ci</t>
  </si>
  <si>
    <t>Paulina Bunio-Mroczek-Andrzej Kacprzak</t>
  </si>
  <si>
    <t>Nadmierny optymizm analitykÃ³w sporzÄ…dzajÄ…cych rekomendacje gieÅ‚dowe w wycenach przedsiÄ™biorstw</t>
  </si>
  <si>
    <t>BUSINESS &amp; ECONOMICS / Corporate Finance / Valuation</t>
  </si>
  <si>
    <t>MichaÅ‚ Radke</t>
  </si>
  <si>
    <t>WiÄ™Åº mieszkaÅ„cÃ³w z miastem. Studium socjologiczne poprzemysÅ‚owej Åodzi</t>
  </si>
  <si>
    <t>Kamil BrzeziÅ„ski</t>
  </si>
  <si>
    <t>CALL. Nauka jÄ™zykÃ³w wspomagana komputerowo. Leksykon pojÄ™Ä‡</t>
  </si>
  <si>
    <t>Marek Molenda</t>
  </si>
  <si>
    <t>W metropolii i poza metropoliÄ…. SpoÅ‚eczny potencjaÅ‚ odrodzenia i rozwoju spoÅ‚ecznoÅ›ci lokalnych</t>
  </si>
  <si>
    <t>Agnieszka Michalska-Å»yÅ‚a-Katarzyna Zajda</t>
  </si>
  <si>
    <t>New Anthropologies of Italy</t>
  </si>
  <si>
    <t>Paolo Heywood</t>
  </si>
  <si>
    <t>Lives in Limbo</t>
  </si>
  <si>
    <t>Rebecca Bryant-Maissam Nimer-AyÅŸen ÃœstÃ¼bici-Amal Abdulla</t>
  </si>
  <si>
    <t>Migration, Dislocation and Movement on Screen</t>
  </si>
  <si>
    <t>Ruxandra Trandafoiu</t>
  </si>
  <si>
    <t>Black Schoolgirls in Space</t>
  </si>
  <si>
    <t>Esther O. Ohito-LucÃ­a Mock MuÃ±oz de Luna</t>
  </si>
  <si>
    <t>Nationalsozialistisches Migrationsregime und 'Volksgemeinschaft'</t>
  </si>
  <si>
    <t>Jochen Oltmer</t>
  </si>
  <si>
    <t>Zeiten wenden?!</t>
  </si>
  <si>
    <t>Anne-Kathrin Fischbach-Stephan Tautz</t>
  </si>
  <si>
    <t>Der Tempel der Gerechtigkeit</t>
  </si>
  <si>
    <t>Jakob Fortunat Stagl</t>
  </si>
  <si>
    <t>Memory Theory in New Testament Studies</t>
  </si>
  <si>
    <t>Sandra Huebenthal</t>
  </si>
  <si>
    <t>Ordnungen des AuÃŸerordentlichen</t>
  </si>
  <si>
    <t>Philip Reich-Oliver Grill</t>
  </si>
  <si>
    <t>Beyond Binaries</t>
  </si>
  <si>
    <t>Joshua Ralston-Klaus von Stosch</t>
  </si>
  <si>
    <t>Metaphysical Poems</t>
  </si>
  <si>
    <t>Adam Mickiewicz-Mateusz StrÃ³Å¼yÅ„ski-Jerzy FieÄ‡ko</t>
  </si>
  <si>
    <t>The Wallachian Gold-Washers</t>
  </si>
  <si>
    <t>Julieta Rotaru-David Gaunt</t>
  </si>
  <si>
    <t>The Distributed Image</t>
  </si>
  <si>
    <t>Simon RothÃ¶hler</t>
  </si>
  <si>
    <t>Theaterlobby attackiert Zirkus</t>
  </si>
  <si>
    <t>PERFORMING ARTS / Circus</t>
  </si>
  <si>
    <t>Mirjam Hildbrand</t>
  </si>
  <si>
    <t>Bildhafte RÃ¤ume, begehbare Bilder</t>
  </si>
  <si>
    <t>Kassandra Nakas-Philipp Reinfeld</t>
  </si>
  <si>
    <t>Shakir M. Pashov. History of the Gypsies in Bulgaria and Europe: Roma</t>
  </si>
  <si>
    <t>Elena Marushiakova-Vesselin Popov-Lilyana Kovacheva</t>
  </si>
  <si>
    <t>Architekturen des Geheimnisses</t>
  </si>
  <si>
    <t>Mathias Horstmann</t>
  </si>
  <si>
    <t>Politics, Society and Culture in Orthodox Theology in a Global Age</t>
  </si>
  <si>
    <t>Hans-Peter Grosshans-Pantelis Kalaitzidis</t>
  </si>
  <si>
    <t>Constructing and Experiencing Jewish Identity</t>
  </si>
  <si>
    <t>Rachel Blumenthal-Daniel M. Herskowitz-Kerstin Mayerhofer</t>
  </si>
  <si>
    <t>Anthologisches Schreiben</t>
  </si>
  <si>
    <t>Fabian Saner</t>
  </si>
  <si>
    <t>Syriac Theology: Past and Present</t>
  </si>
  <si>
    <t>Martina Aras-Charbel Rizk-Klaus von Stosch</t>
  </si>
  <si>
    <t>The Author As Annotator</t>
  </si>
  <si>
    <t>Miriam Lahrsow</t>
  </si>
  <si>
    <t>Vorstellungen und Ãœberzeugungen</t>
  </si>
  <si>
    <t>Victor Lindblom</t>
  </si>
  <si>
    <t>Muslim Subjectivity in Soviet Russia</t>
  </si>
  <si>
    <t>Alfrid Bustanov-Vener Usmanov</t>
  </si>
  <si>
    <t>Die â€žkrumme Bahn der Sinnlichkeitâ€œ</t>
  </si>
  <si>
    <t>Evelyn Dueck</t>
  </si>
  <si>
    <t>The Post-Secular City</t>
  </si>
  <si>
    <t>Paolo Costa</t>
  </si>
  <si>
    <t>Globale ChristentÃ¼mer</t>
  </si>
  <si>
    <t>Bernhard GrÃ¼mme-Claudia Jahnel-Martin Radermacher-Claudia Rammelt-Jens Schlamelcher</t>
  </si>
  <si>
    <t>Dialektik der Schrift</t>
  </si>
  <si>
    <t>Julia Freund-Matteo Nanni-Jakob Maria Schermann-Nikolaus Urbanek</t>
  </si>
  <si>
    <t>Changing Subjects, Moving Objects</t>
  </si>
  <si>
    <t>ConstanÅ£a VintilÄƒ</t>
  </si>
  <si>
    <t>Roma Portraits in History</t>
  </si>
  <si>
    <t>Einbildungskraft um 1800</t>
  </si>
  <si>
    <t>Hendrick HeimbÃ¶ckel</t>
  </si>
  <si>
    <t>Episches ErzÃ¤hlen bei Goethe als Reflexion auf moderne Zeitlichkeit</t>
  </si>
  <si>
    <t>Miriam Egloff</t>
  </si>
  <si>
    <t>TÃ¶ne und SchÃ¤lle</t>
  </si>
  <si>
    <t>Roman Brotbeck</t>
  </si>
  <si>
    <t>TriebÃ¶konomien des Abenteuers</t>
  </si>
  <si>
    <t>Elisabeth Hutter-Nathalie Schuler-Wolfram Ette-Susanne GÃ¶dde</t>
  </si>
  <si>
    <t>Lorenz Jaeger als Kirchenpolitiker</t>
  </si>
  <si>
    <t>Christian Kasprowski-Nicole Priesching</t>
  </si>
  <si>
    <t>Das Werk im Werk</t>
  </si>
  <si>
    <t>Karin Wetzel</t>
  </si>
  <si>
    <t>Reisen zwischen Abenteuer und Rasterung</t>
  </si>
  <si>
    <t>Robert Stockhammer</t>
  </si>
  <si>
    <t>In Praise of Mortality</t>
  </si>
  <si>
    <t>Kurt Appel</t>
  </si>
  <si>
    <t>The Kaliningrad Region</t>
  </si>
  <si>
    <t>Wojciech T. Modzelewski-Arkadiusz Å»ukowski</t>
  </si>
  <si>
    <t>The Fables of Jesus in the Gospel of Luke</t>
  </si>
  <si>
    <t>Justin David Strong</t>
  </si>
  <si>
    <t>Provozierte Bewunderung</t>
  </si>
  <si>
    <t>Kim Hagedorn-Tim Hofmann-Sarah MÃ¶ller</t>
  </si>
  <si>
    <t>Sterben und Tod Ã¶ffentlich gestalten</t>
  </si>
  <si>
    <t>Corina Caduff</t>
  </si>
  <si>
    <t>â€žSola Admiratio Quaeriturâ€œ</t>
  </si>
  <si>
    <t>Andrea Elmer</t>
  </si>
  <si>
    <t>Kollektives Schreiben</t>
  </si>
  <si>
    <t>Daniel Ehrmann-Thomas Traupmann</t>
  </si>
  <si>
    <t>Im Auftrag der Wahrheit</t>
  </si>
  <si>
    <t>Maria DÃ¤twyler</t>
  </si>
  <si>
    <t>Schrift und Geld um 1900</t>
  </si>
  <si>
    <t>Esther Schomacher</t>
  </si>
  <si>
    <t>Experten der ErschlieÃŸung</t>
  </si>
  <si>
    <t>Sebastian Beese</t>
  </si>
  <si>
    <t>Das Skizzenbuch "Engelmann"</t>
  </si>
  <si>
    <t>Susanne Cox</t>
  </si>
  <si>
    <t>Roma Writings</t>
  </si>
  <si>
    <t>Raluca Bianca Roman-Sofiya Zahova-Aleksandar Marinov</t>
  </si>
  <si>
    <t>Figuraciones literarias del poder polÃ­tico en el Siglo de Oro</t>
  </si>
  <si>
    <t>Sabine Friedrich-Christian Wehr</t>
  </si>
  <si>
    <t>Doing Interpretation</t>
  </si>
  <si>
    <t>Johannes Corrodi Katzenstein-Andreas Mauz-Christiane Tietz</t>
  </si>
  <si>
    <t>Lorenz Jaeger als Ã–kumeniker</t>
  </si>
  <si>
    <t>Arnold Otto-Nicole Priesching</t>
  </si>
  <si>
    <t>Sabine Doering-Johann Kreuzer-Martin VÃ¶hler</t>
  </si>
  <si>
    <t>GlÃ¼cksritter</t>
  </si>
  <si>
    <t>Wolfram Ette-Bernhard Teuber</t>
  </si>
  <si>
    <t>Sola Scriptura Ã¶kumenisch</t>
  </si>
  <si>
    <t>Stefan Alkier-Christos Karakolis-Tobias Nicklas</t>
  </si>
  <si>
    <t>Roma Voices in History</t>
  </si>
  <si>
    <t>Bildagenten</t>
  </si>
  <si>
    <t>Christiane Kruse-Birgit Mersmann</t>
  </si>
  <si>
    <t>Zeitlichkeit und Geschichtlichkeit des bewegten Bildes in der Gegenwartskunst</t>
  </si>
  <si>
    <t>Nina SteinmÃ¼ller</t>
  </si>
  <si>
    <t>Leben in der Arbeitslandschaft</t>
  </si>
  <si>
    <t>Arnold Maxwill</t>
  </si>
  <si>
    <t>PhÃ¤nomenale AdÃ¤quatheit und IrreduzibilitÃ¤t des Bewusstseins</t>
  </si>
  <si>
    <t>Edwin Egeter</t>
  </si>
  <si>
    <t>PrekÃ¤res ErzÃ¤hlen</t>
  </si>
  <si>
    <t>Lukas Gloor</t>
  </si>
  <si>
    <t>Strahlen im Kalten Krieg</t>
  </si>
  <si>
    <t>Sibylle Marti</t>
  </si>
  <si>
    <t>Intuition und Erkenntnis</t>
  </si>
  <si>
    <t>Cyrill Mamin</t>
  </si>
  <si>
    <t>Semiotik der Verewigung</t>
  </si>
  <si>
    <t>Markus Gut</t>
  </si>
  <si>
    <t>Kreditfiktionen</t>
  </si>
  <si>
    <t>Philippe Roepstorff-Robiano</t>
  </si>
  <si>
    <t>Kinder des Krieges, Gewissen der Nation</t>
  </si>
  <si>
    <t>Nicole Weber</t>
  </si>
  <si>
    <t>Panentheism and Panpsychism</t>
  </si>
  <si>
    <t>Godehard BrÃ¼ntrup-Benedikt Paul GÃ¶cke-Ludwig Jaskolla</t>
  </si>
  <si>
    <t>Abenteuer in der Moderne</t>
  </si>
  <si>
    <t>Oliver Grill-Brigitte Obermayr</t>
  </si>
  <si>
    <t>Update!</t>
  </si>
  <si>
    <t>Franziska Heller</t>
  </si>
  <si>
    <t>Bildfabriken</t>
  </si>
  <si>
    <t>Lenka Fehrenbach</t>
  </si>
  <si>
    <t>Die Begriffsanalyse im 21. Jahrhundert</t>
  </si>
  <si>
    <t>Nicole Rathgeb</t>
  </si>
  <si>
    <t>Abenteuer</t>
  </si>
  <si>
    <t>Martin von Koppenfels-Manuel MÃ¼hlbacher</t>
  </si>
  <si>
    <t>Ballons</t>
  </si>
  <si>
    <t>Hannah Zindel</t>
  </si>
  <si>
    <t>Igorâ€™ Stravinskijs Theater der Zukunft</t>
  </si>
  <si>
    <t>Leila Zickgraf</t>
  </si>
  <si>
    <t>Paulus als interkultureller Vermittler</t>
  </si>
  <si>
    <t>Esther Kobel</t>
  </si>
  <si>
    <t>Auf dem Weg zur Philosophie</t>
  </si>
  <si>
    <t>Tobias BrÃ¼cker</t>
  </si>
  <si>
    <t>Verstehen und Interpretieren</t>
  </si>
  <si>
    <t>Andreas Mauz-Christiane Tietz</t>
  </si>
  <si>
    <t>Das verteilte Bild</t>
  </si>
  <si>
    <t>Musik und Schrift</t>
  </si>
  <si>
    <t>Carolin Ratzinger-Nikolaus Urbanek-Sophie Zehetmayer</t>
  </si>
  <si>
    <t>Des Sirius goldne KÃ¼sten â€“ Astronomie und Weltraumfiktion</t>
  </si>
  <si>
    <t>Philipp Theisohn-Philipp Auchter-Boris Buzek-Mateusz Cwik</t>
  </si>
  <si>
    <t>Artistic Research and Literature</t>
  </si>
  <si>
    <t>Tan WÃ¤lchli-Corina Caduff</t>
  </si>
  <si>
    <t>Lorenz Jaeger als Theologe</t>
  </si>
  <si>
    <t>Nicole Priesching-Gisela Fleckenstein</t>
  </si>
  <si>
    <t>Taking Offense</t>
  </si>
  <si>
    <t>Christiane Kruse-Birgit Meyer-Anne-Marie Korte</t>
  </si>
  <si>
    <t>Aus der Welt gefallen</t>
  </si>
  <si>
    <t>Kristina Kuhn-Wolfgang Struck</t>
  </si>
  <si>
    <t>Geheime Netzwerke im MilitÃ¤r 1700â€“1945</t>
  </si>
  <si>
    <t>Daniel Marc Segesser-Gundula Gahlen-Carmen Winkel</t>
  </si>
  <si>
    <t>Proceedings of the 2023 8th International Conference on Modern Management and Education Technology (MMET 2023)</t>
  </si>
  <si>
    <t>Hafizoah Kassim-Nadeem Malik-Premkumar Rajagopal-Manjet Kaur Mehar Singh</t>
  </si>
  <si>
    <t>New Essays on Aristotleâ€™s Organon</t>
  </si>
  <si>
    <t>AntÃ³nio Pedro Mesquita-Ricardo Santos</t>
  </si>
  <si>
    <t>The Neglected Dimension</t>
  </si>
  <si>
    <t>Anissa Rahadiningtyas</t>
  </si>
  <si>
    <t>Politische Erinnerungen des Vorsitzenden des Alldeutschen Verbandes 1915â€“1933/36.</t>
  </si>
  <si>
    <t>Heinrich ClaÃŸ-BjÃ¶rn Hofmeister</t>
  </si>
  <si>
    <t>Counterspeech</t>
  </si>
  <si>
    <t>Stefanie Ullmann-Marcus Tomalin</t>
  </si>
  <si>
    <t>Proceedings of the 2023 International Conference on Image, Algorithms and Artificial Intelligence (ICIAAI 2023)</t>
  </si>
  <si>
    <t>Pushpendu Kar-Jiayang Li-Yuhang Qiu</t>
  </si>
  <si>
    <t>Mirrored Spaces</t>
  </si>
  <si>
    <t>JÃ¶rg Scheffer</t>
  </si>
  <si>
    <t>Endeavoring for Chinaâ€™s Environment and Development Transformation</t>
  </si>
  <si>
    <t>Yingmin Zhao-Arthur Hanson</t>
  </si>
  <si>
    <t>How Pharaohs Became Media Stars: Ancient Egypt and Popular Culture</t>
  </si>
  <si>
    <t>Abraham I. FernÃ¡ndez Pichel</t>
  </si>
  <si>
    <t>Cities and Citadels</t>
  </si>
  <si>
    <t>Adam S. Green-Toby C. Wilkinson-Darryl Wilkinson-Nancy Highcock-Thomas Leppard</t>
  </si>
  <si>
    <t>Place Branding and Marketing From a Policy Perspective</t>
  </si>
  <si>
    <t>Vincent Mabillard-Martial Pasquier-Renaud Vuignier</t>
  </si>
  <si>
    <t>Hip Heritage and Museum Practices in Contemporary Hybrid Markets</t>
  </si>
  <si>
    <t>Lizette GradÃ©n-Tom O'Dell</t>
  </si>
  <si>
    <t>Destination Detroit</t>
  </si>
  <si>
    <t>Rashmi Luthra</t>
  </si>
  <si>
    <t>Advances in the Characterisation and Remediation of Sites Contaminated with Petroleum Hydrocarbons</t>
  </si>
  <si>
    <t>JonÃ¡s GarcÃ­a-RincÃ³n-Evangelos Gatsios-Robert J. Lenhard-Estella A. Atekwana-Ravi Naidu</t>
  </si>
  <si>
    <t>Business Data Ethics</t>
  </si>
  <si>
    <t>Dennis Hirsch-Timothy Bartley-Aravind Chandrasekaran-Davon Norris-Srinivasan Parthasarathy</t>
  </si>
  <si>
    <t>Un droit pour les forÃªts</t>
  </si>
  <si>
    <t>Katia Blairon</t>
  </si>
  <si>
    <t>Hybrid Investigative Journalism</t>
  </si>
  <si>
    <t>Maria Konow-Lund-Michelle Park-Saba Bebawi</t>
  </si>
  <si>
    <t>Post-Communist Transformations in Baltic Countries</t>
  </si>
  <si>
    <t>Proceedings of the 3rd International Conference on Language, Literature, and Cultural Education (ICON-LLCE 2023)</t>
  </si>
  <si>
    <t>Ari Ambarwati-Layli Hidayah-Frida Siswiyanti-Prayitno Tri Laksono-Helmi Wicaksono</t>
  </si>
  <si>
    <t>The Primitivist Imaginary in Iberian and Transatlantic Modernisms</t>
  </si>
  <si>
    <t>Joana Cunha Leal-Mariana Pinto dos Santos</t>
  </si>
  <si>
    <t>The Hybrid Face</t>
  </si>
  <si>
    <t>Massimo Leone</t>
  </si>
  <si>
    <t>Models of Implementation of Article 12 of the Convention on the Rights of Persons with Disabilities (CRPD)</t>
  </si>
  <si>
    <t>Maciej DomaÅ„ski-BogusÅ‚aw LackoroÅ„ski</t>
  </si>
  <si>
    <t>Prismatic Jane Eyre</t>
  </si>
  <si>
    <t>FICTION / World Literature / England / 19th Century</t>
  </si>
  <si>
    <t xml:space="preserve"> Matthew Reynolds-AndrÃ©s Claro-Annmarie Drury-Mary Frank-Paola Gaudio-Rebecca Ruth Gould-Jernej Habjan-Yunte Huang-Eugenia Kelbert-Ulrich Timme Kragh-Abhishek Jain-Ida KlitgÃ¥rd-LÃ©a Rychen-Madli KÃ¼tt-Ana Teresa Marques dos Santos-ClÃ¡udia Pazos-Alonso-Eleni Philippou-Yousif M. Qasmiyeh-CÃ©line Sabiron-Kayvan Tahmasebian-Giovanni Pietro Vitali</t>
  </si>
  <si>
    <t>Health Care in the Information Society</t>
  </si>
  <si>
    <t>SCIENCE / Bioinformatics</t>
  </si>
  <si>
    <t xml:space="preserve"> David Ingram</t>
  </si>
  <si>
    <t>Invisible Labours</t>
  </si>
  <si>
    <t>Aimee Louise Middlemiss</t>
  </si>
  <si>
    <t>One Hundred Years of Argonauts</t>
  </si>
  <si>
    <t>Chris Hann-Deborah James</t>
  </si>
  <si>
    <t>Urban Displacement</t>
  </si>
  <si>
    <t>Are John Knudsen-Sarah A. Tobin</t>
  </si>
  <si>
    <t>Migration Diversity and Social Cohesion</t>
  </si>
  <si>
    <t>Roel Jennissen-Mark Bovens-Godfried Engbersen-Meike Bokhorst</t>
  </si>
  <si>
    <t>Brain and Human Body Modeling</t>
  </si>
  <si>
    <t>Sergey Makarov-Marc Horner-Gregory Noetscher</t>
  </si>
  <si>
    <t>Updates on Myopia</t>
  </si>
  <si>
    <t>Marcus Ang-Tien Y. Wong</t>
  </si>
  <si>
    <t>Wissenschaft und Gesellschaft: Ein vertrauensvoller Dialog</t>
  </si>
  <si>
    <t>Johannes Schnurr-Alexander MÃ¤der</t>
  </si>
  <si>
    <t>Digital Entrepreneurship</t>
  </si>
  <si>
    <t>Mariusz Soltanifar-Mathew Hughes-Lutz GÃ¶cke</t>
  </si>
  <si>
    <t>Between Psychology and Philosophy</t>
  </si>
  <si>
    <t>Michael Slote</t>
  </si>
  <si>
    <t>Pflege-Report 2019</t>
  </si>
  <si>
    <t>Klaus Jacobs-Adelheid Kuhlmey-Stefan GreÃŸ-JÃ¼rgen Klauber-Antje Schwinger</t>
  </si>
  <si>
    <t>Moral Reasoning at Work</t>
  </si>
  <si>
    <t>Ã˜yvind Kvalnes</t>
  </si>
  <si>
    <t>Dilated Cardiomyopathy</t>
  </si>
  <si>
    <t>Gianfranco Sinagra-Marco Merlo-Bruno Pinamonti</t>
  </si>
  <si>
    <t>Managed Software Evolution</t>
  </si>
  <si>
    <t>Ralf Reussner-Michael Goedicke-Wilhelm Hasselbring-Birgit Vogel-Heuser-Jan Keim</t>
  </si>
  <si>
    <t>Computational Thinking Education</t>
  </si>
  <si>
    <t>Siu-Cheung Kong-Harold Abelson</t>
  </si>
  <si>
    <t>Economic Evaluation of Sustainable Development</t>
  </si>
  <si>
    <t>Vinod Thomas-Namrata Chindarkar</t>
  </si>
  <si>
    <t>International Organizations in Global Social Governance</t>
  </si>
  <si>
    <t>Kerstin Martens-Dennis Niemann-Alexandra Kaasch</t>
  </si>
  <si>
    <t>Failures in Cultural Participation</t>
  </si>
  <si>
    <t>Leila Jancovich-David Stevenson</t>
  </si>
  <si>
    <t>Ray Tracing Gems</t>
  </si>
  <si>
    <t>COMPUTERS / Software Development &amp; Engineering / Computer Graphics</t>
  </si>
  <si>
    <t>Eric Haines-Tomas Akenine-MÃ¶ller</t>
  </si>
  <si>
    <t>Handbook of Contact Mechanics</t>
  </si>
  <si>
    <t>SCIENCE / Mechanics / Solids</t>
  </si>
  <si>
    <t>Valentin L. Popov-Markus HeÃŸ-Emanuel Willert</t>
  </si>
  <si>
    <t>Frauen und MÃ¤nner in der zweiten LebenshÃ¤lfte</t>
  </si>
  <si>
    <t>Claudia Vogel-Markus Wettstein-Clemens Tesch-RÃ¶mer</t>
  </si>
  <si>
    <t>Co-creation for Responsible Research and Innovation</t>
  </si>
  <si>
    <t>Alessandro Deserti-Marion Real-Felicitas Schmittinger</t>
  </si>
  <si>
    <t>Die Praxis kollektiven Handelns</t>
  </si>
  <si>
    <t>Robert Jungmann</t>
  </si>
  <si>
    <t>Security of Ubiquitous Computing Systems</t>
  </si>
  <si>
    <t>Gildas Avoine-Julio Hernandez-Castro</t>
  </si>
  <si>
    <t>The Ethical Spirit of EU Law</t>
  </si>
  <si>
    <t>Markus Frischhut</t>
  </si>
  <si>
    <t>Decision Making Under Deep Uncertainty</t>
  </si>
  <si>
    <t>Vincent A. W. J. Marchau-Warren E. Walker-Pieter J. T. M. Bloemen-Steven W. Popper</t>
  </si>
  <si>
    <t>Agricultural Implications of the Fukushima Nuclear Accident (III)</t>
  </si>
  <si>
    <t>Tomoko M. Nakanishi-Martin O`Brien-Keitaro Tanoi</t>
  </si>
  <si>
    <t>Biodiversity of Angola</t>
  </si>
  <si>
    <t>Brian J. Huntley-Vladimir Russo-Fernanda Lages-Nuno Ferrand</t>
  </si>
  <si>
    <t>Rethinking Productivity in Software Engineering</t>
  </si>
  <si>
    <t>Caitlin Sadowski-Thomas Zimmermann</t>
  </si>
  <si>
    <t>Biodiversity and Health in the Face of Climate Change</t>
  </si>
  <si>
    <t>Melissa R. Marselle-Jutta Stadler-Horst Korn-Katherine N. Irvine-Aletta Bonn</t>
  </si>
  <si>
    <t>Krankenhaus-Report 2019</t>
  </si>
  <si>
    <t>JÃ¼rgen Klauber-Max Geraedts-JÃ¶rg Friedrich-JÃ¼rgen Wasem</t>
  </si>
  <si>
    <t>KÃ¼nstliche Intelligenz</t>
  </si>
  <si>
    <t>Volker Wittpahl</t>
  </si>
  <si>
    <t>Fundamentals of Clinical Data Science</t>
  </si>
  <si>
    <t>Pieter Kubben-Michel Dumontier-Andre Dekker</t>
  </si>
  <si>
    <t>Understanding Willing Participants, Volume 2</t>
  </si>
  <si>
    <t>Nestar Russell</t>
  </si>
  <si>
    <t>Ganzheitliche Digitalisierung von Prozessen</t>
  </si>
  <si>
    <t>Albert Fleischmann-Stefan Oppl-Werner Schmidt-Christian Stary</t>
  </si>
  <si>
    <t>Human Rights in Child Protection</t>
  </si>
  <si>
    <t>Asgeir Falch-Eriksen-Elisabeth Backe-Hansen</t>
  </si>
  <si>
    <t>Agricultural Development in Asia and Africa</t>
  </si>
  <si>
    <t>Jonna P. Estudillo-Yoko Kijima-Tetsushi Sonobe</t>
  </si>
  <si>
    <t>Transnational Entrepreneurship in South East Asia</t>
  </si>
  <si>
    <t>Factories of the Future</t>
  </si>
  <si>
    <t>Tullio Tolio-Giacomo Copani-Walter Terkaj</t>
  </si>
  <si>
    <t>Biomineralization</t>
  </si>
  <si>
    <t>Kazuyoshi Endo-Toshihiro Kogure-Hiromichi Nagasawa</t>
  </si>
  <si>
    <t>Rethinking Health Care Ethics</t>
  </si>
  <si>
    <t>Inclusion, Education and Translanguaging</t>
  </si>
  <si>
    <t>Julie A. Panagiotopoulou-Lisa Rosen-Jenna Strzykala</t>
  </si>
  <si>
    <t>Higher Education in the Era of the Fourth Industrial Revolution</t>
  </si>
  <si>
    <t>Nancy W. Gleason</t>
  </si>
  <si>
    <t>Pflege-Report 2018</t>
  </si>
  <si>
    <t>TransdisziplinÃ¤r und transformativ forschen</t>
  </si>
  <si>
    <t>Rico Defila-Antonietta Di Giulio</t>
  </si>
  <si>
    <t>Sustainability, Human Well-Being, and the Future of Education</t>
  </si>
  <si>
    <t>Justin W. Cook</t>
  </si>
  <si>
    <t>European Higher Education Area: The Impact of Past and Future Policies</t>
  </si>
  <si>
    <t>Adrian Curaj-Ligia Deca-Remus Pricopie</t>
  </si>
  <si>
    <t>Nicotinic Acetylcholine Receptor Signaling in Neuroprotection</t>
  </si>
  <si>
    <t>Akinori Akaike-Shun Shimohama-Yoshimi Misu</t>
  </si>
  <si>
    <t>X-Ray Contrast Media</t>
  </si>
  <si>
    <t>Ulrich Speck</t>
  </si>
  <si>
    <t>Young People's Perceptions of Europe in a Time of Change</t>
  </si>
  <si>
    <t>Bruno Losito-Gabriella Agrusti-Valeria Damiani-Wolfram Schulz</t>
  </si>
  <si>
    <t>The Essence of Software Engineering</t>
  </si>
  <si>
    <t>Volker Gruhn-RÃ¼diger Striemer</t>
  </si>
  <si>
    <t>Digitale Transformation</t>
  </si>
  <si>
    <t>Gerhard Oswald-Thomas Saueressig-Helmut Krcmar</t>
  </si>
  <si>
    <t>Gerhard Oswald-Helmut Krcmar</t>
  </si>
  <si>
    <t>Innovation, Economic Development, and Intellectual Property in India and China</t>
  </si>
  <si>
    <t>Kung-Chung Liu-Uday S. Racherla</t>
  </si>
  <si>
    <t>Deutsch als Zweitsprache: Alphabetisierung fÃ¼r Jugendliche und junge Erwachsene</t>
  </si>
  <si>
    <t>SchlaU â€“ Werkstatt fÃ¼r MigrationspÃ¤dagogik gGmbH</t>
  </si>
  <si>
    <t>Illustrated Pollen Terminology</t>
  </si>
  <si>
    <t>Heidemarie Halbritter-Silvia Ulrich-FriÃ°geir GrÃ­msson-Martina Weber-Reinhard Zetter-Michael Hesse-Ralf Buchner-Matthias Svojtka-Andrea Frosch-Radivo</t>
  </si>
  <si>
    <t>Responsible AI in Africa</t>
  </si>
  <si>
    <t>Damian Okaibedi Eke-Kutoma Wakunuma-Simisola Akintoye</t>
  </si>
  <si>
    <t>Digitale SouverÃ¤nitÃ¤t</t>
  </si>
  <si>
    <t>Designing Sustainable Technologies, Products and Policies</t>
  </si>
  <si>
    <t>Enrico Benetto-Kilian Gericke-MÃ©lanie Guiton</t>
  </si>
  <si>
    <t>Fragility Fracture Nursing</t>
  </si>
  <si>
    <t>MEDICAL / Nursing / Management &amp; Leadership</t>
  </si>
  <si>
    <t>Karen Hertz-Julie Santy-Tomlinson</t>
  </si>
  <si>
    <t>Musculoskeletal Diseases 2021-2024</t>
  </si>
  <si>
    <t>Juerg Hodler-Rahel A. Kubik-Huch-Gustav K. von Schulthess</t>
  </si>
  <si>
    <t>Diseases of the Brain, Head and Neck, Spine 2020â€“2023</t>
  </si>
  <si>
    <t>Diseases of the Chest, Breast, Heart and Vessels 2019-2022</t>
  </si>
  <si>
    <t>Diseases of the Abdomen and Pelvis 2018-2021</t>
  </si>
  <si>
    <t>Proceedings of the Scientific-Practical Conference 'Research and Development - 2016'</t>
  </si>
  <si>
    <t>K. V. Anisimov-A. V. Dub-S. K. Kolpakov-A. V. Lisitsa-A. N. Petrov</t>
  </si>
  <si>
    <t>Care in Healthcare</t>
  </si>
  <si>
    <t>Franziska Krause-Joachim Boldt</t>
  </si>
  <si>
    <t>Demystifying Internet of Things Security</t>
  </si>
  <si>
    <t>Sunil Cheruvu-Anil Kumar-Ned Smith-David M. Wheeler</t>
  </si>
  <si>
    <t>Advancing Culture of Living with Landslides</t>
  </si>
  <si>
    <t>Kyoji Sassa-MatjaÅ¾ MikoÅ¡-Yueping Yin</t>
  </si>
  <si>
    <t>Norwegian Shipping in the 20th Century</t>
  </si>
  <si>
    <t>Stig Tenold</t>
  </si>
  <si>
    <t>RESTART Sustainable Business Model Innovation</t>
  </si>
  <si>
    <t>Sveinung JÃ¸rgensen-Lars Jacob Tynes Pedersen</t>
  </si>
  <si>
    <t>Scaling a Software Business</t>
  </si>
  <si>
    <t>Brian Fitzgerald-Klaas-Jan Stol-Sten MinÃ¶r-Henrik Cosmo</t>
  </si>
  <si>
    <t>One Hundred Years of Chemical Warfare: Research, Deployment, Consequences</t>
  </si>
  <si>
    <t>Bretislav Friedrich-Dieter Hoffmann-JÃ¼rgen Renn-Florian Schmaltz-Martin Wolf</t>
  </si>
  <si>
    <t>Gender Innovation and Migration in Switzerland</t>
  </si>
  <si>
    <t>Francesca Falk</t>
  </si>
  <si>
    <t>Lines of Inquiry in Mathematical Modelling Research in Education</t>
  </si>
  <si>
    <t>Gloria Ann Stillman-Jill P. Brown</t>
  </si>
  <si>
    <t>Invited Lectures From the 13th International Congress on Mathematical Education</t>
  </si>
  <si>
    <t>Gabriele Kaiser-Helen Forgasz-Mellony Graven-Alain Kuzniak-Elaine Simmt</t>
  </si>
  <si>
    <t>Proceedings of the 13th International Congress on Mathematical Education</t>
  </si>
  <si>
    <t>Gabriele Kaiser</t>
  </si>
  <si>
    <t>Handbook of Life Course Health Development</t>
  </si>
  <si>
    <t>Neal Halfon-Christopher B. Forrest-Richard M. Lerner-Elaine M. Faustman</t>
  </si>
  <si>
    <t>Education, Equity and Inclusion</t>
  </si>
  <si>
    <t>Diane B. Hirshberg-Mhairi C. Beaton-Gregor Maxwell-Tuija Turunen-Janette Peltokorpi</t>
  </si>
  <si>
    <t>Stakeholder Relationships And Sustainability</t>
  </si>
  <si>
    <t>Gulnaz Isabekova</t>
  </si>
  <si>
    <t>Maritime Spatial Planning</t>
  </si>
  <si>
    <t>Jacek Zaucha-Kira Gee</t>
  </si>
  <si>
    <t>Introducing Foreign Models for Development</t>
  </si>
  <si>
    <t>Izumi Ohno-Kimiaki Jin-Kuniaki Amatsu-Junichi Mori</t>
  </si>
  <si>
    <t>Aquaculture Perspective of Multi-Use Sites in the Open Ocean</t>
  </si>
  <si>
    <t>Bela H. Buck-Richard Langan</t>
  </si>
  <si>
    <t>Loss and Damage From Climate Change</t>
  </si>
  <si>
    <t>Reinhard Mechler-Laurens M. Bouwer-Thomas Schinko-Swenja Surminski-JoAnne Linnerooth-Bayer</t>
  </si>
  <si>
    <t>Emerging Technologies</t>
  </si>
  <si>
    <t>Sinan KÃ¼feoÄŸlu</t>
  </si>
  <si>
    <t>Open Mapping Towards Sustainable Development Goals</t>
  </si>
  <si>
    <t>Patricia SolÃ­s-Marcela Zeballos</t>
  </si>
  <si>
    <t>Governing the Sustainable Development Goals</t>
  </si>
  <si>
    <t>Justyna Bandola-Gill-Sotiria Grek-Marlee Tichenor</t>
  </si>
  <si>
    <t>Who Will Be the Next President?</t>
  </si>
  <si>
    <t>Alexander S. Belenky</t>
  </si>
  <si>
    <t>Evaluating Climate Change Action for Sustainable Development</t>
  </si>
  <si>
    <t>Juha I. Uitto-Jyotsna Puri-Rob D. van den Berg</t>
  </si>
  <si>
    <t>Orthogeriatrics</t>
  </si>
  <si>
    <t>Paolo Falaschi-David Marsh</t>
  </si>
  <si>
    <t>Nachhaltigkeit in Umwelt, Wirtschaft und Gesellschaft</t>
  </si>
  <si>
    <t>Klaus-Dieter Altmeppen-Frank Zschaler-Hans-Martin Zademach-Christoph BÃ¶ttigheimer-Markus MÃ¼ller</t>
  </si>
  <si>
    <t>Digitalisierung</t>
  </si>
  <si>
    <t>Chinaâ€™s Gas Development Strategies</t>
  </si>
  <si>
    <t>Shell International B.V.-Development Research Center DRC</t>
  </si>
  <si>
    <t>Interface Oral Health Science 2016</t>
  </si>
  <si>
    <t>Keiichi Sasaki-Osamu Suzuki-Nobuhiro Takahashi</t>
  </si>
  <si>
    <t>Yang Yang</t>
  </si>
  <si>
    <t>Proceedings of the 8th International Conference on Civil Engineering</t>
  </si>
  <si>
    <t>IEA International Civic and Citizenship Education Study 2016 Assessment Framework</t>
  </si>
  <si>
    <t>Sustainable Development Goals and Human Rights</t>
  </si>
  <si>
    <t>Markus Kaltenborn-Markus Krajewski-Heike Kuhn</t>
  </si>
  <si>
    <t>Das Blaue Buch</t>
  </si>
  <si>
    <t>Monika Engelhardt-Dietmar P. Berger-Roland Mertelsmann-Justus Duyster</t>
  </si>
  <si>
    <t>Advances in Discrete Differential Geometry</t>
  </si>
  <si>
    <t>MATHEMATICS / Geometry / Differential</t>
  </si>
  <si>
    <t>Alexander I. Bobenko</t>
  </si>
  <si>
    <t>Klimawandel in Deutschland</t>
  </si>
  <si>
    <t>Guy P. Brasseur-Daniela Jacob-Susanne Schuck-ZÃ¶ller</t>
  </si>
  <si>
    <t>Digital Interaction and Machine Intelligence</t>
  </si>
  <si>
    <t>Cezary Biele-Janusz Kacprzyk-WiesÅ‚aw KopeÄ‡-Jan W. OwsiÅ„ski-Andrzej Romanowski</t>
  </si>
  <si>
    <t>Saving for Development</t>
  </si>
  <si>
    <t>Inter-American Development Bank-Eduardo Cavallo-TomÃ¡s Serebrisky</t>
  </si>
  <si>
    <t>Indigenous Knowledge and Education in Africa</t>
  </si>
  <si>
    <t>Chika Ezeanya-Esiobu</t>
  </si>
  <si>
    <t>IUTAM</t>
  </si>
  <si>
    <t>Peter Eberhard-Stephen Juhasz</t>
  </si>
  <si>
    <t>Mobile Edge Computing</t>
  </si>
  <si>
    <t>COMPUTERS / Programming / Mobile Devices</t>
  </si>
  <si>
    <t>Introduction to Scientific Programming with Python</t>
  </si>
  <si>
    <t>Joakim Sundnes</t>
  </si>
  <si>
    <t>Scaling of Differential Equations</t>
  </si>
  <si>
    <t>Hans Petter Langtangen-Geir K. Pedersen</t>
  </si>
  <si>
    <t>Teaching and Learning Mathematical Modelling</t>
  </si>
  <si>
    <t>Gilbert Greefrath-Katrin VorhÃ¶lter</t>
  </si>
  <si>
    <t>Uses of Technology in Upper Secondary Mathematics Education</t>
  </si>
  <si>
    <t>Stephen Hegedus-Colette Laborde-Corey Brady-Sara Dalton-Hans-Stefan Siller</t>
  </si>
  <si>
    <t>Interdisciplinary Mathematics Education</t>
  </si>
  <si>
    <t>Julian Williams-Wolff-Michael Roth-David Swanson-Brian Doig-Susie Groves</t>
  </si>
  <si>
    <t>Research on Teaching and Learning Mathematics at the Tertiary Level</t>
  </si>
  <si>
    <t>Irene Biza-Victor Giraldo-Reinhard Hochmuth-Azimehsadat Khakbaz-Chris Rasmussen</t>
  </si>
  <si>
    <t>Problem Solving in Mathematics Education</t>
  </si>
  <si>
    <t>Peter Liljedahl-Manuel Santos-Trigo-Uldarico Malaspina-Regina Bruder</t>
  </si>
  <si>
    <t>The Philosophy of Mathematics Education</t>
  </si>
  <si>
    <t>Paul Ernest-Ole Skovsmose-Jean Paul van Bendegem-Maria Bicudo-Roger Miarka</t>
  </si>
  <si>
    <t>The Mathematics Education of Prospective Secondary Teachers Around the World</t>
  </si>
  <si>
    <t>Marilyn E. Strutchens-Rongjin Huang-Leticia Losano-Despina Potari-MÃ¡rcia Cristina de Costa Trindade Cyrino-JoÃ£o Pedro da Ponte-Rose Mary Zbiek</t>
  </si>
  <si>
    <t>Empirical Research in Statistics Education</t>
  </si>
  <si>
    <t>Andreas Eichler-LucÃ­a Zapata-Cardona</t>
  </si>
  <si>
    <t>Uses of Technology in Lower Secondary Mathematics Education</t>
  </si>
  <si>
    <t>Paul Drijvers-Lynda Ball-BÃ¤rbel Barzel-M. Kathleen Heid-Yiming Cao</t>
  </si>
  <si>
    <t>Assessment in Mathematics Education</t>
  </si>
  <si>
    <t>Christine Suurtamm-Denisse R. Thompson-Rae Young Kim-Leonora Diaz Moreno-Nathalie Sayac</t>
  </si>
  <si>
    <t>Transitions in Mathematics Education</t>
  </si>
  <si>
    <t>Ghislaine Gueudet-Marianna Bosch-Andrea A. diSessa-Oh Nam Kwon-Lieven Verschaffel</t>
  </si>
  <si>
    <t>History of Mathematics Teaching and Learning</t>
  </si>
  <si>
    <t>Alexander Karp-Fulvia Furinghetti</t>
  </si>
  <si>
    <t>Semiotics in Mathematics Education</t>
  </si>
  <si>
    <t>Norma Presmeg-Luis Radford-Wolff-Michael Roth-Gert Kadunz</t>
  </si>
  <si>
    <t>Social and Political Dimensions of Mathematics Education</t>
  </si>
  <si>
    <t>Murad Jurdak-Renuka Vithal-Elizabeth de Freitas-Peter Gates-David Kollosche</t>
  </si>
  <si>
    <t>Cultural Heritage in a Changing World</t>
  </si>
  <si>
    <t>Karol Jan Borowiecki-Neil Forbes-Antonella Fresa</t>
  </si>
  <si>
    <t>Atlas of Challenges and Opportunities in European Neighbourhoods</t>
  </si>
  <si>
    <t>Pierre BECKOUCHE-Pierre BESNARD-Hugues PECOUT</t>
  </si>
  <si>
    <t>Evidence Use in Health Policy Making</t>
  </si>
  <si>
    <t>Justin Parkhurst-Stefanie Ettelt-Benjamin Hawkins</t>
  </si>
  <si>
    <t>Socioeconomic Inequality and Educational Outcomes</t>
  </si>
  <si>
    <t>Markus Broer-Yifan Bai-Frank Fonseca</t>
  </si>
  <si>
    <t>Autonomous Driving</t>
  </si>
  <si>
    <t>Markus Maurer-J. Christian Gerdes-Barbara Lenz-Hermann Winner</t>
  </si>
  <si>
    <t>Becoming a World-Class University</t>
  </si>
  <si>
    <t>Osama Tayeb-Adnan Zahed-Jozef Ritzen</t>
  </si>
  <si>
    <t>Kommunikation und Bildverarbeitung in der Automation</t>
  </si>
  <si>
    <t>JÃ¼rgen Jasperneite-Volker Lohweg</t>
  </si>
  <si>
    <t>Machine Learning for Cyber Physical Systems</t>
  </si>
  <si>
    <t>JÃ¼rgen Beyerer-Alexander Maier-Oliver Niggemann</t>
  </si>
  <si>
    <t>JÃ¼rgen Beyerer-Christian KÃ¼hnert-Oliver Niggemann</t>
  </si>
  <si>
    <t>A History of Self-Harm in Britain</t>
  </si>
  <si>
    <t>Chris Millard</t>
  </si>
  <si>
    <t>The Future of Election Administration</t>
  </si>
  <si>
    <t>Mitchell Brown-Kathleen Hale-Bridgett A. King</t>
  </si>
  <si>
    <t>Data Governance and Policy in Africa</t>
  </si>
  <si>
    <t>Bitange Ndemo-Njuguna Ndungâ€™u-Scholastica Odhiambo-Abebe Shimeles</t>
  </si>
  <si>
    <t>Consumption, Sustainability and Everyday Life</t>
  </si>
  <si>
    <t>Arve Hansen-Kenneth Bo Nielsen</t>
  </si>
  <si>
    <t>Public Administration in Germany</t>
  </si>
  <si>
    <t>Sabine Kuhlmann-Isabella Proeller-Dieter Schimanke-Jan Ziekow</t>
  </si>
  <si>
    <t>Urban Informatics</t>
  </si>
  <si>
    <t>Wenzhong Shi-Michael F. Goodchild-Michael Batty-Mei-Po Kwan-Anshu Zhang</t>
  </si>
  <si>
    <t>Operationalisation of Hybrid Peacebuilding in Asia</t>
  </si>
  <si>
    <t>Yuji Uesugi-Anna Deekeling-Sophie Shiori Umeyama-Lawrence McDonald-Colbert</t>
  </si>
  <si>
    <t>Disability, Health and Human Development</t>
  </si>
  <si>
    <t>Sophie Mitra</t>
  </si>
  <si>
    <t>Constructions of Cancer in Early Modern England</t>
  </si>
  <si>
    <t>Alanna Skuse</t>
  </si>
  <si>
    <t>Sociology in Germany</t>
  </si>
  <si>
    <t>Stephan Moebius</t>
  </si>
  <si>
    <t>Feeling Political</t>
  </si>
  <si>
    <t>Ute Frevert-Kerstin Maria Pahl-Francesco Buscemi-Philipp Nielsen-Agnes Arndt-Michael Amico-Karsten Lichau-Hannah Malone-Julia Wambach-Juliane Brauer-Caroline Moine</t>
  </si>
  <si>
    <t>Prosthetic Body Parts in Nineteenth-Century Literature and Culture</t>
  </si>
  <si>
    <t>LITERARY CRITICISM / Modern / 19th Century</t>
  </si>
  <si>
    <t>Ryan Sweet</t>
  </si>
  <si>
    <t>European Citizenship After Brexit</t>
  </si>
  <si>
    <t>Patricia Mindus</t>
  </si>
  <si>
    <t>Target Suitability and the Crime Drop</t>
  </si>
  <si>
    <t>N. Tilley-G. Farrell-R. Clarke</t>
  </si>
  <si>
    <t>Non-Vitamin K Antagonist Oral Anticoagulants</t>
  </si>
  <si>
    <t>Eduard Shantsila-GREGORY LIP</t>
  </si>
  <si>
    <t>Agricultural Implications of the Fukushima Nuclear Accident</t>
  </si>
  <si>
    <t>Tomoko M. Nakanishi-Keitaro Tanoi</t>
  </si>
  <si>
    <t>Mixed-Criticality Industrial Wireless Networks</t>
  </si>
  <si>
    <t>Xi Jin-Changqing Xia-Chi Xu-Dong Li</t>
  </si>
  <si>
    <t>Organisationsbildung und gesellschaftliche Differenzierung</t>
  </si>
  <si>
    <t>Rena Schwarting</t>
  </si>
  <si>
    <t>Integrated Groundwater Management</t>
  </si>
  <si>
    <t>Anthony J Jakeman-Olivier Barreteau-Randall J Hunt-Jean-Daniel Rinaudo-Andrew Ross</t>
  </si>
  <si>
    <t>World Class Universities</t>
  </si>
  <si>
    <t>Sharon Rider-Michael A. Peters-Mats HyvÃ¶nen-Tina Besley</t>
  </si>
  <si>
    <t>NL ARMS Netherlands Annual Review of Military Studies 2021</t>
  </si>
  <si>
    <t>Robert Beeres-Robert Bertrand-Jeroen Klomp-Job Timmermans-Joop Voetelink</t>
  </si>
  <si>
    <t>NL ARMS Netherlands Annual Review of Military Studies 2020</t>
  </si>
  <si>
    <t>Frans Osinga-Tim Sweijs</t>
  </si>
  <si>
    <t>Ethics of Artificial Intelligence</t>
  </si>
  <si>
    <t>Bernd Carsten Stahl-Doris Schroeder-Rowena Rodrigues</t>
  </si>
  <si>
    <t>Responsible Innovation</t>
  </si>
  <si>
    <t>Katharina Jarmai</t>
  </si>
  <si>
    <t>The European Higher Education Area</t>
  </si>
  <si>
    <t>Adrian Curaj-Liviu Matei-Remus Pricopie-Jamil Salmi-Peter Scott</t>
  </si>
  <si>
    <t>Advances in Wheat Genetics: From Genome to Field</t>
  </si>
  <si>
    <t>Yasunari Ogihara-Shigeo Takumi-Hirokazu Handa</t>
  </si>
  <si>
    <t>Verrechnungspreise</t>
  </si>
  <si>
    <t>Roman Dawid</t>
  </si>
  <si>
    <t>Compositionality and Concepts in Linguistics and Psychology</t>
  </si>
  <si>
    <t>James A. Hampton-Yoad Winter</t>
  </si>
  <si>
    <t>The Impact of Food Bioactives on Health</t>
  </si>
  <si>
    <t>TECHNOLOGY &amp; ENGINEERING / Food Science / Chemistry &amp; Biotechnology</t>
  </si>
  <si>
    <t>Kitty Verhoeckx-Paul Cotter-IvÃ¡n LÃ³pez-ExpÃ³sito-Charlotte Kleiveland-Tor Lea</t>
  </si>
  <si>
    <t>Nature-Based Solutions to Climate Change Adaptation in Urban Areas</t>
  </si>
  <si>
    <t>Nadja Kabisch-Horst Korn-Jutta Stadler-Aletta Bonn</t>
  </si>
  <si>
    <t>Preparing for Life in a Digital Age</t>
  </si>
  <si>
    <t>Julian Fraillon-John Ainley-Wolfram Schulz-Tim Friedman-Eveline Gebhardt</t>
  </si>
  <si>
    <t>Zukunft der Arbeit in Industrie 4.0</t>
  </si>
  <si>
    <t>Alfons Botthof-Ernst Andreas Hartmann</t>
  </si>
  <si>
    <t>Mergers and Alliances in Higher Education</t>
  </si>
  <si>
    <t>Adrian Curaj-Luke Georghiou-Jennifer Cassingena Harper-Eva Egron-Polak</t>
  </si>
  <si>
    <t>Migrations in the Mediterranean</t>
  </si>
  <si>
    <t>Ricard Zapata-Barrero-Ibrahim Awad</t>
  </si>
  <si>
    <t>Migration and International Relations</t>
  </si>
  <si>
    <t>Catherine Wihtol de Wenden</t>
  </si>
  <si>
    <t>Migration and Domestic Work</t>
  </si>
  <si>
    <t>Sabrina Marchetti</t>
  </si>
  <si>
    <t>Migration in South America</t>
  </si>
  <si>
    <t>Gioconda Herrera-Carmen GÃ³mez</t>
  </si>
  <si>
    <t>Migration in West Africa</t>
  </si>
  <si>
    <t>Joseph Kofi Teye</t>
  </si>
  <si>
    <t>Migration in Southern Africa</t>
  </si>
  <si>
    <t>Pragna Rugunanan-Nomkhosi Xulu-Gama</t>
  </si>
  <si>
    <t>Gender and Migration</t>
  </si>
  <si>
    <t>Anastasia Christou-Eleonore Kofman</t>
  </si>
  <si>
    <t>Migration to and From Welfare States</t>
  </si>
  <si>
    <t>Oleksandr Ryndyk-Brigitte Suter-Gunhild Odden</t>
  </si>
  <si>
    <t>Migration and Discrimination</t>
  </si>
  <si>
    <t>Rosita Fibbi-Arnfinn H. MidtbÃ¸en-Patrick Simon</t>
  </si>
  <si>
    <t>Migration and Environmental Change in Morocco</t>
  </si>
  <si>
    <t>Lore Van Praag-Loubna Ou-Salah-Elodie Hut-Caroline Zickgraf</t>
  </si>
  <si>
    <t>Migration and Social Protection in Europe and Beyond (Volume 3)</t>
  </si>
  <si>
    <t>Jean-Michel Lafleur-Daniela Vintila</t>
  </si>
  <si>
    <t>Migration and Social Protection in Europe and Beyond (Volume 2)</t>
  </si>
  <si>
    <t>Migration and Social Protection in Europe and Beyond (Volume 1)</t>
  </si>
  <si>
    <t>Improving Inclusive Education Through Universal Design for Learning</t>
  </si>
  <si>
    <t>Alvyra Galkiene-Ona Monkeviciene</t>
  </si>
  <si>
    <t>Debating European Citizenship</t>
  </si>
  <si>
    <t>Rainer BaubÃ¶ck</t>
  </si>
  <si>
    <t>Between Mobility and Migration</t>
  </si>
  <si>
    <t>Peter Scholten-Mark van Ostaijen</t>
  </si>
  <si>
    <t>Ukrainian Migration to the European Union</t>
  </si>
  <si>
    <t>Olena Fedyuk-Marta Kindler</t>
  </si>
  <si>
    <t>The Proceedings of the 12th International Congress on Mathematical Education</t>
  </si>
  <si>
    <t>Sung Je Cho</t>
  </si>
  <si>
    <t>Reflections on the Fukushima Daiichi Nuclear Accident</t>
  </si>
  <si>
    <t>Joonhong Ahn-Cathryn Carson-Mikael Jensen-Kohta Juraku-Shinya Nagasaki-Satoru Tanaka</t>
  </si>
  <si>
    <t>Chinese Water Systems</t>
  </si>
  <si>
    <t>Max Dohmann-Martin Grambow-Yonghui Song-Paul Wermter</t>
  </si>
  <si>
    <t>Interface Oral Health Science 2014</t>
  </si>
  <si>
    <t>Higher Education Reforms in Romania</t>
  </si>
  <si>
    <t>Adrian Curaj-Ligia Deca-Eva Egron-Polak-Jamil Salmi</t>
  </si>
  <si>
    <t>Understanding Society and Natural Resources</t>
  </si>
  <si>
    <t>Michael J. Manfredo-Jerry J. Vaske-Andreas Rechkemmer-Esther A. Duke</t>
  </si>
  <si>
    <t>Library and Information Sciences</t>
  </si>
  <si>
    <t>Chuanfu Chen-Ronald Larsen</t>
  </si>
  <si>
    <t>Measurement Across the Sciences</t>
  </si>
  <si>
    <t>SCIENCE / System Theory</t>
  </si>
  <si>
    <t>Luca Mari-Mark Wilson-Andrew Maul</t>
  </si>
  <si>
    <t>The Handbook of Salutogenesis</t>
  </si>
  <si>
    <t>Maurice B. Mittelmark-Shifra Sagy-Monica Eriksson-Georg F. Bauer-JÃ¼rgen M. Pelikan</t>
  </si>
  <si>
    <t>Life Cycle Management</t>
  </si>
  <si>
    <t>Guido Sonnemann-Manuele Margni</t>
  </si>
  <si>
    <t>Nadzeya Sabatini-Teresa SÃ¡daba-Alessandro Tosi-Veronica Neri-Lorenzo Cantoni</t>
  </si>
  <si>
    <t>Information and Communication Technologies in Tourism 2023</t>
  </si>
  <si>
    <t>Berta Ferrer-Rosell-David Massimo-Katerina Berezina</t>
  </si>
  <si>
    <t>Gerechter Frieden</t>
  </si>
  <si>
    <t>Ines-Jacqueline Werkner</t>
  </si>
  <si>
    <t>Logistische Regression</t>
  </si>
  <si>
    <t>MATHEMATICS / Probability &amp; Statistics / Regression Analysis</t>
  </si>
  <si>
    <t>Markus Kalisch-Lukas Meier</t>
  </si>
  <si>
    <t>Die Grenzen der EU</t>
  </si>
  <si>
    <t>Innovative Models for Sustainable Development in Emerging African Countries</t>
  </si>
  <si>
    <t>NiccolÃ² Aste-Stefano Della Torre-Cinzia Talamo-Rajendra Singh Adhikari-Corinna Rossi</t>
  </si>
  <si>
    <t>Sexual Reproduction in Animals and Plants</t>
  </si>
  <si>
    <t>Hitoshi Sawada-Naokazu Inoue-Megumi Iwano</t>
  </si>
  <si>
    <t>Doing Research: A New Researcherâ€™s Guide</t>
  </si>
  <si>
    <t>James Hiebert-Jinfa Cai-Stephen Hwang-Anne K Morris-Charles Hohensee</t>
  </si>
  <si>
    <t>Framing in Sustainability Science</t>
  </si>
  <si>
    <t>Takashi Mino-Shogo Kudo</t>
  </si>
  <si>
    <t>New Vision 2050</t>
  </si>
  <si>
    <t>Hiroshi Komiyama-Koichi Yamada</t>
  </si>
  <si>
    <t>Education and Climate Change</t>
  </si>
  <si>
    <t>Fernando M. Reimers</t>
  </si>
  <si>
    <t>Development Policies and Policy Processes in Africa</t>
  </si>
  <si>
    <t>Christian Henning-Ousmane Badiane-Eva Krampe</t>
  </si>
  <si>
    <t>From Education Policy to Education Practice</t>
  </si>
  <si>
    <t>Tine S. PrÃ¸itz-Petter Aasen-Wieland Wermke</t>
  </si>
  <si>
    <t>Urbanization, Biodiversity and Ecosystem Services: Challenges and Opportunities</t>
  </si>
  <si>
    <t>Thomas Elmqvist-Michail Fragkias-Julie Goodness-Burak GÃ¼neralp-Peter J. Marcotullio</t>
  </si>
  <si>
    <t>Climate Adaptation Modelling</t>
  </si>
  <si>
    <t>Claus Kondrup-Paola Mercogliano-Francesco Bosello-Jaroslav Mysiak-Enrico Scoccimarro</t>
  </si>
  <si>
    <t>Paris Climate Agreement: Beacon of Hope</t>
  </si>
  <si>
    <t>Ross J. Salawitch-Timothy P. Canty-Austin P. Hope-Walter R. Tribett-Brian F. Bennett</t>
  </si>
  <si>
    <t>Women in STEM in Higher Education</t>
  </si>
  <si>
    <t>Francisco JosÃ© GarcÃ­a-PeÃ±alvo-Alicia GarcÃ­a-Holgado-Angeles Dominguez-Jimena Pascual</t>
  </si>
  <si>
    <t>Computational Conflict Research</t>
  </si>
  <si>
    <t>Emanuel Deutschmann-Jan Lorenz-Luis G. Nardin-Davide Natalini-Adalbert F. X. Wilhelm</t>
  </si>
  <si>
    <t>Rethinking the Internet of Things</t>
  </si>
  <si>
    <t>Francis daCosta-Byron Henderson</t>
  </si>
  <si>
    <t>Mastering Uncertainty in Mechanical Engineering</t>
  </si>
  <si>
    <t>Peter F. Pelz-Peter Groche-Marc E. Pfetsch-Maximilian Schaeffner</t>
  </si>
  <si>
    <t>Environmental Governance of the Baltic Sea</t>
  </si>
  <si>
    <t>Michael Gilek-Mikael Karlsson-Sebastian Linke-Katarzyna Smolarz</t>
  </si>
  <si>
    <t>Climate Change in Central Asia</t>
  </si>
  <si>
    <t>Rahat Sabyrbekov-Indra Overland-Roman Vakulchuk</t>
  </si>
  <si>
    <t>Flexible Automation and Intelligent Manufacturing: The Human-Data-Technology Nexus</t>
  </si>
  <si>
    <t>Kyoung-Yun Kim-Leslie Monplaisir-Jeremy Rickli</t>
  </si>
  <si>
    <t>Uncertainty in Mechanical Engineering</t>
  </si>
  <si>
    <t>Peter F. Pelz-Peter Groche</t>
  </si>
  <si>
    <t>Advances on Mechanics, Design Engineering and Manufacturing III</t>
  </si>
  <si>
    <t>Lionel Roucoules-Manuel Paredes-Benoit Eynard-Paz Morer Camo-Caterina Rizzi</t>
  </si>
  <si>
    <t>Designing Sustainability for All</t>
  </si>
  <si>
    <t>Carlo Vezzoli-Brenda Garcia Parra-Cindy Kohtala</t>
  </si>
  <si>
    <t>Towards User-Centric Transport in Europe 3</t>
  </si>
  <si>
    <t>Imre Keseru-Annette Randhahn</t>
  </si>
  <si>
    <t>Cold Micro Metal Forming</t>
  </si>
  <si>
    <t>Frank Vollertsen-Sybille Friedrich-Bernd KuhfuÃŸ-Peter MaaÃŸ-Claus Thomy-Hans-Werner Zoch</t>
  </si>
  <si>
    <t>Advances in Production Technology</t>
  </si>
  <si>
    <t>Sustainable Land Management in a European Context</t>
  </si>
  <si>
    <t>Thomas Weith-Tim Barkmann-Nadin Gaasch-Sebastian Rogga-Christian StrauÃŸ-Jana Zscheischler</t>
  </si>
  <si>
    <t>Sequence Analysis and Related Approaches</t>
  </si>
  <si>
    <t>Gilbert Ritschard-Matthias Studer</t>
  </si>
  <si>
    <t>Lone Parenthood in the Life Course</t>
  </si>
  <si>
    <t>Laura Bernardi-Dimitri Mortelmans</t>
  </si>
  <si>
    <t>Handbook of Ocean Wave Energy</t>
  </si>
  <si>
    <t>Arthur Pecher-Jens Peter Kofoed</t>
  </si>
  <si>
    <t>Creativity in Art, Design and Technology</t>
  </si>
  <si>
    <t>Susan Liggett-Rae Earnshaw-Jill Townsley</t>
  </si>
  <si>
    <t>Technology, Design and the Arts - Opportunities and Challenges</t>
  </si>
  <si>
    <t>Rae Earnshaw-Susan Liggett-Peter Excell-Daniel Thalmann</t>
  </si>
  <si>
    <t>Sustainable Manufacturing</t>
  </si>
  <si>
    <t>Rainer Stark-GÃ¼nther Seliger-JÃ©rÃ©my Bonvoisin</t>
  </si>
  <si>
    <t>Innovations in Quantitative Risk Management</t>
  </si>
  <si>
    <t>Kathrin Glau-Matthias Scherer-Rudi Zagst</t>
  </si>
  <si>
    <t>Recent Advances in Industrial and Applied Mathematics</t>
  </si>
  <si>
    <t>TomÃ¡s ChacÃ³n Rebollo-Rosa Donat-Inmaculada Higueras</t>
  </si>
  <si>
    <t>Water and Earthquakes</t>
  </si>
  <si>
    <t>Chi-Yuen Wang-Michael Manga</t>
  </si>
  <si>
    <t>Brexit and the Control of Tobacco Illicit Trade</t>
  </si>
  <si>
    <t>Marina Foltea</t>
  </si>
  <si>
    <t>Public Health Ethics: Cases Spanning the Globe</t>
  </si>
  <si>
    <t>Drue H. Barrett-Leonard W. Ortmann-Angus Dawson-Carla Saenz-Andreas Reis</t>
  </si>
  <si>
    <t>The Geopolitics of the Global Energy Transition</t>
  </si>
  <si>
    <t>Manfred Hafner-Simone Tagliapietra</t>
  </si>
  <si>
    <t>Russia-China Relations</t>
  </si>
  <si>
    <t>Sarah Kirchberger-Svenja Sinjen-Nils WÃ¶rmer</t>
  </si>
  <si>
    <t>AI Ethics in Higher Education: Insights From Africa and Beyond</t>
  </si>
  <si>
    <t>Caitlin C. Corrigan-Simon Atuah Asakipaam-Jerry John Kponyo-Christoph Luetge</t>
  </si>
  <si>
    <t>Implementing Responsible Research and Innovation</t>
  </si>
  <si>
    <t>Christian Wittrock-Ellen-Marie Forsberg-Auke Pols-Philip Macnaghten-David Ludwig</t>
  </si>
  <si>
    <t>An Introduction to Ethics in Robotics and AI</t>
  </si>
  <si>
    <t>Christoph Bartneck-Christoph LÃ¼tge-Alan Wagner-Sean Welsh</t>
  </si>
  <si>
    <t>Sexual and Reproductive Health and Rights in India</t>
  </si>
  <si>
    <t>Saroj Pachauri-Ash Pachauri-Komal Mittal</t>
  </si>
  <si>
    <t>Global Health Collaboration</t>
  </si>
  <si>
    <t>Margaret S. Winchester-Caprice A. Knapp-Rhonda BeLue</t>
  </si>
  <si>
    <t>Themenkarrieren in der Wissenschaft</t>
  </si>
  <si>
    <t>Andreas Gravert</t>
  </si>
  <si>
    <t>Politische Bildung in Aktion</t>
  </si>
  <si>
    <t>Steve Kenner</t>
  </si>
  <si>
    <t>LÃ¤nderbericht zum Deutschen Freiwilligensurvey 2019</t>
  </si>
  <si>
    <t>Everhard Holtmann-Tobias Jaeck-Odette Wohlleben</t>
  </si>
  <si>
    <t>Religion und Sozialkapital in der Schweiz</t>
  </si>
  <si>
    <t>Anastas Odermatt</t>
  </si>
  <si>
    <t>Freiwilliges Engagement in Deutschland</t>
  </si>
  <si>
    <t>Julia Simonson-Nadiya Kelle-Corinna Kausmann-Clemens Tesch-RÃ¶mer</t>
  </si>
  <si>
    <t>Julia Simonson-Claudia Vogel-Clemens Tesch-RÃ¶mer</t>
  </si>
  <si>
    <t>Youth Suicide Prevention and Intervention</t>
  </si>
  <si>
    <t>John P. Ackerman-Lisa M. Horowitz</t>
  </si>
  <si>
    <t>The Evolution of Research on Teaching Mathematics</t>
  </si>
  <si>
    <t>Agida Manizade-Nils Buchholtz-Kim Beswick</t>
  </si>
  <si>
    <t>Freshwater Governance for the 21st Century</t>
  </si>
  <si>
    <t>Eiman Karar</t>
  </si>
  <si>
    <t>Resilient Governance of Urban Redevelopment</t>
  </si>
  <si>
    <t>Bin Li</t>
  </si>
  <si>
    <t>Smart Cities in Asia</t>
  </si>
  <si>
    <t>Thanh Phan-Daniela Damian</t>
  </si>
  <si>
    <t>Contemporary Perspectives on Ageism</t>
  </si>
  <si>
    <t>Liat Ayalon-Clemens Tesch-RÃ¶mer</t>
  </si>
  <si>
    <t>The Fundamental Elements of Strategy</t>
  </si>
  <si>
    <t>Xiu-bao Yu</t>
  </si>
  <si>
    <t>Financing Clean Energy Access in Sub-Saharan Africa</t>
  </si>
  <si>
    <t>Bruno Michoud-Manfred Hafner</t>
  </si>
  <si>
    <t>Renewables for Energy Access and Sustainable Development in East Africa</t>
  </si>
  <si>
    <t>Manfred Hafner-Simone Tagliapietra-Giacomo Falchetta-Giovanni Occhiali</t>
  </si>
  <si>
    <t>Energy in Africa</t>
  </si>
  <si>
    <t>Manfred Hafner-Simone Tagliapietra-Lucia de Strasser</t>
  </si>
  <si>
    <t>Engineering Haptic Devices</t>
  </si>
  <si>
    <t>Thorsten A. Kern-Christian Hatzfeld-Alireza Abbasimoshaei</t>
  </si>
  <si>
    <t>Handbook of Technical and Vocational Teacher Professional Development in the Digital Age</t>
  </si>
  <si>
    <t>Xibin Han-Qian Zhou-Ming Li-Yuping Wang</t>
  </si>
  <si>
    <t>English Medium Instruction As a Local Practice</t>
  </si>
  <si>
    <t>Jinghe Han</t>
  </si>
  <si>
    <t>Open and Distance Education in Asia, Africa and the Middle East</t>
  </si>
  <si>
    <t>Olaf Zawacki-Richter-Adnan Qayyum</t>
  </si>
  <si>
    <t>Sine Cosine Algorithm for Optimization</t>
  </si>
  <si>
    <t>Jagdish Chand Bansal-Prathu Bajpai-Anjali Rawat-Atulya K. Nagar</t>
  </si>
  <si>
    <t>Carlo G. Riva</t>
  </si>
  <si>
    <t>Civil and Environmental Engineering for the Sustainable Development Goals</t>
  </si>
  <si>
    <t>Manuela Antonelli-Gabriele Della Vecchia</t>
  </si>
  <si>
    <t>Luigi Piroddi</t>
  </si>
  <si>
    <t>Data Technology in Materials Modelling</t>
  </si>
  <si>
    <t>Martin Thomas Horsch-Silvia Chiacchiera-Welchy Leite Cavalcanti-BjÃ¶rn Schembera</t>
  </si>
  <si>
    <t>Angelo Geraci</t>
  </si>
  <si>
    <t>Barbara Pernici</t>
  </si>
  <si>
    <t>Handbook on Craniofacial Superimposition</t>
  </si>
  <si>
    <t>Sergio Damas-Oscar CordÃ³n-Oscar IbÃ¡Ã±ez</t>
  </si>
  <si>
    <t>Exploring Resilience</t>
  </si>
  <si>
    <t>Siri Wiig-Babette Fahlbruch</t>
  </si>
  <si>
    <t>Safety Cultures, Safety Models</t>
  </si>
  <si>
    <t>Claude Gilbert-BenoÃ®t JournÃ©-HervÃ© Laroche-Corinne Bieder</t>
  </si>
  <si>
    <t>The Illusion of Risk Control</t>
  </si>
  <si>
    <t>Gilles Motet-Corinne Bieder</t>
  </si>
  <si>
    <t>Objective Information Theory</t>
  </si>
  <si>
    <t>Jianfeng Xu-Shuliang Wang-Zhenyu Liu-Yashi Wang-Yingfei Wang</t>
  </si>
  <si>
    <t>Uncertainty in Engineering</t>
  </si>
  <si>
    <t>Louis J. M. Aslett-Frank P. A. Coolen-Jasper De Bock</t>
  </si>
  <si>
    <t>Innovative Learning Environments in STEM Higher Education</t>
  </si>
  <si>
    <t>Jungwoo Ryoo-Kurt Winkelmann</t>
  </si>
  <si>
    <t>Planning for Ecosystem Services in Cities</t>
  </si>
  <si>
    <t>Davide Geneletti-Chiara Cortinovis-Linda Zardo-Blal Adem Esmail</t>
  </si>
  <si>
    <t>Higher Education Landscape 2030</t>
  </si>
  <si>
    <t>Dominic Orr-Maren Luebcke-J. Philipp Schmidt-Markus Ebner-Klaus Wannemacher</t>
  </si>
  <si>
    <t>Music As Intangible Cultural Heritage</t>
  </si>
  <si>
    <t>Blanca de-Miguel-Molina-Virginia Santamarina-Campos-MarÃ­a de-Miguel-Molina-Rafael Boix-DomÃ©nech</t>
  </si>
  <si>
    <t>Glocal Governance</t>
  </si>
  <si>
    <t>Anja Mihr</t>
  </si>
  <si>
    <t>Liberal Democracy</t>
  </si>
  <si>
    <t>Max Meyer</t>
  </si>
  <si>
    <t>New Metropolitan Perspectives</t>
  </si>
  <si>
    <t>Carmelina Bevilacqua-Francesco CalabrÃ²-Lucia Della Spina</t>
  </si>
  <si>
    <t>Dependable Embedded Systems</t>
  </si>
  <si>
    <t>JÃ¶rg Henkel-Nikil Dutt</t>
  </si>
  <si>
    <t>Public Actors in International Investment Law</t>
  </si>
  <si>
    <t>Catharine Titi</t>
  </si>
  <si>
    <t>Investor-State Dispute Settlement and National Courts</t>
  </si>
  <si>
    <t>Gabrielle Kaufmann-Kohler-Michele PotestÃ </t>
  </si>
  <si>
    <t>From Bilateral Arbitral Tribunals and Investment Courts to a Multilateral Investment Court</t>
  </si>
  <si>
    <t>Marc Bungenberg-August Reinisch</t>
  </si>
  <si>
    <t>Structural Health Monitoring Damage Detection Systems for Aerospace</t>
  </si>
  <si>
    <t>Markus G. R. Sause-Elena JasiÅ«nienÄ—</t>
  </si>
  <si>
    <t>Social Innovation in Higher Education</t>
  </si>
  <si>
    <t>Carmen PÄƒunescu-Katri-Liis Lepik-Nicholas Spencer</t>
  </si>
  <si>
    <t>Methodology for Research with Early Childhood Education and Care Professionals</t>
  </si>
  <si>
    <t>Cecilia Wallerstedt-Eva Brooks-Elin Eriksen Ã˜degaard-Niklas Pramling</t>
  </si>
  <si>
    <t>Play-Responsive Teaching in Early Childhood Education</t>
  </si>
  <si>
    <t>Niklas Pramling-Cecilia Wallerstedt-Pernilla LagerlÃ¶f-Camilla BjÃ¶rklund-Anne Kultti</t>
  </si>
  <si>
    <t>Robotic Surgery of Colon and Rectum</t>
  </si>
  <si>
    <t>MEDICAL / Surgery / Colon &amp; Rectal</t>
  </si>
  <si>
    <t>Graziano Ceccarelli-Andrea Coratti</t>
  </si>
  <si>
    <t>Thyroid Surgery</t>
  </si>
  <si>
    <t>Mario Testini-Angela Gurrado</t>
  </si>
  <si>
    <t>Hepatocellular Carcinoma</t>
  </si>
  <si>
    <t>Giuseppe Maria Ettorre</t>
  </si>
  <si>
    <t>Knowledge and Civil Society</t>
  </si>
  <si>
    <t>Johannes GlÃ¼ckler-Heinz-Dieter Meyer-Laura Suarsana</t>
  </si>
  <si>
    <t>Knowledge for Governance</t>
  </si>
  <si>
    <t>Johannes GlÃ¼ckler-Gary Herrigel-Michael Handke</t>
  </si>
  <si>
    <t>Knowledge and Networks</t>
  </si>
  <si>
    <t>Johannes GlÃ¼ckler-Emmanuel Lazega-Ingmar Hammer</t>
  </si>
  <si>
    <t>Knowledge and Action</t>
  </si>
  <si>
    <t>Peter Meusburger-Benno Werlen-Laura Suarsana</t>
  </si>
  <si>
    <t>Recommender Systems: Legal and Ethical Issues</t>
  </si>
  <si>
    <t>Sergio Genovesi-Katharina Kaesling-Scott Robbins</t>
  </si>
  <si>
    <t>The Ethics of Cybersecurity</t>
  </si>
  <si>
    <t>Markus Christen-Bert Gordijn-Michele Loi</t>
  </si>
  <si>
    <t>Adriano Bisello-Daniele Vettorato-David Ludlow-Claudia Baranzelli</t>
  </si>
  <si>
    <t>Biological Invasions in South Africa</t>
  </si>
  <si>
    <t>Brian W. van Wilgen-John Measey-David M. Richardson-John R. Wilson-Tsungai A. Zengeya</t>
  </si>
  <si>
    <t>Taxation, International Cooperation and the 2030 Sustainable Development Agenda</t>
  </si>
  <si>
    <t>Irma Johanna Mosquera Valderrama-Dries Lesage-Wouter Lips</t>
  </si>
  <si>
    <t>Artificial Intelligence and Cognitive Science</t>
  </si>
  <si>
    <t>Luca Longo-Ruairi Oâ€™Reilly</t>
  </si>
  <si>
    <t>Silicon Valley Cybersecurity Conference</t>
  </si>
  <si>
    <t>Luis Bathen-Gokay Saldamli-Xiaoyan Sun-Thomas H. Austin-Alex J. Nelson</t>
  </si>
  <si>
    <t>Cyber Security</t>
  </si>
  <si>
    <t>Wei Lu-Yuqing Zhang-Weiping Wen-Hanbing Yan-Chao Li</t>
  </si>
  <si>
    <t>Nordic Artificial Intelligence Research and Development</t>
  </si>
  <si>
    <t>Evi Zouganeli-Anis Yazidi-Gustavo Mello-Pedro Lind</t>
  </si>
  <si>
    <t>Security in Computer and Information Sciences</t>
  </si>
  <si>
    <t>Erol Gelenbe-Marija Jankovic-Dionysios Kehagias-Anna Marton-Andras Vilmos</t>
  </si>
  <si>
    <t>Wei Lu-Qiaoyan Wen-Yuqing Zhang-Bo Lang-Weiping Wen</t>
  </si>
  <si>
    <t>Xiaochun Yun-Weiping Wen-Bo Lang-Hanbing Yan-Li Ding</t>
  </si>
  <si>
    <t>Erol Gelenbe-Paolo Campegiani-Tadeusz CzachÃ³rski-Sokratis K. Katsikas-Ioannis Komnios</t>
  </si>
  <si>
    <t>Computer and Information Sciences</t>
  </si>
  <si>
    <t>Tadeusz CzachÃ³rski-Erol Gelenbe-Krzysztof Grochla-Ricardo Lent</t>
  </si>
  <si>
    <t>Viktoria Stray-Klaas-Jan Stol-Maria Paasivaara-Philippe Kruchten</t>
  </si>
  <si>
    <t>Jorge Munoz-Gama-Xixi Lu</t>
  </si>
  <si>
    <t>Peggy Gregory-Philippe Kruchten</t>
  </si>
  <si>
    <t>Peggy Gregory-Casper Lassenius-Xiaofeng Wang-Philippe Kruchten</t>
  </si>
  <si>
    <t>Viktoria Stray-Rashina Hoda-Maria Paasivaara-Philippe Kruchten</t>
  </si>
  <si>
    <t>Rashina Hoda</t>
  </si>
  <si>
    <t>Philippe Kruchten-Steven Fraser-FranÃ§ois Coallier</t>
  </si>
  <si>
    <t>Juan Garbajosa-Xiaofeng Wang-Ademar Aguiar</t>
  </si>
  <si>
    <t>Hubert Baumeister-Horst Lichter-Matthias Riebisch</t>
  </si>
  <si>
    <t>Agile Processes, in Software Engineering, and Extreme Programming</t>
  </si>
  <si>
    <t>Helen Sharp-Tracy Hall</t>
  </si>
  <si>
    <t>Proceeding of 2021 International Conference on Wireless Communications, Networking and Applications</t>
  </si>
  <si>
    <t>Zhihong Qian-M.A. Jabbar-Xiaolong Li</t>
  </si>
  <si>
    <t>North Sea Region Climate Change Assessment</t>
  </si>
  <si>
    <t>Markus Quante-Franciscus Colijn</t>
  </si>
  <si>
    <t>Second Assessment of Climate Change for the Baltic Sea Basin</t>
  </si>
  <si>
    <t>The BACC II Author Team</t>
  </si>
  <si>
    <t>Poverty Reduction Policies and Practices in Developing Asia</t>
  </si>
  <si>
    <t>Almas Heshmati-Esfandiar Maasoumi-Guanghua Wan</t>
  </si>
  <si>
    <t>Infrastructure and Economic Growth in Asia</t>
  </si>
  <si>
    <t>John Cockburn-Yazid Dissou-Jean-Yves Duclos-Luca Tiberti</t>
  </si>
  <si>
    <t>Counter-Terrorism, Ethics and Technology</t>
  </si>
  <si>
    <t>Adam Henschke-Alastair Reed-Scott Robbins-Seumas Miller</t>
  </si>
  <si>
    <t>The Pandemic of Argumentation</t>
  </si>
  <si>
    <t>Steve Oswald-Marcin LewiÅ„ski-Sara Greco-Serena Villata</t>
  </si>
  <si>
    <t>Boundary Value Problems, Weyl Functions, and Differential Operators</t>
  </si>
  <si>
    <t>Jussi Behrndt-Seppo Hassi-Henk de Snoo</t>
  </si>
  <si>
    <t>Perspectives on European Earthquake Engineering and Seismology</t>
  </si>
  <si>
    <t>Volume 2</t>
  </si>
  <si>
    <t>Atilla Ansal</t>
  </si>
  <si>
    <t>Volume 1</t>
  </si>
  <si>
    <t>Weakly Nonlinear Systems</t>
  </si>
  <si>
    <t>Federico Beffa</t>
  </si>
  <si>
    <t>Metalearning</t>
  </si>
  <si>
    <t>Pavel Brazdil-Jan N. van Rijn-Carlos Soares-Joaquin Vanschoren</t>
  </si>
  <si>
    <t>Genome Editing in Neurosciences</t>
  </si>
  <si>
    <t>Rudolf Jaenisch-Feng Zhang-Fred Gage</t>
  </si>
  <si>
    <t>KÃ¼nstliche Intelligenz in der Forschung</t>
  </si>
  <si>
    <t>Carl Friedrich Gethmann-Peter Buxmann-Julia Distelrath-Bernhard G. Humm-Stephan Lingner</t>
  </si>
  <si>
    <t>Advances in Proof-Theoretic Semantics</t>
  </si>
  <si>
    <t>Thomas Piecha-Peter Schroeder-Heister</t>
  </si>
  <si>
    <t>Proceedings of the 23rd Pacific Basin Nuclear Conference, Volume 1</t>
  </si>
  <si>
    <t>Chengmin Liu</t>
  </si>
  <si>
    <t>Magnetism and Accelerator-Based Light Sources</t>
  </si>
  <si>
    <t>HervÃ© Bulou-LoÃ¯c Joly-Jean-Michel Mariot-Fabrice Scheurer</t>
  </si>
  <si>
    <t>International Cooperation for Enhancing Nuclear Safety, Security, Safeguards and Non-proliferation</t>
  </si>
  <si>
    <t>Luciano Maiani-Raymond Jeanloz-Micah Lowenthal-Wolfango Plastino</t>
  </si>
  <si>
    <t>International Cooperation for Enhancing Nuclear Safety, Security, Safeguards and Non-proliferationâ€“60 Years of IAEA and EURATOM</t>
  </si>
  <si>
    <t>Luciano Maiani-Said Abousahl-Wolfango Plastino</t>
  </si>
  <si>
    <t>The Politics of Diversity in Music Education</t>
  </si>
  <si>
    <t>Alexis Anja Kallio-Heidi Westerlund-Sidsel Karlsen-Kathryn Marsh-Eva SÃ¦ther</t>
  </si>
  <si>
    <t>Visions for Intercultural Music Teacher Education</t>
  </si>
  <si>
    <t>Heidi Westerlund-Sidsel Karlsen-Heidi Partti</t>
  </si>
  <si>
    <t>Multimedia Forensics</t>
  </si>
  <si>
    <t>Husrev Taha Sencar-Luisa Verdoliva-Nasir Memon</t>
  </si>
  <si>
    <t>Handbook of Vascular Biometrics</t>
  </si>
  <si>
    <t>Andreas Uhl-Christoph Busch-SÃ©bastien Marcel-Raymond Veldhuis</t>
  </si>
  <si>
    <t>Safety for Particle Accelerators</t>
  </si>
  <si>
    <t>Thomas Otto</t>
  </si>
  <si>
    <t>Error-Correction Coding and Decoding</t>
  </si>
  <si>
    <t>Martin Tomlinson-Cen Jung Tjhai-Marcel A. Ambroze-Mohammed Ahmed-Mubarak Jibril</t>
  </si>
  <si>
    <t>Quantization on Nilpotent Lie Groups</t>
  </si>
  <si>
    <t>Veronique Fischer-Michael Ruzhansky</t>
  </si>
  <si>
    <t>High Density Lipoproteins</t>
  </si>
  <si>
    <t>Arnold von Eckardstein-Dimitris Kardassis</t>
  </si>
  <si>
    <t>Environmental Governance in Indonesia</t>
  </si>
  <si>
    <t>Annisa Triyanti-Mochamad Indrawan-Laely Nurhidayah-Muh Aris Marfai</t>
  </si>
  <si>
    <t>Pflege-Report 2023</t>
  </si>
  <si>
    <t>A Practical Guide for Pediatric Nuclear Medicine</t>
  </si>
  <si>
    <t>Zvi Bar-Sever-Francesco Giammarile-Ora Israel-Helen Nadel</t>
  </si>
  <si>
    <t>Digital Writing Technologies in Higher Education</t>
  </si>
  <si>
    <t>Otto Kruse-Christian Rapp-Chris M. Anson-Kalliopi Benetos-Elena Cotos</t>
  </si>
  <si>
    <t>Integrated Diagnostics and Theranostics of Thyroid Diseases</t>
  </si>
  <si>
    <t>Luca Giovanella</t>
  </si>
  <si>
    <t>First-in-Family Students, University Experience and Family Life</t>
  </si>
  <si>
    <t>Sarah O'Shea-Josephine May-Cathy Stone-Janine Delahunty</t>
  </si>
  <si>
    <t>Generalized Linear Mixed Models with Applications in Agriculture and Biology</t>
  </si>
  <si>
    <t>Josafhat Salinas RuÃ­z-Osval Antonio Montesinos LÃ³pez-Gabriela HernÃ¡ndez RamÃ­rez-Jose Crossa Hiriart</t>
  </si>
  <si>
    <t>Wheat Evolution and Domestication</t>
  </si>
  <si>
    <t>Moshe Feldman-Avraham A. Levy</t>
  </si>
  <si>
    <t>South China Sea Seeps</t>
  </si>
  <si>
    <t>Duofu Chen-Dong Feng</t>
  </si>
  <si>
    <t>Krankenhaus-Report 2023</t>
  </si>
  <si>
    <t>JÃ¼rgen Klauber-JÃ¼rgen Wasem-Andreas Beivers-Carina Mostert</t>
  </si>
  <si>
    <t>GrundsÃ¤tze ordnungsmÃ¤ÃŸiger Bilanzierung von Kundenbeziehungen nach GoB im Vergleich zu IFRS</t>
  </si>
  <si>
    <t>Jana Katharina MÃ¼ller</t>
  </si>
  <si>
    <t>Sisters of the Brotherhood: Alienation and Inclusion in Learning Philosophy</t>
  </si>
  <si>
    <t>Erika Ruonakoski</t>
  </si>
  <si>
    <t>The Fate of Political Scientists in Europe</t>
  </si>
  <si>
    <t>Giliberto Capano-Luca Verzichelli</t>
  </si>
  <si>
    <t>Business Transitions: A Path to Sustainability</t>
  </si>
  <si>
    <t>Annik Magerholm Fet</t>
  </si>
  <si>
    <t>Transformation und Emanzipation</t>
  </si>
  <si>
    <t>Jupp Legrand-Benedikt Linden-Hans-JÃ¼rgen Arlt</t>
  </si>
  <si>
    <t>East-West Dialogue</t>
  </si>
  <si>
    <t>Lujun Chen-Karl-Heinz Pohl-Di Deng-Jiaxin Meng-Lin Wang</t>
  </si>
  <si>
    <t>IntegritÃ¤t im Managementalltag</t>
  </si>
  <si>
    <t>Patrick S. Renz-Bruno Frischherz-Irena Wettstein</t>
  </si>
  <si>
    <t>Niederlassungen fÃ¼hren</t>
  </si>
  <si>
    <t>Patrick Renz-Nikola BÃ¶hrer-Marc K. Peter</t>
  </si>
  <si>
    <t>Artificial Intelligence Oceanography</t>
  </si>
  <si>
    <t>Xiaofeng Li-Fan Wang</t>
  </si>
  <si>
    <t>Infektionen und Gesellschaft</t>
  </si>
  <si>
    <t>Ansgar W. Lohse-Thomas C. Mettenleiter</t>
  </si>
  <si>
    <t>Hybrid Intelligence</t>
  </si>
  <si>
    <t>Philip F. Yuan-Hua Chai-Chao Yan-Keke Li-Tongyue Sun</t>
  </si>
  <si>
    <t>Arzneimittel-Kompass 2022</t>
  </si>
  <si>
    <t>Helmut SchrÃ¶der-Petra ThÃ¼rmann-Carsten Telschow-Melanie SchrÃ¶der-Reinhard Busse</t>
  </si>
  <si>
    <t>China-US Competition</t>
  </si>
  <si>
    <t>Simona A. Grano-David Wei Feng Huang</t>
  </si>
  <si>
    <t>Transformation Thermotics and Extended Theories</t>
  </si>
  <si>
    <t>SCIENCE / Physics / Optics &amp; Light</t>
  </si>
  <si>
    <t>Liu-Jun Xu-Ji-Ping Huang</t>
  </si>
  <si>
    <t>Advancing the Science of Cancer in Latinos</t>
  </si>
  <si>
    <t>Amelie G. Ramirez-Edward J. Trapido</t>
  </si>
  <si>
    <t>Design for Electromagnetic Compatibility--In a Nutshell</t>
  </si>
  <si>
    <t>Reto B. Keller</t>
  </si>
  <si>
    <t>Data for Social Good</t>
  </si>
  <si>
    <t>Jane Farmer-Anthony McCosker-Kath Albury-Amir Aryani</t>
  </si>
  <si>
    <t>Annual Report on the Big Data of New Energy Vehicle in China (2021)</t>
  </si>
  <si>
    <t>Zhenpo Wang</t>
  </si>
  <si>
    <t>Novel Foods and Edible Insects in the European Union</t>
  </si>
  <si>
    <t>Lucia Scaffardi-Giulia Formici</t>
  </si>
  <si>
    <t>ElektromobilitÃ¤t</t>
  </si>
  <si>
    <t>Achim Kampker-Heiner Hans Heimes</t>
  </si>
  <si>
    <t>Julian Nida-RÃ¼melin-Nathalie Weidenfeld</t>
  </si>
  <si>
    <t>Persistent Organic Pollutants in Human Milk</t>
  </si>
  <si>
    <t>Rainer Malisch-Peter FÃ¼rst-KateÅ™ina Å ebkovÃ¡</t>
  </si>
  <si>
    <t>Evidenzbasiertes Wildtiermanagement</t>
  </si>
  <si>
    <t>Christian C. Voigt</t>
  </si>
  <si>
    <t>Informal Livelihoods and Governance in South Africa</t>
  </si>
  <si>
    <t>Zaheera Jinnah</t>
  </si>
  <si>
    <t>Constitutional Change in the European Union</t>
  </si>
  <si>
    <t>Andrew Duff</t>
  </si>
  <si>
    <t>Annals of Scientific Society for Assembly, Handling and Industrial Robotics 2022</t>
  </si>
  <si>
    <t>Thorsten SchÃ¼ppstuhl-Kirsten Tracht-JÃ¼rgen Fleischer</t>
  </si>
  <si>
    <t>Consumer Decision Neuroscience</t>
  </si>
  <si>
    <t>Nadine R. Gier</t>
  </si>
  <si>
    <t>Agriculture for Economic Development in Africa</t>
  </si>
  <si>
    <t>Emelie Rohne Till</t>
  </si>
  <si>
    <t>Digital Transformation in Norwegian Enterprises</t>
  </si>
  <si>
    <t>Patrick Mikalef-Elena Parmiggiani</t>
  </si>
  <si>
    <t>Public Policy and Research in Africa</t>
  </si>
  <si>
    <t>E. Remi Aiyede-Beatrice Muganda</t>
  </si>
  <si>
    <t>Axial Spondyloarthritis: Patient-Reported Impact in Europe</t>
  </si>
  <si>
    <t>Marco Garrido-Cumbrera-Victoria Navarro-CompÃ¡n-Christine Bundy-Raj Mahapatra-Souzi Makri</t>
  </si>
  <si>
    <t>Personalentwicklung in Schulen als FÃ¼hrungsaufgabe</t>
  </si>
  <si>
    <t>Felicitas Thiel-Claudia Manuela Schewe-Barbara Muslic-Eva-Maria Lankes-Norbert Maritzen</t>
  </si>
  <si>
    <t>The Forum of Federations Handbook of Fiscal Federalism</t>
  </si>
  <si>
    <t>Jean-FranÃ§ois Tremblay</t>
  </si>
  <si>
    <t>Soziale Netzwerke und politische Partizipation</t>
  </si>
  <si>
    <t>Stefanie LÃ¼tters</t>
  </si>
  <si>
    <t>Information and Communication Technologies in Tourism 2022</t>
  </si>
  <si>
    <t>Jason L. Stienmetz-Berta Ferrer-Rosell-David Massimo</t>
  </si>
  <si>
    <t>Assessment of Cancer Screening</t>
  </si>
  <si>
    <t>Pamela M. Marcus</t>
  </si>
  <si>
    <t>Big Data and Artificial Intelligence in Digital Finance</t>
  </si>
  <si>
    <t>John Soldatos-Dimosthenis Kyriazis</t>
  </si>
  <si>
    <t>Higher Education in Romania: Overcoming Challenges and Embracing Opportunities</t>
  </si>
  <si>
    <t>Adrian Curaj-Jamil Salmi-Cezar Mihai HÃ¢j</t>
  </si>
  <si>
    <t>Revisualising Intersectionality</t>
  </si>
  <si>
    <t>Elahe Haschemi Yekani-Magdalena Nowicka-Tiara Roxanne</t>
  </si>
  <si>
    <t>Krankenhaus-Report 2022</t>
  </si>
  <si>
    <t>Digitalisierung souverÃ¤n gestalten II</t>
  </si>
  <si>
    <t>Ernst A. Hartmann</t>
  </si>
  <si>
    <t>Value Sets for EQ-5D-5L</t>
  </si>
  <si>
    <t>Nancy Devlin-Bram Roudijk-Kristina Ludwig</t>
  </si>
  <si>
    <t>Sexualisierte Gewalt und digitale Medien</t>
  </si>
  <si>
    <t>Frederic Vobbe-Katharina KÃ¤rgel</t>
  </si>
  <si>
    <t>Dynamics in Logistics</t>
  </si>
  <si>
    <t>Michael Freitag-Herbert Kotzab-Nicole Megow</t>
  </si>
  <si>
    <t>Biodiversity-Health-Sustainability Nexus in Socio-Ecological Production Landscapes and Seascapes (SEPLS)</t>
  </si>
  <si>
    <t>Maiko Nishi-Suneetha M. Subramanian-Himangana Gupta</t>
  </si>
  <si>
    <t>A Guide to Sustainable Corporate Responsibility</t>
  </si>
  <si>
    <t>Caroline D. Ditlev-Simonsen</t>
  </si>
  <si>
    <t>The Palgrave Handbook of International Energy Economics</t>
  </si>
  <si>
    <t>Manfred Hafner-Giacomo Luciani</t>
  </si>
  <si>
    <t>Proceedings of the 2021 DigitalFUTURES</t>
  </si>
  <si>
    <t>Philip F. Yuan-Hua Chai-Chao Yan-Neil Leach</t>
  </si>
  <si>
    <t>Human Flourishing</t>
  </si>
  <si>
    <t>Mireia Las Heras-Marc Grau Grau-Yasin Rofcanin</t>
  </si>
  <si>
    <t>Green Consensus and High Quality Development</t>
  </si>
  <si>
    <t>The Comprehensive Cancer Center</t>
  </si>
  <si>
    <t>MEDICAL / Internal Medicine</t>
  </si>
  <si>
    <t>Mahmoud Aljurf-Navneet S. Majhail-Mickey B.C. Koh-Mohamed A. Kharfan-Dabaja-Nelson J. Chao</t>
  </si>
  <si>
    <t>Land Tenure Security and Sustainable Development</t>
  </si>
  <si>
    <t>Margaret B. Holland-Yuta J. Masuda-Brian E. Robinson</t>
  </si>
  <si>
    <t>Swiss Energy Governance</t>
  </si>
  <si>
    <t>Peter Hettich-Aya Kachi</t>
  </si>
  <si>
    <t>Creating Resilient Futures</t>
  </si>
  <si>
    <t>Stephen Flood-Yairen Jerez ColumbiÃ©-Martin Le Tissier-Barry O'Dwyer</t>
  </si>
  <si>
    <t>Entrepreneurial Strategy</t>
  </si>
  <si>
    <t>Dean A. Shepherd-Holger Patzelt</t>
  </si>
  <si>
    <t>International Experience in Developing the Financial Resources of Universities</t>
  </si>
  <si>
    <t>Abdulrahman Obaid AI-Youbi-Adnan Hamza Mohammad Zahed-Abdullah Atalar</t>
  </si>
  <si>
    <t>Towards a Digital Epistemology</t>
  </si>
  <si>
    <t>Jonas Ingvarsson</t>
  </si>
  <si>
    <t>Technologies and Applications for Big Data Value</t>
  </si>
  <si>
    <t>Edward Curry-SÃ¶ren Auer-Arne J. Berre-Andreas Metzger-Maria S. Perez</t>
  </si>
  <si>
    <t>Towards a Sustainable Future - Life Cycle Management</t>
  </si>
  <si>
    <t>Zbigniew Stanislaw Klos-Joanna Kalkowska-JÄ™drzej Kasprzak</t>
  </si>
  <si>
    <t>Smart Cities</t>
  </si>
  <si>
    <t>Fateh BelaÃ¯d-Anvita Arora</t>
  </si>
  <si>
    <t>Saving and Investment in the Twenty-First Century</t>
  </si>
  <si>
    <t>Carl Christian von WeizsÃ¤cker-Hagen M. KrÃ¤mer</t>
  </si>
  <si>
    <t>Annals of Scientific Society for Assembly, Handling and Industrial Robotics 2021</t>
  </si>
  <si>
    <t>Thorsten SchÃ¼ppstuhl-Kirsten Tracht-Annika Raatz</t>
  </si>
  <si>
    <t>Dialogue for Intercultural Understanding</t>
  </si>
  <si>
    <t>Fiona Maine-Maria Vrikki</t>
  </si>
  <si>
    <t>Pflege-Report 2021</t>
  </si>
  <si>
    <t>Intercultural Approaches to Education</t>
  </si>
  <si>
    <t>Abdeljalil Akkari-Myriam Radhouane</t>
  </si>
  <si>
    <t>Understanding the Creeping Crisis</t>
  </si>
  <si>
    <t>Arjen Boin-Magnus Ekengren-Mark Rhinard</t>
  </si>
  <si>
    <t>Implementing Industry 4.0 in SMEs</t>
  </si>
  <si>
    <t>Dominik T. Matt-VladimÃ­r ModrÃ¡k-Helmut Zsifkovits</t>
  </si>
  <si>
    <t>Climate Change and Community Resilience</t>
  </si>
  <si>
    <t>A. K. Enamul Haque-Pranab Mukhopadhyay-Mani Nepal-Md Rumi Shammin</t>
  </si>
  <si>
    <t>China and the World in a Changing Context</t>
  </si>
  <si>
    <t>Huiyao Wang-Lu Miao</t>
  </si>
  <si>
    <t>The Asian 21st Century</t>
  </si>
  <si>
    <t>Kishore Mahbubani</t>
  </si>
  <si>
    <t>Sustainable Energy Access for Communities</t>
  </si>
  <si>
    <t>Aminata Fall-Reinhard Haas</t>
  </si>
  <si>
    <t>Academic Integrity in Canada</t>
  </si>
  <si>
    <t>Sarah Elaine Eaton-Julia Christensen Hughes</t>
  </si>
  <si>
    <t>Data Science for Economics and Finance</t>
  </si>
  <si>
    <t>Sergio Consoli-Diego Reforgiato Recupero-Michaela Saisana</t>
  </si>
  <si>
    <t>Rice Improvement</t>
  </si>
  <si>
    <t>Jauhar Ali-Shabir Hussain Wani</t>
  </si>
  <si>
    <t>Information and Communication Technologies in Tourism 2021</t>
  </si>
  <si>
    <t>Wolfgang WÃ¶rndl-Chulmo Koo-Jason L. Stienmetz</t>
  </si>
  <si>
    <t>Das Protokoll</t>
  </si>
  <si>
    <t>Peter Plener-Niels Werber-Burkhardt Wolf</t>
  </si>
  <si>
    <t>The Palgrave Handbook of Positive Education</t>
  </si>
  <si>
    <t>Margaret L. Kern-Michael L. Wehmeyer</t>
  </si>
  <si>
    <t>A Guide to Additive Manufacturing</t>
  </si>
  <si>
    <t>Damir Godec-Joamin Gonzalez-Gutierrez-Axel Nordin-Eujin Pei-Julia UreÃ±a AlcÃ¡zar</t>
  </si>
  <si>
    <t>Proceedings of the 2020 DigitalFUTURES</t>
  </si>
  <si>
    <t>Philip F. Yuan-Jiawei Yao-Chao Yan-Xiang Wang-Neil Leach</t>
  </si>
  <si>
    <t>Swiss Democracy</t>
  </si>
  <si>
    <t>Wolf Linder-Sean Mueller</t>
  </si>
  <si>
    <t>Jan B. Vermorken-Volker Budach-C. RenÃ© Leemans-Jean-Pascal Machiels-Piero Nicolai</t>
  </si>
  <si>
    <t>Ã–ffentliche MobilitÃ¤t</t>
  </si>
  <si>
    <t>Oliver Schwedes</t>
  </si>
  <si>
    <t>Model-Based Engineering of Collaborative Embedded Systems</t>
  </si>
  <si>
    <t>Wolfgang BÃ¶hm-Manfred Broy-Cornel Klein-Klaus Pohl-Bernhard Rumpe</t>
  </si>
  <si>
    <t>Connecting Mathematics and Mathematics Education</t>
  </si>
  <si>
    <t>Erich Christian Wittmann</t>
  </si>
  <si>
    <t>Soziale Arbeit und Sucht</t>
  </si>
  <si>
    <t>Marcel Krebs-Roger MÃ¤der-Tanya Mezzera</t>
  </si>
  <si>
    <t>Agroecology Now!</t>
  </si>
  <si>
    <t>Colin Ray Anderson-Janneke Bruil-M. Jahi Chappell-Csilla Kiss-Michel Patrick Pimbert</t>
  </si>
  <si>
    <t>Education Policies in the 21st Century</t>
  </si>
  <si>
    <t>Educational Theory in the 21st Century</t>
  </si>
  <si>
    <t>Yusuf AlpaydÄ±n-Cihad Demirli</t>
  </si>
  <si>
    <t>Skills in Rheumatology</t>
  </si>
  <si>
    <t>Hani Almoallim-Mohamed Cheikh</t>
  </si>
  <si>
    <t>Rhetoriken zwischen Recht und Literatur</t>
  </si>
  <si>
    <t>Martina Wagner-Egelhaaf-Stefan Arnold-Marcus Schnetter-Gesine Heger</t>
  </si>
  <si>
    <t>The Science of Citizen Science</t>
  </si>
  <si>
    <t>Katrin Vohland-Anne Land-zandstra-Luigi Ceccaroni-Rob Lemmens-Josep PerellÃ³</t>
  </si>
  <si>
    <t>Climate Risk in Africa</t>
  </si>
  <si>
    <t>Declan Conway-Katharine Vincent</t>
  </si>
  <si>
    <t>Forschendes Lernen</t>
  </si>
  <si>
    <t>Carmen Wulf-Susanne Haberstroh-Maren Petersen</t>
  </si>
  <si>
    <t>European Higher Education Area: Challenges for a New Decade</t>
  </si>
  <si>
    <t>Digital Transformation of Learning Organizations</t>
  </si>
  <si>
    <t>Dirk Ifenthaler-Sandra Hofhues-Marc Egloffstein-Christian Helbig</t>
  </si>
  <si>
    <t>Physical Disability and Sexuality</t>
  </si>
  <si>
    <t>Xanthe Hunt-Stine Hellum Braathen-Mussa Chiwaula-Mark T. Carew-Poul Rohleder</t>
  </si>
  <si>
    <t>International Labour Organization and Global Social Governance</t>
  </si>
  <si>
    <t>Tarja Halonen-Ulla Liukkunen</t>
  </si>
  <si>
    <t>The Palgrave Handbook of Family Policy</t>
  </si>
  <si>
    <t>Rense Nieuwenhuis-Wim Van Lancker</t>
  </si>
  <si>
    <t>Minimally Invasive Glaucoma Surgery</t>
  </si>
  <si>
    <t>Chelvin C. A. Sng-Keith Barton</t>
  </si>
  <si>
    <t>Representation Learning for Natural Language Processing</t>
  </si>
  <si>
    <t>COMPUTERS / Speech &amp; Audio Processing</t>
  </si>
  <si>
    <t>Zhiyuan Liu-Yankai Lin-Maosong Sun</t>
  </si>
  <si>
    <t>Sociological Debates on Gestational Surrogacy</t>
  </si>
  <si>
    <t>Daniela Bandelli</t>
  </si>
  <si>
    <t>Evidence-based Positron Emission Tomography</t>
  </si>
  <si>
    <t>Giorgio Treglia-Luca Giovanella</t>
  </si>
  <si>
    <t>A Journey of Embedded and Cyber-Physical Systems</t>
  </si>
  <si>
    <t>Jian-Jia Chen</t>
  </si>
  <si>
    <t>Historical and Multidisciplinary Perspectives on Hope</t>
  </si>
  <si>
    <t>Steven C. van den Heuvel</t>
  </si>
  <si>
    <t>Ecosystem-Based Management, Ecosystem Services and Aquatic Biodiversity</t>
  </si>
  <si>
    <t>Timothy G. Oâ€™Higgins-Manuel Lago-Theodore H. DeWitt</t>
  </si>
  <si>
    <t>Tourismus und Klimawandel</t>
  </si>
  <si>
    <t>Ulrike PrÃ¶bstl-Haider-Dagmar Lund-Durlacher-Marc Olefs-Franz Prettenthaler</t>
  </si>
  <si>
    <t>Abdeljalil Akkari-Kathrine Maleq</t>
  </si>
  <si>
    <t>The Palgrave Handbook of Digital Russia Studies</t>
  </si>
  <si>
    <t>Daria Gritsenko-MariÃ«lle Wijermars-Mikhail Kopotev</t>
  </si>
  <si>
    <t>Society 5.0</t>
  </si>
  <si>
    <t>Migration, Displacement, and Higher Education</t>
  </si>
  <si>
    <t>Brittany Murray-Matthew Brill-Carlat-Maria HÃ¶hn</t>
  </si>
  <si>
    <t>The Pangenome</t>
  </si>
  <si>
    <t>HervÃ© Tettelin-Duccio Medini</t>
  </si>
  <si>
    <t>Diversity and Inclusion in Global Higher Education</t>
  </si>
  <si>
    <t>Catherine Shea Sanger-Nancy W. Gleason</t>
  </si>
  <si>
    <t>Advances in Pharma Business Management and Research</t>
  </si>
  <si>
    <t>Lars Schweizer-Theodor Dingermann-Otto Quintus Russe-Christian Jansen</t>
  </si>
  <si>
    <t>Proceedings of the Second International Forum on Financial Mathematics and Financial Technology</t>
  </si>
  <si>
    <t>Zhiyong Zheng</t>
  </si>
  <si>
    <t>Molecular Mechanism of Congenital Heart Disease and Pulmonary Hypertension</t>
  </si>
  <si>
    <t>Toshio Nakanishi-H. Scott Baldwin-Jeffrey R. Fineman-Hiroyuki Yamagishi</t>
  </si>
  <si>
    <t>Building the Inclusive City</t>
  </si>
  <si>
    <t>Ã–ffentliche Verwaltung â€“ Verwaltung in der Ã–ffentlichkeit</t>
  </si>
  <si>
    <t>Klaus Kocks-Susanne Knorre-Jan Niklas Kocks</t>
  </si>
  <si>
    <t>Understanding Chinaâ€™s School Leadership</t>
  </si>
  <si>
    <t>Daming Feng</t>
  </si>
  <si>
    <t>The Palgrave Handbook of Critical Menstruation Studies</t>
  </si>
  <si>
    <t>Chris Bobel-Inga T. Winkler-Breanne Fahs-Katie Ann Hasson-Elizabeth Arveda Kissling-Tomi-Ann Roberts</t>
  </si>
  <si>
    <t>StoÃŸprobleme in Physik, Technik und Medizin</t>
  </si>
  <si>
    <t>Emanuel Willert</t>
  </si>
  <si>
    <t>Data-Driven Fault Detection and Reasoning for Industrial Monitoring</t>
  </si>
  <si>
    <t>Jing Wang-Jinglin Zhou-Xiaolu Chen</t>
  </si>
  <si>
    <t>P5 EHealth: An Agenda for the Health Technologies of the Future</t>
  </si>
  <si>
    <t>Gabriella Pravettoni-Stefano Triberti</t>
  </si>
  <si>
    <t>Italienisches, europÃ¤isches und internationales ImmaterialgÃ¼terrecht</t>
  </si>
  <si>
    <t>A City in Blue and Green</t>
  </si>
  <si>
    <t>Peter G. Rowe-Limin Hee</t>
  </si>
  <si>
    <t>Digitale Transformation und UnternehmensfÃ¼hrung</t>
  </si>
  <si>
    <t>Jochen Schellinger-Kim Oliver Tokarski-Ingrid Kissling-NÃ¤f</t>
  </si>
  <si>
    <t>Sustainable Qatar</t>
  </si>
  <si>
    <t>Logan Cochrane-Reem Al-Hababi</t>
  </si>
  <si>
    <t>The Great Disruptor</t>
  </si>
  <si>
    <t>Lars Koch-Tobias Nanz-Christina Rogers</t>
  </si>
  <si>
    <t>Health and Wellbeing in Late Life</t>
  </si>
  <si>
    <t>Prasun Chatterjee</t>
  </si>
  <si>
    <t>The Future of Service Post-COVID-19 Pandemic, Volume 1</t>
  </si>
  <si>
    <t>Jungwoo Lee-Spring H. Han</t>
  </si>
  <si>
    <t>Compartment Syndrome</t>
  </si>
  <si>
    <t>MEDICAL / Orthopedics</t>
  </si>
  <si>
    <t>Cyril Mauffrey-David J. Hak-Murphy P. Martin III</t>
  </si>
  <si>
    <t>Software for Exascale Computing - SPPEXA 2016-2019</t>
  </si>
  <si>
    <t>Hans-Joachim Bungartz-Severin Reiz-Benjamin Uekermann-Philipp Neumann-Wolfgang E. Nagel</t>
  </si>
  <si>
    <t>Spectral and High Order Methods for Partial Differential Equations ICOSAHOM 2018</t>
  </si>
  <si>
    <t>Spencer J. Sherwin-David Moxey-Joaquim PeirÃ³-Peter E. Vincent-Christoph Schwab</t>
  </si>
  <si>
    <t>Regularized System Identification</t>
  </si>
  <si>
    <t>Gianluigi Pillonetto-Tianshi Chen-Alessandro Chiuso-Giuseppe De Nicolao-Lennart Ljung</t>
  </si>
  <si>
    <t>Rice Green Revolution in Sub-Saharan Africa</t>
  </si>
  <si>
    <t>Keijiro Otsuka-Yukichi Mano-Kazushi Takahashi</t>
  </si>
  <si>
    <t>Climate Smart Agriculture</t>
  </si>
  <si>
    <t>Leslie Lipper-Nancy McCarthy-David Zilberman-Solomon Asfaw-Giacomo Branca</t>
  </si>
  <si>
    <t>Boreal Forests in the Face of Climate Change</t>
  </si>
  <si>
    <t>Miguel Montoro Girona-Hubert Morin-Sylvie Gauthier-Yves Bergeron</t>
  </si>
  <si>
    <t>The Ethics of Medical Data Donation</t>
  </si>
  <si>
    <t>Jenny Krutzinna-Luciano Floridi</t>
  </si>
  <si>
    <t>Smart Technologies for Precision Assembly</t>
  </si>
  <si>
    <t>Svetan Ratchev</t>
  </si>
  <si>
    <t>Internet of Things. Information Processing in an Increasingly Connected World</t>
  </si>
  <si>
    <t>COMPUTERS / Computer Architecture</t>
  </si>
  <si>
    <t>Leon Strous-Vinton G. Cerf</t>
  </si>
  <si>
    <t>Open Source Systems: Towards Robust Practices</t>
  </si>
  <si>
    <t>Federico Balaguer-Roberto Di Cosmo-Alejandra Garrido-Fabio Kon-Gregorio Robles</t>
  </si>
  <si>
    <t>Simplicial and Dendroidal Homotopy Theory</t>
  </si>
  <si>
    <t>MATHEMATICS / Algebra / Abstract</t>
  </si>
  <si>
    <t>Gijs Heuts-Ieke Moerdijk</t>
  </si>
  <si>
    <t>Stem Cells in Neuroendocrinology</t>
  </si>
  <si>
    <t>Donald Pfaff-Yves Christen</t>
  </si>
  <si>
    <t>A Time for Metabolism and Hormones</t>
  </si>
  <si>
    <t>Paolo Sassone-Corsi-Yves Christen</t>
  </si>
  <si>
    <t>The Heterogeneity of Cancer Metabolism</t>
  </si>
  <si>
    <t>Anne Le</t>
  </si>
  <si>
    <t>Advances in Energy System Optimization</t>
  </si>
  <si>
    <t>Valentin Bertsch-Armin Ardone-Michael Suriyah-Wolf Fichtner-Thomas Leibfried</t>
  </si>
  <si>
    <t>Trends in Cerebrovascular Surgery and Interventions</t>
  </si>
  <si>
    <t>Giuseppe Esposito-Luca Regli-Marco Cenzato-Yasuhiko Kaku-Michihiro Tanaka</t>
  </si>
  <si>
    <t>Evaluating Information Retrieval and Access Tasks</t>
  </si>
  <si>
    <t>COMPUTERS / System Administration / Storage &amp; Retrieval</t>
  </si>
  <si>
    <t>Tetsuya Sakai-Douglas W. Oard-Noriko Kando</t>
  </si>
  <si>
    <t>Evolutionary Equations</t>
  </si>
  <si>
    <t>Christian Seifert-Sascha Trostorff-Marcus Waurick</t>
  </si>
  <si>
    <t>Polarimetric Synthetic Aperture Radar</t>
  </si>
  <si>
    <t>Irena Hajnsek-Yves-Louis Desnos</t>
  </si>
  <si>
    <t>The Cellular Automaton Interpretation of Quantum Mechanics</t>
  </si>
  <si>
    <t>Gerard 't Hooft</t>
  </si>
  <si>
    <t>The Seine River Basin</t>
  </si>
  <si>
    <t>Nicolas Flipo-Pierre Labadie-Laurence Lestel</t>
  </si>
  <si>
    <t>Freshwater Microplastics</t>
  </si>
  <si>
    <t>Martin Wagner-Scott Lambert</t>
  </si>
  <si>
    <t>Melanie Volkamer-David Duenas-Cid-Peter RÃ¸nne-Peter Y. A. Ryan-Jurlind Budurushi</t>
  </si>
  <si>
    <t>Revantha Ramanayake-Josef Urban</t>
  </si>
  <si>
    <t>Uli Sattler-Martin Suda</t>
  </si>
  <si>
    <t>Constantin Enea-Akash Lal</t>
  </si>
  <si>
    <t>3D Research Challenges in Cultural Heritage III</t>
  </si>
  <si>
    <t>Marinos Ioannides-Petros Patias</t>
  </si>
  <si>
    <t>Ethics and Responsible Research and Innovation in Practice</t>
  </si>
  <si>
    <t>Elsa GonzÃ¡lez-Esteban-RamÃ³n A. Feenstra-Luis M. Camarinha-Matos</t>
  </si>
  <si>
    <t>Algorithms for Big Data</t>
  </si>
  <si>
    <t>Hannah Bast-Claudius Korzen-Ulrich Meyer-Manuel Penschuck</t>
  </si>
  <si>
    <t>Robert Krimmer-Melanie Volkamer-David Duenas-Cid-Peter RÃ¸nne-Micha Germann</t>
  </si>
  <si>
    <t>Sharon Shoham-Yakir Vizel</t>
  </si>
  <si>
    <t>Jasmin Blanchette-Laura KovÃ¡cs-Dirk Pattinson</t>
  </si>
  <si>
    <t>Supercomputing Frontiers</t>
  </si>
  <si>
    <t>Dhabaleswar K. Panda-Michael Sullivan</t>
  </si>
  <si>
    <t>Dana Fisman-Grigore Rosu</t>
  </si>
  <si>
    <t>Einar Broch Johnsen-Manuel Wimmer</t>
  </si>
  <si>
    <t>Ilya Sergey</t>
  </si>
  <si>
    <t>Patricia Bouyer-Lutz SchrÃ¶der</t>
  </si>
  <si>
    <t>Brain-Inspired Computing</t>
  </si>
  <si>
    <t>Katrin Amunts-Lucio Grandinetti-Thomas Lippert-Nicolai Petkov</t>
  </si>
  <si>
    <t>Alexandra Silva-K. Rustan M. Leino</t>
  </si>
  <si>
    <t>Automated Deduction â€“ CADE 28</t>
  </si>
  <si>
    <t>AndrÃ© Platzer-Geoff Sutcliffe</t>
  </si>
  <si>
    <t>Graph Structures for Knowledge Representation and Reasoning</t>
  </si>
  <si>
    <t>Michael Cochez-Madalina Croitoru-Pierre Marquis-Sebastian Rudolph</t>
  </si>
  <si>
    <t>Stefan Kiefer-Christine Tasson</t>
  </si>
  <si>
    <t>Semantic Systems. In the Era of Knowledge Graphs</t>
  </si>
  <si>
    <t>COMPUTERS / Artificial Intelligence / Expert Systems</t>
  </si>
  <si>
    <t>Eva Blomqvist-Paul Groth-Victor de Boer-Tassilo Pellegrini-Mehwish Alam</t>
  </si>
  <si>
    <t>Haptics: Science, Technology, Applications</t>
  </si>
  <si>
    <t>Ilana Nisky-Jess Hartcher-Oâ€™Brien-MichaÃ«l Wiertlewski-Jeroen Smeets</t>
  </si>
  <si>
    <t>Shuvendu K. Lahiri-Chao Wang</t>
  </si>
  <si>
    <t>Dhabaleswar K. Panda</t>
  </si>
  <si>
    <t>Heike Wehrheim-Jordi Cabot</t>
  </si>
  <si>
    <t>Armin Biere-David Parker</t>
  </si>
  <si>
    <t>MATHEMATICS / Logic</t>
  </si>
  <si>
    <t>Jean Goubault-Larrecq-Barbara KÃ¶nig</t>
  </si>
  <si>
    <t>Peter MÃ¼ller</t>
  </si>
  <si>
    <t>Advances in Intelligent Data Analysis XVIII</t>
  </si>
  <si>
    <t>Michael R. Berthold-Ad Feelders-Georg Krempl</t>
  </si>
  <si>
    <t>Semantic Systems. The Power of AI and Knowledge Graphs</t>
  </si>
  <si>
    <t>Maribel Acosta-Philippe CudrÃ©-Mauroux-Maria Maleshkova-Tassilo Pellegrini-Harald Sack</t>
  </si>
  <si>
    <t>Isil Dillig-Serdar Tasiran</t>
  </si>
  <si>
    <t>David Abramson-Bronis R. de Supinski</t>
  </si>
  <si>
    <t>TomÃ¡Å¡ Vojnar-Lijun Zhang</t>
  </si>
  <si>
    <t>MikoÅ‚aj BojaÅ„czyk-Alex Simpson</t>
  </si>
  <si>
    <t>Principles of Security and Trust</t>
  </si>
  <si>
    <t>Flemming Nielson-David Sands</t>
  </si>
  <si>
    <t>Hana Chockler-Georg Weissenbacher</t>
  </si>
  <si>
    <t>Dirk Beyer-Marieke Huisman</t>
  </si>
  <si>
    <t>Amal Ahmed</t>
  </si>
  <si>
    <t>Organic Waste Composting Through Nexus Thinking</t>
  </si>
  <si>
    <t>Hiroshan Hettiarachchi-Serena Caucci-Kai SchwÃ¤rzel</t>
  </si>
  <si>
    <t>Data-Driven Policy Impact Evaluation</t>
  </si>
  <si>
    <t>Nuno Crato-Paolo Paruolo</t>
  </si>
  <si>
    <t>Inklusives Wachstum und wirtschaftliche Sicherheit</t>
  </si>
  <si>
    <t>Representations of Transnational Human Trafficking</t>
  </si>
  <si>
    <t>Christiana Gregoriou</t>
  </si>
  <si>
    <t>Hohes Alter in Deutschland</t>
  </si>
  <si>
    <t>Roman Kaspar-Julia Simonson-Clemens Tesch-RÃ¶mer-Michael Wagner-Susanne Zank</t>
  </si>
  <si>
    <t>Well-being, Sustainability and Social Development</t>
  </si>
  <si>
    <t>Harry Lintsen-Frank Veraart-Jan-Pieter Smits-John Grin</t>
  </si>
  <si>
    <t>Building a Resilient and Sustainable Agriculture in Sub-Saharan Africa</t>
  </si>
  <si>
    <t>Abebe Shimeles-Audrey Verdier-Chouchane-Amadou Boly</t>
  </si>
  <si>
    <t>Disrupting Buildings</t>
  </si>
  <si>
    <t>Theo Lynn-Pierangelo Rosati-Mohamad Kassem-Stelios Krinidis-Jennifer Kennedy</t>
  </si>
  <si>
    <t>The Future of Work</t>
  </si>
  <si>
    <t>Theo Lynn-Pierangelo Rosati-Edel Conway-Lisa van der Werff</t>
  </si>
  <si>
    <t>Data Privacy and Trust in Cloud Computing</t>
  </si>
  <si>
    <t>Theo Lynn-John G. Mooney-Lisa van der Werff-Grace Fox</t>
  </si>
  <si>
    <t>Measuring the Business Value of Cloud Computing</t>
  </si>
  <si>
    <t>Theo Lynn-John G. Mooney-Pierangelo Rosati-Grace Fox</t>
  </si>
  <si>
    <t>The Cloud-to-Thing Continuum</t>
  </si>
  <si>
    <t>Theo Lynn-John G. Mooney-Brian Lee-Patricia Takako Endo</t>
  </si>
  <si>
    <t>Managing Distributed Cloud Applications and Infrastructure</t>
  </si>
  <si>
    <t>Theo Lynn-John G. Mooney-JÃ¶rg Domaschka-Keith A. Ellis</t>
  </si>
  <si>
    <t>Disrupting Finance</t>
  </si>
  <si>
    <t>Theo Lynn-John G. Mooney-Pierangelo Rosati-Mark Cummins</t>
  </si>
  <si>
    <t>Heterogeneity, High Performance Computing, Self-Organization and the Cloud</t>
  </si>
  <si>
    <t>Theo Lynn-John P. Morrison-David Kenny</t>
  </si>
  <si>
    <t>White-Collar Crime in the Shadow Economy</t>
  </si>
  <si>
    <t>Petter Gottschalk-Lars Gunnesdal</t>
  </si>
  <si>
    <t>Energy-Efficient and Semi-automated Truck Platooning</t>
  </si>
  <si>
    <t>Alexander Schirrer-Alexander L. Gratzer-Sebastian Thormann-Stefan Jakubek-Matthias Neubauer</t>
  </si>
  <si>
    <t>Becoming Citizens in a Changing World</t>
  </si>
  <si>
    <t>Access to Online Resources</t>
  </si>
  <si>
    <t>Kristina Botyriute</t>
  </si>
  <si>
    <t>Leibliche PrÃ¤senz</t>
  </si>
  <si>
    <t>PHILOSOPHY / Movements / Pragmatism</t>
  </si>
  <si>
    <t>Alexander Antony</t>
  </si>
  <si>
    <t>Energy Poverty, Practice, and Policy</t>
  </si>
  <si>
    <t>Catherine Butler</t>
  </si>
  <si>
    <t>Kosten- und ErlÃ¶ssituation der extrakorporalen Nierenersatztherapie</t>
  </si>
  <si>
    <t>Markus Krohn</t>
  </si>
  <si>
    <t>Kosten der hubschraubergestÃ¼tzten Notfallversorgung</t>
  </si>
  <si>
    <t>Johann W. A. RÃ¶per</t>
  </si>
  <si>
    <t>Projection-Based Clustering Through Self-Organization and Swarm Intelligence</t>
  </si>
  <si>
    <t>Michael Christoph Thrun</t>
  </si>
  <si>
    <t>Nordic Mediation Research</t>
  </si>
  <si>
    <t>Anna Nylund-Kaijus Ervasti-Lin Adrian</t>
  </si>
  <si>
    <t>Nanoinformatics</t>
  </si>
  <si>
    <t>Isao Tanaka</t>
  </si>
  <si>
    <t>A Demographic Perspective on Gender, Family and Health in Europe</t>
  </si>
  <si>
    <t>Gabriele Doblhammer-Jordi GumÃ </t>
  </si>
  <si>
    <t>Evolution, Monitoring and Predicting Models of Rockburst</t>
  </si>
  <si>
    <t>Chunlai Wang</t>
  </si>
  <si>
    <t>Animating Unpredictable Effects</t>
  </si>
  <si>
    <t>Jordan Gowanlock</t>
  </si>
  <si>
    <t>Decolonising Blue Spaces in the Anthropocene</t>
  </si>
  <si>
    <t>Meg Parsons-Karen Fisher-Roa Petra Crease</t>
  </si>
  <si>
    <t>Entrepreneurial Cognition</t>
  </si>
  <si>
    <t>The Third Sector As a Renewable Resource for Europe</t>
  </si>
  <si>
    <t>Bernard Enjolras-Lester M. Salamon-Karl Henrik Sivesind-Annette Zimmer</t>
  </si>
  <si>
    <t>Modern Mathematics Education for Engineering Curricula in Europe</t>
  </si>
  <si>
    <t>Seppo Pohjolainen-Tuomas Myllykoski-Christian Mercat-Sergey Sosnovsky</t>
  </si>
  <si>
    <t>Curriculum Reform in the European Schools</t>
  </si>
  <si>
    <t>Sandra Leaton Gray-David Scott-Peeter Mehisto</t>
  </si>
  <si>
    <t>Ecosystem Services for Well-Being in Deltas</t>
  </si>
  <si>
    <t>Robert J. Nicholls-Craig W. Hutton-W. Neil Adger-Susan E. Hanson-Md. Munsur Rahman-Mashfiqus Salehin</t>
  </si>
  <si>
    <t>Asian Centuryâ€¦ on a Knife-edge</t>
  </si>
  <si>
    <t>John West</t>
  </si>
  <si>
    <t>Pragmatic Philanthropy</t>
  </si>
  <si>
    <t>Ruth A. Shapiro-Manisha Mirchandani-Heesu Jang</t>
  </si>
  <si>
    <t>Accounting and Statistical Analyses for Sustainable Development</t>
  </si>
  <si>
    <t>Claudia Lemke</t>
  </si>
  <si>
    <t>Africa-Europe Research and Innovation Cooperation</t>
  </si>
  <si>
    <t>Andrew Cherry-James Haselip-Gerard Ralphs-Isabella E. Wagner</t>
  </si>
  <si>
    <t>KausalitÃ¤t und mentale Verursachung</t>
  </si>
  <si>
    <t>Matthias Rolffs</t>
  </si>
  <si>
    <t>A Fair Share of Tax</t>
  </si>
  <si>
    <t>Lotta BjÃ¶rklund Larsen</t>
  </si>
  <si>
    <t>Cosmic Ray Neutron Sensing: Estimation of Agricultural Crop Biomass Water Equivalent</t>
  </si>
  <si>
    <t>Ammar Wahbi-Lee Heng-Gerd Dercon</t>
  </si>
  <si>
    <t>Energy Poverty</t>
  </si>
  <si>
    <t>Stefan Bouzarovski</t>
  </si>
  <si>
    <t>Research, Ethics and Risk in the Authoritarian Field</t>
  </si>
  <si>
    <t>Marlies Glasius-Meta de Lange-Jos Bartman-Emanuela Dalmasso-Aofei Lv-Adele Del Sordi-Marcus Michaelsen-Kris Ruijgrok</t>
  </si>
  <si>
    <t>White Paper on Joint Replacement</t>
  </si>
  <si>
    <t>Hans-Holger BleÃŸ-Miriam Kip</t>
  </si>
  <si>
    <t>Weather &amp; Climate Services for the Energy Industry</t>
  </si>
  <si>
    <t>Alberto Troccoli</t>
  </si>
  <si>
    <t>Entity Alignment</t>
  </si>
  <si>
    <t>Xiang Zhao-Weixin Zeng-Jiuyang Tang</t>
  </si>
  <si>
    <t>Interdisciplinary Nutritional Management and Care for Older Adults</t>
  </si>
  <si>
    <t>Ã“lÃ¶f G. GeirsdÃ³ttir-Jack J. Bell</t>
  </si>
  <si>
    <t>Anthropologies of Global Maternal and Reproductive Health</t>
  </si>
  <si>
    <t>Lauren J. Wallace-Margaret E. MacDonald-Katerini T. Storeng</t>
  </si>
  <si>
    <t>Prozessintelligenz</t>
  </si>
  <si>
    <t>Elke Brucker-Kley-Denisa KykalovÃ¡-Thomas Keller</t>
  </si>
  <si>
    <t>Kundennutzen durch digitale Transformation</t>
  </si>
  <si>
    <t>Self-Assembled Molecules â€“ New Kind of Protein Ligands</t>
  </si>
  <si>
    <t>Irena Roterman-Leszek Konieczny</t>
  </si>
  <si>
    <t>Chemical Youth</t>
  </si>
  <si>
    <t>Anita Hardon</t>
  </si>
  <si>
    <t>Contemporary Issues in Human Rights Law</t>
  </si>
  <si>
    <t>Yumiko Nakanishi</t>
  </si>
  <si>
    <t>Microplastic in the Environment: Pattern and Process</t>
  </si>
  <si>
    <t>Michael S. Bank</t>
  </si>
  <si>
    <t>Complications and Quandaries in the ICT Sector</t>
  </si>
  <si>
    <t>Ashish Bharadwaj-Vishwas H. Devaiah-Indranath Gupta</t>
  </si>
  <si>
    <t>Bio-Inspired Information Pathways</t>
  </si>
  <si>
    <t>Martin Ziegler-Thomas Mussenbrock-Hermann Kohlstedt</t>
  </si>
  <si>
    <t>Wirtschaft neu lehren</t>
  </si>
  <si>
    <t>Janina Urban-Lisa-Marie SchrÃ¶der-Harald Hantke-Lukas BÃ¤uerle</t>
  </si>
  <si>
    <t>Fallibility at Work</t>
  </si>
  <si>
    <t>Der Zusammenhang zwischen Meritokratie und beruflicher Bildung</t>
  </si>
  <si>
    <t>Vera Braun</t>
  </si>
  <si>
    <t>UnzuverlÃ¤ssiges ErzÃ¤hlen</t>
  </si>
  <si>
    <t>Matthias AumÃ¼ller-Tom Kindt-Dana Kissling-Victor Lindblom</t>
  </si>
  <si>
    <t>Der deutschsprachige Nachkriegsroman und die Tradition des unzuverlÃ¤ssigen ErzÃ¤hlens</t>
  </si>
  <si>
    <t>Matthias AumÃ¼ller-Tom Kindt</t>
  </si>
  <si>
    <t>Wechselwirkungen zwischen Landnutzung und Klimawandel</t>
  </si>
  <si>
    <t>Horst GÃ¶mann-Johanna Fick</t>
  </si>
  <si>
    <t>Hamburger Klimabericht â€“ Wissen Ã¼ber Klima, Klimawandel und Auswirkungen in Hamburg und Norddeutschland</t>
  </si>
  <si>
    <t>Hans von Storch-Insa Meinke-Martin ClauÃŸen</t>
  </si>
  <si>
    <t>Sago Palm</t>
  </si>
  <si>
    <t>Hiroshi Ehara-Yukio Toyoda-Dennis V. Johnson</t>
  </si>
  <si>
    <t>The Psychodynamics of Enlightened Leadership</t>
  </si>
  <si>
    <t>Ian I. Mitroff-Ralph H. Kilmann</t>
  </si>
  <si>
    <t>Techlash</t>
  </si>
  <si>
    <t>Ian I. Mitroff-Rune Storesund</t>
  </si>
  <si>
    <t>Crisis and Legitimacy in Atlantic American Narratives of Piracy</t>
  </si>
  <si>
    <t>Alexandra Ganser</t>
  </si>
  <si>
    <t>Grassroots Politics and Oil Culture in Venezuela</t>
  </si>
  <si>
    <t>Iselin Ã…sedotter StrÃ¸nen</t>
  </si>
  <si>
    <t>Diversity and Evolution of Butterfly Wing Patterns</t>
  </si>
  <si>
    <t>Toshio Sekimura-H. Frederik Nijhout</t>
  </si>
  <si>
    <t>Think Big, Start Small</t>
  </si>
  <si>
    <t>Achim Kampker-JÃ¼rgen Gerdes-GÃ¼nther Schuh</t>
  </si>
  <si>
    <t>Umami</t>
  </si>
  <si>
    <t>Ana San Gabriel-Tia M. Rains-Gary Beauchamp</t>
  </si>
  <si>
    <t>Shipping and Globalization in the Post-War Era</t>
  </si>
  <si>
    <t>Niels P. Petersson-Stig Tenold-Nicholas J. White</t>
  </si>
  <si>
    <t>Resilience: A New Paradigm of Nuclear Safety</t>
  </si>
  <si>
    <t>Joonhong Ahn-Franck Guarnieri-Kazuo Furuta</t>
  </si>
  <si>
    <t>The Crisis for Young People</t>
  </si>
  <si>
    <t>Andy Green</t>
  </si>
  <si>
    <t>Collaborating Against Child Abuse</t>
  </si>
  <si>
    <t>Value and the Humanities</t>
  </si>
  <si>
    <t>Zoe Hope Bulaitis</t>
  </si>
  <si>
    <t>Railway Ecology</t>
  </si>
  <si>
    <t>LuÃ­s Borda-de-Ãgua-Rafael Barrientos-Pedro Beja-Henrique Miguel Pereira</t>
  </si>
  <si>
    <t>China: Surpassing the â€œMiddle Income Trapâ€</t>
  </si>
  <si>
    <t>Shaojie Zhou-Angang Hu</t>
  </si>
  <si>
    <t>Jesuit and English Experiences at the Mughal Court, C. 1580â€“1615</t>
  </si>
  <si>
    <t>JoÃ£o Vicente Melo</t>
  </si>
  <si>
    <t>Religion and Governance in Englandâ€™s Emerging Colonial Empire, 1601â€“1698</t>
  </si>
  <si>
    <t>Haig Z. Smith</t>
  </si>
  <si>
    <t>Global History with Chinese Characteristics</t>
  </si>
  <si>
    <t>Manuel Perez-Garcia</t>
  </si>
  <si>
    <t>Iberian World Empires and the Globalization of Europe 1415â€“1668</t>
  </si>
  <si>
    <t>BartolomÃ© Yun-Casalilla</t>
  </si>
  <si>
    <t>Global History and New Polycentric Approaches</t>
  </si>
  <si>
    <t>Manuel Perez Garcia-Lucio De Sousa</t>
  </si>
  <si>
    <t>Informatics in the Future</t>
  </si>
  <si>
    <t>Hannes Werthner-Frank van Harmelen</t>
  </si>
  <si>
    <t>Life Skills Education for Youth</t>
  </si>
  <si>
    <t>Joan DeJaeghere-Erin Murphy-Graham</t>
  </si>
  <si>
    <t>Promoting Active Citizenship</t>
  </si>
  <si>
    <t>Karl Henrik Sivesind-Jo Saglie</t>
  </si>
  <si>
    <t>History Education and Conflict Transformation</t>
  </si>
  <si>
    <t>Charis Psaltis-Mario Carretero-Sabina ÄŒehajiÄ‡-Clancy</t>
  </si>
  <si>
    <t>The Energy Sector and Energy Geopolitics in the MENA Region at a Crossroad</t>
  </si>
  <si>
    <t>Manfred Hafner-Pier Paolo Raimondi-Benedetta Bonometti</t>
  </si>
  <si>
    <t>Indigenous Pathways, Transitions and Participation in Higher Education</t>
  </si>
  <si>
    <t>Jack Frawley-Steve Larkin-James A. Smith</t>
  </si>
  <si>
    <t>Statistical Foundations of Actuarial Learning and Its Applications</t>
  </si>
  <si>
    <t>Mario V. WÃ¼thrich-Michael Merz</t>
  </si>
  <si>
    <t>Pandemics: Insurance and Social Protection</t>
  </si>
  <si>
    <t>MarÃ­a del Carmen Boado-Penas-Julia Eisenberg-Åžule Åžahinâ€¬â€¬â€¬</t>
  </si>
  <si>
    <t>Pharmacovigilance in the European Union</t>
  </si>
  <si>
    <t>Michael Kaeding-Julia SchmÃ¤lter-Christoph Klika</t>
  </si>
  <si>
    <t>Journeys Towards Intercultural Capability in Language Classrooms</t>
  </si>
  <si>
    <t>Martin East-Constanza Tolosa-Jocelyn Howard-Christine Biebricher-AdÃ¨le Scott</t>
  </si>
  <si>
    <t>Satellite Earth Observations and Their Impact on Society and Policy</t>
  </si>
  <si>
    <t>Masami Onoda-Oran R Young</t>
  </si>
  <si>
    <t>Snow Sports Trauma and Safety</t>
  </si>
  <si>
    <t>Irving S. Scher-Richard M. Greenwald-Nicola Petrone</t>
  </si>
  <si>
    <t>BildungsverlÃ¤ufe von der Einschulung bis in den ersten Arbeitsmarkt</t>
  </si>
  <si>
    <t>Markus P. Neuenschwander-Christof NÃ¤gele</t>
  </si>
  <si>
    <t>Ethics of Socioeconomics</t>
  </si>
  <si>
    <t>Koen Byttebier</t>
  </si>
  <si>
    <t>Covid-19 and Capitalism</t>
  </si>
  <si>
    <t>Lokal verankerte Zivile Konfliktbearbeitung zwischen Partnerschaft und Machtungleichgewicht</t>
  </si>
  <si>
    <t>Samantha Ruppel</t>
  </si>
  <si>
    <t>Wertorientierungen und Wahlverhalten</t>
  </si>
  <si>
    <t>L. Constantin Wurthmann</t>
  </si>
  <si>
    <t>Feminist IR in Europe</t>
  </si>
  <si>
    <t>Maria Stern-Ann E. Towns</t>
  </si>
  <si>
    <t>Words, Objects and Events in Economics</t>
  </si>
  <si>
    <t>Peter RÃ³na-LÃ¡szlÃ³ Zsolnai-Agnieszka Wincewicz-Price</t>
  </si>
  <si>
    <t>Agency and Causal Explanation in Economics</t>
  </si>
  <si>
    <t>Peter RÃ³na-LÃ¡szlÃ³ Zsolnai</t>
  </si>
  <si>
    <t>Protest-Aktivist*innen der Umweltschutz-Bewegung im Netz und auf der StraÃŸe</t>
  </si>
  <si>
    <t>Lisa Villioth</t>
  </si>
  <si>
    <t>The Future of the Law of the Sea</t>
  </si>
  <si>
    <t>Gemma Andreone</t>
  </si>
  <si>
    <t>The Autofictional</t>
  </si>
  <si>
    <t>Alexandra Effe-Hannie Lawlor</t>
  </si>
  <si>
    <t>When Children Draw Gods</t>
  </si>
  <si>
    <t>Pierre-Yves Brandt-Zhargalma Dandarova-Robert-Christelle Cocco-Dominique Vinck-FrÃ©dÃ©ric Darbellay</t>
  </si>
  <si>
    <t>Baltic Hospitality From the Middle Ages to the Twentieth Century</t>
  </si>
  <si>
    <t>Sari Nauman-Wojtek Jezierski-Christina Reimann-Leif Runefelt</t>
  </si>
  <si>
    <t>Recognizing Green Skills Through Non-formal Learning</t>
  </si>
  <si>
    <t>Margarita Pavlova-Madhu Singh</t>
  </si>
  <si>
    <t>50 Years World Heritage Convention: Shared Responsibility â€“ Conflict &amp; Reconciliation</t>
  </si>
  <si>
    <t>Marie-Theres Albert-Roland Bernecker-Claire Cave-Anca Claudia Prodan-Matthias Ripp</t>
  </si>
  <si>
    <t>The Making of Islamic Heritage</t>
  </si>
  <si>
    <t>Trinidad Rico</t>
  </si>
  <si>
    <t>River Basin Development and Human Rights in Eastern Africa â€” A Policy Crossroads</t>
  </si>
  <si>
    <t>Claudia J. Carr</t>
  </si>
  <si>
    <t>Post-Digital, Post-Internet Art and Education</t>
  </si>
  <si>
    <t>Kevin Tavin-Gila Kolb-Juuso Tervo</t>
  </si>
  <si>
    <t>Unsettling Responsibility in Science Education</t>
  </si>
  <si>
    <t>Marc Higgins</t>
  </si>
  <si>
    <t>Auswirkungen von Standardisierung auf Zentralabitur und Unterricht</t>
  </si>
  <si>
    <t>Johanna MÃ¤sgen</t>
  </si>
  <si>
    <t>Mental Health and Enhancement</t>
  </si>
  <si>
    <t>Automated Machine Learning</t>
  </si>
  <si>
    <t>Frank Hutter-Lars Kotthoff-Joaquin Vanschoren</t>
  </si>
  <si>
    <t>Civic Continuities in an Age of Revolutionary Change, C.1750â€“1850</t>
  </si>
  <si>
    <t>Judith Pollmann-Henk te Velde</t>
  </si>
  <si>
    <t>Cloud-Based Benchmarking of Medical Image Analysis</t>
  </si>
  <si>
    <t>Allan Hanbury-Henning MÃ¼ller-Georg Langs</t>
  </si>
  <si>
    <t>Education for Children with Disabilities in Addis Ababa, Ethiopia</t>
  </si>
  <si>
    <t>Margarita Schiemer</t>
  </si>
  <si>
    <t>National Reflections on the Netherlands Didactics of Mathematics</t>
  </si>
  <si>
    <t>Marja Van den Heuvel-Panhuizen</t>
  </si>
  <si>
    <t>International Reflections on the Netherlands Didactics of Mathematics</t>
  </si>
  <si>
    <t>Marja van den Heuvel-Panhuizen</t>
  </si>
  <si>
    <t>Values and Valuing in Mathematics Education</t>
  </si>
  <si>
    <t>Philip Clarkson-Wee Tiong Seah-JeongSuk Pang</t>
  </si>
  <si>
    <t>Compendium for Early Career Researchers in Mathematics Education</t>
  </si>
  <si>
    <t>Gabriele Kaiser-Norma Presmeg</t>
  </si>
  <si>
    <t>Affect and Mathematics Education</t>
  </si>
  <si>
    <t>Markku S. Hannula-Gilah C. Leder-Francesca Morselli-Maike Vollstedt-Qiaoping Zhang</t>
  </si>
  <si>
    <t>Traditions in German-Speaking Mathematics Education Research</t>
  </si>
  <si>
    <t>Hans Niels Jahnke-Lisa Hefendehl-Hebeker</t>
  </si>
  <si>
    <t>Brian Doig-Julian Williams-David Swanson-Rita Borromeo Ferri-Pat Drake</t>
  </si>
  <si>
    <t>European Traditions in Didactics of Mathematics</t>
  </si>
  <si>
    <t>Werner Blum-MichÃ¨le Artigue-Maria Alessandra Mariotti-Rudolf StrÃ¤ÃŸer-Marja Van den Heuvel-Panhuizen</t>
  </si>
  <si>
    <t>The Legacy of Felix Klein</t>
  </si>
  <si>
    <t>Hans-Georg Weigand-William McCallum-Marta Menghini-Michael Neubrand-Gert Schubring</t>
  </si>
  <si>
    <t>Managing Great Power Politics</t>
  </si>
  <si>
    <t>Kei Koga</t>
  </si>
  <si>
    <t>Integrating Science and Politics for Public Health</t>
  </si>
  <si>
    <t>Patrick Fafard-AdÃ¨le Cassola-Evelyne de Leeuw</t>
  </si>
  <si>
    <t>Tobacco Control Policy in the Netherlands</t>
  </si>
  <si>
    <t>Marc C. Willemsen</t>
  </si>
  <si>
    <t>Trailblazing in Entrepreneurship</t>
  </si>
  <si>
    <t>S-BPM in the Production Industry</t>
  </si>
  <si>
    <t>Matthias Neubauer-Christian Stary</t>
  </si>
  <si>
    <t>The Ethics of Educational Healthcare Placements in Low and Middle Income Countries</t>
  </si>
  <si>
    <t>Anya Ahmed-James Ackers-Johnson-Helen Louise Ackers</t>
  </si>
  <si>
    <t>Healthcare, Frugal Innovation, and Professional Voluntarism</t>
  </si>
  <si>
    <t>Helen Louise Ackers-James Ackers-Johnson-John Chatwin-Natasha Tyler</t>
  </si>
  <si>
    <t>Eingliederung als Rechtfertigungsarbeit</t>
  </si>
  <si>
    <t>Anna Gonon</t>
  </si>
  <si>
    <t>AusbildungsqualitÃ¤ten â€“ andersartig, aber gleichwertig?</t>
  </si>
  <si>
    <t>Raffaella Simona Esposito</t>
  </si>
  <si>
    <t>Koordination und Kompromiss in fÃ¶deralen Bildungssystemen</t>
  </si>
  <si>
    <t>Sandra Hafner</t>
  </si>
  <si>
    <t>Gesundheit â€“ Konventionen â€“ Digitalisierung</t>
  </si>
  <si>
    <t>Valeska Cappel-Karolin Eva Kappler</t>
  </si>
  <si>
    <t>Survey-Welten</t>
  </si>
  <si>
    <t>Raphael Vogel</t>
  </si>
  <si>
    <t>Agenda-Setting zwischen Parlament und Medien</t>
  </si>
  <si>
    <t>Marko Kovic</t>
  </si>
  <si>
    <t>New Perspectives in Critical Data Studies</t>
  </si>
  <si>
    <t>Andreas Hepp-Juliane Jarke-Leif Kramp</t>
  </si>
  <si>
    <t>Social Inequality, Childhood and the Media</t>
  </si>
  <si>
    <t>Ingrid Paus-Hasebrink-Jasmin Kulterer-Philip Sinner</t>
  </si>
  <si>
    <t>Communicative Figurations</t>
  </si>
  <si>
    <t>Andreas Hepp-Andreas Breiter-Uwe Hasebrink</t>
  </si>
  <si>
    <t>Wellbeing and Devolution</t>
  </si>
  <si>
    <t>Jennifer Wallace</t>
  </si>
  <si>
    <t>Wellbeing Economics</t>
  </si>
  <si>
    <t>Paul Dalziel-Caroline Saunders-Joe Saunders</t>
  </si>
  <si>
    <t>Muslim*innen- und Islamfeindlichkeit</t>
  </si>
  <si>
    <t>Isabell Diekmann</t>
  </si>
  <si>
    <t>SchÃ¼tzende BewÃ¤ltigung</t>
  </si>
  <si>
    <t>Araththy Logeswaran</t>
  </si>
  <si>
    <t>Outsourcing Legal Aid in the Nordic Welfare States</t>
  </si>
  <si>
    <t>Olaf Halvorsen RÃ¸nning-Ole Hammerslev</t>
  </si>
  <si>
    <t>Fashion Figures</t>
  </si>
  <si>
    <t>Melissa A. Borza</t>
  </si>
  <si>
    <t>Media Resistance</t>
  </si>
  <si>
    <t>Trine Syvertsen</t>
  </si>
  <si>
    <t>Reimagining Science Education in the Anthropocene</t>
  </si>
  <si>
    <t>Maria F. G. Wallace-Jesse Bazzul-Marc Higgins-Sara Tolbert</t>
  </si>
  <si>
    <t>Riskante NÃ¤he</t>
  </si>
  <si>
    <t>Meike Wittfeld</t>
  </si>
  <si>
    <t>Reindeer Husbandry</t>
  </si>
  <si>
    <t>Svein Disch Mathiesen-Inger Marie Gaup Eira-Ellen Inga Turi-Anders Oskal-Mikhail Pogodaev</t>
  </si>
  <si>
    <t>Governance of Arctic Shipping</t>
  </si>
  <si>
    <t>Aldo Chircop-Floris Goerlandt-Claudio Aporta-Ronald Pelot</t>
  </si>
  <si>
    <t>The Interconnected Arctic â€” UArctic Congress 2016</t>
  </si>
  <si>
    <t>Kirsi Latola-Hannele Savela</t>
  </si>
  <si>
    <t>Education and Development in Colonial and Postcolonial Africa</t>
  </si>
  <si>
    <t>Damiano Matasci-Miguel Bandeira JerÃ³nimo-Hugo GonÃ§alves Dores</t>
  </si>
  <si>
    <t>Debating Religion and Forced Migration Entanglements</t>
  </si>
  <si>
    <t>ElÅ¼bieta M. GoÅºdziak-Izabella Main</t>
  </si>
  <si>
    <t>Practical Economics</t>
  </si>
  <si>
    <t>Nika Gilauri</t>
  </si>
  <si>
    <t>Latino, Hispanic, or of Spanish Origin+ Identified Student Leaders in Medicine</t>
  </si>
  <si>
    <t>John Paul SÃ¡nchez-Donald Rodriguez</t>
  </si>
  <si>
    <t>Sustainable Futures in Southern Africaâ€™s Mountains</t>
  </si>
  <si>
    <t>Andrea Membretti-Sue Jean Taylor-Jess L. Delves</t>
  </si>
  <si>
    <t>Sustainable Development Disciplines for Society</t>
  </si>
  <si>
    <t>Shujiro Urata-Ken-Ichi Akao-Ayu Washizu</t>
  </si>
  <si>
    <t>Sustainable Development Disciplines for Humanity</t>
  </si>
  <si>
    <t>Shujiro Urata-Kazuo Kuroda-Yoshiko Tonegawa</t>
  </si>
  <si>
    <t>The Living Environmental Education</t>
  </si>
  <si>
    <t>Wei-Ta Fang-Arba'at Hassan-Ben A. LePage</t>
  </si>
  <si>
    <t>Care Poverty</t>
  </si>
  <si>
    <t>Teppo KrÃ¶ger</t>
  </si>
  <si>
    <t>Improving Oncology Worldwide</t>
  </si>
  <si>
    <t>Uta Schmidt-StraÃŸburger</t>
  </si>
  <si>
    <t>SDGs, Transformation, and Quality Growth</t>
  </si>
  <si>
    <t>Akio Hosono</t>
  </si>
  <si>
    <t>Adaptive Mediation and Conflict Resolution</t>
  </si>
  <si>
    <t>Cedric de Coning-Ako Muto-Rui Saraiva</t>
  </si>
  <si>
    <t>Socio-Technical Innovation Bundles for Agri-Food Systems Transformation</t>
  </si>
  <si>
    <t>Christopher B. Barrett-Tim Benton-Jessica Fanzo-Mario Herrero-Rebecca J. Nelson</t>
  </si>
  <si>
    <t>Japanâ€™s Peacekeeping at a Crossroads</t>
  </si>
  <si>
    <t>Hiromi Nagata Fujishige-Yuji Uesugi-Tomoaki Honda</t>
  </si>
  <si>
    <t>No Truth Without Beauty</t>
  </si>
  <si>
    <t>Leena El-Ali-Khaled Abou El Fadl</t>
  </si>
  <si>
    <t>Transformational Change for People and the Planet</t>
  </si>
  <si>
    <t>Juha I. Uitto-Geeta Batra</t>
  </si>
  <si>
    <t>Dynamics of Long-Life Assets</t>
  </si>
  <si>
    <t>Stefan N. GrÃ¶sser-Arcadio Reyes-Lecuona-GÃ¶ran Granholm</t>
  </si>
  <si>
    <t>The Restless Compendium</t>
  </si>
  <si>
    <t>Felicity Callard-Kimberley Staines-James Wilkes</t>
  </si>
  <si>
    <t>Photographic Elicitation and Narration in Teachers Education and Development</t>
  </si>
  <si>
    <t>Antonio Bautista GarcÃ­a-Vera</t>
  </si>
  <si>
    <t>Biotechnologies for Plant Mutation Breeding</t>
  </si>
  <si>
    <t>Joanna Jankowicz-Cieslak-Thomas H. Tai-Jochen Kumlehn-Bradley J. Till</t>
  </si>
  <si>
    <t>Youthquake 2017</t>
  </si>
  <si>
    <t>James Sloam-Matt Henn</t>
  </si>
  <si>
    <t>The Future of Financial Systems in the Digital Age</t>
  </si>
  <si>
    <t>Markus Heckel-Franz Waldenberger</t>
  </si>
  <si>
    <t>Has Latin American Inequality Changed Direction?</t>
  </si>
  <si>
    <t>Luis BÃ©rtola-Jeffrey Williamson</t>
  </si>
  <si>
    <t>Communicating, Networking: Interacting</t>
  </si>
  <si>
    <t>Margaret E. Robertson</t>
  </si>
  <si>
    <t>Working, Housing: Urbanizing</t>
  </si>
  <si>
    <t>Jennifer Robinson-Allen J. Scott-Peter J. Taylor</t>
  </si>
  <si>
    <t>Eating, Drinking: Surviving</t>
  </si>
  <si>
    <t>Peter Jackson-Walter E.L. Spiess-Farhana Sultana</t>
  </si>
  <si>
    <t>The Behavioral Ecology of the Tibetan Macaque</t>
  </si>
  <si>
    <t>Jin-Hua Li-Lixing Sun-Peter M. Kappeler</t>
  </si>
  <si>
    <t>Bird Species</t>
  </si>
  <si>
    <t>Dieter Thomas Tietze</t>
  </si>
  <si>
    <t>Twitter als Basis wissenschaftlicher Studien</t>
  </si>
  <si>
    <t>Fabian Pfaffenberger</t>
  </si>
  <si>
    <t>China's Energy Revolution in the Context of the Global Energy Transition</t>
  </si>
  <si>
    <t>Early Childhood Policies and Systems in Eight Countries</t>
  </si>
  <si>
    <t>Tony Bertram-Chris Pascal</t>
  </si>
  <si>
    <t>Digitale Literaturwissenschaft</t>
  </si>
  <si>
    <t>Fotis Jannidis</t>
  </si>
  <si>
    <t>An Oral History of the Special Olympics in China Volume 1</t>
  </si>
  <si>
    <t>An Oral History of the Special Olympics in China Volume 2</t>
  </si>
  <si>
    <t>An Oral History of the Special Olympics in China Volume 3</t>
  </si>
  <si>
    <t>Nanotechnology in Construction for Circular Economy</t>
  </si>
  <si>
    <t>Wenhui Duan-Lihai Zhang-Surendra P. Shah</t>
  </si>
  <si>
    <t>Proceedings of PIANC Smart Rivers 2022</t>
  </si>
  <si>
    <t>Yun Li-Yaan Hu-Philippe Rigo-Francisco Esteban Lefler-Gensheng Zhao</t>
  </si>
  <si>
    <t>Mathematisches ProblemlÃ¶sen in der Studieneingangsphase</t>
  </si>
  <si>
    <t>Thomas Stenzel</t>
  </si>
  <si>
    <t>Transnational Legal Activism in Global Value Chains</t>
  </si>
  <si>
    <t>Miriam Saage-MaaÃŸ-Peer Zumbansen-Michael Bader-Palvasha Shahab</t>
  </si>
  <si>
    <t>MARE-WINT</t>
  </si>
  <si>
    <t>WiesÅ‚aw Ostachowicz-Malcolm McGugan-Jens-Uwe SchrÃ¶der-Hinrichs-Marcin Luczak</t>
  </si>
  <si>
    <t>Lewis Fry Richardson: His Intellectual Legacy and Influence in the Social Sciences</t>
  </si>
  <si>
    <t>Nils Petter Gleditsch</t>
  </si>
  <si>
    <t>Digital Kenya</t>
  </si>
  <si>
    <t>Bitange Ndemo-Tim Weiss</t>
  </si>
  <si>
    <t>Anatomie des Amoklaufs</t>
  </si>
  <si>
    <t>Madlen Sell</t>
  </si>
  <si>
    <t>Makers at School, Educational Robotics and Innovative Learning Environments</t>
  </si>
  <si>
    <t>David Scaradozzi-Lorenzo Guasti-Margherita Di Stasio-Beatrice Miotti-Andrea MonteriÃ¹</t>
  </si>
  <si>
    <t>Large-Scale Cognitive Assessment</t>
  </si>
  <si>
    <t>DÃ©bora B. Maehler-Beatrice Rammstedt</t>
  </si>
  <si>
    <t>Theoretical and Practical Advances in Computer-based Educational Measurement</t>
  </si>
  <si>
    <t>Bernard P. Veldkamp-Cor Sluijter</t>
  </si>
  <si>
    <t>Advancing Human Assessment</t>
  </si>
  <si>
    <t>Randy E. Bennett-Matthias von Davier</t>
  </si>
  <si>
    <t>Louisiana's Response to Extreme Weather</t>
  </si>
  <si>
    <t>Shirley Laska</t>
  </si>
  <si>
    <t>Knowledge Solutions</t>
  </si>
  <si>
    <t>Olivier Serrat</t>
  </si>
  <si>
    <t>Greening Water Risks</t>
  </si>
  <si>
    <t>Elena LÃ³pez-Gunn-Peter van der Keur-Nora Van Cauwenbergh-Philippe Le Coent-Raffaele Giordano</t>
  </si>
  <si>
    <t>Joe Pawsey and the Founding of Australian Radio Astronomy</t>
  </si>
  <si>
    <t>W. M. Goss-Claire Hooker-Ronald D. Ekers</t>
  </si>
  <si>
    <t>Open Skies</t>
  </si>
  <si>
    <t>Kenneth I. Kellermann-Ellen N. Bouton-Sierra S. Brandt</t>
  </si>
  <si>
    <t>Golden Years of Australian Radio Astronomy</t>
  </si>
  <si>
    <t>Wayne Orchiston-Peter Robertson-Woodruff T. Sullivan III</t>
  </si>
  <si>
    <t>New Horizons for Asian Museums and Museology</t>
  </si>
  <si>
    <t>Naoko Sonoda</t>
  </si>
  <si>
    <t>Knowing the Salween River: Resource Politics of a Contested Transboundary River</t>
  </si>
  <si>
    <t>Carl Middleton-Vanessa Lamb</t>
  </si>
  <si>
    <t>The Great Mindshift</t>
  </si>
  <si>
    <t>Maja GÃ¶pel</t>
  </si>
  <si>
    <t>A History of Genomics Across Species, Communities and Projects</t>
  </si>
  <si>
    <t>Miguel GarcÃ­a-Sancho-James Lowe</t>
  </si>
  <si>
    <t>Placing the Public in Public Health in Post-War Britain, 1948â€“2012</t>
  </si>
  <si>
    <t>Alex Mold-Peder Clark-Gareth Millward-Daisy Payling</t>
  </si>
  <si>
    <t>Belly-Rippers, Surgical Innovation and the Ovariotomy Controversy</t>
  </si>
  <si>
    <t>Sally Frampton</t>
  </si>
  <si>
    <t>Animals and the Shaping of Modern Medicine</t>
  </si>
  <si>
    <t>Abigail Woods-Michael Bresalier-Angela Cassidy-Rachel Mason Dentinger</t>
  </si>
  <si>
    <t>Italian National Forest Inventoryâ€”Methods and Results of the Third Survey</t>
  </si>
  <si>
    <t>Patrizia Gasparini-Lucio Di Cosmo-Antonio Floris-Davide De Laurentis</t>
  </si>
  <si>
    <t>Assessment of Energy-Efficient Building Details for Seismic Regions</t>
  </si>
  <si>
    <t>Boris AzinoviÄ‡-Vojko Kilar-David Koren</t>
  </si>
  <si>
    <t>Advances in Assessment and Modeling of Earthquake Loss</t>
  </si>
  <si>
    <t>Sinan Akkar-Alper Ilki-Caglar Goksu-Mustafa Erdik</t>
  </si>
  <si>
    <t>Gesundheitsversorgung am Lebensende</t>
  </si>
  <si>
    <t>Damian Hedinger</t>
  </si>
  <si>
    <t>Optics in Our Time</t>
  </si>
  <si>
    <t>Mohammad D. Al-Amri-Mohamed El-Gomati-M. Suhail Zubairy</t>
  </si>
  <si>
    <t>The Ecological Scarcity Method for the European Union</t>
  </si>
  <si>
    <t>Stephan Ahbe-Simon Weihofen-Steffen Wellge</t>
  </si>
  <si>
    <t>Cohabitation and Marriage in the Americas: Geo-historical Legacies and New Trends</t>
  </si>
  <si>
    <t>Albert Esteve-Ron J. Lesthaeghe</t>
  </si>
  <si>
    <t>A History of Force Feeding</t>
  </si>
  <si>
    <t>Ian Miller</t>
  </si>
  <si>
    <t>Concept and Design Developments in School Improvement Research</t>
  </si>
  <si>
    <t>Arnoud Oude Groote Beverborg-Tobias Feldhoff-Katharina Maag Merki-Falk Radisch</t>
  </si>
  <si>
    <t>A Philosophy of Israel Education</t>
  </si>
  <si>
    <t>Barry Chazan</t>
  </si>
  <si>
    <t>Computational Physiology</t>
  </si>
  <si>
    <t>Kimberly J. McCabe</t>
  </si>
  <si>
    <t>Smittestopp âˆ’ A Case Study on Digital Contact Tracing</t>
  </si>
  <si>
    <t>Ahmed Elmokashfi-Olav Lysne-Valeriya Naumova</t>
  </si>
  <si>
    <t>Mathematical Modeling of the Human Brain</t>
  </si>
  <si>
    <t>Kent-AndrÃ© Mardal-Marie E. Rognes-Travis B. Thompson-Lars Magnus Valnes</t>
  </si>
  <si>
    <t>Benefit/Cost-Driven Software Development</t>
  </si>
  <si>
    <t>Jo Erskine Hannay</t>
  </si>
  <si>
    <t>Modeling Excitable Tissue</t>
  </si>
  <si>
    <t>Aslak Tveito-Kent-Andre Mardal-Marie E. Rognes</t>
  </si>
  <si>
    <t>The Huawei and Snowden Questions</t>
  </si>
  <si>
    <t>Olav Lysne</t>
  </si>
  <si>
    <t>Time Predictions</t>
  </si>
  <si>
    <t>Torleif Halkjelsvik-Magne JÃ¸rgensen</t>
  </si>
  <si>
    <t>Solving PDEs in Python</t>
  </si>
  <si>
    <t>Hans Petter Langtangen-Anders Logg</t>
  </si>
  <si>
    <t>Anti-fragile ICT Systems</t>
  </si>
  <si>
    <t>Kjell JÃ¸rgen Hole</t>
  </si>
  <si>
    <t>Methods for Measuring Greenhouse Gas Balances and Evaluating Mitigation Options in Smallholder Agriculture</t>
  </si>
  <si>
    <t>Todd S. Rosenstock-Mariana C. Rufino-Klaus Butterbach-Bahl-Lini Wollenberg-Meryl Richards</t>
  </si>
  <si>
    <t>Postdigital Participation in Education</t>
  </si>
  <si>
    <t>Andreas Weich-Felicitas Macgilchrist</t>
  </si>
  <si>
    <t>Social Media for Civic Education</t>
  </si>
  <si>
    <t>Amy L. Chapman</t>
  </si>
  <si>
    <t>Educational Perspectives on Mediality and Subjectivation</t>
  </si>
  <si>
    <t>Patrick Bettinger</t>
  </si>
  <si>
    <t>The Cold War in the Classroom</t>
  </si>
  <si>
    <t>Barbara Christophe-Peter Gautschi-Robert Thorp</t>
  </si>
  <si>
    <t>Governance for Drought Resilience</t>
  </si>
  <si>
    <t>Hans Bressers-Nanny Bressers-Corinne Larrue</t>
  </si>
  <si>
    <t>Teaching and Learning About Whole Numbers in Primary School</t>
  </si>
  <si>
    <t>Terezinha Nunes-Beatriz Vargas Dorneles-Pi-Jen Lin-Elisabeth Rathgeb-Schnierer</t>
  </si>
  <si>
    <t>Early Geometrical Thinking in the Environment of Patterns, Mosaics and Isometries</t>
  </si>
  <si>
    <t>Ewa Swoboda-Paola Vighi</t>
  </si>
  <si>
    <t>Design Science and Its Importance in the German Mathematics Educational Discussion</t>
  </si>
  <si>
    <t>Marcus NÃ¼hrenbÃ¶rger-Bettina RÃ¶sken-Winter-Chun Ip Fung-Ralph Schwarzkopf-Erich Christian Wittmann</t>
  </si>
  <si>
    <t>Theories in and of Mathematics Education</t>
  </si>
  <si>
    <t>Angelika Bikner-Ahsbahs-Andreas Vohns-Oliver Schmitt-Regina Bruder-Willi DÃ¶rfler</t>
  </si>
  <si>
    <t>International Comparative Studies in Mathematics</t>
  </si>
  <si>
    <t>Jinfa Cai-Ida A.C. Mok-Vijay Reddy-Kaye Stacey</t>
  </si>
  <si>
    <t>Research On and Activities For Mathematically Gifted Students</t>
  </si>
  <si>
    <t>Florence Mihaela Singer-Linda Jensen Sheffield-Viktor Freiman-Matthias Brandl</t>
  </si>
  <si>
    <t>Teaching and Learning of Calculus</t>
  </si>
  <si>
    <t>David Bressoud-ImÃ¨ne Ghedamsi-Victor Martinez-Luaces-GÃ¼nter TÃ¶rner</t>
  </si>
  <si>
    <t>The Troika of Adult Learners, Lifelong Learning, and Mathematics</t>
  </si>
  <si>
    <t>Katherine Safford-Ramus-Pradeep Kumar Misra-Terry Maguire</t>
  </si>
  <si>
    <t>Attitudes, Beliefs, Motivation and Identity in Mathematics Education</t>
  </si>
  <si>
    <t>Markku S. Hannula-Pietro Di Martino-Marilena Pantziara-Qiaoping Zhang-Francesca Morselli</t>
  </si>
  <si>
    <t>Early Algebra</t>
  </si>
  <si>
    <t>Carolyn Kieran-JeongSuk Pang-Deborah Schifter-Swee Fong Ng</t>
  </si>
  <si>
    <t>Research on Teaching and Learning Probability</t>
  </si>
  <si>
    <t>Carmen Batanero-Egan J. Chernoff-Joachim Engel-Hollylynne S. Lee-Ernesto SÃ¡nchez</t>
  </si>
  <si>
    <t>Current and Future Perspectives of Ethnomathematics As a Program</t>
  </si>
  <si>
    <t>Milton Rosa-Ubiratan Dâ€™Ambrosio-Daniel Clark Orey-Lawrence Shirley-Wilfredo V. Alangui</t>
  </si>
  <si>
    <t>DevOps for Digital Leaders</t>
  </si>
  <si>
    <t>Aruna Ravichandran-Kieran Taylor-Peter Waterhouse</t>
  </si>
  <si>
    <t>Firm Innovation and Productivity in Latin America and the Caribbean</t>
  </si>
  <si>
    <t>Inter-American Development Bank-Matteo Grazzi-Carlo Pietrobelli</t>
  </si>
  <si>
    <t>Research Assessment in the Humanities</t>
  </si>
  <si>
    <t>Michael Ochsner-Sven E. Hug-Hans-Dieter Daniel</t>
  </si>
  <si>
    <t>Zukunft der Arbeit â€“ Eine praxisnahe Betrachtung</t>
  </si>
  <si>
    <t>Steffen Wischmann-Ernst Andreas Hartmann</t>
  </si>
  <si>
    <t>Messung von Ressourceneffizienz mit der ESSENZ-Methode</t>
  </si>
  <si>
    <t>Vanessa Bach-Markus Berger-Martin HenÃŸler-Martin Kirchner-Stefan Leiser-Lisa Mohr-Elmar Rother-Klaus Ruhland-Laura Schneider-Ladji Tikana-Wolfgang Volkhausen-Frank Walachowicz-Matthias Finkbeiner</t>
  </si>
  <si>
    <t>Sensing Absence: How to See What Isn't There in the Study of Science and Security</t>
  </si>
  <si>
    <t>Anthropological Perspectives on Environmental Communication</t>
  </si>
  <si>
    <t>Annelie SjÃ¶lander-Lindqvist-Ivan Murin-Michael E. Dove</t>
  </si>
  <si>
    <t>Research Methodologies and Ethical Challenges in Digital Migration Studies</t>
  </si>
  <si>
    <t>Marie Sandberg-Luca Rossi-Vasilis Galis-Martin Bak JÃ¸rgensen</t>
  </si>
  <si>
    <t>Indigenous Life Projects and Extractivism</t>
  </si>
  <si>
    <t>Cecilie Vindal Ã˜degaard-Juan Javier Rivera AndÃ­a</t>
  </si>
  <si>
    <t>The Social Life of Economic Inequalities in Contemporary Latin America</t>
  </si>
  <si>
    <t>Margit Ystanes-Iselin Ã…sedotter StrÃ¸nen</t>
  </si>
  <si>
    <t>Wie ticken Jugendliche 2016?</t>
  </si>
  <si>
    <t>Marc Calmbach-Silke Borgstedt-Inga Borchard-Peter Martin Thomas-Berthold Bodo Flaig</t>
  </si>
  <si>
    <t>From War to Peace in the Balkans, the Middle East and Ukraine</t>
  </si>
  <si>
    <t>Daniel Serwer</t>
  </si>
  <si>
    <t>Asylum Matters</t>
  </si>
  <si>
    <t>Laura Affolter</t>
  </si>
  <si>
    <t>Asylum Determination in Europe</t>
  </si>
  <si>
    <t>Nick Gill-Anthony Good</t>
  </si>
  <si>
    <t>Altern im Wandel</t>
  </si>
  <si>
    <t>Katharina Mahne-Julia Katharina Wolff-Julia Simonson-Clemens Tesch-RÃ¶mer</t>
  </si>
  <si>
    <t>A History of Radionuclide Studies in the UK</t>
  </si>
  <si>
    <t>Ralph McCready-Gopinath Gnanasegaran-Jamshed B. Bomanji</t>
  </si>
  <si>
    <t>Sonic Skills</t>
  </si>
  <si>
    <t>Karin Bijsterveld</t>
  </si>
  <si>
    <t>The Institutions of Programmatic Action</t>
  </si>
  <si>
    <t>Johanna Hornung</t>
  </si>
  <si>
    <t>Stable Isotopes to Trace Migratory Birds and to Identify Harmful Diseases</t>
  </si>
  <si>
    <t>G.J. Viljoen-A.G. Luckins-I. Naletoski</t>
  </si>
  <si>
    <t>Fate and Freedom in Korean Historical Films</t>
  </si>
  <si>
    <t>Kyung Moon Hwang</t>
  </si>
  <si>
    <t>Diasporic Hallyu</t>
  </si>
  <si>
    <t>Kyong Yoon</t>
  </si>
  <si>
    <t>Food Price Volatility and Its Implications for Food Security and Policy</t>
  </si>
  <si>
    <t>Matthias Kalkuhl-Joachim von Braun-Maximo Torero</t>
  </si>
  <si>
    <t>Dinaric Perspectives on TIMSS 2019</t>
  </si>
  <si>
    <t>Barbara Japelj PaveÅ¡iÄ‡-PaulÃ­na KorÅ¡ÅˆÃ¡kovÃ¡-Sabine Meinck</t>
  </si>
  <si>
    <t>Good Citizenship for the Next Generation</t>
  </si>
  <si>
    <t>Ernesto TreviÃ±o-Diego Carrasco-Ellen Claes-Kerry J. Kennedy</t>
  </si>
  <si>
    <t>Northern Lights on Civic and Citizenship Education</t>
  </si>
  <si>
    <t>Heidi Biseth-Bryony Hoskins-Lihong Huang</t>
  </si>
  <si>
    <t>Reliability and Validity of International Large-Scale Assessment</t>
  </si>
  <si>
    <t>Hans Wagemaker</t>
  </si>
  <si>
    <t>Student Misconceptions and Errors in Physics and Mathematics</t>
  </si>
  <si>
    <t>Teresa Neidorf-Alka Arora-Ebru Erberber-Yemurai Tsokodayi-Thanh Mai</t>
  </si>
  <si>
    <t>Motivational Profiles in TIMSS Mathematics</t>
  </si>
  <si>
    <t>Michalis P. Michaelides-Gavin T. L. Brown-Hanna EklÃ¶f-Elena C. Papanastasiou</t>
  </si>
  <si>
    <t>Gender Differences in Computer and Information Literacy</t>
  </si>
  <si>
    <t>Eveline Gebhardt-Sue Thomson-John Ainley-Kylie Hillman</t>
  </si>
  <si>
    <t>Teaching for Excellence and Equity</t>
  </si>
  <si>
    <t>Nathan Burroughs-Jacqueline Gardner-Youngjun Lee-Siwen Guo-Israel Touitou-Kimberly Jansen-William Schmidt</t>
  </si>
  <si>
    <t>Teaching Tolerance in a Globalized World</t>
  </si>
  <si>
    <t>AndrÃ©s Sandoval-HernÃ¡ndez-Maria Magdalena Isac-Daniel Miranda</t>
  </si>
  <si>
    <t>The Globalization of Science Curricula</t>
  </si>
  <si>
    <t>Oliver Stacey-Giulia De Lazzari-Hilary Grayson-Hazel Griffin-Emily Jones</t>
  </si>
  <si>
    <t>Teacher Quality, Instructional Quality and Student Outcomes</t>
  </si>
  <si>
    <t>Trude Nilsen-Jan-Eric Gustafsson</t>
  </si>
  <si>
    <t>Psychometric Framework for Modeling Parental Involvement and Reading Literacy</t>
  </si>
  <si>
    <t>R. Annemiek Punter-Cees A. W. Glas-Martina R. M. Meelissen</t>
  </si>
  <si>
    <t>An Invitation to Statistics in Wasserstein Space</t>
  </si>
  <si>
    <t>Victor M. Panaretos-Yoav Zemel</t>
  </si>
  <si>
    <t>Values â€“ Politics â€“ Religion: The European Values Study</t>
  </si>
  <si>
    <t>Regina Polak-Patrick Rohs</t>
  </si>
  <si>
    <t>The GEO Handbook on Biodiversity Observation Networks</t>
  </si>
  <si>
    <t>Michele Walters-Robert J. Scholes</t>
  </si>
  <si>
    <t>Housing Market Dynamics in Africa</t>
  </si>
  <si>
    <t>El-hadj M. Bah-Issa Faye-Zekebweliwai F. Geh</t>
  </si>
  <si>
    <t>Perspectives on Nuclear Medicine for Molecular Diagnosis and Integrated Therapy</t>
  </si>
  <si>
    <t>Yuji Kuge-Tohru Shiga-Nagara Tamaki</t>
  </si>
  <si>
    <t>Protocols for Pre-Field Screening of Mutants for Salt Tolerance in Rice, Wheat and Barley</t>
  </si>
  <si>
    <t>Souleymane Bado-Brian P. Forster-Abdelbagi Ghanim-Joanna Jankowicz-Cieslak-Berthold GÃ¼nter-Liu Luxiang</t>
  </si>
  <si>
    <t>Policy-Oriented Technology Assessment Across Europe</t>
  </si>
  <si>
    <t>Lars KlÃ¼ver-Rasmus Ã˜jvind Nielsen-Marie Louise JÃ¸rgensen</t>
  </si>
  <si>
    <t>IMPROVE - Innovative Modelling Approaches for Production Systems to Raise Validatable Efficiency</t>
  </si>
  <si>
    <t>Oliver Niggemann-Peter SchÃ¼ller</t>
  </si>
  <si>
    <t>Work and Occupation in French and English Mental Hospitals, C.1918-1939</t>
  </si>
  <si>
    <t>Jane Freebody</t>
  </si>
  <si>
    <t>From Melancholia to Depression</t>
  </si>
  <si>
    <t>Ã…sa Jansson</t>
  </si>
  <si>
    <t>Civilian Lunatic Asylums During the First World War</t>
  </si>
  <si>
    <t>Claire Hilton</t>
  </si>
  <si>
    <t>Healthy Minds in the Twentieth Century</t>
  </si>
  <si>
    <t>Steven J. Taylor-Alice Brumby</t>
  </si>
  <si>
    <t>The Cost of Insanity in Nineteenth-Century Ireland</t>
  </si>
  <si>
    <t>Alice Mauger</t>
  </si>
  <si>
    <t>Investigating the Body in the Victorian Asylum</t>
  </si>
  <si>
    <t>Jennifer Wallis</t>
  </si>
  <si>
    <t>Improving Psychiatric Care for Older People</t>
  </si>
  <si>
    <t>Psychiatry and Decolonisation in Uganda</t>
  </si>
  <si>
    <t>Yolana Pringle</t>
  </si>
  <si>
    <t>Regional and Local Development in Times of Polarisation</t>
  </si>
  <si>
    <t>Thilo Lang-Franziska GÃ¶rmar</t>
  </si>
  <si>
    <t>LGBTQ+ Intimacies in Southern Europe</t>
  </si>
  <si>
    <t>Ana Cristina Santos</t>
  </si>
  <si>
    <t>Russia's Turn to the East</t>
  </si>
  <si>
    <t>Helge Blakkisrud-Elana Wilson Rowe</t>
  </si>
  <si>
    <t>Dissonant Heritages and Memories in Contemporary Europe</t>
  </si>
  <si>
    <t>SOCIAL SCIENCE / Cultural &amp; Ethnic Studies / European Studies</t>
  </si>
  <si>
    <t>Tuuli LÃ¤hdesmÃ¤ki-Luisa Passerini-Sigrid Kaasik-Krogerus-Iris van Huis</t>
  </si>
  <si>
    <t>Challenging Global Development</t>
  </si>
  <si>
    <t>Henning Melber-Uma Kothari-Laura Camfield-Kees Biekart</t>
  </si>
  <si>
    <t>Rethinking Film Festivals in the Pandemic Era and After</t>
  </si>
  <si>
    <t>Marijke de Valck-Antoine Damiens</t>
  </si>
  <si>
    <t>The EU and China in African Authoritarian Regimes</t>
  </si>
  <si>
    <t>Christine Hackenesch</t>
  </si>
  <si>
    <t>The New Politics of Numbers</t>
  </si>
  <si>
    <t>Andrea Mennicken-Robert Salais</t>
  </si>
  <si>
    <t>Rethinking Secular Time in Victorian England</t>
  </si>
  <si>
    <t>Stefan Fisher-HÃ¸yrem</t>
  </si>
  <si>
    <t>Humanistic Governance in Democratic Organizations</t>
  </si>
  <si>
    <t>Sonja NovkoviÄ‡-Karen Miner-Cian McMahon</t>
  </si>
  <si>
    <t>The Content Governance Dilemma</t>
  </si>
  <si>
    <t>Edoardo Celeste-Nicola Palladino-Dennis Redeker-Kinfe Yilma</t>
  </si>
  <si>
    <t>Habitats and Biota of the Gulf of Mexico: Before the Deepwater Horizon Oil Spill</t>
  </si>
  <si>
    <t>C. Herb Ward</t>
  </si>
  <si>
    <t>Education for Sustaining Peace Through Historical Memory</t>
  </si>
  <si>
    <t>Markus Schultze-Kraft</t>
  </si>
  <si>
    <t>Contours of Feminist Political Ecology</t>
  </si>
  <si>
    <t>Wendy Harcourt-Ana Agostino-Rebecca Elmhirst-Marlene GÃ³mez-Panagiota Kotsila</t>
  </si>
  <si>
    <t>Feminist Methodologies</t>
  </si>
  <si>
    <t>Wendy Harcourt-Karijn van den Berg-Constance Dupuis-Jacqueline Gaybor</t>
  </si>
  <si>
    <t>Making Sense of Immigrant Work Integration</t>
  </si>
  <si>
    <t>Luciara Nardon-Amrita Hari</t>
  </si>
  <si>
    <t>West African Youth Challenges and Opportunity Pathways</t>
  </si>
  <si>
    <t>Mora L. McLean</t>
  </si>
  <si>
    <t>Risky Play</t>
  </si>
  <si>
    <t>Ã˜yvind Kvalnes-Ellen Beate Hansen Sandseter</t>
  </si>
  <si>
    <t>The Teleological and Kalam Cosmological Arguments Revisited</t>
  </si>
  <si>
    <t>Andrew Loke</t>
  </si>
  <si>
    <t>Contemporary Nordic Literature and Spatiality</t>
  </si>
  <si>
    <t>Kristina Malmio-Kaisa Kurikka</t>
  </si>
  <si>
    <t>The Ponytail</t>
  </si>
  <si>
    <t>Trygve B. Broch</t>
  </si>
  <si>
    <t>The Nation Form in the Global Age</t>
  </si>
  <si>
    <t>Irfan Ahmad-Jie Kang</t>
  </si>
  <si>
    <t>Internal Diversity</t>
  </si>
  <si>
    <t>Sonja Moghaddari</t>
  </si>
  <si>
    <t>How Generations Remember</t>
  </si>
  <si>
    <t>Monika Palmberger</t>
  </si>
  <si>
    <t>Points of Entanglement in French Caribbean Travel Writing (1620-1722)</t>
  </si>
  <si>
    <t>Equity Policies in Global Higher Education</t>
  </si>
  <si>
    <t>Orlanda Tavares-Carla SÃ¡-Cristina Sin-Alberto Amaral</t>
  </si>
  <si>
    <t>Pentecostalism and Witchcraft</t>
  </si>
  <si>
    <t>Knut Rio-Michelle MacCarthy-Ruy Blanes</t>
  </si>
  <si>
    <t>The Pathologisation of Homosexuality in Fascist Italy</t>
  </si>
  <si>
    <t>Gabriella Romano</t>
  </si>
  <si>
    <t>Digital Healthcare and Expertise</t>
  </si>
  <si>
    <t>Claudia Egher</t>
  </si>
  <si>
    <t>Games Without Frontiers?</t>
  </si>
  <si>
    <t>Heather Wardle</t>
  </si>
  <si>
    <t>A Narratological Approach to Lists in Detective Fiction</t>
  </si>
  <si>
    <t>Sarah J. Link</t>
  </si>
  <si>
    <t>Magazines, Tourism, and Nation-Building in Mexico</t>
  </si>
  <si>
    <t>Claire Lindsay</t>
  </si>
  <si>
    <t>Swiss Public Administration</t>
  </si>
  <si>
    <t>Andreas Ladner-Nils Soguel-Yves Emery-Sophie Weerts-StÃ©phane Nahrath</t>
  </si>
  <si>
    <t>Social Democratic Parties and the Working Class</t>
  </si>
  <si>
    <t>Line Rennwald</t>
  </si>
  <si>
    <t>The Dynamics of Opportunity in America</t>
  </si>
  <si>
    <t>Irwin Kirsch-Henry Braun</t>
  </si>
  <si>
    <t>Urban Living Lab for Local Regeneration</t>
  </si>
  <si>
    <t>Nele Aernouts-Francesca Cognetti-Elena Maranghi</t>
  </si>
  <si>
    <t>Planning Cities in Africa</t>
  </si>
  <si>
    <t>Genet Alem Gebregiorgis-Stefan Greiving-Ally Hassan Namangaya-Wilbard Jackson Kombe</t>
  </si>
  <si>
    <t>Neighbourhoods in Transition</t>
  </si>
  <si>
    <t>Emmanuel Rey-Martine Laprise-Sophie Lufkin</t>
  </si>
  <si>
    <t>Urban Inequality and Segregation in Europe and China</t>
  </si>
  <si>
    <t>Gwilym Pryce-Ya Ping Wang-Yu Chen-Jingjing Shan-Houkai Wei</t>
  </si>
  <si>
    <t>The Life and Afterlife of Gay Neighborhoods</t>
  </si>
  <si>
    <t>Alex Bitterman-Daniel Baldwin Hess</t>
  </si>
  <si>
    <t>Urban Socio-Economic Segregation and Income Inequality</t>
  </si>
  <si>
    <t>Maarten van Ham-Tiit Tammaru-RÅ«ta UbareviÄienÄ—-Heleen Janssen</t>
  </si>
  <si>
    <t>Resilient Urban Futures</t>
  </si>
  <si>
    <t>ZoÃ© A. Hamstead-David M. Iwaniec-Timon McPhearson-Marta BerbÃ©s-BlÃ¡zquez-Elizabeth M. Cook-Tischa A. MuÃ±oz-Erickson</t>
  </si>
  <si>
    <t>Participatory Research and Planning in Practice</t>
  </si>
  <si>
    <t>Janez Nared-David Bole</t>
  </si>
  <si>
    <t>Housing Estates in the Baltic Countries</t>
  </si>
  <si>
    <t>Daniel Baldwin Hess-Tiit Tammaru</t>
  </si>
  <si>
    <t>Housing Estates in Europe</t>
  </si>
  <si>
    <t>Daniel Baldwin Hess-Tiit Tammaru-Maarten van Ham</t>
  </si>
  <si>
    <t>When Can Oil Economies Be Deemed Sustainable?</t>
  </si>
  <si>
    <t>Giacomo Luciani-Tom Moerenhout</t>
  </si>
  <si>
    <t>Cultural Policy Is Local</t>
  </si>
  <si>
    <t>Victoria Durrer-Abigail Gilmore-Leila Jancovich-David Stevenson</t>
  </si>
  <si>
    <t>Understanding Well-being Data</t>
  </si>
  <si>
    <t>Susan Oman</t>
  </si>
  <si>
    <t>The Culture of Capital Punishment in Japan</t>
  </si>
  <si>
    <t>David T. Johnson</t>
  </si>
  <si>
    <t>Microfinance, EU Structural Funds and Capacity Building for Managing Authorities</t>
  </si>
  <si>
    <t>Pasqualina Porretta-Giovanni Pes</t>
  </si>
  <si>
    <t>When Music Takes Over in Film</t>
  </si>
  <si>
    <t>Anna K. Windisch-Claus Tieber-Phil Powrie</t>
  </si>
  <si>
    <t>Cultural Representations of Gender Vulnerability and Resistance</t>
  </si>
  <si>
    <t>Maria Isabel Romero-Ruiz-Pilar Cuder-DomÃ­nguez</t>
  </si>
  <si>
    <t>Feminist and LGBTI+ Activism Across Russia, Scandinavia and Turkey</t>
  </si>
  <si>
    <t>Selin Ã‡aÄŸatay-Mia Liinason-Olga Sasunkevich</t>
  </si>
  <si>
    <t>25 Years of Transformations of Higher Education Systems in Post-Soviet Countries</t>
  </si>
  <si>
    <t>Jeroen Huisman-Anna Smolentseva-Isak Froumin</t>
  </si>
  <si>
    <t>Harnessing the Power of the Criminal Corpse</t>
  </si>
  <si>
    <t>Sarah Tarlow-Emma Battell Lowman</t>
  </si>
  <si>
    <t>Capital Punishment and the Criminal Corpse in Scotland, 1740â€“1834</t>
  </si>
  <si>
    <t>Executing Magic in the Modern Era</t>
  </si>
  <si>
    <t>Owen Davies-Francesca Matteoni</t>
  </si>
  <si>
    <t>The Golden and Ghoulish Age of the Gibbet in Britain</t>
  </si>
  <si>
    <t>Sarah Tarlow</t>
  </si>
  <si>
    <t>Interdisciplinary Perspectives on Mortality and Its Timings</t>
  </si>
  <si>
    <t>Shane McCorristine</t>
  </si>
  <si>
    <t>Dissecting the Criminal Corpse</t>
  </si>
  <si>
    <t>Elizabeth T. Hurren</t>
  </si>
  <si>
    <t>Doing Indefinite Time</t>
  </si>
  <si>
    <t>Irene Marti</t>
  </si>
  <si>
    <t>Empire Under the Microscope</t>
  </si>
  <si>
    <t>Emilie Taylor-Pirie</t>
  </si>
  <si>
    <t>The Life of Breath in Literature, Culture and Medicine</t>
  </si>
  <si>
    <t>David Fuller-Corinne Saunders-Jane Macnaughton</t>
  </si>
  <si>
    <t>Reading Breath in Literature</t>
  </si>
  <si>
    <t>Arthur Rose-Stefanie Heine-Naya Tsentourou-Corinne Saunders-Peter Garratt</t>
  </si>
  <si>
    <t>The Poetics and Politics of Alzheimerâ€™s Disease Life-Writing</t>
  </si>
  <si>
    <t>Martina Zimmermann</t>
  </si>
  <si>
    <t>The Ethics of Vaccination</t>
  </si>
  <si>
    <t>Alberto Giubilini</t>
  </si>
  <si>
    <t>Napoleonic Governance in the Netherlands and Northwest Germany</t>
  </si>
  <si>
    <t>Martijn van der Burg</t>
  </si>
  <si>
    <t>Writing Manuals for the Masses</t>
  </si>
  <si>
    <t>Anneleen Masschelein-Dirk de Geest</t>
  </si>
  <si>
    <t>Early Public Libraries and Colonial Citizenship in the British Southern Hemisphere</t>
  </si>
  <si>
    <t>Lara Atkin-Sarah Comyn-Porscha Fermanis-Nathan Garvey</t>
  </si>
  <si>
    <t>Performing Citizenship</t>
  </si>
  <si>
    <t>Paula Hildebrandt-Kerstin Evert-Sibylle Peters-Mirjam Schaub-Kathrin Wildner</t>
  </si>
  <si>
    <t>Remembering African Labor Migration to the Second World</t>
  </si>
  <si>
    <t>Marcia C. Schenck</t>
  </si>
  <si>
    <t>Cultural Diplomacy in Cold War Finland</t>
  </si>
  <si>
    <t>Louis Clerc</t>
  </si>
  <si>
    <t>Charismatic Christianity in Finland, Norway, and Sweden</t>
  </si>
  <si>
    <t>Jessica Moberg-Jane Skjoldli</t>
  </si>
  <si>
    <t>Travel Writings on Asia</t>
  </si>
  <si>
    <t>Christian Mueller-Matteo Salonia</t>
  </si>
  <si>
    <t>Transforming Food Systems for a Rising India</t>
  </si>
  <si>
    <t>Prabhu Pingali-Anaka Aiyar-Mathew Abraham-Andaleeb Rahman</t>
  </si>
  <si>
    <t>Feeling Gender</t>
  </si>
  <si>
    <t>Harriet Bjerrum Nielsen</t>
  </si>
  <si>
    <t>Kantianism for Animals</t>
  </si>
  <si>
    <t>Nico Dario MÃ¼ller</t>
  </si>
  <si>
    <t>Cow Care in Hindu Animal Ethics</t>
  </si>
  <si>
    <t>Anti-Vivisection and the Profession of Medicine in Britain</t>
  </si>
  <si>
    <t>A.W.H. Bates</t>
  </si>
  <si>
    <t>Rising Powers and Peacebuilding</t>
  </si>
  <si>
    <t>Charles T Call-Cedric de Coning</t>
  </si>
  <si>
    <t>Microhistories of Technology</t>
  </si>
  <si>
    <t>Mikael HÃ¥rd</t>
  </si>
  <si>
    <t>Making Humanitarian Crises</t>
  </si>
  <si>
    <t>Brenda Lynn Edgar-ValÃ©rie Gorin-Dolores MartÃ­n-Moruno</t>
  </si>
  <si>
    <t>Digital Platform Regulation</t>
  </si>
  <si>
    <t>Terry Flew-Fiona R. Martin</t>
  </si>
  <si>
    <t>Rethinking Interdisciplinarity Across the Social Sciences and Neurosciences</t>
  </si>
  <si>
    <t>F. Callard-D. Fitzgerald</t>
  </si>
  <si>
    <t>UK Child Migration to Australia, 1945-1970</t>
  </si>
  <si>
    <t>Gordon Lynch</t>
  </si>
  <si>
    <t>Child Protection in England, 1960â€“2000</t>
  </si>
  <si>
    <t>Jennifer Crane</t>
  </si>
  <si>
    <t>Men's Experiences of Violence in Intimate Relationships</t>
  </si>
  <si>
    <t>Marianne InÃ©z Lien-JÃ¸rgen Lorentzen</t>
  </si>
  <si>
    <t>Methodological Approaches to Societies in Transformation</t>
  </si>
  <si>
    <t>Yasmine Berriane-Annuska Derks-Aymon Kreil-Dorothea LÃ¼ddeckens</t>
  </si>
  <si>
    <t>Technological and Institutional Innovations for Marginalized Smallholders in Agricultural Development</t>
  </si>
  <si>
    <t>Franz W. Gatzweiler-Joachim von Braun</t>
  </si>
  <si>
    <t>Social Movements in 1980s Sweden</t>
  </si>
  <si>
    <t>Helena Hill-AndrÃ©s Brink Pinto</t>
  </si>
  <si>
    <t>Bearing Witness</t>
  </si>
  <si>
    <t>Claas Kirchhelle</t>
  </si>
  <si>
    <t>The Bell Curve' in Perspective</t>
  </si>
  <si>
    <t>William H. Tucker</t>
  </si>
  <si>
    <t>Complicities</t>
  </si>
  <si>
    <t>Natasha Distiller</t>
  </si>
  <si>
    <t>Towards Resilient Organizations and Societies</t>
  </si>
  <si>
    <t>RÃ³mulo Pinheiro-Maria Laura Frigotto-Mitchell Young</t>
  </si>
  <si>
    <t>Bordieuan Field Theory As an Instrument for Military Operational Analysis</t>
  </si>
  <si>
    <t>HÃ¥kan Gunneriusson</t>
  </si>
  <si>
    <t>Disrupted Development and the Future of Inequality in the Age of Automation</t>
  </si>
  <si>
    <t>Lukas Schlogl-Andy Sumner</t>
  </si>
  <si>
    <t>Spanish Economic Growth, 1850â€“2015</t>
  </si>
  <si>
    <t>European Parliamentâ€™s Political Groups in Turbulent Times</t>
  </si>
  <si>
    <t>Petra Ahrens-Anna ElomÃ¤ki-Johanna Kantola</t>
  </si>
  <si>
    <t>Illiberal Trends and Anti-EU Politics in East Central Europe</t>
  </si>
  <si>
    <t>Astrid Lorenz-Lisa H. Anders</t>
  </si>
  <si>
    <t>Taking the EU to Court</t>
  </si>
  <si>
    <t>Christian Adam-Michael W. Bauer-Miriam Hartlapp-Emmanuelle Mathieu</t>
  </si>
  <si>
    <t>Territory and Democratic Politics</t>
  </si>
  <si>
    <t>Oscar Mazzoleni</t>
  </si>
  <si>
    <t>Europe in the Age of Post-Truth Politics</t>
  </si>
  <si>
    <t>Maximilian Conrad-GuÃ°mundur HÃ¡lfdanarson-Asimina Michailidou-Charlotte Galpin-Niko PyrhÃ¶nen</t>
  </si>
  <si>
    <t>Transnational Solidarity in Times of Crises</t>
  </si>
  <si>
    <t>Christian Lahusen-Ulrike Zschache-Maria Kousis</t>
  </si>
  <si>
    <t>Solidarity in Europe</t>
  </si>
  <si>
    <t>Christian Lahusen-Maria T. Grasso</t>
  </si>
  <si>
    <t>Mobile Professional Voluntarism and International Development</t>
  </si>
  <si>
    <t>Helen Louise Ackers-James Ackers-Johnson</t>
  </si>
  <si>
    <t>Safer Healthcare</t>
  </si>
  <si>
    <t>Charles Vincent-RenÃ© Amalberti</t>
  </si>
  <si>
    <t>Radiological Issues for Fukushimaâ€™s Revitalized Future</t>
  </si>
  <si>
    <t>Tomoyuki Takahashi</t>
  </si>
  <si>
    <t>MHealth Innovation in Asia</t>
  </si>
  <si>
    <t>Emma Baulch-Jerry Watkins-Amina Tariq</t>
  </si>
  <si>
    <t>Bats in the Anthropocene: Conservation of Bats in a Changing World</t>
  </si>
  <si>
    <t>Christian C. Voigt-Tigga Kingston</t>
  </si>
  <si>
    <t>Earthquakes, Tsunamis and Nuclear Risks</t>
  </si>
  <si>
    <t>Katsuhiro Kamae</t>
  </si>
  <si>
    <t>The Evolutionary Dynamics of Discursive Knowledge</t>
  </si>
  <si>
    <t>Loet Leydesdorff</t>
  </si>
  <si>
    <t>New Frontiers in Social Innovation Research</t>
  </si>
  <si>
    <t>Alex Nicholls-Julie Simon-Madeleine Gabriel</t>
  </si>
  <si>
    <t>A Philosophical Examination of Social Justice and Child Poverty</t>
  </si>
  <si>
    <t>G. Schweiger-G. Graf</t>
  </si>
  <si>
    <t>Living with Disfigurement in Early Medieval Europe</t>
  </si>
  <si>
    <t>Patricia Skinner</t>
  </si>
  <si>
    <t>Roadblocks to the Socialist Modernization Path and Transition</t>
  </si>
  <si>
    <t>Jutta GÃ¼nther-Dagmara JajeÅ›niak-Quast-Udo Ludwig-Hans-JÃ¼rgen Wagener</t>
  </si>
  <si>
    <t>Shaping Natural History and Settler Society</t>
  </si>
  <si>
    <t>Tanja Hammel</t>
  </si>
  <si>
    <t>Vergleichsweise menschlich?</t>
  </si>
  <si>
    <t>Christine M. Graebsch-Sven-Uwe Burkhardt</t>
  </si>
  <si>
    <t>Enabling Asia to Stabilise the Climate</t>
  </si>
  <si>
    <t>Shuzo Nishioka</t>
  </si>
  <si>
    <t>Modelling Our Changing World</t>
  </si>
  <si>
    <t>Jennifer L. Castle-David F. Hendry</t>
  </si>
  <si>
    <t>Perspectives on Public Policy in Societal-Environmental Crises</t>
  </si>
  <si>
    <t>Adam Izdebski-John Haldon-Piotr Filipkowski</t>
  </si>
  <si>
    <t>Stochastic Transport in Upper Ocean Dynamics II</t>
  </si>
  <si>
    <t>Bertrand Chapron-Dan Crisan-Darryl Holm-Etienne MÃ©min-Anna Radomska</t>
  </si>
  <si>
    <t>Stochastic Transport in Upper Ocean Dynamics</t>
  </si>
  <si>
    <t>Forecasting and Assessing Risk of Individual Electricity Peaks</t>
  </si>
  <si>
    <t>Maria Jacob-ClÃ¡udia Neves-Danica VukadinoviÄ‡ Greetham</t>
  </si>
  <si>
    <t>External Voting</t>
  </si>
  <si>
    <t>Kacper Szulecki-Marta Bivand Erdal-Ben Stanley</t>
  </si>
  <si>
    <t>The Political Economy of Non-Western Migration Regimes</t>
  </si>
  <si>
    <t>Rustamjon Urinboyev-Sherzod Eraliev</t>
  </si>
  <si>
    <t>Making Medicines in Africa</t>
  </si>
  <si>
    <t>Maureen Mackintosh-Geoffrey Banda-Watu Wamae-Paula Tibandebage</t>
  </si>
  <si>
    <t>Macroeconomic Modelling of R&amp;D and Innovation Policies</t>
  </si>
  <si>
    <t>Ufuk Akcigit-Cristiana Benedetti Fasil-Giammario Impullitti-Omar Licandro-Miguel Sanchez-Martinez</t>
  </si>
  <si>
    <t>The Governing-Evaluation-Knowledge Nexus</t>
  </si>
  <si>
    <t>Christina Segerholm-Agneta Hult-Joakim Lindgren-Linda RÃ¶nnberg-Anders Olofsson</t>
  </si>
  <si>
    <t>(Re)presenting Brunei Darussalam</t>
  </si>
  <si>
    <t>Lian Kwen Fee-Paul J. Carnegie-Noor Hasharina Hassan</t>
  </si>
  <si>
    <t>Discursive Approaches to Politics in Malaysia</t>
  </si>
  <si>
    <t>Kumaran Rajandran-Charity Lee</t>
  </si>
  <si>
    <t>Case Studies in Biocultural Diversity From Southeast Asia</t>
  </si>
  <si>
    <t>F. Merlin Franco-Magne Knudsen-Noor Hasharina Hassan</t>
  </si>
  <si>
    <t>Artificial Intelligence for a Better Future</t>
  </si>
  <si>
    <t>Bernd Carsten Stahl</t>
  </si>
  <si>
    <t>Equitable Research Partnerships</t>
  </si>
  <si>
    <t>Doris Schroeder-Kate Chatfield-Michelle Singh-Roger Chennells-Peter Herissone-Kelly</t>
  </si>
  <si>
    <t>Ethics Dumping</t>
  </si>
  <si>
    <t>Doris Schroeder-Julie Cook-FranÃ§ois Hirsch-Solveig Fenet-Vasantha Muthuswamy</t>
  </si>
  <si>
    <t>Migration, Education and Employment</t>
  </si>
  <si>
    <t>Marianne TerÃ¤s-Ali Osman-Eva Eliasson</t>
  </si>
  <si>
    <t>New Horizons for a Data-Driven Economy</t>
  </si>
  <si>
    <t>JosÃ© MarÃ­a Cavanillas-Edward Curry-Wolfgang Wahlster</t>
  </si>
  <si>
    <t>Taking Stock of Industrial Ecology</t>
  </si>
  <si>
    <t>Roland Clift-Angela Druckman</t>
  </si>
  <si>
    <t>Berufliche Passagen im Lebenslauf</t>
  </si>
  <si>
    <t>Kurt HÃ¤feli-Markus P. Neuenschwander-Stephan Schumann</t>
  </si>
  <si>
    <t>Re-engineering the Uptake of ICT in Schools</t>
  </si>
  <si>
    <t>Frans Van Assche-Luis Anido-David Griffiths-Cathy Lewin-Sarah McNicol</t>
  </si>
  <si>
    <t>Economics of Land Degradation and Improvement â€“ A Global Assessment for Sustainable Development</t>
  </si>
  <si>
    <t>Ephraim Nkonya-Alisher Mirzabaev-Joachim von Braun</t>
  </si>
  <si>
    <t>Interdisciplinary Explorations of Postmortem Interaction</t>
  </si>
  <si>
    <t>Estella Weiss-Krejci-Sebastian Becker-Philip Schwyzer</t>
  </si>
  <si>
    <t>P.Y. Galperin's Development of Human Mental Activity</t>
  </si>
  <si>
    <t>Irina Engeness</t>
  </si>
  <si>
    <t>Innovative Medicine</t>
  </si>
  <si>
    <t>Kazuwa Nakao-Nagahiro Minato-Shinji Uemoto</t>
  </si>
  <si>
    <t>Contemporary Bioethics</t>
  </si>
  <si>
    <t>Mohammed Ali Al-Bar-Hassan Chamsi-Pasha</t>
  </si>
  <si>
    <t>Artificiality and Sustainability in Entrepreneurship</t>
  </si>
  <si>
    <t>Richard Adams-Dietmar Grichnik-Asta Pundziene-Christine Volkmann</t>
  </si>
  <si>
    <t>S-BPM in the Wild</t>
  </si>
  <si>
    <t>Albert Fleischmann-Werner Schmidt-Christian Stary</t>
  </si>
  <si>
    <t>Melting Hadrons, Boiling Quarks - From Hagedorn Temperature to Ultra-Relativistic Heavy-Ion Collisions at CERN</t>
  </si>
  <si>
    <t>Johann Rafelski</t>
  </si>
  <si>
    <t>Corporate Data Quality</t>
  </si>
  <si>
    <t>Boris Otto-Hubert Ã–sterle</t>
  </si>
  <si>
    <t>Krisenmanagement am Beispiel der FlÃ¼chtlingslage 2015/2016</t>
  </si>
  <si>
    <t>Patricia M. SchÃ¼tte-Yannic Schulte-Malte SchÃ¶nefeld-Frank Fiedrich</t>
  </si>
  <si>
    <t>Concepts in Action</t>
  </si>
  <si>
    <t>Lucas Bechberger-Kai-Uwe KÃ¼hnberger-Mingya Liu</t>
  </si>
  <si>
    <t>Concepts, Frames and Cascades in Semantics, Cognition and Ontology</t>
  </si>
  <si>
    <t>Sebastian LÃ¶bner-Thomas Gamerschlag-Tobias Kalenscher-Markus Schrenk-Henk Zeevat</t>
  </si>
  <si>
    <t>Computational Cognitive Modeling and Linguistic Theory</t>
  </si>
  <si>
    <t>Adrian Brasoveanu-Jakub DotlaÄil</t>
  </si>
  <si>
    <t>Agricultural and Forestry Reconstruction After the Great East Japan Earthquake</t>
  </si>
  <si>
    <t>Toshiyuki Monma-Itsuo Goto-Takahisa Hayashi-Hidekiyo Tachiya-Kanju Ohsawa</t>
  </si>
  <si>
    <t>Marine Anthropogenic Litter</t>
  </si>
  <si>
    <t>Melanie Bergmann-Lars Gutow-Michael Klages</t>
  </si>
  <si>
    <t>The Sustainability of Agro-Food and Natural Resource Systems in the Mediterranean Basin</t>
  </si>
  <si>
    <t>Antonella Vastola</t>
  </si>
  <si>
    <t>Low-Cost Methods for Molecular Characterization of Mutant Plants</t>
  </si>
  <si>
    <t>Bradley J. Till-Joanna Jankowicz-Cieslak-Owen A. Huynh-Mayada M. Beshir-Robert G. Laport</t>
  </si>
  <si>
    <t>Impacts of the Fukushima Nuclear Accident on Fish and Fishing Grounds</t>
  </si>
  <si>
    <t>Kaoru Nakata-Hiroya Sugisaki</t>
  </si>
  <si>
    <t>Obsessed by a Dream</t>
  </si>
  <si>
    <t>Aashild SÃ¸rheim-Frank Stewart</t>
  </si>
  <si>
    <t>Science and Technology Governance and Ethics</t>
  </si>
  <si>
    <t>Miltos Ladikas-Sachin Chaturvedi-Yandong Zhao-Dirk Stemerding</t>
  </si>
  <si>
    <t>Impact of Information Society Research in the Global South</t>
  </si>
  <si>
    <t>Arul Chib-Julian May-Roxana Barrantes</t>
  </si>
  <si>
    <t>Regulatory Pathways For Smart Grid Development in China</t>
  </si>
  <si>
    <t>Gert Brunekreeft-Till Luhmann-Tobias Menz-Sven-Uwe MÃ¼ller-Paul Recknagel</t>
  </si>
  <si>
    <t>Protecting the Rights of People with Autism in the Fields of Education and Employment</t>
  </si>
  <si>
    <t>Valentina Della Fina-Rachele Cera</t>
  </si>
  <si>
    <t>Bio-based Building Skin</t>
  </si>
  <si>
    <t>Anna Sandak-Jakub Sandak-Marcin Brzezicki-Andreja Kutnar</t>
  </si>
  <si>
    <t>Migration and Identity Through Creative Writing</t>
  </si>
  <si>
    <t>Alka Kumar-Anna Triandafyllidou</t>
  </si>
  <si>
    <t>Revising the Integration-Citizenship Nexus in Europe</t>
  </si>
  <si>
    <t>Roxana Barbulescu-Sara Wallace Goodman-Luicy Pedroza</t>
  </si>
  <si>
    <t>Anxieties of Migration and Integration in Turbulent Times</t>
  </si>
  <si>
    <t>Mari-Liis Jakobson-Russell King-Laura MoroÅŸanu-Raivo Vetik</t>
  </si>
  <si>
    <t>Immigrant and Asylum Seekers Labour Market Integration Upon Arrival: NowHereLand</t>
  </si>
  <si>
    <t>Irina Isaakyan-Anna Triandafyllidou-Simone Baglioni</t>
  </si>
  <si>
    <t>Onward Migration and Multi-Sited Transnationalism</t>
  </si>
  <si>
    <t>Jill Ahrens-Russell King</t>
  </si>
  <si>
    <t>Challenging Mobilities in and to the EU During Times of Crises</t>
  </si>
  <si>
    <t>Maria Kousis-Aspasia Chatzidaki-Konstantinos Kafetsios</t>
  </si>
  <si>
    <t>New Social Mobility</t>
  </si>
  <si>
    <t>Jens Schneider-Maurice Crul-Andreas Pott</t>
  </si>
  <si>
    <t>Migration Research in a Digitized World</t>
  </si>
  <si>
    <t>Steffen PÃ¶tzschke-Sebastian Rinken</t>
  </si>
  <si>
    <t>Revisiting Migrant Networks</t>
  </si>
  <si>
    <t>Elif Keskiner-Michael Eve-Louise Ryan</t>
  </si>
  <si>
    <t>Identifying Security Logics in the EU Policy Discourse</t>
  </si>
  <si>
    <t>Maciej StÄ™pka</t>
  </si>
  <si>
    <t>Women, Migration and Gendered Experiences</t>
  </si>
  <si>
    <t>Ermira Danaj</t>
  </si>
  <si>
    <t>Micro-Management of Irregular Migration</t>
  </si>
  <si>
    <t>Reinhard Schweitzer</t>
  </si>
  <si>
    <t>Migration and Pandemics</t>
  </si>
  <si>
    <t>Anna Triandafyllidou</t>
  </si>
  <si>
    <t>Migration Between Mexico and the United States</t>
  </si>
  <si>
    <t>AgustÃ­n Escobar LatapÃ­-Claudia Masferrer</t>
  </si>
  <si>
    <t>Visual Securitization</t>
  </si>
  <si>
    <t>Alice Massari</t>
  </si>
  <si>
    <t>Queering Asylum in Europe</t>
  </si>
  <si>
    <t>Carmelo Danisi-Moira Dustin-Nuno Ferreira-Nina Held</t>
  </si>
  <si>
    <t>Undocumented Migrants and Their Everyday Lives</t>
  </si>
  <si>
    <t>Jussi S. Jauhiainen-Miriam Tedeschi</t>
  </si>
  <si>
    <t>Visual Methodology in Migration Studies</t>
  </si>
  <si>
    <t>Karolina Nikielska-Sekula-Amandine Desille</t>
  </si>
  <si>
    <t>The Global Lives of German Migrants</t>
  </si>
  <si>
    <t>Marcel Erlinghagen-Andreas Ette-Norbert F. Schneider-Nils Witte</t>
  </si>
  <si>
    <t>Migration, Urbanity and Cosmopolitanism in a Globalized World</t>
  </si>
  <si>
    <t>Catherine Lejeune-Delphine PagÃ¨s-El Karoui-Camille Schmoll-HÃ©lÃ¨ne Thiollet</t>
  </si>
  <si>
    <t>Migrants, Refugees and Asylum Seekersâ€™ Integration in European Labour Markets</t>
  </si>
  <si>
    <t>Veronica Federico-Simone Baglioni</t>
  </si>
  <si>
    <t>Circular Migration and the Rights of Migrant Workers in Central and Eastern Europe</t>
  </si>
  <si>
    <t>Zvezda Vankova</t>
  </si>
  <si>
    <t>Migration, Agriculture and Rural Development</t>
  </si>
  <si>
    <t>Michele Nori-Domenica Farinella</t>
  </si>
  <si>
    <t>Highly-Skilled Migration: Between Settlement and Mobility</t>
  </si>
  <si>
    <t>Agnieszka Weinar-Amanda Klekowski von Koppenfels</t>
  </si>
  <si>
    <t>Nostalgia and Hope: Intersections Between Politics of Culture, Welfare, and Migration in Europe</t>
  </si>
  <si>
    <t>Ov Cristian Norocel-Anders HellstrÃ¶m-Martin Bak JÃ¸rgensen</t>
  </si>
  <si>
    <t>Towards a Systemic Theory of Irregular Migration</t>
  </si>
  <si>
    <t>Gabriel EcheverrÃ­a</t>
  </si>
  <si>
    <t>Migrants with Irregular Status in Europe</t>
  </si>
  <si>
    <t>Sarah Spencer-Anna Triandafyllidou</t>
  </si>
  <si>
    <t>Geographies of Asylum in Europe and the Role of European Localities</t>
  </si>
  <si>
    <t>Birgit Glorius-Jeroen Doomernik</t>
  </si>
  <si>
    <t>Politics of (Dis)Integration</t>
  </si>
  <si>
    <t>Sophie Hinger-Reinhard Schweitzer</t>
  </si>
  <si>
    <t>Mobilities of the Highly Skilled Towards Switzerland</t>
  </si>
  <si>
    <t>Laure Sandoz</t>
  </si>
  <si>
    <t>New and Old Routes of Portuguese Emigration</t>
  </si>
  <si>
    <t>ClÃ¡udia Pereira-Joana Azevedo</t>
  </si>
  <si>
    <t>The Emigrant Communities of Latvia</t>
  </si>
  <si>
    <t>Rita KaÅ¡a-Inta MieriÅ†a</t>
  </si>
  <si>
    <t>Pathways and Consequences of Legal Irregularity</t>
  </si>
  <si>
    <t>Erik R. Vickstrom</t>
  </si>
  <si>
    <t>Youth Transitions Among Descendants of Turkish Immigrants in Amsterdam and Strasbourg:</t>
  </si>
  <si>
    <t>Elif Keskiner</t>
  </si>
  <si>
    <t>Constructing Roma Migrants</t>
  </si>
  <si>
    <t>Tina Magazzini-Stefano Piemontese</t>
  </si>
  <si>
    <t>Migrants and Expats: The Swiss Migration and Mobility Nexus</t>
  </si>
  <si>
    <t>Ilka Steiner-Philippe Wanner</t>
  </si>
  <si>
    <t>Ethnic Identity, Social Mobility and the Role of Soulmates</t>
  </si>
  <si>
    <t>Marieke Slootman</t>
  </si>
  <si>
    <t>Coming to Terms with Superdiversity</t>
  </si>
  <si>
    <t>Peter Scholten-Maurice Crul-Paul van de Laar</t>
  </si>
  <si>
    <t>European Somalis' Post-Migration Movements</t>
  </si>
  <si>
    <t>JoÃ«lle Moret</t>
  </si>
  <si>
    <t>Debating Transformations of National Citizenship</t>
  </si>
  <si>
    <t>Qualitative Research in European Migration Studies</t>
  </si>
  <si>
    <t>Ricard Zapata-Barrero-Evren Yalaz</t>
  </si>
  <si>
    <t>Protest Movements in Asylum and Deportation</t>
  </si>
  <si>
    <t>Sieglinde Rosenberger-Verena Stern-Nina Merhaut</t>
  </si>
  <si>
    <t>Retirement Home? Ageing Migrant Workers in France and the Question of Return</t>
  </si>
  <si>
    <t>Alistair Hunter</t>
  </si>
  <si>
    <t>Contested Childhoods: Growing up in Migrancy</t>
  </si>
  <si>
    <t>Marie Louise Seeberg-ElÅ¼bieta M. GoÅºdziak</t>
  </si>
  <si>
    <t>South-North Migration of EU Citizens in Times of Crisis</t>
  </si>
  <si>
    <t>Jean-Michel Lafleur-Mikolaj Stanek</t>
  </si>
  <si>
    <t>Inter-group Relations and Migrant Integration in European Cities</t>
  </si>
  <si>
    <t>Ferruccio Pastore-Irene Ponzo</t>
  </si>
  <si>
    <t>Integration Processes and Policies in Europe</t>
  </si>
  <si>
    <t>Blanca GarcÃ©s-MascareÃ±as-Rinus Penninx</t>
  </si>
  <si>
    <t>Social Statistics and Ethnic Diversity</t>
  </si>
  <si>
    <t>Patrick Simon-Victor PichÃ©-AmÃ©lie A. Gagnon</t>
  </si>
  <si>
    <t>Integrating Immigrants in Europe</t>
  </si>
  <si>
    <t>Peter Scholten-Han Entzinger-Rinus Penninx-Stijn Verbeek</t>
  </si>
  <si>
    <t>Migration in the Southern Balkans</t>
  </si>
  <si>
    <t>Hans Vermeulen-Martin Baldwin-Edwards-Riki van van Boeschoten</t>
  </si>
  <si>
    <t>Migrating and Settling in a Mobile World</t>
  </si>
  <si>
    <t>Zana Vathi</t>
  </si>
  <si>
    <t>Atlas of Global Change Risk of Population and Economic Systems</t>
  </si>
  <si>
    <t>Talent Development in European Higher Education</t>
  </si>
  <si>
    <t>Dr. Marca V.C. Wolfensberger</t>
  </si>
  <si>
    <t>Managing Elevated Risk</t>
  </si>
  <si>
    <t>Iwan J. Azis-Hyun Song Shin</t>
  </si>
  <si>
    <t>Socio-Life Science and the COVID-19 Outbreak</t>
  </si>
  <si>
    <t>Makoto Yano-Fumihiko Matsuda-Anavaj Sakuntabhai-Shigeru Hirota</t>
  </si>
  <si>
    <t>Carbon Pricing in Japan</t>
  </si>
  <si>
    <t>Toshi H. Arimura-Shigeru Matsumoto</t>
  </si>
  <si>
    <t>Blockchain and Crypto Currency</t>
  </si>
  <si>
    <t>Makoto Yano-Chris Dai-Kenichi Masuda-Yoshio Kishimoto</t>
  </si>
  <si>
    <t>Dynamics of Japanâ€™s Trade and Industrial Policy in the Post Rapid Growth Era (1980â€“2000)</t>
  </si>
  <si>
    <t>RIETI</t>
  </si>
  <si>
    <t>Die Methode der didaktisch orientierten Rekonstruktion</t>
  </si>
  <si>
    <t>Judith Huget</t>
  </si>
  <si>
    <t>Die individuelle mathematische KreativitÃ¤t von Schulkindern</t>
  </si>
  <si>
    <t>Svenja Bruhn</t>
  </si>
  <si>
    <t>Motivationale Aspekte mathematischer Lernprozesse</t>
  </si>
  <si>
    <t>Maximilian Hettmann</t>
  </si>
  <si>
    <t>Analyse von Transferprozessen in der Entwicklung des Bruchzahlbegriffs</t>
  </si>
  <si>
    <t>Sebastian Kollhoff</t>
  </si>
  <si>
    <t>Sprachliche Variationen von mathematischen Textaufgaben</t>
  </si>
  <si>
    <t>David Bednorz</t>
  </si>
  <si>
    <t>Model and Mathematics: From the 19th to the 21st Century</t>
  </si>
  <si>
    <t>Michael Friedman-Karin Krauthausen</t>
  </si>
  <si>
    <t>Rewilding European Landscapes</t>
  </si>
  <si>
    <t>Henrique M. Pereira-Laetitia M. Navarro</t>
  </si>
  <si>
    <t>GeomIntâ€“Mechanical Integrity of Host Rocks</t>
  </si>
  <si>
    <t>Olaf Kolditz-Uwe-Jens GÃ¶rke-Heinz Konietzky-Jobst MaÃŸmann-Mathias Nest</t>
  </si>
  <si>
    <t>Conceptualizing Environmental Citizenship for 21st Century Education</t>
  </si>
  <si>
    <t>Andreas Ch. Hadjichambis-Pedro Reis-Demetra Paraskeva-Hadjichambi-Jan ÄŒinÄera-Jelle Boeve-de Pauw</t>
  </si>
  <si>
    <t>Online Hate Speech in the European Union</t>
  </si>
  <si>
    <t>Stavros Assimakopoulos-Fabienne H. Baider-Sharon Millar</t>
  </si>
  <si>
    <t>Multi-Winner Voting with Approval Preferences</t>
  </si>
  <si>
    <t>Martin Lackner-Piotr Skowron</t>
  </si>
  <si>
    <t>Counteracting Urban Heat Island Effects in a Global Climate Change Scenario</t>
  </si>
  <si>
    <t>Francesco Musco</t>
  </si>
  <si>
    <t>Synchronized Factories</t>
  </si>
  <si>
    <t>Juan S. Blyde</t>
  </si>
  <si>
    <t>Designing Urban Food Policies</t>
  </si>
  <si>
    <t>Caroline Brand-Nicolas Bricas-Damien ConarÃ©-Benoit Daviron-Julie Debru-Laura Michel-Christophe-Toussaint Soulard</t>
  </si>
  <si>
    <t>Genresignaturen</t>
  </si>
  <si>
    <t>Karina Kirsten</t>
  </si>
  <si>
    <t>Medienraum Diaspora</t>
  </si>
  <si>
    <t>Alena Strohmaier</t>
  </si>
  <si>
    <t>Solving the Powertrain Puzzle</t>
  </si>
  <si>
    <t>Schaeffler Technologies GmbH &amp; Co. KG</t>
  </si>
  <si>
    <t>Mediation in Collective Labor Conflicts</t>
  </si>
  <si>
    <t>Martin C. Euwema-Francisco J. Medina-Ana BelÃ©n GarcÃ­a-Erica Romero Pender</t>
  </si>
  <si>
    <t>Promoting Social Dialogue in European Organizations</t>
  </si>
  <si>
    <t>Martin Euwema-Lourdes Munduate-Patricia Elgoibar-Erica Pender-Ana BelÃ©n GarcÃ­a</t>
  </si>
  <si>
    <t>Nuclear Back-end and Transmutation Technology for Waste Disposal</t>
  </si>
  <si>
    <t>Ken Nakajima</t>
  </si>
  <si>
    <t>The Challenges of Religious Literacy</t>
  </si>
  <si>
    <t>Tuula Sakaranaho-Timo Aarrevaara-Johanna Konttori</t>
  </si>
  <si>
    <t>Companion to European Heritage Revivals</t>
  </si>
  <si>
    <t>Linde Egberts-Koos Bosma</t>
  </si>
  <si>
    <t>Groundwater Overexploitation in the North China Plain: A Path to Sustainability</t>
  </si>
  <si>
    <t>Wolfgang Kinzelbach-Haijing Wang-Yu Li-Lu Wang-Ning Li</t>
  </si>
  <si>
    <t>Professionelle Unterrichtswahrnehmung im sozialwissenschaftlichen Fachunterricht</t>
  </si>
  <si>
    <t>Dorothee Gronostay-Sabine Manzel-Katrin Hahn-Laudenberg-Jutta Teuwsen</t>
  </si>
  <si>
    <t>WertschÃ¶pfung hybrid gestalten</t>
  </si>
  <si>
    <t>ifaa - Institut fÃ¼r angewandte Arbeitswi</t>
  </si>
  <si>
    <t>ProduktivitÃ¤tsmanagement 4.0</t>
  </si>
  <si>
    <t>Tim Jeske-Frank Lennings</t>
  </si>
  <si>
    <t>Protecting the Fatherland: Lawsuits and Political Debates in JÃ¼lich, Hesse-Cassel and Brittany (1642-1655)</t>
  </si>
  <si>
    <t>Christel Annemieke Romein</t>
  </si>
  <si>
    <t>Reconsidering Constitutional Formation II Decisive Constitutional Normativity</t>
  </si>
  <si>
    <t>Ulrike MÃ¼ÃŸig</t>
  </si>
  <si>
    <t>Reconsidering Constitutional Formation I National Sovereignty</t>
  </si>
  <si>
    <t>Energy and Sustainable Futures: Proceedings of the 3rd ICESF, 2022</t>
  </si>
  <si>
    <t>Jonathan D. Nixon-Amin Al-Habaibeh-Vladimir Vukovic-Abhishek Asthana</t>
  </si>
  <si>
    <t>Energy and Sustainable Futures</t>
  </si>
  <si>
    <t>Iosif Mporas-Pandelis Kourtessis-Amin Al-Habaibeh-Abhishek Asthana-Vladimir Vukovic</t>
  </si>
  <si>
    <t>Africa-EU Renewable Energy Research and Innovation Symposium 2018 (RERIS 2018)</t>
  </si>
  <si>
    <t>Moeketsi Mpholo-Dirk Steuerwald-Tonny Kukeera</t>
  </si>
  <si>
    <t>Leadership in Educational Contexts in Finland</t>
  </si>
  <si>
    <t>Raisa Ahtiainen-Eija HanhimÃ¤ki-Jaana Leinonen-Mika Risku-Ann-Sofie Smeds-Nylund</t>
  </si>
  <si>
    <t>Non-affirmative Theory of Education and Bildung</t>
  </si>
  <si>
    <t>Michael Uljens</t>
  </si>
  <si>
    <t>Bridging Educational Leadership, Curriculum Theory and Didaktik</t>
  </si>
  <si>
    <t>Michael Uljens-Rose M. Ylimaki</t>
  </si>
  <si>
    <t>Person-Centered Outcome Metrology</t>
  </si>
  <si>
    <t>TECHNOLOGY &amp; ENGINEERING / Measurement</t>
  </si>
  <si>
    <t>William P. Fisher, Jr.-Stefan J. Cano</t>
  </si>
  <si>
    <t>Contemporary Turkey at a Glance</t>
  </si>
  <si>
    <t>Kristina Kamp-Ayhan Kaya-E. Fuat Keyman-Ozge Onursal Besgul</t>
  </si>
  <si>
    <t>Subseafloor Biosphere Linked to Hydrothermal Systems</t>
  </si>
  <si>
    <t>Jun-ichiro Ishibashi-Kyoko Okino-Michinari Sunamura</t>
  </si>
  <si>
    <t>Das EU-Beihilfeverbot im Steuerrecht</t>
  </si>
  <si>
    <t>Thomas Peschke</t>
  </si>
  <si>
    <t>Foundations of Trusted Autonomy</t>
  </si>
  <si>
    <t>Hussein A. Abbass-Jason Scholz-Darryn J. Reid</t>
  </si>
  <si>
    <t>Managing the Complexity of Critical Infrastructures</t>
  </si>
  <si>
    <t>Roberto Setola-Vittorio Rosato-Elias Kyriakides-Erich Rome</t>
  </si>
  <si>
    <t>International Symposium on Mathematics, Quantum Theory, and Cryptography</t>
  </si>
  <si>
    <t>Tsuyoshi Takagi-Masato Wakayama-Keisuke Tanaka-Noboru Kunihiro-Kazufumi Kimoto</t>
  </si>
  <si>
    <t>Finance for Food</t>
  </si>
  <si>
    <t>Doris KÃ¶hn</t>
  </si>
  <si>
    <t>Branes and DAHA Representations</t>
  </si>
  <si>
    <t>Sergei Gukov-Peter Koroteev-Satoshi Nawata-Du Pei-Ingmar Saberi</t>
  </si>
  <si>
    <t>Frontiers of Real Estate Science in Japan</t>
  </si>
  <si>
    <t>Yasushi Asami-Yoshiro Higano-Hideo Fukui</t>
  </si>
  <si>
    <t>Rechtliche Implikationen Profiling-basierter Preispersonalisierung</t>
  </si>
  <si>
    <t>Klaus Wiedemann</t>
  </si>
  <si>
    <t>Sustainable Living with Environmental Risks</t>
  </si>
  <si>
    <t>Nobuhiro Kaneko-Shinji Yoshiura-Masanori Kobayashi</t>
  </si>
  <si>
    <t>The Onlife Manifesto</t>
  </si>
  <si>
    <t>Luciano Floridi</t>
  </si>
  <si>
    <t>Disasters: Core Concepts and Ethical Theories</t>
  </si>
  <si>
    <t>DÃ³nal P. Oâ€™MathÃºna-Vilius Dranseika-Bert Gordijn</t>
  </si>
  <si>
    <t>Die Fragen der Opfer im Strafprozess</t>
  </si>
  <si>
    <t>Ulrica HochstÃ¤tter</t>
  </si>
  <si>
    <t>Trends und Determinanten sozialer Probleme in reichen LÃ¤ndern</t>
  </si>
  <si>
    <t>Marcus Gercke</t>
  </si>
  <si>
    <t>Evaluation der Besonderen Versorgung nach Â§ 140a SGB V</t>
  </si>
  <si>
    <t>Tobias Kisch</t>
  </si>
  <si>
    <t>Erwerbsarbeit von MÃ¼ttern und frÃ¼hkindliche Fremdbetreuung</t>
  </si>
  <si>
    <t>Sonja Maria Schrader</t>
  </si>
  <si>
    <t>Junge Perspektiven der TÃ¼rkeiforschung in Deutschland</t>
  </si>
  <si>
    <t>Klaus Kreiser-Raoul Motika-Udo Steinbach-Charlotte Joppien-Ludwig Schulz</t>
  </si>
  <si>
    <t>Experimental Studies in Learning Technology and Childâ€“Computer Interaction</t>
  </si>
  <si>
    <t>Michail Giannakos</t>
  </si>
  <si>
    <t>Next Generation Supply Chains</t>
  </si>
  <si>
    <t>Rosanna Fornasiero-Saskia Sardesai-Ana Cristina Barros-Aristides Matopoulos</t>
  </si>
  <si>
    <t>Etiology and Morphogenesis of Congenital Heart Disease</t>
  </si>
  <si>
    <t>Toshio Nakanishi-Roger R. Markwald-H.Scott Baldwin-Bradley B. Keller-Deepak Srivastava</t>
  </si>
  <si>
    <t>Wohnen und Gesundheit im Alter</t>
  </si>
  <si>
    <t>Andrea Teti-Enno Nowossadeck-Judith Fuchs-Harald KÃ¼nemund</t>
  </si>
  <si>
    <t>Klinische Entscheidungsfindung mit KÃ¼nstlicher Intelligenz</t>
  </si>
  <si>
    <t>David Samhammer-Susanne Beck-Klemens Budde-Aljoscha Burchardt-Michelle Faber</t>
  </si>
  <si>
    <t>Inflation in Deutschland und dem Euroraum â€“ ein Ãœberblick</t>
  </si>
  <si>
    <t>Horst Gischer-Bernhard Herz-Lukas Menkhoff</t>
  </si>
  <si>
    <t>Systemleichtbau fÃ¼r die Luftfahrt</t>
  </si>
  <si>
    <t>Von Verteidigern und Entdeckern</t>
  </si>
  <si>
    <t>Mitja Back-Gerald Echterhoff-Olaf MÃ¼ller-Detlef Pollack-Bernd Schlipphak</t>
  </si>
  <si>
    <t>Bienen an der Hochschule</t>
  </si>
  <si>
    <t>Frank Bertagnolli-Simon Bludau-Lea Fetzer-Lucas Hadamek-Tayla Herrmann-Amy Treick</t>
  </si>
  <si>
    <t>Nachhaltige Stadtentwicklung</t>
  </si>
  <si>
    <t>Florian Koch-Kerstin Krellenberg</t>
  </si>
  <si>
    <t>Social Selling im B2B</t>
  </si>
  <si>
    <t>Benedikt RÃ¶mmelt</t>
  </si>
  <si>
    <t>DatensouverÃ¤nitÃ¤t</t>
  </si>
  <si>
    <t>Patrik Hummel-Matthias Braun-Steffen Augsberg-Ulrich von Ulmenstein-Peter Dabrock</t>
  </si>
  <si>
    <t>Risikoadaptierte PrÃ¤vention</t>
  </si>
  <si>
    <t>Friedhelm Meier-Anke Harney-Kerstin Rhiem-Anja Neumann-Silke Neusser</t>
  </si>
  <si>
    <t>Buildings for Education</t>
  </si>
  <si>
    <t>Stefano Della Torre-Massimiliano Bocciarelli-Laura Daglio-Raffaella Neri</t>
  </si>
  <si>
    <t>Digital Transformation of the Design, Construction and Management Processes of the Built Environment</t>
  </si>
  <si>
    <t>Bruno Daniotti-Marco Gianinetto-Stefano Della Torre</t>
  </si>
  <si>
    <t>Regeneration of the Built Environment From a Circular Economy Perspective</t>
  </si>
  <si>
    <t>Stefano Della Torre-Sara Cattaneo-Camilla Lenzi-Alessandra Zanelli</t>
  </si>
  <si>
    <t>Radiation Monitoring and Dose Estimation of the Fukushima Nuclear Accident</t>
  </si>
  <si>
    <t>Sentaro Takahashi</t>
  </si>
  <si>
    <t>Instructional Scaffolding in STEM Education</t>
  </si>
  <si>
    <t>Brian R. Belland</t>
  </si>
  <si>
    <t>At Risk of Deprivation</t>
  </si>
  <si>
    <t>Jonas Bergmann</t>
  </si>
  <si>
    <t>GeflÃ¼chtete in lÃ¤ndlichen Regionen Deutschlands</t>
  </si>
  <si>
    <t>Peter Mehl-Johanna Fick-Birgit Glorius-Stefan Kordel-Hannes Schammann</t>
  </si>
  <si>
    <t>Responsive Open Learning Environments</t>
  </si>
  <si>
    <t>Sylvana Kroop-Alexander Mikroyannidis-Martin Wolpers</t>
  </si>
  <si>
    <t>Managing Socio-ecological Production Landscapes and Seascapes for Sustainable Communities in Asia</t>
  </si>
  <si>
    <t>Osamu Saito-Suneetha M Subramanian-Shizuka Hashimoto-Kazuhiko Takeuchi</t>
  </si>
  <si>
    <t>Biofuels and Sustainability</t>
  </si>
  <si>
    <t>Kazuhiko Takeuchi-Hideaki Shiroyama-Osamu Saito-Masahiro Matsuura</t>
  </si>
  <si>
    <t>Beyond the Limits to Growth</t>
  </si>
  <si>
    <t>Hiroshi Komiyama</t>
  </si>
  <si>
    <t>Studium als Balanceakt</t>
  </si>
  <si>
    <t>Franziska Lessky</t>
  </si>
  <si>
    <t>HÃ¤user machen Schule</t>
  </si>
  <si>
    <t>Jan Egger</t>
  </si>
  <si>
    <t>Konzeptionen von FÃ¶rderung, Selektion und Gerechtigkeit</t>
  </si>
  <si>
    <t>Chantal Kamm</t>
  </si>
  <si>
    <t>Self-Reported Population Health: An International Perspective Based on EQ-5D</t>
  </si>
  <si>
    <t>Agota Szende-Bas Janssen-Juan Cabases</t>
  </si>
  <si>
    <t>Enabling Things to Talk</t>
  </si>
  <si>
    <t>Alessandro Bassi-Martin Bauer-Martin Fiedler-Thorsten Kramp-Rob van Kranenburg-Sebastian Lange-Stefan Meissner</t>
  </si>
  <si>
    <t>Demystifying Climate Models</t>
  </si>
  <si>
    <t>Andrew Gettelman-Richard B. Rood</t>
  </si>
  <si>
    <t>University and School Collaborations During a Pandemic</t>
  </si>
  <si>
    <t>Fernando M. Reimers-Francisco J. Marmolejo</t>
  </si>
  <si>
    <t>Deforming the Reform</t>
  </si>
  <si>
    <t>Luana Martin-Russu</t>
  </si>
  <si>
    <t>Made-to-Measure Future(s) for Democracy?</t>
  </si>
  <si>
    <t>Julen Zabalo-Igor Filibi-Leire Escajedo San-Epifanio</t>
  </si>
  <si>
    <t>AiREAS: Sustainocracy for a Healthy City</t>
  </si>
  <si>
    <t>Jean-Paul Close</t>
  </si>
  <si>
    <t>Nuel Belnap on Indeterminism and Free Action</t>
  </si>
  <si>
    <t>Thomas MÃ¼ller</t>
  </si>
  <si>
    <t>Global Perspectives on Educational Innovations for Emergency Situations</t>
  </si>
  <si>
    <t>Vanessa Dennen-Camille Dickson-Deane-Xun Ge-Dirk Ifenthaler-Sahana Murthy</t>
  </si>
  <si>
    <t>Marginality</t>
  </si>
  <si>
    <t>Joachim von Braun-Franz W. Gatzweiler</t>
  </si>
  <si>
    <t>Towards an Emissions Trading System in Mexico: Rationale, Design and Connections with the Global Climate Agenda</t>
  </si>
  <si>
    <t>Simone Lucatello</t>
  </si>
  <si>
    <t>Radical Solutions and Open Science</t>
  </si>
  <si>
    <t>Daniel Burgos</t>
  </si>
  <si>
    <t>Finding the Limits of the Limes</t>
  </si>
  <si>
    <t>Philip Verhagen-Jamie Joyce-Mark R. Groenhuijzen</t>
  </si>
  <si>
    <t>Plant Selection for Bioretention Systems and Stormwater Treatment Practices</t>
  </si>
  <si>
    <t>William F. Hunt-Bill Lord-Benjamin Loh-Angelia Sia</t>
  </si>
  <si>
    <t>Deep Integration, Global Firms, and Technology Spillovers</t>
  </si>
  <si>
    <t>Naoto Jinji-Xingyuan Zhang-Shoji Haruna</t>
  </si>
  <si>
    <t>Wadi Flash Floods</t>
  </si>
  <si>
    <t>Tetsuya Sumi-Sameh A. Kantoush-Mohamed Saber</t>
  </si>
  <si>
    <t>Augmented Reality for Engineering Graphics</t>
  </si>
  <si>
    <t>Vitalii Ivanov-Ivan Pavlenko-Artem Evtuhov-Justyna Trojanowska</t>
  </si>
  <si>
    <t>Multiscale Biomechanics and Tribology of Inorganic and Organic Systems</t>
  </si>
  <si>
    <t>Georg-Peter Ostermeyer-Valentin L. Popov-Evgeny V. Shilko-Olga S. Vasiljeva</t>
  </si>
  <si>
    <t>Volcanic Unrest</t>
  </si>
  <si>
    <t>Joachim Gottsmann-JÃ¼rgen Neuberg-Bettina Scheu</t>
  </si>
  <si>
    <t>Observing the Volcano World</t>
  </si>
  <si>
    <t>Carina J. Fearnley-Deanne K. Bird-Katharine Haynes-William J. McGuire-Gill Jolly</t>
  </si>
  <si>
    <t>The Economy As a Complex Spatial System</t>
  </si>
  <si>
    <t>Pasquale Commendatore-Ingrid Kubin-Spiros Bougheas-Alan Kirman-Michael Kopel</t>
  </si>
  <si>
    <t>Proceedings of the International Conference on Social Modeling and Simulation, Plus Econophysics Colloquium 2014</t>
  </si>
  <si>
    <t>Hideki Takayasu-Nobuyasu Ito-Itsuki Noda-Misako Takayasu</t>
  </si>
  <si>
    <t>Opening Science</t>
  </si>
  <si>
    <t>SÃ¶nke Bartling-Sascha Friesike</t>
  </si>
  <si>
    <t>Cohesion, Coherence and Temporal Reference From an Experimental Corpus Pragmatics Perspective</t>
  </si>
  <si>
    <t>Cristina Grisot</t>
  </si>
  <si>
    <t>Ocean Governance</t>
  </si>
  <si>
    <t>Stefan Partelow-Maria Hadjimichael-Anna-Katharina Hornidge</t>
  </si>
  <si>
    <t>Die Business Judgement Rule</t>
  </si>
  <si>
    <t>BUSINESS &amp; ECONOMICS / Business Law</t>
  </si>
  <si>
    <t>Max Willen</t>
  </si>
  <si>
    <t>El Hierro Island Global Geopark</t>
  </si>
  <si>
    <t>Javier DÃ³niz-PÃ¡ez-Nemesio M. PÃ©rez</t>
  </si>
  <si>
    <t>Applying Reflective Equilibrium</t>
  </si>
  <si>
    <t>Tanja Rechnitzer</t>
  </si>
  <si>
    <t>Old Ways for New Days</t>
  </si>
  <si>
    <t>Melissa Nursey-Bray-Robert Palmer-Ann Marie Chischilly-Phil Rist-Lun Yin</t>
  </si>
  <si>
    <t>Climate of the Middle</t>
  </si>
  <si>
    <t>Arjen Siegmann</t>
  </si>
  <si>
    <t>Interlocal Adaptations to Climate Change in East and Southeast Asia</t>
  </si>
  <si>
    <t>Tetsuji Ito-Makoto Tamura-Akihiko Kotera-Yuki Ishikawa-Ishiwata</t>
  </si>
  <si>
    <t>Introduction to Central Banking</t>
  </si>
  <si>
    <t>Ulrich Bindseil-Alessio Fotia</t>
  </si>
  <si>
    <t>Achieving Zero Hunger in India</t>
  </si>
  <si>
    <t>S. Mahendra Dev-A. Ganesh-Kumar-Vijay Laxmi Pandey</t>
  </si>
  <si>
    <t>Indian Agriculture Towards 2030</t>
  </si>
  <si>
    <t>Ramesh Chand-Pramod Joshi-Shyam Khadka</t>
  </si>
  <si>
    <t>Agricultural Value Chains in India</t>
  </si>
  <si>
    <t>Ashok Gulati-Kavery Ganguly-Harsh Wardhan</t>
  </si>
  <si>
    <t>Revitalizing Indian Agriculture and Boosting Farmer Incomes</t>
  </si>
  <si>
    <t>Ashok Gulati-Ranjana Roy-Shweta Saini</t>
  </si>
  <si>
    <t>The World of the Seafarer</t>
  </si>
  <si>
    <t>Victor Oyaro Gekara-Helen Sampson</t>
  </si>
  <si>
    <t>Ethics, Integrity and Policymaking</t>
  </si>
  <si>
    <t>DÃ³nal O'MathÃºna-Ron Iphofen</t>
  </si>
  <si>
    <t>Acceleration and Cultural Change</t>
  </si>
  <si>
    <t>Thomas Hylland Eriksen-Martina Visentin</t>
  </si>
  <si>
    <t>Design Ethnography</t>
  </si>
  <si>
    <t>Francis MÃ¼ller-Anna Brailovsky</t>
  </si>
  <si>
    <t>The Social Metabolism of Spanish Agriculture, 1900â€“2008</t>
  </si>
  <si>
    <t>Manuel GonzÃ¡lez de Molina-David Soto FernÃ¡ndez-Gloria GuzmÃ¡n Casado-Juan Infante-Amate-Eduardo Aguilera FernÃ¡ndez</t>
  </si>
  <si>
    <t>Optimization-Based Energy Management for Multi-energy Maritime Grids</t>
  </si>
  <si>
    <t>Sidun Fang-Hongdong Wang</t>
  </si>
  <si>
    <t>Report on Global Environmental Competitiveness (2013)</t>
  </si>
  <si>
    <t>Li Jianping-Li Minrong-Wang Jinnan-Li Jianjian-Su Hongwen-Huang Maoxing</t>
  </si>
  <si>
    <t>Marek Thee: My Story</t>
  </si>
  <si>
    <t>Marek Thee-Nils Petter Gleditsch-Stein TÃ¸nnesson-Marta Bivand Erdal</t>
  </si>
  <si>
    <t>R.J. Rummel: An Assessment of His Many Contributions</t>
  </si>
  <si>
    <t>Nils Petter Gleditsch: Pioneer in the Analysis of War and Peace</t>
  </si>
  <si>
    <t>Doing Transitions in the Life Course</t>
  </si>
  <si>
    <t>Barbara Stauber-Andreas Walther-Richard A. Settersten, Jr.</t>
  </si>
  <si>
    <t>Family Dynamics Over the Life Course</t>
  </si>
  <si>
    <t>Janeen Baxter-Jack Lam-Jenny Povey-Rennie Lee-Stephen R. Zubrick</t>
  </si>
  <si>
    <t>Older Workers and Labour Market Exclusion Processes</t>
  </si>
  <si>
    <t>Nathalie Burnay-Jim Ogg-Clary Krekula-Patricia Vendramin</t>
  </si>
  <si>
    <t>Parental Life Courses After Separation and Divorce in Europe</t>
  </si>
  <si>
    <t>Michaela Kreyenfeld-Heike Trappe</t>
  </si>
  <si>
    <t>Social Dynamics in Swiss Society</t>
  </si>
  <si>
    <t>Robin Tillmann-Marieke Voorpostel-Peter Farago</t>
  </si>
  <si>
    <t>Situating Children of Migrants Across Borders and Origins</t>
  </si>
  <si>
    <t>Claudio Bolzman-Laura Bernardi-Jean-Marie Le Goff</t>
  </si>
  <si>
    <t>Comparative Perspectives on Work-Life Balance and Gender Equality</t>
  </si>
  <si>
    <t>Margaret O'Brien-Karin Wall</t>
  </si>
  <si>
    <t>The Plight of Older Workers</t>
  </si>
  <si>
    <t>Isabel Baumann</t>
  </si>
  <si>
    <t>Surveying Human Vulnerabilities Across the Life Course</t>
  </si>
  <si>
    <t>Michel Oris-Caroline Roberts-Dominique Joye-MichÃ¨le Ernst StÃ¤hli</t>
  </si>
  <si>
    <t>A Life Course Perspective on Health Trajectories and Transitions</t>
  </si>
  <si>
    <t>Claudine Burton-Jeangros-StÃ©phane Cullati-Amanda Sacker-David Blane</t>
  </si>
  <si>
    <t>Introduction to Permanent Plug and Abandonment of Wells</t>
  </si>
  <si>
    <t>Mahmoud Khalifeh-Arild Saasen</t>
  </si>
  <si>
    <t>Flowing Matter</t>
  </si>
  <si>
    <t>Federico Toschi-Marcello Sega</t>
  </si>
  <si>
    <t>Co-creating Digital Public Services for an Ageing Society</t>
  </si>
  <si>
    <t>Juliane Jarke</t>
  </si>
  <si>
    <t>Ionospheric Multi-Spacecraft Analysis Tools</t>
  </si>
  <si>
    <t>SCIENCE / Physics / Astrophysics</t>
  </si>
  <si>
    <t>Malcolm Wray Dunlop-Hermann LÃ¼hr</t>
  </si>
  <si>
    <t>Earth Observation Open Science and Innovation</t>
  </si>
  <si>
    <t>Pierre-Philippe Mathieu-Christoph Aubrecht</t>
  </si>
  <si>
    <t>Computation and the Humanities</t>
  </si>
  <si>
    <t>Julianne Nyhan-Andrew Flinn</t>
  </si>
  <si>
    <t>Enhancing Future Skills and Entrepreneurship</t>
  </si>
  <si>
    <t>Kuldip Singh Sangwan-Christoph Herrmann</t>
  </si>
  <si>
    <t>Alpine Industrial Landscapes</t>
  </si>
  <si>
    <t>Marcello Modica</t>
  </si>
  <si>
    <t>Innovations in Derivatives Markets</t>
  </si>
  <si>
    <t>Kathrin Glau-Zorana Grbac-Matthias Scherer-Rudi Zagst</t>
  </si>
  <si>
    <t>Stochastics of Environmental and Financial Economics</t>
  </si>
  <si>
    <t>Fred Espen Benth-Giulia Di Nunno</t>
  </si>
  <si>
    <t>Gemeinsam Musizieren</t>
  </si>
  <si>
    <t>Theresa Vollmer</t>
  </si>
  <si>
    <t>Wissenschaft kommuniziert</t>
  </si>
  <si>
    <t>RenÃ© Wilke</t>
  </si>
  <si>
    <t>Die christliche Predigt im 21. Jahrhundert</t>
  </si>
  <si>
    <t>Carolin Dix</t>
  </si>
  <si>
    <t>Das Ã¶konomische Laboratop</t>
  </si>
  <si>
    <t>Juliane Haus</t>
  </si>
  <si>
    <t>Robots in Care and Everyday Life</t>
  </si>
  <si>
    <t>Uwe Engel</t>
  </si>
  <si>
    <t>Parenting and Work in Poland</t>
  </si>
  <si>
    <t>Katarzyna Suwada</t>
  </si>
  <si>
    <t>Contemporary Family Lifestyles in Central and Western Europe</t>
  </si>
  <si>
    <t>Blahoslav Kraus-Leona StaÅ¡ovÃ¡-Iva JunovÃ¡</t>
  </si>
  <si>
    <t>Organisiertes Misstrauen und ausdifferenzierte Kontrolle</t>
  </si>
  <si>
    <t>Martin WeiÃŸmann</t>
  </si>
  <si>
    <t>Regulating the Metaverse Economy</t>
  </si>
  <si>
    <t>Annelieke Mooij</t>
  </si>
  <si>
    <t>One Rights: Human and Animal Rights in the Anthropocene</t>
  </si>
  <si>
    <t>Saskia Stucki</t>
  </si>
  <si>
    <t>Collective Actions in Europe</t>
  </si>
  <si>
    <t>Linked Democracy</t>
  </si>
  <si>
    <t>Marta Poblet-Pompeu Casanovas-VÃ­ctor RodrÃ­guez-Doncel</t>
  </si>
  <si>
    <t>Ethics and Civil Drones</t>
  </si>
  <si>
    <t>MarÃ­a de Miguel Molina-Virginia Santamarina Campos</t>
  </si>
  <si>
    <t>Big Data in Context</t>
  </si>
  <si>
    <t>Thomas Hoeren-Barbara Kolany-Raiser</t>
  </si>
  <si>
    <t>Implementation of EU Readmission Agreements</t>
  </si>
  <si>
    <t>Sergio Carrera</t>
  </si>
  <si>
    <t>E-Science</t>
  </si>
  <si>
    <t>Claudia Koschtial-Thomas KÃ¶hler-Carsten Felden</t>
  </si>
  <si>
    <t>Narrative Ethics in Public Health: The Value of Stories</t>
  </si>
  <si>
    <t>Drue H. Barrett-Leonard W. Ortmann-Stephanie A. Larson</t>
  </si>
  <si>
    <t>Ethics and Drug Resistance: Collective Responsibility for Global Public Health</t>
  </si>
  <si>
    <t>Euzebiusz Jamrozik-Michael Selgelid</t>
  </si>
  <si>
    <t>Machine Learning and Its Application to Reacting Flows</t>
  </si>
  <si>
    <t>TECHNOLOGY &amp; ENGINEERING / Power Resources / Fossil Fuels</t>
  </si>
  <si>
    <t>Nedunchezhian Swaminathan-Alessandro Parente</t>
  </si>
  <si>
    <t>Business Ethics and Critical Consultant Jokes</t>
  </si>
  <si>
    <t>Onno Bouwmeester</t>
  </si>
  <si>
    <t>Biometric Identification, Law and Ethics</t>
  </si>
  <si>
    <t>Marcus Smith-Seumas Miller</t>
  </si>
  <si>
    <t>Human Challenge Studies in Endemic Settings</t>
  </si>
  <si>
    <t>Euzebiusz Jamrozik-Michael J. Selgelid</t>
  </si>
  <si>
    <t>Tuberculosis in Adults and Children</t>
  </si>
  <si>
    <t>Dorothee Heemskerk-Maxine Caws-Ben Marais-Jeremy Farrar</t>
  </si>
  <si>
    <t>Die vielen Gestalten des Thomas Hobbes in der Deutung von Carl Schmitt und Leo Strauss</t>
  </si>
  <si>
    <t>Ieva Motuzaite</t>
  </si>
  <si>
    <t>Indikatoren fÃ¼r die Messung von Forschung, Entwicklung und Innovation</t>
  </si>
  <si>
    <t>Andreas Kladroba-Tobias Buchmann-Katharina Friz-Marcel Lange-Patrick Wolf</t>
  </si>
  <si>
    <t>Crime and Safety in the Rural</t>
  </si>
  <si>
    <t>Vania Ceccato-Jonatan Abraham</t>
  </si>
  <si>
    <t>Police Code of Silence in Times of Change</t>
  </si>
  <si>
    <t>Sanja Kutnjak IvkoviÄ‡-Jon MaskÃ¡ly-Ahmet Kule-Maria Maki Haberfeld</t>
  </si>
  <si>
    <t>Violence in the Balkans</t>
  </si>
  <si>
    <t>Anna-Maria GetoÅ¡ Kalac</t>
  </si>
  <si>
    <t>Community-Oriented Policing and Technological Innovations</t>
  </si>
  <si>
    <t>Georgios Leventakis-M. R. Haberfeld</t>
  </si>
  <si>
    <t>Societal Implications of Community-Oriented Policing and Technology</t>
  </si>
  <si>
    <t>Cost and Revenue Overruns of the Olympic Games 2000â€“2018</t>
  </si>
  <si>
    <t>Holger PreuÃŸ-Wladimir Andreff-Maike Weitzmann</t>
  </si>
  <si>
    <t>Abschlusspolitische Ergebnisspaltungen mit aufgegebenen GeschÃ¤ftsbereichen nach IFRS 5</t>
  </si>
  <si>
    <t>Kai Czupalla</t>
  </si>
  <si>
    <t>Die Rolle von Unternehmen im IFRS-Standardsetzungsprozess</t>
  </si>
  <si>
    <t>Annekatrin Jendreck</t>
  </si>
  <si>
    <t>Die Zukunft von Privatheit und Selbstbestimmung</t>
  </si>
  <si>
    <t>Alexander RoÃŸnagel-Michael Friedewald</t>
  </si>
  <si>
    <t>Selbstbestimmung, Privatheit und Datenschutz</t>
  </si>
  <si>
    <t>Michael Friedewald-Michael Kreutzer-Marit Hansen</t>
  </si>
  <si>
    <t>Bewertung von Eigentumswohnungen</t>
  </si>
  <si>
    <t>Stephan Walochnik</t>
  </si>
  <si>
    <t>Der Beitrag des Design Thinking zur marktorientierten UnternehmensfÃ¼hrung</t>
  </si>
  <si>
    <t>Iphigenie Leandra Kiefer</t>
  </si>
  <si>
    <t>Dissecting Discrimination</t>
  </si>
  <si>
    <t>Daniel Villiger</t>
  </si>
  <si>
    <t>Sozioanalyse in der pÃ¤dagogischen Arbeit</t>
  </si>
  <si>
    <t>Sabrina Rutter</t>
  </si>
  <si>
    <t>Vor der Revolution</t>
  </si>
  <si>
    <t>Roland Popp</t>
  </si>
  <si>
    <t>Taming the Big Green Elephant</t>
  </si>
  <si>
    <t>Ariel Macaspac HernÃ¡ndez</t>
  </si>
  <si>
    <t>Alterung und Pflege als kommunale Aufgabe</t>
  </si>
  <si>
    <t>Franz Waldenberger-Gerd Naegele-Hiroko Kudo-Tomoo Matsuda</t>
  </si>
  <si>
    <t>ReligiÃ¶se Rituale und soziale Ordnung</t>
  </si>
  <si>
    <t>Rafael Walthert</t>
  </si>
  <si>
    <t>Hipsterism</t>
  </si>
  <si>
    <t>Tara Semple</t>
  </si>
  <si>
    <t>Hochschulreformen, Leistungsbewertungen und berufliche IdentitÃ¤t von Professor*innen</t>
  </si>
  <si>
    <t>Melike JanÃŸen-Uwe Schimank-Ariadne Sondermann</t>
  </si>
  <si>
    <t>Marginalisierung, Stadt und Soziale Arbeit</t>
  </si>
  <si>
    <t>Patrick Oehler-Sandra Janett-Jutta Guhl-Carlo Fabian-Bruno Michon</t>
  </si>
  <si>
    <t>Quartier und Demokratie</t>
  </si>
  <si>
    <t>Olaf Schnur-Matthias Drilling-Oliver Niermann</t>
  </si>
  <si>
    <t>Gesundheit â€“ Teilhabechancen â€“ Diskriminierungsrisiken</t>
  </si>
  <si>
    <t>Elisabeth Wacker-Iris Beck-Martina Brandt-Swantje KÃ¶bsell-Sonia Lippke</t>
  </si>
  <si>
    <t>The Future of Radioactive Waste Governance</t>
  </si>
  <si>
    <t>Maarten Arentsen-Rinie van Est</t>
  </si>
  <si>
    <t>Electricity Access, Decarbonization, and Integration of Renewables</t>
  </si>
  <si>
    <t>Sebastian Groh-Lukas Barner-Georg Heinemann-Christian von Hirschhausen</t>
  </si>
  <si>
    <t>The Technological and Economic Future of Nuclear Power</t>
  </si>
  <si>
    <t>Reinhard Haas-Lutz Mez-Amela Ajanovic</t>
  </si>
  <si>
    <t>Sinnbilder des Alltagsverstandes</t>
  </si>
  <si>
    <t>Juliane Hammermeister</t>
  </si>
  <si>
    <t>Dekoloniale politische Bildung</t>
  </si>
  <si>
    <t>Malte Kleinschmidt</t>
  </si>
  <si>
    <t>Re-Configurations</t>
  </si>
  <si>
    <t>Rachid Ouaissa-Friederike Pannewick-Alena Strohmaier</t>
  </si>
  <si>
    <t>Datenreport Zivilgesellschaft</t>
  </si>
  <si>
    <t>Holger Krimmer</t>
  </si>
  <si>
    <t>UnterstÃ¼tzung datenbasierter Schulentwicklung</t>
  </si>
  <si>
    <t>Christina Luig</t>
  </si>
  <si>
    <t>Governance grenzÃ¼berschreitender Professionalisierung und gesellschaftlicher Integration</t>
  </si>
  <si>
    <t>Katharina LÃ¼thi</t>
  </si>
  <si>
    <t>Schulsysteme beschreiben und gestalten</t>
  </si>
  <si>
    <t>Flavian Imlig</t>
  </si>
  <si>
    <t>NGOs als besondere Akteure der Interessenvermittlung</t>
  </si>
  <si>
    <t>Maximilian Schiffers</t>
  </si>
  <si>
    <t>The Places Where Community Is Practiced</t>
  </si>
  <si>
    <t>Anna Steigemann</t>
  </si>
  <si>
    <t>Von Beteiligung zur Koproduktion</t>
  </si>
  <si>
    <t>Jan Abt-Lutke Blecken-Stephanie Bock-Julia Diringer-Katrin Fahrenkrug</t>
  </si>
  <si>
    <t>The Independent Variable Problem</t>
  </si>
  <si>
    <t>Katharina KuniÃŸen</t>
  </si>
  <si>
    <t>Soziale Armut</t>
  </si>
  <si>
    <t>AndrÃ© Knabe</t>
  </si>
  <si>
    <t>Corporate Diplomacy: How Multinational Corporations Gain Organizational Legitimacy</t>
  </si>
  <si>
    <t>Sarah Marschlich</t>
  </si>
  <si>
    <t>Das polyseme Fundament der Wirklichkeit</t>
  </si>
  <si>
    <t>Satu Fischer-Kongtso</t>
  </si>
  <si>
    <t>Diskurs und MaterialitÃ¤t</t>
  </si>
  <si>
    <t>Simon Egbert</t>
  </si>
  <si>
    <t>Die Bedeutung von FlÃ¼chtling, GeflÃ¼chtete_r und Migrant_in</t>
  </si>
  <si>
    <t>Phillip Alexander Neumair</t>
  </si>
  <si>
    <t>Digitale Medien und Nachhaltigkeit</t>
  </si>
  <si>
    <t>Sigrid KannengieÃŸer</t>
  </si>
  <si>
    <t>Organizational, Motivational, and Cultural Contexts of Volunteering</t>
  </si>
  <si>
    <t>Stefan T. GÃ¼ntert-Theo Wehner-Harald A. Mieg</t>
  </si>
  <si>
    <t>Meaning-Making for Living</t>
  </si>
  <si>
    <t>Koji Komatsu</t>
  </si>
  <si>
    <t>Deliberative Public Engagement with Science</t>
  </si>
  <si>
    <t>Lisa M. PytlikZillig-Myiah J. Hutchens-Peter Muhlberger-Frank J. Gonzalez-Alan J. Tomkins</t>
  </si>
  <si>
    <t>GeomIntâ€”Discontinuities in Geosystems From Lab to Field Scale</t>
  </si>
  <si>
    <t>Olaf Kolditz-Keita Yoshioka-Tuanny Cajuhi-Ralf-Michael GÃ¼nther-Holger Steeb-Frank Wuttke-Thomas Nagel</t>
  </si>
  <si>
    <t>Optimal Surface Fitting of Point Clouds Using Local Refinement</t>
  </si>
  <si>
    <t>GaÃ«l Kermarrec-Vibeke Skytt-Tor Dokken</t>
  </si>
  <si>
    <t>Past, Present and Future of a Habitable Earth</t>
  </si>
  <si>
    <t>Res. Group Dev Strategy of Earth Science</t>
  </si>
  <si>
    <t>Integrating Data Science and Earth Science</t>
  </si>
  <si>
    <t>Laurens M. Bouwer-Doris Dransch-Roland Ruhnke-Diana Rechid-Stephan Frickenhaus</t>
  </si>
  <si>
    <t>Marine Carbon Biogeochemistry</t>
  </si>
  <si>
    <t>Jack J. Middelburg</t>
  </si>
  <si>
    <t>What People Leave Behind</t>
  </si>
  <si>
    <t>Francesca Comunello-Fabrizio Martire-Lorenzo Sabetta</t>
  </si>
  <si>
    <t>Urban and Regional Cooperation and Development</t>
  </si>
  <si>
    <t>Long Zhou-Bin Li-Sihong Li-Ngan Leng Lei-Kengfong Cheong</t>
  </si>
  <si>
    <t>Los Angeles and the Summer Olympic Games</t>
  </si>
  <si>
    <t>Eva Kassens Noor</t>
  </si>
  <si>
    <t>Vitalism and Its Legacy in Twentieth Century Life Sciences and Philosophy</t>
  </si>
  <si>
    <t>Christopher Donohue-Charles T. Wolfe</t>
  </si>
  <si>
    <t>From Assessing to Conserving Biodiversity</t>
  </si>
  <si>
    <t>Elena Casetta-Jorge Marques da Silva-Davide Vecchi</t>
  </si>
  <si>
    <t>The Economics of Big Science</t>
  </si>
  <si>
    <t>Hans Peter Beck-Panagiotis Charitos</t>
  </si>
  <si>
    <t>Comprehensive Utilization of Magnesium Slag by Pidgeon Process</t>
  </si>
  <si>
    <t>Lan'er Wu-Fenglan Han-Guiqun Liu</t>
  </si>
  <si>
    <t>A Multidisciplinary Approach to Capability in Age and Ageing</t>
  </si>
  <si>
    <t>Hanna Falk Erhag-Ulrika LagerlÃ¶f Nilsson-Therese Rydberg Sterner-Ingmar Skoog</t>
  </si>
  <si>
    <t>Social Exclusion in Later Life</t>
  </si>
  <si>
    <t>Kieran Walsh-Thomas Scharf-Sofie Van Regenmortel-Anna Wanka</t>
  </si>
  <si>
    <t>Responsible Procurement</t>
  </si>
  <si>
    <t>Stefan Aichbauer-Martina Buchhauser-Agnes Erben-Sven Steinert-Detlef Tietze-Emilia Wiking</t>
  </si>
  <si>
    <t>Market Segmentation Analysis</t>
  </si>
  <si>
    <t>Sara Dolnicar-Bettina GrÃ¼n-Friedrich Leisch</t>
  </si>
  <si>
    <t>The Geology of Kuwait</t>
  </si>
  <si>
    <t>Abd el-aziz Khairy Abd el-aal-Jasem Mohammed Al-Awadhi-Ali Al-Dousari</t>
  </si>
  <si>
    <t>The Sanitation Triangle</t>
  </si>
  <si>
    <t>Taro Yamauchi-Seiji Nakao-Hidenori Harada</t>
  </si>
  <si>
    <t>The Bluefin Tuna Fishery in the Bay of Biscay</t>
  </si>
  <si>
    <t>JosÃ© Luis Cort-Pablo Abaunza</t>
  </si>
  <si>
    <t>Twisted Isospectrality, Homological Wideness, and Isometry</t>
  </si>
  <si>
    <t>Gunther Cornelissen-Norbert Peyerimhoff</t>
  </si>
  <si>
    <t>The Future of Transport Between Digitalization and Decarbonization</t>
  </si>
  <si>
    <t>Michel Noussan-Manfred Hafner-Simone Tagliapietra</t>
  </si>
  <si>
    <t>Understanding the Bigger Energy Picture</t>
  </si>
  <si>
    <t>Michael DÃ¼ren</t>
  </si>
  <si>
    <t>Stochastic Discounted Cash Flow</t>
  </si>
  <si>
    <t>Lutz Kruschwitz-Andreas LÃ¶ffler</t>
  </si>
  <si>
    <t>Musical Haptics</t>
  </si>
  <si>
    <t>Stefano Papetti-Charalampos Saitis</t>
  </si>
  <si>
    <t>Higher Degree by Research</t>
  </si>
  <si>
    <t>Peter Anderson-Levon Blue-Thu Pham-Melanie Saward</t>
  </si>
  <si>
    <t>The Legibility of Serif and Sans Serif Typefaces</t>
  </si>
  <si>
    <t>EDUCATION / Teaching / Subjects / Reading &amp; Phonics</t>
  </si>
  <si>
    <t>John T. E. Richardson</t>
  </si>
  <si>
    <t>The Distributed University for Sustainable Higher Education</t>
  </si>
  <si>
    <t>Richard Frederick Heller</t>
  </si>
  <si>
    <t>Transforming Lives and Systems</t>
  </si>
  <si>
    <t>Jack Frawley-Tran Nguyen-Emma Sarian</t>
  </si>
  <si>
    <t>Educating Students to Improve the World</t>
  </si>
  <si>
    <t>The Models of Engaged Learning and Teaching</t>
  </si>
  <si>
    <t>Empowering Teachers to Build a Better World</t>
  </si>
  <si>
    <t>The Change Laboratory for Teacher Training in Entrepreneurship Education</t>
  </si>
  <si>
    <t>Daniele Morselli</t>
  </si>
  <si>
    <t>Open and Distance Education in Australia, Europe and the Americas</t>
  </si>
  <si>
    <t>Adnan Qayyum-Olaf Zawacki-Richter</t>
  </si>
  <si>
    <t>The Limits of Art</t>
  </si>
  <si>
    <t>PHILOSOPHY / Movements / Analytic</t>
  </si>
  <si>
    <t>Jiri Benovsky</t>
  </si>
  <si>
    <t>Evaluating Evidence of Mechanisms in Medicine</t>
  </si>
  <si>
    <t>Veli-Pekka Parkkinen-Christian Wallmann-Michael Wilde-Brendan Clarke-Phyllis Illari</t>
  </si>
  <si>
    <t>Dignity in the 21st Century</t>
  </si>
  <si>
    <t>Doris Schroeder-Abolâ€Hassan Bani-Sadr</t>
  </si>
  <si>
    <t>Bayesian Methods in the Search for MH370</t>
  </si>
  <si>
    <t>Neil Gordon-Sam Davey-Ian Holland-Mark Rutten-Jason Williams</t>
  </si>
  <si>
    <t>The Archaeology of Europeâ€™s Drowned Landscapes</t>
  </si>
  <si>
    <t>Geoff Bailey-Nena Galanidou-Hans Peeters-Hauke JÃ¶ns-Moritz Mennenga</t>
  </si>
  <si>
    <t>3D Recording and Interpretation for Maritime Archaeology</t>
  </si>
  <si>
    <t>John K. McCarthy-Jonathan Benjamin-Trevor Winton-Wendy van Duivenvoorde</t>
  </si>
  <si>
    <t>Safe Performance in a World of Global Networks</t>
  </si>
  <si>
    <t>Safety in the Digital Age</t>
  </si>
  <si>
    <t>Jean-Christophe Le Coze-Stian Antonsen</t>
  </si>
  <si>
    <t>Bond Failure Mechanism of Fully Grouted Rock Bolts</t>
  </si>
  <si>
    <t>Jianhang Chen-Yongliang Li-Junwen Zhang</t>
  </si>
  <si>
    <t>European Narratives on Remote Working and Coworking During the COVID-19 Pandemic</t>
  </si>
  <si>
    <t>Mina Akhavan-Marco HÃ¶lzel-Divya Leducq</t>
  </si>
  <si>
    <t>Digital and Strategic Innovation for Alpine Health Tourism</t>
  </si>
  <si>
    <t>Daniele Spoladore-Elena Pessot-Marco Sacco</t>
  </si>
  <si>
    <t>Managing Future Challenges for Safety</t>
  </si>
  <si>
    <t>HervÃ© Laroche-Corinne Bieder-JesÃºs Villena-LÃ³pez</t>
  </si>
  <si>
    <t>Deployment and Operation of Complex Software in Heterogeneous Execution Environments</t>
  </si>
  <si>
    <t>Elisabetta Di Nitto-JesÃºs GorroÃ±ogoitia Cruz-Indika Kumara-Dragan RadoloviÄ‡-Kamil Tokmakov-Zoe Vasileiou</t>
  </si>
  <si>
    <t>Innovative Tools and Methods Using BIM for an Efficient Renovation in Buildings</t>
  </si>
  <si>
    <t>Bruno Daniotti-Sonia Lupica Spagnolo-Alberto Pavan-Cecilia Maria Bolognesi</t>
  </si>
  <si>
    <t>Contracting and Safety</t>
  </si>
  <si>
    <t>Jan Hayes-StÃ©phanie Tillement</t>
  </si>
  <si>
    <t>New Business Models for the Reuse of Secondary Resources From WEEEs</t>
  </si>
  <si>
    <t>Paolo Rosa-Sergio Terzi</t>
  </si>
  <si>
    <t>Finance 4.0 - Towards a Socio-Ecological Finance System</t>
  </si>
  <si>
    <t>Marcus M. Dapp-Dirk Helbing-Stefan Klauser</t>
  </si>
  <si>
    <t>The Data Shake</t>
  </si>
  <si>
    <t>Grazia Concilio-Paola Pucci-Lieven Raes-Geert Mareels</t>
  </si>
  <si>
    <t>The Coupling of Safety and Security</t>
  </si>
  <si>
    <t>Corinne Bieder-Kenneth Pettersen Gould</t>
  </si>
  <si>
    <t>Human and Organisational Factors</t>
  </si>
  <si>
    <t>BenoÃ®t JournÃ©-HervÃ© Laroche-Corinne Bieder-Claude Gilbert</t>
  </si>
  <si>
    <t>Innovation Capacity and the City</t>
  </si>
  <si>
    <t>Grazia Concilio-Ilaria Tosoni</t>
  </si>
  <si>
    <t>Models, Methods and Tools for Product Service Design</t>
  </si>
  <si>
    <t>Laura Cattaneo-Sergio Terzi</t>
  </si>
  <si>
    <t>Control Theory Tutorial</t>
  </si>
  <si>
    <t>Steven A. Frank</t>
  </si>
  <si>
    <t>Risk Communication for the Future</t>
  </si>
  <si>
    <t>Mathilde Bourrier-Corinne Bieder</t>
  </si>
  <si>
    <t>Beyond Safety Training</t>
  </si>
  <si>
    <t>Corinne Bieder-Claude Gilbert-BenoÃ®t JournÃ©-HervÃ© Laroche</t>
  </si>
  <si>
    <t>Model-Driven Development and Operation of Multi-Cloud Applications</t>
  </si>
  <si>
    <t>Elisabetta Di Nitto-Peter Matthews-Dana Petcu-Arnor Solberg</t>
  </si>
  <si>
    <t>Developing Sustainable and Energy-Efficient Software Systems</t>
  </si>
  <si>
    <t>Artem Kruglov-Giancarlo Succi</t>
  </si>
  <si>
    <t>From Opinion Mining to Financial Argument Mining</t>
  </si>
  <si>
    <t>Chung-Chi Chen-Hen-Hsen Huang-Hsin-Hsi Chen</t>
  </si>
  <si>
    <t>The Amazing Journey of Reason</t>
  </si>
  <si>
    <t>Mario Alemi</t>
  </si>
  <si>
    <t>Fertility Transition in the Developing World</t>
  </si>
  <si>
    <t>John Bongaarts-Dennis Hodgson</t>
  </si>
  <si>
    <t>Microsimulation Population Projections with SAS</t>
  </si>
  <si>
    <t>Guillaume Marois-Samir KC</t>
  </si>
  <si>
    <t>Differential Undercounts in the U.S. Census</t>
  </si>
  <si>
    <t>William P. Oâ€™Hare</t>
  </si>
  <si>
    <t>Limits to the European Unionâ€™s Normative Power in a Post-conflict Society</t>
  </si>
  <si>
    <t>Rok ZupanÄiÄ-Nina PejiÄ</t>
  </si>
  <si>
    <t>Strategic Opportunism: What Works in Africa</t>
  </si>
  <si>
    <t>Brian John Huntley</t>
  </si>
  <si>
    <t>Assessing Environmental Risk of Oil Spills with ERA Acute</t>
  </si>
  <si>
    <t>Cathrine Stephansen-Anders BjÃ¸rgesÃ¦ter-Odd Willy Brude-Ute BrÃ¶nner-Tonje Waterloo Rogstad-Grethe Kjeilen-Eilertsen-Jean-Marie Libre-Christian Collin-Hansen</t>
  </si>
  <si>
    <t>Mercury Pollution in Minamata</t>
  </si>
  <si>
    <t>Hisashi Yokoyama</t>
  </si>
  <si>
    <t>Socioeconomic and Environmental Implications of Agricultural Residue Burning</t>
  </si>
  <si>
    <t>Parmod Kumar-Surender Kumar-Laxmi Joshi</t>
  </si>
  <si>
    <t>Transformative Governance for the Future</t>
  </si>
  <si>
    <t>Antonia Caro-Gonzalez</t>
  </si>
  <si>
    <t>The Pilgrimâ€™s Guide to the Workplace</t>
  </si>
  <si>
    <t>Agustin Chevez</t>
  </si>
  <si>
    <t>The Socially Responsible Organization</t>
  </si>
  <si>
    <t>Ian I. Mitroff</t>
  </si>
  <si>
    <t>The Art of Sustainable Performance</t>
  </si>
  <si>
    <t>Bas Kodden</t>
  </si>
  <si>
    <t>A Macroeconometric Model for Saudi Arabia</t>
  </si>
  <si>
    <t>Fakhri J. Hasanov-Frederick L. Joutz-Jeyhun I. Mikayilov-Muhammad Javid</t>
  </si>
  <si>
    <t>Quantitative Models in Life Science Business</t>
  </si>
  <si>
    <t>Jung Kyu Canci-Philipp Mekler-Gang Mu</t>
  </si>
  <si>
    <t>R&amp;D Management Practices and Innovation: Evidence From a Firm Survey</t>
  </si>
  <si>
    <t>Shoko Haneda-Arito Ono</t>
  </si>
  <si>
    <t>Local Tax Benefits at a Distance</t>
  </si>
  <si>
    <t>Takaaki Hoda-Richard B. Dasher</t>
  </si>
  <si>
    <t>Environmental Valuation with Discrete Choice Experiments</t>
  </si>
  <si>
    <t>Petr Mariel-David Hoyos-JÃ¼rgen Meyerhoff-Mikolaj Czajkowski-Thijs Dekker</t>
  </si>
  <si>
    <t>Building a Cashless Society</t>
  </si>
  <si>
    <t>Niklas Arvidsson</t>
  </si>
  <si>
    <t>Socioeconomics of Agriculture</t>
  </si>
  <si>
    <t>Stefan Mann</t>
  </si>
  <si>
    <t>Institutional Reform for Innovation and Entrepreneurship</t>
  </si>
  <si>
    <t>Niklas Elert-Magnus Henrekson-Mikael Stenkula</t>
  </si>
  <si>
    <t>GDPR and Biobanking</t>
  </si>
  <si>
    <t>Santa Slokenberga-Olga Tzortzatou-Jane Reichel</t>
  </si>
  <si>
    <t>Wetlands and Water Framework Directive</t>
  </si>
  <si>
    <t>Stefan Ignar-Mateusz Grygoruk</t>
  </si>
  <si>
    <t>Researching Central Asia</t>
  </si>
  <si>
    <t>Jasmin Dall'Agnola-Aijan Sharshenova</t>
  </si>
  <si>
    <t>Human Rights Dissemination in Central Asia</t>
  </si>
  <si>
    <t>Anja Mihr-Cindy Wittke</t>
  </si>
  <si>
    <t>Political Islam and Religiously Motivated Political Extremism</t>
  </si>
  <si>
    <t>Green Infrastructure and Climate Change Adaptation</t>
  </si>
  <si>
    <t>Futoshi Nakamura</t>
  </si>
  <si>
    <t>Long-Term Ecosystem Changes in Riparian Forests</t>
  </si>
  <si>
    <t>Hitoshi Sakio</t>
  </si>
  <si>
    <t>Beyond Data</t>
  </si>
  <si>
    <t>Alessandro Mantelero</t>
  </si>
  <si>
    <t>Theoretical and Experimental Studies on Steady-State Microbunching</t>
  </si>
  <si>
    <t>Xiujie Deng</t>
  </si>
  <si>
    <t>Cognitive Supervision for Robot-Assisted Minimally Invasive Laser Surgery</t>
  </si>
  <si>
    <t>Loris Fichera</t>
  </si>
  <si>
    <t>Intertwingled</t>
  </si>
  <si>
    <t>Douglas R. Dechow-Daniele C. Struppa</t>
  </si>
  <si>
    <t>Social Determinants of Health in Non-communicable Diseases</t>
  </si>
  <si>
    <t>Katsunori Kondo</t>
  </si>
  <si>
    <t>Data Protection Without Data Protectionism</t>
  </si>
  <si>
    <t>Tobias Naef</t>
  </si>
  <si>
    <t>Sustainable Commodity Use</t>
  </si>
  <si>
    <t>Maximilian Eduard Oehl</t>
  </si>
  <si>
    <t>Values for a Post-Pandemic Future</t>
  </si>
  <si>
    <t>Matthew J. Dennis-Georgy Ishmaev-Steven Umbrello-Jeroen van den Hoven</t>
  </si>
  <si>
    <t>Continental Philosophy of Technoscience</t>
  </si>
  <si>
    <t>Hub Zwart</t>
  </si>
  <si>
    <t>Monitoring State Compliance with the UN Convention on the Rights of the Child</t>
  </si>
  <si>
    <t>Ziba Vaghri-Jean Zermatten-Gerison Lansdown-Roberta Ruggiero</t>
  </si>
  <si>
    <t>Critical Points for the Organisation of Test Performance Studies in Microbiology</t>
  </si>
  <si>
    <t>Ana VuÄuroviÄ‡-NataÅ¡a Mehle-GÃ©raldine Anthoine-Tanja Dreo-Maja Ravnikar</t>
  </si>
  <si>
    <t>Intelligent Systems for Sustainable Person-Centered Healthcare</t>
  </si>
  <si>
    <t>Dalia Kriksciuniene-Virgilijus Sakalauskas</t>
  </si>
  <si>
    <t>Exploring Islamic Social Work</t>
  </si>
  <si>
    <t>HansjÃ¶rg Schmid-Amir Sheikhzadegan</t>
  </si>
  <si>
    <t>Rethinking Sustainability Towards a Regenerative Economy</t>
  </si>
  <si>
    <t>Maria Beatrice Andreucci-Antonino Marvuglia-Milen Baltov-Preben Hansen</t>
  </si>
  <si>
    <t>Urban Planning Against Poverty</t>
  </si>
  <si>
    <t>Jean-Claude Bolay</t>
  </si>
  <si>
    <t>Outdoor Learning and Play</t>
  </si>
  <si>
    <t>Liv Torunn Grindheim-Hanne VÃ¦rum SÃ¸rensen-Angela Rekers</t>
  </si>
  <si>
    <t>Children's Exploration and Cultural Formation</t>
  </si>
  <si>
    <t>Mariane Hedegaard-Elin Eriksen Ã˜degaard</t>
  </si>
  <si>
    <t>Space, Place and Educational Settings</t>
  </si>
  <si>
    <t>Tim Freytag-Douglas L. Lauen-Susan L. Robertson</t>
  </si>
  <si>
    <t>Geographies of Schooling</t>
  </si>
  <si>
    <t>Holger Jahnke-Caroline Kramer-Peter Meusburger</t>
  </si>
  <si>
    <t>Geographies of the University</t>
  </si>
  <si>
    <t>Peter Meusburger-Michael Heffernan-Laura Suarsana</t>
  </si>
  <si>
    <t>Knowledge and Institutions</t>
  </si>
  <si>
    <t>Johannes GlÃ¼ckler-Roy Suddaby-Regina Lenz</t>
  </si>
  <si>
    <t>Mobilities of Knowledge</t>
  </si>
  <si>
    <t>Heike JÃ¶ns-Peter Meusburger-Michael Heffernan</t>
  </si>
  <si>
    <t>Ambisonics</t>
  </si>
  <si>
    <t>Franz Zotter-Matthias Frank</t>
  </si>
  <si>
    <t>Sustainable Development in the Jordan Valley</t>
  </si>
  <si>
    <t>Jeroen Kool</t>
  </si>
  <si>
    <t>Script Effects As the Hidden Drive of the Mind, Cognition, and Culture</t>
  </si>
  <si>
    <t>Hye K. Pae-Charles A. Perfetti</t>
  </si>
  <si>
    <t>Data Science-Based Full-Lifespan Management of Lithium-Ion Battery</t>
  </si>
  <si>
    <t>Kailong Liu-Yujie Wang-Xin Lai</t>
  </si>
  <si>
    <t>Designing Sustainable Energy for All</t>
  </si>
  <si>
    <t>Carlo Vezzoli-Fabrizio Ceschin-Lilac Osanjo-Mugendi K. Mâ€™Rithaa-Richie Moalosi-Venny Nakazibwe-Jan Carel Diehl</t>
  </si>
  <si>
    <t>Renewing Local Planning to Face Climate Change in the Tropics</t>
  </si>
  <si>
    <t>Maurizio Tiepolo-Alessandro Pezzoli-Vieri Tarchiani</t>
  </si>
  <si>
    <t>Emerging Threats of Synthetic Biology and Biotechnology</t>
  </si>
  <si>
    <t>Benjamin D. Trump-Marie-Valentine Florin-Edward Perkins-Igor Linkov</t>
  </si>
  <si>
    <t>The Barcelona School of Ecological Economics and Political Ecology</t>
  </si>
  <si>
    <t>Sergio Villamayor-Tomas-Roldan Muradian</t>
  </si>
  <si>
    <t>Children and Peace</t>
  </si>
  <si>
    <t>Nikola Balvin-Daniel J. Christie</t>
  </si>
  <si>
    <t>Stable Isotopes in Tree Rings</t>
  </si>
  <si>
    <t>Rolf T. W. Siegwolf-J. RenÃ©e Brooks-John Roden-Matthias Saurer</t>
  </si>
  <si>
    <t>A Climate of Justice: An Ethical Foundation for Environmentalism</t>
  </si>
  <si>
    <t>Marvin T. Brown</t>
  </si>
  <si>
    <t>Happiness Is the Wrong Metric</t>
  </si>
  <si>
    <t>Amitai Etzioni</t>
  </si>
  <si>
    <t>Rethinking Nordic Courts</t>
  </si>
  <si>
    <t>Laura Ervo-Pia Letto-Vanamo-Anna Nylund</t>
  </si>
  <si>
    <t>Do Exclusionary Rules Ensure a Fair Trial?</t>
  </si>
  <si>
    <t>Sabine Gless-Thomas Richter</t>
  </si>
  <si>
    <t>Psychology, Learning, Technology</t>
  </si>
  <si>
    <t>Pierpaolo Limone-Raffaele Di Fuccio-Giusi Antonia Toto</t>
  </si>
  <si>
    <t>VR Technologies in Cultural Heritage</t>
  </si>
  <si>
    <t>Mihai DuguleanÄƒ-Marcello Carrozzino-MatjaÅ¾ Gams-Iulian Tanea</t>
  </si>
  <si>
    <t>Maria Paasivaara-Philippe Kruchten</t>
  </si>
  <si>
    <t>Digital Transformation in Semiconductor Manufacturing</t>
  </si>
  <si>
    <t>Sophia Keil-Rainer Lasch-Fabian Lindner-Jacob Lohmer</t>
  </si>
  <si>
    <t>Flexitranstore</t>
  </si>
  <si>
    <t>BÃ¡lint NÃ©meth-Lambros Ekonomou</t>
  </si>
  <si>
    <t>Defending Checks and Balances in EU Member States</t>
  </si>
  <si>
    <t>Armin von Bogdandy-Piotr Bogdanowicz-Iris Canor-Christoph Grabenwarter-Maciej Taborowski</t>
  </si>
  <si>
    <t>Remedies Against Immunity?</t>
  </si>
  <si>
    <t>Valentina Volpe-Anne Peters-Stefano Battini</t>
  </si>
  <si>
    <t>Richter Ã¼ber internationale Gerichte?</t>
  </si>
  <si>
    <t>Raffaela Kunz</t>
  </si>
  <si>
    <t>Studies in Global Animal Law</t>
  </si>
  <si>
    <t>Anne Peters</t>
  </si>
  <si>
    <t>SubsidiaritÃ¤tsgrundsatz und Tatsachenfeststellung unter der EuropÃ¤ischen Menschenrechtskonvention</t>
  </si>
  <si>
    <t>Arthur Brunner</t>
  </si>
  <si>
    <t>Biodiversity Conservation and Phylogenetic Systematics</t>
  </si>
  <si>
    <t>Roseli Pellens-Philippe Grandcolas</t>
  </si>
  <si>
    <t>Exceptional Lifespans</t>
  </si>
  <si>
    <t>Heiner Maier-Bernard Jeune-James W. Vaupel</t>
  </si>
  <si>
    <t>Sensitivity Analysis: Matrix Methods in Demography and Ecology</t>
  </si>
  <si>
    <t>Hal Caswell</t>
  </si>
  <si>
    <t>Old and New Perspectives on Mortality Forecasting</t>
  </si>
  <si>
    <t>Tommy Bengtsson-Nico Keilman</t>
  </si>
  <si>
    <t>Model-Based Demography</t>
  </si>
  <si>
    <t>Thomas K. Burch</t>
  </si>
  <si>
    <t>Childlessness in Europe: Contexts, Causes, and Consequences</t>
  </si>
  <si>
    <t>Michaela Kreyenfeld-Dirk Konietzka</t>
  </si>
  <si>
    <t>Regularity of the One-phase Free Boundaries</t>
  </si>
  <si>
    <t>Bozhidar Velichkov</t>
  </si>
  <si>
    <t>Logischer Empirismus, Lebensreform Und Die Deutsche Jugendbewegung</t>
  </si>
  <si>
    <t>Christian DambÃ¶ck-GÃ¼nther Sandner-Meike G. Werner</t>
  </si>
  <si>
    <t>Der Junge Carnap in Historischem Kontext: 1918â€“1935 / Young Carnap in an Historical Context: 1918â€“1935</t>
  </si>
  <si>
    <t>Christian DambÃ¶ck-Gereon Wolters</t>
  </si>
  <si>
    <t>Rangeland Systems</t>
  </si>
  <si>
    <t>David D. Briske</t>
  </si>
  <si>
    <t>The Institutional Compass: Method, Use and Scope</t>
  </si>
  <si>
    <t>MichÃ¨le Indira Friend</t>
  </si>
  <si>
    <t>Towards Bayesian Model-Based Demography</t>
  </si>
  <si>
    <t>Jakub Bijak-Philip A. Higham-Jason Hilton-Martin Hinsch-Sarah Nurse</t>
  </si>
  <si>
    <t>Researching Elites and Power</t>
  </si>
  <si>
    <t>Francois Denord-Mikael Palme-Bertrand RÃ©au</t>
  </si>
  <si>
    <t>Methodological Investigations in Agent-Based Modelling</t>
  </si>
  <si>
    <t>Eric Silverman</t>
  </si>
  <si>
    <t>Animals in Our Midst: The Challenges of Co-existing with Animals in the Anthropocene</t>
  </si>
  <si>
    <t>Bernice Bovenkerk-Jozef Keulartz</t>
  </si>
  <si>
    <t>Forest Bioeconomy and Climate Change</t>
  </si>
  <si>
    <t>Lauri HetemÃ¤ki-Jyrki Kangas-Heli Peltola</t>
  </si>
  <si>
    <t>Climate-Smart Forestry in Mountain Regions</t>
  </si>
  <si>
    <t>Roberto Tognetti-Melanie Smith-Pietro Panzacchi</t>
  </si>
  <si>
    <t>Non-Equilibrium Social Science and Policy</t>
  </si>
  <si>
    <t>Jeffrey Johnson-Andrzej Nowak-Paul Ormerod-Bridget Rosewell-Yi-Cheng Zhang</t>
  </si>
  <si>
    <t>Future Space-Transport-System Components Under High Thermal and Mechanical Loads</t>
  </si>
  <si>
    <t>Nikolaus A. Adams-Wolfgang SchrÃ¶der-Rolf Radespiel-Oskar J. Haidn-Thomas Sattelmayer</t>
  </si>
  <si>
    <t>Building Better Interfaces for Remote Autonomous Systems</t>
  </si>
  <si>
    <t>Jacob D. Oury-Frank E. Ritter</t>
  </si>
  <si>
    <t>Interdisciplinary Insights for Digital Touch Communication</t>
  </si>
  <si>
    <t>Carey Jewitt-Sara Price-Kerstin Leder Mackley-Nikoleta Yiannoutsou-Douglas Atkinson</t>
  </si>
  <si>
    <t>European Language Grid</t>
  </si>
  <si>
    <t>Georg Rehm</t>
  </si>
  <si>
    <t>Vector Semantics</t>
  </si>
  <si>
    <t>AndrÃ¡s Kornai</t>
  </si>
  <si>
    <t>Micro-, Meso- and Macro-Dynamics of the Brain</t>
  </si>
  <si>
    <t>GyÃ¶rgy BuzsÃ¡ki-Yves Christen</t>
  </si>
  <si>
    <t>Micro-, Meso- and Macro-Connectomics of the Brain</t>
  </si>
  <si>
    <t>Henry Kennedy-David C. Van Essen-Yves Christen</t>
  </si>
  <si>
    <t>Inquisitive Logic</t>
  </si>
  <si>
    <t>Ivano Ciardelli</t>
  </si>
  <si>
    <t>The Logical Writings of Karl Popper</t>
  </si>
  <si>
    <t>David Binder-Thomas Piecha-Peter Schroeder-Heister</t>
  </si>
  <si>
    <t>Principles and Practice of Case-based Clinical Reasoning Education</t>
  </si>
  <si>
    <t>Olle ten Cate-EugÃ¨ne J.F.M. Custers-Steven J. Durning</t>
  </si>
  <si>
    <t>Evidence-Based School Development in Changing Demographic Contexts</t>
  </si>
  <si>
    <t>Rose M. Ylimaki-Lynnette A. Brunderman</t>
  </si>
  <si>
    <t>Building the Foundation: Whole Numbers in the Primary Grades</t>
  </si>
  <si>
    <t>Maria G. Bartolini Bussi-Xu Hua Sun</t>
  </si>
  <si>
    <t>Geodesy for a Sustainable Earth</t>
  </si>
  <si>
    <t>Beyond 100: The Next Century in Geodesy</t>
  </si>
  <si>
    <t>Handbook of Digital Face Manipulation and Detection</t>
  </si>
  <si>
    <t>Christian Rathgeb-Ruben Tolosana-Ruben Vera-Rodriguez-Christoph Busch</t>
  </si>
  <si>
    <t>Young Adults and Active Citizenship</t>
  </si>
  <si>
    <t>Natasha Kersh-Hanna Toiviainen-Pirkko PitkÃ¤nen-George K. Zarifis</t>
  </si>
  <si>
    <t>Ecological Risk Assessment for Chlorpyrifos in Terrestrial and Aquatic Systems in the United States</t>
  </si>
  <si>
    <t>John P. Giesy-Keith R. Solomon</t>
  </si>
  <si>
    <t>Pattern Recognition, Tracking and Vertex Reconstruction in Particle Detectors</t>
  </si>
  <si>
    <t>Rudolf FrÃ¼hwirth-Are Strandlie</t>
  </si>
  <si>
    <t>Nb3Sn Accelerator Magnets</t>
  </si>
  <si>
    <t>Daniel Schoerling-Alexander V. Zlobin</t>
  </si>
  <si>
    <t>Dynamic Spectrum Management</t>
  </si>
  <si>
    <t>Ying-Chang Liang</t>
  </si>
  <si>
    <t>Anisotropy Across Fields and Scales</t>
  </si>
  <si>
    <t>Evren Ã–zarslan-Thomas Schultz-Eugene Zhang-Andrea Fuster</t>
  </si>
  <si>
    <t>Informationâ€”Consciousnessâ€”Reality</t>
  </si>
  <si>
    <t>James B. Glattfelder</t>
  </si>
  <si>
    <t>The Challenge of Chance</t>
  </si>
  <si>
    <t>Klaas Landsman-Ellen van Wolde</t>
  </si>
  <si>
    <t>Visions of DNA Nanotechnology at 40 for the Next 40</t>
  </si>
  <si>
    <t>NataÅ¡a Jonoska-Erik Winfree</t>
  </si>
  <si>
    <t>Hardy Inequalities on Homogeneous Groups</t>
  </si>
  <si>
    <t>Michael Ruzhansky-Durvudkhan Suragan</t>
  </si>
  <si>
    <t>Quantifying Quality of Life</t>
  </si>
  <si>
    <t>Katarzyna Wac-Sharon Wulfovich</t>
  </si>
  <si>
    <t>Information Infrastructures Within European Health Care</t>
  </si>
  <si>
    <t>Margunn Aanestad-Miria Grisot-Ole Hanseth-Polyxeni Vassilakopoulou</t>
  </si>
  <si>
    <t>Prevention and Treatment of Atherosclerosis</t>
  </si>
  <si>
    <t>Arnold von Eckardstein-Christoph J. Binder</t>
  </si>
  <si>
    <t>Good Research Practice in Non-Clinical Pharmacology and Biomedicine</t>
  </si>
  <si>
    <t>Anton Bespalov-Martin C. Michel-Thomas Steckler</t>
  </si>
  <si>
    <t>Crisis Reporters, Emotions, and Technology</t>
  </si>
  <si>
    <t>Johana KotiÅ¡ovÃ¡</t>
  </si>
  <si>
    <t>Mission AI</t>
  </si>
  <si>
    <t>Haroon Sheikh-Corien Prins-Erik Schrijvers</t>
  </si>
  <si>
    <t>Better Work</t>
  </si>
  <si>
    <t>Monique Kremer-Robert Went-Godfried Engbersen</t>
  </si>
  <si>
    <t>Money and Debt: The Public Role of Banks</t>
  </si>
  <si>
    <t>Bart Stellinga-Josta de Hoog-Arthur van Riel-Casper de Vries</t>
  </si>
  <si>
    <t>Security in an Interconnected World</t>
  </si>
  <si>
    <t>Ernst Hirsch Ballin-Huub Dijstelbloem-Peter de Goede</t>
  </si>
  <si>
    <t>European Variations As a Key to Cooperation</t>
  </si>
  <si>
    <t>Ernst Hirsch Ballin-Emina Ä†erimoviÄ‡-Huub Dijstelbloem-Mathieu Segers</t>
  </si>
  <si>
    <t>Why Knowing What To Do Is Not Enough</t>
  </si>
  <si>
    <t>Anne-Greet Keizer-Will Tiemeijer-Mark Bovens</t>
  </si>
  <si>
    <t>Tourism and Conservation-based Development in the Periphery</t>
  </si>
  <si>
    <t>Trace Gale-Detrich-Andrea Ednie-Keith Bosak</t>
  </si>
  <si>
    <t>Autistic Community and the Neurodiversity Movement</t>
  </si>
  <si>
    <t>Steven K. Kapp</t>
  </si>
  <si>
    <t>Autonome Shuttlebusse im Ã–PNV</t>
  </si>
  <si>
    <t>Andreas Riener-Alexandra Appel-Wolfgang Dorner-Thomas Huber-Jan Christopher Kolb</t>
  </si>
  <si>
    <t>Handbook of Education Policy Studies</t>
  </si>
  <si>
    <t>Guorui Fan-Thomas S. Popkewitz</t>
  </si>
  <si>
    <t>Spaceâ€“Time Conservation Element and Solution Element Method</t>
  </si>
  <si>
    <t>Chih-Yung Wen-Yazhong Jiang-Lisong Shi</t>
  </si>
  <si>
    <t>YOUMARES 9 - The Oceans: Our Research, Our Future</t>
  </si>
  <si>
    <t>Simon Jungblut-Viola Liebich-Maya Bode-Dalby</t>
  </si>
  <si>
    <t>Energy Demand Challenges in Europe</t>
  </si>
  <si>
    <t>Frances Fahy-Gary Goggins-Charlotte Jensen</t>
  </si>
  <si>
    <t>Low-Dose Radiation Effects on Animals and Ecosystems</t>
  </si>
  <si>
    <t>Manabu Fukumoto</t>
  </si>
  <si>
    <t>Collaborative Curriculum Design for Sustainable Innovation and Teacher Learning</t>
  </si>
  <si>
    <t>Jules Pieters-Joke Voogt-Natalie Pareja Roblin</t>
  </si>
  <si>
    <t>Creating Healthy and Sustainable Buildings</t>
  </si>
  <si>
    <t>Mateja Dovjak-Andreja Kukec</t>
  </si>
  <si>
    <t>IEA International Computer and Information Literacy Study 2018 Assessment Framework</t>
  </si>
  <si>
    <t>Julian Fraillon-John Ainley-Wolfram Schulz-Daniel Duckworth-Tim Friedman</t>
  </si>
  <si>
    <t>Architecture and the Novel Under the Italian Fascist Regime</t>
  </si>
  <si>
    <t>Francesca Billiani-Laura Pennacchietti</t>
  </si>
  <si>
    <t>Programming Persistent Memory</t>
  </si>
  <si>
    <t>Steve Scargall</t>
  </si>
  <si>
    <t>Vermin, Victims and Disease</t>
  </si>
  <si>
    <t>Angela Cassidy</t>
  </si>
  <si>
    <t>Flexibel studieren â€“ Vereinbarkeit ermÃ¶glichen</t>
  </si>
  <si>
    <t>Imke BuÃŸ</t>
  </si>
  <si>
    <t>Surgical Ophthalmic Oncology</t>
  </si>
  <si>
    <t>Sonal S. Chaugule-Santosh G. Honavar-Paul T. Finger</t>
  </si>
  <si>
    <t>Make Life Visible</t>
  </si>
  <si>
    <t>Yoshiaki Toyama-Atsushi Miyawaki-Masaya Nakamura-Masahiro Jinzaki</t>
  </si>
  <si>
    <t>Climate-Smart Food</t>
  </si>
  <si>
    <t>Dave Reay</t>
  </si>
  <si>
    <t>Future Intelligence</t>
  </si>
  <si>
    <t>TamÃ¡s Landesz-Sangeeth Varghese-Karine Sargsyan</t>
  </si>
  <si>
    <t>How to Build a Modern Tontine</t>
  </si>
  <si>
    <t>Moshe Arye Milevsky</t>
  </si>
  <si>
    <t>Purpose-driven Organizations</t>
  </si>
  <si>
    <t>Carlos Rey-Miquel Bastons-Phil Sotok</t>
  </si>
  <si>
    <t>Emotions in Korean Philosophy and Religion</t>
  </si>
  <si>
    <t>Edward Y. J. Chung-Jea Sophia Oh</t>
  </si>
  <si>
    <t>Theorie und Ideengeschichte der Steuergerechtigkeit</t>
  </si>
  <si>
    <t>Reiner Sahm</t>
  </si>
  <si>
    <t>Built on Value</t>
  </si>
  <si>
    <t>Weiwei Huang</t>
  </si>
  <si>
    <t>High Resolution Imaging in Microscopy and Ophthalmology</t>
  </si>
  <si>
    <t>Josef F. Bille</t>
  </si>
  <si>
    <t>The Codes of the Street in Risky Neighborhoods</t>
  </si>
  <si>
    <t>Wilhelm Heitmeyer-Simon Howell-Sebastian Kurtenbach-Abdul Rauf-Muhammad Zaman</t>
  </si>
  <si>
    <t>Educational Data Analytics for Teachers and School Leaders</t>
  </si>
  <si>
    <t>Sofia Mougiakou-Dimitra Vinatsella-Demetrios Sampson-Zacharoula Papamitsiou-Michail Giannakos</t>
  </si>
  <si>
    <t>Aquaponics Food Production Systems</t>
  </si>
  <si>
    <t>Simon Goddek-Alyssa Joyce-Benz Kotzen-Gavin M. Burnell</t>
  </si>
  <si>
    <t>The Governance of Insurance Undertakings</t>
  </si>
  <si>
    <t>Pierpaolo Marano-Kyriaki Noussia</t>
  </si>
  <si>
    <t>Insurance Distribution Directive</t>
  </si>
  <si>
    <t>Bedeutsame Momente im Coaching</t>
  </si>
  <si>
    <t>Robert Wegener</t>
  </si>
  <si>
    <t>Affe und Affekt</t>
  </si>
  <si>
    <t>Mira Shah</t>
  </si>
  <si>
    <t>Inquiry-Based Learning - Undergraduate Research</t>
  </si>
  <si>
    <t>Harald A. Mieg</t>
  </si>
  <si>
    <t>Martial Culture and Historical Martial Arts in Europe and Asia</t>
  </si>
  <si>
    <t>Hing Chao-Daniel Jaquet-Loretta Kim</t>
  </si>
  <si>
    <t>Vote Buying in Indonesia</t>
  </si>
  <si>
    <t>Burhanuddin Muhtadi</t>
  </si>
  <si>
    <t>New Music and Institutional Critique</t>
  </si>
  <si>
    <t>MUSIC / Genres &amp; Styles / General</t>
  </si>
  <si>
    <t>Christian GrÃ¼ny-Brandon Farnsworth</t>
  </si>
  <si>
    <t>Designing Digital Work</t>
  </si>
  <si>
    <t>Stefan Oppl-Christian Stary</t>
  </si>
  <si>
    <t>Japanâ€™s Arduous Rejuvenation As a Global Power</t>
  </si>
  <si>
    <t>Victor Teo</t>
  </si>
  <si>
    <t>The Biopsychosocial Model of Health and Disease</t>
  </si>
  <si>
    <t>Derek Bolton-Grant Gillett</t>
  </si>
  <si>
    <t>Causal Mechanisms in the Global Development of Social Policies</t>
  </si>
  <si>
    <t>Johanna Kuhlmann-Frank Nullmeier</t>
  </si>
  <si>
    <t>International Impacts on Social Policy</t>
  </si>
  <si>
    <t>Frank Nullmeier-Delia GonzÃ¡lez de Reufels-Herbert Obinger</t>
  </si>
  <si>
    <t>Networks and Geographies of Global Social Policy Diffusion</t>
  </si>
  <si>
    <t>Michael Windzio-Ivo Mossig-Fabian Besche-Truthe-Helen Seitzer</t>
  </si>
  <si>
    <t>Global Pathways to Education</t>
  </si>
  <si>
    <t>Kerstin Martens-Michael Windzio</t>
  </si>
  <si>
    <t>One Hundred Years of Social Protection</t>
  </si>
  <si>
    <t>Lutz Leisering</t>
  </si>
  <si>
    <t>Governing Social Protection in the Long Term</t>
  </si>
  <si>
    <t>Gaby Ramia</t>
  </si>
  <si>
    <t>From Colonialism to International Aid</t>
  </si>
  <si>
    <t>Carina Schmitt</t>
  </si>
  <si>
    <t>Reforms, Organizational Change and Performance in Higher Education</t>
  </si>
  <si>
    <t>RÃ³mulo Pinheiro-Lars Geschwind-Hanne Foss Hansen-Kirsi Pulkkinen</t>
  </si>
  <si>
    <t>Hot Property</t>
  </si>
  <si>
    <t>Rob Nijskens-Melanie Lohuis-Paul Hilbers-Willem Heeringa</t>
  </si>
  <si>
    <t>Development in Turbulent Times</t>
  </si>
  <si>
    <t>Paul Dobrescu</t>
  </si>
  <si>
    <t>Handbook of Pathogens and Diseases in Cephalopods</t>
  </si>
  <si>
    <t>Camino Gestal-Santiago Pascual-Ãngel Guerra-Graziano Fiorito-Juan M. Vieites</t>
  </si>
  <si>
    <t>Pro TBB</t>
  </si>
  <si>
    <t>Michael Voss-Rafael Asenjo-James Reinders</t>
  </si>
  <si>
    <t>Buruli Ulcer</t>
  </si>
  <si>
    <t>Gerd Pluschke-Katharina RÃ¶ltgen</t>
  </si>
  <si>
    <t>Mary and Early Christian Women</t>
  </si>
  <si>
    <t>Ally Kateusz</t>
  </si>
  <si>
    <t>Assessing Recent Soil Erosion Rates Through the Use of Beryllium-7 (Be-7)</t>
  </si>
  <si>
    <t>Lionel Mabit-William Blake</t>
  </si>
  <si>
    <t>Ein neuer Gesellschaftsvertrag fÃ¼r eine nachhaltige Landwirtschaft</t>
  </si>
  <si>
    <t>Peter H. Feindt-Christine KrÃ¤mer-Andrea FrÃ¼h-MÃ¼ller-Alois HeiÃŸenhuber-Claudia Pahl-Wostl-Kai P. Purnhagen-Fabian Thomas-Caroline van Bers-Volkmar Wolters</t>
  </si>
  <si>
    <t>â€žDeutschland ist das Land der Chancenâ€œ</t>
  </si>
  <si>
    <t>Marc Calmbach-James Edwards</t>
  </si>
  <si>
    <t>Service Design Capabilities</t>
  </si>
  <si>
    <t>Nicola Morelli-Amalia de GÃ¶tzen-Luca Simeone</t>
  </si>
  <si>
    <t>Ãœbersetzen in der FrÃ¼hen Neuzeit â€“ Konzepte und Methoden / Concepts and Practices of Translation in the Early Modern Period</t>
  </si>
  <si>
    <t>Regina Toepfer-Peter Burschel-JÃ¶rg Wesche-Annkathrin Koppers</t>
  </si>
  <si>
    <t>EIoT</t>
  </si>
  <si>
    <t>Steffi O. Muhanji-Alison E. Flint-Amro M. Farid</t>
  </si>
  <si>
    <t>The Beauty of Geology: Art of Geology Mapping in China Over a Century</t>
  </si>
  <si>
    <t>Chenyang Li-Liqiong Jia-Xuan Wu</t>
  </si>
  <si>
    <t>Histories of Experience in the World of Lived Religion</t>
  </si>
  <si>
    <t>Sari Katajala-Peltomaa-Raisa Maria Toivo</t>
  </si>
  <si>
    <t>Lived Nation As the History of Experiences and Emotions in Finland, 1800-2000</t>
  </si>
  <si>
    <t>Ville KivimÃ¤ki-Sami Suodenjoki-Tanja Vahtikari</t>
  </si>
  <si>
    <t>Achieving the Paris Climate Agreement Goals</t>
  </si>
  <si>
    <t>Sven Teske</t>
  </si>
  <si>
    <t>The Indigenous Identity of the South Saami</t>
  </si>
  <si>
    <t>HÃ¥kon Hermanstrand-AsbjÃ¸rn Kolberg-Trond Risto Nilssen-Leiv Sem</t>
  </si>
  <si>
    <t>Qualitative Freedom - Autonomy in Cosmopolitan Responsibility</t>
  </si>
  <si>
    <t>Claus Dierksmeier-Richard Fincham</t>
  </si>
  <si>
    <t>Gestaltung sozialer Versorgung</t>
  </si>
  <si>
    <t>JÃ¼rgen Stremlow-Werner Riedweg-Herbert BÃ¼rgisser</t>
  </si>
  <si>
    <t>Development, Sexual Cultural Practices and HIV/AIDS in Africa</t>
  </si>
  <si>
    <t>Samantha Page</t>
  </si>
  <si>
    <t>Re-Inventing Africa's Development</t>
  </si>
  <si>
    <t>Jong-Dae Park</t>
  </si>
  <si>
    <t>The European Landing Obligation</t>
  </si>
  <si>
    <t>Sven Sebastian Uhlmann-Clara Ulrich-Steven J. Kennelly</t>
  </si>
  <si>
    <t>Sepsis Management in Resource-limited Settings</t>
  </si>
  <si>
    <t>MEDICAL / Emergency Medicine</t>
  </si>
  <si>
    <t>Arjen M. Dondorp-Martin W. DÃ¼nser-Marcus J. Schultz</t>
  </si>
  <si>
    <t>Vessel Health and Preservation: The Right Approach for Vascular Access</t>
  </si>
  <si>
    <t>Nancy L. Moureau</t>
  </si>
  <si>
    <t>Understanding Risks and Uncertainties in Energy and Climate Policy</t>
  </si>
  <si>
    <t>Haris Doukas-Alexandros Flamos-Jenny Lieu</t>
  </si>
  <si>
    <t>The Values of Independent Hip-Hop in the Post-Golden Era</t>
  </si>
  <si>
    <t>Christopher Vito</t>
  </si>
  <si>
    <t>Twin-Control</t>
  </si>
  <si>
    <t>Mikel Armendia-Mani Ghassempouri-Erdem Ozturk-Flavien Peysson</t>
  </si>
  <si>
    <t>Agroecological Transitions: From Theory to Practice in Local Participatory Design</t>
  </si>
  <si>
    <t>Jacques-Eric Bergez-Elise Audouin-Olivier Therond</t>
  </si>
  <si>
    <t>National Constitutions in European and Global Governance: Democracy, Rights, the Rule of Law</t>
  </si>
  <si>
    <t>Anneli Albi-Samo Bardutzky</t>
  </si>
  <si>
    <t>Managing Innovation and Standards</t>
  </si>
  <si>
    <t>Paul Moritz Wiegmann</t>
  </si>
  <si>
    <t>Transmedial Narration</t>
  </si>
  <si>
    <t>Lars EllestrÃ¶m</t>
  </si>
  <si>
    <t>The Prehistoric Maritime Frontier of Southeast China</t>
  </si>
  <si>
    <t>Chunming Wu</t>
  </si>
  <si>
    <t>The Hackable City</t>
  </si>
  <si>
    <t>Michiel de Lange-Martijn de Waal</t>
  </si>
  <si>
    <t>Funktion und Grenzen schuldverhÃ¤ltnisbedingter Nebenpflichten</t>
  </si>
  <si>
    <t>Florian Kamp</t>
  </si>
  <si>
    <t>Deutsch-chinesische Studienangebote erfolgreich managen</t>
  </si>
  <si>
    <t>Katja Kuhn-Patrick Fekete</t>
  </si>
  <si>
    <t>Das Potenzial von Marketing fÃ¼r eine ressourcenorientierte Transformation des Konsumsystems</t>
  </si>
  <si>
    <t>Louise Ina Hannah Rieck</t>
  </si>
  <si>
    <t>Die Trade-offs der Nachhaltigkeit</t>
  </si>
  <si>
    <t>Steffen Groschupp</t>
  </si>
  <si>
    <t>System-Aufstellungen und ihre naturwissenschaftliche BegrÃ¼ndung</t>
  </si>
  <si>
    <t>Thomas Gehlert</t>
  </si>
  <si>
    <t>The Impact of Individual Expertise and Public Information on Group Decision-Making</t>
  </si>
  <si>
    <t>Ulrich G. Strunz</t>
  </si>
  <si>
    <t>Reality Lost</t>
  </si>
  <si>
    <t>Vincent F. Hendricks-Mads Vestergaard</t>
  </si>
  <si>
    <t>Socio-Environmental Dynamics Along the Historical Silk Road</t>
  </si>
  <si>
    <t>Liang Emlyn Yang-Hans-Rudolf Bork-Xiuqi Fang-Steffen Mischke</t>
  </si>
  <si>
    <t>The Everyday Life of an Algorithm</t>
  </si>
  <si>
    <t>Daniel Neyland</t>
  </si>
  <si>
    <t>Adaptive Strategies for Water Heritage</t>
  </si>
  <si>
    <t>Carola Hein</t>
  </si>
  <si>
    <t>Alternatives to Animal Testing</t>
  </si>
  <si>
    <t>Hajime Kojima-Troy Seidle-Horst Spielmann</t>
  </si>
  <si>
    <t>Landscapes of Lifelong Learning Policies Across Europe</t>
  </si>
  <si>
    <t>Sebastiano Benasso-Dejana Bouillet-Tiago Neves-Marcelo Parreira do Amaral</t>
  </si>
  <si>
    <t>Across the Sahara</t>
  </si>
  <si>
    <t>Klaus Braun-Jacqueline Passon</t>
  </si>
  <si>
    <t>Variant Construction From Theoretical Foundation to Applications</t>
  </si>
  <si>
    <t>Jeffrey Zheng</t>
  </si>
  <si>
    <t>Families and New Media</t>
  </si>
  <si>
    <t>Nina Dethloff-Katharina Kaesling-Louisa Specht-Riemenschneider</t>
  </si>
  <si>
    <t>Datenschutz als VermÃ¶gensrecht</t>
  </si>
  <si>
    <t>Kirsten Johanna Schmidt</t>
  </si>
  <si>
    <t>Online-Komponenten digitaler Spiele</t>
  </si>
  <si>
    <t>Maximilian Vonthien</t>
  </si>
  <si>
    <t>United Nations Peace Operations in a Changing Global Order</t>
  </si>
  <si>
    <t>Cedric de Coning-Mateja Peter</t>
  </si>
  <si>
    <t>Advancing Energy Policy</t>
  </si>
  <si>
    <t>Chris Foulds-Rosie Robison</t>
  </si>
  <si>
    <t>Aging Well</t>
  </si>
  <si>
    <t>Jean Galiana-William A. Haseltine</t>
  </si>
  <si>
    <t>Delusions in Context</t>
  </si>
  <si>
    <t>Russiaâ€™s Role in the Contemporary International Agri-Food Trade System</t>
  </si>
  <si>
    <t>Stephen K. Wegren-Frode Nilssen</t>
  </si>
  <si>
    <t>Goods and Services of Marine Bivalves</t>
  </si>
  <si>
    <t>Aad C. Smaal-Joao G. Ferreira-Jon Grant-Jens K. Petersen-Ã˜ivind Strand</t>
  </si>
  <si>
    <t>Precision Oncology and Cancer Biomarkers</t>
  </si>
  <si>
    <t>Anne Bremer-Roger Strand</t>
  </si>
  <si>
    <t>Guideline for Salinity Assessment, Mitigation and Adaptation Using Nuclear and Related Techniques</t>
  </si>
  <si>
    <t>Mohammad Zaman-Shabbir A. Shahid-Lee Heng</t>
  </si>
  <si>
    <t>Internal Migration, Urbanization and Poverty in Asia: Dynamics and Interrelationships</t>
  </si>
  <si>
    <t>Kankesu Jayanthakumaran-Reetu Verma-Guanghua Wan-Edgar Wilson</t>
  </si>
  <si>
    <t>Young People's Views of Government, Peaceful Coexistence, and Diversity in Five Latin American Countries</t>
  </si>
  <si>
    <t>Wolfram Schulz-John Ainley-CristiÃ¡n Cox-Tim Friedman</t>
  </si>
  <si>
    <t>Drones and the Creative Industry</t>
  </si>
  <si>
    <t>Virginia Santamarina-Campos-Marival Segarra-OÃ±a</t>
  </si>
  <si>
    <t>Pflegeroboter</t>
  </si>
  <si>
    <t>Oliver Bendel</t>
  </si>
  <si>
    <t>Quest for Good Money</t>
  </si>
  <si>
    <t>Yukinobu Kitamura</t>
  </si>
  <si>
    <t>Female Employment and Gender Gaps in China</t>
  </si>
  <si>
    <t>Xinxin Ma</t>
  </si>
  <si>
    <t>Agential Realism als Basis queer(end)er Experimentalpsychologie</t>
  </si>
  <si>
    <t>Julia Scholz</t>
  </si>
  <si>
    <t>Paths to the Emerging State in Asia and Africa</t>
  </si>
  <si>
    <t>Keijiro Otsuka-Kaoru Sugihara</t>
  </si>
  <si>
    <t>Developmental State Building</t>
  </si>
  <si>
    <t>Yusuke Takagi-Veerayooth Kanchoochat-Tetsushi Sonobe</t>
  </si>
  <si>
    <t>Emerging States at Crossroads</t>
  </si>
  <si>
    <t>Keiichi Tsunekawa-Yasuyuki Todo</t>
  </si>
  <si>
    <t>Emerging States and Economies</t>
  </si>
  <si>
    <t>Takashi Shiraishi-Tetsushi Sonobe</t>
  </si>
  <si>
    <t>Multi-dimensional Approaches Towards New Technology</t>
  </si>
  <si>
    <t>Inorganic Constituents in Soil</t>
  </si>
  <si>
    <t>Masami Nanzyo-Hitoshi Kanno</t>
  </si>
  <si>
    <t>Primary Angioplasty</t>
  </si>
  <si>
    <t>Timothy J Watson-Paul JL Ong-James E Tcheng</t>
  </si>
  <si>
    <t>YOUMARES 8 â€“ Oceans Across Boundaries: Learning From Each Other</t>
  </si>
  <si>
    <t>Simon Jungblut-Viola Liebich-Maya Bode</t>
  </si>
  <si>
    <t>Drinking in Victorian and Edwardian Britain</t>
  </si>
  <si>
    <t>Thora Hands</t>
  </si>
  <si>
    <t>Adhesive Bonding of Aircraft Composite Structures</t>
  </si>
  <si>
    <t>Welchy Leite Cavalcanti-Kai Brune-Michael Noeske-Konstantinos Tserpes-WiesÅ‚aw M. Ostachowicz-Mareike Schlag</t>
  </si>
  <si>
    <t>The Climate-Smart Agriculture Papers</t>
  </si>
  <si>
    <t>Todd S. Rosenstock-Andreea Nowak-Evan Girvetz</t>
  </si>
  <si>
    <t>Food Anxiety in Globalising Vietnam</t>
  </si>
  <si>
    <t>Judith Ehlert-Nora Katharina Faltmann</t>
  </si>
  <si>
    <t>The Hindu Kush Himalaya Assessment</t>
  </si>
  <si>
    <t>Philippus Wester-Arabinda Mishra-Aditi Mukherji-Arun Bhakta Shrestha</t>
  </si>
  <si>
    <t>Applying the Kaizen in Africa</t>
  </si>
  <si>
    <t>Keijiro Otsuka-Kimiaki Jin-Tetsushi Sonobe</t>
  </si>
  <si>
    <t>Linear Selection Indices in Modern Plant Breeding</t>
  </si>
  <si>
    <t>J. Jesus CÃ©ron-Rojas-JosÃ© Crossa-Daniel Gianola</t>
  </si>
  <si>
    <t>Engineering a Better Future</t>
  </si>
  <si>
    <t>Eswaran Subrahmanian-Toluwalogo Odumosu-Jeffrey Y. Tsao</t>
  </si>
  <si>
    <t>Technologies for Development</t>
  </si>
  <si>
    <t>Silvia Hostettler-Samira Najih Besson-Jean-Claude Bolay</t>
  </si>
  <si>
    <t>Peer Review, Peer Education, and Modeling in the Practice of Clinical Ethics Consultation: The Zadeh Project</t>
  </si>
  <si>
    <t>Stuart G. Finder-Mark J. Bliton</t>
  </si>
  <si>
    <t>European E-Democracy in Practice</t>
  </si>
  <si>
    <t>Leonhard Hennen-Ira van Keulen-Iris Korthagen-Georg Aichholzer-Ralf Lindner</t>
  </si>
  <si>
    <t>Geostatistics Toronto 2021</t>
  </si>
  <si>
    <t>Sebastian Alejandro Avalos Sotomayor-Julian M. Ortiz-R. Mohan Srivastava</t>
  </si>
  <si>
    <t>14th International Congress for Applied Mineralogy (ICAM2019)</t>
  </si>
  <si>
    <t>Sergey Glagolev</t>
  </si>
  <si>
    <t>Digital Peripheries</t>
  </si>
  <si>
    <t>Petr Szczepanik-Pavel ZahrÃ¡dka-Jakub Macek-Paul Stepan</t>
  </si>
  <si>
    <t>Soziale Netzwerke und gesundheitliche Ungleichheiten</t>
  </si>
  <si>
    <t>Andreas KlÃ¤rner-Markus Gamper-Sylvia Keim - KlÃ¤rner-Irene Moor-Holger von der Lippe</t>
  </si>
  <si>
    <t>Handbook of Mathematical Geosciences</t>
  </si>
  <si>
    <t>B.S. Daya Sagar-Qiuming Cheng-Frits Agterberg</t>
  </si>
  <si>
    <t>Clinical Text Mining</t>
  </si>
  <si>
    <t>Hercules Dalianis</t>
  </si>
  <si>
    <t>Performance Engineering</t>
  </si>
  <si>
    <t>Giuseppe Serazzi</t>
  </si>
  <si>
    <t>Music and the Cultural Production of Scale</t>
  </si>
  <si>
    <t>Phil Dodds</t>
  </si>
  <si>
    <t>Proceedings of the 3rd Conference on Physical Modeling for Virtual Manufacturing Systems and Processes</t>
  </si>
  <si>
    <t>Jan C. Aurich-Christoph Garth-Barbara S. Linke</t>
  </si>
  <si>
    <t>Sex in Cetaceans</t>
  </si>
  <si>
    <t>Bernd WÃ¼rsig-Dara N. Orbach</t>
  </si>
  <si>
    <t>Public Financial Management and Internal Control</t>
  </si>
  <si>
    <t>Noel Hepworth</t>
  </si>
  <si>
    <t>Rangeland Wildlife Ecology and Conservation</t>
  </si>
  <si>
    <t>Lance B. McNew-David K. Dahlgren-Jeffrey L. Beck</t>
  </si>
  <si>
    <t>Methoden des bestÃ¤rkenden Lernens fÃ¼r die Produktionsablaufplanung</t>
  </si>
  <si>
    <t>Sebastian Lang</t>
  </si>
  <si>
    <t>Handlungsorientierungen von Lehrpersonen im Umgang mit UnterrichtsstÃ¶rungen</t>
  </si>
  <si>
    <t>Claudia Marusic</t>
  </si>
  <si>
    <t>Trends in Data Protection and Encryption Technologies</t>
  </si>
  <si>
    <t>Valentin Mulder-Alain Mermoud-Vincent Lenders-Bernhard Tellenbach</t>
  </si>
  <si>
    <t>Friendship Across the Seas</t>
  </si>
  <si>
    <t>Naoyuki Agawa</t>
  </si>
  <si>
    <t>The Future of Consumption</t>
  </si>
  <si>
    <t>Kristina BÃ¤ckstrÃ¶m-Carys Egan-Wyer-Emma Samsioe</t>
  </si>
  <si>
    <t>The Changing World of Mobile Communications</t>
  </si>
  <si>
    <t>Petri Ahokangas-Annabeth Aagaard</t>
  </si>
  <si>
    <t>Existenz- und RegularitÃ¤tstheorie der zweidimensionalen Variationsrechnung mit Anwendungen auf das Plateausche Problem fÃ¼r FlÃ¤chen vorgeschriebener mittlerer KrÃ¼mmung</t>
  </si>
  <si>
    <t>Andreas KÃ¼nnemann</t>
  </si>
  <si>
    <t>The Contemporary Construction of the Chinese Form of Marxist Literary Criticism</t>
  </si>
  <si>
    <t>Yamin Hu-Fang Yan-Xin Cheng</t>
  </si>
  <si>
    <t>Toward a Biopsychosocial Welfare State?</t>
  </si>
  <si>
    <t>Nadine Reibling-Mareike Ariaans</t>
  </si>
  <si>
    <t>Die rechtlichen Herausforderungen der EchtzeitÃ¼berweisung</t>
  </si>
  <si>
    <t>Marius Rakers</t>
  </si>
  <si>
    <t>Depression im Alter â€“ Eine Frage der Emotionsregulation</t>
  </si>
  <si>
    <t>Nadine Becker-Hingst</t>
  </si>
  <si>
    <t>Responsive Schulleitung</t>
  </si>
  <si>
    <t>Livia Jesacher-RÃ¶ÃŸler</t>
  </si>
  <si>
    <t>Mutation Breeding in Coffee with Special Reference to Leaf Rust</t>
  </si>
  <si>
    <t>Ivan L.W. Ingelbrecht-Maria do CÃ©u Lavado da Silva-Joanna Jankowicz-Cieslak</t>
  </si>
  <si>
    <t>Marine Plastics: Innovative Solutions to Tackling Waste</t>
  </si>
  <si>
    <t>Siv Marina FlÃ¸ Grimstad-Lisbeth MÃ¸lgaard Ottosen-Neil A. James</t>
  </si>
  <si>
    <t>Trajectories of Memory</t>
  </si>
  <si>
    <t>Melani Budianta-Sylvia Tiwon</t>
  </si>
  <si>
    <t>Future Trends in Education Post COVID-19</t>
  </si>
  <si>
    <t>Hamid M. K. Al Naimiy-Maamar Bettayeb-Hussein M. Elmehdi-Ihsan Shehadi</t>
  </si>
  <si>
    <t>PhÃ¤nomenologie des Leibes und der Leiblichkeit bei Marc Richir</t>
  </si>
  <si>
    <t>Dominic Nnaemeka Ekweariri</t>
  </si>
  <si>
    <t>Gestresste Eltern</t>
  </si>
  <si>
    <t>Hanna Maly-Motta</t>
  </si>
  <si>
    <t>Violence Against Women During Coronavirus</t>
  </si>
  <si>
    <t>Naomi Pfitzner-Kate Fitz-Gibbon-Sandra Walklate-Silke Meyer-Marie Segrave</t>
  </si>
  <si>
    <t>Die Unterrichtsnachbesprechung in der zweiten Phase der Lehrerausbildung</t>
  </si>
  <si>
    <t>Annette BÃ¼hrig-Hollmann</t>
  </si>
  <si>
    <t>Wohnungsnot, Geschlecht und Gesundheit</t>
  </si>
  <si>
    <t>Jan A. Finzi</t>
  </si>
  <si>
    <t>Human Factors in Privacy Research</t>
  </si>
  <si>
    <t>Nina Gerber-Alina StÃ¶ver-Karola Marky</t>
  </si>
  <si>
    <t>Global Perspectives of COVID-19 Pandemic on Health, Education, and Role of Media</t>
  </si>
  <si>
    <t>Saroj Pachauri-Ash Pachauri</t>
  </si>
  <si>
    <t>Pflegefachpersonen als pflegende AngehÃ¶rige</t>
  </si>
  <si>
    <t>Anke JÃ¤hnke</t>
  </si>
  <si>
    <t>Managing Infodemics in the 21st Century</t>
  </si>
  <si>
    <t>Tina D. Purnat-Tim Nguyen-Sylvie Briand</t>
  </si>
  <si>
    <t>Akzeptanzkommunikation in der Energie- und Rohstoffwirtschaft</t>
  </si>
  <si>
    <t>Stefanie Walter</t>
  </si>
  <si>
    <t>Die Resiliente Stadt</t>
  </si>
  <si>
    <t>Sigrun Kabisch-Dieter Rink-Ellen Banzhaf</t>
  </si>
  <si>
    <t>Post-digitales Management</t>
  </si>
  <si>
    <t>Dirk Baecker-Uwe Elsholz-Maximilian Locher-Martina Thomas</t>
  </si>
  <si>
    <t>Learning From 50 Years of Aboriginal Alcohol Programs</t>
  </si>
  <si>
    <t>Peter dâ€™Abbs-Nicole Hewlett</t>
  </si>
  <si>
    <t>Cloud-Based Remote Sensing with Google Earth Engine</t>
  </si>
  <si>
    <t>Jeffrey A. Cardille-Morgan A. Crowley-David Saah-Nicholas E. Clinton</t>
  </si>
  <si>
    <t>The Impact of Covid-19 on the Institutional Fabric of Higher Education</t>
  </si>
  <si>
    <t>RÃ³mulo Pinheiro-Elizabeth Balbachevsky-Pundy Pillay-Akiyoshi Yonezawa</t>
  </si>
  <si>
    <t>Nutzen der Labormedizin in der Schweiz</t>
  </si>
  <si>
    <t>Michael Schlander-Ramon SchÃ¤fer-Lorenz Selberg</t>
  </si>
  <si>
    <t>Learning Diversity</t>
  </si>
  <si>
    <t>Hans Karl Peterlini</t>
  </si>
  <si>
    <t>Big Data in der MobilitÃ¤t</t>
  </si>
  <si>
    <t>Nadine Gatzert-Susanne Knorre-Horst MÃ¼ller-Peters-Fred Wagner-Theresa Jost</t>
  </si>
  <si>
    <t>Making Presentation Math Computable</t>
  </si>
  <si>
    <t>AndrÃ© Greiner-Petter</t>
  </si>
  <si>
    <t>Political Reform Reconsidered</t>
  </si>
  <si>
    <t>Satoshi Machidori-Tobias S. Harris</t>
  </si>
  <si>
    <t>Entrepreneurial Theorizing</t>
  </si>
  <si>
    <t>Attachment Ventilation Theory</t>
  </si>
  <si>
    <t>Angui Li</t>
  </si>
  <si>
    <t>Euphorias in Gender, Sex and Sexuality Variations</t>
  </si>
  <si>
    <t>Tiffany Jones</t>
  </si>
  <si>
    <t>Oxygen-Carrier-Aided Combustion Technology for Solid-Fuel Conversion in Fluidized Bed</t>
  </si>
  <si>
    <t>Lunbo Duan-Lin Li</t>
  </si>
  <si>
    <t>Swiss Finance</t>
  </si>
  <si>
    <t>Henri B. Meier-John E. Marthinsen-Pascal A. Gantenbein-Samuel S. Weber</t>
  </si>
  <si>
    <t>Im SpannungsverhÃ¤ltnis zwischen Selbst- und Fremdverstehen</t>
  </si>
  <si>
    <t>Chunchun Hu-Odila Triebel-Thomas Zimmer</t>
  </si>
  <si>
    <t>APCC Special Report: Strukturen fÃ¼r ein klimafreundliches Leben</t>
  </si>
  <si>
    <t>Christoph GÃ¶rg-Verena Madner-Andreas Muhar-Andreas Novy-Alfred Posch</t>
  </si>
  <si>
    <t>Ambidextres Innovationsmanagement in KMU</t>
  </si>
  <si>
    <t>Claus Lang-Koetz-Annika Reischl-Stephan Fischer-Sabrina Weber-Anina Kusch</t>
  </si>
  <si>
    <t>Finlandâ€™s Famous Education System</t>
  </si>
  <si>
    <t>Martin Thrupp-Piia SeppÃ¤nen-Jaakko Kauko-Sonja Kosunen</t>
  </si>
  <si>
    <t>Splendors of Quanzhou, Past and Present</t>
  </si>
  <si>
    <t>William N. Brown</t>
  </si>
  <si>
    <t>Holding Down the Fort</t>
  </si>
  <si>
    <t>Aaron Bielejewski</t>
  </si>
  <si>
    <t>Kristin Elaine Reimer-Mervi Kaukko-Sally Windsor-Kathleen Mahon-Stephen Kemmis</t>
  </si>
  <si>
    <t>FreiheitseinschrÃ¤nkende MaÃŸnahmen bei Menschen mit Demenz in professionellen Sorgebeziehungen</t>
  </si>
  <si>
    <t>Sebastian Ritzi</t>
  </si>
  <si>
    <t>EU Integrated Urban Initiatives</t>
  </si>
  <si>
    <t>Clemente J. Navarro YÃ¡Ã±ez-MarÃ­a JesÃºs RodrÃ­guez-GarcÃ­a-MarÃ­a JosÃ© Guerrero-Mayo</t>
  </si>
  <si>
    <t>Internationale Wahrnehmung von Urheberrechten an Musikwerken</t>
  </si>
  <si>
    <t>Stephan Klingner-Mihail Miller-Frank Schumacher-Patrick Thomas-Michael Becker</t>
  </si>
  <si>
    <t>Welche Ã–ffentlichkeit brauchen wir?</t>
  </si>
  <si>
    <t>Evaluationsmethoden der Wissenschaftskommunikation</t>
  </si>
  <si>
    <t>Philipp Niemann-Vanessa van den Bogaert-Ricarda Ziegler</t>
  </si>
  <si>
    <t>Innovation in Bayern</t>
  </si>
  <si>
    <t>Dirk KrÃ¤nzlein</t>
  </si>
  <si>
    <t>Realising Linguistic, Cultural and Educational Rights Through Non-Territorial Autonomy</t>
  </si>
  <si>
    <t>David J. Smith-Ivan Dodovski-Flavia Ghencea</t>
  </si>
  <si>
    <t>Mediation im Erbrecht</t>
  </si>
  <si>
    <t>Martin Fries-Ralf Deutlmoser</t>
  </si>
  <si>
    <t>Ermittlung der TeilhabefÃ¶rderung und des Finanzierungsbedarfs bei Chronisch MehrfachgeschÃ¤digt/MehrfachbeeintrÃ¤chtigt AbhÃ¤ngigkeitskranken</t>
  </si>
  <si>
    <t>Lydia Muth</t>
  </si>
  <si>
    <t>Die Lehrperson als Golem oder Galatea</t>
  </si>
  <si>
    <t>Marcel Hackbart</t>
  </si>
  <si>
    <t>Ecology of Angola</t>
  </si>
  <si>
    <t>The Evolution of Chinaâ€™s Anti-Poverty Strategies</t>
  </si>
  <si>
    <t>Archives and Records</t>
  </si>
  <si>
    <t>MikulÃ¡Å¡ ÄŒtvrtnÃ­k</t>
  </si>
  <si>
    <t>Revealing Media Bias in News Articles</t>
  </si>
  <si>
    <t>Felix Hamborg</t>
  </si>
  <si>
    <t>Revolution and Witchcraft</t>
  </si>
  <si>
    <t>Gordon C. Chang</t>
  </si>
  <si>
    <t>Islamistische Gewalttaten in Westeuropa</t>
  </si>
  <si>
    <t>Marco-Thejesh Lohmann</t>
  </si>
  <si>
    <t>Die PrÃ¤medikationsambulanz</t>
  </si>
  <si>
    <t>Sandro Lorenz</t>
  </si>
  <si>
    <t>Effectuation entwickeln</t>
  </si>
  <si>
    <t>Martin Sterzel</t>
  </si>
  <si>
    <t>Exhibiting Creative Geographies</t>
  </si>
  <si>
    <t>Candice P. Boyd</t>
  </si>
  <si>
    <t>Architecture of Advanced Numerical Analysis Systems</t>
  </si>
  <si>
    <t>Liang Wang-Jianxin Zhao</t>
  </si>
  <si>
    <t>Female Genital Mutilation/Cutting</t>
  </si>
  <si>
    <t>Kyoko Nakamura-Kaori Miyachi-Yukio Miyawaki-Makiko Toda</t>
  </si>
  <si>
    <t>Community Nursing Services in England</t>
  </si>
  <si>
    <t>Donna Bramwell-Kath Checkland-Jolanta Shields-Pauline Allen</t>
  </si>
  <si>
    <t>Die Zukunft des MINT-Lernens â€“ Band 1</t>
  </si>
  <si>
    <t>JÃ¼rgen Roth-Michael Baum-Katja Eilerts-Gabriele Hornung-Thomas Trefzger</t>
  </si>
  <si>
    <t>Die Zukunft des MINT-Lernens â€“ Band 2</t>
  </si>
  <si>
    <t>21st Century Media and Female Mental Health</t>
  </si>
  <si>
    <t>Fredrika Thelandersson</t>
  </si>
  <si>
    <t>Digitisation and Low-Carbon Energy Transitions</t>
  </si>
  <si>
    <t>Siddharth Sareen-Katja MÃ¼ller</t>
  </si>
  <si>
    <t>Securitization and Democracy in Eurasia</t>
  </si>
  <si>
    <t>Anja Mihr-Paolo Sorbello-Brigitte Weiffen</t>
  </si>
  <si>
    <t>Handbook of Computational Social Science for Policy</t>
  </si>
  <si>
    <t>Eleonora Bertoni-Matteo Fontana-Lorenzo Gabrielli-Serena Signorelli-Michele Vespe</t>
  </si>
  <si>
    <t>Resilienz</t>
  </si>
  <si>
    <t>Science and Innovations for Food Systems Transformation</t>
  </si>
  <si>
    <t>Joachim von Braun-Kaosar Afsana-Louise O. Fresco-Mohamed Hag Ali Hassan</t>
  </si>
  <si>
    <t>Brain and Human Body Modelling 2021</t>
  </si>
  <si>
    <t>Sergey Makarov-Gregory Noetscher-Aapo Nummenmaa</t>
  </si>
  <si>
    <t>Verwaltung im digitalen Zeitalter</t>
  </si>
  <si>
    <t>Derya Catakli</t>
  </si>
  <si>
    <t>Internalisierbare Mengenbilder im individualisierten Mathematikunterricht</t>
  </si>
  <si>
    <t>Torben Rieckmann</t>
  </si>
  <si>
    <t>Digitale Hate Speech</t>
  </si>
  <si>
    <t>Sylvia Jaki-Stefan Steiger</t>
  </si>
  <si>
    <t>Return to China One Day</t>
  </si>
  <si>
    <t>Chengdong Lv-Yingchun Zhang</t>
  </si>
  <si>
    <t>Make Capitalism History</t>
  </si>
  <si>
    <t>Simon SutterlÃ¼tti-Stefan Meretz</t>
  </si>
  <si>
    <t>Warranty Obligations in Western France, 1040â€“1270</t>
  </si>
  <si>
    <t>M.W McHaffie</t>
  </si>
  <si>
    <t>The International Handbook of Social Enterprise Law</t>
  </si>
  <si>
    <t>Henry Peter-Carlos Vargas Vasserot-Jaime Alcalde Silva</t>
  </si>
  <si>
    <t>New Materialist Explorations Into Language Education</t>
  </si>
  <si>
    <t>Johanna Ennser-Kananen-Taina Saarinen</t>
  </si>
  <si>
    <t>Mathematical Surprises</t>
  </si>
  <si>
    <t>Optimising Emotions, Incubating Falsehoods</t>
  </si>
  <si>
    <t>Vian Bakir-Andrew McStay</t>
  </si>
  <si>
    <t>Distributed Learning Ecosystems</t>
  </si>
  <si>
    <t>Daniel Otto-Gianna Scharnberg-Michael Kerres-Olaf Zawacki-Richter</t>
  </si>
  <si>
    <t>Diversity in Computer Science</t>
  </si>
  <si>
    <t>Pernille BjÃ¸rn-Maria Menendez-Blanco-Valeria Borsotti</t>
  </si>
  <si>
    <t>Corporate Liability for Transboundary Environmental Harm</t>
  </si>
  <si>
    <t>Peter Gailhofer-David Krebs-Alexander Proelss-Kirsten Schmalenbach-Roda Verheyen</t>
  </si>
  <si>
    <t>Towards Responsible Plant Data Linkage: Data Challenges for Agricultural Research and Development</t>
  </si>
  <si>
    <t>Hugh F. Williamson-Sabina Leonelli</t>
  </si>
  <si>
    <t>Nontoxic: Masculinity, Allyship, and Feminist Philosophy</t>
  </si>
  <si>
    <t>Ben Almassi</t>
  </si>
  <si>
    <t>Die datafizierte Schule</t>
  </si>
  <si>
    <t>Annekatrin Bock-Andreas Breiter-Sigrid Hartong-Juliane Jarke-Sieglinde Jornitz</t>
  </si>
  <si>
    <t>The Ethical Spirit of EU Values</t>
  </si>
  <si>
    <t>Hyperparameter Tuning for Machine and Deep Learning with R</t>
  </si>
  <si>
    <t>Eva Bartz-Thomas Bartz-Beielstein-Martin Zaefferer-Olaf Mersmann</t>
  </si>
  <si>
    <t>Entwicklung von Methoden zur abstrakten Modellierung von Automotive Systems-on-Chips</t>
  </si>
  <si>
    <t>Aljoscha Kirchner</t>
  </si>
  <si>
    <t>Self As Method</t>
  </si>
  <si>
    <t>Biao Xiang-Qi Wu-David Ownby</t>
  </si>
  <si>
    <t>Handbook of Teaching Competency Development in Higher Education</t>
  </si>
  <si>
    <t>Jiangang Cheng-Wei Han-Qian Zhou-Shuyan Wang</t>
  </si>
  <si>
    <t>Adaptive Dynamic Programming</t>
  </si>
  <si>
    <t>Jiayue Sun-Shun Xu-Yang Liu-Huaguang Zhang</t>
  </si>
  <si>
    <t>Normal Development of Voice</t>
  </si>
  <si>
    <t>Mette Pedersen</t>
  </si>
  <si>
    <t>Reconstructions of Gender and Information Technology</t>
  </si>
  <si>
    <t>Hilde G. Corneliussen</t>
  </si>
  <si>
    <t>Data Parallel C++</t>
  </si>
  <si>
    <t>James Reinders-Ben Ashbaugh-James Brodman-Michael Kinsner-John Pennycook</t>
  </si>
  <si>
    <t>Language Practices Among Children and Youth in Indonesia</t>
  </si>
  <si>
    <t>Bernadette Kushartanti-Dwi Noverini Djenar</t>
  </si>
  <si>
    <t>Monika Engelhardt-Roland Mertelsmann-Justus Duyster</t>
  </si>
  <si>
    <t>On the Power and Limits of Empathy</t>
  </si>
  <si>
    <t>Manuel Camassa</t>
  </si>
  <si>
    <t>Der patentrechtliche Schutz von Daten und seine Grenzen</t>
  </si>
  <si>
    <t>Dr. jur. Fabian Landscheidt</t>
  </si>
  <si>
    <t>Primary Physical Science Education</t>
  </si>
  <si>
    <t>Hans U. Fuchs-Federico Corni</t>
  </si>
  <si>
    <t>Handbook of Educational Reform Through Blended Learning</t>
  </si>
  <si>
    <t>Ming Li-Xibin Han-Jiangang Cheng</t>
  </si>
  <si>
    <t>Generalisiertes Vertrauen in automatisierten Journalismus</t>
  </si>
  <si>
    <t>Theresa KÃ¶rner</t>
  </si>
  <si>
    <t>Integrated Treatment Technology of Rural Domestic Sewage</t>
  </si>
  <si>
    <t>Wensheng Li-Yungui Li-Jianmin Zhang-Fengyu Wang-Bin Wang</t>
  </si>
  <si>
    <t>Schools and Society During the COVID-19 Pandemic</t>
  </si>
  <si>
    <t>Technik â€“ Kultur â€“ Bildung</t>
  </si>
  <si>
    <t>Thomas-Hugo MÃ¶llers</t>
  </si>
  <si>
    <t>Database Performance at Scale</t>
  </si>
  <si>
    <t>Felipe Cardeneti Mendes-Piotr Sarna-Pavel Emelyanov-Cynthia Dunlop</t>
  </si>
  <si>
    <t>A City Cannot Be a Work of Art</t>
  </si>
  <si>
    <t>Sanford Ikeda</t>
  </si>
  <si>
    <t>Die AusÃ¼bung mitgliedschaftlicher Kapitalgesellschafterrechte durch eine Erbengemeinschaft</t>
  </si>
  <si>
    <t>Philipp Kowalski</t>
  </si>
  <si>
    <t>Using Social Theory in Higher Education</t>
  </si>
  <si>
    <t>Remy Y.S. Low-Suzanne Egan-Amani Bell</t>
  </si>
  <si>
    <t>Photonic Neural Networks with Spatiotemporal Dynamics</t>
  </si>
  <si>
    <t>Hideyuki Suzuki-Jun Tanida-Masanori Hashimoto</t>
  </si>
  <si>
    <t>Tourismus in der Krise: COVID-19 als AuslÃ¶ser fÃ¼r neue GeschÃ¤ftsmodelle und Digitalisierung</t>
  </si>
  <si>
    <t>Yves ClÃ©ment Zimmermann</t>
  </si>
  <si>
    <t>Proceedings of the XV Ibero-American Congress of Mechanical Engineering</t>
  </si>
  <si>
    <t>Antonio VizÃ¡n Idoipe-Juan Carlos GarcÃ­a Prada</t>
  </si>
  <si>
    <t>Fortbildungen fÃ¼r KulturSchule</t>
  </si>
  <si>
    <t>Heike Ackermann</t>
  </si>
  <si>
    <t>Closing Rice Yield Gaps in Asia</t>
  </si>
  <si>
    <t>Melanie Connor-Martin Gummert-Grant Robert Singleton</t>
  </si>
  <si>
    <t>Teaching Mathematics As to Be Meaningful â€“ Foregrounding Play and Childrenâ€™s Perspectives</t>
  </si>
  <si>
    <t>Hanna PalmÃ©r-Camilla BjÃ¶rklund-Elin ReikerÃ¥s-Jessica Elofsson</t>
  </si>
  <si>
    <t>Interfacial Phenomena in Adhesion and Adhesive Bonding</t>
  </si>
  <si>
    <t>Shin Horiuchi-Nao Terasaki-Takayuki Miyamae</t>
  </si>
  <si>
    <t>AlltÃ¤gliche Lebenssituation sprachbeeintrÃ¤chtigter Kinder</t>
  </si>
  <si>
    <t>Saskia SchlÃ¼ter</t>
  </si>
  <si>
    <t>A Natural History of the Emirates</t>
  </si>
  <si>
    <t>John A. Burt</t>
  </si>
  <si>
    <t>Transforming Entrepreneurship Education</t>
  </si>
  <si>
    <t>Jantje Halberstadt-Antonieta Alcorta de Bronstein-Jean Greyling-Shaun Bissett</t>
  </si>
  <si>
    <t>Interdisciplinarity in the Scholarly Life Cycle</t>
  </si>
  <si>
    <t>Karin Bijsterveld-Aagje Swinnen</t>
  </si>
  <si>
    <t>Technology Assessment in a Globalized World</t>
  </si>
  <si>
    <t>Leonhard Hennen-Julia Hahn-Miltos Ladikas-Ralf Lindner-Walter Peissl</t>
  </si>
  <si>
    <t>Withstanding Vulnerability Throughout Adult Life</t>
  </si>
  <si>
    <t>Dario Spini-Eric Widmer</t>
  </si>
  <si>
    <t>How Can We Use Simulation to Improve Competencies in Nursing?</t>
  </si>
  <si>
    <t>MEDICAL / Nursing / LPN &amp; LVN</t>
  </si>
  <si>
    <t>Iben Akselbo-Ingvild Aune</t>
  </si>
  <si>
    <t>Handbook of Positive Psychology, Religion, and Spirituality</t>
  </si>
  <si>
    <t>Edward B. Davis-Everett L. Worthington Jr.-Sarah A. Schnitker</t>
  </si>
  <si>
    <t>AI in Learning: Designing the Future</t>
  </si>
  <si>
    <t>Hannele Niemi-Roy D. Pea-Yu Lu</t>
  </si>
  <si>
    <t>Obstructions in Security-Aware Business Processes</t>
  </si>
  <si>
    <t>Julius Holderer</t>
  </si>
  <si>
    <t>Brazilâ€”Japan Cooperation: From Complementarity to Shared Value</t>
  </si>
  <si>
    <t>Nobuaki Hamaguchi-Danielly Ramos</t>
  </si>
  <si>
    <t>Social and Affective Neuroscience of Everyday Human Interaction</t>
  </si>
  <si>
    <t>Paulo SÃ©rgio Boggio-Tanja S. H. Wingenbach-MarÃ­lia Lira da Silveira CoÃªlho-William Edgar Comfort-Lucas Murrins Marques</t>
  </si>
  <si>
    <t>The African Marine Litter Outlook</t>
  </si>
  <si>
    <t>Thomas Maes-Fiona Preston-Whyte</t>
  </si>
  <si>
    <t>Der Staat als â€šGuter Auftraggeberâ€˜? Ã–ffentliche Auftragsvergabe zwischen Vermarktlichung und Sozialpolitisierung</t>
  </si>
  <si>
    <t>Karen Jaehrling-Christin Stiehm</t>
  </si>
  <si>
    <t>Understanding Globalization, Global Gaps, and Power Shifts in the 21st Century</t>
  </si>
  <si>
    <t>Explanatory Models, Unit Standards, and Personalized Learning in Educational Measurement</t>
  </si>
  <si>
    <t>William P. Fisher Jr.-Paula J. Massengill</t>
  </si>
  <si>
    <t>How Data Quality Affects Our Understanding of the Earnings Distribution</t>
  </si>
  <si>
    <t>Reza Che Daniels</t>
  </si>
  <si>
    <t>Duale Schriftnutzung: Brailleschrift und Schwarzschrift</t>
  </si>
  <si>
    <t>Fabian Winter</t>
  </si>
  <si>
    <t>Teaching, Research and Academic Careers</t>
  </si>
  <si>
    <t>Daniele Checchi-Tullio Jappelli-Antonio Uricchio</t>
  </si>
  <si>
    <t>Beyond Global Food Supply Chains</t>
  </si>
  <si>
    <t>Victoria Stead-Melinda Hinkson</t>
  </si>
  <si>
    <t>Does God Intend That Sin Occur?</t>
  </si>
  <si>
    <t>Matthew J Hart-Daniel J Hill</t>
  </si>
  <si>
    <t>NeuroÃ¶konomie</t>
  </si>
  <si>
    <t>Lena Dreher</t>
  </si>
  <si>
    <t>Biodiversity of the Gulf of Guinea Oceanic Islands</t>
  </si>
  <si>
    <t>Luis M. P. CerÃ­aco-Ricardo F. de Lima-Martim Melo-Rayna C. Bell</t>
  </si>
  <si>
    <t>Kommunikation von Aufsichtsratsvorsitzenden</t>
  </si>
  <si>
    <t>Sandra Binder-Tietz</t>
  </si>
  <si>
    <t>Nordic Media Histories of Propaganda and Persuasion</t>
  </si>
  <si>
    <t>Fredrik NorÃ©n-Emil Stjernholm-C. Claire Thomson</t>
  </si>
  <si>
    <t>Digital Health Care in Taiwan</t>
  </si>
  <si>
    <t>Po-Chang Lee-Joyce Tsung-Hsi Wang-Tzu-Yu Chen-Chia-hui Peng</t>
  </si>
  <si>
    <t>Entrepreneurial Responses to Chronic Adversity</t>
  </si>
  <si>
    <t>Dean A. Shepherd-Vinit Parida-Joakim Wincent</t>
  </si>
  <si>
    <t>Figure</t>
  </si>
  <si>
    <t>Celia Lury-William Viney-Scott Wark</t>
  </si>
  <si>
    <t>Urinary Stents</t>
  </si>
  <si>
    <t>Federico Soria-Duje Rako-Petra de Graaf</t>
  </si>
  <si>
    <t>English Language Education for Graduate Employability in Vietnam</t>
  </si>
  <si>
    <t>Tran Le Huu Nghia-Ly Thi Tran-Mai Tuyet Ngo</t>
  </si>
  <si>
    <t>Heritage Conservation and Tourism Development at Cham Sacred Sites in Vietnam</t>
  </si>
  <si>
    <t>Quang Dai Tuyen</t>
  </si>
  <si>
    <t>Evidence Based Global Health Manual for Preterm Birth Risk Assessment</t>
  </si>
  <si>
    <t>Dilly OC Anumba-Shamanthi M. Jayasooriya</t>
  </si>
  <si>
    <t>PopularitÃ¤t und Relevanz in der Suche</t>
  </si>
  <si>
    <t>Christiane Behnert</t>
  </si>
  <si>
    <t>Socio-Spatial Theory in Nordic Geography</t>
  </si>
  <si>
    <t>Peter Jakobsen-Erik JÃ¶nsson-Henrik Gutzon Larsen</t>
  </si>
  <si>
    <t>Monte Carlo N-Particle Simulations for Nuclear Detection and Safeguards</t>
  </si>
  <si>
    <t>John S. Hendricks-Martyn T. Swinhoe-Andrea Favalli</t>
  </si>
  <si>
    <t>High-Quality Outdoor Learning</t>
  </si>
  <si>
    <t>Rolf Jucker-Jakob von Au</t>
  </si>
  <si>
    <t>General Average and Risk Management in Medieval and Early Modern Maritime Business</t>
  </si>
  <si>
    <t>Maria Fusaro-Andrea Addobbati-Luisa Piccinno</t>
  </si>
  <si>
    <t>How and Why to Regulate False Political Advertising in Australia</t>
  </si>
  <si>
    <t>Lisa Hill-Max Douglass-Ravi Baltutis</t>
  </si>
  <si>
    <t>StressbewÃ¤ltigung durch PflegekrÃ¤fte</t>
  </si>
  <si>
    <t>Ingo Klingenberg</t>
  </si>
  <si>
    <t>The Enactment of Strategic Leadership</t>
  </si>
  <si>
    <t>Darko TipuriÄ‡</t>
  </si>
  <si>
    <t>Human-Nature Interactions</t>
  </si>
  <si>
    <t>Ieva Misiune-Daniel Depellegrin-Lukas Egarter Vigl</t>
  </si>
  <si>
    <t>Systems Mapping</t>
  </si>
  <si>
    <t>Pete Barbrook-Johnson-Alexandra S. Penn</t>
  </si>
  <si>
    <t>Foundations of a Sociology of Canon Law</t>
  </si>
  <si>
    <t>Judith Hahn</t>
  </si>
  <si>
    <t>Deep Neural Networks and Data for Automated Driving</t>
  </si>
  <si>
    <t>Tim Fingscheidt-Hanno Gottschalk-Sebastian Houben</t>
  </si>
  <si>
    <t>Systemic Circular Economy Solutions for Fiber Reinforced Composites</t>
  </si>
  <si>
    <t>Marcello Colledani-Stefano Turri</t>
  </si>
  <si>
    <t>Biotechnologie praxisorientiert unterrichten</t>
  </si>
  <si>
    <t>Patricia SchÃ¶ppner-Sara GroÃŸbruchhaus-Claudia Nerdel</t>
  </si>
  <si>
    <t>Longer-Term Psychiatric Inpatient Care for Adolescents</t>
  </si>
  <si>
    <t>Philip Hazell</t>
  </si>
  <si>
    <t>Citizen Participation in the Information Society</t>
  </si>
  <si>
    <t>Sissel Hovik-G. Anthony Giannoumis-Kristin Reichborn-Kjennerud-JosÃ© M. Ruano-Ian McShane-Sveinung Legard</t>
  </si>
  <si>
    <t>Pflege-Report 2022</t>
  </si>
  <si>
    <t>Zur Soziologie der Software</t>
  </si>
  <si>
    <t>Dzifa Ametowobla</t>
  </si>
  <si>
    <t>Handbuch AuÃŸenpolitik Ã–sterreichs</t>
  </si>
  <si>
    <t>Martin Senn-Franz Eder-Markus Kornprobst</t>
  </si>
  <si>
    <t>Novel Developments for Sustainable Hydropower</t>
  </si>
  <si>
    <t>Peter Rutschmann-Eleftheria Kampa-Christian Wolter-Ismail Albayrak-Laurent David</t>
  </si>
  <si>
    <t>Speciesism in Biology and Culture</t>
  </si>
  <si>
    <t>Brian Swartz-Brent D. Mishler</t>
  </si>
  <si>
    <t>Towards the â€œPerfectâ€ Weather Warning</t>
  </si>
  <si>
    <t>Brian Golding</t>
  </si>
  <si>
    <t>EU Cohesion Policy Implementation - Evaluation Challenges and Opportunities</t>
  </si>
  <si>
    <t>Carla Henriques-Clara Viseu</t>
  </si>
  <si>
    <t>Data Spaces</t>
  </si>
  <si>
    <t>Edward Curry-Simon Scerri-Tuomo Tuikka</t>
  </si>
  <si>
    <t>Innopolis University - From Zero to Hero</t>
  </si>
  <si>
    <t>Manuel Mazzara-Giancarlo Succi-Alexander Tormasov</t>
  </si>
  <si>
    <t>Rassismus in der Polizei</t>
  </si>
  <si>
    <t>Daniela Hunold-Tobias Singelnstein</t>
  </si>
  <si>
    <t>Mobile Forensics â€“ The File Format Handbook</t>
  </si>
  <si>
    <t>Christian Hummert-Dirk Pawlaszczyk</t>
  </si>
  <si>
    <t>International Actors and the Formation of Laws</t>
  </si>
  <si>
    <t>Katja Karjalainen-Iina Tornberg-Aleksi Pursiainen</t>
  </si>
  <si>
    <t>Decarbonizing Freight Transport</t>
  </si>
  <si>
    <t>Sarah Pfoser</t>
  </si>
  <si>
    <t>Risiko im Wandel</t>
  </si>
  <si>
    <t>Rolf Arnold-Marcel Berg-Oskar Goecke-Maria Heep-Altiner-Horst MÃ¼ller-Peters</t>
  </si>
  <si>
    <t>Towards Gender Equality in Law</t>
  </si>
  <si>
    <t>Gizem Guney-David Davies-Po-Han Lee</t>
  </si>
  <si>
    <t>Encounters and Practices of Petty Trade in Northern Europe, 1820â€“1960</t>
  </si>
  <si>
    <t>Jutta Ahlbeck-Ann-Catrin Ã–stman-Eija Stark</t>
  </si>
  <si>
    <t>Flexible Dienstleistungsarbeit gesundheitsfÃ¶rderlich gestalten</t>
  </si>
  <si>
    <t>Guido Becke</t>
  </si>
  <si>
    <t>Crisis Response in Higher Education</t>
  </si>
  <si>
    <t>Mats Benner-Jonathan Grant-Mary Oâ€™Kane</t>
  </si>
  <si>
    <t>Social Networks and Health Inequalities</t>
  </si>
  <si>
    <t>Andreas KlÃ¤rner-Markus Gamper-Sylvia Keim-KlÃ¤rner-Irene Moor-Holger von der Lippe</t>
  </si>
  <si>
    <t>Optimierung der TragfÃ¤higkeit von Zahnwellenverbindungen</t>
  </si>
  <si>
    <t>Jochen Wild</t>
  </si>
  <si>
    <t>Oxygen Isotopes of Inorganic Phosphate in Environmental Samples</t>
  </si>
  <si>
    <t>Joseph Adu-Gyamfi-Verena Pfahler</t>
  </si>
  <si>
    <t>Fethullah GÃ¼lenâ€™s Teaching and Practice</t>
  </si>
  <si>
    <t>Paul Weller</t>
  </si>
  <si>
    <t>Contemporary Housing Struggles</t>
  </si>
  <si>
    <t>Ioana Florea-Agnes Gagyi-Kerstin Jacobsson</t>
  </si>
  <si>
    <t>Theory and Practice of Sociosensitive and Socioactive Systems</t>
  </si>
  <si>
    <t>Jacqueline Bellon-Friederike Eyssel-Bruno Gransche-Sebastian NÃ¤hr-Wagener-Ricarda Wullenkord</t>
  </si>
  <si>
    <t>How Megaprojects Are Damaging Nigeria and How to Fix It</t>
  </si>
  <si>
    <t>Jimoh Ibrahim-Christoph Loch-Kishore Sengupta</t>
  </si>
  <si>
    <t>Energy Transition and Energy Democracy in East Asia</t>
  </si>
  <si>
    <t>Jusen Asuka-Dan Jin</t>
  </si>
  <si>
    <t>From Digital Twins to Digital Selves and Beyond</t>
  </si>
  <si>
    <t>Franz Barachini-Christian Stary</t>
  </si>
  <si>
    <t>Reimagining Sustainable Organization</t>
  </si>
  <si>
    <t>Birgit Helene Jevnaker-Johan Olaisen</t>
  </si>
  <si>
    <t>The Search for Ultralight Bosonic Dark Matter</t>
  </si>
  <si>
    <t>Derek F. Jackson Kimball-Karl van Bibber</t>
  </si>
  <si>
    <t>Framing Global Mathematics</t>
  </si>
  <si>
    <t>Norbert Schappacher</t>
  </si>
  <si>
    <t>Efficient Screening Techniques to Identify Mutants with TR4 Resistance in Banana</t>
  </si>
  <si>
    <t>Joanna Jankowicz-Cieslak-Ivan L. Ingelbrecht</t>
  </si>
  <si>
    <t>PrÃ¤ventionsarbeit der Polizei als pÃ¤dagogische Herausforderung</t>
  </si>
  <si>
    <t>JÃ¼rgen Kepura</t>
  </si>
  <si>
    <t>Health Crises and Media Discourses in Sub-Saharan Africa</t>
  </si>
  <si>
    <t>Carol Azungi Dralega-Angella Napakol</t>
  </si>
  <si>
    <t>Learning, Philosophy, and African Citizenship</t>
  </si>
  <si>
    <t>Katariina Holma-Tiina Kontinen</t>
  </si>
  <si>
    <t>The Diversity Of Worldviews Among Young Adults</t>
  </si>
  <si>
    <t>Peter NynÃ¤s-Ariela Keysar-Janne Kontala-Ben-Willie Kwaku Golo-Mika T. Lassander</t>
  </si>
  <si>
    <t>Age-Inclusive ICT Innovation for Service Delivery in South Africa</t>
  </si>
  <si>
    <t>Vera Roos-Jaco Hoffman</t>
  </si>
  <si>
    <t>Bullying im Klassenverband â€“ doch nicht nur in der Schule</t>
  </si>
  <si>
    <t>Rhea-Katharina Knauf</t>
  </si>
  <si>
    <t>Wicked Problems in Public Policy</t>
  </si>
  <si>
    <t>Brian W. Head</t>
  </si>
  <si>
    <t>Forest Radioecology in Fukushima</t>
  </si>
  <si>
    <t>Shoji Hashimoto-Masabumi Komatsu-Satoru Miura</t>
  </si>
  <si>
    <t>The EBMT/EHA CAR-T Cell Handbook</t>
  </si>
  <si>
    <t>Nicolaus KrÃ¶ger-John Gribben-Christian Chabannon-Ibrahim Yakoub-Agha-Hermann Einsele</t>
  </si>
  <si>
    <t>Mapping Selfies and Memes As Touch</t>
  </si>
  <si>
    <t>Fiona Andreallo</t>
  </si>
  <si>
    <t>Religionstrends in der Schweiz</t>
  </si>
  <si>
    <t>JÃ¶rg Stolz-Arnd BÃ¼nker-Antonius Liedhegener-Eva Baumann-Neuhaus-Irene Becci</t>
  </si>
  <si>
    <t>Die beharrliche Mitte â€“ Wenn investive Statusarbeit funktioniert</t>
  </si>
  <si>
    <t>Nils C. Kumkar-Stefan Holubek-Schaum-Karin Gottschall-Betina Hollstein-Uwe Schimank</t>
  </si>
  <si>
    <t>Alpine Landgesellschaften zwischen Urbanisierung und Globalisierung</t>
  </si>
  <si>
    <t>Manuela Larcher-Erwin Schmid</t>
  </si>
  <si>
    <t>Designing Data Spaces</t>
  </si>
  <si>
    <t>Boris Otto-Michael ten Hompel-Stefan Wrobel</t>
  </si>
  <si>
    <t>Education to Build Back Better</t>
  </si>
  <si>
    <t>Fernando M. Reimers-Uche Amaechi-Alysha Banerji-Margaret Wang</t>
  </si>
  <si>
    <t>Guidebook to Carbon Neutrality in China</t>
  </si>
  <si>
    <t>CICC Research</t>
  </si>
  <si>
    <t>Hizmet in Transitions</t>
  </si>
  <si>
    <t>SubjektunabhÃ¤ngige, analytische Unternehmensethik</t>
  </si>
  <si>
    <t>Florian Fuchs</t>
  </si>
  <si>
    <t>Sustainable Enterprise Value Creation</t>
  </si>
  <si>
    <t>Richard Samans-Jane Nelson</t>
  </si>
  <si>
    <t>Dumbing Down</t>
  </si>
  <si>
    <t>Magnus Henrekson-Johan WennstrÃ¶m</t>
  </si>
  <si>
    <t>Das Co-Creation Toolbook</t>
  </si>
  <si>
    <t>Kerstin Kurzhals-Katrin Uude-Eva Sormani-Choiwai Maggie Chak-Madleen Banze</t>
  </si>
  <si>
    <t>Transformation Literacy</t>
  </si>
  <si>
    <t>Petra KÃ¼nkel-Kristin Vala Ragnarsdottir</t>
  </si>
  <si>
    <t>Transforming Urban Food Systems in Secondary Cities in Africa</t>
  </si>
  <si>
    <t>Liam Riley-Jonathan Crush</t>
  </si>
  <si>
    <t>Der Glaube an Big Data</t>
  </si>
  <si>
    <t>Marco LÃ¼nich</t>
  </si>
  <si>
    <t>Water-filtered Infrared A (wIRA) Irradiation</t>
  </si>
  <si>
    <t>Peter Vaupel</t>
  </si>
  <si>
    <t>Narrative Praktiken von Unternehmen</t>
  </si>
  <si>
    <t>Ulrike Ackermann</t>
  </si>
  <si>
    <t>ICity. Transformative Research for the Livable, Intelligent, and Sustainable City</t>
  </si>
  <si>
    <t>Volker Coors-Dirk Pietruschka-Berndt Zeitler</t>
  </si>
  <si>
    <t>Root, Tuber and Banana Food System Innovations</t>
  </si>
  <si>
    <t>Graham Thiele-Michael Friedmann-Hugo Campos-Vivian Polar-Jeffery W. Bentley</t>
  </si>
  <si>
    <t>Standardisierte Inhaltsanalyse in der Kommunikationswissenschaft â€“ Standardized Content Analysis in Communication Research</t>
  </si>
  <si>
    <t>Franziska Oehmer-Pedrazzi-Sabrina Heike Kessler-Edda Humprecht-Katharina Sommer-Laia Castro</t>
  </si>
  <si>
    <t>Evidence and Expertise in Nordic Education Policy</t>
  </si>
  <si>
    <t>Berit Karseth-Kirsten Sivesind-Gita Steiner-Khamsi</t>
  </si>
  <si>
    <t>Nuclear Law</t>
  </si>
  <si>
    <t>International Atomic Agency</t>
  </si>
  <si>
    <t>â€žBeyond the Wallâ€: Game of Thrones aus interdisziplinÃ¤rer Perspektive</t>
  </si>
  <si>
    <t>Anna Gamper-Thomas MÃ¼ller</t>
  </si>
  <si>
    <t>From Decoding Turbulence to Unveiling the Fingerprint of Climate Change</t>
  </si>
  <si>
    <t>Hans von Storch</t>
  </si>
  <si>
    <t>The Vortex and The Jet</t>
  </si>
  <si>
    <t>Reiner Decher</t>
  </si>
  <si>
    <t>The Psychosocial Reality of Digital Travel</t>
  </si>
  <si>
    <t>Ingvar Tjostheim-John A. Waterworth</t>
  </si>
  <si>
    <t>Cancer in the Arab World</t>
  </si>
  <si>
    <t>Humaid O. Al-Shamsi-Ibrahim H. Abu-Gheida-Faryal Iqbal-Aydah Al-Awadhi</t>
  </si>
  <si>
    <t>Digital Towns</t>
  </si>
  <si>
    <t>Theo Lynn-Pierangelo Rosati-Edel Conway-Declan Curran-Grace Fox-Colm O'Gorman</t>
  </si>
  <si>
    <t>Aviation Noise Impact Management</t>
  </si>
  <si>
    <t>Laurent Leylekian-Alexandra Covrig-Alena Maximova</t>
  </si>
  <si>
    <t>Zero Distance</t>
  </si>
  <si>
    <t>Danah Zohar</t>
  </si>
  <si>
    <t>Land Use Cover Datasets and Validation Tools</t>
  </si>
  <si>
    <t>David GarcÃ­a-Ãlvarez-MarÃ­a Teresa Camacho Olmedo-Martin Paegelow-Jean FranÃ§ois Mas</t>
  </si>
  <si>
    <t>Wie Sprache dem Verstehen hilft</t>
  </si>
  <si>
    <t>Santina Wey</t>
  </si>
  <si>
    <t>Resilienz durch Organisationsentwicklung</t>
  </si>
  <si>
    <t>IAEA Atlas of Cardiac PET/CT</t>
  </si>
  <si>
    <t>Marcelo F. Di Carli-Maurizio Dondi-Raffaele Giubbini-Diana Paez</t>
  </si>
  <si>
    <t>Researching Values</t>
  </si>
  <si>
    <t>Gry Espedal-Beate Jelstad LÃ¸vaas-Stephen Sirris-Arild WÃ¦raas</t>
  </si>
  <si>
    <t>The Plaston Concept</t>
  </si>
  <si>
    <t>Isao Tanaka-Nobuhiro Tsuji-Haruyuki Inui</t>
  </si>
  <si>
    <t>Wheat Improvement</t>
  </si>
  <si>
    <t>Matthew P. Reynolds-Hans-Joachim Braun</t>
  </si>
  <si>
    <t>Development and Characterization of a Dispersion-Encoded Method for Low-Coherence Interferometry</t>
  </si>
  <si>
    <t>TECHNOLOGY &amp; ENGINEERING / Lasers &amp; Photonics</t>
  </si>
  <si>
    <t>Christopher Taudt</t>
  </si>
  <si>
    <t>Health Dimensions of COVID-19 in India and Beyond</t>
  </si>
  <si>
    <t>Making Sense of Work Through Collaborative Storytelling</t>
  </si>
  <si>
    <t>Tricia Cleland Silva-Paulo de Tarso Fonseca Silva</t>
  </si>
  <si>
    <t>Seeds for Diversity and Inclusion</t>
  </si>
  <si>
    <t>Yoshiaki Nishikawa-Michel Pimbert</t>
  </si>
  <si>
    <t>Organization Management â€“ Dynamic Creative Team Coordination</t>
  </si>
  <si>
    <t>Stavros Georgiades</t>
  </si>
  <si>
    <t>Learning Cultural Literacy Through Creative Practices in Schools</t>
  </si>
  <si>
    <t>Tuuli LÃ¤hdesmÃ¤ki-JÅ«ratÄ— Baranova-Susanne C. YlÃ¶nen-Aino-Kaisa Koistinen-Katja MÃ¤kinen-Vaiva JuÅ¡kiene-Irena Zaleskiene</t>
  </si>
  <si>
    <t>Learning to Diagnose with Simulations</t>
  </si>
  <si>
    <t>Frank Fischer-Ansgar Opitz</t>
  </si>
  <si>
    <t>Wohlbefinden und Gesundheit im Jugendalter</t>
  </si>
  <si>
    <t>Andreas Heinen-Robin Samuel-Claus VÃ¶gele-Helmut Willems</t>
  </si>
  <si>
    <t>Multivariate Statistical Machine Learning Methods for Genomic Prediction</t>
  </si>
  <si>
    <t>Osval Antonio Montesinos LÃ³pez-Abelardo Montesinos LÃ³pez-JosÃ© Crossa</t>
  </si>
  <si>
    <t>Banishment in the Late Medieval Eastern Netherlands</t>
  </si>
  <si>
    <t>Edda Frankot</t>
  </si>
  <si>
    <t>Brand Content und Brand Image</t>
  </si>
  <si>
    <t>Matthias Albisser</t>
  </si>
  <si>
    <t>Central Bank Policy Mix: Issues, Challenges, and Policy Responses</t>
  </si>
  <si>
    <t>Perry Warjiyo-Solikin M. Juhro</t>
  </si>
  <si>
    <t>Periphery and Small Ones Matter</t>
  </si>
  <si>
    <t>Formalization of Banking Supervision</t>
  </si>
  <si>
    <t>Eiji Hotori-Mikael Wendschlag-Thibaud Giddey</t>
  </si>
  <si>
    <t>World Protests</t>
  </si>
  <si>
    <t>Isabel Ortiz-Sara Burke-Mohamed Berrada-HernÃ¡n Saenz CortÃ©s</t>
  </si>
  <si>
    <t>Sociology of Interdisciplinarity</t>
  </si>
  <si>
    <t>Antti Silvast-Chris Foulds</t>
  </si>
  <si>
    <t>Ecosystem Restoration Through Managing Socio-Ecological Production Landscapes and Seascapes (SEPLS)</t>
  </si>
  <si>
    <t>Maiko Nishi-Suneetha M. Subramanian</t>
  </si>
  <si>
    <t>The Digital Playbook</t>
  </si>
  <si>
    <t>Dirk Slama-Tanja RÃ¼ckert-Sebastian Thrun-Ulrich Homann-Heiner Lasi</t>
  </si>
  <si>
    <t>Self-Governance and Sami Communities</t>
  </si>
  <si>
    <t>Jesper Larsson-Eva-Lotta PaÌˆivioÌˆ Sjaunja</t>
  </si>
  <si>
    <t>Japan Nutrition</t>
  </si>
  <si>
    <t>Teiji Nakamura</t>
  </si>
  <si>
    <t>Putting PIRLS to Use in Classrooms Across the Globe</t>
  </si>
  <si>
    <t>Understanding Energy Innovation</t>
  </si>
  <si>
    <t>Heather Lovell</t>
  </si>
  <si>
    <t>Greening the Greyfields</t>
  </si>
  <si>
    <t>Peter W. Newton-Peter W.G. Newman-Stephen Glackin-Giles Thomson</t>
  </si>
  <si>
    <t>Wildland Fire Smoke in the United States</t>
  </si>
  <si>
    <t>David L. Peterson-Sarah M. McCaffrey-Toral Patel-Weynand</t>
  </si>
  <si>
    <t>The Sharing Economy in Europe</t>
  </si>
  <si>
    <t>Vida ÄŒesnuitytÄ—-Andrzej Klimczuk-Cristina Miguel-Gabriela Avram</t>
  </si>
  <si>
    <t>Parasites, Pussycats and Psychosis</t>
  </si>
  <si>
    <t>Publishing Sacroboscoâ€™s De Sphaera in Early Modern Europe</t>
  </si>
  <si>
    <t>Matteo Valleriani-Andrea Ottone</t>
  </si>
  <si>
    <t>Variable Pitot-TriebwerkseinlÃ¤sse fÃ¼r kommerzielle Ãœberschallflugzeuge</t>
  </si>
  <si>
    <t>Stefan Kazula</t>
  </si>
  <si>
    <t>Green Economy in the Transport Sector</t>
  </si>
  <si>
    <t>John Ogony Odiyo-Peter Bitta Bikam-James Chakwizira</t>
  </si>
  <si>
    <t>Perspectives on Digital Humanism</t>
  </si>
  <si>
    <t>Hannes Werthner-Erich Prem-Edward A. Lee-Carlo Ghezzi</t>
  </si>
  <si>
    <t>AVENUE21. Connected and Automated Driving: Prospects for Urban Europe</t>
  </si>
  <si>
    <t>Mathias Mitteregger-Emilia M. Bruck-Aggelos Soteropoulos-Andrea Stickler-Martin Berger</t>
  </si>
  <si>
    <t>The Advisory Roles of Political Scientists in Europe</t>
  </si>
  <si>
    <t>Marleen Brans-Arco Timmermans</t>
  </si>
  <si>
    <t>Surveying Climate-Relevant Behavior</t>
  </si>
  <si>
    <t>Markus Hadler-Beate KlÃ¶sch-Stephan Schwarzinger-Markus Schweighart-Rebecca Wardana</t>
  </si>
  <si>
    <t>Demographic and Family Transition in Southeast Asia</t>
  </si>
  <si>
    <t>Wei-Jun Jean Yeung</t>
  </si>
  <si>
    <t>Uprooting Bias in the Academy</t>
  </si>
  <si>
    <t>Linda F. Bisson-Laura Grindstaff-Lisceth Brazil-Cruz-Sophie J. Barbu</t>
  </si>
  <si>
    <t>Making Ammonia</t>
  </si>
  <si>
    <t>Benjamin Johnson</t>
  </si>
  <si>
    <t>Diversity nutzen und annehmen</t>
  </si>
  <si>
    <t>Petia Genkova-Edwin Semke-Henrik Schreiber</t>
  </si>
  <si>
    <t>The Gender Regime of Anti-Liberal Hungary</t>
  </si>
  <si>
    <t>Eva Fodor</t>
  </si>
  <si>
    <t>Ressourceneffizienz und Nachhaltigkeit</t>
  </si>
  <si>
    <t>Kerstin AnstÃ¤tt-Frank Bertagnolli-Mario Schmidt</t>
  </si>
  <si>
    <t>How to Practice Academic Medicine and Publish From Developing Countries?</t>
  </si>
  <si>
    <t>Samiran Nundy-Atul Kakar-Zulfiqar A. Bhutta</t>
  </si>
  <si>
    <t>Cold War Civil Defence in Western Europe</t>
  </si>
  <si>
    <t>Marie Cronqvist-Rosanna FarbÃ¸l-Casper Sylvest</t>
  </si>
  <si>
    <t>Co-Creativity and Engaged Scholarship</t>
  </si>
  <si>
    <t>Alex Franklin</t>
  </si>
  <si>
    <t>Principles and Pedagogies in Jewish Education</t>
  </si>
  <si>
    <t>Management by Missions</t>
  </si>
  <si>
    <t>Pablo Cardona-Carlos Rey</t>
  </si>
  <si>
    <t>Typisch Social Entrepreneurship</t>
  </si>
  <si>
    <t>RÃ¼diger Hein</t>
  </si>
  <si>
    <t>Die Praxis der Social-Media-Analyse</t>
  </si>
  <si>
    <t>Carolin SÃ¤ugling</t>
  </si>
  <si>
    <t>Unterrichtszentrierte Schulentwicklung</t>
  </si>
  <si>
    <t>Marco Galle</t>
  </si>
  <si>
    <t>Access to Medicines and Vaccines</t>
  </si>
  <si>
    <t>Carlos M. Correa-Reto M. Hilty</t>
  </si>
  <si>
    <t>Academic Flying and the Means of Communication</t>
  </si>
  <si>
    <t>Kristian BjÃ¸rkdahl-Adrian Santiago Franco Duharte</t>
  </si>
  <si>
    <t>Ernst Denert Award for Software Engineering 2020</t>
  </si>
  <si>
    <t>Michael Felderer-Wilhelm Hasselbring-Heiko Koziolek-Florian Matthes-Lutz Prechelt-Ralf Reussner-Bernhard Rumpe-Ina Schaefer</t>
  </si>
  <si>
    <t>Modern Socio-Technical Perspectives on Privacy</t>
  </si>
  <si>
    <t>Bart P. Knijnenburg-Xinru Page-Pamela Wisniewski-Heather Richter Lipford-Nicholas Proferes-Jennifer Romano</t>
  </si>
  <si>
    <t>Modes of Esports Engagement in Overwatch</t>
  </si>
  <si>
    <t>Maria Ruotsalainen-Maria TÃ¶rhÃ¶nen-Veli-Matti Karhulahti</t>
  </si>
  <si>
    <t>Arzneimittel-Kompass 2021</t>
  </si>
  <si>
    <t>African Land Reform Under Economic Liberalisation</t>
  </si>
  <si>
    <t>Shinichi Takeuchi</t>
  </si>
  <si>
    <t>Aktives Altern im digitalen Zeitalter</t>
  </si>
  <si>
    <t>Susanne Ring-Dimitriou-Minas Dimitriou</t>
  </si>
  <si>
    <t>Female Genital Mutilation/Cutting in Children and Adolescents</t>
  </si>
  <si>
    <t>Jasmine Abdulcadir-NoÃ©mie Sachs Guedj-Michal Yaron</t>
  </si>
  <si>
    <t>Primary and Secondary Education During Covid-19</t>
  </si>
  <si>
    <t>Remittances As Social Practices and Agents of Change</t>
  </si>
  <si>
    <t>Silke Meyer-Claudius StrÃ¶hle</t>
  </si>
  <si>
    <t>Binging Family</t>
  </si>
  <si>
    <t>Jakob Kelsch</t>
  </si>
  <si>
    <t>Managing Transnational UNESCO World Heritage Sites in Africa</t>
  </si>
  <si>
    <t>DodÃ© Houehounha-Edmond Moukala</t>
  </si>
  <si>
    <t>Sublinear Computation Paradigm</t>
  </si>
  <si>
    <t>Naoki Katoh-Yuya Higashikawa-Hiro Ito-Atsuki Nagao-Tetsuo Shibuya</t>
  </si>
  <si>
    <t>Sprachbildung in der Lehramtsausbildung Mathematik</t>
  </si>
  <si>
    <t>Florian Schacht-Susanne Guckelsberger</t>
  </si>
  <si>
    <t>Museum Digitisations and Emerging Curatorial Agencies Online</t>
  </si>
  <si>
    <t>Bodil Axelsson-Fiona R. Cameron-Katherine Hauptman-Sheenagh Pietrobruno</t>
  </si>
  <si>
    <t>Critical Landscape Planning During the Belt and Road Initiative</t>
  </si>
  <si>
    <t>Ashley Scott Kelly-Xiaoxuan Lu</t>
  </si>
  <si>
    <t>Seamless Learning</t>
  </si>
  <si>
    <t>Bernadette Dilger-Jennifer Erlemann-Claude MÃ¼ller-Christian Rapp</t>
  </si>
  <si>
    <t>Ray Tracing Gems II</t>
  </si>
  <si>
    <t>Adam Marrs-Peter Shirley-Ingo Wald</t>
  </si>
  <si>
    <t>Addressing the Climate Crisis</t>
  </si>
  <si>
    <t>Candice Howarth-Matthew Lane-Amanda Slevin</t>
  </si>
  <si>
    <t>Asia-Pacific Fishing Livelihoods</t>
  </si>
  <si>
    <t>Michael Fabinyi-Kate Barclay</t>
  </si>
  <si>
    <t>Maurice B. Mittelmark-Georg F. Bauer-Lenneke Vaandrager-JÃ¼rgen M. Pelikan-Shifra Sagy-Monica Eriksson-Bengt LindstrÃ¶m-Claudia Meier Magistretti</t>
  </si>
  <si>
    <t>Water Security, Conflict and Cooperation in Peri-Urban South Asia</t>
  </si>
  <si>
    <t>Vishal Narain-Dik Roth</t>
  </si>
  <si>
    <t>Opportunities and Challenges for New and Peripheral Political Science Communities</t>
  </si>
  <si>
    <t>Gabriella Ilonszki-Christophe Roux</t>
  </si>
  <si>
    <t>Die Ã¶sterreichische Gesellschaft wÃ¤hrend der Corona-Pandemie</t>
  </si>
  <si>
    <t>Wolfgang Aschauer-Christoph Glatz-Dimitri Prandner</t>
  </si>
  <si>
    <t>Cybersecurity in Poland</t>
  </si>
  <si>
    <t>Katarzyna ChaÅ‚ubiÅ„ska-Jentkiewicz-Filip Radoniewicz-Tadeusz ZieliÅ„ski</t>
  </si>
  <si>
    <t>Open Science: the Very Idea</t>
  </si>
  <si>
    <t>Frank Miedema</t>
  </si>
  <si>
    <t>The Belt and Road Initiative Green Development Case Studies Report 2020</t>
  </si>
  <si>
    <t>BRI International Green Development</t>
  </si>
  <si>
    <t>Active Assisted Living</t>
  </si>
  <si>
    <t>Marcel Sailer-Andreas Mahr</t>
  </si>
  <si>
    <t>Product Development Within Artificial Intelligence, Ethics and Legal Risk</t>
  </si>
  <si>
    <t>Thomas Winkle</t>
  </si>
  <si>
    <t>Zivilgesellschaftliche Performanz von religiÃ¶sen und sÃ¤kularen Migrantenselbstorganisationen</t>
  </si>
  <si>
    <t>Anna Wiebke Klie</t>
  </si>
  <si>
    <t>Between Peace and Conflict in the East and the West</t>
  </si>
  <si>
    <t>Progress in Landslide Research and Technology, Volume 1 Issue 2, 2022</t>
  </si>
  <si>
    <t>Irasema AlcÃ¡ntara-Ayala-Å½eljko Arbanas-David Huntley-Kazuo Konagai-MatjaÅ¾ MikoÅ¡</t>
  </si>
  <si>
    <t>Progress in Landslide Research and Technology, Volume 1 Issue 1, 2022</t>
  </si>
  <si>
    <t>Kyoji Sassa-Kazuo Konagai-Binod Tiwari-Å½eljko Arbanas-Shinji Sassa</t>
  </si>
  <si>
    <t>Forms of List-Making: Epistemic, Literary, and Visual Enumeration</t>
  </si>
  <si>
    <t>Roman Alexander Barton-Julia BÃ¶ckling-Sarah Link-Anne RÃ¼ggemeier</t>
  </si>
  <si>
    <t>The Importance and Value of Older Employees</t>
  </si>
  <si>
    <t>Anne Inga Hilsen-Dorothy Sutherland Olsen</t>
  </si>
  <si>
    <t>Outcomes of Open Adoption From Care</t>
  </si>
  <si>
    <t>Harriet Ward-Lynne Moggach-Susan Tregeagle-Helen Trivedi</t>
  </si>
  <si>
    <t>Augmented Humanity</t>
  </si>
  <si>
    <t>Peter T. Bryant</t>
  </si>
  <si>
    <t>Ansgar W. Lohse</t>
  </si>
  <si>
    <t>Co-governed Sovereignty Network</t>
  </si>
  <si>
    <t>Hui Li-Xin Yang</t>
  </si>
  <si>
    <t>China's Long-Term Low-Carbon Development Strategies and Pathways</t>
  </si>
  <si>
    <t>Institute of Climate Change and Sustainable Development of Tsinghua University et al.</t>
  </si>
  <si>
    <t>Abrahamic Reflections on Randomness and Providence</t>
  </si>
  <si>
    <t>Kelly James Clark-Jeffrey Koperski</t>
  </si>
  <si>
    <t>Peer Review in an Era of Evaluation</t>
  </si>
  <si>
    <t>Eva Forsberg-Lars Geschwind-Sara Levander-Wieland Wermke</t>
  </si>
  <si>
    <t>Student Feedback on Teaching in Schools</t>
  </si>
  <si>
    <t>Wolfram Rollett-Hannah Bijlsma-Sebastian RÃ¶hl</t>
  </si>
  <si>
    <t>Altern als Zukunft â€“ eine Studie der VolkswagenStiftung</t>
  </si>
  <si>
    <t>Orte und RÃ¤ume im Roman</t>
  </si>
  <si>
    <t>Mareike K. Schumacher</t>
  </si>
  <si>
    <t>AVENUE21. Politische und planerische Aspekte der automatisierten MobilitÃ¤t</t>
  </si>
  <si>
    <t>Mehrsprachige PflegebedÃ¼rftige in deutschen Pflegeheimen und das Projekt UnVergessen</t>
  </si>
  <si>
    <t>Katrin Bente Karl</t>
  </si>
  <si>
    <t>Shaping an Inclusive Energy Transition</t>
  </si>
  <si>
    <t>Margot P. C. Weijnen-Zofia Lukszo-Samira Farahani</t>
  </si>
  <si>
    <t>Die explorative Tympanoskopie mit Obliteration des runden/ovalen Fensters in der Behandlung des HÃ¶rsturzes</t>
  </si>
  <si>
    <t>Thomas Eichhorn-Mariia Beslekoeva</t>
  </si>
  <si>
    <t>Innovation, Sustainability and Management in Motorsports</t>
  </si>
  <si>
    <t>Hans Erik NÃ¦ss-Anne TjÃ¸nndal</t>
  </si>
  <si>
    <t>Global Political Demography</t>
  </si>
  <si>
    <t>Achim Goerres-Pieter Vanhuysse</t>
  </si>
  <si>
    <t>EU Citizenship Beyond Urban Centres</t>
  </si>
  <si>
    <t>Von einem Traum getrieben</t>
  </si>
  <si>
    <t>Aashild SÃ¸rheim-Daniela Stilzebach</t>
  </si>
  <si>
    <t>The Transformation of the Liberal International Order</t>
  </si>
  <si>
    <t>Yuichi Hosoya-Hans Kundnani</t>
  </si>
  <si>
    <t>Sustainable Mobility for Island Destinations</t>
  </si>
  <si>
    <t>Theocharis Tsoutsos</t>
  </si>
  <si>
    <t>Earth Observation Science and Applications for Risk Reduction and Enhanced Resilience in Hindu Kush Himalaya Region</t>
  </si>
  <si>
    <t>Birendra Bajracharya-Rajesh Bahadur Thapa-Mir A. Matin</t>
  </si>
  <si>
    <t>Three Essays on Empirical Asset Pricing in International Equity Markets</t>
  </si>
  <si>
    <t>Birgit Charlotte MÃ¼ller</t>
  </si>
  <si>
    <t>Governing the Pandemic</t>
  </si>
  <si>
    <t>Arjen Boin-Allan McConnell-Paul 't Hart</t>
  </si>
  <si>
    <t>Making Healthcare Safe</t>
  </si>
  <si>
    <t>Lucian L. Leape</t>
  </si>
  <si>
    <t>Influences of the IEA Civic and Citizenship Education Studies</t>
  </si>
  <si>
    <t>Barbara Malak-Minkiewicz-Judith Torney-Purta</t>
  </si>
  <si>
    <t>Big Data in Bioeconomy</t>
  </si>
  <si>
    <t>Caj SÃ¶dergÃ¥rd-Tomas Mildorf-Ephrem Habyarimana-Arne J. Berre-Jose A. Fernandes</t>
  </si>
  <si>
    <t>EU-Turkey Relations</t>
  </si>
  <si>
    <t>Wulf Reiners-Ebru Turhan</t>
  </si>
  <si>
    <t>Data Privacy and Crowdsourcing</t>
  </si>
  <si>
    <t>Lars Hornuf-Sonja Mangold-Yayun Yang</t>
  </si>
  <si>
    <t>Improving Interagency Collaboration, Innovation and Learning in Criminal Justice Systems</t>
  </si>
  <si>
    <t>Sarah Hean-Berit Johnsen-Anu Kajamaa-Laure Kloetzer</t>
  </si>
  <si>
    <t>Cinematic Histospheres</t>
  </si>
  <si>
    <t>Rasmus Greiner</t>
  </si>
  <si>
    <t>Social Cash Transfer in Turkey</t>
  </si>
  <si>
    <t>Ceren Ark-YÄ±ldÄ±rÄ±m-Marc Smyrl</t>
  </si>
  <si>
    <t>Politische Bildung fÃ¼r die digitale Ã–ffentlichkeit</t>
  </si>
  <si>
    <t>Manuel S. Hubacher-Monika Waldis</t>
  </si>
  <si>
    <t>Chasing the Chinese Dream</t>
  </si>
  <si>
    <t>Microorganisms in the Deterioration and Preservation of Cultural Heritage</t>
  </si>
  <si>
    <t>Edith Joseph</t>
  </si>
  <si>
    <t>Transition and Opportunity</t>
  </si>
  <si>
    <t>Consensus or Conflict?</t>
  </si>
  <si>
    <t>Huiyao Wang-Alistair Michie</t>
  </si>
  <si>
    <t>Nuclear and Radiological Emergencies in Animal Production Systems, Preparedness, Response and Recovery</t>
  </si>
  <si>
    <t>Ivancho Naletoski-Anthony G. Luckins-Gerrit Viljoen</t>
  </si>
  <si>
    <t>Nachhaltiges Personalmanagement als SchlÃ¼sselfaktor fÃ¼r erfolgreiches Wirtschaften</t>
  </si>
  <si>
    <t>Elisabeth Geursen</t>
  </si>
  <si>
    <t>Die Zukunft zwischen Goethezeit und Realismus</t>
  </si>
  <si>
    <t>Stephan BrÃ¶ssel</t>
  </si>
  <si>
    <t>Accelerator-Driven System at Kyoto University Critical Assembly</t>
  </si>
  <si>
    <t>Cheol Ho Pyeon</t>
  </si>
  <si>
    <t>Bioeconomy and Global Inequalities</t>
  </si>
  <si>
    <t>Maria Backhouse-Rosa Lehmann-Kristina Lorenzen-Malte LÃ¼hmann-Janina Puder</t>
  </si>
  <si>
    <t>Schulbezogene Motivierungspraktiken von Eltern</t>
  </si>
  <si>
    <t>Erich Steiner</t>
  </si>
  <si>
    <t>Expatriates und freiwilliges Engagement in der Schweiz</t>
  </si>
  <si>
    <t>Mario StÃ¶rkle</t>
  </si>
  <si>
    <t>Berufliche Orientierung zwischen HeterogenitÃ¤t und Individualisierung</t>
  </si>
  <si>
    <t>Svenja Ohlemann</t>
  </si>
  <si>
    <t>Datenreiche Medizin und das Problem der Einwilligung</t>
  </si>
  <si>
    <t>Gesine Richter-Wulf Loh-Alena Buyx-Sebastian Graf von Kielmansegg</t>
  </si>
  <si>
    <t>The Elements of Big Data Value</t>
  </si>
  <si>
    <t>Edward Curry-Andreas Metzger-Sonja Zillner-Jean-Christophe Pazzaglia-Ana GarcÃ­a Robles</t>
  </si>
  <si>
    <t>A Buddhist Approach to International Relations</t>
  </si>
  <si>
    <t>William J. Long</t>
  </si>
  <si>
    <t>Fostering Transformative Change for Sustainability in the Context of Socio-Ecological Production Landscapes and Seascapes (SEPLS)</t>
  </si>
  <si>
    <t>Maiko Nishi-Suneetha M. Subramanian-Himangana Gupta-Madoka Yoshino-Yasuo Takahashi</t>
  </si>
  <si>
    <t>Recovering Civility During COVID-19</t>
  </si>
  <si>
    <t>Matteo Bonotti-Steven T. Zech</t>
  </si>
  <si>
    <t>A Visual Atlas for Soil Micromorphologists</t>
  </si>
  <si>
    <t>Eric P. Verrecchia-Luca Trombino</t>
  </si>
  <si>
    <t>Collapsing Structures and Public Mismanagement</t>
  </si>
  <si>
    <t>Wolfgang Seibel</t>
  </si>
  <si>
    <t>Trauma and Resilience Among Displaced Populations</t>
  </si>
  <si>
    <t>Gail Theisen-Womersley</t>
  </si>
  <si>
    <t>Recycling â€“ ein Mittel zu welchem Zweck?</t>
  </si>
  <si>
    <t>Philipp SchÃ¤fer</t>
  </si>
  <si>
    <t>Das Internet der Dinge fÃ¼r Bildung nutzbar machen</t>
  </si>
  <si>
    <t>Sirkka Freigang</t>
  </si>
  <si>
    <t>Social Background and the Demographic Life Course: Cross-National Comparisons</t>
  </si>
  <si>
    <t>Aart C. Liefbroer-Mioara Zoutewelle-Terovan</t>
  </si>
  <si>
    <t>(Un)doing Gender empirisch</t>
  </si>
  <si>
    <t>Julia C. Nentwich-Franziska Vogt</t>
  </si>
  <si>
    <t>Firm Competitive Advantage Through Relationship Management</t>
  </si>
  <si>
    <t>Bartosz DeszczyÅ„ski</t>
  </si>
  <si>
    <t>The Promise of Higher Education</t>
  </si>
  <si>
    <t>Hilligje van't Land-Andreas Corcoran-Diana-Camelia Iancu</t>
  </si>
  <si>
    <t>Digitalisierung in Studium und Lehre gemeinsam gestalten</t>
  </si>
  <si>
    <t>Hochschulforum Digitalisierung</t>
  </si>
  <si>
    <t>Towards a Natural Social Contract</t>
  </si>
  <si>
    <t>Patrick Huntjens</t>
  </si>
  <si>
    <t>Atlas of Fallen Dust in Kuwait</t>
  </si>
  <si>
    <t>Ali Al-Dousari</t>
  </si>
  <si>
    <t>Market Engineering</t>
  </si>
  <si>
    <t>Henner Gimpel-Jan KrÃ¤mer-Dirk Neumann-Jella Pfeiffer-Stefan Seifert</t>
  </si>
  <si>
    <t>Ten Crises</t>
  </si>
  <si>
    <t>Tiejun Wen</t>
  </si>
  <si>
    <t>Small Electric Vehicles</t>
  </si>
  <si>
    <t>Amelie Ewert-Stephan Schmid-Mascha Brost-Huw Davies-Luc Vinckx</t>
  </si>
  <si>
    <t>Novel Plant Imaging and Analysis</t>
  </si>
  <si>
    <t>Tomoko M. Nakanishi</t>
  </si>
  <si>
    <t>Happinessâ€”Concept, Measurement and Promotion</t>
  </si>
  <si>
    <t>Yew-Kwang Ng</t>
  </si>
  <si>
    <t>Von alternativen Paradigmen zur umfassenden Transformation</t>
  </si>
  <si>
    <t>Katharina Schleicher</t>
  </si>
  <si>
    <t>Das Formular</t>
  </si>
  <si>
    <t>The New Common</t>
  </si>
  <si>
    <t>Emile Aarts-Hein Fleuren-Margriet Sitskoorn-Ton Wilthagen</t>
  </si>
  <si>
    <t>Masterpieces of Swiss Entrepreneurship</t>
  </si>
  <si>
    <t>Jean-Pierre Jeannet-Thierry Volery-Heiko Bergmann-Cornelia Amstutz</t>
  </si>
  <si>
    <t>Die Phonetik von Ã¤h und Ã¤hm</t>
  </si>
  <si>
    <t>Malte Belz</t>
  </si>
  <si>
    <t>TemporÃ¤re An- und Abwesenheiten in lÃ¤ndlichen RÃ¤umen</t>
  </si>
  <si>
    <t>Frank Othengrafen-Linda Lange-Lena Greinke</t>
  </si>
  <si>
    <t>Causality in Policy Studies</t>
  </si>
  <si>
    <t>Alessia Damonte-Fedra Negri</t>
  </si>
  <si>
    <t>Von Bauingenieurinnen und Sozialarbeitern</t>
  </si>
  <si>
    <t>Lena Loge</t>
  </si>
  <si>
    <t>Quality Management and Accreditation in Hematopoietic Stem Cell Transplantation and Cellular Therapy</t>
  </si>
  <si>
    <t>Mahmoud Aljurf-John A. Snowden-Patrick Hayden-Kim H. Orchard-Eoin McGrath</t>
  </si>
  <si>
    <t>Internationale Zielmarktanalyse und Vertriebsentwicklung</t>
  </si>
  <si>
    <t>Simone Reber geb. Wiesenauer</t>
  </si>
  <si>
    <t>Sex Work, Health, and Human Rights</t>
  </si>
  <si>
    <t>Shira M. Goldenberg-Ruth Morgan Thomas-Anna Forbes-Stefan Baral</t>
  </si>
  <si>
    <t>Molecular Beams in Physics and Chemistry</t>
  </si>
  <si>
    <t>Bretislav Friedrich-Horst Schmidt-BÃ¶cking</t>
  </si>
  <si>
    <t>Multimodal Texts in Disciplinary Education</t>
  </si>
  <si>
    <t>Kristina Danielsson-Staffan Selander</t>
  </si>
  <si>
    <t>Krankenhaus-Report 2021</t>
  </si>
  <si>
    <t>Digital Business</t>
  </si>
  <si>
    <t>Entertainment-Education Behind the Scenes</t>
  </si>
  <si>
    <t>Lauren B. Frank-Paul Falzone</t>
  </si>
  <si>
    <t>Doktor Faustus (ver-)stimmen</t>
  </si>
  <si>
    <t>Anna Maria Olivari</t>
  </si>
  <si>
    <t>70 Years of Levothyroxine</t>
  </si>
  <si>
    <t>George J. Kahaly</t>
  </si>
  <si>
    <t>Perceptions of the Independence of Judges in Europe</t>
  </si>
  <si>
    <t>Frans van Dijk</t>
  </si>
  <si>
    <t>Cultural Governance</t>
  </si>
  <si>
    <t>Birgit Mandel-Annette Zimmer</t>
  </si>
  <si>
    <t>Anti-Microbial Resistance in Global Perspective</t>
  </si>
  <si>
    <t>Louise Ackers-Gavin Ackers-Johnson-Joanne Welsh-Daniel Kibombo-Samuel Opio</t>
  </si>
  <si>
    <t>Mesoscale Analysis of Hydraulics</t>
  </si>
  <si>
    <t>Weilin Xu</t>
  </si>
  <si>
    <t>The Suez Canal: Past Lessons and Future Challenges</t>
  </si>
  <si>
    <t>Carmela Lutmar-Ziv Rubinovitz</t>
  </si>
  <si>
    <t>Studierendenmigration und Entwicklung</t>
  </si>
  <si>
    <t>Sascha Krannich-Uwe Hunger</t>
  </si>
  <si>
    <t>The Japanese Banking Crisis</t>
  </si>
  <si>
    <t>Ryozo Himino</t>
  </si>
  <si>
    <t>Equity, Equality and Diversity in the Nordic Model of Education</t>
  </si>
  <si>
    <t>Tove Stjern FrÃ¸nes-Andreas Pettersen-Jelena RadiÅ¡iÄ‡-Nils Buchholtz</t>
  </si>
  <si>
    <t>Pilot Society and the Energy Transition</t>
  </si>
  <si>
    <t>Marianne Ryghaug-Tomas Moe SkjÃ¸lsvold</t>
  </si>
  <si>
    <t>The Future European Energy System</t>
  </si>
  <si>
    <t>Dominik MÃ¶st-Steffi Schreiber-Andrea Herbst-Martin Jakob-Angelo Martino</t>
  </si>
  <si>
    <t>Digitalisierung souverÃ¤n gestalten</t>
  </si>
  <si>
    <t>Reading Prehistoric Human Tracks</t>
  </si>
  <si>
    <t>Andreas Pastoors-Tilman Lenssen-Erz</t>
  </si>
  <si>
    <t>The Leading Worldâ€™s Most Innovative Universities</t>
  </si>
  <si>
    <t>Abdulrahman Obaid AI-Youbi-Adnan Hamza Mohammad Zahed-Mahmoud Nadim Nahas-Ahmad Abousree Hegazy</t>
  </si>
  <si>
    <t>The German Chambers of Commerce and Industry</t>
  </si>
  <si>
    <t>Eberhard Sasse-Andre Habisch</t>
  </si>
  <si>
    <t>Qatarâ€™s Nation Branding and Soft Power</t>
  </si>
  <si>
    <t>Nawaf Al-Tamimi-Azzam Amin-Nourollah Zarrinabadi</t>
  </si>
  <si>
    <t>Improving Potassium Recommendations for Agricultural Crops</t>
  </si>
  <si>
    <t>T. Scott Murrell-Robert L. Mikkelsen-Gavin Sulewski-Robert Norton-Michael L. Thompson</t>
  </si>
  <si>
    <t>Die Wirtschaft im Wandel</t>
  </si>
  <si>
    <t>Christian Keuschnigg-Michael Kogler</t>
  </si>
  <si>
    <t>Decision Science for Future Earth</t>
  </si>
  <si>
    <t>Tetsukazu Yahara</t>
  </si>
  <si>
    <t>Improving a Countryâ€™s Education</t>
  </si>
  <si>
    <t>Nuno Crato</t>
  </si>
  <si>
    <t>Transparenz Ã¶ffentlicher Einkaufsdaten in Deutschland</t>
  </si>
  <si>
    <t>Britta Reuter</t>
  </si>
  <si>
    <t>Familial Feeling</t>
  </si>
  <si>
    <t>LITERARY CRITICISM / Modern / 18th Century</t>
  </si>
  <si>
    <t>Elahe Haschemi Yekani</t>
  </si>
  <si>
    <t>Ernst Denert Award for Software Engineering 2019</t>
  </si>
  <si>
    <t>Clinical Pathways in Stroke Rehabilitation</t>
  </si>
  <si>
    <t>Thomas Platz</t>
  </si>
  <si>
    <t>Literatur und Recht: MaterialitÃ¤t</t>
  </si>
  <si>
    <t>Eric Achermann-Andreas BlÃ¶dorn-Corinna Norrick-RÃ¼hl-Petra Pohlmann</t>
  </si>
  <si>
    <t>Projekt- und Teamarbeit in der digitalisierten Arbeitswelt</t>
  </si>
  <si>
    <t>Susanne MÃ¼tze-NiewÃ¶hner-Winfried Hacker-Thomas Hardwig-Simone Kauffeld-Erich Latniak</t>
  </si>
  <si>
    <t>Arbeit in der digitalisierten Welt</t>
  </si>
  <si>
    <t>Wilhelm Bauer-Susanne MÃ¼tze-NiewÃ¶hner-Sascha Stowasser-Claus Zanker-Nadine MÃ¼ller</t>
  </si>
  <si>
    <t>Modes of Bio-Bordering</t>
  </si>
  <si>
    <t>Nina Amelung-Rafaela Granja-Helena Machado</t>
  </si>
  <si>
    <t>The Palgrave Handbook of Development Cooperation for Achieving the 2030 Agenda</t>
  </si>
  <si>
    <t>Sachin Chaturvedi-Heiner Janus-Stephan Klingebiel-Xiaoyun Li-AndrÃ© de Mello e Souza-Elizabeth Sidiropoulos-Dorothea Wehrmann</t>
  </si>
  <si>
    <t>Accelerating Digitalization</t>
  </si>
  <si>
    <t>Harald Proff-Claudia Ahrens-Wencke Neuroth-Heike Proff-Florian Knobbe-Gregor Szybisty-Stefan Sommer</t>
  </si>
  <si>
    <t>Nachhaltige Entwicklung in einer Gesellschaft des Umbruchs</t>
  </si>
  <si>
    <t>Birgit BlÃ¤ttel-Mink-Thomas Hickler-Sybille KÃ¼ster-Henrike Becker</t>
  </si>
  <si>
    <t>Klima</t>
  </si>
  <si>
    <t>Cultural Convergence</t>
  </si>
  <si>
    <t>OndÅ™ej PilnÃ½-Ruud van den Beuken-Ian R. Walsh</t>
  </si>
  <si>
    <t>Enhancing Smallholder Farmers' Access to Seed of Improved Legume Varieties Through Multi-stakeholder Platforms</t>
  </si>
  <si>
    <t>Essegbemon Akpo-Chris O. Ojiewo-Issoufou Kapran-Lucky O. Omoigui-Agathe Diama</t>
  </si>
  <si>
    <t>Implementing Deeper Learning and 21st Century Education Reforms</t>
  </si>
  <si>
    <t>Social Development in the World Bank</t>
  </si>
  <si>
    <t>Maritta Koch-Weser-Scott Guggenheim</t>
  </si>
  <si>
    <t>Migrant Hospitalities in the Mediterranean</t>
  </si>
  <si>
    <t>Vanessa Grotti-Marc Brightman</t>
  </si>
  <si>
    <t>Selbststudium im digitalen Wandel</t>
  </si>
  <si>
    <t>Roland KÃ¼stermann-Matthias Kunkel-AndrÃ© Mersch-Anne Schreiber</t>
  </si>
  <si>
    <t>XcalableMP PGAS Programming Language</t>
  </si>
  <si>
    <t>Mitsuhisa Sato</t>
  </si>
  <si>
    <t>Euthanasia: Searching for the Full Story</t>
  </si>
  <si>
    <t>Timothy Devos</t>
  </si>
  <si>
    <t>Arts and Health Promotion</t>
  </si>
  <si>
    <t>J. Hope Corbin-Mariana Sanmartino-Emily Alden Hennessy-Helga BjÃ¸rnÃ¸y Urke</t>
  </si>
  <si>
    <t>Die emotionale Erfahrung des Asyls</t>
  </si>
  <si>
    <t>Klaus Behnam Shad</t>
  </si>
  <si>
    <t>European Cultural Diplomacy and Arab Christians in Palestine, 1918â€“1948</t>
  </si>
  <si>
    <t>Teacher Transition Into Innovative Learning Environments</t>
  </si>
  <si>
    <t>Wesley Imms-Thomas Kvan</t>
  </si>
  <si>
    <t>Measuring Emission of Agricultural Greenhouse Gases and Developing Mitigation Options Using Nuclear and Related Techniques</t>
  </si>
  <si>
    <t>Mohammad Zaman-Lee Heng-Christoph MÃ¼ller</t>
  </si>
  <si>
    <t>Financial Crisis Management and Democracy</t>
  </si>
  <si>
    <t>Bettina De Souza Guilherme-Christian Ghymers-Stephany Griffith-Jones-Andrea Ribeiro Hoffmann</t>
  </si>
  <si>
    <t>Ins Philosophieren finden mit KÃ¼rzesttexten</t>
  </si>
  <si>
    <t>Ellen Franziska MÃ¶ller</t>
  </si>
  <si>
    <t>Russische Errungenschaften in der Physiologie der Verdauung</t>
  </si>
  <si>
    <t>Dmitry A. Balalykin</t>
  </si>
  <si>
    <t>Researching with Proximity</t>
  </si>
  <si>
    <t>Outi Rantala-Veera Kinnunen-Emily HÃ¶ckert</t>
  </si>
  <si>
    <t>Agiles Lernen im Unternehmen</t>
  </si>
  <si>
    <t>JÃ¶rg LongmuÃŸ-Gabriele Korge-Agnes Bauer-Benjamin HÃ¶hne</t>
  </si>
  <si>
    <t>Zusammenwirken von natÃ¼rlicher und kÃ¼nstlicher Intelligenz</t>
  </si>
  <si>
    <t>Reinhold Haux-Klaus Gahl-Meike Jipp-Rudolf Kruse-Otto Richter</t>
  </si>
  <si>
    <t>Social and Economic Vulnerability of Roma People</t>
  </si>
  <si>
    <t>Maria Manuela Mendes-Olga Magano-StefÃ¡nia Toma</t>
  </si>
  <si>
    <t>Umrisse einer Dritten Kultur im interdisziplinÃ¤ren Zusammenspiel zwischen Literatur und Naturwissenschaft</t>
  </si>
  <si>
    <t>Bernd Neumann</t>
  </si>
  <si>
    <t>Neoromantik der Jahrhundertwende</t>
  </si>
  <si>
    <t>Raphael StÃ¼be</t>
  </si>
  <si>
    <t>Partizipation durch WerkstattrÃ¤te</t>
  </si>
  <si>
    <t>Viviane Schachler</t>
  </si>
  <si>
    <t>Guardians of Public Value</t>
  </si>
  <si>
    <t>Arjen Boin-Lauren A. Fahy-Paul 't Hart</t>
  </si>
  <si>
    <t>The Future of the Bamiyan Buddha Statues</t>
  </si>
  <si>
    <t>Masanori Nagaoka</t>
  </si>
  <si>
    <t>The Narrative Subject</t>
  </si>
  <si>
    <t>Christina Schachtner</t>
  </si>
  <si>
    <t>Combatting Illicit Trade on the EU Border</t>
  </si>
  <si>
    <t>Celina Nowak</t>
  </si>
  <si>
    <t>The Innovation Revolution in Agriculture</t>
  </si>
  <si>
    <t>Hugo Campos</t>
  </si>
  <si>
    <t>Nonparametric Bayesian Learning for Collaborative Robot Multimodal Introspection</t>
  </si>
  <si>
    <t>Xuefeng Zhou-Hongmin Wu-Juan Rojas-Zhihao Xu-Shuai Li</t>
  </si>
  <si>
    <t>The Demography of Disasters</t>
  </si>
  <si>
    <t>DÃ¡vid KarÃ¡csonyi-Andrew Taylor-Deanne Bird</t>
  </si>
  <si>
    <t>Evidence-Based Medicine - A Paradigm Ready To Be Challenged?</t>
  </si>
  <si>
    <t>Marie-Caroline Schulte</t>
  </si>
  <si>
    <t>Beyond Media Borders, Volume 1</t>
  </si>
  <si>
    <t>Beyond Media Borders, Volume 2</t>
  </si>
  <si>
    <t>Cultivating Teacher Resilience</t>
  </si>
  <si>
    <t>Caroline F. Mansfield</t>
  </si>
  <si>
    <t>Annals of Scientific Society for Assembly, Handling and Industrial Robotics</t>
  </si>
  <si>
    <t>Thorsten SchÃ¼ppstuhl-Kirsten Tracht-Dominik Henrich</t>
  </si>
  <si>
    <t>Partizipative Forschung</t>
  </si>
  <si>
    <t>Susanne Hartung-Petra Wihofszky-Michael T. Wright</t>
  </si>
  <si>
    <t>Towards a Comparative Analysis of Social Inequalities Between Europe and Latin America</t>
  </si>
  <si>
    <t>Pedro LÃ³pez-RoldÃ¡n-Sandra Fachelli</t>
  </si>
  <si>
    <t>AI Based Robot Safe Learning and Control</t>
  </si>
  <si>
    <t>Xuefeng Zhou-Zhihao Xu-Shuai Li-Hongmin Wu-Taobo Cheng</t>
  </si>
  <si>
    <t>International Perspectives in Values-Based Mental Health Practice</t>
  </si>
  <si>
    <t>Drozdstoy Stoyanov-Bill Fulford-Giovanni Stanghellini-Werdie Van Staden-Michael TH Wong</t>
  </si>
  <si>
    <t>Cultural Competence and the Higher Education Sector</t>
  </si>
  <si>
    <t>Jack Frawley-Gabrielle Russell-Juanita Sherwood</t>
  </si>
  <si>
    <t>Vertrauen in Journalismus unter Online-Bedingungen</t>
  </si>
  <si>
    <t>Fabian Prochazka</t>
  </si>
  <si>
    <t>Methods for Analysing and Reporting EQ-5D Data</t>
  </si>
  <si>
    <t>Nancy Devlin-David Parkin-Bas Janssen</t>
  </si>
  <si>
    <t>Lives in Peace Research</t>
  </si>
  <si>
    <t>Stein TÃ¸nnesson</t>
  </si>
  <si>
    <t>Paths</t>
  </si>
  <si>
    <t>AndrÃ¡s GulyÃ¡s-ZalÃ¡n Heszberger-JÃ³zsef BirÃ³</t>
  </si>
  <si>
    <t>Ein Physiologiemodell fÃ¼r Tactical Combat Casualty Care Training in mobilen Serious Games</t>
  </si>
  <si>
    <t>Julia Hofmann</t>
  </si>
  <si>
    <t>Pluralistic Struggles in Gender, Sexuality and Coloniality</t>
  </si>
  <si>
    <t>Erika Alm-Linda Berg-Mikela Lundahl Hero-Anna Johansson-Pia Laskar</t>
  </si>
  <si>
    <t>Charting Spiritual Care</t>
  </si>
  <si>
    <t>Simon Peng-Keller-David Neuhold</t>
  </si>
  <si>
    <t>Applied Pedagogies for Higher Education</t>
  </si>
  <si>
    <t>Dawn A. Morley-Md Golam Jamil</t>
  </si>
  <si>
    <t>The State of Peacebuilding in Africa</t>
  </si>
  <si>
    <t>Terence McNamee-Monde Muyangwa</t>
  </si>
  <si>
    <t>Transdisciplinarity in Financial Communication</t>
  </si>
  <si>
    <t>Marlies Whitehouse</t>
  </si>
  <si>
    <t>Gestaltung vernetzt-flexibler Arbeit</t>
  </si>
  <si>
    <t>Mario Daum-Marco Wedel-Christian Zinke-Wehlmann-Hannah Ulbrich</t>
  </si>
  <si>
    <t>Rational Cybersecurity for Business</t>
  </si>
  <si>
    <t>Dan Blum</t>
  </si>
  <si>
    <t>Advances in Crowdfunding</t>
  </si>
  <si>
    <t>Rotem Shneor-Liang Zhao-BjÃ¸rn-Tore FlÃ¥ten</t>
  </si>
  <si>
    <t>Policing in the Pacific Islands</t>
  </si>
  <si>
    <t>Danielle Watson-Loene Howes-Sinclair Dinnen-Melissa Bull-Sara N. Amin</t>
  </si>
  <si>
    <t>Technical, Economic and Societal Effects of Manufacturing 4.0</t>
  </si>
  <si>
    <t>Mikael Collan-Karl-Erik Michelsen</t>
  </si>
  <si>
    <t>The Prevent Duty in Education</t>
  </si>
  <si>
    <t>Joel Busher-Lee Jerome</t>
  </si>
  <si>
    <t>Brain and Human Body Modeling 2020</t>
  </si>
  <si>
    <t>Sergey N. Makarov-Gregory M. Noetscher-Aapo Nummenmaa</t>
  </si>
  <si>
    <t>Digital Dilemmas</t>
  </si>
  <si>
    <t>Akademische Subjektivierung im Dispositiv neoliberaler GouvernementalitÃ¤t</t>
  </si>
  <si>
    <t>Alexander Lenk</t>
  </si>
  <si>
    <t>Invasive Species in Forests and Rangelands of the United States</t>
  </si>
  <si>
    <t>Therese M. Poland-Toral Patel-Weynand-Deborah M. Finch-Chelcy Ford Miniat-Deborah C. Hayes-Vanessa M. Lopez</t>
  </si>
  <si>
    <t>Evidenzbasierter Fledermausschutz in Windkraftvorhaben</t>
  </si>
  <si>
    <t>Assessment of Climate Change Over the Indian Region</t>
  </si>
  <si>
    <t>R. Krishnan-J. Sanjay-Chellappan Gnanaseelan-Milind Mujumdar-Ashwini Kulkarni</t>
  </si>
  <si>
    <t>Forest and Rangeland Soils of the United States Under Changing Conditions</t>
  </si>
  <si>
    <t>Richard V. Pouyat-Deborah S. Page-Dumroese-Toral Patel-Weynand-Linda H. Geiser</t>
  </si>
  <si>
    <t>Berufs- und Arbeitswelt in der politischen Bildung</t>
  </si>
  <si>
    <t>Sarah Straub-Iris Baumgardt-Dirk Lange</t>
  </si>
  <si>
    <t>Pflege-Report 2020</t>
  </si>
  <si>
    <t>Improving Health Care in Low- and Middle-Income Countries</t>
  </si>
  <si>
    <t>Lani Rice Marquez</t>
  </si>
  <si>
    <t>On the Path to AI</t>
  </si>
  <si>
    <t>Thomas D. Grant-Damon J. Wischik</t>
  </si>
  <si>
    <t>AVENUE21. Automatisierter und vernetzter Verkehr: Entwicklungen des urbanen Europa</t>
  </si>
  <si>
    <t>Transformation and Development</t>
  </si>
  <si>
    <t>Security Infrastructure Technology for Integrated Utilization of Big Data</t>
  </si>
  <si>
    <t>Atsuko Miyaji-Tomoaki Mimoto</t>
  </si>
  <si>
    <t>Bioethics Across the Globe</t>
  </si>
  <si>
    <t>Akira Akabayashi</t>
  </si>
  <si>
    <t>European Guide to Power System Testing</t>
  </si>
  <si>
    <t>Thomas I. Strasser-Erik C. W. de Jong-Maria Sosnina</t>
  </si>
  <si>
    <t>The Role of Smallholder Farms in Food and Nutrition Security</t>
  </si>
  <si>
    <t>Sergio Gomez y Paloma-Laura Riesgo-Kamel Louhichi</t>
  </si>
  <si>
    <t>Audacious Education Purposes</t>
  </si>
  <si>
    <t>Sustainability Standards and Global Governance</t>
  </si>
  <si>
    <t>Archna Negi-Jorge Antonio PÃ©rez-Pineda-Johannes Blankenbach</t>
  </si>
  <si>
    <t>Reading Success in the Primary Years</t>
  </si>
  <si>
    <t>Marleen F. Westerveld-Rebecca M. Armstrong-Georgina M. Barton</t>
  </si>
  <si>
    <t>Rethinking Causality, Complexity and Evidence for the Unique Patient</t>
  </si>
  <si>
    <t>Rani Lill Anjum-Samantha Copeland-Elena Rocca</t>
  </si>
  <si>
    <t>Intercultural Dialogue in the European Education Policies</t>
  </si>
  <si>
    <t>Tuuli LÃ¤hdesmÃ¤ki-Aino-Kaisa Koistinen-Susanne C. YlÃ¶nen</t>
  </si>
  <si>
    <t>Extended Working Life Policies</t>
  </si>
  <si>
    <t>Ãine NÃ­ LÃ©ime-Jim Ogg-Martina RaÅ¡ticovÃ¡-Debra Street-Clary Krekula-Monika BÃ©diovÃ¡-Ignacio Madero-Cabib</t>
  </si>
  <si>
    <t>Historical Background of Wang Yang-mingâ€™s Philosophy of Mind</t>
  </si>
  <si>
    <t>Ping Dong</t>
  </si>
  <si>
    <t>Educational Change Amongst English Language College Teachers in China</t>
  </si>
  <si>
    <t>Yulong Li</t>
  </si>
  <si>
    <t>Hochwasserminderung im lÃ¤ndlichen Raum</t>
  </si>
  <si>
    <t>Simon P. Seibert-Karl Auerswald</t>
  </si>
  <si>
    <t>Bioethics and the Holocaust</t>
  </si>
  <si>
    <t>Stacy Gallin-Ira Bedzow</t>
  </si>
  <si>
    <t>Oslo Manual on Select Topics of the Law of Armed Conflict</t>
  </si>
  <si>
    <t>Yoram Dinstein-Arne Willy Dahl</t>
  </si>
  <si>
    <t>Gene Drives at Tipping Points</t>
  </si>
  <si>
    <t>Arnim von Gleich-Winfried SchrÃ¶der</t>
  </si>
  <si>
    <t>Faith, Finance, and Economy</t>
  </si>
  <si>
    <t>Tanweer Akram-Salim Rashid</t>
  </si>
  <si>
    <t>Preparing for Life in a Digital World</t>
  </si>
  <si>
    <t>Julian Fraillon-John Ainley-Wolfram Schulz-Tim Friedman-Daniel Duckworth</t>
  </si>
  <si>
    <t>Trade Union Cooperation in Europe</t>
  </si>
  <si>
    <t>Bengt FurÃ¥ker-Bengt Larsson</t>
  </si>
  <si>
    <t>Contextual Process Digitalization</t>
  </si>
  <si>
    <t>Particle Physics Reference Library</t>
  </si>
  <si>
    <t>Forensic Genetics in the Governance of Crime</t>
  </si>
  <si>
    <t>Helena Machado-Rafaela Granja</t>
  </si>
  <si>
    <t>Understanding Values Work</t>
  </si>
  <si>
    <t>Harald Askeland-Gry Espedal-Beate Jelstad LÃ¸vaas-Stephen Sirris</t>
  </si>
  <si>
    <t>Vulnerability in Scandinavian Art and Culture</t>
  </si>
  <si>
    <t>Adriana Margareta Dancus-Mats HyvÃ¶nen-Maria Karlsson</t>
  </si>
  <si>
    <t>Sex Differences in Reading and Math Test Scores of Children</t>
  </si>
  <si>
    <t>Hoben Thomas</t>
  </si>
  <si>
    <t>Management of Research Infrastructures: A South African Funding Perspective</t>
  </si>
  <si>
    <t>Rakeshnie Ramoutar-Prieschl-Sepo Hachigonta</t>
  </si>
  <si>
    <t>British Media Coverage of the Press Reform Debate</t>
  </si>
  <si>
    <t>Binakuromo Ogbebor</t>
  </si>
  <si>
    <t>Data Journeys in the Sciences</t>
  </si>
  <si>
    <t>Sabina Leonelli-NiccolÃ² Tempini</t>
  </si>
  <si>
    <t>Affirmative Aesthetics and Wilful Women</t>
  </si>
  <si>
    <t>Maud Ceuterick</t>
  </si>
  <si>
    <t>Indigenous Cultures and Sustainable Development in Latin America</t>
  </si>
  <si>
    <t>Timothy MacNeill</t>
  </si>
  <si>
    <t>2050 China</t>
  </si>
  <si>
    <t>Angang Hu-Yilong Yan-Xiao Tang-Shenglong Liu</t>
  </si>
  <si>
    <t>Die Finanzkrise 2008 im Unbewussten</t>
  </si>
  <si>
    <t>Helga Klug</t>
  </si>
  <si>
    <t>Christian W. Fabjan-Herwig Schopper</t>
  </si>
  <si>
    <t>Modern Cryptography Volume 2</t>
  </si>
  <si>
    <t>Zhiyong Zheng-Kun Tian-Fengxia Liu</t>
  </si>
  <si>
    <t>Analysis of Reaction-Diffusion Models with the Taxis Mechanism</t>
  </si>
  <si>
    <t>Yuanyuan Ke-Jing Li-Yifu Wang</t>
  </si>
  <si>
    <t>Modern Cryptography Volume 1</t>
  </si>
  <si>
    <t>Stephen Myers-Herwig Schopper</t>
  </si>
  <si>
    <t>White Gold: The Commercialisation of Rice Farming in the Lower Mekong Basin</t>
  </si>
  <si>
    <t>Rob Cramb</t>
  </si>
  <si>
    <t>Krankenhaus-Report 2020</t>
  </si>
  <si>
    <t>JÃ¼rgen Klauber-Max Geraedts-JÃ¶rg Friedrich-JÃ¼rgen Wasem-Andreas Beivers</t>
  </si>
  <si>
    <t>Resourceful Civil Society</t>
  </si>
  <si>
    <t>Zhanna Kravchenko-Lisa Kings-Katarzyna Jezierska</t>
  </si>
  <si>
    <t>Sowing Legume Seeds, Reaping Cash</t>
  </si>
  <si>
    <t>Essegbemon Akpo-Christopher O. Ojiewo-Lucky O. Omoigui-Jean Claude Rubyogo-Rajeev K. Varshney</t>
  </si>
  <si>
    <t>Remote Sensing of Plant Biodiversity</t>
  </si>
  <si>
    <t>Jeannine Cavender-Bares-John A. Gamon-Philip A. Townsend</t>
  </si>
  <si>
    <t>Sustainable Rice Straw Management</t>
  </si>
  <si>
    <t>Martin Gummert-Nguyen Van Hung-Pauline Chivenge-Boru Douthwaite</t>
  </si>
  <si>
    <t>Workers, Managers, Productivity</t>
  </si>
  <si>
    <t>Akio Hosono-John Page-Go Shimada</t>
  </si>
  <si>
    <t>Lithofacies Paleogeography and Geological Survey of Shale Gas</t>
  </si>
  <si>
    <t>Chuanlong Mou-Xiuping Wang-Qiyu Wang-Xiangying Ge-Bowen Zan-Kenken Zhou-Xiaowei Chen-Wei Liang</t>
  </si>
  <si>
    <t>Atlas of Mineral Deposits Distribution in China (2020)</t>
  </si>
  <si>
    <t>Fanyu Qi-Xiaolei Li-Yuntao Shang-Jie Meng-Xuezheng Gao-Zhaoyu Kong-Haixin Li-Haifei Yan</t>
  </si>
  <si>
    <t>Regional Geological Survey of Hanggai, Xianxia and Chuancun, Zhejiang Province in China</t>
  </si>
  <si>
    <t>Jianfang Zhang-Chaohui Zhu-Longwu Wang-Xiaoliang Cai-Ruijun Gong-Xiaoyou Chen-Jianguo Wang-Mingguang Gu-Zongyao Zhou-Yuandong Liu</t>
  </si>
  <si>
    <t>Health of People, Health of Planet and Our Responsibility</t>
  </si>
  <si>
    <t>Wael Al-Delaimy-Veerabhadran Ramanathan-Marcelo SÃ¡nchez Sorondo</t>
  </si>
  <si>
    <t>Locating Legal Certainty in Patent Licensing</t>
  </si>
  <si>
    <t>De Sphaera of Johannes De Sacrobosco in the Early Modern Period</t>
  </si>
  <si>
    <t>Matteo Valleriani</t>
  </si>
  <si>
    <t>Systematic Reviews in Educational Research</t>
  </si>
  <si>
    <t>Olaf Zawacki-Richter-Michael Kerres-Svenja Bedenlier-Melissa Bond-Katja Buntins</t>
  </si>
  <si>
    <t>Fish, Fishing and Community in North Korea and Neighbours</t>
  </si>
  <si>
    <t>Robert Winstanley-Chesters</t>
  </si>
  <si>
    <t>Future Skills</t>
  </si>
  <si>
    <t>Ulf-Daniel Ehlers</t>
  </si>
  <si>
    <t>Mnemonic Solidarity</t>
  </si>
  <si>
    <t>Jie-Hyun Lim-Eve Rosenhaft</t>
  </si>
  <si>
    <t>Manual of Digital Earth</t>
  </si>
  <si>
    <t>Huadong Guo-Michael F. Goodchild-Alessandro Annoni</t>
  </si>
  <si>
    <t>Real-time Linked Dataspaces</t>
  </si>
  <si>
    <t>Edward Curry</t>
  </si>
  <si>
    <t>Social Work, Sociometry, and Psychodrama</t>
  </si>
  <si>
    <t>Scott Giacomucci</t>
  </si>
  <si>
    <t>The Future of Software Quality Assurance</t>
  </si>
  <si>
    <t>Stephan Goericke</t>
  </si>
  <si>
    <t>Conviviality at the Crossroads</t>
  </si>
  <si>
    <t>Oscar Hemer-Maja PovrzanoviÄ‡ Frykman-Per-Markku Ristilammi</t>
  </si>
  <si>
    <t>The Potato Crop</t>
  </si>
  <si>
    <t>Hugo Campos-Oscar Ortiz</t>
  </si>
  <si>
    <t>Teaching Multiplication with Lesson Study</t>
  </si>
  <si>
    <t>Masami Isoda-Raimundo Olfos</t>
  </si>
  <si>
    <t>MobilitÃ¤ts- und Transportrecht in Europa</t>
  </si>
  <si>
    <t>The Psychology of Silicon Valley</t>
  </si>
  <si>
    <t>Katy Cook</t>
  </si>
  <si>
    <t>Die Big-Data-Debatte</t>
  </si>
  <si>
    <t>Susanne Knorre-Horst MÃ¼ller-Peters-Fred Wagner</t>
  </si>
  <si>
    <t>Enabling Sustainable Energy Transitions</t>
  </si>
  <si>
    <t>Narrating China's Governance</t>
  </si>
  <si>
    <t>Department of Commentary People's Daily</t>
  </si>
  <si>
    <t>TransdisziplinÃ¤r und transformativ forschen, Band 2</t>
  </si>
  <si>
    <t>Your Post Has Been Removed</t>
  </si>
  <si>
    <t>Frederik Stjernfelt-Anne Mette Lauritzen</t>
  </si>
  <si>
    <t>The Responsible University</t>
  </si>
  <si>
    <t>Mads P. SÃ¸rensen-Lars Geschwind-Jouni KekÃ¤le-RÃ³mulo Pinheiro</t>
  </si>
  <si>
    <t>Successful Global Collaborations in Higher Education Institutions</t>
  </si>
  <si>
    <t>Abdulrahman AI-Youbi-Adnan H. M. Zahed-William G. Tierney</t>
  </si>
  <si>
    <t>Industry 4.0 for SMEs</t>
  </si>
  <si>
    <t>Data Collection in Fragile States</t>
  </si>
  <si>
    <t>Johannes Hoogeveen-Utz Pape</t>
  </si>
  <si>
    <t>Trade Unions on YouTube</t>
  </si>
  <si>
    <t>Jenny Jansson-Katrin Uba</t>
  </si>
  <si>
    <t>Personalized Hip and Knee Joint Replacement</t>
  </si>
  <si>
    <t>Charles RiviÃ¨re-Pascal-AndrÃ© Vendittoli</t>
  </si>
  <si>
    <t>Energy Justice Across Borders</t>
  </si>
  <si>
    <t>Gunter Bombaerts-Kirsten Jenkins-Yekeen A. Sanusi-Wang Guoyu</t>
  </si>
  <si>
    <t>Nature-Based Flood Risk Management on Private Land</t>
  </si>
  <si>
    <t>Thomas Hartmann-Lenka SlavÃ­kovÃ¡-Simon McCarthy</t>
  </si>
  <si>
    <t>Deltas in the Anthropocene</t>
  </si>
  <si>
    <t>Robert J. Nicholls-W. Neil Adger-Craig W. Hutton-Susan E. Hanson</t>
  </si>
  <si>
    <t>Model Tests and Numerical Simulations of Liquefaction and Lateral Spreading</t>
  </si>
  <si>
    <t>Bruce L. Kutter-Majid T. Manzari-Mourad Zeghal</t>
  </si>
  <si>
    <t>Craftspeople and Designer Makers in the Contemporary Creative Economy</t>
  </si>
  <si>
    <t>Susan Luckman-Jane Andrew</t>
  </si>
  <si>
    <t>Martin WaldseemÃ¼llerâ€™s 'Carta Marina' of 1516</t>
  </si>
  <si>
    <t>Lujo Bauer-Ralf KÃ¼sters</t>
  </si>
  <si>
    <t>Alessandra Russo-Andy SchÃ¼rr</t>
  </si>
  <si>
    <t>Christel Baier-Ugo Dal Lago</t>
  </si>
  <si>
    <t>Intelligent Human Computer Interaction</t>
  </si>
  <si>
    <t>Patrick Horain-Catherine Achard-Malik Mallem</t>
  </si>
  <si>
    <t>Rio Yokota-Weigang Wu</t>
  </si>
  <si>
    <t>Security of Networks and Services in an All-Connected World</t>
  </si>
  <si>
    <t>Daphne Tuncer-Robert Koch-RÃ©mi Badonnel-Burkhard Stiller</t>
  </si>
  <si>
    <t>Symbiotic Interaction</t>
  </si>
  <si>
    <t>Luciano Gamberini-Anna Spagnolli-Giulio Jacucci-Benjamin Blankertz-Jonathan Freeman</t>
  </si>
  <si>
    <t>Cyber-Physical Systems of Systems</t>
  </si>
  <si>
    <t>Andrea Bondavalli-Sara Bouchenak-Hermann Kopetz</t>
  </si>
  <si>
    <t>Planar Maps, Random Walks and Circle Packing</t>
  </si>
  <si>
    <t>Asaf Nachmias</t>
  </si>
  <si>
    <t>Experimental Techniques in Modern High-Energy Physics</t>
  </si>
  <si>
    <t>Kazunori Hanagaki-Junichi Tanaka-Makoto Tomoto-Yuji Yamazaki</t>
  </si>
  <si>
    <t>Solar Energetic Particles</t>
  </si>
  <si>
    <t>Donald V. Reames</t>
  </si>
  <si>
    <t>Tensor Network Contractions</t>
  </si>
  <si>
    <t>Shi-Ju Ran-Emanuele Tirrito-Cheng Peng-Xi Chen-Luca Tagliacozzo</t>
  </si>
  <si>
    <t>Psychosocial Experiences of African Migrants in Six European Countries</t>
  </si>
  <si>
    <t>Erhabor Idemudia-Klaus Boehnke</t>
  </si>
  <si>
    <t>Intangible Capital and Growth</t>
  </si>
  <si>
    <t>Felix Roth</t>
  </si>
  <si>
    <t>Public Support for the Euro</t>
  </si>
  <si>
    <t>â€œYe Shall Know Them by Their Fruitsâ€</t>
  </si>
  <si>
    <t>Jason GarcÃ­a Portilla</t>
  </si>
  <si>
    <t>Competition Authorities in South Eastern Europe</t>
  </si>
  <si>
    <t>Boris BegoviÄ‡-DuÅ¡an V. PopoviÄ‡</t>
  </si>
  <si>
    <t>Formalizing the Shadow Economy in Serbia</t>
  </si>
  <si>
    <t>Gorana KrstiÄ‡-Friedrich Schneider</t>
  </si>
  <si>
    <t>Developments in Demographic Forecasting</t>
  </si>
  <si>
    <t>Stefano Mazzuco-Nico Keilman</t>
  </si>
  <si>
    <t>Visualizing Mortality Dynamics in the Lexis Diagram</t>
  </si>
  <si>
    <t>Roland Rau-Christina Bohk-Ewald-Magdalena M. MuszyÅ„ska-James W. Vaupel</t>
  </si>
  <si>
    <t>New Methods for Measuring and Analyzing Segregation</t>
  </si>
  <si>
    <t>Mark Fossett</t>
  </si>
  <si>
    <t>Computing Characterizations of Drugs for Ion Channels and Receptors Using Markov Models</t>
  </si>
  <si>
    <t>Aslak Tveito-Glenn T. Lines</t>
  </si>
  <si>
    <t>Shared Physical Custody</t>
  </si>
  <si>
    <t>Same-Sex Families and Legal Recognition in Europe</t>
  </si>
  <si>
    <t>Marie Digoix</t>
  </si>
  <si>
    <t>Divorce in Europe</t>
  </si>
  <si>
    <t>Dimitri Mortelmans</t>
  </si>
  <si>
    <t>Tales of Research Misconduct</t>
  </si>
  <si>
    <t>Engaged Fatherhood for Men, Families and Gender Equality</t>
  </si>
  <si>
    <t>Marc Grau Grau-Mireia las Heras Maestro-Hannah Riley Bowles</t>
  </si>
  <si>
    <t>Internal Crowdsourcing in Companies</t>
  </si>
  <si>
    <t>Hannah Ulbrich-Marco Wedel-Hans-Liudger Dienel</t>
  </si>
  <si>
    <t>Leading in a VUCA World</t>
  </si>
  <si>
    <t>Jacobus (Kobus) Kok-Steven C. van den Heuvel</t>
  </si>
  <si>
    <t>The Power of Morality in Movements</t>
  </si>
  <si>
    <t>Anders Sevelsted-Jonas ToubÃ¸l</t>
  </si>
  <si>
    <t>Droplet Dynamics Under Extreme Ambient Conditions</t>
  </si>
  <si>
    <t>Kathrin Schulte-Cameron Tropea-Bernhard Weigand</t>
  </si>
  <si>
    <t>High Mountain Conservation in a Changing World</t>
  </si>
  <si>
    <t>Jordi Catalan-Josep M Ninot-M. MercÃ¨ Aniz</t>
  </si>
  <si>
    <t>Regenerative Territories</t>
  </si>
  <si>
    <t>Libera Amenta-Michelangelo Russo-Arjan van Timmeren</t>
  </si>
  <si>
    <t>The Responsibility of Science</t>
  </si>
  <si>
    <t>A Prodigy of Universal Genius: Robert Leslie Ellis, 1817-1859</t>
  </si>
  <si>
    <t>Lukas M. Verburgt</t>
  </si>
  <si>
    <t>Interferometry and Synthesis in Radio Astronomy</t>
  </si>
  <si>
    <t>A. Richard Thompson-James M. Moran-George W. Swenson Jr.</t>
  </si>
  <si>
    <t>Hormones, Metabolism and the Benefits of Exercise</t>
  </si>
  <si>
    <t>Bruce Spiegelman</t>
  </si>
  <si>
    <t>Community and Identity in Contemporary Technosciences</t>
  </si>
  <si>
    <t>Karen Kastenhofer-Susan Molyneux-Hodgson</t>
  </si>
  <si>
    <t>Times of Insight: Conscience, Corporations, and the Common Good</t>
  </si>
  <si>
    <t>Kenneth E. Goodpaster</t>
  </si>
  <si>
    <t>Data and Text Processing for Health and Life Sciences</t>
  </si>
  <si>
    <t>Francisco M. Couto</t>
  </si>
  <si>
    <t>Physiology, Psychoacoustics and Cognition in Normal and Impaired Hearing</t>
  </si>
  <si>
    <t>Pim van Dijk-Deniz BaÅŸkent-Etienne Gaudrain-Emile de Kleine-Anita Wagner</t>
  </si>
  <si>
    <t>Vocational Teacher Education in Central Asia</t>
  </si>
  <si>
    <t>Jens Drummer-Gafurjon Hakimov-Mamatair Joldoshov-Thomas KÃ¶hler-Svetlana Udartseva</t>
  </si>
  <si>
    <t>Education and Skills for Inclusive Growth, Green Jobs and the Greening of Economies in Asia</t>
  </si>
  <si>
    <t>Rupert Maclean-Shanti Jagannathan-Brajesh Panth</t>
  </si>
  <si>
    <t>Global Perspectives on Recognising Non-formal and Informal Learning</t>
  </si>
  <si>
    <t>Madhu Singh</t>
  </si>
  <si>
    <t>Relational Anthropology for Contemporary Economics</t>
  </si>
  <si>
    <t>Jermo van Nes-Patrick Nullens-Steven C. van den Heuvel</t>
  </si>
  <si>
    <t>Tortuosity and Microstructure Effects in Porous Media</t>
  </si>
  <si>
    <t>Lorenz Holzer-Philip Marmet-Mathias Fingerle-Andreas Wiegmann-Matthias Neumann</t>
  </si>
  <si>
    <t>Austenitic TRIP/TWIP Steels and Steel-Zirconia Composites</t>
  </si>
  <si>
    <t>Horst Biermann-Christos G. Aneziris</t>
  </si>
  <si>
    <t>Society - Water - Technology</t>
  </si>
  <si>
    <t>Reinhard F. HÃ¼ttl-Oliver Bens-Christine Bismuth-Sebastian Hoechstetter</t>
  </si>
  <si>
    <t>The Road to General Intelligence</t>
  </si>
  <si>
    <t>Jerry Swan-Eric Nivel-Neel Kant-Jules Hedges-Timothy Atkinson-Bas Steunebrink</t>
  </si>
  <si>
    <t>Spatializing Language Studies</t>
  </si>
  <si>
    <t>SÃ©bastien Dubreil-David Malinowski-Hiram H. Maxim</t>
  </si>
  <si>
    <t>Status and Dynamics of Forests in Germany</t>
  </si>
  <si>
    <t>Nicole Wellbrock-Andreas Bolte</t>
  </si>
  <si>
    <t>Questioning the Entrepreneurial State</t>
  </si>
  <si>
    <t>Karl Wennberg-Christian SandstrÃ¶m</t>
  </si>
  <si>
    <t>The Entrepreneurial Society</t>
  </si>
  <si>
    <t>Mark Sanders-Axel Marx-Mikael Stenkula</t>
  </si>
  <si>
    <t>Niklas Elert-Magnus Henrekson-Mark Sanders</t>
  </si>
  <si>
    <t>Balanced Urban Development: Options and Strategies for Liveable Cities</t>
  </si>
  <si>
    <t>Basant Maheshwari-Vijay P. Singh-Bhadranie Thoradeniya</t>
  </si>
  <si>
    <t>Stem Cell Transplantations Between Siblings As Social Phenomena</t>
  </si>
  <si>
    <t>Christina SchÃ¼es-Christoph Rehmann-Sutter-Martina JÃ¼rgensen-Madeleine Herzog</t>
  </si>
  <si>
    <t>The Asymmetric Nature of Time</t>
  </si>
  <si>
    <t>Vincent Grandjean</t>
  </si>
  <si>
    <t>Knowledge From a Human Point of View</t>
  </si>
  <si>
    <t>Ana-Maria CreÈ›u-Michela Massimi</t>
  </si>
  <si>
    <t>Fading Foundations</t>
  </si>
  <si>
    <t>David Atkinson-Jeanne Peijnenburg</t>
  </si>
  <si>
    <t>Control Problems for Conservation Laws with Traffic Applications</t>
  </si>
  <si>
    <t>Alexandre Bayen-Maria Laura Delle Monache-Mauro Garavello-Paola Goatin-Benedetto Piccoli</t>
  </si>
  <si>
    <t>Entity-Oriented Search</t>
  </si>
  <si>
    <t>Krisztian Balog</t>
  </si>
  <si>
    <t>A Generalization of Bohr-Mollerup's Theorem for Higher Order Convex Functions</t>
  </si>
  <si>
    <t>Jean-Luc Marichal-NaÃ¯m ZenaÃ¯di</t>
  </si>
  <si>
    <t>Horizons of Phenomenology</t>
  </si>
  <si>
    <t>Jeff Yoshimi-Philip Walsh-Patrick Londen</t>
  </si>
  <si>
    <t>Investigations Into the Phenomenology and the Ontology of the Work of Art</t>
  </si>
  <si>
    <t>Peer F. Bundgaard-Frederik Stjernfelt</t>
  </si>
  <si>
    <t>Physical (A)Causality</t>
  </si>
  <si>
    <t>Karl Svozil</t>
  </si>
  <si>
    <t>Foundations of Quantum Theory</t>
  </si>
  <si>
    <t>Paul Lorenzen -- Mathematician and Logician</t>
  </si>
  <si>
    <t>Gerhard Heinzmann-Gereon Wolters</t>
  </si>
  <si>
    <t>Riverine Ecosystem Management</t>
  </si>
  <si>
    <t>Stefan Schmutz-Jan Sendzimir</t>
  </si>
  <si>
    <t>Solar Particle Radiation Storms Forecasting and Analysis</t>
  </si>
  <si>
    <t>Olga E. Malandraki-Norma B. Crosby</t>
  </si>
  <si>
    <t>Theory and Applications of Ordered Fuzzy Numbers</t>
  </si>
  <si>
    <t>Piotr Prokopowicz-Jacek Czerniak-Dariusz MikoÅ‚ajewski-Åukasz Apiecionek-Dominik ÅšlÈ©zak</t>
  </si>
  <si>
    <t>Molecules in Superfluid Helium Nanodroplets</t>
  </si>
  <si>
    <t>Alkwin Slenczka-Jan Peter Toennies</t>
  </si>
  <si>
    <t>Nanoscale Photonic Imaging</t>
  </si>
  <si>
    <t>Tim Salditt-Alexander Egner-D. Russell Luke</t>
  </si>
  <si>
    <t>Informatics in Schools. Beyond Bits and Bytes: Nurturing Informatics Intelligence in Education</t>
  </si>
  <si>
    <t>Jean-Philippe Pellet-Gabriel Parriaux</t>
  </si>
  <si>
    <t>Digital Health Transformation, Smart Ageing, and Managing Disability</t>
  </si>
  <si>
    <t>Kim Jongbae-Mounir Mokhtari-Hamdi Aloulou-Bessam Abdulrazak-Lee Seungbok</t>
  </si>
  <si>
    <t>Participative Urban Health and Healthy Aging in the Age of AI</t>
  </si>
  <si>
    <t>Hamdi Aloulou-Bessam Abdulrazak-Antoine de MarassÃ©-Enouf-Mounir Mokhtari</t>
  </si>
  <si>
    <t>Hasti Seifi-Astrid M. L. Kappers-Oliver Schneider-Knut Drewing-Claudio Pacchierotti</t>
  </si>
  <si>
    <t>XxAI - Beyond Explainable AI</t>
  </si>
  <si>
    <t>Andreas Holzinger-Randy Goebel-Ruth Fong-Taesup Moon-Klaus-Robert MÃ¼ller</t>
  </si>
  <si>
    <t>Cybersecurity of Digital Service Chains</t>
  </si>
  <si>
    <t>Joanna KoÅ‚odziej-Matteo Repetto-Armend Duzha</t>
  </si>
  <si>
    <t>The Once-Only Principle</t>
  </si>
  <si>
    <t>Robert Krimmer-Andriana Prentza-Szymon Mamrot</t>
  </si>
  <si>
    <t>Nobuko Yoshida</t>
  </si>
  <si>
    <t>Jan Friso Groote-Kim Guldstrand Larsen</t>
  </si>
  <si>
    <t>Esther Guerra-MariÃ«lle Stoelinga</t>
  </si>
  <si>
    <t>Knowledge Graphs and Big Data Processing</t>
  </si>
  <si>
    <t>Valentina Janev-Damien Graux-Hajira Jabeen-Emanuel Sallinger</t>
  </si>
  <si>
    <t>Towards Interoperable Research Infrastructures for Environmental and Earth Sciences</t>
  </si>
  <si>
    <t>Zhiming Zhao-Margareta HellstrÃ¶m</t>
  </si>
  <si>
    <t>The Impact of Digital Technologies on Public Health in Developed and Developing Countries</t>
  </si>
  <si>
    <t>Mohamed Jmaiel-Mounir Mokhtari-Bessam Abdulrazak-Hamdi Aloulou-Slim Kallel</t>
  </si>
  <si>
    <t>Reversible Computation: Extending Horizons of Computing</t>
  </si>
  <si>
    <t>COMPUTERS / Logic Design</t>
  </si>
  <si>
    <t>Irek Ulidowski-Ivan Lanese-Ulrik Pagh Schultz-Carla Ferreira</t>
  </si>
  <si>
    <t>Multiple-Aspect Analysis of Semantic Trajectories</t>
  </si>
  <si>
    <t>Konstantinos Tserpes-Chiara Renso-Stan Matwin</t>
  </si>
  <si>
    <t>How AI Impacts Urban Living and Public Health</t>
  </si>
  <si>
    <t>JosÃ© PagÃ¡n-Mounir Mokhtari-Hamdi Aloulou-Bessam Abdulrazak-MarÃ­a Fernanda Cabrera</t>
  </si>
  <si>
    <t>Dirk Beyer-Marieke Huisman-Fabrice Kordon-Bernhard Steffen</t>
  </si>
  <si>
    <t>LuÃ­s Caires</t>
  </si>
  <si>
    <t>Reiner HÃ¤hnle-Wil van der Aalst</t>
  </si>
  <si>
    <t>High-Performance Modelling and Simulation for Big Data Applications</t>
  </si>
  <si>
    <t>Joanna KoÅ‚odziej-Horacio GonzÃ¡lez-VÃ©lez</t>
  </si>
  <si>
    <t>CyberParks â€“ The Interface Between People, Places and Technology</t>
  </si>
  <si>
    <t>Carlos Smaniotto Costa-Ina Å uklje Erjavec-Therese Kenna-Michiel de Lange-Konstantinos Ioannidis-Gabriela Maksymiuk-Martijn de Waal</t>
  </si>
  <si>
    <t>Enhanced Living Environments</t>
  </si>
  <si>
    <t>Ivan Ganchev-Nuno M. Garcia-Ciprian Dobre-Constandinos X. Mavromoustakis-Rossitza Goleva</t>
  </si>
  <si>
    <t>Autonomous Control for a Reliable Internet of Services</t>
  </si>
  <si>
    <t>Ivan Ganchev-R. D. van der Mei-Hans van den Berg</t>
  </si>
  <si>
    <t>Language Technologies for the Challenges of the Digital Age</t>
  </si>
  <si>
    <t>Georg Rehm-Thierry Declerck</t>
  </si>
  <si>
    <t>Linked Open Data -- Creating Knowledge Out of Interlinked Data</t>
  </si>
  <si>
    <t>SÃ¶ren Auer-Volha Bryl-Sebastian Tramp</t>
  </si>
  <si>
    <t>Particle Polarization in High Energy Physics</t>
  </si>
  <si>
    <t>Pietro Faccioli-Carlos LourenÃ§o</t>
  </si>
  <si>
    <t>Collider Physics Within the Standard Model</t>
  </si>
  <si>
    <t>Guido Altarelli-James Wells</t>
  </si>
  <si>
    <t>Migrants and Masculinity in High-Rise Nairobi</t>
  </si>
  <si>
    <t>Mario Schmidt</t>
  </si>
  <si>
    <t>Book of Abstracts From 9th International Scientific Conference on Advances in Mechanical Engineering</t>
  </si>
  <si>
    <t>MihÃ¡ly CsÃ¼llÃ¶g-Tamas Mankovits</t>
  </si>
  <si>
    <t>Labyrinths of Deceit</t>
  </si>
  <si>
    <t>Richard J. Walker</t>
  </si>
  <si>
    <t>Proceedings of the 4th International Conference on Informatics, Technology and Engineering 2023 (InCITE 2023)</t>
  </si>
  <si>
    <t>Markus Hartono-Hudiyo Firmanto-Connie Susilawati</t>
  </si>
  <si>
    <t>The Routledge Handbook of Catalysts for a Sustainable Circular Economy</t>
  </si>
  <si>
    <t>Hanna LehtimÃ¤ki-Leena Aarikka-Stenroos-Ari Jokinen-Pekka Jokinen</t>
  </si>
  <si>
    <t>Proceedings of the International Conference on Sustainable Collaboration in Business, Technology, Information, and Innovation (SCBTII 2023)</t>
  </si>
  <si>
    <t>Suhal Kusairi-Forget Mingiri Kapingura-Ratih Hendayani-Nizam Ahmat</t>
  </si>
  <si>
    <t>Disaster Intelligent Perception and Emergency Command of Power Grid</t>
  </si>
  <si>
    <t>Zhen Yu-Jie Feng-Shiyang Tang-Zeyu Liu-Yiran Yan</t>
  </si>
  <si>
    <t>Road to Net Zero</t>
  </si>
  <si>
    <t>Oliver Zipse-Joachim Hornegger-Thomas Becker-Markus Beckmann-Michael Bengsch</t>
  </si>
  <si>
    <t>System Lightweight Design for Aviation</t>
  </si>
  <si>
    <t>The Search for Wellbeing and Health Between the Middle Ages and the Early Modern Period</t>
  </si>
  <si>
    <t>Javier LÃ³pez Rider</t>
  </si>
  <si>
    <t>The Roman Lower Danube Frontier</t>
  </si>
  <si>
    <t>Emily Hanscam-John Karavas</t>
  </si>
  <si>
    <t>Metalworkers and Their Tools: Symbolism, Function, and Technology in the Bronze and Iron Ages</t>
  </si>
  <si>
    <t>Linda Boutoille-Rebecca Peake</t>
  </si>
  <si>
    <t>Proceedings of the International Conference on Advances in Nano-Neuro-Bio-Quantum (ICAN 2023)</t>
  </si>
  <si>
    <t>R. Somashekhar-Preenon Bagchi-Kirthi S. Jawalkar-G. Dhanalakshmi-Richard Hill</t>
  </si>
  <si>
    <t>Cycling Through the Pandemic</t>
  </si>
  <si>
    <t>Nathalie Ortar-Patrick RÃ©rat</t>
  </si>
  <si>
    <t>Unleashing Societyâ€™s Innovative Capacity</t>
  </si>
  <si>
    <t>Pontus Braunerhjelm-Magnus Henrekson</t>
  </si>
  <si>
    <t>Navigating Academia: Womenâ€™s Stories of Success and Struggle - A Call to Action</t>
  </si>
  <si>
    <t>Refilwe Nancy Phaswana-Mafuya</t>
  </si>
  <si>
    <t>Male Powerlessness</t>
  </si>
  <si>
    <t xml:space="preserve"> Emmanuel Rowlands</t>
  </si>
  <si>
    <t>Landmark Constitutional Cases That Changed South Africa</t>
  </si>
  <si>
    <t>Roxan Laubscher-Marius van Staden</t>
  </si>
  <si>
    <t>African Principles on the Law Applicable to International Commercial Contracts</t>
  </si>
  <si>
    <t>Jan L Neels</t>
  </si>
  <si>
    <t>Proceedings of the International Conference on Social Science and Education (ICoeSSE 2023)</t>
  </si>
  <si>
    <t>Jhoni Warmansyah-Artha Nesa Chandra-M. Haviz-Isra Nurmai Yenti-Safrizal Safrizal</t>
  </si>
  <si>
    <t>Annual Report on the Big Data of New Energy Vehicle in China (2022)</t>
  </si>
  <si>
    <t>Mobilities on the Margins</t>
  </si>
  <si>
    <t>BjÃ¶rn Thorsteinsson-KatrÃ­n Anna Lund-Gunnar ThÃ³r JÃ³hannesson-GuÃ°bjÃ¶rg R. JÃ³hannesdÃ³ttir</t>
  </si>
  <si>
    <t>The Impact of Protracted Peace Processes on Identities in Conflict</t>
  </si>
  <si>
    <t>Joana Ricarte</t>
  </si>
  <si>
    <t>Intelligence Oversight in Times of Transnational Impunity</t>
  </si>
  <si>
    <t>Didier Bigo-Emma Mc Cluskey-FÃ©lix TrÃ©guer</t>
  </si>
  <si>
    <t>Living with Health Inequalities</t>
  </si>
  <si>
    <t>Anne Rogers-David Pilgrim</t>
  </si>
  <si>
    <t>Artificialized Land and Land Take</t>
  </si>
  <si>
    <t>Can Organic Agriculture Cope Without Copper for Disease Control?</t>
  </si>
  <si>
    <t>Along the Road to Bet Shemesh (I Samuel 6:12): Archaeological Studies of the Ramat Bet Shemesh Region</t>
  </si>
  <si>
    <t>Sion Ofer-Shalev Omer-Storchan Benyamin-Zelinger Yehiel</t>
  </si>
  <si>
    <t>Rape at the Opera</t>
  </si>
  <si>
    <t>Margaret Cormier</t>
  </si>
  <si>
    <t>New Studies in the Archaeology of the Judean Desert: Collected Papers</t>
  </si>
  <si>
    <t>Ofer Sion-Joe Uziel-Amir Ganor-Eitan Klein</t>
  </si>
  <si>
    <t>A Holter for Parkinsonâ€™s Disease Motor Symptoms: STAT-Onâ„¢</t>
  </si>
  <si>
    <t>Joan Cabestany-Angels BayÃ©s</t>
  </si>
  <si>
    <t>Proceedings of the 3rd International Conference on Creative Multimedia 2023 (ICCM 2023)</t>
  </si>
  <si>
    <t>Fauzan Mustaffa</t>
  </si>
  <si>
    <t>Proceedings of the HCT International General Education Conference (HCT-IGEC 2023)</t>
  </si>
  <si>
    <t>Andrew Johnston-Bharti Pandya-Hesham Allam-Kavita Shah-Nicole Shammas</t>
  </si>
  <si>
    <t>Argumentationsstrategien chinesischer Deutschlerner/-innen</t>
  </si>
  <si>
    <t>Shujun Wan</t>
  </si>
  <si>
    <t>Theoretical Knowledge in the Mohist Canon</t>
  </si>
  <si>
    <t>Matthias Schemmel-William G. Boltz</t>
  </si>
  <si>
    <t>Contested Civil Society in Myanmar</t>
  </si>
  <si>
    <t>Maaike Matelski</t>
  </si>
  <si>
    <t>Masculine Ideals and Alexander the Great</t>
  </si>
  <si>
    <t>Jaakkojuhani Peltonen</t>
  </si>
  <si>
    <t>Proceedings of the 2022 International Conference on Mathematical Statistics and Economic Analysis (MSEA 2022)</t>
  </si>
  <si>
    <t>Gaikar Vilas Bhau-Yuriy Shvets-Hrushikesh Mallick</t>
  </si>
  <si>
    <t>Environment Impact on Reproductive Health</t>
  </si>
  <si>
    <t>Roberto Marci</t>
  </si>
  <si>
    <t>Solving Ordinary Differential Equations in Python</t>
  </si>
  <si>
    <t>Hydraulic Fracturing and Rock Mechanics</t>
  </si>
  <si>
    <t>Yu Zhao-Yongfa Zhang-Pengfei He</t>
  </si>
  <si>
    <t>The Fundamentals of People Analytics</t>
  </si>
  <si>
    <t>Craig Starbuck</t>
  </si>
  <si>
    <t>Digital Transformations in Nordic Higher Education</t>
  </si>
  <si>
    <t>RÃ³mulo Pinheiro-Cathrine Edelhard TÃ¸mte-Linda Barman-Lise Degn-Lars Geschwind</t>
  </si>
  <si>
    <t>Culture and Sustainability</t>
  </si>
  <si>
    <t>Janet Stephenson</t>
  </si>
  <si>
    <t>Agricultural Implications of Fukushima Nuclear Accident (IV)</t>
  </si>
  <si>
    <t>Rethinking Graduate Employability in Context</t>
  </si>
  <si>
    <t>PÃ¤ivi Siivonen-Ulpukka Isopahkala-Bouret-Michael Tomlinson-Maija Korhonen-Nina Haltia</t>
  </si>
  <si>
    <t>National and International Civilian Protection Strategies in the Israeli-Palestinian Conflict</t>
  </si>
  <si>
    <t>Timea Spitka</t>
  </si>
  <si>
    <t>Migration and Integration in a Post-Pandemic World</t>
  </si>
  <si>
    <t>Lin Lerpold-Ã–rjan SjÃ¶berg-Karl Wennberg</t>
  </si>
  <si>
    <t>The Humanities in the Digital: Beyond Critical Digital Humanities</t>
  </si>
  <si>
    <t>Lorella Viola</t>
  </si>
  <si>
    <t>Seed Science and Technology</t>
  </si>
  <si>
    <t>Malavika Dadlani-Devendra K. Yadava</t>
  </si>
  <si>
    <t>Practical Clinical Andrology</t>
  </si>
  <si>
    <t>Carlo Bettocchi-Gian Maria Busetto-Giuseppe Carrieri-Luigi Cormio</t>
  </si>
  <si>
    <t>Proceedings of the 5th International Conference on Language, Linguistics, and Literature (COLALITE 2023)</t>
  </si>
  <si>
    <t>Usep Muttaqin-Dian Bayu Firmansyah-Ambhita Dhyaningrum-Tri Wahyu Setiawan Prasetyoningsih-Ririn Kurnia Trisnawati</t>
  </si>
  <si>
    <t>Proceedings of the 4th Green Development International Conference (GDIC 2022)</t>
  </si>
  <si>
    <t>Dwi Agus Kurniawan</t>
  </si>
  <si>
    <t>5G and Beyond</t>
  </si>
  <si>
    <t>Bharat Bhushan-Sudhir Kumar Sharma-Raghvendra Kumar-Ishaani Priyadarshini</t>
  </si>
  <si>
    <t>Soft Power and Great-Power Competition</t>
  </si>
  <si>
    <t>Joseph S. Nye</t>
  </si>
  <si>
    <t>The Educational Turn</t>
  </si>
  <si>
    <t>Kathryn Coleman-Dina Uzhegova-Bella Blaher-Sophie Arkoudis</t>
  </si>
  <si>
    <t>Algorithms for Sparse Linear Systems</t>
  </si>
  <si>
    <t>Jennifer Scott-Miroslav TÅ¯ma</t>
  </si>
  <si>
    <t>Diseases of the Abdomen and Pelvis 2023-2026</t>
  </si>
  <si>
    <t>Juerg Hodler-Rahel A. Kubik-Huch-Justus E. Roos-Gustav K. von Schulthess</t>
  </si>
  <si>
    <t>Proceedings of the 9th International Conference on Civil Engineering</t>
  </si>
  <si>
    <t>Proceedings of the 2nd International Conference on Innovative Solutions in Hydropower Engineering and Civil Engineering</t>
  </si>
  <si>
    <t>Shuren Wang-Jingan Li-Kui Hu-Xingxian Bao</t>
  </si>
  <si>
    <t>Carmelina Bevilacqua-Pierre-Alexandre Balland-Christina Kakderi-Vincenzo Provenzano</t>
  </si>
  <si>
    <t>Resilience and Food Security in a Food Systems Context</t>
  </si>
  <si>
    <t>Christophe BÃ©nÃ©-Stephen Devereux</t>
  </si>
  <si>
    <t>The Politics of Childrenâ€™s Rights and Representation</t>
  </si>
  <si>
    <t>Bengt Sandin-Jonathan Josefsson-Karl Hanson-Sarada Balagopalan</t>
  </si>
  <si>
    <t>Teacher Education in the Nordic Region</t>
  </si>
  <si>
    <t>Eyvind Elstad</t>
  </si>
  <si>
    <t>Foundation Models for Natural Language Processing</t>
  </si>
  <si>
    <t>Gerhard PaaÃŸ-Sven Giesselbach</t>
  </si>
  <si>
    <t>Migration in South Asia</t>
  </si>
  <si>
    <t>S. Irudaya Rajan</t>
  </si>
  <si>
    <t>Migration in Southeast Asia</t>
  </si>
  <si>
    <t>Sriprapha Petcharamesree-Mark P. Capaldi</t>
  </si>
  <si>
    <t>Urban Water Demand Management</t>
  </si>
  <si>
    <t>Corinne Ong-Cecilia Tortajada-Ojasvee Arora</t>
  </si>
  <si>
    <t>Hope Across Cultures</t>
  </si>
  <si>
    <t>Andreas M. Krafft-Tharina Guse-Alena Slezackova</t>
  </si>
  <si>
    <t>(Re)theorising More-than-parental Involvement in Early Childhood Education and Care</t>
  </si>
  <si>
    <t>Alicja R. Sadownik-Adrijana ViÅ¡njiÄ‡ JevtiÄ‡</t>
  </si>
  <si>
    <t>Anal Incontinence</t>
  </si>
  <si>
    <t>Ludovico Docimo-Luigi Brusciano</t>
  </si>
  <si>
    <t>Christoph J. Stettina-Juan Garbajosa-Philippe Kruchten</t>
  </si>
  <si>
    <t>Marco Montali-Arik Senderovich-Matthias Weidlich</t>
  </si>
  <si>
    <t>Health Information Systems</t>
  </si>
  <si>
    <t>Alfred Winter-Elske Ammenwerth-Reinhold Haux-Michael Marschollek-Bianca Steiner</t>
  </si>
  <si>
    <t>Automated Deduction â€“ CADE 29</t>
  </si>
  <si>
    <t>Brigitte Pientka-Cesare Tinelli</t>
  </si>
  <si>
    <t>Orna Kupferman-Pawel Sobocinski</t>
  </si>
  <si>
    <t>Leen Lambers-SebastiÃ¡n Uchitel</t>
  </si>
  <si>
    <t>Spectral Geometry of Graphs</t>
  </si>
  <si>
    <t>COMPUTERS / Quantum Computing</t>
  </si>
  <si>
    <t>Pavel Kurasov</t>
  </si>
  <si>
    <t>The Wheat Genome</t>
  </si>
  <si>
    <t>Rudi Appels-Kellye Eversole-Catherine Feuillet-Dusti Gallagher</t>
  </si>
  <si>
    <t>The Limits of Consent</t>
  </si>
  <si>
    <t>Lisa Featherstone-Cassandra Byrnes-Jenny Maturi-Kiara Minto-RenÃ©e Mickelburgh</t>
  </si>
  <si>
    <t>People or Property</t>
  </si>
  <si>
    <t>Alessandra Jerolleman-Elizabeth Marino-Nathan Jessee-Liz Koslov-Chantel Comardelle</t>
  </si>
  <si>
    <t>Ethnomusicology, Queerness, Masculinity</t>
  </si>
  <si>
    <t>Stephen Amico</t>
  </si>
  <si>
    <t>Planetary Hinterlands</t>
  </si>
  <si>
    <t>Pamila Gupta-Sarah Nuttall-Esther Peeren-Hanneke Stuit</t>
  </si>
  <si>
    <t>Simplex Society</t>
  </si>
  <si>
    <t>Koen Stroeken</t>
  </si>
  <si>
    <t>Guide to Qualitative Research in Parliaments</t>
  </si>
  <si>
    <t>Valentine Berthet-Barbara Gaweda-Johanna Kantola-Cherry Miller-Petra Ahrens</t>
  </si>
  <si>
    <t>Media-Related Out-of-School Contact with English in Germany and Switzerland</t>
  </si>
  <si>
    <t>Maleika KrÃ¼ger</t>
  </si>
  <si>
    <t>Sliding Base Structures</t>
  </si>
  <si>
    <t>Hong-Song Hu</t>
  </si>
  <si>
    <t>Trade and Womenâ€™s Economic Empowerment</t>
  </si>
  <si>
    <t>Yiagadeesen Samy-Adeniran Adedeji-Augustine Iraoya-Madhurjya Kumar Dutta-Jasmine Lal Fakmawii</t>
  </si>
  <si>
    <t>Win in Chinese Courts</t>
  </si>
  <si>
    <t>Chenyang Zhang</t>
  </si>
  <si>
    <t>The Territory of Japan</t>
  </si>
  <si>
    <t>Kentaro Serita</t>
  </si>
  <si>
    <t>Nordic Perspectives on the Discourse of Things</t>
  </si>
  <si>
    <t>Catharina NystrÃ¶m HÃ¶Ã¶g-Henrik Rahm-GÃ¸ril Thomassen Hammerstad</t>
  </si>
  <si>
    <t>Power of Articulation</t>
  </si>
  <si>
    <t>Matti Kortesoja</t>
  </si>
  <si>
    <t>A Transition to Sustainable Housing</t>
  </si>
  <si>
    <t>Trivess Moore-AndrÃ©anne Doyon</t>
  </si>
  <si>
    <t>Stakeholder Engagement in a Sustainable Circular Economy</t>
  </si>
  <si>
    <t>Johanna Kujala-Anna Heikkinen-Annika Blomberg</t>
  </si>
  <si>
    <t>Effective Teaching Around the World</t>
  </si>
  <si>
    <t>Ridwan Maulana-Michelle Helms-Lorenz-Robert M. Klassen</t>
  </si>
  <si>
    <t>Non-Territorial Autonomy</t>
  </si>
  <si>
    <t>Marina Andeva-BalÃ¡zs Dobos-Ljubica DjordjeviÄ‡-BÃ¶rries Kuzmany-Tove H. Malloy</t>
  </si>
  <si>
    <t>Empty Innovation</t>
  </si>
  <si>
    <t>Olof Hallonsten</t>
  </si>
  <si>
    <t>Struggles for Reproductive Justice in the Era of Anti-Genderism and Religious Fundamentalism</t>
  </si>
  <si>
    <t>Rebecca Selberg-Marta Kolankiewicz-Diana Mulinari</t>
  </si>
  <si>
    <t>New Wars and Old Plagues</t>
  </si>
  <si>
    <t>Katherine Hirschfeld-Kirsten de Beurs-Brad Brayfield-Ani Melkonyan-Gottschalk</t>
  </si>
  <si>
    <t>Strand Corrosion in Prestressed Concrete Structures</t>
  </si>
  <si>
    <t>Lei Wang</t>
  </si>
  <si>
    <t>Averting Disaster Before It Strikes</t>
  </si>
  <si>
    <t>Dmitry Chernov-Ali Ayoub-Giovanni Sansavini-Didier Sornette</t>
  </si>
  <si>
    <t>Sanctorius Sanctorius and the Origins of Health Measurement</t>
  </si>
  <si>
    <t>Teresa Hollerbach</t>
  </si>
  <si>
    <t>Communication Climate at Work</t>
  </si>
  <si>
    <t>AVENUE21. Planning and Policy Considerations for an Age of Automated Mobility</t>
  </si>
  <si>
    <t>Re-presenting Research</t>
  </si>
  <si>
    <t>Florentine Marnel Sterk-Merel M. van Goch</t>
  </si>
  <si>
    <t>Chairperson Succession</t>
  </si>
  <si>
    <t>Cornel Germann</t>
  </si>
  <si>
    <t>Challenging Assumptions Around Dementia</t>
  </si>
  <si>
    <t>Rosalie Ashworth-Sue Fyvel-Alyson Hill-Chris Maddocks-Masood Qureshi</t>
  </si>
  <si>
    <t>New Digital Work</t>
  </si>
  <si>
    <t>Alexandra Shajek-Ernst Andreas Hartmann</t>
  </si>
  <si>
    <t>Schools As Community Hubs</t>
  </si>
  <si>
    <t>Benjamin Cleveland-Sarah Backhouse-Philippa Chandler-Ian McShane-Janet M. Clinton</t>
  </si>
  <si>
    <t>Procurement and Politics</t>
  </si>
  <si>
    <t>Andrea Migone-Alexander Howlett-Michael Howlett</t>
  </si>
  <si>
    <t>Theorizing Teaching</t>
  </si>
  <si>
    <t>Anna-Katharina Praetorius-Charalambos Y. Charalambous</t>
  </si>
  <si>
    <t>To Be a Minority Teacher in a Foreign Culture</t>
  </si>
  <si>
    <t>Mary Gutman-Wurud Jayusi-Michael Beck-Zvi Bekerman</t>
  </si>
  <si>
    <t>Building an Inclusive, Green and Low-Carbon Economy</t>
  </si>
  <si>
    <t>CCICED CCICED</t>
  </si>
  <si>
    <t>Masterpieces on Japan by Foreign Authors</t>
  </si>
  <si>
    <t>ShÅichi Saeki-TÅru Haga-Takiro Terasihta</t>
  </si>
  <si>
    <t>Circularity Assessment: Macro to Nano</t>
  </si>
  <si>
    <t>Rashmi Anoop Patil-Seeram Ramakrishna</t>
  </si>
  <si>
    <t>The Moral Implications of Human and Animal Vulnerability</t>
  </si>
  <si>
    <t>Angela K. Martin</t>
  </si>
  <si>
    <t>Ageing in Times of the COVID-19 Pandemic</t>
  </si>
  <si>
    <t>Julia Simonson-Jenna WÃ¼nsche-Clemens Tesch-RÃ¶mer</t>
  </si>
  <si>
    <t>Green Recovery with Resilience and High Quality Development</t>
  </si>
  <si>
    <t>History of Innovative Entrepreneurs in Japan</t>
  </si>
  <si>
    <t>Takeo Kikkawa-M.S. Murphy-Kazuya Hirai</t>
  </si>
  <si>
    <t>Vaccines for Neglected Pathogens: Strategies, Achievements and Challenges</t>
  </si>
  <si>
    <t>Myron Christodoulides</t>
  </si>
  <si>
    <t>Democratizing Risk Governance</t>
  </si>
  <si>
    <t>Monica Gattinger</t>
  </si>
  <si>
    <t>Interaction Modeling in Mechanized Tunneling</t>
  </si>
  <si>
    <t>GÃ¼nther Meschke-Rolf BreitenbÃ¼cher-Steffen Freitag-Markus KÃ¶nig-Markus Thewes</t>
  </si>
  <si>
    <t>E-Cigarettes and the Comparative Politics of Harm Reduction</t>
  </si>
  <si>
    <t>Virginia Berridge-Ronald Bayer-Amy L. Fairchild-Wayne Hall</t>
  </si>
  <si>
    <t>A Practical Guide to Atmospheric Simulation Chambers</t>
  </si>
  <si>
    <t>Jean-FranÃ§ois Doussin-Hendrik Fuchs-Astrid Kiendler-Scharr-Paul Seakins-John Wenger</t>
  </si>
  <si>
    <t>Mining Gold and Manufacturing Ignorance</t>
  </si>
  <si>
    <t>Jock McCulloch-Pavla Miller</t>
  </si>
  <si>
    <t>IEA International Civic and Citizenship Education Study 2022 Assessment Framework</t>
  </si>
  <si>
    <t>Wolfram Schulz-Julian Fraillon-Bruno Losito-Gabriella Agrusti-John Ainley</t>
  </si>
  <si>
    <t>A Practical Guide on Behaviour Change Support for Self-Managing Chronic Disease</t>
  </si>
  <si>
    <t>Mara Pereira Guerreiro-Isa Brito FÃ©lix-Marta Moreira Marques</t>
  </si>
  <si>
    <t>Indigenous Law and the Politics of Kincentricity and Orality</t>
  </si>
  <si>
    <t>Amanda Kearney-John Bradley-Vincent Dodd-Dinah Norman a-Marrngawi-Mavis Timothy a-Muluwamara</t>
  </si>
  <si>
    <t>The Era of Longevity</t>
  </si>
  <si>
    <t>Dongsheng Chen</t>
  </si>
  <si>
    <t>The Blue Compendium</t>
  </si>
  <si>
    <t>Jane Lubchenco-Peter M. Haugan</t>
  </si>
  <si>
    <t>Violence in Extreme Conditions</t>
  </si>
  <si>
    <t>Eric-Hans Kramer-Tine Molendijk</t>
  </si>
  <si>
    <t>Scaling-up Higher Order Thinking</t>
  </si>
  <si>
    <t>Anat Zohar</t>
  </si>
  <si>
    <t>The Palgrave Handbook of Global Slavery Throughout History</t>
  </si>
  <si>
    <t>Damian A. Pargas-Juliane Schiel</t>
  </si>
  <si>
    <t>Gender in Japanese Popular Culture</t>
  </si>
  <si>
    <t>Proceedings of the 10th Focus Conference (TFC 2023)</t>
  </si>
  <si>
    <t>Manyane Makua-Mariam Akinlolu-Mashango Sithole-Phiwayinkosi Gumede-Cebo Nyondo</t>
  </si>
  <si>
    <t>Autonomous Trajectory Planning and Guidance Control for Launch Vehicles</t>
  </si>
  <si>
    <t>Zhengyu Song-Dangjun Zhao-Stephan Theil</t>
  </si>
  <si>
    <t>Innovative Priority Mechanisms in Service Operations</t>
  </si>
  <si>
    <t>Shiliang Cui-Zhongbin Wang-Luyi Yang</t>
  </si>
  <si>
    <t>Vulnerable Households in the Energy Transition</t>
  </si>
  <si>
    <t>Rossella Bardazzi-Maria Grazia Pazienza</t>
  </si>
  <si>
    <t>The Media Systems in Europe</t>
  </si>
  <si>
    <t>Stylianos Papathanassopoulos-Andrea Miconi</t>
  </si>
  <si>
    <t>Soft Crystals</t>
  </si>
  <si>
    <t>Masako Kato-Kazuyuki Ishii</t>
  </si>
  <si>
    <t>A Guide to Responsible Research</t>
  </si>
  <si>
    <t>Ana Marusic</t>
  </si>
  <si>
    <t>Modernization with Chinese Characteristics and Great Power</t>
  </si>
  <si>
    <t>Angang Hu</t>
  </si>
  <si>
    <t>The Business of Hope</t>
  </si>
  <si>
    <t>Mary-Beth Raddon</t>
  </si>
  <si>
    <t>Metallogenic Theory and Exploration Technology of Multi-Arc-Basin-Terrane Collision Orogeny in â€œSanjiangâ€ Region, Southwest China</t>
  </si>
  <si>
    <t>Wenchang Li-Guitang Pan-Zengqian Hou-Xuanxue Mo-Liquan Wang-Xiangfei Zhang</t>
  </si>
  <si>
    <t>Social Change in the Gulf Region</t>
  </si>
  <si>
    <t>Md Mizanur Rahman-Amr Al-Azm</t>
  </si>
  <si>
    <t>Modernising European Legal Education (MELE)</t>
  </si>
  <si>
    <t>Oskar J. Gstrein-Mareike FrÃ¶hlich-Caspar van den Berg-Thomas Giegerich</t>
  </si>
  <si>
    <t>Experiencing Society and the Lived Welfare State</t>
  </si>
  <si>
    <t>Pertti Haapala-Minna Harjula-Heikki Kokko</t>
  </si>
  <si>
    <t>Advances in Automotive Production Technology â€“ Towards Software-Defined Manufacturing and Resilient Supply Chains</t>
  </si>
  <si>
    <t>Niklas Kiefl-Frederik Wulle-Clemens Ackermann-Daniel Holder</t>
  </si>
  <si>
    <t>Lifelong Learning, Young Adults and the Challenges of Disadvantage in Europe</t>
  </si>
  <si>
    <t>John Holford-Pepka Boyadjieva-Sharon Clancy-GÃ¼nter Hefler-Ivana StudenÃ¡</t>
  </si>
  <si>
    <t>The Power of Peer Learning</t>
  </si>
  <si>
    <t>Omid Noroozi-Bram De Wever</t>
  </si>
  <si>
    <t>Maritime Mobilities in Anglophone Literature and Culture</t>
  </si>
  <si>
    <t>Alexandra Ganser-Charne Lavery</t>
  </si>
  <si>
    <t>Labour Control and Union Agency in Global Production Networks</t>
  </si>
  <si>
    <t>Tatiana LÃ³pez</t>
  </si>
  <si>
    <t>Economic Geography</t>
  </si>
  <si>
    <t>Blue Planet Law</t>
  </si>
  <si>
    <t>Maria da GlÃ³ria Garcia-AntÃ³nio CortÃªs</t>
  </si>
  <si>
    <t>BUiD Doctoral Research Conference 2022</t>
  </si>
  <si>
    <t>Khalid Al Marri-Farzana Mir-Solomon David-Aos Aljuboori</t>
  </si>
  <si>
    <t>Education, Competence Development and Career Trajectories</t>
  </si>
  <si>
    <t>Sabine Weinert-Gwendolin Josephine Blossfeld-Hans-Peter Blossfeld</t>
  </si>
  <si>
    <t>Differential Equations for Studies in Computational Electrophysiology</t>
  </si>
  <si>
    <t>Karoline Horgmo JÃ¦ger-Aslak Tveito</t>
  </si>
  <si>
    <t>Placing Property</t>
  </si>
  <si>
    <t>Amanda Byer</t>
  </si>
  <si>
    <t>Pellagra and Pellagrous Insanity During the Long Nineteenth Century</t>
  </si>
  <si>
    <t>David Gentilcore-Egidio Priani</t>
  </si>
  <si>
    <t>Medical Missionaries and Colonial Knowledge in West Africa and Europe, 1885-1914</t>
  </si>
  <si>
    <t>Linda Maria Ratschiller Nasim</t>
  </si>
  <si>
    <t>Civil Society Responses to Changing Civic Spaces</t>
  </si>
  <si>
    <t>Kees Biekart-Tiina Kontinen-Marianne Millstein</t>
  </si>
  <si>
    <t>Environmental Knowledge, Race, and African American Literature</t>
  </si>
  <si>
    <t>Matthias Klestil</t>
  </si>
  <si>
    <t>Post Un-Lock</t>
  </si>
  <si>
    <t>Grazia Brunetta-Patrizia Lombardi-Angioletta Voghera</t>
  </si>
  <si>
    <t>Technological Imagination in the Green and Digital Transition</t>
  </si>
  <si>
    <t>Eugenio Arbizzani-Eliana Cangelli-Carola Clemente-Fabrizio Cumo-Francesca GiofrÃ¨</t>
  </si>
  <si>
    <t>Adaptive Urban Transformation</t>
  </si>
  <si>
    <t>Steffen Nijhuis-Yimin Sun-Eckart Lange</t>
  </si>
  <si>
    <t>The Virtues of Green Marketing</t>
  </si>
  <si>
    <t>Erik Bengtson-Oskar Mossberg</t>
  </si>
  <si>
    <t>Adaptive Peacebuilding</t>
  </si>
  <si>
    <t>Narratives of Motherhood and Mothering in Fiction and Life Writing</t>
  </si>
  <si>
    <t>Helena WahlstrÃ¶m Henriksson-Anna Williams-Margaretha Fahlgren</t>
  </si>
  <si>
    <t>European Union Support for Colombia's Peace Process</t>
  </si>
  <si>
    <t>Karlos PÃ©rez de ArmiÃ±o</t>
  </si>
  <si>
    <t>Narratives of the Unspoken in Contemporary Irish Fiction</t>
  </si>
  <si>
    <t>M. Teresa Caneda-Cabrera-JosÃ© Carregal-Romero</t>
  </si>
  <si>
    <t>Proceedings of the 5th Open Society Conference (OSC 2023)</t>
  </si>
  <si>
    <t>Daryono-Widiyanto-Ardik Ardianto-Indra Pratama Putra Salmon</t>
  </si>
  <si>
    <t>The Impact of EU Politicisation on Voting Behaviour in Europe</t>
  </si>
  <si>
    <t>Marina Costa Lobo</t>
  </si>
  <si>
    <t>East Central Europe Between the Colonial and the Postcolonial in the Twentieth Century</t>
  </si>
  <si>
    <t>Siegfried Huigen-Dorota KoÅ‚odziejczyk</t>
  </si>
  <si>
    <t>Hypergraph Computation</t>
  </si>
  <si>
    <t>Qionghai Dai-Yue Gao</t>
  </si>
  <si>
    <t>Progress in Entrepreneurship Education and Training</t>
  </si>
  <si>
    <t>Joern H. Block-Jantje Halberstadt-Nils HÃ¶gsdal-Andreas Kuckertz-Helle Neergaard</t>
  </si>
  <si>
    <t>Isotopes in Economic Geology, Metallogenesis and Exploration</t>
  </si>
  <si>
    <t>David Huston-Jens Gutzmer</t>
  </si>
  <si>
    <t>Irregular Migration</t>
  </si>
  <si>
    <t>Maurizio Ambrosini-Minke H.J. Hajer</t>
  </si>
  <si>
    <t>Migration and Religion</t>
  </si>
  <si>
    <t>Magdalena Nordin-Jonas Otterbeck</t>
  </si>
  <si>
    <t>Mobilities in Life and Death</t>
  </si>
  <si>
    <t>Avril Maddrell-Sonja Kmec-Tanu Priya Uteng-Mariske Westendorp</t>
  </si>
  <si>
    <t>Syrian Refugees in Turkey</t>
  </si>
  <si>
    <t>Zeynep Åžahin-MencÃ¼tek-N. Ela GÃ¶kalp-Aras-Ayhan Kaya-Susan Beth Rottmann</t>
  </si>
  <si>
    <t>Migration Control Logics and Strategies in Europe</t>
  </si>
  <si>
    <t>Claudia Finotelli-Irene Ponzo</t>
  </si>
  <si>
    <t>Forced Migration and Separated Families</t>
  </si>
  <si>
    <t>Marja Tiilikainen-Johanna Hiitola-Abdirashid A. Ismail-Jaana Palander</t>
  </si>
  <si>
    <t>Migration and Domestic Space</t>
  </si>
  <si>
    <t>Paolo Boccagni-Sara Bonfanti</t>
  </si>
  <si>
    <t>Transforming Education for Sustainability</t>
  </si>
  <si>
    <t>MarÃ­a S. Rivera Maulucci-Stephanie Pfirman-Hilary S. Callahan</t>
  </si>
  <si>
    <t>Modern IoT Onboarding Platforms for Advanced Applications</t>
  </si>
  <si>
    <t>Marcin Witczak-Lothar Seybold-Eric Bulach-Niko Maucher</t>
  </si>
  <si>
    <t>Capturing the Senses</t>
  </si>
  <si>
    <t>Giacomo Landeschi-Eleanor Betts</t>
  </si>
  <si>
    <t>Materialising the Future</t>
  </si>
  <si>
    <t>Venere Ferraro-Pirjo KÃ¤Ã¤riÃ¤inen-Paz Morer-Camo-Anke Pasold</t>
  </si>
  <si>
    <t>Moving Toward Net-Zero Carbon Society</t>
  </si>
  <si>
    <t>Hsing-Hao Wu-Wan-Yu Liu-Michael C. Huang</t>
  </si>
  <si>
    <t>Manufacturing Driving Circular Economy</t>
  </si>
  <si>
    <t>Holger Kohl-GÃ¼nther Seliger-Franz Dietrich</t>
  </si>
  <si>
    <t>3rd International Conference on Thermal Issues in Machine Tools (ICTIMT2023)</t>
  </si>
  <si>
    <t>Steffen Ihlenfeldt</t>
  </si>
  <si>
    <t>Judicial Governance and Democracy in Europe</t>
  </si>
  <si>
    <t>Pablo Castillo-Ortiz</t>
  </si>
  <si>
    <t>Social Biases During Covid 19</t>
  </si>
  <si>
    <t>Wojciech Kulesza-Dariusz DoliÅ„ski</t>
  </si>
  <si>
    <t>Organization in Biology</t>
  </si>
  <si>
    <t>Matteo Mossio</t>
  </si>
  <si>
    <t>Local Governance of Peatland Restoration in Riau, Indonesia</t>
  </si>
  <si>
    <t>Masaaki Okamoto-Takamasa Osawa-Wahyu Prasetyawan-Akhwan Binawan</t>
  </si>
  <si>
    <t>Vulnerability and Transformation of Indonesian Peatlands</t>
  </si>
  <si>
    <t>Kosuke Mizuno-Osamu Kozan-Haris Gunawan</t>
  </si>
  <si>
    <t>Paul Ricoeur</t>
  </si>
  <si>
    <t>Alison Scott-Baumann</t>
  </si>
  <si>
    <t>Topological Obstructions to Stability and Stabilization</t>
  </si>
  <si>
    <t>Wouter Jongeneel-Emmanuel Moulay</t>
  </si>
  <si>
    <t>Visualising Safety, an Exploration</t>
  </si>
  <si>
    <t>Jean-Christophe Le Coze-Teemu Reiman</t>
  </si>
  <si>
    <t>Rainfall Infiltration in Unsaturated Soil Slope Failure</t>
  </si>
  <si>
    <t>Lizhou Wu-Jianting Zhou</t>
  </si>
  <si>
    <t>Population Dynamics in the Mediterranean</t>
  </si>
  <si>
    <t>Yoann Doignon-Isabelle BlÃ¶ss-Widmer-Elena Ambrosetti-SÃ©bastien Oliveau</t>
  </si>
  <si>
    <t>Sustainable Business</t>
  </si>
  <si>
    <t>Manuel Fischer-Daniel Foord-Jan FrecÃ¨-Kirsten Hillebrand-Ingrid Kissling-NÃ¤f</t>
  </si>
  <si>
    <t>Healthcare and Disease Burden in Africa</t>
  </si>
  <si>
    <t>Ilha Niohuru</t>
  </si>
  <si>
    <t>Becoming A Young Farmer</t>
  </si>
  <si>
    <t>Sharada Srinivasan</t>
  </si>
  <si>
    <t>Professions and Proficiency</t>
  </si>
  <si>
    <t>Johannes GlÃ¼ckler-Christopher Winch-Anna Mateja Punstein</t>
  </si>
  <si>
    <t>Sonic Interactions in Virtual Environments</t>
  </si>
  <si>
    <t>Michele Geronazzo-Stefania Serafin</t>
  </si>
  <si>
    <t>European Language Equality</t>
  </si>
  <si>
    <t>Georg Rehm-Andy Way</t>
  </si>
  <si>
    <t>Nuclear Risks and Arms Control - Problems and Progresses in the Time of Pandemics and War</t>
  </si>
  <si>
    <t>Paolo Cotta-Ramusino-Micah Lowenthal-Luciano Maiani-Enza Pellecchia</t>
  </si>
  <si>
    <t>Bruno Touschek 100 Years</t>
  </si>
  <si>
    <t>Luisa Bonolis-Luciano Maiani-Giulia Pancheri</t>
  </si>
  <si>
    <t>Mathematics Curriculum Reforms Around the World</t>
  </si>
  <si>
    <t>Yoshinori Shimizu-Renuka Vithal</t>
  </si>
  <si>
    <t>5th Symposium on Terrestrial Gravimetry: Static and Mobile Measurements (TG-SMM 2019)</t>
  </si>
  <si>
    <t>Polarized Beam Dynamics and Instrumentation in Particle Accelerators</t>
  </si>
  <si>
    <t>FranÃ§ois MÃ©ot-Haixin Huang-Vadim Ptitsyn-Fanglei Lin</t>
  </si>
  <si>
    <t>Racial and Ethnic Residential Segregation Across the United States</t>
  </si>
  <si>
    <t>Amber R. Crowell-Mark A. Fossett</t>
  </si>
  <si>
    <t>Putting Responsible Research and Innovation Into Practice</t>
  </si>
  <si>
    <t>Vincent Blok</t>
  </si>
  <si>
    <t>Electromechanobiology of Cartilage and Osteoarthritis</t>
  </si>
  <si>
    <t>Brianne K. Connizzo-Lin Han-Robert L. Sah</t>
  </si>
  <si>
    <t>Philosophy of Astrophysics</t>
  </si>
  <si>
    <t>Nora Mills Boyd-Siska De Baerdemaeker-Kevin Heng-Vera Matarese</t>
  </si>
  <si>
    <t>Learning to Quantify</t>
  </si>
  <si>
    <t>Andrea Esuli-Alessandro Fabris-Alejandro Moreo-Fabrizio Sebastiani</t>
  </si>
  <si>
    <t>Sriram Sankaranarayanan-Natasha Sharygina</t>
  </si>
  <si>
    <t>Thomas Wies</t>
  </si>
  <si>
    <t>Fragility Fracture and Orthogeriatric Nursing</t>
  </si>
  <si>
    <t>Tools, Exercises, and Strategies for Coping With Complexity</t>
  </si>
  <si>
    <t>Rune Storesund-Ian I. Mitroff</t>
  </si>
  <si>
    <t>Shaping the Future of IoT with Edge Intelligence</t>
  </si>
  <si>
    <t>COMPUTERS / Distributed Systems / Cloud Computing</t>
  </si>
  <si>
    <t>Rute C. Sofia-John Soldatos</t>
  </si>
  <si>
    <t>Orthodox Christianity and the COVID-19 Pandemic</t>
  </si>
  <si>
    <t>Tornike Metreveli</t>
  </si>
  <si>
    <t>Dark Skies</t>
  </si>
  <si>
    <t>Nick Dunn-Tim Edensor</t>
  </si>
  <si>
    <t>Ecological Democracy</t>
  </si>
  <si>
    <t>Odin Lysaker</t>
  </si>
  <si>
    <t>English Urban Commons</t>
  </si>
  <si>
    <t>Christopher Rodgers-Rachel Hammersley-Alessandro Zambelli-Emma Cheatle-John Wedgwood Clarke-Sarah Collins-Olivia Dee-Siobhan Oâ€™Neill</t>
  </si>
  <si>
    <t>Antisemitismus in der postnazistischen Migrationsgesellschaft</t>
  </si>
  <si>
    <t>Salome Richter-Dorothea Seiler-Marc Seul-Luca Zarbock-Andreas Borsch-Luisa GÃ¤rtner-Lennard Schmidt</t>
  </si>
  <si>
    <t>Kritik und Engagement in der Sozialen Arbeit</t>
  </si>
  <si>
    <t>Gordana Berc-Arno Heimgartner-Karin Lauermann-Hannelore Reicher-Elena Stuhlpfarrer</t>
  </si>
  <si>
    <t>Wer wird gefÃ¶rdert?</t>
  </si>
  <si>
    <t>Franziska Sophie Proskawetz</t>
  </si>
  <si>
    <t>PrekÃ¤re ProfessionalitÃ¤t</t>
  </si>
  <si>
    <t>Elke Alsago-Nikolaus Meyer</t>
  </si>
  <si>
    <t>Die Konstruktion der Vergangenheit.</t>
  </si>
  <si>
    <t>Joachim Bahlcke-Hans Strohmeier</t>
  </si>
  <si>
    <t>Handbook of Terminology</t>
  </si>
  <si>
    <t>Åucja Biel-Hendrik J. Kockaert</t>
  </si>
  <si>
    <t>Untold Stories of the Spanish Civil War</t>
  </si>
  <si>
    <t>Raanan Rein-Susanne Zepp-Zwirner</t>
  </si>
  <si>
    <t>Rethinking the History of Democracy in Spain</t>
  </si>
  <si>
    <t>Antonio Herrera-Francisco Acosta</t>
  </si>
  <si>
    <t>Gematon: Living and Dying in a Kushite Town on the Nile, Volume III</t>
  </si>
  <si>
    <t>Isabella Welsby SjÃ¶strÃ¶m</t>
  </si>
  <si>
    <t>Gematon: Living and Dying in a Kushite Town on the Nile, Volume I</t>
  </si>
  <si>
    <t>Museums for Peace</t>
  </si>
  <si>
    <t>Joyce Apsel-Clive Barrett-Roy Tamashiro</t>
  </si>
  <si>
    <t>University Engagement with Farming Communities in Africa</t>
  </si>
  <si>
    <t>Anthony Egeru-Megan Lindow-Kay Muir Leresche</t>
  </si>
  <si>
    <t>Sociolinguistics of the Korean Wave</t>
  </si>
  <si>
    <t>Nora Samosir-Lionel Wee</t>
  </si>
  <si>
    <t>Praktiken Ã¤sthetischen Denkens</t>
  </si>
  <si>
    <t>Silvia Henke-Dieter Mersch-Thomas StrÃ¤ssle-Nicolaj van der Meulen-JÃ¶rg Wiesel</t>
  </si>
  <si>
    <t>Die umkÃ¤mpfte Dublin-Verordnung</t>
  </si>
  <si>
    <t>David Lorenz</t>
  </si>
  <si>
    <t>Staat und Staatlichkeit im digitalen Zeitalter</t>
  </si>
  <si>
    <t>Samuel Greef</t>
  </si>
  <si>
    <t>Dirigent*innen im Fokus</t>
  </si>
  <si>
    <t>FrauenkulturbÃ¼ro NRW e.V.-Hannah Schmidt</t>
  </si>
  <si>
    <t>Plausibilisierung und Evidenz</t>
  </si>
  <si>
    <t>Antje FlÃ¼chter-Birte FÃ¶rster-Britta Hochkirchen-Silke Schwandt</t>
  </si>
  <si>
    <t>Technische Fiktionen</t>
  </si>
  <si>
    <t>Michael Kuhn</t>
  </si>
  <si>
    <t>Queere Fanfictions â€“ Queere Utopien?</t>
  </si>
  <si>
    <t>Denise Labahn</t>
  </si>
  <si>
    <t>Eine gerechte Weltwirtschaftsordnung?</t>
  </si>
  <si>
    <t>Alex Veit-Daniel Fuchs</t>
  </si>
  <si>
    <t>Bildung und Staunen</t>
  </si>
  <si>
    <t>Theresa Stommel</t>
  </si>
  <si>
    <t>Racial Profiling und Polizeigewalt</t>
  </si>
  <si>
    <t>Markus Textor</t>
  </si>
  <si>
    <t>Obliteration</t>
  </si>
  <si>
    <t>Johannes Bennke</t>
  </si>
  <si>
    <t>Beyond Quantity</t>
  </si>
  <si>
    <t>Andreas Sudmann-Anna EchterhÃ¶lter-Markus Ramsauer-Fabian Retkowski-Jens SchrÃ¶ter-Alexander Waibel</t>
  </si>
  <si>
    <t>Die VerfÃ¼gbarmachung der Literatur</t>
  </si>
  <si>
    <t>Emmanuel Breite</t>
  </si>
  <si>
    <t>Â»Der Islam gehÃ¶rt (nicht) zu DeutschlandÂ«</t>
  </si>
  <si>
    <t>Imad Mustafa</t>
  </si>
  <si>
    <t>Konflikte um Infrastrukturen</t>
  </si>
  <si>
    <t>Johanna Betz-Hans-JÃ¼rgen Bieling-Andrea Futterer-Matthias MÃ¶hring-Hesse-Melanie Nagel</t>
  </si>
  <si>
    <t>Mehrdeutigkeit als literarisches Thema</t>
  </si>
  <si>
    <t>Stefan Descher-Janina Jacke-Eva-Maria Konrad-Thomas Petraschka</t>
  </si>
  <si>
    <t>Wohnen in Hamburg</t>
  </si>
  <si>
    <t>Monika Grubbauer-Joscha Metzger</t>
  </si>
  <si>
    <t>Travelling Gestures â€“ Elfriede Jelineks Theater der (TragÃ¶dien-)Durchquerung</t>
  </si>
  <si>
    <t>Silke Felber</t>
  </si>
  <si>
    <t>Dokumentarische GefÃ¼ge</t>
  </si>
  <si>
    <t>Tabea Braun-Felix HÃ¼ttemann-Robin Schrade-Leonie Zilch</t>
  </si>
  <si>
    <t>Medienzukunft 2025 â€“ Wie kann Vielfalt gelingen?</t>
  </si>
  <si>
    <t>Thorolf Lipp-Dieter Wiedemann</t>
  </si>
  <si>
    <t>Missionsgeschichtliche Sammlungen heute</t>
  </si>
  <si>
    <t>Patrick Felix KrÃ¼ger-Martin Radermacher</t>
  </si>
  <si>
    <t>Auf der Suche nach der fÃ¼nften Dimension â€“ Kollaboration und DigitalitÃ¤t in der KunstpÃ¤dagogik</t>
  </si>
  <si>
    <t>Christin LÃ¼bke-Miriam Schmidt-Wetzel</t>
  </si>
  <si>
    <t>Food â€“ Media â€“ Senses</t>
  </si>
  <si>
    <t>Christina Bartz-Jens Ruchatz-Eva Wattolik</t>
  </si>
  <si>
    <t>Operation Luxor</t>
  </si>
  <si>
    <t>Farid Hafez</t>
  </si>
  <si>
    <t>Umweltgerechtigkeit und sozialÃ¶kologische Transformation</t>
  </si>
  <si>
    <t>Silja Klepp-Jonas Hein</t>
  </si>
  <si>
    <t>Digital Teaching and Learning in Higher Education</t>
  </si>
  <si>
    <t>Anselm BÃ¶hmer-GÃ¶tz Schwab-Illie Isso</t>
  </si>
  <si>
    <t>Handbuch Musikvermittlung â€“ Studium, Lehre, Berufspraxis</t>
  </si>
  <si>
    <t>Axel Petri-Preis-Johannes Voit</t>
  </si>
  <si>
    <t>Video Conferencing</t>
  </si>
  <si>
    <t>Axel Volmar-Olga Moskatova-Jan Distelmeyer</t>
  </si>
  <si>
    <t>(Vor)Sorge und (Un)Gleichheiten in pandemischen Zeiten</t>
  </si>
  <si>
    <t>Friederike Schmidt-Hanna Weinbach</t>
  </si>
  <si>
    <t>An den RÃ¤ndern des Wissens</t>
  </si>
  <si>
    <t>Kathrin Busch-Barbara Gronau-Kathrin Peters</t>
  </si>
  <si>
    <t>Fictional Practices of Spirituality I</t>
  </si>
  <si>
    <t>Leonardo Marcato-Felix Schniz</t>
  </si>
  <si>
    <t>The Christian Right in Europe</t>
  </si>
  <si>
    <t>Gionathan Lo Mascolo</t>
  </si>
  <si>
    <t>Postmigration, Transculturality and the Transversal Politics of Art</t>
  </si>
  <si>
    <t>Anne Ring Petersen</t>
  </si>
  <si>
    <t>English in the Nordic Countries</t>
  </si>
  <si>
    <t>Elizabeth Peterson-Kristy Beers FÃ¤gersten</t>
  </si>
  <si>
    <t>Utopian Imaginings</t>
  </si>
  <si>
    <t>Victoria W. Wolcott</t>
  </si>
  <si>
    <t>Agency in the Peripheries of Language Revitalisation</t>
  </si>
  <si>
    <t>Mary S. Linn-Alejandro DayÃ¡n-FernÃ¡ndez</t>
  </si>
  <si>
    <t>Traditional Authority and Security in Contemporary Nigeria</t>
  </si>
  <si>
    <t>David Ehrhardt-David Oladimeji Alao-M. Sani Umar</t>
  </si>
  <si>
    <t>The Significance of SÃ¡mi Rights</t>
  </si>
  <si>
    <t>DorothÃ©e Cambou-Ã˜yvind Ravna</t>
  </si>
  <si>
    <t>Uncertainty in Global Politics</t>
  </si>
  <si>
    <t>Anastasia Shesterinina-Miriam Matejova</t>
  </si>
  <si>
    <t>Coalition Politics in Central Eastern Europe</t>
  </si>
  <si>
    <t>TorbjÃ¶rn Bergman-Gabriella Ilonszki-Johan HellstrÃ¶m</t>
  </si>
  <si>
    <t>Smart and Resilient Infrastructure For Emerging Economies: Perspectives on Building Better</t>
  </si>
  <si>
    <t>Innocent Musonda-Erastus Mwanaumo-Adetayo Onososen-Thembani Moyo</t>
  </si>
  <si>
    <t>Diversity and Inclusion: Are We Nearly There Yet?</t>
  </si>
  <si>
    <t>Doris Ruth Eikhof</t>
  </si>
  <si>
    <t>Digital Transformation and Cultural Policies in Europe</t>
  </si>
  <si>
    <t>Ole Marius Hylland-Jaka Primorac</t>
  </si>
  <si>
    <t>A New Approach to Global Studies From the Perspective of Small Nations</t>
  </si>
  <si>
    <t>Kiyonobu Date-Jean-FranÃ§ois Laniel</t>
  </si>
  <si>
    <t>Mujer en las AmÃ©ricas. Brecha de GÃ©nero en un mundo Global</t>
  </si>
  <si>
    <t>Education for Social Justice</t>
  </si>
  <si>
    <t>Nicholas M. Michelli-Tina J. Jacobowitz-Stacey Campo-Diana Jahnsen</t>
  </si>
  <si>
    <t>Running Rome and Its Empire</t>
  </si>
  <si>
    <t>Antonio Lopez Garcia</t>
  </si>
  <si>
    <t>Bauhaus und Erwachsenenbildung</t>
  </si>
  <si>
    <t>Anke GrotlÃ¼schen-Anette Richter-Boisen</t>
  </si>
  <si>
    <t>The Sublime in the Visual Culture of the Seventeenth-Century Dutch Republic</t>
  </si>
  <si>
    <t>Stijn Bussels-Bram Van Oostveldt</t>
  </si>
  <si>
    <t>The Predatory Paradox</t>
  </si>
  <si>
    <t xml:space="preserve"> Amy Koerber-Jesse C. Starkey-Karin Ardon-Dryer-R. Glenn Cummins-Lyombe Eko-Kerk F. Kee</t>
  </si>
  <si>
    <t>Misunderstandings</t>
  </si>
  <si>
    <t xml:space="preserve"> Georg WeizsÃ¤cker</t>
  </si>
  <si>
    <t>Higher Education for Good</t>
  </si>
  <si>
    <t xml:space="preserve"> Laura Czerniewicz-Catherine Cronin</t>
  </si>
  <si>
    <t>Targeting in International Law</t>
  </si>
  <si>
    <t>Amin Parsa</t>
  </si>
  <si>
    <t>Young Children in Humanitarian and COVID-19 Crises</t>
  </si>
  <si>
    <t>Sweta Shah-Lucy Bassett</t>
  </si>
  <si>
    <t>Local Content Requirements</t>
  </si>
  <si>
    <t>Lili Yan Ing-Gene Grossman</t>
  </si>
  <si>
    <t>The Reuse of Tombs in Eastern Arabia</t>
  </si>
  <si>
    <t>Gabii Through Its Artefacts</t>
  </si>
  <si>
    <t>Laura M. Banducci-Mattia Dâ€™Acri</t>
  </si>
  <si>
    <t>Dimore della Cirenaica: Abitare a Cirene e a Tolemaide durante lâ€™etÃ  imperiale</t>
  </si>
  <si>
    <t>Eleonora Gasparini</t>
  </si>
  <si>
    <t>BÃ¢tisseurs de mÃ©galithes</t>
  </si>
  <si>
    <t>Florian Cousseau</t>
  </si>
  <si>
    <t>ArqueologÃ­a computacional del territorio. MÃ©todos y tÃ©cnicas para estudiar decisiones humanas en paisajes pretÃ©ritos</t>
  </si>
  <si>
    <t>Miguel Carrero-Pazos</t>
  </si>
  <si>
    <t>Alan Rudolph's Trouble in Mind</t>
  </si>
  <si>
    <t>Caryl Flinn</t>
  </si>
  <si>
    <t>Time and Space</t>
  </si>
  <si>
    <t>Maria do RosÃ¡rio Monteiro-MÃ¡rio S. Ming Kong-Maria JoÃ£o Pereira Neto</t>
  </si>
  <si>
    <t>Transdisciplinary Research, Sustainability, and Social Transformation</t>
  </si>
  <si>
    <t>Tom Dedeurwaerdere</t>
  </si>
  <si>
    <t>Space, Education, and Inclusion</t>
  </si>
  <si>
    <t>Georg RiÃŸler-Andreas KÃ¶pfer-Tobias Buchner</t>
  </si>
  <si>
    <t>Disabled People Transforming Media Culture for a More Inclusive World</t>
  </si>
  <si>
    <t>Beth A. Haller</t>
  </si>
  <si>
    <t>The Impact of Tourism in East Africa</t>
  </si>
  <si>
    <t>Anne Storch-Angelika Mietzner</t>
  </si>
  <si>
    <t>Open Education and Second Language Learning and Teaching</t>
  </si>
  <si>
    <t>Carl S. Blyth-Joshua J. Thoms</t>
  </si>
  <si>
    <t>Second Language Pronunciation Assessment</t>
  </si>
  <si>
    <t>Talia Isaacs-Pavel Trofimovich</t>
  </si>
  <si>
    <t>Care in a Time of Humanitarianism</t>
  </si>
  <si>
    <t>Arzoo Osanloo-Cabeiri deBergh Robinson</t>
  </si>
  <si>
    <t>Research with International Students</t>
  </si>
  <si>
    <t>Jenna Mittelmeier-Sylvie Lomer-Kalyani Unkule</t>
  </si>
  <si>
    <t>IdentificaciÃ³n de invenciones que estÃ¡n en el dominio pÃºblico: GuÃ­a para inventores y emprendedores</t>
  </si>
  <si>
    <t>Technology and Innovation Support Centers (TISCs) Report 2021: Accompanying Local Innovators on the Journey From Research to Product</t>
  </si>
  <si>
    <t>Key Questions on Patent Disclosure Requirements for Genetic Resources and Traditional Knowledge.</t>
  </si>
  <si>
    <t>WIPO Collection of Leading Judgments on Intellectual Property Rights: Members of the African Intellectual Property Organization (1997-2018)</t>
  </si>
  <si>
    <t>Max Lambert NdÃ©ma ElonguÃ© Joseph Fometeu Editors.</t>
  </si>
  <si>
    <t>Promover el acceso a las tecnologÃ­as mÃ©dicas y la innovaciÃ³n â€“ Intersecciones entre la salud pÃºblica, la propiedad intelectual y el comercio.</t>
  </si>
  <si>
    <t>OrganizaciÃ³n Mundial de la Propiedad Intelectual-OrganizaciÃ³n Mundial de la Salud (OMS)-OrganizaciÃ³n Mundial del Comercio (OMC)</t>
  </si>
  <si>
    <t>Promouvoir lâ€™accÃ¨s aux technologies mÃ©dicales et lâ€™innovation â€“ Intersections entre la santÃ© publique, la propriÃ©tÃ© intellectuelle et le commerce.</t>
  </si>
  <si>
    <t>Organisation Mondiale de la PropriÃ©tÃ© Intellectuelle-Organisation mondiale de la SantÃ© (OMS)-Organisation Mondiale du Commerce (OMC)</t>
  </si>
  <si>
    <t>Lo atractivo estÃ¡ en la forma : una introducciÃ³n a los diseÃ±os industriales para las pequeÃ±as y medianas empresas</t>
  </si>
  <si>
    <t>Revista da OMPI, NÃºmero 1/2021 (MarÃ§o)</t>
  </si>
  <si>
    <t>OrganizaÃ§Ã£o Mundial de Propriedade Intelectual (OMPI) publisher</t>
  </si>
  <si>
    <t>Revista de la OMPI, NÃºmero 1/2021 (Marzo)</t>
  </si>
  <si>
    <t>OrganizaciÃ³n Mundial de la Propiedad Intelectual publisher</t>
  </si>
  <si>
    <t>Magazine de l'OMPI, NumÃ©ro 1/2021 (Mars).</t>
  </si>
  <si>
    <t>Organisation Mondiale de la PropriÃ©tÃ© Intellectuelle publisher</t>
  </si>
  <si>
    <t>WIPO Magazine, Issue 1/2021 (March)</t>
  </si>
  <si>
    <t>World Intellectual Property Organization, publisher</t>
  </si>
  <si>
    <t>Revista da OMPI, NÃºmero 2/2021 (Junho)</t>
  </si>
  <si>
    <t>Revista de la OMPI, NÃºmero 2/2021 (Junio)</t>
  </si>
  <si>
    <t>Magazine de l'OMPI, NumÃ©ro 2/2021 (Juin).</t>
  </si>
  <si>
    <t>WIPO Magazine, Issue 2/2021 (June)</t>
  </si>
  <si>
    <t>Revista da OMPI, NÃºmero 3/2021 (Setembro)</t>
  </si>
  <si>
    <t>Revista de la OMPI, NÃºmero 3/2021 (Septiembre)</t>
  </si>
  <si>
    <t>Magazine de l'OMPI, NumÃ©ro 3/2021 (Septembre)</t>
  </si>
  <si>
    <t>WIPO Magazine, Issue 3/2021 (September).</t>
  </si>
  <si>
    <t>Revista da OMPI, NÃºmero 4/2021 (Dezembro)</t>
  </si>
  <si>
    <t>Revista de la OMPI, NÃºmero 4/2021 (Diciembre)</t>
  </si>
  <si>
    <t>Magazine de l'OMPI, NumÃ©ro 4/2021 (DÃ©cembre)</t>
  </si>
  <si>
    <t>WIPO Magazine, Issue 4/2021 (December)</t>
  </si>
  <si>
    <t>Revista da OMPI, NÃºmero 1/2022 (MarÃ§o)</t>
  </si>
  <si>
    <t>Revista de la OMPI, NÃºmero 1/2022 (Marzo)</t>
  </si>
  <si>
    <t>Magazine de l'OMPI, NumÃ©ro 1/2022 (Mars)</t>
  </si>
  <si>
    <t>WIPO Magazine, Issue 1/2022 (March)</t>
  </si>
  <si>
    <t>Revista da OMPI, NÃºmero 2/2022 (Junho).</t>
  </si>
  <si>
    <t>Revista de la OMPI, NÃºmero 2/2022 (Junio)</t>
  </si>
  <si>
    <t>Magazine de l'OMPI, NumÃ©ro 2/2022 (Juin).</t>
  </si>
  <si>
    <t>WIPO Magazine, Issue 2/2022 (June).</t>
  </si>
  <si>
    <t>Revista da OMPI, NÃºmero 3/2022 (Setembro)</t>
  </si>
  <si>
    <t>Revista de la OMPI, NÃºmero 3/2022 (Septiembre)</t>
  </si>
  <si>
    <t>Magazine de l'OMPI, NumÃ©ro 3/2022 (Septembre).</t>
  </si>
  <si>
    <t>WIPO Magazine, Issue 3/2022 (September).</t>
  </si>
  <si>
    <t>Revista da OMPI, NÃºmero 4/2022 (Dezembro).</t>
  </si>
  <si>
    <t>Revista de la OMPI, NÃºmero 4/2022 (Diciembre).</t>
  </si>
  <si>
    <t>Magazine de l'OMPI, NumÃ©ro 4/2022 (DÃ©cembre).</t>
  </si>
  <si>
    <t>WIPO Magazine, Issue 4/2022 (December).</t>
  </si>
  <si>
    <t>En buena compaÃ±Ã­a : La gestiÃ³n de los aspectos de propiedad intelectual de los contratos de franquicia</t>
  </si>
  <si>
    <t>En bonne compagnie : gestion des questions de propriÃ©tÃ© intellectuelle en matiÃ¨re de franchisage</t>
  </si>
  <si>
    <t>In Good Company: Managing Intellectual Property Issues in Franchising.</t>
  </si>
  <si>
    <t>Arreglo de Madrid relativo al Registro Internacional de Marcas; Protocolo concerniente al Arreglo de Madrid; Reglamento; Instrucciones Administrativas.</t>
  </si>
  <si>
    <t>Arrangement de Madrid concernant l'enregistrement international des marques; Protocole relatif Ã  l'Arrangement de Madrid; RÃ¨glement d'exÃ©cution; Instructions administratives.</t>
  </si>
  <si>
    <t>Madrid Agreement Concerning the International Registration of Marks; Protocol Relating to the Madrid Agreement; Regulations; Administrative Instructions.</t>
  </si>
  <si>
    <t>GuÃ­a para el Registro Internacional de Marcas segÃºn el Protocolo de Madrid (2021).</t>
  </si>
  <si>
    <t>Guide pour l'enregistrement international des marques en vertu du Protocole de Madrid (2021).</t>
  </si>
  <si>
    <t>Guide to the International Registration of Marks Under the Madrid Protocol (2021)</t>
  </si>
  <si>
    <t>GuÃ­a para el Registro Internacional de Marcas segÃºn el Protocolo de Madrid (2022).</t>
  </si>
  <si>
    <t>Guide pour l'Enregistrement International des Marques en Vertu du Protocole de Madrid (2022).</t>
  </si>
  <si>
    <t>Guide to the International Registration of Marks Under the Madrid Protocol (2022)</t>
  </si>
  <si>
    <t>Protocolo concerniente al Arreglo de Madrid relativo al Registro Internacional de Marcas; Reglamento; Instrucciones Administrativas; Tabla de tasas.</t>
  </si>
  <si>
    <t>Protocole Relatif Ã  lâ€™Arrangement de Madrid Concernant lâ€™Enregistrement International des Marques; RÃ¨glement dâ€™ExÃ©cution; Instructions Administratives; BarÃ¨me des Ã‰moluments et Taxes.</t>
  </si>
  <si>
    <t>Protocol Relating to the Madrid Agreement Concerning the International Registration of Marks; Regulations; Administrative Instructions; Schedule of Fees.</t>
  </si>
  <si>
    <t>Patent Landscape Report: Marine Genetic Resources.</t>
  </si>
  <si>
    <t>Cuestiones clave sobre la divulgaciÃ³n de recursos genÃ©ticos y conocimientos tradicionales en las solicitudes de patentes.</t>
  </si>
  <si>
    <t>OrganizaciÃ³n Mundial de la Propiedad Intelectual, publisher</t>
  </si>
  <si>
    <t>Questions essentielles sur les exigences de divulgation en matiÃ¨re de brevets concernant les ressources gÃ©nÃ©tiques et les savoirs traditionnels : DeuxiÃ¨me Ã©dition</t>
  </si>
  <si>
    <t>Recensement des inventions du domaine public : Guide Ã  lâ€™intention des inventeurs et des entrepreneurs.</t>
  </si>
  <si>
    <t>Organisation Mondiale de la PropriÃ©tÃ© Intellectuelle, publisher</t>
  </si>
  <si>
    <t>Identifying Inventions in the Public Domain: A Guide for Inventors and Entrepreneurs</t>
  </si>
  <si>
    <t>Utilisation des inventions du domaine public: Guide Ã  l'intention des inventeurs et des entrepreneurs</t>
  </si>
  <si>
    <t>Uso de invenciones que estÃ¡n en el dominio pÃºblico: GuÃ­a para inventores y emprendedores</t>
  </si>
  <si>
    <t>Using Inventions in the Public Domain: a Guide for Inventors and Entrepreneurs</t>
  </si>
  <si>
    <t>Estudo da OMPI sobre as TendÃªncias da Tecnologia em 2019 - InteligÃªncia Artificial.</t>
  </si>
  <si>
    <t>WIPO-Studie Ã¼ber Technologietrends 2019 - KÃ¼nstliche Intelligenz : Zusammenfassung</t>
  </si>
  <si>
    <t>Informe de la OMPI sobre tendencias de la tecnologÃ­a - La inteligencia artificial.</t>
  </si>
  <si>
    <t>Rapport 2019 de l'OMPI sur les tendances technologiques - Intelligence artificielle.</t>
  </si>
  <si>
    <t>WIPO Technology Trends 2019: Artificial Intelligence - Executive Summary.</t>
  </si>
  <si>
    <t>World Intellectual Property Organization.</t>
  </si>
  <si>
    <t>WIPO Technology Trends 2019 - Artificial Intelligence.</t>
  </si>
  <si>
    <t>TendÃªncias TecnolÃ³gicas 2021 da OMPI - Tecnologia Assistiva Resumo executivo</t>
  </si>
  <si>
    <t>OrganizaÃ§Ã£o Mundial da Propriedade Intelectual.</t>
  </si>
  <si>
    <t>WIPO-Bericht Technologische Trends 2021 Zusammenfassung : AssistenzÂ­ technologien.</t>
  </si>
  <si>
    <t>Weltorganisation fÃ¼r geistiges Eigentum (WIPO)</t>
  </si>
  <si>
    <t>Informe de la OMPI sobre tendencias de la tecnologÃ­a en 2021 - Resumen : TecnologÃ­a de apoyo.</t>
  </si>
  <si>
    <t>Rapport de lâ€™OMPI sur les tendances technologiques en 2021 - RÃ©sumÃ© : Technologies d'assistance.</t>
  </si>
  <si>
    <t>WIPO Technology Trends 2021 - Assistive Technology Executive Summary</t>
  </si>
  <si>
    <t>WIPO Technology Trends 2021- Assistive Technology.</t>
  </si>
  <si>
    <t>ClasificaciÃ³n Internacional de Patentes (CIP)</t>
  </si>
  <si>
    <t>Classification internationale des brevets (CIB)</t>
  </si>
  <si>
    <t>International Patent Classification (IPC)</t>
  </si>
  <si>
    <t>WIPO Patent Drafting Manual</t>
  </si>
  <si>
    <t>COVID-19-related Vaccines and Therapeutics: Preliminary Insights on Related Patenting Activity During the Pandemic</t>
  </si>
  <si>
    <t>Patent Landscape Report: Hydrogen Fuel Cells in Transportation.</t>
  </si>
  <si>
    <t>Trattato di Cooperazione in Materia di Brevetti (PCT).</t>
  </si>
  <si>
    <t>Tratado de CooperaÃ§Ã£o em MatÃ©ria de Patentes (PCT)</t>
  </si>
  <si>
    <t>Vertrag Ã¼ber die internationale Zusammenarbeit auf dem Gebiet des Patentwesens (PCT).</t>
  </si>
  <si>
    <t>Tratado de CooperaciÃ³n en Materia de Patentes (PCT) : Reglamento del PCT (texto en vigor desde el 1 de julio de 2022)</t>
  </si>
  <si>
    <t>TraitÃ© de CoopÃ©ration en MatiÃ¨re de Brevets (PCT) : RÃ¨glement dâ€™exÃ©cution du PCT (texte en vigueur Ã  partir du 1er juillet 2022)</t>
  </si>
  <si>
    <t>Patent Cooperation Treaty (PCT): Regulations Under the PCT (as in Force From July 1, 2022)</t>
  </si>
  <si>
    <t>WIPO Guide to Using Patent Information.</t>
  </si>
  <si>
    <t>Patent Landscape Report: Graphite and Its Applications.</t>
  </si>
  <si>
    <t>Patent Landscape Report - Production of Titanium and Titanium Dioxide From Ilmenite and Related Applications.</t>
  </si>
  <si>
    <t>The Global Gender Gap in Innovation and Creativity: An International Comparison of the Gender Gap in Global Patenting Over Two Decades.</t>
  </si>
  <si>
    <t>World Intellectual Property Organization-AlemÃ¡n, Marco</t>
  </si>
  <si>
    <t>Guide d'Utilisation de la Classification Internationale des Brevets (2023).</t>
  </si>
  <si>
    <t>Guide to the International Patent Classification (2023).</t>
  </si>
  <si>
    <t>COVID-19 Vaccines and Therapeutics: Insights on Related Patenting Activity Throughout the Pandemic.</t>
  </si>
  <si>
    <t>COVID-19, Innovative Firms and Resilience: Economic Research Working Paper No. 73.</t>
  </si>
  <si>
    <t>Battisti, Michele-Belloc, Filippo-Del Gatto, Massimo-World Intellectual Property Organization</t>
  </si>
  <si>
    <t>WIPO Collection of Leading Judgments on Intellectual Property Rights: Peopleâ€™s Republic of China (2011â€“2018) ä¸–ç•ŒçŸ¥è¯†äº§æƒç»„ç»‡çŸ¥è¯†äº§æƒå…¸åž‹æ¡ˆä¾‹é›† ä¸­åŽäººæ°‘å…±å’Œå›½å·ï¼ˆ2011â€“2018ï¼‰</t>
  </si>
  <si>
    <t>World Intellectual Property Organization-Supreme People's Court of the People's Republic of China-ä¸–ç•ŒçŸ¥è¯†äº§æƒç»„ç»‡</t>
  </si>
  <si>
    <t>GuÃ­a sobre el arbitraje de la OMPI.</t>
  </si>
  <si>
    <t>OrganizaciÃ³n Mundial de la Propiedad Intelectual-Arbitration-Mediation Center</t>
  </si>
  <si>
    <t>Guide de lâ€™arbitrage de lâ€™OMPI.</t>
  </si>
  <si>
    <t>Organisation Mondiale de la PropriÃ©tÃ© Intellectuelle-Arbitration-Mediation Center</t>
  </si>
  <si>
    <t>Guide to WIPO Arbitration</t>
  </si>
  <si>
    <t>World Intellectual Property Organization-Arbitration-Mediation Center</t>
  </si>
  <si>
    <t>Mecanismos de soluciÃ³n extrajudicial de controversias utilizados por las empresas en controversias de derecho de autor en el entorno digital : Resumen.</t>
  </si>
  <si>
    <t>Modes extrajudiciaires de rÃ¨glement des litiges entre entreprises en matiÃ¨re de droit dâ€™auteur et de contenu numÃ©rique : RÃ©sumÃ©.</t>
  </si>
  <si>
    <t>Alternative Dispute Resolution Mechanisms for Business-to-Business Digital Copyright and Content-Related Disputes: Executive Summary.</t>
  </si>
  <si>
    <t>Mecanismos de soluciÃ³n alternativa de controversias entre empresas en materia de derechos de autor y contenido digital : Informe sobre los resultados de la encuesta OMPI-MCST</t>
  </si>
  <si>
    <t>Modes extrajudiciaires de rÃ¨glement des litiges entre entreprises en matiÃ¨re de droit dâ€™auteur et de contenu numÃ©rique : Rapport sur les rÃ©sultats de lâ€™enquÃªte OMPI-MCST.</t>
  </si>
  <si>
    <t>Alternative Dispute Resolution Mechanisms for Business-to-Business Digital Copyright- and Content-Related Disputes: A Report on the Results of the WIPOâ€“MCST Survey.</t>
  </si>
  <si>
    <t>WIPO Mediations-, Schiedsgerichts-, Beschleunigte Schiedsgerichtsund Gutachterregeln sowie Vertragsklauseln</t>
  </si>
  <si>
    <t>Weltorganisation fÃ¼r Geistiges Eigentum-WIPO Schiedsgerichts- und Mediationszentrum</t>
  </si>
  <si>
    <t>Reglamentos de MediaciÃ³n, Arbitraje, Arbitraje Acelerado y DecisiÃ³n de Experto y ClÃ¡usulas de la OMPI</t>
  </si>
  <si>
    <t>OrganizaciÃ³n Mundial de la Propiedad Intelectual-Centro de Arbitraje y MediaciÃ³n</t>
  </si>
  <si>
    <t>RÃ¨glements de mÃ©diation, d'arbitrage, d'arbitrage accÃ©lÃ©rÃ© et de procÃ©dure d'expertise et Clauses de l'OMPI</t>
  </si>
  <si>
    <t>Organisation Mondiale de la PropriÃ©tÃ© Intellectuelle-WIPO Arbitration Center</t>
  </si>
  <si>
    <t>WIPO Mediation, Arbitration, Expedited Arbitration and Expert Determination Rules and Clauses.</t>
  </si>
  <si>
    <t>World Intellectual Property Organization.-WIPO Arbitration Center</t>
  </si>
  <si>
    <t>Reglamentos de MediaciÃ³n, Arbitraje, Arbitraje Acelerado y DecisiÃ³n de Experto y ClÃ¡usulas de la OMPI.</t>
  </si>
  <si>
    <t>BUSINESS &amp; ECONOMICS / Conflict Resolution &amp; Mediation</t>
  </si>
  <si>
    <t>RÃ¨glements de MÃ©diation, d'Arbitrage, d'Arbitrage AccÃ©lÃ©rÃ© et de ProcÃ©dure d'Expertise et Clauses de l'OMPI.</t>
  </si>
  <si>
    <t>WIPO Mediation, Arbitration, Expedited Arbitration and Expert Determination Rules and Clauses - Alternative Dispute Resolution</t>
  </si>
  <si>
    <t>World Intellectual Property Organization-WIPO Arbitration Center</t>
  </si>
  <si>
    <t>Guide to WIPO's Services for Country Code Top-level Domain Registries</t>
  </si>
  <si>
    <t>Opciones de ADR de la OMPI para la GestiÃ³n y SoluciÃ³n de Controversias en el Ã¡mbito de las Ciencias de la vida</t>
  </si>
  <si>
    <t>Modes Extrajudiciaires de RÃ¨glement des Litiges ProposÃ©s par lâ€™OMPI dans le Domaine des Dciences de la vie.</t>
  </si>
  <si>
    <t>WIPO ADR Options for Life Sciences Dispute Management and Resolution</t>
  </si>
  <si>
    <t>An International Guide to Patent Case Management for Judges</t>
  </si>
  <si>
    <t>Directrices para el uso de las pruebas aportadas por la investigaciÃ³n con el fin de respaldar la formulaciÃ³n de polÃ­ticas</t>
  </si>
  <si>
    <t>Lignes directrices sur lâ€™utilisation des donnÃ©es issues de la recherche dans lâ€™Ã©laboration des politiques</t>
  </si>
  <si>
    <t>Guidelines to Using Evidence From Research to Support Policymaking.</t>
  </si>
  <si>
    <t>MetodologÃ­a para la elaboraciÃ³n de estrategias nacionales de propiedad intelectual</t>
  </si>
  <si>
    <t>MÃ©thodologie pour lâ€™Ã©laboration de stratÃ©gies nationales de propriÃ©tÃ© intellectuelle</t>
  </si>
  <si>
    <t>Methodology for the Development of National Intellectual Property Strategies</t>
  </si>
  <si>
    <t>O que Ã© propriedade intelectual?.</t>
  </si>
  <si>
    <t>Â¿QuÃ© es la propiedad intelectual?</t>
  </si>
  <si>
    <t>Qu'est-ce que la propriÃ©tÃ© intellectuelle?</t>
  </si>
  <si>
    <t>Organisation Mondiale de la PropriÃ©tÃ© Intellectuelle.</t>
  </si>
  <si>
    <t>What Is Intellectual Property?</t>
  </si>
  <si>
    <t>Promover el desarrollo del turismo mediante la propiedad intelectual.</t>
  </si>
  <si>
    <t>OrganizaciÃ³n Mundial de la Propiedad Intelectual-World Tourism Organization</t>
  </si>
  <si>
    <t>Stimuler le dÃ©veloppement du tourisme grÃ¢ce Ã  la propriÃ©tÃ© intellectuelle.</t>
  </si>
  <si>
    <t>Organisation Mondiale de la PropriÃ©tÃ© Intellectuelle-World Tourism Organization</t>
  </si>
  <si>
    <t>Boosting Tourism Development Through Intellectual Property.</t>
  </si>
  <si>
    <t>World Intellectual Property Organization-World Tourism Organization</t>
  </si>
  <si>
    <t>La PI en beneficio de todas las personas : Informe del director general a las Asambleas de la OMPI de 2021.</t>
  </si>
  <si>
    <t>La propriÃ©tÃ© intellectuelle au service de lâ€™intÃ©rÃªt gÃ©nÃ©ral : Rapport du Directeur gÃ©nÃ©ral aux assemblÃ©es 2021 de lâ€™OMPI.</t>
  </si>
  <si>
    <t>IP for the Good of Everyone: Report of the Director General to the 2021 WIPO Assemblies</t>
  </si>
  <si>
    <t>Agenda de la OMPI para el Desarrollo</t>
  </si>
  <si>
    <t>Plan d'action de l'OMPI pour le dÃ©veloppement</t>
  </si>
  <si>
    <t>WIPO Development Agenda</t>
  </si>
  <si>
    <t>Unlocking IP-backed Financing: Country Perspectives: Singapore's Journey.</t>
  </si>
  <si>
    <t>Protecting Your Mobile App: Intellectual Property Solutions.</t>
  </si>
  <si>
    <t>La OMPI y la FinanciaciÃ³n Mediante Activos Intangibles : La IncorporaciÃ³n Progresiva de la FinanciaciÃ³n Mediante Activos Intangibles</t>
  </si>
  <si>
    <t>Lâ€™OMPI et le Financement Garanti par des Actifs Incorporels : Rendre le Financement des Actifs Incorporels Plus Accessible.</t>
  </si>
  <si>
    <t>WIPO and Intangible Asset Finance: Moving Intangible Asset Finance From the Margins to the Mainstream</t>
  </si>
  <si>
    <t>Ein Leitfaden fÃ¼r die wichtigsten WIPO - Dienstleistungen</t>
  </si>
  <si>
    <t>GuÃ­a de los principales servicios de la OMPI</t>
  </si>
  <si>
    <t>Guide des principaux services de l'OMPI</t>
  </si>
  <si>
    <t>A Guide to the Main WIPO Services</t>
  </si>
  <si>
    <t>Blockchain Technologies and IP Ecosystems: A WIPO White Paper.</t>
  </si>
  <si>
    <t>Academia de la OMPI: CatÃ¡logo de programas de enseÃ±anza, formaciÃ³n y fortalecimiento de capacidades 2023.</t>
  </si>
  <si>
    <t>AcadÃ©mie de lâ€™OMPI Programmes dâ€™enseignement, de formation et de perfectionnement 2023.</t>
  </si>
  <si>
    <t>The WIPO Academy Portfolio of Education, Training and Skills Development Programs 2023.</t>
  </si>
  <si>
    <t>WIPO Intellectual Property (IP) and Gender Action Plan: The Role of IP in Support of Women and Girls.</t>
  </si>
  <si>
    <t>Tied In: The Global Network of Local Innovation</t>
  </si>
  <si>
    <t>Miguelez, Ernest. Raffo, Julio-Chacua, Christian-Coda-Zabetta, Massimiliano-Yin, Deyun-Lissoni, Francesco-Tarasconi, Gianluca-World Intellectual Property Organization</t>
  </si>
  <si>
    <t>La geografÃ­a de la innovaciÃ³n: nÃºcleos locales, redes mundiales</t>
  </si>
  <si>
    <t>RÃ©partition gÃ©ographique de lâ€™innovation : pÃ´les de concentration locaux, rÃ©seaux mondiaux</t>
  </si>
  <si>
    <t>World Intellectual Property Report 2019: The Geography of Innovation: Local Hotspots, Global Networks.</t>
  </si>
  <si>
    <t>Green School's Installation of SOURCE Hydropanels in Bali, Indonesia.</t>
  </si>
  <si>
    <t>Ã‰tica e InnovaciÃ³n : Oficina de Ã‰tica Profesional de la OMPI: 10 aÃ±os.</t>
  </si>
  <si>
    <t>Ã‰thique et innovation : DixiÃ¨me anniversaire du Bureau de la dÃ©ontologie de lâ€™OMPI.</t>
  </si>
  <si>
    <t>Ethics and Innovation: 10 Years WIPO Ethics Office</t>
  </si>
  <si>
    <t>World Intellectual Property Organization. Publisher</t>
  </si>
  <si>
    <t>Un enfoque Integrado de Salud, Comercio y PI para Responder a la Pandemia de COVID 19.</t>
  </si>
  <si>
    <t>World Intellectual Property Organization-World Health Organization-World Trade Organization</t>
  </si>
  <si>
    <t>Une Approche IntÃ©grÃ©e de la SantÃ©, du Commerce et de la PropriÃ©tÃ© Intellectuelle pour Faire Face Ã  la PandÃ©mie de COVID-19.</t>
  </si>
  <si>
    <t>An Integrated Health, Trade and IP Approach to Respond to the COVID-19 Pandemic (Update August 30, 2021).</t>
  </si>
  <si>
    <t>World Trade Organization-World Health Organization-World Intellectual Property Organization</t>
  </si>
  <si>
    <t>Promoting Access to Medical Technologies and Innovation - Intersections Between Public Health, Intellectual Property and Trade.</t>
  </si>
  <si>
    <t>Addressing Climate Challenges with Innovation: WIPO GREEN Guide for Youth Roundtables</t>
  </si>
  <si>
    <t>Innovative Technologies Tackling Food Loss.</t>
  </si>
  <si>
    <t>Galanakis, Charis M-Oksen, Peter</t>
  </si>
  <si>
    <t>Global Innovation Index 2020: Who Will Finance Innovation? - Executive Summary.</t>
  </si>
  <si>
    <t>Dutta, Soumitra-Lanvin, Bruno-Wunsch-Vincent, Sacha</t>
  </si>
  <si>
    <t>Ãndice Global de InovaÃ§Ã£o 2020</t>
  </si>
  <si>
    <t>Cornell University.-INSEAD.-World Intellectual Property Organization</t>
  </si>
  <si>
    <t>Global Innovation Index 2020: Who Will Finance Innovation?</t>
  </si>
  <si>
    <t>Dutta, Soumitra-Lanvin, Bruno-Wunsch-Vincent, Sacha-Cornell University-INSEAD-World Intellectual Property Organization</t>
  </si>
  <si>
    <t>Expanding the World Gender-Name Dictionary: WGND 2.0.</t>
  </si>
  <si>
    <t>World Intellectual Property Organization publisher</t>
  </si>
  <si>
    <t>Ãndice Global de InovaÃ§Ã£o.</t>
  </si>
  <si>
    <t>Dutta, Soumitra-Lanvin, Bruno-LeÃ³n, Lorena Rivera-Wunsch-Vincent, Sacha</t>
  </si>
  <si>
    <t>Globaler Innovations- Index.</t>
  </si>
  <si>
    <t>Ãndice Mundial de InnovaciÃ³n 2021</t>
  </si>
  <si>
    <t>Indice mondial de lâ€™innovation 2021</t>
  </si>
  <si>
    <t>Global Innovation Index 2021: Executive Summary.</t>
  </si>
  <si>
    <t>Global Innovation Index 2021: Tracking Innovation Through the COVID-19 Crisis.</t>
  </si>
  <si>
    <t>Dutta, Soumitra-Lanvin, Bruno-Wunsch-Vincent, Sacha-LeÃ³n, Lorena Rivera</t>
  </si>
  <si>
    <t>Ideas emprendedoras : GuÃ­a de propiedad intelectual para empresas emergentes.</t>
  </si>
  <si>
    <t>De lâ€™idÃ©e Ã  lâ€™entreprise : Guide de la propriÃ©tÃ© intellectuelle pour les jeunes entreprises.</t>
  </si>
  <si>
    <t>Enterprising Ideas: A Guide to Intellectual Property for Startups.</t>
  </si>
  <si>
    <t>La OMPI y los Objetivos de Desarrollo Sostenible.</t>
  </si>
  <si>
    <t>Lâ€™OMPI et les objectifs de dÃ©veloppement durable.</t>
  </si>
  <si>
    <t>WIPO and the Sustainable Development Goals.</t>
  </si>
  <si>
    <t>GuÃ­a para elaborar anÃ¡lisis de gÃ©nero a partir de datos sobre innovaciÃ³n y PI.</t>
  </si>
  <si>
    <t>Lignes directrices pour la production dâ€™une analyse par sexe Ã  partir de donnÃ©es sur lâ€™innovation et la propriÃ©tÃ© intellectuelle.</t>
  </si>
  <si>
    <t>Guidelines for Producing Gender Analysis From Innovation and IP Data.</t>
  </si>
  <si>
    <t>Global Innovation Hotspots: Innovation Ecosystems and Catching-up in Developing Countries: Evidence From Shenzhen.</t>
  </si>
  <si>
    <t>Yin, Deyun-Raffo, Julio-Tang, Jie-World Intellectual Property Organization</t>
  </si>
  <si>
    <t>Global Innovation Hotspots: A Case Study of SÃ£o Pauloâ€™s Innovation Ecosystem Local Capabilities and Global Networks.</t>
  </si>
  <si>
    <t>Araujo, Veneziano, Coda-Zabetta, Massimiliano-GarcÃ­a, Renato-Miguelez, Ernest-Raffo, Julio-World Intellectual Property Organization</t>
  </si>
  <si>
    <t>Global Innovation Hotspots: Singapore's Innovation and Entrepreneurship Ecosystem.</t>
  </si>
  <si>
    <t>Wong, Poh Kam-Kwek, William-Lam, Jassmine-Ho, Jia Yi-Ong, Choo Yen-Wei, Yu-World Intellectual Property Organization</t>
  </si>
  <si>
    <t>Informe Mundial Sobre la Propiedad Intelectual en 2022: Resumen : La direcciÃ³n de la innovaciÃ³n.</t>
  </si>
  <si>
    <t>Rapport sur la PropriÃ©tÃ© Intellectuelle dans le Monde 2022: RÃ©sumÃ© : La trajectoire de lâ€™innovation.</t>
  </si>
  <si>
    <t>World Intellectual Property Report 2022: Executive Summary: The Direction of Innovation.</t>
  </si>
  <si>
    <t>Informe Mundial Sobre la Propiedad Intelectual 2022: La DirecciÃ³n de la InnovaciÃ³n</t>
  </si>
  <si>
    <t>Rapport sur la PropriÃ©tÃ© Intellectuelle dans le Monde 2022: La trajectoire de lâ€™innovation</t>
  </si>
  <si>
    <t>World Intellectual Property Report 2022: The Direction of Innovation.</t>
  </si>
  <si>
    <t>Technology Transfer Training Needs and Assessment: Manual and Toolkit</t>
  </si>
  <si>
    <t>Lorenz, Richard</t>
  </si>
  <si>
    <t>Libro sobre TecnologÃ­a EcolÃ³gica 2022 : Resumen</t>
  </si>
  <si>
    <t>Livre sur les Technologies Vertes 2022 : RÃ©sumÃ©.</t>
  </si>
  <si>
    <t>Green Technology Book: Executive Summary</t>
  </si>
  <si>
    <t>Green Technology Book: Solutions for Climate Change Adaptation</t>
  </si>
  <si>
    <t>Ãndice Global de InovaÃ§Ã£o 2022 : Resumo executivo</t>
  </si>
  <si>
    <t>World Intellectual Property Organization, publisher.</t>
  </si>
  <si>
    <t>Globaler Innovations- Index 2022 : Executive Summary</t>
  </si>
  <si>
    <t>Ãndice Mundial de InnovaciÃ³n 2022 : Resumen</t>
  </si>
  <si>
    <t>Indice Mondial de lâ€™Innovation 2022 : RÃ©sumÃ©</t>
  </si>
  <si>
    <t>Global Innovation Index 2022: Executive Summary</t>
  </si>
  <si>
    <t>Global Innovation Index 2022: What Is the Future of Innovation-driven Growth?</t>
  </si>
  <si>
    <t>World Intellectual Property Organization-Dutta, Soumitra-Lanvin, Bruno-Rivera LeÃ³n, Lorena-Wunsch-Vincent, Sacha. Editors</t>
  </si>
  <si>
    <t>Intellectual Property Offices and Sustainable Innovation: Implementing the SDGs in National Intellectual Property Systems</t>
  </si>
  <si>
    <t>Technology and Innovation Support Centers (TISCs) Report 2019: TISCs As a Catalyst for Innovation and Technology Transfer</t>
  </si>
  <si>
    <t>ØªÙ‚Ø±ÙŠØ± Ø¹Ù† Ù…Ø±Ø§ÙƒØ² Ø¯Ø¹Ù… Ø§Ù„ØªÙƒÙ†ÙˆÙ„ÙˆØ¬ÙŠØ§ ÙˆØ§Ù„Ø§Ø¨ØªÙƒØ§Ø± ÙÙŠ Ø¹Ø§Ù… 2020: ØªÙ…ÙƒÙŠÙ† Ø§Ù„Ù…Ø¨ØªÙƒØ±ÙŠÙ† Ø§Ù„Ù…Ø­Ù„ÙŠÙŠÙ† Ù…Ù† Ø§Ø³ØªØºÙ„Ø§Ù„ Ø¥Ù…ÙƒØ§Ù†Ø§ØªÙ‡Ù….</t>
  </si>
  <si>
    <t>Centros de apoyo a la tecnologÃ­a y la innovaciÃ³n (CATI) Informe de 2020: Propiciar la innovaciÃ³n local para sacar partido de su potencia</t>
  </si>
  <si>
    <t>Rapport sur les centres dâ€™appui Ã  la technologie et Ã  lâ€™innovation (CATI) 2020 Permettre aux innovateurs locaux d'exploiter leur potentiel</t>
  </si>
  <si>
    <t>Technology and Innovation Support Centers (TISCs) Report 2020: Enabling Local Innovators to Exploit Their Potential</t>
  </si>
  <si>
    <t>Centros de Apoyo a la TecnologÃ­a y la InnovaciÃ³n (CATI) Informe de 2021 : AcompaÃ±ar a los innovadores locales en el camino que lleva de la investigaciÃ³n al producto</t>
  </si>
  <si>
    <t>Rapport sur les Centres dâ€™Appui Ã  la Technologie et Ã  lâ€™Innovation (CATI) 2021 : Accompagner les innovateurs locaux dans leur parcours, de la recherche au produit.</t>
  </si>
  <si>
    <t>TISCs and TTOs Report 2022: Strengthening Local Innovation Capacities to Accelerate Knowledge and Technology Transfer</t>
  </si>
  <si>
    <t>GuÃ­a para diseÃ±ar una encuesta sobre PI</t>
  </si>
  <si>
    <t>Lignes Directrices pour la Conception dâ€™une enquÃªte sur la PropriÃ©tÃ© Intellectuelle</t>
  </si>
  <si>
    <t>Guidelines for Designing an IP Survey</t>
  </si>
  <si>
    <t>La beautÃ© est dans la forme : initiation aux dessins et modÃ¨les industriels pour les petites et moyennes entreprises</t>
  </si>
  <si>
    <t>Looking Good: an Introduction to Industrial Designs for Small and Medium-sized Enterprises</t>
  </si>
  <si>
    <t>Sistema de La Haya para el Registro Internacional de Dibujos y Modelos Industriales</t>
  </si>
  <si>
    <t>Le systÃ¨me de La Haye concernant l'enregistrement international des dessins et modÃ¨les industriels.</t>
  </si>
  <si>
    <t>Records of the Diplomatic Conference for the Adoption of a New Act of the Lisbon Agreement for the Protection of Appellations of Origin and Their International Registration - 2015</t>
  </si>
  <si>
    <t>Principales disposiciones y ventajas del Acta de Ginebra del Arreglo de Lisboa (2015)</t>
  </si>
  <si>
    <t>Principales dispositions et avantages de lâ€™Acte de GenÃ¨ve de lâ€™Arrangement de Lisbonne (2015)</t>
  </si>
  <si>
    <t>Main Provisions and Benefits of the Geneva Act of the Lisbon Agreement (2015).</t>
  </si>
  <si>
    <t>Las indicaciones geogrÃ¡ficas: IntroducciÃ³n, 2.Âª ediciÃ³n</t>
  </si>
  <si>
    <t>Indications gÃ©ographiques: Introduction, deuxiÃ¨me Ã©dition</t>
  </si>
  <si>
    <t>Geographical Indications: An Introduction</t>
  </si>
  <si>
    <t>How to Make a Living From Music: A Training Tool</t>
  </si>
  <si>
    <t>Stopps, David</t>
  </si>
  <si>
    <t>Batman Forever? The Economics of Overlapping Rights</t>
  </si>
  <si>
    <t>Cuntz, Alexander-Kaiser, Franziska</t>
  </si>
  <si>
    <t>Grand Rights and Opera Reuse Today</t>
  </si>
  <si>
    <t>Cuntz, Alexander-World Intellectual Property Organization</t>
  </si>
  <si>
    <t>Exclusive Content and Platform Competition in Latin America</t>
  </si>
  <si>
    <t>Cuntz, Alexander-Bergquist, Kyle</t>
  </si>
  <si>
    <t>COVID-19 Impact on Artistic Income</t>
  </si>
  <si>
    <t>Cuntz, Alexander-Sahli, Matthias</t>
  </si>
  <si>
    <t>Intermediary Liability and Trade in Follow-on Innovation</t>
  </si>
  <si>
    <t>From Paper to Platform: Publishing, Intellectual Property and the Digital Revolution</t>
  </si>
  <si>
    <t>Bammel, Jens</t>
  </si>
  <si>
    <t>Mastering the Game: Business and Legal Issues for Video Game Developers - A Training Tool</t>
  </si>
  <si>
    <t>Greenspan, David-Dimita, Gaetano-Boyd, S. Gregory-Rizzi, Andrea</t>
  </si>
  <si>
    <t>From Script to Screen: Copyright for Audiovisual Industry Professionals - A Training Tool</t>
  </si>
  <si>
    <t>Aft, Rob H-World Intellectual Property Organization</t>
  </si>
  <si>
    <t>Rights, Camera, Action! IP Rights and the Film-Making Process, 2nd Edition</t>
  </si>
  <si>
    <t>Moullier, Bertrand-World Intellectual Property Organization</t>
  </si>
  <si>
    <t>Collective Management of Copyright and Related Rights. Third Edition</t>
  </si>
  <si>
    <t>IP Assets and Film Finance - a Primer on Standard Practices in the U.S.: Economic Research Working Paper No. 74.</t>
  </si>
  <si>
    <t>Cuntz, Alexander-Muscarnera, Alessio-Oguguo, Prince C-Sahli, Matthias</t>
  </si>
  <si>
    <t>ExpresiÃ³n creativa : IntroducciÃ³n al derecho de autor y los derechos conexos para las pequeÃ±as y medianas empresas</t>
  </si>
  <si>
    <t>Creative Expression: An Introduction to Copyright and Related Rights for Small and Medium-sized Enterprises</t>
  </si>
  <si>
    <t>Collective Management of Text and Image-Based Works.</t>
  </si>
  <si>
    <t>Digitization and Availability of Artworks in Online Museum Collections: Economic Research Working Paper No. 75/2023</t>
  </si>
  <si>
    <t>Cuntz, Alexander-Heald, Paul J-Sahli, Matthias</t>
  </si>
  <si>
    <t>Nicht am Ende mit dem Latein</t>
  </si>
  <si>
    <t>Brigitta Schmid PfÃ¤ndler-Michael Fieger</t>
  </si>
  <si>
    <t>Warsztaty z Geografii Turyzmu t. 13 â€žTurystyka w badaniach podstawowychâ€</t>
  </si>
  <si>
    <t>TRAVEL / General</t>
  </si>
  <si>
    <t>WpÅ‚yw korupcji na podstawowe zmienne makroekonomiczne na przykÅ‚adzie paÅ„stw europejskich</t>
  </si>
  <si>
    <t>Anna Maria Pluskota</t>
  </si>
  <si>
    <t>Aus dem evangelischen Pfarrhaus in Lodz und Umgebung. Die Literatur der evangelisch-augsburgischen Dichterpfarrer 1839-1939. Eine kommentierte Anthologie</t>
  </si>
  <si>
    <t>Monika Kucner</t>
  </si>
  <si>
    <t>Formy mocarstwowoÅ›ci we wspÃ³Å‚czesnym Å›wiecie â€“ studium przypadkÃ³w</t>
  </si>
  <si>
    <t>Magdalena Marczuk-Karbownik-Karol Å»akowski</t>
  </si>
  <si>
    <t>Wprowadzenie do analizy wariancji z czynnikami losowymi</t>
  </si>
  <si>
    <t>Katarzyna Grzeszkiewicz-Radulska</t>
  </si>
  <si>
    <t>Human-Centred Autonomous Shipping</t>
  </si>
  <si>
    <t>Margareta LÃ¼tzhÃ¶ft-Jonathan Earthy</t>
  </si>
  <si>
    <t>The Psychology of Collective Narcissism</t>
  </si>
  <si>
    <t>Agnieszka Golec De Zavala</t>
  </si>
  <si>
    <t>Effective Use of Collective Peer Teaching in Teacher Education</t>
  </si>
  <si>
    <t>Rolf K Baltzersen</t>
  </si>
  <si>
    <t>Supply Chain Operations in the Arctic</t>
  </si>
  <si>
    <t>Antonina Tsvetkova-Konstantin Timoshenko</t>
  </si>
  <si>
    <t>Digital Platforms and the Global South</t>
  </si>
  <si>
    <t>Philippe Bouquillion-Christine Ithurbide-Tristan Mattelart</t>
  </si>
  <si>
    <t>Maritime Ports, Supply Chains and Logistics Corridors</t>
  </si>
  <si>
    <t>Cyrille Bertelle-Nathan Gouin-Antoine FrÃ©mont</t>
  </si>
  <si>
    <t>Mediterranean in Dis/order</t>
  </si>
  <si>
    <t>Rosita Di Peri-Daniel Meier</t>
  </si>
  <si>
    <t>Floundering Stability</t>
  </si>
  <si>
    <t>Amir Magdy Kamel</t>
  </si>
  <si>
    <t>Portus, investigaciones geoarqueolÃ³gicas en el muelle este-oeste</t>
  </si>
  <si>
    <t>Javier Bermejo MelÃ©ndez-Juan M. Campos Carrasco-Renato Sebastiani</t>
  </si>
  <si>
    <t>Engineering Innovations Vol. 7</t>
  </si>
  <si>
    <t>Afrooz Barnoush-Elena Gordo OdÃ©riz-Dong Keon Kim-Yurii Otrosh-Omar S. Dahham-Manoj A. Kumbhalkar</t>
  </si>
  <si>
    <t>Mobilities, Social Change and Crime</t>
  </si>
  <si>
    <t>Konrad Buczkowski-Paulina Wiktorska</t>
  </si>
  <si>
    <t>Bluefield Housing As Alternative Infill for the Suburbs</t>
  </si>
  <si>
    <t>Damian Madigan</t>
  </si>
  <si>
    <t>MetodologÃ­a fÃ­sico-recreativa Vs uso excesivo de la tecnologÃ­a en el aprovechamiento del tiempo libre de los estudiantes de la educaciÃ³n bÃ¡sica</t>
  </si>
  <si>
    <t>PaÃºl Lorenzo MuÃ±oz Andrade-Cindy Tatiana Bucaran Intriago-Elsa Marlene De La Cruz Morales-Jhon Fabricio Zambrano Zambrano-Kleire Enrique Saltos LÃ³pez</t>
  </si>
  <si>
    <t>Blackbird</t>
  </si>
  <si>
    <t>Katie Kapurch-Jon Marc Smith</t>
  </si>
  <si>
    <t>Transparent Minds in Science Fiction</t>
  </si>
  <si>
    <t>FICTION / Science Fiction / General</t>
  </si>
  <si>
    <t xml:space="preserve"> Paul Matthews</t>
  </si>
  <si>
    <t>Human Security and Empowerment in Asia</t>
  </si>
  <si>
    <t>Mely Caballero-Anthony-Yoichi Mine-Sachiko Ishikawa</t>
  </si>
  <si>
    <t>Religious Enlightenment in the Eighteenth-century Nordic Countries</t>
  </si>
  <si>
    <t>Johannes Ljungberg-Erik Sidenvall</t>
  </si>
  <si>
    <t>Entgrenzungen</t>
  </si>
  <si>
    <t>Alisha M. B. Heinemann-Yasemin KarakaÅŸoÄŸlu-Tobias Linnemann-Nadine Rose-Tanja Sturm</t>
  </si>
  <si>
    <t>MINT-Bildung im Primarbereich â€“ QualitÃ¤t im Unterricht zu MINT-Themen stÃ¤rken</t>
  </si>
  <si>
    <t>Raising the Nation</t>
  </si>
  <si>
    <t>Paul Lindley</t>
  </si>
  <si>
    <t>International Cooperation, Competition Authorities and Transnational Networks</t>
  </si>
  <si>
    <t>LAW / Commercial / International Trade</t>
  </si>
  <si>
    <t>Mateusz BÅ‚achucki</t>
  </si>
  <si>
    <t>The Persistence of Dance</t>
  </si>
  <si>
    <t>Erin Brannigan</t>
  </si>
  <si>
    <t>Poetry, History, Memory</t>
  </si>
  <si>
    <t>Zhiyi Yang</t>
  </si>
  <si>
    <t>The Forestry &amp; Wood Sector and Climate Change Mitigation</t>
  </si>
  <si>
    <t>Shaping Modern Liberalism</t>
  </si>
  <si>
    <t>Edward A. Stettner</t>
  </si>
  <si>
    <t>The Learning of Liberty</t>
  </si>
  <si>
    <t>Lorraine Smith Pangle-Thomas L. Pangle</t>
  </si>
  <si>
    <t>Multiculturalism and American Democracy</t>
  </si>
  <si>
    <t>Arthur M. Melzer-Jerry Weinberger-M. Richard Zinman</t>
  </si>
  <si>
    <t>Harry H. Woodring</t>
  </si>
  <si>
    <t>Keith D. McFarland</t>
  </si>
  <si>
    <t>The Idea of Democracy in the Modern Era</t>
  </si>
  <si>
    <t>Ralph Ketcham</t>
  </si>
  <si>
    <t>Ike's Letters to a Friend, 1941-1958</t>
  </si>
  <si>
    <t>Robert W. Griffith</t>
  </si>
  <si>
    <t>The Johnson Years, Volume Two</t>
  </si>
  <si>
    <t>Robert A. Divine</t>
  </si>
  <si>
    <t>Thomas Hobbes and Political Theory</t>
  </si>
  <si>
    <t>Mary G. Dietz</t>
  </si>
  <si>
    <t>Kansas Populism</t>
  </si>
  <si>
    <t>O. Gene Clanton</t>
  </si>
  <si>
    <t>The Development of Rural America</t>
  </si>
  <si>
    <t>George Brinkman</t>
  </si>
  <si>
    <t>Gravity, Cosmology, and Astrophysics</t>
  </si>
  <si>
    <t>Betti Hartmann-Jutta Kunz-Jocelyn Bell Burnell</t>
  </si>
  <si>
    <t>The Routledge History of Fashion and Dress, 1800 to the Present</t>
  </si>
  <si>
    <t>Veronique Pouillard-Vincent DubÃ©-SenÃ©cal</t>
  </si>
  <si>
    <t>Technology, Policy, and Inclusion</t>
  </si>
  <si>
    <t>Anjal Prakash-Aarushi Jain-Puran Singh-Avik Sarkar</t>
  </si>
  <si>
    <t>Women and Inequality in a Changing World</t>
  </si>
  <si>
    <t>Hoda Mahmoudi-Jane L. Parpart-Kate Seaman</t>
  </si>
  <si>
    <t>Paris and the Art of Transposition</t>
  </si>
  <si>
    <t>Angie Chau</t>
  </si>
  <si>
    <t>Revolt Against Modernity</t>
  </si>
  <si>
    <t>Ted V. McAllister</t>
  </si>
  <si>
    <t>Nontimber Forest Products in the United States</t>
  </si>
  <si>
    <t>Eric T. Jones-Rebecca J. McLain-James Weigand</t>
  </si>
  <si>
    <t>The Roosevelt Foreign-Policy Establishment and the "Good Neighbor"</t>
  </si>
  <si>
    <t>Randall Bennett Woods</t>
  </si>
  <si>
    <t>Randolph Bourne and the Politics of Cultural Radicalism</t>
  </si>
  <si>
    <t>Leslie J. Vaughan</t>
  </si>
  <si>
    <t>The Sex Radicals</t>
  </si>
  <si>
    <t>Hal D. Sears</t>
  </si>
  <si>
    <t>Forrest McDonald-Ellen Shapiro</t>
  </si>
  <si>
    <t>A Preface to American Political Theory</t>
  </si>
  <si>
    <t>Donald S. Lutz</t>
  </si>
  <si>
    <t>The Urban West at the End of the Frontier</t>
  </si>
  <si>
    <t>Lawrence H. Larsen</t>
  </si>
  <si>
    <t>Bull Threshers and Bindlestiffs</t>
  </si>
  <si>
    <t>HISTORY / United States / State &amp; Local / Midwest (IA, IL, IN, KS, MI, MN, MO, ND, NE, OH, SD, WI)</t>
  </si>
  <si>
    <t>Thomas D. Isern</t>
  </si>
  <si>
    <t>The Truman White House</t>
  </si>
  <si>
    <t>Francis H. Heller</t>
  </si>
  <si>
    <t>Lady Bird Johnson and the Environment</t>
  </si>
  <si>
    <t>Lewis L. Gould</t>
  </si>
  <si>
    <t>The Dance with Community</t>
  </si>
  <si>
    <t>Robert Booth Fowler</t>
  </si>
  <si>
    <t>Enduring Liberalism</t>
  </si>
  <si>
    <t>Walt Whitman's Western Jaunt</t>
  </si>
  <si>
    <t>Walter H. Eitner</t>
  </si>
  <si>
    <t>Redystrybucja dochodÃ³w w Å›wiecie nierÃ³wnoÅ›ci</t>
  </si>
  <si>
    <t>Anna Krajewska, Piotr Krajewski, Katarzyna PiÅ‚at</t>
  </si>
  <si>
    <t>Contemporary Challenges of Spatial Planning in Tourism Destinations</t>
  </si>
  <si>
    <t>Tomasz NapieraÅ‚a, Katarzyna LeÅ›niewska-NapieraÅ‚a, Giancarlo Cotella</t>
  </si>
  <si>
    <t>Krajowa Konferencja EkoBioTox - Znaczenie ekotoksykologii, bioindykacji, biodegradacji w identyfikacji i rozwiÄ…zywaniu problemÃ³w Å›rodowiskowych w dobie antropocenu i zmiany klimatu od skali molekularnej do krajobrazowej</t>
  </si>
  <si>
    <t>praca zbiorowa</t>
  </si>
  <si>
    <t>Standing finansowy a zrÃ³wnowaÅ¼ony rozwÃ³j przedsiÄ™biorstw w Polsce. Badania sektorowe</t>
  </si>
  <si>
    <t>Magdalena Kowalska</t>
  </si>
  <si>
    <t>PrzedsiÄ™biorczoÅ›Ä‡ akademicka â€“ istota, znaczenie, uwarunkowania rozwoju</t>
  </si>
  <si>
    <t>Dorota Åochnicka</t>
  </si>
  <si>
    <t>Routledge International Handbook of Participatory Approaches in Ageing Research</t>
  </si>
  <si>
    <t>Anna Urbaniak-Anna Wanka</t>
  </si>
  <si>
    <t>New Perspectives on Educational Resources</t>
  </si>
  <si>
    <t>Karl Christian Alvestad-Kari H. Nordberg-Hege Roll-Hansen</t>
  </si>
  <si>
    <t>Quipus and Witches' Knots</t>
  </si>
  <si>
    <t>Cyrus Lawrence Day</t>
  </si>
  <si>
    <t>Life at Four Corners</t>
  </si>
  <si>
    <t>Carol K. Coburn</t>
  </si>
  <si>
    <t>Timber and the Forest Service</t>
  </si>
  <si>
    <t>David A. Clary</t>
  </si>
  <si>
    <t>The United States and the Development of the Puerto Rican Status Question, 1936-1968</t>
  </si>
  <si>
    <t>Surendra Bhana</t>
  </si>
  <si>
    <t>In Search of Canaan</t>
  </si>
  <si>
    <t>Robert G. Athearn</t>
  </si>
  <si>
    <t>Adam Simpson-Nicholas Farrelly</t>
  </si>
  <si>
    <t>States, Human Rights, and Distant Strangers</t>
  </si>
  <si>
    <t>Angela MÃ¼ller</t>
  </si>
  <si>
    <t>Urban Planning During Socialism</t>
  </si>
  <si>
    <t>Jasna Mariotti-Kadri Leetmaa</t>
  </si>
  <si>
    <t>Revelation and Material Religion in the Roman East</t>
  </si>
  <si>
    <t>Nathan Leach-Daniel Charles Smith-Tony Keddie</t>
  </si>
  <si>
    <t>Early Childhood Language Education and Literacy Practices in Ethiopia</t>
  </si>
  <si>
    <t>Kassahun Weldemariam-Margareth Sandvik-Moges Yigezu</t>
  </si>
  <si>
    <t>Arts-Based Interventions and Social Change in Europe</t>
  </si>
  <si>
    <t>Andrea KÃ¡rpÃ¡ti</t>
  </si>
  <si>
    <t>Kapitoly z matematickÃ© ekonomie</t>
  </si>
  <si>
    <t>Stoklasa Jan</t>
  </si>
  <si>
    <t>BezpeÄnost v kontextu osob se specifickÃ½mi potÅ™ebami</t>
  </si>
  <si>
    <t>AdÃ©la HanÃ¡kovÃ¡-Eva UrbanovskÃ¡-Tereza HrudovÃ¡-et al.</t>
  </si>
  <si>
    <t>DELUS. The Journal of the Institute of Landscape and Urban Studies</t>
  </si>
  <si>
    <t>Johanna Just-Sara Frikech</t>
  </si>
  <si>
    <t>Over the Atlantic</t>
  </si>
  <si>
    <t>Paulina Astroza Suarez-Giuliana Laschi-Nahuel Oddone-Mario Torres Jarrin</t>
  </si>
  <si>
    <t>Unruly Ideas</t>
  </si>
  <si>
    <t>HISTORY / Africa / Central</t>
  </si>
  <si>
    <t>Nicole Eggers</t>
  </si>
  <si>
    <t>Vocabularies for an Urbanising Planet: Theory Building Through Comparison</t>
  </si>
  <si>
    <t>Christian Schmid-Monika Streule</t>
  </si>
  <si>
    <t>Vulnerability and Resilience to Violent Extremism</t>
  </si>
  <si>
    <t>Juline Beaujouan-Veronique Dudouet-Maja Halilovic-Pastuovic-Johanna-Maria HÃ¼lzer-Marie Kortam-Amjed Rasheed</t>
  </si>
  <si>
    <t>GuÃ­a para la elaboraciÃ³n de trabajos fin de grado y trabajos fin de mÃ¡ster en psicologÃ­a y ciencias afines. Volumen 2</t>
  </si>
  <si>
    <t>PSYCHOLOGY / Education, Training &amp; Supervision</t>
  </si>
  <si>
    <t>DomÃ­nguez-Salas, Sara (Coordinador)-ResurrecciÃ³n, Davinia M. (Coordinador)-RodrÃ­guez-DomÃ­nguez, Carmen (Coordinador)</t>
  </si>
  <si>
    <t>MetodologÃ­as activas e innovaciÃ³n docente para una educaciÃ³n de calidad.</t>
  </si>
  <si>
    <t>Persona y sostenibilidad ecolÃ³gica.</t>
  </si>
  <si>
    <t>Declercq, Catherine (Editor)-Sanz-Bas, David (Editor)</t>
  </si>
  <si>
    <t>Libro de actas. III Congreso Internacional de Afammer. SecciÃ³n cientÃ­fica â€œmujer y medio ruralâ€.</t>
  </si>
  <si>
    <t>AFAMMER</t>
  </si>
  <si>
    <t>Discursos supranacionales y estudios comparados sobre la profesionalizaciÃ³n docente.</t>
  </si>
  <si>
    <t>Valle, Javier M. (Coordinador)-Matarranz, MarÃ­a (Coordinador)</t>
  </si>
  <si>
    <t>Cubriendo la ira social y polÃ­tica en el mundo Ã¡rabe. La prensa espaÃ±ola y la mediaciÃ³n de las movilizaciones de la primavera Ã¡rabe</t>
  </si>
  <si>
    <t>Irakrak, Nasma</t>
  </si>
  <si>
    <t>Inflexiones vitales. Trayectorias familiares y cursos de vida en EspaÃ±a (siglos XVII-XX).</t>
  </si>
  <si>
    <t>Hidalgo FernÃ¡ndez, Francisco (Editor)-Maldonado Cid, Daniel (Editor)</t>
  </si>
  <si>
    <t>TeorÃ­as cognitivas entre el mundo Ã¡rabe e islÃ¡mico y Occidente.. Retos de la comunicaciÃ³n y barreras a la interacciÃ³n</t>
  </si>
  <si>
    <t>Nuevas tendencias en gestiÃ³n e innovaciÃ³n empresarial. AdaptaciÃ³n a los nuevos escenarios globales y domÃ©sticos.</t>
  </si>
  <si>
    <t>PÃ©rez Calle, Ricardo (Coordinador)</t>
  </si>
  <si>
    <t>Pueblos y culturas de la prehistoria a la actualidad.</t>
  </si>
  <si>
    <t>Caminos de reflexiÃ³n y pensamiento: anÃ¡lisis desde la filosofÃ­a hasta los ODS.</t>
  </si>
  <si>
    <t>BermÃºdez VÃ¡zquez, Manuel (Coordinador)</t>
  </si>
  <si>
    <t>Equilibrio social: perspectivas de anÃ¡lisis y mejora para las sociedades del siglo XXI.</t>
  </si>
  <si>
    <t>BermÃºdez VÃ¡zquez, Manuel (Coordinador)-Chaves Montero, Alfonso (Coordinador)</t>
  </si>
  <si>
    <t>Convergencia mediÃ¡tica: nuevos escenarios, nuevas perspectivas.</t>
  </si>
  <si>
    <t>Moya LÃ³pez, Daniel (Coordinador)</t>
  </si>
  <si>
    <t>La innovaciÃ³n en el Ã¡mbito socioeducativo a travÃ©s de las tecnologÃ­as y la atenciÃ³n a la diversidad.</t>
  </si>
  <si>
    <t>Vico Bosh, Alba (Coordinador)-Vega Caro, Luisa (Coordinador)</t>
  </si>
  <si>
    <t>Escuela digital y nuevas competencias docentes.</t>
  </si>
  <si>
    <t>RenovaciÃ³n pedagÃ³gica y formaciÃ³n del profesorado en competencias para una educaciÃ³n sostenible.</t>
  </si>
  <si>
    <t>Rethinking Infrastructure Across the Humanities</t>
  </si>
  <si>
    <t>Aaron Pinnix-Axel Volmar-Fernando Esposito-Nora Binder</t>
  </si>
  <si>
    <t>Hegels Phantasie</t>
  </si>
  <si>
    <t>Ekaterina Vassilevski</t>
  </si>
  <si>
    <t>Salvaging Buildings</t>
  </si>
  <si>
    <t>Erdogan Onur Ceritoglu</t>
  </si>
  <si>
    <t>Mixing Methods</t>
  </si>
  <si>
    <t>Birgit Schneider-Beate LÃ¶ffler-Tino Mager-Carola Hein</t>
  </si>
  <si>
    <t>ChatGPT und andere Â»QuatschmaschinenÂ«</t>
  </si>
  <si>
    <t>Anna Tuschling-Andreas Sudmann-Bernhard J. Dotzler</t>
  </si>
  <si>
    <t>Formen der SolidaritÃ¤t</t>
  </si>
  <si>
    <t>Julia Masurkewitz-MÃ¶ller</t>
  </si>
  <si>
    <t>Perspektiven auf Stoffgeschichte</t>
  </si>
  <si>
    <t>Sebastian Haumann-Eva-Maria Roelevink-Nora Thorade-Christian ZumbrÃ¤gel</t>
  </si>
  <si>
    <t>Superhelden im Film</t>
  </si>
  <si>
    <t>Peter Vignold</t>
  </si>
  <si>
    <t>Die Praxis des Nudging</t>
  </si>
  <si>
    <t>Tim Seitz</t>
  </si>
  <si>
    <t>Politiken des (digitalen) Spiels</t>
  </si>
  <si>
    <t>Arno GÃ¶rgen-Tobias Unterhuber</t>
  </si>
  <si>
    <t>UniversitÃ¤t in der Pandemie / L'UniversitÃ© en temps de pandÃ©mie</t>
  </si>
  <si>
    <t>Daniel Kazmaier-Florian Weber</t>
  </si>
  <si>
    <t>Digitale Autor:innenschaft</t>
  </si>
  <si>
    <t>Paul Wolff</t>
  </si>
  <si>
    <t>Ritual seks â€“ Sex als ritueller Akt der Heiligenverehrung</t>
  </si>
  <si>
    <t>Volker Gottowik</t>
  </si>
  <si>
    <t>Selbstoptimierung bis in den Tod</t>
  </si>
  <si>
    <t>Dorothea Mladenova</t>
  </si>
  <si>
    <t>Observing Conflict Escalation in World Society</t>
  </si>
  <si>
    <t>Richard BÃ¶sch</t>
  </si>
  <si>
    <t>Hegemonie und sozialer Wandel</t>
  </si>
  <si>
    <t>Conrad Lluis</t>
  </si>
  <si>
    <t>Reflexionen des stereoskopischen Spielfilms</t>
  </si>
  <si>
    <t>Luisa Feiersinger</t>
  </si>
  <si>
    <t>Landschaft â€“ Performance â€“ Teilhabe</t>
  </si>
  <si>
    <t>Jens Oliver KrÃ¼ger-Wiebke Waburg-Kristin Westphal-Micha Kranixfeld-Barbara Sterzenbach</t>
  </si>
  <si>
    <t>Kritische Polizeiforschung</t>
  </si>
  <si>
    <t>Nadja Maurer-Annabelle MÃ¶hnle-Nils Zurawski</t>
  </si>
  <si>
    <t>Narratives Crossing Boundaries</t>
  </si>
  <si>
    <t>Joachim Friedmann</t>
  </si>
  <si>
    <t>Handbuch Queere Zeitgeschichten I</t>
  </si>
  <si>
    <t>Andrea Rottmann-Benno Gammerl-Martin LÃ¼cke</t>
  </si>
  <si>
    <t>Durable Economies</t>
  </si>
  <si>
    <t>Melanie Jaeger-Erben-Harald Wieser-Max Marwede-Florian Hofmann</t>
  </si>
  <si>
    <t>Arab Berlin</t>
  </si>
  <si>
    <t>Hanan Badr-Nahed Samour</t>
  </si>
  <si>
    <t>Free Variation in Grammar</t>
  </si>
  <si>
    <t>Kristin Kopf-Thilo Weber</t>
  </si>
  <si>
    <t>Lasers in the Conservation of Artworks XIII</t>
  </si>
  <si>
    <t>Salvatore Siano-Daniele Ciofini</t>
  </si>
  <si>
    <t>Broken Bodies, Places and Objects</t>
  </si>
  <si>
    <t>Anna SÃ¶rman-Astrid A. Noterman-Markus FjellstrÃ¶m</t>
  </si>
  <si>
    <t>Visual Citizenship</t>
  </si>
  <si>
    <t>Catherine Bouko</t>
  </si>
  <si>
    <t>Teorie i praktyki komunikacji 2</t>
  </si>
  <si>
    <t>Anna BaraÅ„ska-Szmitko-Anita Filipczak-BiaÅ‚kowska</t>
  </si>
  <si>
    <t>Edukacja i wychowanie dzieci i mÅ‚odzieÅ¼y w czasopiÅ›miennictwie spoÅ‚eczno-kulturalnym KrÃ³lestwa Polskiego w latach 1905â€“1918. Bibliografia adnotowana. CzÄ™Å›Ä‡ 1</t>
  </si>
  <si>
    <t>Japonia wobec kryzysu humanitarnego w Ukrainie: raport OÅ›rodka StudiÃ³w Azjatyckich UÅ i Centrum StudiÃ³w Migracyjnych UÅ</t>
  </si>
  <si>
    <t>Marcin Socha-Marcin GoÅ„da</t>
  </si>
  <si>
    <t>Utile e traducibile 2. Esercizi della traduzione nella glottodidattica italiana</t>
  </si>
  <si>
    <t>Agnieszka Woch-Katarzyna Kowalik-Justyna GrobliÅ„ska</t>
  </si>
  <si>
    <t>Sytuacja dochodowa gospodarstw domowych w wojewÃ³dztwie Å‚Ã³dzkim</t>
  </si>
  <si>
    <t>Alina JÄ™drzejczak-Dorota Pekasiewicz</t>
  </si>
  <si>
    <t>Acercamientos a las poÃ©ticas de Oliverio Girondo: Estudio especÃ­fico sobre un poeta de la vanguardia argentina</t>
  </si>
  <si>
    <t>RozwÃ³j gospodarczy i spoÅ‚eczny republik Kaukazu PoÅ‚udniowego</t>
  </si>
  <si>
    <t>Statelessness in Public Law</t>
  </si>
  <si>
    <t>Dorota Pudzianowska</t>
  </si>
  <si>
    <t>Chinese Macrosecuritization</t>
  </si>
  <si>
    <t>Juha A. Vuori</t>
  </si>
  <si>
    <t>Capital Redefined</t>
  </si>
  <si>
    <t>S. A. Hamed Hosseini-Barry K. Gills</t>
  </si>
  <si>
    <t>Decolonising Political Concepts</t>
  </si>
  <si>
    <t>Valentin ClavÃ©-Mercier-Marie Wuth</t>
  </si>
  <si>
    <t>Book of Abstracts From 22nd AUTEX World Textile Conference</t>
  </si>
  <si>
    <t>In the Service of God and Humanity</t>
  </si>
  <si>
    <t>Tunde Adeleke</t>
  </si>
  <si>
    <t>Proceedings of the Plenary Sessions</t>
  </si>
  <si>
    <t>Emiliano Fiori-Michele Trizio</t>
  </si>
  <si>
    <t>Cultural Exchanges Between Korea and the West</t>
  </si>
  <si>
    <t>Jong-Chol An-Ariane Perrin</t>
  </si>
  <si>
    <t>Il mito degli Atridi dal teatro antico allâ€™epoca contemporanea</t>
  </si>
  <si>
    <t>Laura Carrara-Rolando Ferri-Enrico Medda</t>
  </si>
  <si>
    <t>Persone, Energie, Futuro</t>
  </si>
  <si>
    <t>Massimiliano Braghin</t>
  </si>
  <si>
    <t>Tre commedie di YaÊ½qÅ«b á¹¢annÅ«Ê½</t>
  </si>
  <si>
    <t>YaÊ¿qÅ«b á¹¢annÅ«Ê¿-Angela Daiana Langone</t>
  </si>
  <si>
    <t>Metafore e linguaggio figurato nel Medioevo e nellâ€™opera di Dante</t>
  </si>
  <si>
    <t>Gaia Tomazzoli</t>
  </si>
  <si>
    <t>Lâ€™arte armena e oltre. Nuovi contributi</t>
  </si>
  <si>
    <t>Aldo Ferrari-Stefano Riccioni-Marco Ruffilli-Beatrice Spampinato</t>
  </si>
  <si>
    <t>Giardini e virtÃ¹ medicinali</t>
  </si>
  <si>
    <t>Sabrina Minuzzi</t>
  </si>
  <si>
    <t>Literatur der (Post-)Migration</t>
  </si>
  <si>
    <t>Marta Rosso-Stefania Sbarra</t>
  </si>
  <si>
    <t>Imperiales esperpentos ibÃ©ricos</t>
  </si>
  <si>
    <t>LITERARY CRITICISM / Short Stories</t>
  </si>
  <si>
    <t>Pedro Santa MarÃ­a de Abreu</t>
  </si>
  <si>
    <t>La necropoli di Opitergium</t>
  </si>
  <si>
    <t>Marta Mascardi-Margherita Tirelli-Maria Cristina Vallicelli</t>
  </si>
  <si>
    <t>Vanishing Sands</t>
  </si>
  <si>
    <t>NATURE / Ecosystems &amp; Habitats / Coastal Regions &amp; Shorelines</t>
  </si>
  <si>
    <t>Orrin H. Pilkey-Norma J. Longo-William J. Neal-Nelson G. Rangel-Buitrago-Keith C. Pilkey-Hannah L. Hayes</t>
  </si>
  <si>
    <t>Multivariate Scaling Methods and the Reconstruction of Social Spaces</t>
  </si>
  <si>
    <t>Alice Barth-Felix LeÃŸke-Rebekka Atakan-Manuela Schmidt-Yvonne Scheit</t>
  </si>
  <si>
    <t>Jahrbuch der berufs- und wirtschaftspÃ¤dagogischen Forschung 2023</t>
  </si>
  <si>
    <t>Promoting Regional Industries Through Cross-Sectoral Collaborations</t>
  </si>
  <si>
    <t>Yuki Kawabata</t>
  </si>
  <si>
    <t>Frontiers of the Roman Empire: The Danube Limes in Austria</t>
  </si>
  <si>
    <t>Andreas Schwarcz-RenÃ© Ployer-David J. Breeze</t>
  </si>
  <si>
    <t>The Fabrication of the Autonomous Learner</t>
  </si>
  <si>
    <t>Judith Hangartner-HÃ©loÃ¯se Durler-Regula Fankhauser-Crispin Girinshuti</t>
  </si>
  <si>
    <t>Are We Not Foreigners Here?</t>
  </si>
  <si>
    <t>Jeffrey M. Schulze</t>
  </si>
  <si>
    <t>Hajj to the Heart</t>
  </si>
  <si>
    <t>Scott Kugle</t>
  </si>
  <si>
    <t>Maternal Bodies</t>
  </si>
  <si>
    <t>Nora Doyle</t>
  </si>
  <si>
    <t>Realizing Islam</t>
  </si>
  <si>
    <t>Zachary Valentine Wright</t>
  </si>
  <si>
    <t>After the Minersâ€™ Strike</t>
  </si>
  <si>
    <t xml:space="preserve"> Paul Farmer-Mark Kilburn</t>
  </si>
  <si>
    <t>Activist New York</t>
  </si>
  <si>
    <t>HISTORY / United States / State &amp; Local / Middle Atlantic (DC, DE, MD, NJ, NY, PA)</t>
  </si>
  <si>
    <t>Steven H. Jaffe</t>
  </si>
  <si>
    <t>Ã‰lÃ©ments d'hydraulique torrentielle</t>
  </si>
  <si>
    <t>Maurice Meunier</t>
  </si>
  <si>
    <t>Sociologie des changements de pratiques en agriculture</t>
  </si>
  <si>
    <t>Claude Compagnone</t>
  </si>
  <si>
    <t>Strategic Management of Agricultural and Life Sciences Research Organisations</t>
  </si>
  <si>
    <t>Les terres agricoles face Ã  lâ€™urbanisation</t>
  </si>
  <si>
    <t>Innovation and Development in Agricultural and Food Systems</t>
  </si>
  <si>
    <t>Into the Woods</t>
  </si>
  <si>
    <t>Diffusion and Transfer of Knowledge in Agriculture</t>
  </si>
  <si>
    <t>Christian Huyghe-Pascal Bergeret-Uno Svedin</t>
  </si>
  <si>
    <t>Nouvelles raisons d'agir des acteurs de la pÃªche et de lâ€™agriculture</t>
  </si>
  <si>
    <t>Parasites et parasitoses des poissons</t>
  </si>
  <si>
    <t>Pierre de Kinkelin-Marc Morand-Ronald Hedrick-Christian Michel</t>
  </si>
  <si>
    <t>StratÃ©gies de publication scientifique</t>
  </si>
  <si>
    <t>Patricia Volland-Nail</t>
  </si>
  <si>
    <t>Le bien-Ãªtre des animaux d'Ã©levage</t>
  </si>
  <si>
    <t>Effets des sons anthropiques sur la faune marine</t>
  </si>
  <si>
    <t>Les cultures fourragÃ¨res</t>
  </si>
  <si>
    <t>Henri-Dominique Klein-Georges Rippstein-Johann Huguenin-Bernard Toutain-Hubert Guerin-Dominique Louppe</t>
  </si>
  <si>
    <t>Production de plants forestiers</t>
  </si>
  <si>
    <t>Christine Argillier-GÃ©rard Falconnet-Jean Gruez</t>
  </si>
  <si>
    <t>Stations forestiÃ¨res</t>
  </si>
  <si>
    <t>NATURE / Plants / General</t>
  </si>
  <si>
    <t>BÃ©nÃ©dicte Boisseau-Daniel Nouals-Christian Ripert</t>
  </si>
  <si>
    <t>Techniques de reboisement</t>
  </si>
  <si>
    <t>Robert Marill</t>
  </si>
  <si>
    <t>Impacts of Plant Protection Products on Biodiversity and Ecosystem Services</t>
  </si>
  <si>
    <t>From Plant Behavior to Plant Intelligence?</t>
  </si>
  <si>
    <t>PHILOSOPHY / Nature</t>
  </si>
  <si>
    <t>Quentin Hiernaux</t>
  </si>
  <si>
    <t>Rationaliser lâ€™usage des mÃ©dicaments en Ã©levage</t>
  </si>
  <si>
    <t>ProtÃ©ger les cultures par la diversitÃ© vÃ©gÃ©tale</t>
  </si>
  <si>
    <t>Jeux de plateau pour lâ€™agriculture et le paysage</t>
  </si>
  <si>
    <t>Stics Soil Crop Model</t>
  </si>
  <si>
    <t>TECHNOLOGY &amp; ENGINEERING / Agriculture / Tropical Agriculture</t>
  </si>
  <si>
    <t>Livestock Grazing Systems and Sustainable Development in the Mediterranean and Tropical Areas</t>
  </si>
  <si>
    <t>Oil Palm Fertilization Guide</t>
  </si>
  <si>
    <t>Bernard Dubos-Xavier Bonneau-Albert Flori</t>
  </si>
  <si>
    <t>L'Institut de lâ€™Ã‰levage</t>
  </si>
  <si>
    <t>Zoonoses</t>
  </si>
  <si>
    <t>GwenaÃ«l Vourcâ€™h-FranÃ§ois Moutou-Serge Morand-Elsa Jourdain</t>
  </si>
  <si>
    <t>Impacts des produits phytopharmaceutiques sur la biodiversitÃ© et les services Ã©cosystÃ©miques</t>
  </si>
  <si>
    <t>Guide pour l'Ã©valuation de l'agroÃ©cologie</t>
  </si>
  <si>
    <t>Evolving the Common Agricultural Policy for Tomorrow's Challenges</t>
  </si>
  <si>
    <t>Sustainable Food Systems for Food Security</t>
  </si>
  <si>
    <t>TECHNOLOGY &amp; ENGINEERING / Agriculture / Urban Farming</t>
  </si>
  <si>
    <t>Les virus marins</t>
  </si>
  <si>
    <t>NATURE / Animals / Marine Life</t>
  </si>
  <si>
    <t>StÃ©phan Jacquet-Anne-Claire Baudoux-Yves Desdevises-Soizick F. Le Guyader</t>
  </si>
  <si>
    <t xml:space="preserve">Les grands lacs </t>
  </si>
  <si>
    <t>Jean-Marcel Dorioz-Orlane Anneville-Isabelle Domaizon-ChloÃ© Goulon-Jean Guillard-StÃ©phan Jacquet-Bernard Montuelle-Serena Rasconi-Viet Tran-Khac-Jean-Philippe Jenny</t>
  </si>
  <si>
    <t>TÃ©lÃ©dÃ©tection et modÃ©lisation spatiale</t>
  </si>
  <si>
    <t>Pesticides en viticulture</t>
  </si>
  <si>
    <t>Le moustique, ennemi public nÂ°1 ?</t>
  </si>
  <si>
    <t>HEALTH &amp; FITNESS / Health Care Issues</t>
  </si>
  <si>
    <t>Sylvie Lecollinet-Didier Fontenille-Nonito PagÃ¨s-Anna-Bella Failloux</t>
  </si>
  <si>
    <t>Justice environnementale dans les espaces ruraux en Afrique</t>
  </si>
  <si>
    <t>La fabrique de la ville en transition</t>
  </si>
  <si>
    <t>L'Ã©cotoxicologie en questions</t>
  </si>
  <si>
    <t>SCIENCE / Chemistry / Toxicology</t>
  </si>
  <si>
    <t>Isabelle Lamy-Juliette FaburÃ©-Christian Mougin-Soizic Morin-Marie-AgnÃ¨s Coutellec-Laurence Denaix-Fabrice Martin-Laurent</t>
  </si>
  <si>
    <t>Public Policies and Food Systems in Latin America</t>
  </si>
  <si>
    <t>DÃ©velopper des projets d'agriculture urbaine avec la mÃ©thode Meth-ExpauÂ®</t>
  </si>
  <si>
    <t>GARDENING / House Plants &amp; Indoor</t>
  </si>
  <si>
    <t>Lisa Bertrand-Giulia GiacchÃ¨-Christine Aubry</t>
  </si>
  <si>
    <t>La fabrique de l'agronomie</t>
  </si>
  <si>
    <t>Feux de vÃ©gÃ©tation</t>
  </si>
  <si>
    <t>Renaud Barbero-Jean-Luc Dupuy-Florent Mouillot-Julien Ruffault</t>
  </si>
  <si>
    <t>Science et Ã©motion</t>
  </si>
  <si>
    <t>Emmanuel Petit</t>
  </si>
  <si>
    <t>Lâ€™Ã©levage des grands camÃ©lidÃ©s</t>
  </si>
  <si>
    <t>Bernard Faye-Gaukhar Konuspayeva-CÃ©cile Magnan</t>
  </si>
  <si>
    <t>Infrastructures de donnÃ©es spatiales</t>
  </si>
  <si>
    <t>HÃ©lÃ¨ne Rey-Valette-Chady Jabbour-Pierre Maurel-Jean-Michel Salles</t>
  </si>
  <si>
    <t>Life Cycle Assessment of Agri-food Systems</t>
  </si>
  <si>
    <t>Le renouveau des territoires par la bioÃ©conomie</t>
  </si>
  <si>
    <t>Jean-Marc Callois</t>
  </si>
  <si>
    <t>Ã‰levages au pÃ¢turage et dÃ©veloppement durable des territoires mÃ©diterranÃ©ens et tropicaux</t>
  </si>
  <si>
    <t>ForÃªts et changement climatique</t>
  </si>
  <si>
    <t>FranÃ§ois Courbet-Claude Doussan-Jean-Marc Limousin-Nicolas Martin-StPaul-Guillaume Simioni</t>
  </si>
  <si>
    <t>Les communs</t>
  </si>
  <si>
    <t>La vache globale</t>
  </si>
  <si>
    <t>Lidia Chavinskaia</t>
  </si>
  <si>
    <t>ZÃ©ro pesticide</t>
  </si>
  <si>
    <t>Spillways on River Levees</t>
  </si>
  <si>
    <t>TECHNOLOGY &amp; ENGINEERING / Civil / Flood Control</t>
  </si>
  <si>
    <t>Gouverner la biodiversitÃ© ou comment rÃ©ussir Ã  Ã©chouer</t>
  </si>
  <si>
    <t>Vincent Devictor</t>
  </si>
  <si>
    <t>Transformer le lait local en Afrique de l'Ouest</t>
  </si>
  <si>
    <t>CÃ©cile Broutin-Marie-Christine Goudiaby</t>
  </si>
  <si>
    <t>Agricultural Robotics: Part of the New Deal? FIRA 2020 Conclusions</t>
  </si>
  <si>
    <t>Roland Lenain-Julie Peyrache-Alain Savary-GaÃ«tan SÃ©verac</t>
  </si>
  <si>
    <t>Une Ã©cologie de l'alimentation</t>
  </si>
  <si>
    <t>Attachements et changement dans un monde en transformation</t>
  </si>
  <si>
    <t>FranÃ§ois Bousquet-Tara Quinn-FrÃ©dÃ©rique Jankowski-RaphaÃ«l Mathevet-Olivier Barreteau-Sandrine DhÃ©nain</t>
  </si>
  <si>
    <t>MÃ©thodes d'investigation de l'alimentation et des mangeurs</t>
  </si>
  <si>
    <t>La montÃ©e du niveau de la mer d'ici 2100</t>
  </si>
  <si>
    <t>Denis Lacroix-Olivier Mora-Nicolas de MenthiÃ¨re-Audrey BÃ©thinger</t>
  </si>
  <si>
    <t>Eating in the City</t>
  </si>
  <si>
    <t>Il Ã©tait une fois l'Ifremer</t>
  </si>
  <si>
    <t>Gilles Chatry</t>
  </si>
  <si>
    <t>QualitÃ© des aliments d'origine animale</t>
  </si>
  <si>
    <t>Oyapock et Maroni</t>
  </si>
  <si>
    <t>Agroecology: Research for the Transition of Agri-food Systems and Territories</t>
  </si>
  <si>
    <t>CarriÃ¨res d'halieutes</t>
  </si>
  <si>
    <t>Piloter la fertilisation du palmier Ã  huile</t>
  </si>
  <si>
    <t>Les zoonoses</t>
  </si>
  <si>
    <t>La santÃ© globale au prisme de l'analyse des politiques publiques</t>
  </si>
  <si>
    <t>SÃ©bastien Gardon-Amandine Gautier-Gwenola Le Naour</t>
  </si>
  <si>
    <t>Coexistence et confrontation des modÃ¨les agricoles et alimentaires</t>
  </si>
  <si>
    <t>Des choses de la nature et de leurs droits</t>
  </si>
  <si>
    <t>Sarah Vanuxem</t>
  </si>
  <si>
    <t>Sugar Beet</t>
  </si>
  <si>
    <t>La systÃ©mique agraire Ã  l'INRA</t>
  </si>
  <si>
    <t>Pierre Cornu</t>
  </si>
  <si>
    <t>Du comportement vÃ©gÃ©tal Ã  l'intelligence des plantes ?</t>
  </si>
  <si>
    <t>La panification au levain naturel</t>
  </si>
  <si>
    <t>La betterave sucriÃ¨re</t>
  </si>
  <si>
    <t>La transformation des grains</t>
  </si>
  <si>
    <t>Jean-FranÃ§ois Cruz-D. Joseph Hounhouigan-Michel Havard-Thierry FerrÃ©</t>
  </si>
  <si>
    <t>Grassland Use in Europe</t>
  </si>
  <si>
    <t xml:space="preserve">De grands dÃ©fis et des solutions pour lâ€™Ã©levage </t>
  </si>
  <si>
    <t>Stocker du carbone dans les sols franÃ§ais</t>
  </si>
  <si>
    <t>La transition numÃ©rique dans la recherche et l'enseignement supÃ©rieur Ã  l'horizon 2040</t>
  </si>
  <si>
    <t>Dynamique des Ã©levages pastoraux et agropastoraux en Afrique intertropicale</t>
  </si>
  <si>
    <t>BUSINESS &amp; ECONOMICS / Commercial Policy</t>
  </si>
  <si>
    <t>Climatiser le monde</t>
  </si>
  <si>
    <t>Stefan C. Aykut</t>
  </si>
  <si>
    <t>Manger en ville</t>
  </si>
  <si>
    <t>AgroÃ©cologie : des recherches pour la transition des filiÃ¨res et des territoires</t>
  </si>
  <si>
    <t>Potabilisation des eaux de surface en Afrique de l'Ouest</t>
  </si>
  <si>
    <t>Khadim Diop-FrÃ©dÃ©ric Naulet-Ana Sanchez Riquelme-Mathieu Le Corre-Saskia Achouline</t>
  </si>
  <si>
    <t>FiliÃ¨re forÃªt-bois et attÃ©nuation du changement climatique</t>
  </si>
  <si>
    <t>Quelles agricultures irriguÃ©es demain ?</t>
  </si>
  <si>
    <t>One health, une seule santÃ©</t>
  </si>
  <si>
    <t>L'eau en milieu agricole</t>
  </si>
  <si>
    <t>Sols artificialisÃ©s</t>
  </si>
  <si>
    <t>Le bananier plantain</t>
  </si>
  <si>
    <t>Biomasse</t>
  </si>
  <si>
    <t>Benoit Daviron</t>
  </si>
  <si>
    <t>Les lÃ©gumineuses pour des systÃ¨mes agricoles et alimentaires durables</t>
  </si>
  <si>
    <t>Grasslands and Herbivore Production in Europe and Effects of Common Policies</t>
  </si>
  <si>
    <t>Le sorgho</t>
  </si>
  <si>
    <t>Jacques Chantereau-Jean-FranÃ§ois Cruz-Alain Ratnadass-Gilles Trouche-GeneviÃ¨ve Fliedel</t>
  </si>
  <si>
    <t>Le palmier Ã  huile en plantation villageoise</t>
  </si>
  <si>
    <t>Jean-Charles Jacquemard</t>
  </si>
  <si>
    <t>Les semences</t>
  </si>
  <si>
    <t>Michael Turner</t>
  </si>
  <si>
    <t>Appuyer les organisations de producteurs</t>
  </si>
  <si>
    <t>Marie-Jo DuguÃ©-Denis Pesche-Jean-FranÃ§ois Le Coq</t>
  </si>
  <si>
    <t>Insectes ravageurs des graines de lÃ©gumineuses</t>
  </si>
  <si>
    <t>La santÃ© animale 2</t>
  </si>
  <si>
    <t>Archie Hunter-Gerrit Uilenberg-Christian Meyer</t>
  </si>
  <si>
    <t>Les PÃªches cÃ´tiÃ¨res bretonnes</t>
  </si>
  <si>
    <t>Ramiran 98 Actes De La 8e ConfÃ©rence Internationale Sur Les StratÃ©gies De Gestion Des DÃ©chets Organiques En Agriculture</t>
  </si>
  <si>
    <t>Marie-NoÃ«lle Maudet-JosÃ© Martinez</t>
  </si>
  <si>
    <t>Les bassins versants expÃ©rimentaux de Draix. Laboratoire d'Ã©tude de l'Ã©rosion en montagne</t>
  </si>
  <si>
    <t>Produits phytosanitaires. Processus de transfert et modÃ©lisation dans les bassins versants</t>
  </si>
  <si>
    <t>Homme et animal, la question des frontiÃ¨res</t>
  </si>
  <si>
    <t>Ã‰lÃ©ments pour une politique de rÃ©duction des Ã©missions d'ammoniac d'origine agricole en France</t>
  </si>
  <si>
    <t>Claire Oudot-Brian Pain-JosÃ© Martinez</t>
  </si>
  <si>
    <t>Territoires ruraux et dÃ©veloppement. Quel rÃ´le pour la recherche ?</t>
  </si>
  <si>
    <t>Martine Berlan-DarquÃ©-Yves Demarne-Catherine Courtet</t>
  </si>
  <si>
    <t>Innover avec les acteurs du monde rural</t>
  </si>
  <si>
    <t>Guy Faure-Pierre Gasselin-Bernard Triomphe-Henri HocdÃ©-Ludovic Temple</t>
  </si>
  <si>
    <t>Agriculteurs, agricultures et forÃªts</t>
  </si>
  <si>
    <t>Perception Publique Et Attitudes Des PropriÃ©taires Envers La ForÃªt En Europe</t>
  </si>
  <si>
    <t>Daniel Terrasson</t>
  </si>
  <si>
    <t>La santÃ© animale</t>
  </si>
  <si>
    <t>Archie Hunter-Christian Meyer-Gerrit Uilenberg</t>
  </si>
  <si>
    <t>De l'expertise scientifique au risque nÃ©gociÃ©. Le cas du risque en montagne</t>
  </si>
  <si>
    <t>GeneviÃ¨ve Decrop</t>
  </si>
  <si>
    <t>Eaux et forÃªts. La forÃªt : un outil de gestion des eaux ?</t>
  </si>
  <si>
    <t>Jacques Lavabre-Vazken AndrÃ©assian</t>
  </si>
  <si>
    <t>La mesure Ã©conomique des bÃ©nÃ©fices attachÃ©s aux hydrosystÃ¨mes</t>
  </si>
  <si>
    <t>GÃ©ographie des interfaces</t>
  </si>
  <si>
    <t>RhÃ©ologie des boues et laves torrentielles</t>
  </si>
  <si>
    <t>Philippe Coussot</t>
  </si>
  <si>
    <t>Lexique hydrologique pour l'ingÃ©nieur</t>
  </si>
  <si>
    <t>Guide pour le diagnostic rapide des barrages anciens</t>
  </si>
  <si>
    <t>Typologie aquacole des marais salants de la cÃ´te atlantique</t>
  </si>
  <si>
    <t>Olivier ClÃ©ment</t>
  </si>
  <si>
    <t>Le pivot</t>
  </si>
  <si>
    <t xml:space="preserve"> RNED-Cemagref</t>
  </si>
  <si>
    <t>Le fonio, une cÃ©rÃ©ale africaine</t>
  </si>
  <si>
    <t>Jean-FranÃ§ois Cruz-FamoÃ¯ BÃ©avogui-Djibril DramÃ©</t>
  </si>
  <si>
    <t>Insufflation d'air fines bulles Application aux stations d'Ã©puration en boues activÃ©es des petites collectivitÃ©s</t>
  </si>
  <si>
    <t>Philippe DuchÃ¨ne-Ã‰ric Cotteux</t>
  </si>
  <si>
    <t>Les Apports De La Recherche Scientifique Ã€ La SÃ©curitÃ© Neige, Glace Et Avalanche</t>
  </si>
  <si>
    <t>Guide Neige et avalanches. Connaissances, pratiques, sÃ©curitÃ©</t>
  </si>
  <si>
    <t>Volatilisation de l'azote ammoniacal des lisiers aprÃ¨s Ã©pandage</t>
  </si>
  <si>
    <t>Jean-FranÃ§ois Moal</t>
  </si>
  <si>
    <t>Typologie des stations forestiÃ¨res du massif Sainte-Victoire</t>
  </si>
  <si>
    <t>Jean Ladier-BÃ©nÃ©dicte Boisseau</t>
  </si>
  <si>
    <t>RÃ©amÃ©nagement agricole des carriÃ¨res de granulats</t>
  </si>
  <si>
    <t>Sylvie Vanpeene-Bruhier-Christian Piedallu-Isabelle Delory</t>
  </si>
  <si>
    <t>Plantation d'arbres en prairie pÃ¢turÃ©e</t>
  </si>
  <si>
    <t>Gilles Agrech</t>
  </si>
  <si>
    <t>Etude de la formation d'un lit torrentiel</t>
  </si>
  <si>
    <t>Vincent Koulinski</t>
  </si>
  <si>
    <t>Friend Report Flow Regimes From International Experimental and Network Data</t>
  </si>
  <si>
    <t>Du concept de BVRE Ã  celui de zone atelier dans les recherches menÃ©es en eaux continentales</t>
  </si>
  <si>
    <t>Compte-rendu de recherches nÂ° 3 BVRE de Draix</t>
  </si>
  <si>
    <t>SÃ©minaire de rhÃ©ologie</t>
  </si>
  <si>
    <t>CoopÃ©rations, territoires et entreprises agroalimentaires</t>
  </si>
  <si>
    <t>Colette Fourcade-JosÃ© Muchnik-Roland Treillon</t>
  </si>
  <si>
    <t>L'influence humaine dans l'origine des crues</t>
  </si>
  <si>
    <t>La modÃ©lisation d'accompagnement</t>
  </si>
  <si>
    <t>HÃ©tÃ©roptÃ¨res Phytophages Et PrÃ©dateurs D'Afrique De L'Ouest</t>
  </si>
  <si>
    <t>Wiyao Poutouli-Pierre Jean Silvie-Henri-Pierre Aberlenc</t>
  </si>
  <si>
    <t>Forests, Carbon Cycle and Climate Change</t>
  </si>
  <si>
    <t>Denis Loustau</t>
  </si>
  <si>
    <t>QualitÃ© Du MatÃ©riel Forestier De Reproduction Et Application Des Directives Communautaires</t>
  </si>
  <si>
    <t>Geophysical and Geotechnical Methods for Diagnosing Flood Protection Dikes</t>
  </si>
  <si>
    <t>Cyrille Fauchard-Patrice MÃ©riaux</t>
  </si>
  <si>
    <t>Montagne, laboratoire de la diversitÃ©</t>
  </si>
  <si>
    <t>Pratiques et stratÃ©gies fonciÃ¨res des agriculteurs</t>
  </si>
  <si>
    <t>Sylvie Morardet</t>
  </si>
  <si>
    <t>GÃ©nÃ©tiquement indÃ©terminÃ©</t>
  </si>
  <si>
    <t>Comprendre l'agriculture familiale</t>
  </si>
  <si>
    <t>Nicolas Ferraton-Isabelle Touzard</t>
  </si>
  <si>
    <t>Le golfe du Lion</t>
  </si>
  <si>
    <t>L'amÃ©lioration gÃ©nÃ©tique animale</t>
  </si>
  <si>
    <t>Gerald Wiener-Roger Rouvier</t>
  </si>
  <si>
    <t>Des grands Ã©coulements naturels Ã  la dynamique du tas de sable</t>
  </si>
  <si>
    <t>BenoÃ®t Ildefonse-Catherine Allain-Philippe Coussot</t>
  </si>
  <si>
    <t>Lacs de haute altitude. MÃ©thodes d'Ã©chantillonnage ichtyologique. Gestion piscicole</t>
  </si>
  <si>
    <t>Bernard Rivier</t>
  </si>
  <si>
    <t>Estimation de l'Ã©vapotranspiration par tÃ©lÃ©dÃ©tection</t>
  </si>
  <si>
    <t>Alain Vidal</t>
  </si>
  <si>
    <t>L'apiculture</t>
  </si>
  <si>
    <t>Peter David Paterson</t>
  </si>
  <si>
    <t>Une recherche responsable</t>
  </si>
  <si>
    <t>Marianne Alunno-Bruscia-Christian Duquennoi-Philippe Goulletquer-Estelle Jaligot-Antoine Kremer-FranÃ§oise Simon-Plas</t>
  </si>
  <si>
    <t>Hanna B HÃ¶lling-Jules Pelta Feldman-Emilie Magnin</t>
  </si>
  <si>
    <t>Academic Research &amp; Reviews in Social, Human and Administrative Sciences - I-</t>
  </si>
  <si>
    <t>Shajara Ul DURAR  Mohammed El Amine</t>
  </si>
  <si>
    <t>WspÃ³Å‚czesne problemy nauczania matematyki. Tom 9</t>
  </si>
  <si>
    <t>Edyta Juskowiak</t>
  </si>
  <si>
    <t>The Last Mile</t>
  </si>
  <si>
    <t>Amarjeet Sinha</t>
  </si>
  <si>
    <t>Rethinking Secondary Mental Healthcare</t>
  </si>
  <si>
    <t>Robert Griffiths-Vyv Huddy-Stuart Eaton-Jasmine Waldorf-Warren Mansell</t>
  </si>
  <si>
    <t>A Passion for Cooperation</t>
  </si>
  <si>
    <t>Robert Axelrod</t>
  </si>
  <si>
    <t>Queere Vielfalt im FuÃŸball</t>
  </si>
  <si>
    <t>Genese Ost: Transformationen der Sozialen Arbeit in Deutschland</t>
  </si>
  <si>
    <t>Mandy Schulze-Julia Hille-Peter-Georg Albrecht</t>
  </si>
  <si>
    <t>Frontiers of the Roman Empire: The Hinterland of HadrianÌ•s Wall</t>
  </si>
  <si>
    <t>David J. Breeze</t>
  </si>
  <si>
    <t>Frontiers of the Roman Empire: Hadrian's Wall</t>
  </si>
  <si>
    <t>Berkeley Castle Tales</t>
  </si>
  <si>
    <t>Stuart J. Prior-Mark Horton-Konstantinos P. Trimmis</t>
  </si>
  <si>
    <t>Transitioning to Sustainable Life on Land</t>
  </si>
  <si>
    <t>/Beckmann, Volker</t>
  </si>
  <si>
    <t>Transitioning to Sustainable Life Below Water</t>
  </si>
  <si>
    <t>/Ekau, Werner-Hornidge, Anna-Katharina</t>
  </si>
  <si>
    <t>Transitioning to Strong Partnerships for the Sustainable Development Goals</t>
  </si>
  <si>
    <t>/von Schnurbein, Georg</t>
  </si>
  <si>
    <t>Transitioning to Responsible Consumption and Production</t>
  </si>
  <si>
    <t>/McNeill, Lisa</t>
  </si>
  <si>
    <t>Transitioning to Reduced Inequalities</t>
  </si>
  <si>
    <t>Sabin Bieri-Christoph Bader</t>
  </si>
  <si>
    <t>Transitioning to Quality Education</t>
  </si>
  <si>
    <t>/Jeronen, Eila</t>
  </si>
  <si>
    <t>Transitioning to No Poverty</t>
  </si>
  <si>
    <t>/GÃ¼nther, Isabel-Lahoti, Rahul</t>
  </si>
  <si>
    <t>Transitioning to Good Health and Well-Being</t>
  </si>
  <si>
    <t>/Flahault, Antoine</t>
  </si>
  <si>
    <t>Transitioning to Gender Equality</t>
  </si>
  <si>
    <t>/Binswanger, Christa-Zimmermann, Andrea</t>
  </si>
  <si>
    <t>Transitioning to Decent Work and Economic Growth</t>
  </si>
  <si>
    <t>/Aerni, Philipp-Stavridou, Marianthe-Schluep, Isabelle</t>
  </si>
  <si>
    <t>Transitioning to Clean Water and Sanitation</t>
  </si>
  <si>
    <t>/Cisse, Gueladio</t>
  </si>
  <si>
    <t>Transitioning to Affordable and Clean Energy</t>
  </si>
  <si>
    <t>/Constable, Edwin</t>
  </si>
  <si>
    <t>Toward a Sustainable Agriculture: Farming Practices and Water Use</t>
  </si>
  <si>
    <t>/Bergman, Manfred Max-Jordaan, Henry</t>
  </si>
  <si>
    <t>Theory of Vibrating Lifting Tools of Sugar Beet Harvesters</t>
  </si>
  <si>
    <t>Bulgakov, Volodymyr-Pascuzzi, Simone-Holovach, Ivan-Olt, JÃ¼ri-Adamchuk, Valerii-Santoro, Francesco</t>
  </si>
  <si>
    <t>The Healthiest Diet for You: Scientific Aspects</t>
  </si>
  <si>
    <t>Simopoulos, Artemis P.</t>
  </si>
  <si>
    <t>The Chamber Musician in the Twenty-First Century</t>
  </si>
  <si>
    <t>/DoÄŸantan-Dack, Mine</t>
  </si>
  <si>
    <t>Sustainable Business, Management, and Economics</t>
  </si>
  <si>
    <t>/Bergman, Manfred Max</t>
  </si>
  <si>
    <t>Electrochemical and Corrosion Behavior of Metallic Glasses</t>
  </si>
  <si>
    <t>/Hasannaeimi, Vahid-Sadeghilaridjani, Maryam-Mukherjee, Sundeep</t>
  </si>
  <si>
    <t>Five Insights for Avoiding Global Collapse: What a 50-Year-Old Model of the World Taught Me About a Way Forward for Us Today</t>
  </si>
  <si>
    <t>Herrington, Gaya</t>
  </si>
  <si>
    <t>Bionanotechnology to Save the Environment: Plant and Fishery's Biomass As Alternative to Petrol</t>
  </si>
  <si>
    <t>/Morganti, Pierfrancesco</t>
  </si>
  <si>
    <t>Towards Socially Integrative Cities: Perspectives on Urban Sustainability in Europe and China</t>
  </si>
  <si>
    <t>/MÃ¼ller, Bernhard-Liu, Jian-Cai, Jianming-Schiappacasse, Paulina-Neumann, Hans-Martin-Yang, Baojun</t>
  </si>
  <si>
    <t>Under Construction: Performing Critical Identity</t>
  </si>
  <si>
    <t>/Kohl, Marie-Anne</t>
  </si>
  <si>
    <t>Smart Textiles Production: Overview of Materials, Sensor and Production Technologies for Industrial Smart Textiles</t>
  </si>
  <si>
    <t>Gehrke, Inga-Tenner, Vadim-Lutz, Volker-Schmelzeisen, David-Gries, Thomas</t>
  </si>
  <si>
    <t>Advanced Memristor Modeling: Memristor Circuits and Networks</t>
  </si>
  <si>
    <t>Mladenov, Valeri</t>
  </si>
  <si>
    <t>Self-Representation in an Expanded Field: From Self-Portraiture to Selfie, Contemporary Art in the Social Media Age</t>
  </si>
  <si>
    <t>/Lehner, Ace</t>
  </si>
  <si>
    <t>Advances in Aquatic Invertebrate Stem Cell Research: From Basic Research to Innovative Applications</t>
  </si>
  <si>
    <t>/Ballarin, Loriano-Rinkevich, Baruch-Hobmayer, Bert</t>
  </si>
  <si>
    <t>Higher Education and Innovation: Design of an Innovative Teaching Module for an Intensive Programme on Aeolian Architecture</t>
  </si>
  <si>
    <t>/Sapienza, Vincenzo-Voica, Marius-Finocchiaro, Luca</t>
  </si>
  <si>
    <t>Exercise Prescription in Cardiac Rehabilitation: A Practical Approach to Early Mobilization and Exercise Training</t>
  </si>
  <si>
    <t>/Staron, Adam-Wolszakiewicz, Jadwiga-AlSulaimi, Meteb</t>
  </si>
  <si>
    <t>The Ocean of Heroes: A Critical Edition, Translation, and Analysis of the á¸ŒÄkÄrá¹‡avatantra, Chapter 15, and Jayasenaâ€™s Meditation Manual</t>
  </si>
  <si>
    <t>Sugiki, Tsunehiko</t>
  </si>
  <si>
    <t>Representations of Child Sexual Abuse in Jamaica: A Corpus-Assisted Discourse Study of Popular News Media</t>
  </si>
  <si>
    <t>Karpenko-Seccombe, Tatyana-Nelson, Kenisha-Fray, Christine-Harvey, Roxanne-Powell-Booth, Karyl-Jones, Adele-Wager, Nadia-Sheng, Xiaomin</t>
  </si>
  <si>
    <t>Lipid Nutrition Guidelines: A Comprehensive Analysis</t>
  </si>
  <si>
    <t>Okuyama, Harumi-Sultan, Sheriff-Ohara, Naoki-Hamazaki, Tomohito-Langsjoen, Peter-Hama, Rokuro-Ogushi, Yoichi-Kobayashi, Tetsuyuki-Natori, Shunji-Uchino, Hajime-Hashimoto, Yoko-Watanabe, Shiro-Tatematsu, Kenjiro-Miyazawa, Daisuke-Nakamura, Mikio-Oh-hashi, Kentaro</t>
  </si>
  <si>
    <t>Ekofantastyka. UjÄ™cie sympojetyczne</t>
  </si>
  <si>
    <t>GraÅ¼yna Gajewska</t>
  </si>
  <si>
    <t>Environmental Issues and Social Inclusion in a Sustainable Era</t>
  </si>
  <si>
    <t>R. Iqbal Robbie-Ali Roziqin-Shannaz Mutiara Deniar-Ardik Praharjo-Kenny Roz</t>
  </si>
  <si>
    <t>Breastfeeding and Mothering in Antiquity and Early Byzantium</t>
  </si>
  <si>
    <t>Stavroula Constantinou-Aspasia Skouroumouni-Stavrinou</t>
  </si>
  <si>
    <t>Happiness and Wellbeing in Singapore</t>
  </si>
  <si>
    <t>Siok Kuan Tambyah-Soo Jiuan Tan-Wei Lun Yuen</t>
  </si>
  <si>
    <t>Presidential Accountability in Wartime</t>
  </si>
  <si>
    <t>Stuart Streichler</t>
  </si>
  <si>
    <t>The Visual Worlds of Life Writing</t>
  </si>
  <si>
    <t>Kerstin Maria Pahl</t>
  </si>
  <si>
    <t>Desire and Disunity</t>
  </si>
  <si>
    <t>Ulriika Vihervalli</t>
  </si>
  <si>
    <t>Gerechtigkeit aus der Ferne?</t>
  </si>
  <si>
    <t>Stefanie Bock-Markus Wagner</t>
  </si>
  <si>
    <t>Homologation im Sport.</t>
  </si>
  <si>
    <t>Jan Lohse</t>
  </si>
  <si>
    <t>Young Abolitionists</t>
  </si>
  <si>
    <t>MichaÃ«l Roy</t>
  </si>
  <si>
    <t>Evangelizing Korean Women and Gender in the Early Modern World</t>
  </si>
  <si>
    <t>Susan Broomhall</t>
  </si>
  <si>
    <t>Î¡an-Ïan</t>
  </si>
  <si>
    <t>The Confraternity of Neoflagellants</t>
  </si>
  <si>
    <t>Where the Tiny Things Are</t>
  </si>
  <si>
    <t>SCIENCE / Essays</t>
  </si>
  <si>
    <t xml:space="preserve"> Nicole Walker</t>
  </si>
  <si>
    <t>Waste</t>
  </si>
  <si>
    <t xml:space="preserve"> Jessica Rizzo</t>
  </si>
  <si>
    <t>Vital Reenchantments</t>
  </si>
  <si>
    <t xml:space="preserve"> Lauren Greyson</t>
  </si>
  <si>
    <t>Visceral</t>
  </si>
  <si>
    <t xml:space="preserve"> Maia Dolphin-Krute</t>
  </si>
  <si>
    <t>Vampires &amp; A Reasonable Dictionary</t>
  </si>
  <si>
    <t>FICTION / World Literature / Europe (General)</t>
  </si>
  <si>
    <t xml:space="preserve"> Scott Abbott-Å½arko RadakoviÄ‡</t>
  </si>
  <si>
    <t>ÃštrÃ¡sarvÃ­kingar! The Literature of the Icelandic Financial Crisis (2008â€“2014)</t>
  </si>
  <si>
    <t xml:space="preserve"> Alaric Hall</t>
  </si>
  <si>
    <t>Urban Re-Industrialization</t>
  </si>
  <si>
    <t xml:space="preserve"> Krzysztof Nawratek</t>
  </si>
  <si>
    <t>Urban Interactions</t>
  </si>
  <si>
    <t xml:space="preserve"> Michael J. Kelly-Michael Burrows</t>
  </si>
  <si>
    <t>Trickbox of Memory</t>
  </si>
  <si>
    <t xml:space="preserve"> Felicitas Macgilchrist-Rosalie Metro</t>
  </si>
  <si>
    <t>The Passenger</t>
  </si>
  <si>
    <t xml:space="preserve"> James L. Smith</t>
  </si>
  <si>
    <t>The Old Nubian Language</t>
  </si>
  <si>
    <t xml:space="preserve"> Eugenia Smagina</t>
  </si>
  <si>
    <t>The Map and the Territory</t>
  </si>
  <si>
    <t xml:space="preserve"> Michael Munro</t>
  </si>
  <si>
    <t>The Imagery of Interior Spaces</t>
  </si>
  <si>
    <t xml:space="preserve"> Dominique Bauer-Michael J. Kelly</t>
  </si>
  <si>
    <t>The Humid Condition</t>
  </si>
  <si>
    <t>FICTION / Humorous / General</t>
  </si>
  <si>
    <t xml:space="preserve"> Dominic Pettman</t>
  </si>
  <si>
    <t>The Hegemony of Psychopathy</t>
  </si>
  <si>
    <t xml:space="preserve"> Lajos Brons</t>
  </si>
  <si>
    <t>The Great Awakening</t>
  </si>
  <si>
    <t xml:space="preserve"> Anna Grear-David (0002-3913-3930) Bollier</t>
  </si>
  <si>
    <t>The Funambulist Papers, Volume 2</t>
  </si>
  <si>
    <t xml:space="preserve"> LÃ©opold Lambert</t>
  </si>
  <si>
    <t>The Funambulist Pamphlets 3</t>
  </si>
  <si>
    <t>The Event of Art</t>
  </si>
  <si>
    <t xml:space="preserve"> Marc Lafia</t>
  </si>
  <si>
    <t>The Way Things Go</t>
  </si>
  <si>
    <t>POETRY / Subjects &amp; Themes / Death, Grief, Loss</t>
  </si>
  <si>
    <t xml:space="preserve"> Louis Bury</t>
  </si>
  <si>
    <t>The Viscous</t>
  </si>
  <si>
    <t xml:space="preserve"> Freddie Mason</t>
  </si>
  <si>
    <t>The Unnaming of Aliass</t>
  </si>
  <si>
    <t>ART / Individual Artists / Artists" Books</t>
  </si>
  <si>
    <t xml:space="preserve"> Karin Bolender</t>
  </si>
  <si>
    <t>The Troll Inside You</t>
  </si>
  <si>
    <t xml:space="preserve"> Ãrmann Jakobsson</t>
  </si>
  <si>
    <t>The Saga of ÃžÃ³rÃ°ur Kakali</t>
  </si>
  <si>
    <t>FICTION / Sagas</t>
  </si>
  <si>
    <t>The Retro-Futurism of Cuteness</t>
  </si>
  <si>
    <t xml:space="preserve"> Jen Boyle-Wan-Chuan Kao</t>
  </si>
  <si>
    <t>The Republic of Cthulhu</t>
  </si>
  <si>
    <t xml:space="preserve"> Eric Wilson</t>
  </si>
  <si>
    <t>The Perfect Mango</t>
  </si>
  <si>
    <t xml:space="preserve"> Erin Manning</t>
  </si>
  <si>
    <t>The Pedagogics of Liberation</t>
  </si>
  <si>
    <t xml:space="preserve"> Enrique Dussel</t>
  </si>
  <si>
    <t>The Digital Humanist</t>
  </si>
  <si>
    <t xml:space="preserve"> Domenico Fiormonte-Teresa Numerico-Francesca Tomasi</t>
  </si>
  <si>
    <t>The Death of Conrad Unger</t>
  </si>
  <si>
    <t>PSYCHOLOGY / Psychopathology / Depression</t>
  </si>
  <si>
    <t xml:space="preserve"> Gary L. Shipley</t>
  </si>
  <si>
    <t>The Book / Or / The Woods</t>
  </si>
  <si>
    <t xml:space="preserve"> Jeff T. Johnson</t>
  </si>
  <si>
    <t>The Anthology of Babel</t>
  </si>
  <si>
    <t xml:space="preserve"> Ed Simon</t>
  </si>
  <si>
    <t>The Anguished and the Enchanted</t>
  </si>
  <si>
    <t>FICTION / Fairy Tales, Folk Tales, Legends &amp; Mythology</t>
  </si>
  <si>
    <t>Testing Knowledge</t>
  </si>
  <si>
    <t xml:space="preserve"> Katrin Solhdju-Alice RiviÃ¨res</t>
  </si>
  <si>
    <t>Television Scales</t>
  </si>
  <si>
    <t xml:space="preserve"> Nick Salvato</t>
  </si>
  <si>
    <t>Teaching Myself To See</t>
  </si>
  <si>
    <t xml:space="preserve"> Tito Mukhopadhyay</t>
  </si>
  <si>
    <t>Tall, Slim &amp; Erect</t>
  </si>
  <si>
    <t xml:space="preserve"> Alex Forman</t>
  </si>
  <si>
    <t>Take Her, She's Yours</t>
  </si>
  <si>
    <t xml:space="preserve"> Eva-Lynn Jagoe</t>
  </si>
  <si>
    <t>Suite on "Spiritus Silvestre"</t>
  </si>
  <si>
    <t xml:space="preserve"> Denzil Ford</t>
  </si>
  <si>
    <t>Still Thriving</t>
  </si>
  <si>
    <t xml:space="preserve"> L.O. Aranye Fradenburg-Eileen A. Joy</t>
  </si>
  <si>
    <t>Still Life</t>
  </si>
  <si>
    <t xml:space="preserve"> Anna Backman Rogers</t>
  </si>
  <si>
    <t>Steal This Classroom</t>
  </si>
  <si>
    <t xml:space="preserve"> Jody Cohen-Anne Dalke</t>
  </si>
  <si>
    <t>Speechsong</t>
  </si>
  <si>
    <t xml:space="preserve"> Richard Cavell</t>
  </si>
  <si>
    <t>Speculations V</t>
  </si>
  <si>
    <t xml:space="preserve"> Ridvan Askin-Paul J. Ennis-Andreas HÃ¤gler-Philipp Schweighauser</t>
  </si>
  <si>
    <t>Speculations II</t>
  </si>
  <si>
    <t xml:space="preserve"> Michael Austin-Paul J. Ennis-Thomas Gokey</t>
  </si>
  <si>
    <t>Some Ways of Making Nothing</t>
  </si>
  <si>
    <t xml:space="preserve"> Curt Cloninger</t>
  </si>
  <si>
    <t>Skirmishes</t>
  </si>
  <si>
    <t>PHILOSOPHY / Movements / Realism</t>
  </si>
  <si>
    <t xml:space="preserve"> Graham Harman</t>
  </si>
  <si>
    <t>Siting Futurity</t>
  </si>
  <si>
    <t xml:space="preserve"> Susan Ingram</t>
  </si>
  <si>
    <t>Sea Monsters</t>
  </si>
  <si>
    <t xml:space="preserve"> Thea Tomaini-Asa Simon Mittman</t>
  </si>
  <si>
    <t>Post Memes</t>
  </si>
  <si>
    <t xml:space="preserve"> Alfie Bown-Dan Bristow</t>
  </si>
  <si>
    <t>Sacred Views of Saint Francis</t>
  </si>
  <si>
    <t xml:space="preserve"> Cynthia O. Ho-Kathleen W. Peters-John McClain</t>
  </si>
  <si>
    <t>Rough Notes to Erasure</t>
  </si>
  <si>
    <t xml:space="preserve"> Dolsy Smith</t>
  </si>
  <si>
    <t>Rhetorical Agency</t>
  </si>
  <si>
    <t xml:space="preserve"> Les Belikian</t>
  </si>
  <si>
    <t>Resistance</t>
  </si>
  <si>
    <t xml:space="preserve"> Marko StamenkoviÃ§</t>
  </si>
  <si>
    <t>Recovering the Radical Promise of Superheroes</t>
  </si>
  <si>
    <t xml:space="preserve"> Ellen Kirkpatrick</t>
  </si>
  <si>
    <t>Paris Bride</t>
  </si>
  <si>
    <t xml:space="preserve"> John Schad</t>
  </si>
  <si>
    <t>Ostranenie</t>
  </si>
  <si>
    <t>FAMILY &amp; RELATIONSHIPS / Death, Grief, Bereavement</t>
  </si>
  <si>
    <t>Of the Contract</t>
  </si>
  <si>
    <t xml:space="preserve"> Christopher Clifton</t>
  </si>
  <si>
    <t>Å’ Case Files, Vol. 01</t>
  </si>
  <si>
    <t xml:space="preserve"> Simone Ferracina</t>
  </si>
  <si>
    <t>Oceanic New York</t>
  </si>
  <si>
    <t xml:space="preserve"> Steve Mentz</t>
  </si>
  <si>
    <t>Non-Conceptual Negativity</t>
  </si>
  <si>
    <t xml:space="preserve"> Zafer AracagÃ¶k</t>
  </si>
  <si>
    <t>Noise Thinks the Anthropocene</t>
  </si>
  <si>
    <t xml:space="preserve"> Aaron Zwintscher</t>
  </si>
  <si>
    <t>Nicholas of Cusa and the Kairos of Modernity</t>
  </si>
  <si>
    <t>Michael Edward Moore</t>
  </si>
  <si>
    <t>MythomaniaS</t>
  </si>
  <si>
    <t xml:space="preserve"> Camille LacadÃ©e-FranÃ§ois Roche</t>
  </si>
  <si>
    <t>Museum of Nonhumanity</t>
  </si>
  <si>
    <t xml:space="preserve"> Laura Gustafsson-Terike Haapoja</t>
  </si>
  <si>
    <t>Moonbit</t>
  </si>
  <si>
    <t xml:space="preserve"> James E. Dobson-Rena J. Mosteirin</t>
  </si>
  <si>
    <t>Misinterest</t>
  </si>
  <si>
    <t>Metagestures</t>
  </si>
  <si>
    <t xml:space="preserve"> Carla Nappi-Dominic Pettman</t>
  </si>
  <si>
    <t>Medieval Disability Sourcebook</t>
  </si>
  <si>
    <t xml:space="preserve"> Cameron Hunt McNabb</t>
  </si>
  <si>
    <t>Meaningful Flesh</t>
  </si>
  <si>
    <t xml:space="preserve"> Whitney A. Bauman</t>
  </si>
  <si>
    <t>Matches</t>
  </si>
  <si>
    <t xml:space="preserve"> S.D. Chrostowska</t>
  </si>
  <si>
    <t>Massa por Argamassa</t>
  </si>
  <si>
    <t xml:space="preserve"> Jonathan Basile</t>
  </si>
  <si>
    <t>Making a Laboratory</t>
  </si>
  <si>
    <t xml:space="preserve"> Ben Spatz</t>
  </si>
  <si>
    <t>Luminol Theory</t>
  </si>
  <si>
    <t xml:space="preserve"> Laura E. Joyce</t>
  </si>
  <si>
    <t>Love Don't Need a Reason</t>
  </si>
  <si>
    <t xml:space="preserve"> Matthew J. Jones</t>
  </si>
  <si>
    <t>Liquid Life</t>
  </si>
  <si>
    <t xml:space="preserve"> Rachel Armstrong-Simone Ferracina-Rolf Hughes</t>
  </si>
  <si>
    <t>Li Bo Unkempt</t>
  </si>
  <si>
    <t>POETRY / Asian / Chinese</t>
  </si>
  <si>
    <t xml:space="preserve"> Kidder Smith</t>
  </si>
  <si>
    <t>Last Year at Betty and Bob's</t>
  </si>
  <si>
    <t>FICTION / Action &amp; Adventure</t>
  </si>
  <si>
    <t xml:space="preserve"> Sher Doruff</t>
  </si>
  <si>
    <t>Lamma</t>
  </si>
  <si>
    <t xml:space="preserve"> Leila Tayeb-Adam Benkato-Amina Zarrugh</t>
  </si>
  <si>
    <t>Knowledge, Spirit, Law, Book 2</t>
  </si>
  <si>
    <t xml:space="preserve"> Gavin Keeney</t>
  </si>
  <si>
    <t>Journal of Badiou Studies 5</t>
  </si>
  <si>
    <t xml:space="preserve"> Michael J. Kelly-Arthur Rose-Adi Efal-LautenschlÃ¤ger</t>
  </si>
  <si>
    <t>Intimate Bureaucracies</t>
  </si>
  <si>
    <t>dj readies</t>
  </si>
  <si>
    <t>Inefficient Mapping</t>
  </si>
  <si>
    <t>ART / Techniques / Drawing / General</t>
  </si>
  <si>
    <t xml:space="preserve"> Linda Knight</t>
  </si>
  <si>
    <t>Incomparable Poetry</t>
  </si>
  <si>
    <t xml:space="preserve"> Robert Kiely</t>
  </si>
  <si>
    <t>Imperial Physique</t>
  </si>
  <si>
    <t xml:space="preserve"> JH Phrydas</t>
  </si>
  <si>
    <t>How We Read</t>
  </si>
  <si>
    <t xml:space="preserve"> Kaitlin Heller-Suzanne Conklin Akbari</t>
  </si>
  <si>
    <t>Hephaestus Reloaded: Composed for Ten Hands / Efesto Reloaded: Composizioni Per 10 Mani</t>
  </si>
  <si>
    <t>POETRY / European / General</t>
  </si>
  <si>
    <t xml:space="preserve"> Brunella Antomarini-Adam Berg-Vladimir Dâ€™Amora-Alessandro De Francesco-Miltos Maneta</t>
  </si>
  <si>
    <t>Helicography</t>
  </si>
  <si>
    <t>ART / Conceptual</t>
  </si>
  <si>
    <t xml:space="preserve"> Craig Dworkin</t>
  </si>
  <si>
    <t>Gender Trouble Couplets, Volume 1</t>
  </si>
  <si>
    <t xml:space="preserve"> A.W. Strouse</t>
  </si>
  <si>
    <t>Follow for Now, Volume 2</t>
  </si>
  <si>
    <t xml:space="preserve"> Roy Christopher</t>
  </si>
  <si>
    <t>Disturbing Times</t>
  </si>
  <si>
    <t xml:space="preserve"> Catherine E. Karkov-Anna KÅ‚osowska-Vincent W.J. van Gerven Oei</t>
  </si>
  <si>
    <t>Disrupting the Digital Humanities</t>
  </si>
  <si>
    <t xml:space="preserve"> Dorothy Kim-Jesse Stommel</t>
  </si>
  <si>
    <t>Diseases of the Head</t>
  </si>
  <si>
    <t xml:space="preserve"> Matt Rosen</t>
  </si>
  <si>
    <t>Critique of Fantasy, Vol. 3</t>
  </si>
  <si>
    <t xml:space="preserve"> Laurence A. Rickels</t>
  </si>
  <si>
    <t>Critique of Fantasy, Vol. 2</t>
  </si>
  <si>
    <t>Critique of Fantasy, Vol. 1</t>
  </si>
  <si>
    <t>Creep</t>
  </si>
  <si>
    <t>BIOGRAPHY &amp; AUTOBIOGRAPHY / LGBTQ+</t>
  </si>
  <si>
    <t xml:space="preserve"> Jonathan Alexander</t>
  </si>
  <si>
    <t>Essays on the Peripheries</t>
  </si>
  <si>
    <t xml:space="preserve"> Peter Valente</t>
  </si>
  <si>
    <t>Make and Let Die</t>
  </si>
  <si>
    <t xml:space="preserve"> Kathleen Biddick</t>
  </si>
  <si>
    <t>Echoes of No Thing</t>
  </si>
  <si>
    <t xml:space="preserve"> Nico Jenkins</t>
  </si>
  <si>
    <t>Down to Earth</t>
  </si>
  <si>
    <t>BIOGRAPHY &amp; AUTOBIOGRAPHY / Environmentalists &amp; Naturalists</t>
  </si>
  <si>
    <t xml:space="preserve"> GÃ­sli PÃ¡lsson</t>
  </si>
  <si>
    <t>Dotawo: A Journal of Nubian Studies 7</t>
  </si>
  <si>
    <t xml:space="preserve"> Vincent W.J. van Gerven Oei</t>
  </si>
  <si>
    <t>Dotawo: A Journal of Nubian Studies 6: Miscellanea Nubiana</t>
  </si>
  <si>
    <t xml:space="preserve"> Adam Simmons</t>
  </si>
  <si>
    <t>Come As You Are, After Eve Kosofsky Sedgwick</t>
  </si>
  <si>
    <t xml:space="preserve"> Eve Kosofsky Sedgwick-Jonathan Goldberg</t>
  </si>
  <si>
    <t>Closer to Dust</t>
  </si>
  <si>
    <t>PHOTOGRAPHY / Criticism</t>
  </si>
  <si>
    <t xml:space="preserve"> Sara A. Rich</t>
  </si>
  <si>
    <t>Cinema's DoppelgÃ¤ngers</t>
  </si>
  <si>
    <t>Christina McPhee</t>
  </si>
  <si>
    <t xml:space="preserve"> Eileen A. Joy</t>
  </si>
  <si>
    <t>Burn After Reading: Vol. 1, Miniature Manifestos for a Post/medieval Studies + Vol. 2, The Future We Want: A Collaboration</t>
  </si>
  <si>
    <t xml:space="preserve"> Eileen A. Joy-Myra Seaman-Jeffrey Jerome Cohen</t>
  </si>
  <si>
    <t>Bullied</t>
  </si>
  <si>
    <t>Aural History</t>
  </si>
  <si>
    <t xml:space="preserve"> Gila Ashtor</t>
  </si>
  <si>
    <t>A Nuclear Refrain</t>
  </si>
  <si>
    <t xml:space="preserve"> Kye Askins-Phil Johnstone-Kelvin Mason</t>
  </si>
  <si>
    <t>Antiracism Inc.</t>
  </si>
  <si>
    <t xml:space="preserve"> Felice Blake-Paula Ioanide-Alison Reed</t>
  </si>
  <si>
    <t>Anthropocene Unseen</t>
  </si>
  <si>
    <t xml:space="preserve"> Cymene Howe-Anand Pandian</t>
  </si>
  <si>
    <t>Broken Theory</t>
  </si>
  <si>
    <t>FICTION / Mashups</t>
  </si>
  <si>
    <t xml:space="preserve"> Alan Sondheim</t>
  </si>
  <si>
    <t>Book of Anonymity</t>
  </si>
  <si>
    <t>Anon Collective</t>
  </si>
  <si>
    <t>Between Species/Between Spaces</t>
  </si>
  <si>
    <t xml:space="preserve"> Kendra Sullivan-Dylan Gauthier</t>
  </si>
  <si>
    <t>Beowulf</t>
  </si>
  <si>
    <t>POETRY / Medieval</t>
  </si>
  <si>
    <t xml:space="preserve"> David Hadbawnik</t>
  </si>
  <si>
    <t>Bathroom Songs</t>
  </si>
  <si>
    <t xml:space="preserve"> Jason Edwards</t>
  </si>
  <si>
    <t>Barton Myers</t>
  </si>
  <si>
    <t>ARCHITECTURE / Individual Architects &amp; Firms / Monographs</t>
  </si>
  <si>
    <t xml:space="preserve"> Kris Miller-Fisher-Jocelyn Gibbs</t>
  </si>
  <si>
    <t>Animal Emotions</t>
  </si>
  <si>
    <t xml:space="preserve"> Christian Montag-Kenneth L. Davis</t>
  </si>
  <si>
    <t>Anglo-Saxon(ist) Pasts, PostSaxon Futures</t>
  </si>
  <si>
    <t xml:space="preserve"> Donna-Beth Ellard</t>
  </si>
  <si>
    <t>An Edition of Miles Hogarde's "A Mirroure of Myserie"</t>
  </si>
  <si>
    <t xml:space="preserve"> Sebastian Sobecki</t>
  </si>
  <si>
    <t>A Manga Perfeita</t>
  </si>
  <si>
    <t>Alternative Historiographies of the Digital Humanities</t>
  </si>
  <si>
    <t xml:space="preserve"> Dorothy Kim-Adeline Koh</t>
  </si>
  <si>
    <t>Action [poems]</t>
  </si>
  <si>
    <t xml:space="preserve"> Anthony Opal</t>
  </si>
  <si>
    <t>A Bibliography for After Jews and Arabs</t>
  </si>
  <si>
    <t xml:space="preserve"> Ammiel Alcalay</t>
  </si>
  <si>
    <t>(((</t>
  </si>
  <si>
    <t>Dogs, Past and Present</t>
  </si>
  <si>
    <t>Ivana Fiore-Francesca Lugli</t>
  </si>
  <si>
    <t>Empty Fields, Empty Promises</t>
  </si>
  <si>
    <t>SOCIAL SCIENCE / Cultural &amp; Ethnic Studies / American / General</t>
  </si>
  <si>
    <t>Loka Ashwood-Aimee Imlay-Lindsay Kuehn-Allen Franco-Danielle Diamond</t>
  </si>
  <si>
    <t>Foreign Aid and Its Unintended Consequences</t>
  </si>
  <si>
    <t>Dirk-Jan Koch</t>
  </si>
  <si>
    <t>Putinâ€™s Dark Ages</t>
  </si>
  <si>
    <t>Dina Khapaeva</t>
  </si>
  <si>
    <t>Crypto Crowds</t>
  </si>
  <si>
    <t>Matan Shapiro</t>
  </si>
  <si>
    <t>Indian Philosophy and Yoga in Germany</t>
  </si>
  <si>
    <t>Owen Ware</t>
  </si>
  <si>
    <t>Educating for Peace Through Countering Violence</t>
  </si>
  <si>
    <t>Candice Carter-Raj Kumar Dhungana</t>
  </si>
  <si>
    <t>The Planetary Humanism of European Womenâ€™s Science Fiction</t>
  </si>
  <si>
    <t>Eleanor Drage</t>
  </si>
  <si>
    <t>Geosynthetics: Leading the Way to a Resilient Planet</t>
  </si>
  <si>
    <t>Giovanni Biondi-Daniele Cazzuffi-Nicola Moraci-Claudio Soccodato</t>
  </si>
  <si>
    <t>The Routledge Handbook of CoFuturisms</t>
  </si>
  <si>
    <t>Taryne Jade Taylor-Isiah Lavender III-Grace L. Dillon-Bodhisattva Chattopadhyay</t>
  </si>
  <si>
    <t>Toevallige ontmoetingen</t>
  </si>
  <si>
    <t xml:space="preserve"> Kristien Hens</t>
  </si>
  <si>
    <t>Linguistic Theory and the Biblical Text</t>
  </si>
  <si>
    <t xml:space="preserve"> William A. Ross-Elizabeth Robar</t>
  </si>
  <si>
    <t>Ethics of Socially Disruptive Technologies</t>
  </si>
  <si>
    <t xml:space="preserve"> Ibo van de Poel-Lily Eva Frank-Julia Hermann-Jeroen Hopster-Dominic Lenzi-Sven Nyholm-Behnam Taebi-Elena Ziliotti</t>
  </si>
  <si>
    <t>Cheap Print and Street Literature of the Long Eighteenth Century</t>
  </si>
  <si>
    <t>ART / Prints</t>
  </si>
  <si>
    <t xml:space="preserve"> David Atkinson-Steve Roud</t>
  </si>
  <si>
    <t>Wissenschaftsdidaktik III</t>
  </si>
  <si>
    <t>Dekolonialisierung des Wissens</t>
  </si>
  <si>
    <t>Robel Afeworki Abay</t>
  </si>
  <si>
    <t>Das Narrativ vom Â»groÃŸen AustauschÂ«</t>
  </si>
  <si>
    <t>Nadja Kutscher</t>
  </si>
  <si>
    <t>Inventive/Interventive Demokratie?</t>
  </si>
  <si>
    <t>Nora Rigamonti</t>
  </si>
  <si>
    <t>Ã„sthetische Eigenlogiken des europÃ¤ischen Genrebildes</t>
  </si>
  <si>
    <t>ART / History / European / General</t>
  </si>
  <si>
    <t>Dominik Brabant-Britta Hochkirchen</t>
  </si>
  <si>
    <t>Nach dem GefÃ¤ngnis</t>
  </si>
  <si>
    <t>Barbara Sieferle</t>
  </si>
  <si>
    <t>Kuratierte Ã–ffentlichkeit</t>
  </si>
  <si>
    <t>Johanna Montanari</t>
  </si>
  <si>
    <t>Spaces of Care â€“ Confronting Colonial Afterlives in European Ethnographic Museums</t>
  </si>
  <si>
    <t>Wayne Modest-Claudia Augustat</t>
  </si>
  <si>
    <t>Routinen im Tanz</t>
  </si>
  <si>
    <t>Katja Schneider</t>
  </si>
  <si>
    <t>Ausweitung der Coachingzone</t>
  </si>
  <si>
    <t>Simon Roloff</t>
  </si>
  <si>
    <t>[EXP]OSITION â€“ Die Ausstellung als Existenzweise</t>
  </si>
  <si>
    <t>Svetlana Chernyshova</t>
  </si>
  <si>
    <t>Die Kommentatoren des Post-Cinema</t>
  </si>
  <si>
    <t>Philipp Stadelmaier</t>
  </si>
  <si>
    <t>Selbstherstellen als neue Politik</t>
  </si>
  <si>
    <t>Jens Thomas</t>
  </si>
  <si>
    <t>Artographies â€“ Kreativ-kÃ¼nstlerische ZugÃ¤nge zu einer machtkritischen Raumforschung</t>
  </si>
  <si>
    <t>Katrin Singer-Katharina Schmidt-Martina Neuburger</t>
  </si>
  <si>
    <t>Tod und Tabu in der Pandemie</t>
  </si>
  <si>
    <t>Ernst Mohr</t>
  </si>
  <si>
    <t>Architecture in Times of Multiple Crises</t>
  </si>
  <si>
    <t>Carolina Crijns</t>
  </si>
  <si>
    <t>Hochkomplexe Pflege von Kindern und Jugendlichen</t>
  </si>
  <si>
    <t>Wolfgang von Gahlen-Hoops-Jutta Busch</t>
  </si>
  <si>
    <t>SolidaritÃ¤t und ihre WidersprÃ¼che</t>
  </si>
  <si>
    <t>Neva LÃ¶w</t>
  </si>
  <si>
    <t>Asyl als Anspruch?</t>
  </si>
  <si>
    <t>Andrea Fritsche</t>
  </si>
  <si>
    <t>A Heated Debate</t>
  </si>
  <si>
    <t>Maria M. Sojka</t>
  </si>
  <si>
    <t>The Social Evolution of World Politics</t>
  </si>
  <si>
    <t>Mathias Albert-Hauke Brunkhorst-Iver B. Neumann-Stephan Stetter</t>
  </si>
  <si>
    <t>A Tale of Two Unions</t>
  </si>
  <si>
    <t>Mark Corner</t>
  </si>
  <si>
    <t>Der Antigonistische Konflikt</t>
  </si>
  <si>
    <t>Marcus Llanque-Katja Sarkowsky</t>
  </si>
  <si>
    <t>Writing Together</t>
  </si>
  <si>
    <t>Martina Blank-Sarah NimfÃ¼hr</t>
  </si>
  <si>
    <t>Praktiken der Geschichtsschreibung</t>
  </si>
  <si>
    <t>JÃ¼rgen BÃ¼schenfeld-Marina BÃ¶ddeker-Rebecca Moltmann</t>
  </si>
  <si>
    <t>Segregation in Ostdeutschland</t>
  </si>
  <si>
    <t>Matthias Bernt-Anne Volkmann</t>
  </si>
  <si>
    <t>Subversive Semantics in Political and Cultural Discourse</t>
  </si>
  <si>
    <t>Gesa Mackenthun-JÃ¶rn Dosch</t>
  </si>
  <si>
    <t>ReligiÃ¶se Helden</t>
  </si>
  <si>
    <t>Nicolas Gaspers-Torsten Caeners-Matthias Keidel</t>
  </si>
  <si>
    <t>KÃ¼nste dekolonisieren</t>
  </si>
  <si>
    <t>Julian Sverre Bauer-Maja Figge-Lisa GroÃŸmann-Wilma Lukatsch</t>
  </si>
  <si>
    <t>Meeresspiegelanstieg und vÃ¶lkerrechtliche Herausforderungen fÃ¼r kleine Inselstaaten.</t>
  </si>
  <si>
    <t>Sebastian Losch</t>
  </si>
  <si>
    <t>Normative, Atypical or Deviant? Interpreting Prehistoric and Protohistoric Child Burial Practices</t>
  </si>
  <si>
    <t>Eileen Murphy-MÃ©lie Le Roy</t>
  </si>
  <si>
    <t>Discursive Thinking Through of Education</t>
  </si>
  <si>
    <t>Oleg Bazaluk</t>
  </si>
  <si>
    <t>Gender and Welfare Service Work in Biocapitalism</t>
  </si>
  <si>
    <t>Eeva Jokinen-Helena Hirvonen-Laura Mankki-Timo Aho-Iiris Lehto</t>
  </si>
  <si>
    <t>Cross-Border Integration of Renewable Energy Systems</t>
  </si>
  <si>
    <t>Venkatachalam Anbumozhi-Bhupendra Kumar Singh</t>
  </si>
  <si>
    <t>Neutral Europe and the Creation of the Nonproliferation Regime</t>
  </si>
  <si>
    <t>Pascal Lottaz-Yoko Iwama</t>
  </si>
  <si>
    <t>The Portuguese Colonial War and the African Liberation Struggles</t>
  </si>
  <si>
    <t>Miguel Cardina</t>
  </si>
  <si>
    <t>Democratizing Science</t>
  </si>
  <si>
    <t>Paola Mattei</t>
  </si>
  <si>
    <t>Law, Migration, and Human Mobility</t>
  </si>
  <si>
    <t>Magdalena Kmak</t>
  </si>
  <si>
    <t>Developing Expert Principals</t>
  </si>
  <si>
    <t>Linda Darling-Hammond-Marjorie E. Wechsler-Stephanie Levin-Melanie Leung-GagnÃ©-Steven Tozer-Ayana Kee Campoli</t>
  </si>
  <si>
    <t>Considering Space</t>
  </si>
  <si>
    <t>Dominik Bartmanski-Henning FÃ¼ller-Johanna Hoerning-Gunter Weidenhaus</t>
  </si>
  <si>
    <t>Estructuras Mentales en la SistematizaciÃ³n del Conocimiento CientÃ­fico en Ciencias Sociales</t>
  </si>
  <si>
    <t>Rosana MeleÃ¡n RomeroÂ eÂ Irma Carhuancho MendozaÂ (eds.)</t>
  </si>
  <si>
    <t>Indicadores  econÃ³micos financieros. Visiones y perspectivas empresariales</t>
  </si>
  <si>
    <t>KlÃ©ber Antonio Luna Altamirano-Rosana Alejandra MeleÃ¡n Romero-Yanie Licenia OrdÃ³Ã±ez Parra</t>
  </si>
  <si>
    <t>The Role of Coal in a Sustainable Energy Mix for India</t>
  </si>
  <si>
    <t>Kulturelle Bildung in lÃ¤ndlichen RÃ¤umen</t>
  </si>
  <si>
    <t>EDUCATION / Rural</t>
  </si>
  <si>
    <t>Nina Kolleck-Luise Fischer</t>
  </si>
  <si>
    <t>Ditransitives in Germanic Languages</t>
  </si>
  <si>
    <t>Eva Zehentner-Melanie RÃ¶thlisberger-Timothy Colleman</t>
  </si>
  <si>
    <t>Children's Cultures After Childhood</t>
  </si>
  <si>
    <t>Justyna Deszcz-Tryhubczak-Macarena GarcÃ­a-GonzÃ¡lez</t>
  </si>
  <si>
    <t>The Sociophonetics of Dublin English</t>
  </si>
  <si>
    <t>Marion Schulte</t>
  </si>
  <si>
    <t>Strategies of Ambiguity</t>
  </si>
  <si>
    <t>Matthias Bauer-Angelika Zirker</t>
  </si>
  <si>
    <t>Quantitative Daten in bildungswissenschaftlichen Disziplinen</t>
  </si>
  <si>
    <t>Jessica GrÃ¶ber-Marc AndrÃ© Kellert-Dirk HofÃ¤cker</t>
  </si>
  <si>
    <t>Re-Konstruktionen â€“ Krisenthematisierungen in der Erwachsenenbildung</t>
  </si>
  <si>
    <t>Malte Ebner von Eschenbach-Bernd KÃ¤pplinger-Maria Kondratjuk-Katrin Kraus-Matthias Rohs-Beatrix Niemeyer</t>
  </si>
  <si>
    <t>Kita-Entwicklung â€“ Organisationsentwicklung als Chance fÃ¼r die frÃ¼he Bildung</t>
  </si>
  <si>
    <t>Dagmar Bergs-Winkels-Peter Cloos-Carola Iller-Jessica Prigge-Stephanie Simon-Daniela Ulber-Stiftung Haus der kleinen Forscher</t>
  </si>
  <si>
    <t>Cosmopolitan Love</t>
  </si>
  <si>
    <t>Sijia Yao</t>
  </si>
  <si>
    <t>Non-Intrusive Methodologies for Large Area Urban Research</t>
  </si>
  <si>
    <t>Ian Haynes-Thea Ravasi-Stephen Kay-Salvatore Piro-Paolo Liverani</t>
  </si>
  <si>
    <t>Metal Ages / Ã‚ges Des MÃ©taux</t>
  </si>
  <si>
    <t>Dirk Brandherm</t>
  </si>
  <si>
    <t>Historiographie Des PrÃ©historiens Et PalÃ©ontologues Dâ€™Afrique Du Nord</t>
  </si>
  <si>
    <t>Djillali Hadjouis-FranÃ§ois Djindjian</t>
  </si>
  <si>
    <t>En Tierras de HÃ©rcules. Torregorda - Camposoto - Sancti Petri: Una RevisiÃ³n del Patrimonio</t>
  </si>
  <si>
    <t>Carlos Bruquetas-GalÃ¡n</t>
  </si>
  <si>
    <t>Contact, Circulation, Exchange</t>
  </si>
  <si>
    <t>Ã‰va David-Erik HnrÄiarik</t>
  </si>
  <si>
    <t>Participatory Spaces Under Urban Capitalism</t>
  </si>
  <si>
    <t>Markus Holdo</t>
  </si>
  <si>
    <t>The Evolution of Young Peopleâ€™s Spatial Knowledge</t>
  </si>
  <si>
    <t>Ignacio Castillo Ulloa-Anna Juliane Heinrich-Angela Million-Jona Schwerer</t>
  </si>
  <si>
    <t>Organizing Sustainable Development</t>
  </si>
  <si>
    <t>Aneta KuÅºniarska-Karolina Mania-Monika Jedynak</t>
  </si>
  <si>
    <t>Cambodian Dollarization</t>
  </si>
  <si>
    <t>Hidenobu Okuda-Serey Chea</t>
  </si>
  <si>
    <t>Methodological Approaches for Workplace Research and Management</t>
  </si>
  <si>
    <t>Chiara Tagliaro-Marko Orel-Ying Hua</t>
  </si>
  <si>
    <t>Smak drogi. PodrÃ³Å¼e chorwackiego romantyzmu (1839â€“1860)</t>
  </si>
  <si>
    <t>Krystyna PieniÄ…Å¼ek-MarkoviÄ‡</t>
  </si>
  <si>
    <t>Survival Under Dictatorships</t>
  </si>
  <si>
    <t>LÃ¡szlÃ³ Borhi</t>
  </si>
  <si>
    <t>The Many Lives of a Jesuit, Freemason, and Philanthropist</t>
  </si>
  <si>
    <t>Ã‰va PetrÃ¡s</t>
  </si>
  <si>
    <t>Academic Freedom in a Plural World</t>
  </si>
  <si>
    <t>FrÃ©dÃ©ric MÃ©gret-Nandini Ramanujam</t>
  </si>
  <si>
    <t>Spatial Justice and Cohesion</t>
  </si>
  <si>
    <t>Matti Fritsch-Petri Kahila-Sarolta NÃ©meth-James W. Scott</t>
  </si>
  <si>
    <t>The Biopolitics of Dementia</t>
  </si>
  <si>
    <t>James Rupert Fletcher</t>
  </si>
  <si>
    <t>Menacing Environments</t>
  </si>
  <si>
    <t>Benjamin A. Bigelow</t>
  </si>
  <si>
    <t>PrÃ¤nataldiagnostik.</t>
  </si>
  <si>
    <t>Paulina Svensson</t>
  </si>
  <si>
    <t>William Moorcroft, Potter</t>
  </si>
  <si>
    <t>CRAFTS &amp; HOBBIES / Pottery &amp; Ceramics</t>
  </si>
  <si>
    <t xml:space="preserve"> Jonathan Mallinson</t>
  </si>
  <si>
    <t>The Violence of the Letter</t>
  </si>
  <si>
    <t>Melanie McMahon</t>
  </si>
  <si>
    <t>Risk and Responsibility in Context</t>
  </si>
  <si>
    <t>Adriana Placani-Stearns Broadhead</t>
  </si>
  <si>
    <t>Improving Learning Through Assessment Rubrics</t>
  </si>
  <si>
    <t>Chahna Gonsalves-Jayne Pearson</t>
  </si>
  <si>
    <t>Realisms in East Asian Performance</t>
  </si>
  <si>
    <t>Jessica Nakamura-Katherine Saltzman-Li</t>
  </si>
  <si>
    <t>Jamming the Classroom</t>
  </si>
  <si>
    <t>Ajay Heble-Jesse Stewart</t>
  </si>
  <si>
    <t>Consequences of Non-Financial Reporting Directive in Poland</t>
  </si>
  <si>
    <t>Ewa RÃ³Å¼aÅ„ska, Åukasz Matuszak</t>
  </si>
  <si>
    <t>Engineering Chemistry Vol. 4</t>
  </si>
  <si>
    <t>Omar S. Dahham-Adhi Dwi Hatmanto</t>
  </si>
  <si>
    <t>Haiti for the Haitians</t>
  </si>
  <si>
    <t>Brandon R. Byrd-Chelsea Stieber</t>
  </si>
  <si>
    <t>Zur Geschichte des Vereins fÃ¼r Socialpolitik.</t>
  </si>
  <si>
    <t>Peter Spahn</t>
  </si>
  <si>
    <t>GemeineuropÃ¤isches Privatrecht in RumÃ¤nien.</t>
  </si>
  <si>
    <t>Oliver Remien-Liviu Zidaru</t>
  </si>
  <si>
    <t>Die ErgÃ¤nzungsbilanz.</t>
  </si>
  <si>
    <t>Florian Kitzig</t>
  </si>
  <si>
    <t>Imperial Cities in the Tsarist, the Habsburg, and the Ottoman Empires</t>
  </si>
  <si>
    <t>Ulrich Hofmeister-Florian Riedler</t>
  </si>
  <si>
    <t>The Intonation of Expectations</t>
  </si>
  <si>
    <t>Fliessbach, Jan</t>
  </si>
  <si>
    <t>A Model of Sonority Based on Pitch Intelligibility</t>
  </si>
  <si>
    <t>Albert, Aviad</t>
  </si>
  <si>
    <t>Prosodic Boundary Phenomena</t>
  </si>
  <si>
    <t>SchubÃ¶, Fabian-Zerbian, Sabine-Hanne, Sandra-Wartenburger, Isabell</t>
  </si>
  <si>
    <t>Encyclopaedia of German Diatheses</t>
  </si>
  <si>
    <t>Cysouw, Michael</t>
  </si>
  <si>
    <t>On Reconstructing Proto-Bantu Grammar</t>
  </si>
  <si>
    <t>Bostoen, Koen-Schryver, Gilles-Maurice de-GuÃ©rois, Rozenn-Pacchiarotti, Sara</t>
  </si>
  <si>
    <t>A Grammar of Ulwa (Papua New Guinea)</t>
  </si>
  <si>
    <t>Barlow, Russell</t>
  </si>
  <si>
    <t>A Half Century of Romance Linguistics</t>
  </si>
  <si>
    <t>Bullock, Barbara E.-Russi, Cinzia-Toribio, Almeida Jacqueline</t>
  </si>
  <si>
    <t>Germanic Syntax</t>
  </si>
  <si>
    <t>MÃ¼ller, Stefan</t>
  </si>
  <si>
    <t>The Semantics of English -ment Nominalizations</t>
  </si>
  <si>
    <t>Kawaletz, Lea</t>
  </si>
  <si>
    <t>Computer-assisted Simultaneous Interpreting</t>
  </si>
  <si>
    <t>Prandi, Bianca</t>
  </si>
  <si>
    <t>PedagogÃ­a y desarrollo profesional</t>
  </si>
  <si>
    <t>CÃ¡lculo fraccionario. Variedad de Nehari, problema parabÃ³lico no lineal, derivadas fraccionarias, matemÃ¡ticas</t>
  </si>
  <si>
    <t>RaÃºl A. SÃ¡nchez Ancajima-Milton FabiÃ¡n PeÃ±aherrera Larenas-David ElÃ­as DÃ¡ger LÃ³pez-Janina Hellen Gutierrez Molina-Jhon Ronald Barros Naranjo</t>
  </si>
  <si>
    <t>Modelos predictivos para identificar probabilidades de recomendaciÃ³n</t>
  </si>
  <si>
    <t>William Rafael Raymondi Lomas-Sergio Israel PeÃ±a Guano</t>
  </si>
  <si>
    <t>La deserciÃ³n escolar en el sector rural. Un estudio de caso de las parroquias Tanicuchi y Guaytacama</t>
  </si>
  <si>
    <t>Martha Cecilia Cueva, Amparo de JesÃºs Romero Palacios-VÃ­ctor Hugo Romero GarcÃ­a-Evelyn VÃ¡squez Ortiz-Gina Silvana Venegas Ãlvarez-JosÃ© Ignacio Andrade MorÃ¡n</t>
  </si>
  <si>
    <t>El Internet como herramienta bÃ¡sica para los nuevos entornos de aprendizaje</t>
  </si>
  <si>
    <t>Pedro Wilfrido Alvarado Andino-Julio Roberto Medina AcuÃ±a-Gustavo Alejandro Marriott Zurita-Ana MarÃ­a Maruri Orellana-JosÃ© SalomÃ³n Castro Mera</t>
  </si>
  <si>
    <t>La educaciÃ³n inicial y su influencia en la dimensiÃ³n bio-psico-social infantil</t>
  </si>
  <si>
    <t>Wilma Ceiro CatasÃº-MÃ³nica Elizabeth Masaquiza Masaquiza-Nancy Cristina Mera Ramos: Diana Carolina Bonilla Romero-Carla BelÃ©n Santana JÃ¡come-Martha Cecilia Cueva-VerÃ³nica Elizabet BarragÃ¡n Moyano-Jazmina Azucena Moya Arteaga-VerÃ³nica del RocÃ­o BohÃ³rquez GuamÃ¡n</t>
  </si>
  <si>
    <t>Changing Cultures</t>
  </si>
  <si>
    <t>JoÃ£o Mascarenhas-Mateus</t>
  </si>
  <si>
    <t>Digitale Technik fÃ¼r ambulante Pflege und Therapie II</t>
  </si>
  <si>
    <t>Jahrbuch Migration Und Gesellschaft / Yearbook Migration and Society 2022/2023</t>
  </si>
  <si>
    <t>Leben und Altern mit â€ºgeistiger Behinderungâ€¹</t>
  </si>
  <si>
    <t>Michael BÃ¶rner</t>
  </si>
  <si>
    <t>Ecopoetic Place-Making</t>
  </si>
  <si>
    <t>Judith Rauscher</t>
  </si>
  <si>
    <t>Schulmusik fÃ¼r alle?</t>
  </si>
  <si>
    <t>Markus Cslovjecsek</t>
  </si>
  <si>
    <t>Quartier^4</t>
  </si>
  <si>
    <t>Agnes FÃ¶rster-Nina Berding-Angelina Bolten-Paula Erckmann</t>
  </si>
  <si>
    <t>Der Â»europÃ¤ische OrientÂ«</t>
  </si>
  <si>
    <t>JÃ¼disches Leben in Marburg</t>
  </si>
  <si>
    <t>Edith Franke-Alisha Meininghaus-Susanne Rodemeier</t>
  </si>
  <si>
    <t>Ruinen-Ã„sthetik</t>
  </si>
  <si>
    <t>Kevin BÃ¼cking</t>
  </si>
  <si>
    <t>Speak Up! â€“ Zum Umgang mit Fake News und Hate Speech</t>
  </si>
  <si>
    <t>Sabrina Kirschner-Tomke Lask</t>
  </si>
  <si>
    <t>Technik als Problem des Ausdrucks</t>
  </si>
  <si>
    <t>Katharina D. Martin</t>
  </si>
  <si>
    <t>Exploraciones subterrÃ¡neas</t>
  </si>
  <si>
    <t>MartÃ­n Fonck</t>
  </si>
  <si>
    <t>Pflege und Technik</t>
  </si>
  <si>
    <t>Hanna WÃ¼ller</t>
  </si>
  <si>
    <t>Cosmos and Republic</t>
  </si>
  <si>
    <t>Wolfgang R. Heuer</t>
  </si>
  <si>
    <t>Science Fiction im Radio</t>
  </si>
  <si>
    <t>Felix Wirth</t>
  </si>
  <si>
    <t>Wie postdigital schreiben?</t>
  </si>
  <si>
    <t>Hanna Hamel-Eva Stubenrauch</t>
  </si>
  <si>
    <t>Handbook Transdisciplinary Learning</t>
  </si>
  <si>
    <t>Thorsten Philipp-Tobias Schmohl</t>
  </si>
  <si>
    <t>Aging Experiments</t>
  </si>
  <si>
    <t>Â»EntwicklungÂ« als Paradigma</t>
  </si>
  <si>
    <t>Patrick Becker-Knut V.M. WormstÃ¤dt</t>
  </si>
  <si>
    <t>Entkoppelte Arbeitswelten</t>
  </si>
  <si>
    <t>Ina Krause</t>
  </si>
  <si>
    <t>AI â€“ Limits and Prospects of Artificial Intelligence</t>
  </si>
  <si>
    <t>Peter Klimczak-Christer Petersen</t>
  </si>
  <si>
    <t>Konviviale Technik</t>
  </si>
  <si>
    <t>Andrea Vetter</t>
  </si>
  <si>
    <t>Deliberative Constitution-making</t>
  </si>
  <si>
    <t>Min Reuchamps-Yanina Welp</t>
  </si>
  <si>
    <t>Flourish by Design</t>
  </si>
  <si>
    <t>Nick Dunn-Leon Cruickshank-Gemma Coupe</t>
  </si>
  <si>
    <t>Evaluating Sustainable Food System Innovations</t>
  </si>
  <si>
    <t>Ã‰lodie Valette-Alison Blay-Palmer-Beatrice Intoppa-Amanda Di Battista-OphÃ©lie Roudelle-GÃ©raldine Chaboud</t>
  </si>
  <si>
    <t>Haltungen</t>
  </si>
  <si>
    <t>Juliane Engel-Thorsten Fuchs-Christine Demmer-Christine Wiezorek</t>
  </si>
  <si>
    <t>Akademisierung des Hebammenwesens</t>
  </si>
  <si>
    <t>Barbara Fillenberg</t>
  </si>
  <si>
    <t>Juden in der christlichen Umwelt wÃ¤hrend des spÃ¤ten Mittelalters.</t>
  </si>
  <si>
    <t>Alfred Haverkamp-Franz-Josef Ziwes</t>
  </si>
  <si>
    <t>Historische Bildkunde.</t>
  </si>
  <si>
    <t>Brigitte Tolkemitt-Rainer Wohlfeil</t>
  </si>
  <si>
    <t>Debt and Redemption in the Blues</t>
  </si>
  <si>
    <t>MUSIC / Genres &amp; Styles / Blues</t>
  </si>
  <si>
    <t>Julia Simon</t>
  </si>
  <si>
    <t>African American Artists and the New Deal Art Programs</t>
  </si>
  <si>
    <t>ART / American / African American &amp; Black</t>
  </si>
  <si>
    <t>Mary Ann Calo</t>
  </si>
  <si>
    <t>The Linguistic Classification of the Reading Traditions of Biblical Hebrew</t>
  </si>
  <si>
    <t>The Era of Global Risk</t>
  </si>
  <si>
    <t xml:space="preserve"> SJ Beard-Martin Rees-Catherine Richards-Clarissa Rios Rojas</t>
  </si>
  <si>
    <t>Seabirds in the North-East Atlantic</t>
  </si>
  <si>
    <t xml:space="preserve"> Henry HÃ¤kkinen-Silviu O. Petrovan-Nigel G. Taylor-William J. Sutherland-Nathalie Pettorelli</t>
  </si>
  <si>
    <t>Research, Writing, and Creative Process in Open and Distance Education</t>
  </si>
  <si>
    <t xml:space="preserve"> Dianne Conrad</t>
  </si>
  <si>
    <t>A Relational Realist Vision for Education Policy and Practice</t>
  </si>
  <si>
    <t xml:space="preserve"> Basem Adi</t>
  </si>
  <si>
    <t>Graham P., Collins-Toby A., Eyre-Eliza, Hawkes</t>
  </si>
  <si>
    <t>Communities and Museums in the 21st Century</t>
  </si>
  <si>
    <t>Karen Brown-Alissandra Cummins-Ana S. GonzÃ¡lez Rueda</t>
  </si>
  <si>
    <t>Climatic and Ecological Change in the Americas</t>
  </si>
  <si>
    <t>James Andrew Whitaker-Chelsey Geralda Armstrong-Guillaume Odonne</t>
  </si>
  <si>
    <t>Innocenc Ladislav ÄŒervinka a jeho doba</t>
  </si>
  <si>
    <t>PavlÃ­na KalÃ¡bkovÃ¡-Petr Kostrhun-MiloÅ¡ Hlava (eds.)</t>
  </si>
  <si>
    <t>StudentskÃ¡ literÃ¡rnÄ›vÄ›dnÃ¡ konference 2022</t>
  </si>
  <si>
    <t>LubomÃ­r Machala-Jitka KorhoÅˆovÃ¡ (eds.)</t>
  </si>
  <si>
    <t>Equity Crowdfunding in Sports Clubs</t>
  </si>
  <si>
    <t>Szczepan KoÅ›ciÃ³Å‚ek</t>
  </si>
  <si>
    <t>Film and Place in an Intercultural Perspective</t>
  </si>
  <si>
    <t>Krzysztof Stachowiak-Hania Janta-Jani Kozina-Therese Sunngren-Granlund</t>
  </si>
  <si>
    <t>Smart Geotechnics for Smart Societies</t>
  </si>
  <si>
    <t>Askar Zhussupbekov-Assel Sarsembayeva-Victor N. Kaliakin</t>
  </si>
  <si>
    <t>Prototype of a Biomimetic Multi-Spiked Connecting Scaffold for a New Generation of Resurfacing Endoprostheses</t>
  </si>
  <si>
    <t>Ryszard Uklejewski-Piotr Rogala-Mariusz Winiecki</t>
  </si>
  <si>
    <t>Black Women Navigating the Doctoral Journey</t>
  </si>
  <si>
    <t>Sharon Fries-Britt-Bridget Turner Kelly</t>
  </si>
  <si>
    <t>Loneliness and Social Isolation in Old Age</t>
  </si>
  <si>
    <t>AndrÃ© Hajek-Steffi G. Riedel-Heller-Hans-Helmut KÃ¶nig</t>
  </si>
  <si>
    <t>Neue Studien zur frÃ¼hneuzeitlichen Reichsgeschichte.</t>
  </si>
  <si>
    <t>Johannes Kunisch</t>
  </si>
  <si>
    <t>FÃ¶deralismus-Rhetorik-Dekonstruktionen â€“ Rechtsdogmatik als Literaturdogmatik.</t>
  </si>
  <si>
    <t>Rico David NeugÃ¤rtner</t>
  </si>
  <si>
    <t>The European Investigation Order.</t>
  </si>
  <si>
    <t>Luca Petersen-Kai Ambos-Alexander Heinze-Peter Rackow-Miha Å epec</t>
  </si>
  <si>
    <t>Expansionen in der FrÃ¼hen Neuzeit.</t>
  </si>
  <si>
    <t>Renate DÃ¼rr-Gisela Engel-Johannes SÃ¼ÃŸmann</t>
  </si>
  <si>
    <t>Vormoderne politische Verfahren.</t>
  </si>
  <si>
    <t>Barbara Stollberg-Rilinger</t>
  </si>
  <si>
    <t>AufklÃ¤rung und Historische Semantik.</t>
  </si>
  <si>
    <t>Rolf Reichardt</t>
  </si>
  <si>
    <t>Gesetz und Gesetzgebung im Europa der FrÃ¼hen Neuzeit.</t>
  </si>
  <si>
    <t>Barbara DÃ¶lemeyer-Diethelm Klippel</t>
  </si>
  <si>
    <t>Der Fluch und der Eid.</t>
  </si>
  <si>
    <t>Peter Blickle</t>
  </si>
  <si>
    <t>Rahmenbedingungen und HandlungsspielrÃ¤ume europÃ¤ischer AuÃŸenpolitik im Zeitalter Ludwigs XIV.</t>
  </si>
  <si>
    <t>Heinz Duchhardt</t>
  </si>
  <si>
    <t>Kommunalisierung und Christianisierung.</t>
  </si>
  <si>
    <t>Peter Blickle-Johannes Kunisch</t>
  </si>
  <si>
    <t>Der europÃ¤ische Beobachter auÃŸereuropÃ¤ischer Kulturen.</t>
  </si>
  <si>
    <t>Hans-Joachim KÃ¶nig-Wolfgang Reinhard-Reinhard Wendt</t>
  </si>
  <si>
    <t>Das geographische Weltbild um 1300.</t>
  </si>
  <si>
    <t>Peter Moraw</t>
  </si>
  <si>
    <t>Analecta Fridericiana.</t>
  </si>
  <si>
    <t>Expansion und Gleichgewicht.</t>
  </si>
  <si>
    <t>The Routledge Handbook of Ecomedia Studies</t>
  </si>
  <si>
    <t>Antonio LÃ³pez-Adrian Ivakhiv-Stephen Rust-Miriam Tola-Alenda Y. Chang-Kiu-wai Chu</t>
  </si>
  <si>
    <t>International Students From Asia in Canadian Universities</t>
  </si>
  <si>
    <t>Ann Kim-Elizabeth Buckner-Jean Michel Montsion</t>
  </si>
  <si>
    <t>The Dybbuk Century</t>
  </si>
  <si>
    <t>Debra Caplan-Rachel Merrill Moss</t>
  </si>
  <si>
    <t>Smart Cities in Poland</t>
  </si>
  <si>
    <t>Izabela Jonek-Kowalska-RadosÅ‚aw Wolniak</t>
  </si>
  <si>
    <t>How Informal Institutions Matter</t>
  </si>
  <si>
    <t>Zeki Sarigil</t>
  </si>
  <si>
    <t>Ukraine's Patronal Democracy and the Russian Invasion</t>
  </si>
  <si>
    <t>BÃ¡lint Madlovics-BÃ¡lint Magyar</t>
  </si>
  <si>
    <t>More Nights Than Days</t>
  </si>
  <si>
    <t>Yudit Kiss</t>
  </si>
  <si>
    <t>From Borderland to Burgenland</t>
  </si>
  <si>
    <t>Ferenc JankÃ³</t>
  </si>
  <si>
    <t>Escaping Kakania</t>
  </si>
  <si>
    <t>Jan MrÃ¡zek</t>
  </si>
  <si>
    <t>Belarusian Nation-Building in Times of War and Revolution</t>
  </si>
  <si>
    <t>Lizaveta Kasmach</t>
  </si>
  <si>
    <t>A Culture of Curiosity</t>
  </si>
  <si>
    <t>Leonie Hannan</t>
  </si>
  <si>
    <t>FrÃ¼hneuzeitliche Bildungsgeschichte der Reformierten in konfessionsvergleichender Perspektive.</t>
  </si>
  <si>
    <t>Stefan Moesch-Heinz Schilling-Stefan Ehrenpreis</t>
  </si>
  <si>
    <t>Im Spannungsfeld von Staat und Kirche.</t>
  </si>
  <si>
    <t>Heinz Schilling-Marie-Antoinette Gross</t>
  </si>
  <si>
    <t>Kirchenzucht und Sozialdisziplinierung im frÃ¼hneuzeitlichen Europa.</t>
  </si>
  <si>
    <t>Heinz Schilling</t>
  </si>
  <si>
    <t>Unterwegssein im SpÃ¤tmittelalter.</t>
  </si>
  <si>
    <t>Dynastie und Herrschaftssicherung in der FrÃ¼hen Neuzeit.</t>
  </si>
  <si>
    <t>Heide Wunder</t>
  </si>
  <si>
    <t>Conflict-Sensitive Conservation</t>
  </si>
  <si>
    <t>Carl Bruch-Geeta Batra-Anupam Anand-Shehla Chowdhury-Sierra Killian</t>
  </si>
  <si>
    <t>Nordic Equality and Anti-Discrimination Laws in the Throes of Change</t>
  </si>
  <si>
    <t>Anne Hellum-Ingunn Ikdahl-Vibeke Strand-Eva-Maria Svensson</t>
  </si>
  <si>
    <t>The COVID-19 Pandemic and Its Economic, Social, and Political Impacts</t>
  </si>
  <si>
    <t>Dilek DemirbaÅŸ-Veysel Bozkurt-SayÄ±m Yorgun</t>
  </si>
  <si>
    <t>Resonances Against Fascism</t>
  </si>
  <si>
    <t>Laura Chiesa</t>
  </si>
  <si>
    <t>Following</t>
  </si>
  <si>
    <t>Anne Ganzert-Philip Hauser-Isabell Otto</t>
  </si>
  <si>
    <t>Covid-19: Molecular and Clinical Approach</t>
  </si>
  <si>
    <t>Bedia Ã‡akmakoÄŸlu-Sema SÄ±rma EkmekÃ§i-Umut Can KÃ¼Ã§Ã¼ksezer-Vuslat YÄ±lmaz-GÃ¼nnur Deniz</t>
  </si>
  <si>
    <t>9th International Congress of Turcology Proceedings Book</t>
  </si>
  <si>
    <t>Feryal Korkmaz</t>
  </si>
  <si>
    <t>Cumhuriyet'in 100. YÄ±lÄ±nda Tarihi YapÄ±larÄ±yla Ä°stanbul Ãœniversitesi</t>
  </si>
  <si>
    <t>Mahmut Ak-Ahmet Vefa Ã‡obanoÄŸlu-Fatih SarÄ±meÅŸe</t>
  </si>
  <si>
    <t>Global Studies on Management Information Systems</t>
  </si>
  <si>
    <t>Elif Kartal-Emre Akadal-GÃ¶khan Ã–venÃ§-Saeed Tabar</t>
  </si>
  <si>
    <t>OsmanlÄ±â€™dan Cumhuriyetâ€™e YÃ¼ksekÃ¶ÄŸrenim Diploma ve Belgeleri</t>
  </si>
  <si>
    <t>Emre DÃ¶len</t>
  </si>
  <si>
    <t>Transnationalization of Turkish Television Series</t>
  </si>
  <si>
    <t>Ã–zlem Arda-PÄ±nar Aslan-Constanza Mujica</t>
  </si>
  <si>
    <t>Youth not in Employment, Education or Training (NEET) in Turkey</t>
  </si>
  <si>
    <t>Levent Åžahin-Muhammed Erkam Kocakaya-Osman AkgÃ¼l</t>
  </si>
  <si>
    <t>Proceedings for the First Symposium on Space Economy, Space Law and Space Sciences</t>
  </si>
  <si>
    <t>Billur Engin BalÄ±n-Sinan AliÅŸ-Verda Neslihan AkÃ¼n</t>
  </si>
  <si>
    <t>Blue Homeland</t>
  </si>
  <si>
    <t>Cihat YaycÄ±</t>
  </si>
  <si>
    <t>International Studentsâ€™ Quality of Life: The Case of Istanbul University During Covid-19</t>
  </si>
  <si>
    <t>BaÅŸak IÅŸÄ±l Alpar</t>
  </si>
  <si>
    <t>Three Eras One Faculty</t>
  </si>
  <si>
    <t>Metin Ãœnver-HÃ¼seyin SarÄ±kaya</t>
  </si>
  <si>
    <t>Mucilage Problem in the Sea of Marmara</t>
  </si>
  <si>
    <t>MeriÃ§ Albay</t>
  </si>
  <si>
    <t>Current Methods and Applications in Econometrics (In Honor of Prof. Dr. Ahmet M. GÃ¶kÃ§en)</t>
  </si>
  <si>
    <t>NilgÃ¼n Ã‡il</t>
  </si>
  <si>
    <t>Aviation Psychology: Constructs, Research and Practices</t>
  </si>
  <si>
    <t>TRANSPORTATION / Aviation / General</t>
  </si>
  <si>
    <t>PÄ±nar Ãœnsal-Seda Ã‡eken</t>
  </si>
  <si>
    <t>Kaizen Philosophy in a Modern Day Business</t>
  </si>
  <si>
    <t>Dilek DemirbaÅŸ-Rhys Blackburn-David Bennett</t>
  </si>
  <si>
    <t>Islamic Perspective for Sustainable Financial System</t>
  </si>
  <si>
    <t>BUSINESS &amp; ECONOMICS / Islamic Banking &amp; Finance</t>
  </si>
  <si>
    <t>Mehmet SaraÃ§-Mohammed Kabir Hassan</t>
  </si>
  <si>
    <t>Approximation of Turkish Law With European Union Law Private Law</t>
  </si>
  <si>
    <t>Arslan Kaya-Baki Ä°lkay Engin-Ali PaslÄ±-Åžehriban Ä°pek AÅŸÄ±koÄŸlu-Elif OÄŸuz Åženesen</t>
  </si>
  <si>
    <t>Marmara Denizi'nin MÃ¼silaj Sorunu</t>
  </si>
  <si>
    <t>Digital Siege</t>
  </si>
  <si>
    <t>TECHNOLOGY &amp; ENGINEERING / Electronics / Digital</t>
  </si>
  <si>
    <t>Sevimece KaradoÄŸan Doruk-Seda MengÃ¼-Ebru Ulusoy</t>
  </si>
  <si>
    <t>Syrian Studentsâ€™ Participation in Higher Education in Turkey: An Institutional Perspective</t>
  </si>
  <si>
    <t>Zeynep Ã–zde AteÅŸok-AyÅŸegÃ¼l KomsuoÄŸlu-YeÅŸer YeÅŸim Ã–zer YÃ¼rÃ¼r</t>
  </si>
  <si>
    <t>Pandemic and the Critical Role of Knowledge Management</t>
  </si>
  <si>
    <t>SevinÃ§ GÃ¼lseÃ§en-Sushil Kumar Sharma-Fatma Ã–nay KoÃ§oÄŸlu</t>
  </si>
  <si>
    <t>The Body in the Fantastic and Cruel Tales of Maupassant</t>
  </si>
  <si>
    <t>Nedret Ã–ztokat KÄ±lÄ±Ã§eri</t>
  </si>
  <si>
    <t>Medical Informatics II</t>
  </si>
  <si>
    <t>NilgÃ¼n BozbuÄŸa-SevinÃ§ GÃ¼lseÃ§en-Vedat Kamer-BaÅŸak Kurtuldu</t>
  </si>
  <si>
    <t>Making the Planet More Habitable: Business Perspectives for Social Economy</t>
  </si>
  <si>
    <t>IÅŸÄ±l MendeÅŸ Pekdemir</t>
  </si>
  <si>
    <t>Galactic Astronomy Workshop Proceedings Book</t>
  </si>
  <si>
    <t>Serap Ak-SelÃ§uk Bilir</t>
  </si>
  <si>
    <t>Digital Transformation in Media &amp; Society</t>
  </si>
  <si>
    <t>AyÅŸen Akkor GÃ¼l-YÄ±ldÄ±z Dilek ErtÃ¼rk-Paul Elmer</t>
  </si>
  <si>
    <t>Contemporary Issues in Strategic Marketing</t>
  </si>
  <si>
    <t>Ahmet Kemal Åžekerkaya</t>
  </si>
  <si>
    <t>The City in History in Respect of Human and Space</t>
  </si>
  <si>
    <t>LITERARY CRITICISM / Subjects &amp; Themes / Culture, Race &amp; Ethnicity</t>
  </si>
  <si>
    <t>Metin Ãœnver-Mustafa TanrÄ±verdi</t>
  </si>
  <si>
    <t>On Interaction between the City and the Language(s): Individual to Society</t>
  </si>
  <si>
    <t>Seda GÃ¼ven-GÃ¶klem Tekdemir</t>
  </si>
  <si>
    <t>Medical Informatics III</t>
  </si>
  <si>
    <t>NilgÃ¼n BozbuÄŸa-SevinÃ§ GÃ¼lseÃ§en</t>
  </si>
  <si>
    <t>The 2nd International Prof. Dr. Fuat Sezgin Symposium on History of Science in Islam Proceedings Book</t>
  </si>
  <si>
    <t>Mehmet CÃ¼neyt Kaya-Nihal Ã–zdemir-GÃ¼rsel Aksoy</t>
  </si>
  <si>
    <t>The 1st International Prof. Dr. Fuat Sezgin Symposium on History Of Science in Islam Proceedings Book</t>
  </si>
  <si>
    <t>Fahameddin BaÅŸar-Mustafa KaÃ§ar-Mehmet CÃ¼neyt Kaya-AyÅŸe ZiÅŸan Furat</t>
  </si>
  <si>
    <t>The Effects of Technological Innovations on Competitiveness and Economic Growth</t>
  </si>
  <si>
    <t>Ercan SarÄ±doÄŸan-BÃ¼lent GÃ¼loÄŸlu-Christopher Hannum</t>
  </si>
  <si>
    <t>Post Covid Era: Future of Economies and World Order An Interdisciplinary Approach</t>
  </si>
  <si>
    <t>Mehmet Baykal-Jorge Haddock-Aziz DayanÄ±r</t>
  </si>
  <si>
    <t>Mehmet Akif and National Anthem on the 100th Anniversary of Its Adoption</t>
  </si>
  <si>
    <t>Arzu Terzi-Sinem Serin</t>
  </si>
  <si>
    <t>The Canterbury Tales: The Prologue</t>
  </si>
  <si>
    <t>Geoffrey Chaucer-Mine YazÄ±cÄ±-AslÄ± Pekiner Ergenekon</t>
  </si>
  <si>
    <t>1st Istanbul International Geography Congress Proceedings Book</t>
  </si>
  <si>
    <t>Barbaros GÃ¶nenÃ§gil-TopÃ§u Ahmet Ertek-Ä°smet Akova-Emre ElbaÅŸÄ±</t>
  </si>
  <si>
    <t>Turkish Germans in Turkiye</t>
  </si>
  <si>
    <t>Oya Topdemir KoÃ§yiÄŸit</t>
  </si>
  <si>
    <t>Volunteerism and Working with Volunteers</t>
  </si>
  <si>
    <t>SOCIAL SCIENCE / Volunteer Work</t>
  </si>
  <si>
    <t>Turkish Symbols</t>
  </si>
  <si>
    <t>REFERENCE / Signs &amp; Symbols</t>
  </si>
  <si>
    <t>GÃ¶zde Sazak</t>
  </si>
  <si>
    <t>The Relationship Between Art and Politics in the 19th Century Ottoman Empire: Institutionalization, Change and Continuity</t>
  </si>
  <si>
    <t>AyÅŸegÃ¼l KomsuoÄŸlu-Hikmet Toker-Federica Nardella</t>
  </si>
  <si>
    <t>The Aegean Sea and the Eastern Mediterranean in the Global and Regional Balance Based on the Axes of Geography, History, and International Law</t>
  </si>
  <si>
    <t>Mahmut Ak-Haluk Alkan-Metin Ãœnver</t>
  </si>
  <si>
    <t>Covid-19 Pandemisinin Ekonomik, Toplumsal ve Siyasal Etkileri</t>
  </si>
  <si>
    <t>Medical Informatics</t>
  </si>
  <si>
    <t>Essays on Disability History</t>
  </si>
  <si>
    <t>AyÅŸe Resa AydÄ±n-Ä°shak Keskin-Nevin Zeynep YelÃ§e</t>
  </si>
  <si>
    <t>A Comparative Analysis of Pre-Trial Procedure in Europe: The Search for an Ideal Model</t>
  </si>
  <si>
    <t>Edward Johnston-Rahime ErbaÅŸ-Dan Jasinski</t>
  </si>
  <si>
    <t>Philosophical Remarks on City And Right to the City</t>
  </si>
  <si>
    <t>Ã–zgÃ¼Ã§ GÃ¼ven-Murat Ertan KardeÅŸ</t>
  </si>
  <si>
    <t>Who Runs the World: Data</t>
  </si>
  <si>
    <t>COMPUTERS / Business &amp; Productivity Software / Databases</t>
  </si>
  <si>
    <t>SevinÃ§ GÃ¼lseÃ§en-Sushil Kumar Sharma-Emre Akadal</t>
  </si>
  <si>
    <t>Studies on Mawlawiyah, Mawlana and Sheikh Ghalib</t>
  </si>
  <si>
    <t>MÃ¼cahit KaÃ§ar-Ã–mer Arslan-Yasemin KarakuÅŸ</t>
  </si>
  <si>
    <t>Faces of Republican Turkey: Beyond the Modernization Hypothesis</t>
  </si>
  <si>
    <t>Emine Zeynep Suda-AteÅŸ Uslu-Emre Eren Korkmaz</t>
  </si>
  <si>
    <t>Body Cleaning and Ageing</t>
  </si>
  <si>
    <t>HEALTH &amp; FITNESS / Body Cleansing &amp; Detoxification</t>
  </si>
  <si>
    <t>Berrak Karaca ÅžalgamcÄ±oÄŸlu</t>
  </si>
  <si>
    <t>The United Nations and Its Conflict Resolution Role</t>
  </si>
  <si>
    <t>Muharrem Hilmi Ã–zev-AydÄ±n ErdoÄŸan</t>
  </si>
  <si>
    <t>Tour Operating Business</t>
  </si>
  <si>
    <t>ÅžÃ¼krÃ¼ Yarcan-GÃ¼rel Ã‡etin</t>
  </si>
  <si>
    <t>The Covid-19 Pandemic Global Risks and Uncertainties</t>
  </si>
  <si>
    <t>Nazan Susam</t>
  </si>
  <si>
    <t>DÃ¢rÃ¼lfÃ¼nun Edebiyat FakÃ¼ltesi MecmuasÄ± SeÃ§me Makaleler</t>
  </si>
  <si>
    <t>Mehmet SamsakÃ§Ä±-Sevim GÃ¼ldÃ¼rmez</t>
  </si>
  <si>
    <t>The City: Literary Encounters</t>
  </si>
  <si>
    <t>Erman GÃ¶ren-Ebru Yener GÃ¶kÅŸenli-Mehmet Åžerif Eskin-BÃ¼lent Ã‡aÄŸlakpÄ±nar</t>
  </si>
  <si>
    <t>Turkish Foreign Policy During Ataturkâ€™s Era 1920-1938: Caucasia, Balkans, Middle East From Political, Economic, Social and Cultural Aspects</t>
  </si>
  <si>
    <t>Cezmi Eraslan</t>
  </si>
  <si>
    <t>Languages and Meaning of the City</t>
  </si>
  <si>
    <t>Jacques Fontanille-Nedret Ã–ztokat KÄ±lÄ±Ã§eri-BÃ¼lent Ã‡aÄŸlakpÄ±nar</t>
  </si>
  <si>
    <t>Emigration of Science</t>
  </si>
  <si>
    <t>Sevtap Ä°shakoÄŸlu KadÄ±oÄŸlu-Gaye ÅžahinbaÅŸ ErginÃ¶z</t>
  </si>
  <si>
    <t>The Societal Impacts of Covid-19: A Transnational Perspective</t>
  </si>
  <si>
    <t>Veysel Bozkurt-Glenn Dawes-Hakan GÃ¼lerce-Patricia Westenbroek</t>
  </si>
  <si>
    <t>Essays on Disability Studies</t>
  </si>
  <si>
    <t>AyÅŸe Resa AydÄ±n-Ä°shak Keskin</t>
  </si>
  <si>
    <t>GÃ¶nÃ¼llÃ¼lÃ¼k ve GÃ¶nÃ¼llÃ¼lerle Birlikte Ã‡alÄ±ÅŸmak</t>
  </si>
  <si>
    <t>Contemporary Turkish â€“ Russian Relations From Past to Future</t>
  </si>
  <si>
    <t>Ä°lyas Topsakal-Ali Askerov</t>
  </si>
  <si>
    <t>St. Petersburg State Hermitage Museum's Golden Hun Treasures and Blessed Meanings</t>
  </si>
  <si>
    <t>Irina P. Zasetskaya-GÃ¶zde Sazak</t>
  </si>
  <si>
    <t>34. International Public Finance Conference</t>
  </si>
  <si>
    <t>Salim AteÅŸ Oktar-Â Yasemin TaÅŸkÄ±n</t>
  </si>
  <si>
    <t>Human Computer Interaction: Research and Applications</t>
  </si>
  <si>
    <t>SevinÃ§ GÃ¼lseÃ§en-Kerem RÄ±zvanoÄŸlu-NilgÃ¼n Tosun-Emre Akadal</t>
  </si>
  <si>
    <t>Suburbia and Rural Landscapes in Medieval Sicily</t>
  </si>
  <si>
    <t>Angelo Castrorao Barba-Giuseppe MandalÃ </t>
  </si>
  <si>
    <t>Growing Up in the Cis-Baikal Region of Siberia, Russia</t>
  </si>
  <si>
    <t>Victoria van der Haas</t>
  </si>
  <si>
    <t>A Comprehensive Survey of Rock Art in Upper Tibet: Volume I</t>
  </si>
  <si>
    <t>Demystifying Intelligent Multimode Security Systems</t>
  </si>
  <si>
    <t>Jody Booth-Werner Metz-Anahit Tarkhanyan-Sunil Cheruvu</t>
  </si>
  <si>
    <t>Irish Gothic</t>
  </si>
  <si>
    <t>Jarlath Killeen-Christina Morin</t>
  </si>
  <si>
    <t>Neo-traditionalism in Islam in the West</t>
  </si>
  <si>
    <t>Walaa Quisay</t>
  </si>
  <si>
    <t>Iconoclasm in European Cinema</t>
  </si>
  <si>
    <t>Chiara Quaranta</t>
  </si>
  <si>
    <t>Saint Paul and Contemporary European Philosophy</t>
  </si>
  <si>
    <t>Gert-Jan van der Heiden</t>
  </si>
  <si>
    <t>Insidious Capital</t>
  </si>
  <si>
    <t>The UNHCR and the Afghan Crisis</t>
  </si>
  <si>
    <t>Giulia Scalettaris</t>
  </si>
  <si>
    <t>Translocal Care Across Kosovoâ€™s Borders</t>
  </si>
  <si>
    <t>Carolin Leutloff-Grandits</t>
  </si>
  <si>
    <t>An Anthropology of Intellectual Exchange</t>
  </si>
  <si>
    <t>Jacob Copeman-Lam Minh Chau-Joanna Cook-Nicholas J. Long-Magnus Marsden</t>
  </si>
  <si>
    <t>Beyond the Social Contract</t>
  </si>
  <si>
    <t>Nicolette Makovicky-Robin Smith</t>
  </si>
  <si>
    <t>Cryptopolitics</t>
  </si>
  <si>
    <t>Victoria Bernal-Katrien Pype-Daivi Rodima-Taylor</t>
  </si>
  <si>
    <t>From Village Commons to Public Goods</t>
  </si>
  <si>
    <t>Anne-Christine TrÃ©mon</t>
  </si>
  <si>
    <t>Cosmopolitan Norms and European Values</t>
  </si>
  <si>
    <t>Marie GÃ¶bel-Andreas Niederberger</t>
  </si>
  <si>
    <t>Linguistics for Legal Interpretation</t>
  </si>
  <si>
    <t>Terrence R Carney</t>
  </si>
  <si>
    <t>Research on the Letter to the Galatians: 2000-2020. Volume 2</t>
  </si>
  <si>
    <t>D. Francois Tolmie</t>
  </si>
  <si>
    <t>Research on the Letter to the Galatians: 2000-2020. Volume 1</t>
  </si>
  <si>
    <t>Research Mentorship</t>
  </si>
  <si>
    <t>REFERENCE / Research</t>
  </si>
  <si>
    <t>Professionalism</t>
  </si>
  <si>
    <t>ArchitekturfakultÃ¤t der Technischen UniversitÃ¤t Graz-Anne Femmer-Alex Lehnerer-Florian Summa</t>
  </si>
  <si>
    <t>Religion and Cult in the Dodecanese During the First Millennium BC</t>
  </si>
  <si>
    <t>Maria Achiola-Manolis I. Stefanakis-Georgios Mavroudis-Fani K. Seroglou</t>
  </si>
  <si>
    <t>Mirrors of Salt: Proceedings of the First International Congress on the Anthropology of Salt</t>
  </si>
  <si>
    <t>Marius Alexianu-Roxana-Gabriela CurcÄƒ-Olivier Weller-Ashley A. Dumas</t>
  </si>
  <si>
    <t>Claves para la definiciÃ³n de un paisaje cultural</t>
  </si>
  <si>
    <t>Desiderio Vaquerizo-Gil-Ana Ruiz-Osuna-BelÃ©n VÃ¡zquez-Navajas</t>
  </si>
  <si>
    <t>Digital Transformation</t>
  </si>
  <si>
    <t xml:space="preserve"> Mathias CÃ¶ster-Mats Danielson-Love Ekenberg-Cecilia Gullberg-Gard Titlestad-Alf Westelius-Gunnar Wettergren</t>
  </si>
  <si>
    <t>Destins De Femmes</t>
  </si>
  <si>
    <t>Trust Responsibly</t>
  </si>
  <si>
    <t>Jakob Ohlhorst</t>
  </si>
  <si>
    <t>Epistemic Ambivalence</t>
  </si>
  <si>
    <t>Daniel Medeiros de Freitas-Carolina Maria Soares Lima-Krzysztof Nawratek-Bernardo Miranda Pataro</t>
  </si>
  <si>
    <t>Age in David Almondâ€™s Oeuvre</t>
  </si>
  <si>
    <t>Vanessa Joosen-Michelle Anya Anjirbag-Leander Duthoy-Lindsey Geybels-Frauke Pauwels-Emma-Louise Silva</t>
  </si>
  <si>
    <t>De aquÃ­ a Lima. Estudios fraseolÃ³gicos del espaÃ±ol de EspaÃ±a e HispanoamÃ©rica</t>
  </si>
  <si>
    <t>Elena Dal Maso</t>
  </si>
  <si>
    <t>Orienti migranti: tra letteratura e traduzione</t>
  </si>
  <si>
    <t>Sona Haroutyunian-Dario Miccoli</t>
  </si>
  <si>
    <t>Moving Spaces</t>
  </si>
  <si>
    <t>Susanne Franco-Gabriella Giannachi</t>
  </si>
  <si>
    <t>Osservatorio Nazionale sulle reti dâ€™impresa 2022</t>
  </si>
  <si>
    <t>Â«Lâ€™umanesimo della parolaÂ»</t>
  </si>
  <si>
    <t>Valerio Vianello-Alberto Zava</t>
  </si>
  <si>
    <t>Questioni di donne</t>
  </si>
  <si>
    <t>Elisabetta Lurgo</t>
  </si>
  <si>
    <t>Oltre le mostre</t>
  </si>
  <si>
    <t>Mauro Brunello-Valentina De Martino-Maria Speranza Storace</t>
  </si>
  <si>
    <t>Il tesoro di Cipro</t>
  </si>
  <si>
    <t>Lorenzo Calvelli</t>
  </si>
  <si>
    <t>Storie della Biennale di Venezia</t>
  </si>
  <si>
    <t>Stefania Portinari-Nico Stringa</t>
  </si>
  <si>
    <t>Migration and Torture in Todayâ€™s World</t>
  </si>
  <si>
    <t>Fabio Perocco</t>
  </si>
  <si>
    <t>The Tongbai Palace and Its Daoist Communities: A History</t>
  </si>
  <si>
    <t>RELIGION / Taoism</t>
  </si>
  <si>
    <t>Jacopo Scarin</t>
  </si>
  <si>
    <t>LibertÃ , gabbie, vie dâ€™uscita</t>
  </si>
  <si>
    <t>Massimo Ciaravolo</t>
  </si>
  <si>
    <t>Arte, legge, restauro</t>
  </si>
  <si>
    <t>Chiara Mannoni</t>
  </si>
  <si>
    <t>La linguistica educativa tra ricerca e sperimentazione</t>
  </si>
  <si>
    <t>Paolo E. Balboni-Fabio Caon-Marcella Menegale-Graziano Serragiotto</t>
  </si>
  <si>
    <t>Osservatorio sulle trasformazioni dellâ€™ecosistema automotive italiano 2022</t>
  </si>
  <si>
    <t>La res publica di Galeazzo Gualdo Priorato (1606-1678)</t>
  </si>
  <si>
    <t>Alessandro Metlica-Enrico Zucchi</t>
  </si>
  <si>
    <t>Space Oddity: Exercises in Art and Philosophy</t>
  </si>
  <si>
    <t>Giulia Gelmi-Anastasia Kozachenko-Stravinsky-Andrea Nalesso</t>
  </si>
  <si>
    <t>Stoneyards and Artists in Gandhara</t>
  </si>
  <si>
    <t>Luca M. Olivieri</t>
  </si>
  <si>
    <t>I francescani cinesi e la traduzione della Bibbia</t>
  </si>
  <si>
    <t>Raissa De Gruttola</t>
  </si>
  <si>
    <t>Il bilinguismo italiano-dialetto in Sicilia</t>
  </si>
  <si>
    <t>Vincenzo NicolÃ² Di Caro</t>
  </si>
  <si>
    <t>Grammatica della lingua dei segni italiana (LIS)</t>
  </si>
  <si>
    <t>Chiara Branchini-Lara Mantovan</t>
  </si>
  <si>
    <t>Sostenibilart</t>
  </si>
  <si>
    <t>Lydia Griaznova-Maria Redaelli</t>
  </si>
  <si>
    <t>Geo-Heliocentric Controversies</t>
  </si>
  <si>
    <t>LuÃ­s Miguel Carolino</t>
  </si>
  <si>
    <t>Â«A riveder la chinaÂ»</t>
  </si>
  <si>
    <t>Leonardo Canova-Luca Lombardo-Paolo Rigo</t>
  </si>
  <si>
    <t>Safavids in Venetian and European Sources</t>
  </si>
  <si>
    <t>Ahmad Guliyev</t>
  </si>
  <si>
    <t>Layers of Venice</t>
  </si>
  <si>
    <t>Michela Agazzi-Gianmario Guidarelli-Myriam Pilutti Namer</t>
  </si>
  <si>
    <t>Armenia, Caucaso e Asia Centrale</t>
  </si>
  <si>
    <t>Daniele Artoni-Carlo Frappi-Paolo Sorbello</t>
  </si>
  <si>
    <t>Religion, Education, and the â€˜Eastâ€™</t>
  </si>
  <si>
    <t>Giovanni Lapis</t>
  </si>
  <si>
    <t>Iberismo(s)</t>
  </si>
  <si>
    <t>Enric Bou-Silvia Lunardi</t>
  </si>
  <si>
    <t>Foreigners in Their Own Country</t>
  </si>
  <si>
    <t>Lawrence M. Martin</t>
  </si>
  <si>
    <t>Preventing Prison Violence</t>
  </si>
  <si>
    <t>Armon J. Tamatea-Andrew J. Day-David J. Cooke</t>
  </si>
  <si>
    <t>Disability, Sexuality, and Gender in Asia</t>
  </si>
  <si>
    <t>Wanhong Zhang-Elisabeth BjÃ¸rnstÃ¸l-Peng Ding-Wei Gao-Hanxu Liu-Yijun Liu</t>
  </si>
  <si>
    <t>Transforming VÃ²dÃºn</t>
  </si>
  <si>
    <t>Sarah Politz</t>
  </si>
  <si>
    <t>In Defense of Free Speech in Universities</t>
  </si>
  <si>
    <t>Amy T.Y. Lai</t>
  </si>
  <si>
    <t>The Soviet Nuclear Archipelago</t>
  </si>
  <si>
    <t>Per HÃ¶gselius-Achim KlÃ¼ppelberg</t>
  </si>
  <si>
    <t>KÃ¼nstliche Intelligenz und GefÃ¤hrdungshaftung im Ã¶ffentlichen Recht.</t>
  </si>
  <si>
    <t>Laura Katharina Pauli</t>
  </si>
  <si>
    <t>Self-Leadership in Sozialen Organisationen</t>
  </si>
  <si>
    <t>Julian LÃ¶he-Jana Kunze</t>
  </si>
  <si>
    <t>Lokale Antworten auf aufenthaltsrechtliche PrekaritÃ¤t</t>
  </si>
  <si>
    <t>Ilker AtaÃ§-Simon GÃ¼ntner-Adrienne Homberger-Maren Kirchhoff</t>
  </si>
  <si>
    <t>Evaluation einer ProfessionalisierungsmaÃŸnahme fÃ¼r inklusiven Englischunterricht</t>
  </si>
  <si>
    <t>Katharina BÃ¶hm</t>
  </si>
  <si>
    <t>Schamdynamiken in der stationÃ¤ren Betreuung Jugendlicher</t>
  </si>
  <si>
    <t>Sara Blumenthal</t>
  </si>
  <si>
    <t>SpielrÃ¤ume der Ordnungen</t>
  </si>
  <si>
    <t>Serafina Morrin</t>
  </si>
  <si>
    <t>Real-Life Decision-Making</t>
  </si>
  <si>
    <t>Mats Danielson-Love Ekenberg</t>
  </si>
  <si>
    <t>Roy and Zhores Medvedev</t>
  </si>
  <si>
    <t>Academic Studies Press</t>
  </si>
  <si>
    <t>BIOGRAPHY &amp; AUTOBIOGRAPHY / Social Activists</t>
  </si>
  <si>
    <t>Barbara Martin</t>
  </si>
  <si>
    <t>The Dialectic of Ressentiment</t>
  </si>
  <si>
    <t>Sjoerd van Tuinen</t>
  </si>
  <si>
    <t>Empathyâ€™s Role in Understanding Persons, Literature, and Art</t>
  </si>
  <si>
    <t>Thomas Petraschka-Christiana Werner</t>
  </si>
  <si>
    <t>National Courts and the Application of EU Law</t>
  </si>
  <si>
    <t>Monika DomaÅ„ska-Dawid MiÄ…sik-Monika Szwarc</t>
  </si>
  <si>
    <t>Gender Smart Mobility</t>
  </si>
  <si>
    <t>Hilda RÃ¸mer Christensen-Michala Hvidt Breengaard-Lena Levin</t>
  </si>
  <si>
    <t>Human Language Technologies As a Challenge for Computer Science and Linguistics â€“ 2023</t>
  </si>
  <si>
    <t>Zygmunt Vetulani-Patrick Paroubek</t>
  </si>
  <si>
    <t>Ending Famine in India</t>
  </si>
  <si>
    <t>Joanna Simonow</t>
  </si>
  <si>
    <t>Religious Life in the Late Soviet Union</t>
  </si>
  <si>
    <t>Barbara Martin-Nadezhda Beliakova</t>
  </si>
  <si>
    <t>Exploring the Narratives and Agency of Children with Migrant Backgrounds Within Schools</t>
  </si>
  <si>
    <t>Claudio Baraldi</t>
  </si>
  <si>
    <t>Das Bundesverfassungsgericht als kindschaftsrechtliche Superberufungsinstanz?</t>
  </si>
  <si>
    <t>Jakob Beaucamp</t>
  </si>
  <si>
    <t>Dilemmas in Public Management in Greater China and Australia</t>
  </si>
  <si>
    <t>Hon S. Chan-Andrew Podger-Tsai-tsu Su-John Wanna</t>
  </si>
  <si>
    <t>Chains</t>
  </si>
  <si>
    <t>Linda Jaivin-Esther Sunkyung Klein-Annie Luman Ren</t>
  </si>
  <si>
    <t>Russia's Imperial Endeavor and Its Geopolitical Consequences</t>
  </si>
  <si>
    <t>Anti-fascism in European History</t>
  </si>
  <si>
    <t>JoÅ¾e Pirjevec-Egon Pelikan-Sabrina P. Ramet</t>
  </si>
  <si>
    <t>Advertising As a Creative Industry</t>
  </si>
  <si>
    <t>Izabela Derda</t>
  </si>
  <si>
    <t>The Inconvenient Lonnie Johnson</t>
  </si>
  <si>
    <t>The Living From the Dead</t>
  </si>
  <si>
    <t>Stuart J. Murray</t>
  </si>
  <si>
    <t>Negotiating the Christian Past in China</t>
  </si>
  <si>
    <t>RELIGION / Christianity / Protestant</t>
  </si>
  <si>
    <t>Jifeng Liu</t>
  </si>
  <si>
    <t>Women in German Expressionism</t>
  </si>
  <si>
    <t>Anke Finger-Julie Shoults</t>
  </si>
  <si>
    <t>Walking the Gendered Tightrope</t>
  </si>
  <si>
    <t>Melissa Haussman-Karen M. Kedrowski</t>
  </si>
  <si>
    <t>Racing the Great White Way</t>
  </si>
  <si>
    <t>Katie N. Johnson</t>
  </si>
  <si>
    <t>International Organizations and Research Methods</t>
  </si>
  <si>
    <t>Fanny Badache-Leah R. Kimber-Lucile Maertens</t>
  </si>
  <si>
    <t>Congo Style</t>
  </si>
  <si>
    <t>Ruth Sacks</t>
  </si>
  <si>
    <t>Der unsichtbare Wohnraum</t>
  </si>
  <si>
    <t>Daniel Fuhrhop</t>
  </si>
  <si>
    <t>Staatliche Cyberkonflikte</t>
  </si>
  <si>
    <t>Kerstin Zettl-Schabath</t>
  </si>
  <si>
    <t>KlÃ¶ster als Konsumenten am Wiener Musikalienmarkt</t>
  </si>
  <si>
    <t>MUSIC / Musical Instruments / General</t>
  </si>
  <si>
    <t>Christiane Maria Hornbachner</t>
  </si>
  <si>
    <t>Solidarische Mittelvergabe</t>
  </si>
  <si>
    <t>Christoph Rodatz-Uta Atzpodien-Christian Berens-Sebastian Brohn-Anna BrÃ¼ndl-M Hasan Hera-Moritz Kotzerke-Walbrodt</t>
  </si>
  <si>
    <t>Modenetze â€“ ModeschwÃ¤rme</t>
  </si>
  <si>
    <t>Anna Kamneva-Wortmann</t>
  </si>
  <si>
    <t>Actor &amp; Avatar</t>
  </si>
  <si>
    <t>Dieter Mersch-Anton Rey-Thomas Grunwald-JÃ¶rg Sternagel-Lorena Kegel-Miriam Laura Loertscher</t>
  </si>
  <si>
    <t>GefÃ¼hlspolitische Selbst-Bildung</t>
  </si>
  <si>
    <t>POLITICAL SCIENCE / Commentary &amp; Opinion</t>
  </si>
  <si>
    <t>Frederik Metje</t>
  </si>
  <si>
    <t>Indian Architecture in Postcards</t>
  </si>
  <si>
    <t>Ã‰lÃ©onore Muhidine</t>
  </si>
  <si>
    <t>Digitale DesÃ¶konomie</t>
  </si>
  <si>
    <t>COMPUTERS / Electronic Commerce</t>
  </si>
  <si>
    <t>Sebastian Althoff</t>
  </si>
  <si>
    <t>Ukraine's Many Faces</t>
  </si>
  <si>
    <t>Olena Palko-Manuel FÃ©rez Gil</t>
  </si>
  <si>
    <t>ArbeitskÃ¤mpfe und Land Grabbing</t>
  </si>
  <si>
    <t>Jan Brunner</t>
  </si>
  <si>
    <t>Gewissensbisse â€“ Fallbeispiele zu ethischen Problemen der Informatik</t>
  </si>
  <si>
    <t>Wolfgang Coy-Constanze Kurz-Otto Obert-Rainer Rehak-Carsten Trinitis-Stefan Ullrich-Debora Weber-Wulff-Christina B. Class</t>
  </si>
  <si>
    <t>Globale GetreidemÃ¤rkte</t>
  </si>
  <si>
    <t>JÃ¶rg Gertel</t>
  </si>
  <si>
    <t>To the Last Drop â€“ Affective Economies of Extraction and Sentimentality</t>
  </si>
  <si>
    <t>Axelle Germanaz-Daniela GutiÃ©rrez Fuentes-Sarah Marak-Heike Paul</t>
  </si>
  <si>
    <t>Needful Structures</t>
  </si>
  <si>
    <t>Marcel Siegler</t>
  </si>
  <si>
    <t>Hochschuldidaktik als Wissenschaft</t>
  </si>
  <si>
    <t>RÃ¼diger Rhein-Johannes Wildt</t>
  </si>
  <si>
    <t>Ressource Â»SchrifttrÃ¤gerÂ«</t>
  </si>
  <si>
    <t>Martin Bartelmus-Yashar Mohagheghi-Sergej Rickenbacher</t>
  </si>
  <si>
    <t>Wallerstein 2.0</t>
  </si>
  <si>
    <t>Frank Jacob</t>
  </si>
  <si>
    <t>Families Mental Health and Challenges in the 21st Century</t>
  </si>
  <si>
    <t>Syamsul Arifin-Salis Yuniardi-Diah Karmiyati-Iswinarti-Nida Hasanati-Tulus Winarsunu-Cahyaning Suryaningrum</t>
  </si>
  <si>
    <t>Queer Reflections on AI</t>
  </si>
  <si>
    <t>Michael Klipphahn-Karge-Ann-Kathrin Koster-Sara Morais dos Santos Bruss</t>
  </si>
  <si>
    <t>Afterlives of War</t>
  </si>
  <si>
    <t>Michael Roper</t>
  </si>
  <si>
    <t>Ageing in Place in Urban Environments</t>
  </si>
  <si>
    <t>Tine Buffel-Chris Phillipson</t>
  </si>
  <si>
    <t>Master Mathematics Teachers</t>
  </si>
  <si>
    <t>Zhenzhen Miao-Christian Bokhove-David Reynolds</t>
  </si>
  <si>
    <t>The Materiality of Nothing</t>
  </si>
  <si>
    <t>Helen Holmes</t>
  </si>
  <si>
    <t>Ebenezer Mission Station, 1863â€“1873</t>
  </si>
  <si>
    <t>Felicity Jensz</t>
  </si>
  <si>
    <t>For Palestine</t>
  </si>
  <si>
    <t xml:space="preserve"> Ian Parker</t>
  </si>
  <si>
    <t>InnovaciÃ³n educativa y formaciÃ³n docente. Ãšltimas aportaciones en la investigaciÃ³n</t>
  </si>
  <si>
    <t>Anguita Osuna, JosÃ© Enrique (Editor)-HernÃ¡n Losada, Isidoro (Editor)</t>
  </si>
  <si>
    <t>CurrÃ­culum, didÃ¡ctica y los objetivos de desarrollo sostenible (ODS): reflexiones, experiencias y miradas.</t>
  </si>
  <si>
    <t>PizÃ -Mir, BartolomÃ© (Coordinador)-FernÃ¡ndez FernÃ¡ndez, Juan Gabriel (Coordinador)-CortÃ¨s Ferrer, MarÃ­a Magdalena (Coordinador)-GarcÃ­a Taibo, Olalla (Coordinador)-Baena Morales, Salvador (Coordinador)</t>
  </si>
  <si>
    <t>Â¿Y ahora quÃ©? DiseÃ±o y desarrollo de la imagen personal y corporativa. SelecciÃ³n de mejores trabajos</t>
  </si>
  <si>
    <t>RodrÃ­guez de Austria, Alfonso (Editor)-LÃ³pez Raya, MarÃ­a Luisa (Editor)-GÃ³mez Carmona, Diego (Editor)</t>
  </si>
  <si>
    <t>Enfoques innovadores en el proceso de enseÃ±anza-aprendizaje en las universidades hispanohablantes.</t>
  </si>
  <si>
    <t>PeÃ±a Estrada, Claudia Cintya (Coordinador)-Carranza AlcÃ¡ntar, MarÃ­a del RocÃ­o (Coordinador)-Ruiz SÃ¡nchez, Rosana (Coordinador)-Islas Torres, Claudia (Coordinador)</t>
  </si>
  <si>
    <t>Aprendizaje fÃ­sicamente activo: fundamentos teÃ³ricos y estrategias prÃ¡cticas para la materia de matemÃ¡ticas en 1Âº y 2Âº de ESO.</t>
  </si>
  <si>
    <t>Camiletti-MoirÃ³n, Daniel-Â Grao-Cruces, Alberto-Â SÃ¡nchez-Oliva, David</t>
  </si>
  <si>
    <t>La ProtecciÃ³n Social del Trabajo por Cuenta Ajena del Sector Agrario. AnÃ¡lisis y Propuestas.</t>
  </si>
  <si>
    <t>GarcÃ­a Gil, MarÃ­a BegoÃ±a-Â Lasaosa Irigoyen, Elena</t>
  </si>
  <si>
    <t>La formulaciÃ³n jurÃ­dica del libre desarrollo de la personalidad.</t>
  </si>
  <si>
    <t>Miraut MartÃ­n, Laura</t>
  </si>
  <si>
    <t>FilosofÃ­a para juristas.</t>
  </si>
  <si>
    <t>ArÃ¡nguez SÃ¡nchez, Tasia</t>
  </si>
  <si>
    <t>Feminismo en la lÃ­nea del tiempo, desde las (in)visibilidades al concepto de felicidad.</t>
  </si>
  <si>
    <t>BandrÃ©s-GoldÃ¡raz, Elena (Coordinador)</t>
  </si>
  <si>
    <t>Un mundo en aceleraciÃ³n: las ciencias jurÃ­dicas, econÃ³micas y sociales ante los retos del siglo XXI.</t>
  </si>
  <si>
    <t>Fillol Mazo, Adriana-Â PÃ©rez Calle, Ricardo</t>
  </si>
  <si>
    <t>Nuevas investigaciones y perspectivas sobre literatura, cultura y pensamiento.</t>
  </si>
  <si>
    <t>Flores Borjabad, Salud Adelaida-Â Grana, Romina-Â Respaldiza Salas, Inmaculada</t>
  </si>
  <si>
    <t>Nuevas tecnologÃ­as y aproximaciones a estudios sobre lengua, lingÃ¼Ã­stica y traducciÃ³n.</t>
  </si>
  <si>
    <t>La comunicaciÃ³n en un contexto convulso.</t>
  </si>
  <si>
    <t>Figuereo BenÃ­tez, Juan C. (Coordinador)</t>
  </si>
  <si>
    <t>InvestigaciÃ³n y modelos de formaciÃ³n en el nivel medio y superior.</t>
  </si>
  <si>
    <t>Avelar Ãlvarez, MarÃ­a Esther-Â Islas Torres, Claudia-Â Ruiz SÃ¡nchez, Rosana-Â SolÃ³rzano PeÃ±a, MarÃ­a Amelia</t>
  </si>
  <si>
    <t>Reflexiones y experiencias innovadoras de educaciÃ³n en el nivel medio y superior en la modalidad virtual.</t>
  </si>
  <si>
    <t>Avelar Ãlvarez, MarÃ­a Esther-Carranza AlcÃ¡ntar, MarÃ­a del RocÃ­o-Delgado GonzÃ¡lez, MarÃ­a del Consuelo</t>
  </si>
  <si>
    <t>Pensamiento, arte y comunicaciÃ³n: la importancia de hacer llegar el mensaje.</t>
  </si>
  <si>
    <t>Navarro Sierra, Nuria (Coordinador)-Vinader Segura, Raquel (Coordinador)-Serrano Villalobos, Olga (Coordinador)</t>
  </si>
  <si>
    <t>Migraciones internacionales y sostenibilidad social.</t>
  </si>
  <si>
    <t>BlÃ¡zquez RodrÃ­guez, Irene-Â MartÃ­n LÃ³pez, Miguel Ãngel</t>
  </si>
  <si>
    <t>Recorridos didÃ¡cticos de las ciencias sociales y humanas: la cultura que nos da forma.</t>
  </si>
  <si>
    <t>BauÃ§Ã  de MirabÃ² Gralla, ConcepciÃ³ (Coordinador)-Matas Pastor, Joan Josep (Coordinador)-Capriles GonzÃ¡lez, Irina (Coordinador)-PizÃ -Mir, BartolomÃ© (Coordinador)</t>
  </si>
  <si>
    <t>La comunicaciÃ³n y el lenguaje entre las personas: herramientas didÃ¡cticas para el desarrollo de las sociedades.</t>
  </si>
  <si>
    <t>Batres Vara, Arantxa-Â PizÃ -Mir, BartolomÃ©-Â Planisi Gili, Herminia Pilar-Â SuÃ¡rez Vilagran, MarÃ­a del Mar-Â Torrente MartÃ­nez, MarÃ­a JesÃºs</t>
  </si>
  <si>
    <t>Viaje didÃ¡ctico por el cuerpo y la mente: experiencia desde la abstracciÃ³n cientÃ­fico-matemÃ¡tica a la educaciÃ³n fÃ­sica.</t>
  </si>
  <si>
    <t>Cunil Monjo, Vanessa-Â Fuentes, Antonio-Â GonzÃ¡lez FernÃ¡ndez, Francisco TomÃ¡s-Â Monserrat Monserrat, MarÃ­a Ventura-Â PizÃ  Mir, BartolomÃ©-Â Quilez MaimÃ³n, Arturo</t>
  </si>
  <si>
    <t>Proyectos y enfoques innovadores para la didÃ¡ctica de la lengua y la literatura.</t>
  </si>
  <si>
    <t>Gala Pellicer, Susana</t>
  </si>
  <si>
    <t>An Older and More Beautiful Belgrade</t>
  </si>
  <si>
    <t>Mileta ProdanoviÄ‡-Robert Horvitz</t>
  </si>
  <si>
    <t>The Power of Practice</t>
  </si>
  <si>
    <t>MUSIC / Instruction &amp; Study / Techniques</t>
  </si>
  <si>
    <t>Kristin Wendland</t>
  </si>
  <si>
    <t>Der Kaiser und die Verfassung.</t>
  </si>
  <si>
    <t>Franziska Meyer</t>
  </si>
  <si>
    <t>EU Trade Mark Law and Product Protection</t>
  </si>
  <si>
    <t>Lavinia Brancusi</t>
  </si>
  <si>
    <t>Possunt. Cuaderno de Emprendimiento Global</t>
  </si>
  <si>
    <t>Fernando Torres Granadillo (ed.)</t>
  </si>
  <si>
    <t>Caleidoscopio de las Ciencias Sociales</t>
  </si>
  <si>
    <t>Investigar para educar: VisÃµes sem fronteiras</t>
  </si>
  <si>
    <t>Eurico Wongo Gungula-Wendolin Suarez-Wileidys Artigas (Comp.)</t>
  </si>
  <si>
    <t>Consideraciones para implementar programas de educaciÃ³n virtual</t>
  </si>
  <si>
    <t>AdÃ¡n Guillermo RamÃ­rez GarcÃ­a-JosÃ© Refugio Cruz Turrubiates</t>
  </si>
  <si>
    <t>AutonomÃ­a y GestiÃ³n Universitaria segÃºn la Ley 30220: Estudio de caso</t>
  </si>
  <si>
    <t>AarÃ³n JosÃ© Alberto OrÃ© LeÃ³n-Ãngel RamÃ³n VelÃ¡squez FernÃ¡ndez</t>
  </si>
  <si>
    <t>Series de investigaciÃ³n de REOALCEI</t>
  </si>
  <si>
    <t>Lisandro JosÃ© Alvarado-PeÃ±a (ed)</t>
  </si>
  <si>
    <t>ExÃ©gesis de la reforma universitaria de CÃ³rdoba: Contexto de la legislaciÃ³n peruana</t>
  </si>
  <si>
    <t>AarÃ³n JosÃ© Alberto OrÃ© LeÃ³n-Ronald NicolÃ¡s Palomino Hurtado-Juan Carlos Norabuena CastaÃ±eda</t>
  </si>
  <si>
    <t>EducaciÃ³n Superior Peruana como bien pÃºblico</t>
  </si>
  <si>
    <t>InvestigaciÃ³n educativa: EpistemologÃ­a, praxis e instrumentos</t>
  </si>
  <si>
    <t>Edwin Roger Esteban Rivera-Rolando Alfredo Quispe Morales-Carlos Fernando LÃ³pez Rengifo-Julia Liliana MorÃ³n HernÃ¡ndez (eds)</t>
  </si>
  <si>
    <t>PolÃ­tica y gestiÃ³n educativa en PerÃº</t>
  </si>
  <si>
    <t>Rosana A. MeleÃ¡n Romero-Irma M. Carhuancho-Mendoza (eds)</t>
  </si>
  <si>
    <t>El Canto como beneficio en el desarrollo de las emociones</t>
  </si>
  <si>
    <t>Iris Liliana VÃ¡squez Alburqueque-Wilson Hugo Chunga Amaya</t>
  </si>
  <si>
    <t>Life-Cycle of Structures and Infrastructure Systems</t>
  </si>
  <si>
    <t>Fabio Biondini-Dan M. Frangopol</t>
  </si>
  <si>
    <t>Toby A., Eyre-Parag, Jasani-Lindsey E., Roeker</t>
  </si>
  <si>
    <t>Obstetric Life Support Manual</t>
  </si>
  <si>
    <t>Andrea Shields-Jacqueline Vidosh-Laurie Kavanagh-Peter Nielsen-Brook Thomson</t>
  </si>
  <si>
    <t>Urban Ethics As Research Agenda</t>
  </si>
  <si>
    <t>RaÃºl Acosta-Eveline DÃ¼rr-Moritz Ege-Ursula Prutsch-Clemens van Loyen-Gordon M. Winder</t>
  </si>
  <si>
    <t>Ohio Under COVID</t>
  </si>
  <si>
    <t>Katherine Sorrels-Lora Arduser-Danielle Bessett-Vanessa Carbonell-Michelle McGowan-Edward Wallace</t>
  </si>
  <si>
    <t>Internationalisierung und Digitalisierung der BuchfÃ¼hrung im deutschen Steuerrecht.</t>
  </si>
  <si>
    <t>Daniel RÃ¼scher</t>
  </si>
  <si>
    <t>The Routledge International Handbook on Decolonizing Justice</t>
  </si>
  <si>
    <t>Chris Cunneen-Antje Deckert-Amanda Porter-Juan Tauri-Robert Webb</t>
  </si>
  <si>
    <t>Models in Microeconomic Theory</t>
  </si>
  <si>
    <t xml:space="preserve"> Martin J. Osborne-Ariel Rubinstein</t>
  </si>
  <si>
    <t>Breaking Conventions</t>
  </si>
  <si>
    <t xml:space="preserve"> Patricia Auspos</t>
  </si>
  <si>
    <t>Decolonial Ecologies</t>
  </si>
  <si>
    <t xml:space="preserve"> Joanna Page</t>
  </si>
  <si>
    <t>Intellectual Property Law in Africa</t>
  </si>
  <si>
    <t>Caroline B. Ncube</t>
  </si>
  <si>
    <t>The Soybean Through World History</t>
  </si>
  <si>
    <t>Matilda Baraibar Norberg-Lisa Deutsch</t>
  </si>
  <si>
    <t>Paul and Diversity</t>
  </si>
  <si>
    <t>Linda Joelsson</t>
  </si>
  <si>
    <t>Forced Mobility of EU Citizens</t>
  </si>
  <si>
    <t>JosÃ© A. Brandariz-Witold Klaus-Agnieszka Martynowicz</t>
  </si>
  <si>
    <t>Access to Public Sector Information Volume 2</t>
  </si>
  <si>
    <t>Fitzgerald, Professor Brian</t>
  </si>
  <si>
    <t>Let Sleeping Dogs Lie?</t>
  </si>
  <si>
    <t>MEDICAL / Oncology / Prostate Cancer</t>
  </si>
  <si>
    <t>Chapman, Simon-Barratt, Professor Alexandra-Stockler, Martin</t>
  </si>
  <si>
    <t>Dialogues in Urban Planning</t>
  </si>
  <si>
    <t>Gilmour, Tony-Blakely, Edward J.-Pizarro, Rafael E.</t>
  </si>
  <si>
    <t>Creating White Australia</t>
  </si>
  <si>
    <t>Carey, Jane-McLisky, Claire</t>
  </si>
  <si>
    <t>Re-awakening Languages</t>
  </si>
  <si>
    <t>Hobson, John-Lowe, Kevin-Poetsch, Susan-Walsh, Michael</t>
  </si>
  <si>
    <t>Thirty Years in the South Seas</t>
  </si>
  <si>
    <t>Parkinson, Richard</t>
  </si>
  <si>
    <t>Ending War, Building Peace</t>
  </si>
  <si>
    <t>HISTORY / Wars &amp; Conflicts / Iraq War (2003-2011)</t>
  </si>
  <si>
    <t>Blanchard, Dr Lynda-ann-Chan, Leah</t>
  </si>
  <si>
    <t>Lifestyle-Integrated Functional Exercise (LiFE) Program to Prevent Falls [Participant's Manual]</t>
  </si>
  <si>
    <t>Clemson, Lindy-Munro, Jo-Singh, Maria Fiatarone</t>
  </si>
  <si>
    <t>Made to Matter</t>
  </si>
  <si>
    <t>Probyn-Rapsey, Professor Fiona</t>
  </si>
  <si>
    <t>Copyright Future Copyright Freedom</t>
  </si>
  <si>
    <t>Fitzgerald, Professor Brian-Atkinson, Benedict</t>
  </si>
  <si>
    <t>A Modern Epidemic</t>
  </si>
  <si>
    <t>Baur, Professor Louise A-Twigg, Stephen M-Magnusson, Roger S</t>
  </si>
  <si>
    <t>Expanding Peace Journalism</t>
  </si>
  <si>
    <t>Shaw, Ibrahim Seaga-Lynch, Jake-Hackett, Robert A.</t>
  </si>
  <si>
    <t>Access to Public Sector Information Volume 1</t>
  </si>
  <si>
    <t>Engineering Chemistry Vol. 3</t>
  </si>
  <si>
    <t>Steven Y. Liang-Zongjin Li-Vinayak Adimule-Rajendrachari Shashanka</t>
  </si>
  <si>
    <t>Engineering Innovations Vol. 6</t>
  </si>
  <si>
    <t>Steven Y. Liang-Mosbeh Kaloop-Azher M. Abed</t>
  </si>
  <si>
    <t>The Contemporary Reader of Gender and Fat Studies</t>
  </si>
  <si>
    <t>Amy Erdman Farrell</t>
  </si>
  <si>
    <t>EvropskÃ½ uÄitel jako reflektivnÃ­ praktik. Dovednosti pro 21. stoletÃ­ v edukaci</t>
  </si>
  <si>
    <t>Alena JÅ¯vovÃ¡-OndÅ™ej Duda-Majolein de Vos et al.</t>
  </si>
  <si>
    <t>European Teacher as the reflective practitioner 21st Century Skills in Education</t>
  </si>
  <si>
    <t>PraktickÃ¡ doporuÄenÃ­ a vzdÄ›lÃ¡vacÃ­ intervence pro podporu sociÃ¡lnÃ­ho podnikÃ¡nÃ­ uÄitelÅ¯ na zÃ¡kladnÃ­ch a stÅ™ednÃ­ch Å¡kolÃ¡ch a ve vzdÄ›lÃ¡vÃ¡nÃ­ uÄitelÅ¯. NÃ¡vrh metodickÃ©ho protokolu</t>
  </si>
  <si>
    <t>Jordi Pamies-Ingrid Agud-Angelina SÃ¡nchez et al.</t>
  </si>
  <si>
    <t>Practical recommendations and learning interventionsto promote teacher entrepreneurshipin primary and secondary schools and in teacher education</t>
  </si>
  <si>
    <t>Voiced and Voiceless in Asia</t>
  </si>
  <si>
    <t>Halina ZawiszovÃ¡-Martin LaviÄka (eds.)</t>
  </si>
  <si>
    <t>PokroÄilÃ© zpracovÃ¡nÃ­ geodat</t>
  </si>
  <si>
    <t>Karel MackÅ¯</t>
  </si>
  <si>
    <t>Hodnoty a volnÃ½ Äas: novÃ© vÃ½zvy pro sociÃ¡lnÃ­ pedagogiku a pedagogiku volnÃ©ho Äasu</t>
  </si>
  <si>
    <t>JiÅ™Ã­ PospÃ­Å¡il</t>
  </si>
  <si>
    <t>ALT 41</t>
  </si>
  <si>
    <t>Verschollene Staaten.</t>
  </si>
  <si>
    <t>Maria Liana Vodita</t>
  </si>
  <si>
    <t>The Fourth Amendment</t>
  </si>
  <si>
    <t>Michael J. Z. Mannheimer</t>
  </si>
  <si>
    <t>Geschlechter in Un-Ordnung</t>
  </si>
  <si>
    <t>Nina Hackmann-Dulguun Shirchinbal-Christina Wolff</t>
  </si>
  <si>
    <t>Subjektwerden unter Bedingungen von outsiderness</t>
  </si>
  <si>
    <t>Marie Hoppe</t>
  </si>
  <si>
    <t>Feminizide</t>
  </si>
  <si>
    <t>Merle Dyroff-Sabine Maier-Marlene Pardeller-Alex Wischnewski</t>
  </si>
  <si>
    <t>New Economic Statecraft</t>
  </si>
  <si>
    <t>The Sexual/Political</t>
  </si>
  <si>
    <t>Lorenzo Bernini</t>
  </si>
  <si>
    <t>State Ocean Jurisdiction</t>
  </si>
  <si>
    <t>Patrick Vrancken</t>
  </si>
  <si>
    <t>Taking Action</t>
  </si>
  <si>
    <t>Norbert Kling-Tasos Roidis-Mark Michaeli</t>
  </si>
  <si>
    <t>Friedensgutachten 2023</t>
  </si>
  <si>
    <t>Bonn International Centre-PRIF â€“ Leibniz-Institut fÃ¼r Friedens--Institut fÃ¼r Friedensforschung-Institut fÃ¼r Entwicklung</t>
  </si>
  <si>
    <t>Materials of Culture</t>
  </si>
  <si>
    <t>Liedeke Plate-LÃ¡szlÃ³ MunteÃ¡n-Airin Farahmand</t>
  </si>
  <si>
    <t>Interdisciplinary Perspectives on Planetary Well-Being</t>
  </si>
  <si>
    <t>Merja Elo-Jonne HytÃ¶nen-Sanna Karkulehto-Teea KortetmÃ¤ki-Janne S. Kotiaho-Mikael Puurtinen-Miikka Salo</t>
  </si>
  <si>
    <t>#UsToo</t>
  </si>
  <si>
    <t>Keren R. McGinity</t>
  </si>
  <si>
    <t>Pacific Island Women and Contested Sporting Spaces</t>
  </si>
  <si>
    <t>Yoko Kanemasu</t>
  </si>
  <si>
    <t>El consumo consciente y los derechos de la comunidad de la vida: perspectivas desde la Ã©tica del cuidado.</t>
  </si>
  <si>
    <t>Vargas Cancino, Hilda C.-VelÃ¡zquez MuÃ±oz, David Eduardo</t>
  </si>
  <si>
    <t>En digital: experiencias y reflexiones para el uso de la tecnologÃ­a en educaciÃ³n.</t>
  </si>
  <si>
    <t>SÃ¡nchez Cruz, Melanie-Gabarda MÃ©ndez, Vicente-Vidal Esteve, MarÃ­a Isabel-Romero Rodrigo, MÂª Mercedes</t>
  </si>
  <si>
    <t>Data science: najseksowniejszy zawÃ³d XXI wieku w Polsce. Big data, sztuczna inteligencja i PowerPoint</t>
  </si>
  <si>
    <t>Remigiusz Å»ulicki</t>
  </si>
  <si>
    <t>Entertaining German Culture</t>
  </si>
  <si>
    <t>Stephan Ehrig-Benjamin Schaper-Elizabeth Ward</t>
  </si>
  <si>
    <t>The Last Man Who Knew Everything</t>
  </si>
  <si>
    <t xml:space="preserve"> Andrew Robinson</t>
  </si>
  <si>
    <t>Play in a Covid Frame</t>
  </si>
  <si>
    <t xml:space="preserve"> Anna Beresin-Julia Bishop</t>
  </si>
  <si>
    <t>Migrant Academicsâ€™ Narratives of Precarity and Resilience in Europe</t>
  </si>
  <si>
    <t xml:space="preserve"> Olga Burlyuk-Ladan Rahbari</t>
  </si>
  <si>
    <t>Having Too Much</t>
  </si>
  <si>
    <t>From Handwriting to Footprinting</t>
  </si>
  <si>
    <t xml:space="preserve"> Anne Baillot</t>
  </si>
  <si>
    <t>Folktales of Mayotte, an African Island</t>
  </si>
  <si>
    <t xml:space="preserve"> Lee Haring</t>
  </si>
  <si>
    <t>An Introduction to Andalusi Hebrew Metrics</t>
  </si>
  <si>
    <t xml:space="preserve"> JosÃ© MartÃ­nez Delgado</t>
  </si>
  <si>
    <t>EU Trade-Related Measures Against Illegal Fishing</t>
  </si>
  <si>
    <t>Alin Kadfak-Kate Barclay-Andrew M. Song</t>
  </si>
  <si>
    <t>International Aid and Sustainable Development in North Korea</t>
  </si>
  <si>
    <t>Sojin Lim</t>
  </si>
  <si>
    <t>Making Endless War</t>
  </si>
  <si>
    <t>Brian Cuddy-Victor Kattan</t>
  </si>
  <si>
    <t>Collective Emotions and Political Violence</t>
  </si>
  <si>
    <t>MaÃ©va ClÃ©ment</t>
  </si>
  <si>
    <t>Cold, Hard Steel</t>
  </si>
  <si>
    <t>Agnes Arnold-Forster</t>
  </si>
  <si>
    <t>New Lives in Anand</t>
  </si>
  <si>
    <t>Sanderien Verstappen</t>
  </si>
  <si>
    <t>Geschlecht, Gewalt und Gesellschaft</t>
  </si>
  <si>
    <t>Eva Labouvie</t>
  </si>
  <si>
    <t>Forschendes Lernen in der interkulturellen Germanistik</t>
  </si>
  <si>
    <t>Julija Boguna-Ewald Reuter-Gesine Lenore Schiewer</t>
  </si>
  <si>
    <t>FÃ¼r das Sagbare</t>
  </si>
  <si>
    <t>Matthias KÃ¤ser</t>
  </si>
  <si>
    <t>TrÃ¤ume, TrÃ¤nen und Tempel</t>
  </si>
  <si>
    <t>Andrea Zimmermann</t>
  </si>
  <si>
    <t>Entmietet und verdrÃ¤ngt</t>
  </si>
  <si>
    <t>Miriam Meuth-Christian Reutlinger</t>
  </si>
  <si>
    <t>Organisierte Zerrissenheit</t>
  </si>
  <si>
    <t>Sigrid Betzelt-Ingo Bode-Sarina Parschick-Andreas Albert</t>
  </si>
  <si>
    <t>Schulbauten â€“ Debatten, Darstellungen und Aneignungspraktiken von 1968 bis heute</t>
  </si>
  <si>
    <t>ARCHITECTURE / Buildings / General</t>
  </si>
  <si>
    <t>Eva Zepp</t>
  </si>
  <si>
    <t>Einsames Sterben und unentdeckte Tode in der Stadt</t>
  </si>
  <si>
    <t>Susanne Loke</t>
  </si>
  <si>
    <t>David Lynchs Â»Mulholland DriveÂ« verstehen</t>
  </si>
  <si>
    <t>Christine Lang</t>
  </si>
  <si>
    <t>The Lower !Garib â€“ Orange River</t>
  </si>
  <si>
    <t>Luregn Lenggenhager-Martha Akawa-Giorgio Miescher-Romie Nghitevelekwa-Ndidzulafhi Innocent Sinthumule</t>
  </si>
  <si>
    <t>Entgrenzte Ã–ffentlichkeit</t>
  </si>
  <si>
    <t>Simone Jung-Victor Kempf</t>
  </si>
  <si>
    <t>Gender and Age/Aging in Popular Culture</t>
  </si>
  <si>
    <t>Nicole Haring-Roberta Maierhofer-Barbara RatzenbÃ¶ck</t>
  </si>
  <si>
    <t>UmkÃ¤mpfte Begriffe der Migration</t>
  </si>
  <si>
    <t>Inken Bartels-Isabella LÃ¶hr-Christiane Reinecke-Philipp SchÃ¤fer-Laura Stielike</t>
  </si>
  <si>
    <t>Mathematics for Human Flourishing in the Time of COVID-19 and Post COVID-19</t>
  </si>
  <si>
    <t>Mahouton Norbert Hounkonnou-Melanija MitroviÄ‡</t>
  </si>
  <si>
    <t>A Panorama of Linguistic Landscape Studies</t>
  </si>
  <si>
    <t>Durk Gorter-Jasone Cenoz</t>
  </si>
  <si>
    <t>Willingness to Communicate, Multilingualism and Interactions in Community Contexts</t>
  </si>
  <si>
    <t>Alastair Henry-Peter D. MacIntyre</t>
  </si>
  <si>
    <t>Western Mesoamerican Calendars and Writing Systems</t>
  </si>
  <si>
    <t>HISTORY / Latin America / Pre-Columbian Era</t>
  </si>
  <si>
    <t>Mikkel BÃ¸g Clemmensen-Christophe Helmke</t>
  </si>
  <si>
    <t>Fires in GunaiKurnai Country</t>
  </si>
  <si>
    <t>Jessie Buettel-Bruno David-Russell Mullett-Joanna FreslÃ¸v-Katherine SzabÃ³-GunaiKurnai Land and Waters Aboriginal Corporation</t>
  </si>
  <si>
    <t>The Routledge Handbook of Collective Intelligence for Democracy and Governance</t>
  </si>
  <si>
    <t>Stephen Boucher-Carina Antonia Hallin-Lex Paulson</t>
  </si>
  <si>
    <t>Listening with a Feminist Ear</t>
  </si>
  <si>
    <t>Pavitra Sundar</t>
  </si>
  <si>
    <t>Young People As Agents of Sustainable Society</t>
  </si>
  <si>
    <t>PÃ¤ivi Honkatukia-Tiina RÃ¤ttilÃ¤</t>
  </si>
  <si>
    <t>The Spanish Habsburgs and Dynastic Rule, 1500â€“1700</t>
  </si>
  <si>
    <t>Elisabeth Geevers</t>
  </si>
  <si>
    <t>Routledge Handbook of Global Land and Resource Grabbing</t>
  </si>
  <si>
    <t>Andreas Neef-Chanrith Ngin-Tsegaye Moreda-Sharlene Mollett</t>
  </si>
  <si>
    <t>Administering Justice</t>
  </si>
  <si>
    <t>Richard L. Vining, Jr.-Teena Wilhelm</t>
  </si>
  <si>
    <t>International Conference on Silicon Carbide and Related Materials ICSCRM 2022</t>
  </si>
  <si>
    <t>Juraj Marek-Gregor Pobegen-Ulrike Grossner</t>
  </si>
  <si>
    <t>Confucian Iconoclasm</t>
  </si>
  <si>
    <t>Philippe Major</t>
  </si>
  <si>
    <t>Grounding God</t>
  </si>
  <si>
    <t>Arianne Conty</t>
  </si>
  <si>
    <t>Settlement Studies on OrÅ‚Ã³w County Until the 16th Century. Territorial and Administrative Past, Settlement Landscape, and Ownership Relations</t>
  </si>
  <si>
    <t>Åukasz Ä†wikÅ‚a</t>
  </si>
  <si>
    <t>Kontrola przepÅ‚ywu kapitaÅ‚u we wspÃ³Å‚czesnej gospodarce Å›wiatowej. PodejÅ›cie instytucjonalne MiÄ™dzynarodowego Funduszu Walutowego</t>
  </si>
  <si>
    <t>Iwona Maciejczyk-Bujnowicz</t>
  </si>
  <si>
    <t>Na szlakach dawnej i wspÃ³Å‚czesnej polszczyzny. KsiÄ™ga jubileuszowa dedykowana Profesor Danucie BieÅ„kowskiej</t>
  </si>
  <si>
    <t>Danuta Kowalska-Anna Lenartowicz-Zagrodna-Magdalena Pietrzak-Ewa WoÅºniak</t>
  </si>
  <si>
    <t>NiepeÅ‚nosprawnoÅ›Ä‡ i edukacja</t>
  </si>
  <si>
    <t>Grzegorz CaÅ‚ek-Jakub Niedbalski-Mariola RacÅ‚aw-Marta SaÅ‚kowska-Joanna Sztobryn-Giercuszkiewicz-Dorota Å»uchowska-Skiba</t>
  </si>
  <si>
    <t>Privilege, Economy and State in Old Regime France</t>
  </si>
  <si>
    <t>Lewis Wade</t>
  </si>
  <si>
    <t>Resistance to Love in Medieval English Romance</t>
  </si>
  <si>
    <t>Hannah Piercy</t>
  </si>
  <si>
    <t>Bulgaria, the Jews, and the Holocaust</t>
  </si>
  <si>
    <t>NadÃ¨ge Ragaru</t>
  </si>
  <si>
    <t>The Italian Diaspora in South Africa</t>
  </si>
  <si>
    <t>Maria Chiara Marchetti-Mercer-Anita Virga</t>
  </si>
  <si>
    <t>Nazwa â€“ styl â€“ tekst. KsiÄ™ga jubileuszowa dedykowana Profesor ElÅ¼biecie UmiÅ„skiej-TytoÅ„</t>
  </si>
  <si>
    <t>Anetta Gajda, Anita PawÅ‚owska-KoÅ›cielniak, RafaÅ‚ ZarÄ™bski</t>
  </si>
  <si>
    <t>Stosunki przemysÅ‚owe w Europie Åšrodkowo-Wschodniej</t>
  </si>
  <si>
    <t>BUSINESS &amp; ECONOMICS / Labor / Unions</t>
  </si>
  <si>
    <t>Katarzyna SkorupiÅ„ska-CieÅ›lak</t>
  </si>
  <si>
    <t>Breathing Hearts</t>
  </si>
  <si>
    <t>Nasima Selim</t>
  </si>
  <si>
    <t>Voices of Long-Term Care Workers</t>
  </si>
  <si>
    <t>Andrea Freidus-Dena Shenk</t>
  </si>
  <si>
    <t>Die feinen Unterschiede in der Schullaufbahn</t>
  </si>
  <si>
    <t>Robert Pham Xuan</t>
  </si>
  <si>
    <t>Rock This Way</t>
  </si>
  <si>
    <t>Mel Stanfill</t>
  </si>
  <si>
    <t>Lobbying the Autocrat</t>
  </si>
  <si>
    <t>Max GrÃ¶mping-Jessica C. Teets</t>
  </si>
  <si>
    <t>'Order, Order!'</t>
  </si>
  <si>
    <t>Stephen Wilks</t>
  </si>
  <si>
    <t>Islands of Hope</t>
  </si>
  <si>
    <t>Paul D'Arcy-Daya Dakasi Da-Wei Kuan</t>
  </si>
  <si>
    <t>The Problem of Literary Value</t>
  </si>
  <si>
    <t>Robert J. Meyer-Lee</t>
  </si>
  <si>
    <t>Relational Peace Practices</t>
  </si>
  <si>
    <t>Anna Jarstad-Johanna SÃ¶derstrÃ¶m-Malin Ã…kebo</t>
  </si>
  <si>
    <t>Between Roman Culture and Local Tradition</t>
  </si>
  <si>
    <t>Barbara ZajÄ…c</t>
  </si>
  <si>
    <t>Conservation, Markets &amp; the Environment in Southern and Eastern Africa</t>
  </si>
  <si>
    <t>Michael Bollig-Alfons Wabahe Mosimane-Romie Vonkie Nghitevelekwa-Selma Mekondjo Lendelvo</t>
  </si>
  <si>
    <t>The Dutch Hatmakers of Late Medieval and Tudor London</t>
  </si>
  <si>
    <t>Shannon McSheffrey-Ad Putter</t>
  </si>
  <si>
    <t>Citizenship and Social Exclusion at the Margins of the Welfare State</t>
  </si>
  <si>
    <t>Marianne Takle-Janikke Solstad Vedeler-Mi Ah Schoyen-Kjetil Klette-BÃ¸hler-Asgeir Falch-Eriksen</t>
  </si>
  <si>
    <t>Advancing Natural Language Processing in Educational Assessment</t>
  </si>
  <si>
    <t>Victoria Yaneva-Matthias von Davier</t>
  </si>
  <si>
    <t>Digital Ageism</t>
  </si>
  <si>
    <t>Andrea Rosales-Mireia FernÃ¡ndez-ArdÃ¨vol-Jakob Svensson</t>
  </si>
  <si>
    <t>Diversity and Empires</t>
  </si>
  <si>
    <t>Sophie Rose-Elisabeth Heijmans</t>
  </si>
  <si>
    <t>Global Mindset and International Business</t>
  </si>
  <si>
    <t>Magdalena Kossowska-Jerzy RosiÅ„ski</t>
  </si>
  <si>
    <t>The Barter Economy of the Khmer Rouge Labor Camps</t>
  </si>
  <si>
    <t>Scott Pribble</t>
  </si>
  <si>
    <t>Rendering Houses in Ladakh</t>
  </si>
  <si>
    <t>Sophie Day</t>
  </si>
  <si>
    <t>The Medieval Constitution of Liberty</t>
  </si>
  <si>
    <t>Alexander William Salter-Andrew T. Young</t>
  </si>
  <si>
    <t>Polish Theory of History and Metahistory in Topolski, Pomian, and Tokarczuk</t>
  </si>
  <si>
    <t>Jan Pomorski</t>
  </si>
  <si>
    <t>Nordic Experiences in Pan-nationalisms</t>
  </si>
  <si>
    <t>Ruth Hemstad-Peter Stadius</t>
  </si>
  <si>
    <t>The Combatant</t>
  </si>
  <si>
    <t>Carlos Antonio Aguirre Rojas</t>
  </si>
  <si>
    <t>Navigating Prosperity and Security in East Asia</t>
  </si>
  <si>
    <t>Shiro Armstrong-Adam Triggs-Tom Westland</t>
  </si>
  <si>
    <t>Perspectives on the Impact, Mission and Purpose of the Business School</t>
  </si>
  <si>
    <t>Why It's OK to Be a Sports Fan</t>
  </si>
  <si>
    <t>Alfred Archer-Jake Wojtowicz</t>
  </si>
  <si>
    <t>Viewers in Distress</t>
  </si>
  <si>
    <t>Stefka Mihaylova</t>
  </si>
  <si>
    <t>Aehnlichkeit in Lyrik Und Poetik Der Gegenwart</t>
  </si>
  <si>
    <t>Nikolas Immer-Frank Kraushaar-Henrieke Stahl</t>
  </si>
  <si>
    <t>Crisis and Communitas</t>
  </si>
  <si>
    <t>Dorota Sajewska-MaÅ‚gorzata Sugiera</t>
  </si>
  <si>
    <t>Umsinga Wothando</t>
  </si>
  <si>
    <t>Phiwokuhle Phiwe Dekisile</t>
  </si>
  <si>
    <t>Developmental Integration and Industrialisation in Southern Africa</t>
  </si>
  <si>
    <t>Siphumelele Duma</t>
  </si>
  <si>
    <t>Being Gay Is Not All Fabulous: Short Stories of Black South African Gay Men</t>
  </si>
  <si>
    <t>Katlego Vincent Scheepers</t>
  </si>
  <si>
    <t>Technical Territories</t>
  </si>
  <si>
    <t>Luke Munn</t>
  </si>
  <si>
    <t>Mobilizing the Metropolis</t>
  </si>
  <si>
    <t>Philip Mark Plotch-Jen Nelles</t>
  </si>
  <si>
    <t>Algorithmic Gatekeeping for Professional Communicators</t>
  </si>
  <si>
    <t>Arjen van Dalen</t>
  </si>
  <si>
    <t>Brokering in Education Research-Practice Partnerships</t>
  </si>
  <si>
    <t>Laura Wentworth-Paula Arce-Trigatti-Carrie Conaway-Samantha Shewchuk</t>
  </si>
  <si>
    <t>The Australian Constitution and National Identity</t>
  </si>
  <si>
    <t>Anna Olijnyk-Alexander Reilly</t>
  </si>
  <si>
    <t>Developing Modern Livestock Production in Tropical Countries</t>
  </si>
  <si>
    <t>Danung Nur Adli-Muhammad Pramujo-Aulia Puspita Anugra Yekti</t>
  </si>
  <si>
    <t>The Art of Audit</t>
  </si>
  <si>
    <t>Roel Janssen</t>
  </si>
  <si>
    <t>Persuasion and Legal Reasoning in the ECtHR Rulings</t>
  </si>
  <si>
    <t>Aleksandra MÄ™Å¼ykowska-Anna MÅ‚ynarska-Sobaczewska</t>
  </si>
  <si>
    <t>Care Technologies for Ageing Societies</t>
  </si>
  <si>
    <t>Kate Hamblin-Matthew Lariviere</t>
  </si>
  <si>
    <t>Arctic Justice</t>
  </si>
  <si>
    <t>Corine Wood-Donnelly-Johanna Ohlsson</t>
  </si>
  <si>
    <t>Harmonisches Leben.</t>
  </si>
  <si>
    <t>Chul-Woo Lee</t>
  </si>
  <si>
    <t>Climate Change Epistemologies in Southern Africa</t>
  </si>
  <si>
    <t>JÃ¶rn Ahrens-Ernst Halbmayer</t>
  </si>
  <si>
    <t>International Handbook of Engineering Education Research</t>
  </si>
  <si>
    <t>Aditya Johri</t>
  </si>
  <si>
    <t>Transforming Identities in Contemporary Europe</t>
  </si>
  <si>
    <t>Elisabeth L. Engebretsen-Mia Liinason</t>
  </si>
  <si>
    <t>Sans sÃ©pulture: ModalitÃ©s et enjeux de la privation de funÃ©railles de la PrÃ©histoire Ã  nos jours</t>
  </si>
  <si>
    <t>Aurore Schmitt-Elisabeth Anstett</t>
  </si>
  <si>
    <t>Life Skills and Adolescent Mental Health</t>
  </si>
  <si>
    <t>Ole Jacob Madsen</t>
  </si>
  <si>
    <t>Swedenâ€™s Research Aid Policy</t>
  </si>
  <si>
    <t>Veronica BrodÃ©n Gyberg</t>
  </si>
  <si>
    <t>UN Human Rights Institutions and the Environment</t>
  </si>
  <si>
    <t>Sumudu Atapattu</t>
  </si>
  <si>
    <t>New Governance for Rural America</t>
  </si>
  <si>
    <t>Beryl A. Radin</t>
  </si>
  <si>
    <t>Marcuse</t>
  </si>
  <si>
    <t>John Bokina-Timothy J. Lukes</t>
  </si>
  <si>
    <t>Individuelles Handeln und Gemeinwohl</t>
  </si>
  <si>
    <t>Gerhard Tulodziecki</t>
  </si>
  <si>
    <t>Soziale Standards in globalen Lieferketten</t>
  </si>
  <si>
    <t>Thomas Haipeter-Markus Helfen-Anja Kirsch-Sophie Rosenbohm</t>
  </si>
  <si>
    <t>KriegskÃ¼chen in Wien und Berlin</t>
  </si>
  <si>
    <t>Jenny Sprenger-Seyffarth</t>
  </si>
  <si>
    <t>Lehrer:innen im â€ºBrennpunktâ€¹</t>
  </si>
  <si>
    <t>Hauke Straehler-Pohl</t>
  </si>
  <si>
    <t>Die Opera buffa in Europa</t>
  </si>
  <si>
    <t>Andrea Zedler-Lena van der Hoven-Kordula Knaus</t>
  </si>
  <si>
    <t>Polycentric Water Governance in Spain</t>
  </si>
  <si>
    <t>Nora SchÃ¼tze</t>
  </si>
  <si>
    <t>Territorial Stigmatisation</t>
  </si>
  <si>
    <t>Constanze Letsch</t>
  </si>
  <si>
    <t>KI-RealitÃ¤ten</t>
  </si>
  <si>
    <t>Richard GroÃŸ-Rita Jordan</t>
  </si>
  <si>
    <t>Hermann Brochs Â»Die VerzauberungÂ«</t>
  </si>
  <si>
    <t>Daniela Link</t>
  </si>
  <si>
    <t>Im Zwischenraum der Dinge</t>
  </si>
  <si>
    <t>Lisa Regazzoni</t>
  </si>
  <si>
    <t>ReligiÃ¶se Tradition in Bewegung</t>
  </si>
  <si>
    <t>Elisabeth HÃ¶ftberger</t>
  </si>
  <si>
    <t>PrekÃ¤re FreizÃ¼gigkeiten</t>
  </si>
  <si>
    <t>Ursula Probst</t>
  </si>
  <si>
    <t>Kultur:Wandel â€“ Impulse fÃ¼r eine zukunftsweisende Kulturpraxis</t>
  </si>
  <si>
    <t>Anna Blaich-Felix GrÃ¤dler-Henning Mohr-Hannes Seibold</t>
  </si>
  <si>
    <t>Making a Homeland</t>
  </si>
  <si>
    <t>Tsypylma Darieva</t>
  </si>
  <si>
    <t>Living with an Infected Planet</t>
  </si>
  <si>
    <t>Elke Krasny</t>
  </si>
  <si>
    <t>Recordar para perdurar</t>
  </si>
  <si>
    <t>Bruno LÃ³pez Petzoldt</t>
  </si>
  <si>
    <t>Digitale Hochschulbildung?</t>
  </si>
  <si>
    <t>Athanasios Tsirikiotis-Josephina Schmidt-Verena Ketter</t>
  </si>
  <si>
    <t>Kamera-Ethnographie</t>
  </si>
  <si>
    <t>Bina Elisabeth Mohn</t>
  </si>
  <si>
    <t>The Naá¸¥al Tanninim Dam and Its Vicinity: Final Report of the 2000â€“2005 Excavation Seasons</t>
  </si>
  <si>
    <t>Yosef Porath-Uzi â€˜Ad-â€˜Abed al-Salam Saâ€˜id</t>
  </si>
  <si>
    <t>More Than Fiscal</t>
  </si>
  <si>
    <t>Jane Hall-Andrew Podger-Mike Woods</t>
  </si>
  <si>
    <t>Geteiltes Wissen â€“ Wissensentwicklung in Disziplin und Profession Sozialer Arbeit</t>
  </si>
  <si>
    <t>Michaela KÃ¶ttig-Sonja Kubisch-Christian Spatscheck</t>
  </si>
  <si>
    <t>Bits and Pieces</t>
  </si>
  <si>
    <t>Sarah O'Brien</t>
  </si>
  <si>
    <t>Personal Data-Smart Cities: How Cities Can Utilise Their Citizenâ€™s Personal Data to Help Them Become Climate Neutral</t>
  </si>
  <si>
    <t>Shaun Topham-Paolo Boscolo-Michael Mulquin</t>
  </si>
  <si>
    <t>The State You See</t>
  </si>
  <si>
    <t>Aaron J. Rosenthal</t>
  </si>
  <si>
    <t>Negative, Nonsensical, and Non-Conformist</t>
  </si>
  <si>
    <t>Peter A. Yacavone</t>
  </si>
  <si>
    <t>Book of the Disappeared</t>
  </si>
  <si>
    <t>Jennifer Heath-Ashraf Zahedi</t>
  </si>
  <si>
    <t>Baby Ninth Amendments</t>
  </si>
  <si>
    <t>Anthony B. Sanders</t>
  </si>
  <si>
    <t>Engineering Chemistry Vol. 2</t>
  </si>
  <si>
    <t>Angela Justina Kumalaputri-Vinayak Adimule-Rajendrachari Shashanka-Kamal Kishor Dubey</t>
  </si>
  <si>
    <t>PaÅ„stwo wobec grup dominujÄ…cych w gospodarce â€“ perspektywa instytucjonalnej ekonomii politycznej</t>
  </si>
  <si>
    <t>Political Landscapes</t>
  </si>
  <si>
    <t>HISTORY / Latin America / Mexico</t>
  </si>
  <si>
    <t>Christopher R. Boyer</t>
  </si>
  <si>
    <t>Psychoanalytic and Phenomenological Reflections on Masculinity</t>
  </si>
  <si>
    <t>Gunnar Karlsson</t>
  </si>
  <si>
    <t>Law and the Quest for Gender Equality</t>
  </si>
  <si>
    <t>Margaret Thornton</t>
  </si>
  <si>
    <t>Ciceros Topica und sein Programm De iure civili in artem redigendo.</t>
  </si>
  <si>
    <t>Wolfram Buchwitz-Matthias Ehmer</t>
  </si>
  <si>
    <t>Chronicling a Crisis</t>
  </si>
  <si>
    <t>Ed Beck-Darren D. Chase-Matthew C. Hendley-Ann Traitor</t>
  </si>
  <si>
    <t>Fourth Revolution and the Bottom Four Billion</t>
  </si>
  <si>
    <t>Nir Kshetri</t>
  </si>
  <si>
    <t>Artificial Intelligence and International Conflict in Cyberspace</t>
  </si>
  <si>
    <t>Fabio Cristiano-Dennis Broeders-FranÃ§ois Delerue-FrÃ©dÃ©rick Douzet-Aude GÃ©ry</t>
  </si>
  <si>
    <t>Fundamentals of Environmental Assessment</t>
  </si>
  <si>
    <t>Glenn W. Suter II</t>
  </si>
  <si>
    <t>Landscapes of Care</t>
  </si>
  <si>
    <t>Thurka Sangaramoorthy</t>
  </si>
  <si>
    <t>Rethinking Parties in Democratizing Asia</t>
  </si>
  <si>
    <t>Julio C. Teehankee-Christian Echle</t>
  </si>
  <si>
    <t>International Perspectives on Inclusive Education</t>
  </si>
  <si>
    <t>Simone Seitz-Petra Auer-Rosa Bellacicco</t>
  </si>
  <si>
    <t>Early Childhood Education Leadership in Times of Crisis</t>
  </si>
  <si>
    <t>Elina FonsÃ©n-Raisa Ahtiainen-Kirsi-Marja Heikkinen-Lauri Heikonen-Petra Strehmel-Emanuel Tamir</t>
  </si>
  <si>
    <t>Latin America in Times of Turbulence</t>
  </si>
  <si>
    <t>Mariana Llanos-Leiv Marsteintredet</t>
  </si>
  <si>
    <t>Faith Stories</t>
  </si>
  <si>
    <t>RELIGION / Faith</t>
  </si>
  <si>
    <t>Anna Hickey-Moody</t>
  </si>
  <si>
    <t>Queer Livability</t>
  </si>
  <si>
    <t>Ina Linge</t>
  </si>
  <si>
    <t>Expanding Underground - Knowledge and Passion to Make a Positive Impact on the World</t>
  </si>
  <si>
    <t>Georgios Anagnostou-Andreas Benardos-Vassilis P. Marinos</t>
  </si>
  <si>
    <t>Cultural Expertise, Law, and Rights</t>
  </si>
  <si>
    <t>LAW / Conflict of Laws</t>
  </si>
  <si>
    <t>History From Loss</t>
  </si>
  <si>
    <t>Marnie Hughes-Warrington-Daniel Woolf</t>
  </si>
  <si>
    <t>Rural and Remote Communities As Non-State Actors</t>
  </si>
  <si>
    <t>Ciprian Nicolae Radavoi-David Price</t>
  </si>
  <si>
    <t>The Global Film Market Transformation in the Post-Pandemic Era</t>
  </si>
  <si>
    <t>Qiao Li-David Wilson-Yanqiu Guan</t>
  </si>
  <si>
    <t>Land Tenure Reform in Sub-Saharan Africa</t>
  </si>
  <si>
    <t>LAW / Land Use</t>
  </si>
  <si>
    <t>Steven Lawry-Rebecca McLain-Margaret Rugadya-Gina Alvarado-Tasha Heidenrich</t>
  </si>
  <si>
    <t>Engineering Innovations Vol. 5</t>
  </si>
  <si>
    <t>Jav Davaasambuu-Ian McAndrew-Katsuyuki Kida-Dong Keon Kim</t>
  </si>
  <si>
    <t>Reciprocity, Truth, and Gender in Pindar and Aeschylus</t>
  </si>
  <si>
    <t>Arum Park</t>
  </si>
  <si>
    <t>Here for the Hearing</t>
  </si>
  <si>
    <t>Michael Buchler-Gregory John Decker</t>
  </si>
  <si>
    <t>Zur Kommunikation von Kletternden â€“ eine pragmatisch und lexikalisch orientierte Analyse</t>
  </si>
  <si>
    <t>Krzysztof Sakowski</t>
  </si>
  <si>
    <t>The Changing Faces of Families</t>
  </si>
  <si>
    <t>Marina A. Adler-Karl Lenz</t>
  </si>
  <si>
    <t>Taming the Wild Horse of Shadow Education</t>
  </si>
  <si>
    <t>Wei Zhang</t>
  </si>
  <si>
    <t>Using online technologies for informal learning by future teachers of English</t>
  </si>
  <si>
    <t>Jana ÄŒernÃ¡-Blanka BabickÃ¡-Jana KoÅ™Ã­nkovÃ¡</t>
  </si>
  <si>
    <t>Fijians in Transnational Pentecostal Networks</t>
  </si>
  <si>
    <t>Karen J. Brison</t>
  </si>
  <si>
    <t>Threats of Force and International Law</t>
  </si>
  <si>
    <t>Agata Kleczkowska</t>
  </si>
  <si>
    <t>Moral Teleology</t>
  </si>
  <si>
    <t>Hanno Sauer</t>
  </si>
  <si>
    <t>Social Innovations in Urban Sanitation in India</t>
  </si>
  <si>
    <t>Shubhagato Dasgupta-Kaustuv Kanti Bandyopadhyay-Anju Dwivedi-Sumona Das Gupta-Ms Bharti</t>
  </si>
  <si>
    <t>Pariahs or Partners?</t>
  </si>
  <si>
    <t>Europa-UniversitÃ¤t Viadrina</t>
  </si>
  <si>
    <t>Kommunizieren und Herrschen</t>
  </si>
  <si>
    <t>Janosik Herder</t>
  </si>
  <si>
    <t>Verdeckungen</t>
  </si>
  <si>
    <t>Saskia Bender-Oliver FlÃ¼gel-Martinsen-Michaela Vogt</t>
  </si>
  <si>
    <t>Mit Hannah Arendt Freiheit neu denken</t>
  </si>
  <si>
    <t>Bruno Heidlberger</t>
  </si>
  <si>
    <t>FluchtursachenbekÃ¤mpfung</t>
  </si>
  <si>
    <t>Judith Kopp</t>
  </si>
  <si>
    <t>Pandemic Protagonists</t>
  </si>
  <si>
    <t>Yvonne VÃ¶lkl-Julia Obermayr-Elisabeth Hobisch</t>
  </si>
  <si>
    <t>Gender und Recht</t>
  </si>
  <si>
    <t>cognitio â€“ studentisches Forum fÃ¼r Recht-F. Ius-Marisa Beier-Mete Erdogan-Anna Graf-Fabienne Graf-Dario Haux-Julia Meier-Nicole Nickerson-Dario Picecchi-Jan Hendrik Ritter-Arezoo Sang Bastian-Eliane Spirig-Youlo Wujohktsang</t>
  </si>
  <si>
    <t>Postmoderne Bildparodien</t>
  </si>
  <si>
    <t>Johanna Hornauer</t>
  </si>
  <si>
    <t>Corona und die Stadt</t>
  </si>
  <si>
    <t>Anton Brokow-Loga</t>
  </si>
  <si>
    <t>(K)ein Kopftuchbuch</t>
  </si>
  <si>
    <t>Anna Sabel-Natalia Amina Loinaz-Verband binationaler</t>
  </si>
  <si>
    <t>Solingen, 30 Jahre nach dem Brandanschlag</t>
  </si>
  <si>
    <t>BirgÃ¼l Demirtas-Adelheid Schmitz-Derya GÃ¼r-Seker-Ã‡agri Kahveci</t>
  </si>
  <si>
    <t>Neue SolidaritÃ¤ten</t>
  </si>
  <si>
    <t>Alexandra Manske</t>
  </si>
  <si>
    <t>Emotional Imprints of War</t>
  </si>
  <si>
    <t>Milan van Lange</t>
  </si>
  <si>
    <t>Reading Race Relationally</t>
  </si>
  <si>
    <t>Marlon Lieber</t>
  </si>
  <si>
    <t>Die materielle Kultur der Religion</t>
  </si>
  <si>
    <t>Sonja Keller-Antje Roggenkamp</t>
  </si>
  <si>
    <t>Die Idee der Freiheit und ihre Semantiken</t>
  </si>
  <si>
    <t>Nicole J. Saam-Heiner Bielefeldt</t>
  </si>
  <si>
    <t>Guides of the Atlas</t>
  </si>
  <si>
    <t>Simon Holdermann</t>
  </si>
  <si>
    <t>DistopÃ­a del Desarrollo Vial</t>
  </si>
  <si>
    <t>Luis Eduardo PÃ©rez Peralta</t>
  </si>
  <si>
    <t>Occupant-Centric Simulation-Aided Building Design</t>
  </si>
  <si>
    <t>William O'Brien-Farhang Tahmasebi</t>
  </si>
  <si>
    <t>Helen, Westman-Malinda, Itchins-Bernardo L., Rapoport</t>
  </si>
  <si>
    <t>Gemeinsam/Together II</t>
  </si>
  <si>
    <t>PERFORMING ARTS / Theater / Playwriting</t>
  </si>
  <si>
    <t>Mark, Haddad-Philip, Boyce</t>
  </si>
  <si>
    <t>METAPOLIS. TOPOI. SCENARIOS</t>
  </si>
  <si>
    <t>Vanessa Miriam Carlow-Grace Abou Jaoude-Chantal Karadag-Olaf Mumm-Marie Scheer-Kristin SchÃ¶ning-Ryan Zeringue</t>
  </si>
  <si>
    <t>Sustainable Development in Creative Industries: Embracing Digital Culture for Humanities</t>
  </si>
  <si>
    <t>Dyah Ayu Wiwid Sintowoko-Idhar Resmadi-Hanif Azhar-Ganjar Gumilar-Taufiq Wahab</t>
  </si>
  <si>
    <t>15th International Conference on Turbochargers and Turbocharging</t>
  </si>
  <si>
    <t>Institution of Mechanical Engineers</t>
  </si>
  <si>
    <t>Evidential Pluralism in the Social Sciences</t>
  </si>
  <si>
    <t>Yafeng Shan-Jon Williamson</t>
  </si>
  <si>
    <t>Richard Wagner's Essays on Conducting</t>
  </si>
  <si>
    <t>Chris Walton</t>
  </si>
  <si>
    <t>Deepti H., Radia-Cem, Akin</t>
  </si>
  <si>
    <t>What Even Is Gender?</t>
  </si>
  <si>
    <t>R. A. Briggs-B. R. George</t>
  </si>
  <si>
    <t>Stadt im Wandel / Towns in Change</t>
  </si>
  <si>
    <t>HISTORY / Revolutions, Uprisings &amp; Rebellions</t>
  </si>
  <si>
    <t>Mathias Beer-Harald Heppner-Ulrike Tischler-Hofer</t>
  </si>
  <si>
    <t>Undoing Suicidism</t>
  </si>
  <si>
    <t>Alexandre Baril</t>
  </si>
  <si>
    <t>Sprachmittlung in oeffentlichen Einrichtungen</t>
  </si>
  <si>
    <t>Feyza Evrin-Bernd Meyer</t>
  </si>
  <si>
    <t>Justice, Education, and the World of Today</t>
  </si>
  <si>
    <t>Inga Bostad-Marianna Papastephanou-Torill Strand</t>
  </si>
  <si>
    <t>Kontrasty w humanistyce: literatura, jÄ™zyk, kultura / Les contrastes dans les humanitÃ©s : littÃ©rature, langue, culture</t>
  </si>
  <si>
    <t>Eliza Sasin-Anita StaroÅ„</t>
  </si>
  <si>
    <t>W krÄ™gu geografii politycznej i dyscyplin â€žokolicznychâ€. Studia dedykowane Profesorowi Markowi SobczyÅ„skiemu</t>
  </si>
  <si>
    <t>Andrzej RykaÅ‚a</t>
  </si>
  <si>
    <t>Symbolic Objects in Contentious Politics</t>
  </si>
  <si>
    <t>Benjamin Abrams-Peter Robert Gardner</t>
  </si>
  <si>
    <t>Empire and Environment</t>
  </si>
  <si>
    <t>Jeffrey Santa Ana-Heidi Amin-Hong-Rina Garcia Chua-Xiaojing Zhou</t>
  </si>
  <si>
    <t>Tendencias en innovaciÃ³n y transferencia del conocimiento: de la universidad a la sociedad.</t>
  </si>
  <si>
    <t>GonzÃ¡lez DÃ­ez, Laura-Navarro Sierra, Nuria-Vinader Segura, Raquel</t>
  </si>
  <si>
    <t>ODS y Universidad. EducaciÃ³n de calidad, inclusiÃ³n y soberanÃ­a alimentaria</t>
  </si>
  <si>
    <t>Salvador BenÃ­tez, Loreto J.-Vargas Cancino, Hilda C.</t>
  </si>
  <si>
    <t>Biodiversidad urbana: de los problemas socioambientales a la prÃ¡ctica educativa.</t>
  </si>
  <si>
    <t>Guevara Herrero, Irene-PÃ©rez MartÃ­n, JosÃ© Manuel</t>
  </si>
  <si>
    <t>La mujer y los universos femeninos en las fuentes documentales de la Edad Moderna.</t>
  </si>
  <si>
    <t>UsunÃ¡riz, JesÃºs M.-Ruiz Astiz, Javier</t>
  </si>
  <si>
    <t>Persona, empresa, sociedad y emprendimiento en el contexto de los ODS.</t>
  </si>
  <si>
    <t>HernÃ¡ndez-SÃ¡nchez, Brizeida R.-Cardella, Giuseppina Maria-SÃ¡nchez GarcÃ­a, JosÃ© Carlos</t>
  </si>
  <si>
    <t>Addressing future challenges in early language learning and multilingual education.</t>
  </si>
  <si>
    <t>Otto, Ana-Cortina-PÃ©rez, Beatriz-AndÃºgar, Ana-Ãlvarez-CofiÃ±o, Angela-Corral, Silvia-MartÃ­nez LeÃ³n, Natalia</t>
  </si>
  <si>
    <t>Gobernanza multinivel de los movimientos migratorios: retos y perspectivas desde el derecho.</t>
  </si>
  <si>
    <t>Esteban de la Rosa, Gloria</t>
  </si>
  <si>
    <t>El escepticismo filosÃ³fico en el renacimiento.</t>
  </si>
  <si>
    <t>PHILOSOPHY / History &amp; Surveys / Renaissance</t>
  </si>
  <si>
    <t>BermÃºdez VÃ¡zquez, Manuel</t>
  </si>
  <si>
    <t>La inmunidad soberana en los espacios marinos.</t>
  </si>
  <si>
    <t>Arjona HernÃ¡ndez, Noelia</t>
  </si>
  <si>
    <t>Algoritmos, teletrabajo y otros grandes temas del feminismo digital.</t>
  </si>
  <si>
    <t>ArÃ¡nguez SÃ¡nchez, Tasia-Olariu, Ozana</t>
  </si>
  <si>
    <t>Tendencias educativas emergentes en ciencias de la salud y enfermerÃ­a.</t>
  </si>
  <si>
    <t>Quintero Cabello, Ana-Oliva Contero, Julio</t>
  </si>
  <si>
    <t>Transferencia del conocimiento en humanidades y ciencias jurÃ­dicas. InnovaciÃ³n docente y educativa en el Ã¡mbito de las filologÃ­as, la lengua y el derecho.</t>
  </si>
  <si>
    <t>Valero Redondo, MarÃ­a-Tabuenca Bengoa, MarÃ­a-Molina HernÃ¡ndez, Cecilio</t>
  </si>
  <si>
    <t>Nuevos enfoques en innovaciÃ³n educativa y transferencia de conocimiento: aplicaciÃ³n en ingenierÃ­as y enseÃ±anza stem.</t>
  </si>
  <si>
    <t>MartÃ­n GarcÃ­a, Alejandro-Souto Rico, MÃ³nica-Guede Cid, RocÃ­o</t>
  </si>
  <si>
    <t>El fomento de la innovaciÃ³n docente como estÃ­mulo transformador del Ã¡mbito educativo en el siglo XXI.</t>
  </si>
  <si>
    <t>Puebla MartÃ­nez, BelÃ©n-Vicente FernÃ¡ndez, Pilar-Levratto, Valeria</t>
  </si>
  <si>
    <t>Educar para transformar: InnovaciÃ³n pedagÃ³gica, calidad y TIC en contextos formativos.</t>
  </si>
  <si>
    <t>LÃ³pez-Meneses, Eloy-MartÃ­n-Padilla, Antonio-Hilario-Molina-GarcÃ­a, Laura-JaÃ©n-MartÃ­nez, Alicia-Cobos-Sanchiz, David</t>
  </si>
  <si>
    <t>EducaciÃ³n y Sociedad: Pensamiento e innovaciÃ³n para la transformaciÃ³n social.</t>
  </si>
  <si>
    <t>Cobos-Sanchiz, David-LÃ³pez-Meneses, Eloy-JaÃ©n-MartÃ­nez, Alicia-MartÃ­n-Padilla, Antonio-Hilario-Molina-GarcÃ­a, Laura</t>
  </si>
  <si>
    <t>Narrativas emergentes para la comunicaciÃ³n digital.</t>
  </si>
  <si>
    <t>Sidorenko Bautista, Pavel-Herranz de la Casa, JosÃ© MarÃ­a-Terol Bolinches, RaÃºl-Alonso LÃ³pez, Nadia</t>
  </si>
  <si>
    <t>InnovaciÃ³n digital en comunicaciÃ³n y educaciÃ³n.</t>
  </si>
  <si>
    <t>Alonso LÃ³pez, Nadia-Terol Bolinches, RaÃºl-Sidorenko Bautista, Pavel-Herranz de la Casa, JosÃ© MarÃ­a</t>
  </si>
  <si>
    <t>El camino hacia las sociedades inclusivas.</t>
  </si>
  <si>
    <t>Olivero Guidobono, Sandra</t>
  </si>
  <si>
    <t>Metapher und Lebenswelt</t>
  </si>
  <si>
    <t>Mohr Siebeck GmbH &amp; Co. KG</t>
  </si>
  <si>
    <t>Philipp Stoellger</t>
  </si>
  <si>
    <t>Specjalne strefy ekonomiczne w Polsce. DoÅ›wiadczenia i perspektyw</t>
  </si>
  <si>
    <t>Tomasz DoroÅ¼yÅ„ski-Janusz Åšwierkocki</t>
  </si>
  <si>
    <t>Unia Europejska w procesie zrÃ³wnowaÅ¼onego rozwoju w warunkach pandemii COVID-19</t>
  </si>
  <si>
    <t>Zofia WysokiÅ„ska-Janina Witkowska</t>
  </si>
  <si>
    <t>W krÄ™gu zagadnieÅ„ jÄ™zyka, literatury i kultury. KsiÄ™ga jubileuszowa dedykowana Profesorowi JarosÅ‚awowi WierzbiÅ„skiemu</t>
  </si>
  <si>
    <t>Krystyna Ratajczyk-Agata Piasecka</t>
  </si>
  <si>
    <t>Logistyka zaopatrzenia. Skrypt akademicki. Cz. 1. WykÅ‚ad</t>
  </si>
  <si>
    <t>MaÅ‚gorzata Matusiak</t>
  </si>
  <si>
    <t>20 lat WydziaÅ‚u StudiÃ³w MiÄ™dzynarodowych i Politologicznych Uniwersytetu ÅÃ³dzkiego</t>
  </si>
  <si>
    <t>Tomasz DomaÅ„ski-Alicja StÄ™pieÅ„-KuczyÅ„ska</t>
  </si>
  <si>
    <t>Problemy spoÅ‚eczne. TrwaÅ‚oÅ›Ä‡ i zmiennoÅ›Ä‡ w dynamicznej rzeczywistoÅ›ci. KsiÄ™ga jubileuszowa z okazji 45-lecia pracy naukowej i dydaktycznej Profesor Jolanty Grotowskiej-Leder</t>
  </si>
  <si>
    <t>Andrzej Kacprzak-Marcin GoÅ„da-Iwona KudliÅ„ska-ChrÃ³Å›cicka</t>
  </si>
  <si>
    <t>Efekty cenowe na polskim rynku kapitaÅ‚owym</t>
  </si>
  <si>
    <t>BUSINESS &amp; ECONOMICS / Investments &amp; Securities / Analysis &amp; Trading Strategies</t>
  </si>
  <si>
    <t>Magdalena Jasiniak</t>
  </si>
  <si>
    <t>EfektywnoÅ›Ä‡ finansjalizacji paÅ„stw czÅ‚onkowskich Unii Europejskiej</t>
  </si>
  <si>
    <t>Tomasz Florczak</t>
  </si>
  <si>
    <t>Wehali: The Female Land</t>
  </si>
  <si>
    <t>Tom Therik</t>
  </si>
  <si>
    <t>Representations of China in Latin American Literature (1987-2016)</t>
  </si>
  <si>
    <t>Maria Montt Strabucchi</t>
  </si>
  <si>
    <t>Feeling Strangely in Mid-Century Spanish and Latin American Womenâ€™s Fiction</t>
  </si>
  <si>
    <t>Tess C. Rankin</t>
  </si>
  <si>
    <t>Blessed Thessaly</t>
  </si>
  <si>
    <t>Emma Aston</t>
  </si>
  <si>
    <t>Earth Beings</t>
  </si>
  <si>
    <t>Marisol de la Cadena</t>
  </si>
  <si>
    <t>Technology and Sustainable Development</t>
  </si>
  <si>
    <t>Henrik Skaug SÃ¦tra</t>
  </si>
  <si>
    <t>Early Computer Science Education â€“ Goals and Success Criteria for Pre-Primary and Primary Education</t>
  </si>
  <si>
    <t>Nadine Bergner-Hilde KÃ¶ster-Johannes Magenheim-Kathrin MÃ¼ller-Ralf Romeike-Ulrik Schroeder-Carsten Schulte-Stiftung Haus der kleinen Forscher</t>
  </si>
  <si>
    <t>Computerspielforschung: InterdisziplinÃ¤re Einblicke in das digitale Spiel und seine kulturelle Bedeutung</t>
  </si>
  <si>
    <t>Ralf Biermann-Johannes Fromme-Florian Kiefer</t>
  </si>
  <si>
    <t>MÃ¸tested PoznaÅ„ â€“ unge nordisters bidrag til litteratur- og sprÃ¥kvitenskap</t>
  </si>
  <si>
    <t>Magdalena Å»muda-Trzebiatowska (ed.)-Aleksandra Wilkus-Wyrwa (ed.)-Andrzej Szubert (ed.)</t>
  </si>
  <si>
    <t>La lingÃ¼Ã­stica hispÃ¡nica como puente entre culturas</t>
  </si>
  <si>
    <t>RaÃºl FernÃ¡ndez JÃ³dar (ed.)-Joanna Nowak-Michalska (ed.)-Xavier Pascual LÃ³pez (ed.)-MaÅ‚gorzata SpychaÅ‚a-Wawrzyniak (ed.)-Agata Wolarska-SobociÅ„ska (ed.)</t>
  </si>
  <si>
    <t>Engineering Chemistry Vol. 1</t>
  </si>
  <si>
    <t>Angela Justina Kumalaputri-Zhi Gang Fang-Ramesh K. Agarwal</t>
  </si>
  <si>
    <t>Designing Knowledge Economies for Disaster Resilience</t>
  </si>
  <si>
    <t>Pamela Waldron-Moore</t>
  </si>
  <si>
    <t>Nativist and Islamist Radicalism</t>
  </si>
  <si>
    <t>Ayhan Kaya-AyÅŸenur Benevento-Metin Koca</t>
  </si>
  <si>
    <t>Economic Diversity in Contemporary Timor-Leste</t>
  </si>
  <si>
    <t>Kelly Silva-Lisa Palmer-Teresa Cunha</t>
  </si>
  <si>
    <t>Jayant S., Vaidya-Vivek, Patkar</t>
  </si>
  <si>
    <t>Finnish Settler Colonialism in North America: Rethinking Finnish Experiences in Transnational Spaces</t>
  </si>
  <si>
    <t>Rani-Henrik Andersson-Janne Lahti</t>
  </si>
  <si>
    <t>Gender Diversity, Equity, and Inclusion in Academia</t>
  </si>
  <si>
    <t>Melina Duarte-Katrin Losleben-Kjersti FjÃ¸rtoft</t>
  </si>
  <si>
    <t>Something's Gotta Change</t>
  </si>
  <si>
    <t>Lesley Woods</t>
  </si>
  <si>
    <t>Digitale Versammlungsbeobachtung.</t>
  </si>
  <si>
    <t>Mario Martini-Bianca Thiessen-Jonas Ganter</t>
  </si>
  <si>
    <t>La isla desconfigurada</t>
  </si>
  <si>
    <t>Yasmina Yousfi LÃ³pez</t>
  </si>
  <si>
    <t>Culture As Verb</t>
  </si>
  <si>
    <t>Ryszard Nycz</t>
  </si>
  <si>
    <t>GandhÄran Art in Its Buddhist Context</t>
  </si>
  <si>
    <t>Wannaporn Rienjang-Peter Stewart</t>
  </si>
  <si>
    <t>Poro-Elastic Theory with Applications to Transport in Porous Media</t>
  </si>
  <si>
    <t>Dong-Sheng Jeng-Lin Cui</t>
  </si>
  <si>
    <t>Reimagining Innovation in Education and Social Sciences</t>
  </si>
  <si>
    <t>Wulan Patria Saroinsong-Muhamad Nurul Ashar-Irena Maureen-Lina Purwaning Hartanti-Mita Anggaryani-Audrey Gabriella Titaley</t>
  </si>
  <si>
    <t>Linkage Power Europe</t>
  </si>
  <si>
    <t>Sport, Performance and Sustainability</t>
  </si>
  <si>
    <t>Daniel Svensson-Erik Backman-Susanna Hedenborg-Sverker SÃ¶rlin</t>
  </si>
  <si>
    <t>Compensation for Wrongful Convictions</t>
  </si>
  <si>
    <t>Wojciech JasiÅ„ski-Karolina Kremens</t>
  </si>
  <si>
    <t>Higher Education Institutions and Digital Transformation</t>
  </si>
  <si>
    <t>Marcin Lis</t>
  </si>
  <si>
    <t>Dawn, Langdon-Carolyn, Young</t>
  </si>
  <si>
    <t>Will Schooling Ever Change?</t>
  </si>
  <si>
    <t>Piotr Mikiewicz-Marta Jurczak-Morris</t>
  </si>
  <si>
    <t>The South African Response to COVID-19</t>
  </si>
  <si>
    <t>The Early Years</t>
  </si>
  <si>
    <t>Pieter Fourie-Guy Lamb</t>
  </si>
  <si>
    <t>Time and Timelessness in Victorian Poetry</t>
  </si>
  <si>
    <t>Irmtraud Huber</t>
  </si>
  <si>
    <t>Medical Caregiving Narratives of the First World War</t>
  </si>
  <si>
    <t>Marie Allitt</t>
  </si>
  <si>
    <t>Analitic and Algebraic Geometry 4</t>
  </si>
  <si>
    <t>MATHEMATICS / Geometry / Algebraic</t>
  </si>
  <si>
    <t>Tadeusz KrasiÅ„ski-StanisÅ‚aw Spodzieja</t>
  </si>
  <si>
    <t>Verba volant, scripta manent. KsiÄ™ga jubileuszowa dedykowana Profesorowi Zbigniewowi Anusikowi w szeÅ›Ä‡dziesiÄ…tÄ… piÄ…tÄ… rocznicÄ™ urodzin</t>
  </si>
  <si>
    <t>MaÅ‚gorzata Karkocha-Piotr Robak</t>
  </si>
  <si>
    <t>Polityka, kultura i spoÅ‚eczeÅ„stwo w czasach pandemii. Wybrane zagadnienia</t>
  </si>
  <si>
    <t>MichaÅ‚ SÄ™dkowski</t>
  </si>
  <si>
    <t>City and War, Vol. 6; Seria: Faces of War (Oblicza Wojny)</t>
  </si>
  <si>
    <t>Tadeusz Grabarczyk, Magdalena PogoÅ„ska-Pol</t>
  </si>
  <si>
    <t>PrzeksztaÅ‚cenia wspÃ³Å‚czesnych miast. Wybrane nurty i instrumenty</t>
  </si>
  <si>
    <t>Ewa Boryczka</t>
  </si>
  <si>
    <t>Wybrane ÅºrÃ³dÅ‚a finansowania mikro -, maÅ‚ych i Å›rednich przedsiÄ™biorstw w Polsce</t>
  </si>
  <si>
    <t>Joanna Fila-ElÅ¼bieta Grzegorczyk-Marta PaduszyÅ„ska</t>
  </si>
  <si>
    <t>WspÃ³Å‚czesne problemy kultury fizycznej i zdrowotnej</t>
  </si>
  <si>
    <t>Arkadiusz KaÅºmierczak-Jolanta ElÅ¼bieta Kowalska-Anna Makarczuk-Anna Maszorek-Szymala</t>
  </si>
  <si>
    <t>Drogowskazy bankowoÅ›ci. WspÃ³Å‚czesne kierunki rozwoju bankowoÅ›ci w Polsce</t>
  </si>
  <si>
    <t>Marika Ziemba</t>
  </si>
  <si>
    <t>Uwarunkowania rozwoju gospodarczego rosyjskiego Dalekiego Wschodu</t>
  </si>
  <si>
    <t>Warping Time</t>
  </si>
  <si>
    <t>Benjamin Ginsberg-Jennifer Bachner</t>
  </si>
  <si>
    <t>unBinding Bodies â€“ Zur Geschichte des FÃ¼ÃŸebindens in China</t>
  </si>
  <si>
    <t>Jasmin Mersmann-Evke Rulffes</t>
  </si>
  <si>
    <t>Ã–konomisches Scheitern</t>
  </si>
  <si>
    <t>Eric HÃ¤usler</t>
  </si>
  <si>
    <t>Das Tier im Bild</t>
  </si>
  <si>
    <t>Friederike Zenker</t>
  </si>
  <si>
    <t>Narrative in Urban Planning</t>
  </si>
  <si>
    <t>Lieven Ameel-Jens Martin Gurr-Barbara Buchenau</t>
  </si>
  <si>
    <t>Der Mensch als politisches Argument</t>
  </si>
  <si>
    <t>Frauke HÃ¶ntzsch</t>
  </si>
  <si>
    <t>Gestaltung in virtuellen Welten</t>
  </si>
  <si>
    <t>Benjamin Vogt</t>
  </si>
  <si>
    <t>Â»Virtual Skills LabÂ« â€“ TransdisziplinÃ¤res Forschen zur Vermittlung sozialer Kompetenzen im digitalen Wandel</t>
  </si>
  <si>
    <t>EDUCATION / Virtual &amp; Hybrid</t>
  </si>
  <si>
    <t>Klaus Neundlinger-Elisabeth Frankus-Ines HÃ¤ufler-Thomas Layer-Wagner-Simone Kriglstein-Beate Schrank</t>
  </si>
  <si>
    <t>Women's Leadership in Music</t>
  </si>
  <si>
    <t>Iva Nenic-Linda Cimardi</t>
  </si>
  <si>
    <t>Grain &amp; Noise â€“ Artists in Synthetic Biology Labs</t>
  </si>
  <si>
    <t>Markus Schmidt</t>
  </si>
  <si>
    <t>Arbeit und Gesundheit in der SpÃ¤tmoderne</t>
  </si>
  <si>
    <t>Marie Jelenko</t>
  </si>
  <si>
    <t>Antiziganismus in der Offenen Kinder- und Jugendarbeit</t>
  </si>
  <si>
    <t>Kathrin Schulze</t>
  </si>
  <si>
    <t>Wissenschaftsdidaktik II</t>
  </si>
  <si>
    <t>Ruinen und vergessene Orte</t>
  </si>
  <si>
    <t>Joachim Otto Habeck-Frank Schmitz</t>
  </si>
  <si>
    <t>KÃ¼nstliche Intelligenz in der Hochschulbildung</t>
  </si>
  <si>
    <t>Tobias Schmohl-Alice Watanabe-Kathrin Schelling</t>
  </si>
  <si>
    <t>Sensing Collectives</t>
  </si>
  <si>
    <t>Jan-Peter VoÃŸ-Nora Rigamonti-Marcela SuÃ¡rez-Jacob Watson</t>
  </si>
  <si>
    <t>Mapping Black Europe</t>
  </si>
  <si>
    <t>Natasha A. Kelly-Olive Vassell</t>
  </si>
  <si>
    <t>In nova fert animus mutatas dicere formas corpora. Odnowienie doktoratu Profesora Jerzego Danielewicza</t>
  </si>
  <si>
    <t>Mateusz StrÃ³Å¼yÅ„ski (red.)-Piotr UrbaÅ„ski (red.)</t>
  </si>
  <si>
    <t>On the Significance of Religion for the SDGs</t>
  </si>
  <si>
    <t>Christine Schliesser</t>
  </si>
  <si>
    <t>East Central Europe and Communism</t>
  </si>
  <si>
    <t>Sabrina P. Ramet</t>
  </si>
  <si>
    <t>Anne-Marie, Baird-Hossein, Borghaei-Terri, Conneran-Devika, Das-Ticiana, Leal-Howard, West</t>
  </si>
  <si>
    <t>Verfasste Freiheit</t>
  </si>
  <si>
    <t>Frank Schorkopf</t>
  </si>
  <si>
    <t>The Enduring Legacy</t>
  </si>
  <si>
    <t>Mark Edward Ryan</t>
  </si>
  <si>
    <t>Sartorial Fandom</t>
  </si>
  <si>
    <t>Elizabeth Affuso-Suzanne Scott</t>
  </si>
  <si>
    <t>Rational Understanding</t>
  </si>
  <si>
    <t>Miloud Belkoniene</t>
  </si>
  <si>
    <t>Monitoring Biodiversity</t>
  </si>
  <si>
    <t>Anna Allard-E. Carina H. Keskitalo-Alan Brown</t>
  </si>
  <si>
    <t>PotosÃ­ in the Global Silver Age (16thâ€”19th Centuries)</t>
  </si>
  <si>
    <t>Rossana BarragÃ¡n-Paula C. Zagalsky</t>
  </si>
  <si>
    <t>A Long Walk to Purgatory: The Tales of Dante &amp; Mashudu</t>
  </si>
  <si>
    <t>Chariklia Martalas</t>
  </si>
  <si>
    <t>The Case Against Intervention</t>
  </si>
  <si>
    <t>Chee-Heong Quah</t>
  </si>
  <si>
    <t>Susan Isaacs</t>
  </si>
  <si>
    <t xml:space="preserve"> Philip Graham</t>
  </si>
  <si>
    <t>The Poetic Edda</t>
  </si>
  <si>
    <t xml:space="preserve"> Edward Pettit</t>
  </si>
  <si>
    <t>Introduction to Systems Biology</t>
  </si>
  <si>
    <t xml:space="preserve"> Thomas Sauter-Marco Albrecht</t>
  </si>
  <si>
    <t>Augmented Education in the Global Age</t>
  </si>
  <si>
    <t>Daniel Araya-Peter Marber</t>
  </si>
  <si>
    <t>Critical Dementia Studies</t>
  </si>
  <si>
    <t>Richard Ward-Linn J. Sandberg</t>
  </si>
  <si>
    <t>Sexual History Evidence in Rape Trials</t>
  </si>
  <si>
    <t>LAW / Jury</t>
  </si>
  <si>
    <t>Charlotte Herriott</t>
  </si>
  <si>
    <t>Local Communities and the Mining Industry</t>
  </si>
  <si>
    <t>Nicolas D. Brunet-Sheri Longboat</t>
  </si>
  <si>
    <t>Security and Privacy</t>
  </si>
  <si>
    <t>John Kleinig-Peter Mameli-Seumas Miller-Douglas Salane-Adin Schwartz</t>
  </si>
  <si>
    <t>The Australian Embassy in Tokyo and Australiaâ€“Japan Relations</t>
  </si>
  <si>
    <t>Kate Darian-Smith-David Lowe</t>
  </si>
  <si>
    <t>From Hydrology to Hydroarchaeology in the Ancient Mediterranean</t>
  </si>
  <si>
    <t>Giovanni Polizzi-Vincent Ollivier-Sophie Bouï¬ƒer</t>
  </si>
  <si>
    <t>Industrial Artificial Intelligence Technologies and Applications</t>
  </si>
  <si>
    <t>Ovidiu Vermesan-Franz Wotawa-Mario Diaz Nava-BjÃ¶rn Debaillie</t>
  </si>
  <si>
    <t>On the Significance of Religion for Human Rights</t>
  </si>
  <si>
    <t>Pauline Kollontai-Friedrich Lohmann</t>
  </si>
  <si>
    <t>The Materiality of the Archive</t>
  </si>
  <si>
    <t>Sue Breakell-Wendy Russell</t>
  </si>
  <si>
    <t>Digital Innovations for a Circular Plastic Economy in Africa</t>
  </si>
  <si>
    <t>Muyiwa Oyinlola-Oluwaseun Kolade</t>
  </si>
  <si>
    <t>Social Protection Programmes</t>
  </si>
  <si>
    <t>Michela Semprebon</t>
  </si>
  <si>
    <t>Toxic Heritage</t>
  </si>
  <si>
    <t>Elizabeth Kryder-Reid-Sarah May</t>
  </si>
  <si>
    <t>Parliament in Ethiopia</t>
  </si>
  <si>
    <t>Mercy Fekadu Mulugeta</t>
  </si>
  <si>
    <t>Place-Based Scientific Inquiry</t>
  </si>
  <si>
    <t>Benjamin Wong Blonder-Ja'Nya Banks-Austin Cruz-Anna Dornhaus-R. Keating Godfrey-Joshua S. Hoskinson-Rebecca Lipson-Pacifica Sommers-Christy Stewart-Alan Strauss</t>
  </si>
  <si>
    <t>Negotiating Resilience with Hard and Soft City</t>
  </si>
  <si>
    <t>Binti Singh-Tania Berger-Manoj Parmar</t>
  </si>
  <si>
    <t>Locura y trauma en la ficciÃ³n centroamericana reciente</t>
  </si>
  <si>
    <t>Marileen La Haije</t>
  </si>
  <si>
    <t>Literatur und Arbeitswelten</t>
  </si>
  <si>
    <t>Corinna Schlicht-Marie Kramp-Janneke Eggert</t>
  </si>
  <si>
    <t>PiÅ‚ka noÅ¼na. ToÅ¼samoÅ›Ä‡, kultura i wÅ‚adza</t>
  </si>
  <si>
    <t>SPORTS &amp; RECREATION / Football</t>
  </si>
  <si>
    <t>Zbyszko Melosik</t>
  </si>
  <si>
    <t>Pasja i toÅ¼samoÅ›Ä‡ naukowca. O wÅ‚adzy i wolnoÅ›ci umysÅ‚u</t>
  </si>
  <si>
    <t>SamochÃ³d. ToÅ¼samoÅ›Ä‡, wolnoÅ›Ä‡ i przestrzeÅ„</t>
  </si>
  <si>
    <t>Globalizing the Soybean</t>
  </si>
  <si>
    <t>Ines ProdÃ¶hl</t>
  </si>
  <si>
    <t>Resisting Radicalisation?</t>
  </si>
  <si>
    <t>Hilary Pilkington</t>
  </si>
  <si>
    <t>The Tailors and the Mannequins</t>
  </si>
  <si>
    <t>Nelson, Roger</t>
  </si>
  <si>
    <t>Liu Kang: Colourful Modernist</t>
  </si>
  <si>
    <t>Yeo, Wei Wei</t>
  </si>
  <si>
    <t>Charting Thoughts</t>
  </si>
  <si>
    <t>Low, Sze Wee-Flores, Patrick, D.</t>
  </si>
  <si>
    <t>Liu Kang: Essays on Art and Culture</t>
  </si>
  <si>
    <t>Siew, Sara</t>
  </si>
  <si>
    <t>Between Declarations and Dreams</t>
  </si>
  <si>
    <t>Low, Sze Wee</t>
  </si>
  <si>
    <t>Siapa Nama Kamu?</t>
  </si>
  <si>
    <t>Familiar Others</t>
  </si>
  <si>
    <t>Scott, Phoebe</t>
  </si>
  <si>
    <t>Realism in Asia</t>
  </si>
  <si>
    <t>Migration, Transmission, Localisation</t>
  </si>
  <si>
    <t>Yeo, Mang Thong</t>
  </si>
  <si>
    <t>Earth Work 1979</t>
  </si>
  <si>
    <t>Toh, Charmaine</t>
  </si>
  <si>
    <t>International Trade Regulation</t>
  </si>
  <si>
    <t>Zhiqiong June Wang-Jianfu Chen</t>
  </si>
  <si>
    <t>The Currency of Truth</t>
  </si>
  <si>
    <t>Emily H. C. Chua</t>
  </si>
  <si>
    <t>Following in Footsteps or Marching Alone?</t>
  </si>
  <si>
    <t>Srinivas Parinandi</t>
  </si>
  <si>
    <t>Lahore Cinema</t>
  </si>
  <si>
    <t>Iftikhar Dadi</t>
  </si>
  <si>
    <t>Chinese Autobiographical Writing</t>
  </si>
  <si>
    <t>Patricia Buckley Ebrey-Cong Ellen Zhang-Ping Yao</t>
  </si>
  <si>
    <t>Governing Water in India</t>
  </si>
  <si>
    <t>Leela Fernandes</t>
  </si>
  <si>
    <t>Food Sustainability, Environmental Awareness, and Adaptation and Mitigation Strategies for Developing Countries</t>
  </si>
  <si>
    <t>Ahmad Ni'matullah Al-Baarri-Diana Nur Afifah</t>
  </si>
  <si>
    <t>The Cultural Politics of Anti-Elitism</t>
  </si>
  <si>
    <t>Moritz Ege-Johannes Springer</t>
  </si>
  <si>
    <t>Africa and Urban Anthropology</t>
  </si>
  <si>
    <t>Deborah Pellow-Suzanne Scheld</t>
  </si>
  <si>
    <t>Handbook of Indo-Pacific Studies</t>
  </si>
  <si>
    <t>Barbara Kratiuk-Jeroen Van den Bosch-Aleksandra JaskÃ³lska-Yoichiro Sato</t>
  </si>
  <si>
    <t>A Vocabulary Companion to Practical English 2</t>
  </si>
  <si>
    <t xml:space="preserve">STUDY AIDS / English Proficiency (incl. TOEFL &amp; IELTS) </t>
  </si>
  <si>
    <t>Anna Wieczorek</t>
  </si>
  <si>
    <t>A Vocabulary Companion to Practical English 1</t>
  </si>
  <si>
    <t>Le Romanesque tÃ©nÃ©breux dâ€™Ã‰tienne-LÃ©on de Lamothe-Langon</t>
  </si>
  <si>
    <t>Åukasz SzkopiÅ„ski</t>
  </si>
  <si>
    <t>The European Experience</t>
  </si>
  <si>
    <t xml:space="preserve"> Jan Hansen-Jochen Hung-Jaroslav Ira-Judit Klement-Sylvain Lesage-Juan Luis Simal-Andrew Tompkins</t>
  </si>
  <si>
    <t>Managing the Digital University</t>
  </si>
  <si>
    <t>Åukasz SuÅ‚kowski</t>
  </si>
  <si>
    <t>Der Anwendungsbereich konkreter GefÃ¤hrdungsdelikte mit vorsÃ¤tzlicher Leibes- oder LebensgefÃ¤hrdungskomponente de lege ferenda.</t>
  </si>
  <si>
    <t>Anna Francesca Steins</t>
  </si>
  <si>
    <t>Ein sonderbares Licht in Teutschland.</t>
  </si>
  <si>
    <t>Gerd Heinrich</t>
  </si>
  <si>
    <t>State-building and National Militaries in Postcolonial West Africa</t>
  </si>
  <si>
    <t>Riina Turtio</t>
  </si>
  <si>
    <t>ALT 40</t>
  </si>
  <si>
    <t>Ernest N. Emenyonu</t>
  </si>
  <si>
    <t>PartnerskÃ© vztahy, intimita a sexualita osob s mentÃ¡lnÃ­m postiÅ¾enÃ­m</t>
  </si>
  <si>
    <t>ZdeÅˆka KozÃ¡kovÃ¡</t>
  </si>
  <si>
    <t>Routledge Handbook of Civil and Uncivil Society in Southeast Asia</t>
  </si>
  <si>
    <t>Eva Hansson-Meredith L. Weiss</t>
  </si>
  <si>
    <t>Mortal Kombat</t>
  </si>
  <si>
    <t>David Church</t>
  </si>
  <si>
    <t>New Models of Higher Education: Unbundled, Rebundled, Customized, and DIY</t>
  </si>
  <si>
    <t>Aaron M. Brower-Ryan J. Specht-Boardman</t>
  </si>
  <si>
    <t>Missverstehen</t>
  </si>
  <si>
    <t>Michael Nathan Goldberg-Andreas Mauz-Christiane Tietz</t>
  </si>
  <si>
    <t>The Epistemology of Spirit Beliefs</t>
  </si>
  <si>
    <t>Hans Van Eyghen</t>
  </si>
  <si>
    <t>Images of Change</t>
  </si>
  <si>
    <t>Teresa Delgado-Jermann</t>
  </si>
  <si>
    <t>Harnessing Complexity for Better Outcomes in Public and Non-profit Services</t>
  </si>
  <si>
    <t>Max French-Hannah Hesselgreaves-Rob Wilson-Melissa Hawkins-Toby Lowe</t>
  </si>
  <si>
    <t>Performing Postracialism</t>
  </si>
  <si>
    <t>Philip S.S. Howard</t>
  </si>
  <si>
    <t>Collateral Damage</t>
  </si>
  <si>
    <t>Sean Richey</t>
  </si>
  <si>
    <t>Dire Straits-Education Reforms</t>
  </si>
  <si>
    <t xml:space="preserve"> Montserrat Gomendio-JosÃ© Ignacio Wert</t>
  </si>
  <si>
    <t>Medicine, Science, and Making Race in Civil War America</t>
  </si>
  <si>
    <t>Leslie A. Schwalm</t>
  </si>
  <si>
    <t>Toward an Intercultural Natural History of Brazil</t>
  </si>
  <si>
    <t>Mariana FranÃ§ozo</t>
  </si>
  <si>
    <t>De-mystifying Translation</t>
  </si>
  <si>
    <t>Lynne Bowker</t>
  </si>
  <si>
    <t>Nigeria's Third-Generation Literature</t>
  </si>
  <si>
    <t>Ode Ogede</t>
  </si>
  <si>
    <t>Policy Evaluation in the Era of COVID-19</t>
  </si>
  <si>
    <t>Pearl Eliadis-Indran A. Naidoo-Ray C. Rist</t>
  </si>
  <si>
    <t>MarktermÃ¶glichung durch Recht im Digitalen Zeitalter.</t>
  </si>
  <si>
    <t>Robert Freitag-Jochen Hoffmann-Franz Hofmann-Klaus Ulrich Schmolke</t>
  </si>
  <si>
    <t>Trans- und Intergeschlechtlichkeit in Erziehung und Bildung</t>
  </si>
  <si>
    <t>Marita Kampshoff-Bettina Kleiner-Antje Langer</t>
  </si>
  <si>
    <t>The Entangled Legacies of Empire</t>
  </si>
  <si>
    <t>Paul Gilbert-Clea Bourne-Max Haiven-Johnna Montgomerie</t>
  </si>
  <si>
    <t>Adolescentes y fans</t>
  </si>
  <si>
    <t>Pilar Lacasa</t>
  </si>
  <si>
    <t>Net.wars</t>
  </si>
  <si>
    <t>Wendy Grossman</t>
  </si>
  <si>
    <t>PÃ©Äe o vÃ½znamnÃ© stromy</t>
  </si>
  <si>
    <t>Ivo Machar</t>
  </si>
  <si>
    <t>Identifikace a hodnocenÃ­ vÃ½znamnÃ½ch stromÅ¯</t>
  </si>
  <si>
    <t>Digital Humanities Workshops</t>
  </si>
  <si>
    <t>Laura Estill-Jennifer Guiliano</t>
  </si>
  <si>
    <t>Fight Against Discrimination. Human Dignity in American Legal Tradition</t>
  </si>
  <si>
    <t>MichaÅ‚ UrbaÅ„czyk</t>
  </si>
  <si>
    <t>Zygmunt ZiembiÅ„ski. â€žGandhiâ€</t>
  </si>
  <si>
    <t>SÅ‚awomira Wronkowska</t>
  </si>
  <si>
    <t>BranÅ¼a TSL wobec wyzwaÅ„ zrÃ³wnowaÅ¼onego rozwoju â€“ wybrane aspekty</t>
  </si>
  <si>
    <t>Åukasz JarosÅ‚aw Kozar-Agata Matuszewska-Kubicz (red.)</t>
  </si>
  <si>
    <t>Politics, Ethics and Culture in Our Time</t>
  </si>
  <si>
    <t>Harry Redner</t>
  </si>
  <si>
    <t>Rassismusforschung I</t>
  </si>
  <si>
    <t>Nationaler Diskriminierungs- und Rassismusmonitor-Serpil Polat</t>
  </si>
  <si>
    <t>Red Pilled â€“ The Allure of Digital Hate</t>
  </si>
  <si>
    <t>The Mediatization of the O.J. Simpson Case</t>
  </si>
  <si>
    <t>Tatjana Neubauer</t>
  </si>
  <si>
    <t>Identity, Power, and Prestige in Switzerland's Multilingual Education</t>
  </si>
  <si>
    <t>Anna Becker</t>
  </si>
  <si>
    <t>Grenzen des Miteinanders</t>
  </si>
  <si>
    <t>Sebastian BÃ¼hrig</t>
  </si>
  <si>
    <t>Epistemiken des Essayistischen</t>
  </si>
  <si>
    <t>Aurel Sieber</t>
  </si>
  <si>
    <t>Death Is Served</t>
  </si>
  <si>
    <t>Stella Castelli</t>
  </si>
  <si>
    <t>The Slightest Attachment</t>
  </si>
  <si>
    <t>Ariane d'Hoop</t>
  </si>
  <si>
    <t>On Making Fiction</t>
  </si>
  <si>
    <t>Friederike Danebrock</t>
  </si>
  <si>
    <t>Terrorismus, Crash und Krise in der Literatur</t>
  </si>
  <si>
    <t>Rebecca Kaewert</t>
  </si>
  <si>
    <t>Europa im Unfrieden</t>
  </si>
  <si>
    <t>JÃ¼rgen Neyer</t>
  </si>
  <si>
    <t>Neo-Refoulement â€“ EuropÃ¤isches Migrationsmanagement als Ã¶ffentliche Gewalt</t>
  </si>
  <si>
    <t>Nele Austermann</t>
  </si>
  <si>
    <t>Konnektiver Zynismus</t>
  </si>
  <si>
    <t>Fabian SchÃ¤fer</t>
  </si>
  <si>
    <t>Die Eroberung des Museums</t>
  </si>
  <si>
    <t>Ina RoÃŸ</t>
  </si>
  <si>
    <t>BrÃ¼chige Ehen</t>
  </si>
  <si>
    <t>Teresa Hiergeist-Christina Wieder</t>
  </si>
  <si>
    <t>Sozialer Zusammenhalt in der Krise</t>
  </si>
  <si>
    <t>Barbara RatzenbÃ¶ck-Katharina Scherke-Annette Sprung-Werner Suppanz</t>
  </si>
  <si>
    <t>Wissenskrisen â€“ Krisenwissen</t>
  </si>
  <si>
    <t>Julia Engelschalt-Jason Lemberg-Arne Maibaum-Andie RothenhÃ¤usler-Meike Wiegand</t>
  </si>
  <si>
    <t>The Marion Milner Method</t>
  </si>
  <si>
    <t>Emilia Halton-Hernandez</t>
  </si>
  <si>
    <t>European Lobbying</t>
  </si>
  <si>
    <t>Christian Lahusen</t>
  </si>
  <si>
    <t>Zachowania ryzykowne wspÃ³Å‚czesnej mÅ‚odzieÅ¼y. Studium teoretyczno-empiryczne</t>
  </si>
  <si>
    <t>Barbara Jankowiak</t>
  </si>
  <si>
    <t>The Historical Depth of the Tiberian Reading Tradition of Biblical Hebrew</t>
  </si>
  <si>
    <t>Isotope Research in Zooarchaeology</t>
  </si>
  <si>
    <t>Ashley E. Sharpe-John Krigbaum</t>
  </si>
  <si>
    <t>Innovation and Regional Technological Convergence</t>
  </si>
  <si>
    <t>Tomasz Kijek-Arkadiusz Kijek-Anna Matras-Bolibok</t>
  </si>
  <si>
    <t>Buddhist-Inflected Sovereignties Across the Indian Ocean</t>
  </si>
  <si>
    <t>Anne M. Blackburn</t>
  </si>
  <si>
    <t>The Routledge Handbook of Refugee Narratives</t>
  </si>
  <si>
    <t>Evyn LÃª Espiritu Gandhi-Vinh Nguyen</t>
  </si>
  <si>
    <t>Engineering Innovations Vol. 4</t>
  </si>
  <si>
    <t>Jong Wan Hu-Yuyuan Zhao-Omar S. Es-Said-Norzahir Sapawe-Triwiyanto Triwiyanto</t>
  </si>
  <si>
    <t>Selling Social</t>
  </si>
  <si>
    <t>BUSINESS &amp; ECONOMICS / Nonprofit Organizations &amp; Charities / Management &amp; Leadership</t>
  </si>
  <si>
    <t>Jennifer Sumner-Andrea Chan-Annie Luk-Jack Quarter</t>
  </si>
  <si>
    <t>Mobility Design</t>
  </si>
  <si>
    <t>Kai VÃ¶ckler-Peter Eckart</t>
  </si>
  <si>
    <t>Sprachen der Wachsamkeit</t>
  </si>
  <si>
    <t>Magdalena Butz-Felix Grollmann-Florian Mehltretter</t>
  </si>
  <si>
    <t>Die Ordnung der Zukunft</t>
  </si>
  <si>
    <t>Eva Stubenrauch</t>
  </si>
  <si>
    <t>Language and Linguistics in a Complex World</t>
  </si>
  <si>
    <t>Beatrix Busse-Nina Dumrukcic-Ingo Kleiber</t>
  </si>
  <si>
    <t>On the Social History of Persecution</t>
  </si>
  <si>
    <t>Evidence Contestation</t>
  </si>
  <si>
    <t>Karin Zachmann-Mariacarla Gadebusch Bondio-Saana Jukola-Olga Sparschuh</t>
  </si>
  <si>
    <t>Net Neutrality and the Battle for the Open Internet</t>
  </si>
  <si>
    <t>Danny Kimball</t>
  </si>
  <si>
    <t>Conexiones Culturales y Patrimonio PrehistÃ³rico</t>
  </si>
  <si>
    <t>Juan Manuel Garrido Anguita</t>
  </si>
  <si>
    <t>An Epidemic Among My People</t>
  </si>
  <si>
    <t>Paul Djupe-Amanda Friesen</t>
  </si>
  <si>
    <t>Whose Heritage?</t>
  </si>
  <si>
    <t>Susan L.T. Ashley-Degna Stone</t>
  </si>
  <si>
    <t>The Lives of Machines</t>
  </si>
  <si>
    <t>Tamara S. Ketabgian</t>
  </si>
  <si>
    <t>Wyparte historie. Antysemityzm na Uniwersytecie PoznaÅ„skim w latach 1919â€“1939</t>
  </si>
  <si>
    <t>Maciej Michalski (red.)-Krzysztof Podemski (red.)</t>
  </si>
  <si>
    <t>A Vision for Change</t>
  </si>
  <si>
    <t>Land and Life in Timor-Leste</t>
  </si>
  <si>
    <t>Andrew Mcwilliam-Elizabeth G. Traube</t>
  </si>
  <si>
    <t>Peopled Landscapes</t>
  </si>
  <si>
    <t>Simon G. Haberle-Bruno David</t>
  </si>
  <si>
    <t>Inside the Canberra Press Gallery</t>
  </si>
  <si>
    <t>Rob Chalmers</t>
  </si>
  <si>
    <t>Reaching for Health</t>
  </si>
  <si>
    <t>Gwendolyn Gray Jamieson</t>
  </si>
  <si>
    <t>Managing Generation Z</t>
  </si>
  <si>
    <t>Agnieszka Niemczynowicz-RadosÅ‚aw Antoni Kycia-Joanna NieÅ¼urawska</t>
  </si>
  <si>
    <t>FÃ¶rderung und Erfassung der Reflexionskompetenz im Fach Chemie</t>
  </si>
  <si>
    <t>Logos Verlag Berlin GmbH</t>
  </si>
  <si>
    <t>Christina Kobl</t>
  </si>
  <si>
    <t>Entwicklung und Validierung eines Instruments zur Erfassung der professionellen Unterrichtswahrnehmung angehender PhysiklehrkrÃ¤fte</t>
  </si>
  <si>
    <t>Carina WÃ¶hlke</t>
  </si>
  <si>
    <t>Collaborative Technologies and Data Science in Artificial Intelligence Applications</t>
  </si>
  <si>
    <t>Aram Hajian-Nelson Baloian-Tomoo Inoue-Wolfram Luther</t>
  </si>
  <si>
    <t>Testen wir relevantes Wissen?</t>
  </si>
  <si>
    <t>Eva Cauet</t>
  </si>
  <si>
    <t>Ein neuer Algorithmus zur Untersuchung der Kohomologie der Steenrod-Algebra</t>
  </si>
  <si>
    <t>Christian Nassau</t>
  </si>
  <si>
    <t>Virtual Building Acoustics</t>
  </si>
  <si>
    <t>Imran Muhammad</t>
  </si>
  <si>
    <t>Zur numerischen Simulation der Ã–lstrahl-Zahnrad-Interaktion in Flugtriebwerken</t>
  </si>
  <si>
    <t>Iota Reliability Concept of the Second Generation</t>
  </si>
  <si>
    <t>Florian Berding-Julia Pargmann</t>
  </si>
  <si>
    <t>Analysis and Optimisation of a New Differential Steering Concept</t>
  </si>
  <si>
    <t>MÃ¡rton Kuslits</t>
  </si>
  <si>
    <t>Zur Lernwirksamkeit von ErklÃ¤rvideos in der Physik</t>
  </si>
  <si>
    <t>Fabian Sterzing</t>
  </si>
  <si>
    <t>Simulation of Spray Polymerisation and Structure Generation in Spray Drying by Single Droplet Models</t>
  </si>
  <si>
    <t>Winfried SÃ¤ckel</t>
  </si>
  <si>
    <t>Vocational Rehabilitation in Small and Medium-sized Enterprises</t>
  </si>
  <si>
    <t>Boris Miethlich</t>
  </si>
  <si>
    <t>Mathematische Modellbildung und Videoanalyse zum Lernen der Newtonschen Dynamik im Vergleich</t>
  </si>
  <si>
    <t>Jannis Weber</t>
  </si>
  <si>
    <t>Einfluss der sprachlichen Konzeption auf die EinschÃ¤tzung der QualitÃ¤t instruktionaler UnterrichtserklÃ¤rungen im Fach Physik</t>
  </si>
  <si>
    <t>Jana Heinze</t>
  </si>
  <si>
    <t>Getriebetagung 2022</t>
  </si>
  <si>
    <t>Maik Berger-Burkhard Corves-Tim LÃ¼th</t>
  </si>
  <si>
    <t>Ãœberzeugungen von LehrkrÃ¤ften zum Lehren und Lernen von Fachinhalten und Fachmethoden und deren Beziehung zu unterrichtsnahem Handeln</t>
  </si>
  <si>
    <t>Verena Petermann</t>
  </si>
  <si>
    <t>Wie diagnostizieren Studierende des Lehramtes physikbezogene Lernprozesse von SchÃ¼ler*innen?</t>
  </si>
  <si>
    <t>Thomas Christoph MÃ¼nster</t>
  </si>
  <si>
    <t>Die Garantenstellung aus Ingerenz</t>
  </si>
  <si>
    <t>Johannes Fischer</t>
  </si>
  <si>
    <t>Measurements in Room Acoustics</t>
  </si>
  <si>
    <t>Ingo B. Witew</t>
  </si>
  <si>
    <t>Untersuchung der EffektivitÃ¤t zweier Fortbildungsformate zum Experimentieren mit dem Fokus auf das Unterrichtshandeln</t>
  </si>
  <si>
    <t>Arne Bewersdorff</t>
  </si>
  <si>
    <t>Data Science, Human-Centered Computing, and Intelligent Technologies</t>
  </si>
  <si>
    <t>Pricing of Consumer Innovations</t>
  </si>
  <si>
    <t>Tobias Ebbing</t>
  </si>
  <si>
    <t>Untersuchung und Charakterisierung einer zweiflutigen asymmetrischen Radialturbine</t>
  </si>
  <si>
    <t>Nils Brinkert</t>
  </si>
  <si>
    <t>REMIND: Music â€“ Movement â€“ Mind</t>
  </si>
  <si>
    <t>Angela Nicotra-Theresa KÃ¶be-Miranka Wirth</t>
  </si>
  <si>
    <t>Chemiebezogene Kompetenzen in der Ãœbergangsphase zwischen dem Sachunterricht der Primarstufe und dem Chemieunterricht der Sekundarstufe I</t>
  </si>
  <si>
    <t>Alina Behrendt</t>
  </si>
  <si>
    <t>Contributions to Baltic-Slavonic Relations in Literature and Languages</t>
  </si>
  <si>
    <t>Stephan Kessler</t>
  </si>
  <si>
    <t>Lernen mit Modellexperimenten</t>
  </si>
  <si>
    <t>Christina Toschka</t>
  </si>
  <si>
    <t>Der Logos der Sophistik und die Philosophie</t>
  </si>
  <si>
    <t>Fernando Oreja</t>
  </si>
  <si>
    <t>Forschungsdatenmanagement in der Informatik</t>
  </si>
  <si>
    <t>Katarzyna Biernacka-Sandra Schulz</t>
  </si>
  <si>
    <t>Accountability Relations in Social Housing Programs</t>
  </si>
  <si>
    <t>Mariana Vilmondes</t>
  </si>
  <si>
    <t>Wissenschaftliche Kontroversen im Physikunterricht</t>
  </si>
  <si>
    <t>Erik Heine</t>
  </si>
  <si>
    <t>Kompetenzaufbau zum experimentbezogenen Denken und Arbeiten</t>
  </si>
  <si>
    <t>JÃ¶rn HÃ¤gele</t>
  </si>
  <si>
    <t xml:space="preserve">FlammenrÃ¼ckschlag durch verbrennungsinduziertes Wirbelaufplatzen. </t>
  </si>
  <si>
    <t>Georg Blesinger</t>
  </si>
  <si>
    <t>EinfÃ¼hrung in die Differential- und in die Differenzengleichungen</t>
  </si>
  <si>
    <t>Alexander Lewintan-Peter Lewintan</t>
  </si>
  <si>
    <t>KlostergÃ¤rten und Spiritueller Tourismus</t>
  </si>
  <si>
    <t>Harald Schwillus-Markus Globisch</t>
  </si>
  <si>
    <t>Untersuchung des WÃ¤rmeÃ¼bergangs durch EinspritzkÃ¼hlung fÃ¼r ein HÃ¶chstleistungsgetriebe</t>
  </si>
  <si>
    <t>Felix von Plehwe</t>
  </si>
  <si>
    <t>"â€¦ mit ebenso viel Tatkraft wie Liebe zur Musik"</t>
  </si>
  <si>
    <t>Verena Liu</t>
  </si>
  <si>
    <t>The Blurring of Boundaries in Bioscientific Discourse</t>
  </si>
  <si>
    <t>Jana Tomasovicova</t>
  </si>
  <si>
    <t>Agentenbasierte Modellierung urbaner Transformationsprozesse</t>
  </si>
  <si>
    <t>Simon Johanning-Fabian Scheller-Stefan KÃ¼hne-Thomas Bruckner</t>
  </si>
  <si>
    <t>Searching for Order in Body Clocks</t>
  </si>
  <si>
    <t>Marta del Olmo</t>
  </si>
  <si>
    <t>Entwicklung und Evaluation eines Seminarkonzepts zur FÃ¶rderung der experimentellen Planungskompetenz von Lehramtsstudierenden im Fach Chemie</t>
  </si>
  <si>
    <t>Florian Seiler</t>
  </si>
  <si>
    <t>Entwicklung und Evaluation einer LehrkrÃ¤ftefortbildung zur Planung von selbstgesteuerten Experimenten</t>
  </si>
  <si>
    <t>Lars Ehlert</t>
  </si>
  <si>
    <t>Aspekte der Handlungskompetenz von BegabungsfÃ¶rdernden im Kontext der auÃŸerschulischen FÃ¶rderung hochbegabter Grundschulkinder</t>
  </si>
  <si>
    <t>Nanni Kaiser</t>
  </si>
  <si>
    <t>Die Debatte zwischen Rammohan Roy und Joshua Marshman von 1820 bis 1825</t>
  </si>
  <si>
    <t>Armin PÃ¶hlmann</t>
  </si>
  <si>
    <t>MINT-Bildungswege in der Perspektive junger Frauen</t>
  </si>
  <si>
    <t>Freja Kressdorf-Thorid Rabe-Alexander Winkler</t>
  </si>
  <si>
    <t>On the Stability of Objective Structures</t>
  </si>
  <si>
    <t>Martin Steinbach</t>
  </si>
  <si>
    <t>Textilzirkel in der DDR</t>
  </si>
  <si>
    <t>Sarah Wassermann</t>
  </si>
  <si>
    <t>The World We Want to Live in</t>
  </si>
  <si>
    <t>Frank Schmiedchen-Klaus Peter Kratzer-Jasmin S. A. Link-Heinz Stapf-FinÃ©</t>
  </si>
  <si>
    <t>Wie wir leben wollen</t>
  </si>
  <si>
    <t>Frank Schmiedchen-Klaus Peter Kratzer-Jasmin S.A. Link-Heinz Stapf-FinÃ©</t>
  </si>
  <si>
    <t>Inside Barefoot Economics</t>
  </si>
  <si>
    <t>Patrick Kletzka</t>
  </si>
  <si>
    <t>Eine Welt von Folgen</t>
  </si>
  <si>
    <t>Thomas Gil</t>
  </si>
  <si>
    <t>Study of an Alternative Phase Field Model for Low Interfacial Energy in Elastic Solids</t>
  </si>
  <si>
    <t>Anke BÃ¶ttcher</t>
  </si>
  <si>
    <t>Entwicklung und Pilotierung eines adaptiven Multistage-Tests zur Kompetenzerfassung im Bereich naturwissenschaftlichen Denkens</t>
  </si>
  <si>
    <t>Volker BrÃ¼ggemann</t>
  </si>
  <si>
    <t>Zwischen Wiener Wald und Moslemkutten</t>
  </si>
  <si>
    <t>RÃ¼diger Lohlker</t>
  </si>
  <si>
    <t>Consequences</t>
  </si>
  <si>
    <t>Leben zwischen Dreck und Drogen</t>
  </si>
  <si>
    <t>Talja Blokland</t>
  </si>
  <si>
    <t>Altmetrics for Digital Libraries</t>
  </si>
  <si>
    <t>Kaltrina Nuredini</t>
  </si>
  <si>
    <t>Modellierung des Fachwissens von LehrkrÃ¤ften in der Teilchenphysik</t>
  </si>
  <si>
    <t>Michaela Oettle</t>
  </si>
  <si>
    <t>Bedingungen und Einstellungen</t>
  </si>
  <si>
    <t>Implementierung fachdidaktischer Innovationen durch das Angebot materialgestÃ¼tzter Unterrichtskonzeptionen</t>
  </si>
  <si>
    <t>Judith Breuer</t>
  </si>
  <si>
    <t>Situation als Material</t>
  </si>
  <si>
    <t>Wiebke Hahn</t>
  </si>
  <si>
    <t>Diagnostische Prozesse von Studierenden des Lehramts</t>
  </si>
  <si>
    <t>Ann-Kathrin Beretz</t>
  </si>
  <si>
    <t>Symphonic Concert Life and Concert Venues in Tokyo 1868â€“1945</t>
  </si>
  <si>
    <t>Clemens BÃ¼ttner</t>
  </si>
  <si>
    <t>Zentrale Themen der Ideengeschichte physikdidaktischer Forschung in Deutschland anhand ausgewÃ¤hlter Originalquellen</t>
  </si>
  <si>
    <t>David Woitkowski-Christoph Vogelsang</t>
  </si>
  <si>
    <t>Untersuchung der innermotorischen EinflussgrÃ¶ÃŸen auf die Partikelemission eines Ottomotors mit Saugrohreinspritzung</t>
  </si>
  <si>
    <t>Claudius SchÃ¼ck</t>
  </si>
  <si>
    <t>Modelle als Mittel der Erkenntnisgewinnung im Chemieunterricht der Sekundarstufe I</t>
  </si>
  <si>
    <t>Marvin Rost</t>
  </si>
  <si>
    <t>Eignung von domÃ¤nenspezifischen Studieneingangsvariablen als PrÃ¤diktoren fÃ¼r Studienerfolg im Fach und Lehramt Physik</t>
  </si>
  <si>
    <t>Nikola Schild</t>
  </si>
  <si>
    <t>Technologieoffenheit und Realisierungsquote im Rechtsvergleich zwischen deutschen EEG-Ausschreibungen und brasilianischen Stromauktionen</t>
  </si>
  <si>
    <t>Lennart Berthold</t>
  </si>
  <si>
    <t>The Complexity of Zadeh's Pivot Rule</t>
  </si>
  <si>
    <t>Alexander Vincent Hopp</t>
  </si>
  <si>
    <t>Dispositiv-Erkundungen | Exploring Dispositifs</t>
  </si>
  <si>
    <t>Birte Kleine-Benne</t>
  </si>
  <si>
    <t>Separatism and Regionalism in Modern Europe</t>
  </si>
  <si>
    <t>Chris Kostov</t>
  </si>
  <si>
    <t>Physik der KÃ¼ste fÃ¼r auÃŸerschulische Lernorte</t>
  </si>
  <si>
    <t>Kai Bliesmer</t>
  </si>
  <si>
    <t>Time-Periodic Solutions to the Equations of Magnetohydrodynamics with Background Magnetic Field</t>
  </si>
  <si>
    <t>Jens-Henning MÃ¶ller</t>
  </si>
  <si>
    <t>Sprachlicher Umgang mit Formeln von LehrerInnen im Physikunterricht am Beispiel des elektrischen Widerstandes in Klassenstufe 8</t>
  </si>
  <si>
    <t>Wiebke Hinrike Kuske-JanÃŸen</t>
  </si>
  <si>
    <t>Syntaktische Strukturen im Selkupischen</t>
  </si>
  <si>
    <t>Anja Behnke</t>
  </si>
  <si>
    <t>Typisierung des VerstÃ¤ndnisses mentaler Modelle mittels empirischer Datenerhebung am Beispiel der Quantenphysik</t>
  </si>
  <si>
    <t>Malte Ubben</t>
  </si>
  <si>
    <t>CHEMIE PUR â€“ Unterrichten in der Natur</t>
  </si>
  <si>
    <t>Alexander Engl</t>
  </si>
  <si>
    <t>Terra Petraea</t>
  </si>
  <si>
    <t>Will M. Kennedy</t>
  </si>
  <si>
    <t>Erosion des Rechtsstaats? Schlaglichter einer elementaren Krise</t>
  </si>
  <si>
    <t>Lothar Knopp</t>
  </si>
  <si>
    <t>Drifting Apart of Transatlantic Security</t>
  </si>
  <si>
    <t>Aylin Matle</t>
  </si>
  <si>
    <t>Das Amalgam Anfangs-ElektrizitÃ¤tslehreunterricht</t>
  </si>
  <si>
    <t>Thomas Schubatzky</t>
  </si>
  <si>
    <t>Kognitive und motivationale Dynamik in SchÃ¼lerlaboren</t>
  </si>
  <si>
    <t>Christin Marie Sajons</t>
  </si>
  <si>
    <t>Historisches Vergleichen: Vergleichsaufgaben in Lehrwerken des Gesellschaftslehre- und Geschichtsunterrichts der Sekundarstufe II</t>
  </si>
  <si>
    <t>Katrin GÃ¼nther</t>
  </si>
  <si>
    <t>Digitalisierung und LehrkrÃ¤ftefortbildung</t>
  </si>
  <si>
    <t>Peter Arnold</t>
  </si>
  <si>
    <t>Der Mensch in der Verantwortung</t>
  </si>
  <si>
    <t>Raphael DÃ¶hn</t>
  </si>
  <si>
    <t>Quantenoptik an Schulen</t>
  </si>
  <si>
    <t>Philipp Bitzenbauer</t>
  </si>
  <si>
    <t>Akademische Resilienz</t>
  </si>
  <si>
    <t>Sabrina Lisi</t>
  </si>
  <si>
    <t>Existence and Spatial Decay of Periodic Navierâ€“Stokes Flows in Exterior Domains</t>
  </si>
  <si>
    <t>Thomas Eiter</t>
  </si>
  <si>
    <t>Examining Auditory Selective Attention</t>
  </si>
  <si>
    <t>Josefa Oberem</t>
  </si>
  <si>
    <t>Zur UnterstÃ¼tzung des Strebens nach Erkenntnis und SelbststÃ¤ndigkeit hoch begabter Grundschulkinder in auÃŸerschulischen naturwissenschaftlichen Lernkontexten</t>
  </si>
  <si>
    <t>Marcus Bohn</t>
  </si>
  <si>
    <t>Nichtlineare PÃ¤dagogik im Sport- und Mathematikunterricht</t>
  </si>
  <si>
    <t>Johannes Karsch</t>
  </si>
  <si>
    <t>Heterobimetallic [2.2]Paracyclophane Complexes and Their Application in Photoredox Catalysis</t>
  </si>
  <si>
    <t>Daniel Knoll</t>
  </si>
  <si>
    <t>StrÃ¶mung von Granulaten in Zentrifugal-Partikelreceivern</t>
  </si>
  <si>
    <t>David Maximilian Trebing</t>
  </si>
  <si>
    <t>Der Einfluss von Betreuung und Betreuenden auf die Wirksamkeit von SchÃ¼lerlaborbesuchen</t>
  </si>
  <si>
    <t>Florian Simon</t>
  </si>
  <si>
    <t>Forscherdialoge</t>
  </si>
  <si>
    <t>Ines Freitag-Amtmann</t>
  </si>
  <si>
    <t>Effective Two Dimensional Theories for Multi-layered Plates</t>
  </si>
  <si>
    <t>Miguel de Benito Delgado</t>
  </si>
  <si>
    <t>The F-Word</t>
  </si>
  <si>
    <t>Katrin Frisch</t>
  </si>
  <si>
    <t>Investigation on the Dissemination of Unit Watt in Airborne Sound and Applications</t>
  </si>
  <si>
    <t>Spyros Brezas</t>
  </si>
  <si>
    <t>Speech Perception in Complex Acoustic Environments:</t>
  </si>
  <si>
    <t>Rhoddy A. Viveros MuÃ±oz</t>
  </si>
  <si>
    <t>A Critical Analysis of the Physical Education Curriculum in the Czech Republic</t>
  </si>
  <si>
    <t>Petr Vlcek</t>
  </si>
  <si>
    <t>Professionsbezogene Wirkungen einer Lehr-Lern-Labor-Veranstaltung</t>
  </si>
  <si>
    <t>RenÃ© Dohrmann</t>
  </si>
  <si>
    <t>Design-Based Research zur Weiterentwicklung der chemiedidaktischen Lehrerausbildung zu SchÃ¼lervorstellungen</t>
  </si>
  <si>
    <t>Friederike Rohrbach-Lochner</t>
  </si>
  <si>
    <t>GeschÃ¤ftsmodell- und Kompetenzentwicklung fÃ¼r nachhaltiges Wirtschaften</t>
  </si>
  <si>
    <t>Karina Kiepe-Carolin Wicke-Juliane Reichel-Tobias SchlÃ¶mer-Clarissa Becker-Heike Jahncke-Karin Rebmann</t>
  </si>
  <si>
    <t>Dynamic Iteration and Model Order Reduction for Magneto-quasistatic Systems</t>
  </si>
  <si>
    <t>Johanna Kerler-Back</t>
  </si>
  <si>
    <t>Fast Measurement of Individual Head-Related Transfer Functions</t>
  </si>
  <si>
    <t>Jan-Gerrit Richter</t>
  </si>
  <si>
    <t>Energize the Base of the Pyramid!</t>
  </si>
  <si>
    <t>Mart Verhoog-Robert HollÃ¤nder</t>
  </si>
  <si>
    <t>QualitÃ¤tsleitfaden Offshore-Kampfmittelbeseitigung</t>
  </si>
  <si>
    <t>Torsten Frey</t>
  </si>
  <si>
    <t>Bildung, Macht und Lebenschancen</t>
  </si>
  <si>
    <t>Sebastian Ludwig</t>
  </si>
  <si>
    <t>Strategisch konsistente Gestaltung junger, wachstumsorientierter Industrieunternehmen</t>
  </si>
  <si>
    <t>Robert Wittmann</t>
  </si>
  <si>
    <t>Das akademische Selbstkonzept angehender PhysiklehrkrÃ¤fte als Teil ihrer professionellen IdentitÃ¤t</t>
  </si>
  <si>
    <t>Markus Elsholz</t>
  </si>
  <si>
    <t>Teachers' Beliefs and Strategies When Teaching Reading in Multilingual Settings</t>
  </si>
  <si>
    <t>Monica Bravo GranstrÃ¶m</t>
  </si>
  <si>
    <t>Bewertung neuer Verfahren zur KÃ¼hlung von Turbinenrotorschaufeln</t>
  </si>
  <si>
    <t>Maximilian Elfner</t>
  </si>
  <si>
    <t>Polnische AuÃŸen- und Sicherheitspolitik 2005-2015 und die Strategie der begrenzten UnabhÃ¤ngigkeit</t>
  </si>
  <si>
    <t>Florian Wassenberg</t>
  </si>
  <si>
    <t>Widersprechen in vereinnahmenden VerhÃ¤ltnissen</t>
  </si>
  <si>
    <t>Katharina Danner</t>
  </si>
  <si>
    <t>Reading the Post-Apartheid City</t>
  </si>
  <si>
    <t>Olivier Moreillon</t>
  </si>
  <si>
    <t>Empathisierer und Systematisierer im Vorschulalter</t>
  </si>
  <si>
    <t>Nina Skorsetz</t>
  </si>
  <si>
    <t>Gewohnt ist nicht normal</t>
  </si>
  <si>
    <t>Vojin Serbedzija-Talja Blokland</t>
  </si>
  <si>
    <t>Low Complexity Physical Layer Cooperation Concepts for Mobile Ad Hoc Networks</t>
  </si>
  <si>
    <t>Tim RÃ¼egg</t>
  </si>
  <si>
    <t>Reading Loss</t>
  </si>
  <si>
    <t>Danyela Demir</t>
  </si>
  <si>
    <t>Modeling of Moving Sound Sources Based on Array Measurements</t>
  </si>
  <si>
    <t>Fanyu Meng</t>
  </si>
  <si>
    <t>Modellierung des Materialverhaltens Magnetorheologischer Fluide unter Verwendung der FOURIER-Transformations Rheologie</t>
  </si>
  <si>
    <t>Martin Boisly</t>
  </si>
  <si>
    <t>Die Entwicklung der Professionellen Unterrichtswahrnehmung im Lehr-Lern-Labor Seminar</t>
  </si>
  <si>
    <t>Florian Treisch</t>
  </si>
  <si>
    <t>Flipped Classroom im Physikunterricht</t>
  </si>
  <si>
    <t>Frank Finkenberg</t>
  </si>
  <si>
    <t>Case Kritis - Fallstudien zur IT-Sicherheit in Kritischen Infrastrukturen</t>
  </si>
  <si>
    <t>Ulrike Lechner-Sebastian DÃ¤nnart-Andreas Rieb-Steffi Rudel</t>
  </si>
  <si>
    <t>Konzeption und Evaluation eines Unterrichtskonzepts zu einfachen Stromkreisen auf Basis des Elektronengasmodells</t>
  </si>
  <si>
    <t>Jan-Philipp Burde</t>
  </si>
  <si>
    <t>Potenzialanalyse von Solarturmkraftwerken mit FlÃ¼ssigmetallen als WÃ¤rmetrÃ¤germedium -- An Analysis of Potential of Solar Tower Power Plants Using Liquid Metals as Heat Transfer Fluid</t>
  </si>
  <si>
    <t>Andreas Fritsch</t>
  </si>
  <si>
    <t>Elektronenbahnen in Feldern</t>
  </si>
  <si>
    <t>Stefan Richtberg</t>
  </si>
  <si>
    <t>Experimentelle und simulative Untersuchung von Dieseloxidationskatalysatoren bei reversibler Edelmetalloxid-Bildung</t>
  </si>
  <si>
    <t>Hendrik Nicolas Dubbe</t>
  </si>
  <si>
    <t>Entwicklung und Validierung eines Testinstruments zu Selbstwirksamkeitserwartungen von (angehenden) PhysiklehrkrÃ¤ften in physikdidaktischen Handlungsfeldern</t>
  </si>
  <si>
    <t>Claudia Meinhardt</t>
  </si>
  <si>
    <t>Die temporÃ¤re Expertenorganisation</t>
  </si>
  <si>
    <t>Pia Lehmkuhl</t>
  </si>
  <si>
    <t>Experimentierprozesse von Lehramtsstudierenden der Biologie -- Eine Videostudie</t>
  </si>
  <si>
    <t>Meta Kambach</t>
  </si>
  <si>
    <t>Schriftentausch zwischen Bibliotheken der DDR und der BRD mit einer Nutzenanalyse am Beispiel der SLB Dresden</t>
  </si>
  <si>
    <t>LANGUAGE ARTS &amp; DISCIPLINES / Library &amp; Information Science / School Media</t>
  </si>
  <si>
    <t>Ines Pampel</t>
  </si>
  <si>
    <t>Computereinsatz in Schule und SchÃ¼lerlabor</t>
  </si>
  <si>
    <t>Michael Wenzel</t>
  </si>
  <si>
    <t>Die deutschen StreitkrÃ¤fte im Einsatz gegen SeerÃ¤uber</t>
  </si>
  <si>
    <t>Dominik Pross</t>
  </si>
  <si>
    <t>Nekropolen der Polis Halieis (Argolis)</t>
  </si>
  <si>
    <t>Jenny H. Schlehofer</t>
  </si>
  <si>
    <t>"KÃ¤mpferische" Wissenschaft</t>
  </si>
  <si>
    <t>Oleg Kappes</t>
  </si>
  <si>
    <t>Smart Universities</t>
  </si>
  <si>
    <t>Christian M. Stracke-Michael Shanks-Oddgeir Tveiten</t>
  </si>
  <si>
    <t>Erfassung der LehrqualitÃ¤t naturwissenschaftlicher Experimentalpraktika</t>
  </si>
  <si>
    <t>Daniel Rehfeldt</t>
  </si>
  <si>
    <t>AuthentizitÃ¤t multiperspektivisch</t>
  </si>
  <si>
    <t>Lara Maschke</t>
  </si>
  <si>
    <t>Naturwissenschaftliche Erkenntnisgewinnung an chemischen Inhalten vermitteln</t>
  </si>
  <si>
    <t>Christian G. Strippel</t>
  </si>
  <si>
    <t>Magnetismus hoch 4</t>
  </si>
  <si>
    <t>Daniel Laumann</t>
  </si>
  <si>
    <t>Neurostimulations-Kultur</t>
  </si>
  <si>
    <t>Monika Kalmbach-Ã–zdem</t>
  </si>
  <si>
    <t>Zur FÃ¶rderung des VerstÃ¤ndnisses der Variablenkontrolle im naturwissenschaftlichen Sachunterricht</t>
  </si>
  <si>
    <t>Mareike Bohrmann</t>
  </si>
  <si>
    <t>Optimal Domain and Integral Extension of Operators Acting in Frechet Function Spaces</t>
  </si>
  <si>
    <t>Bettina Blaimer</t>
  </si>
  <si>
    <t>FALKO-Physik -- Fachspezifische Lehrerkompetenzen im Fach Physik. Entwicklung und Validierung eines Testinstruments zur Erfassung des fachspezifischen Professionswissens von PhysiklehrkrÃ¤ften</t>
  </si>
  <si>
    <t>Anja SchÃ¶dl</t>
  </si>
  <si>
    <t>Anthropometric Individualization of Head-Related Transfer Functions Analysis and Modeling</t>
  </si>
  <si>
    <t>Ramona Bomhardt</t>
  </si>
  <si>
    <t>SchÃ¼lerperspektiven auf die zeitliche Entwicklung der Naturwissenschaften</t>
  </si>
  <si>
    <t>Janne KrÃ¼ger</t>
  </si>
  <si>
    <t>MaÃŸnahmen zur UnterstÃ¼tzung kognitiver und metakognitiver Prozesse in der Studieneingangsphase</t>
  </si>
  <si>
    <t>Inka Haak</t>
  </si>
  <si>
    <t>Grammatik der Natur</t>
  </si>
  <si>
    <t>Marc MÃ¼ller</t>
  </si>
  <si>
    <t>Providing Orbit Information with Predetermined Bounded Accuracy</t>
  </si>
  <si>
    <t>Vitali Braun</t>
  </si>
  <si>
    <t>Nachhaltigkeitsbewertung von KleinklÃ¤ranlagen mittels Ã–koeffizienzanalyse zur Ableitung von Produktverbesserungen</t>
  </si>
  <si>
    <t>Sabine LautenschlÃ¤ger-Lydie Laforet-Jacqueline Schimpke-Robert HollÃ¤nder-Ingo TÃ¶ws-Stefan BÃ¶ttger-Gabriele Stich-Antje Lange</t>
  </si>
  <si>
    <t>Entwicklung und experimentelle Validierung eines Ansatzes fÃ¼r die Modellierung des Anstreifverhaltens von Labyrinthdichtungen mit HonigwabeneinlaufbelÃ¤gen</t>
  </si>
  <si>
    <t>Tim Pychynski</t>
  </si>
  <si>
    <t>Messung von ExperimentierfÃ¤higkeiten</t>
  </si>
  <si>
    <t>Martin Dickmann</t>
  </si>
  <si>
    <t>Modellierung und Erfassung von Kompetenzen naturwissenschaftlicher Erkenntnisgewinnung bei (Lehramts-) Studierenden im Fach Physik</t>
  </si>
  <si>
    <t>Philipp Straube</t>
  </si>
  <si>
    <t>Neue Herausforderungen fÃ¼r die Aus- und Weiterbildung in Migrantenunternehmen</t>
  </si>
  <si>
    <t>Lena Werner-RenÃ© Leicht-Monika MÃ¼nch-Elvira Stegnos</t>
  </si>
  <si>
    <t>A Functional, Comprehensive and Extensible Multi-Platform Querying and Transformation Approach</t>
  </si>
  <si>
    <t>Tassilo Horn</t>
  </si>
  <si>
    <t>Von der HÃ¶hlenmalerei zur Hochkultur am GÃ¶bekli Tepe</t>
  </si>
  <si>
    <t>Lars Hennings</t>
  </si>
  <si>
    <t>High Performance Propagation of Large Object Populations in Earth Orbits</t>
  </si>
  <si>
    <t>Marek MÃ¶ckel</t>
  </si>
  <si>
    <t>Die natÃ¼rlichen Grundlagen der Mathematik</t>
  </si>
  <si>
    <t>Helmut Bender</t>
  </si>
  <si>
    <t>Media and Communication in Europe</t>
  </si>
  <si>
    <t>Agnieszka Stepinska</t>
  </si>
  <si>
    <t>A Companion to Anticlassicisms in the Cinquecento</t>
  </si>
  <si>
    <t>Marc FÃ¶cking-Susanne A. Friede-Florian Mehltretter-Angela Oster</t>
  </si>
  <si>
    <t>The Position of Roman Slaves</t>
  </si>
  <si>
    <t>Martin Schermaier</t>
  </si>
  <si>
    <t>Onomastics of the â€œChanson De Rolandâ€</t>
  </si>
  <si>
    <t>Gustav A. Beckmann</t>
  </si>
  <si>
    <t>Ein Imperium wird vermessen</t>
  </si>
  <si>
    <t>Martin Jeske</t>
  </si>
  <si>
    <t>Reflexively Speaking</t>
  </si>
  <si>
    <t>Anna Mauranen</t>
  </si>
  <si>
    <t>Covid Conspiracy Theories in Global Perspective</t>
  </si>
  <si>
    <t>Michael Butter-Peter Knight</t>
  </si>
  <si>
    <t>Literary Citizenship in Scandinavia in the Long Eighteenth Century</t>
  </si>
  <si>
    <t>Ruth Hemstad-Janicke S. Kaasa-Ellen Krefting-Aina NÃ¸ding</t>
  </si>
  <si>
    <t>Fonetyka i ortografia dÅºwiÄ™ku jÄ™zyka francuskiego. Od teorii jÄ™zykoznawczych do praktyki glottodydaktycznej</t>
  </si>
  <si>
    <t>MieczysÅ‚aw Gajos</t>
  </si>
  <si>
    <t>Osoba z niepeÅ‚nosprawnoÅ›ciÄ… intelektualnÄ…. ToÅ¼samoÅ›ciowy wymiar samostanowienia i (nie)zaleÅ¼noÅ›ci w kontekÅ›cie Å¼ycia rodzinnego</t>
  </si>
  <si>
    <t>Jakub Niedbalski</t>
  </si>
  <si>
    <t>Leadership and Governance in Primary Healthcare</t>
  </si>
  <si>
    <t>Mackfallen G. Anasel-Ntuli A. Kapologwe-Albino Kalolo</t>
  </si>
  <si>
    <t>Die Vignette als Ãœbung der Wahrnehmung / Nuove prospettive di professionalizzazione dellâ€™agire pedagogico</t>
  </si>
  <si>
    <t>Evi Agostini-Hans Karl Peterlini-Jasmin Donlic-Verena Kumpusch-Daniela Lehner-Isabella Sandner</t>
  </si>
  <si>
    <t>The Vignette As an Exercise in Perception / Î— Î’Î¹Î½Î¹Î­Ï„Î± Î©Ï‚ Î†ÏƒÎºÎ·ÏƒÎ· Î‘Î½Ï„Î¯Î»Î·ÏˆÎ·Ï‚</t>
  </si>
  <si>
    <t>Ethical Musicality</t>
  </si>
  <si>
    <t>Gro Trondalen</t>
  </si>
  <si>
    <t>Sport, Forced Migration and the 'Refugee Crisis'</t>
  </si>
  <si>
    <t>Enrico Michelini</t>
  </si>
  <si>
    <t>Rural Quality of Life</t>
  </si>
  <si>
    <t>Pia Heike Johansen-Anne Tietjen-Evald BundgÃ¥rd Iversen-Henrik Lauridsen Lolle-Jens Kaae Fisker</t>
  </si>
  <si>
    <t>AnÃ¡lisis de las predicciones en un filtro colaborativo basado en el algoritmo ALS para una empresa de comida rÃ¡pida en la ciudad de Guayaquil</t>
  </si>
  <si>
    <t>Sergio Israel PeÃ±a Guano-William Rafael Raymondi Lomas</t>
  </si>
  <si>
    <t>GestiÃ³n de servicios de tecnologÃ­a de la informaciÃ³n en un entorno de educaciÃ³n superior</t>
  </si>
  <si>
    <t>Marjorie Alexandra Coronel SuÃ¡rez-Alicia Germania Andrade Vera-IvÃ¡n Alberto Coronel SuÃ¡rez-Daniel IvÃ¡n Quirumbay Yagual-Carlos AndrÃ©s Castillo Yagual</t>
  </si>
  <si>
    <t>Come Hell or High Fever</t>
  </si>
  <si>
    <t>Russell W Glenn</t>
  </si>
  <si>
    <t>In Search of Perfect Harmony: Tartiniâ€™s Music and Music Theory in Local and European Contexts</t>
  </si>
  <si>
    <t>Nejc Sukljan</t>
  </si>
  <si>
    <t>Digitalization and Development</t>
  </si>
  <si>
    <t>Rajah Rasiah-Wah Yun Low-Nurliana Kamaruddin</t>
  </si>
  <si>
    <t>The Semantics of Derivational Morphology</t>
  </si>
  <si>
    <t>Sven Kotowski-Ingo Plag</t>
  </si>
  <si>
    <t>Martial Aesthetics</t>
  </si>
  <si>
    <t>Anders Engberg-Pedersen</t>
  </si>
  <si>
    <t>Elfriede Jelineks Theater des (Post-)Politischen</t>
  </si>
  <si>
    <t>Irene Husser</t>
  </si>
  <si>
    <t>Die Ausstattung kleinerer HÃ¤user in Pompeji (Insula IX 5)</t>
  </si>
  <si>
    <t>Christian Beck</t>
  </si>
  <si>
    <t>Libraries in the Manuscript Age</t>
  </si>
  <si>
    <t>Nuria de Castilla-FranÃ§ois DÃ©roche-Michael Friedrich</t>
  </si>
  <si>
    <t>Plurale Autorschaft</t>
  </si>
  <si>
    <t>Stefanie Gropper-Anna Pawlak-Anja Wolkenhauer-Angelika Zirker</t>
  </si>
  <si>
    <t>Embodied Dependencies and Freedoms</t>
  </si>
  <si>
    <t>Handbuch Religionskunde in Deutschland</t>
  </si>
  <si>
    <t>Wanda Alberts-Horst Junginger-Katharina Neef-Christina WÃ¶stemeyer</t>
  </si>
  <si>
    <t>Capricci luterani?</t>
  </si>
  <si>
    <t>Christine Ott-Hans Aurenhammer-Marc FÃ¶cking-Alessandro Nova</t>
  </si>
  <si>
    <t>Frauensatiren der FrÃ¼hen Neuzeit</t>
  </si>
  <si>
    <t>Emma Louise Brucklacher</t>
  </si>
  <si>
    <t>Grammatical Theory</t>
  </si>
  <si>
    <t>Usability Research for Interpreter-centred Technology</t>
  </si>
  <si>
    <t>Frittella, Francesca Maria</t>
  </si>
  <si>
    <t>LinguÃ­stica clÃ­nica</t>
  </si>
  <si>
    <t>Freitas, Maria JoÃ£o-Lousada, Marisa-Alves, Dina Caetano</t>
  </si>
  <si>
    <t>Language Assessment in Multilingual Settings</t>
  </si>
  <si>
    <t>GonzÃ¡lez, Eva RodrÃ­guez-Rivera, Rosita L.</t>
  </si>
  <si>
    <t>Contemporary Research in Minoritized and Diaspora Languages of Europe</t>
  </si>
  <si>
    <t>Coler, Matt-Nevins, Andrew</t>
  </si>
  <si>
    <t>Velar Fronting in German Dialects</t>
  </si>
  <si>
    <t>Hall, Tracy Alan</t>
  </si>
  <si>
    <t>The Negative Existential Cycle</t>
  </si>
  <si>
    <t>Veselinova, Ljuba-Hamari, Arja</t>
  </si>
  <si>
    <t>Trial by Farce</t>
  </si>
  <si>
    <t>Jody Enders</t>
  </si>
  <si>
    <t>Accustomed to Obedience?</t>
  </si>
  <si>
    <t>Joshua P. Nudell</t>
  </si>
  <si>
    <t>Migrants and Refugees in Europe</t>
  </si>
  <si>
    <t>Simone Baglioni-Francesca CalÃ²</t>
  </si>
  <si>
    <t>Datenerhebungen im Ermittlungsverfahren und rechtsstaatliche BeschrÃ¤nkungen.</t>
  </si>
  <si>
    <t>Joongwook Park</t>
  </si>
  <si>
    <t>Reader in Trinitarian Theology</t>
  </si>
  <si>
    <t>RELIGION / Christian Theology / Systematic</t>
  </si>
  <si>
    <t>Henco van der Westhuizen</t>
  </si>
  <si>
    <t>Endangered Languages in the 21st Century</t>
  </si>
  <si>
    <t>Eda Derhemi-Christopher Moseley</t>
  </si>
  <si>
    <t>Noncommunicable Diseases</t>
  </si>
  <si>
    <t>Nick Banatvala-Pascal Bovet</t>
  </si>
  <si>
    <t>La transversalidad de la investigaciÃ³n en comunicaciÃ³n.</t>
  </si>
  <si>
    <t>Oliveira, Julieti-Corona-LeÃ³n, Gladys A.</t>
  </si>
  <si>
    <t>Libro Blanco sobre la situaciÃ³n de las mujeres inmigrantes en el sector del trabajo del hogar y los cuidados en EspaÃ±a.</t>
  </si>
  <si>
    <t>MonguÃ­ Monsalve, MÃ³nica-CÃ¡ceres ArÃ©valo, Pierina-Ezquiaga Bravo, Ainhoa</t>
  </si>
  <si>
    <t>Retos y oportunidades de investigaciÃ³n y de acciÃ³n en tiempos de crisis sociosanitaria. Libro de actas II Congreso Iberoamericano de investigaciÃ³n en ciencias sociales y humanistas</t>
  </si>
  <si>
    <t>GijÃ³n SÃ¡nchez, MarÃ­a Teresa-MejÃ­a Ospina, Paola-DÃ­az Aznarte, MarÃ­a Teresa</t>
  </si>
  <si>
    <t>El arte y la naturaleza entre el deleite y la utilidad.</t>
  </si>
  <si>
    <t>ART / Subjects &amp; Themes / Landscapes &amp; Seascapes</t>
  </si>
  <si>
    <t>RomÃ¡n Aliste, Sergio-SantamarÃ­a FernÃ¡ndez, Ana Esther</t>
  </si>
  <si>
    <t>La investigaciÃ³n sobre nuevas estrategias de aprendizaje .</t>
  </si>
  <si>
    <t>MillÃ¡n Franco, Mario-DomÃ­nguez de la Rosa, Laura</t>
  </si>
  <si>
    <t>La formaciÃ³n integral del profesorado desde una perspectiva interdisciplinar. Libro de resÃºmenes del II Congreso Educare+Educere</t>
  </si>
  <si>
    <t>RomÃ¡n Aliste, Sergio-Anguita Osuna, JosÃ© Enrique</t>
  </si>
  <si>
    <t>PolÃ­tica universitaria y estudios sobre la universidad de cara al cambio del modelo educativo. XV aÃ±os de la red de polÃ­tica, educaciÃ³n y universidad</t>
  </si>
  <si>
    <t>Nava GÃ³mez, Guadalupe Nancy-Ochoa Cervantes, Azucena-RodrÃ­guez Betanzos, Addy</t>
  </si>
  <si>
    <t>Los pueblos indÃ­genas: la lucha por el reconocimiento de sus derechos.</t>
  </si>
  <si>
    <t>Iglesias VÃ¡zquez, MÂª del Ãngel-LÃ¡zaro Feo, Ana Laia</t>
  </si>
  <si>
    <t>EducaciÃ³n ambiental de maestros para maestros.</t>
  </si>
  <si>
    <t>PÃ©rez MartÃ­n, JosÃ© Manuel-Esquivel MartÃ­n, Tamara-Guevara Herrero, Irene</t>
  </si>
  <si>
    <t>Revisando la evidencia de los retos en Salud.</t>
  </si>
  <si>
    <t>PÃ©rez-Fuentes, MarÃ­a del Carmen-BarragÃ¡n MartÃ­n, Ana BelÃ©n-Martos MartÃ­nez, Ãfrica-SimÃ³n MÃ¡rquez, MarÃ­a del Mar-Molero Jurado, MarÃ­a del Mar</t>
  </si>
  <si>
    <t>Retos actuales en la formaciÃ³n del profesorado. Libro de resÃºmenes del I Congreso Educare+Educere</t>
  </si>
  <si>
    <t>Ruiz SimÃ³n, Esther-Santaella Vallejo, MarÃ­a Almudena</t>
  </si>
  <si>
    <t>Aportes de investigaciÃ³n derivados de la Red Iberoamericana de InvestigaciÃ³n en Liderazgo y PrÃ¡cticas Educativas (RILPE).</t>
  </si>
  <si>
    <t>Hinojo Lucena, Francisco Javier-Marichal Guevara, Oruam Cadex-CÃ¡ceres Reche, MarÃ­a del Pilar-Barrientos PiÃ±eiro, Claudio Alejandro</t>
  </si>
  <si>
    <t>DigitalizaciÃ³n de empresas y economÃ­a: tendencias actuales.</t>
  </si>
  <si>
    <t>MÃ¡s allÃ¡ de lo obligatorio. Alternativas educativas en el grado de EducaciÃ³n Social</t>
  </si>
  <si>
    <t>Ãguila, Luisa MarÃ­a del-OÃ±a Cots, JosÃ© Manuel de</t>
  </si>
  <si>
    <t>ODS y educaciÃ³n inclusiva en la educaciÃ³n superior: experiencias y propuestas transdisciplinares de innovaciÃ³n docente.</t>
  </si>
  <si>
    <t>M'Rabet Temsamani, RabÃ­a-Quirosa GarcÃ­a, Victoria</t>
  </si>
  <si>
    <t>El uso de las tecnologÃ­as de la informaciÃ³n y la comunicaciÃ³n en el aula universitaria como consecuencia del coronavirus.</t>
  </si>
  <si>
    <t>Cruz Ãngeles, JonatÃ¡n</t>
  </si>
  <si>
    <t>FormaciÃ³n del profesorado y metodologÃ­as activas en la educaciÃ³n del siglo XXI.</t>
  </si>
  <si>
    <t>HervÃ¡s GÃ³mez, Carlos-Corujo VÃ©lez, MarÃ­a Del Carmen-Calle Cabrera, Ana MarÃ­a de la-AlcÃ¡ntara Rubio, LucÃ­a</t>
  </si>
  <si>
    <t>TransformaciÃ³n digital docente. La gestiÃ³n sostenible de las organizaciones educativas.</t>
  </si>
  <si>
    <t>DomÃ­nguez GonzÃ¡lez, MarÃ­a de los Ãngeles-DÃ­az-Noguera, MarÃ­a Dolores-HervÃ¡s GÃ³mez, Carlos-RomÃ¡n GravÃ¡n, Pedro</t>
  </si>
  <si>
    <t>InvestigaciÃ³n e innovaciÃ³n sobre inclusiÃ³n e intervenciÃ³n socioeducativa.</t>
  </si>
  <si>
    <t>HervÃ¡s GÃ³mez, Carlos-Luque de la Rosa, Antonio-Sevillano Monje, VerÃ³nica-MartÃ­n GutiÃ©rrez, Ãngela</t>
  </si>
  <si>
    <t>Retos y experiencias de la renovaciÃ³n pedagÃ³gica y la innovaciÃ³n en las ciencias sociales.</t>
  </si>
  <si>
    <t>Soria RodrÃ­guez, Carlos-MartÃ­n LÃ³pez, Miguel Ãngel</t>
  </si>
  <si>
    <t>GamificaciÃ³n y aprendizaje colaborativo: experiencias en los procesos enseÃ±anza-aprendizaje del derecho.</t>
  </si>
  <si>
    <t>Bastante Granell, VÃ­ctor-GutiÃ©rrez Castillo, VÃ­ctor Luis</t>
  </si>
  <si>
    <t>La formaciÃ³n en derecho basada en competencias: especial referencia al mÃ©todo de casos.</t>
  </si>
  <si>
    <t>GarcÃ­a RuÃ­z, Carmen-Fillol Mazo, Adriana-Carrizo Aguado, David</t>
  </si>
  <si>
    <t>La aplicaciÃ³n del learning by doing y la ludificaciÃ³n en la enseÃ±anza-aprendizaje del Derecho Internacional.</t>
  </si>
  <si>
    <t>GutiÃ©rrez Castillo, VÃ­ctor Luis</t>
  </si>
  <si>
    <t>Lo que segrega tambiÃ©n nos conecta.</t>
  </si>
  <si>
    <t>Grana, Romina</t>
  </si>
  <si>
    <t>Etnicidad, identidad y ciudadanÃ­a. Las sociedades de ayer y hoy.</t>
  </si>
  <si>
    <t>MartÃ­nez GonzÃ¡lez, Alfredo JosÃ©</t>
  </si>
  <si>
    <t>Construyendo identidades desde la educaciÃ³n.</t>
  </si>
  <si>
    <t>Ãlvarez DÃ­az, Katia-CotÃ¡n FernÃ¡ndez, Almudena</t>
  </si>
  <si>
    <t>Narrativas y usuarios de la sociedad transmedia.</t>
  </si>
  <si>
    <t>Paredes Otero, Guillermo</t>
  </si>
  <si>
    <t>Del periodismo a los prosumidores. Mensajes, lenguajes y sociedad.</t>
  </si>
  <si>
    <t>Moya LÃ³pez, Daniel-Nogales Bocio, Antonia Isabel</t>
  </si>
  <si>
    <t>La gamificaciÃ³n como recurso educativo en educaciÃ³n primaria.</t>
  </si>
  <si>
    <t>Sevillano GarcÃ­a, MarÃ­a Luisa-VÃ¡zquez Cano, Esteban</t>
  </si>
  <si>
    <t>El poder de la comunicaciÃ³n: actores, estrategias y alternativas.</t>
  </si>
  <si>
    <t>Mancinas ChÃ¡vez, Rosalba-Figuereo BenÃ­tez, Juan C.</t>
  </si>
  <si>
    <t>Sociedad digital, comunicaciÃ³n y conocimiento: retos para la ciudadanÃ­a en un mundo global.</t>
  </si>
  <si>
    <t>Romero DomÃ­nguez, Lorena R.-SÃ¡nchez-Gey Valenzuela, Nuria</t>
  </si>
  <si>
    <t>El poder de la comunicaciÃ³n: periodismo, educaciÃ³n y feminismo.</t>
  </si>
  <si>
    <t>MartÃ­n Santos, RomÃ¡n-GarcÃ­a Orta, MarÃ­a JosÃ©</t>
  </si>
  <si>
    <t>Pensar el poder: derechos humanos y herramientas comunicativas.</t>
  </si>
  <si>
    <t>Manzano Zambruno, Laura-GarcÃ­a Prieto, Victoria</t>
  </si>
  <si>
    <t>Humanismo poliÃ©drico. Nuevas apuestas de estÃ©tica, arte gÃ©nero y ciencias sociales.</t>
  </si>
  <si>
    <t>Casares Landauro, Elena-Vadillo RodrÃ­guez, MarÃ­a Luisa-BermÃºdez VÃ¡zquez, Manuel</t>
  </si>
  <si>
    <t>FilosofÃ­a, tecnopolÃ­tica y otras ciencias sociales nuevas formas de revisiÃ³n y anÃ¡lisis del humanismo.</t>
  </si>
  <si>
    <t>PHILOSOPHY / Movements / Humanism</t>
  </si>
  <si>
    <t>BermÃºdez VÃ¡zquez, Manuel-SÃ¡nchez Cotta, AgustÃ­n</t>
  </si>
  <si>
    <t>FilosofÃ­a, mÃ©todo y otros prismas: historia y actualidad de los problemas filosÃ³ficos.</t>
  </si>
  <si>
    <t>Raga Rosaleny, Vicente-BermÃºdez VÃ¡zquez, Manuel</t>
  </si>
  <si>
    <t>Mediatisierungslinguistik</t>
  </si>
  <si>
    <t>Sascha Michel</t>
  </si>
  <si>
    <t>Health As a Social System</t>
  </si>
  <si>
    <t>Ansichten zur Ansichtskarte</t>
  </si>
  <si>
    <t>Heiko Hausendorf-Joachim Scharloth-Kyoko Sugisaki-Noah Bubenhofer</t>
  </si>
  <si>
    <t>Liberalismus als politisches Ordnungssystem</t>
  </si>
  <si>
    <t>Jana Katharina Funk</t>
  </si>
  <si>
    <t>Mit Daten sprechen</t>
  </si>
  <si>
    <t>Rahel Estermann</t>
  </si>
  <si>
    <t>Innere Grenzziehungen</t>
  </si>
  <si>
    <t>Simone Marti</t>
  </si>
  <si>
    <t>Belgische Literaturen in deutscher Ãœbersetzung</t>
  </si>
  <si>
    <t>Anja van de Pol-Tegge</t>
  </si>
  <si>
    <t>Vom Schweigen des Guten</t>
  </si>
  <si>
    <t>Lea Mara EÃŸer</t>
  </si>
  <si>
    <t>Kochkunstfreiheit</t>
  </si>
  <si>
    <t>Astrid Fleisch</t>
  </si>
  <si>
    <t>Norman M. Klein's Â»Bleeding Through: Layers of Los AngelesÂ«</t>
  </si>
  <si>
    <t>Populismus und Kino</t>
  </si>
  <si>
    <t>Johannes Pause</t>
  </si>
  <si>
    <t>InformationsstrÃ¶me in digitalen Kulturen</t>
  </si>
  <si>
    <t>Mathias Denecke</t>
  </si>
  <si>
    <t>Narrativas de exesclavizados afroamericanos</t>
  </si>
  <si>
    <t>Gerardo Cham</t>
  </si>
  <si>
    <t>Pflegedidaktik im Ãœberblick</t>
  </si>
  <si>
    <t>Wolfgang von Gahlen-Hoops-Katharina Genz</t>
  </si>
  <si>
    <t>Die Politik der Toten</t>
  </si>
  <si>
    <t>Den Staat aus der Gesellschaft denken</t>
  </si>
  <si>
    <t>Sascha Regier</t>
  </si>
  <si>
    <t>GebÃ¤rdensprachdolmetschen als Beruf</t>
  </si>
  <si>
    <t>Nadja Grbic</t>
  </si>
  <si>
    <t>Writing Facts</t>
  </si>
  <si>
    <t>Susanne Knaller</t>
  </si>
  <si>
    <t>La politizaciÃ³n feminista e indÃ­gena en Abya Yala</t>
  </si>
  <si>
    <t>Andrea Ivanna Gigena</t>
  </si>
  <si>
    <t>Zur DoppelbÃ¶digkeit des Unterrichts als BÃ¼hne</t>
  </si>
  <si>
    <t>Julia Reischl</t>
  </si>
  <si>
    <t>Die Vignette als Ãœbung der Wahrnehmung / The vignette as an exercise in perception</t>
  </si>
  <si>
    <t>Bildung und Partizipation</t>
  </si>
  <si>
    <t>Gudrun Quenzel-Michael Beck-Sebastian Jungkunz</t>
  </si>
  <si>
    <t>Klassische Theorien Sozialer Arbeit und soziale Bewegungen</t>
  </si>
  <si>
    <t>Melanie Werner</t>
  </si>
  <si>
    <t>Robert Ulewicz</t>
  </si>
  <si>
    <t>Diamond: Genesis, Mineralogy and Geochemistry</t>
  </si>
  <si>
    <t>Karen Smit-Steve Shirey-Graham Pearson-Thomas Stachel-Fabrizio Nestola-Thomas Moses</t>
  </si>
  <si>
    <t>Medientechnologie und Affekt</t>
  </si>
  <si>
    <t>Cilli Pogodda</t>
  </si>
  <si>
    <t>Geschichte der altgermanistischen Edition</t>
  </si>
  <si>
    <t>Judith Lange-Martin Schubert</t>
  </si>
  <si>
    <t>The Notebook of KamÄl al-DÄ«n the Weaver</t>
  </si>
  <si>
    <t>Boris Liebrenz-Kristina L. Richardson</t>
  </si>
  <si>
    <t>Sri Ksetra Museum Collection Inventory</t>
  </si>
  <si>
    <t>Charlotte Galloway</t>
  </si>
  <si>
    <t>Temple Tracks</t>
  </si>
  <si>
    <t>Vineeta Sinha</t>
  </si>
  <si>
    <t>Broken Glass, Broken Class</t>
  </si>
  <si>
    <t>Dimitra Kofti</t>
  </si>
  <si>
    <t>The Excavations at Khirbet El-Maqatir: 1995â€“2001 and 2009â€“2016</t>
  </si>
  <si>
    <t>Scott Stripling-Mark A. Hassler</t>
  </si>
  <si>
    <t>Dâ€™une rive Ã  lâ€™autre: circulations et Ã©changes entre la MaurÃ©tanie cÃ©sarienne et le sud-est de lâ€™Hispanie (AntiquitÃ©-Moyen-Ã¢ge)</t>
  </si>
  <si>
    <t>Touatia Amraoui-Alejandro Quevedo</t>
  </si>
  <si>
    <t>Refiguring Motherhood Beyond Biology</t>
  </si>
  <si>
    <t>Valerie Renegar-Kirsti Cole</t>
  </si>
  <si>
    <t>Democracy and Sovereignty in Spain</t>
  </si>
  <si>
    <t>Francisco J. Bellido</t>
  </si>
  <si>
    <t>A Companion to the Renaissance in Southern Italy (1350â€“1600)</t>
  </si>
  <si>
    <t>Bianca de Divitiis</t>
  </si>
  <si>
    <t>Communicating Linguistics</t>
  </si>
  <si>
    <t>Hazel Price-Dan McIntyre</t>
  </si>
  <si>
    <t>Active Rheology Control of Cementitious Materials</t>
  </si>
  <si>
    <t>Geert De Schutter-Karel Lesage</t>
  </si>
  <si>
    <t>Geschichte der mecklenburgischen Regionalsprache seit dem Zweiten Weltkrieg</t>
  </si>
  <si>
    <t>Klaas-Hinrich Ehlers</t>
  </si>
  <si>
    <t>Fostering Recovery Through Metaverse Business Modelling</t>
  </si>
  <si>
    <t>Rejuvenating Communism</t>
  </si>
  <si>
    <t>JÃ©rÃ´me Doyon</t>
  </si>
  <si>
    <t>Responding to Environmental Issues Through Adaptive Collaborative Management</t>
  </si>
  <si>
    <t>Carol J. Pierce Colfer-Ravi Prabhu</t>
  </si>
  <si>
    <t>Sexuality in the Swedish Police</t>
  </si>
  <si>
    <t>SOCIAL SCIENCE / LGBTQ+ Studies / Bisexual Studies</t>
  </si>
  <si>
    <t>Jens Rennstam</t>
  </si>
  <si>
    <t>Contextualizing Premodern Philosophy</t>
  </si>
  <si>
    <t>Katja Krause-Luis Xavier LÃ³pez-Farjeat-Nicholas A. Oschman</t>
  </si>
  <si>
    <t>The Russian Empire, Slaving and Liberation, 1480â€“1725</t>
  </si>
  <si>
    <t>Christoph Witzenrath</t>
  </si>
  <si>
    <t>CoJ Senior Citizens Write! An Anthology of Short Stories Written by Senior Citizens, Through a Digital Literacy Programme by the City of Johannesburg Libraries</t>
  </si>
  <si>
    <t>Jeff Nyoka</t>
  </si>
  <si>
    <t>Disruptions As Opportunities</t>
  </si>
  <si>
    <t>Taiyi Sun</t>
  </si>
  <si>
    <t>The Usage and Impact of ICTs During the Covid-19 Pandemic</t>
  </si>
  <si>
    <t>Shengnan Yang-Xiaohua Zhu-Pnina Fichman</t>
  </si>
  <si>
    <t>Conversations on Empathy</t>
  </si>
  <si>
    <t>Francesca Mezzenzana-Daniela Peluso</t>
  </si>
  <si>
    <t>Investigating Human Interaction Through Mathematical Analysis</t>
  </si>
  <si>
    <t>Kurt T. Brintzenhofe</t>
  </si>
  <si>
    <t>EnseÃ±anza, aprendizaje y formaciÃ³n en la EducaciÃ³n Superior. Su impacto en el desarrollo empresarial</t>
  </si>
  <si>
    <t>MarÃ­a Antonieta Vargas Santillan</t>
  </si>
  <si>
    <t>El perÃ­odo de adaptaciÃ³n de los niÃ±os al sistema educativo. Estrategias metodolÃ³gicas para su adecuada inclusiÃ³n</t>
  </si>
  <si>
    <t>Dania Acosta LuÃ­s-Gilma Tablada MartÃ­nez-Enrique de JesÃºs DÃ­az Chong-Gladys Patricia Guevara AlbÃ¡n</t>
  </si>
  <si>
    <t>EnseÃ±ar ciencias en su forma natural. Reflexiones latinoamericanas</t>
  </si>
  <si>
    <t>EducaciÃ³n inclusiva en niÃ±os de la educaciÃ³n inicial</t>
  </si>
  <si>
    <t>Dania Acosta LuÃ­s-Marcela Leonor Ãlvarez GutiÃ©rrez, Peggy VerÃ³nica HernÃ¡ndez Jara-Gilma Tablada MartÃ­nez-Enrique de JesÃºs DÃ­az Chong-Gladys Patricia Guevara AlbÃ¡n</t>
  </si>
  <si>
    <t>GestiÃ³n de la ciencia, tecnologÃ­a e innovaciÃ³n para el desarrollo local</t>
  </si>
  <si>
    <t>Mejora de las interacciones de los estudiantes en el aprendizaje en lÃ­nea: el uso de YouTube en la enseÃ±anza a distancia</t>
  </si>
  <si>
    <t>Yury Douglas Barrios Palacios-Dolores Zambrano Miranda-Henry Xavier Ponce SolÃ³rzano-Jorge William Tigrero Vaca-Michael Antonio Pinargote Castro</t>
  </si>
  <si>
    <t>Interculturalidad, educaciÃ³n, ciencias, desarrollo y sociedad</t>
  </si>
  <si>
    <t>DiseÃ±o elÃ¡stico y anÃ¡lisis no lineal del edificio de la Facultad de Ciencias MatemÃ¡ticas y FÃ­sicas de la Universidad de Guayaquil</t>
  </si>
  <si>
    <t>Carlos Elvis Cusme Vera-Guillermo Vicente Prado Salazar</t>
  </si>
  <si>
    <t>Investigaciones cientÃ­ficas sobre las lesiones bucales paraprotÃ©ticas</t>
  </si>
  <si>
    <t>La producciÃ³n y comercializaciÃ³n agropecuarias en funciÃ³n del desarrollo sostenible ecuatoriano</t>
  </si>
  <si>
    <t>Rodrigo AndrÃ©s Valarezo Quinaluisa-Cristhian AndrÃ©s Encalada SanmartÃ­n-Walter Ruben Torres Tene-Segress GarcÃ­a Hevia-Erick Patricio Quito LeÃ³n</t>
  </si>
  <si>
    <t>Drones para la agricultura de precisiÃ³n, un enfoque al cultivo de la Pitahaya</t>
  </si>
  <si>
    <t>Pedro Manuel GarcÃ­a Arias-Jorge Isaac AvilÃ©s Monroy-VerÃ³nica Mendoza MorÃ¡n-JesÃºs Rafael HechavarrÃ­a HernÃ¡ndez-Luis Arturo EspÃ­n PazmiÃ±o</t>
  </si>
  <si>
    <t>Los mapas mentales y su influencia en el desarrollo de competencias profesionales</t>
  </si>
  <si>
    <t>Katty Patricia Cabrera Flores-Jenny Lisette Rugel Villamar-Chris Emerson Casal RodrÃ­guez-Jorge Tarquino Erazo Rivera-Dario Xavier Romero Santistevan</t>
  </si>
  <si>
    <t>Ciencia y tecnociencia. Aproximaciones sucesivas desde diferentes disciplinas y perspectivas</t>
  </si>
  <si>
    <t>Historias relacionadas desde las ciencias con humanÃ­stica</t>
  </si>
  <si>
    <t>Jorge Luis Contreras Vidal-Edgardo Remo Benvenuto PÃ©rez-Henry Curbelo Sosa-Rafael ArmiÃ±ana GarcÃ­a-Daniel IvÃ¡n GarcÃ­a Vivas-Samaria Sitlali HernÃ¡ndez MartÃ­nez-Lizette Adriana GonzÃ¡lez GÃ³mez-Sergio Octavio Valle Mijangos</t>
  </si>
  <si>
    <t>Insights on Teacherâ€™s Lesson Plans for Enhancing Effective Communication Skills: Cases in English Language Teacher Training, Development and Practicum</t>
  </si>
  <si>
    <t>Doris Gertrudis Hawthorne Johnson-MarÃ­a de la Caridad Smith Batson-Michel Enrique Gamboa Graus</t>
  </si>
  <si>
    <t>Plan integral de fortalecimiento acadÃ©mico para mejorar la calidad del servicio educativo universitario</t>
  </si>
  <si>
    <t>Glenda Cecibel Intriago AlcÃ­var-Augusto Franklin Mendiburu Rojas-Dinora Alexandra Carpio Vera-Marcos David Oviedo RodrÃ­guez</t>
  </si>
  <si>
    <t>El lavado de activos y su afectaciÃ³n a la AdministraciÃ³n PÃºblica del Estado ecuatoriano</t>
  </si>
  <si>
    <t>Zoila FelÃ­cita Alvarado Moncada</t>
  </si>
  <si>
    <t>Creatividad, cogniciÃ³n y espacio arquitectÃ³nico</t>
  </si>
  <si>
    <t>Mayda Alvina Nieva Villegas-Luis Armando Chavez Bellido-Sandra Chavez Huamanchumo-Ketty MarilÃº Moscoso Paucarchuco-Karina Rosario Olivera Bordaes</t>
  </si>
  <si>
    <t>El rendimiento en el baloncesto: un programa para su optimizaciÃ³n</t>
  </si>
  <si>
    <t>Carlos Mauricio Alvarado Herrera-July Elizabeth Fabre Cavanna-Roberto Arturo Rojas Vera-Yury Douglas Barrios Palacios-FÃ©lix Jacinto GarcÃ­a CÃ³rdova</t>
  </si>
  <si>
    <t>La investigaciÃ³n educativa: teorÃ­a y prÃ¡ctica</t>
  </si>
  <si>
    <t>Graciela Abad PeÃ±a-Katia Lisset FernÃ¡ndez RodrÃ­guez-Segundo Eugenio Delgado Menoscal-Juan Carlos Bodero LeÃ³n-Eliana Noemi Contreras JordÃ¡n</t>
  </si>
  <si>
    <t>The Empowerment of Latin American Women in Politics</t>
  </si>
  <si>
    <t>Ketty MarilÃº Moscoso Paucarchuco-JesÃºs CÃ©sar Sandoval Trigos-Manuel Michael BeraÃºn EspÃ­ritu-Jhoys Leylaura OrdoÃ±ez GÃ³mez-Hilario Romero GirÃ³n</t>
  </si>
  <si>
    <t>Estudios cientÃ­ficos odontolÃ³gicos en el adulto mayor</t>
  </si>
  <si>
    <t>Rolando Saez Carriera-HÃ©ctor Gonzalo GuzmÃ¡n Gallardo-Carlos MartÃ­nez Florencia-Andrea OrdÃ³Ã±ez Balladares-Luis Rogelio VillacrÃ©s Baquerizo</t>
  </si>
  <si>
    <t>Conocimiento y frecuencia de uso de las TIC en docentes de la EducaciÃ³n Superior</t>
  </si>
  <si>
    <t>July Elizabeth Fabre Cavanna-Yury Douglas Barrios Palacios-Roberto Arturo Rojas Vera-Dolores Zambrano Miranda-Zoila Eugenia Guerrero Ãvila</t>
  </si>
  <si>
    <t>Estrategias y metodologÃ­as de enseÃ±anza para el aprendizaje activo en la EducaciÃ³n Superior</t>
  </si>
  <si>
    <t>Gina Real Zumba, AngÃ©lica Margara Mora Aristega-Maya Aracely SÃ¡nchez Soto-Sandra Karina Daza SuÃ¡rez-Dalila Ildaura ZÃºÃ±iga GarcÃ­a</t>
  </si>
  <si>
    <t>Competencias digitales y rendimiento acadÃ©mico en estudiantes universitarios: una mirada desde la educaciÃ³n no presencial</t>
  </si>
  <si>
    <t>Ketty MarilÃº Moscoso Paucarchuco-Manuel Michael BeraÃºn EspÃ­ritu-Mayda Alvina Nieva Villegas-JesÃºs CÃ©sar Sandoval Trigos</t>
  </si>
  <si>
    <t>HumanÃ­stica en 3P. Desde la Universidad Mundo Maya, Campus Campeche</t>
  </si>
  <si>
    <t>PSYCHOLOGY / Psychotherapy / Humanistic</t>
  </si>
  <si>
    <t>Jorge Luis Contreras Vidal-Sergio Octavio Valle Mijangos</t>
  </si>
  <si>
    <t>MartÃ­â€™s Thought in Philosophy of Education</t>
  </si>
  <si>
    <t>Frank Arteaga Pupo</t>
  </si>
  <si>
    <t>Teach Reading</t>
  </si>
  <si>
    <t>Ernan Santiesteban Naranjo-Kenia MarÃ­a VelÃ¡zquez Avila-Niurka GÃ³ngora Mena</t>
  </si>
  <si>
    <t>La profesiÃ³n docente universitaria en el siglo XXI: un enfoque desde la pedagogÃ­a, la didÃ¡ctica y las TIC</t>
  </si>
  <si>
    <t>Elsy RodrÃ­guez Revelo-Pablo AlarcÃ³n Salvatierra-Rosa Molina Izurieta-Diana Joselyn Espinoza VillÃ³n-Francisco Gerardo Palacios Ortiz-Roberto Crespo Mendoza</t>
  </si>
  <si>
    <t>La didÃ¡ctica de la teorÃ­a de conjuntos y las probabilidades: una mirada hacia las ciencias y la ingenierÃ­a</t>
  </si>
  <si>
    <t>Isaakc Junior Ortiz Aguirre-Evelyn JazmÃ­n HenrÃ­quez Antepara-Elsy RodrÃ­guez Revelo-Silvia Adriana Ruata AvilÃ©s, Belkis ChiquinquirÃ¡ CaÃ±izales Perdom</t>
  </si>
  <si>
    <t>Sistema de transmisiÃ³n y recepciÃ³n inalÃ¡mbrico de imÃ¡genes, de Ãºnica portadora con tÃ©cnicas de ecualizaciÃ³n y control de acceso al medio. AnÃ¡lisis de su rendimiento</t>
  </si>
  <si>
    <t>William AndrÃ©s RodrÃ­guez LÃ³pez-FabiÃ¡n AndrÃ©s Espinoza BazÃ¡n-Ingrid Kathyuska Giraldo MartÃ­nez-Ãngel Steven Asanza Briones-Mauricio Daniel Montenegro Patrel</t>
  </si>
  <si>
    <t>Methodology of Mathematics Teaching. Treatment to School Mathematics Equations</t>
  </si>
  <si>
    <t>Carlos Manuel Caraballo Carmona, Francisco LÃ¡zaro GarcÃ­a FernÃ¡ndez</t>
  </si>
  <si>
    <t>Nuevas tendencias de la didÃ¡ctica en la EducaciÃ³n Superior ecuatoriana</t>
  </si>
  <si>
    <t>Yelena Dolores SolÃ³rzano Mendoza-Segundo Javier Reyes SolÃ³rzano-Edelmary de Lourdes MuÃ±oz Aveiga-Pedro JosÃ© Saldarriaga Zambrano-Segress GarcÃ­a Hevia</t>
  </si>
  <si>
    <t>Estudio de la vulnerabilidad sÃ­smica de los edificios de Guayaquil</t>
  </si>
  <si>
    <t>Daniel Douglas Iturburu Salvador-Julio Cesar Castro Rosado</t>
  </si>
  <si>
    <t>El desarrollo de las habilidades del pensamiento geomÃ©trico espacial: una mirada desde la validaciÃ³n neutrosÃ³fica</t>
  </si>
  <si>
    <t>Wilber Ortiz Aguilar-Tatiana VerÃ³nica GutiÃ©rrez QuiÃ±Ã³nez-Lenin Stalyn GÃ³mez Romero-Daniel Douglas Iturburu Salvad-Julio Cesar Castro Rosado</t>
  </si>
  <si>
    <t>Los parques eÃ³licos: una mirada desde la administraciÃ³n y gerencia de los proyectos de energÃ­a del Ecuador</t>
  </si>
  <si>
    <t>Isaakc Junior Ortiz Aguirre-Manuel Fabricio Reyes Wagnio-Leonel Adalberto VÃ¡squez Cevallos-Segundo Eugenio Delgado Menoscal-Erick Abraham Lamilla Rubio</t>
  </si>
  <si>
    <t>Las Mypes. Impacto en el desarrollo econÃ³mico peruano</t>
  </si>
  <si>
    <t>Yrene Cecilia Uribe HernÃ¡ndez-JosÃ© Luis Castagnola SÃ¡nchez-Carmen Patricia Tello Aguilar-JosÃ© Walter Cabrejos Choy, Oscar Fernando AlegrÃ­a Cueto</t>
  </si>
  <si>
    <t>The Benefits and Drawbacks of Using Duolingo to Learn English: A Study with Young ESL Learners</t>
  </si>
  <si>
    <t>Marcelo Ivan Vizcarra BazÃ¡n-Edison Santiago SanguÃ±a Loachamin-Amilcar Oswaldo GonzÃ¡lez DÃ­az-Sonia Magali Arteaga Sarmiento-Silvia Elizabeth Morales MorejÃ³n</t>
  </si>
  <si>
    <t>Probabilidades y estadÃ­stica: pilares fundamentales de la investigaciÃ³n cientÃ­fica</t>
  </si>
  <si>
    <t>Edelmary de Lourdes MuÃ±oz Aveiga-Evelyn JazmÃ­n HenrÃ­quez Antepara-MÃ©lida RocÃ­o Campoverde MÃ©ndez-Wilber Ortiz Aguilar</t>
  </si>
  <si>
    <t>Fizykalizm i ewolucjonizm w epistemologii znaturalizowanej</t>
  </si>
  <si>
    <t>Joanna Karolina Malinowska</t>
  </si>
  <si>
    <t>Rhoda: â€˜Comrade Kadalie, You Are Out of Order!â€™: A Biography</t>
  </si>
  <si>
    <t>Joel B Pollak</t>
  </si>
  <si>
    <t>Constitutions of Value</t>
  </si>
  <si>
    <t>Isabel Feichtner-Geoff Gordon</t>
  </si>
  <si>
    <t>Editing and Commenting on Statius' Silvae</t>
  </si>
  <si>
    <t>Ana LÃ³io</t>
  </si>
  <si>
    <t>Twilight of the American State</t>
  </si>
  <si>
    <t>Pierre Schlag</t>
  </si>
  <si>
    <t>Living Labor</t>
  </si>
  <si>
    <t>Joseph B. Entin</t>
  </si>
  <si>
    <t>Das Temeswarer Banat</t>
  </si>
  <si>
    <t>Victor Neumann</t>
  </si>
  <si>
    <t>The Distance to China</t>
  </si>
  <si>
    <t>Linetto Basilone</t>
  </si>
  <si>
    <t>A Fire of Lilies</t>
  </si>
  <si>
    <t>Ahmad Karimi-Hakkak</t>
  </si>
  <si>
    <t>Collaborative Research for Excellence in Economics and Social Sciences</t>
  </si>
  <si>
    <t>Transitioning Vocational Education and Training in Africa</t>
  </si>
  <si>
    <t>Simon McGrath-George Openjuru Ladaah-Heila Lotz-Sisitka-Stephanie Allais-Jacques Zeelen-Volker Wedekind-Presha Ramsarup-David Monk-Luke Metelerkamp-Jo-Anna Russon-Bonaventure Kyaligonja-Glen Robbins-Scovia Adrupio-David Ocan-Kenneth Nyeko-Adoye Primo-Palesa Molebatsi-Themba Tshabalala-Sidney Muhangi-Maxwell Openjuru</t>
  </si>
  <si>
    <t>American Colonial Spaces in the Philippines</t>
  </si>
  <si>
    <t>Scott Kirsch</t>
  </si>
  <si>
    <t>Mainstreaming Gender in Global Climate Governance</t>
  </si>
  <si>
    <t>Joanna Flavell</t>
  </si>
  <si>
    <t>EMarketing: The Essential Guide to Marketing in a Digital World</t>
  </si>
  <si>
    <t>Red &amp; Yellow Creative School for Business</t>
  </si>
  <si>
    <t>Red &amp; Yellow Creative School of Business</t>
  </si>
  <si>
    <t>Reimagining Civil Society Collaborations in Development</t>
  </si>
  <si>
    <t>Margit van Wessel-Tiina Kontinen-Justice Nyigmah Bawole</t>
  </si>
  <si>
    <t>World History - A Genealogy</t>
  </si>
  <si>
    <t>Carolien Stolte-Alicia Schrikker</t>
  </si>
  <si>
    <t>Understanding Contemporary Islamic Crises in the Middle East</t>
  </si>
  <si>
    <t>Graham Fuller</t>
  </si>
  <si>
    <t>The Operations of the Navy in the Dutch East Indies and the Bay of Bengal</t>
  </si>
  <si>
    <t>Wim Remmelink</t>
  </si>
  <si>
    <t>The Invasion of the Dutch East Indies</t>
  </si>
  <si>
    <t>Willem Remmelink</t>
  </si>
  <si>
    <t>The Heirs of Vijayanagara</t>
  </si>
  <si>
    <t>Lennart Bes</t>
  </si>
  <si>
    <t>The Fall and Rise of Blasphemy Law</t>
  </si>
  <si>
    <t>Paul Cliteur-Tom Herrenberg</t>
  </si>
  <si>
    <t>Terrorists on Trial</t>
  </si>
  <si>
    <t>Beatrice de Graaf-Alex P. Schmid</t>
  </si>
  <si>
    <t>Jihad and Islam in World War I</t>
  </si>
  <si>
    <t>Erik-Jan ZÃ¼rcher</t>
  </si>
  <si>
    <t>Islam, Politics and Change</t>
  </si>
  <si>
    <t>Kees van Dijk-Nico J. G. Kaptein</t>
  </si>
  <si>
    <t>Being a Slave</t>
  </si>
  <si>
    <t>Alicia Schrikker-Nira Wickramasinghe</t>
  </si>
  <si>
    <t>Imagining Iberia in English and Castilian Medieval Romance</t>
  </si>
  <si>
    <t>Emily Houlik-Ritchey</t>
  </si>
  <si>
    <t>Jahrbuch der berufs- und wirtschaftspÃ¤dagogischen Forschung 2022</t>
  </si>
  <si>
    <t>Kristina KÃ¶gler-Ulrike Weyland-H.-Hugo Kremer</t>
  </si>
  <si>
    <t>Erziehungswissenschaftliche Grundbegriffe im Spiegel der Inklusionsforschung</t>
  </si>
  <si>
    <t>Tanja Sturm-Nicole Balzer-JÃ¼rgen Budde-Anja Hackbarth</t>
  </si>
  <si>
    <t>Aliaa, Sabry-Kyriaki, Kyriakou-Mieke, Moerman</t>
  </si>
  <si>
    <t>Gott denken - Wunschdenken?</t>
  </si>
  <si>
    <t>Raphael Weichlein</t>
  </si>
  <si>
    <t>Stem Cell Delivery Routes: From Preclinical Models to Clinical Applications</t>
  </si>
  <si>
    <t>Bentham Science Publishers Ltd.</t>
  </si>
  <si>
    <t>SCIENCE / Life Sciences / Cell Biology</t>
  </si>
  <si>
    <t>Sharmila, Fagoonee</t>
  </si>
  <si>
    <t>Global Emerging Innovation Summit (GEIS-2021)</t>
  </si>
  <si>
    <t>Dharam, Buddhi-Rajesh, Singh-Anita, Gehlot</t>
  </si>
  <si>
    <t>Ovarian Cancer-Challenges and Innovations</t>
  </si>
  <si>
    <t>Tamara L, Kalir</t>
  </si>
  <si>
    <t>Hepatic Elastography Using Ultrasound Waves Revised Edition of Volume: 1</t>
  </si>
  <si>
    <t>MEDICAL / Diagnostic Imaging / Ultrasonography</t>
  </si>
  <si>
    <t>Ioan, Sporea-Roxana Sirli</t>
  </si>
  <si>
    <t>Young Perspectives for Old Diseases</t>
  </si>
  <si>
    <t>Glaucia Noeli Maroso, Hajj</t>
  </si>
  <si>
    <t>Frontiers in RNAi</t>
  </si>
  <si>
    <t>Ralph A, Tripp-Jon M, Karpilow</t>
  </si>
  <si>
    <t>Ricin Toxin</t>
  </si>
  <si>
    <t>John W, Cherwonogrodzky</t>
  </si>
  <si>
    <t>Health Policy in Ageing Populations: Economic Modeling of Chronic Disease Policy Options in Australia</t>
  </si>
  <si>
    <t>HEALTH &amp; FITNESS / Diseases &amp; Conditions / Chronic Fatigue Syndrome</t>
  </si>
  <si>
    <t>Agnes E G, Walker-James R G, Butler-Stephen, Colagiuri</t>
  </si>
  <si>
    <t>Silicon Based Thin Film Solar Cells</t>
  </si>
  <si>
    <t>Roberto, Murri</t>
  </si>
  <si>
    <t>The Impacts of Skiing and Related Winter Recreational Activities on Mountain Environments</t>
  </si>
  <si>
    <t>SPORTS &amp; RECREATION / Winter Sports / Skiing</t>
  </si>
  <si>
    <t>Christian, Rixen-Antonio, Rolando</t>
  </si>
  <si>
    <t>Atmospheric Flow Fields: Theory, Numerical Methods And Software Tools</t>
  </si>
  <si>
    <t>G, Latini-R Cocci, Grifoni-S, Tascini</t>
  </si>
  <si>
    <t>Grasping the Future: Advances in Powered Upper Limb Prosthetics</t>
  </si>
  <si>
    <t>MEDICAL / Prosthesis</t>
  </si>
  <si>
    <t>Vincenzo Parenti, Castelli-Marco, Troncossi</t>
  </si>
  <si>
    <t>Rule Developing Experimentation: A Systematic Approach to Understand &amp; Engineer the Consumer Mind</t>
  </si>
  <si>
    <t>Alex, Gofman-Howard R, Moskowitz</t>
  </si>
  <si>
    <t>Hepatic Elastography Using Ultrasound Waves</t>
  </si>
  <si>
    <t>Science TQM, New Quality Management Principle: The Quality Management Strategy of Toyota</t>
  </si>
  <si>
    <t>Kakuro, Amasaka</t>
  </si>
  <si>
    <t>Functional Molecular Imaging In Hepatology</t>
  </si>
  <si>
    <t>Susanne, Keiding-Michael Sorensen</t>
  </si>
  <si>
    <t>An Ecological Perspective on Health Promotion Systems, Settings and Social Processes</t>
  </si>
  <si>
    <t>Bente, Wold-Oddrun, Samdal</t>
  </si>
  <si>
    <t>The Role of Saliva Cortisol Measurement in Health and Disease</t>
  </si>
  <si>
    <t>Margareta, Kristenson-Peter, Garvin-Ulf, Lundberg</t>
  </si>
  <si>
    <t>Ecological Impacts of Toxic Chemicals</t>
  </si>
  <si>
    <t>Francisco Sanchez, Bayo-Paul J van den, Brink-Reinier M, Mann</t>
  </si>
  <si>
    <t>Multifunctional Two- and Three-Dimensional Polycrystalline X-Ray Diffractometry</t>
  </si>
  <si>
    <t>SCIENCE / Physics / Crystallography</t>
  </si>
  <si>
    <t>Cong, Qiuzi-Yu, Xiang-He, Li</t>
  </si>
  <si>
    <t>Oocyte Maturation and Fertilization: A Long History for a Short Event</t>
  </si>
  <si>
    <t>Elisabetta, Tosti-Raffaele, Boni</t>
  </si>
  <si>
    <t>Transforming Sexual Health in Scotland: Cultural, Organisational and Partnership Approaches</t>
  </si>
  <si>
    <t>Rosie, Ilett-Alison, Bigrigg</t>
  </si>
  <si>
    <t>Suicide and Predicament: Life Is a Predicament</t>
  </si>
  <si>
    <t>Saxby, Pridmore</t>
  </si>
  <si>
    <t>4D Fetal Echocardiography</t>
  </si>
  <si>
    <t>Giuseppe, Rizzo-Domenico, Arduini</t>
  </si>
  <si>
    <t>Drugs Sex, And Crime - Empirical Contributions</t>
  </si>
  <si>
    <t>LAW / Drugs &amp; the Law</t>
  </si>
  <si>
    <t>Danilo Antonio, Baltieri</t>
  </si>
  <si>
    <t>Parneet, Cheema-Elena, Garralda-Brandon S., Sheffield-Pasquale, Pisapia</t>
  </si>
  <si>
    <t>E-Klausur und Elektronische FernprÃ¼fung.</t>
  </si>
  <si>
    <t>Dirk Heckmann-Sarah Rachut</t>
  </si>
  <si>
    <t>The Carbon Chain in Carbon Dioxide Industrial Utilization Technologies</t>
  </si>
  <si>
    <t>Dariusz WawrzyÅ„czak-Izabela Majchrzak-KucÄ™ba-Covadonga Pevida-Giuseppe Bonura-Rita Nogueira-Marcello de Falco</t>
  </si>
  <si>
    <t>Kompetenzen fÃ¼r eine Nachhaltige Entwicklung aus der Perspektive beruflicher Praxis</t>
  </si>
  <si>
    <t>Corinne Ruesch Schweizer</t>
  </si>
  <si>
    <t>Videogames and Agency</t>
  </si>
  <si>
    <t>Bettina BÃ³di</t>
  </si>
  <si>
    <t>Humanitarian Journalists</t>
  </si>
  <si>
    <t>Martin Scott-Kate Wright-Mel Bunce</t>
  </si>
  <si>
    <t>We, the City</t>
  </si>
  <si>
    <t>Tuba Ä°nal-Ã‡ekiÃ§-Urszula Ewa WoÅºniak</t>
  </si>
  <si>
    <t>Social-Ecological Cooperative Housing</t>
  </si>
  <si>
    <t>id22: Institute for Creative Sustainability</t>
  </si>
  <si>
    <t>SakralitÃ¤t im Wandel</t>
  </si>
  <si>
    <t>Beate LÃ¶ffler-Dunja Sharbat Dar</t>
  </si>
  <si>
    <t>Kai VÃ¶ckler-Peter Eckart-Martin KnÃ¶ll-Martin Lanzendorf</t>
  </si>
  <si>
    <t>Beyond the Institution: Transforming the Learning Environment in Architectural Education</t>
  </si>
  <si>
    <t>ArchitekturfakultÃ¤t der Technischen UniversitÃ¤t Graz-Petra Petersson-Christina Linortner</t>
  </si>
  <si>
    <t>Ã–ffentliche RÃ¤ume in Pompeji</t>
  </si>
  <si>
    <t>Demographic Change in Japan and the EU</t>
  </si>
  <si>
    <t>Annette Schad-Seifert-Shingo Shimada</t>
  </si>
  <si>
    <t>Mischung: Possible!</t>
  </si>
  <si>
    <t>Christian Peer-Silvia Forlati</t>
  </si>
  <si>
    <t>Atlas Kriegsschadenskarten Deutschland</t>
  </si>
  <si>
    <t>Carmen M. Enss-Birgit Knauer</t>
  </si>
  <si>
    <t>Inhabited Machines</t>
  </si>
  <si>
    <t>Moritz Gleich</t>
  </si>
  <si>
    <t>Reshaping Food Systems to Improve Nutrition and Health in the Eastern Mediterranean Region</t>
  </si>
  <si>
    <t xml:space="preserve"> Ayoub Al-Jawaldeh-Alexa Meyer</t>
  </si>
  <si>
    <t>Landscapes of Investigation</t>
  </si>
  <si>
    <t xml:space="preserve"> Miriam Godoy Penteado-Ole Skovsmose</t>
  </si>
  <si>
    <t>Theatre in Towns</t>
  </si>
  <si>
    <t>Helen Nicholson-Jenny Hughes-Gemma Edwards-Cara Gray</t>
  </si>
  <si>
    <t>Obsidian Across the Americas</t>
  </si>
  <si>
    <t>HISTORY / North America</t>
  </si>
  <si>
    <t>Gary M. Feinman-Danielle J. Riebe</t>
  </si>
  <si>
    <t>Human Resources Management in Multinational Companies</t>
  </si>
  <si>
    <t>Marzena Stor</t>
  </si>
  <si>
    <t>Diversity of Belonging in Europe</t>
  </si>
  <si>
    <t>Susannah Eckersley-Claske Vos</t>
  </si>
  <si>
    <t>What Is New in Gastroenterology and Hepatology</t>
  </si>
  <si>
    <t>Ioan, Sporea-Alina, Popescu</t>
  </si>
  <si>
    <t>Contemporary States and the Pandemic</t>
  </si>
  <si>
    <t>Jolanta Itrich-Drabarek</t>
  </si>
  <si>
    <t>Unsung Land, Aspiring Nation</t>
  </si>
  <si>
    <t>Gordon Peake</t>
  </si>
  <si>
    <t>How Government Experts Self-Sabotage</t>
  </si>
  <si>
    <t>Christiane Gerblinger</t>
  </si>
  <si>
    <t>Latinx Shakespeares</t>
  </si>
  <si>
    <t>Carla Della Gatta</t>
  </si>
  <si>
    <t>Gendered Pluralism</t>
  </si>
  <si>
    <t>Katherine Tate-Belinda Robnett</t>
  </si>
  <si>
    <t>European Strategic Autonomy and Small States' Security</t>
  </si>
  <si>
    <t>Giedrius ÄŒesnakas-Justinas Juozaitis</t>
  </si>
  <si>
    <t>Debating the War in Ukraine</t>
  </si>
  <si>
    <t>Tuomas Forsberg-Heikki PatomÃ¤ki</t>
  </si>
  <si>
    <t>How People Compare</t>
  </si>
  <si>
    <t>Mathijs Pelkmans-Harry Walker</t>
  </si>
  <si>
    <t>Christine, Yoshinaga-Itano</t>
  </si>
  <si>
    <t>Wandlungsdynamiken transnationaler Familien unter Krisenbedingungen</t>
  </si>
  <si>
    <t>Christian Schramm</t>
  </si>
  <si>
    <t>Post-HeteronormativitÃ¤t und Schule</t>
  </si>
  <si>
    <t>Florian CristÃ³bal Klenk</t>
  </si>
  <si>
    <t>Grenzen auflÃ¶sen â€“ Grenzen ziehen</t>
  </si>
  <si>
    <t>Magnus Frank-Thomas Geier-Sabine Hornberg-Claudia Machold-Lukas Otterspeer-Mandy Singer-Brodowski-Patricia StoÅ¡iÄ‡</t>
  </si>
  <si>
    <t>Hinter_Fragen der Erziehungswissenschaft</t>
  </si>
  <si>
    <t>Laura Grewe-Karina Korneli-Bente Henrike Bartels-Lukas Biehler-Barbara Marie-Christin Bringmann-Lorena Bruhnke-Florian Dobmeier-Anna Maria Kamenik-Alexander Rose-Hannah Wiese</t>
  </si>
  <si>
    <t>Leute machen Kleider: Ein Arbeitskampf indonesischer Textilarbeiterinnen zwischen Selbstorganisation und gewerkschaftlicher Organisierung</t>
  </si>
  <si>
    <t>Anja Engelhorn</t>
  </si>
  <si>
    <t>Kleinstadtforschung</t>
  </si>
  <si>
    <t>Nina Gribat-Baris Ãœlker-Silke Weidner-Bernhard Weyrauch-Juliane Ribbeck-Lampel</t>
  </si>
  <si>
    <t>Transformationen der Theaterlandschaft</t>
  </si>
  <si>
    <t>Wolfgang Schneider-Fonds Darstellende KÃ¼nste e.V.</t>
  </si>
  <si>
    <t>Auf dem Weg zu einer Neuen AufklÃ¤rung</t>
  </si>
  <si>
    <t>Markus Gabriel-Christoph Horn-Anna Katsman-Wilhelm Krull-Anna Luisa Lippold-Corine Pelluchon-Ingo Venzke</t>
  </si>
  <si>
    <t>Riskantes Denken</t>
  </si>
  <si>
    <t>Melina Kirchartz</t>
  </si>
  <si>
    <t>Das kolonisierte Heiligtum</t>
  </si>
  <si>
    <t>Christoph Balzar</t>
  </si>
  <si>
    <t>Widerstand im Arbeitsprozess</t>
  </si>
  <si>
    <t>Heiner Heiland-Simon Schaupp</t>
  </si>
  <si>
    <t>Leben mit WÃ¶lfen</t>
  </si>
  <si>
    <t>Die Geschichte des tÃ¼rkisch-deutschen Theaters und Kabaretts</t>
  </si>
  <si>
    <t>Erol M. Boran</t>
  </si>
  <si>
    <t>Placeboeffekte als erlebte Erkenntnis</t>
  </si>
  <si>
    <t>Uwe Heyll</t>
  </si>
  <si>
    <t>Dirigierende Maschinen</t>
  </si>
  <si>
    <t>Philippe Kocher</t>
  </si>
  <si>
    <t>LiterarÃ¤sthetisches Lernen im Ausstellungsraum</t>
  </si>
  <si>
    <t>Sebastian Bernhardt</t>
  </si>
  <si>
    <t>Aktiver Passivismus</t>
  </si>
  <si>
    <t>Neele Illner</t>
  </si>
  <si>
    <t>IntegritÃ¤t und kulturelles Erbe</t>
  </si>
  <si>
    <t>Sophie Stackmann</t>
  </si>
  <si>
    <t>Kindesvertretung</t>
  </si>
  <si>
    <t>Stefan Blum-Sabine Brunner-Peter Grossniklaus-Christophe A. Herzig-Barbara Jeltsch-Schudel-Susanne Meier</t>
  </si>
  <si>
    <t>The Aftermaths of Participation</t>
  </si>
  <si>
    <t>Susanne Boersma</t>
  </si>
  <si>
    <t>Doing Diversity in Museums and Heritage</t>
  </si>
  <si>
    <t>Sharon Macdonald</t>
  </si>
  <si>
    <t>Kreieren â€“ Kollaborieren â€“ Komponieren</t>
  </si>
  <si>
    <t>Elisabeth Theisohn</t>
  </si>
  <si>
    <t>Die Anatomie des Kollektivs</t>
  </si>
  <si>
    <t>Jan-Christoph Marschelke</t>
  </si>
  <si>
    <t>Kirchliche Jugendarbeit in der Ganztagsschule</t>
  </si>
  <si>
    <t>Claudia GÃ¤rtner-Judith KÃ¶nemann</t>
  </si>
  <si>
    <t>Die unsicheren KanÃ¤le</t>
  </si>
  <si>
    <t>Marie-Luise Shnayien</t>
  </si>
  <si>
    <t>UmkÃ¤mpfte Zukunft</t>
  </si>
  <si>
    <t>Julia Zilles-Emily Drewing-Julia Janik</t>
  </si>
  <si>
    <t>ErnÃ¤hrungskulturen und Geschlecht</t>
  </si>
  <si>
    <t>Martin Winter</t>
  </si>
  <si>
    <t>Affekt und Polizei</t>
  </si>
  <si>
    <t>Stephanie Schmidt</t>
  </si>
  <si>
    <t>Okzidentalismen</t>
  </si>
  <si>
    <t>Birgit Mersmann-Hauke Ohls</t>
  </si>
  <si>
    <t>Queere KI</t>
  </si>
  <si>
    <t>Harald Schmidt â€“ Zur Ã„sthetik und Praxis des PopulÃ¤ren</t>
  </si>
  <si>
    <t>Oliver Ruf-Christoph H. Winter</t>
  </si>
  <si>
    <t>Buch-Aisthesis</t>
  </si>
  <si>
    <t>Christopher Busch-Oliver Ruf</t>
  </si>
  <si>
    <t>Die Region â€“ eine Begriffserkundung</t>
  </si>
  <si>
    <t>Ulrich Ermann-Malte HÃ¶fner-Sabine Hostniker-Ernst Michael Preininger-Danko Simic</t>
  </si>
  <si>
    <t>Bewegung, Spiel und Sport im Kindesalter</t>
  </si>
  <si>
    <t>JÃ¼rgen Schwier-Miriam Seyda</t>
  </si>
  <si>
    <t>Technik-Ã„sthetik</t>
  </si>
  <si>
    <t>Oliver Ruf-Lars C. Grabbe</t>
  </si>
  <si>
    <t>Die Berliner Schule im globalen Kontext</t>
  </si>
  <si>
    <t>Marco Abel-Jaimey Fisher</t>
  </si>
  <si>
    <t>Queer Curating â€“ Zum Moment kuratorischer StÃ¶rung</t>
  </si>
  <si>
    <t>Beatrice Miersch</t>
  </si>
  <si>
    <t>Machine Learning Under Resource Constraints - Applications</t>
  </si>
  <si>
    <t>Katharina Morik-JÃ¶rg RahnenfÃ¼hrer-Christian Wietfeld</t>
  </si>
  <si>
    <t>Machine Learning Under Resource Constraints - Fundamentals</t>
  </si>
  <si>
    <t>Katharina Morik-Peter Marwedel</t>
  </si>
  <si>
    <t>Machine Learning Under Resource Constraints - Discovery in Physics</t>
  </si>
  <si>
    <t>Katharina Morik-Wolfgang Rhode</t>
  </si>
  <si>
    <t>â€˜Abdurraâ€™uf Fitrat in Istanbul</t>
  </si>
  <si>
    <t>Zaynabidin Abdirashidov</t>
  </si>
  <si>
    <t>Health and Development</t>
  </si>
  <si>
    <t>Iris Borowy-Bernard Harris</t>
  </si>
  <si>
    <t>Bildmedien</t>
  </si>
  <si>
    <t>Frauke Berndt-Jan-NoÃ«l Thon</t>
  </si>
  <si>
    <t>Enhancing Boardroom Diversity in Saudi Arabia</t>
  </si>
  <si>
    <t>Abdullah Eskandarany</t>
  </si>
  <si>
    <t>Handbuch kommunikationswissenschaftliche Erinnerungsforschung</t>
  </si>
  <si>
    <t>Hate Speech</t>
  </si>
  <si>
    <t>Victoria GuillÃ©n-Nieto</t>
  </si>
  <si>
    <t>Allied Air Attacks and Civilian Harm in Italy, 1940â€“1945</t>
  </si>
  <si>
    <t>Matthew Evangelista</t>
  </si>
  <si>
    <t>Assessment for Inclusion in Higher Education</t>
  </si>
  <si>
    <t>Rola Ajjawi-Joanna Tai-David Boud-Trina Jorre de St Jorre</t>
  </si>
  <si>
    <t>Management and Visualisation</t>
  </si>
  <si>
    <t>Gordon Fletcher</t>
  </si>
  <si>
    <t>From Reception to Integration of Asylum Seekers and Refugees in Poland</t>
  </si>
  <si>
    <t>Karolina Sobczak-Szelc-Marta Pachocka-Konrad PÄ™dziwiatr-Justyna SzaÅ‚aÅ„ska-Monika Szulecka</t>
  </si>
  <si>
    <t>Artistic Cartography and Design Explorations Towards the Pluriverse</t>
  </si>
  <si>
    <t>Satu Miettinen-Enni Mikkonen-Maria Cecilia Loschiavo dos Santos-Melanie Sarantou</t>
  </si>
  <si>
    <t>Radicalization in Theory and Practice</t>
  </si>
  <si>
    <t>Thierry Balzacq-Elyamine Settoul</t>
  </si>
  <si>
    <t>Swedenâ€™s Pandemic Experiment</t>
  </si>
  <si>
    <t>Sigurd Bergmann-Martin LindstrÃ¶m</t>
  </si>
  <si>
    <t>Greening Europe</t>
  </si>
  <si>
    <t>Chance Encounters</t>
  </si>
  <si>
    <t>Globalization and Civil Society in East Asian Space</t>
  </si>
  <si>
    <t>Khatharya Um-Chiharu Takenaka</t>
  </si>
  <si>
    <t>The Linguistic Challenge of the Transition to Secondary School</t>
  </si>
  <si>
    <t>Alice Deignan-Duygu Candarli-Florence Oxley</t>
  </si>
  <si>
    <t>Informationsressourcen</t>
  </si>
  <si>
    <t>Klaus Gantert-Margrit Lauber-Reymann</t>
  </si>
  <si>
    <t>Architectures of Weaving</t>
  </si>
  <si>
    <t>Christiane Sauer-Mareike Stoll-Ebba FransÃ©n WaldhÃ¶r-Maxie Schneider</t>
  </si>
  <si>
    <t>Computational Stylistics in Poetry, Prose, and Drama</t>
  </si>
  <si>
    <t>Anne-Sophie Bories-Petr PlechÃ¡Ä-Pablo Ruiz Fabo</t>
  </si>
  <si>
    <t>Theorie der Klassik</t>
  </si>
  <si>
    <t>Paula Wojcik</t>
  </si>
  <si>
    <t>Exhibiting the Past</t>
  </si>
  <si>
    <t>Frederik Herman-Sjaak Braster-MarÃ­a del Mar del Pozo AndrÃ©s</t>
  </si>
  <si>
    <t>Digital Business Models</t>
  </si>
  <si>
    <t>SÃ©bastien Ronteau-Laurent Muzellec-Deepak Saxena-Daniel Trabucchi</t>
  </si>
  <si>
    <t>Digitised Newspapers â€“ A New Eldorado for Historians?</t>
  </si>
  <si>
    <t>Estelle Bunout-Maud Ehrmann-FrÃ©dÃ©ric Clavert</t>
  </si>
  <si>
    <t>Rassismus</t>
  </si>
  <si>
    <t>Vojin SaÅ¡a VukadinoviÄ‡</t>
  </si>
  <si>
    <t>The Erard Grecian Harp in Regency England</t>
  </si>
  <si>
    <t>MUSIC / Musical Instruments / Strings</t>
  </si>
  <si>
    <t>Panagiotis Poulopoulos</t>
  </si>
  <si>
    <t>Onscreen/Offscreen</t>
  </si>
  <si>
    <t>Constantine V. Nakassis</t>
  </si>
  <si>
    <t>Sustainable Future: Trends, Strategies and Development</t>
  </si>
  <si>
    <t>Siska Noviaristanti-Ong Hway Boon</t>
  </si>
  <si>
    <t>Building Smart, Resilient and Sustainable Infrastructure in Developing Countries</t>
  </si>
  <si>
    <t>Innocent Musonda-Erastus Mwanaumo</t>
  </si>
  <si>
    <t>Leading Change in Gender and Diversity in Higher Education From Margins to Mainstream</t>
  </si>
  <si>
    <t>Anna CohenMiller-Tamsin Hinton-Smith-Fawzia Haeri Mazanderani-Nupur Samuel</t>
  </si>
  <si>
    <t>How Democracy Survives</t>
  </si>
  <si>
    <t>Michael Holm-R. S. Deese</t>
  </si>
  <si>
    <t>Roman Frontier Archaeology â€“ in Britain and Beyond</t>
  </si>
  <si>
    <t>Nick Hodgson-Bill Griffiths</t>
  </si>
  <si>
    <t>EtnografÃ­a y Feminismos</t>
  </si>
  <si>
    <t>Carmen Gregorio Gil</t>
  </si>
  <si>
    <t>The Paradoxes of Interculturality</t>
  </si>
  <si>
    <t>Fred Dervin</t>
  </si>
  <si>
    <t>Queer and Trans People of Colour in the UK</t>
  </si>
  <si>
    <t>Stephanie Davis</t>
  </si>
  <si>
    <t>Jahrbuch fÃ¼r Kulturpolitik 2021/22</t>
  </si>
  <si>
    <t>Franz KrÃ¶ger-Henning Mohr-Norbert Sievers-Ralf WeiÃŸ</t>
  </si>
  <si>
    <t>DigitalitÃ¤t tanzen!</t>
  </si>
  <si>
    <t>Shintaro Miyazaki</t>
  </si>
  <si>
    <t>Living the Opposite Sex</t>
  </si>
  <si>
    <t>Christoph Imhof</t>
  </si>
  <si>
    <t>Der agentielle Realismus Karen Barads</t>
  </si>
  <si>
    <t>Thomas Nyckel</t>
  </si>
  <si>
    <t>Schmerz, Gender und Avantgarde</t>
  </si>
  <si>
    <t>Franziska Kutzick</t>
  </si>
  <si>
    <t>Virtuelle Autobiographien</t>
  </si>
  <si>
    <t>Ricarda Julia Vodermair</t>
  </si>
  <si>
    <t>Drawing and Experiencing Architecture</t>
  </si>
  <si>
    <t>Marianna Charitonidou</t>
  </si>
  <si>
    <t>Im Strom der Bewegungsbilder</t>
  </si>
  <si>
    <t>Jonas HÃ¤nel</t>
  </si>
  <si>
    <t>Die Digitale Stadt</t>
  </si>
  <si>
    <t>Vanessa Weber-Prof. Dr. Gesa Ziemer</t>
  </si>
  <si>
    <t>Engagement und Habitus im Alter</t>
  </si>
  <si>
    <t>Vera Miesen</t>
  </si>
  <si>
    <t>Transport in Capitalism</t>
  </si>
  <si>
    <t>Uma ilha brasileira no campo literÃ¡rio alemÃ£o</t>
  </si>
  <si>
    <t>Douglas Pompeu</t>
  </si>
  <si>
    <t>Epigenetik als Intra-aktion</t>
  </si>
  <si>
    <t>Lisa Krall</t>
  </si>
  <si>
    <t>Die Zukunft der Literaturmuseen</t>
  </si>
  <si>
    <t>Vanessa Zeissig</t>
  </si>
  <si>
    <t>Ethos des literarischen Schreibens</t>
  </si>
  <si>
    <t>Jan Hase</t>
  </si>
  <si>
    <t>Institutionalisierter Tod</t>
  </si>
  <si>
    <t>Nina Kreibig</t>
  </si>
  <si>
    <t>Im Zeichen des UnverfÃ¼gbaren</t>
  </si>
  <si>
    <t>Yvonne Dudzik-Arne Klawitter-Martin Fietze-Hiroshi Yamamoto</t>
  </si>
  <si>
    <t>Vererbte Regionen</t>
  </si>
  <si>
    <t>Jenny Hagemann</t>
  </si>
  <si>
    <t>Die Ordnung der Lappmarken</t>
  </si>
  <si>
    <t>Andreas Becker</t>
  </si>
  <si>
    <t>Social Robotics and the Good Life</t>
  </si>
  <si>
    <t>Toni Loh-Wulf Loh</t>
  </si>
  <si>
    <t>The Poetics and Politics of Invective Humor</t>
  </si>
  <si>
    <t>Katja Schulze</t>
  </si>
  <si>
    <t>Perfekte KÃ¶rper, perfektes Leben?</t>
  </si>
  <si>
    <t>Nadine Glade-Christiane Schnell</t>
  </si>
  <si>
    <t>Global Authoritarianism</t>
  </si>
  <si>
    <t>International Research Group</t>
  </si>
  <si>
    <t>Forming the Modern Turkish Village</t>
  </si>
  <si>
    <t>Ã–zge Sezer</t>
  </si>
  <si>
    <t>Interwar Crossroads</t>
  </si>
  <si>
    <t>Leon Julius Biela-Anna Bundt</t>
  </si>
  <si>
    <t>RandgÃ¤nge der Neuen Rechten</t>
  </si>
  <si>
    <t>Vojin Sasa Vukadinovic</t>
  </si>
  <si>
    <t>Genetic Responsibility in Germany and Israel</t>
  </si>
  <si>
    <t>Christina SchÃ¼es</t>
  </si>
  <si>
    <t>ZukÃ¼nfte nachhaltiger BioÃ¶konomie</t>
  </si>
  <si>
    <t>Julia-Lena Reinermann-Jan-Hendrik Kamlage-Nicole de Vries-Ute Goerke-Britta Oertel-Silvia Diane Schrey</t>
  </si>
  <si>
    <t>Internment Refugee Camps</t>
  </si>
  <si>
    <t>Gabriele Anderl-Linda Erker-Christoph Reinprecht</t>
  </si>
  <si>
    <t>Was heiÃŸt digitale SouverÃ¤nitÃ¤t?</t>
  </si>
  <si>
    <t>Georg Glasze-Eva Odzuck-Ronald Staples</t>
  </si>
  <si>
    <t>Religion und Gender</t>
  </si>
  <si>
    <t>Silke Martin-Isabella Schwaderer-Katharina Waldner</t>
  </si>
  <si>
    <t>Doing Research â€“ Wissenschaftspraktiken zwischen Positionierung und Suchanfrage</t>
  </si>
  <si>
    <t>Sandra Hofhues-Konstanze SchÃ¼tze</t>
  </si>
  <si>
    <t>Handbuch Politische Ã–kologie</t>
  </si>
  <si>
    <t>Daniela Gottschlich-Sarah Hackfort-Tobias Schmitt-Uta von Winterfeld</t>
  </si>
  <si>
    <t>Theatermaschinen â€“ Maschinentheater</t>
  </si>
  <si>
    <t>Bettine Menke-Wolfgang Struck</t>
  </si>
  <si>
    <t>Handbuch Zeitschriftenforschung</t>
  </si>
  <si>
    <t>Oliver Scheiding-Sabina Fazli</t>
  </si>
  <si>
    <t>Spektakel und MÃ¶glichkeitsraum</t>
  </si>
  <si>
    <t>Nanna Heidenreich</t>
  </si>
  <si>
    <t>William Rimmer</t>
  </si>
  <si>
    <t xml:space="preserve"> Dorinda Evans</t>
  </si>
  <si>
    <t>Music in Evolution and Evolution in Music</t>
  </si>
  <si>
    <t xml:space="preserve"> Steven Jan</t>
  </si>
  <si>
    <t>Engaging with Everyday Sounds</t>
  </si>
  <si>
    <t xml:space="preserve"> Marcel Cobussen</t>
  </si>
  <si>
    <t>Infrastructure and the Remaking of Asia</t>
  </si>
  <si>
    <t>Max Hirsh-Till Mostowlansky</t>
  </si>
  <si>
    <t>From Japanese Empire to American Hegemony</t>
  </si>
  <si>
    <t>Matthew R. Augustine</t>
  </si>
  <si>
    <t>Migrant Ecologies</t>
  </si>
  <si>
    <t>James Beattie-Ryan Tucker Jones-Edward Dallam Melillo</t>
  </si>
  <si>
    <t>CoronAsur</t>
  </si>
  <si>
    <t>Emily Zoe Hertzman-Natalie Lang-Erica M. Larson-Carola E. Lorea</t>
  </si>
  <si>
    <t>The Names of Minimalism</t>
  </si>
  <si>
    <t>Patrick Nickleson</t>
  </si>
  <si>
    <t>Putting Federalism in Its Place</t>
  </si>
  <si>
    <t>Scott L. Greer-Daniel BÃ©land-AndrÃ© Lecours-Kenneth A Dubin</t>
  </si>
  <si>
    <t>In the Lurch</t>
  </si>
  <si>
    <t>Ryan Claycomb</t>
  </si>
  <si>
    <t>Ecocinema Theory and Practice 2</t>
  </si>
  <si>
    <t>Stephen Rust-Salma Monani-SeÃ¡n Cubitt</t>
  </si>
  <si>
    <t>Re-imagining the Teaching of European History</t>
  </si>
  <si>
    <t>Cosme JesÃºs GÃ³mez Carrasco</t>
  </si>
  <si>
    <t>Non-Ideal Foundations of Language</t>
  </si>
  <si>
    <t>Jessica Keiser</t>
  </si>
  <si>
    <t>The Insectile and the Deconstruction of the Non/Human</t>
  </si>
  <si>
    <t>Fabienne Collignon</t>
  </si>
  <si>
    <t>Capitalism, Coronavirus and War</t>
  </si>
  <si>
    <t>Radhika Desai</t>
  </si>
  <si>
    <t>Transforming Conservation</t>
  </si>
  <si>
    <t xml:space="preserve"> William J. Sutherland</t>
  </si>
  <si>
    <t>The Bible in the Bowls</t>
  </si>
  <si>
    <t xml:space="preserve"> Daniel James Waller</t>
  </si>
  <si>
    <t>Whatever Happened to Tory Liverpool?</t>
  </si>
  <si>
    <t>David Jeffery</t>
  </si>
  <si>
    <t>Steel City Readers</t>
  </si>
  <si>
    <t>Mary Grover</t>
  </si>
  <si>
    <t>Reimagining Urban Nature</t>
  </si>
  <si>
    <t>Chantelle Bayes</t>
  </si>
  <si>
    <t>Feeling Sick: The Early Years of AIDS in Spain</t>
  </si>
  <si>
    <t>Dean Allbritton</t>
  </si>
  <si>
    <t>Fables of Development: Capitalism and Social Imaginaries in Spain (1950-1967)</t>
  </si>
  <si>
    <t>Ana FernÃ¡ndez-CebriÃ¡n</t>
  </si>
  <si>
    <t>A City Against Empire</t>
  </si>
  <si>
    <t>Thomas K. Lindner</t>
  </si>
  <si>
    <t>Innovative Nursing Care</t>
  </si>
  <si>
    <t>Klavdija ÄŒuÄek TrifkoviÄ-Mateja Lorber-NataÅ¡a Mlinar ReljiÄ‡-Gregor Å tiglic</t>
  </si>
  <si>
    <t>Paradigm Uniformity in Inflectional Stems</t>
  </si>
  <si>
    <t>Marie Engemann</t>
  </si>
  <si>
    <t>Modulares ErzÃ¤hlen</t>
  </si>
  <si>
    <t>Nico Kunkel</t>
  </si>
  <si>
    <t>MUSEALE RESTE</t>
  </si>
  <si>
    <t>Nina Samuel-Felix Sattler</t>
  </si>
  <si>
    <t>Doing Experimental Media Archaeology</t>
  </si>
  <si>
    <t>Tim van der Heijden-Aleksander Kolkowski</t>
  </si>
  <si>
    <t>Andreas Fickers-Annie Oever</t>
  </si>
  <si>
    <t>Naming and Mapping the Gods in the Ancient Mediterranean</t>
  </si>
  <si>
    <t>Thomas Galoppin-Elodie Guillon-Max Luaces-Asuman LÃ¤tzer-Lasar-Sylvain Lebreton-Fabio Porzia-JÃ¶rg RÃ¼pke-Emiliano Rubens Urciuoli-Corinne Bonnet</t>
  </si>
  <si>
    <t>The Syntax of Colophons</t>
  </si>
  <si>
    <t>Nalini Balbir-Giovanni Ciotti</t>
  </si>
  <si>
    <t>Buchenwald</t>
  </si>
  <si>
    <t>Stephan Pabst</t>
  </si>
  <si>
    <t>Der Westen als Wir-Gruppe im â€žKampf der Kulturenâ€œ</t>
  </si>
  <si>
    <t>Jan-Henning Kromminga</t>
  </si>
  <si>
    <t>Ester â€“ eine Gewaltgeschichte</t>
  </si>
  <si>
    <t>Helge Bezold</t>
  </si>
  <si>
    <t>Le mal et la symbolique</t>
  </si>
  <si>
    <t>Azadeh Thiriez-Arjangi-Geoffrey Dierckxsens-Michael Funk Deckard-AndrÃ©s Bruzzone</t>
  </si>
  <si>
    <t>Spuren der altÃ¤gyptischen Gesellschaft</t>
  </si>
  <si>
    <t>Richard BuÃŸmann-Ingelore Hafemann-Robert Schiestl-Daniel A. Werning</t>
  </si>
  <si>
    <t>Universal Singular</t>
  </si>
  <si>
    <t>Sonia Curnier</t>
  </si>
  <si>
    <t>Stalin, Japan, and the Struggle for Supremacy Over China, 1894â€“1945</t>
  </si>
  <si>
    <t>Hiroaki Kuromiya</t>
  </si>
  <si>
    <t>Messages From Ukraine</t>
  </si>
  <si>
    <t>Gregg Bucken-Knapp-Joonas Sildre</t>
  </si>
  <si>
    <t>Multiple Barriers</t>
  </si>
  <si>
    <t>Alison Smith</t>
  </si>
  <si>
    <t>Modernist Idealism</t>
  </si>
  <si>
    <t>Michael J. Subialka</t>
  </si>
  <si>
    <t>Tibet - zemÄ›, kde lidÃ© dohÃ¡nÄ›jÃ­ celÃ© tisÃ­ciletÃ­ jedinÃ½m skokem</t>
  </si>
  <si>
    <t>LuboÅ¡ BÄ›lka-Kamila HladÃ­kovÃ¡ (eds.)</t>
  </si>
  <si>
    <t>VolnÃ½ Äas dÄ›tÃ­ a mlÃ¡deÅ¾e: zÃ¡bava, odpoÄinek a pÅ™Ã­leÅ¾itost pro rozvoj</t>
  </si>
  <si>
    <t>ZdenÄ›k HamÅ™Ã­k</t>
  </si>
  <si>
    <t>Factors Associated with Alcohol Use in University Students</t>
  </si>
  <si>
    <t>RenÃ© Å ebeÅˆa</t>
  </si>
  <si>
    <t>Substance Abuse in the Czech Population: Reflections on Threats, Their Value Context and Possibilities of Social Prevention</t>
  </si>
  <si>
    <t>Ivana OleckÃ¡</t>
  </si>
  <si>
    <t>Online aplikace jako nÃ¡stroj pedagogickÃ© diagnostiky a intervence v prÃ¡ci uÄitele mateÅ™skÃ© Å¡koly s akcentem na Å¡kolnÃ­ pÅ™ipravenost</t>
  </si>
  <si>
    <t>Eva Å melovÃ¡ et al.</t>
  </si>
  <si>
    <t>AntropologickÃ© perspektivy souÄasnÃ½ch svÄ›tÅ¯: trendy, pÅ™Ã­stupy a vÃ½zvy</t>
  </si>
  <si>
    <t>Hana HorÃ¡kovÃ¡</t>
  </si>
  <si>
    <t>Georg LukÃ¡cs and Critical Theory</t>
  </si>
  <si>
    <t>Cyberspace and Instability</t>
  </si>
  <si>
    <t>Robert Chesney-James Shires-Max Smeets</t>
  </si>
  <si>
    <t>ShiÊ¿ite Legal Theory</t>
  </si>
  <si>
    <t>Kumail Rajani-Robert Gleave</t>
  </si>
  <si>
    <t>Marxâ€™s Theory of Land, Rent and Cities</t>
  </si>
  <si>
    <t>Don Munro</t>
  </si>
  <si>
    <t>Moralities of Drone Violence</t>
  </si>
  <si>
    <t>Christian Enemark</t>
  </si>
  <si>
    <t>Data Justice and the Right to the City</t>
  </si>
  <si>
    <t>Morgan Currie-Jeremy Knox-Callum McGregor</t>
  </si>
  <si>
    <t>Touching at a Distance</t>
  </si>
  <si>
    <t>Johannes Ungelenk</t>
  </si>
  <si>
    <t>Arabic Exile Literature in Europe</t>
  </si>
  <si>
    <t>Johanna Sellman</t>
  </si>
  <si>
    <t>Metaphor in Illness Writing</t>
  </si>
  <si>
    <t>Anita Wohlmann</t>
  </si>
  <si>
    <t>Writing the Past in Twenty-First-Century American Fiction</t>
  </si>
  <si>
    <t>Alexandra Lawrie</t>
  </si>
  <si>
    <t>Muslim Cultures of the Indian Ocean</t>
  </si>
  <si>
    <t>StÃ©phane Pradines-Farouk Topan</t>
  </si>
  <si>
    <t>Owning Books and Preserving Documents in Medieval Jerusalem</t>
  </si>
  <si>
    <t>Said Aljoumani-Konrad Hirschler</t>
  </si>
  <si>
    <t>Identities and Ideologies in the Medieval East Roman World</t>
  </si>
  <si>
    <t>Yannis Stouraitis</t>
  </si>
  <si>
    <t>Feminist Approaches to Early Medieval English Studies</t>
  </si>
  <si>
    <t>Robin Norris-Rebecca Stephenson-Renee Trilling</t>
  </si>
  <si>
    <t>The Disabled Child</t>
  </si>
  <si>
    <t>Amanda Apgar</t>
  </si>
  <si>
    <t>Ghosts in the Neighborhood</t>
  </si>
  <si>
    <t>Walter Hatch</t>
  </si>
  <si>
    <t>Labour Laws in Preindustrial Europe</t>
  </si>
  <si>
    <t>Jane Whittle-Thijs Lambrecht</t>
  </si>
  <si>
    <t>The Japanese LGBTQ+ Community in the World</t>
  </si>
  <si>
    <t>Masami Tamagawa</t>
  </si>
  <si>
    <t>The Boundaries of Democracy</t>
  </si>
  <si>
    <t>Ludvig Beckman</t>
  </si>
  <si>
    <t>Histories of Tax Evasion, Avoidance and Resistance</t>
  </si>
  <si>
    <t>Korinna SchÃ¶nhÃ¤rl-Gisela HÃ¼rlimann-Dorothea Rohde</t>
  </si>
  <si>
    <t>Creating Resilient Landscapes in an Era of Climate Change</t>
  </si>
  <si>
    <t>Amin Rastandeh-Meghann Jarchow</t>
  </si>
  <si>
    <t>Criminal Careers</t>
  </si>
  <si>
    <t>Witold Klaus-Irena RzepliÅ„ska-Dagmara WoÅºniakowska-Fajst</t>
  </si>
  <si>
    <t>China's Transition to a New Phase of Development</t>
  </si>
  <si>
    <t>Vietnam Task</t>
  </si>
  <si>
    <t>Robert O'Neill</t>
  </si>
  <si>
    <t>Law and Social Policy in the Global South</t>
  </si>
  <si>
    <t>Ulrike Davy-Albert H.Y. Chen</t>
  </si>
  <si>
    <t>Mothering Performance</t>
  </si>
  <si>
    <t>Lena Å imiÄ‡-Emily Underwood-Lee</t>
  </si>
  <si>
    <t>A World Without Hunger</t>
  </si>
  <si>
    <t>Archie Davies</t>
  </si>
  <si>
    <t>Laboratory Manual for Biotechnology and Laboratory Science</t>
  </si>
  <si>
    <t>MEDICAL / Biochemistry</t>
  </si>
  <si>
    <t>Lisa A. Seidman-Mary Ellen Kraus-Diana Lietzke Brandner-Jeanette Mowery</t>
  </si>
  <si>
    <t>BeitrÃ¤ge zur deutschen Grammatik</t>
  </si>
  <si>
    <t>MÃ¼ller, Stefan-HÃ¶hle, Tilman N.-Reis, Marga-Richter, Frank</t>
  </si>
  <si>
    <t>EinfÃ¼hrung in die grammatische Beschreibung des Deutschen</t>
  </si>
  <si>
    <t>SchÃ¤fer, Roland</t>
  </si>
  <si>
    <t>Sprachkontrolle im Spiegel der Maschinellen Ãœbersetzung</t>
  </si>
  <si>
    <t>Marzouk, Shaimaa</t>
  </si>
  <si>
    <t>Morphologisch komplexe WÃ¶rter</t>
  </si>
  <si>
    <t>Bergmann, Pia</t>
  </si>
  <si>
    <t>SÃ©mantique formelle</t>
  </si>
  <si>
    <t>Roussarie, Laurent</t>
  </si>
  <si>
    <t>Absolute KomplexitÃ¤t in der Nominalflexion</t>
  </si>
  <si>
    <t>Baechler, Raffaela</t>
  </si>
  <si>
    <t>Sprachliche Imitation</t>
  </si>
  <si>
    <t>SchÃ¤fer, Lea</t>
  </si>
  <si>
    <t>Grammaire des constructions elliptiques</t>
  </si>
  <si>
    <t>BÃ®lbÃ®ie, Gabriela</t>
  </si>
  <si>
    <t>Production, Perception, and Comprehension of Subphonemic Detail</t>
  </si>
  <si>
    <t>Schmitz, Dominic</t>
  </si>
  <si>
    <t>Interviews in the History of Linguistics</t>
  </si>
  <si>
    <t>McElvenny, James</t>
  </si>
  <si>
    <t>How Special Are Early Birds?</t>
  </si>
  <si>
    <t>McManus, Kevin-Schmid, Monika S.</t>
  </si>
  <si>
    <t>Analyzing Meaning</t>
  </si>
  <si>
    <t>Kroeger, Paul</t>
  </si>
  <si>
    <t>Tungusic Languages</t>
  </si>
  <si>
    <t>HÃ¶lzl, Andreas-Payne, Thomas E.</t>
  </si>
  <si>
    <t>A Grammar of Fwe</t>
  </si>
  <si>
    <t>Gunnink, Hilde</t>
  </si>
  <si>
    <t>Complementizers on Edge</t>
  </si>
  <si>
    <t>Kocher, Anna</t>
  </si>
  <si>
    <t>A History of English</t>
  </si>
  <si>
    <t>HejnÃ¡, MÃ­Å¡a-Walkden, George</t>
  </si>
  <si>
    <t>A Grammar of Kalamang</t>
  </si>
  <si>
    <t>Visser, Eline</t>
  </si>
  <si>
    <t>Mediated Discourse at the European Parliament</t>
  </si>
  <si>
    <t>Kajzer-Wietrzny, Marta-Ferraresi, Adriano-Ivaska, Ilmari-Bernardini, Silvia</t>
  </si>
  <si>
    <t>Machine Translation for Everyone</t>
  </si>
  <si>
    <t>Kenny, Dorothy</t>
  </si>
  <si>
    <t>The Emergence of American English As a Discursive Variety</t>
  </si>
  <si>
    <t>Paulsen, Ingrid</t>
  </si>
  <si>
    <t>Informationsintegration in mehrsprachigen Textchats</t>
  </si>
  <si>
    <t>Hoberg, Felix</t>
  </si>
  <si>
    <t>Clitics in the Wild</t>
  </si>
  <si>
    <t>KolakoviÄ‡, Zrinka-Jurkiewicz-Rohrbacher, Edyta-Hansen, BjÃ¶rn-ÄurÄ‘eviÄ‡, DuÅ¡ica FilipoviÄ‡-Fritz, NataÅ¡a</t>
  </si>
  <si>
    <t>Headedness And/or Grammatical Anarchy?</t>
  </si>
  <si>
    <t>Freywald, Ulrike-Simon, Horst J.-MÃ¼ller, Stefan</t>
  </si>
  <si>
    <t>Language Is a Complex Adaptive System</t>
  </si>
  <si>
    <t>Lund, Kristine-Fossali, Pierluigi Basso-Mazur, Audrey-Ollagnier-Beldame, Magali</t>
  </si>
  <si>
    <t>Morphosyntactic Change in Late Modern Swedish</t>
  </si>
  <si>
    <t>Larsson, Ida-Petzell, Erik M.</t>
  </si>
  <si>
    <t>Phonology in the Twentieth Century</t>
  </si>
  <si>
    <t>Anderson, Stephen R.</t>
  </si>
  <si>
    <t>A Dictionary and Grammatical Sketch of Ruruuli-Lunyala</t>
  </si>
  <si>
    <t>Namyalo, Saudah-Witzlack-Makarevich, Alena-Kiriggwajjo, Anatole-Atuhairwe, Amos-Molochieva, Zarina-Mukama, Ruth Gimbo-Zellers, Margaret</t>
  </si>
  <si>
    <t>Proto-Fulaâ€“Sereer</t>
  </si>
  <si>
    <t>Pozdniakov, Konstantin</t>
  </si>
  <si>
    <t>A Grammar of Choguita RarÃ¡muri</t>
  </si>
  <si>
    <t>Caballero, Gabriela</t>
  </si>
  <si>
    <t>The Size of Things I</t>
  </si>
  <si>
    <t>Laszakovits, Sabine-Shen, Zheng</t>
  </si>
  <si>
    <t>Experimental Investigations on the Syntax and Usage of Fragments</t>
  </si>
  <si>
    <t>Lemke, Robin</t>
  </si>
  <si>
    <t>Emergent Phonology</t>
  </si>
  <si>
    <t>Archangeli, Diana-Pulleyblank, Douglas</t>
  </si>
  <si>
    <t>A Short Guide to Post-editing</t>
  </si>
  <si>
    <t>Nitzke, Jean-Hansen-Schirra, Silvia</t>
  </si>
  <si>
    <t>Paradigms Regained</t>
  </si>
  <si>
    <t>Diewald, Gabriele-Politt, Katja</t>
  </si>
  <si>
    <t>Subatomic Quantification</t>
  </si>
  <si>
    <t>WÄ…giel, Marcin</t>
  </si>
  <si>
    <t>Formal Approaches to Number in Slavic and Beyond</t>
  </si>
  <si>
    <t>DoÄekal, MojmÃ­r-WÄ…giel, Marcin</t>
  </si>
  <si>
    <t>Voice Syncretism</t>
  </si>
  <si>
    <t>Bahrt, Nicklas N.</t>
  </si>
  <si>
    <t>Individual Differences in Early Instructed Language Learning</t>
  </si>
  <si>
    <t>Berthele, Raphael-Udry, Isabelle</t>
  </si>
  <si>
    <t>Holisms of Communication</t>
  </si>
  <si>
    <t>McElvenny, James-Ploder, Andrea</t>
  </si>
  <si>
    <t>A Grammar of Tuatschin</t>
  </si>
  <si>
    <t>Maurer-Cecchini, Philippe</t>
  </si>
  <si>
    <t>Descriptive and Theoretical Approaches to African Linguistics</t>
  </si>
  <si>
    <t>Sibanda, Galen-Ngonyani, Deo-Choti, Jonathan-Biersteker, Ann</t>
  </si>
  <si>
    <t>German(ic) in Language Contact</t>
  </si>
  <si>
    <t>Zimmer, Christian</t>
  </si>
  <si>
    <t>Formulaic Language</t>
  </si>
  <si>
    <t>Trklja, Aleksandar-Grabowski, Åukasz</t>
  </si>
  <si>
    <t>Computational Approaches to Semantic Change</t>
  </si>
  <si>
    <t>Tahmasebi, Nina-Borin, Lars-Jatowt, Adam-Xu, Yang-Hengchen, Simon</t>
  </si>
  <si>
    <t>Social and Structural Aspects of Language Contact and Change</t>
  </si>
  <si>
    <t>Migge, Bettina-Gooden, Shelome</t>
  </si>
  <si>
    <t>OV and VO Variation in Code-switching</t>
  </si>
  <si>
    <t>Shim, Ji Young</t>
  </si>
  <si>
    <t>A Grammar of Gyeli</t>
  </si>
  <si>
    <t>Grimm, Nadine</t>
  </si>
  <si>
    <t>The Verb in Nyakyusa</t>
  </si>
  <si>
    <t>Empirical Studies in Translation and Discourse</t>
  </si>
  <si>
    <t>Bisiada, Mario</t>
  </si>
  <si>
    <t>A Grammar of Japhug</t>
  </si>
  <si>
    <t>Jacques, Guillaume</t>
  </si>
  <si>
    <t>Celebrating 50 Years of ACAL</t>
  </si>
  <si>
    <t>Akinlabi, Akinbiyi-Bickmore, Lee-Cahill, Michael-Diercks, Michael-Downing, Laura J-Essegbey, James-Franich, Katie-McPherson, Laura-Rose, Sharon</t>
  </si>
  <si>
    <t>Multilingualism and Third Language Acquisition</t>
  </si>
  <si>
    <t>Pinto, Jorge-Alexandre, NÃ©lia</t>
  </si>
  <si>
    <t>Explaining Russian-German Code-mixing</t>
  </si>
  <si>
    <t>Hakimov, Nikolay</t>
  </si>
  <si>
    <t>Translation, Interpreting, Cognition</t>
  </si>
  <si>
    <t>Group, Tra&amp;Co</t>
  </si>
  <si>
    <t>Historical Journey in a Linguistic Archipelago</t>
  </si>
  <si>
    <t>Aussant, Ã‰milie-Fortis, Jean-Michel</t>
  </si>
  <si>
    <t>Nominal Anchoring</t>
  </si>
  <si>
    <t>Balogh, Kata-Latrouite, Anja-Valin, Robert D. Van</t>
  </si>
  <si>
    <t>Demonstratives in Discourse</t>
  </si>
  <si>
    <t>NÃ¦ss, Ã…shild-Margetts, Anna-Treis, Yvonne</t>
  </si>
  <si>
    <t>Categoriality and Continuity in Prosodic Prominence</t>
  </si>
  <si>
    <t>Roessig, Simon</t>
  </si>
  <si>
    <t>Advances in Formal Slavic Linguistics 2018</t>
  </si>
  <si>
    <t>BlÃ¼mel, Andreas-GajiÄ‡, Jovana-Geist, Ljudmila-Junghanns, Uwe-Pitsch, Hagen</t>
  </si>
  <si>
    <t>Interpreting Language-learning Data</t>
  </si>
  <si>
    <t>Edmonds, Amanda-Leclercq, Pascale-Gudmestad, Aarnes</t>
  </si>
  <si>
    <t>Syntactic Architecture and Its Consequences III</t>
  </si>
  <si>
    <t>BÃ¡rÃ¡ny, AndrÃ¡s-Biberauer, Theresa-Douglas, Jamie-Vikner, Sten</t>
  </si>
  <si>
    <t>Syntactic Architecture and Its Consequences II</t>
  </si>
  <si>
    <t>Syntactic Architecture and Its Consequences I</t>
  </si>
  <si>
    <t>Language and Scientific Explanation</t>
  </si>
  <si>
    <t>Asoulin, Eran</t>
  </si>
  <si>
    <t>Voice at the Interfaces</t>
  </si>
  <si>
    <t>Kastner, Itamar</t>
  </si>
  <si>
    <t>On a Law of Indo-European Word Order</t>
  </si>
  <si>
    <t>Wackernagel, Jacob-Walkden, George-Sevdali, Christina-Macleod, Morgan</t>
  </si>
  <si>
    <t>Third Language Acquisition</t>
  </si>
  <si>
    <t>Bardel, Camilla-SÃ¡nchez, Laura</t>
  </si>
  <si>
    <t>Utterance Structure in Initial L2 Acquisition</t>
  </si>
  <si>
    <t>Saturno, Jacopo</t>
  </si>
  <si>
    <t>Getting Others to Do Things</t>
  </si>
  <si>
    <t>Floyd, Simeon-Rossi, Giovanni-Enfield, N. J.</t>
  </si>
  <si>
    <t>One-to-many-relations in Morphology, Syntax, and Semantics</t>
  </si>
  <si>
    <t>Crysmann, Berthold-Sailer, Manfred</t>
  </si>
  <si>
    <t>Evidentiality, Egophoricity and Engagement</t>
  </si>
  <si>
    <t>Bergqvist, Henrik-KittilÃ¤, Seppo</t>
  </si>
  <si>
    <t>Advances in Formal Slavic Linguistics 2017</t>
  </si>
  <si>
    <t>MaruÅ¡iÄ, Franc-MiÅ¡maÅ¡, Petra-Å½aucer, Rok</t>
  </si>
  <si>
    <t>Dative Constructions in Romance and Beyond</t>
  </si>
  <si>
    <t>Pineda, Anna-Mateu, Jaume</t>
  </si>
  <si>
    <t>The Clausal Syntax of German Sign Language</t>
  </si>
  <si>
    <t>Bross, Fabian</t>
  </si>
  <si>
    <t>Agree to Agree</t>
  </si>
  <si>
    <t>Smith, Peter W.-Mursell, Johannes-Hartmann, Katharina</t>
  </si>
  <si>
    <t>Greeceâ€™s Labyrinth of Language</t>
  </si>
  <si>
    <t>Rooy, Raf Van</t>
  </si>
  <si>
    <t>Quantification and Scales in Change</t>
  </si>
  <si>
    <t>Gergel, Remus-Watkins, Jonathan</t>
  </si>
  <si>
    <t>A Grammar of Sanzhi Dargwa</t>
  </si>
  <si>
    <t>Forker, Diana</t>
  </si>
  <si>
    <t>Highly Complex Syllable Structure</t>
  </si>
  <si>
    <t>Easterday, Shelece</t>
  </si>
  <si>
    <t>Communication and Content</t>
  </si>
  <si>
    <t>Parikh, Prashant</t>
  </si>
  <si>
    <t>A Dictionary and Grammatical Sketch of Dagaare</t>
  </si>
  <si>
    <t>Ali, Mark-Grimm, Scott-Bodomo, Adams</t>
  </si>
  <si>
    <t>The Spell-out Algorithm and Lexicalization Patterns</t>
  </si>
  <si>
    <t>Wiland, Bartosz</t>
  </si>
  <si>
    <t>Syntaxe thÃ©orique et formelle</t>
  </si>
  <si>
    <t>Kahane, Sylvain-Gerdes, Kim</t>
  </si>
  <si>
    <t>The Role of Constituents in Multiword Expressions</t>
  </si>
  <si>
    <t>Walde, Sabine Schulte im-Smolka, Eva</t>
  </si>
  <si>
    <t>Grammatical Gender and Linguistic Complexity II</t>
  </si>
  <si>
    <t>Garbo, Francesca Di-Olsson, Bruno-WÃ¤lchli, Bernhard</t>
  </si>
  <si>
    <t>PrÃ¡cticas lingÃ¼Ã­sticas heterogÃ©neas</t>
  </si>
  <si>
    <t>Moreano, Santiago SÃ¡nchez-Blestel, Ã‰lodie</t>
  </si>
  <si>
    <t>Arabic and Contact-induced Change</t>
  </si>
  <si>
    <t>Lucas, Christopher-Manfredi, Stefano</t>
  </si>
  <si>
    <t>Information-theoretic Causal Inference of Lexical Flow</t>
  </si>
  <si>
    <t>Dellert, Johannes</t>
  </si>
  <si>
    <t>Kroeger, Paul R.</t>
  </si>
  <si>
    <t>Die Entwicklung Des Definitartikels Im Althochdeutschen</t>
  </si>
  <si>
    <t>Flick, Johanna</t>
  </si>
  <si>
    <t>Metathesis and Unmetathesis in Amarasi</t>
  </si>
  <si>
    <t>Edwards, Owen</t>
  </si>
  <si>
    <t>Definiteness Across Languages</t>
  </si>
  <si>
    <t>Aguilar-Guevara, Ana-Loyo, Julia Pozas-Maldonado, Violeta VÃ¡zquez-Rojas</t>
  </si>
  <si>
    <t>African Linguistics Across the Disciplines</t>
  </si>
  <si>
    <t>Lotven, Samson-Bongiovanni, Silvina-Weirich, Phillip-Botne, Robert-Obeng, Samuel Gyasi</t>
  </si>
  <si>
    <t>The Mehweb Language</t>
  </si>
  <si>
    <t>Daniel, Michael-Dobrushina, Nina-Ganenkov, Dmitry-Barylnikova, Daria-Chechuro, Ilya-Koryakov, Yuri-Kozhukhar, Aleksandra-Kustova, Marina-Lander, Yury-Moroz, George-Sheyanova, Maria</t>
  </si>
  <si>
    <t>EinfÃ¼hrung in Die Grammatische Beschreibung Des Deutschen</t>
  </si>
  <si>
    <t>Grammatical Gender and Linguistic Complexity I</t>
  </si>
  <si>
    <t>Gemination and Degemination in English Affixation</t>
  </si>
  <si>
    <t>Hedia, Sonia Ben</t>
  </si>
  <si>
    <t>Explanation in Typology</t>
  </si>
  <si>
    <t>Schmidtke-Bode, Karsten-Levshina, Natalia-Michaelis, Susanne Maria-SerÅ¾ant, Ilja</t>
  </si>
  <si>
    <t>Information Structure in Isthmus Zapotec Narrative and Conversation</t>
  </si>
  <si>
    <t>Holle, Juan JosÃ© Bueno</t>
  </si>
  <si>
    <t>Bridging Constructions</t>
  </si>
  <si>
    <t>GuÃ©rin, ValÃ©rie</t>
  </si>
  <si>
    <t>Agreement, Case and Locality in the Nominal and Verbal Domains</t>
  </si>
  <si>
    <t>Franco, Ludovico-Moreno, Mihaela Marchis-Reeve, Matthew</t>
  </si>
  <si>
    <t>Form and Formalism in Linguistics</t>
  </si>
  <si>
    <t>Multi-verb Constructions in Eastern Indonesia</t>
  </si>
  <si>
    <t>Unterladstetter, Volker</t>
  </si>
  <si>
    <t>A Grammar of Komnzo</t>
  </si>
  <si>
    <t>Sound Change, Priming, Salience</t>
  </si>
  <si>
    <t>Juskan, Marten</t>
  </si>
  <si>
    <t>Interpreting and Technology</t>
  </si>
  <si>
    <t>Fantinuoli, Claudio</t>
  </si>
  <si>
    <t>Multiword Expressions at Length and in Depth</t>
  </si>
  <si>
    <t>Markantonatou, Stella-Ramisch, Carlos-Savary, Agata-Vincze, Veronika</t>
  </si>
  <si>
    <t>The Acrolect in Jamaica</t>
  </si>
  <si>
    <t>Irvine-Sobers, G. Alison</t>
  </si>
  <si>
    <t>Representation and Parsing of Multiword Expressions</t>
  </si>
  <si>
    <t>Parmentier, Yannick-Waszczuk, Jakub</t>
  </si>
  <si>
    <t>Perspectives on Information Structure in Austronesian Languages</t>
  </si>
  <si>
    <t>Riesberg, Sonja-Shiohara, Asako-Utsumi, Atsuko</t>
  </si>
  <si>
    <t>Curso de semÃ¢ntica formal</t>
  </si>
  <si>
    <t>Ferreira, Marcelo</t>
  </si>
  <si>
    <t>RenÃ© De Saussure and the Theory of Word Formation</t>
  </si>
  <si>
    <t>Anderson, Stephen R.-Saussure, Louis de</t>
  </si>
  <si>
    <t>Syntax with Oscillators and Energy Levels</t>
  </si>
  <si>
    <t>Tilsen, Sam</t>
  </si>
  <si>
    <t>Problem Solving Activities in Post-editing and Translation From Scratch</t>
  </si>
  <si>
    <t>Nitzke, Jean</t>
  </si>
  <si>
    <t>Semantic Differences in Translation</t>
  </si>
  <si>
    <t>Vandevoorde, Lore</t>
  </si>
  <si>
    <t>Deletion Phenomena in Comparative Constructions</t>
  </si>
  <si>
    <t>Theory and Description in African Linguistics</t>
  </si>
  <si>
    <t>Clem, Emily-Jenks, Peter-Sande, Hannah</t>
  </si>
  <si>
    <t>The Numeral System of Proto-Niger-Congo</t>
  </si>
  <si>
    <t>East Benue-Congo</t>
  </si>
  <si>
    <t>Watters, John R.</t>
  </si>
  <si>
    <t>Advances in Formal Slavic Linguistics 2016</t>
  </si>
  <si>
    <t>LenertovÃ¡, Denisa-Meyer, Roland-Å imÃ­k, Radek-Szucsich, Luka</t>
  </si>
  <si>
    <t>Can Integrated Titles Improve the Viewing Experience?</t>
  </si>
  <si>
    <t>Fox, Wendy</t>
  </si>
  <si>
    <t>Analogical Classification in Formal Grammar</t>
  </si>
  <si>
    <t>Naranjo, MatÃ­as GuzmÃ¡n</t>
  </si>
  <si>
    <t>Multiword Expressions</t>
  </si>
  <si>
    <t>Sailer, Manfred-Markantonatou, Stella</t>
  </si>
  <si>
    <t>Methods in Prosody</t>
  </si>
  <si>
    <t>Feldhausen, Ingo-Fliessbach, Jan-Vanrell, Maria del Mar</t>
  </si>
  <si>
    <t>The Languages of Malta</t>
  </si>
  <si>
    <t>Paggio, Patrizia-Gatt, Albert</t>
  </si>
  <si>
    <t>Quality Aspects in Institutional Translation</t>
  </si>
  <si>
    <t>Svoboda, TomÃ¡Å¡-Biel, Åucja-Åoboda, Krzysztof</t>
  </si>
  <si>
    <t>Learning Context Effects</t>
  </si>
  <si>
    <t>Vidal, Carmen PÃ©rez-LÃ³pez-Serrano, Sonia-Ament, Jennifer-Thomas-Wilhelm, Dakota J.</t>
  </si>
  <si>
    <t>A Tale of Two Dialect Regions</t>
  </si>
  <si>
    <t>Sherriah, AndrÃ©</t>
  </si>
  <si>
    <t>Information Structure in Spoken Japanese</t>
  </si>
  <si>
    <t>Nakagawa, Natsuko</t>
  </si>
  <si>
    <t>è¯­æ³•ç†è®º</t>
  </si>
  <si>
    <t>The Unicode Cookbook for Linguists</t>
  </si>
  <si>
    <t>Moran, Steven-Cysouw, Michael</t>
  </si>
  <si>
    <t>Distribution Und Interpretation Von Modalpartikel-Kombinationen</t>
  </si>
  <si>
    <t>MÃ¼ller, Sonja</t>
  </si>
  <si>
    <t>A Typology of Questions in Northeast Asia and Beyond</t>
  </si>
  <si>
    <t>HÃ¶lzl, Andreas</t>
  </si>
  <si>
    <t>Diachrony of Differential Argument Marking</t>
  </si>
  <si>
    <t>SerÅ¾ant, Ilja A.-Witzlack-Makarevich, Alena</t>
  </si>
  <si>
    <t>On This and Other Worlds</t>
  </si>
  <si>
    <t>Stenzel, Kristine-Franchetto, Bruna</t>
  </si>
  <si>
    <t>Ship English</t>
  </si>
  <si>
    <t>Delgado, Sally</t>
  </si>
  <si>
    <t>The Lexeme in Descriptive and Theoretical Morphology</t>
  </si>
  <si>
    <t>Bonami, Olivier-BoyÃ©, Gilles-Dal, Georgette-Giraudo, HÃ©lÃ¨ne-Namer, Fiammetta</t>
  </si>
  <si>
    <t>A Lexicalist Account of Argument Structure</t>
  </si>
  <si>
    <t>A aquisiÃ§Ã£o de lÃ­ngua materna e nÃ£o materna</t>
  </si>
  <si>
    <t>Freitas, Maria JoÃ£o-Santos, Ana LÃºcia</t>
  </si>
  <si>
    <t>Order and Structure in Syntax I</t>
  </si>
  <si>
    <t>Bailey, Laura R.-Sheehan, Michelle</t>
  </si>
  <si>
    <t>The Alor-Pantar Languages</t>
  </si>
  <si>
    <t>Klamer, Marian</t>
  </si>
  <si>
    <t>Further Investigations Into the Nature of Phrasal Compounding</t>
  </si>
  <si>
    <t>Trips, Carola-Kornfilt, Jaklin</t>
  </si>
  <si>
    <t>Dynamische Modellierung Von Artikulation Und Prosodischer Struktur</t>
  </si>
  <si>
    <t>MÃ¼cke, Doris</t>
  </si>
  <si>
    <t>The Semantic Transparency of English Compound Nouns</t>
  </si>
  <si>
    <t>SchÃ¤fer, Martin</t>
  </si>
  <si>
    <t>Unity and Diversity in Grammaticalization Scenarios</t>
  </si>
  <si>
    <t>Bisang, Walter-Malchukov, Andrej</t>
  </si>
  <si>
    <t>On Looking Into Words (and Beyond)</t>
  </si>
  <si>
    <t>Bowern, Claire-Horn, Laurence-Zanuttini, Raffaella</t>
  </si>
  <si>
    <t>Russian Verbal Prefixation</t>
  </si>
  <si>
    <t>Zinova, Yulia</t>
  </si>
  <si>
    <t>BeitrÃ¤ge Zur Deutschen Grammatik</t>
  </si>
  <si>
    <t>HÃ¶hle, Tilmann N.-MÃ¼ller, Stefan-Richter, Frank-Reis, Marga</t>
  </si>
  <si>
    <t>Corpus Linguistics</t>
  </si>
  <si>
    <t>Stefanowitsch, Anatol</t>
  </si>
  <si>
    <t>Reflections on Language Evolution</t>
  </si>
  <si>
    <t>Boeckx, Cedric</t>
  </si>
  <si>
    <t>Tonal Placement in Tashlhiyt</t>
  </si>
  <si>
    <t>Roettger, Timo B.</t>
  </si>
  <si>
    <t>Empirical Modelling of Translation and Interpreting</t>
  </si>
  <si>
    <t>Hansen-Schirra, Silvia-Czulo, Oliver-Hofmann, Sascha</t>
  </si>
  <si>
    <t>A Grammar of Rapa Nui</t>
  </si>
  <si>
    <t>Kieviet, Paulus</t>
  </si>
  <si>
    <t>Attributive Constructions in North-Eastern Neo-Aramaic</t>
  </si>
  <si>
    <t>Gutman, Ariel</t>
  </si>
  <si>
    <t>Diversity in African Languages</t>
  </si>
  <si>
    <t>Payne, Doris L.-Pacchiarotti, Sara-Bosire, Mokaya</t>
  </si>
  <si>
    <t>African Linguistics on the Prairie</t>
  </si>
  <si>
    <t>Kandybowicz, Jason-Major, Travis-Torrence, Harold-Duncan, Philip T.</t>
  </si>
  <si>
    <t>A Grammar of Moloko</t>
  </si>
  <si>
    <t>Friesen, Dianne</t>
  </si>
  <si>
    <t>Order and Structure in Syntax II</t>
  </si>
  <si>
    <t>Sheehan, Michelle-Bailey, Laura R.</t>
  </si>
  <si>
    <t>Modeling Information Structure in a Cross-linguistic Perspective</t>
  </si>
  <si>
    <t>Song, Sanghoun</t>
  </si>
  <si>
    <t>Tone in Yongning Na</t>
  </si>
  <si>
    <t>Michaud, Alexis</t>
  </si>
  <si>
    <t>Eyetracking and Applied Linguistics</t>
  </si>
  <si>
    <t>Hansen-Schirra, Silvia-Grucza, Sambor</t>
  </si>
  <si>
    <t>New Perspectives on Cohesion and Coherence</t>
  </si>
  <si>
    <t>Menzel, Katrin-Lapshinova-Koltunski, Ekaterina-Kunz, Kerstin</t>
  </si>
  <si>
    <t>Language Technologies for a Multilingual Europe</t>
  </si>
  <si>
    <t>Rehm, Georg-Stein, Daniel-Sasaki, Felix-Witt, Andreas</t>
  </si>
  <si>
    <t>Annotation, Exploitation and Evaluation of Parallel Corpora</t>
  </si>
  <si>
    <t>Hansen-Schirra, Silvia-Neumann, Stella-ÄŒulo, Oliver</t>
  </si>
  <si>
    <t>Crossroads Between Contrastive Linguistics, Translation Studies and Machine Translation</t>
  </si>
  <si>
    <t>Czulo, Oliver-Hansen-Schirra, Silvia</t>
  </si>
  <si>
    <t>The Ik Language</t>
  </si>
  <si>
    <t>Schrock, Terrill</t>
  </si>
  <si>
    <t>Die Sprachwissenschaft</t>
  </si>
  <si>
    <t>Gabelentz, Georg von der-McElvenny, James-Ringmacher, Manfred</t>
  </si>
  <si>
    <t>Dependencies in Language</t>
  </si>
  <si>
    <t>Enfield, N. J.</t>
  </si>
  <si>
    <t>Advances in the Study of Siouan Languages and Linguistics</t>
  </si>
  <si>
    <t>Rudin, Catherine-Gordon, Bryan James</t>
  </si>
  <si>
    <t>Roots of Language</t>
  </si>
  <si>
    <t>Bickerton, Derek</t>
  </si>
  <si>
    <t>The Empirical Base of Linguistics</t>
  </si>
  <si>
    <t>SchÃ¼tze, Carson T.</t>
  </si>
  <si>
    <t>Thoughts on Grammaticalization</t>
  </si>
  <si>
    <t>Lehmann, Christian</t>
  </si>
  <si>
    <t>A Grammar of Pichi</t>
  </si>
  <si>
    <t>Yakpo, Kofi</t>
  </si>
  <si>
    <t>A Grammar of Yauyos Quechua</t>
  </si>
  <si>
    <t>Shimelman, Aviva</t>
  </si>
  <si>
    <t>A Grammar of Palula</t>
  </si>
  <si>
    <t>Liljegren, Henrik</t>
  </si>
  <si>
    <t>The Future of Dialects</t>
  </si>
  <si>
    <t>CÃ´tÃ©, Marie-HÃ©lÃ¨ne-Knooihuizen, Remco-Nerbonne, John</t>
  </si>
  <si>
    <t>Dual Aspectual Forms and Event Structure in Caribbean English Creoles</t>
  </si>
  <si>
    <t>Forbes-Barnett, Marsha</t>
  </si>
  <si>
    <t>A Grammar of Papuan Malay</t>
  </si>
  <si>
    <t>Kluge, Angela</t>
  </si>
  <si>
    <t>New Directions in Corpus-based Translation Studies</t>
  </si>
  <si>
    <t>Fantinuoli, Claudio-Zanettin, Federico</t>
  </si>
  <si>
    <t>Linguistic Variation, Identity Construction and Cognition</t>
  </si>
  <si>
    <t>Drager, Katie K.</t>
  </si>
  <si>
    <t>A Dictionary and Grammatical Outline of Chakali</t>
  </si>
  <si>
    <t>Brindle, Jonathan</t>
  </si>
  <si>
    <t>Grammaticalization in the North</t>
  </si>
  <si>
    <t>Dahl, Ã–sten</t>
  </si>
  <si>
    <t>A Grammar of Mauwake</t>
  </si>
  <si>
    <t>BerghÃ¤ll, Liisa</t>
  </si>
  <si>
    <t>A Grammar of Yakkha</t>
  </si>
  <si>
    <t>Schackow, Diana</t>
  </si>
  <si>
    <t>Language Strategies for the Domain of Colour</t>
  </si>
  <si>
    <t>Bleys, Joris</t>
  </si>
  <si>
    <t>How Mobile Robots Can Self-organise a Vocabulary</t>
  </si>
  <si>
    <t>Vogt, Paul</t>
  </si>
  <si>
    <t>The Talking Heads Experiment</t>
  </si>
  <si>
    <t>Steels, Luc L.</t>
  </si>
  <si>
    <t>Natural Causes of Language</t>
  </si>
  <si>
    <t>Enfield, N.J.</t>
  </si>
  <si>
    <t>Syntax Und Valenz</t>
  </si>
  <si>
    <t>Lichte, Timm</t>
  </si>
  <si>
    <t>Adjective Attribution</t>
  </si>
  <si>
    <t>RieÃŸler, Michael</t>
  </si>
  <si>
    <t>A Typology of Marked-S Languages</t>
  </si>
  <si>
    <t>Handschuh, Corinna</t>
  </si>
  <si>
    <t>A Grammar of Pite Saami</t>
  </si>
  <si>
    <t>Wilbur, Joshua</t>
  </si>
  <si>
    <t>Prosodic Detail in Neapolitan Italian</t>
  </si>
  <si>
    <t>Cangemi, Francesco</t>
  </si>
  <si>
    <t>Grundlagen der Informationswissenschaft</t>
  </si>
  <si>
    <t>Rainer Kuhlen-Dirk Lewandowski-Wolfgang Semar-Christa Womser-Hacker</t>
  </si>
  <si>
    <t>Thinking the Re-Thinking of the World</t>
  </si>
  <si>
    <t>Kai Kresse-Abdoulaye Sounaye</t>
  </si>
  <si>
    <t>Islam and Muslim Life in West Africa</t>
  </si>
  <si>
    <t>Abdoulaye Sounaye-AndrÃ© Chappatte</t>
  </si>
  <si>
    <t>Local Self-Governance in Antiquity and in the Global South</t>
  </si>
  <si>
    <t>Dominique KrÃ¼ger-Christoph Mohamad-Klotzbach-Rene Pfeilschifter</t>
  </si>
  <si>
    <t>Kartograph der Dispositive</t>
  </si>
  <si>
    <t>Martina Eleonora KollroÃŸ</t>
  </si>
  <si>
    <t>Image, Text, Stone</t>
  </si>
  <si>
    <t>Nikolaus Dietrich-Johannes Fouquet</t>
  </si>
  <si>
    <t>Materiale Textkulturen</t>
  </si>
  <si>
    <t>Andere Ã„sthetik</t>
  </si>
  <si>
    <t>Vom Hymnus zum Gebet</t>
  </si>
  <si>
    <t>Pavlina Kulagina-Franziska Lallinger</t>
  </si>
  <si>
    <t>Movable Inn</t>
  </si>
  <si>
    <t>Judith Kalik</t>
  </si>
  <si>
    <t>Oceanography and Marine Biology</t>
  </si>
  <si>
    <t>S. J. Hawkins</t>
  </si>
  <si>
    <t>Yearbook on the African Union Volume 2 (2021)</t>
  </si>
  <si>
    <t>Why We Sing: Music, Word, and Liturgy in Early Christianity</t>
  </si>
  <si>
    <t>Carl Johan Berglund-Barbara Crostini-James Kelhoffer</t>
  </si>
  <si>
    <t>Theorizing Entrepreneurship for the Future</t>
  </si>
  <si>
    <t>Joost Beuving</t>
  </si>
  <si>
    <t>Planting Seeds of Knowledge</t>
  </si>
  <si>
    <t>Heinrich Hartmann-Julia Tischler</t>
  </si>
  <si>
    <t>Yosano Akiko and The Tale of Genji</t>
  </si>
  <si>
    <t>Gaye Rowley</t>
  </si>
  <si>
    <t>Urbanizing the Regional Sector to Strengthen Economy and Business to Recover From Recession</t>
  </si>
  <si>
    <t>Aulia Herdiani-Agus Hermawan-Setya Ayu Rahmawati-Mohd. Rizal Palil-Reza Havies</t>
  </si>
  <si>
    <t>Technologies in Decline</t>
  </si>
  <si>
    <t>Zahar Koretsky-Peter Stegmaier-Bruno Turnheim-Harro van Lente</t>
  </si>
  <si>
    <t>Flexible Human Resource Management and Vocational Behaviour</t>
  </si>
  <si>
    <t>Anna PawÅ‚owska</t>
  </si>
  <si>
    <t>The Pandemic in Central Europe</t>
  </si>
  <si>
    <t>Asian Perceptions of Gulf Security</t>
  </si>
  <si>
    <t>Li-Chen Sim-Jonathan Fulton</t>
  </si>
  <si>
    <t>Peter, Dalquen</t>
  </si>
  <si>
    <t>Sarah J., Kitson-Rema, Iyer-Stephanie M., de Boer</t>
  </si>
  <si>
    <t>Christian, Buske-Jorge J., Castillo-Roger, Owen-Shayna R., Sarosiek</t>
  </si>
  <si>
    <t>Rebecca, Penzer-Hick-Sarah, Copperwheat-Lucy, Moorhead-Saskia, Reeken-Melanie, Sutherland-Julia, Wheeler-Heulwen, Wyatt</t>
  </si>
  <si>
    <t>Phil, Tittensor-Sheila, Shepley-Martin J., Brodie</t>
  </si>
  <si>
    <t>In the Shadow of Genocide</t>
  </si>
  <si>
    <t>Stephanie Wolfe-Matthew Kane-Tawia Ansah</t>
  </si>
  <si>
    <t>NiezauwaÅ¼ona rewolucja. Konstruktywistyczny idealizm Richarda Burthoggeâ€™a</t>
  </si>
  <si>
    <t>Bartosz Å»ukowski</t>
  </si>
  <si>
    <t>Total Logistic Management. Logistyka i Å‚aÅ„cuchy dostaw 4.0</t>
  </si>
  <si>
    <t>Understanding Cultural Non-Participation in an Egalitarian Context</t>
  </si>
  <si>
    <t>Riie HeikkilÃ¤</t>
  </si>
  <si>
    <t>Religion and World Politics</t>
  </si>
  <si>
    <t>Erin K. Wilson</t>
  </si>
  <si>
    <t>University Autonomy Decline</t>
  </si>
  <si>
    <t>Kirsten Roberts Lyer-Ilyas Saliba-Janika Spannagel</t>
  </si>
  <si>
    <t>Pluricentric Languages and Language Education</t>
  </si>
  <si>
    <t>Marcus Callies-Stefanie Hehner</t>
  </si>
  <si>
    <t>Deskription und Metapoetik in der spÃ¤tantiken lateinischen Dichtung</t>
  </si>
  <si>
    <t>Leon Schmieder</t>
  </si>
  <si>
    <t>Healing Grief</t>
  </si>
  <si>
    <t>Fabio Tutrone</t>
  </si>
  <si>
    <t>Lexicography of Coronavirus-related Neologisms</t>
  </si>
  <si>
    <t>Annette Klosa-KÃ¼ckelhaus-Ilan Kernerman</t>
  </si>
  <si>
    <t>Jews in East Norse Literature</t>
  </si>
  <si>
    <t>Jonathan Adams</t>
  </si>
  <si>
    <t>Empirismus und Ã„sthetik</t>
  </si>
  <si>
    <t>Lore Knapp</t>
  </si>
  <si>
    <t>The EU Towards the Global South During the COVID-19 Pandemic</t>
  </si>
  <si>
    <t>Katarzyna KoÅ‚odziejczyk</t>
  </si>
  <si>
    <t>Perspectives on Transitions in Refugee Education</t>
  </si>
  <si>
    <t>Seyda Subasi Singh-Olja JovanoviÄ‡ MilanoviÄ‡-Michelle Proyer</t>
  </si>
  <si>
    <t>Praxisanleitungen in frÃ¼hpÃ¤dagogischen Studien- und AusbildungsgÃ¤ngen</t>
  </si>
  <si>
    <t>Katja Scheer</t>
  </si>
  <si>
    <t>Islamismus in der Jugendphase</t>
  </si>
  <si>
    <t>Anja Frank-Anna Felicitas Scholz</t>
  </si>
  <si>
    <t>Cities, Monuments and Objects in the Roman and Byzantine Levant</t>
  </si>
  <si>
    <t>Walid Atrash-Andrew Overman-Peter Gendelman</t>
  </si>
  <si>
    <t>Yavne and Its Secrets : Collected Papers / ×™×‘× ×” ×•×¦×¤×•× ×•×ª×™×”: ×§×•×‘×¥ ×ž×—×§×¨×™×</t>
  </si>
  <si>
    <t>Elie Haddad-Liat Nadav-Ziv-Jon Seligman-Daniel Varga-Pablo Betzer-Amit Shadman-Oren Tal-Yotam Tepper</t>
  </si>
  <si>
    <t>An Introduction to Digital Signal Processing</t>
  </si>
  <si>
    <t>Stanley Mneney</t>
  </si>
  <si>
    <t>Digital System Design - Use of Microcontroller</t>
  </si>
  <si>
    <t>Shenouda Dawoud-R. Peplow</t>
  </si>
  <si>
    <t>Conspiracy Theories in the Time of Covid-19</t>
  </si>
  <si>
    <t>Clare Birchall-Peter Knight</t>
  </si>
  <si>
    <t>Leading a Business School</t>
  </si>
  <si>
    <t>Julie Davies-Howard Thomas-Eric Cornuel-Rolf D. Cremer</t>
  </si>
  <si>
    <t>Africaâ€“Europe Cooperation and Digital Transformation</t>
  </si>
  <si>
    <t>Chux Daniels-Benedikt Erforth-Chloe Teevan</t>
  </si>
  <si>
    <t>The Regulation of Megabanks</t>
  </si>
  <si>
    <t>Katarzyna Parchimowicz</t>
  </si>
  <si>
    <t>Academic Entrepreneurship in Theory and Practice</t>
  </si>
  <si>
    <t>Hanna Nowak-Mizgalska, Aleksandra Szulczewska-Remi (eds.)</t>
  </si>
  <si>
    <t>Monumental Names</t>
  </si>
  <si>
    <t>Galina Oustinova-Stjepanovic</t>
  </si>
  <si>
    <t>Identities and Intimacies on Social Media</t>
  </si>
  <si>
    <t>Tonny Krijnen-Paul G. Nixon-Michelle D. Ravenscroft-Cosimo Marco Scarcelli</t>
  </si>
  <si>
    <t>Theorie erzÃ¤hlen</t>
  </si>
  <si>
    <t>Angela CalderÃ³n Villarino</t>
  </si>
  <si>
    <t>Transforming Food Systems: Ethics, Innovation and Responsibility</t>
  </si>
  <si>
    <t>Donald Bruce-Ann Bruce</t>
  </si>
  <si>
    <t>Applied Food Science</t>
  </si>
  <si>
    <t>Bart Wernaart-Bernd van der Meulen</t>
  </si>
  <si>
    <t>Global Development in the Arctic</t>
  </si>
  <si>
    <t>Andrey Mineev-Anatoli Bourmistrov-Frode Mellemvik</t>
  </si>
  <si>
    <t>Jews and Muslims in London and Amsterdam</t>
  </si>
  <si>
    <t>Sipco J. Vellenga-Gerard A. Wiegers</t>
  </si>
  <si>
    <t>Podcasting As an Intimate Medium</t>
  </si>
  <si>
    <t>PERFORMING ARTS / Radio / Reference</t>
  </si>
  <si>
    <t>Alyn Euritt</t>
  </si>
  <si>
    <t>Live, Die, Buy, Eat</t>
  </si>
  <si>
    <t>Kristian BjÃ¸rkdahl-Karen V. Lykke</t>
  </si>
  <si>
    <t>Institutional Translator Training</t>
  </si>
  <si>
    <t>TomÃ¡Å¡ Svoboda-Åucja Biel-Vilelmini Sosoni</t>
  </si>
  <si>
    <t>Warsztaty z Geografii Turyzmu t. 12: Percepcja turystyki w przestrzeni i w czasie pandemii Covid-19</t>
  </si>
  <si>
    <t>Marzena Makowska-Iskierka, Jolanta Wojciechowska</t>
  </si>
  <si>
    <t>Warsztaty z Geografii Turyzmu, tom 10. Krajoznawstwo a turystyka</t>
  </si>
  <si>
    <t>Jolanta Wojciechowska, Marzena Makowska-Iskierka</t>
  </si>
  <si>
    <t>ZrÃ³Å¼nicowanie pÅ‚ac w wojewÃ³dztwach i jego wpÅ‚yw na Å‚Ä…cznÄ… produktywnoÅ›Ä‡ czynnikÃ³w produkcji</t>
  </si>
  <si>
    <t>Damian Mowczan</t>
  </si>
  <si>
    <t>PrzedsiÄ™biorstwo w warunkach wspÃ³Å‚czesnej gospodarki rynkowej. Finansowanie, pomiar, efektywnoÅ›Ä‡.</t>
  </si>
  <si>
    <t>Agnieszka Janus-RafaÅ‚ JÃ³Åºwicki-Dorota Kobus-Ostrowska-Mariusz Nyk</t>
  </si>
  <si>
    <t>Analizy i prognozy polskiego rynku pracy. PrzekrÃ³j grup zawodowych</t>
  </si>
  <si>
    <t>Artur Gajdos, Karolina Lewandowska-Gwarda</t>
  </si>
  <si>
    <t>FranÃ§ois de Curel et la crise du drame : de la Â« piÃ¨ce bien faite Â» Ã  la Â« piÃ¨ce bien dÃ©faite Â»</t>
  </si>
  <si>
    <t>MiÄ™dzynarodowe przepÅ‚ywy inwestycji. Zarys teorii i praktyki na tle ewolucji miÄ™dzynarodowego systemu walutowego</t>
  </si>
  <si>
    <t>MaÅ‚gorzata Janicka</t>
  </si>
  <si>
    <t>W poszukiwaniu zielonego Å‚adu</t>
  </si>
  <si>
    <t>MaÅ‚gorzata Burchard-DziubiÅ„ska</t>
  </si>
  <si>
    <t>Historia Zrzeszenia Polskich Nauczycieli Geografii</t>
  </si>
  <si>
    <t>Marek SobczyÅ„ski, Monika Cepil</t>
  </si>
  <si>
    <t>AfrykaÅ„ska Karta Praw CzÅ‚owieka i LudÃ³w. Studium podstawy normatywnej regionalnego systemu ochrony praw czÅ‚owiek</t>
  </si>
  <si>
    <t>Marek Jan WasiÅ„ski</t>
  </si>
  <si>
    <t>Refleksyjna regulacja ryzyka w ochronie danych osobowych. Podstawy teoretyczne i praktyka dziaÅ‚alnoÅ›ci Prezesa UODO</t>
  </si>
  <si>
    <t>Maciej Pichlak-Klaudia GaczoÅ‚</t>
  </si>
  <si>
    <t>Infrastruktura magazynowa i transportowa w dobie zrÃ³wnowaÅ¼onego rozwoju gospodarki</t>
  </si>
  <si>
    <t>Urszula Motowidlak-Daniel Tokarski</t>
  </si>
  <si>
    <t>The Crucifixion of Jesus</t>
  </si>
  <si>
    <t>David Tombs</t>
  </si>
  <si>
    <t>Seven Democratic Virtues of Liberal Education</t>
  </si>
  <si>
    <t>Teun J. Dekker</t>
  </si>
  <si>
    <t>On the Significance of Religion in Violence Against Women and Girls</t>
  </si>
  <si>
    <t>Elisabet le Roux-Sandra Iman Pertek</t>
  </si>
  <si>
    <t>Problematisierung statt Optimierung?</t>
  </si>
  <si>
    <t>Malte Ebner von Eschenbach-Maria Kondratjuk-Maria Stimm-Jana Trumann-Farina Wagner</t>
  </si>
  <si>
    <t>Studies in the Masoretic Tradition of the Hebrew Bible</t>
  </si>
  <si>
    <t xml:space="preserve"> Daniel J. Crowther-Aaron D. Hornkohl-Geoffrey Khan</t>
  </si>
  <si>
    <t>Sexroboter</t>
  </si>
  <si>
    <t>D. Paulina Matyjas</t>
  </si>
  <si>
    <t>Living Art</t>
  </si>
  <si>
    <t>Virginia Hooker-Elly Kent-Caroline Turner</t>
  </si>
  <si>
    <t>New Perspectives on the Medieval â€˜Agricultural Revolutionâ€™</t>
  </si>
  <si>
    <t>Helena Hamerow-Mark McKerracher</t>
  </si>
  <si>
    <t>Youth Without Representation</t>
  </si>
  <si>
    <t>Daniel Stockemer-Aksel Sundstrom</t>
  </si>
  <si>
    <t>The Impossibilities of the Circular Economy</t>
  </si>
  <si>
    <t>Harry Lehmann-Christoph Hinske-Victoire de Margerie-Aneta Slaveikova Nikolova</t>
  </si>
  <si>
    <t>The Future of Self-Governing, Thriving Democracies</t>
  </si>
  <si>
    <t>Brigitte Geissel</t>
  </si>
  <si>
    <t>Urban Aerial Pesticide Spraying Campaigns</t>
  </si>
  <si>
    <t>Manuel VallÃ©e</t>
  </si>
  <si>
    <t>Governing the Interlinkages Between the SDGs</t>
  </si>
  <si>
    <t>Anita Breuer-Daniele Malerba-Srinivasa Srigiri-Pooja Balasubramanian</t>
  </si>
  <si>
    <t>The Concept of Moral Progress</t>
  </si>
  <si>
    <t>Frauke Albersmeier</t>
  </si>
  <si>
    <t>Accelerating Human Evolution by Theosophical Initiation</t>
  </si>
  <si>
    <t>Yves MÃ¼hlematter</t>
  </si>
  <si>
    <t>Mapping the Sensible</t>
  </si>
  <si>
    <t>Erica Carter-Bettina Malcomess-Eileen Rositzka</t>
  </si>
  <si>
    <t>Central and Eastern European Literary Theory and the West</t>
  </si>
  <si>
    <t>MichaÅ‚ Mrugalski-Schamma Schahadat-Irina Wutsdorff</t>
  </si>
  <si>
    <t>Before Official Multiculturalism</t>
  </si>
  <si>
    <t>HISTORY / Canada / Post-Confederation (1867-)</t>
  </si>
  <si>
    <t>Franca Iacovetta</t>
  </si>
  <si>
    <t>Toronto the Good?</t>
  </si>
  <si>
    <t>Shana Almeida</t>
  </si>
  <si>
    <t>Feministische Visionen vor und nach 1989</t>
  </si>
  <si>
    <t>Karin Aleksander-Ulrike Auga-Elisaveta Dvorakk-Kathleen Heft-Gabriele JÃ¤hnert-Heike Schimkat</t>
  </si>
  <si>
    <t>La ciencia de Cervantes</t>
  </si>
  <si>
    <t>Vicente PÃ©rez de LeÃ³n</t>
  </si>
  <si>
    <t>The Calling of the Church in Times of Polarization</t>
  </si>
  <si>
    <t>RELIGION / Christianity / Calvinist</t>
  </si>
  <si>
    <t>Heleen E. Zorgdrager-Pieter Vos</t>
  </si>
  <si>
    <t>Superdiversity</t>
  </si>
  <si>
    <t>Steven Vertovec</t>
  </si>
  <si>
    <t>Wealth and Power</t>
  </si>
  <si>
    <t>Michael Bennett-Huub Brouwer-Rutger Claassen</t>
  </si>
  <si>
    <t>Expertise, Policy-making and Democracy</t>
  </si>
  <si>
    <t>Johan Christensen-Cathrine Holst-Anders Molander</t>
  </si>
  <si>
    <t>Business Meets the Humanities</t>
  </si>
  <si>
    <t>Martina Mahnke-Mikka Nielsen-Matilde Petersen-Lise TjÃ¸rring</t>
  </si>
  <si>
    <t>Pseudo-Dionysius and Gregory Palamas</t>
  </si>
  <si>
    <t>Agnieszka Åšwitkiewicz-Blandzi</t>
  </si>
  <si>
    <t>Spiritual Contestations â€“ The Violence of Peace in South Sudan</t>
  </si>
  <si>
    <t>Naomi Ruth Pendle</t>
  </si>
  <si>
    <t>Dezentrale autonome Organisationen (DAOs) und Gesellschaftsrecht</t>
  </si>
  <si>
    <t>Biyan Mienert</t>
  </si>
  <si>
    <t>Galeni In Hippocratis Epidemiarum librum VI commentariorum Iâ€“VIII versio Arabica</t>
  </si>
  <si>
    <t>Uwe Vagelpohl</t>
  </si>
  <si>
    <t>Zeiten der Wachsamkeit</t>
  </si>
  <si>
    <t>Arndt Brendecke-Susanne Reichlin</t>
  </si>
  <si>
    <t>Slavery and Bondage in Asia, 1550â€“1850</t>
  </si>
  <si>
    <t>Kate Ekama-Lisa Hellman-Matthias van Rossum</t>
  </si>
  <si>
    <t>Afrika â€“ Atlantik â€“ Amerika</t>
  </si>
  <si>
    <t>Didaktische Perspektiven der Phraseologie in der Gegenwart</t>
  </si>
  <si>
    <t>Wenke MÃ¼ckel</t>
  </si>
  <si>
    <t>City of Caesar, City of God</t>
  </si>
  <si>
    <t>Konstantin M. Klein-Johannes Wienand</t>
  </si>
  <si>
    <t>Urban Agricultural Heritage</t>
  </si>
  <si>
    <t>Frank Lohrberg-Katharina Christenn-Axel Timpe-AyÃ§a Sancar</t>
  </si>
  <si>
    <t>Calling Family</t>
  </si>
  <si>
    <t>Tanja Ahlin</t>
  </si>
  <si>
    <t>The Biden School and the Engaged University of Delaware, 1961-2021</t>
  </si>
  <si>
    <t>Daniel Rich</t>
  </si>
  <si>
    <t>Die Bindungswirkung vÃ¶lkerrechtlicher VertrÃ¤ge im Lichte des Grundgesetzes.</t>
  </si>
  <si>
    <t>Florian Paul</t>
  </si>
  <si>
    <t>Parliament: A Question of Management</t>
  </si>
  <si>
    <t>V M Barrett</t>
  </si>
  <si>
    <t>Injustice in Urban Sustainability</t>
  </si>
  <si>
    <t>Panagiota Kotsila-Isabelle Anguelovski-Melissa GarcÃ­a-Lamarca-Filka Sekulova</t>
  </si>
  <si>
    <t>European Union Communities of Practice</t>
  </si>
  <si>
    <t>Maren Hofius</t>
  </si>
  <si>
    <t>1982 Uncovered: The Falklands War Mapping Project</t>
  </si>
  <si>
    <t>Timothy Clack-Tony Pollard</t>
  </si>
  <si>
    <t>Dance, Ageing and Collaborative Arts-Based Research</t>
  </si>
  <si>
    <t>Rachel Herron-Rachel Bar-Mark Skinner</t>
  </si>
  <si>
    <t>The Cooing of the Dove and the Cawing of the Crow: Late Ê¿AbbÄsid Poetics in AbÅ« Al-Ê¿AlÄÊ¾ Al-MaÊ¿arrÄ«â€™s Saqá¹­ Al-Zand and LuzÅ«m MÄ LÄ Yalzam</t>
  </si>
  <si>
    <t>Stetkevych Suzanne P.</t>
  </si>
  <si>
    <t>Libraries, Archives, and Museums in Transition</t>
  </si>
  <si>
    <t>Casper Hvenegaard Rasmussen-Kerstin Rydbeck-HÃ¥kon Larsen</t>
  </si>
  <si>
    <t>Boasian Verse</t>
  </si>
  <si>
    <t>Philipp Schweighauser</t>
  </si>
  <si>
    <t>Sport Stadiums and Environmental Justice</t>
  </si>
  <si>
    <t>Timothy Kellison</t>
  </si>
  <si>
    <t>Corporate Social Responsibility and the Paradoxes of State Capitalism</t>
  </si>
  <si>
    <t>StÃ¥le Knudsen</t>
  </si>
  <si>
    <t>Migrants Shaping Europe, Past and Present</t>
  </si>
  <si>
    <t>Helen Solterer-Vincent Joos</t>
  </si>
  <si>
    <t>Aspiring in Later Life</t>
  </si>
  <si>
    <t>Megha Amrith-Victoria K. Sakti-Dora Sampaio</t>
  </si>
  <si>
    <t>Rechte des KÃ¶rpers</t>
  </si>
  <si>
    <t>Christian Berger-Michael Frey-Florian Priesemuth</t>
  </si>
  <si>
    <t>Was heisst und zu welchem Ende studiert man romanische Literaturwissenschaft?</t>
  </si>
  <si>
    <t>Ottmar Ette</t>
  </si>
  <si>
    <t>FachkrÃ¤fte fÃ¼r die Entwicklung</t>
  </si>
  <si>
    <t>Jana Otto</t>
  </si>
  <si>
    <t>Fontanes Medien</t>
  </si>
  <si>
    <t>Peer Trilcke</t>
  </si>
  <si>
    <t>Sovereign Debt Sustainability</t>
  </si>
  <si>
    <t>Daniel Cash</t>
  </si>
  <si>
    <t>Capitalisms and Democracies</t>
  </si>
  <si>
    <t>Carlo Trigilia</t>
  </si>
  <si>
    <t>Global Citizenship in Foreign Language Education</t>
  </si>
  <si>
    <t>Christiane LÃ¼tge-Thorsten Merse-Petra Rauschert</t>
  </si>
  <si>
    <t>The Imperial Underbelly</t>
  </si>
  <si>
    <t>Gunnel CederlÃ¶f</t>
  </si>
  <si>
    <t>The Development of L2 Interactional Competence</t>
  </si>
  <si>
    <t>Klara Skogmyr Marian</t>
  </si>
  <si>
    <t>Climate Neutral and Resilient Farming Systems</t>
  </si>
  <si>
    <t>Udaya Sekhar Nagothu</t>
  </si>
  <si>
    <t>International Security in a World of Fragile States</t>
  </si>
  <si>
    <t>S. Yaqub Ibrahimi</t>
  </si>
  <si>
    <t>Lâ€™art de vivre, de survivre, de revivre/ Lâ€™arte di vivere, di sopravvivere, di rivivere/El arte de vivir, de sobrevivir, de revivir.</t>
  </si>
  <si>
    <t>Magdalena LipiÅ„ska-Magdalena SzefliÅ„ska-Baran</t>
  </si>
  <si>
    <t>RozwÃ³j gospodarczy i spoÅ‚eczny Syberii. Historia i wspÃ³Å‚czesnoÅ›Ä‡"</t>
  </si>
  <si>
    <t>Finansowa analiza wystÄ™powania szkÃ³d dotyczÄ…cych pacjentÃ³w na podstawie wyrokÃ³w sÄ…dÃ³w okrÄ™gu Å‚Ã³dzkiego</t>
  </si>
  <si>
    <t>Daria Korytkowska Piaskowska</t>
  </si>
  <si>
    <t>Decentralizacja fiskalna jako ograniczenie zjawiska Lewiatana</t>
  </si>
  <si>
    <t>Beata Guziejewska</t>
  </si>
  <si>
    <t>BÃ³g â€“ Å›wiat â€“ czÅ‚owiek w traktatach Corpus Hermeticum na tle greckiej tradycji filozoficznej</t>
  </si>
  <si>
    <t>Aneta Tylak</t>
  </si>
  <si>
    <t>Drylands Facing Change</t>
  </si>
  <si>
    <t>Angela Kronenburg GarcÃ­a-Tobias Haller-Han van Dijk-Cyrus Samimi-Jeroen Warner</t>
  </si>
  <si>
    <t>The Tomb of the Priests of Amun</t>
  </si>
  <si>
    <t>RogÃ©rio Sousa-Anne Haslund Hansen</t>
  </si>
  <si>
    <t>The Power of the Story</t>
  </si>
  <si>
    <t>Vincent Joos-Martin Munro-John RibÃ³</t>
  </si>
  <si>
    <t>Citizens Into Dishonored Felons</t>
  </si>
  <si>
    <t>Timon de Groot</t>
  </si>
  <si>
    <t>Postcontinental Realism</t>
  </si>
  <si>
    <t>Ernesto Castro</t>
  </si>
  <si>
    <t>Testierfreiheit und Werteordnung</t>
  </si>
  <si>
    <t>Andreas Humm</t>
  </si>
  <si>
    <t>A Language for the World</t>
  </si>
  <si>
    <t>LANGUAGE STUDY / Swahili</t>
  </si>
  <si>
    <t>Morgan J. Robinson</t>
  </si>
  <si>
    <t>Global Political Leadership</t>
  </si>
  <si>
    <t>MaÅ‚gorzata Zachara-SzymaÅ„ska</t>
  </si>
  <si>
    <t>Gender-Based Violence in Childrenâ€™s Sport</t>
  </si>
  <si>
    <t>SPORTS &amp; RECREATION / Coaching / General</t>
  </si>
  <si>
    <t>Gretchen Kerr</t>
  </si>
  <si>
    <t>Leadership for Disaster Resilience</t>
  </si>
  <si>
    <t>Jacquleen Joseph-Suchita Awasthi-Zubin R. Mulla</t>
  </si>
  <si>
    <t>Unsettled Urban Space</t>
  </si>
  <si>
    <t>Tihomir Viderman-Sabine Knierbein-Elina KrÃ¤nzle-Sybille Frank-Nikolai Roskamm-Ed Wall</t>
  </si>
  <si>
    <t>Contestations of Citizenship, Education, and Democracy in an Era of Global Change</t>
  </si>
  <si>
    <t>Patricia K. Kubow-Nicole Webster-Krystal Strong-Daniel Miranda</t>
  </si>
  <si>
    <t>Biografia duchowa i antropologia chrzeÅ›cijaÅ„ska metropolity Antoniego Blooma (1914â€“2003)</t>
  </si>
  <si>
    <t>RELIGION / Judaism / Orthodox</t>
  </si>
  <si>
    <t>Aleksy Kucy</t>
  </si>
  <si>
    <t>Status prawny osÃ³b Å›wiadczÄ…cych pracÄ™ w ramach umownego zatrudnienia nietypowego</t>
  </si>
  <si>
    <t>Izabela Florczak</t>
  </si>
  <si>
    <t>Profesor Tadeusz MarszaÅ‚. PÃ³Å‚wiecze z Uniwersytetem ÅÃ³dzki</t>
  </si>
  <si>
    <t>ElÅ¼bieta Kobojek</t>
  </si>
  <si>
    <t>WstÄ™p do lingwistyki w biznesie</t>
  </si>
  <si>
    <t>StanisÅ‚aw GoÅºdÅº-Roszkowski-Julia Mazurkiewicz-SuÅ‚kowska</t>
  </si>
  <si>
    <t>Statystyka i demografia w Uniwersytecie ÅÃ³dzkim. Brylantowy jubileusz</t>
  </si>
  <si>
    <t>CzesÅ‚aw DomaÅ„ski-Alina JÄ™drzejczak</t>
  </si>
  <si>
    <t>Trwanie Å¼ycia PolakÃ³w na tle innych krajÃ³w sÅ‚owiaÅ„skich. Od epoki prehistorycznej po wspÃ³Å‚czesnoÅ›Ä‡</t>
  </si>
  <si>
    <t>Witold Åšmigielski</t>
  </si>
  <si>
    <t>The â€˜Human Rights Componentâ€™ of Foreign Policy</t>
  </si>
  <si>
    <t>Pietro de Perini</t>
  </si>
  <si>
    <t>MIMOS 2021</t>
  </si>
  <si>
    <t>Data Analysis in the Maritime Domain</t>
  </si>
  <si>
    <t>Milena StrÃ³Å¼yna-Witold Abramowicz-Krzysztof WÄ™cel-Dominik Filipiak-Jacek MaÅ‚yszko</t>
  </si>
  <si>
    <t>Bildung fÃ¼r nachhaltige Entwicklung â€“ Impulse zu Digitalisierung, Inklusion und Klimaschutz</t>
  </si>
  <si>
    <t>Andreas Eberth-Antje Goller-Julia GÃ¼nther-Melissa Hanke-Verena Holz-Alexandria Krug-Katarina RonÄeviÄ‡-Mandy Singer-Brodowski</t>
  </si>
  <si>
    <t>Bildung fÃ¼r nachhaltige Entwicklung als schulische Querschnittsaufgabe</t>
  </si>
  <si>
    <t>Franziska Heinze</t>
  </si>
  <si>
    <t>Digitalisierung und Weiterbildung</t>
  </si>
  <si>
    <t>Steffi Robak-Eike Asche-Christian KÃ¼hn-Lena Heidemann</t>
  </si>
  <si>
    <t>Teilzeitarbeit im Lebensverlauf von MÃ¤nnern</t>
  </si>
  <si>
    <t>Agnieszka Althaber</t>
  </si>
  <si>
    <t>(u)Mzantsi Classics</t>
  </si>
  <si>
    <t>Samantha Masters-Imkhitha Nzungu-Grant Parker</t>
  </si>
  <si>
    <t>Distortion and Subversion</t>
  </si>
  <si>
    <t>TRANSPORTATION / Public Transportation</t>
  </si>
  <si>
    <t>Rodrigo Lopes de Barros</t>
  </si>
  <si>
    <t>Natur und Kunst bei Claudian</t>
  </si>
  <si>
    <t>Wiebke Nierste</t>
  </si>
  <si>
    <t>Kooperation und Innovation im Speyerer Buchdruck des ausgehenden Mittelalters</t>
  </si>
  <si>
    <t>Paul Schweitzer-Martin</t>
  </si>
  <si>
    <t>Deportations in the Nazi Era</t>
  </si>
  <si>
    <t>Henning BorggrÃ¤fe-Akim Jah</t>
  </si>
  <si>
    <t>Global Literary Studies</t>
  </si>
  <si>
    <t>Diana Roig-Sanz-Neus Rotger</t>
  </si>
  <si>
    <t>Dialekt-Standard-Variation im ungesteuerten Zweitspracherwerb des Deutschen</t>
  </si>
  <si>
    <t>Andrea Ender</t>
  </si>
  <si>
    <t>Metapher, Kontext und Kognition</t>
  </si>
  <si>
    <t>Jacob Hesse</t>
  </si>
  <si>
    <t>Finnishness, Whiteness and Coloniality</t>
  </si>
  <si>
    <t>Josephine Hoegaerts-Tuire Liimatainen-Laura Hekanaho-Elizabeth Peterson</t>
  </si>
  <si>
    <t>Locating the Mediterranean: Connections and Separations Across Space and Time</t>
  </si>
  <si>
    <t>Carl Rommel-Joseph John Viscomi</t>
  </si>
  <si>
    <t>Nuancing Young Masculinities: Helsinki Boysâ€™ Intersectional Relationships in New Times</t>
  </si>
  <si>
    <t>Marja Peltola-Ann Phoenix</t>
  </si>
  <si>
    <t>Nordic Homicide in Deep Time: Lethal Violence in the Early Modern Era and Present Times</t>
  </si>
  <si>
    <t>Janne Kivivuori-Mona Rautelin-Jeppe BuÌˆchert NetterstrÃ¸m-Dag LindstrÃ¶m-GuÃ°bjÃ¶rg S. BergsdÃ³ttir-JÃ³nas O. JÃ³nasson-Martti Lehti-Sven Granath-Mikkel M. Okholm-Petri Karonen</t>
  </si>
  <si>
    <t>Arendt, Eichmann and the Politics of the Past</t>
  </si>
  <si>
    <t>Tuija Parvikko</t>
  </si>
  <si>
    <t>Modern Folk Devils: Contemporary Constructions of Evil</t>
  </si>
  <si>
    <t>Martin Demant Frederiksen-Ida Harboe Knudsen</t>
  </si>
  <si>
    <t>Bridging Cultural Concepts of Nature: Indigenous People and Protected Spaces of Nature</t>
  </si>
  <si>
    <t>Rani-Henrik Andersson-Boyd Cothran-Saara Kekki</t>
  </si>
  <si>
    <t>Situating Sustainability: A Handbook of Contexts and Concepts</t>
  </si>
  <si>
    <t>C. Parker Krieg-Reetta Toivanen</t>
  </si>
  <si>
    <t>Culture and History in the Pacific</t>
  </si>
  <si>
    <t>Jukka Siikala</t>
  </si>
  <si>
    <t>The Kobane Generation: Kurdish Diaspora Mobilising in France</t>
  </si>
  <si>
    <t>Mari Toivanen</t>
  </si>
  <si>
    <t>Civilians and Military Supply in Early Modern Finland</t>
  </si>
  <si>
    <t>Petri Talvitie-Juha-Matti Granqvist</t>
  </si>
  <si>
    <t>Nexus of Patriotism and Militarism in Russia: A Quest for Internal Cohesion</t>
  </si>
  <si>
    <t>Katri PynnÃ¶niemi</t>
  </si>
  <si>
    <t>Climate Change Adaptation in Coastal Cities: A Guidebook for Citizens, Public Officials and Planners</t>
  </si>
  <si>
    <t>David C. Major-Sirkku K. Juhola</t>
  </si>
  <si>
    <t>Kingdom of Nokia: How a Nation Served the Needs of One Company</t>
  </si>
  <si>
    <t>Carl-Gustav LindÃ©n</t>
  </si>
  <si>
    <t>Kantâ€™s Transcendental Deduction of the Categories: Critical Re-Examination, Elucidation and Corroboration</t>
  </si>
  <si>
    <t xml:space="preserve">PHILOSOPHY / Individual Philosophers </t>
  </si>
  <si>
    <t>Kenneth R. Westphal</t>
  </si>
  <si>
    <t>Scraps of Hope in Banda Aceh: Gendered Urban Politics in the Aceh Peace Process</t>
  </si>
  <si>
    <t>Marjaana Jauhola</t>
  </si>
  <si>
    <t>Digital Histories: Emergent Approaches Within the New Digital History</t>
  </si>
  <si>
    <t>Mats Fridlund-Mila Oiva-Petri Paju</t>
  </si>
  <si>
    <t>The Digital Age and Its Discontents: Critical Reflections in Education</t>
  </si>
  <si>
    <t>Matteo Stocchetti</t>
  </si>
  <si>
    <t>Youth on the Move: Tendencies and Tensions in Youth Policies and Practices</t>
  </si>
  <si>
    <t>Kristiina Brunila-Lisbeth Lundahl</t>
  </si>
  <si>
    <t>Pragmatic Realism, Religious Truth, and Antitheodicy: On Viewing the World by Acknowledging the Other</t>
  </si>
  <si>
    <t>Sami PihlstrÃ¶m</t>
  </si>
  <si>
    <t>Deciphering Markets and Money: A Sociological Analysis of Economic Institutions</t>
  </si>
  <si>
    <t>Jukka Gronow</t>
  </si>
  <si>
    <t>Les sociÃ©tÃ©s humaines face aux changements climatiques: Volume 2</t>
  </si>
  <si>
    <t>FranÃ§ois Djindjian</t>
  </si>
  <si>
    <t>Les sociÃ©tÃ©s humaines face aux changements climatiques: Volume 1</t>
  </si>
  <si>
    <t>(Trans)missions: Monasteries As Sites of Cultural Transfers</t>
  </si>
  <si>
    <t>Monika BreniÅ¡Ã­novÃ¡</t>
  </si>
  <si>
    <t>Unlocking Private Investment in Sustainable Infrastructure in Asia</t>
  </si>
  <si>
    <t>Bhajan Grewal-Nella Hendriyetty-Iskandar Abdullaev-Chul Ju Kim-Naoyuki Yoshino-Eisa Khan Ayoob Ayoobi</t>
  </si>
  <si>
    <t>Oriental, Black, and White</t>
  </si>
  <si>
    <t>Josephine Lee</t>
  </si>
  <si>
    <t>Ein Bild und sein DoppelgÃ¤nger</t>
  </si>
  <si>
    <t>Johanna Hodde</t>
  </si>
  <si>
    <t>Der GroÃŸe Krieg der Triebe</t>
  </si>
  <si>
    <t>Richard KÃ¼hl</t>
  </si>
  <si>
    <t>Geschichtsphilosophie als Literatur</t>
  </si>
  <si>
    <t>Lianhua He</t>
  </si>
  <si>
    <t>Digitales Kapital im Einsatz</t>
  </si>
  <si>
    <t>Priska Gisler-Laura Hadorn-Anna Hipp-Priska Ryffel</t>
  </si>
  <si>
    <t>Politik als Ã¤sthetische Praxis</t>
  </si>
  <si>
    <t>ValÃ©rie Dietrich</t>
  </si>
  <si>
    <t>Digitale Stadtplanung</t>
  </si>
  <si>
    <t>Martin Schinagl</t>
  </si>
  <si>
    <t>Filmischer Widerstand</t>
  </si>
  <si>
    <t>Teresa Millesi</t>
  </si>
  <si>
    <t>Wissen in Zahlen?</t>
  </si>
  <si>
    <t>Andreas Schadauer</t>
  </si>
  <si>
    <t>Historisches ErzÃ¤hlen in der Gegenwartsliteratur</t>
  </si>
  <si>
    <t>Sebastian Bernhardt-Jan Standke</t>
  </si>
  <si>
    <t>In der Zukunft schwelgen</t>
  </si>
  <si>
    <t>Sandra Hetzl-Heinrich-BÃ¶ll-Stiftung e.V.</t>
  </si>
  <si>
    <t>Disziplinierung durch Methode</t>
  </si>
  <si>
    <t>Lisa Kressin</t>
  </si>
  <si>
    <t>Philosophie der transnationalen Migration</t>
  </si>
  <si>
    <t>Coretta Ehrenfeld</t>
  </si>
  <si>
    <t>Extraordinary Forms of Aging</t>
  </si>
  <si>
    <t>Julia Velten</t>
  </si>
  <si>
    <t>Mental Health | Atmospheres | Video Games</t>
  </si>
  <si>
    <t>Jimena Aguilar-Federico Alvarez IgarzÃ¡bal-Michael S. Debus-Curtis L. Maughan-Su-Jin Song-Miruna Vozaru-Felix Zimmermann</t>
  </si>
  <si>
    <t>RealitÃ¤t und Wirklichkeit</t>
  </si>
  <si>
    <t>Tom PoljanÅ¡ek</t>
  </si>
  <si>
    <t>Digitale Technik fÃ¼r ambulante Pflege und Therapie</t>
  </si>
  <si>
    <t>MEDICAL / Allied Health Services / Occupational Therapy</t>
  </si>
  <si>
    <t>Karsten Weber-Sonja Haug-Norina Lauer-Annette Meussling-Sentpali-Christa Mohr-Andrea Pfingsten-Georgios Raptis-Gudrun Bahr</t>
  </si>
  <si>
    <t>Ethik fÃ¼r die Geographiedidaktik</t>
  </si>
  <si>
    <t>Mirka Dickel-Georg Gudat-Jochen Laub</t>
  </si>
  <si>
    <t>Gute Arbeit Handarbeit?</t>
  </si>
  <si>
    <t>Franziska Schaaf</t>
  </si>
  <si>
    <t>Krisen, Kollektive und politischer Diskurs</t>
  </si>
  <si>
    <t>Julia FÃ¼rwitt</t>
  </si>
  <si>
    <t>Optimierung des Selbst</t>
  </si>
  <si>
    <t>Loreen Dalski-Kirsten FlÃ¶ter-Lisa Keil-Kathrin Lohse-Lucas Sand-Annabelle SchÃ¼lein</t>
  </si>
  <si>
    <t>Wissenschaftsdidaktik I</t>
  </si>
  <si>
    <t>Grauzonen des Alltagsrassismus</t>
  </si>
  <si>
    <t>Sabrina Schmidt</t>
  </si>
  <si>
    <t>â€ºFake Newsâ€¹ in Literatur und Medien</t>
  </si>
  <si>
    <t>Amelie Bendheim-Jennifer Pavlik</t>
  </si>
  <si>
    <t>Ein- und AusstrÃ¶mungen</t>
  </si>
  <si>
    <t>Natalie Lettenewitsch-Linda Waack</t>
  </si>
  <si>
    <t>Spuren digitaler Artikulationen</t>
  </si>
  <si>
    <t>Nick BÃ¶hnke-Christoph Richter-Christoph SchrÃ¶der-Martina Ide-Heidrun Allert</t>
  </si>
  <si>
    <t>Wissenschaftliche Fairness</t>
  </si>
  <si>
    <t>Katrin Frisch-Felix HagenstrÃ¶m-Nele Reeg</t>
  </si>
  <si>
    <t>Auf dem Weg zur Cyberpolis</t>
  </si>
  <si>
    <t>Martin Donner-Heidrun Allert</t>
  </si>
  <si>
    <t>London, Queer Spaces and Historiography in the Works of Sarah Waters and Alan Hollinghurst</t>
  </si>
  <si>
    <t>LITERARY CRITICISM / LGBTQ+</t>
  </si>
  <si>
    <t>JÃºlia Braga Neves</t>
  </si>
  <si>
    <t>Women Architects and Politics</t>
  </si>
  <si>
    <t>Mary Pepchinski-Christina Budde</t>
  </si>
  <si>
    <t>Interrogating Datafication</t>
  </si>
  <si>
    <t>COMPUTERS / Design, Graphics &amp; Media / Graphics Tools</t>
  </si>
  <si>
    <t>Marcus Burkhardt-Daniela van Geenen-Carolin Gerlitz-Sam Hind-Timo Kaerlein-Danny LÃ¤mmerhirt-Axel Volmar</t>
  </si>
  <si>
    <t>What Is the Avatar?</t>
  </si>
  <si>
    <t>COMPUTERS / Design, Graphics &amp; Media / Video &amp; Animation</t>
  </si>
  <si>
    <t>Rune Klevjer</t>
  </si>
  <si>
    <t>On the Avenue of the Mystery</t>
  </si>
  <si>
    <t>Gary Hentzi</t>
  </si>
  <si>
    <t>Religious Environmental Activism</t>
  </si>
  <si>
    <t>Jens KÃ¶hrsen-Julia Blanc-Fabian Huber</t>
  </si>
  <si>
    <t>Crip Authorship</t>
  </si>
  <si>
    <t>Mara Mills-Rebecca Sanchez</t>
  </si>
  <si>
    <t>Entwicklung der Konjunkturforschung im frÃ¼hen 20. Jahrhundert.</t>
  </si>
  <si>
    <t>Die Aufsicht Ã¼ber VerbraucherfinanzmÃ¤rkte.</t>
  </si>
  <si>
    <t>Hans-Ulrich KlÃ¶ppel</t>
  </si>
  <si>
    <t>Race and Migration in the Transpacific</t>
  </si>
  <si>
    <t>Yasuko Takezawa-Akio Tanabe</t>
  </si>
  <si>
    <t>Nordic Criminal Justice in a Global Context</t>
  </si>
  <si>
    <t>Mikkel Jarle Christensen-Kjersti Lohne-Magnus HÃ¶rnqvist</t>
  </si>
  <si>
    <t>Rural Governance in the UK</t>
  </si>
  <si>
    <t>Adrienne Attorp-Sean Heron-Ruth McAreavey</t>
  </si>
  <si>
    <t>Religious Identifications in Late Antique Papyri</t>
  </si>
  <si>
    <t>Mattias Brand-Eline Scheerlinck</t>
  </si>
  <si>
    <t>Invention Pedagogy â€“ The Finnish Approach to Maker Education</t>
  </si>
  <si>
    <t>Tiina Korhonen-Kaiju Kangas-Laura Salo</t>
  </si>
  <si>
    <t>Viral Lobbying</t>
  </si>
  <si>
    <t>Michele Crepaz-Wiebke Marie Junk-Marcel Hanegraaff-Joost Berkhout</t>
  </si>
  <si>
    <t>China and the West</t>
  </si>
  <si>
    <t>Elisa Ambrosio-Francine Giese-Alina Martimyanova-Hans Bjarne Thomsen</t>
  </si>
  <si>
    <t>The Theory and Practice of Language Faculty Science</t>
  </si>
  <si>
    <t>Hajime Hoji-Daniel Plesniak-Yukinori Takubo</t>
  </si>
  <si>
    <t>Complexities of Spiritual Care in Plural Societies</t>
  </si>
  <si>
    <t>Anne Hege Grung</t>
  </si>
  <si>
    <t>Inequality Kills Us All</t>
  </si>
  <si>
    <t>Stephen Bezruchka</t>
  </si>
  <si>
    <t>Resilience, Conflict-Related Sexual Violence and Transitional Justice</t>
  </si>
  <si>
    <t>Janine Natalya Clark</t>
  </si>
  <si>
    <t>Decentralization, Local Governance, and Localizing the Sustainable Development Goals in Asia and the Pacific</t>
  </si>
  <si>
    <t>Bruno Carrasco-Hanif A. Rahemtulla-Rainer Rohdewohld</t>
  </si>
  <si>
    <t>Excavations at Chester. Roman Land Division and a Probable Villa in the Hinterland of Deva</t>
  </si>
  <si>
    <t>Philip N. Wood-David G. Griffiths-Peter Carrington-Leigh Dodd-Sue Stallibrass</t>
  </si>
  <si>
    <t>Stereotypes and Stereotyping in Early Modern England</t>
  </si>
  <si>
    <t>Koji Yamamoto</t>
  </si>
  <si>
    <t>Safeguarding Young People Beyond the Family Home</t>
  </si>
  <si>
    <t>Carlene Firmin-Michelle Lefevre-Nathalie Huegler-Delphine Peace</t>
  </si>
  <si>
    <t>Mobilising Voluntary Action in the UK</t>
  </si>
  <si>
    <t>Irene Hardill-Jurgen Grotz-Laura Crawford</t>
  </si>
  <si>
    <t>Against Youth Violence</t>
  </si>
  <si>
    <t>Luke Billingham-Keir Irwin-Rogers</t>
  </si>
  <si>
    <t>Queer Voices in Hip Hop</t>
  </si>
  <si>
    <t>Lauron J. Kehrer</t>
  </si>
  <si>
    <t>Louise Blanchard Bethune</t>
  </si>
  <si>
    <t>Kelly Hayes McAlonie</t>
  </si>
  <si>
    <t>Working Through Surveillance and Technical Communication</t>
  </si>
  <si>
    <t>Sarah Young</t>
  </si>
  <si>
    <t>The Civil Administration of Eastern Territories (1919â€“1920)</t>
  </si>
  <si>
    <t>Joanna Gierowska-KaÅ‚Å‚aur</t>
  </si>
  <si>
    <t>Informationelle Privatautonomie</t>
  </si>
  <si>
    <t>Andreas Sattler</t>
  </si>
  <si>
    <t>Ressortforschung</t>
  </si>
  <si>
    <t>A. Katarina Weilert</t>
  </si>
  <si>
    <t>Der Beibringungsgrundsatz</t>
  </si>
  <si>
    <t>Alexander Morell</t>
  </si>
  <si>
    <t>Law and Economic Performance in the Roman World</t>
  </si>
  <si>
    <t>Koenraad Verboven-Paul Erdkamp</t>
  </si>
  <si>
    <t>The Making of a Mosque with Female Imams</t>
  </si>
  <si>
    <t>Disintegrative Tendencies in Global Political Economy</t>
  </si>
  <si>
    <t>Heikki Patomaki</t>
  </si>
  <si>
    <t>Architecture and Politics in Africa</t>
  </si>
  <si>
    <t>Joanne Tomkinson-Daniel Mulugeta-Julia Gallagher</t>
  </si>
  <si>
    <t>Internet of Things and the Law</t>
  </si>
  <si>
    <t>Guido Noto La Diega</t>
  </si>
  <si>
    <t>The Official Indonesian QurÊ¾Än Translation</t>
  </si>
  <si>
    <t xml:space="preserve"> Fadhli Lukman</t>
  </si>
  <si>
    <t>The Diaries of Anthony Hewitson, Provincial Journalist, Volume 1</t>
  </si>
  <si>
    <t xml:space="preserve"> Andrew Hobbs</t>
  </si>
  <si>
    <t>â€˜Fragile Statesâ€™ in an Unequal World</t>
  </si>
  <si>
    <t xml:space="preserve"> Isabel Rocha de Siqueira</t>
  </si>
  <si>
    <t>Diachronic Variation in the Omani Arabic Vernacular of the Al-Ê¿AwÄbÄ« District</t>
  </si>
  <si>
    <t xml:space="preserve"> Roberta Morano</t>
  </si>
  <si>
    <t>Anthropology of Transformation</t>
  </si>
  <si>
    <t>POLITICAL SCIENCE / Essays</t>
  </si>
  <si>
    <t xml:space="preserve"> Juraj Buzalka-Agnieszka Pasieka</t>
  </si>
  <si>
    <t>First Nationalism Then Identity</t>
  </si>
  <si>
    <t>Mirsad KrijeÅ¡torac</t>
  </si>
  <si>
    <t>Power of Freedom</t>
  </si>
  <si>
    <t>Chih-Ping Chou-Carlos Lin</t>
  </si>
  <si>
    <t>The Tibetan Nun Mingyur PeldrÃ¶n</t>
  </si>
  <si>
    <t>Alison Melnick Dyer</t>
  </si>
  <si>
    <t>Europe Across Boundaries</t>
  </si>
  <si>
    <t>NoÃ«mie Duhaut-Johannes Paulmann</t>
  </si>
  <si>
    <t>Analytics and Intuition in the Process of Selecting Talent</t>
  </si>
  <si>
    <t>JÃ¼rgen Deters</t>
  </si>
  <si>
    <t>Erfunden / Gefunden</t>
  </si>
  <si>
    <t>Erinnerungsorte in der Musik</t>
  </si>
  <si>
    <t>Saskia Jaszoltowski</t>
  </si>
  <si>
    <t>Die verletzte Republik</t>
  </si>
  <si>
    <t>Markus Alexander Lenz</t>
  </si>
  <si>
    <t>Comics and Agency</t>
  </si>
  <si>
    <t>Vanessa Ossa-Jan-NoÃ«l Thon-Lukas R. A. Wilde</t>
  </si>
  <si>
    <t>Die Chronik des Richard von San Germano</t>
  </si>
  <si>
    <t>Stefanie Hamm</t>
  </si>
  <si>
    <t>Genealogie in der Moderne</t>
  </si>
  <si>
    <t>Michael Hecht-Elisabeth Timm</t>
  </si>
  <si>
    <t>Lettere alle â€œtre amicheâ€</t>
  </si>
  <si>
    <t>Scipio Slataper-Ilvano Caliaro-Marco Favero-Roberto Norbedo</t>
  </si>
  <si>
    <t>Video Games As Art</t>
  </si>
  <si>
    <t>Frank G. Bosman-Archibald L.H.M. van Wieringen</t>
  </si>
  <si>
    <t>The Role of Business in Global Sustainability Transformations</t>
  </si>
  <si>
    <t>Dalia Dâ€™Amato-Anne Toppinen-Robert Kozak</t>
  </si>
  <si>
    <t>What Is Europe?</t>
  </si>
  <si>
    <t>Anna Triandafyllidou-Ruby Gropas</t>
  </si>
  <si>
    <t>Struggles for Political Change in the Arab World</t>
  </si>
  <si>
    <t>Lisa Blaydes-Amr Hamzawy-Hesham Sallam</t>
  </si>
  <si>
    <t>Experiments with Marxism-Leninism in Cold War Southeast Asia</t>
  </si>
  <si>
    <t>Matthew Galway</t>
  </si>
  <si>
    <t>Reinforcement of the Halal Industry for Global Integration Revival</t>
  </si>
  <si>
    <t>Heri Pratikto-Ahmad Nasih-Zawawi Ismaâ€™il-Adam Voak</t>
  </si>
  <si>
    <t>Remembering the Liberation Struggles in Cape Verde</t>
  </si>
  <si>
    <t>Miguel Cardina-InÃªs Nascimento Rodrigues</t>
  </si>
  <si>
    <t>Ã–ffentliche Finanzwirtschaft und Verteilung III.</t>
  </si>
  <si>
    <t>Wilhelmine DreiÃŸig</t>
  </si>
  <si>
    <t>Grundsatzprobleme wirtschaftspolitischer Beratung.</t>
  </si>
  <si>
    <t>Hans K. Schneider</t>
  </si>
  <si>
    <t>Dienst- und gesellschaftsvertragliche nachvertragliche Wettbewerbsverbote fÃ¼r Gesellschafter-GeschÃ¤ftsfÃ¼hrer einer GmbH.</t>
  </si>
  <si>
    <t>Isabella Stocks</t>
  </si>
  <si>
    <t>Wettbewerb und Anpassung in der Stahlindustrie.</t>
  </si>
  <si>
    <t>Burkhardt RÃ¶per</t>
  </si>
  <si>
    <t>Wettbewerbsprobleme der Versicherungswirtschaft.</t>
  </si>
  <si>
    <t>Integration der EntwicklungslÃ¤nder in eine instabile Weltwirtschaft â€“ Probleme, Chancen, Gefahren.</t>
  </si>
  <si>
    <t>Winfried von Urff</t>
  </si>
  <si>
    <t>Studien zum Marktsozialismus.</t>
  </si>
  <si>
    <t>Christian Watrin</t>
  </si>
  <si>
    <t>US-Fantasy 1977â€“1987</t>
  </si>
  <si>
    <t>Tobias Haupts</t>
  </si>
  <si>
    <t>History of Intellectual Culture 1/2022</t>
  </si>
  <si>
    <t>Charlotte A. Lerg-Johan Ã–stling-Jana WeiÃŸ</t>
  </si>
  <si>
    <t>CLARIN</t>
  </si>
  <si>
    <t>Darja FiÅ¡er-Andreas Witt</t>
  </si>
  <si>
    <t>Performing Peace and Friendship</t>
  </si>
  <si>
    <t>Pia Koivunen</t>
  </si>
  <si>
    <t>Pensamiento, Pandemia y Big Data</t>
  </si>
  <si>
    <t>Ana Gallego CuiÃ±as-JosÃ© Antonio PÃ©rez Tapias</t>
  </si>
  <si>
    <t>Bourdieu in der Germanistik</t>
  </si>
  <si>
    <t>Karsten Schmidt-Haimo Stiemer</t>
  </si>
  <si>
    <t>Teachersâ€™ Professional Ethics</t>
  </si>
  <si>
    <t>Kirsi Tirri-Elina Kuusisto</t>
  </si>
  <si>
    <t>Algorithmen und Autonomie</t>
  </si>
  <si>
    <t>Dan VerstÃ¤ndig-Christina Kast-Janne Stricker-Andreas NÃ¼rnberger</t>
  </si>
  <si>
    <t>Risk Management Maturity</t>
  </si>
  <si>
    <t>The Solow Model of Economic Growth</t>
  </si>
  <si>
    <t>PaweÅ‚ Dykas-Tomasz Tokarski-RafaÅ‚ WisÅ‚a</t>
  </si>
  <si>
    <t>Policy and Practice for Multilingual Educational Settings</t>
  </si>
  <si>
    <t>Siv BjÃ¶rklund-Mikaela BjÃ¶rklund</t>
  </si>
  <si>
    <t>The Bell Beaker Culture in All Its Forms</t>
  </si>
  <si>
    <t>Claudine Abegg-Delia Carloni-Florian Cousseau-Eve Derenne-Jessica Ryan-Despraz</t>
  </si>
  <si>
    <t>Abstractions Based on Circles: Papers on Prehistoric Rock Art Presented to Stan Beckensall on His 90th Birthday</t>
  </si>
  <si>
    <t>Paul Frodsham-Kate Sharpe</t>
  </si>
  <si>
    <t>COVID-19, the Global South and the Pandemicâ€™s Development Impact</t>
  </si>
  <si>
    <t>Gerard McCann-Nita Mishra-PÃ¡draig Carmody</t>
  </si>
  <si>
    <t>Bias, Belief, and Conviction in an Age of Fake Facts</t>
  </si>
  <si>
    <t>Anke Finger-Manuela Wagner</t>
  </si>
  <si>
    <t>Discourses, Modes, Media and Meaning in an Era of Pandemic</t>
  </si>
  <si>
    <t>Sabine Tan-Marissa K. L. E</t>
  </si>
  <si>
    <t>Rationality of Irrationality</t>
  </si>
  <si>
    <t>Kyung Joon Han</t>
  </si>
  <si>
    <t>The Ladyâ€™s Magazine (1770â€“1832) and the Making of Literary History</t>
  </si>
  <si>
    <t>Jennie Batchelor</t>
  </si>
  <si>
    <t>Asbestos â€“ The Last Modernist Object</t>
  </si>
  <si>
    <t>Arthur Rose</t>
  </si>
  <si>
    <t>A Neo-Fatimid Treasury of Books</t>
  </si>
  <si>
    <t>Contested Sustainability</t>
  </si>
  <si>
    <t>Stefano Ponte-Christine Noe-Dan Brockington</t>
  </si>
  <si>
    <t>Urban Politics of Human Rights</t>
  </si>
  <si>
    <t>Janne Nijman-Barbara Oomen-Elif DurmuÅŸ-Sara Miellet-Lisa Roodenburg</t>
  </si>
  <si>
    <t>State Fragility</t>
  </si>
  <si>
    <t>Nematullah Bizhan</t>
  </si>
  <si>
    <t>The Languages of COVID-19</t>
  </si>
  <si>
    <t>Piotr Blumczynski-Steven Wilson</t>
  </si>
  <si>
    <t>Disputed Archival Heritage</t>
  </si>
  <si>
    <t>James Lowry</t>
  </si>
  <si>
    <t>Safeguarding the Quality of Forensic Assessment in Sentencing</t>
  </si>
  <si>
    <t>Michiel Van der Wolf</t>
  </si>
  <si>
    <t>System des Zivilrechts und Struktur der Kodifikation</t>
  </si>
  <si>
    <t>Yuanshi Bu</t>
  </si>
  <si>
    <t>Stigmatics and Visual Culture in Late Medieval and Early Modern Italy</t>
  </si>
  <si>
    <t>Cordelia Warr</t>
  </si>
  <si>
    <t>Designing Social Service Markets</t>
  </si>
  <si>
    <t>Gabrielle Meagher-Diana Perche-Adam Stebbing</t>
  </si>
  <si>
    <t>Empire Found</t>
  </si>
  <si>
    <t>Daniel F. Silva</t>
  </si>
  <si>
    <t>Black Students in Imperial Britain</t>
  </si>
  <si>
    <t>Robert Burroughs</t>
  </si>
  <si>
    <t>ArtifizialitÃ¤t und Agon</t>
  </si>
  <si>
    <t>Jan Stellmann</t>
  </si>
  <si>
    <t>Algunos Â«animales ferocesÂ» en el teatro venezolano</t>
  </si>
  <si>
    <t>Carlos Dimeo-Ãlvarez</t>
  </si>
  <si>
    <t>GehÃ¶rte Geschichten</t>
  </si>
  <si>
    <t>Nils Lehnert-Ina Schenker-Andreas Wicke</t>
  </si>
  <si>
    <t>Vanitas als Wiederholung</t>
  </si>
  <si>
    <t>Victoria von Flemming-Julia Catherine Berger</t>
  </si>
  <si>
    <t>(Re-)Inventio</t>
  </si>
  <si>
    <t>ART / Techniques / Printmaking</t>
  </si>
  <si>
    <t>Mariam Hammami-Anna Pawlak-Sophie RÃ¼th</t>
  </si>
  <si>
    <t>Suhrkamp und DDR</t>
  </si>
  <si>
    <t>Anke Jaspers</t>
  </si>
  <si>
    <t>Archiv Bibliographia Judaica â€“ Deutschsprachiges Judentum Online</t>
  </si>
  <si>
    <t>Dieter Burdorf</t>
  </si>
  <si>
    <t>â€ºAmicus Lucretiusâ€¹</t>
  </si>
  <si>
    <t>Enrico Piergiacomi</t>
  </si>
  <si>
    <t>Roman Womenâ€™s Dress</t>
  </si>
  <si>
    <t>Jan Radicke</t>
  </si>
  <si>
    <t>Makrokonstruktionen</t>
  </si>
  <si>
    <t>Oliver Ehmer</t>
  </si>
  <si>
    <t>Normative LegitimitÃ¤t von Recht, Moral und Menschenrechten im Lichte der positivistischen Trennungsthese.</t>
  </si>
  <si>
    <t>Moritz BlÃ¶chlinger</t>
  </si>
  <si>
    <t>ZulÃ¤ssigkeit einer geltungserhaltenden Reduktion der kartellrechtlichen Nichtigkeitsfolge.</t>
  </si>
  <si>
    <t>Katharina Alexandra Kunert</t>
  </si>
  <si>
    <t>Narrative zum Gerechten Krieg im VÃ¶lkerrecht.</t>
  </si>
  <si>
    <t>Joachim Dolezik</t>
  </si>
  <si>
    <t>Frontiers of the Roman Empire: The Upper Germanic Limes</t>
  </si>
  <si>
    <t>Andreas Thiel-Sarah Roth-Thomas Becker-David J. Breeze</t>
  </si>
  <si>
    <t>Frontiers of the Roman Empire: The Saxon Shore and the Maritime Coast</t>
  </si>
  <si>
    <t>Tony Wilmott-Sofie Vanhoutte-Richard Bridgland-David J. Breeze</t>
  </si>
  <si>
    <t>Frontiers of the Roman Empire: The Eastern Frontiers</t>
  </si>
  <si>
    <t>Fawzi Abudanah-David Braund-Mark Driessen-Simon James-Michaela Konrad-Marinus Polak-David J. Breeze</t>
  </si>
  <si>
    <t>Bridging the Gap: Disciplines, Times, and Spaces in Dialogue â€“ Volume 3</t>
  </si>
  <si>
    <t>Costanza Coppini-Georg Cyrus-Hamaseh Golestaneh</t>
  </si>
  <si>
    <t>Frontiers of the Roman Empire: The Roman Frontiers in Wales</t>
  </si>
  <si>
    <t>Peter Guest-David J. Breeze</t>
  </si>
  <si>
    <t>Deutscher Gangsta-Rap III</t>
  </si>
  <si>
    <t>Marc Dietrich-Martin Seeliger</t>
  </si>
  <si>
    <t>Jahrbuch Migration und Gesellschaft 2021/2022</t>
  </si>
  <si>
    <t>Towards a New Enlightenment â€“ The Case for Future-Oriented Humanities</t>
  </si>
  <si>
    <t>Proprium als Problem?</t>
  </si>
  <si>
    <t>Samuel Scherer</t>
  </si>
  <si>
    <t>Das Messianische</t>
  </si>
  <si>
    <t>Hendrik Rungelrath</t>
  </si>
  <si>
    <t>Konstruierte Gleichheiten</t>
  </si>
  <si>
    <t>Silke Radosh-Hinder</t>
  </si>
  <si>
    <t>Feeds, Tweets &amp; Timelines â€“ Schreibweisen der Gegenwart in Sozialen Medien</t>
  </si>
  <si>
    <t>Elias Kreuzmair-Magdalena Pflock-Eckhard Schumacher</t>
  </si>
  <si>
    <t>Indigene Â»ResistenciaÂ«</t>
  </si>
  <si>
    <t>Maximilian Held</t>
  </si>
  <si>
    <t>Transferprotokolle</t>
  </si>
  <si>
    <t>Christian Horn</t>
  </si>
  <si>
    <t>Â»We Are All ActivistsÂ«</t>
  </si>
  <si>
    <t>Lea Rzadtki</t>
  </si>
  <si>
    <t>ArtenÃ¼bergreifende FÃ¼rsorge?</t>
  </si>
  <si>
    <t>Karla Groth-Stefan Laser-Isabelle Sarther-Jennifer Schirrmacher</t>
  </si>
  <si>
    <t>Digital lesen</t>
  </si>
  <si>
    <t>Franziska Wilke</t>
  </si>
  <si>
    <t>Metropolitan Research</t>
  </si>
  <si>
    <t>Jens Martin Gurr-Rolf Parr-Dennis Hardt</t>
  </si>
  <si>
    <t>Engagement und Erinnerung</t>
  </si>
  <si>
    <t>Sebastian Schweer</t>
  </si>
  <si>
    <t>The Politics of Digital Pharmacology</t>
  </si>
  <si>
    <t>Felix Heidenreich-Florian Weber-Stein</t>
  </si>
  <si>
    <t>Tanzen/Teilen â€“ Sharing/Dancing</t>
  </si>
  <si>
    <t>Sevi Bayraktar-Mariama Diagne-Yvonne Hardt-Sabine KaroÃŸ-Jutta KrauÃŸ</t>
  </si>
  <si>
    <t>Politische Bilder lesen</t>
  </si>
  <si>
    <t>Melanie M. Dietz-Nicole Kreckel</t>
  </si>
  <si>
    <t>Nationale Geschichtspolitik</t>
  </si>
  <si>
    <t>Lena MÃ¶rike</t>
  </si>
  <si>
    <t>Kalibrierung der Wissenschaft</t>
  </si>
  <si>
    <t>Nicola MÃ¶ÃŸner-Klaus Erlach</t>
  </si>
  <si>
    <t>Beyond Â»Ethnic Chick LitÂ« â€“ Labelingpraktiken neuer Welt-Frauen*-Literaturen im transkontinentalen Vergleich</t>
  </si>
  <si>
    <t>Sandra Folie</t>
  </si>
  <si>
    <t>Playful Materialities</t>
  </si>
  <si>
    <t>Benjamin Beil-Gundolf S. Freyermuth-Hanns Christian Schmidt-Raven Rusch</t>
  </si>
  <si>
    <t>From Photography to FMRI</t>
  </si>
  <si>
    <t>MEDICAL / Allied Health Services / Imaging Technologies</t>
  </si>
  <si>
    <t>Paula Muhr</t>
  </si>
  <si>
    <t>Der Welt eine neue Wirklichkeit geben</t>
  </si>
  <si>
    <t>Hannah Fitsch-Inka Greusing-Ina Kerner-Hanna MeiÃŸner-Aline Oloff</t>
  </si>
  <si>
    <t>Changing Time â€“ Shaping World</t>
  </si>
  <si>
    <t>Anna Maria Loffredo-Rainer Wenrich-Charlotte Axelsson-Wanja KrÃ¶ger</t>
  </si>
  <si>
    <t>Schriftlichkeit</t>
  </si>
  <si>
    <t>Platformization of Urban Life</t>
  </si>
  <si>
    <t>Anke StrÃ¼ver-Sybille Bauriedl</t>
  </si>
  <si>
    <t>The Femininity Puzzle</t>
  </si>
  <si>
    <t>Ulrike Brunotte</t>
  </si>
  <si>
    <t>Embodied Violence and Agency in Refugee Regimes</t>
  </si>
  <si>
    <t>Sabine Bauer-Amin-Leonardo Schiocchet-Maria Six-Hohenbalken</t>
  </si>
  <si>
    <t>Die SchÃ¶nheit des Denkens</t>
  </si>
  <si>
    <t>Hannah Fitsch</t>
  </si>
  <si>
    <t>VerhÃ¤ltnisse reparieren</t>
  </si>
  <si>
    <t>Melanie Jaeger-Erben-Sabine Hielscher</t>
  </si>
  <si>
    <t>Gewaltschutz in GeflÃ¼chtetenunterkÃ¼nften</t>
  </si>
  <si>
    <t>J. Olaf Kleist-Dimitra Dermitzaki-Bahar Oghalai-Sabrina Zajak</t>
  </si>
  <si>
    <t>Politiken der Reproduktion</t>
  </si>
  <si>
    <t>Marie FrÃ¶hlich-Ronja SchÃ¼tz-Katharina Wolf</t>
  </si>
  <si>
    <t>Trans Health</t>
  </si>
  <si>
    <t>Max Nicolai Appenroth-MarÃ­a do Mar Castro Varela</t>
  </si>
  <si>
    <t>EuropÃ¤ische Asylpolitik und lokales Verwaltungshandeln</t>
  </si>
  <si>
    <t>Christian Lahusen-Karin Schittenhelm-Stephanie Schneider</t>
  </si>
  <si>
    <t>Computational Engineering of Historical Memories</t>
  </si>
  <si>
    <t>Andrea Nanetti</t>
  </si>
  <si>
    <t>The Rise of the Niâ€˜matull.h. Order</t>
  </si>
  <si>
    <t>Reza Tabandeh</t>
  </si>
  <si>
    <t>A Story of Conquest and Adventure</t>
  </si>
  <si>
    <t>Tourism, Knowledge and Learning</t>
  </si>
  <si>
    <t>Eva Maria Jernsand-Maria Persson-Erik Lundberg</t>
  </si>
  <si>
    <t>Rising Power and Changing People</t>
  </si>
  <si>
    <t>David Lowe-Eric Meadows</t>
  </si>
  <si>
    <t>Suva Stories</t>
  </si>
  <si>
    <t>Nicholas Halter</t>
  </si>
  <si>
    <t>Erwachsenenbildung in internationaler Perspektive</t>
  </si>
  <si>
    <t>Anke GrotlÃ¼schen-Bernd KÃ¤pplinger-Gabriele Molzberger-Sabine Schmidt-Lauff</t>
  </si>
  <si>
    <t>Untersuchungen zum deutschen Vertriebenen- und FlÃ¼chtlingsproblem.</t>
  </si>
  <si>
    <t>Bernhard Pfister</t>
  </si>
  <si>
    <t>Weltwirtschaftliche Probleme der Gegenwart.</t>
  </si>
  <si>
    <t>Erich Schneider</t>
  </si>
  <si>
    <t>Kapitalbildung und Kapitalverwendung.</t>
  </si>
  <si>
    <t>Gerhard Albrecht-Helmut Arndt</t>
  </si>
  <si>
    <t>Kommunale Finanzen und Finanzausgleich.</t>
  </si>
  <si>
    <t>Herbert Timm-Horst Jecht</t>
  </si>
  <si>
    <t>Friedrich Edding-Bernhard Pfister</t>
  </si>
  <si>
    <t>Deutschland und die Weltwirtschaft.</t>
  </si>
  <si>
    <t>Gerhard Albrecht</t>
  </si>
  <si>
    <t>â€ºKleine FÃ¼rstenâ€¹ im Alten Reich.</t>
  </si>
  <si>
    <t>Oliver Auge-Michael Hecht</t>
  </si>
  <si>
    <t>Ordnungspolitische Fragen zum Nord-SÃ¼d-Konflikt.</t>
  </si>
  <si>
    <t>Udo Ernst Simonis</t>
  </si>
  <si>
    <t>Theorie und Praxis der Infrastrukturpolitik.</t>
  </si>
  <si>
    <t>Reimut Jochimsen-Udo Ernst Simonis</t>
  </si>
  <si>
    <t>Die Stellung von Landwirtschaft und Industrie im WachstumsprozeÃŸ der EntwicklungslÃ¤nder.</t>
  </si>
  <si>
    <t>Wilfried Guth</t>
  </si>
  <si>
    <t>WirtschaftsverbÃ¤nde und Wirtschaftspolitik.</t>
  </si>
  <si>
    <t>Andreas PredÃ¶hl-Georg Weippert</t>
  </si>
  <si>
    <t>GÃ¼nter SchmÃ¶lders-H. MÃ¼ller-H. Friederichs-Bernhard Pfister</t>
  </si>
  <si>
    <t>Probleme der Wirtschaftspolitik in EntwicklungslÃ¤ndern.</t>
  </si>
  <si>
    <t>Probleme der Willensbildung und der wirtschaftspolitischen FÃ¼hrung.</t>
  </si>
  <si>
    <t>Hans-JÃ¼rgen Seraphim</t>
  </si>
  <si>
    <t>Probleme des rÃ¤umlichen Gleichgewichts in der Wirtschaftswissenschaft.</t>
  </si>
  <si>
    <t>Walther G. Hoffmann</t>
  </si>
  <si>
    <t>Probleme des Ã¶ffentlichen Budgets.</t>
  </si>
  <si>
    <t>Horst Jecht</t>
  </si>
  <si>
    <t>Volkswirtschaftliche Probleme des deutschen AuÃŸenhandels.</t>
  </si>
  <si>
    <t>Multiplikator, Gleichgewicht, optimale Wachstumsrate und Standortverteilung.</t>
  </si>
  <si>
    <t>Wilhelm Krelle</t>
  </si>
  <si>
    <t>Probleme der Finanzierung von Investitionen in EntwicklungslÃ¤ndern.</t>
  </si>
  <si>
    <t>Rudolf Stucken</t>
  </si>
  <si>
    <t>LohnhÃ¶he und BeschÃ¤ftigung.</t>
  </si>
  <si>
    <t>Wilhelm Krelle-H Haller</t>
  </si>
  <si>
    <t>Hans Joachim Koerber-Bernhard Pfister</t>
  </si>
  <si>
    <t>Optimales Wachstum und Optimale Standortverteilung.</t>
  </si>
  <si>
    <t>Zur Grundlegung wirtschaftspolitischer Konzeptionen.</t>
  </si>
  <si>
    <t>BeitrÃ¤ge zur Multiplikatortheorie.</t>
  </si>
  <si>
    <t>Entwicklungsbedingungen und Entwicklungschancen der Republik Sudan.</t>
  </si>
  <si>
    <t>Untersuchungen einzelner EntwicklungslÃ¤nder.</t>
  </si>
  <si>
    <t>BeitrÃ¤ge zur Theorie der Produktion und der Einkommensverteilung.</t>
  </si>
  <si>
    <t>BeitrÃ¤ge zur Theorie der Ã¶ffentlichen Ausgaben.</t>
  </si>
  <si>
    <t>Herbert Timm-Heinz Haller</t>
  </si>
  <si>
    <t>BeitrÃ¤ge zur Produktions- und Wachstumstheorie.</t>
  </si>
  <si>
    <t>R. Burchard-H.-W. Behnke-Gerhard Albrecht-Bernhard Pfister</t>
  </si>
  <si>
    <t>Was macht die Digitalisierung mit der Politik?</t>
  </si>
  <si>
    <t>BjÃ¶rn Klein-Robin Schmidt</t>
  </si>
  <si>
    <t>Post-Global Aesthetics</t>
  </si>
  <si>
    <t>Gesine MÃ¼ller-Benjamin Loy</t>
  </si>
  <si>
    <t>Ontologische Narratologie</t>
  </si>
  <si>
    <t>Cornelia Pierstorff</t>
  </si>
  <si>
    <t>Working At Night</t>
  </si>
  <si>
    <t>Ger Duijzings-Lucie DuÅ¡kovÃ¡</t>
  </si>
  <si>
    <t>Diabolische Vigilanz</t>
  </si>
  <si>
    <t>JÃ¶rn Bockmann-Alena Martin-Hannah Michel-Carolin Struwe-Rohr-Michael Waltenberger</t>
  </si>
  <si>
    <t>Translation and State</t>
  </si>
  <si>
    <t>Michael Willis</t>
  </si>
  <si>
    <t>Grammars of the Urban Ground</t>
  </si>
  <si>
    <t>Ash Amin-Michele Lancione</t>
  </si>
  <si>
    <t>Tourism and Heritage in the Chornobyl Exclusion Zone</t>
  </si>
  <si>
    <t>Magdalena Banaszkiewicz</t>
  </si>
  <si>
    <t>Horror Noire</t>
  </si>
  <si>
    <t>Robin R. Means Coleman</t>
  </si>
  <si>
    <t>Social Science Perspectives on Global Public Health</t>
  </si>
  <si>
    <t>Vincent La Placa-Julia Morgan</t>
  </si>
  <si>
    <t>Ashqelon Barneâ€˜a :The Early Bronze Age Site: Volume 2: The Finds</t>
  </si>
  <si>
    <t>Amir Golani-Guy Bar-Oz-Anat Cohen-Weinberger-GaÃ«lle Le Dosseur-Mae Goder-Goldberger</t>
  </si>
  <si>
    <t>Evolution, Development and Ecology of Anemonefishes</t>
  </si>
  <si>
    <t>Vincent Laudet-Timothy Ravasi</t>
  </si>
  <si>
    <t>Histories of Australian Rock Art Research</t>
  </si>
  <si>
    <t>Ursula K. Frederick-Sally K. May-Jo McDonald-Mr Paul S.C. TaÃ§on</t>
  </si>
  <si>
    <t>50 Jahre Sektion Erwachsenenbildung in der Deutschen Gesellschaft fÃ¼r Erziehungswissenschaft</t>
  </si>
  <si>
    <t>Anke GrotlÃ¼schen-Bernd KÃ¤pplinger-Gabriele Molzberger</t>
  </si>
  <si>
    <t>Geschlechtlichkeit und pÃ¤dagogisches Handlungswissen</t>
  </si>
  <si>
    <t>Anna Carnap</t>
  </si>
  <si>
    <t>Quality Teacher Education in Cameroon</t>
  </si>
  <si>
    <t>Hamidou Hassana</t>
  </si>
  <si>
    <t>Christian Orthodox Migrants in Western Europe</t>
  </si>
  <si>
    <t>Maria HÃ¤mmerli</t>
  </si>
  <si>
    <t>Universities, Stakeholders and Social Mission</t>
  </si>
  <si>
    <t>Ewa Bogacz-Wojtanowska-Piotr Jedynak-Sylwia Wrona-Anna PluszyÅ„ska</t>
  </si>
  <si>
    <t>East Asia and the First World War</t>
  </si>
  <si>
    <t>Unter Beobachtung | Under Surveillance</t>
  </si>
  <si>
    <t>Stefan Lehr</t>
  </si>
  <si>
    <t>Perspectives on the History of Global Development</t>
  </si>
  <si>
    <t>Corinna R. Unger-Nicholas Ferns-Jack Loveridge-Iris Borowy</t>
  </si>
  <si>
    <t>Ã–ffentliche Finanzwirtschaft und Verteilung II.</t>
  </si>
  <si>
    <t>Willi Albers</t>
  </si>
  <si>
    <t>Probleme der weltwirtschaftlichen Arbeitsteilung.</t>
  </si>
  <si>
    <t>Herbert Giersch-Heinz-Dieter Haas</t>
  </si>
  <si>
    <t>Ã–ffentliche Finanzwirtschaft und Verteilung I.</t>
  </si>
  <si>
    <t>Neue Wege der Wirtschaftspolitik.</t>
  </si>
  <si>
    <t>Ernst DÃ¼rr</t>
  </si>
  <si>
    <t>Rationalisierung durch Kartelle?</t>
  </si>
  <si>
    <t>Herwig SchlÃ¶gl-Erich Hoppmann</t>
  </si>
  <si>
    <t>Probleme der Staatsverschuldung.</t>
  </si>
  <si>
    <t>Heinz Haller-Willi Albers</t>
  </si>
  <si>
    <t>Lohnpolitik und Einkommensverteilung.</t>
  </si>
  <si>
    <t>Helmut Arndt</t>
  </si>
  <si>
    <t>Rationale Wirtschaftspolitik und Planung in der Wirtschaft von heute.</t>
  </si>
  <si>
    <t>Wandlungen der Wirtschaftsstruktur in der Bundesrepublik Deutschland.</t>
  </si>
  <si>
    <t>Heinz KÃ¶nig</t>
  </si>
  <si>
    <t>Das VerhÃ¤ltnis der Wirtschaftswissenschaft zur Rechtswissenschaft, Soziologie und Statistik.</t>
  </si>
  <si>
    <t>Ludwig Raiser-Heinz Sauermann-Erich Schneider</t>
  </si>
  <si>
    <t>Zur Theorie und Praxis der Mitbestimmung.</t>
  </si>
  <si>
    <t>Walter Weddigen</t>
  </si>
  <si>
    <t>Strukturwandlungen einer wachsenden Wirtschaft.</t>
  </si>
  <si>
    <t>Fritz Neumark</t>
  </si>
  <si>
    <t>Die geistigen Arbeiter.</t>
  </si>
  <si>
    <t>Ernst Francke-Walther Lotz</t>
  </si>
  <si>
    <t>Verhandlungen der am 20. und 21. MÃ¤rz 1893 in Berlin abgehaltenen Generalversammlung des Vereins fÃ¼r Socialpolitik Ã¼ber die lÃ¤ndliche Arbeiterfrage und Ã¼ber die Bodenbesitzverteilung und die Sicherung des Kleingrundbesitzes.</t>
  </si>
  <si>
    <t>Verein fÃ¼r Socialpolitik</t>
  </si>
  <si>
    <t>Vom Kleingewerbe zur GroÃŸindustrie.</t>
  </si>
  <si>
    <t>Harald Winkel</t>
  </si>
  <si>
    <t>Studien zum Inflationsproblem.</t>
  </si>
  <si>
    <t>Theodor PÃ¼tz</t>
  </si>
  <si>
    <t>Rationalisierungseffekte der Walzstahlkontore und der Rationalisierungsgruppen.</t>
  </si>
  <si>
    <t>Struktur- und stabilitÃ¤tspolitische Probleme in alternativen Wirtschaftssystemen.</t>
  </si>
  <si>
    <t>BeitrÃ¤ge zur Beurteilung von Entwicklungsstrategien.</t>
  </si>
  <si>
    <t>Hermann Priebe</t>
  </si>
  <si>
    <t>Die Konzentration in der Wirtschaft / On Economic Concentration.</t>
  </si>
  <si>
    <t>Leitbilder und Zielsysteme der Sozialpolitik.</t>
  </si>
  <si>
    <t>Horst Sanmann</t>
  </si>
  <si>
    <t>Wachstumszyklen.</t>
  </si>
  <si>
    <t>Alfred E. Ott</t>
  </si>
  <si>
    <t>Information, Motivation und Entscheidung.</t>
  </si>
  <si>
    <t>Das Eigenpotential im EntwicklungsprozeÃŸ.</t>
  </si>
  <si>
    <t>Besteuerung und Zahlungsbilanz.</t>
  </si>
  <si>
    <t>Studien zur Geldtheorie und monetÃ¤re Ã–konometrie.</t>
  </si>
  <si>
    <t>Gottfried Bombach</t>
  </si>
  <si>
    <t>BeitrÃ¤ge zu Wirtschaftswachstum und Wirtschaftsstruktur im 16. und 19. Jahrhundert.</t>
  </si>
  <si>
    <t>Wolfram Fischer</t>
  </si>
  <si>
    <t>Investitions- und Industrialisierungsprobleme in EntwicklungslÃ¤ndern.</t>
  </si>
  <si>
    <t>Aspekte der Friedensforschung und Entscheidungsprobleme in der Sozialpolitik.</t>
  </si>
  <si>
    <t>Voraussetzungen einer globalen Entwicklungspolitik und BeitrÃ¤ge zur Kosten- und Nutzenanalyse.</t>
  </si>
  <si>
    <t>Rudolf Meimberg</t>
  </si>
  <si>
    <t>Grundfragen der Infrastrukturplanung fÃ¼r wachsende Wirtschaften.</t>
  </si>
  <si>
    <t>Helmut Arndt-Dieter Swatek</t>
  </si>
  <si>
    <t>Zur Problematik der Sozialinvestitionen.</t>
  </si>
  <si>
    <t>Wachstumsprobleme in den osteuropÃ¤ischen Volkswirtschaften.</t>
  </si>
  <si>
    <t>Karl C. Thalheim</t>
  </si>
  <si>
    <t>Probleme der Haushalts- und Finanzplanung.</t>
  </si>
  <si>
    <t>Heinz Haller</t>
  </si>
  <si>
    <t>Grundlagen der Wettbewerbspolitik.</t>
  </si>
  <si>
    <t>BeitrÃ¤ge zur Wachstumspolitik.</t>
  </si>
  <si>
    <t>BeitrÃ¤ge zur Theorie der AuÃŸenwirtschaft.</t>
  </si>
  <si>
    <t>BeitrÃ¤ge zur Regionalpolitik.</t>
  </si>
  <si>
    <t>Die Wirtschaftssysteme der Staaten Osteuropas und der Volksrepublik China.</t>
  </si>
  <si>
    <t>Georg Jahn</t>
  </si>
  <si>
    <t>Georg Jahn-Wilhelm Moritz Frhr. von Bissing</t>
  </si>
  <si>
    <t>Untersuchungen zur sozialen Gestaltung der Wirtschaftsordnung.</t>
  </si>
  <si>
    <t>Diversity and Inclusion in Japan</t>
  </si>
  <si>
    <t>Lailani Alcantara-Yoshiki Shinohara</t>
  </si>
  <si>
    <t>Abraham's Great Love</t>
  </si>
  <si>
    <t>Melanin Origins</t>
  </si>
  <si>
    <t>JUVENILE FICTION / Religious / Christian / Values &amp; Virtues</t>
  </si>
  <si>
    <t>McClain, Louie</t>
  </si>
  <si>
    <t>The Principle of Justice</t>
  </si>
  <si>
    <t>JUVENILE FICTION / Legends, Myths, Fables / African</t>
  </si>
  <si>
    <t>Cheatham, Jeffrey</t>
  </si>
  <si>
    <t>Otherness and National Identity in 19th-Century Spanish Literature</t>
  </si>
  <si>
    <t>Marieta Cantos Casenave-Daniel MuÃ±oz Sempere</t>
  </si>
  <si>
    <t>Politico-ideological Mobilisation and Violence in the Arab World</t>
  </si>
  <si>
    <t>Ahmed Ajil</t>
  </si>
  <si>
    <t>The Inclusive Economy</t>
  </si>
  <si>
    <t xml:space="preserve"> Arno J Van Niekerk</t>
  </si>
  <si>
    <t>The Impact of Covid-19 on the Future of Law</t>
  </si>
  <si>
    <t>Murdoch Watney</t>
  </si>
  <si>
    <t>Global Initiatives and Higher Education in the Fourth Industrial Revolution</t>
  </si>
  <si>
    <t>Erna Oliver</t>
  </si>
  <si>
    <t>Child-directed Speech in Qaqet</t>
  </si>
  <si>
    <t>Henrike Frye</t>
  </si>
  <si>
    <t>Political Expression in Sport</t>
  </si>
  <si>
    <t>Cem Abanazir</t>
  </si>
  <si>
    <t>Navigating the European Migration Regime</t>
  </si>
  <si>
    <t>Anna Wyss</t>
  </si>
  <si>
    <t>Probleme der nationalsozialistischen Wirtschaftspolitik.</t>
  </si>
  <si>
    <t>Friedrich-Wilhelm Henning</t>
  </si>
  <si>
    <t>Ã–ffentliche Finanzwirtschaft und Verteilung IV.</t>
  </si>
  <si>
    <t>Stabilisierungspolitik in der Marktwirtschaft.</t>
  </si>
  <si>
    <t>Monique Dubois-Heinz-Dieter Haas-Hans K. Schneider-Waldemar Wittmann-Hans WÃ¼rgler</t>
  </si>
  <si>
    <t>Wettbewerbsprobleme im Kreditgewerbe.</t>
  </si>
  <si>
    <t>200 Jahre Hegels Grundlinien der Philosophie des Rechts.</t>
  </si>
  <si>
    <t>Klaus Vieweg-Benno Zabel-Eberhard Eichenhofer-Stephan Kirste-Michael Pawlik-Hans-Christoph Schmidt am Busch</t>
  </si>
  <si>
    <t>Soziale Probleme der modernen Industriegesellschaft.</t>
  </si>
  <si>
    <t>Bernhard KÃ¼lp-Heinz-Dieter Haas</t>
  </si>
  <si>
    <t>Ã–konomische Probleme der Umweltschutzpolitik.</t>
  </si>
  <si>
    <t>Otmar Issing</t>
  </si>
  <si>
    <t>Die Bedeutung gesellschaftlicher VerÃ¤nderungen fÃ¼r die Willensbildung im Unternehmen.</t>
  </si>
  <si>
    <t>Dieter Sadowski-Horst Albach</t>
  </si>
  <si>
    <t>Eigenfinanzierung der Entwicklung.</t>
  </si>
  <si>
    <t>Aktuelle Probleme der Gesundheitspolitik in der BRD.</t>
  </si>
  <si>
    <t>Heinz Lampert</t>
  </si>
  <si>
    <t>Neue Dimensionen der Arbeitsmarktpolitik in der BRD.</t>
  </si>
  <si>
    <t>â€30 Years of Inspiring Academic Economic Research â€“ From the Transition to Market Economy to the Interlinked Crises of 21st Centuryâ€</t>
  </si>
  <si>
    <t>Authors</t>
  </si>
  <si>
    <t>Moralische Dimensionen der Verletzlichkeit des Menschen</t>
  </si>
  <si>
    <t>Michael Coors</t>
  </si>
  <si>
    <t>Slavery and Other Forms of Strong Asymmetrical Dependencies</t>
  </si>
  <si>
    <t>Jeannine Bischoff-Stephan Conermann</t>
  </si>
  <si>
    <t>JÃ¼dische Wissenskulturen und Allgemeine Literaturwissenschaft</t>
  </si>
  <si>
    <t>LITERARY CRITICISM / Jewish</t>
  </si>
  <si>
    <t>Claudia Olk-Susanne Zepp</t>
  </si>
  <si>
    <t>Kellers Medien</t>
  </si>
  <si>
    <t>Frauke Berndt</t>
  </si>
  <si>
    <t>Gamification for Innovators and Entrepreneurs</t>
  </si>
  <si>
    <t>Henning Breuer-John Bessant-Sune Gudiksen</t>
  </si>
  <si>
    <t>Jewish Studies in the Digital Age</t>
  </si>
  <si>
    <t>Gerben Zaagsma-Daniel StÃ¶kl Ben Ezra-Miriam RÃ¼rup-Michelle Margolis-Amalia S. Levi</t>
  </si>
  <si>
    <t>Anti-racist Scholar-activism</t>
  </si>
  <si>
    <t>Remi Joseph-Salisbury-Laura Connelly</t>
  </si>
  <si>
    <t>The Holy Drama</t>
  </si>
  <si>
    <t>Mahnia A. Nematollahi Mahani</t>
  </si>
  <si>
    <t>Mirrors of Entrapment and Emancipation</t>
  </si>
  <si>
    <t>Leila Bahmani</t>
  </si>
  <si>
    <t>A History of the Congress of Roman Frontier Studies 1949-2022</t>
  </si>
  <si>
    <t>Guide pratique de l'irrigation (4e Ã©dition)</t>
  </si>
  <si>
    <t>Performing the Jumbled City</t>
  </si>
  <si>
    <t>Olivia Casagrande</t>
  </si>
  <si>
    <t>Embracing the Future: Creative Industries for Environment and Advanced Society 5.0 in a Post-Pandemic Era</t>
  </si>
  <si>
    <t>Rahmiati Aulia-Diani Apsari-Sri Maharani Budi Haswati-Hana Faza Surya Rusyda-Aisyi Syafikarani-Angelia Lionardi-Setiamurti Rahardjo-Ariesa Farida-Wibisono Tegar Guna Putra-Yelly Andriani Barlian</t>
  </si>
  <si>
    <t>The Motorcycle Diaries</t>
  </si>
  <si>
    <t>Nadia Lie</t>
  </si>
  <si>
    <t>Learner-Centred Pedagogy in the Global South</t>
  </si>
  <si>
    <t>Nozomi Sakata</t>
  </si>
  <si>
    <t>Cultural Approaches to Disgust and the Visceral</t>
  </si>
  <si>
    <t>Max RyynÃ¤nen-Heidi Kosonen-Susanne YlÃ¶nen</t>
  </si>
  <si>
    <t>Groupwork with Refugees and Survivors of Human Rights Abuses</t>
  </si>
  <si>
    <t>Jude Boyles-Robin Ewart-Biggs-Rebecca Horn-Kirsten Lamb</t>
  </si>
  <si>
    <t>Upland Geopolitics</t>
  </si>
  <si>
    <t>Michael B. Dwyer</t>
  </si>
  <si>
    <t>Framing Social Theory</t>
  </si>
  <si>
    <t>Paola Rebughini-Enzo Colombo</t>
  </si>
  <si>
    <t>Designing Smart and Resilient Cities for a Post-Pandemic World</t>
  </si>
  <si>
    <t>Women and Migration(s) II</t>
  </si>
  <si>
    <t xml:space="preserve"> Kalia Brooks-Cheryl Finley-Ellyn Toscano-Deborah Willis</t>
  </si>
  <si>
    <t>The Classical Parthenon</t>
  </si>
  <si>
    <t>HISTORY / Europe / Greece</t>
  </si>
  <si>
    <t xml:space="preserve"> William St Clair-Lucy Barnes-David St Clair</t>
  </si>
  <si>
    <t>Life, Re-Scaled</t>
  </si>
  <si>
    <t xml:space="preserve"> Liliane Campos-Pierre-Louis Patoine</t>
  </si>
  <si>
    <t>An Outline of Romanticism in the West</t>
  </si>
  <si>
    <t>Post-World War One Plebiscites and Their Legacies</t>
  </si>
  <si>
    <t>Sergiusz Bober</t>
  </si>
  <si>
    <t>The Beginnings of Anti-Jewish Legislation</t>
  </si>
  <si>
    <t>MÃ¡ria M. KovÃ¡cs</t>
  </si>
  <si>
    <t>State and Society in Papua New Guinea, 2001â€“2021</t>
  </si>
  <si>
    <t>R.J. May</t>
  </si>
  <si>
    <t>Modern Ego Psychology and Human Sexual Experience</t>
  </si>
  <si>
    <t>FAMILY &amp; RELATIONSHIPS / Love &amp; Romance</t>
  </si>
  <si>
    <t>Eric R. Marcus</t>
  </si>
  <si>
    <t>Performing Sustainability in West Africa</t>
  </si>
  <si>
    <t>Meike Lettau-Christopher Yusufu Mtaku-Eric Debrah Otchere</t>
  </si>
  <si>
    <t>Gegenwartsgeschichte der deutschen Wirtschaft</t>
  </si>
  <si>
    <t>Gerd Hardach â€ </t>
  </si>
  <si>
    <t>Krishna Sobtiâ€™s Views on Literature and the Poetics of Writing</t>
  </si>
  <si>
    <t>Rosine-Alice Vuille</t>
  </si>
  <si>
    <t>Digital History</t>
  </si>
  <si>
    <t>Karoline Dominika DÃ¶ring-Stefan Haas-Mareike KÃ¶nig-JÃ¶rg Wettlaufer</t>
  </si>
  <si>
    <t>Probleme des Finanzausgleichs I.</t>
  </si>
  <si>
    <t>Probleme des Finanzausgleichs II.</t>
  </si>
  <si>
    <t>Dieter Pohmer</t>
  </si>
  <si>
    <t>Arbeitsmarkt und Arbeitsmarktpolitik.</t>
  </si>
  <si>
    <t>Philipp Herder-Dorneich</t>
  </si>
  <si>
    <t>Selbstverwaltung als ordnungspolitisches Problem des Sozialstaates II.</t>
  </si>
  <si>
    <t>Helmut Winterstein</t>
  </si>
  <si>
    <t>Ethik und Wirtschaftswissenschaft.</t>
  </si>
  <si>
    <t>Georges Enderle</t>
  </si>
  <si>
    <t>Kapitalmarkt und Finanzierung.</t>
  </si>
  <si>
    <t>Dieter Schneider</t>
  </si>
  <si>
    <t>BeschÃ¤ftigungsprobleme hochentwickelter Volkswirtschaften.</t>
  </si>
  <si>
    <t>Harald Scherf</t>
  </si>
  <si>
    <t>WÃ¤hrungsreform und Soziale Marktwirtschaft.</t>
  </si>
  <si>
    <t>Regionale BeschÃ¤ftigung und Technologieentwicklung.</t>
  </si>
  <si>
    <t>Edwin von BÃ¶venter</t>
  </si>
  <si>
    <t>Probleme der Finanzgeschichte des 19. und 20. Jahrhunderts.</t>
  </si>
  <si>
    <t>Dietmar Petzina</t>
  </si>
  <si>
    <t>Einkommensverteilung und BevÃ¶lkerungsentwicklung.</t>
  </si>
  <si>
    <t>Bernhard Felderer</t>
  </si>
  <si>
    <t>Wettbewerbsprobleme Ã¶ffentlich- und privatrechtlicher Medien.</t>
  </si>
  <si>
    <t>Regulierung und Wettbewerb im europÃ¤ischen Luftverkehr.</t>
  </si>
  <si>
    <t>Helmut GrÃ¶ner</t>
  </si>
  <si>
    <t>Regulierung und Deregulierung im Bereich der Sozialpolitik.</t>
  </si>
  <si>
    <t>Theo Thiemeyer</t>
  </si>
  <si>
    <t>Wechselkursstabilisierung und WÃ¤hrungskooperation.</t>
  </si>
  <si>
    <t>Armin Gutowski</t>
  </si>
  <si>
    <t>Familienlastenausgleich und demographische Entwicklung.</t>
  </si>
  <si>
    <t>Bildung, Beruf, Arbeitsmarkt.</t>
  </si>
  <si>
    <t>Hans-Joachim BodenhÃ¶fer</t>
  </si>
  <si>
    <t>Probleme der lÃ¤ndlichen Entwicklung in der Dritten Welt.</t>
  </si>
  <si>
    <t>Heiko KÃ¶rner</t>
  </si>
  <si>
    <t>Theoriebildung und empirische Forschung im Systemvergleich.</t>
  </si>
  <si>
    <t>Alfred SchÃ¼ller</t>
  </si>
  <si>
    <t>BeitrÃ¤ge zu Ã¶konomischen Problemen des FÃ¶deralismus.</t>
  </si>
  <si>
    <t>Kurt Schmidt</t>
  </si>
  <si>
    <t>Die Familie als Gegenstand sozialwissenschaftlicher Forschung.</t>
  </si>
  <si>
    <t>Horst Todt</t>
  </si>
  <si>
    <t>Kapitaldeckungsverfahren versus Umlageverfahren.</t>
  </si>
  <si>
    <t>Wettbewerb im Medienbereich.</t>
  </si>
  <si>
    <t>Geldpolitische Regelbindung: theoretische Entwicklungen und empirische Befunde.</t>
  </si>
  <si>
    <t>Wandlungen der Besteuerung.</t>
  </si>
  <si>
    <t>Karl HÃ¤user</t>
  </si>
  <si>
    <t>Ã–konomie des Gesundheitswesens.</t>
  </si>
  <si>
    <t>GÃ©rard GÃ¤fgen</t>
  </si>
  <si>
    <t>Nationale Wege der InflationsbekÃ¤mpfung.</t>
  </si>
  <si>
    <t>Josua Werner</t>
  </si>
  <si>
    <t>Sozialpolitik in der BeschÃ¤ftigungskrise II.</t>
  </si>
  <si>
    <t>Stadtwachstum, Industrialisierung, Sozialer Wandel.</t>
  </si>
  <si>
    <t>Hans-JÃ¼rgen Teuteberg</t>
  </si>
  <si>
    <t>Entwicklungstheorie - Entwicklungspraxis.</t>
  </si>
  <si>
    <t>Die internationale Schuldenkrise.</t>
  </si>
  <si>
    <t>BeitrÃ¤ge zur BevÃ¶lkerungsÃ¶konomie.</t>
  </si>
  <si>
    <t>Sozialpolitik in der BeschÃ¤ftigungskrise I.</t>
  </si>
  <si>
    <t>Probleme und Perspektiven der weltwirtschaftlichen Entwicklung.</t>
  </si>
  <si>
    <t>Herbert Giersch</t>
  </si>
  <si>
    <t>Strukturpolitische Probleme der Automobil-Industrie unter dem Aspekt des Wettbewerbs.</t>
  </si>
  <si>
    <t>China im Konflikt zwischen verschiedenen Ordnungskonzeptionen.</t>
  </si>
  <si>
    <t>Budgetpolitik im Wandel.</t>
  </si>
  <si>
    <t>Probleme der Bildungsfinanzierung.</t>
  </si>
  <si>
    <t>Gerhard Brinkmann</t>
  </si>
  <si>
    <t>ProduktivitÃ¤tsentwicklung staatlicher Leistungen.</t>
  </si>
  <si>
    <t>Externe Verschuldung - interne Anpassung.</t>
  </si>
  <si>
    <t>EntwicklungslÃ¤nder in der Finanzkrise.</t>
  </si>
  <si>
    <t>Folgekosten von Entwicklungsprojekten - Probleme und Konsequenzen fÃ¼r eine effizientere Entwicklungspolitik.</t>
  </si>
  <si>
    <t>Walter A. S. Koch</t>
  </si>
  <si>
    <t>Wachstumsverlangsamung und Konjunkturzyklen in unterschiedlichen Wirtschaftssystemen.</t>
  </si>
  <si>
    <t>Normengeleitetes Verhalten in den Sozialwissenschaften.</t>
  </si>
  <si>
    <t>Devisenmarktinterventionen der Zentralbanken.</t>
  </si>
  <si>
    <t>Werner Ehrlicher-Rudolf Richter</t>
  </si>
  <si>
    <t>Geld- und WÃ¤hrungsordnung.</t>
  </si>
  <si>
    <t>Staatsfinanzierung im Wandel.</t>
  </si>
  <si>
    <t>Karl-Heinrich Hansmeyer</t>
  </si>
  <si>
    <t>Finanzsysteme: Ideal- und Realtypen - Gesundheitswesen und Hochschulbildung.</t>
  </si>
  <si>
    <t>BeitrÃ¤ge zum Problem der Schattenwirtschaft.</t>
  </si>
  <si>
    <t>GÃ¼nter Hedtkamp</t>
  </si>
  <si>
    <t>Determinanten der rÃ¤umlichen Entwicklung.</t>
  </si>
  <si>
    <t>J. Heinz MÃ¼ller</t>
  </si>
  <si>
    <t>Aktuelle Wege der Wirtschaftspolitik.</t>
  </si>
  <si>
    <t>Artur Woll</t>
  </si>
  <si>
    <t>Zur optimalen Besteuerung.</t>
  </si>
  <si>
    <t>Anreiz- und Kontrollmechanismen in Wirtschaftssystemen II.</t>
  </si>
  <si>
    <t>Information in der Wirtschaft.</t>
  </si>
  <si>
    <t>Erich StreiÃŸler</t>
  </si>
  <si>
    <t>Die Rolle des Staates fÃ¼r die wirtschaftliche Entwicklung.</t>
  </si>
  <si>
    <t>Fritz Blaich</t>
  </si>
  <si>
    <t>Die MiÃŸbrauchsaufsicht vor dem Hintergrund der Entwicklungen der neueren Wettbewerbstheorie.</t>
  </si>
  <si>
    <t>Dynamische Theorie der Sozialpolitik.</t>
  </si>
  <si>
    <t>Wert- und PrÃ¤ferenzprobleme in den Sozialwissenschaften.</t>
  </si>
  <si>
    <t>Reinhard Tietz</t>
  </si>
  <si>
    <t>BeitrÃ¤ge zum Ã„quivalenzprinzip und zur Zweckbindung Ã¶ffentlicher Einnahmen.</t>
  </si>
  <si>
    <t>Entwicklungsprobleme einer Region: Das Beispiel Rheinland und Westfalen im 19. Jahrhundert.</t>
  </si>
  <si>
    <t>Anreiz- und Kontrollmechanismen in Wirtschaftssystemen I.</t>
  </si>
  <si>
    <t>Internationale Anpassungsprozesse.</t>
  </si>
  <si>
    <t>BeitrÃ¤ge zur Industrialisierungs- und Handelspolitik der EntwicklungslÃ¤nder.</t>
  </si>
  <si>
    <t>Vincenz Timmermann</t>
  </si>
  <si>
    <t>Zur Marxistischen und Neuen Politischen Ã–konomie.</t>
  </si>
  <si>
    <t>Konzept und Kritik des Humankapitalansatzes.</t>
  </si>
  <si>
    <t>Werner Clement</t>
  </si>
  <si>
    <t>Geldpolitik, Zins und Staatsverschuldung.</t>
  </si>
  <si>
    <t>Werner Ehrlicher</t>
  </si>
  <si>
    <t>ErschÃ¶pfbare Ressourcen.</t>
  </si>
  <si>
    <t>Staatliche Umverteilungspolitik in historischer Perspektive.</t>
  </si>
  <si>
    <t>Wettbewerb in der pharmazeutischen Industrie.</t>
  </si>
  <si>
    <t>Lenkungsprobleme und Inflation in Planwirtschaften.</t>
  </si>
  <si>
    <t>Karl-Ernst Schenk</t>
  </si>
  <si>
    <t>Entwicklung und Aufgaben von Versicherungen und Banken in der Industrialisierung.</t>
  </si>
  <si>
    <t>Die Sicherung des Arbeitsplatzes.</t>
  </si>
  <si>
    <t>Staat und Wirtschaft.</t>
  </si>
  <si>
    <t>Recurrent Education und Berufliche FlexibilitÃ¤tsforschung.</t>
  </si>
  <si>
    <t>Werner Clement-Friedrich Edding</t>
  </si>
  <si>
    <t>Aktuelle Probleme der Arbeitslosigkeit.</t>
  </si>
  <si>
    <t>Neuere Entwicklungen in den Wirtschaftswissenschaften.</t>
  </si>
  <si>
    <t>Ernst HelmstÃ¤dter</t>
  </si>
  <si>
    <t>Theorien des einzelwirtschaftlichen und des gesamtwirtschaftlichen Wachstums.</t>
  </si>
  <si>
    <t>Diagnose und Prognose als wirtschaftswissenschaftliche Methodenprobleme.</t>
  </si>
  <si>
    <t>Herbert Giersch-Knut Borchardt</t>
  </si>
  <si>
    <t>Ã–konomische VerfÃ¼gungsrechte und Allokationsmechanismen in Wirtschaftssystemen.</t>
  </si>
  <si>
    <t>Die Konzentration in der Wirtschaft.</t>
  </si>
  <si>
    <t>Einkommensverteilung und technischer Fortschritt.</t>
  </si>
  <si>
    <t>Zur Neuen Sozialen Frage.</t>
  </si>
  <si>
    <t>Hans Peter Widmaier</t>
  </si>
  <si>
    <t>Finanz- und wÃ¤hrungspolitische Bedingungen stetigen Wirtschaftswachstums.</t>
  </si>
  <si>
    <t>Einkommensbildung und Einkommensverteilung.</t>
  </si>
  <si>
    <t>Die Verflechtung der Sozialleistungen.</t>
  </si>
  <si>
    <t>Gerhard Mackenroth</t>
  </si>
  <si>
    <t>Die Berliner Wirtschaft zwischen Ost und West.</t>
  </si>
  <si>
    <t>Die Problematik der VollbeschÃ¤ftigung.</t>
  </si>
  <si>
    <t>Wachstum, Einkommensverteilung und BeschÃ¤ftigung in EntwicklungslÃ¤ndern.</t>
  </si>
  <si>
    <t>Ã–ffentliche Finanzwirtschaft und Verteilung V.</t>
  </si>
  <si>
    <t>Righteous Revolutionaries</t>
  </si>
  <si>
    <t>Jeffrey A. Javed</t>
  </si>
  <si>
    <t>Creating Chaos Online</t>
  </si>
  <si>
    <t>Asta Zelenkauskaite</t>
  </si>
  <si>
    <t>ContextualizaciÃ³n del reconocimiento arqueolÃ³gico de Eduard Seler en la RegiÃ³n de ChaculÃ¡, Departamento de Huehuetenango, Guatemala</t>
  </si>
  <si>
    <t>Ulrich WÃ¶lfel</t>
  </si>
  <si>
    <t>Nordic Design Cultures in Transformation, 1960â€“1980</t>
  </si>
  <si>
    <t>Kjetil Fallan-Christina Zetterlund-Anders V. Munch</t>
  </si>
  <si>
    <t>Literacy for Digital Futures</t>
  </si>
  <si>
    <t>Kathy A. Mills-Len Unsworth-Laura Scholes</t>
  </si>
  <si>
    <t>The COVID-19 Pandemic and the Future of Working Spaces</t>
  </si>
  <si>
    <t>Ilaria Mariotti-Mina Di Marino-Pavel BednÃ¡Å™</t>
  </si>
  <si>
    <t>The Origin and Early Development of the Zhou Changes</t>
  </si>
  <si>
    <t>Edward L. Shaughnessy</t>
  </si>
  <si>
    <t>Esperanto â€“ Lingua Franca and Language Community</t>
  </si>
  <si>
    <t>Sabine Fiedler-Cyril Robert Brosch</t>
  </si>
  <si>
    <t>Ãœber-Menschen</t>
  </si>
  <si>
    <t>Anna Puzio</t>
  </si>
  <si>
    <t>Ã–konomie â€“ Praxis â€“ Subjektivierung</t>
  </si>
  <si>
    <t>Lukas BÃ¤uerle</t>
  </si>
  <si>
    <t>Das Museum dekolonisieren?</t>
  </si>
  <si>
    <t>BrÃ¼cke-Museum Berlin-Stiftung Deutsches Technikmuseum Berlin-Stiftung Stadtmuseum Berlin-Daniela Bystron-Anne FÃ¤ser</t>
  </si>
  <si>
    <t>Deutschland und seine FlÃ¼chtlinge</t>
  </si>
  <si>
    <t>Uwe Becker</t>
  </si>
  <si>
    <t>Commoning Art â€“ Die transformativen Potenziale von Commons in der Kunst</t>
  </si>
  <si>
    <t>Vera Hofmann-Johannes Euler-Linus ZurmÃ¼hlen-Silke Helfrich</t>
  </si>
  <si>
    <t>Friedensgutachten 2022</t>
  </si>
  <si>
    <t>Selbstsorge im Leben mit Demenz</t>
  </si>
  <si>
    <t>Valerie Keller</t>
  </si>
  <si>
    <t>Alfred DÃ¶blin und seine Zeitschrift Â»Das Goldene TorÂ«</t>
  </si>
  <si>
    <t>Nico Schmidtner</t>
  </si>
  <si>
    <t>Die Problematisierung von Gewalt in Computerspielen</t>
  </si>
  <si>
    <t>Jan Husemann</t>
  </si>
  <si>
    <t>Politischer Rassismus in der post-homogenen Gesellschaft</t>
  </si>
  <si>
    <t>Lorenz Narku Laing</t>
  </si>
  <si>
    <t>Widerstand als Selbstbehauptung</t>
  </si>
  <si>
    <t>Luca Preite</t>
  </si>
  <si>
    <t>GehÃ¶rlose und HÃ¶rende</t>
  </si>
  <si>
    <t>Caroline-Sophie Pilling</t>
  </si>
  <si>
    <t>Die Poetik des Marginalen</t>
  </si>
  <si>
    <t>Ersin MÃ¼nÃ¼klÃ¼</t>
  </si>
  <si>
    <t>Engagement im Wandel â€“ Wandel durch Engagement</t>
  </si>
  <si>
    <t>Stefanie Adamitz</t>
  </si>
  <si>
    <t>In der Plattformfalle</t>
  </si>
  <si>
    <t>Geert Lovink</t>
  </si>
  <si>
    <t>Die Ampelkoalition</t>
  </si>
  <si>
    <t>Pola Lehmann-Theres MatthieÃŸ-Sven Regel-Bernhard WeÃŸels</t>
  </si>
  <si>
    <t>Sound Formations</t>
  </si>
  <si>
    <t>RÃ©my Bocquillon</t>
  </si>
  <si>
    <t>Von unmittelbarer Demokratie zur ReprÃ¤sentation</t>
  </si>
  <si>
    <t>Philip Dingeldey</t>
  </si>
  <si>
    <t>Von der Biopolitik zur Nekro-Ã–konomie</t>
  </si>
  <si>
    <t>Florian Cziesla</t>
  </si>
  <si>
    <t>Die Â»Gesundung RusslandsÂ«</t>
  </si>
  <si>
    <t>Angelika Strobel</t>
  </si>
  <si>
    <t>Liberalismus neu denken</t>
  </si>
  <si>
    <t>Ralf FÃ¼cks-Rainald Manthe</t>
  </si>
  <si>
    <t>Programming Creativity</t>
  </si>
  <si>
    <t>Jan Sebastian Zipp</t>
  </si>
  <si>
    <t>Othering in der postmigrantischen Gesellschaft</t>
  </si>
  <si>
    <t>Irini Siouti-Tina Spies-Elisabeth Tuider-Hella von Unger-Erol Yildiz</t>
  </si>
  <si>
    <t>Â»Mehr Fortschritt wagenÂ«?</t>
  </si>
  <si>
    <t>Knut Bergmann</t>
  </si>
  <si>
    <t>Transkulturelle Ausstellungspraxis</t>
  </si>
  <si>
    <t>Barbara Lutz</t>
  </si>
  <si>
    <t>Tanzen als Widerstand</t>
  </si>
  <si>
    <t>PERFORMING ARTS / Dance / Choreography &amp; Dance Notation</t>
  </si>
  <si>
    <t>Kristina Stein-Hinrichsen</t>
  </si>
  <si>
    <t>The Cultural Politics of Affect and Emotion</t>
  </si>
  <si>
    <t>Wei Dong</t>
  </si>
  <si>
    <t>Die kurdische Frage in der TÃ¼rkei</t>
  </si>
  <si>
    <t>Ismail KÃ¼peli</t>
  </si>
  <si>
    <t>Die konformistische Revolte</t>
  </si>
  <si>
    <t>IdentitÃ¤tskonstruktionen im postkolonialen Maghreb</t>
  </si>
  <si>
    <t>Madeleine LÃ¶ning</t>
  </si>
  <si>
    <t>Datenwissenschaften und Gesellschaft</t>
  </si>
  <si>
    <t>Philippe Saner</t>
  </si>
  <si>
    <t>Â»LiquideÂ« UrbanitÃ¤t und Selbstbestimmung</t>
  </si>
  <si>
    <t>Fernando Toledo</t>
  </si>
  <si>
    <t>Where Are We Now? â€“ Orientierungen nach der Postmoderne</t>
  </si>
  <si>
    <t>Sebastian Berlich-Holger Grevenbrock-Katharina Scheerer</t>
  </si>
  <si>
    <t>Grenzjustierungen â€“ Bildungsbiografien Zugewanderter zwischen Qualifikation und Re-Qualifizierung</t>
  </si>
  <si>
    <t>Milena Prekodravac</t>
  </si>
  <si>
    <t>KontrollrÃ¤ume und Raumkontrolle</t>
  </si>
  <si>
    <t>David Joshua SchrÃ¶der</t>
  </si>
  <si>
    <t>Public Space in Transition</t>
  </si>
  <si>
    <t>Dahae Lee</t>
  </si>
  <si>
    <t>Schwierigkeiten mit der kritischen Geographie</t>
  </si>
  <si>
    <t>Benedikt Korf</t>
  </si>
  <si>
    <t>Risikodemokratie</t>
  </si>
  <si>
    <t>Jenni Brichzin-Henning Laux-Ulf Bohmann</t>
  </si>
  <si>
    <t>Now! Die Welt gemeinsam gestalten. Bildung neu denken</t>
  </si>
  <si>
    <t>Angela Weber-Lilli Eberhard-Lena Roord</t>
  </si>
  <si>
    <t>Die intelligente Kulturorganisation</t>
  </si>
  <si>
    <t>Ellen Heidelberger</t>
  </si>
  <si>
    <t>Konstruktion von Verbindlichkeit</t>
  </si>
  <si>
    <t>Jonas Maria Hoff</t>
  </si>
  <si>
    <t>Die Entdeckung der Gestaltbarkeit</t>
  </si>
  <si>
    <t>Felix Baumert</t>
  </si>
  <si>
    <t>Gender und christliche Mission</t>
  </si>
  <si>
    <t>Dorothee Rempfer</t>
  </si>
  <si>
    <t>Kritik der ethischen Institution</t>
  </si>
  <si>
    <t>Thies MÃ¼nchow</t>
  </si>
  <si>
    <t>Big Screens, Small Forms</t>
  </si>
  <si>
    <t>Lisa Gotto</t>
  </si>
  <si>
    <t>Patientenpolitiken</t>
  </si>
  <si>
    <t>Helene Gerhards</t>
  </si>
  <si>
    <t>Wie wir uns an der UniversitÃ¤t auffÃ¼hren</t>
  </si>
  <si>
    <t>Anna Suchard</t>
  </si>
  <si>
    <t>Politik der Ungewissheit</t>
  </si>
  <si>
    <t>Lucas von Ramin</t>
  </si>
  <si>
    <t>Wiederherstellbare Ehre</t>
  </si>
  <si>
    <t>Florian Zeilinger</t>
  </si>
  <si>
    <t>The Notion of Â»holyÂ« in Ancient Armenian Texts From the Fifth Century CE</t>
  </si>
  <si>
    <t>Thomas Jurczyk</t>
  </si>
  <si>
    <t>Diskriminierung aufgrund von Intergeschlechtlichkeit</t>
  </si>
  <si>
    <t>Simone Emmert</t>
  </si>
  <si>
    <t>Musikvermittlung lernen</t>
  </si>
  <si>
    <t>Axel Petri-Preis</t>
  </si>
  <si>
    <t>Russland als Ziel kolonialer Eroberung</t>
  </si>
  <si>
    <t>Cornelia Soldat</t>
  </si>
  <si>
    <t>Afrika im deutschsprachigen Kommunikationsraum</t>
  </si>
  <si>
    <t>Friederike Heinz-Simplice Agossavi-Akila Ahouli-Ursula Logossou-Gesine Lenore Schiewer</t>
  </si>
  <si>
    <t>Die Politik des Kinderkriegens</t>
  </si>
  <si>
    <t>Susanne Schultz</t>
  </si>
  <si>
    <t>FÃ¼r ein Europa der ÃœbergÃ¤nge</t>
  </si>
  <si>
    <t>Iulia-Karin Patrut-Reto RÃ¶ssler-Gesine Lenore Schiewer</t>
  </si>
  <si>
    <t>Trauma im Computerspiel</t>
  </si>
  <si>
    <t>Thomas Spies</t>
  </si>
  <si>
    <t>WiderstÃ¤ndige Ressource</t>
  </si>
  <si>
    <t>Ines LÃ¼der</t>
  </si>
  <si>
    <t>Politik, Medien und Jugend</t>
  </si>
  <si>
    <t>Merle-Marie Kruse</t>
  </si>
  <si>
    <t>Aus der Nacht in den Tag</t>
  </si>
  <si>
    <t>Paul Helfritzsch</t>
  </si>
  <si>
    <t>New Yorker Intellektuelle</t>
  </si>
  <si>
    <t>JÃ¶rg Auberg</t>
  </si>
  <si>
    <t>Diffraktionsereignisse der Gegenwart</t>
  </si>
  <si>
    <t>Alisa Kronberger</t>
  </si>
  <si>
    <t>Beyond Narrative</t>
  </si>
  <si>
    <t>Sebastian M. Herrmann-Katja Kanzler-Stefan Schubert</t>
  </si>
  <si>
    <t>Das Karussell â€“ Schwindel, Tausch und TÃ¤uschung</t>
  </si>
  <si>
    <t>Ralf Bohn</t>
  </si>
  <si>
    <t>SchÃ¶nes alltÃ¤glich erleben</t>
  </si>
  <si>
    <t>Kaspar Maase</t>
  </si>
  <si>
    <t>Expanded Choreographies â€“ Choreographic Histories</t>
  </si>
  <si>
    <t>Anna Leon</t>
  </si>
  <si>
    <t>Scale Matters</t>
  </si>
  <si>
    <t>Thomas Widlok-M. Dores Cruz</t>
  </si>
  <si>
    <t>Die Korrelationsfrage in der Islamischen Religionslehre</t>
  </si>
  <si>
    <t>Darjusch Bartsch</t>
  </si>
  <si>
    <t>Migrationsforschung (inter)disziplinÃ¤r</t>
  </si>
  <si>
    <t>Merve Schmitz-Vardar-Andrea Rumpel-Alexandra Graevskaia-Laura Dinnebier</t>
  </si>
  <si>
    <t>Academics in Exile</t>
  </si>
  <si>
    <t>Vera Axyonova-Florian Kohstall-Carola Richter</t>
  </si>
  <si>
    <t>Adoleszenz und AlteritÃ¤t</t>
  </si>
  <si>
    <t>Stefanie Jakobi-Julian Osthues-Jennifer Pavlik</t>
  </si>
  <si>
    <t>Arte argentino â€“ Ã„sthetik und IdentitÃ¤tsnarrative in der argentinischen Kunst</t>
  </si>
  <si>
    <t>Lena Geuer</t>
  </si>
  <si>
    <t>Â»Doing marketÂ« â€“ Unternehmerische Praxis und der Diskurs um Â»ethnische Ã–konomieÂ« im Markt fÃ¼r muslimische Mode in Berlin</t>
  </si>
  <si>
    <t>Robert Birnbauer</t>
  </si>
  <si>
    <t>Cybersicherheit in Innen- und AuÃŸenpolitik</t>
  </si>
  <si>
    <t>Stefan Steiger</t>
  </si>
  <si>
    <t>Sozialkapital intersektional</t>
  </si>
  <si>
    <t>Chantal Hinni</t>
  </si>
  <si>
    <t>PrekÃ¤re Subjektivierung</t>
  </si>
  <si>
    <t>Phries Sophie KÃ¼nstler</t>
  </si>
  <si>
    <t>Fremdheitserfahrungen und Othering</t>
  </si>
  <si>
    <t>Janosch Freuding</t>
  </si>
  <si>
    <t>Die Arbeit am Ausdruck</t>
  </si>
  <si>
    <t>Anna Park</t>
  </si>
  <si>
    <t>Geister der Kindheit</t>
  </si>
  <si>
    <t>Leberecht Funk</t>
  </si>
  <si>
    <t>Infrastrukturen der Biosicherheit</t>
  </si>
  <si>
    <t>Henning FÃ¼ller</t>
  </si>
  <si>
    <t>Der Wirklichkeit verfallen</t>
  </si>
  <si>
    <t>Simon Sahner</t>
  </si>
  <si>
    <t>Ungleiche lÃ¤ndliche RÃ¤ume</t>
  </si>
  <si>
    <t>Bernd Belina-Andreas Kallert-Michael MieÃŸner-Matthias Naumann</t>
  </si>
  <si>
    <t>Â»FailedÂ« Migratory Adventures?</t>
  </si>
  <si>
    <t>Susanne U. Schultz</t>
  </si>
  <si>
    <t>Fat Studies</t>
  </si>
  <si>
    <t>MEDICAL / Bariatrics</t>
  </si>
  <si>
    <t>Anja Herrmann-Tae Jun Kim-Evangelia Kindinger-Nina Mackert-Lotte Rose-Friedrich Schorb-Eva Tolasch-Paula-Irene Villa</t>
  </si>
  <si>
    <t>Organisationaler Wandel durch Migration?</t>
  </si>
  <si>
    <t>Hella von Unger-Helen Baykara-Krumme-Serhat Karakayali-Karen SchÃ¶nwÃ¤lder</t>
  </si>
  <si>
    <t>Hochschulen in der Pandemie</t>
  </si>
  <si>
    <t>Holger Angenent-JÃ¶rg Petri-Tatiana Zimenkova</t>
  </si>
  <si>
    <t>Handbuch China-Kompetenzen</t>
  </si>
  <si>
    <t>Gabriele Thelen-Helena Obendiek-Yinchun Bai</t>
  </si>
  <si>
    <t>Lexicon of Global Melodrama</t>
  </si>
  <si>
    <t>Heike Paul-Sarah Marak-Katharina Gerund-Marius Henderson</t>
  </si>
  <si>
    <t>Castoriadis: Denker der Revolution â€“ Revolution des Denkens</t>
  </si>
  <si>
    <t>Alice Pechriggl</t>
  </si>
  <si>
    <t>Deutschland als Autobahn</t>
  </si>
  <si>
    <t>Conrad Kunze</t>
  </si>
  <si>
    <t>Wider die Geschichtsvergessenheit</t>
  </si>
  <si>
    <t>Gisela Febel-Sonja Kerth-Elisabeth Lienert</t>
  </si>
  <si>
    <t>Technologien der Krise</t>
  </si>
  <si>
    <t>Dennis KrÃ¤mer-Joschka Haltaufderheide-Jochen Vollmann</t>
  </si>
  <si>
    <t>El oxÃ­moron de las clases medias negras</t>
  </si>
  <si>
    <t>Mara Viveros Vigolla</t>
  </si>
  <si>
    <t>AmÃ©rica Latina en la vorÃ¡gine de la crisis</t>
  </si>
  <si>
    <t>Henry Veltmeyer</t>
  </si>
  <si>
    <t>Geschichte der Sklaverei in der niederlÃ¤ndischen Republik</t>
  </si>
  <si>
    <t>Julia Holzmann</t>
  </si>
  <si>
    <t>Zwischen Anstalt und Schule</t>
  </si>
  <si>
    <t>Jona Tomke Garz</t>
  </si>
  <si>
    <t>Heimat. Volkstum. Architektur</t>
  </si>
  <si>
    <t>Rainer Schmitz</t>
  </si>
  <si>
    <t>Klassikerfeiern</t>
  </si>
  <si>
    <t>Sophie Picard</t>
  </si>
  <si>
    <t>From Shelters to Dwellings</t>
  </si>
  <si>
    <t>Ayham Dalal</t>
  </si>
  <si>
    <t>Gender Studies im Dialog</t>
  </si>
  <si>
    <t>Anna Artwinska-Janine Schulze-Fellmann</t>
  </si>
  <si>
    <t>Demenz im Quartier</t>
  </si>
  <si>
    <t>Reimer Gronemeyer-Martina Ritter-Oliver Schultz-Jutta TrÃ¤ger</t>
  </si>
  <si>
    <t>Geschichten im Wandel</t>
  </si>
  <si>
    <t>Viola B. Georgi-Martin LÃ¼cke-Johannes Meyer-Hamme-Riem Spielhaus</t>
  </si>
  <si>
    <t>Culture^2</t>
  </si>
  <si>
    <t>Frank Kelleter-Alexander Starre</t>
  </si>
  <si>
    <t>Religionsunterricht im Plausibilisierungsstress</t>
  </si>
  <si>
    <t>Michael Domsgen-Ulrike Witten</t>
  </si>
  <si>
    <t>Kollegiale Fallberatung fÃ¼r PÃ¤dagogen und PÃ¤dagoginnen</t>
  </si>
  <si>
    <t>Clemens Seyfried-Britta Marschke</t>
  </si>
  <si>
    <t>Verabschiedungen der Â»PostmoderneÂ«</t>
  </si>
  <si>
    <t>Florian ScherÃ¼bl</t>
  </si>
  <si>
    <t>ReprÃ¤sentation â€“ Partizipation â€“ ZugÃ¤nglichkeit</t>
  </si>
  <si>
    <t>Julia BÃ¼chel</t>
  </si>
  <si>
    <t>SchauplÃ¤tze des Reparierens und Selbermachens</t>
  </si>
  <si>
    <t>Michael Jonas</t>
  </si>
  <si>
    <t>Mit Adorno im Tonstudio</t>
  </si>
  <si>
    <t>David Waldecker</t>
  </si>
  <si>
    <t>Lokal extrem Rechts</t>
  </si>
  <si>
    <t>Daniel Mullis-Judith Miggelbrink</t>
  </si>
  <si>
    <t>SchlÃ¼sselwerke der sozialwissenschaftlichen Klimaforschung</t>
  </si>
  <si>
    <t>Youssef Ibrahim-Simone RÃ¶dder</t>
  </si>
  <si>
    <t>Convivial Futures</t>
  </si>
  <si>
    <t>Frank Adloff-Alain CaillÃ©</t>
  </si>
  <si>
    <t>Schrift und Herrschaft</t>
  </si>
  <si>
    <t>Ines Soldwisch-RÃ¼diger Haude-Klaus Freitag</t>
  </si>
  <si>
    <t>Hamburg in der Novemberrevolution von 1918/19</t>
  </si>
  <si>
    <t>Johanna Meyer-Lenz-Franklin Kopitzsch-Markus Hedrich</t>
  </si>
  <si>
    <t>Campus Medius: Digital Mapping in Cultural and Media Studies</t>
  </si>
  <si>
    <t>Simon Ganahl</t>
  </si>
  <si>
    <t>Campus Medius: Digitales Kartografieren in den Kultur- und Medienwissenschaften</t>
  </si>
  <si>
    <t>Archives, Access and Artificial Intelligence</t>
  </si>
  <si>
    <t>Â»Transforming our WorldÂ« â€“ Zukunftsdiskurse zur Umsetzung der UN-Agenda 2030</t>
  </si>
  <si>
    <t>Christiane Meyer</t>
  </si>
  <si>
    <t>Theaterwissenschaft postkolonial/dekolonial</t>
  </si>
  <si>
    <t>Azadeh Sharifi-Lisa Skwirblies</t>
  </si>
  <si>
    <t>Das SpieÃŸerverdikt</t>
  </si>
  <si>
    <t>Sonja Engel-Dominik Schrage</t>
  </si>
  <si>
    <t>Krankheit gestalten</t>
  </si>
  <si>
    <t>Henrik EÃŸler</t>
  </si>
  <si>
    <t>Helfen</t>
  </si>
  <si>
    <t>Daniela BÃ¶hringer-Sarah Hitzler-Martina Richter</t>
  </si>
  <si>
    <t>Das Papier spricht â€“ Der KÃ¶rper zeichnet â€“ Die Hand denkt</t>
  </si>
  <si>
    <t>Lucia Schreyer</t>
  </si>
  <si>
    <t>Gewerkschaften im GedÃ¤chtnis der Demokratie</t>
  </si>
  <si>
    <t>Stefan Berger-Wolfgang JÃ¤ger-Ulf Teichmann</t>
  </si>
  <si>
    <t>VerknÃ¼pfte ModernitÃ¤ten</t>
  </si>
  <si>
    <t>Susanne Neubauer</t>
  </si>
  <si>
    <t>PopEventKulturen an den Schnittstellen von Management und Politik</t>
  </si>
  <si>
    <t>Beate Flath-Christoph Jacke</t>
  </si>
  <si>
    <t>Druckwellen</t>
  </si>
  <si>
    <t>Beate Flath-Ina Heinrich-Christoph Jacke-Heinrich Klingmann-Maryam Momen Pour Tafreshi</t>
  </si>
  <si>
    <t>Involvierte Autonomie</t>
  </si>
  <si>
    <t>Birgit Eusterschulte-Christian KrÃ¼ger</t>
  </si>
  <si>
    <t>Untotes GedÃ¤chtnis</t>
  </si>
  <si>
    <t>Gudrun Rath</t>
  </si>
  <si>
    <t>Queer Turkey</t>
  </si>
  <si>
    <t>Ralph J. Poole</t>
  </si>
  <si>
    <t>BevÃ¶lkerung als Problem?</t>
  </si>
  <si>
    <t>Annika Hartmann</t>
  </si>
  <si>
    <t>Bewusst im Paradies: Kitsch und ReflexivitÃ¤t</t>
  </si>
  <si>
    <t>Thomas KÃ¼pper</t>
  </si>
  <si>
    <t>Die Integration religiÃ¶ser Vielfalt in der staatlichen Schule.</t>
  </si>
  <si>
    <t>Hannah Rubin</t>
  </si>
  <si>
    <t>Demystifying the Sacred</t>
  </si>
  <si>
    <t>Eveline Bouwers-David Nash</t>
  </si>
  <si>
    <t>Vitale Mystik</t>
  </si>
  <si>
    <t>Jenny Haase</t>
  </si>
  <si>
    <t>Die deutschsprachige weltliche Liedkultur um 1600</t>
  </si>
  <si>
    <t>FrÃ©dÃ©rique Renno</t>
  </si>
  <si>
    <t>Shadow Education in the Middle East</t>
  </si>
  <si>
    <t>Mark Bray-Anas Hajar</t>
  </si>
  <si>
    <t>Megaliths of the World</t>
  </si>
  <si>
    <t>Luc Laporte-Jean-Marc Large-Laurent Nespoulous-Chris Scarre-Tara Steimer-Herbet</t>
  </si>
  <si>
    <t>Europe's Lost Frontiers: Volume 1</t>
  </si>
  <si>
    <t>Vincent Gaffney-Simon Fitch</t>
  </si>
  <si>
    <t>The Delta Survey Workshop: Proceedings From Conferences Held in Alexandria (2017) and Mansoura (2019)</t>
  </si>
  <si>
    <t>Ayman Wahby-Penelope Wilson</t>
  </si>
  <si>
    <t>E-attachment and Online Communication</t>
  </si>
  <si>
    <t>Katarzyna Sitnik-Warchulska-Bernadetta Izydorczyk-Zbigniew Wajda</t>
  </si>
  <si>
    <t>Die Â«ParzivalÂ»-Handschrift L (Hamburg, Staats- und Universitaetsbibliothek, Cod. germ. 6)</t>
  </si>
  <si>
    <t>Mirjam GeissbÃ¼hler</t>
  </si>
  <si>
    <t>Contingent Encounters</t>
  </si>
  <si>
    <t>Dan DiPiero</t>
  </si>
  <si>
    <t>Managing Sacralities</t>
  </si>
  <si>
    <t>Ernst van den Hemel-Oscar Salemink-Irene Stengs</t>
  </si>
  <si>
    <t>Once Upon a Time Is Now</t>
  </si>
  <si>
    <t>BIOGRAPHY &amp; AUTOBIOGRAPHY / Social Scientists &amp; Psychologists</t>
  </si>
  <si>
    <t>Megan Biesele</t>
  </si>
  <si>
    <t>Resettled Iraqi Refugees in the United States</t>
  </si>
  <si>
    <t>Jared Keyel</t>
  </si>
  <si>
    <t>Terrorism and the Pandemic</t>
  </si>
  <si>
    <t>Rohan Gunaratna-Katalin Petho-Kiss</t>
  </si>
  <si>
    <t>Integrating Strangers</t>
  </si>
  <si>
    <t>AnaÃ¯s MÃ©nard</t>
  </si>
  <si>
    <t>Assessment for Experiential Learning</t>
  </si>
  <si>
    <t>Cecilia Ka Yuk Chan</t>
  </si>
  <si>
    <t>Violence</t>
  </si>
  <si>
    <t>Janice, Murray-Shakila, Dada-Adele, May</t>
  </si>
  <si>
    <t>A Frequency Dictionary of Old English Prose for Learners of Old English and Historical Linguist</t>
  </si>
  <si>
    <t>LANGUAGE STUDY / Old &amp; Middle English</t>
  </si>
  <si>
    <t>Sylwia KarasiÅ„ska-Paulina RybiÅ„ska-MichaÅ‚ Adamczyk-Maciej Grabski-Piotr PÄ™zik-Anna Cichosz-Aneta Ostrowska</t>
  </si>
  <si>
    <t>Locuciones adverbiales de cuantificaciÃ³n superlativa positiva en forma de frases preposicionales. Estudio semÃ¡ntico-sintÃ¡ctico relativo al espaÃ±ol europeo</t>
  </si>
  <si>
    <t>Monika Lisowska</t>
  </si>
  <si>
    <t>Instytut Zagospodarowania Åšrodowiska i Polityki Przestrzennej UÅ (1991â€“2021)</t>
  </si>
  <si>
    <t>Tadeusz MarszaÅ‚</t>
  </si>
  <si>
    <t>Parties As Governments in Eurasia, 1913â€“1991</t>
  </si>
  <si>
    <t>Ivan Sablin-Egas Moniz Bandeira</t>
  </si>
  <si>
    <t>Achievements and Trends in Material Forming</t>
  </si>
  <si>
    <t>Gabriela Vincze-FrÃ©dÃ©ric Barlat</t>
  </si>
  <si>
    <t>Selbst organisiertes Lernen am Gymnasium</t>
  </si>
  <si>
    <t>Robert Hilbe</t>
  </si>
  <si>
    <t>AufbruÌˆche, UmbruÌˆche, AbbruÌˆche</t>
  </si>
  <si>
    <t>Thorsten Fuchs-Christine Demmer-Christine Wiezorek</t>
  </si>
  <si>
    <t>Verstehendes Forschen in der Pandemie und anderen Ausnahmesituationen</t>
  </si>
  <si>
    <t>Sylke Bartmann-Nina Erdmann-Meike Haefker-Christin SchÃ¶rmann-Claudia Streblow-Poser</t>
  </si>
  <si>
    <t>Across Species and Cultures</t>
  </si>
  <si>
    <t>Ryan Tucker Jones-Angela Wanhalla</t>
  </si>
  <si>
    <t>Finanz- und wirtschaftspolitische Fragen der Zwischenkriegszeit.</t>
  </si>
  <si>
    <t>Verhandlungen der am 28. und 29. September 1888 in Frankfurt a.M. abgehaltenen Generalversammlung des Vereins fÃ¼r Socialpolitik Ã¼ber den lÃ¤ndlichen Wucher, die Mittel zu seiner AbhÃ¼lfe, insbesondere die Organisation des bÃ¤uerlichen Kredits</t>
  </si>
  <si>
    <t>Die Arbeitslosigkeit der Gegenwart.</t>
  </si>
  <si>
    <t>Manuel Saitzew</t>
  </si>
  <si>
    <t>Lernwelt Hochschule 2030</t>
  </si>
  <si>
    <t>Richard Stang-Alexandra Becker</t>
  </si>
  <si>
    <t>Commentary on Aristotle, â€ºNicomachean Ethicsâ€¹</t>
  </si>
  <si>
    <t>Georgios Pachymeres-Sophia Xenophontos</t>
  </si>
  <si>
    <t>Lascivia mascherata</t>
  </si>
  <si>
    <t>Maddalena Fingerle</t>
  </si>
  <si>
    <t>â€žSeelenbeschreibungenâ€œ</t>
  </si>
  <si>
    <t>Heinrich Richard Schmidt-Veronika Albrecht-Birkner-Michael Egger-Stefan Ehrenpreis-Janine Scheurer</t>
  </si>
  <si>
    <t>"JÃ¼dinnen" - Literarische WeiblichkeitsentwÃ¼rfe im 20. Jahrhundert</t>
  </si>
  <si>
    <t>Anna-Dorothea Ludewig</t>
  </si>
  <si>
    <t>Migration and Diaspora Formation</t>
  </si>
  <si>
    <t>Ciprian BurlÄƒcioiu</t>
  </si>
  <si>
    <t>Staatsorganisationsrecht</t>
  </si>
  <si>
    <t>Konzepte des JÃ¼dischen: Ausstellen, AufklÃ¤ren, Erinnern</t>
  </si>
  <si>
    <t>Darja Alexandra Pisetzki</t>
  </si>
  <si>
    <t>Navigating Copyright for Libraries</t>
  </si>
  <si>
    <t>Jessica Coates-Victoria Owen-Susan Reilly</t>
  </si>
  <si>
    <t>Gender and History</t>
  </si>
  <si>
    <t>Jyoti Atwal-Ciara Breathnach-Sarah-Anne Buckley</t>
  </si>
  <si>
    <t>Waterlands: Prehistoric Life at Bar Pasture, Pode Hole Quarry, Peterborough</t>
  </si>
  <si>
    <t>Andy Richmond-Karen Francis-Gary Coates</t>
  </si>
  <si>
    <t>Digital Constitutionalism</t>
  </si>
  <si>
    <t>Edoardo Celeste</t>
  </si>
  <si>
    <t>European Planning History in the 20th Century</t>
  </si>
  <si>
    <t>Max Welch Guerra-Abdellah Abarkan-MarÃ­a A. Castrillo RomÃ³n-Martin PekÃ¡r</t>
  </si>
  <si>
    <t>The Transcendent Character of the Good</t>
  </si>
  <si>
    <t>Petruschka Schaafsma</t>
  </si>
  <si>
    <t>Diversifying the Teaching Profession</t>
  </si>
  <si>
    <t>Elaine Keane-Manuela Heinz-Rory Mc Daid</t>
  </si>
  <si>
    <t>Sefer Ha-Pardes by Jedaiah Ha-Penini</t>
  </si>
  <si>
    <t xml:space="preserve"> David Torollo</t>
  </si>
  <si>
    <t>Contemporary Research on Management and Business</t>
  </si>
  <si>
    <t>Siska Noviaristanti</t>
  </si>
  <si>
    <t>Public Innovation and Digital Transformation</t>
  </si>
  <si>
    <t>Hannele VÃ¤yrynen-Nina Helander-Harri Jalonen</t>
  </si>
  <si>
    <t>The Dynamics of Influencer Marketing</t>
  </si>
  <si>
    <t>BUSINESS &amp; ECONOMICS / Marketing / Multilevel</t>
  </si>
  <si>
    <t>JosÃ© M. Ãlvarez-Monzoncillo</t>
  </si>
  <si>
    <t>Unruly Narrative</t>
  </si>
  <si>
    <t>Samira Spatzek</t>
  </si>
  <si>
    <t>Grundlagen einer Theorie der Prosa</t>
  </si>
  <si>
    <t>Ralf Simon</t>
  </si>
  <si>
    <t>Primitive Thinking</t>
  </si>
  <si>
    <t>Nicola Gess</t>
  </si>
  <si>
    <t>Culture As Soft Power</t>
  </si>
  <si>
    <t>Elisabet CarbÃ³-Catalan-Diana Roig Sanz</t>
  </si>
  <si>
    <t>Manuscript and Print in the Islamic Tradition</t>
  </si>
  <si>
    <t>Scott Reese</t>
  </si>
  <si>
    <t>Performing Modernism</t>
  </si>
  <si>
    <t>Alexandra Chiriac</t>
  </si>
  <si>
    <t>International Handbook of Practical Theology</t>
  </si>
  <si>
    <t>RELIGION / Christian Ministry / Pastoral Resources</t>
  </si>
  <si>
    <t>Birgit Weyel-Wilhelm GrÃ¤b-Emmanuel Lartey-Cas Wepener</t>
  </si>
  <si>
    <t>On the Way to the "(Un)Known"?</t>
  </si>
  <si>
    <t>HISTORY / Middle East / Egypt</t>
  </si>
  <si>
    <t>Doris Gruber-Arno Strohmeyer</t>
  </si>
  <si>
    <t>BeitrÃ¤ge zur Innovationspolitik.</t>
  </si>
  <si>
    <t>Das ArbeitskrÃ¤fteangebot zwischen Markt und Plan.</t>
  </si>
  <si>
    <t>Selbstverwaltung als ordnungspolitisches Problem des Sozialstaates I.</t>
  </si>
  <si>
    <t>Wettbewerbsprobleme auf dem Markt fÃ¼r Arzneimittel und staatliche Gesundheitspolitik.</t>
  </si>
  <si>
    <t>Wettbewerbsprobleme der MineralÃ¶lwirtschaft im Schatten des OPEC-Kartells.</t>
  </si>
  <si>
    <t>While Waiting for Rain</t>
  </si>
  <si>
    <t>John Henry Schlegel</t>
  </si>
  <si>
    <t>Die betriebliche Sozialpolitik in der westdeutschen GroÃŸeisenindustrie.</t>
  </si>
  <si>
    <t>Rudolf Schwenger-Goetz Briefs</t>
  </si>
  <si>
    <t>Geschichte des Vereins fÃ¼r Sozialpolitik 1872â€“1932.</t>
  </si>
  <si>
    <t>Franz Boese</t>
  </si>
  <si>
    <t>Das Schlichtungswesen des Auslandes.</t>
  </si>
  <si>
    <t>Moritz Julius Bonn</t>
  </si>
  <si>
    <t>Die betriebliche Sozialpolitik im Ruhrkohlenbergbau.</t>
  </si>
  <si>
    <t>Fritz Mangold-Manuel Saitzew</t>
  </si>
  <si>
    <t>Die Beamtenbesoldung im modernen Staat.</t>
  </si>
  <si>
    <t>Wilhelm Gerloff</t>
  </si>
  <si>
    <t>Grundlagen und Grenzen der Sozialpolitik â€“ Deutsche Agrarnot â€“ StÃ¤dtische Wohn- und Siedelwirtschaft.</t>
  </si>
  <si>
    <t>Das Kartellproblem.</t>
  </si>
  <si>
    <t>Emil Lederer</t>
  </si>
  <si>
    <t>Das Kartellproblem im Lichte der deutschen Kartelliteratur.</t>
  </si>
  <si>
    <t>Arnold Wolfers-Emil Lederer</t>
  </si>
  <si>
    <t>Einigungs- und Schiedsgrundsatz.</t>
  </si>
  <si>
    <t>Walter Weddigen-Moritz Julius Bonn</t>
  </si>
  <si>
    <t>Die Vererbung des lÃ¤ndlichen Grundbesitzes in der Nachkriegszeit.</t>
  </si>
  <si>
    <t>Max Sering-Constantin von Dietze</t>
  </si>
  <si>
    <t>BeitrÃ¤ge zur stÃ¤dtischen Wohn- und Siedelwirtschaft.</t>
  </si>
  <si>
    <t>Waldemar Zimmermann</t>
  </si>
  <si>
    <t>BeitrÃ¤ge zur Wirtschaftstheorie.</t>
  </si>
  <si>
    <t>Karl Diehl</t>
  </si>
  <si>
    <t>Krisis der Weltwirtschaft â€“ ÃœbervÃ¶lkerung Westeuropas â€“ SteuerÃ¼berwÃ¤lzung.</t>
  </si>
  <si>
    <t>Probleme der deutschen Zahlungsbilanz.</t>
  </si>
  <si>
    <t>Rudolf Meerwarth-Wilhelm RiÃŸkalt-Bernhard Karlsberg-Moritz Julius Bonn-Karl Diehl-Felix Somary</t>
  </si>
  <si>
    <t>Die Politik der Reichsbank und die Reichsschatzanweisungen nach dem Kriege.</t>
  </si>
  <si>
    <t>Alfred Lansburgh-Franz Eulenburg-Karl Diehl-Felix Somary</t>
  </si>
  <si>
    <t>PlÃ¤ne und Versuche zur WÃ¤hrungssanierung.</t>
  </si>
  <si>
    <t>Melchior Palyi-Karl Diehl-Felix Somary</t>
  </si>
  <si>
    <t>Die Dogmatik geheimer Unternehmensinformationen im Umweltrecht.</t>
  </si>
  <si>
    <t>Hagen Lohmann</t>
  </si>
  <si>
    <t>Korpuslinguistik im Recht.</t>
  </si>
  <si>
    <t>Friedemann Vogel-Tonio Walter-Felix Tripps</t>
  </si>
  <si>
    <t>MÃ©liÃ¨s Boots</t>
  </si>
  <si>
    <t>Matthew Solomon</t>
  </si>
  <si>
    <t>Professional Practice in Child Protection and the Childâ€™s Right to Participate</t>
  </si>
  <si>
    <t>SOCIAL SCIENCE / Human Services</t>
  </si>
  <si>
    <t>Asgeir Falch-Eriksen-Karmen Toros</t>
  </si>
  <si>
    <t>Speculative Television and the Doing and Undoing of Religion</t>
  </si>
  <si>
    <t>Gregory Erickson</t>
  </si>
  <si>
    <t>Lorenz Jaeger als Seelsorger</t>
  </si>
  <si>
    <t>Nicole Priesching-Georg Pahlke</t>
  </si>
  <si>
    <t>AnfÃ¤nge der Globalisierung</t>
  </si>
  <si>
    <t>Philipp Stelzer</t>
  </si>
  <si>
    <t>A Community of Practice Approach to Improving Gender Equality in Research</t>
  </si>
  <si>
    <t>Rachel PalmÃ©n-JÃ¶rg MÃ¼ller</t>
  </si>
  <si>
    <t>Conversion in Germany</t>
  </si>
  <si>
    <t>Frank Liesen</t>
  </si>
  <si>
    <t>Economic Tendency Surveys and Economic Policy - Measuring Output Gaps and Growth Potentials</t>
  </si>
  <si>
    <t>Sylwester BiaÅ‚owÄ…s (ed.)</t>
  </si>
  <si>
    <t>Reading the Juggler of Notre Dame</t>
  </si>
  <si>
    <t xml:space="preserve"> Jan M. Ziolkowski</t>
  </si>
  <si>
    <t>Making Multiple Babies</t>
  </si>
  <si>
    <t>Chia-Ling Wu</t>
  </si>
  <si>
    <t>Ethical Evidence and Policymaking</t>
  </si>
  <si>
    <t>Ron Iphofen-DÃ³nal Oâ€™MathÃºna</t>
  </si>
  <si>
    <t>The European Union and the United Nations in Global Governance</t>
  </si>
  <si>
    <t>Madeleine O. Hosli</t>
  </si>
  <si>
    <t>Globalisation, Geopolitics, and Gender in Professional Communication</t>
  </si>
  <si>
    <t>Louise Mullany-Stephanie Schnurr</t>
  </si>
  <si>
    <t>Practica et Speculativa. Studies Offered to Professor Andrzej M. Kaniowski</t>
  </si>
  <si>
    <t>Marek Gensler-Agnieszka GraliÅ„ska-Toborek-Wioletta Kazimierska-Jerzyk-Krzysztof KÄ™dziora-Joanna Miksa-WspÃ³Å‚praca: Monika Mansfeld</t>
  </si>
  <si>
    <t>Saga rodzinna w literaturze polskiej XXI wieku. Konwencja czy kontestacja?</t>
  </si>
  <si>
    <t>Anna Zatora</t>
  </si>
  <si>
    <t>Infrastruktura w strukturze funkcjonalno-przestrzennej jednostek terytorialnych</t>
  </si>
  <si>
    <t>Marcin Feltynowski</t>
  </si>
  <si>
    <t>Strategie rozwoju zagranicznych sieci handlowych w Polsce. Nowe wyzwania marketingowe</t>
  </si>
  <si>
    <t>Tomasz DomaÅ„ski</t>
  </si>
  <si>
    <t>Angewandte Linguistik fÃ¼r Sprachberufe</t>
  </si>
  <si>
    <t>ZHAW School of Applied Linguistics</t>
  </si>
  <si>
    <t>Gender in der deutschsprachigen Kinder- und Jugendliteratur</t>
  </si>
  <si>
    <t>Weertje Willms</t>
  </si>
  <si>
    <t>ÃœberforderungseinwÃ¤nde in der Ethik</t>
  </si>
  <si>
    <t>Lukas Naegeli</t>
  </si>
  <si>
    <t>Photographing Central Asia</t>
  </si>
  <si>
    <t>Svetlana Gorshenina-Sergei Abashin-Bruno De Cordier-Tatiana Saburova</t>
  </si>
  <si>
    <t>Notions of Temporalities in Artistic Practice</t>
  </si>
  <si>
    <t>Anamarija Batista</t>
  </si>
  <si>
    <t>The Politics of Bad Governance in Contemporary Russia</t>
  </si>
  <si>
    <t>Vladimir Gel'man</t>
  </si>
  <si>
    <t>Gender Dynamics in Transboundary Water Governance</t>
  </si>
  <si>
    <t>Jenniver Sehring-Rozemarijn ter Horst-Margreet Zwarteveen</t>
  </si>
  <si>
    <t>Governing Abroad</t>
  </si>
  <si>
    <t>Sibel Oktay</t>
  </si>
  <si>
    <t>The Family of Pa-di-Amun-neb-nesut-tawy From Thebes (TT 414) Revisited</t>
  </si>
  <si>
    <t>Julia Budka-TamÃ¡s Mekis</t>
  </si>
  <si>
    <t>The Circular Archetype in Microcosm: The Carved Stone Balls of Late Neolithic Scotland</t>
  </si>
  <si>
    <t>Chris L. Stewart-Moffitt</t>
  </si>
  <si>
    <t>Fire Safe Use of Wood in Buildings</t>
  </si>
  <si>
    <t>Andrew Buchanan-Birgit Ã–stman</t>
  </si>
  <si>
    <t>Digital Business Models in Sport</t>
  </si>
  <si>
    <t>Mateusz Tomanek-Wojciech Cieslinski-Michal Polasik</t>
  </si>
  <si>
    <t>Modelling and Optimization of Wave Energy Converters</t>
  </si>
  <si>
    <t>Dezhi Ning-Boyin Ding</t>
  </si>
  <si>
    <t>On Cyprian Norwid. Studies and Essays</t>
  </si>
  <si>
    <t>Agata Brajerska-Mazur-Edyta Chlebowska</t>
  </si>
  <si>
    <t>Sparta: History, State and Society</t>
  </si>
  <si>
    <t>Ryszard Kulesza</t>
  </si>
  <si>
    <t>Engineering Innovations Vol. 3</t>
  </si>
  <si>
    <t>Elena Gordo OdÃ©riz-Afrooz Barnoush</t>
  </si>
  <si>
    <t>What Is Academic Freedom?</t>
  </si>
  <si>
    <t>Daniel Gordon</t>
  </si>
  <si>
    <t>Die wirtschaftliche AnnÃ¤herung zwischen dem Deutschen Reiche und seinen VerbÃ¼ndeten.</t>
  </si>
  <si>
    <t>Heinrich Herkner</t>
  </si>
  <si>
    <t>Das System der abhÃ¤ngigen SchÃ¶pfungen im digitalen Zeitalter â€“ Eine Untersuchung am Beispiel von Internet-Memen.</t>
  </si>
  <si>
    <t>Alexandra Wachtel</t>
  </si>
  <si>
    <t>Moderne Organisationsformen der Ã¶ffentlichen Unternehmung.</t>
  </si>
  <si>
    <t>Bruno Moll-Julius Landmann</t>
  </si>
  <si>
    <t>Julius Landmann</t>
  </si>
  <si>
    <t>Kapitalbildung und Besteuerung.</t>
  </si>
  <si>
    <t>Walther Lotz</t>
  </si>
  <si>
    <t>Die Auslandskredite in ihrer finanziellen, wirtschaftlichen und sozialen Bedeutung.</t>
  </si>
  <si>
    <t>Finanzsteuern, Zwecksteuern und Zweckzuwendungen von SteuerertrÃ¤gen.</t>
  </si>
  <si>
    <t>Karl BrÃ¤uer-Walther Lotz</t>
  </si>
  <si>
    <t>Finanzwissenschaftliche Untersuchungen.</t>
  </si>
  <si>
    <t>Neue Grundlagen der Handelspolitik.</t>
  </si>
  <si>
    <t>Franz Eulenburg</t>
  </si>
  <si>
    <t>Theorie des Klassenkampfs â€“ Handelspolitik â€“ WÃ¤hrungsfrage.</t>
  </si>
  <si>
    <t>Geldentwertung und Stabilisierung in ihren EinflÃ¼ssen auf die soziale Entwicklung in Ã–sterreich.</t>
  </si>
  <si>
    <t>Julius Bunzel</t>
  </si>
  <si>
    <t>Besteuerung und Geldentwertung.</t>
  </si>
  <si>
    <t>Arthur Cohen-Felix Somary-Walther Lotz-Karl Diehl</t>
  </si>
  <si>
    <t>Steuerbelastung und Wiedergutmachung. Ein Beitrag zur Reparationsfrage.</t>
  </si>
  <si>
    <t>Wilhelm Gerloff-Felix Somary-Walther Lotz-Karl Diehl</t>
  </si>
  <si>
    <t>Zahlungsbilanz und LebensfÃ¤higkeit Ã–sterreichs.</t>
  </si>
  <si>
    <t>Friedrich Hertz-Moritz Julius Bonn-Karl Diehl-Felix Somary</t>
  </si>
  <si>
    <t>WÃ¤hrungsreform in der Tschechoslowakei und in Sowjet-RuÃŸland.</t>
  </si>
  <si>
    <t>Alfred Amonn-Michael von Bernatzky-Melchior Palyi-Karl Diehl-Felix Somary</t>
  </si>
  <si>
    <t>Das Papiergeld der franzÃ¶sischen Revolution 1789â€“1797.</t>
  </si>
  <si>
    <t>Semen A. Falkner-Melchior Palyi-Karl Diehl-Felix Somary</t>
  </si>
  <si>
    <t>Die Devalvierung des Ã¶sterreichischen Papiergeldes im Jahre 1811. Eine finanzgeschichtliche Darstellung nach archivalischen Quellen.</t>
  </si>
  <si>
    <t>Victor Hofmann-Melchior Palyi-Felix Somary-Karl Diehl</t>
  </si>
  <si>
    <t>Die geldtheoretische und geldrechtliche Seite des Stabilisierungsproblems.</t>
  </si>
  <si>
    <t>Ludwig Mises-Franz Klein-Emil Lederer-Melchior Palyi-Karl Diehl-Felix Somary</t>
  </si>
  <si>
    <t>Die Zukunft der Sozialpolitik â€“ Die Not der geistigen Arbeiter. JubilÃ¤umstagung des Vereins fÃ¼r Sozialpolitik in Eisenach 1922.</t>
  </si>
  <si>
    <t>Verhandlungen des Vereins fÃ¼r Sozialpolitik in Kiel 1920.</t>
  </si>
  <si>
    <t>Die Reform der staatswissenschaftlichen Studien.</t>
  </si>
  <si>
    <t>Ignaz Jastrow</t>
  </si>
  <si>
    <t>Verhandlungen des Vereins fÃ¼r Sozialpolitik in Regensburg 1919 zu den Wirtschaftsbeziehungen zwischen dem Deutschen Reiche und Deutsch-Ã–sterreich und zur Sozialisierungsfrage.</t>
  </si>
  <si>
    <t>Englische und preuÃŸische Steuerveranlagung.</t>
  </si>
  <si>
    <t>Heinrich Dietzel-Heinrich Herkner</t>
  </si>
  <si>
    <t>Die Neuordnung der deutschen Finanzwirtschaft.</t>
  </si>
  <si>
    <t>Die Hypothekenbanken.</t>
  </si>
  <si>
    <t>Fritz Schulte-Hermann Schumacher</t>
  </si>
  <si>
    <t>Das DepositengeschÃ¤ft der Berliner GroÃŸbanken.</t>
  </si>
  <si>
    <t>Gustav Motschmann-Hermann Schumacher</t>
  </si>
  <si>
    <t>Auslese und Anpassung der Arbeiterschaft in der Schuhindustrie und einem oberschlesischen Walzwerke.</t>
  </si>
  <si>
    <t>Ludwig Einzheimer</t>
  </si>
  <si>
    <t>Der Stand der Gesetzgebung Ã¼ber Erwerbs- und Wirtschaftsgenossenschaften in den wichtigsten KulturlÃ¤ndern bei Kriegsausbruch 1914.</t>
  </si>
  <si>
    <t>Ludwig Waldecker-Robert Wilbrandt-Hugo Thiel</t>
  </si>
  <si>
    <t>Einkaufsvereinigungen auf dem Lande.</t>
  </si>
  <si>
    <t>Hugo Thiel-Robert Wilbrandt</t>
  </si>
  <si>
    <t>Eduard Pfeiffer und die deutsche Konsumgenossenschaftsbewegung.</t>
  </si>
  <si>
    <t>Karl Bittel-Hugo Thiel-Robert Wilbrandt</t>
  </si>
  <si>
    <t>Kosten der Lebenshaltung in deutschen GroÃŸstÃ¤dten.</t>
  </si>
  <si>
    <t>The Development of Political Institutions</t>
  </si>
  <si>
    <t>Federico Ferrara</t>
  </si>
  <si>
    <t>Meanings of Public and the Future of Public Services</t>
  </si>
  <si>
    <t>David A. McDonald</t>
  </si>
  <si>
    <t>Juden und ihre Nachbarn</t>
  </si>
  <si>
    <t>Kerstin Schoor-Werner TreÃŸ</t>
  </si>
  <si>
    <t>Kellers ErzÃ¤hlen</t>
  </si>
  <si>
    <t>Philipp Theisohn</t>
  </si>
  <si>
    <t>Nationalism and Populism</t>
  </si>
  <si>
    <t>Carsten Schapkow-Frank Jacob</t>
  </si>
  <si>
    <t>When Tibetan Meditation Goes Global</t>
  </si>
  <si>
    <t>RELIGION / Buddhism / Tibetan</t>
  </si>
  <si>
    <t>Mara Lisa Arizaga</t>
  </si>
  <si>
    <t>Perspectives on the Self</t>
  </si>
  <si>
    <t>VojtÄ›ch Kolman-Tereza MatÄ›jÄkovÃ¡</t>
  </si>
  <si>
    <t>Piezoelectric Electromechanical Transducers for Underwater Sound, Part III &amp; IV</t>
  </si>
  <si>
    <t>Boris S. Aronov</t>
  </si>
  <si>
    <t>The American Literature Scholar in the Digital Age</t>
  </si>
  <si>
    <t>Amy E. Earhart-Andrew Jewell</t>
  </si>
  <si>
    <t>Home Truths?</t>
  </si>
  <si>
    <t>David Buckingham-Maria Pini-Rebekah Willett</t>
  </si>
  <si>
    <t>New Directions in the Ethics and Politics of Speech</t>
  </si>
  <si>
    <t>J.P. Messina</t>
  </si>
  <si>
    <t>The Repoliticization of the Welfare State</t>
  </si>
  <si>
    <t>Ian P McManus</t>
  </si>
  <si>
    <t>Feminist Conversations on Peace</t>
  </si>
  <si>
    <t>Sarah Smith-Keina Yoshida</t>
  </si>
  <si>
    <t>Noise As a Constructive Element in Music</t>
  </si>
  <si>
    <t>Mark Delaere</t>
  </si>
  <si>
    <t>Neo-Aramaic and Kurdish Folklore From Northern Iraq</t>
  </si>
  <si>
    <t xml:space="preserve"> Geoffrey Khan-Masoud Mohammadirad-Dorota Molin-Paul M. Noorlander</t>
  </si>
  <si>
    <t>Second Chance</t>
  </si>
  <si>
    <t xml:space="preserve"> Ruth Rosengarten</t>
  </si>
  <si>
    <t>Womenâ€™s Political Representation in Iran and Turkey</t>
  </si>
  <si>
    <t>Mona Tajali</t>
  </si>
  <si>
    <t>The Modernist Anthropocene</t>
  </si>
  <si>
    <t>Peter Adkins</t>
  </si>
  <si>
    <t>Aristotle's Ethics in the Italian Renaissance (ca. 1300-1650)</t>
  </si>
  <si>
    <t>David Lines</t>
  </si>
  <si>
    <t>The Mediations of Music</t>
  </si>
  <si>
    <t>Gianmario Borio</t>
  </si>
  <si>
    <t>Preisbildung gewerblicher Erzeugnisse in Belgien.</t>
  </si>
  <si>
    <t>Ernest Mahaim</t>
  </si>
  <si>
    <t>Preisbildung fÃ¼r gewerbliche Erzeugnisse.</t>
  </si>
  <si>
    <t>Untersuchungen Ã¼ber die Lebenskosten in der Schweiz.</t>
  </si>
  <si>
    <t>Stephan Bauer</t>
  </si>
  <si>
    <t>DrittglÃ¤ubigerschutz bei Gesellschaftsfinanzierung mittels hybrider Finanzinstrumente.</t>
  </si>
  <si>
    <t>Max Reinhardt</t>
  </si>
  <si>
    <t>Die Konsumgenossenschaftsbewegung in Frankreich und in den Vereinigten Staaten von Amerika. â€“ Der Internationale Genossenschaftsbund.</t>
  </si>
  <si>
    <t>Carl Johannes Fuchs-Robert Wilbrandt</t>
  </si>
  <si>
    <t>Die Konsumvereinsbewegung in Deutschland.</t>
  </si>
  <si>
    <t>Theodor O. Cassau-Carl Johannes Fuchs-Robert Wilbrandt</t>
  </si>
  <si>
    <t>Die Konsumvereine in Holland, Japan, Ã–sterreich und der Schweiz.</t>
  </si>
  <si>
    <t>Die Konsumvereine in RuÃŸland.</t>
  </si>
  <si>
    <t>Vachan Totomianz-Robert Wilbrandt-Carl Johannes Fuchs</t>
  </si>
  <si>
    <t>Die Konsumvereinsbewegung in GroÃŸbritannien.</t>
  </si>
  <si>
    <t>Theodor O. Cassau-Hugo Thiel-Robert Wilbrandt</t>
  </si>
  <si>
    <t>Der EinfluÃŸ der Golderzeugung auf die Preisbildung 1890â€“1913.</t>
  </si>
  <si>
    <t>Wilhelm Gehlhoff-Arthur Spiethoff</t>
  </si>
  <si>
    <t>Preisbewegung landwirtschaftlicher GÃ¼ter in einigen Teilen Bayerns wÃ¤hrend der Jahre 1900 bis 1910.</t>
  </si>
  <si>
    <t>Die deutschen Kolonisten im brasilianischen Staate Espirito Santo.</t>
  </si>
  <si>
    <t>Ernst Wagemann</t>
  </si>
  <si>
    <t>Britisch-Kaffraria und seine deutschen Siedlungen.</t>
  </si>
  <si>
    <t>Johannes Spanuth</t>
  </si>
  <si>
    <t>Die Ansiedlung von EuropÃ¤ern in den Tropen.</t>
  </si>
  <si>
    <t>LÃ¶hne und Lebenskosten in Westeuropa im 19. Jahrhundert.</t>
  </si>
  <si>
    <t>Carl von Tyszka</t>
  </si>
  <si>
    <t>Die Preisbewegung elektrischer Arbeit seit 1898.</t>
  </si>
  <si>
    <t>Gustav Siegel-Franz Eulenburg</t>
  </si>
  <si>
    <t>Steinkohlenpreise und Dampfkraftkosten.</t>
  </si>
  <si>
    <t>Manuel Saitzew-Franz Eulenburg</t>
  </si>
  <si>
    <t>Die Preisentwicklung in der Steinkohlengasindustrie.</t>
  </si>
  <si>
    <t>Walter le Coutre-Franz Eulenburg</t>
  </si>
  <si>
    <t>Die Preisentwicklung der Baumwolle und Baumwollfabrikate.</t>
  </si>
  <si>
    <t>Kurt Apelt-Ernst Ilgen-Franz Eulenburg</t>
  </si>
  <si>
    <t>Julia 2010</t>
  </si>
  <si>
    <t>Marian Simms-John Wanna</t>
  </si>
  <si>
    <t>Networked Governance of Freedom and Tyranny</t>
  </si>
  <si>
    <t>John Braithwaite-Hilary Charlesworth-Aderito Soares</t>
  </si>
  <si>
    <t>An Economic Philosophy of Production, Work and Consumption</t>
  </si>
  <si>
    <t>Rodney Edvinsson</t>
  </si>
  <si>
    <t>War at the Margins</t>
  </si>
  <si>
    <t>Lin Poyer</t>
  </si>
  <si>
    <t>The Need to Belong in Secondary School</t>
  </si>
  <si>
    <t>Sharon du Plessis-Schneider</t>
  </si>
  <si>
    <t>The Expression of â€œcollectivityâ€ in Romance Languages</t>
  </si>
  <si>
    <t>DÃ©sirÃ©e Kleineberg</t>
  </si>
  <si>
    <t>Handlungskoordination in der Lernwelt Hochschule</t>
  </si>
  <si>
    <t>Alexandra Becker</t>
  </si>
  <si>
    <t>Acetylsalicylic Acid</t>
  </si>
  <si>
    <t>Karsten SchrÃ¶r</t>
  </si>
  <si>
    <t>Jewish Life and Culture in Germany After 1945</t>
  </si>
  <si>
    <t>Katrin KeÃŸler-Sarah M. Ross-Barbara Staudinger-Lea Weik</t>
  </si>
  <si>
    <t>Argumentationen Ã¼ber den Klimawandel in Schweizer Medien</t>
  </si>
  <si>
    <t>Nadine Kammermann</t>
  </si>
  <si>
    <t>Thinking Narratively</t>
  </si>
  <si>
    <t>Massimo Fusillo-Gianluigi Simonetti-Lorenzo Marchese</t>
  </si>
  <si>
    <t>SchÃ¶nheitsdiskurse in der Literatur des Mittelalters</t>
  </si>
  <si>
    <t>Fabian David Scheidel</t>
  </si>
  <si>
    <t>Technical Communication for Environmental Action</t>
  </si>
  <si>
    <t>TECHNOLOGY &amp; ENGINEERING / Technical Writing</t>
  </si>
  <si>
    <t>Sean D. Williams</t>
  </si>
  <si>
    <t>Political Reason and the Language of Change</t>
  </si>
  <si>
    <t>Adriana Luna-Fabritius-Ere Nokkala-Marten Seppel-Keith Tribe</t>
  </si>
  <si>
    <t>Self-Organised Schools</t>
  </si>
  <si>
    <t>Alberto F. De Toni-Stefano De Marchi</t>
  </si>
  <si>
    <t>Lernerfolg im Fernstudium</t>
  </si>
  <si>
    <t>Karin Wallrodt</t>
  </si>
  <si>
    <t>EuropÃ¤ische Gesellschaften zwischen KohÃ¤sion und Spaltung</t>
  </si>
  <si>
    <t>Florian Baier-Stefan Borrmann-Johanna Hefel-Barbara Thiessen</t>
  </si>
  <si>
    <t>Jungen in Bildungskontexten</t>
  </si>
  <si>
    <t>JÃ¼rgen Budde-Thomas Rieske</t>
  </si>
  <si>
    <t>The Economics of Gender in China</t>
  </si>
  <si>
    <t>Sisi Sung</t>
  </si>
  <si>
    <t>Populists and the Pandemic</t>
  </si>
  <si>
    <t>Nils Ringe-Lucio RennÃ³</t>
  </si>
  <si>
    <t>Wiederkehr des Subjekts?</t>
  </si>
  <si>
    <t>Matthias Fechner-Nikolas Immer-Henrieke Stahl</t>
  </si>
  <si>
    <t>Taoism, Teaching, and Learning</t>
  </si>
  <si>
    <t>John P. Miller-Xiang Li-Tian Ruan</t>
  </si>
  <si>
    <t>Drones and Geographical Information Technologies in Agroecology and Organic Farming</t>
  </si>
  <si>
    <t>Massimo De Marchi-Alberto Diantini-Salvatore Eugenio Pappalardo</t>
  </si>
  <si>
    <t>Spanish Verbalisations and the Internal Structure of Lexical Predicates</t>
  </si>
  <si>
    <t>Antonio FÃ¡bregas</t>
  </si>
  <si>
    <t>Social Movements and Politics During COVID-19</t>
  </si>
  <si>
    <t>Breno Bringel-Geoffrey Pleyers</t>
  </si>
  <si>
    <t>Embracing New Perspectives in History, Social Sciences, and Education</t>
  </si>
  <si>
    <t>Ronal Ridhoi-Arif Subekti-Francis M. Navarro-Hariyono</t>
  </si>
  <si>
    <t>Taxation in the Digital Economy</t>
  </si>
  <si>
    <t>BUSINESS &amp; ECONOMICS / International / Taxation</t>
  </si>
  <si>
    <t>Nella Hendriyetty-Chris Evans-Chul Ju Kim-Farhad Taghizadeh-Hesary</t>
  </si>
  <si>
    <t>Las competencias generales en la formaciÃ³n inicial docente. Experiencias y orientaciones para su desarrollo</t>
  </si>
  <si>
    <t>CaÃ±adas, Laura-Rappoport, Soledad</t>
  </si>
  <si>
    <t>Estudios de lingÃ¼Ã­stica hispÃ¡nica. TeorÃ­as, datos, contextos y aplicaciones: una introducciÃ³n crÃ­tica.</t>
  </si>
  <si>
    <t>Mariottini, Laura-Palmerini, Monica</t>
  </si>
  <si>
    <t>Covid-19, multiverso de disciplinas. Una mirada desde la salud, la educaciÃ³n y la comunicaciÃ³n.</t>
  </si>
  <si>
    <t>Puebla MartÃ­nez, BelÃ©n-Vinader Segura, Raquel-Navarro Sierra, Nuria</t>
  </si>
  <si>
    <t>Engineering Innovations Vol. 2</t>
  </si>
  <si>
    <t>NicuÈ™or-Alin SÃŽRBU-Jong Hak Kim-Alan Lau-Steven Y. Liang</t>
  </si>
  <si>
    <t>Capital and Inequality in Rural Papua New Guinea</t>
  </si>
  <si>
    <t>Bettina Beer-Tobias Schwoerer</t>
  </si>
  <si>
    <t>Beyond the Death of God</t>
  </si>
  <si>
    <t>Simone Raudino-Patricia Sohn</t>
  </si>
  <si>
    <t>Der Begriff der Askese in der Religionssoziologie Max Webers.</t>
  </si>
  <si>
    <t>Christian LÃ¼hrsen</t>
  </si>
  <si>
    <t>Translating Human Rights in Education</t>
  </si>
  <si>
    <t>Julia Biermann</t>
  </si>
  <si>
    <t>A Study of Crisis</t>
  </si>
  <si>
    <t>Michael Brecher-Jonathan Wilkenfeld</t>
  </si>
  <si>
    <t>300 Jahre "Robinson Crusoe"</t>
  </si>
  <si>
    <t>Christine Haug-Johannes Frimmel-Bill Bell</t>
  </si>
  <si>
    <t>Empire and Politics in the Eastern and Western Civilizations</t>
  </si>
  <si>
    <t>Andrea Balbo-Jaewon Ahn-Kihoon Kim</t>
  </si>
  <si>
    <t>Material and Digital Reconstruction of Fragmentary Dead Sea Scrolls</t>
  </si>
  <si>
    <t>Jonathan Ben-Dov-Asaf Gayer-Eshbal Ratzon</t>
  </si>
  <si>
    <t>War Traditions From the Qumran Caves</t>
  </si>
  <si>
    <t>Hanna Vanonen</t>
  </si>
  <si>
    <t>Frontiers of the Roman Empire: Slovakia</t>
  </si>
  <si>
    <t>MargarÃ©ta MusilovÃ¡-Branislav ResutÃ­k-KatarÃ­na HarmadyovÃ¡-JÃ¡n RajtÃ¡r-Jaroslava SchmidtovÃ¡-David J. Breeze-Sonja Jilek-Branislav LesÃ¡k</t>
  </si>
  <si>
    <t>Matriarchy in Bronze Age Crete</t>
  </si>
  <si>
    <t>Joan M. Cichon</t>
  </si>
  <si>
    <t>Sustainable Development: Innovations in Business</t>
  </si>
  <si>
    <t>Probert Romanowski (ed.)</t>
  </si>
  <si>
    <t>Experimental Design and Biometric Research. Toward Innovations</t>
  </si>
  <si>
    <t>Qualitative and Quantitative Methods in Sustainable Development</t>
  </si>
  <si>
    <t>Iwona Olejnik (ed.)</t>
  </si>
  <si>
    <t>Sustainability and Sustainable Development</t>
  </si>
  <si>
    <t>Magdalena StefaÅ„ska (ed.)</t>
  </si>
  <si>
    <t>Work, Care, and Gender. The Science of (un)happiness</t>
  </si>
  <si>
    <t>Piotr MichoÅ„</t>
  </si>
  <si>
    <t>Toward the â€žnew Normalâ€ After COVID-19 â€“ a Post-transition Economy Perspective</t>
  </si>
  <si>
    <t>Ewa MiÅ„ska-Struzik, Barbara Jankowska (eds.)</t>
  </si>
  <si>
    <t>Productionâ€“operation Management. The Chosen Aspects</t>
  </si>
  <si>
    <t>Dariusz Nowak (ed.)</t>
  </si>
  <si>
    <t>Accounting Challenges for Sustainability and Innovations</t>
  </si>
  <si>
    <t>Marzena Remlein (ed.)</t>
  </si>
  <si>
    <t>Understanding L2 Proficiency</t>
  </si>
  <si>
    <t>Eun Hee Jeon-Yo In'nami</t>
  </si>
  <si>
    <t>Berufliche Orientierung von Kindern im Grundschulalter</t>
  </si>
  <si>
    <t>Iris Baumgardt</t>
  </si>
  <si>
    <t>RNA, the Epicenter of Genetic Information</t>
  </si>
  <si>
    <t>John Mattick-Paulo Amaral</t>
  </si>
  <si>
    <t>Substantive Representation of Women in Asian Parliaments</t>
  </si>
  <si>
    <t>Devin K. Joshi-Christian Echle</t>
  </si>
  <si>
    <t>Asia in World Politics: Past, Present, and Future</t>
  </si>
  <si>
    <t>Marcin Socha-MichaÅ‚ ZarÄ™ba</t>
  </si>
  <si>
    <t>"Safe assets" w miÄ™dzynarodowym systemie finansowym. Problemy kreacji i perspektyw</t>
  </si>
  <si>
    <t>Joanna BogoÅ‚Ä™bska-Ewa Feder-Sempach-Ewa Stawasz-Grabowska</t>
  </si>
  <si>
    <t>Russia pivot to (Southeast) Asia. Polityka Rosji wobec Azji PoÅ‚udniowo-Wschodniej w XXI wieku</t>
  </si>
  <si>
    <t>MaÅ‚gorzata Pietrasiak</t>
  </si>
  <si>
    <t>Ekonomiczna wartoÅ›Ä‡ przestrzeni publicznych. KapitaÅ‚, wycena, zarzÄ…dzanie</t>
  </si>
  <si>
    <t>Jagoda Adamus-Zbigniew Przygodzki</t>
  </si>
  <si>
    <t>WspÃ³Å‚czesne trendy bezpieczeÅ„stwa biznesu. Problemy i wyzwania gospodarek wschodnich</t>
  </si>
  <si>
    <t>Beata Glinkowska-Krauze</t>
  </si>
  <si>
    <t>Religion, Reim und Regiment. Germanica der ersten HÃ¤lfte des 17. Jahrhunderts in der Lodzer UniversitÃ¤tsbibliothek / Religia, rym i regiment. Germanica z pierwszej poÅ‚owy XVII wieku w Bibliotece UÅ. Ausstellungskatalog / Katalog wystawy</t>
  </si>
  <si>
    <t>Cora Dietl-MaÅ‚gorzata Kubisiak-Tomasz OsosiÅ„ski</t>
  </si>
  <si>
    <t>The Power of Music</t>
  </si>
  <si>
    <t xml:space="preserve"> Susan Hallam-Evangelos Himonides</t>
  </si>
  <si>
    <t>The Merger Mystery</t>
  </si>
  <si>
    <t xml:space="preserve"> Geoff Meeks-J. Gay Meeks</t>
  </si>
  <si>
    <t>A Complete Guide to Maggot Therapy</t>
  </si>
  <si>
    <t xml:space="preserve"> Frank Stadler</t>
  </si>
  <si>
    <t>David W., Kang-Renee, Tannenbaum</t>
  </si>
  <si>
    <t>Rethinking Social Media and Extremism</t>
  </si>
  <si>
    <t>Shirley Leitch-Paul Pickering</t>
  </si>
  <si>
    <t>Esports and the Media</t>
  </si>
  <si>
    <t>Angel Torres-Toukoumidis</t>
  </si>
  <si>
    <t>Die VerhÃ¤ltnisse der Landarbeiter im ostelbischen Deutschland (PreuÃŸische Provinzen Ost- und WestpreuÃŸen, Pommern, Posen, Schlesien, Brandenburg, GroÃŸherzogtÃ¼mer Mecklenburg, Kreis Herzogtum Lauenburg).</t>
  </si>
  <si>
    <t>Max Weber</t>
  </si>
  <si>
    <t>Die VerhÃ¤ltnisse der Landarbeiter in Hohenzollern, im Reg.-Bez.</t>
  </si>
  <si>
    <t>Die VerhÃ¤ltnisse der Landarbeiter in Nordwestdeutschland, WÃ¼rttemberg, Baden und in den Reichslanden.</t>
  </si>
  <si>
    <t>Kameralismus und Merkantilismus.</t>
  </si>
  <si>
    <t>Volker Caspari</t>
  </si>
  <si>
    <t>Die Deutschen Arbeitgeber-VerbÃ¤nde.</t>
  </si>
  <si>
    <t>Gerhard Kessler</t>
  </si>
  <si>
    <t>Die Darstellung der Wirtschaft und der Wirtschaftswissenschaften in der Belletristik.</t>
  </si>
  <si>
    <t>Bertram Schefold</t>
  </si>
  <si>
    <t>Friedrich List: Voraussetzungen und Folgen.</t>
  </si>
  <si>
    <t>Deutsche NationalÃ¶konomie in der Zwischenkriegszeit.</t>
  </si>
  <si>
    <t>Probleme der Konjunkturtheorie im ausgehenden 19. Jahrhundert.</t>
  </si>
  <si>
    <t>Private Schadensgestaltung als Drittbelastung.</t>
  </si>
  <si>
    <t>Paul van Odijk</t>
  </si>
  <si>
    <t>Zeit in Gesetzen erfasst â€“ G. W. F. Hegels Theorie der Kodifikation.</t>
  </si>
  <si>
    <t>Michael W. MÃ¼ller</t>
  </si>
  <si>
    <t>Grundfragen der betrieblichen Sozialpolitik.</t>
  </si>
  <si>
    <t>L. H. Adolf Geck-Goetz Briefs</t>
  </si>
  <si>
    <t>Das Deutsche Institut fÃ¼r technische Arbeitsschulung (Dinta).</t>
  </si>
  <si>
    <t>Peter C. BÃ¤umer-Goetz Briefs</t>
  </si>
  <si>
    <t>Untersuchungen Ã¼ber Preisbildung.</t>
  </si>
  <si>
    <t>Carl Bertenburg</t>
  </si>
  <si>
    <t>Die Entwicklung der Landwirtschaft in den Vereinigten Staaten von Nordamerika und ihr EinfluÃŸ auf die Preisbildung landwirtschaftlicher Erzeugnisse.</t>
  </si>
  <si>
    <t>Max Augstin-Max Sering</t>
  </si>
  <si>
    <t>Die landwirtschaftlichen ProduktionsverhÃ¤ltnisse Argentiniens.</t>
  </si>
  <si>
    <t>Ernst Pfannenschmidt-Max Sering</t>
  </si>
  <si>
    <t>Die gemeinnÃ¼tzige Milchversorgung in Deutschland.</t>
  </si>
  <si>
    <t>Philipp Arnold-Max Sering</t>
  </si>
  <si>
    <t>Die Milchversorgung in WÃ¼rttemberg.</t>
  </si>
  <si>
    <t>Otto TrÃ¼dinger-Philipp Arnold-Max Sering</t>
  </si>
  <si>
    <t>Produktion, Absatz, Preisbildung von Molkereierzeugnissen.</t>
  </si>
  <si>
    <t>Die Milchversorgung norddeutscher StÃ¤dte und Industriegebiete.</t>
  </si>
  <si>
    <t>Die Milchversorgung der Stadt Karlsruhe unter besonderer BerÃ¼cksichtigung der Produktions- und PreisverhÃ¤ltnisse.</t>
  </si>
  <si>
    <t>Georg Berg-Max Sering-Philipp Arnold</t>
  </si>
  <si>
    <t>Die Fleischversorgung der Stadt MÃ¼nchen.</t>
  </si>
  <si>
    <t>Walther Klose-Max Sering</t>
  </si>
  <si>
    <t>Die Bewegung der Weizenpreise und ihre Ursachen.</t>
  </si>
  <si>
    <t>Louis Perlmann-Max Sering</t>
  </si>
  <si>
    <t>Die Verteuerung der Lebensmittel in Berlin im Laufe der letzten 30 Jahre und ihre Bedeutung fÃ¼r den Berliner Arbeiterhaushalt.</t>
  </si>
  <si>
    <t>Gustav Brutzer-Max Sering</t>
  </si>
  <si>
    <t>Verhandlungen des Vereins fÃ¼r Sozialpolitik in NÃ¼rnberg 1911. I. Fragen der Gemeindebesteuerung â€“ II. Probleme der Arbeiterpsychologie.</t>
  </si>
  <si>
    <t>Untersuchungen Ã¼ber das Versicherungswesen in Deutschland.</t>
  </si>
  <si>
    <t>Untersuchungen Ã¼ber das Volkssparwesen.</t>
  </si>
  <si>
    <t>Auslese und Anpassung der Arbeiterschaft der geschlossenen GroÃŸindustrie. Dargestellt an den VerhÃ¤ltnissen einer Luckenwalder Wollhutfabrik.</t>
  </si>
  <si>
    <t>Elise Herrmann</t>
  </si>
  <si>
    <t>Auslese und Anpassung der Arbeiterschaft in der Lederwaren-, Steinzeug- und Textilindustrie.</t>
  </si>
  <si>
    <t>Das Leben der jungen FabrikmÃ¤dchen in MÃ¼nchen. Die soziale und wirtschaftliche Lage ihrer Familie, ihr Berufsleben und ihre persÃ¶nlichen VerhÃ¤ltnisse. Nach statistischen Erhebungen dargestellt an der Lage von 270 Fabrikarbeiterinnen</t>
  </si>
  <si>
    <t>Rosa Kempf</t>
  </si>
  <si>
    <t>Auslese und Anpassung der Arbeiterschaft in der Automobilindustrie und einer Wiener Maschinenfabrik.</t>
  </si>
  <si>
    <t>Auslese und Anpassung der Arbeiterschaft in der Elektroindustrie, Buchdruckerei, Feinmechanik und Maschinenindustrie.</t>
  </si>
  <si>
    <t>Auslese und Anpassung der Arbeiterschaft der geschlossenen GroÃŸindustrie. Dargestellt an den VerhÃ¤ltnissen der Â»Gladbacher Spinnerei und WebereiÂ« A.-G. zu MÃ¼nchen-Gladbach im Rheinland.</t>
  </si>
  <si>
    <t>Marie Bernays</t>
  </si>
  <si>
    <t>Auswanderung und Auswanderungspolitik in Ã–sterreich.</t>
  </si>
  <si>
    <t>Leopold Caro</t>
  </si>
  <si>
    <t>Die Gemeindebetriebe in Ungarn.</t>
  </si>
  <si>
    <t>Emerich Basch-Carl Johannes Fuchs</t>
  </si>
  <si>
    <t>Gemeindebetriebe in Frankreich Und England.</t>
  </si>
  <si>
    <t>Carl Johannes Fuchs</t>
  </si>
  <si>
    <t>Gemeindebetriebe in der Schweiz, in Belgien und in Australien.</t>
  </si>
  <si>
    <t>Geschichte der modernen Gemeindebetriebe in Italien.</t>
  </si>
  <si>
    <t>Gisela Michels-Lindner-Carl Johannes Fuchs</t>
  </si>
  <si>
    <t>Die Gemeindebetriebe in Ã–sterreich.</t>
  </si>
  <si>
    <t>Die Gemeindebetriebe in den StÃ¤dten, Kreisen und Landgemeinden des Oberschlesischen Industriebezirks.</t>
  </si>
  <si>
    <t>Heinrich LÃ¼cker-Carl Johannes Fuchs</t>
  </si>
  <si>
    <t>Die Gemeindebetriebe der Stadt KÃ¶nigsberg i.Pr.</t>
  </si>
  <si>
    <t>Georg Neuhaus-Carl Johannes Fuchs</t>
  </si>
  <si>
    <t>Die Gemeindebetriebe der Stadt Halle a.S.</t>
  </si>
  <si>
    <t>Die Gemeindebetriebe der Stadt Leipzig.</t>
  </si>
  <si>
    <t>Paul Weigel-Carl Johannes Fuchs</t>
  </si>
  <si>
    <t>Die Gemeindebetriebe der Stadt Remscheid.</t>
  </si>
  <si>
    <t>Walter Bucerius-Carl Johannes Fuchs</t>
  </si>
  <si>
    <t>Die Gemeindebetriebe der Stadt Freiburg im Breisgau.</t>
  </si>
  <si>
    <t>Joseph Ehrler-Carl Johannes Fuchs</t>
  </si>
  <si>
    <t>Die Gemeindebetriebe Mannheims.</t>
  </si>
  <si>
    <t>Otto Moericke-Carl Johannes Fuchs</t>
  </si>
  <si>
    <t>Die Gemeindebetriebe der StÃ¤dte Magdeburg, Naumburg a.S., Frankfurt a.M.</t>
  </si>
  <si>
    <t>Die Gemeindebetriebe der Stadt DÃ¼sseldorf.</t>
  </si>
  <si>
    <t>Otto Most-Carl Johannes Fuchs</t>
  </si>
  <si>
    <t>Die Gemeindebetriebe MÃ¼nchens.</t>
  </si>
  <si>
    <t>Ernst Busse-Carl Johannes Fuchs</t>
  </si>
  <si>
    <t>Gemeindebetriebe.</t>
  </si>
  <si>
    <t>Gemeindefinanzen.</t>
  </si>
  <si>
    <t>Heinrich LÃ¼cker</t>
  </si>
  <si>
    <t>Otto Most</t>
  </si>
  <si>
    <t>Verhandlungen des Vereins fÃ¼r Socialpolitik Ã¼ber die berufsmÃ¤ÃŸige Vorbildung der volkswirtschaftlichen Beamten und Ã¼ber Verfassung und Verwaltungsorganisation der StÃ¤dte.</t>
  </si>
  <si>
    <t>Verfassung Und Verwaltungsorganisation Der StÃ¤dte.</t>
  </si>
  <si>
    <t>Verfassung und Verwaltungsorganisation der StÃ¤dte.</t>
  </si>
  <si>
    <t>Eduard Springer</t>
  </si>
  <si>
    <t>Die Stadt Posen unter preuÃŸischer Herrschaft.</t>
  </si>
  <si>
    <t>Moritz JaffÃ©</t>
  </si>
  <si>
    <t>PreuÃŸische StÃ¤dte im Gebiete des polnischen NationalitÃ¤tenkampfes.</t>
  </si>
  <si>
    <t>Ludwig Bernhard</t>
  </si>
  <si>
    <t>Verhandlungen des Vereins fÃ¼r Socialpolitik Ã¼ber die finanzielle Behandlung der BinnenwasserstraÃŸen, Ã¼ber das ArbeitsverhÃ¤ltnis in den privaten Riesenbetrieben und das VerhÃ¤ltnis der Kartelle zum Staate.</t>
  </si>
  <si>
    <t>Schiffahrtsabgaben.</t>
  </si>
  <si>
    <t>Max Peters</t>
  </si>
  <si>
    <t>Verhandlungen des Vereins fÃ¼r Socialpolitik Ã¼ber die Lage der in der Seeschiffahrt beschÃ¤ftigten Arbeiter und Ã¼ber die StÃ¶rungen im deutschen Wirtschaftsleben wÃ¤hrend der Jahre 1900 ff.</t>
  </si>
  <si>
    <t>Die StÃ¶rungen im deutschen Wirtschaftsleben wÃ¤hrend der Jahre 1900 ff.</t>
  </si>
  <si>
    <t>Die Lage der in der Seeschiffahrt beschÃ¤ftigten Arbeiter.</t>
  </si>
  <si>
    <t>Die wirtschaftliche und technische Entwicklung der Seeschiffahrt von der Mitte des 19. Jahrhunderts bis auf die Gegenwart.</t>
  </si>
  <si>
    <t>Emil Fitger</t>
  </si>
  <si>
    <t>Die Schiffahrt der deutschen StrÃ¶me.</t>
  </si>
  <si>
    <t>Eberhard Gothein</t>
  </si>
  <si>
    <t>Untersuchungen Ã¼ber die Lage der Angestellten und Arbeiter in den Verkehrsgewerben.</t>
  </si>
  <si>
    <t>Verhandlungen des Vereins fÃ¼r Socialpolitik Ã¼ber die Wohnungsfrage und die Handelspolitik.</t>
  </si>
  <si>
    <t>Neue Untersuchungen Ã¼ber die Wohnungsfrage in Deutschland und im Ausland.</t>
  </si>
  <si>
    <t>BeitrÃ¤ge zur neuesten Handelspolitik Ã–sterreichs.</t>
  </si>
  <si>
    <t>BeitrÃ¤ge zur neuesten Handelspolitik Deutschlands.</t>
  </si>
  <si>
    <t>Eisenbahntarife und Wasserfrachten.</t>
  </si>
  <si>
    <t>Verhandlungen der am 25., 26. und 27. September 1899 in Breslau abgehaltenen Generalversammlung des Vereins fÃ¼r Socialpolitik Ã¼ber die Hausindustrie und ihre gesetzliche Regelung, die Lage des Hausiergewerbes</t>
  </si>
  <si>
    <t>Hausindustrie und Heimarbeit in Deutschland und Ã–sterreich.</t>
  </si>
  <si>
    <t>Untersuchungen Ã¼ber die Lage des Hausiergewerbes in Schweden, Italien, GroÃŸbritannien und der Schweiz.</t>
  </si>
  <si>
    <t>Untersuchungen Ã¼ber die Lage des Hausiergewerbes in Ã–sterreich.</t>
  </si>
  <si>
    <t>Untersuchungen Ã¼ber die Lage des Hausiergewerbes in Deutschland.</t>
  </si>
  <si>
    <t>Verhandlungen der am 23., 24. und 25. September 1897 in KÃ¶ln a. Rh. abgehaltenen Generalversammlung des Vereins fÃ¼r Socialpolitik Ã¼ber die Handwerkerfrage, den lÃ¤ndlichen Personalkredit</t>
  </si>
  <si>
    <t>Der Personalkredit des lÃ¤ndlichen Kleingrundbesitzes in Ã–sterreich.</t>
  </si>
  <si>
    <t>Der Personalkredit des lÃ¤ndlichen Kleingrundbesitzes in Deutschland.</t>
  </si>
  <si>
    <t>Englische Auswanderung und Auswanderungspolitik</t>
  </si>
  <si>
    <t>Karl Rathgen-Richmond Mayo-Smith-Rudolph A. Hehl</t>
  </si>
  <si>
    <t>Untersuchungen Ã¼ber die Lage des Handwerks in Ã–sterreich mit besonderer RÃ¼cksicht auf seine KonkurrenzfÃ¤higkeit gegenÃ¼ber der GroÃŸindustrie.</t>
  </si>
  <si>
    <t>Untersuchungen Ã¼ber die Lage des Handwerks in Deutschland mit besonderer RÃ¼cksicht auf seine KonkurrenzfÃ¤higkeit gegenÃ¼ber der GroÃŸindustrie.</t>
  </si>
  <si>
    <t>Verhandlungen der am 28. und 29. September 1894 in Wien abgehaltenen Generalversammlung des Vereins fÃ¼r Socialpolitik Ã¼ber die Kartelle und Ã¼ber das lÃ¤ndliche Erbrecht.</t>
  </si>
  <si>
    <t>Ãœber wirtschaftliche Kartelle in Deutschland und im Auslande.</t>
  </si>
  <si>
    <t>Die englischen Landarbeiter in den letzten hundert Jahren und die Einhegungen.</t>
  </si>
  <si>
    <t>Wilhelm Hasbach</t>
  </si>
  <si>
    <t>Die Handelspolitik Englands und seiner Kolonien in den letzten Jahrzehnten.</t>
  </si>
  <si>
    <t>Die innere Kolonisation im Ã¶stlichen Deutschland.</t>
  </si>
  <si>
    <t>Max Sering</t>
  </si>
  <si>
    <t>Auswanderung und Auswanderungspolitik in Deutschland.</t>
  </si>
  <si>
    <t>Eugen von Philippovich</t>
  </si>
  <si>
    <t>Die Handelspolitik der Balkanstaaten RumÃ¤nien, Serbien und Bulgarien, Spaniens und Frankreichs in den letzten Jahrzehnten.</t>
  </si>
  <si>
    <t>Die Ideen der deutschen Handelspolitik von 1860 bis 1891.</t>
  </si>
  <si>
    <t>Die Handelspolitik Nordamerikas, Italiens, Ã–sterreichs, Belgiens, der Niederlande, DÃ¤nemarks, Schwedens und Norwegens, RuÃŸlands und der Schweiz in den letzten Jahrzehnten sowie die deutsche Handelsstatistik von 1880 bis 1890.</t>
  </si>
  <si>
    <t>Die Hausindustrie in der Stadt Leipzig und ihrer Umgebung.</t>
  </si>
  <si>
    <t>Adolf Lehr</t>
  </si>
  <si>
    <t>Verhandlungen der am 26. und 27. September 1890 in Frankfurt a.M. abgehaltenen Generalversammlung des Vereins fÃ¼r Socialpolitik Ã¼ber die Reform der Landgemeindeordnung in PreuÃŸen</t>
  </si>
  <si>
    <t>Arbeiter-AusschÃ¼sse in der deutschen Industrie.</t>
  </si>
  <si>
    <t>Arbeitseinstellungen und Fortbildung des Arbeitsvertrags.</t>
  </si>
  <si>
    <t>Lujo Brentano</t>
  </si>
  <si>
    <t>Berichte Ã¼ber die ZustÃ¤nde und die Reform des lÃ¤ndlichen Gemeindewesens in PreuÃŸen.</t>
  </si>
  <si>
    <t>Die Landgemeinde in den Ã¶stlichen Provinzen PreuÃŸens und die Versuche, eine Landgemeindeordnung zu schaffen.</t>
  </si>
  <si>
    <t>Friedrich Keil</t>
  </si>
  <si>
    <t>Berichte aus der Hausindustrie in Berlin, OsnabrÃ¼ck, im Fichtelgebirge und in Schlesien.</t>
  </si>
  <si>
    <t>Berichte aus der Hausindustrie im sÃ¼dwestlichen Deutschland.</t>
  </si>
  <si>
    <t>Die Hausindustrie im nÃ¶rdlichen ThÃ¼ringen.</t>
  </si>
  <si>
    <t>Litteratur, heutige ZustÃ¤nde und Entstehung der deutschen Hausindustrie.</t>
  </si>
  <si>
    <t>Wilhelm Stieda</t>
  </si>
  <si>
    <t>Der EinfluÃŸ des Zwischenhandels auf die Preise auf Grund der Preisentwicklung im aachener Kleinhandel.</t>
  </si>
  <si>
    <t>Richard van der Borght</t>
  </si>
  <si>
    <t>Der Wucher auf dem Lande.</t>
  </si>
  <si>
    <t>Die Vorbildung zum hÃ¶heren Verwaltungsdienste in den deutschen Staaten, Oesterreich und Frankreich.</t>
  </si>
  <si>
    <t>Verhandlungen der am 24. und 25. September 1886 in Frankfurt a.M. abgehaltenen Generalversammlung des Vereins fÃ¼r Socialpolitik Ã¼ber die WohnungsverhÃ¤ltnisse der Ã¤rmeren Klassen in deutschen GroÃŸstÃ¤dten</t>
  </si>
  <si>
    <t>Zur inneren Kolonisation in Deutschland.</t>
  </si>
  <si>
    <t>Die Wohnungsnoth der Ã¤rmeren Klassen in deutschen GroÃŸstÃ¤dten und VorschlÃ¤ge zu deren AbhÃ¼lfe.</t>
  </si>
  <si>
    <t>Agrarische ZustÃ¤nde in Italien.</t>
  </si>
  <si>
    <t>Karl Theodor Eheberg</t>
  </si>
  <si>
    <t>Verhandlungen der am 6. und 7. October 1884 in Frankfurt a.M. abgehaltenen Generalversammlung des Vereins fÃ¼r Socialpolitik Ã¼ber MaÃŸregeln der Gesetzgebung und Verwaltung zur Erhaltung des bÃ¤uerlichen Grundbesitzes</t>
  </si>
  <si>
    <t>Agrarische ZustÃ¤nde in Frankreich und England.</t>
  </si>
  <si>
    <t>Friedrich Frhr. von Reitzenstein-Erwin Nasse</t>
  </si>
  <si>
    <t>Die Arbeiterversicherung in Frankreich.</t>
  </si>
  <si>
    <t>Max von der Osten</t>
  </si>
  <si>
    <t>Das Erbrecht und die Grundeigenthumsvertheilung im Deutschen Reiche.</t>
  </si>
  <si>
    <t>August von Miaskowski</t>
  </si>
  <si>
    <t>BÃ¤uerliche ZustÃ¤nde in Deutschland.</t>
  </si>
  <si>
    <t>Verhandlungen der am 9. und 10. October 1882 in Frankfurt a.M. abgehaltenen Generalversammlung des Vereins fÃ¼r Socialpolitik Ã¼ber Grundeigenthumsvertheilung und Erbrechtsreform; Internationale Fabrikgesetzgebung; Versicherungszwang und ArmenverbÃ¤nde.</t>
  </si>
  <si>
    <t>Die Haftpflichtfrage.</t>
  </si>
  <si>
    <t>Die Amerikanischen Gewerkvereine.</t>
  </si>
  <si>
    <t>Henry W. Farnam</t>
  </si>
  <si>
    <t>Gewerkvereine und UnternehmerverbÃ¤nde in Frankreich.</t>
  </si>
  <si>
    <t>Wilhelm Lexis</t>
  </si>
  <si>
    <t>Verhandlungen der sechsten Generalversammlung des Vereins fÃ¼r Socialpolitik Ã¼ber die Zolltarifvorlagen am 21. und 22. April 1879 in Frankfurt a.M.</t>
  </si>
  <si>
    <t>Das Gewerbliche Fortbildungswesen.</t>
  </si>
  <si>
    <t>Verhandlungen der fÃ¼nften Generalversammlung des Vereins fÃ¼r Socialpolitik am 8., 9. und 10. October 1877.</t>
  </si>
  <si>
    <t>Das Verfahren bei EnquÃªten Ã¼ber sociale VerhÃ¤ltnisse.</t>
  </si>
  <si>
    <t>Die Communalsteuerfrage.</t>
  </si>
  <si>
    <t>Verhandlungen der dritten Generalversammlung des Vereins fÃ¼r Socialpolitik am 10., 11. und 12. October 1875.</t>
  </si>
  <si>
    <t>Die Reform des Lehrlingswesens.</t>
  </si>
  <si>
    <t>Verhandlungen der zweiten Generalversammlung des Vereins fÃ¼r Socialpolitik am 11. und 12. October 1874.</t>
  </si>
  <si>
    <t>Die progressive Einkommensteuer im Staats- und Gemeinde-Haushalt.</t>
  </si>
  <si>
    <t>Friedrich Julius Neumann</t>
  </si>
  <si>
    <t>Ueber Bestrafung des Arbeitsvertragsbruches.</t>
  </si>
  <si>
    <t>Ueber Betheiligung der Arbeiter am Unternehmergewinn.</t>
  </si>
  <si>
    <t>Ueber Alters- und Invalidencassen fÃ¼r Arbeiter.</t>
  </si>
  <si>
    <t>Verhandlungen des Vereins fÃ¼r Socialpolitik am 12. und 13. October 1873.</t>
  </si>
  <si>
    <t>Die Personalbesteuerung.</t>
  </si>
  <si>
    <t>Ueber Fabrikgesetzgebung, Schiedsgerichte und EinigungsÃ¤mter.</t>
  </si>
  <si>
    <t>Zur Reform des Actiengesellschaftswesens.</t>
  </si>
  <si>
    <t>Brand Postcolonial</t>
  </si>
  <si>
    <t>Pramod K. Nayar</t>
  </si>
  <si>
    <t>We Were All in Adam</t>
  </si>
  <si>
    <t>Marta Przyszychowska</t>
  </si>
  <si>
    <t>Possession and Dispossession</t>
  </si>
  <si>
    <t>Lea Mauas-Michelle MacQueen-Diego Rotman</t>
  </si>
  <si>
    <t>Co-Corporeality of Humans, Machines, &amp; Microbes</t>
  </si>
  <si>
    <t>Barbara Imhof-Daniela Mitterberger-Tiziano Derme</t>
  </si>
  <si>
    <t>Coping with Urban Climates</t>
  </si>
  <si>
    <t>Sascha Roesler-Madlen Kobi-Lorenzo Stieger</t>
  </si>
  <si>
    <t>City, Climate, and Architecture</t>
  </si>
  <si>
    <t>ARCHITECTURE / History / Contemporary (1945-)</t>
  </si>
  <si>
    <t>Sascha Roesler</t>
  </si>
  <si>
    <t>The Mechanical Behavior of Salt X</t>
  </si>
  <si>
    <t>J.H.P. de Bresser-M.R. Drury-P. A. Fokker-M. Gazzani-S.J.T. Hangx-A.R. Niemeijer-C.J. Spiers</t>
  </si>
  <si>
    <t>Models and Theories</t>
  </si>
  <si>
    <t>Roman Frigg</t>
  </si>
  <si>
    <t>Routledge Handbook of Animal Welfare</t>
  </si>
  <si>
    <t>Andrew Knight-Clive Phillips-Paula Sparks</t>
  </si>
  <si>
    <t>Transforming Subjectivities</t>
  </si>
  <si>
    <t>Cecilia Hansen LÃ¶fstrand-Kerstin Jacobsson</t>
  </si>
  <si>
    <t>Frontiers of the Roman Empire: The African Frontiers</t>
  </si>
  <si>
    <t>David Mattingly-Alan Rushworth-Martin Sterry-Victoria Leitch-David J. Breeze-Sonja Jilek</t>
  </si>
  <si>
    <t>Frontiers of the Roman Empire: The Roman Frontiers of Dacia</t>
  </si>
  <si>
    <t>Felix Marcu-George Cupcea-David J. Breeze</t>
  </si>
  <si>
    <t>Frontiers of the Roman Empire: The Roman Army and the Limes / The Roman Limes in Hungary</t>
  </si>
  <si>
    <t>Zsolt Visy-David J. Breeze</t>
  </si>
  <si>
    <t>Frontiers of the Roman Empire: The Lower German Limes</t>
  </si>
  <si>
    <t>Erik P. Graafstal-Willem J.H. Willems-Steve BÃ¶decker-David J. Breeze-Sonja Jilek</t>
  </si>
  <si>
    <t>Frontiers of the Roman Empire: Roman Limes in Serbia</t>
  </si>
  <si>
    <t>Miomir KoraÄ‡-SneÅ¾ana GoluboviÄ‡-Nemanja MrÄ‘iÄ‡-Gordana JeremiÄ‡-Stefan Pop-LaziÄ‡-David J. Breeze-Sonja Jilek</t>
  </si>
  <si>
    <t>Binationale Herkunft und ZugehÃ¶rigkeit</t>
  </si>
  <si>
    <t>Gwendolyn GilliÃ©ron</t>
  </si>
  <si>
    <t>Inside High-Rise Housing</t>
  </si>
  <si>
    <t>Megan Nethercote</t>
  </si>
  <si>
    <t>African Identities and International Politics</t>
  </si>
  <si>
    <t>Frank Aragbonfoh Abumere</t>
  </si>
  <si>
    <t>Geo-Politics in Northeast Asia</t>
  </si>
  <si>
    <t>Akihiro Iwashita-Yong-Chool Ha-Edward Boyle</t>
  </si>
  <si>
    <t>Nordic Childhoods in the Digital Age</t>
  </si>
  <si>
    <t>Kristiina Kumpulainen-Anu Kajamaa-Ola Erstad-Ã…sa MÃ¤kitalo-Kirsten Drotner-SÃ³lveig JakobsdÃ³ttir</t>
  </si>
  <si>
    <t>Julia, Rotow-Parneet, Cheema-Pasquale, Pisapia-Giancarlo, Troncone</t>
  </si>
  <si>
    <t>Affective Intimacies</t>
  </si>
  <si>
    <t>Marjo Kolehmainen-Annukka Lahti-Kinneret Lahad</t>
  </si>
  <si>
    <t>The Nordic Education Model in Context</t>
  </si>
  <si>
    <t>Daniel TrÃ¶hler-Bernadette HÃ¶rmann-Sverre Tveit-Inga Bostad</t>
  </si>
  <si>
    <t>Uncovering Pacific Pasts</t>
  </si>
  <si>
    <t>Hilary Howes-Tristen Jones-Matthew Spriggs</t>
  </si>
  <si>
    <t>Piezoelectric Electromechanical Transducers for Underwater Sound, Part I</t>
  </si>
  <si>
    <t>Evading the Patronage Trap</t>
  </si>
  <si>
    <t>Brian Palmer-Rubin</t>
  </si>
  <si>
    <t>The Dictator's Dilemma at the Ballot Box</t>
  </si>
  <si>
    <t>Masaaki Higashijima</t>
  </si>
  <si>
    <t>A Short Media History of English Literature</t>
  </si>
  <si>
    <t>Ingo Berensmeyer</t>
  </si>
  <si>
    <t>Grundrechte</t>
  </si>
  <si>
    <t>Lisa Hahn-Maximilian Petras-Dana-Sophia Valentiner-Nora Wienfort</t>
  </si>
  <si>
    <t>Sprache(n) in pÃ¤dagogischen Settings</t>
  </si>
  <si>
    <t>Judith Kainhofer-Michaela RÃ¼ckl</t>
  </si>
  <si>
    <t>PoÃ©ticas espectatoriales en HispanoamÃ©rica y Brasil (1800â€“1847)</t>
  </si>
  <si>
    <t>Hans FernÃ¡ndez</t>
  </si>
  <si>
    <t>Overcoming Dichotomies</t>
  </si>
  <si>
    <t>Albertina Oegema-Jonathan Pater-Martijn Stoutjesdijk</t>
  </si>
  <si>
    <t>Literatur als Gegenstand Westberliner Abituraufsaetze der 1950er und 1960er Jahre</t>
  </si>
  <si>
    <t>Britta Eiben-Zach</t>
  </si>
  <si>
    <t>Fast Facts for Patients: Thrombotic Thrombocytopenic Purpura</t>
  </si>
  <si>
    <t>Marie A., Scully-S.R., Cataland-Mari, Thomas-Matthew, Stubbs</t>
  </si>
  <si>
    <t>The Law of Global Digitality</t>
  </si>
  <si>
    <t>Matthias C. Kettemann-Alexander Peukert-Indra Spiecker gen. DÃ¶hmann</t>
  </si>
  <si>
    <t>Academic Libraries: Reflecting on Crisis, the Fourth Industrial Revolution and the Way Forward</t>
  </si>
  <si>
    <t>Anette Janse van Vuren</t>
  </si>
  <si>
    <t>This Generation Leads: The Latest Leadership Ideas From South Africa</t>
  </si>
  <si>
    <t>Mike Teke-Muzi Kuzwayo</t>
  </si>
  <si>
    <t>The Watlington Hoard</t>
  </si>
  <si>
    <t>ANTIQUES &amp; COLLECTIBLES / Coins, Currency &amp; Medals</t>
  </si>
  <si>
    <t>John Naylor-Eleanor Standley</t>
  </si>
  <si>
    <t>Traffici commerciali e approdi portuali nella Sardegna meridionale</t>
  </si>
  <si>
    <t>Laura Soro</t>
  </si>
  <si>
    <t>Altern: Biologie und Chancen</t>
  </si>
  <si>
    <t>Anthony D. Ho-Thomas W. Holstein-Heinz HÃ¤fner</t>
  </si>
  <si>
    <t>Bela R., Patel-Anna Z., Castleton-Michael J., Austin</t>
  </si>
  <si>
    <t>Law, Ecology, and the Management of Complex Systems</t>
  </si>
  <si>
    <t>Tiina Paloniitty</t>
  </si>
  <si>
    <t>Premodern Experience of the Natural World in Translation</t>
  </si>
  <si>
    <t>Katja Krause-Maria Auxent-Dror Weil</t>
  </si>
  <si>
    <t>Men, Masculinities, and Infertilities</t>
  </si>
  <si>
    <t>Jonathan A. Allan</t>
  </si>
  <si>
    <t>Gabrielle Falloppia, 1522/23-1562</t>
  </si>
  <si>
    <t>Michael Stolberg</t>
  </si>
  <si>
    <t>Laws of the Sea</t>
  </si>
  <si>
    <t>Irus Braverman</t>
  </si>
  <si>
    <t>The Philosophy of Online Manipulation</t>
  </si>
  <si>
    <t>Fleur Jongepier-Michael Klenk</t>
  </si>
  <si>
    <t>Time and Soul</t>
  </si>
  <si>
    <t>Johannes Zachhuber</t>
  </si>
  <si>
    <t>Writing Systems and Their Use</t>
  </si>
  <si>
    <t>Dimitrios Meletis-Christa DÃ¼rscheid</t>
  </si>
  <si>
    <t>WÃ¼tende Texte</t>
  </si>
  <si>
    <t>Alfred Stumm</t>
  </si>
  <si>
    <t>â€ºInstrumenta domesticaâ€¹ aus Pompeji und ihr Design</t>
  </si>
  <si>
    <t>Adrian Hielscher</t>
  </si>
  <si>
    <t>Vom Germanenerbe zum Urkommunismus</t>
  </si>
  <si>
    <t>Arne Lindemann</t>
  </si>
  <si>
    <t>Cultura literaria y polÃ­ticas de mercado</t>
  </si>
  <si>
    <t>Ana Gallego CuiÃ±as</t>
  </si>
  <si>
    <t>A Grammar of YÃ©lÃ® Dnye</t>
  </si>
  <si>
    <t>Stephen C. Levinson</t>
  </si>
  <si>
    <t>Irregular Phonological Marking of Japanese Compounds</t>
  </si>
  <si>
    <t>Timothy J. Vance</t>
  </si>
  <si>
    <t>Envisioning the Future of Learning for Creativity, Innovation and Entrepreneurship</t>
  </si>
  <si>
    <t>Kyriaki Papageorgiou-Olga Kokshagina</t>
  </si>
  <si>
    <t>Digital History and Hermeneutics</t>
  </si>
  <si>
    <t>Andreas Fickers-Juliane Tatarinov</t>
  </si>
  <si>
    <t>The Politics of the Welfare State in Turkey</t>
  </si>
  <si>
    <t>Erdem Yoruk</t>
  </si>
  <si>
    <t>Opposing Power</t>
  </si>
  <si>
    <t>Elvin Jiayun Ong</t>
  </si>
  <si>
    <t>In the Borderland Between Song and Speech</t>
  </si>
  <si>
    <t>Anastasia Karlsson-Siri Tuttle-Arthur Holmer-Inga-Lill Hansson-Yasuko Nagano-Madsen-HÃ¥kan LundstrÃ¶m-Jan-Olof Svantesson</t>
  </si>
  <si>
    <t>Deutsche Archive im digitalen Zeitalter</t>
  </si>
  <si>
    <t>Antje Diener-Staeckling-Dagmar HovestÃ¤dt-Joachim Kemper-Patricia Lenz</t>
  </si>
  <si>
    <t>India in the Indo-Pacific</t>
  </si>
  <si>
    <t>Aditi Malhotra</t>
  </si>
  <si>
    <t>Football and Nation Building in Colombia (2010-2018)</t>
  </si>
  <si>
    <t>Peter J. Watson</t>
  </si>
  <si>
    <t>In Pursuit of Visibility: Essays in Archaeology, Ethnography, and Text in Honor of Beth Alpert Nakhai</t>
  </si>
  <si>
    <t>Jennie Ebeling-Laura Mazow</t>
  </si>
  <si>
    <t>Ruling the Stage: Social and Cultural History of Opera in Sichuan From the Qing to the People's Republic of China</t>
  </si>
  <si>
    <t>Igor Iwo Chabrowski</t>
  </si>
  <si>
    <t>Periodical Studies Today</t>
  </si>
  <si>
    <t>Jutta Ernst-Oliver Scheiding-Dagmar von Hoff</t>
  </si>
  <si>
    <t>Alfonso De Cartagenaâ€™s "Memoriale Virtutum" (1422)</t>
  </si>
  <si>
    <t>MarÃ­a MorrÃ¡s-Jeremy Lawrance</t>
  </si>
  <si>
    <t>Silicon Carbide and Related Materials 2021</t>
  </si>
  <si>
    <t>Jean FranÃ§ois Michaud-Luong ViÃªt Phung-Daniel Alquier-Dominique Planson</t>
  </si>
  <si>
    <t>Eleventh International Conference on the Bearing Capacity of Roads, Railways and Airfields</t>
  </si>
  <si>
    <t>Inge Hoff-Rabbira Saba-Helge Mork</t>
  </si>
  <si>
    <t>Inge Hoff-Helge Mork-Rabbira Saba</t>
  </si>
  <si>
    <t>Creating Through Mind and Emotions</t>
  </si>
  <si>
    <t>MÃ¡rio Ming Kong-Maria do RosÃ¡rio Monteiro-Maria JoÃ£o Pereira Neto</t>
  </si>
  <si>
    <t>Complexity in Second Language Study Emotions</t>
  </si>
  <si>
    <t>Richard J. Sampson</t>
  </si>
  <si>
    <t>Virtual Reality Methods</t>
  </si>
  <si>
    <t>Phil Jones-Tess Osborne-Calla Sullivan-Drage-Natasha Keen-Eleanor Gadsby</t>
  </si>
  <si>
    <t>Gender Inequalities in Tech-driven Research and Innovation</t>
  </si>
  <si>
    <t>Gabriele Griffin</t>
  </si>
  <si>
    <t>Donal, McLornan-Claire N., Harrison</t>
  </si>
  <si>
    <t>Roman Law and Maritime Commerce</t>
  </si>
  <si>
    <t>Peter Candy-Emilia Mataix FerrÃ¡ndiz</t>
  </si>
  <si>
    <t>The Young Black Leaderâ€™s Guide to a Successful Career in International Affairs: What the Giants Want You to Know</t>
  </si>
  <si>
    <t>Aaron S. Williams-Taylor A. Jack-Jennifer M. Brinkerhoff</t>
  </si>
  <si>
    <t>The Renaissance of Remote Places</t>
  </si>
  <si>
    <t>Andrea Membretti-Thomas Dax-Anna Krasteva</t>
  </si>
  <si>
    <t>Uwarunkowania zadÅ‚uÅ¼enia szpitali w Polsce</t>
  </si>
  <si>
    <t>Katarzyna M. MiszczyÅ„ska, ElÅ¼bieta Antczak</t>
  </si>
  <si>
    <t>Ð’Ð¾Ð¿Ñ€Ð¾ÑÑ‹ ÑÐµÐ¼Ð°Ð½Ñ‚Ð¸ÐºÐ¸ Ð¸ ÑÑ‚Ð¸Ð»Ð¸ÑÑ‚Ð¸ÐºÐ¸ Ñ‚ÐµÐºÑÑ‚Ð°: Ð»Ð¸Ð½Ð³Ð²Ð¸ÑÑ‚Ð¸Ñ‡ÐµÑÐºÐ¸Ð¹ Ð´Ð¸ÑÐºÑƒÑ€Ñ</t>
  </si>
  <si>
    <t>Zoja Kuca</t>
  </si>
  <si>
    <t>Organizacje wobec wyzwaÅ„ zrÃ³wnowaÅ¼onego rozwoju â€“ wybrane aspekty</t>
  </si>
  <si>
    <t>Åukasz JarosÅ‚aw Kozar, Piotr Oleksiak</t>
  </si>
  <si>
    <t>BejelentÅ‘k vÃ©delme a munkahelyen a VisegrÃ¡di Csoport orszÃ¡gaiban, FranciaorszÃ¡gban Ã©s SzlovÃ©niÃ¡banâ€¯â€“ mÃ³dosÃ­tÃ¡si javaslatok</t>
  </si>
  <si>
    <t>Zbigniew Hajn, Dagmara SkupieÅ„</t>
  </si>
  <si>
    <t>Ð¡Ð¿ÐµÑ†Ð¸Ñ„Ð¸ÐºÐ° ÑÐ·Ñ‹ÐºÐ° Ð¼Ð¸Ñ€Ð¾Ð² Ð˜Ð²Ð°Ð½Ð° Ð‘ÑƒÐ½Ð¸Ð½Ð°</t>
  </si>
  <si>
    <t>LITERARY COLLECTIONS / Russian &amp; Soviet</t>
  </si>
  <si>
    <t>Ivan Smirnov</t>
  </si>
  <si>
    <t>PotencjaÅ‚ dziaÅ‚alnoÅ›ci kredytowej sektora bankowego w obliczu pandemii COVID-19. Perspektywa credit crunch</t>
  </si>
  <si>
    <t>Iwona Dorota Czechowska-CzesÅ‚aw LipiÅ„ski-Joanna Stawska-Wojciech ZatoÅ„</t>
  </si>
  <si>
    <t>Studia z Geografii Politycznej i Historycznej 2020, t. 9-10</t>
  </si>
  <si>
    <t>Åukasz Musiaka</t>
  </si>
  <si>
    <t>Strategie internacjonalizacji uczelni wyÅ¼szych. Studium przypadku WydziaÅ‚u StudiÃ³w MiÄ™dzynarodowych i Politologicznych UÅ</t>
  </si>
  <si>
    <t>â€žPrzez zarzuconÄ… subtelnÄ… baweÅ‚nicÄ™...Ë® â€“ cognitio symbolica w kazaniach reformata Antoniego WÄ™grzynowicza (ÅºrÃ³dÅ‚a, zastosowania i konteksty)</t>
  </si>
  <si>
    <t>RELIGION / Sermons / General</t>
  </si>
  <si>
    <t>Magdalena Kuran</t>
  </si>
  <si>
    <t>Nomi delle organizzazioni non profit in Italia nella prospettiva crematonomastica</t>
  </si>
  <si>
    <t>Justyna GrobliÅ„ska</t>
  </si>
  <si>
    <t>Å»ycie z niepeÅ‚nosprawnoÅ›ciÄ… w Å›wiecie VUCA</t>
  </si>
  <si>
    <t>HEALTH &amp; FITNESS / Diseases &amp; Conditions / Nervous System (incl. Brain)</t>
  </si>
  <si>
    <t>G. MikoÅ‚ajczyk-Lerman-J. Sztobryn-Giercuszkiewicz</t>
  </si>
  <si>
    <t>Australian Economic History</t>
  </si>
  <si>
    <t>Claire E. F. Wright</t>
  </si>
  <si>
    <t>GesetzesverstÃ¤ndlichkeit aus rechtslinguistischer Perspektive.</t>
  </si>
  <si>
    <t>Friedemann Vogel-Fabian Deus-Janine Luth-Joline Schmallenbach-Ekkehard Felder</t>
  </si>
  <si>
    <t>British Muslim Women in the Cultural and Creative Industries</t>
  </si>
  <si>
    <t>Saskia Warren</t>
  </si>
  <si>
    <t>Building Communities of Trust</t>
  </si>
  <si>
    <t>Ann E. Feldman</t>
  </si>
  <si>
    <t>The Datacenter As a Computer</t>
  </si>
  <si>
    <t>Luiz AndrÃ© Barroso-Urs HÃ¶lzle-Parthasarathy Ranganathan</t>
  </si>
  <si>
    <t>Vidding</t>
  </si>
  <si>
    <t>Francesca Coppa</t>
  </si>
  <si>
    <t>Theater As Data</t>
  </si>
  <si>
    <t>Miguel Escobar Varela</t>
  </si>
  <si>
    <t>Saving New Sounds</t>
  </si>
  <si>
    <t>Jeremy Wade Morris-Eric Hoyt</t>
  </si>
  <si>
    <t>Marginal People in Deviant Places</t>
  </si>
  <si>
    <t>Janice M. Irvine</t>
  </si>
  <si>
    <t>Liberalism and Transformation</t>
  </si>
  <si>
    <t>Dillon S. Tatum</t>
  </si>
  <si>
    <t>In Contempt</t>
  </si>
  <si>
    <t>Ed Yellin-Jean Fagan Yellin</t>
  </si>
  <si>
    <t>Collecting Lives</t>
  </si>
  <si>
    <t>Elizabeth Rodrigues</t>
  </si>
  <si>
    <t>Beyond the Makerspace</t>
  </si>
  <si>
    <t>Ann Shivers-McNair</t>
  </si>
  <si>
    <t>Being Human During COVID</t>
  </si>
  <si>
    <t>Kristin Ann Hass</t>
  </si>
  <si>
    <t>(Post-)colonial Archipelagos</t>
  </si>
  <si>
    <t>Hans-JÃ¼rgen Burchardt-Johanna Leinius</t>
  </si>
  <si>
    <t>The View From Malakand: Harold Deaneâ€™s â€˜Note on Udyana and Gandharaâ€™</t>
  </si>
  <si>
    <t>Llewelyn Morgan-Luca Maria Oliveri</t>
  </si>
  <si>
    <t>The Archaeology of Tanamu 1</t>
  </si>
  <si>
    <t>Bruno David-Katherine SzabÃ³-Matthew Leavesley-Ian J. McNiven-Jeremy Ash-Thomas Richards</t>
  </si>
  <si>
    <t>Periodization in the Art Historiographies of Central and Eastern Europe</t>
  </si>
  <si>
    <t>Shona Kallestrup-Magdalena KuniÅ„ska-Mihnea Alexandru Mihail-Anna Adashinskaya-Cosmin Minea</t>
  </si>
  <si>
    <t>Performing Deception</t>
  </si>
  <si>
    <t xml:space="preserve"> Brian Rappert</t>
  </si>
  <si>
    <t>Cone Penetration Testing 2022</t>
  </si>
  <si>
    <t>Guido Gottardi-Laura Tonni</t>
  </si>
  <si>
    <t>Robots and AI</t>
  </si>
  <si>
    <t>Lili Yan Ing-Gene M. Grossman</t>
  </si>
  <si>
    <t>Relational Passage of Time</t>
  </si>
  <si>
    <t>Matias Slavov</t>
  </si>
  <si>
    <t>Entangled Confessionalizations?</t>
  </si>
  <si>
    <t>Zur Geschichte der Unternehmensfinanzierung.</t>
  </si>
  <si>
    <t>Piezoelectric Electromechanical Transducers for Underwater Sound, Part II</t>
  </si>
  <si>
    <t>Saving Liberalism From Itself</t>
  </si>
  <si>
    <t>Timothy Stacey</t>
  </si>
  <si>
    <t>Constructing the Higher Education Student</t>
  </si>
  <si>
    <t>Rachel Brooks-Achala Gupta-Sazana Jayadeva-Anu Lainio-Predrag LaÅ¾etiÄ‡</t>
  </si>
  <si>
    <t>Hadrianâ€™s Wall: Exploring Its Past to Protect Its Future</t>
  </si>
  <si>
    <t>Marta Alberti-Katie Mountain</t>
  </si>
  <si>
    <t>The Plague Cemetery of Alghero, Sardinia (1582-1583)</t>
  </si>
  <si>
    <t>Valentina Giuffra</t>
  </si>
  <si>
    <t>Archaeology on the Apulian â€“ Lucanian Border</t>
  </si>
  <si>
    <t>Alastair Small-Carola Small</t>
  </si>
  <si>
    <t>Vade Nobiscum. Tom XXI. Studia z historii gospodarczej, kulturowej i spoÅ‚ecznej</t>
  </si>
  <si>
    <t>Piotr BudzyÅ„ski-Maciej Dawczyk-Krzysztof Gryglewski-MichaÅ‚ Owczarek-MichaÅ‚ ZiÃ³Å‚kowski</t>
  </si>
  <si>
    <t>Vade Nobiscum 2019, tom XX. Studia z historii politycznej i wojskowej</t>
  </si>
  <si>
    <t>DziaÅ‚alnoÅ›Ä‡ polskiej placÃ³wki dyplomatycznej na WÄ™grzech (1946â€“1956)</t>
  </si>
  <si>
    <t>Aleksandra Sylburska</t>
  </si>
  <si>
    <t>Nauczyciele akademiccy wobec systemu oceniania okresowego pracownikÃ³w</t>
  </si>
  <si>
    <t>Anna MichaÅ‚kiewicz</t>
  </si>
  <si>
    <t>liminowanie przyczyn wypadkÃ³w i kolizji w obszarze infrastruktury transportowej logistyki miejskiej. Na przykÅ‚adzie Åodzi</t>
  </si>
  <si>
    <t>Remigiusz KozÅ‚owski-Jakub JabÅ‚oÅ„ski-Å»aneta BÅ‚och</t>
  </si>
  <si>
    <t>Warsztaty z geografii turyzmu, tom 9</t>
  </si>
  <si>
    <t>Jolanta Wojciechowska-Marzena Makowska-Iskierka</t>
  </si>
  <si>
    <t>Aktualne problemy samorzÄ…du terytorialnego po 25 latach jego istnienia</t>
  </si>
  <si>
    <t>Ryszard PaweÅ‚ Krawczyk-Andrzej Borowicz</t>
  </si>
  <si>
    <t>Poland on the New Silk Road. Current state and perspectives</t>
  </si>
  <si>
    <t>BUSINESS &amp; ECONOMICS / Exports &amp; Imports</t>
  </si>
  <si>
    <t>Aleksandra Bartosiewicz-Paulina Szterlik</t>
  </si>
  <si>
    <t>Badanie rynkÃ³w zagranicznych w procesie internacjonalizacji przedsiÄ™biorstw</t>
  </si>
  <si>
    <t>Agnieszka KÅ‚ysik-Uryszek-Anetta Kuna-MarszaÅ‚ek-Justyna Wieloch</t>
  </si>
  <si>
    <t>Telling the Great Change. The Process of the Systemic Transformation in Poland in Biographical Perspective</t>
  </si>
  <si>
    <t>Kaja KaÅºmierska, Katarzyna Waniek</t>
  </si>
  <si>
    <t>Biblioteka w chmurze czy chmury nad bibliotekÄ…</t>
  </si>
  <si>
    <t>REFERENCE / Directories</t>
  </si>
  <si>
    <t>Tomasz PiestrzyÅ„ski-Justyna Jerzyk-Wojtecka</t>
  </si>
  <si>
    <t>Geotechnical Engineering for the Preservation of Monuments and Historic Sites III</t>
  </si>
  <si>
    <t>Renato Lancellotta-Carlo Viggiani-Alessandro Flora-Filomena de Silva-Lucia Mele</t>
  </si>
  <si>
    <t>COVID-19 Collaborations</t>
  </si>
  <si>
    <t>Kayleigh Garthwaite-Ruth Patrick-Maddy Power-Anna Tarrant-Rosalie Warnock</t>
  </si>
  <si>
    <t>Women in Supramolecular Chemistry</t>
  </si>
  <si>
    <t>Jennifer Leigh-Jennifer Hiscock-Anna McConnell-Cally Haynes-Claudia Caltagirone-Marion Kieffer-Emily Draper-Anna Slater-Larissa K.S. von Krbek-Kristin Hutchins-Davita Watkins-Nathalie Busschaert</t>
  </si>
  <si>
    <t>The South Asia to Gulf Migration Governance Complex</t>
  </si>
  <si>
    <t>Crystal A. Ennis-Nicolas Blarel</t>
  </si>
  <si>
    <t>The MENA Region and COVID-19</t>
  </si>
  <si>
    <t>Zeina Hobaika-Lena-Maria MÃ¶ller-Jan Claudius VÃ¶lkel</t>
  </si>
  <si>
    <t>Sport, Identity and Inclusion in Europe</t>
  </si>
  <si>
    <t>Ilse Hartmann-Tews</t>
  </si>
  <si>
    <t>The Front-end of Large Public Projects</t>
  </si>
  <si>
    <t>Terry M. Williams-Knut Samset-Gro Holst Volden</t>
  </si>
  <si>
    <t>Unsettling Translation</t>
  </si>
  <si>
    <t>Mona Baker</t>
  </si>
  <si>
    <t>Multicultural Cities of the Habsburg Empire, 1880â€“1914</t>
  </si>
  <si>
    <t>Catherine Horel</t>
  </si>
  <si>
    <t>Technological Surveillance of Communication in American, German and Chinese Criminal Procedure.</t>
  </si>
  <si>
    <t>Jiahui Shi</t>
  </si>
  <si>
    <t>Improving Assessment and Evaluation Strategies on Online Learning</t>
  </si>
  <si>
    <t>Surjani Wonorahardjo-Sari Karmina-Habiddin</t>
  </si>
  <si>
    <t>Applied Design Research</t>
  </si>
  <si>
    <t>Peter Joore-Guido Stompff-Jeroen van den Eijnde</t>
  </si>
  <si>
    <t>Shipwrecks, Legal Landscapes and Mediterranean Paradigms</t>
  </si>
  <si>
    <t>Emilia Mataix FerrÃ¡ndiz</t>
  </si>
  <si>
    <t>Zwischen Spiel und Story</t>
  </si>
  <si>
    <t>Moritz Hillmayer</t>
  </si>
  <si>
    <t>Matter, Affect, AntiNormativity</t>
  </si>
  <si>
    <t>Caroline BraunmÃ¼hl</t>
  </si>
  <si>
    <t>Migrating Through the Web</t>
  </si>
  <si>
    <t>Nicole Braida</t>
  </si>
  <si>
    <t>The Power of Persuasion</t>
  </si>
  <si>
    <t>Lucas Haasis</t>
  </si>
  <si>
    <t>Das Paradigma Kollektiv</t>
  </si>
  <si>
    <t>Klaus P. Hansen</t>
  </si>
  <si>
    <t>Partnerships for Sustainability in Contemporary Global Governance</t>
  </si>
  <si>
    <t>Liliana B. Andonova-Moira V. Faul-Dario Piselli</t>
  </si>
  <si>
    <t>Youth-Led Social Movements and Peacebuilding in Africa</t>
  </si>
  <si>
    <t>Ibrahim Bangura</t>
  </si>
  <si>
    <t>Dwie matki jednego dziecka. MacierzyÅ„stwo nieheteronormatywne w doÅ›wiadczeniu kobiet wychowujÄ…cych dzieci poczÄ™te w zwiÄ…zku jednopÅ‚ciowym</t>
  </si>
  <si>
    <t>Magdalena Wojciechowska</t>
  </si>
  <si>
    <t>Jednostka wobec globalnego wymiaru stosunkÃ³w miÄ™dzynarodowych</t>
  </si>
  <si>
    <t>Agnieszka KiszteliÅ„ska-WÄ™grzyÅ„ska-Maciej Krauze</t>
  </si>
  <si>
    <t>Kraje Unii Europejskiej w globalnych Å‚aÅ„cuchach wartoÅ›ci. Analiza empiryczna</t>
  </si>
  <si>
    <t>Wirginia DoryÅ„-Dorota Wawrzyniak</t>
  </si>
  <si>
    <t>â€žSprawy miejskieâ€. Dyskurs miejski w KrÃ³lestwie Polskim 1905â€“1915. WybÃ³r tekstÃ³w</t>
  </si>
  <si>
    <t>Kamil Åšmiechowski</t>
  </si>
  <si>
    <t>Deinstytucjonalizacja placÃ³wek opieki caÅ‚kowitej nad dzieÄ‡mi i mÅ‚odzieÅ¼Ä… w wojewÃ³dztwie Å‚Ã³dzkim</t>
  </si>
  <si>
    <t>Agnieszka GolczyÅ„ska-Grondas-Magdalena BÅ‚aszczyk</t>
  </si>
  <si>
    <t>Categories and Units in Language and Linguistics. ÅÃ³dzkie Studia Z JÄ™zykoznawstwa Angielskiego I OgÃ³lnego</t>
  </si>
  <si>
    <t>Janusz Badio</t>
  </si>
  <si>
    <t>Gleby orne makro- i mezoregionÃ³w fizycznogeograficznych Polski</t>
  </si>
  <si>
    <t>Wojciech ToÅ‚oczko</t>
  </si>
  <si>
    <t>Honiara</t>
  </si>
  <si>
    <t>Mr Clive Moore</t>
  </si>
  <si>
    <t>Strategic Triangles Reshaping International Relations in East Asia</t>
  </si>
  <si>
    <t>Gilbert Rozman</t>
  </si>
  <si>
    <t>Knowledge Resistance in High-Choice Information Environments</t>
  </si>
  <si>
    <t>Jesper StrÃ¶mbÃ¤ck-Ã…sa Wikforss-Kathrin GlÃ¼er-Torun Lindholm-Henrik Oscarsson</t>
  </si>
  <si>
    <t>Handbook of Research on the Global View of Open Access and Scholarly Communications</t>
  </si>
  <si>
    <t>Daniel Gelaw Alemneh</t>
  </si>
  <si>
    <t>Integrated Chemical Processes in Liquid Multiphase Systems</t>
  </si>
  <si>
    <t>Matthias Kraume-Sabine Enders-Anja Drews-Reinhard SchomÃ¤cker-Sebastian Engell-Kai Sundmacher</t>
  </si>
  <si>
    <t>DiabeÅ‚ Boruta w dawnej kulturze polskiej</t>
  </si>
  <si>
    <t>Maria Wichowa</t>
  </si>
  <si>
    <t>Notes on Noncommutative LP and Orlicz Spaces</t>
  </si>
  <si>
    <t>StanisÅ‚aw Goldstein-Louis Labuschagne</t>
  </si>
  <si>
    <t>Komunikacja naukowa w Polsce. Szczepionki, medycyna alternatywna, zmiany klimatyczne, GMO pod lupÄ…</t>
  </si>
  <si>
    <t>Aneta KrzewiÅ„ska-MaÅ‚gorzata DzimiÅ„ska-Izabela Warwas-Justyna Wiktorowicz</t>
  </si>
  <si>
    <t>Pedagogiczne implikacje teorii dezintegracji pozytywnej Kazimierza DÄ…browskiego</t>
  </si>
  <si>
    <t>Dominik Chojnowski</t>
  </si>
  <si>
    <t>JÄ™zyki sÅ‚owiaÅ„skie dziÅ›: w krÄ™gu kategorii, struktur i procesÃ³w</t>
  </si>
  <si>
    <t>Jakub Lubomir Banasiak-Aleksander Kiklewicz-Julia Mazurkiewicz-SuÅ‚kowska</t>
  </si>
  <si>
    <t>Posters, Protests, and Prescriptions</t>
  </si>
  <si>
    <t>Jennifer Crane-Jane Hand</t>
  </si>
  <si>
    <t>A Vehicle for Change</t>
  </si>
  <si>
    <t>Ã‰amon Ã“ Cofaigh</t>
  </si>
  <si>
    <t>Torture, Humiliate, Kill</t>
  </si>
  <si>
    <t>Hikmet Karcic</t>
  </si>
  <si>
    <t>Normalization in World Politics</t>
  </si>
  <si>
    <t>Nicolas Lemay-Hebert-GÃ«zim Visoka</t>
  </si>
  <si>
    <t>New Global Cities in Latin America and Asia</t>
  </si>
  <si>
    <t>Pablo Baisotti</t>
  </si>
  <si>
    <t>Electoral Campaigns, Media, and the New World of Digital Politics</t>
  </si>
  <si>
    <t>David Taras-Richard Davis</t>
  </si>
  <si>
    <t>Compound Containment</t>
  </si>
  <si>
    <t>Dong Jung Kim</t>
  </si>
  <si>
    <t>Psychosoziale Beratung und Soziale Arbeit</t>
  </si>
  <si>
    <t>Walburga Hoff-Christiane Rohleder</t>
  </si>
  <si>
    <t>Offene Kinder- und Jugendarbeit in Corona-Zeiten aus Sicht von FachkrÃ¤ften</t>
  </si>
  <si>
    <t>Gunda Voigts-Thurid Blohm</t>
  </si>
  <si>
    <t>The Political Economy of Patriarchy in the Global South</t>
  </si>
  <si>
    <t>Ece KocabÄ±Ã§ak</t>
  </si>
  <si>
    <t>Human Security and Sustainable Development in East Africa</t>
  </si>
  <si>
    <t>Jeremiah O. Asaka-Alice A. Oluoko-Odingo</t>
  </si>
  <si>
    <t>The Archaeology of Iran From the Palaeolithic to the Achaemenid Empire</t>
  </si>
  <si>
    <t>Roger Matthews-Hassan Fazeli Nashli</t>
  </si>
  <si>
    <t>Music As Labour</t>
  </si>
  <si>
    <t>Dagmar Abfalter-Rosa Reitsamer</t>
  </si>
  <si>
    <t>Thinking Europe</t>
  </si>
  <si>
    <t>MATS ANDRÃ‰N</t>
  </si>
  <si>
    <t>This Land Is Not For Sale</t>
  </si>
  <si>
    <t>Lotte Meinert-Susan Reynolds Whyte</t>
  </si>
  <si>
    <t>WolnoÅ›Ä‡ pracy osÃ³b z niepeÅ‚nosprawnoÅ›ciami jako wartoÅ›Ä‡ prawnie chroniona</t>
  </si>
  <si>
    <t>Magdalena Paluszkiewicz</t>
  </si>
  <si>
    <t>Statystyczne metody klasyfikacji tekstÃ³w</t>
  </si>
  <si>
    <t>Jerzy Korzeniewski-Adam Idczak</t>
  </si>
  <si>
    <t>Kierunki ewolucji procesÃ³w integracyjnych we wspÃ³Å‚czesnej gospodarce Å›wiatowej</t>
  </si>
  <si>
    <t>Joanna BogoÅ‚Ä™bska-Anetta Kuna-MarszaÅ‚ek-MaÅ‚gorzata Misiak</t>
  </si>
  <si>
    <t>AdaptacyjnoÅ›Ä‡ Å‚aÅ„cuchÃ³w dostaw we wspÃ³Å‚czesnej gospodarce. Studium na przykÅ‚adzie produktÃ³w leczniczych i wyrobÃ³w medycznych</t>
  </si>
  <si>
    <t>Tomasz Adam Karkowski-Jakub DoÅ„ski-Lesiuk-Urszula Motowidlak-Agnieszka Bukowska-PiestrzyÅ„ska</t>
  </si>
  <si>
    <t>Sex Work on Campus</t>
  </si>
  <si>
    <t>Terah J. Stewart</t>
  </si>
  <si>
    <t>Queer Kinship on the Edge? Families of Choice in Poland</t>
  </si>
  <si>
    <t>Joanna MizieliÅ„ska</t>
  </si>
  <si>
    <t>Mobilising the Racialised 'Others'</t>
  </si>
  <si>
    <t>Suvi Keskinen</t>
  </si>
  <si>
    <t>Analytical Heat Transfer</t>
  </si>
  <si>
    <t>Je-Chin Han-Lesley Wright</t>
  </si>
  <si>
    <t>Routledge Handbook of Community Forestry</t>
  </si>
  <si>
    <t>Janette Bulkan-John Palmer-Anne M. Larson-Mary Hobley</t>
  </si>
  <si>
    <t>Quality Management and Accounting in Service Industries</t>
  </si>
  <si>
    <t>Wojciech Sadkowski-Piotr Jedynak</t>
  </si>
  <si>
    <t>A Trial Separation</t>
  </si>
  <si>
    <t>Donald Denoon</t>
  </si>
  <si>
    <t>Contradiction</t>
  </si>
  <si>
    <t>Sharon Strange-Linda Jaivin-Esther Sunkyung Klein</t>
  </si>
  <si>
    <t>Country, Native Title and Ecology</t>
  </si>
  <si>
    <t>Jessica Weir</t>
  </si>
  <si>
    <t>Rebalancing and Sustaining Growth in China</t>
  </si>
  <si>
    <t>Huw McKay-Ligang Song</t>
  </si>
  <si>
    <t>Historische Lexikographie des Deutschen</t>
  </si>
  <si>
    <t>Gerhard Diehl-Volker Harm</t>
  </si>
  <si>
    <t>Glaube, Wissenschaft, Sprache</t>
  </si>
  <si>
    <t>Joachim Gerdes</t>
  </si>
  <si>
    <t>Konstruktionen zwischen Lexikon und Grammatik</t>
  </si>
  <si>
    <t>Carmen Mellado Blanco-Fabio Mollica-Elmar Schafroth</t>
  </si>
  <si>
    <t>The World's First Full Press Freedom</t>
  </si>
  <si>
    <t>Ulrik Langen-Frederik Stjernfelt</t>
  </si>
  <si>
    <t>The Walking Dead at Saqqara</t>
  </si>
  <si>
    <t>Lara Weiss</t>
  </si>
  <si>
    <t>GefÃ¤hrliche Forschung?</t>
  </si>
  <si>
    <t>Wilfried Hinsch-Susanne BrandtstÃ¤dter</t>
  </si>
  <si>
    <t>The Maritime Economy of Ancient Cyprus in Terms of the New Institutional Economics</t>
  </si>
  <si>
    <t>Andreas P. Parpas</t>
  </si>
  <si>
    <t>Materielle Schranken der Stimmrechtsmacht im Recht der Unternehmensanleihe.</t>
  </si>
  <si>
    <t>Michael Berger</t>
  </si>
  <si>
    <t>Post-Liberal Statebuilding in Central Asia</t>
  </si>
  <si>
    <t>Philipp Lottholz</t>
  </si>
  <si>
    <t>African Perspectives on Religion and Climate Change</t>
  </si>
  <si>
    <t>Ezra Chitando-Ernst M. Conradie-Susan M. Kilonzo</t>
  </si>
  <si>
    <t>Ecocene Politics</t>
  </si>
  <si>
    <t xml:space="preserve"> Mihnea TÄƒnÄƒsescu</t>
  </si>
  <si>
    <t>A Philosophy of Cover Songs</t>
  </si>
  <si>
    <t xml:space="preserve"> P.D. Magnus</t>
  </si>
  <si>
    <t>Computational Modelling of Concrete and Concrete Structures</t>
  </si>
  <si>
    <t>GÃ¼nther Meschke-Bernhard Pichler-Jan G. Rots</t>
  </si>
  <si>
    <t>Exploring New Horizons and Challenges for Social Studies in a New Normal</t>
  </si>
  <si>
    <t>Idris-Agus Purnomo-Muhamad Alif Haji Sismat-Zawawi Ismaâ€™il-Luechai Sringernyuang</t>
  </si>
  <si>
    <t>Promoting Statistical Practice and Collaboration in Developing Countries</t>
  </si>
  <si>
    <t>O. Olawale Awe-Kim Love-Eric A. Vance</t>
  </si>
  <si>
    <t>Social and Political Issues on Sustainable Development in the Post Covid-19 Crisis</t>
  </si>
  <si>
    <t>Oman Sukmana-Salahudin-Iqbal Robbie-Ali Roziqin-Shannaz Mutiara Deniar-Iradhad T. Sihidi-Dedik F. Suhermanto</t>
  </si>
  <si>
    <t>The Eudaimonist Ethics of Al-FÄrÄbÄ« and Avicenna</t>
  </si>
  <si>
    <t>Janne Mattila</t>
  </si>
  <si>
    <t>Indigenous Participation in Australian Economies II</t>
  </si>
  <si>
    <t>Natasha Fijn-Ian Keen-Christopher Lloyd-Michael Pickering</t>
  </si>
  <si>
    <t>Indigenous Participation in Australian Economies</t>
  </si>
  <si>
    <t>Indigenous People's Innovation</t>
  </si>
  <si>
    <t>Peter Drahos-Susy Frankel</t>
  </si>
  <si>
    <t>Persons of Interest</t>
  </si>
  <si>
    <t>Pamela Burton-Meredith Edwards</t>
  </si>
  <si>
    <t>Musikalische Geometrie</t>
  </si>
  <si>
    <t>Michelle Ziegler</t>
  </si>
  <si>
    <t>Qualitative Forschung auf dem PrÃ¼fstand</t>
  </si>
  <si>
    <t>Maria Kondratjuk-Olaf DÃ¶rner-Sandra Tiefel-Heike Ohlbrecht</t>
  </si>
  <si>
    <t>L'accident majeur de Fukushima</t>
  </si>
  <si>
    <t>EDP Sciences</t>
  </si>
  <si>
    <t>Alain Carpentier-Ã‰tienne-Ã‰mile Beaulieu-Ã‰douard BrÃ©zin-Jacques Friedel</t>
  </si>
  <si>
    <t>Precarity in European Film</t>
  </si>
  <si>
    <t>Elisa Cuter-Guido Kirsten-Hanna Prenzel</t>
  </si>
  <si>
    <t>Youth and Memory in Europe</t>
  </si>
  <si>
    <t>FÃ©lix Krawatzek-Nina Friess</t>
  </si>
  <si>
    <t>Narratologie und vormoderne japanische Literatur</t>
  </si>
  <si>
    <t>Sebastian Balmes</t>
  </si>
  <si>
    <t>Emotions Across Cultures</t>
  </si>
  <si>
    <t>David Konstan</t>
  </si>
  <si>
    <t>Rethinking Orality II</t>
  </si>
  <si>
    <t>Andrea Ercolani-Laura Lulli</t>
  </si>
  <si>
    <t>Conceptions of Time in Greek and Roman Antiquity</t>
  </si>
  <si>
    <t>Richard Faure-Simon-Pierre Valli-Arnaud Zucker</t>
  </si>
  <si>
    <t>La tradizione manoscritta dellâ€™â€œars dictaminisâ€ nellâ€™Italia medievale</t>
  </si>
  <si>
    <t>Sara Bischetti</t>
  </si>
  <si>
    <t>Stratton, Biggleswade: 1,300 Years of Village Life in Eastern Bedfordshire From the 5th Century AD</t>
  </si>
  <si>
    <t>Drew Shotliff-David Ingham</t>
  </si>
  <si>
    <t>Living with Seismic Phenomena in the Mediterranean and Beyond Between Antiquity and the Middle Ages</t>
  </si>
  <si>
    <t>Rita Compatangelo-Soussignan-Francesca Diosono-FrÃ©dÃ©ric Le Blay</t>
  </si>
  <si>
    <t>Down to Earth Archaeology</t>
  </si>
  <si>
    <t>William Y. Adams</t>
  </si>
  <si>
    <t>Sexuelle Bildung fÃ¼r das Lehramt</t>
  </si>
  <si>
    <t>Celina Khamis-Maria Urban-Sabine Wienholz</t>
  </si>
  <si>
    <t>Archaeological Excavations and Research Studies in Southern Israel: Collected Papers Volume 5: 18th Annual Southern Conference / ×—×¤×™×¨×•×ª ×•×ž×—×§×¨×™× ××¨×›×™××•×œ×•×’×™×™× ×‘×“×¨×•× ×”××¨×¥: ×§×•×‘×¥ ×ž×—×§×¨×™× ×›×¨×š ×”': ×›× ×¡ ×“×¨×•× ×”-×™'×—</t>
  </si>
  <si>
    <t>Amir Golani-Daniel Varga-Yana Tchekanovets-Michal Birkenfeld</t>
  </si>
  <si>
    <t>Unpacking Creativity for Language Teaching</t>
  </si>
  <si>
    <t>Tan Bee Tin</t>
  </si>
  <si>
    <t>Pompeian Peristyle Gardens</t>
  </si>
  <si>
    <t>Samuli Simelius</t>
  </si>
  <si>
    <t>Sacred Civics</t>
  </si>
  <si>
    <t>Jayne Engle-Julian Agyeman-Tanya Chung-Tiam-Fook</t>
  </si>
  <si>
    <t>A Ming Confucianâ€™s World</t>
  </si>
  <si>
    <t>Lu Rong</t>
  </si>
  <si>
    <t>Youth in Fiji and Solomon Islands</t>
  </si>
  <si>
    <t>Aidan Craney</t>
  </si>
  <si>
    <t>Cold War Liberation</t>
  </si>
  <si>
    <t>Natalia Telepneva</t>
  </si>
  <si>
    <t>Die DDR-Literatur und die Wissenschaften</t>
  </si>
  <si>
    <t>Angela Gencarelli</t>
  </si>
  <si>
    <t>Diskurse â€“ digital</t>
  </si>
  <si>
    <t>Eva Gredel</t>
  </si>
  <si>
    <t>Forensische Verfahren in den zeitgenÃ¶ssischen KÃ¼nsten</t>
  </si>
  <si>
    <t>Lisa Stuckey</t>
  </si>
  <si>
    <t>Mapping Narrations â€“ Narrating Maps</t>
  </si>
  <si>
    <t>Ingrid BaumgÃ¤rtner-Daniel Gneckow-Anna Hollenbach-Phillip Landgrebe</t>
  </si>
  <si>
    <t>Post-totalitarian Societies in Transformation</t>
  </si>
  <si>
    <t>ElÅ¼bieta Mach-Grzegorz PoÅ¼arlik-Joanna Sondel-Cedarmas</t>
  </si>
  <si>
    <t>Great and Small Games in Central Asia and the South Caucasus</t>
  </si>
  <si>
    <t>Tomasz Pugacewicz-Marcin Grabowski</t>
  </si>
  <si>
    <t>Climate, Society and Elemental Insurance</t>
  </si>
  <si>
    <t>Kate Booth-Chloe Lucas-Shaun French</t>
  </si>
  <si>
    <t>Teilhabe an Arbeit fÃ¼r Menschen mit psychischen Erkrankungen</t>
  </si>
  <si>
    <t>Petra Gromann-Andrea Deuschle</t>
  </si>
  <si>
    <t>SolidaritÃ¤t und Krise</t>
  </si>
  <si>
    <t>Silke Jakob-Nikias Obitz</t>
  </si>
  <si>
    <t>Indigenous Sport and Nation-Building</t>
  </si>
  <si>
    <t>Eivind Ã…. Skille</t>
  </si>
  <si>
    <t>Kommentar zu Nietzsches "Die frÃ¶hliche Wissenschaft"</t>
  </si>
  <si>
    <t>Sebastian Kaufmann-Heidelberger Akademie der Wissenschaften</t>
  </si>
  <si>
    <t>Verflochtene Nationsbildung</t>
  </si>
  <si>
    <t>Carolin Liebisch-GÃ¼mÃ¼ÅŸ</t>
  </si>
  <si>
    <t>Feminist Research Alliances: Affective Convergences</t>
  </si>
  <si>
    <t>Adelina SÃ¡nchez Espinosa-Dresda E. MÃ©ndez de la Brena</t>
  </si>
  <si>
    <t>Global Contestations of Gender Rights</t>
  </si>
  <si>
    <t>Alexandra Scheele-Julia Roth-Heidemarie Winkel</t>
  </si>
  <si>
    <t>Imagining Unequals, Imagining Equals</t>
  </si>
  <si>
    <t>Ulrike Davy-Antje FlÃ¼chter</t>
  </si>
  <si>
    <t>GrenzgÃ¤nge</t>
  </si>
  <si>
    <t>Hans-Christoph Koller-Markus Rieger-Ladich</t>
  </si>
  <si>
    <t>Innovation</t>
  </si>
  <si>
    <t>Holger Braun-ThÃ¼rmann</t>
  </si>
  <si>
    <t>Politischer Diskurs und Hegemonie</t>
  </si>
  <si>
    <t>Martin Nonhoff</t>
  </si>
  <si>
    <t>Politische Philosophie und Dekonstruktion</t>
  </si>
  <si>
    <t>Andreas Niederberger-Markus Wolf</t>
  </si>
  <si>
    <t>Kulturindustrie</t>
  </si>
  <si>
    <t>Roger Behrens</t>
  </si>
  <si>
    <t>Die Colonia Dignidad zwischen Erinnern und Vergessen</t>
  </si>
  <si>
    <t>Meike Dreckmann-Nielen</t>
  </si>
  <si>
    <t>Atlas der DatenkÃ¶rper 1</t>
  </si>
  <si>
    <t>Marlene Bart-Johannes Breuer-Alex Leo Freier</t>
  </si>
  <si>
    <t>Pop goes literature â€“ Musiker:innen und Autorschaft</t>
  </si>
  <si>
    <t>Christoph JÃ¼rgensen</t>
  </si>
  <si>
    <t>Die MaterialitÃ¤t der MÃ¤rkte</t>
  </si>
  <si>
    <t>Linda Hering</t>
  </si>
  <si>
    <t>Zwischen Internationalismus und Sachpolitik</t>
  </si>
  <si>
    <t>Lucas Federer</t>
  </si>
  <si>
    <t>Affective Worldmaking</t>
  </si>
  <si>
    <t>Silvia Schultermandl-Jana Aresin-Si Sophie Pages Whybrew-Dijana Simic</t>
  </si>
  <si>
    <t>Memes â€“ Formen und Folgen eines InternetphÃ¤nomens</t>
  </si>
  <si>
    <t>Joanna Nowotny-Julian Reidy</t>
  </si>
  <si>
    <t>Living in Refuge</t>
  </si>
  <si>
    <t>Leonardo Schiocchet</t>
  </si>
  <si>
    <t>Postdramatic Dramaturgies</t>
  </si>
  <si>
    <t>Kai Tuchmann</t>
  </si>
  <si>
    <t>Sexuelle Bildung ermÃ¶glichen</t>
  </si>
  <si>
    <t>Marion Thuswald</t>
  </si>
  <si>
    <t>SolidaritÃ¤t als Praxis</t>
  </si>
  <si>
    <t>Nikolas Schall</t>
  </si>
  <si>
    <t>(Dis)Obedience in Digital Societies</t>
  </si>
  <si>
    <t>Sven Quadflieg-Klaus Neuburg-Simon Nestler</t>
  </si>
  <si>
    <t>Processing Choreography</t>
  </si>
  <si>
    <t>Elizabeth Waterhouse</t>
  </si>
  <si>
    <t>Lieder, Geister und Tabus</t>
  </si>
  <si>
    <t>Wei-Ya Lin</t>
  </si>
  <si>
    <t>Europa backstage</t>
  </si>
  <si>
    <t>Kerstin Poehls</t>
  </si>
  <si>
    <t>Medien in Raum und Zeit</t>
  </si>
  <si>
    <t>Ingo KÃ¶ster-Kai Schubert</t>
  </si>
  <si>
    <t>Media â€“ Migration â€“ Integration</t>
  </si>
  <si>
    <t>Rainer GeiÃŸler-Horst PÃ¶ttker</t>
  </si>
  <si>
    <t>Massenmedien und die Integration ethnischer Minderheiten in Deutschland</t>
  </si>
  <si>
    <t>Digital Tools in Media Studies</t>
  </si>
  <si>
    <t>Manfred Grauer-Bernd Freisleben-Michael Ross</t>
  </si>
  <si>
    <t>9/11 als kulturelle ZÃ¤sur</t>
  </si>
  <si>
    <t>Sandra Poppe-Thorsten SchÃ¼ller-Sascha Seiler</t>
  </si>
  <si>
    <t>Meg Stuart</t>
  </si>
  <si>
    <t>Annamira Jochim</t>
  </si>
  <si>
    <t>Computerexperimente</t>
  </si>
  <si>
    <t>Gabriele Gramelsberger</t>
  </si>
  <si>
    <t>Digitaler Realismus</t>
  </si>
  <si>
    <t>Sebastian Richter</t>
  </si>
  <si>
    <t>Disziplinieren und entspannen</t>
  </si>
  <si>
    <t>Antje Langer</t>
  </si>
  <si>
    <t>Geste</t>
  </si>
  <si>
    <t>Reinhold GÃ¶rling-Timo Skrandies-Stephan Trinkaus</t>
  </si>
  <si>
    <t>Mythos Enigma</t>
  </si>
  <si>
    <t>Dominik Landwehr</t>
  </si>
  <si>
    <t>Aggressive Medien</t>
  </si>
  <si>
    <t>Isabell Otto</t>
  </si>
  <si>
    <t>Dionysos in Sparta</t>
  </si>
  <si>
    <t>Natalia StÃ¼demann</t>
  </si>
  <si>
    <t>Â»KulturÂ«-Konstruktionen</t>
  </si>
  <si>
    <t>Sabine Eggmann</t>
  </si>
  <si>
    <t>The Making of World Society</t>
  </si>
  <si>
    <t>Remus Gabriel Anghel-Eva Gerharz-Gilberto Rescher-Monika Salzbrunn</t>
  </si>
  <si>
    <t>Die Rituale der Freimaurer</t>
  </si>
  <si>
    <t>Kristiane Hasselmann</t>
  </si>
  <si>
    <t>Der Arbeitskraftunternehmer und seine Bildung</t>
  </si>
  <si>
    <t>Frank Elster</t>
  </si>
  <si>
    <t>Die Google-Gesellschaft</t>
  </si>
  <si>
    <t>Kai Lehmann-Michael Schetsche</t>
  </si>
  <si>
    <t>Das Gegendenkmal</t>
  </si>
  <si>
    <t>Corinna Tomberger</t>
  </si>
  <si>
    <t>Welt.Raum.KÃ¶rper</t>
  </si>
  <si>
    <t>Carsten WÃ¼rmann-Martina Schuegraf-Sandra Smykalla-Angela Poppitz</t>
  </si>
  <si>
    <t>Zum IdentitÃ¤tsdiskurs in den Sozialwissenschaften</t>
  </si>
  <si>
    <t>Ingrid Jungwirth</t>
  </si>
  <si>
    <t>Mensch-Computer-Interface</t>
  </si>
  <si>
    <t>Hans Dieter Hellige</t>
  </si>
  <si>
    <t>Kultureller Umbau</t>
  </si>
  <si>
    <t>Meike KrÃ¶ncke-Kerstin Mey-Yvonne Spielmann</t>
  </si>
  <si>
    <t>KÃ¶rper denken in Bewegung</t>
  </si>
  <si>
    <t>Christiane Berger</t>
  </si>
  <si>
    <t>Auszug aus dem Lager</t>
  </si>
  <si>
    <t>Ludger Schwarte</t>
  </si>
  <si>
    <t>Symbolische Formen</t>
  </si>
  <si>
    <t>Martin Voss</t>
  </si>
  <si>
    <t>Kulturelle Einflussangst</t>
  </si>
  <si>
    <t>Michael C. Frank</t>
  </si>
  <si>
    <t>MedienRevolutionen</t>
  </si>
  <si>
    <t>Ralf Schnell</t>
  </si>
  <si>
    <t>Verschwindet die Natur?</t>
  </si>
  <si>
    <t>Martin Voss-Birgit Peuker</t>
  </si>
  <si>
    <t>Die unverstandene Kultur</t>
  </si>
  <si>
    <t>Marian Adolf</t>
  </si>
  <si>
    <t>Eine Schweiz â€“ viele Religionen</t>
  </si>
  <si>
    <t>Martin Baumann-JÃ¶rg Stolz</t>
  </si>
  <si>
    <t>Rechtlos, aber nicht ohne Stimme</t>
  </si>
  <si>
    <t>Helen Schwenken</t>
  </si>
  <si>
    <t>Hautkontakt der Schriftsysteme</t>
  </si>
  <si>
    <t>Ulrich Heinze</t>
  </si>
  <si>
    <t>Musik in der Migration</t>
  </si>
  <si>
    <t>Maria Wurm</t>
  </si>
  <si>
    <t>Kafkas Institutionen</t>
  </si>
  <si>
    <t>Arne HÃ¶cker-Oliver Simons</t>
  </si>
  <si>
    <t>Politics of Visibility</t>
  </si>
  <si>
    <t>Gerdien Jonker-ValÃ©rie Amiraux</t>
  </si>
  <si>
    <t>Â»Ã¤lter â€“ bunter â€“ wenigerÂ«</t>
  </si>
  <si>
    <t>Stiftung Niedersachsen</t>
  </si>
  <si>
    <t>Images von Gewicht</t>
  </si>
  <si>
    <t>Lutz Hieber-Paula-Irene Villa</t>
  </si>
  <si>
    <t>Integration durch Massenmedien / Mass Media-Integration</t>
  </si>
  <si>
    <t>Die Obsession der Puppe in der Fotografie</t>
  </si>
  <si>
    <t>Birgit KÃ¤ufer</t>
  </si>
  <si>
    <t>Ã„pfel und Birnen</t>
  </si>
  <si>
    <t>Helga Lutz-Jan-Friedrich MiÃŸfelder-Tilo Renz</t>
  </si>
  <si>
    <t>UnzeitgemÃ¤ÃŸe Utopien</t>
  </si>
  <si>
    <t>MarÃ­a do Mar Castro Varela</t>
  </si>
  <si>
    <t>Migrieren â€“ Arbeiten â€“ Krankwerden</t>
  </si>
  <si>
    <t>Heidrun Schulze</t>
  </si>
  <si>
    <t>Islam in Process</t>
  </si>
  <si>
    <t>Johann P. Arnason-Armando Salvatore-Georg Stauth</t>
  </si>
  <si>
    <t>Ethik, Ethos, Ethnos</t>
  </si>
  <si>
    <t>Annette Hornbacher</t>
  </si>
  <si>
    <t>Der Orient, die Fremde</t>
  </si>
  <si>
    <t>Regina GÃ¶ckede-Alexandra Karentzos</t>
  </si>
  <si>
    <t>Alternde Gesellschaften im Vergleich</t>
  </si>
  <si>
    <t>Shingo Shimada-Christian Tagsold</t>
  </si>
  <si>
    <t>Daumenkultur</t>
  </si>
  <si>
    <t>Peter Glotz-Stefan Bertschi-Chris Locke</t>
  </si>
  <si>
    <t>psycho movie</t>
  </si>
  <si>
    <t>Markus Fellner</t>
  </si>
  <si>
    <t>Towards a Multiversity?</t>
  </si>
  <si>
    <t>Georg KrÃ¼cken-Anna KosmÃ¼tzky-Marc Torka</t>
  </si>
  <si>
    <t>Metamorphosen des Signifikanten</t>
  </si>
  <si>
    <t>Peter Widmer</t>
  </si>
  <si>
    <t>Verunsicherung</t>
  </si>
  <si>
    <t>Anna Sabel-Mehmet Arbag-Verband binationaler Familien und Partnerschaften</t>
  </si>
  <si>
    <t>Negotiating Urban Conflicts</t>
  </si>
  <si>
    <t>Helmuth Berking-Sybille Frank-Lars Frers-Martina LÃ¶w-Lars Meier-Silke Steets-Sergej Stoetzer</t>
  </si>
  <si>
    <t>Affekte</t>
  </si>
  <si>
    <t>Antje Krause-Wahl-Heike OehlschlÃ¤gel-Serjoscha Wiemer</t>
  </si>
  <si>
    <t>Global Governance</t>
  </si>
  <si>
    <t>Helmut Willke</t>
  </si>
  <si>
    <t>DenkanstÃ¶ÃŸe zu einer anderen Geographie der Ã–konomie</t>
  </si>
  <si>
    <t>Christian Berndt-Johannes GlÃ¼ckler</t>
  </si>
  <si>
    <t>Inszenierung und Erlebnis in kulturhistorischen Ausstellungen</t>
  </si>
  <si>
    <t>Brigitte Kaiser</t>
  </si>
  <si>
    <t>Die Ordnung der KlÃ¤nge</t>
  </si>
  <si>
    <t>Andi Schoon</t>
  </si>
  <si>
    <t>Hybride IdentitÃ¤ten</t>
  </si>
  <si>
    <t>Kerstin Hein</t>
  </si>
  <si>
    <t>Wissen. ErzÃ¤hlen.</t>
  </si>
  <si>
    <t>Arne HÃ¶cker-Jeannie Moser-Philippe Weber</t>
  </si>
  <si>
    <t>Der Stamm der Experten</t>
  </si>
  <si>
    <t>Thomas HÃ¼sken</t>
  </si>
  <si>
    <t>Unfinished Business</t>
  </si>
  <si>
    <t>Achim GeisenhanslÃ¼ke-Christian Steltz</t>
  </si>
  <si>
    <t>Wie Katie Tingle sich weigerte, ordentlich zu posieren und Walker Evans darÃ¼ber nicht grollte</t>
  </si>
  <si>
    <t>Michael Leicht</t>
  </si>
  <si>
    <t>Interkulturelles Handeln in der globalisierten Hochschulbildung</t>
  </si>
  <si>
    <t>Matthias Otten</t>
  </si>
  <si>
    <t>Chicks Rule!</t>
  </si>
  <si>
    <t>Karin Lenzhofer</t>
  </si>
  <si>
    <t>VerhÃ¼llte Schaulust</t>
  </si>
  <si>
    <t>Julia Freytag</t>
  </si>
  <si>
    <t>KÃ¶rperspuren</t>
  </si>
  <si>
    <t>Karl-Heinrich Bette</t>
  </si>
  <si>
    <t>Konstruktionen von Europa</t>
  </si>
  <si>
    <t>Gudrun Quenzel</t>
  </si>
  <si>
    <t>InnenStadtAktion â€“ Kunst oder Politik?</t>
  </si>
  <si>
    <t>Nicole Grothe</t>
  </si>
  <si>
    <t>Dezentrierte Positionierung</t>
  </si>
  <si>
    <t>Linda Supik</t>
  </si>
  <si>
    <t>Diskurs â€“ Stadt â€“ KriminalitÃ¤t</t>
  </si>
  <si>
    <t>Georg Glasze-Robert PÃ¼tz-Manfred Rolfes</t>
  </si>
  <si>
    <t>Keiner wird gewinnen</t>
  </si>
  <si>
    <t>Dietrich Helms-Thomas Phleps</t>
  </si>
  <si>
    <t>Thumb Culture</t>
  </si>
  <si>
    <t>Kulturschutt</t>
  </si>
  <si>
    <t>Christoph Jacke-Eva Kimminich-Siegfried J. Schmidt</t>
  </si>
  <si>
    <t>EinfÃ¼hrungen in die Psychoanalyse II</t>
  </si>
  <si>
    <t>Karl-Josef Pazzini-Susanne Gottlob</t>
  </si>
  <si>
    <t>VerkÃ¶rperungen des Waldes</t>
  </si>
  <si>
    <t>Marcus Termeer</t>
  </si>
  <si>
    <t>Childhood and Migration</t>
  </si>
  <si>
    <t>Jacqueline KnÃ¶rr</t>
  </si>
  <si>
    <t>StÃ¤ndige Vertretung</t>
  </si>
  <si>
    <t>Ulrike Niedner-Kalthoff</t>
  </si>
  <si>
    <t>Museen und Stadtimagebildung</t>
  </si>
  <si>
    <t>Franziska Puhan-Schulz</t>
  </si>
  <si>
    <t>Erosion des Â»SozialkapitalsÂ«?</t>
  </si>
  <si>
    <t>Michael Helmbrecht</t>
  </si>
  <si>
    <t>Â»Intellektuelle AnschauungÂ«</t>
  </si>
  <si>
    <t>Sibylle Peters-Martin JÃ¶rg SchÃ¤fer</t>
  </si>
  <si>
    <t>Unbestimmtheitssignaturen der Technik</t>
  </si>
  <si>
    <t>Gerhard Gamm-Andreas Hetzel</t>
  </si>
  <si>
    <t>ReligiÃ¶ser Pluralismus</t>
  </si>
  <si>
    <t>Martin Baumann-Samuel M. Behloul</t>
  </si>
  <si>
    <t>EinfÃ¼hrungen in die Psychoanalyse I</t>
  </si>
  <si>
    <t>Wahrnehmung â€“ Kognition â€“ Ã„sthetik</t>
  </si>
  <si>
    <t>MaterialitÃ¤t denken</t>
  </si>
  <si>
    <t>Corinna Bath-Yvonne Bauer-Bettina Bock von WÃ¼lfingen-Angelika Saupe-Jutta Weber</t>
  </si>
  <si>
    <t>Die unendliche Aufgabe</t>
  </si>
  <si>
    <t>Reinhard Heil-Andreas Hetzel</t>
  </si>
  <si>
    <t>Scientology</t>
  </si>
  <si>
    <t>RELIGION / Scientology</t>
  </si>
  <si>
    <t>Gerald Willms</t>
  </si>
  <si>
    <t>Mission und Kultur im alten Neuguinea</t>
  </si>
  <si>
    <t>MÃ¤nnlichkeit und gymnasialer Alltag</t>
  </si>
  <si>
    <t>JÃ¼rgen Budde</t>
  </si>
  <si>
    <t>Sprache und Fremdsprache</t>
  </si>
  <si>
    <t>Jutta Prasse-Claus-Dieter Rath</t>
  </si>
  <si>
    <t>Die Aneignung der Vergangenheit</t>
  </si>
  <si>
    <t>Ulrich Borsdorf-Heinrich Theodor GrÃ¼tter-Univ. Prof. Dr. Dr.h.c.mult.</t>
  </si>
  <si>
    <t>Zwischen Anthropologie und Gesellschaftstheorie</t>
  </si>
  <si>
    <t>Gerhard Gamm-Mathias Gutmann-Alexandra Manzei</t>
  </si>
  <si>
    <t>Bildung der UniversitÃ¤t</t>
  </si>
  <si>
    <t>Andrea Liesner-Olaf Sanders</t>
  </si>
  <si>
    <t>Atelier und Dichterzimmer in neuen Medienwelten</t>
  </si>
  <si>
    <t>Sabiene Autsch-Michael Grisko-Peter Seibert</t>
  </si>
  <si>
    <t>OrtsgesprÃ¤che</t>
  </si>
  <si>
    <t>Alexander C.T. Geppert-Uffa Jensen-JÃ¶rn Weinhold</t>
  </si>
  <si>
    <t>Realexperimente</t>
  </si>
  <si>
    <t>Matthias GroÃŸ-Holger Hoffmann-Riem-Wolfgang Krohn</t>
  </si>
  <si>
    <t>KÃ¶rperSpuren</t>
  </si>
  <si>
    <t>Claudia Franziska Bruner</t>
  </si>
  <si>
    <t>Behinderung, Ungleichheit und Bildung</t>
  </si>
  <si>
    <t>Jan Weisser</t>
  </si>
  <si>
    <t>Organisierte Umwelt</t>
  </si>
  <si>
    <t>Michael Guggenheim</t>
  </si>
  <si>
    <t>Lernen Beraten</t>
  </si>
  <si>
    <t>Peter Kossack</t>
  </si>
  <si>
    <t>Rassismus als flexible symbolische Ressource</t>
  </si>
  <si>
    <t>Karin Scherschel</t>
  </si>
  <si>
    <t>Â»From the Native's Point of ViewÂ«?</t>
  </si>
  <si>
    <t>Karsten Kumoll</t>
  </si>
  <si>
    <t>Leibhaftige Moderne</t>
  </si>
  <si>
    <t>Michael Cowan-Kai Marcel Sicks</t>
  </si>
  <si>
    <t>Sex and the Body</t>
  </si>
  <si>
    <t>Gabriele Alex-Sabine Klocke-Daffa</t>
  </si>
  <si>
    <t>Medien(sub)kultur</t>
  </si>
  <si>
    <t>Christoph Jacke</t>
  </si>
  <si>
    <t>Anthropologie der Konflikte</t>
  </si>
  <si>
    <t>Julia M. Eckert</t>
  </si>
  <si>
    <t>Die Sprache der Bewegung</t>
  </si>
  <si>
    <t>Monika Fikus-Volker SchÃ¼rmann</t>
  </si>
  <si>
    <t>Die Berater</t>
  </si>
  <si>
    <t>Werner RÃ¼gemer</t>
  </si>
  <si>
    <t>Analog/Digital â€“ Opposition oder Kontinuum?</t>
  </si>
  <si>
    <t>Jens SchrÃ¶ter-Alexander Zons</t>
  </si>
  <si>
    <t>Event zieht â€“ Inhalt bindet</t>
  </si>
  <si>
    <t>Beatrix Commandeur-Dorothee Dennert</t>
  </si>
  <si>
    <t>Raum â€“ Dynamik / dynamique de l'espace</t>
  </si>
  <si>
    <t>Franck Hofmann-Jens Emil Sennewald-Stavros Lazaris</t>
  </si>
  <si>
    <t>Lebendige Erinnerungen</t>
  </si>
  <si>
    <t>Hartmut Seitz</t>
  </si>
  <si>
    <t>Das System Â»TerrorÂ«</t>
  </si>
  <si>
    <t>Peter Fuchs</t>
  </si>
  <si>
    <t>Optische Magie</t>
  </si>
  <si>
    <t>Nicole Gronemeyer</t>
  </si>
  <si>
    <t>Perspektiven einer anderen Natur</t>
  </si>
  <si>
    <t>Wissenschaft, die Grenzen schafft</t>
  </si>
  <si>
    <t>Bettina Heintz-Martina Merz-Christina Schumacher</t>
  </si>
  <si>
    <t>Hans Werner Henze und Ingeborg Bachmann: Die gemeinsamen Werke</t>
  </si>
  <si>
    <t>Christian Bielefeldt</t>
  </si>
  <si>
    <t>Bildung / Transformation</t>
  </si>
  <si>
    <t>Werner Friedrichs-Olaf Sanders</t>
  </si>
  <si>
    <t>Geburt Leben Sterben Tod</t>
  </si>
  <si>
    <t>Maximilian Petras-Dana-Sophia Valentiner</t>
  </si>
  <si>
    <t>Reindeer Husbandry and Global Environmental Change</t>
  </si>
  <si>
    <t>Tim Horstkotte-Ã˜ystein Holand-Jouko Kumpula-Jon Moen</t>
  </si>
  <si>
    <t>Decolonisations of Literature</t>
  </si>
  <si>
    <t>Stefan Helgesson</t>
  </si>
  <si>
    <t>Religious Horror and Holy War in Viking Age Francia</t>
  </si>
  <si>
    <t>Trivent Publishing (Open Access)</t>
  </si>
  <si>
    <t>Matthew Bryan Gillis</t>
  </si>
  <si>
    <t>Studies in Polish Language and Literature</t>
  </si>
  <si>
    <t>Marta Wojtkowska-Maksymik-Magdalena ZawisÅ‚awska</t>
  </si>
  <si>
    <t>Niederdeutschdidaktik</t>
  </si>
  <si>
    <t>Birte Arendt-Robert Langhanke</t>
  </si>
  <si>
    <t>The Black Border and Fugitive Narration in Black American Literature</t>
  </si>
  <si>
    <t>Paula von Gleich</t>
  </si>
  <si>
    <t>Sentient Ecologies</t>
  </si>
  <si>
    <t>Alexandra CoÈ›ofanÄƒ-Hikmet Kuran</t>
  </si>
  <si>
    <t>Walter T., McNicholas-Ulf, Kallweit-Gert Jan, Lammers-Joerg, Steier</t>
  </si>
  <si>
    <t>La seguridad deportiva a debate II.</t>
  </si>
  <si>
    <t>LAW / Sports</t>
  </si>
  <si>
    <t>Flores Allende, Gabriel-GarcÃ­a TascÃ³n, Marta-Magaz GonzÃ¡lez, Ana MarÃ­a</t>
  </si>
  <si>
    <t>Empoderamiento comunitario para la promociÃ³n de la salud.</t>
  </si>
  <si>
    <t>Arco Bravo, Isabel del</t>
  </si>
  <si>
    <t>La violencia de gÃ©nero en adolescentes y jÃ³venes: claves para la prevenciÃ³n.</t>
  </si>
  <si>
    <t>Rebollo CatalÃ¡n, Ãngeles-Vega Caro, Luisa-BascÃ³n DÃ­az, Miguel</t>
  </si>
  <si>
    <t>Salud, EducaciÃ³n y conectividad.</t>
  </si>
  <si>
    <t>Espart Herrero, Anna</t>
  </si>
  <si>
    <t>Feminismos aplicados. Un enfoque desde la educaciÃ³n, gÃ©nero, violencia estructural y los movimientos sociales.</t>
  </si>
  <si>
    <t>BandrÃ©s GoldÃ¡raz, Elena-Diez Ros, RocÃ­o-ArÃ¡nguez SÃ¡nchez, Tasia</t>
  </si>
  <si>
    <t>El devenir de la lingÃ¼Ã­stica y la cultura: un estudio interdisciplinar sobre lengua, literatura y traducciÃ³n.</t>
  </si>
  <si>
    <t>GarcÃ©s Manzanera, Aitor-Ould GarcÃ­a, Omar Salem-Flores Borjabad, Salud Adelaida</t>
  </si>
  <si>
    <t>InnovaciÃ³n educativa aplicada a la enseÃ±anza de la lengua.</t>
  </si>
  <si>
    <t>Euskal autonomia erkidegoko gizarte-ekonomiari buruzko kontakizuna.</t>
  </si>
  <si>
    <t>Enciso Santocildes, Marta-Bengoetxea Alkorta, Aitor-Uriarte Zabala, Leire</t>
  </si>
  <si>
    <t>Universidad y soberanÃ­a alimentaria. Un compromiso Ã©tico social.</t>
  </si>
  <si>
    <t>ChÃ¡vez MejÃ­a, MarÃ­a Cristina-Vargas Cancino, Hilda C.</t>
  </si>
  <si>
    <t>Making Media Matter</t>
  </si>
  <si>
    <t>Benjamin Thevenin</t>
  </si>
  <si>
    <t>Corruption</t>
  </si>
  <si>
    <t>Manuhuia Barcham-Barry Hindess-Peter Larmour</t>
  </si>
  <si>
    <t>Ministerial Careers and Accountability in the Australian Commonwealth Government</t>
  </si>
  <si>
    <t>Keith Dowding-Chris Lewis</t>
  </si>
  <si>
    <t>An Otago Storeman in Solomon Islands</t>
  </si>
  <si>
    <t>Tim Bayliss-smith-Judith A. Bennett</t>
  </si>
  <si>
    <t>Following the Sun</t>
  </si>
  <si>
    <t>SCIENCE / Space Science / Stellar &amp; Solar</t>
  </si>
  <si>
    <t>Robin Tennant-Wood</t>
  </si>
  <si>
    <t>Australia</t>
  </si>
  <si>
    <t>Juliet Pietsch-Haydn Aarons</t>
  </si>
  <si>
    <t>Fiji Before the Storm</t>
  </si>
  <si>
    <t>Electoral Systems in Divided Societies</t>
  </si>
  <si>
    <t>Peter Larmour-Brij V. Lal</t>
  </si>
  <si>
    <t>Dilemmas of Development</t>
  </si>
  <si>
    <t>Private Enterprise in China</t>
  </si>
  <si>
    <t>Garnaut-Ligang Song-Yang Yao-Xiaolu Wang</t>
  </si>
  <si>
    <t>Grundfragen der Lyrikologie 1</t>
  </si>
  <si>
    <t>Claudia Hillebrandt-Sonja Klimek-Ralph MÃ¼ller-RÃ¼diger Zymner</t>
  </si>
  <si>
    <t>Formen und Funktionen von Paradigmen</t>
  </si>
  <si>
    <t>Katja Politt</t>
  </si>
  <si>
    <t>Engineering Innovations Vol. 1</t>
  </si>
  <si>
    <t>Elena Gordo OdÃ©riz</t>
  </si>
  <si>
    <t>The Kathisma Church and Monastery of Mary Theotokos on the Jerusalem â€“ Bethlehem Road: Final Report of the 1992, 1997, 1999 and 2000 Excavation Seasons</t>
  </si>
  <si>
    <t>Rina Avner</t>
  </si>
  <si>
    <t>Samoorganizacja i samoÅ›wiadczenie usÅ‚ug w organizacjach publicznych</t>
  </si>
  <si>
    <t>Justyna Trippner-Hrabi-Jacek ChÄ…dzyÅ„ski</t>
  </si>
  <si>
    <t>Banking Unionâ€™s Impact on Financial Stability â€“ Holistic Approach</t>
  </si>
  <si>
    <t>Klaudia ZieliÅ„ska-Lont</t>
  </si>
  <si>
    <t>Poeta ze Å›redniowiecznej ekstazy. KsiÄ…dz Antoni Szandlerowski (1878â€“1911)</t>
  </si>
  <si>
    <t>Katarzyna Badowska-Dorota Samborska-KukuÄ‡</t>
  </si>
  <si>
    <t>UkrajinÅ¡tina vÃ¡Å¾nÄ› i vesele</t>
  </si>
  <si>
    <t>Josef AnderÅ¡-Uljana CholodovÃ¡</t>
  </si>
  <si>
    <t>SpoleÄnÃ© vzdÄ›lÃ¡vÃ¡nÃ­ a role rodiÄÅ¯</t>
  </si>
  <si>
    <t>Michal RÅ¯Å¾iÄka et al.</t>
  </si>
  <si>
    <t>ORANGE: PraktickÃ½ nÃ¡vod do cviÄenÃ­ pÅ™edmÄ›tu Data mining</t>
  </si>
  <si>
    <t>Zdena DobeÅ¡ovÃ¡</t>
  </si>
  <si>
    <t>Teaching Translation Vs. Training Translators. Proceedings of the Translation and Interpreting Forum Olomouc</t>
  </si>
  <si>
    <t>OndÅ™ej MolnÃ¡r-OndÅ™ej Klabal-Michal KubÃ¡nek (eds.)</t>
  </si>
  <si>
    <t>Laboratory Techniques in Cellular and Molecular Medicine</t>
  </si>
  <si>
    <t>Khushboo Agrawal-Jan Bouchal-Viswanath Das-JiÅ™Ã­ DrÃ¡bek-et al. (eds.)</t>
  </si>
  <si>
    <t>Rape Culture in the House of David</t>
  </si>
  <si>
    <t>Mr Tulsi's Store</t>
  </si>
  <si>
    <t>Mobilising the Masses</t>
  </si>
  <si>
    <t>Matthew Cunningham</t>
  </si>
  <si>
    <t>Dilemmas of China's Growth in the Twenty-First Century</t>
  </si>
  <si>
    <t>Ligang Song</t>
  </si>
  <si>
    <t>Dennis N. Hart</t>
  </si>
  <si>
    <t>Pursuing Livelihoods, Imagining Development</t>
  </si>
  <si>
    <t>Ahmad Kusworo</t>
  </si>
  <si>
    <t>The Governance of Common Property in the Pacific Region</t>
  </si>
  <si>
    <t>Peter Larmour</t>
  </si>
  <si>
    <t>Survey Analysis for Indigenous Policy in Australia</t>
  </si>
  <si>
    <t>Boyd Hunter-Nicholas Biddle</t>
  </si>
  <si>
    <t>Disciplining Interdisciplinarity</t>
  </si>
  <si>
    <t>Gabriele Bammer</t>
  </si>
  <si>
    <t>Conquering the Highlands</t>
  </si>
  <si>
    <t>Jan Oosthoek</t>
  </si>
  <si>
    <t>Protection of Intellectual, Biological and Cultural Property in Papua New Guinea</t>
  </si>
  <si>
    <t>Mark Busse-Kathy Whimp</t>
  </si>
  <si>
    <t>Corruption and Anti-Corruption</t>
  </si>
  <si>
    <t>Edward M. Curr and the Tide of History</t>
  </si>
  <si>
    <t>Samuel Furphy</t>
  </si>
  <si>
    <t>Selling the Sea, Fishing for Power</t>
  </si>
  <si>
    <t>Dedi Supriadi Adhuri</t>
  </si>
  <si>
    <t>My Country, Mine Country</t>
  </si>
  <si>
    <t>TECHNOLOGY &amp; ENGINEERING / Mining</t>
  </si>
  <si>
    <t>Benedict Scambary</t>
  </si>
  <si>
    <t>France in the South Pacific</t>
  </si>
  <si>
    <t>Denise Fisher</t>
  </si>
  <si>
    <t>Macassan History and Heritage</t>
  </si>
  <si>
    <t>Marshall Clark</t>
  </si>
  <si>
    <t>Politics of Preferential Development</t>
  </si>
  <si>
    <t>Steven Ratuva</t>
  </si>
  <si>
    <t>Discretion and Public Benefit in a Regulatory Agency</t>
  </si>
  <si>
    <t>Vijaya Nagarajan</t>
  </si>
  <si>
    <t>Putting Citizens First</t>
  </si>
  <si>
    <t>Evert A. Lindquist-Sam Vincent-John Wanna</t>
  </si>
  <si>
    <t>Ted Freeman and the Battle for the Injured Brain</t>
  </si>
  <si>
    <t>MEDICAL / Long-Term Care</t>
  </si>
  <si>
    <t>Peter McCullagh</t>
  </si>
  <si>
    <t>Making Change Happen</t>
  </si>
  <si>
    <t>Kevin Cook-Heather Goodall</t>
  </si>
  <si>
    <t>Oleg Budnitskii-David Engel-Gennady Estraikh-Anna Shternshis</t>
  </si>
  <si>
    <t>AnsprÃ¼che, Eigentums- und VerfÃ¼gungsrechte.</t>
  </si>
  <si>
    <t>Manfred Neumann</t>
  </si>
  <si>
    <t>Engendering Democracy in Africa</t>
  </si>
  <si>
    <t>Niamh Gaynor</t>
  </si>
  <si>
    <t>Paradoxes of Media and Information Literacy</t>
  </si>
  <si>
    <t>Jutta Haider-Olof Sundin</t>
  </si>
  <si>
    <t>Chinese Migrant Parents and Complementary Schooling in Germany</t>
  </si>
  <si>
    <t>FAMILY &amp; RELATIONSHIPS / General</t>
  </si>
  <si>
    <t>Jiayin Li-Gottwald</t>
  </si>
  <si>
    <t>Status and Ethnic Identity</t>
  </si>
  <si>
    <t>Andreas Genoni</t>
  </si>
  <si>
    <t>Sprachliche Aggression bei Martin Luther</t>
  </si>
  <si>
    <t>Markus Hundt</t>
  </si>
  <si>
    <t>Genus â€“ Sexus â€“ Gender</t>
  </si>
  <si>
    <t>Gabriele Diewald-Damaris NÃ¼bling</t>
  </si>
  <si>
    <t>A Basic Theory of Everything</t>
  </si>
  <si>
    <t>Atle Ottesen SÃ¸vik</t>
  </si>
  <si>
    <t>Internationale Wissenschaftskommunikation und Nationalsozialismus</t>
  </si>
  <si>
    <t>Andrea Albrecht-Lutz Danneberg-Ralf Klausnitzer-Kristina Mateescu</t>
  </si>
  <si>
    <t>Karl Barthâ€™s Epistle to the Romans</t>
  </si>
  <si>
    <t>Christophe Chalamet-Andreas Dettwiler-Sarah Stewart-Kroeker</t>
  </si>
  <si>
    <t>Gennady Estraikh</t>
  </si>
  <si>
    <t>Everyday Automation</t>
  </si>
  <si>
    <t>Sarah Pink-Martin Berg-Deborah Lupton-Minna Ruckenstein</t>
  </si>
  <si>
    <t>Wirtschaftswissenschaft und Ethik.</t>
  </si>
  <si>
    <t>Helmut Hesse</t>
  </si>
  <si>
    <t>Das staatskirchenrechtliche Regime Elsass-Lothringens in rechtsvergleichender Perspektive.</t>
  </si>
  <si>
    <t>Anna Imhof</t>
  </si>
  <si>
    <t>Ressourcenverknappung als Problem der Wirtschaftsgeschichte.</t>
  </si>
  <si>
    <t>HansjÃ¶rg Siegenthaler</t>
  </si>
  <si>
    <t>MonetÃ¤re Steuerung und ihre Probleme in unterschiedlichen Wirtschaftssystemen.</t>
  </si>
  <si>
    <t>Hans-JÃ¼rgen Wagener</t>
  </si>
  <si>
    <t>Â»BÃ¼ndnissystemeÂ« und Â»AuÃŸenpolitikÂ« im spÃ¤teren Mittelalter.</t>
  </si>
  <si>
    <t>Deepening Reform for China's Long-Term Growth and Development</t>
  </si>
  <si>
    <t>Ligang Song-Ross Garnaut-Cai Fang</t>
  </si>
  <si>
    <t>Breaking Japanese Diplomatic Codes</t>
  </si>
  <si>
    <t>Desmond Ball-Keiko Tamura</t>
  </si>
  <si>
    <t>Life on the Margins</t>
  </si>
  <si>
    <t>Patrick Faulkner</t>
  </si>
  <si>
    <t>Transcending the Cultureâ€“Nature Divide in Cultural Heritage</t>
  </si>
  <si>
    <t>Sally Brockwell-Sue O'Connor-Denis Byrne</t>
  </si>
  <si>
    <t>Prehistoric Marine Resource Use in the Indo-Pacific Regions</t>
  </si>
  <si>
    <t>Rintaro Ono-Alex Morrison-David Addison</t>
  </si>
  <si>
    <t>Fire Mountains of the Islands</t>
  </si>
  <si>
    <t>NATURE / Earthquakes &amp; Volcanoes</t>
  </si>
  <si>
    <t>R. W. Johnson</t>
  </si>
  <si>
    <t>Degei's Descendants</t>
  </si>
  <si>
    <t>Aubrey Parke-Mathew Spriggs-Deryck Scarr</t>
  </si>
  <si>
    <t>Revolutionizing Development</t>
  </si>
  <si>
    <t>Andrea Cornwall-Ian Scoones</t>
  </si>
  <si>
    <t>Biocultural Rights, Indigenous Peoples and Local Communities</t>
  </si>
  <si>
    <t>Fabien Girard-Ingrid Hall-Christine Frison</t>
  </si>
  <si>
    <t>Archive of Jewish History</t>
  </si>
  <si>
    <t>Oleg Budnitskii</t>
  </si>
  <si>
    <t>Die sprechbare Schrift â€“ Zur Sprachlichkeit des literarischen Lernens im Deutschunterricht</t>
  </si>
  <si>
    <t>Eduard Haueis-Hans LÃ¶sener</t>
  </si>
  <si>
    <t>Eine andere Geschichte der spanischen Literatur</t>
  </si>
  <si>
    <t>Dieter Ingenschay</t>
  </si>
  <si>
    <t>Transnational Modern Languages</t>
  </si>
  <si>
    <t>Jennifer Burns-Derek Duncan</t>
  </si>
  <si>
    <t>Authorship and Identity in Late Thirteenth-Century Motets</t>
  </si>
  <si>
    <t>Catherine A. Bradley</t>
  </si>
  <si>
    <t>Securitization Outside the West</t>
  </si>
  <si>
    <t>Christian Kaunert-Edwin Ezeokafor</t>
  </si>
  <si>
    <t>Hipster Porn</t>
  </si>
  <si>
    <t>Peter Rehberg</t>
  </si>
  <si>
    <t>Practice and Prestige: An Exploration of Neolithic Warfare, Bell Beaker Archery, and Social Stratification From an Anthropological Perspective</t>
  </si>
  <si>
    <t>Jessica Ryan-Despraz</t>
  </si>
  <si>
    <t>Pottery Making and Communities During the 5th Millennium BCE in Fars Province, Southwestern Iran</t>
  </si>
  <si>
    <t>Takehiro Miki</t>
  </si>
  <si>
    <t>Frontiers of the Roman Empire: The Antonine Wall â€“ A World Heritage Site</t>
  </si>
  <si>
    <t>The Making of the Modern Corporation</t>
  </si>
  <si>
    <t>Carlo Taviani</t>
  </si>
  <si>
    <t>Tracing the Atom</t>
  </si>
  <si>
    <t>Susanne Bauer-Tanja Penter</t>
  </si>
  <si>
    <t>Public and Private Welfare in Modern Europe</t>
  </si>
  <si>
    <t>Fabio Giomi-CÃ©lia Keren-Morgane LabbÃ©</t>
  </si>
  <si>
    <t>Deprivation of Liberty in the Shadows of the Institution</t>
  </si>
  <si>
    <t>Lucy Series</t>
  </si>
  <si>
    <t>Mary, O'Brien-Benjamin, Besse-Mark M., Awad</t>
  </si>
  <si>
    <t>Constitutional Law and Precedent</t>
  </si>
  <si>
    <t>Monika Florczak-WÄ…tor</t>
  </si>
  <si>
    <t>The Dynamics of Marginalized Youth</t>
  </si>
  <si>
    <t>Mark Levels-Christian Brzinsky-Fay-Craig Holmes-Janine Jongbloed-Hirofumi Taki</t>
  </si>
  <si>
    <t>A Common Good Approach to Development</t>
  </si>
  <si>
    <t xml:space="preserve"> Mathias Nebel-Oscar Garza-VÃ¡zquez-Clemens Sedmak</t>
  </si>
  <si>
    <t>A Short History of Transport in Japan From Ancient Times to the Present</t>
  </si>
  <si>
    <t xml:space="preserve"> John Andrew Black</t>
  </si>
  <si>
    <t>Australia and Latin America</t>
  </si>
  <si>
    <t>Barry Carr-John Minns</t>
  </si>
  <si>
    <t>Contextualising the Neolithic Occupation of Southern Vietnam</t>
  </si>
  <si>
    <t>Carmen Sarjeant</t>
  </si>
  <si>
    <t>Ngapartji Ngapartji</t>
  </si>
  <si>
    <t>Vanessa Castejon-Anna Cole-Oliver Haag-Karen Hughes</t>
  </si>
  <si>
    <t>Brokers and Boundaries</t>
  </si>
  <si>
    <t>Tiffany Shellam-Maria Nugent-Shino Konishi-Allison Cadzow</t>
  </si>
  <si>
    <t>Pacific Islanders Under German Rule</t>
  </si>
  <si>
    <t>Peter Hempenstall</t>
  </si>
  <si>
    <t>Managing Consultants</t>
  </si>
  <si>
    <t>Leo Dobes</t>
  </si>
  <si>
    <t>Population Ageing and Australia's Future</t>
  </si>
  <si>
    <t>Hal Kendig-Peter Mcdonald-John Piggott</t>
  </si>
  <si>
    <t>New Perspectives in Southeast Asian and Pacific Prehistory</t>
  </si>
  <si>
    <t>Philip J. Piper-Hirofumi Matsumura-David Bulbeck</t>
  </si>
  <si>
    <t>War As Entertainment and Contents Tourism in Japan</t>
  </si>
  <si>
    <t>TRAVEL / Asia / East / Japan</t>
  </si>
  <si>
    <t>Takayoshi Yamamura-Philip Seaton</t>
  </si>
  <si>
    <t>Recent Developments in Nonlocal Theory</t>
  </si>
  <si>
    <t>Giampiero Palatucci-Tuomo Kuusi</t>
  </si>
  <si>
    <t>Europe in Green</t>
  </si>
  <si>
    <t>Giulia Parola</t>
  </si>
  <si>
    <t>Kant and Artificial Intelligence</t>
  </si>
  <si>
    <t>Hyeongjoo Kim-Dieter SchÃ¶necker</t>
  </si>
  <si>
    <t>Konstruktionssemantik</t>
  </si>
  <si>
    <t>Alexander Willich</t>
  </si>
  <si>
    <t>Mechanische Grundlagen des Flugzeugbaues, Teil 2</t>
  </si>
  <si>
    <t>A. Baumann</t>
  </si>
  <si>
    <t>Learning Analytics: a Metacognitive Tool to Engage Students</t>
  </si>
  <si>
    <t>Airina VolungeviÄienÄ—</t>
  </si>
  <si>
    <t>The 1st Virtual Conference on Social Science in Law, Political Issue and Economic Development</t>
  </si>
  <si>
    <t>Andista Candra Yusro-Mochammad Tanzil Multazam-Robbi Rahim</t>
  </si>
  <si>
    <t>Proceedings of the Conference Contemporary Mathematics in Kielce 2020, February 24-27 2021</t>
  </si>
  <si>
    <t>Proceedings of Tourism Development Centre International Conference</t>
  </si>
  <si>
    <t>Maâ€™ruf-Sri Oktavia-Sari Lenggogeni</t>
  </si>
  <si>
    <t>Modernization of Public Spaces in Lithuanian Cities</t>
  </si>
  <si>
    <t>KÄ™stutis Zaleckis-Brigita TranaviÄiÅ«tÄ—-Tomas Grunskis-IndrÄ— GraÅ¾uleviÄiÅ«tÄ—-VilleniÅ¡kÄ—-Jurga VitkuvienÄ—-Jolita SinkienÄ—-Huriye Armagan DoÄŸan</t>
  </si>
  <si>
    <t>Proceedings Of International Conference Building Services And Energy Efficiency</t>
  </si>
  <si>
    <t>Ciocan VasilicÄƒ</t>
  </si>
  <si>
    <t>IMDIS</t>
  </si>
  <si>
    <t>Romualdo Salcedo</t>
  </si>
  <si>
    <t>Un(intended) Language Planning in a Globalising World: Multiple Levels of Players at Work</t>
  </si>
  <si>
    <t>Catherine CHUA Siew Kheng</t>
  </si>
  <si>
    <t>Whiteface</t>
  </si>
  <si>
    <t>Michel BÃ¼ch</t>
  </si>
  <si>
    <t>Das lukanische Doppelwerk</t>
  </si>
  <si>
    <t>Knut Backhaus</t>
  </si>
  <si>
    <t>Die Glasmalereien vom Mittelalter bis 1930 im Kanton Thurgau</t>
  </si>
  <si>
    <t>Sarah Keller-Katrin Kaufmann-Vitrocentre Romont</t>
  </si>
  <si>
    <t>Kaiser Maximilian I.</t>
  </si>
  <si>
    <t>Will Winker</t>
  </si>
  <si>
    <t>Der ein- und mehrphasige Wechselstrom</t>
  </si>
  <si>
    <t>R. Wotruba</t>
  </si>
  <si>
    <t>Jean Paul im Spiegel seiner Heimat</t>
  </si>
  <si>
    <t>Eduard Herold</t>
  </si>
  <si>
    <t>Karl Gutzkow und der demokratische Gedanke</t>
  </si>
  <si>
    <t>Ludwig Maenner</t>
  </si>
  <si>
    <t>Deutschland und seine Feinde</t>
  </si>
  <si>
    <t>Ludwig Schmetzer</t>
  </si>
  <si>
    <t>Englische Verfassungsgeschichte bis zum Regierungsantritt der KÃ¶nigin Victoria</t>
  </si>
  <si>
    <t>Julius Hatschek</t>
  </si>
  <si>
    <t>Gelenkte Sprachkraft</t>
  </si>
  <si>
    <t>Eugen Mahr</t>
  </si>
  <si>
    <t>Anti-Klages</t>
  </si>
  <si>
    <t>Max Bense</t>
  </si>
  <si>
    <t>Action-Related Representations</t>
  </si>
  <si>
    <t>Tim Seuchter</t>
  </si>
  <si>
    <t>Revolution und Gegenrevolution 1789â€“1830</t>
  </si>
  <si>
    <t>Roger Dufraisse</t>
  </si>
  <si>
    <t>StÃ¤ndische Gesellschaft und Soziale MobilitÃ¤t</t>
  </si>
  <si>
    <t>Winfried Schulze</t>
  </si>
  <si>
    <t>Parlamentarismus in Europa</t>
  </si>
  <si>
    <t>Marie-Luise Recker</t>
  </si>
  <si>
    <t>Die deutsche Reformation zwischen SpÃ¤tmittelalter und FrÃ¼her Neuzeit</t>
  </si>
  <si>
    <t>Thomas A. Brady</t>
  </si>
  <si>
    <t>Probleme der Internationalen Koordination der Wirtschaftspolitik.</t>
  </si>
  <si>
    <t>Erhard Kantzenbach</t>
  </si>
  <si>
    <t>Wettbewerbsfragen der EuropÃ¤ischen Gemeinschaft.</t>
  </si>
  <si>
    <t>Theoretische Grundlagen der Sozialpolitik (I).</t>
  </si>
  <si>
    <t>Studien zur Evolutorischen Ã–konomik I.</t>
  </si>
  <si>
    <t>Ulrich Witt</t>
  </si>
  <si>
    <t>Finanzierungsprobleme der sozialen Sicherung I.</t>
  </si>
  <si>
    <t>Probleme der Vollendung des Binnenmarktes in Europa nach 1992.</t>
  </si>
  <si>
    <t>Ordnungspolitische Weichenstellungen nach dem Zweiten Weltkrieg.</t>
  </si>
  <si>
    <t>Konsequenzen neuerer handelspolitischer Entwicklungen fÃ¼r die EntwicklungslÃ¤nder.</t>
  </si>
  <si>
    <t>Hermann Sautter</t>
  </si>
  <si>
    <t>COVID-19 in Indonesia</t>
  </si>
  <si>
    <t>Lili Yan Ing-M. Chatib Basri</t>
  </si>
  <si>
    <t>Applied Problems of Motion of Mechanical Systems Under Action of Power Loads</t>
  </si>
  <si>
    <t>Scientific Route OU</t>
  </si>
  <si>
    <t>Ivan Nazarenko-Leonid Pelevin-Oleg Dedov-Oleksandr Kostenyuk-Anatoly Fomin-Mykola Ruchynskyi-Anatoly Sviderskyi-Yevhen Mishchuk-Volodymyr Slipetskyi</t>
  </si>
  <si>
    <t>Global Determinants of the International Movement of Production Factors: Economic-legal and Institutional Context</t>
  </si>
  <si>
    <t>Tetiana Melnyk-Liudmyla Kudyrko-Volodymyr Onischenko-Yuliia Konrad-Liliia Samsonova-Oksana Losheniuk-Nataliia Kalyuzhna-Tetiana Lositska-Volodymyr Storozhchuk-Yuliia Vorobey-Kyrylo Kasianok-Kateryna Puhachevska-Yurii Melnyk-Olha Bakalinska</t>
  </si>
  <si>
    <t>National Brand of Ukraine</t>
  </si>
  <si>
    <t>BUSINESS &amp; ECONOMICS / International / Marketing</t>
  </si>
  <si>
    <t>Anatolii Mazaraki-Svitlana Melnychenko-Tetiana Melnyk-Tetiana Tkachenko-Alexander Hladkyi-Serhii Bai-Galyna Piatnytska-Oksana Avdan-Oleh Hryhorenko-Tetiana Dupliak-Julia Zabaldina-Kateryna Kandahura-Liudmyla Lukashova-Anna Prysiazhnyuk-Anna Varibrusova</t>
  </si>
  <si>
    <t>Assessment in Accounting: Concept and Tools</t>
  </si>
  <si>
    <t>Olena Fomina-Valeria Sopko-Oleksandr Zadniprovskyi-Olha Kyiashko-Mariana Muzychuk-Olha Hryhorenko-Iryna Martyniv-Iryna Musteca-Olena Moshkovska-Tetyana Lositska-Yulia Manachynska-Svitlana Luchyk-Volodymyr Yevdoshchak-Serhii Bai-Galina Piatnytska-Anna Hats-Klavdiia Yatsyshyna</t>
  </si>
  <si>
    <t>Budget Policy of Social Development</t>
  </si>
  <si>
    <t>BUSINESS &amp; ECONOMICS / Budgeting</t>
  </si>
  <si>
    <t>Igor Chugunov-Valentyna Makohon-Mykola Pasichnyi-Andriy Nikitishin-Iryna Adamenko-Tetiana Krykun-Tetiana Kaneva-Liudmyla Kozarezenko-Serhii Sobchuk</t>
  </si>
  <si>
    <t>Vacuum-plasma Multilayer Protective Coatings for Turbine Blades</t>
  </si>
  <si>
    <t>Alex Sagalovych-Vlad Sagalovych-Victor Popov-Stas Dudnik</t>
  </si>
  <si>
    <t>Concept of Freight Wagons Made of Round Pipes</t>
  </si>
  <si>
    <t>Oleksij Fomin-Alyona Lovska</t>
  </si>
  <si>
    <t>Improving the Performance, Reliability and Service Life of Aviation Technology Products Based on the Innovative Vacuum-plasma Nanotechnologies for Application of Avinit Functional Coatings and Surfaces Modification</t>
  </si>
  <si>
    <t>Victor Popov-Alex Sagalovych-Vlad Sagalovych</t>
  </si>
  <si>
    <t>Oblicza Wojny. Tom 3. Miasto i wojna</t>
  </si>
  <si>
    <t>Witold Jarno-JarosÅ‚aw Kita</t>
  </si>
  <si>
    <t>ZarzÄ…dzanie strategiczne w dobie cyfrowej gospodarki sieciowej. Wybrane zagadnienia</t>
  </si>
  <si>
    <t>Grzegorz Urbanek-Sylwester Gregorczyk</t>
  </si>
  <si>
    <t>Jak badaÄ‡ zjawisko niepeÅ‚nosprawnoÅ›ci. Szanse i zagroÅ¼enia zaÅ‚oÅ¼eÅ„ teoretycznych i metodologicznych studiÃ³w nad niepeÅ‚nosprawnoÅ›ciÄ…</t>
  </si>
  <si>
    <t>Grzegorz CaÅ‚ek-Jakub Niedbalski-Dorota Å»uchowska-Skiba</t>
  </si>
  <si>
    <t>Wirtualizacja Å¼ycia osÃ³b z niepeÅ‚nosprawnoÅ›ciÄ…</t>
  </si>
  <si>
    <t>Grzegorz CaÅ‚ek-Jakub Niedbalski-Dorota Å»uchowska-Skiba-Mariola RacÅ‚aw</t>
  </si>
  <si>
    <t>Living on a Time Bomb</t>
  </si>
  <si>
    <t>Svenja SchÃ¶neich</t>
  </si>
  <si>
    <t>Environing Empire</t>
  </si>
  <si>
    <t>Martin Kalb</t>
  </si>
  <si>
    <t>Dariusz, Korczyk-Gerry, Kaye</t>
  </si>
  <si>
    <t>Hugh, Rayner-Nidhi, Sukul</t>
  </si>
  <si>
    <t>Connecting Africa and Asia</t>
  </si>
  <si>
    <t>Yoichi Mine</t>
  </si>
  <si>
    <t>Queer Korea</t>
  </si>
  <si>
    <t>Todd A. Henry</t>
  </si>
  <si>
    <t>Childhood in Kinship Care</t>
  </si>
  <si>
    <t>Jeanette Skoglund-Renee ThÃ¸rnblad-Amy Holtan</t>
  </si>
  <si>
    <t>What Is Islamic Studies?</t>
  </si>
  <si>
    <t>Leif Stenberg-Philip Wood</t>
  </si>
  <si>
    <t>From Rumi to the Whirling Dervishes</t>
  </si>
  <si>
    <t>Walter Feldman</t>
  </si>
  <si>
    <t>Papua New Guinea</t>
  </si>
  <si>
    <t>Stephen Howes-Lekshmi N. Pillai</t>
  </si>
  <si>
    <t>The Dynamics of Right-Wing Extremism Within German Society</t>
  </si>
  <si>
    <t>Oliver Decker-Johannes Kiess-Elmar BrÃ¤hler</t>
  </si>
  <si>
    <t>MonetÃ¤re Konfliktfelder der Weltwirtschaft.</t>
  </si>
  <si>
    <t>JÃ¼rgen Siebke</t>
  </si>
  <si>
    <t>Sozialpolitik im vereinten Deutschland I.</t>
  </si>
  <si>
    <t>Gerhard Kleinhenz</t>
  </si>
  <si>
    <t>Finanzierungsprobleme der sozialen Sicherung II.</t>
  </si>
  <si>
    <t>Ã–konomie der Hochschule II.</t>
  </si>
  <si>
    <t>Christof Helberger</t>
  </si>
  <si>
    <t>BevÃ¶lkerung und Wirtschaft.</t>
  </si>
  <si>
    <t>Wirtschaftspolitische Probleme der Integration der ehemaligen DDR in die Bundesrepublik.</t>
  </si>
  <si>
    <t>Otto G. Mayer-Helmut GrÃ¶ner-Erhard Kantzenbach</t>
  </si>
  <si>
    <t>Wirtschaftspolitische Reformen in EntwicklungslÃ¤ndern.</t>
  </si>
  <si>
    <t>Theoretische Grundlagen der Sozialpolitik II.</t>
  </si>
  <si>
    <t>Anpassung durch Wandel.</t>
  </si>
  <si>
    <t>Register der JahrgÃ¤nge 1 - 15 der Zeitschrift fÃ¼r Historische Forschung (1974 - 1988).</t>
  </si>
  <si>
    <t>Innovative Models to Revive the Global Economy</t>
  </si>
  <si>
    <t>Medieval Multilingual Manuscripts</t>
  </si>
  <si>
    <t>Michael Clarke-MÃ¡ire NÃ­ Mhaonaigh</t>
  </si>
  <si>
    <t>â€ºGrundlinien zum Systeme der Aesthetikâ€¹ (1824) und andere kunstphilosophische Schriften</t>
  </si>
  <si>
    <t>Johan Ludvig Heiberg-Klaus MÃ¼ller-Wille</t>
  </si>
  <si>
    <t>Die internationale Stadt Tanger</t>
  </si>
  <si>
    <t>Daniela Hettstedt</t>
  </si>
  <si>
    <t>The Pathway Towards Low Carbon Schools: Criteria, Targets and Solutions</t>
  </si>
  <si>
    <t>JesÃºs Lizana</t>
  </si>
  <si>
    <t>Foundations for a Humanitarian Economy</t>
  </si>
  <si>
    <t>William D. Bishop</t>
  </si>
  <si>
    <t>The Rediscovery and Reception of GandhÄran Art</t>
  </si>
  <si>
    <t>Du capsien chasseur au capsien pasteur</t>
  </si>
  <si>
    <t>Lotfi Belhouchet</t>
  </si>
  <si>
    <t>In Search of Academic Excellence</t>
  </si>
  <si>
    <t>MichaÅ‚ Klichowski-Paulina Pospieszna-Anna Sakson-Boulet</t>
  </si>
  <si>
    <t>Natural Resource-Based Development in Africa</t>
  </si>
  <si>
    <t>Nathan Andrews-J. Andrew Grant-Jesse Salah Ovadia</t>
  </si>
  <si>
    <t>Paradoxes of Professional Regulation</t>
  </si>
  <si>
    <t>Michael J. Trebilcock</t>
  </si>
  <si>
    <t>Russian in the 1740s</t>
  </si>
  <si>
    <t>Thomas RosÃ©n</t>
  </si>
  <si>
    <t>Interpretation und Geltung</t>
  </si>
  <si>
    <t>Coming Out</t>
  </si>
  <si>
    <t>Kyle Frackman</t>
  </si>
  <si>
    <t>Berlioz in Time</t>
  </si>
  <si>
    <t>Jain RÄmÄyaá¹‡a Narratives</t>
  </si>
  <si>
    <t>Gregory M. Clines</t>
  </si>
  <si>
    <t>The International Court of Justice and Municipal Courts</t>
  </si>
  <si>
    <t>Oktawian Kuc</t>
  </si>
  <si>
    <t>Covid-19, Older Adults and the Ageing Society</t>
  </si>
  <si>
    <t>Suhita Chopra Chatterjee-Debolina Chatterjee</t>
  </si>
  <si>
    <t>Organizing for Sustainable Development</t>
  </si>
  <si>
    <t>Federica Angeli-Ashley Metz-JÃ¶rg Raab</t>
  </si>
  <si>
    <t>The Triumph of Uncertainty</t>
  </si>
  <si>
    <t>BIOGRAPHY &amp; AUTOBIOGRAPHY / Philosophers</t>
  </si>
  <si>
    <t>Alfred I. Tauber</t>
  </si>
  <si>
    <t>Texts and Contexts From the History of Feminism and Womenâ€™s Rights</t>
  </si>
  <si>
    <t>ZsÃ³fia LÃ³rÃ¡nd-Adela HÃ®ncu-Jovana MihajloviÄ‡ Trbovc-Katarzyna StaÅ„czak-WiÅ›licz</t>
  </si>
  <si>
    <t>Rolling Transition and the Role of Intellectuals</t>
  </si>
  <si>
    <t>AndrÃ¡s BozÃ³ki</t>
  </si>
  <si>
    <t>Policemen of the Tsar</t>
  </si>
  <si>
    <t>Robert J. Abbott</t>
  </si>
  <si>
    <t>Open Society Unresolved</t>
  </si>
  <si>
    <t>Christof Royer-Liviu Matei</t>
  </si>
  <si>
    <t>Keeping the Worldâ€™s Environment Under Review</t>
  </si>
  <si>
    <t>Jan Bakkes-Marion Cheatle-Nora MÅ¾avanadze-LÃ¡szlÃ³ PintÃ©r-Ronald G. Witt</t>
  </si>
  <si>
    <t>Zur Relevanz von BevÃ¶lkerungsvorausberechnungen fÃ¼r Arbeitsmarkt-, Bildungs- und Regionalpolitik</t>
  </si>
  <si>
    <t>Christina Benita Wilke-Irene Iwanow-Johann Fuchs-Philipp Deschermeier</t>
  </si>
  <si>
    <t>Covid, Crisis, Care, and Change?</t>
  </si>
  <si>
    <t>Dilthey's Dream</t>
  </si>
  <si>
    <t>Mr Derek Freeman</t>
  </si>
  <si>
    <t>Archaeological Perspectives on Conflict and Warfare in Australia and the Pacific</t>
  </si>
  <si>
    <t>Geoffrey Clarke-Mirani Litster</t>
  </si>
  <si>
    <t>The Histories of Raphael Samuel</t>
  </si>
  <si>
    <t>Ms Sophie Scott-Brown</t>
  </si>
  <si>
    <t>Navigating the Future</t>
  </si>
  <si>
    <t>Ms Monica Minnegal-Mr Peter D. Dwyer</t>
  </si>
  <si>
    <t>Australia, the European Union and the New Trade Agenda</t>
  </si>
  <si>
    <t>Ms Annmarie Elijah-Mr Donald Kenyon-Karen Hussey-Mr Pierre van der Eng</t>
  </si>
  <si>
    <t>Intersectional Lives</t>
  </si>
  <si>
    <t>Alanna Kamp</t>
  </si>
  <si>
    <t>Estereotipos femeninos desde la antigÃ¼edad clÃ¡sica hasta el siglo XVI</t>
  </si>
  <si>
    <t>Dulce MarÃ­a GonzÃ¡lez Doreste-Francisca del Mar Plaza PicÃ³n</t>
  </si>
  <si>
    <t>Rethinking Orality I</t>
  </si>
  <si>
    <t>Wirtschaftsethische Perspektiven des Drogenproblems.</t>
  </si>
  <si>
    <t>Karl Homann</t>
  </si>
  <si>
    <t>Studien zur Evolutorischen Ã–konomik II.</t>
  </si>
  <si>
    <t>AusgewÃ¤hlte Probleme der EG-Finanzen.</t>
  </si>
  <si>
    <t>Der Markt fÃ¼r Unternehmenskontrollen.</t>
  </si>
  <si>
    <t>Aktuelle Probleme der Wirtschaftsethik.</t>
  </si>
  <si>
    <t>Oblicza Wojny. Tom 5. Miasto i wojna</t>
  </si>
  <si>
    <t>Traduttologia e Traduzioni, vol. III. InterdisciplinarietÃ  della traduzione</t>
  </si>
  <si>
    <t>Åukasz Jan Berezowski</t>
  </si>
  <si>
    <t>Strategie komunikacyjne i procesy twÃ³rcze</t>
  </si>
  <si>
    <t>Mariusz Bartosiak</t>
  </si>
  <si>
    <t>Rzym a PÃ³Å‚wysep Iberyjski. Inspiracje i powiÄ…zania na przestrzeni dziejÃ³w, Manufactura Hispanica Lodziense, 12</t>
  </si>
  <si>
    <t>Adriana Grzelak-Krzymianowska-Maria Judyta WoÅºniak</t>
  </si>
  <si>
    <t>Partnerstwo publiczno-prywatne â€“ dzielÄ…c siÄ™ wiedzÄ… i doÅ›wiadczeniem</t>
  </si>
  <si>
    <t>Magdalena ZaÅ‚Ä™czna-Anna Wojewnik-Filipkowska-Joanna WÄ™grzyn-Katarzyna OlbiÅ„ska-Agata KozÅ‚owska</t>
  </si>
  <si>
    <t>Odkrywanie tajemnic polszczyzny biblijnej. WybÃ³r Å‚Ã³dzkich prac jÄ™zykoznawczych (1981â€“2021)</t>
  </si>
  <si>
    <t>ElÅ¼bieta UmiÅ„ska-TytoÅ„</t>
  </si>
  <si>
    <t>Kontrakt psychologiczny w zmieniajÄ…cym siÄ™ Å›wiecie pracy â€“ przed pandemiÄ… COVID-19 i w trakcie jej trwania</t>
  </si>
  <si>
    <t>Anna RogoziÅ„ska-PaweÅ‚czyk</t>
  </si>
  <si>
    <t>Kierownictwo BadaÅ„ nad PoczÄ…tkami PaÅ„stwa Polskiego (1949â€“1953). Geneza, dziaÅ‚alnoÅ›Ä‡, znaczenie</t>
  </si>
  <si>
    <t>Adrianna Szczerba</t>
  </si>
  <si>
    <t>Koszty wspÃ³Å‚czesnych kryzysÃ³w</t>
  </si>
  <si>
    <t>Agnieszka KiszteliÅ„ska-WÄ™grzyÅ„ska</t>
  </si>
  <si>
    <t>Karol PotkaÅ„ski w Å¼yciu i nauce (1861-1907). MiÄ™dzy tradycjÄ… a modernizacjÄ…</t>
  </si>
  <si>
    <t>Andrzej Kobak</t>
  </si>
  <si>
    <t>KapitaÅ‚ ludzki jako czynnik skutecznoÅ›ci audytu wewnÄ™trznego</t>
  </si>
  <si>
    <t>BUSINESS &amp; ECONOMICS / Auditing</t>
  </si>
  <si>
    <t>Lena Grzesiak</t>
  </si>
  <si>
    <t>Miasto i wojna. Seria: Oblicza Wojny t. 4</t>
  </si>
  <si>
    <t>MyÅ›l spoÅ‚eczno-polityczna Musy Bigijewa</t>
  </si>
  <si>
    <t>Andrzej StopczyÅ„ski</t>
  </si>
  <si>
    <t>ÅÃ³dzkie festiwale teatralne. Historia i wspÃ³Å‚czesnoÅ›Ä‡</t>
  </si>
  <si>
    <t>Irena Jajte-Lewkowicz</t>
  </si>
  <si>
    <t>Ewaluacja Å›rodowiskowa w relacjach z dostawcami</t>
  </si>
  <si>
    <t>Piotr Cezary Sosnowski</t>
  </si>
  <si>
    <t>Der Ãœbergang aus der stationÃ¤ren Jugendhilfe</t>
  </si>
  <si>
    <t>Christine Schatz</t>
  </si>
  <si>
    <t>The Impact Challenge</t>
  </si>
  <si>
    <t>Alessia Falsarone</t>
  </si>
  <si>
    <t>The Competition of Word-Formation Processes in the Derivational Paradigm of Verbs</t>
  </si>
  <si>
    <t>Cristina FernÃ¡ndez-Alcaina</t>
  </si>
  <si>
    <t>Anglophobia in Fascist Italy</t>
  </si>
  <si>
    <t>Jacopo Pili</t>
  </si>
  <si>
    <t>European Roma</t>
  </si>
  <si>
    <t>Professor Eve Rosenhaft-MarÃ­a Sierra</t>
  </si>
  <si>
    <t>Kompetenzfacetten literaraesthetischer Sprachreflexion</t>
  </si>
  <si>
    <t>Christel Meier</t>
  </si>
  <si>
    <t>Justin, Loke-Ankit J., Kansagra</t>
  </si>
  <si>
    <t>Sorcery or Science?</t>
  </si>
  <si>
    <t>Ariela Marcus-Sells</t>
  </si>
  <si>
    <t>Transport Corridors in Africa</t>
  </si>
  <si>
    <t>Hugh Lamarque-Paul Nugent</t>
  </si>
  <si>
    <t>Moving Across Differences</t>
  </si>
  <si>
    <t>Mollie V. Blackburn</t>
  </si>
  <si>
    <t>Vade Nobiscum, tom XXIII/2021. Studia nad XIX i XX wiekiem</t>
  </si>
  <si>
    <t>Cyprian WiÅ›niewski-Krzysztof Gryglewski-Jakub KuliÅ›-Jakub Pisarski</t>
  </si>
  <si>
    <t>Traduttologia e Traduzioni, vol. II. IdentitÃ  linguistica - identitÃ  culturale</t>
  </si>
  <si>
    <t>Joanna Ciesielka</t>
  </si>
  <si>
    <t>Rozrywkowe oblicze radia komercyjnego</t>
  </si>
  <si>
    <t>Paulina Czarnek-Wnuk</t>
  </si>
  <si>
    <t>China's New Sources of Economic Growth: Vol. 2</t>
  </si>
  <si>
    <t>Ligang Song-Garnaut-Cai Fang-Lauren Johnston</t>
  </si>
  <si>
    <t>Global Allies</t>
  </si>
  <si>
    <t>Michael Wesley</t>
  </si>
  <si>
    <t>Ten Thousand Years of Cultivation at Kuk Swamp in the Highlands of Papua New Guinea</t>
  </si>
  <si>
    <t>Jack Golson-Tim Denham-Philip Hughes-Pamela Swadling-John Muke</t>
  </si>
  <si>
    <t>Doug Munro-Jack Corbett</t>
  </si>
  <si>
    <t>A Distinctive Voice in the Antipodes</t>
  </si>
  <si>
    <t>Kirsty Gillespie-Sally Treloyn-Don Niles</t>
  </si>
  <si>
    <t>Sinuous Objects</t>
  </si>
  <si>
    <t>Anna-Karina Hermkens-Katherine Lepani</t>
  </si>
  <si>
    <t>The Neo-Aramaic Oral Heritage of the Jews of Zakho</t>
  </si>
  <si>
    <t xml:space="preserve"> Oz Aloni</t>
  </si>
  <si>
    <t>The Form of Ideology and the Ideology of Form</t>
  </si>
  <si>
    <t xml:space="preserve"> Francesca Orsini-Neelam Srivastava-Laetitia Zecchini</t>
  </si>
  <si>
    <t>Social Media and Social Order</t>
  </si>
  <si>
    <t>David Herbert-Stefan Fisher-HÃ¸yrem</t>
  </si>
  <si>
    <t>Christliches Leben und die Verbesserung des Menschen</t>
  </si>
  <si>
    <t>Matthias Felder</t>
  </si>
  <si>
    <t>Zitate der â€ºAeneisâ€¹ in den Briefen des Hieronymus</t>
  </si>
  <si>
    <t>Marie Revellio</t>
  </si>
  <si>
    <t>Mikrogeschichten der Erinnerungskultur</t>
  </si>
  <si>
    <t>Magdalena Saryusz-Wolska</t>
  </si>
  <si>
    <t>Der Weg der Welt</t>
  </si>
  <si>
    <t>Hildegard von Bingen</t>
  </si>
  <si>
    <t>The Neolithic Settlement of Aknashen (Ararat Valley, Armenia)</t>
  </si>
  <si>
    <t>Ruben Badalyan-Christine Chataigner-Armine Harutyunyan</t>
  </si>
  <si>
    <t>Entrepreneurship in the Raw Materials Sector</t>
  </si>
  <si>
    <t>ZoltÃ¡n Bartha-Tekla SzÃ©p-Katalin LiptÃ¡k-DÃ³ra Szendi</t>
  </si>
  <si>
    <t>Migration and Development in Southern Europe and South America</t>
  </si>
  <si>
    <t>Maria Damilakou-Yannis G. S. Papadopoulos</t>
  </si>
  <si>
    <t>Finansjalizacja wybranych rynkÃ³w surowcowych na Å›wiecie</t>
  </si>
  <si>
    <t>Marcin ZÅ‚oty</t>
  </si>
  <si>
    <t>Ochrana oznamovatel'ov na pracovisku v Å¡tÃ¡toch VyÅ¡ehradskej skupiny, FrancÃºzsku a Slovinsku â€“ navrhovanÃ© zmeny.</t>
  </si>
  <si>
    <t>Zbigniew Hajn-Dagmara SkupieÅ„</t>
  </si>
  <si>
    <t>Ochrana oznamovatelÅ¯ na pracoviÅ¡ti v zemÃ­ch VisegrÃ¡dskÃ© skupiny, Francii a Slovinsku â€“ navrhovanÃ© zmÄ•ny</t>
  </si>
  <si>
    <t>Izby rolnicze w modelu spoÅ‚ecznej gospodarki rynkowej</t>
  </si>
  <si>
    <t>Beata JeÅ¼yÅ„ska-Monika A. KrÃ³l</t>
  </si>
  <si>
    <t>Efekty obciÄ…Å¼eÅ„ regulacyjnych i fiskalnych sektora bankowego dla akcji kredytowej bankÃ³w przed pandemiÄ… COVID-19 i w trakcie jej trwania</t>
  </si>
  <si>
    <t>Dorota Iwona Czechowska-CzesÅ‚aw LipiÅ„ski-Jacek Sikorski-Joanna Stawska-Wojciech ZatoÅ„</t>
  </si>
  <si>
    <t>Dlaczego mnie zostawiasz? CzÅ‚owiek i BÃ³g po ZagÅ‚adzie wâ€¯ujÄ™ciuâ€¯Hannahâ€¯Arendtâ€¯iâ€¯Hansa Jonasa</t>
  </si>
  <si>
    <t>Artur KoÅ‚odziejczyk</t>
  </si>
  <si>
    <t>Vade Nobiscum, tom XXII/2021. Studia z wiekÃ³w dawnyc</t>
  </si>
  <si>
    <t>Krzysztof Gryglewski-Jakub Kulis-Jakub Pisarski-Cyprian WiÅ›niewski</t>
  </si>
  <si>
    <t>Facets of Managing in Cross-Cultural Diversity</t>
  </si>
  <si>
    <t>Ilona ÅšwiÄ…tek-Barylska-Udaya Mohan Devadas</t>
  </si>
  <si>
    <t>ZaÅ¡Äita Å¾viÅ¾gaÄev na delovnem mestu v drÅ¾avach ViÅ¡egrajske skupine, Franciji in Sloveniji â€“ Predlogi sprememb</t>
  </si>
  <si>
    <t>Od nauk geograficznych w kierunku nauki o geoinformacji</t>
  </si>
  <si>
    <t>Iwona JaÅ¼dÅ¼ewska</t>
  </si>
  <si>
    <t>Ochrona sygnalistÃ³w w miejscu pracy w paÅ„stwach Grupy Wyszehradzkiej, Francji i SÅ‚owenii â€“ propozycje zmian</t>
  </si>
  <si>
    <t>Cyfryzacja w dziaÅ‚aniach na rzecz efektywnoÅ›ci energetycznej w firmach sektora MÅšP</t>
  </si>
  <si>
    <t>Anna PamuÅ‚a</t>
  </si>
  <si>
    <t>Andrzej Jocz â€“ ocaliÄ‡ od zapomnienia</t>
  </si>
  <si>
    <t>Aneta PawÅ‚owska</t>
  </si>
  <si>
    <t>Berichterstattung deutschsprachiger Lokalzeitungen an der Wende des 19. und 20. Jahrhunderts â€“ die Lodzer Zeitung und der GieÃŸener Anzeiger im Vergleich</t>
  </si>
  <si>
    <t>Marcin MichoÅ„</t>
  </si>
  <si>
    <t>Germanistinnen und Germanisten im Beruf â€“ zwischen Ausbildung und RealitÃ¤t</t>
  </si>
  <si>
    <t>Agnieszka Stawikowska-Marcinkowska-Beata Grzeszczakowska-Pawlikowska</t>
  </si>
  <si>
    <t>Migracja w jÄ™zyku, literaturze i kulturze</t>
  </si>
  <si>
    <t>Agnieszka Stawikowska-Marcinkowska-Maria MigodziÅ„ska</t>
  </si>
  <si>
    <t>Fach- und Gemeinsprache in deren Wechselbeziehungen und diffusem Spannungsfeld. Eine lexikonbasierte Analyse rechtssprachlicher Lesarten</t>
  </si>
  <si>
    <t>Agnieszka Stawikowska-Marcinkowska</t>
  </si>
  <si>
    <t>LingÃ¼Ã­stica hispÃ¡nica teÃ³rica y aplicada. Estudios lÃ©xico-gramaticales didÃ¡cticos y traductolÃ³gicos. Manufactura HispÃ¡nica Lodziense 10</t>
  </si>
  <si>
    <t>Witold Sobczak-WiaczesÅ‚aw Nowikow-Antonio M. LÃ³pez GonzÃ¡lez-Marta Pawlikowska-Marek Baran</t>
  </si>
  <si>
    <t>The Role of Regions in EU-China Relations</t>
  </si>
  <si>
    <t>Tomasz KamiÅ„ski</t>
  </si>
  <si>
    <t>La protection des lanceurs dâ€™alerte au travail dans les Etats V4, en France et en SlovÃ©nie â€“ changements proposÃ©s</t>
  </si>
  <si>
    <t>Wybrane zagadnienia hydrogeologiczne oraz rÃ³Å¼ne aspekty zwiÄ…zane z eksploatacjÄ… wÃ³d podziemnych</t>
  </si>
  <si>
    <t>SCIENCE / Mechanics / Hydrodynamics</t>
  </si>
  <si>
    <t>Ewa Krogulec</t>
  </si>
  <si>
    <t>Wspomnienia. Ludzie, czasy i zdarzenia. CzÄ™Å›Ä‡ pierwsza. MÅ‚odoÅ›Ä‡ i praca inÅ¼ynierska. Tom 3. Lata 1900â€“1907</t>
  </si>
  <si>
    <t>JÄ™drzej Moraczewski-Ilona Florczak</t>
  </si>
  <si>
    <t>O historii adwokatury w Polsce i na Å›wiecie. W siedemdziesiÄ…tÄ… rocznicÄ™ powstania Izby Adwokackiej w Åodzi</t>
  </si>
  <si>
    <t>Dorota WiÅ›niewska-Maciej Rakowski</t>
  </si>
  <si>
    <t>New Challenges Facing the Global Economy</t>
  </si>
  <si>
    <t>Ryszard Piasecki-Miron Wolnicki</t>
  </si>
  <si>
    <t>JÄ™zyk(i) w czasie i przestrzeni</t>
  </si>
  <si>
    <t>COMPUTERS / Internet / User-Generated Content</t>
  </si>
  <si>
    <t>Piotr Stalmaszczyk</t>
  </si>
  <si>
    <t>Å»ycie prywatne PolakÃ³w w XIX wieku. Marginesy, t. 4</t>
  </si>
  <si>
    <t>JarosÅ‚aw Kita-Maria Korybut-Marciniak</t>
  </si>
  <si>
    <t>Kobieta â€“ przestrzeÅ„ konfliktÃ³w, pole walk. Szkice z antropologii politycznej</t>
  </si>
  <si>
    <t>Edyta B. Pietrzak-Inga B. KuÅºma</t>
  </si>
  <si>
    <t>DostÄ™pnoÅ›Ä‡ transportowa i obciÄ…Å¼enie sieci drogowej w Polsce w Å›wietle zagroÅ¼eÅ„ powodziowych</t>
  </si>
  <si>
    <t>Rynek nieruchomoÅ›ci mieszkaniowych â€“ wspÃ³Å‚czesne aspekty przestrzenne, prawne i finansowe</t>
  </si>
  <si>
    <t>Agata Antczak-StÄ™pniak-MaÅ‚gorzata Grodzicka-Kowalczyk-MichaÅ‚ Sobczak-Magdalena ZaÅ‚Ä™czna-Konrad Å»elazowski</t>
  </si>
  <si>
    <t>SpoÅ‚eczno-kulturowy wymiar przestrzeni wiejskiej. Studia z geografii czÅ‚owieka</t>
  </si>
  <si>
    <t>Marcin WÃ³jcik</t>
  </si>
  <si>
    <t>Historia jako narzÄ™dzie polemiki w piÅ›miennictwie Piotra Skargi. Analecta Literackie i JÄ™zykowe XV</t>
  </si>
  <si>
    <t>Dawid Szymczak</t>
  </si>
  <si>
    <t>Kultura i twÃ³rczoÅ›Ä‡ w czasach zarazy. DoÅ›wiadczenie pandemii a aktywnoÅ›Ä‡ artystyczna z punktu widzenia twÃ³rcy i odbiorcy</t>
  </si>
  <si>
    <t>Magdalena Sasin</t>
  </si>
  <si>
    <t>Wykorzystanie technologii informacyjno-komunikacyjnych w mikro-, maÅ‚ych i Å›rednich przedsiÄ™biorstwach sektora kreatywnego</t>
  </si>
  <si>
    <t>Magdalena Ratalewska</t>
  </si>
  <si>
    <t>Budowanie prÄ™Å¼noÅ›ci w kontekÅ›cie kurczenia siÄ™ miast europejskich</t>
  </si>
  <si>
    <t>Iwona Pielesiak-Agnieszka Ogrodowczyk-Szymon Marciniak</t>
  </si>
  <si>
    <t>Wojna powietrzna a miÄ™dzynarodowe prawo humanitarne</t>
  </si>
  <si>
    <t>Mateusz PiÄ…tkowski</t>
  </si>
  <si>
    <t>Analiza uwarunkowaÅ„ gospodarczych i spoÅ‚ecznych funkcjonowania rosyjskich okrÄ™gÃ³w federalnych. PodrÄ™cznik akademicki</t>
  </si>
  <si>
    <t>Rodzina jako wartoÅ›Ä‡. Analiza psychologiczna wartoÅ›ci rodzinnych</t>
  </si>
  <si>
    <t>Katarzyna WalÄ™cka-Matyja-Iwona Janicka</t>
  </si>
  <si>
    <t>Granice tolerancji w sztuce i wychowaniu</t>
  </si>
  <si>
    <t>Aleksandra Sieczych-Kukawska-MirosÅ‚awa Zalewska-Pawlak</t>
  </si>
  <si>
    <t>Innowacyjne rozwiÄ…zania w logistyce. Aspekty wybrane</t>
  </si>
  <si>
    <t>Agnieszka Bukowska-PiestrzyÅ„ska-Jakub DoÅ„ski-Lesiuk-Tomasz Adam Karkowski-Urszula Motowidlak</t>
  </si>
  <si>
    <t>The Turn to The Church in The Twentieth and Twenty-First Centuries</t>
  </si>
  <si>
    <t>Sjoerd Mulder</t>
  </si>
  <si>
    <t>The General's Goose</t>
  </si>
  <si>
    <t>Robbie Robertson</t>
  </si>
  <si>
    <t>A Bark But No Bite</t>
  </si>
  <si>
    <t>Jack Vowles-Hilde CoffÃ©-Jennifer Curtin</t>
  </si>
  <si>
    <t>German Ethnography in Australia</t>
  </si>
  <si>
    <t>Nicolas Peterson-Anna Kenny</t>
  </si>
  <si>
    <t>New Directions for Law in Australia</t>
  </si>
  <si>
    <t>LAW / Essays</t>
  </si>
  <si>
    <t>Ron Levy-Molly O'Brien-Simon Rice-Pauline Ridge-Margaret Thornton</t>
  </si>
  <si>
    <t>Learning From Fukushima</t>
  </si>
  <si>
    <t>Peter Van Ness-Melvin Gurtov</t>
  </si>
  <si>
    <t>Voluntary Assisted Dying</t>
  </si>
  <si>
    <t>LAW / Right to Die</t>
  </si>
  <si>
    <t>David J Carter-Daniel J Fleming</t>
  </si>
  <si>
    <t>Clio's Lives</t>
  </si>
  <si>
    <t>Doug Munro-John G. Reid</t>
  </si>
  <si>
    <t>War and Other Means</t>
  </si>
  <si>
    <t>Mr Michel Naepels</t>
  </si>
  <si>
    <t>Large-scale Mines and Local-level Politics</t>
  </si>
  <si>
    <t>Colin Filer-Mr Pierre-Yves Le Meur</t>
  </si>
  <si>
    <t>Universities and Regional Engagement</t>
  </si>
  <si>
    <t>Tatiana Iakovleva-Elisa Thomas-Laila Nordstrand Berg-RÃ³mulo Pinheiro-Paul Benneworth</t>
  </si>
  <si>
    <t>Between Constantinople, the Papacy, and the Caliphate</t>
  </si>
  <si>
    <t>Krzysztof KoÅ›cielniak</t>
  </si>
  <si>
    <t>The Awakening of Islamic Pop Music</t>
  </si>
  <si>
    <t>ART / Popular Culture</t>
  </si>
  <si>
    <t>Jonas Otterbeck</t>
  </si>
  <si>
    <t>Digisprudence: Code As Law Rebooted</t>
  </si>
  <si>
    <t>Laurence E. Diver</t>
  </si>
  <si>
    <t>Coal and Energy in South Africa</t>
  </si>
  <si>
    <t>Lochner Marais-Phillippe Burger-MalÃ©ne Campbell-Stuart Paul Denoon-Stevens-DeidrÃ© van Rooyen</t>
  </si>
  <si>
    <t>CÃ©line Sciamma</t>
  </si>
  <si>
    <t>Emma Wilson</t>
  </si>
  <si>
    <t>El queÃ­smo en la historia</t>
  </si>
  <si>
    <t>JosÃ© Luis Blas Arroyo-MÃ³nica Velando Casanova</t>
  </si>
  <si>
    <t>Mount Gerizim Excavations III: The Coins</t>
  </si>
  <si>
    <t>Yitzhak Magen-Gabriela Bijovsky-Yoav Tzionit</t>
  </si>
  <si>
    <t>Sozialpolitik im vereinten Deutschland II.</t>
  </si>
  <si>
    <t>Die wirtschaftliche Neuordnung Europas.</t>
  </si>
  <si>
    <t>Regionale IdentitÃ¤t und soziale Gruppen im deutschen Mittelalter.</t>
  </si>
  <si>
    <t>Tutankhamun Knew the Names of the Two Great Gods: Dt and NHH As Fundamental Concepts of Pharaonic Ideology</t>
  </si>
  <si>
    <t>Steven R.W. Gregory</t>
  </si>
  <si>
    <t>Kritik und Post-Kritik</t>
  </si>
  <si>
    <t>Martin Bittner-Anke Wischmann</t>
  </si>
  <si>
    <t>Gegen die Ã–ffentlichkeit</t>
  </si>
  <si>
    <t>Lisa Schwaiger</t>
  </si>
  <si>
    <t>Critical by Design?</t>
  </si>
  <si>
    <t>Claudia Mareis-Moritz Greiner-Petter-Michael Renner</t>
  </si>
  <si>
    <t>Auspowern und Empowern?</t>
  </si>
  <si>
    <t>Corinna Schmechel</t>
  </si>
  <si>
    <t>Das politische Subjekt des queeren Aktivismus</t>
  </si>
  <si>
    <t>Tanja Vogler</t>
  </si>
  <si>
    <t>Ã„sthetische Geschichtserkenntnis</t>
  </si>
  <si>
    <t>Andre Bartoniczek</t>
  </si>
  <si>
    <t>ErmÃ¤chtigung durch Sichtbarkeit?</t>
  </si>
  <si>
    <t>Gerhard SchÃ¶nhofer</t>
  </si>
  <si>
    <t>Wie der Krieg ins Museum kam</t>
  </si>
  <si>
    <t>Anne E. Hasselmann</t>
  </si>
  <si>
    <t>UmkÃ¤mpfter Zugang zu Land</t>
  </si>
  <si>
    <t>Sarah Kirst</t>
  </si>
  <si>
    <t>Auditives ErzÃ¤hlen</t>
  </si>
  <si>
    <t>PERFORMING ARTS / Radio / History &amp; Criticism</t>
  </si>
  <si>
    <t>Ina Schenker</t>
  </si>
  <si>
    <t>Weaving Solidarity</t>
  </si>
  <si>
    <t>Sebastian Garbe</t>
  </si>
  <si>
    <t>Becoming Donor-Conceived</t>
  </si>
  <si>
    <t>Amelie Baumann</t>
  </si>
  <si>
    <t>Tuning Up! The Innovative Potential of Musikvermittlung</t>
  </si>
  <si>
    <t>Sarah Chaker-Axel Petri-Preis</t>
  </si>
  <si>
    <t>Sinn und Sinne im Tanz</t>
  </si>
  <si>
    <t>Margrit Bischof-Friederike Lampert</t>
  </si>
  <si>
    <t>(In)visible Acts of Resistance in the Twilight of the Franco Regime</t>
  </si>
  <si>
    <t>Aurora G. Morcillo</t>
  </si>
  <si>
    <t>Sorgsame Landwirtschaft</t>
  </si>
  <si>
    <t>Andrea Heistinger-Elisabeth Kosnik-Gabriele Sorgo</t>
  </si>
  <si>
    <t>Totalitarismustheorien in der jungen BRD</t>
  </si>
  <si>
    <t>Joachim Gmehling</t>
  </si>
  <si>
    <t>Translation and Social Media Communication in the Age of the Pandemic</t>
  </si>
  <si>
    <t>Tong King Lee-Dingkun Wang</t>
  </si>
  <si>
    <t>Regimes of Mobility</t>
  </si>
  <si>
    <t>Jordi Tejel-Ramazan HakkÄ± Ã–ztan</t>
  </si>
  <si>
    <t>From West to North Frisia</t>
  </si>
  <si>
    <t>Alastair Walker-Eric Hoekstra-Goffe Jensma-Wendy Vanselow-Willem Visser-Christoph Winter</t>
  </si>
  <si>
    <t>The Value &amp; Purpose of Management Education</t>
  </si>
  <si>
    <t>US Counterterrorism and the Human Rights of Foreigners Abroad</t>
  </si>
  <si>
    <t>Monika Heupel-Caiden Heaphy-Janina Heaphy</t>
  </si>
  <si>
    <t>Fisheries and the Law in Europe</t>
  </si>
  <si>
    <t>Jonatan Echebarria FernÃ¡ndez-Tafsir Matin Johansson-Jon A. Skinner-Mitchell Lennan</t>
  </si>
  <si>
    <t>Anti-computing</t>
  </si>
  <si>
    <t>Caroline Bassett</t>
  </si>
  <si>
    <t>KNOWCON 2021. Knowledge on Economics and Management: Conference Proceedings</t>
  </si>
  <si>
    <t>SlavÃ­ÄkovÃ¡, Pavla-Stoklasa, Jan (eds.)</t>
  </si>
  <si>
    <t>Psychologie prÃ¡ce a organizace 2021: Inovace - vÃ½zkum a aplikace. SbornÃ­k pÅ™Ã­spÄ›vkÅ¯ z 20. mezinÃ¡rodnÃ­ konference</t>
  </si>
  <si>
    <t>Seitl, Martin, ViktorovÃ¡-Lucie, HypÅ¡ovÃ¡, Petra (eds.)</t>
  </si>
  <si>
    <t>Academic Study of Religions in a Cognitive, Anthropological and Sociological Perspective</t>
  </si>
  <si>
    <t>BubÃ­k, TomÃ¡Å¡-HavlÃ­Äek, Jakub (eds.)</t>
  </si>
  <si>
    <t>Religionistika v kognitivnÃ­, antropologickÃ© a sociologickÃ© perspektivÄ›</t>
  </si>
  <si>
    <t>BubÃ­k, TomÃ¡Å¡-KotherovÃ¡, Silvie (eds.)</t>
  </si>
  <si>
    <t>AktuÃ¡lnÃ­ problÃ©my pedagogiky ve vÃ½zkumech studentÅ¯ doktorskÃ½ch studijnÃ­ch programÅ¯ XVI: Working Academics Value Excellence for International Teachers. SbornÃ­k z konference.</t>
  </si>
  <si>
    <t>BuchtovÃ¡, Tereza-Balaban, Vlado (eds.)</t>
  </si>
  <si>
    <t>HELP2 â€“ Healthcare Language Learning Programme 2 - Deutsche Lernbausteine</t>
  </si>
  <si>
    <t>Merz, LukÃ¡Å¡ (ed.)</t>
  </si>
  <si>
    <t>HELP2 â€“ Healthcare Language Learning Programme 2 - English Modules</t>
  </si>
  <si>
    <t>KreativnÃ­ JesenÃ­k Å umperk DESIGN 3 / Creative JesenÃ­k Å umperk DESIGN 3</t>
  </si>
  <si>
    <t>BilÃ­k, Petr (ed.)</t>
  </si>
  <si>
    <t>PhD EXISTENCE 11: ÄŒesko-slovenskÃ¡ psychologickÃ¡ konference (nejen) pro doktorandy a o doktorandech: SbornÃ­k odbornÃ½ch pÅ™Ã­spÄ›vkÅ¯</t>
  </si>
  <si>
    <t>AigelovÃ¡, Eva-ViktorovÃ¡, Lucie-DolejÅ¡, Martin (eds.)</t>
  </si>
  <si>
    <t>RizikovÃ© sprÃ¡vanie, blÃ­zke vzÅ¥ahy a osobnostnÃ© premennÃ© dospievajÃºcich v systÃ©me niÅ¾Å¡ieho sekundÃ¡rnÃ©ho vzdelÃ¡vania</t>
  </si>
  <si>
    <t>ÄŒereÅ¡nÃ­k, Michal-BanÃ¡rovÃ¡, KatarÃ­na</t>
  </si>
  <si>
    <t>ModernÃ­ chemickÃ¡ analÃ½za v archeologii, I. dÃ­l</t>
  </si>
  <si>
    <t>BednÃ¡Å™, Petr-KuÄera, LukÃ¡Å¡ (eds.)</t>
  </si>
  <si>
    <t>BezdrÃ¡tovÃ¡ technologie u dÄ›tÃ­ s vadou sluchu: "Kde se dÃ¡ koupit to Å¡piÃ³nskÃ© ucho?"</t>
  </si>
  <si>
    <t>HEALTH &amp; FITNESS / Disability</t>
  </si>
  <si>
    <t>GÃ¡bovÃ¡, KristÃ½na-HorÃ¡kovÃ¡, Radka</t>
  </si>
  <si>
    <t>RizikovÃ¡ komunikace a seznamovÃ¡nÃ­ ÄeskÃ½ch dÄ›tÃ­ v kyberprostoru</t>
  </si>
  <si>
    <t>KopeckÃ½, Kamil-Szotkowski, RenÃ©-DobeÅ¡ovÃ¡, Pavla</t>
  </si>
  <si>
    <t>ModernÃ­ technologie ve vÃ½uce</t>
  </si>
  <si>
    <t>KopeckÃ½, Kamil-a kol.</t>
  </si>
  <si>
    <t>AktuÃ¡lnÃ­ problÃ©my pedagogiky ve vÃ½zkumech studentÅ¯ doktorskÃ½ch studijnÃ­ch programÅ¯ XV: VÃ½zvy pro uÄitele v 21. stoletÃ­</t>
  </si>
  <si>
    <t>VyhnÃ¡lkovÃ¡, Pavla-Plischke, Jitka (eds.)</t>
  </si>
  <si>
    <t>KreativnÃ­ Olomouc DESIGN 2 / Creative Olomouc DESIGN 2</t>
  </si>
  <si>
    <t>PohybovÃ¡ aktivita, sedavÃ© chovÃ¡nÃ­ a obezita rodiÄÅ¯ a jejich dÄ›tÃ­</t>
  </si>
  <si>
    <t>FAMILY &amp; RELATIONSHIPS / Parenting / General</t>
  </si>
  <si>
    <t>Sigmund, Erik-SigmundovÃ¡, Dagmar</t>
  </si>
  <si>
    <t>Ãšprava prostÅ™edÃ­ pohledem osob se zdravotnÃ­m postiÅ¾enÃ­m</t>
  </si>
  <si>
    <t>HanÃ¡kovÃ¡, AdÃ©la-KroupovÃ¡, KateÅ™ina-a kol.</t>
  </si>
  <si>
    <t>SlovnÃ­k ÄeskÃ½ch vidovÃ½ch dvojic pro cizince</t>
  </si>
  <si>
    <t>KopeÄkovÃ¡, Michaela-HorÃ¡kovÃ¡, Jitka-NovÃ¡kovÃ¡, Eva-PolÃ¡chovÃ¡, Pavla</t>
  </si>
  <si>
    <t>AktuÃ¡lnÃ­ problÃ©my mediÃ¡lnÃ­ vÃ½chovy a mediÃ¡lnÃ­ gramotnost Å¾Ã¡kÅ¯ 2. stupnÄ› ZÅ </t>
  </si>
  <si>
    <t>MikulcovÃ¡, KlÃ¡ra-KopeckÃ½, Kamil</t>
  </si>
  <si>
    <t>IN TIME â€“ KognitivnÃ­ a afektivnÃ­ dimenze mladÃ½ch dospÄ›lÃ½ch ve vztahu k tÄ›hotenstvÃ­ a rodiÄovstvÃ­</t>
  </si>
  <si>
    <t>HÅ™ivnovÃ¡, Michaela-a kol.</t>
  </si>
  <si>
    <t>ProfesnÃ­ obraz Å¡kolnÃ­ho speciÃ¡lnÃ­ho pedagoga v podmÃ­nkÃ¡ch zÃ¡kladnÃ­ Å¡koly</t>
  </si>
  <si>
    <t>ÄŒech, TomÃ¡Å¡-HormandlovÃ¡, Tereza</t>
  </si>
  <si>
    <t>Podpora smÄ›Å™ovanÃ¡ studentovi se zrakovÃ½m postiÅ¾enÃ­m na vysokÃ© Å¡kole</t>
  </si>
  <si>
    <t>KarunovÃ¡, Hana</t>
  </si>
  <si>
    <t>Digitalizace textÅ¯ pro studenty se zrakovÃ½m postiÅ¾enÃ­m na vysokÃ© Å¡kole</t>
  </si>
  <si>
    <t>KarunovÃ¡, Hana-Herzinger, Martin</t>
  </si>
  <si>
    <t>NaruÅ¡enÃ¡ komunikaÄnÃ­ schopnost a speciÃ¡lnÃ­ vzdÄ›lÃ¡vÃ¡nÃ­</t>
  </si>
  <si>
    <t>MlÄÃ¡kovÃ¡, Renata-a kol.</t>
  </si>
  <si>
    <t>The Return of Polyandry</t>
  </si>
  <si>
    <t>Heidi E. Fjeld</t>
  </si>
  <si>
    <t>Navigating Boundaries</t>
  </si>
  <si>
    <t>Anna Shnukal-Guy Ramsay-Yuriko Nagata</t>
  </si>
  <si>
    <t>Exploring the Earth Under the Sea</t>
  </si>
  <si>
    <t>Neville Exon</t>
  </si>
  <si>
    <t>Sin Descansar, En Mi Memoria</t>
  </si>
  <si>
    <t>Peter Read-Marivic Wyndham</t>
  </si>
  <si>
    <t>Tax, Social Policy and Gender</t>
  </si>
  <si>
    <t>Ms Miranda Stewart</t>
  </si>
  <si>
    <t>Crown and Sword</t>
  </si>
  <si>
    <t>LAW / Military</t>
  </si>
  <si>
    <t>Mr Cameron Moore</t>
  </si>
  <si>
    <t>Macrocriminology and Freedom</t>
  </si>
  <si>
    <t>Researching Functional Ecology in Kosciuszko National Park (Field Studies in Ecology 1)</t>
  </si>
  <si>
    <t>Ms Hannah Zurcher-Ms Ming-Dao Chia-Mr Michael Whitehead-Ms Adrienne Nicotra</t>
  </si>
  <si>
    <t>Multi-level Governance</t>
  </si>
  <si>
    <t>Ms Katherine A. Daniell-Mr Adrian Kay</t>
  </si>
  <si>
    <t>Celebrity Bromances</t>
  </si>
  <si>
    <t>Celia Lam-Jackie Raphael</t>
  </si>
  <si>
    <t>Wirtschaftsethische Perspektiven I.</t>
  </si>
  <si>
    <t>Finanzierungsprobleme der deutschen Einheit II.</t>
  </si>
  <si>
    <t>Finanzierungsprobleme der deutschen Einheit I.</t>
  </si>
  <si>
    <t>Umweltschutz und Entwicklungspolitik.</t>
  </si>
  <si>
    <t>UmweltvertrÃ¤gliches Wirtschaften als Problem von Wissenschaft und Politik.</t>
  </si>
  <si>
    <t>Soziale Integration in Europa I.</t>
  </si>
  <si>
    <t>Bildung, Bildungsfinanzierung und Einkommensverteilung I.</t>
  </si>
  <si>
    <t>Reinar LÃ¼deke</t>
  </si>
  <si>
    <t>Armut in EntwicklungslÃ¤ndern.</t>
  </si>
  <si>
    <t>Hans-Bernd SchÃ¤fer</t>
  </si>
  <si>
    <t>Regionen in der FrÃ¼hen Neuzeit.</t>
  </si>
  <si>
    <t>Peter Claus Hartmann</t>
  </si>
  <si>
    <t>Unternehmensstrategie und Wettbewerb auf globalen MÃ¤rkten und ThÃ¼nen-Vorlesung.</t>
  </si>
  <si>
    <t>Industriepolitik im Widerstreit mit der Wettbewerbspolitik.</t>
  </si>
  <si>
    <t>Peter Oberender</t>
  </si>
  <si>
    <t>BeitrÃ¤ge zur Standortforschung.</t>
  </si>
  <si>
    <t>Geld- und WÃ¤hrungspolitik in kleinen, offenen Volkswirtschaften.</t>
  </si>
  <si>
    <t>Dieter Duwendag</t>
  </si>
  <si>
    <t>EuropÃ¤ische Gemeinschaft - Bestandsaufnahme und Perspektiven.</t>
  </si>
  <si>
    <t>Erhard Kantzenbach-Otto G. Mayer</t>
  </si>
  <si>
    <t>Wirtschaftliche Integration und Wandel von Raumstrukturen im 19. und 20. Jahrhundert.</t>
  </si>
  <si>
    <t>Josef Wysocki</t>
  </si>
  <si>
    <t>Privatisierungsstrategien im Systemvergleich.</t>
  </si>
  <si>
    <t>H. JÃ¶rg Thieme</t>
  </si>
  <si>
    <t>BeschÃ¤ftigungsentwicklung und Arbeitsmarktpolitik.</t>
  </si>
  <si>
    <t>Otto G. Mayer-Erhard Kantzenbach</t>
  </si>
  <si>
    <t>Europa vor dem Eintritt in die Wirtschafts- und WÃ¤hrungsunion.</t>
  </si>
  <si>
    <t>Dieter Duwendag-JÃ¼rgen Siebke</t>
  </si>
  <si>
    <t>William Sharp and â€œFiona Macleodâ€</t>
  </si>
  <si>
    <t xml:space="preserve"> William F. Halloran</t>
  </si>
  <si>
    <t>Soziale Herkunft und die Umsetzung von Studienaspirationen</t>
  </si>
  <si>
    <t>Claudia Finger</t>
  </si>
  <si>
    <t>Die Theorie der Praxis und die Praxis der Forschung</t>
  </si>
  <si>
    <t>Ralf Bohnsack-Vera Sparschuh</t>
  </si>
  <si>
    <t>Die Sprache der Stadt</t>
  </si>
  <si>
    <t>Markus Baum</t>
  </si>
  <si>
    <t>Familie, Geschlecht und Erziehung in Zeiten der Krisen des 21. Jahrhunderts</t>
  </si>
  <si>
    <t>Robert Baar-Maja S. Maier</t>
  </si>
  <si>
    <t>The Great Reset</t>
  </si>
  <si>
    <t>Replanteando la acciÃ³n social por la mÃºsica</t>
  </si>
  <si>
    <t xml:space="preserve"> Geoffrey Baker</t>
  </si>
  <si>
    <t>Points of Contact</t>
  </si>
  <si>
    <t xml:space="preserve"> Nick Posegay</t>
  </si>
  <si>
    <t>Mary Warnock</t>
  </si>
  <si>
    <t>Making the Void Fruitful</t>
  </si>
  <si>
    <t xml:space="preserve"> Patrick J. Keane</t>
  </si>
  <si>
    <t>Learning, Marginalization, and Improving the Quality of Education in Low-income Countries</t>
  </si>
  <si>
    <t xml:space="preserve"> Daniel A. Wagner-Nathan M. Castillo-Suzanne Grant Lewis</t>
  </si>
  <si>
    <t>Horos</t>
  </si>
  <si>
    <t xml:space="preserve"> Thea Potter</t>
  </si>
  <si>
    <t>Epidicus by Plautus</t>
  </si>
  <si>
    <t xml:space="preserve"> Catherine Tracy</t>
  </si>
  <si>
    <t>Democratising Participatory Research</t>
  </si>
  <si>
    <t xml:space="preserve"> Carmen Martinez-Vargas</t>
  </si>
  <si>
    <t>Coping</t>
  </si>
  <si>
    <t xml:space="preserve"> Luc Bovens</t>
  </si>
  <si>
    <t>The Neolithic Cemetery at Tell El-Kerkh</t>
  </si>
  <si>
    <t>HISTORY / Middle East / Syria</t>
  </si>
  <si>
    <t>Akira Tsuneki-Naoko Hironaga-Sari Jammo</t>
  </si>
  <si>
    <t>A Quaint &amp; Curious Volume: Essays in Honor of John J. Dobbins</t>
  </si>
  <si>
    <t>Dylan K. Rogers-Claire J. Weiss</t>
  </si>
  <si>
    <t>Qatar: Evidence of the Palaeolithic Earliest People Revealed</t>
  </si>
  <si>
    <t>Julie Scott-Jackson</t>
  </si>
  <si>
    <t>Plant Food Processing Tools at Early Neolithic GÃ¶bekli Tepe</t>
  </si>
  <si>
    <t>Laura Dietrich</t>
  </si>
  <si>
    <t>Laying the Foundations: Manual of the British Museum Iraq Scheme Archaeological Training Programme</t>
  </si>
  <si>
    <t>John MacGinnis-SÃ©bastien Rey</t>
  </si>
  <si>
    <t>Arthur Evans in Dubrovnik and Split (1875-1882)</t>
  </si>
  <si>
    <t>Branko Kirigin</t>
  </si>
  <si>
    <t>Bild und Text auf rÃ¶mischen Mosaiken</t>
  </si>
  <si>
    <t>Claudia Schmieder</t>
  </si>
  <si>
    <t>T.A. Eyre-P. Jasani-L.E. Roeker</t>
  </si>
  <si>
    <t>Victims of Political Violence and Terrorism</t>
  </si>
  <si>
    <t>William McGowan</t>
  </si>
  <si>
    <t>Tangled Mobilities</t>
  </si>
  <si>
    <t>Asuncion Fresnoza-Flot-Gracia Liu-Farrer</t>
  </si>
  <si>
    <t>Times of History, Times of Nature</t>
  </si>
  <si>
    <t>Anders EkstrÃ¶m-Staffan Bergwik</t>
  </si>
  <si>
    <t>Innovation on Education and Social Sciences</t>
  </si>
  <si>
    <t>Irena Maureen-Elly Imah-Siti Savira-Syafiâ€™ul Anam-Masilva Mael-Lina Hartanti</t>
  </si>
  <si>
    <t>Popular Protest, Political Opportunities, and Change in Africa</t>
  </si>
  <si>
    <t>Edalina Rodrigues Sanches</t>
  </si>
  <si>
    <t>Agnieszka Gromkowska-Melosik-Bartosz Hordecki-Tomasz R. SzymczyÅ„ski</t>
  </si>
  <si>
    <t>Gesamtsprachliche Bildung und frueher Englischunterricht</t>
  </si>
  <si>
    <t>Sandra Bellet</t>
  </si>
  <si>
    <t>The Archaeology of Rock Art in Western Arnhem Land, Australia (Terra Australis 47)</t>
  </si>
  <si>
    <t>Bruno David-Mr Paul S.C. TaÃ§on-Mr Jean-Jacques Delannoy-Mr Jean-Michel Geneste</t>
  </si>
  <si>
    <t>A Long Way to Go</t>
  </si>
  <si>
    <t>Ms Marie McAuliffe-Mr Khalid Koser</t>
  </si>
  <si>
    <t>Teaching 'Proper' Drinking?</t>
  </si>
  <si>
    <t>Maggie Brady</t>
  </si>
  <si>
    <t>Mobilities of Return</t>
  </si>
  <si>
    <t>John Taylor-Ms Helen Lee</t>
  </si>
  <si>
    <t>Solomon Islanders in World War II</t>
  </si>
  <si>
    <t>Ms Anna Annie Kwai</t>
  </si>
  <si>
    <t>Asian Economic Integration in an Era of Global Uncertainty</t>
  </si>
  <si>
    <t>Shiro Armstrong-Tom Westland</t>
  </si>
  <si>
    <t>Value for Money</t>
  </si>
  <si>
    <t>Andrew Podger-Tsai-tsu Su-John Wanna-Hon S. Chan-Meili Niu</t>
  </si>
  <si>
    <t>Cascades of Violence</t>
  </si>
  <si>
    <t>John Braithwaite-Ms Bina D'Costa</t>
  </si>
  <si>
    <t>Land Use in Australia</t>
  </si>
  <si>
    <t>Mr Richard Thackway</t>
  </si>
  <si>
    <t>Between the Plough and the Pick</t>
  </si>
  <si>
    <t>Hybridity on the Ground in Peacebuilding and Development</t>
  </si>
  <si>
    <t>Joanne Wallis-Lia Kent-Miranda Forsyth-Sinclair Dinnen-Srinjoy Bose</t>
  </si>
  <si>
    <t>The Quest for the Good Life in Precarious Times</t>
  </si>
  <si>
    <t>Chris Gregory-Jon Altman</t>
  </si>
  <si>
    <t>Skin, Kin and Clan</t>
  </si>
  <si>
    <t>Patrick McConvell-Piers Kelly-SÃ©bastien Lacrampe</t>
  </si>
  <si>
    <t>Gilded Age</t>
  </si>
  <si>
    <t>Ivan Franceschini-Kevin Lin-Nicholas Loubere</t>
  </si>
  <si>
    <t>Double Disillusion</t>
  </si>
  <si>
    <t>Anika Gauja-Peter Chen-Jennifer Curtin-Juliet Pietsch</t>
  </si>
  <si>
    <t>Vietnam's Post-1975 Agrarian Reforms</t>
  </si>
  <si>
    <t>Trung Dang</t>
  </si>
  <si>
    <t>Expressions of Austronesian Thought and Emotions</t>
  </si>
  <si>
    <t>James Fox</t>
  </si>
  <si>
    <t>Focality and Extension in Kinship</t>
  </si>
  <si>
    <t>Warren Shapiro</t>
  </si>
  <si>
    <t>Georges River Blues</t>
  </si>
  <si>
    <t>Heather Goodall</t>
  </si>
  <si>
    <t>Refugees and Knowledge Production</t>
  </si>
  <si>
    <t>Magdalena Kmak-Heta BjÃ¶rklund</t>
  </si>
  <si>
    <t>Sexuality of Men</t>
  </si>
  <si>
    <t>Foundation of Menâ€™s Health-Doris Bardehle-Heinz-JÃ¼rgen VoÃŸ</t>
  </si>
  <si>
    <t>HIV und SchuldgefÃ¼hle</t>
  </si>
  <si>
    <t>Franziska Hartung</t>
  </si>
  <si>
    <t>Trans* und Sex</t>
  </si>
  <si>
    <t>Jonas Hamm</t>
  </si>
  <si>
    <t>Das Sternbild des Matrosen lesen</t>
  </si>
  <si>
    <t>Salih Alexander Wolter</t>
  </si>
  <si>
    <t>Geschlechtliche und sexuelle Selbstbestimmung durch Kunst und Medien</t>
  </si>
  <si>
    <t>SELF-HELP / Sexual Instruction</t>
  </si>
  <si>
    <t>Heinz-JÃ¼rgen VoÃŸ-Michaela Katzer</t>
  </si>
  <si>
    <t>Die wollen doch nur spielen!</t>
  </si>
  <si>
    <t>PSYCHOLOGY / Animal &amp; Comparative Psychology</t>
  </si>
  <si>
    <t>Katja Wollmer</t>
  </si>
  <si>
    <t>Bioenergetic Analysis</t>
  </si>
  <si>
    <t>Margit Koemeda-Lutz-MaÃª Nascimento-Vincentia Schroeter</t>
  </si>
  <si>
    <t>Bioenergetic Analysis 18 (2008)</t>
  </si>
  <si>
    <t>Vincentia Schroeter-Margit Koemeda-Lutz-MaÃª Nascimento</t>
  </si>
  <si>
    <t>Margit Koemeda-Lutz-Helen Resneck-Sannes-MaÃª Nascimento</t>
  </si>
  <si>
    <t>Die deutschsprachige Sexualwissenschaft</t>
  </si>
  <si>
    <t>Heinz-JÃ¼rgen VoÃŸ</t>
  </si>
  <si>
    <t>Schutz von Kindern und Jugendlichen vor sexueller Traumatisierung</t>
  </si>
  <si>
    <t>Katja Krolzik-Matthei-Torsten Linke-Maria Urban</t>
  </si>
  <si>
    <t>Jenseits der MonosexualitÃ¤t</t>
  </si>
  <si>
    <t>Kim Ritter</t>
  </si>
  <si>
    <t>Sexuelle Bildung in der Kinder- und Jugendhilfe</t>
  </si>
  <si>
    <t>Torsten Linke</t>
  </si>
  <si>
    <t>Sexuelle Bildung und sexualisierte Gewalt in Schulen</t>
  </si>
  <si>
    <t>Maria Urban</t>
  </si>
  <si>
    <t>Mit schwulen LesbengrÃ¼ÃŸen</t>
  </si>
  <si>
    <t>Lara Ledwa</t>
  </si>
  <si>
    <t>MaÃª Nascimento-Margit Koemeda-Lutz-Vincentia Schroeter</t>
  </si>
  <si>
    <t>Anthropology, Film Industries, Modularity</t>
  </si>
  <si>
    <t>Ramyar D. Rossoukh-Steven C. Caton</t>
  </si>
  <si>
    <t>The Vanguard of the Atlantic World</t>
  </si>
  <si>
    <t>James E. Sanders</t>
  </si>
  <si>
    <t>The Creative Underclass</t>
  </si>
  <si>
    <t>Tyler Denmead</t>
  </si>
  <si>
    <t>Mad Men, Mad World</t>
  </si>
  <si>
    <t>Lauren M. E. Goodlad-Lilya Kaganovsky-Robert A. Rushing</t>
  </si>
  <si>
    <t>How Climate Change Comes to Matter</t>
  </si>
  <si>
    <t>Candis Callison</t>
  </si>
  <si>
    <t>Food, Farms, and Solidarity</t>
  </si>
  <si>
    <t>Chaia Heller</t>
  </si>
  <si>
    <t>Embodying Black Religions in Africa and Its Diasporas</t>
  </si>
  <si>
    <t>Yolanda Covington-Ward-Jeanette S. Jouili</t>
  </si>
  <si>
    <t>Decolonizing Native Histories</t>
  </si>
  <si>
    <t>Florencia E. Mallon</t>
  </si>
  <si>
    <t>Cocaine</t>
  </si>
  <si>
    <t>Enrique Desmond Arias-Thomas Grisaffi</t>
  </si>
  <si>
    <t>Bring on the Books for Everybody</t>
  </si>
  <si>
    <t>Jim Collins</t>
  </si>
  <si>
    <t>Animating Film Theory</t>
  </si>
  <si>
    <t>Whatâ€™s fappening?</t>
  </si>
  <si>
    <t>Hanna Sophia Rose</t>
  </si>
  <si>
    <t>AnÃ¡lise BioenergÃ©tica</t>
  </si>
  <si>
    <t>Vincentia Schroeter-Margit Koemeda-Lutz</t>
  </si>
  <si>
    <t>Kinder und Jugendliche in der COVID-19-Pandemie</t>
  </si>
  <si>
    <t>Anne Oommen-Halbach-Simone Weyers-Maria Griemmert</t>
  </si>
  <si>
    <t>Marcado diferencial de objeto y semÃ¡ntica verbal en espaÃ±ol</t>
  </si>
  <si>
    <t>Diego Romero Heredero</t>
  </si>
  <si>
    <t>The Exercise of the Spatial Imagination in Pre-Modern China</t>
  </si>
  <si>
    <t>Garret Pagenstecher Olberding</t>
  </si>
  <si>
    <t>Writing the Digital History of Nazi Germany</t>
  </si>
  <si>
    <t>Julia Timpe-Frederike Buda</t>
  </si>
  <si>
    <t>Wir reden zu wenig!</t>
  </si>
  <si>
    <t>SOCIAL SCIENCE / Human Sexuality</t>
  </si>
  <si>
    <t>Ralf Pampel</t>
  </si>
  <si>
    <t>Empowerment und Selbstwirksamkeit von trans* und intergeschlechtlichen Menschen</t>
  </si>
  <si>
    <t>Alexander NaÃŸ-Silvia Rentzsch-Johanna RÃ¶denbeck-Monika Deinbeck-Melanie Hartmann</t>
  </si>
  <si>
    <t>Aids und HIV in der TÃ¼rkei</t>
  </si>
  <si>
    <t>ZÃ¼lfukar Ã‡etin-Peter-Paul BÃ¤nziger</t>
  </si>
  <si>
    <t>The Queer Intersectional in Contemporary Germany</t>
  </si>
  <si>
    <t>Christopher Sweetapple</t>
  </si>
  <si>
    <t>Die BDSM-Szene</t>
  </si>
  <si>
    <t>Anne Deremetz</t>
  </si>
  <si>
    <t>Blick zurÃ¼ck nach vorn â€“ WegbereiterInnen der Inklusion</t>
  </si>
  <si>
    <t>Frank J. MÃ¼ller</t>
  </si>
  <si>
    <t>Lustvoll kÃ¶rperwÃ¤rts</t>
  </si>
  <si>
    <t>Julia Sparmann</t>
  </si>
  <si>
    <t>Reform des Sozialstaats I.</t>
  </si>
  <si>
    <t>Richard Hauser</t>
  </si>
  <si>
    <t>Finanzierungsprobleme der deutschen Einheit IV.</t>
  </si>
  <si>
    <t>Alois Oberhauser</t>
  </si>
  <si>
    <t>Wirtschaftsethische Perspektiven III.</t>
  </si>
  <si>
    <t>Hans G. Nutzinger</t>
  </si>
  <si>
    <t>Zukunftsprobleme der Weltwirtschaftsordnung.</t>
  </si>
  <si>
    <t>Werner ZohlnhÃ¶fer</t>
  </si>
  <si>
    <t>Studien zur Evolutorischen Ã–konomik III.</t>
  </si>
  <si>
    <t>Adolf Wagner-Hans-Walter Lorenz</t>
  </si>
  <si>
    <t>FinanzmÃ¤rkte, Finanzinnovationen und Geldpolitik.</t>
  </si>
  <si>
    <t>Wirtschaftsethische Perspektiven II.</t>
  </si>
  <si>
    <t>Bildung, Bildungsfinanzierung und Einkommensverteilung II.</t>
  </si>
  <si>
    <t>Bestrafte Innovation?</t>
  </si>
  <si>
    <t>Maximilian MÃ¼nster</t>
  </si>
  <si>
    <t>Das System Massentierhaltung im Verfassungsrecht.</t>
  </si>
  <si>
    <t>Bert Herbrich</t>
  </si>
  <si>
    <t>NÃ¤he in der Ferne.</t>
  </si>
  <si>
    <t>Hillard von Thiessen-Christian Windler</t>
  </si>
  <si>
    <t>RadikalitÃ¤t und Dissent im 16. Jahrhundert / Radicalism and Dissent in the Sixteenth Century.</t>
  </si>
  <si>
    <t>Hans-JÃ¼rgen Goertz-James M. Stayer</t>
  </si>
  <si>
    <t>Widerstandsrecht in der frÃ¼hen Neuzeit.</t>
  </si>
  <si>
    <t>Robert von Friedeburg</t>
  </si>
  <si>
    <t>Institutionelle Probleme der Systemtransformation.</t>
  </si>
  <si>
    <t>Dieter Cassel</t>
  </si>
  <si>
    <t>FiskalfÃ¶deralismus in Europa.</t>
  </si>
  <si>
    <t>Herausforderung Medien: Zwischen Freiheit und Zwang.</t>
  </si>
  <si>
    <t>Szenarien der EuropÃ¤ischen WÃ¤hrungsunion und der Bankenregulierung.</t>
  </si>
  <si>
    <t>Bildung und Arbeit in Ostdeutschland.</t>
  </si>
  <si>
    <t>Dieter Timmermann</t>
  </si>
  <si>
    <t>Europa auf dem Wege zur Politischen Union?</t>
  </si>
  <si>
    <t>Entstehung und Wettbewerb von Systemen.</t>
  </si>
  <si>
    <t>Die EntwicklungslÃ¤nder im Zeitalter der Globalisierung.</t>
  </si>
  <si>
    <t>Sozialpolitik im vereinten Deutschland III.</t>
  </si>
  <si>
    <t>Kommunalisierung im Spannungsfeld von Regulierung und Deregulierung im 19. und 20. Jahrhundert.</t>
  </si>
  <si>
    <t>Die WettbewerbsfÃ¤higkeit der ostdeutschen Wirtschaft.</t>
  </si>
  <si>
    <t>Gernot Gutmann</t>
  </si>
  <si>
    <t>BevÃ¶lkerungsdynamik und GrundbedÃ¼rfnisse in EntwicklungslÃ¤ndern.</t>
  </si>
  <si>
    <t>Branchen im Umbruch.</t>
  </si>
  <si>
    <t>Geld und Kredit im TransformationsprozeÃŸ.</t>
  </si>
  <si>
    <t>Soziale Integration in Europa II.</t>
  </si>
  <si>
    <t>Neuere Entwicklungen in der Geldtheorie und WÃ¤hrungspolitik.</t>
  </si>
  <si>
    <t>Elemente der Ã¶konomischen Raumstruktur.</t>
  </si>
  <si>
    <t>Jamaica Making</t>
  </si>
  <si>
    <t>Emma Roberts</t>
  </si>
  <si>
    <t>A Cultural Approach to Populism</t>
  </si>
  <si>
    <t>Juha Herkman</t>
  </si>
  <si>
    <t>Problems of Chronology in GandhÄran Art</t>
  </si>
  <si>
    <t>The Global Connections of GandhÄran Art</t>
  </si>
  <si>
    <t>CAA2014: 21st Century Archaeology</t>
  </si>
  <si>
    <t>F. Giligny-F. Djindjian-L. Costa</t>
  </si>
  <si>
    <t>Bronze Age Tell Communities in Context: An Exploration Into Culture, Society, and the Study of European Prehistory. Part 2</t>
  </si>
  <si>
    <t>Tobias L. Kienlin</t>
  </si>
  <si>
    <t>Water as a morphogen in landscapes/Lâ€™eau comme morphogÃ¨ne dans les paysages</t>
  </si>
  <si>
    <t>Sandrine Robert-Benoit Sittler</t>
  </si>
  <si>
    <t>Le verre de Sabra al-Mansuriya - Kairouan, Tunisie - milieu Xe-milieu XIe siÃ¨cle</t>
  </si>
  <si>
    <t>DaniÃ¨le Foy</t>
  </si>
  <si>
    <t>Use of Space and Domestic Areas: Functional Organisation and Social Strategies</t>
  </si>
  <si>
    <t>Luc Jallot-Alessandro Peinetti</t>
  </si>
  <si>
    <t>Une archÃ©ologie des provinces septentrionales du royaume Kongo</t>
  </si>
  <si>
    <t>Bernard Clist-Pierre de Maret-Koen Bostoen</t>
  </si>
  <si>
    <t>Understanding and Accessibility of Pre-and Proto-Historical Research Issues: Sites, Museums and Communication Strategies</t>
  </si>
  <si>
    <t>Davide Delfino-Valentino Nizzo</t>
  </si>
  <si>
    <t>To See the Invisible: Karelian Rock Art</t>
  </si>
  <si>
    <t>Arsen Faradzhev</t>
  </si>
  <si>
    <t>Tinqueux Â« la Haubette Â» (Marne, France): Un site exceptionnel du NÃ©olithique ancien</t>
  </si>
  <si>
    <t>Lamys Hachem</t>
  </si>
  <si>
    <t>The Three Dimensions of Archaeology</t>
  </si>
  <si>
    <t>Hans Kamermans-Wieke de Neef-Chiara Piccoli</t>
  </si>
  <si>
    <t>The Roman Pottery Manufacturing Site in Highgate Wood: Excavations 1966-78</t>
  </si>
  <si>
    <t>A. E. Brown-H. L. Sheldon</t>
  </si>
  <si>
    <t>The Hydraulic System of Uxul</t>
  </si>
  <si>
    <t>Nicolaus Seefeld</t>
  </si>
  <si>
    <t>TaymÄÊ¾ II: Catalogue of the Inscriptions Discovered in the Saudi-German Excavations at TaymÄÊ¾ 2004â€“2015</t>
  </si>
  <si>
    <t>Michael C.A. Macdonald</t>
  </si>
  <si>
    <t>Studies on the Palaeolithic of Western Eurasia</t>
  </si>
  <si>
    <t>GyÃ¶rgy Lengyel-JarosÅ‚aw WilczyÅ„ski-Marta SÃ¡nchez de la Torre-Xavier Mangado-Josep Maria Fullola</t>
  </si>
  <si>
    <t>Stone in Metal Ages</t>
  </si>
  <si>
    <t>Francesca Manclossi-Florine Marchand-Linda Boutoille-Sylvie Cousseran-NÃ©rÃ©</t>
  </si>
  <si>
    <t>Statio amoena</t>
  </si>
  <si>
    <t>Patrizia Basso-Enrico Zanini</t>
  </si>
  <si>
    <t>Special Place, Interesting Times: The Island of PalagruÅ¾a and Transitional Periods in Adriatic Prehistory</t>
  </si>
  <si>
    <t>StaÅ¡o Forenbaher</t>
  </si>
  <si>
    <t>The Shaping of the English Landscape: An Atlas of Archaeology From the Bronze Age to Domesday Book</t>
  </si>
  <si>
    <t>Chris Green-Miranda Creswell</t>
  </si>
  <si>
    <t>Setting the Scene: The Deceased and Regenerative Cult Within Offering Table Imagery of the Egyptian Old to Middle Kingdoms (C.2686 â€“ C.1650 BC)</t>
  </si>
  <si>
    <t>Barbara Oâ€™Neill</t>
  </si>
  <si>
    <t>Searching for the 17th Century on Nevis: The Survey and Excavation of Two Early Plantation Sites</t>
  </si>
  <si>
    <t>Robert A. Philpott-Roger Leech-Elaine L. Morris</t>
  </si>
  <si>
    <t>Rougga I: Le forum et ses abords (fouilles 1971â€“1974)</t>
  </si>
  <si>
    <t>Maurice Euzennat-HÃ©di Slim</t>
  </si>
  <si>
    <t>The Roman Cemetery at Lankhills</t>
  </si>
  <si>
    <t>Giles Clarke</t>
  </si>
  <si>
    <t>Rockshelter Excavations in the East Hamersley Range, Pilbara Region, Western Australia</t>
  </si>
  <si>
    <t>Dawn Cropper-W. Boone Law</t>
  </si>
  <si>
    <t>Ritual Landscapes and Borders Within Rock Art Research</t>
  </si>
  <si>
    <t>Heidrun SteberglÃ¸kken-Ragnhild Berge-Eva Lindgaard</t>
  </si>
  <si>
    <t>The Rise of Metallurgy in Eurasia</t>
  </si>
  <si>
    <t>Miljana RadivojeviÄ‡-Benjamin Roberts-Miroslav MariÄ‡-Julka KuzmanoviÄ‡-CvetkoviÄ‡-Thilo Rehren</t>
  </si>
  <si>
    <t>Reindeer Hunters at Howburn Farm, South Lanarkshire</t>
  </si>
  <si>
    <t>Torben Bjarke Ballin</t>
  </si>
  <si>
    <t>Quality Management of Cultural Heritage: Problems and Best Practices</t>
  </si>
  <si>
    <t>Maurizio Quagliuolo-Davide Delfino</t>
  </si>
  <si>
    <t>Public Images, Private Readings: Multi-Perspective Approaches to the Post-Palaeolithic Rock Art</t>
  </si>
  <si>
    <t>RamÃ³n FÃ¡bregas Valcarce-Carlos RodrÃ­guez-RellÃ¡n</t>
  </si>
  <si>
    <t>Proceedings of ArcheoFOSS</t>
  </si>
  <si>
    <t>Filippo Stanco-Giovanni Gallo</t>
  </si>
  <si>
    <t>Pre and Protohistoric Stone Architectures: Comparisons of the Social and Technical Contexts Associated to Their Building</t>
  </si>
  <si>
    <t>Florian Cousseau-Luc Laporte</t>
  </si>
  <si>
    <t>Post-Palaeolithic Filiform Rock Art in Western Europe</t>
  </si>
  <si>
    <t>Fernando Coimbra-Umberto Sansoni</t>
  </si>
  <si>
    <t>Pits and Boots: Excavation of Medieval and Post-medieval Backlands Under the Bon Accord Centre, Aberdeen</t>
  </si>
  <si>
    <t>Michael Roy</t>
  </si>
  <si>
    <t>Peintures et gravures rupestres des AmÃ©riques: Empreintes culturelles et territoriales</t>
  </si>
  <si>
    <t>Brigitte FaugÃ¨re-Philippe Costa</t>
  </si>
  <si>
    <t>Off the Beaten Track. Epigraphy at the Borders</t>
  </si>
  <si>
    <t>Antonio E. Felle-Anita Rocco</t>
  </si>
  <si>
    <t>New Agendas in Remote Sensing and Landscape Archaeology in the Near East</t>
  </si>
  <si>
    <t>Dan Lawrence-Mark Altaweel-Graham Philip</t>
  </si>
  <si>
    <t>New Advances in the History of Archaeology</t>
  </si>
  <si>
    <t>Sophie A. de Beaune-Alessandro Guidi-Oscar Moro AbadÃ­a-Massimo Tarantini</t>
  </si>
  <si>
    <t>Networks of Trade in Raw Materials and Technological Innovations in Prehistory and Protohistory: an Archaeometry Approach</t>
  </si>
  <si>
    <t>Davide Delfino-Paolo Piccardo-JoÃ£o Carlos Baptista</t>
  </si>
  <si>
    <t>Networks and Monumentality in the Pacific</t>
  </si>
  <si>
    <t>Aymeric Hermann-FrÃ©dÃ©rique Valentin-Christophe Sand-Emilie Nolet</t>
  </si>
  <si>
    <t>Neolithic and Bronze Age Studies in Europe: From Material Culture to Territories</t>
  </si>
  <si>
    <t>Marie Besse-FranÃ§ois Giligny</t>
  </si>
  <si>
    <t>A Monumental Hellenistic Funerary Ensemble at Callatis on the Western Black Sea</t>
  </si>
  <si>
    <t>Valeriu SÃ®rbu-Maria-Magdalena È˜tefan-Dan È˜tefan</t>
  </si>
  <si>
    <t>Monumental Earthen Architecture in Early Societies: Technology and Power Display</t>
  </si>
  <si>
    <t>Annick Daneels</t>
  </si>
  <si>
    <t>Mobility and Exchange Across Borders: Exploring Social Processes in Europe During the First Millennium BCE â€“ Theoretical and Methodological Approaches</t>
  </si>
  <si>
    <t>Veronica Cicolani</t>
  </si>
  <si>
    <t>â€˜A Mersshy Contree Called Holdernesseâ€™: Excavations on the Route of a National Grid Pipeline in Holderness, East Yorkshire</t>
  </si>
  <si>
    <t>Gavin Glover-Paul Flintoft-Richard Moore</t>
  </si>
  <si>
    <t>Materials, Productions, Exchange Network and Their Impact on the Societies of Neolithic Europe</t>
  </si>
  <si>
    <t>Marie Besse-Jean Guilaine</t>
  </si>
  <si>
    <t>Mapping the Past: From Sampling Sites and Landscapes to Exploring the â€˜Archaeological Continuumâ€™</t>
  </si>
  <si>
    <t>Michel Dabas-Stefano Campana-Apostolos Sarris</t>
  </si>
  <si>
    <t>Mammoths and Neanderthals in the Thames Valley</t>
  </si>
  <si>
    <t>Katharine Scott-Christine Buckingham</t>
  </si>
  <si>
    <t>Lyde Green Roman Villa, Emersons Green, South Gloucestershire</t>
  </si>
  <si>
    <t>Matthew S. Hobson-Richard Newman</t>
  </si>
  <si>
    <t>Londonâ€™s Waterfront 1100â€“1666: Excavations in Thames Street, London, 1974â€“84</t>
  </si>
  <si>
    <t>John Schofield-Lyn Blackmore-Jacqui Pearce-Tony Dyson</t>
  </si>
  <si>
    <t>Life on the Edge: The Neolithic and Bronze Age of Iain Crawfordâ€™s Udal, North Uist</t>
  </si>
  <si>
    <t>Beverley Ballin Smith</t>
  </si>
  <si>
    <t>Late Prehistory and Protohistory: Bronze Age and Iron Age (1. The Emergence of Warrior Societies and Its Economic, Social and Environmental Consequences; 2. Aegean â€“ Mediterranean Imports and Influences in the Graves From Continental Europe â€“ Bronze and Iron Ages)</t>
  </si>
  <si>
    <t>Fernando Coimbra-Davide Delfino-Valeriu SÃ®rbu</t>
  </si>
  <si>
    <t>Late Prehistoric Fortifications in Europe: Defensive, Symbolic and Territorial Aspects From the Chalcolithic to the Iron Age</t>
  </si>
  <si>
    <t>Davide Delfino-Fernando Coimbra-GonÃ§alo P. C. Cruz-Daniela Cardoso</t>
  </si>
  <si>
    <t>Intellectual and Spiritual Expression of Non-Literate Peoples</t>
  </si>
  <si>
    <t>Emmanuel Anati</t>
  </si>
  <si>
    <t>IKUWA6. Shared Heritage: Proceedings of the Sixth International Congress for Underwater Archaeology</t>
  </si>
  <si>
    <t>Jennifer A. Rodrigues-Arianna Traviglia</t>
  </si>
  <si>
    <t>History of Archaeology: International Perspectives</t>
  </si>
  <si>
    <t>Geraldine Delley-Margarita Diaz-Andreu-Francois Djindjian</t>
  </si>
  <si>
    <t>Historiographie de prÃ©historiens et de protohistoriens franÃ§ais du XXÂ° siÃ¨cle</t>
  </si>
  <si>
    <t>GÃ¶ytepe: Neolithic Excavations in the Middle Kura Valley, Azerbaijan</t>
  </si>
  <si>
    <t>Yoshihiro Nishiaki-Farhad Guliyev</t>
  </si>
  <si>
    <t>Glazed Brick Decoration in the Ancient Near East</t>
  </si>
  <si>
    <t>Anja FÃ¼gert-Helen Gries</t>
  </si>
  <si>
    <t>Gifts, Goods and Money: Comparing Currency and Circulation Systems in Past Societies</t>
  </si>
  <si>
    <t>Dirk Brandherm-Elon Heymans-Daniela Hofmann</t>
  </si>
  <si>
    <t>Giants in the Landscape: Monumentality and Territories in the European Neolithic</t>
  </si>
  <si>
    <t>Vincent Ard-Lucile Pillot</t>
  </si>
  <si>
    <t>Garranes: An Early Medieval Royal Site in South-West Ireland</t>
  </si>
  <si>
    <t>William O'Brien-Nick Hogan</t>
  </si>
  <si>
    <t>Frontiers of the Roman Empire: The Roman Frontier in Egypt</t>
  </si>
  <si>
    <t>Michel ReddÃ©-David J. Breeze</t>
  </si>
  <si>
    <t>From Mine to User: Production and Procurement Systems of Siliceous Rocks in the European Neolithic and Bronze Age</t>
  </si>
  <si>
    <t>FranÃ§oise Bostyn-FranÃ§ois Giligny-Peter Topping</t>
  </si>
  <si>
    <t>Le four de SÃ©vrier et autres fours et fourneaux dâ€™argile aux Ã¢ges des mÃ©taux en Europe occidentale</t>
  </si>
  <si>
    <t>Jean Coulon</t>
  </si>
  <si>
    <t>Foreigners and Outside Influences in Medieval Norway</t>
  </si>
  <si>
    <t>Stian Suppersberger Hamre</t>
  </si>
  <si>
    <t>Farmsteads and Funerary Sites: The M1 Junction 12 Improvements and the A5â€“M1 Link Road, Central Bedfordshire</t>
  </si>
  <si>
    <t>Jim Brown</t>
  </si>
  <si>
    <t>Ã‰tude palÃ©oanthropologique et analyse des rituels funÃ©raires de deux sites latÃ©niens valaisans</t>
  </si>
  <si>
    <t>Tobias Hofstetter</t>
  </si>
  <si>
    <t>Engraved Gems and Propaganda in the Roman Republic and Under Augustus</t>
  </si>
  <si>
    <t>PaweÅ‚ GoÅ‚yÅºniak</t>
  </si>
  <si>
    <t>El cerro de Alarcos (Ciudad Real): FormaciÃ³n y desarrollo de un oppidum ibÃ©rico</t>
  </si>
  <si>
    <t>MÂª del Rosario GarcÃ­a Huerta-Francisco Javier Morales HervÃ¡s-David RodrÃ­guez GonzÃ¡lez</t>
  </si>
  <si>
    <t>An Educator's Handbook for Teaching About the Ancient World</t>
  </si>
  <si>
    <t>PÄ±nar Durgun</t>
  </si>
  <si>
    <t>Earthen Construction Technology</t>
  </si>
  <si>
    <t>Annick Daneels-Maria Torras Freixa</t>
  </si>
  <si>
    <t>Different Times? Archaeological and Environmental Data From Intra-Site and Off-Site Sequences</t>
  </si>
  <si>
    <t>ZoÃ¯ Tsirtsoni-Catherine KuzucuoÄŸlu-Philippe NondÃ©dÃ©o-Olivier Weller</t>
  </si>
  <si>
    <t>Die GrÃ¤ber von Bat und Al-Ayn und das GebÃ¤ude II in Bat</t>
  </si>
  <si>
    <t>Die Entstehung komplexer Siedlungen im Zentraloman: ArchÃ¤ologische Untersuchungen zur Siedlungsgeschichte von Al-Khashbah</t>
  </si>
  <si>
    <t>Conrad Schmidt-Stephanie DÃ¶pper-Jonas Kluge-Samantha Petrella-Ullrich Ochs-Nick Kirchhoff-Susanne Maier-Mona Walter</t>
  </si>
  <si>
    <t>Die Bestattungsgruben in Bat</t>
  </si>
  <si>
    <t>Conrad Schmidt</t>
  </si>
  <si>
    <t>Demography and Migration Population Trajectories From the Neolithic to the Iron Age</t>
  </si>
  <si>
    <t>Thibault Lachenal-RÃ©jane Roure-Olivier Lemercier</t>
  </si>
  <si>
    <t>DefiniciÃ³n y caracterizaciÃ³n de las cerÃ¡micas a mano con decoraciÃ³n pintada del sur de la penÃ­nsula ibÃ©rica en Ã©poca tartÃ©sica</t>
  </si>
  <si>
    <t>Pedro Miguel Naranjo</t>
  </si>
  <si>
    <t>Current Approaches to Collective Burials in the Late European Prehistory</t>
  </si>
  <si>
    <t>Tiago TomÃ©-Marta DÃ­az-Zorita Bonilla-Ana Maria Silva-Claudia Cunha-Rui Boaventura</t>
  </si>
  <si>
    <t>Contribution of Ceramic Technological Approaches to the Anthropology and Archaeology of Pre- and Protohistoric Societies: Apport Des Approaches Technologiques De La CÃ©ramique Ã€ Lâ€™anthropologie Et Ã€ Lâ€™archÃ©ologie Des SociÃ©tÃ©s PrÃ© Et Protohistoriques</t>
  </si>
  <si>
    <t>FranÃ§ois Giligny-Ekaterina Dolbunova-Louise Gomart-Alexandre Livingstone Smith-Sophie MÃ©ry</t>
  </si>
  <si>
    <t>Classification of Lithic Artefacts From the British Late Glacial and Holocene Periods</t>
  </si>
  <si>
    <t>The Changing Landscapes of Romeâ€™s Northern Hinterland</t>
  </si>
  <si>
    <t>Helen Patterson-Robert Witcher-Helga Di Giuseppe</t>
  </si>
  <si>
    <t>Castles, Siegeworks and Settlements</t>
  </si>
  <si>
    <t>Duncan W. Wright-Oliver H. Creighton</t>
  </si>
  <si>
    <t>CAMERA KALAUREIA</t>
  </si>
  <si>
    <t>Yannis Hamilakis-Fotis Ifantidis</t>
  </si>
  <si>
    <t>CAA2015. Keep The Revolution Going</t>
  </si>
  <si>
    <t>Stefano Campana-Roberto Scopigno-Gabriella Carpentiero</t>
  </si>
  <si>
    <t>A Biography of Power: Research and Excavations at the Iron Age 'oppidum' of Bagendon, Gloucestershire (1979-2017)</t>
  </si>
  <si>
    <t>Tom Moore</t>
  </si>
  <si>
    <t>Big Data and Archaeology</t>
  </si>
  <si>
    <t>FranÃ§ois Djindjian-Paola Moscati</t>
  </si>
  <si>
    <t>Between the 3rd and 2nd Millennia BC: Exploring Cultural Diversity and Change in Late Prehistoric Communities</t>
  </si>
  <si>
    <t>Susana Soares Lopes-SÃ©rgio Alexandre Gomes</t>
  </si>
  <si>
    <t>Best Practices of GeoInformatic Technologies for the Mapping of Archaeolandscapes</t>
  </si>
  <si>
    <t>Apostolos Sarris</t>
  </si>
  <si>
    <t>Aristotleâ€™s Meteorologica: Meteorology Then and Now</t>
  </si>
  <si>
    <t>Anastasios A. Tsonis-Christos S. Zerefos</t>
  </si>
  <si>
    <t>ArcheoFOSS XIV 2020: Open Software, Hardware, Processes, Data and Formats in Archaeological Research</t>
  </si>
  <si>
    <t>Julian Bogdani-Riccardo Montalbano-Paolo Rosati</t>
  </si>
  <si>
    <t>The Archaeology of Time Travel</t>
  </si>
  <si>
    <t>Bodil Petersson-Cornelius Holtorf</t>
  </si>
  <si>
    <t>The Archaeological Survey of Sudanese Nubia, 1963-69</t>
  </si>
  <si>
    <t>David N. Edwards-Anthony J. Mills</t>
  </si>
  <si>
    <t>Archaeological Research at Caution Bay, Papua New Guinea</t>
  </si>
  <si>
    <t>Thomas Richards-Bruno David-Ken Aplin</t>
  </si>
  <si>
    <t>Archaeological Heritage Policies and Management Structures</t>
  </si>
  <si>
    <t>Erika M. Robrahn-GonzÃ¡lez-Friedrich LÃ¼th-Abdoulaye CÃ¡mara-Pascal Depaepe-Asya Engovatova</t>
  </si>
  <si>
    <t>Archaeological Explorations in Syria 2000-2011</t>
  </si>
  <si>
    <t>Jeanine Abdul Massih-Shinichi Nishiyama-Hanan Charaf-Ahmad Deb</t>
  </si>
  <si>
    <t>Approaches to the Analysis of Production Activity at Archaeological Sites</t>
  </si>
  <si>
    <t>Anna K. Hodgkinson-Cecilie Lelek Tvetmarken</t>
  </si>
  <si>
    <t>The Antonine Wall: Papers in Honour of Professor Lawrence Keppie</t>
  </si>
  <si>
    <t>David J. Breeze-William S. Hanson</t>
  </si>
  <si>
    <t>Analysis of the Economic Foundations Supporting the Social Supremacy of the Beaker Groups</t>
  </si>
  <si>
    <t>Elisa Guerra Doce-Corina Liesau von Lettow-Vorbeck</t>
  </si>
  <si>
    <t>Ages and Abilities: The Stages of Childhood and Their Social Recognition in Prehistoric Europe and Beyond</t>
  </si>
  <si>
    <t>Katharina Rebay-Salisbury-Doris Pany-Kucera</t>
  </si>
  <si>
    <t>Transhumance: Papers From the International Association of Landscape Archaeology Conference, Newcastle Upon Tyne, 2018</t>
  </si>
  <si>
    <t>Mark Bowden-Pete Herring</t>
  </si>
  <si>
    <t>Tra Esino e San Vicino</t>
  </si>
  <si>
    <t>Cristiano Cerioni</t>
  </si>
  <si>
    <t>Redonner vie Ã  une collection: les terres cuites communes du fort La Tour</t>
  </si>
  <si>
    <t>Julie Toupin</t>
  </si>
  <si>
    <t>Pottery of Manqabad</t>
  </si>
  <si>
    <t>Ilaria Incordino</t>
  </si>
  <si>
    <t>Post-Roman and Medieval Drying Kilns</t>
  </si>
  <si>
    <t>Robert Rickett-Mark McKerracher</t>
  </si>
  <si>
    <t>Paisajes en un sector de la Quebrada de Humahuaca durante la Etapa Agroalfarera</t>
  </si>
  <si>
    <t>Agustina Scaro</t>
  </si>
  <si>
    <t>Bridging the Gap: Disciplines, Times, and Spaces in Dialogue â€“ Volume 1</t>
  </si>
  <si>
    <t>Christian W. Hess-Federico Manuelli</t>
  </si>
  <si>
    <t>ArqueologÃ­a de la arquitectura en el oppidum oretano de El Cerro de las Cabezas (ValdepeÃ±as, Ciudad Real): los bastiones de la puerta S</t>
  </si>
  <si>
    <t>Jorge del Reguero GonzÃ¡lez</t>
  </si>
  <si>
    <t>The Archaeology of â€˜Underdog Sitesâ€™ in the Douro Valley</t>
  </si>
  <si>
    <t>Santiago SÃ¡nchez de la Parra-PÃ©rez-Sonia DÃ­az-Navarro-Javier FernÃ¡ndez-Lozano-Javier JimÃ©nez Gadea</t>
  </si>
  <si>
    <t>Napoleonic Divorce Law in Poland (1808-1852)</t>
  </si>
  <si>
    <t>Piotr Z. Pomianowski</t>
  </si>
  <si>
    <t>The Language(s) of Politics</t>
  </si>
  <si>
    <t>Nils Ringe</t>
  </si>
  <si>
    <t>Delegating Responsibility</t>
  </si>
  <si>
    <t>Nicholas R. Micinski</t>
  </si>
  <si>
    <t>Picturing Fiction Through Embodied Cognition</t>
  </si>
  <si>
    <t>Bien Klomberg-Theresa Schilhab-Michael Burke</t>
  </si>
  <si>
    <t>Equity, Teaching Practice and the Curriculum</t>
  </si>
  <si>
    <t>Ninni WahlstrÃ¶m</t>
  </si>
  <si>
    <t>Intoxication</t>
  </si>
  <si>
    <t>SÃ©bastien Tutenges</t>
  </si>
  <si>
    <t>Wissen und Ad-Hoc-PublizitÃ¤t.</t>
  </si>
  <si>
    <t>Grigory Bekritsky</t>
  </si>
  <si>
    <t>China's 40 Years of Reform and Development 1978â€“2018</t>
  </si>
  <si>
    <t>Ross Garnaut-Ligang Song-Cai Fang</t>
  </si>
  <si>
    <t>Opening Government</t>
  </si>
  <si>
    <t>John Wanna-Sam Vincent</t>
  </si>
  <si>
    <t>Australian Native Title Anthropology</t>
  </si>
  <si>
    <t>Kingsley Palmer</t>
  </si>
  <si>
    <t>The Moral Economy of Mobile Phones</t>
  </si>
  <si>
    <t>Robert. J Foster-Heather Horst</t>
  </si>
  <si>
    <t>The Contest for Aboriginal Souls</t>
  </si>
  <si>
    <t>Regina Ganter</t>
  </si>
  <si>
    <t>Transforming Hawai'i</t>
  </si>
  <si>
    <t>Paul D'Arcy</t>
  </si>
  <si>
    <t>Indigenous Mobilities</t>
  </si>
  <si>
    <t>Rachel Standfield</t>
  </si>
  <si>
    <t>Popular Music, Stars and Stardom</t>
  </si>
  <si>
    <t>Stephen Loy-Julie Rickwood-Samantha Bennett</t>
  </si>
  <si>
    <t>Island Rivers</t>
  </si>
  <si>
    <t>John R. Wagner-Jerry K. Jacka</t>
  </si>
  <si>
    <t>New Directions in Strategic Thinking 2.0</t>
  </si>
  <si>
    <t>Synchronic and Diachronic Aspects of Kanashi</t>
  </si>
  <si>
    <t>Anju Saxena-Lars Borin</t>
  </si>
  <si>
    <t>Wood. Rethinking Material</t>
  </si>
  <si>
    <t>ArchitekturfakultÃ¤t der Technischen UniversitÃ¤t Graz-Tom Kaden</t>
  </si>
  <si>
    <t>Beteiligung interkulturell gestalten</t>
  </si>
  <si>
    <t>Autor*innen-Kollektiv INTERPART</t>
  </si>
  <si>
    <t>GAM.16 gewohnt: un/common</t>
  </si>
  <si>
    <t>ARCHITECTURE / Annuals</t>
  </si>
  <si>
    <t>ArchitekturfakultÃ¤t der Technischen UniversitÃ¤t Graz-Andreas Lichtblau-Sigrid Verhovsek</t>
  </si>
  <si>
    <t>Berlin &amp; Berlin</t>
  </si>
  <si>
    <t>Friedemann Kunst</t>
  </si>
  <si>
    <t>Neutrons for Science</t>
  </si>
  <si>
    <t>Bernard Jacrot</t>
  </si>
  <si>
    <t>Centrales nuclÃ©aires et environnement</t>
  </si>
  <si>
    <t>EDF</t>
  </si>
  <si>
    <t>Les mots du climat</t>
  </si>
  <si>
    <t>Jean Poitou-Pascale Braconnot</t>
  </si>
  <si>
    <t>La didactique des langues dans la formation initiale des enseignant.e.s en Suisse / Fremdsprachendidaktik in der Schweizer Lehrer*innenbildung</t>
  </si>
  <si>
    <t>JÃ©sabel Robin-Martina Zimmermann</t>
  </si>
  <si>
    <t>The Russian Revolutions of 1917</t>
  </si>
  <si>
    <t>Kari Aga Myklebost-Jens Petter Nielsen-Andrei Rogatchevski</t>
  </si>
  <si>
    <t>Film As Embodied Art</t>
  </si>
  <si>
    <t>Maarten CoÃ«gnarts</t>
  </si>
  <si>
    <t>Architecture and Development</t>
  </si>
  <si>
    <t>Ayala Levin</t>
  </si>
  <si>
    <t>The Historical Construction of National Consciousness</t>
  </si>
  <si>
    <t>JenÅ‘ SzÅ±cs-GÃ¡bor Klaniczay-BalÃ¡zs TrencsÃ©nyi-GÃ¡bor GyÃ¡ni</t>
  </si>
  <si>
    <t>Xinjiang Year Zero</t>
  </si>
  <si>
    <t>Darren Byler-Ivan Franceschini-Nicholas Loubere</t>
  </si>
  <si>
    <t>Honouring a Nation</t>
  </si>
  <si>
    <t>Karen Fox</t>
  </si>
  <si>
    <t>The Neoliberal State, Recognition and Indigenous Rights</t>
  </si>
  <si>
    <t>Deirdre Howard-Wagner-Maria Bargh-Isabel Altamirano-JimÃ©nez</t>
  </si>
  <si>
    <t>Road Pricing and Provision</t>
  </si>
  <si>
    <t>Michael de Percy-John Wanna</t>
  </si>
  <si>
    <t>Carl Strehlow's 1909 Comparative Heritage Dictionary</t>
  </si>
  <si>
    <t>Anna Kenny</t>
  </si>
  <si>
    <t>Das Schadensrecht der GeschÃ¤ftsleiterhaftung.</t>
  </si>
  <si>
    <t>Jakob Hahn</t>
  </si>
  <si>
    <t>Fragile Familien</t>
  </si>
  <si>
    <t>Joachim Eibach</t>
  </si>
  <si>
    <t>Human Capital Versus Basic Income</t>
  </si>
  <si>
    <t>Fabian A Borges</t>
  </si>
  <si>
    <t>Los opuestos en el mar / Ocean Opposites</t>
  </si>
  <si>
    <t>Phoenix International Publications, Inc.</t>
  </si>
  <si>
    <t>JUVENILE FICTION / Animals / General</t>
  </si>
  <si>
    <t>Kathy Broderick-Dean Gray</t>
  </si>
  <si>
    <t>Earth</t>
  </si>
  <si>
    <t>JUVENILE NONFICTION / Science &amp; Nature / Astronomy</t>
  </si>
  <si>
    <t>Ellen Lawrence-Sequoia Kids Media</t>
  </si>
  <si>
    <t>Â¿QuÃ© hora es? / What Time Is It?</t>
  </si>
  <si>
    <t>Veronica Wagner-Maryn Arreguin</t>
  </si>
  <si>
    <t>Inside Mining Capitalism</t>
  </si>
  <si>
    <t>Benjamin Rubbers</t>
  </si>
  <si>
    <t>Docutimelines â€“ Zur Produktion von Musikdokumentationen</t>
  </si>
  <si>
    <t>Christian Bettges</t>
  </si>
  <si>
    <t>Performance Spaces and Stage Technologies</t>
  </si>
  <si>
    <t>Yuji Nawata-Hans Joachim Dethlefs</t>
  </si>
  <si>
    <t>Spectatoriale Geschlechterkonstruktionen</t>
  </si>
  <si>
    <t>Yvonne VÃ¶lkl</t>
  </si>
  <si>
    <t>Aufenthaltsrechtliche IllegalitÃ¤t erzÃ¤hlen</t>
  </si>
  <si>
    <t>Helena Grebner</t>
  </si>
  <si>
    <t>Minimalismus â€“ Ein Reader</t>
  </si>
  <si>
    <t>Heike Derwanz</t>
  </si>
  <si>
    <t>Barrierefreiheit in der Wohnungspolitik</t>
  </si>
  <si>
    <t>Melanie Slavici</t>
  </si>
  <si>
    <t>Das Schweigen der Gewalt</t>
  </si>
  <si>
    <t>AndrÃ© Reichart</t>
  </si>
  <si>
    <t>Cultural Diversity in Motion</t>
  </si>
  <si>
    <t>Ã–zlem CanyÃ¼rek</t>
  </si>
  <si>
    <t>Â»Schrift [...] fÃ¤llt beim Lesen nicht ab wie SchlackeÂ«</t>
  </si>
  <si>
    <t>Sven SchÃ¶pf</t>
  </si>
  <si>
    <t>EinfÃ¼hrung in die Wissenschaften</t>
  </si>
  <si>
    <t>Werner Kogge</t>
  </si>
  <si>
    <t>The Post-Socialist Internet</t>
  </si>
  <si>
    <t>Migle Bareikyte</t>
  </si>
  <si>
    <t>VerdrÃ¤ngter Antisemitismus</t>
  </si>
  <si>
    <t>Michael HÃ¶ttemann</t>
  </si>
  <si>
    <t>Digital Capitalism and Distributive Forces</t>
  </si>
  <si>
    <t>Sabine Pfeiffer</t>
  </si>
  <si>
    <t>Biography Matters â€“ Feministisch-phÃ¤nomenologische Perspektiven auf Altern in Bewegung</t>
  </si>
  <si>
    <t>Lea Spahn</t>
  </si>
  <si>
    <t>Comparative Practices</t>
  </si>
  <si>
    <t>Nadine BÃ¶hm-Schnitker-Marcus Hartner</t>
  </si>
  <si>
    <t>Invective Gaze â€“ Das digitale Bild und die Kultur der BeschÃ¤mung</t>
  </si>
  <si>
    <t>Elisabeth Heyne-Tanja Prokic</t>
  </si>
  <si>
    <t>Claiming Home</t>
  </si>
  <si>
    <t>Tina BÃ¼chler</t>
  </si>
  <si>
    <t>Regieren durch Vorbeugen</t>
  </si>
  <si>
    <t>Jozef Zelinka</t>
  </si>
  <si>
    <t>Understanding the Rights of Nature</t>
  </si>
  <si>
    <t>Mihnea Tanasescu</t>
  </si>
  <si>
    <t>The Politics of Gender in Early American Theater</t>
  </si>
  <si>
    <t>Leopold Lippert-Ralph J. Poole</t>
  </si>
  <si>
    <t>Ãœble Dinge</t>
  </si>
  <si>
    <t>Bernhard Oberreither</t>
  </si>
  <si>
    <t>Cyber Security Politics</t>
  </si>
  <si>
    <t>Myriam Dunn Cavelty-Andreas Wenger</t>
  </si>
  <si>
    <t>Under the Radar</t>
  </si>
  <si>
    <t>R. Eugene Parta</t>
  </si>
  <si>
    <t>Romani Liberation</t>
  </si>
  <si>
    <t>Jan Selling</t>
  </si>
  <si>
    <t>Liberals, Conservatives, and Mavericks</t>
  </si>
  <si>
    <t>Frank Cibulka-Zachary T. Irwin</t>
  </si>
  <si>
    <t>Growing in the Shadow of Antifascism</t>
  </si>
  <si>
    <t>Kata Bohus-Peter Hallama-Stephan Stach</t>
  </si>
  <si>
    <t>Free-Market Socialists</t>
  </si>
  <si>
    <t>Joseph Malherek</t>
  </si>
  <si>
    <t>Wives and Wanderers in a New Guinea Highlands Society</t>
  </si>
  <si>
    <t>Marie Olive Reay</t>
  </si>
  <si>
    <t>Read Till It Shatters</t>
  </si>
  <si>
    <t>Thak Chaloemtiarana</t>
  </si>
  <si>
    <t>The Australian Continent</t>
  </si>
  <si>
    <t>B.L.N Kennett-R. Blewett-R. Chopping</t>
  </si>
  <si>
    <t>JubilÃ¤en in der Erwachsenenbildung</t>
  </si>
  <si>
    <t>Klaus Heuer-Heribert Hinzen</t>
  </si>
  <si>
    <t>Political Leadership Between Democracy and Authoritarianism</t>
  </si>
  <si>
    <t>Jerzy J. Wiatr</t>
  </si>
  <si>
    <t>Craftworkers in Nineteenth Century Scotland</t>
  </si>
  <si>
    <t>Stana Nenadic</t>
  </si>
  <si>
    <t>Female Religious Authority in Shi'i Islam</t>
  </si>
  <si>
    <t>Mirjam Kuenkler-Devin J. Stewart</t>
  </si>
  <si>
    <t>Lorenzo de Zamora MonarquÃ­a mÃ­stica I</t>
  </si>
  <si>
    <t>JesÃºs-M. Nieto IbaÃ±ez-RaÃºl LÃ³pez LÃ³pez</t>
  </si>
  <si>
    <t>Pirate Waves</t>
  </si>
  <si>
    <t>Urszula Doliwa</t>
  </si>
  <si>
    <t>Pedagogical Realities of Implementing Task-Based Language Teaching</t>
  </si>
  <si>
    <t>Rosemary Erlam-Constanza Tolosa</t>
  </si>
  <si>
    <t>AufklÃ¤rung zwischen zwei Welten</t>
  </si>
  <si>
    <t>Die Papyri Herkulaneums im Digitalen Zeitalter</t>
  </si>
  <si>
    <t>Kilian Fleischer</t>
  </si>
  <si>
    <t>Kontrafaktik der Gegenwart</t>
  </si>
  <si>
    <t>Michael Navratil</t>
  </si>
  <si>
    <t>Biopolitics After Truth</t>
  </si>
  <si>
    <t>Sergei Prozorov</t>
  </si>
  <si>
    <t>Ecologies of Architecture</t>
  </si>
  <si>
    <t>Andrej Radman</t>
  </si>
  <si>
    <t>Binge-Watching and Contemporary Television Studies</t>
  </si>
  <si>
    <t>Mareike Jenner</t>
  </si>
  <si>
    <t>German Radioactive Waste</t>
  </si>
  <si>
    <t>InnovaciÃ³n en la docencia e investigaciÃ³n de las ciencias jurÃ­dicas, econÃ³micas y empresariales. Vol. I. Experiencias de innovaciÃ³n en la docencia del derecho.</t>
  </si>
  <si>
    <t>InnovaciÃ³n e investigaciÃ³n docente en educaciÃ³n: experiencias prÃ¡cticas.</t>
  </si>
  <si>
    <t>BuzÃ³n GarcÃ­a, Olga-Romero GarcÃ­a, Carmen</t>
  </si>
  <si>
    <t>InnovaciÃ³n en la docencia e investigaciÃ³n de las ciencias sociales y de la educaciÃ³n.</t>
  </si>
  <si>
    <t>Rabet Temsamani, Rabia MÂª-HervÃ¡s GÃ³mez, Carlos</t>
  </si>
  <si>
    <t>InnovaciÃ³n en la docencia e investigaciÃ³n de las ciencias jurÃ­dicas, econÃ³micas y empresariales. Vol. II. Experiencias de innovaciÃ³n en economÃ­a y empresa.</t>
  </si>
  <si>
    <t>Cruz Ãngeles, JonatÃ¡n-GutiÃ©rrez Castillo, VÃ­ctor Luis</t>
  </si>
  <si>
    <t>El progreso de la comunicaciÃ³n en la era de los prosumidores.</t>
  </si>
  <si>
    <t>Blanco PÃ©rez, Manuel</t>
  </si>
  <si>
    <t>Hacia una docencia sensible al gÃ©nero en la educaciÃ³n superior.</t>
  </si>
  <si>
    <t>Rebollo CatalÃ¡n, Ãngeles-Arias RodrÃ­guez, Alicia</t>
  </si>
  <si>
    <t>Entornos virtuales para la educaciÃ³n en tiempos de pandemia: perspectivas metodolÃ³gicas.</t>
  </si>
  <si>
    <t>Vico Bosch, Alba-Vega Caro, Luisa-BuzÃ³n GarcÃ­a, Olga</t>
  </si>
  <si>
    <t>Igualdad y calidad educativa: oportunidades y desafÃ­os de la enseÃ±anza.</t>
  </si>
  <si>
    <t>Vega Caro, Luisa-Vico Bosch, Alba</t>
  </si>
  <si>
    <t>Oportunidades y retos para la enseÃ±anza de las artes, la educaciÃ³n mediÃ¡tica y la Ã©tica en la era postdigital.</t>
  </si>
  <si>
    <t>Castro LeÃ³n, Elke</t>
  </si>
  <si>
    <t>MetodologÃ­as activas con TIC en la educaciÃ³n del siglo XXI .</t>
  </si>
  <si>
    <t>Cuestiones transversales en la innovaciÃ³n de la docencia y la investigaciÃ³n de las ciencias sociales y jurÃ­dicas. Especial referencia al impacto del COVID-19, las nuevas tecnologÃ­as y metodologÃ­as, las perspectivas de gÃ©nero y la diversidad</t>
  </si>
  <si>
    <t>MartÃ­n LÃ³pez, Miguel Ãngel-Soria RodrÃ­guez, Carlos</t>
  </si>
  <si>
    <t>Feminismo digital. Violencia contra las mujeres y brecha sexista en Internet.</t>
  </si>
  <si>
    <t>Identidades, segregaciÃ³n, vulnerabilidad. Â¿Hacia la construcciÃ³n de sociedades inclusivas? Un reto pluridisciplinar.</t>
  </si>
  <si>
    <t>Olivero Guidobono, Sandra-MartÃ­nez GonzÃ¡lez, Alfredo JosÃ©</t>
  </si>
  <si>
    <t>Discursos, mujeres y artes. Â¿Construyendo o derribando fronteras?.</t>
  </si>
  <si>
    <t>Muros de discriminaciÃ³n y exclusiÃ³n en la construcciÃ³n de identidades: la mirada de las ciencias sociales.</t>
  </si>
  <si>
    <t>CotÃ¡n FernÃ¡ndez, Almudena-Ruiz SÃ¡nchez, JosÃ© Carlos</t>
  </si>
  <si>
    <t>Plataformas, consumo mediÃ¡tico y nuevas realidades digitales. Hacia una perspectiva integradora.</t>
  </si>
  <si>
    <t>Valero Pastor, JosÃ© MarÃ­a</t>
  </si>
  <si>
    <t>Las redes de la comunicaciÃ³n. Estudios multidisciplinares actuales.</t>
  </si>
  <si>
    <t>InnovaciÃ³n docente y renovaciÃ³n pedagÃ³gica en derecho internacional y relaciones internacionales. El impacto de la investigaciÃ³n en la docencia</t>
  </si>
  <si>
    <t>GutiÃ©rrez Castillo, VÃ­ctor L.</t>
  </si>
  <si>
    <t>A Genealogy of Bamboo Diplomacy</t>
  </si>
  <si>
    <t>Jittipat Poonkham</t>
  </si>
  <si>
    <t>Literary Reimaginings of Argentinaâ€™s Independence</t>
  </si>
  <si>
    <t>Catriona McAllister</t>
  </si>
  <si>
    <t>Organisationsentwicklung in der Hochschullehre</t>
  </si>
  <si>
    <t>Christa Wetzel-Michael Herzog-Marianne Merkt-Anne Lequy-Yongjian Ding</t>
  </si>
  <si>
    <t>Digital Humanities and Libraries and Archives in Religious Studies</t>
  </si>
  <si>
    <t>Clifford B. Anderson</t>
  </si>
  <si>
    <t>Diversity and Otherness</t>
  </si>
  <si>
    <t>Lisa Gaupp-Giulia Pelillo-Hestermeyer</t>
  </si>
  <si>
    <t>Exploring Written Artefacts</t>
  </si>
  <si>
    <t>JÃ¶rg B. Quenzer</t>
  </si>
  <si>
    <t>Selbstreparaturen in der schriftlichen Interaktion</t>
  </si>
  <si>
    <t>Irina Mostovaia</t>
  </si>
  <si>
    <t>Raumkonstruktionen | Spatial Constructions</t>
  </si>
  <si>
    <t>Richard NÄ›mec</t>
  </si>
  <si>
    <t>Media Matter</t>
  </si>
  <si>
    <t>Francisca Comas RubÃ­-Karin Priem-Sara GonzÃ¡lez GÃ³mez</t>
  </si>
  <si>
    <t>Latin As the Language of Science and Learning</t>
  </si>
  <si>
    <t>Philipp Roelli</t>
  </si>
  <si>
    <t>Theatre and Metatheatre</t>
  </si>
  <si>
    <t>Elodie Paillard-Silvia Sueli Milanezi</t>
  </si>
  <si>
    <t>Aus BÃ¼chern BÃ¼cher machen</t>
  </si>
  <si>
    <t>Simone Zweifel</t>
  </si>
  <si>
    <t>Was ist Gesundheit?</t>
  </si>
  <si>
    <t>Philip Eijk-Detlev Ganten-Roman Marek</t>
  </si>
  <si>
    <t>Sujetos del deseo</t>
  </si>
  <si>
    <t>Soledad Marambio</t>
  </si>
  <si>
    <t>Narrative der Migration</t>
  </si>
  <si>
    <t>Ã–zkan Ezli</t>
  </si>
  <si>
    <t>Ã–sterreichs Skisport im Nationalsozialismus</t>
  </si>
  <si>
    <t>Andreas Praher</t>
  </si>
  <si>
    <t>Trends in Statistical Codicology</t>
  </si>
  <si>
    <t>Marilena Maniaci</t>
  </si>
  <si>
    <t>Verb-second As a Reconstruction Phenomenon</t>
  </si>
  <si>
    <t>Constantin Freitag</t>
  </si>
  <si>
    <t>Agonal Perspectives on Nietzsche's Philosophy of Critical Transvaluation</t>
  </si>
  <si>
    <t>Herman W. Siemens</t>
  </si>
  <si>
    <t>Die Macht des Definierens</t>
  </si>
  <si>
    <t>Theresa Schnedermann</t>
  </si>
  <si>
    <t>Differential Object Marking in Romance</t>
  </si>
  <si>
    <t>Johannes Kabatek-Philipp Obrist-Albert Wall</t>
  </si>
  <si>
    <t>Nationalism in a Transnational Age</t>
  </si>
  <si>
    <t>Frank Jacob-Carsten Schapkow</t>
  </si>
  <si>
    <t>Atem / Breath</t>
  </si>
  <si>
    <t>Linn Burchert-Iva ReÅ¡etar</t>
  </si>
  <si>
    <t>DokufiktionalitÃ¤t in Literatur und Medien</t>
  </si>
  <si>
    <t>Agnes Bidmon-Christine Lubkoll</t>
  </si>
  <si>
    <t>Ausstellungskommunikation</t>
  </si>
  <si>
    <t>Wolfgang Kesselheim</t>
  </si>
  <si>
    <t>Gesunde Stadt</t>
  </si>
  <si>
    <t>Birgit Knauer</t>
  </si>
  <si>
    <t>Conceptual Joining</t>
  </si>
  <si>
    <t>Lukas Allner-Christoph Kaltenbrunner-Daniela KrÃ¶hnert-Philipp Reinsberg-Institute of Architecture at the University of Applied Arts Vienna-Institute of Art Sciences and Art Education at the University of Applied Arts Vienna</t>
  </si>
  <si>
    <t>AI Knowledge Transfer From the University to Society</t>
  </si>
  <si>
    <t>JosÃ© Guadix MartÃ­n-Milica Lilic-Marina Rosales MartÃ­nez</t>
  </si>
  <si>
    <t>Routledge Handbook of Autocratization in South Asia</t>
  </si>
  <si>
    <t>Sten Widmalm</t>
  </si>
  <si>
    <t>Pride, Not Prejudice</t>
  </si>
  <si>
    <t>Eunbin Chung</t>
  </si>
  <si>
    <t>Gleichzeitigkeit in der Interaktion</t>
  </si>
  <si>
    <t>Maximilian Krug</t>
  </si>
  <si>
    <t>Liability of Multinational Corporations Under International Law</t>
  </si>
  <si>
    <t>Menno T. Kamminga-Saman Zia-Zarifi</t>
  </si>
  <si>
    <t>Landlock</t>
  </si>
  <si>
    <t>Patrik Oskarsson</t>
  </si>
  <si>
    <t>â€žFiktionâ€œ und â€žWirklichkeitâ€œ in japanischen Literaturtheorien der Jahre 1850 bis 1890</t>
  </si>
  <si>
    <t>Guido Woldering</t>
  </si>
  <si>
    <t>Intention and Interpretation: A Short History</t>
  </si>
  <si>
    <t>Ralf GrÃ¼ttemeier</t>
  </si>
  <si>
    <t>Time for the Ancients</t>
  </si>
  <si>
    <t>P. N. Singer</t>
  </si>
  <si>
    <t>Active Materials</t>
  </si>
  <si>
    <t>Peter Fratzl-Michael Friedman-Karin Krauthausen-Wolfgang SchÃ¤ffner</t>
  </si>
  <si>
    <t>The EU-China Security Paradox</t>
  </si>
  <si>
    <t>Julia Gurol</t>
  </si>
  <si>
    <t>Medieval Arab Music and Musicians</t>
  </si>
  <si>
    <t>Dwight Reynolds</t>
  </si>
  <si>
    <t>Challenges in Education â€“ Policies, Practice and Research</t>
  </si>
  <si>
    <t>Otilia Clipa</t>
  </si>
  <si>
    <t>Kleinepik. Wolfram von Eschenbach: â€šTiturelâ€˜. â€šBrief des PriesterkÃ¶nigs Johannesâ€˜</t>
  </si>
  <si>
    <t>Mario Klarer</t>
  </si>
  <si>
    <t>â€šOrtnitâ€˜. â€šWolfdietrich Aâ€˜</t>
  </si>
  <si>
    <t>â€šKudrunâ€˜</t>
  </si>
  <si>
    <t>â€šNibelungenklageâ€˜</t>
  </si>
  <si>
    <t>â€šNibelungenliedâ€˜</t>
  </si>
  <si>
    <t>â€šRabenschlachtâ€˜</t>
  </si>
  <si>
    <t>â€šDietrichs Fluchtâ€˜</t>
  </si>
  <si>
    <t>Conflicts in Interreligious Education</t>
  </si>
  <si>
    <t>Martina Kraml-Zekirija Sejdini-Nicole Bauer-Jonas Kolb</t>
  </si>
  <si>
    <t>Iridescent Kuwait</t>
  </si>
  <si>
    <t>Laura Hindelang</t>
  </si>
  <si>
    <t>Rhapsodic Objects</t>
  </si>
  <si>
    <t>Yaelle Biro-Noemie Etienne</t>
  </si>
  <si>
    <t>Die Vergangenheitstempora im Alemannischen Deutschlands</t>
  </si>
  <si>
    <t>Jens Leonhard</t>
  </si>
  <si>
    <t>Linguistik und Medizin</t>
  </si>
  <si>
    <t>Marina Iakushevich-Yvonne Ilg-Theresa Schnedermann</t>
  </si>
  <si>
    <t>Portraying Cicero in Literature, Culture, and Politics</t>
  </si>
  <si>
    <t>Francesca Romana Berno-Giuseppe La Bua</t>
  </si>
  <si>
    <t>Moses Dobruska and the Invention of Social Philosophy</t>
  </si>
  <si>
    <t>Silvana Greco</t>
  </si>
  <si>
    <t>Worlds of Labour in Latin America</t>
  </si>
  <si>
    <t>Paola Revilla OrÃ­as-Paulo Cruz Terra-Christian G. De Vito</t>
  </si>
  <si>
    <t>KÃ¤ltebilder</t>
  </si>
  <si>
    <t>Matthias Bruhn</t>
  </si>
  <si>
    <t>Zionism and Cosmopolitanism</t>
  </si>
  <si>
    <t>Dekel Peretz</t>
  </si>
  <si>
    <t>â€šBiterolf und Dietleibâ€˜</t>
  </si>
  <si>
    <t>Hartmann von Aue: â€šErecâ€˜. â€šDer Mantelâ€˜</t>
  </si>
  <si>
    <t>Hartmann von Aue: â€šIweinâ€˜</t>
  </si>
  <si>
    <t>HÃ¶fische Texte</t>
  </si>
  <si>
    <t>Perfekt unperfekt</t>
  </si>
  <si>
    <t>Annina Schneller</t>
  </si>
  <si>
    <t>Workplace Spirituality</t>
  </si>
  <si>
    <t>Yochanan Altman-Judi Neal-Wolfgang Mayrhofer</t>
  </si>
  <si>
    <t>Les portraits de Marie-ThÃ©rÃ¨se</t>
  </si>
  <si>
    <t>Anne-Sophie Banakas</t>
  </si>
  <si>
    <t>Play Among Books</t>
  </si>
  <si>
    <t>Miro Roman-Alice _ch3n81-Ludger Hovestadt-Vera BÃ¼hlmann</t>
  </si>
  <si>
    <t>Early Modern Privacy</t>
  </si>
  <si>
    <t>MichaÃ«l Green-Lars Cyril NÃ¸rgaard-Mette Birkedal Bruun</t>
  </si>
  <si>
    <t>Vom Individuum her denken</t>
  </si>
  <si>
    <t>Michael Scharpf-Andreas Frey</t>
  </si>
  <si>
    <t>Tegengas, voor duurzaam</t>
  </si>
  <si>
    <t>Michiel KÃ¶hne-Elisabet Dueholm Rasch</t>
  </si>
  <si>
    <t>Wat is eetbaar?</t>
  </si>
  <si>
    <t>Adel P. den Hartog</t>
  </si>
  <si>
    <t>The Use of Consumer Neuroscience in Aroma Marketing</t>
  </si>
  <si>
    <t>J. BerÄÃ­k-J. GÃ¡lovÃ¡-A. Pavelka</t>
  </si>
  <si>
    <t>Person und Form</t>
  </si>
  <si>
    <t>David Keller</t>
  </si>
  <si>
    <t>Constructing Identities Over Time</t>
  </si>
  <si>
    <t>Jekatyerina Dunajeva</t>
  </si>
  <si>
    <t>Inszenieren und Mobilisieren: Rechte und islamistische Akteure digital und analog</t>
  </si>
  <si>
    <t>Ursula Birsl-Julian Junk-Martin Kahl-Robert Pelzer</t>
  </si>
  <si>
    <t>Unbehaglich Queer</t>
  </si>
  <si>
    <t>Nicht-ikonische Bilder</t>
  </si>
  <si>
    <t>Alessa K. Paluch</t>
  </si>
  <si>
    <t>Empfindliche KÃ¶rper</t>
  </si>
  <si>
    <t>Stefan DreÃŸke</t>
  </si>
  <si>
    <t>Der Geist der Potentiale</t>
  </si>
  <si>
    <t>Florian HeÃŸdÃ¶rfer</t>
  </si>
  <si>
    <t>Sehbehinderung und Arbeit</t>
  </si>
  <si>
    <t>Andrea Fischer-Tahir</t>
  </si>
  <si>
    <t>Migrationsliteratur aus der Schweiz</t>
  </si>
  <si>
    <t>StÃ©phane Maffli</t>
  </si>
  <si>
    <t>Stardesigner oder Gestalter des AlltÃ¤glichen?</t>
  </si>
  <si>
    <t>Markus KÃ¶ck</t>
  </si>
  <si>
    <t>WiderstÃ¤ndiges Wissen</t>
  </si>
  <si>
    <t>Lisa Doppler</t>
  </si>
  <si>
    <t>Distanz in der Literatur von Ãœberlebenden der Shoah</t>
  </si>
  <si>
    <t>Bianca Patricia Pick</t>
  </si>
  <si>
    <t>Mathematiker als Rektoren der Technischen Hochschule Dresden</t>
  </si>
  <si>
    <t>Waltraud Voss</t>
  </si>
  <si>
    <t>Einverleiben und Externalisieren</t>
  </si>
  <si>
    <t>Anna Saave</t>
  </si>
  <si>
    <t>Denkmalpflege zwischen System und Gesellschaft</t>
  </si>
  <si>
    <t>Franziska Klemstein</t>
  </si>
  <si>
    <t>Grundsicherung weiterdenken</t>
  </si>
  <si>
    <t>Florian Blank-Claus SchÃ¤fer-Dorothee Spannagel</t>
  </si>
  <si>
    <t>Paradigmen des Idyllischen</t>
  </si>
  <si>
    <t>Nils Jablonski-Solvejg Nitzke</t>
  </si>
  <si>
    <t>Rezensiv â€“ Online-Rezensionen und Kulturelle Bildung</t>
  </si>
  <si>
    <t>Guido Graf-Ralf Knackstedt-Kristina Petzold</t>
  </si>
  <si>
    <t>Epistemische Bilder</t>
  </si>
  <si>
    <t>Sebastian Scholz</t>
  </si>
  <si>
    <t>RÃ¼ckzug als Widerstand</t>
  </si>
  <si>
    <t>Philip Wallmeier</t>
  </si>
  <si>
    <t>Reichweitenangst</t>
  </si>
  <si>
    <t>Jan MÃ¼ggenburg</t>
  </si>
  <si>
    <t>Body Image in Eating Disorders</t>
  </si>
  <si>
    <t>Bernadetta Izydorczyk</t>
  </si>
  <si>
    <t>Alliances, Nuclear Weapons and Escalation</t>
  </si>
  <si>
    <t>Stephan FrÃ¼hling-Andrew O'Neil</t>
  </si>
  <si>
    <t>Wamparâ€“English Dictionary with an Englishâ€“Wampar finder list</t>
  </si>
  <si>
    <t>Bettina Beer-Hans Fischer</t>
  </si>
  <si>
    <t>Divided Loyalties</t>
  </si>
  <si>
    <t>Andrey Damaledo</t>
  </si>
  <si>
    <t>A New Rival State?</t>
  </si>
  <si>
    <t>Alexander Massov-Marina Pollard-Kevin Windle</t>
  </si>
  <si>
    <t>Japan at War and Peace</t>
  </si>
  <si>
    <t>Handbook of Ancient Afro-Eurasian Economies</t>
  </si>
  <si>
    <t>Sitta von Reden</t>
  </si>
  <si>
    <t>CzesÅ‚aw MiÅ‚osz in Postwar America</t>
  </si>
  <si>
    <t>Ewa KoÅ‚odziejczyk</t>
  </si>
  <si>
    <t>Globale Herausforderungen gemeinsam meistern â€“ gestern, heute, morgen</t>
  </si>
  <si>
    <t>Tanja Bechtel</t>
  </si>
  <si>
    <t>Die indirekte Kommunikation in Frankreich</t>
  </si>
  <si>
    <t>Michael Bernsen</t>
  </si>
  <si>
    <t>Das Gelingen der kÃ¼nstlichen NatÃ¼rlichkeit</t>
  </si>
  <si>
    <t>Olivia Mitscherlich-SchÃ¶nherr</t>
  </si>
  <si>
    <t>Materiality in Roman Art and Architecture</t>
  </si>
  <si>
    <t>Annette Haug-Adrian Hielscher-M. Taylor Lauritsen</t>
  </si>
  <si>
    <t>Der Engel in der Moderne</t>
  </si>
  <si>
    <t>Lena Zschunke</t>
  </si>
  <si>
    <t>Karl Dietrich Erdmann</t>
  </si>
  <si>
    <t>Arvid von Bassi</t>
  </si>
  <si>
    <t>The Politics of Historical Memory and Commemoration in Africa</t>
  </si>
  <si>
    <t>Cassandra Mark-Thiesen-Moritz Mihatsch-Michelle Sikes</t>
  </si>
  <si>
    <t>Anti-Communist Solidarity</t>
  </si>
  <si>
    <t>Larissa Rosa CorrÃªa</t>
  </si>
  <si>
    <t>DiversitÃ¤t in Bibliotheken</t>
  </si>
  <si>
    <t>Julia Hauck-Sylvia Linneberg</t>
  </si>
  <si>
    <t>Kardinal Cesare Baronio und das Kurienzeremoniell des posttridentinischen Papsttums</t>
  </si>
  <si>
    <t>Nach der Kulturgeschichte</t>
  </si>
  <si>
    <t>Maximilian Benz-Gideon Stiening</t>
  </si>
  <si>
    <t>Worlds Apart</t>
  </si>
  <si>
    <t>Swanee Hunt</t>
  </si>
  <si>
    <t>Women's Experimental Cinema</t>
  </si>
  <si>
    <t>Robin Blaetz</t>
  </si>
  <si>
    <t>What's Left of the Left</t>
  </si>
  <si>
    <t>James E. Cronin-George W. Ross-James Shoch</t>
  </si>
  <si>
    <t>We Dream Together</t>
  </si>
  <si>
    <t>HISTORY / Caribbean &amp; West Indies / General</t>
  </si>
  <si>
    <t>Anne Eller</t>
  </si>
  <si>
    <t>Visualizing Fascism</t>
  </si>
  <si>
    <t>Julia Adeney Thomas-Geoff Eley</t>
  </si>
  <si>
    <t>Unthinking Mastery</t>
  </si>
  <si>
    <t>Julietta Singh</t>
  </si>
  <si>
    <t>Unearthing Gender</t>
  </si>
  <si>
    <t>Smita Tewari Jassal</t>
  </si>
  <si>
    <t>This Was Not Our War</t>
  </si>
  <si>
    <t>Thinking Literature Across Continents</t>
  </si>
  <si>
    <t>Ranjan Ghosh-J. Hillis Miller</t>
  </si>
  <si>
    <t>The Un-Americans</t>
  </si>
  <si>
    <t>Joseph Litvak</t>
  </si>
  <si>
    <t>The Sopranos</t>
  </si>
  <si>
    <t>Dana Polan</t>
  </si>
  <si>
    <t>The Provocative Joan Robinson</t>
  </si>
  <si>
    <t>Nahid Aslanbeigui-Guy Oakes</t>
  </si>
  <si>
    <t>The Play in the System</t>
  </si>
  <si>
    <t>Anna Watkins Fisher</t>
  </si>
  <si>
    <t>The Pariahs of Yesterday</t>
  </si>
  <si>
    <t>Leslie Page Moch</t>
  </si>
  <si>
    <t>The Licit Life of Capitalism</t>
  </si>
  <si>
    <t>Hannah Appel</t>
  </si>
  <si>
    <t>The Deliverance of Others</t>
  </si>
  <si>
    <t>David Palumbo-Liu</t>
  </si>
  <si>
    <t>The Apartment Plot</t>
  </si>
  <si>
    <t>Pamela Robertson Wojcik</t>
  </si>
  <si>
    <t>Technocrats of the Imagination</t>
  </si>
  <si>
    <t>John Beck-Ryan Bishop</t>
  </si>
  <si>
    <t>Tango Lessons</t>
  </si>
  <si>
    <t>Marilyn G. Miller</t>
  </si>
  <si>
    <t>State of Ambiguity</t>
  </si>
  <si>
    <t>HISTORY / Caribbean &amp; West Indies / Cuba</t>
  </si>
  <si>
    <t>Steven Palmer-JosÃ© Antonio Piqueras-Amparo SÃ¡nchez Cobos</t>
  </si>
  <si>
    <t>Sovereignty in Ruins</t>
  </si>
  <si>
    <t>George Edmondson-Klaus Mladek</t>
  </si>
  <si>
    <t>Soldiers' Stories</t>
  </si>
  <si>
    <t>Yvonne Tasker</t>
  </si>
  <si>
    <t>Skin for Skin</t>
  </si>
  <si>
    <t>Gerald M. Sider</t>
  </si>
  <si>
    <t>Sexual States</t>
  </si>
  <si>
    <t>Jyoti Puri</t>
  </si>
  <si>
    <t>Screening Race in American Nontheatrical Film</t>
  </si>
  <si>
    <t>Allyson Nadia Field-Marsha Gordon</t>
  </si>
  <si>
    <t>Sacred Men</t>
  </si>
  <si>
    <t>Keith L. Camacho</t>
  </si>
  <si>
    <t>Return</t>
  </si>
  <si>
    <t>Biao Xiang-Brenda S. A. Yeoh-Mika Toyota</t>
  </si>
  <si>
    <t>Religion and the Making of Nigeria</t>
  </si>
  <si>
    <t>Olufemi Vaughan</t>
  </si>
  <si>
    <t>Radiation Sounds</t>
  </si>
  <si>
    <t>Jessica A. Schwartz</t>
  </si>
  <si>
    <t>Portrait of a Young Painter</t>
  </si>
  <si>
    <t>Mary Kay Vaughan</t>
  </si>
  <si>
    <t>Odd Couples</t>
  </si>
  <si>
    <t>Anna Muraco</t>
  </si>
  <si>
    <t>Now Peru Is Mine</t>
  </si>
  <si>
    <t>Manuel Llamojha Mitma-Jaymie Patricia Heilman</t>
  </si>
  <si>
    <t>New Countries</t>
  </si>
  <si>
    <t>John Tutino</t>
  </si>
  <si>
    <t>Negro Soy Yo</t>
  </si>
  <si>
    <t>Marc D. Perry</t>
  </si>
  <si>
    <t>Native Americans and the Christian Right</t>
  </si>
  <si>
    <t>Andrea Smith</t>
  </si>
  <si>
    <t>My Voice Is My Weapon</t>
  </si>
  <si>
    <t>Musicians in Transit</t>
  </si>
  <si>
    <t>Matthew B. Karush</t>
  </si>
  <si>
    <t>Moral Economies of Corruption</t>
  </si>
  <si>
    <t>Steven Pierce</t>
  </si>
  <si>
    <t>Monumental Matters</t>
  </si>
  <si>
    <t>Santhi Kavuri-Bauer</t>
  </si>
  <si>
    <t>Migrants and Migration in Modern North America</t>
  </si>
  <si>
    <t>Dirk Hoerder-Nora Faires</t>
  </si>
  <si>
    <t>Migrants and City-Making</t>
  </si>
  <si>
    <t>Ayse Ã‡aglar-Nina Glick Schiller</t>
  </si>
  <si>
    <t>Metroimperial Intimacies</t>
  </si>
  <si>
    <t>Victor RomÃ¡n Mendoza</t>
  </si>
  <si>
    <t>Media, Erotics, and Transnational Asia</t>
  </si>
  <si>
    <t>Purnima Mankekar-Louisa Schein</t>
  </si>
  <si>
    <t>Man or Monster?</t>
  </si>
  <si>
    <t>Alexander Laban Hinton</t>
  </si>
  <si>
    <t>Making the Most of Mess</t>
  </si>
  <si>
    <t>Emery Roe</t>
  </si>
  <si>
    <t>Making Refuge</t>
  </si>
  <si>
    <t>Catherine Besteman</t>
  </si>
  <si>
    <t>Lenin Reloaded</t>
  </si>
  <si>
    <t>Sebastian Budgen-Stathis Kouvelakis-Slavoj Zizek</t>
  </si>
  <si>
    <t>Jacques RanciÃ¨re</t>
  </si>
  <si>
    <t>Gabriel Rockhill-Philip Watts</t>
  </si>
  <si>
    <t>Interplay of Things</t>
  </si>
  <si>
    <t>Anthony B. Pinn</t>
  </si>
  <si>
    <t>In Search of the Amazon</t>
  </si>
  <si>
    <t>Seth Garfield</t>
  </si>
  <si>
    <t>Hydraulic City</t>
  </si>
  <si>
    <t>Nikhil Anand</t>
  </si>
  <si>
    <t>How Development Projects Persist</t>
  </si>
  <si>
    <t>Erin Beck</t>
  </si>
  <si>
    <t>Governing Gaza</t>
  </si>
  <si>
    <t>Ilana Feldman</t>
  </si>
  <si>
    <t>Gesture and Power</t>
  </si>
  <si>
    <t>Yolanda Covington-Ward</t>
  </si>
  <si>
    <t>Garbage Citizenship</t>
  </si>
  <si>
    <t>Rosalind Fredericks</t>
  </si>
  <si>
    <t>Everything Man</t>
  </si>
  <si>
    <t>Shana L. Redmond</t>
  </si>
  <si>
    <t>Ever Faithful</t>
  </si>
  <si>
    <t>David Sartorius</t>
  </si>
  <si>
    <t>Europe (in Theory)</t>
  </si>
  <si>
    <t>Roberto M. Dainotto</t>
  </si>
  <si>
    <t>Ethnopornography</t>
  </si>
  <si>
    <t>Pete Sigal-Zeb Tortorici-Neil L. Whitehead</t>
  </si>
  <si>
    <t>Ethnography As Commentary</t>
  </si>
  <si>
    <t>Johannes Fabian</t>
  </si>
  <si>
    <t>Energy Without Conscience</t>
  </si>
  <si>
    <t>David McDermott Hughes</t>
  </si>
  <si>
    <t>Empire's Garden</t>
  </si>
  <si>
    <t>Jayeeta Sharma</t>
  </si>
  <si>
    <t>Dying in Full Detail</t>
  </si>
  <si>
    <t>Jennifer Malkowski</t>
  </si>
  <si>
    <t>Downwardly Global</t>
  </si>
  <si>
    <t>Lalaie Ameeriar</t>
  </si>
  <si>
    <t>Disordering the Establishment</t>
  </si>
  <si>
    <t>Lily Woodruff</t>
  </si>
  <si>
    <t>Disciplinary Conquest</t>
  </si>
  <si>
    <t>Ricardo D. Salvatore</t>
  </si>
  <si>
    <t>Digital Sound Studies</t>
  </si>
  <si>
    <t>Mary Caton Lingold-Darren Mueller-Whitney Trettien</t>
  </si>
  <si>
    <t>Diaspora and Trust</t>
  </si>
  <si>
    <t>Adrian H. Hearn</t>
  </si>
  <si>
    <t>Dalit Studies</t>
  </si>
  <si>
    <t>Ramnarayan S. Rawat-K. Satyanarayana</t>
  </si>
  <si>
    <t>Culture of Class</t>
  </si>
  <si>
    <t>Creativity and Its Discontents</t>
  </si>
  <si>
    <t>Laikwan Pang</t>
  </si>
  <si>
    <t>Crash</t>
  </si>
  <si>
    <t>Cosmopolitan Archaeologies</t>
  </si>
  <si>
    <t>Lynn Meskell</t>
  </si>
  <si>
    <t>Cooking Data</t>
  </si>
  <si>
    <t>Cal (Crystal) Biruk</t>
  </si>
  <si>
    <t>Contemporary Carioca</t>
  </si>
  <si>
    <t>MUSIC / Genres &amp; Styles / Hispanic &amp; Latino</t>
  </si>
  <si>
    <t>Frederick Moehn</t>
  </si>
  <si>
    <t>Conflicted Antiquities</t>
  </si>
  <si>
    <t>Elliott Colla</t>
  </si>
  <si>
    <t>Cold War Anthropology</t>
  </si>
  <si>
    <t>David H. Price</t>
  </si>
  <si>
    <t>Citizenship in Question</t>
  </si>
  <si>
    <t>Benjamin N. Lawrance-Jacqueline Stevens</t>
  </si>
  <si>
    <t>Cinema at the End of Empire</t>
  </si>
  <si>
    <t>Priya Jaikumar</t>
  </si>
  <si>
    <t>Chinese Surplus</t>
  </si>
  <si>
    <t>Ari Larissa Heinrich</t>
  </si>
  <si>
    <t>Chinese Circulations</t>
  </si>
  <si>
    <t>Eric Tagliacozzo-Wen-chin Chang</t>
  </si>
  <si>
    <t>Borderland Lives in Northern South Asia</t>
  </si>
  <si>
    <t>David N. Gellner</t>
  </si>
  <si>
    <t>Bodies As Evidence</t>
  </si>
  <si>
    <t>Mark Maguire-Ursula Rao-Nils Zurawski</t>
  </si>
  <si>
    <t>Biological Relatives</t>
  </si>
  <si>
    <t>Sarah Franklin</t>
  </si>
  <si>
    <t>At the Limits of Cure</t>
  </si>
  <si>
    <t>Bharat Jayram Venkat</t>
  </si>
  <si>
    <t>Art From a Fractured Past</t>
  </si>
  <si>
    <t>Cynthia E. Milton</t>
  </si>
  <si>
    <t>An Intimate Rebuke</t>
  </si>
  <si>
    <t>Laura S. Grillo</t>
  </si>
  <si>
    <t>An Historical Account of the Black Empire of Hayti</t>
  </si>
  <si>
    <t>Marcus Rainsford-Paul Youngquist-GrÃ©gory Pierrot</t>
  </si>
  <si>
    <t>An Aqueous Territory</t>
  </si>
  <si>
    <t>Ernesto Bassi Arevalo</t>
  </si>
  <si>
    <t>Kennan Ferguson</t>
  </si>
  <si>
    <t>Affective Trajectories</t>
  </si>
  <si>
    <t>HansjÃ¶rg Dilger-Astrid Bochow-Marian Burchardt-Matthew Wilhelm-Solomon</t>
  </si>
  <si>
    <t>A Nation on the Line</t>
  </si>
  <si>
    <t>Jan M. Padios</t>
  </si>
  <si>
    <t>A Certain Age</t>
  </si>
  <si>
    <t>Rudolf MrÃ¡zek</t>
  </si>
  <si>
    <t>Women Build the Welfare State</t>
  </si>
  <si>
    <t>Donna J. Guy</t>
  </si>
  <si>
    <t>Virulent Zones</t>
  </si>
  <si>
    <t>Lyle Fearnley</t>
  </si>
  <si>
    <t>To Make Negro Literature</t>
  </si>
  <si>
    <t>Elizabeth McHenry</t>
  </si>
  <si>
    <t>Thinking Like a Climate</t>
  </si>
  <si>
    <t>Hannah Knox</t>
  </si>
  <si>
    <t>Theft Is Property!</t>
  </si>
  <si>
    <t>Robert Nichols</t>
  </si>
  <si>
    <t>The Speed Handbook</t>
  </si>
  <si>
    <t>Enda Duffy</t>
  </si>
  <si>
    <t>The Race of Sound</t>
  </si>
  <si>
    <t>Nina Sun Eidsheim</t>
  </si>
  <si>
    <t>The News at the Ends of the Earth</t>
  </si>
  <si>
    <t>Hester Blum</t>
  </si>
  <si>
    <t>The Indian Craze</t>
  </si>
  <si>
    <t>ART / Indigenous</t>
  </si>
  <si>
    <t>Elizabeth Hutchinson</t>
  </si>
  <si>
    <t>The Fixer</t>
  </si>
  <si>
    <t>Charles Piot</t>
  </si>
  <si>
    <t>The Dictator's Seduction</t>
  </si>
  <si>
    <t>Lauren H. Derby</t>
  </si>
  <si>
    <t>The Birth of Energy</t>
  </si>
  <si>
    <t>Cara New Daggett</t>
  </si>
  <si>
    <t>Technicolored</t>
  </si>
  <si>
    <t>Ann duCille</t>
  </si>
  <si>
    <t>Revolution and Disenchantment</t>
  </si>
  <si>
    <t>Fadi A. Bardawil</t>
  </si>
  <si>
    <t>Respawn</t>
  </si>
  <si>
    <t>Colin Milburn</t>
  </si>
  <si>
    <t>Real Folks</t>
  </si>
  <si>
    <t>Sonnet Retman</t>
  </si>
  <si>
    <t>RanciÃ¨re's Sentiments</t>
  </si>
  <si>
    <t>Davide Panagia</t>
  </si>
  <si>
    <t>Paris in the Dark</t>
  </si>
  <si>
    <t>Eric Smoodin</t>
  </si>
  <si>
    <t>Media Primitivism</t>
  </si>
  <si>
    <t>ART / African</t>
  </si>
  <si>
    <t>Delinda Collier</t>
  </si>
  <si>
    <t>Making Light</t>
  </si>
  <si>
    <t>Raymond Knapp</t>
  </si>
  <si>
    <t>Latter-day Screens</t>
  </si>
  <si>
    <t>Brenda R. Weber</t>
  </si>
  <si>
    <t>Land of Necessity</t>
  </si>
  <si>
    <t>Alexis McCrossen</t>
  </si>
  <si>
    <t>Ethnography #9</t>
  </si>
  <si>
    <t>Alan Klima</t>
  </si>
  <si>
    <t>Energopolitics</t>
  </si>
  <si>
    <t>Dominic Boyer</t>
  </si>
  <si>
    <t>Emancipation's Daughters</t>
  </si>
  <si>
    <t>RichÃ© Richardson</t>
  </si>
  <si>
    <t>Ecologics</t>
  </si>
  <si>
    <t>Cymene Howe</t>
  </si>
  <si>
    <t>Colonial Debts</t>
  </si>
  <si>
    <t>RocÃ­o Zambrana</t>
  </si>
  <si>
    <t>Claiming Union Widowhood</t>
  </si>
  <si>
    <t>Brandi Clay Brimmer</t>
  </si>
  <si>
    <t>Chosen Peoples</t>
  </si>
  <si>
    <t>Christopher Tounsel</t>
  </si>
  <si>
    <t>Beside You in Time</t>
  </si>
  <si>
    <t>Elizabeth Freeman</t>
  </si>
  <si>
    <t>Anti-Japan</t>
  </si>
  <si>
    <t>Leo T. S. Ching</t>
  </si>
  <si>
    <t>Anthropology and the Racial Politics of Culture</t>
  </si>
  <si>
    <t>Lee D. Baker</t>
  </si>
  <si>
    <t>Allegories of the Anthropocene</t>
  </si>
  <si>
    <t>Elizabeth M. DeLoughrey</t>
  </si>
  <si>
    <t>After Ethnos</t>
  </si>
  <si>
    <t>Tobias Rees</t>
  </si>
  <si>
    <t>Affective Justice</t>
  </si>
  <si>
    <t>Kamari Maxine Clarke</t>
  </si>
  <si>
    <t>A Language of Song</t>
  </si>
  <si>
    <t>Samuel Charters</t>
  </si>
  <si>
    <t>A Future History of Water</t>
  </si>
  <si>
    <t>Andrea Ballestero</t>
  </si>
  <si>
    <t>A Fragile Inheritance</t>
  </si>
  <si>
    <t>Saloni Mathur</t>
  </si>
  <si>
    <t>A Century of Violence in a Red City</t>
  </si>
  <si>
    <t>Lesley Gill</t>
  </si>
  <si>
    <t>Solidarisierungsprozesse in der Sozialen Arbeit</t>
  </si>
  <si>
    <t>Wiebke Dierkes</t>
  </si>
  <si>
    <t>Le climat au prisme des sciences humaines et sociales</t>
  </si>
  <si>
    <t>NATURE / Weather</t>
  </si>
  <si>
    <t>Risky Futures</t>
  </si>
  <si>
    <t>Olga Ulturgasheva-Barbara Bodenhorn</t>
  </si>
  <si>
    <t>Making Things Happen</t>
  </si>
  <si>
    <t>Jane Murphy Thomas</t>
  </si>
  <si>
    <t>Kartellrechtliche Anforderungen an private Rechtssysteme im Sport.</t>
  </si>
  <si>
    <t>Konstantin Richard Putzier</t>
  </si>
  <si>
    <t>Lebenshaltung des Mittelstandes.</t>
  </si>
  <si>
    <t>Adolf GÃ¼nther-Franz Eulenburg</t>
  </si>
  <si>
    <t>Die Wohlfahrtseinrichtungen der Arbeitgeber in Deutschland und Frankreich.</t>
  </si>
  <si>
    <t>Adolf GÃ¼nther-RenÃ© PrÃ©vÃ´t</t>
  </si>
  <si>
    <t>Ontological Terror</t>
  </si>
  <si>
    <t>Calvin L. Warren</t>
  </si>
  <si>
    <t>Point of Reckoning</t>
  </si>
  <si>
    <t>Theodore D. Segal</t>
  </si>
  <si>
    <t>Making Copyright Work for the Asian Pacific</t>
  </si>
  <si>
    <t>Susan Corbett-Jessica C. Lai</t>
  </si>
  <si>
    <t>The Bounty From the Beach</t>
  </si>
  <si>
    <t>Sylvie Largeaud-Ortega</t>
  </si>
  <si>
    <t>The Archaeology of Sulawesi</t>
  </si>
  <si>
    <t>Sue O'Connor-David Bulbeck-Juliet Meyer</t>
  </si>
  <si>
    <t>The Lives of Stories</t>
  </si>
  <si>
    <t>Emma Dortins</t>
  </si>
  <si>
    <t>Indigenous Efflorescence</t>
  </si>
  <si>
    <t>Mr Gerald Roche-Mr Hiroshi Maruyama-Mr Ã…sa Virdi Kroik</t>
  </si>
  <si>
    <t>Rethinking Islam in Europe</t>
  </si>
  <si>
    <t>Zekirija Sejdini</t>
  </si>
  <si>
    <t>Geschichte der Heimat</t>
  </si>
  <si>
    <t>Anja Oesterhelt</t>
  </si>
  <si>
    <t>Nicht nur Bauhaus â€“ Netzwerke der Moderne in Mitteleuropa / Not Just Bauhaus â€“ Networks of Modernity in Central Europe</t>
  </si>
  <si>
    <t>Beate StÃ¶rtkuhl-RafaÅ‚ MakaÅ‚a</t>
  </si>
  <si>
    <t>Covenant: A Vital Element of Reformed Theology</t>
  </si>
  <si>
    <t>Hans Burger-Gert Kwakkel-Michael Mulder</t>
  </si>
  <si>
    <t>The Unfinished Revolution</t>
  </si>
  <si>
    <t>Karen Salt</t>
  </si>
  <si>
    <t>Remaking the Voyage</t>
  </si>
  <si>
    <t>Helen Tookey-Bryan Biggs</t>
  </si>
  <si>
    <t>The Prose Poem As a (Non)Genre</t>
  </si>
  <si>
    <t>Agnieszka Kluba</t>
  </si>
  <si>
    <t>Mucho mÃ¡s que cine: historia, literatura y arte en el cine en espaÃ±ol y en portuguÃ©s.</t>
  </si>
  <si>
    <t>Marcos Ramos, MarÃ­a</t>
  </si>
  <si>
    <t>La comunicaciÃ³n del cambio climÃ¡tico, una herramienta ante el gran desafÃ­o.</t>
  </si>
  <si>
    <t>SOCIAL SCIENCE / Reference</t>
  </si>
  <si>
    <t>Mancinas ChÃ¡vez, Rosalba-FernÃ¡ndez Reyes, Rogelio-Rodrigo Cano, Daniel</t>
  </si>
  <si>
    <t>Cultura participativa, fandom y narrativas emergentes en redes sociales.</t>
  </si>
  <si>
    <t>VizcaÃ­no-VerdÃº, Arantxa-Ibarra-Rius, Noelia-Bonilla del RÃ­o, MÃ³nica</t>
  </si>
  <si>
    <t>InclusiÃ³n y activismo digital: participaciÃ³n ciudadana y empoderamiento desde la diversidad.</t>
  </si>
  <si>
    <t>Jaramillo Dent, Daniela-SÃ¡nchez LÃ³pez, IvÃ¡n-Tornay MÃ¡rquez, M. Cruz</t>
  </si>
  <si>
    <t>Prosumidores emergentes: redes sociales, alfabetizaciÃ³n y creaciÃ³n de contenidos.</t>
  </si>
  <si>
    <t>Castillo Abdul, BÃ¡rbara-GarcÃ­a Prieto, Victoria</t>
  </si>
  <si>
    <t>Cultura, economÃ­a y educaciÃ³n: nuevos desafÃ­os en la sociedad digital.</t>
  </si>
  <si>
    <t>FernÃ¡ndez MartÃ­nez, Luis Manuel-Sussi de Oliveira, Julieti</t>
  </si>
  <si>
    <t>ComunicaciÃ³n polÃ­tica en el mundo digital: tendencias actuales en propaganda, ideologÃ­a y sociedad.</t>
  </si>
  <si>
    <t>Pineda, Antonio-SÃ¡nchez GutiÃ©rrez, Bianca</t>
  </si>
  <si>
    <t>De la filosofÃ­a digital a la sociedad del videojuego. literatura, pensamiento y gamificaciÃ³n en la era de las redes sociales.</t>
  </si>
  <si>
    <t>Paredes Otero, Guillermo-SÃ¡nchez-Gey Valenzuela, Nuria</t>
  </si>
  <si>
    <t>Needs and Barriers of Prosumerism in the Energy Transition Era.</t>
  </si>
  <si>
    <t>Ruggeri, Lucia</t>
  </si>
  <si>
    <t>Estudios de lingÃ¼Ã­stica: literatura, educaciÃ³n y cultura. Vol. II.</t>
  </si>
  <si>
    <t>Grupo de InvestigaciÃ³n ELLEC. SecciÃ³n de lenguas hispÃ¡nicas y literatura-Anzalone, Angelo</t>
  </si>
  <si>
    <t>Ecosistema de una pandemia. Covid 19, la transformaciÃ³n mundial.</t>
  </si>
  <si>
    <t>Vinader Segura, Raquel-Puebla MartÃ­nez, BelÃ©n</t>
  </si>
  <si>
    <t>Estudios de gÃ©nero en tiempos de amenaza.</t>
  </si>
  <si>
    <t>BandrÃ©s GoldÃ¡raz, Elena</t>
  </si>
  <si>
    <t>EconomÃ­a, Empresa y Justicia. Nuevos retos para el futuro.</t>
  </si>
  <si>
    <t>PÃ©rez Calle, Ricardo-Gallego Abaroa, Elena-Trincado Aznar, Estrella</t>
  </si>
  <si>
    <t>Nuevos retos y perspectivas de la investigaciÃ³n en literatura, lingÃ¼Ã­stica y traducciÃ³n.</t>
  </si>
  <si>
    <t>Flores Borjabad, Salud Adelaida-PÃ©rez Cabana, Rosario</t>
  </si>
  <si>
    <t>El devenir de las civilizaciones: interacciones entre el entorno humano, natural y cultural.</t>
  </si>
  <si>
    <t>Historia, arte y patrimonio cultural. Estudios, propuestas, experiencias educativas y debates desde la perspectiva interdisciplinar de las humanidades en la era digital</t>
  </si>
  <si>
    <t>Marfil Carmona, Rafael</t>
  </si>
  <si>
    <t>Luces en el camino: filosofÃ­a y ciencias sociales en tiempos de desconcierto.</t>
  </si>
  <si>
    <t>Nuevas formas de aprendizaje en la era digital: en busca de una educaciÃ³n inclusiva.</t>
  </si>
  <si>
    <t>Recio Moreno, David-Vega Caro, Luisa-Vico Bosch, Alba</t>
  </si>
  <si>
    <t>Docencia, ciencia y humanidades: hacia un enseÃ±anza integral en la Universidad del siglo XXI .</t>
  </si>
  <si>
    <t>Santisteban Espejo, Antonio-PallarÃ¨s Piquer, Marc-Gil Quintana, Javier</t>
  </si>
  <si>
    <t>Innovaciones metodolÃ³gicas con TIC en educaciÃ³n.</t>
  </si>
  <si>
    <t>VerdÃº VÃ¡zquez, Amparo-BuzÃ³n GarcÃ­a, Olga-Romero GarcÃ­a, Carmen</t>
  </si>
  <si>
    <t>Ampliando el contenido del derecho internacional: el rescate de la esencia del derecho de gentes.</t>
  </si>
  <si>
    <t>MartÃ­n LÃ³pez, Miguel Ãngel</t>
  </si>
  <si>
    <t>Historias de vida de la pandemia.</t>
  </si>
  <si>
    <t>DOTS-educa 10 meses, 10 retos.</t>
  </si>
  <si>
    <t>Ramos Pla, Anabel-Selva Pareja, Laia</t>
  </si>
  <si>
    <t>La juventud en Ã©poca de confinamiento. La verdadera sindemia en este sector poblacional</t>
  </si>
  <si>
    <t>Arco Bravo, Isabel del-Guitard Sein-Echaluce, M. Luisa</t>
  </si>
  <si>
    <t>Libro verde sobre la investigaciÃ³n criminal .</t>
  </si>
  <si>
    <t>Villegas FernÃ¡ndez, JesÃºs Manuel</t>
  </si>
  <si>
    <t>Directrices para profesionales sobre los efectos patrimoniales familiares y sucesorios transfronterizos . Una colecciÃ³n de formularios acompaÃ±ados de comentarios y una guÃ­a para su redacciÃ³n</t>
  </si>
  <si>
    <t>Cazorla GonzÃ¡lez, MarÃ­a JosÃ©-Ruggeri, Lucia</t>
  </si>
  <si>
    <t>3economy+ Glossary. A corpus-based trilingual terminology dictionary on international economy, marketing and tourism</t>
  </si>
  <si>
    <t>Corral-Robles, Silvia-LÃ³pez-Vallejo, MarÃ­a Ã.-Freire Cameron, Helena-Cortina-PÃ©rez, Beatriz</t>
  </si>
  <si>
    <t>Seguridad alimentaria y derecho internacional.</t>
  </si>
  <si>
    <t>Fillol Mazo, Adriana</t>
  </si>
  <si>
    <t>Les migrations, la traite des personnes et les vulnÃ©rabilitÃ©s transfrontaliÃ¨res. Approches du point de vue des droits de l'homme</t>
  </si>
  <si>
    <t>Cruz ZÃºÃ±iga, Pilar-Cordero Ramos, Nuria</t>
  </si>
  <si>
    <t>Autodidactas cum laude.</t>
  </si>
  <si>
    <t>IbÃ¡Ã±ez GarcÃ­a, Isaac</t>
  </si>
  <si>
    <t>El uso on-line de la mediaciÃ³n, servicio de soluciÃ³n de conflictos. Un instrumento para las situaciones de crisis</t>
  </si>
  <si>
    <t>PÃ©rez-Ugena Coromina, MarÃ­a</t>
  </si>
  <si>
    <t>Influencia que tuvieron en el Derecho PÃºblico de su patria y singularmente en el Derecho Penal. Los filÃ³sofos y teÃ³logos espaÃ±oles anteriores a nuestro siglo</t>
  </si>
  <si>
    <t>Hinojosa, Eduardo de</t>
  </si>
  <si>
    <t>Lateinische Dichtungen zur deutschen Geschichte des Mittelalters</t>
  </si>
  <si>
    <t>Andreas Kaiser</t>
  </si>
  <si>
    <t>Reading History in the Roman Empire</t>
  </si>
  <si>
    <t>Mario Baumann-Vasileios Liotsakis</t>
  </si>
  <si>
    <t>Digital Finance in Europe: Law, Regulation, and Governance</t>
  </si>
  <si>
    <t>Emilios Avgouleas-Heikki Marjosola</t>
  </si>
  <si>
    <t>Contesting Nordicness</t>
  </si>
  <si>
    <t>Jani Marjanen-Johan Strang-Mary Hilson</t>
  </si>
  <si>
    <t>Pacific Exposures</t>
  </si>
  <si>
    <t>Melissa Miles-Mr Robin Gerster</t>
  </si>
  <si>
    <t>The Promise of Prosperity</t>
  </si>
  <si>
    <t>Ms Judith Bovensiepen</t>
  </si>
  <si>
    <t>Fighting Australia's Cold War</t>
  </si>
  <si>
    <t>Peter Dean-Tristan Moss</t>
  </si>
  <si>
    <t>Rote-Meto Comparative Dictionary</t>
  </si>
  <si>
    <t>LANGUAGE STUDY / Multi-Language Dictionaries</t>
  </si>
  <si>
    <t>Owen Edwards</t>
  </si>
  <si>
    <t>Gewalt und Dissoziation in der neueren deutsch- und russischsprachigen Lyrik</t>
  </si>
  <si>
    <t>Emilia Tkatschenko</t>
  </si>
  <si>
    <t>The European Radical Left</t>
  </si>
  <si>
    <t>Pluto Press (Lightning Source)</t>
  </si>
  <si>
    <t>Giorgos Charalambous</t>
  </si>
  <si>
    <t>Dutch Jews As Perceived by Themselves and by Others</t>
  </si>
  <si>
    <t>Chaya Brasz-Yosef Kaplan</t>
  </si>
  <si>
    <t>Authorizing Early Modern European Women</t>
  </si>
  <si>
    <t>ART / Women Artists</t>
  </si>
  <si>
    <t>James Fitzmaurice-Naomi Miller-Sara Jayne Steen</t>
  </si>
  <si>
    <t>Ein anderes Gericht in Oberschlesien</t>
  </si>
  <si>
    <t>Konrad Graczyk</t>
  </si>
  <si>
    <t>Analyse du discours et comparaison : enjeux thÃ©oriques et mÃ©thodologiques</t>
  </si>
  <si>
    <t>Sheila Vieira de Camargo Grillo-Sandrine Reboul-TourÃ©-Maria Glushkova</t>
  </si>
  <si>
    <t>Spaces of Multilingualism</t>
  </si>
  <si>
    <t>Robert Blackwood-Unn RÃ¸yneland</t>
  </si>
  <si>
    <t>World Compendium of Healthcare Facilities and Nonprofit Organizations</t>
  </si>
  <si>
    <t>Ebby Elahi</t>
  </si>
  <si>
    <t>Degrees of Dignity</t>
  </si>
  <si>
    <t>Elizabeth Buckner</t>
  </si>
  <si>
    <t>Vienna</t>
  </si>
  <si>
    <t>Yuri Kazepov-Roland Verwiebe</t>
  </si>
  <si>
    <t>The Intricacy of the Human Sexes</t>
  </si>
  <si>
    <t>Transcultural Haiku</t>
  </si>
  <si>
    <t>Beata Åšniecikowska</t>
  </si>
  <si>
    <t>Les accidents de fusion du coeur des rÃ©acteurs nuclÃ©aires de puissance</t>
  </si>
  <si>
    <t>Ahmed BentaÃ¯b-HervÃ© Bonneville-GÃ©rard CÃ©nÃ©rino-Bernard ClÃ©ment-et al.-Didier Jacquemain</t>
  </si>
  <si>
    <t>Sciences du dÃ©mantÃ¨lement des installations nuclÃ©aires</t>
  </si>
  <si>
    <t>AcadÃ©mie des sciences</t>
  </si>
  <si>
    <t>New Concepts in Imaging: Optical and Statistical Models</t>
  </si>
  <si>
    <t>David Mary-Claude Aime</t>
  </si>
  <si>
    <t>La recherche face aux dÃ©fis de l'Ã©nergie</t>
  </si>
  <si>
    <t>SÃ©bastien Candel-Bernard Tissot-AcadÃ©mie des sciences</t>
  </si>
  <si>
    <t>Seismic Imaging: a Practical Approach</t>
  </si>
  <si>
    <t>Jean-Luc Mari-Manuela Mendes</t>
  </si>
  <si>
    <t>Gamma-ray Bursts: 15 Years of GRB Afterglows</t>
  </si>
  <si>
    <t>Alberto Javier Castro-Tirado-Javier Gorosabel</t>
  </si>
  <si>
    <t>Fluides caloporteurs pour rÃ©acteurs Ã  neutrons rapides</t>
  </si>
  <si>
    <t>Yves BrÃ©chet-Robert Dautray-Jacques Friedel-FranÃ§ois CarrÃ©-et al.-AcadÃ©mie des sciences</t>
  </si>
  <si>
    <t>Oxygen in the Universe</t>
  </si>
  <si>
    <t>Grazyna Stasinska</t>
  </si>
  <si>
    <t>Ã‰vÃ©nements climatiques extrÃªmes</t>
  </si>
  <si>
    <t>Christian Amatore-Jean-FranÃ§ois Bach-FranÃ§ois Baccelli-Roger Balian</t>
  </si>
  <si>
    <t>Philippe Hartmann-EDF</t>
  </si>
  <si>
    <t>The CoRoT Legacy Book</t>
  </si>
  <si>
    <t>CoRot Team-Annie Baglin-CoRot Team - Coord. By Annie Baglin</t>
  </si>
  <si>
    <t>Un regard passionnÃ© sur les lipides et les matiÃ¨res grasses</t>
  </si>
  <si>
    <t>FranÃ§ois Mendy</t>
  </si>
  <si>
    <t>Ondes, matiÃ¨re et Univers</t>
  </si>
  <si>
    <t>AcadÃ©mie EuropÃ©enne Interdisciplinaire des Sciences</t>
  </si>
  <si>
    <t>Livre Blanc de la Recherche en MÃ©canique</t>
  </si>
  <si>
    <t>Mansour Afzali-Olivier Allix-Emmanuel Ardillon-Ã‰ric Arquis-Association FranÃ§aise de MÃ©canique</t>
  </si>
  <si>
    <t>Informational Lights From Service Science for the Progression of Society</t>
  </si>
  <si>
    <t>Michel LÃ©onard</t>
  </si>
  <si>
    <t>LumiÃ¨res informationnelles de la Science de Service Ã©clairant la progression de la SociÃ©tÃ©</t>
  </si>
  <si>
    <t>La recherche spatiale franÃ§aise</t>
  </si>
  <si>
    <t>Alain Aspect-Jean-FranÃ§ois Bach-Jean-Michel Bony-Christian BordÃ©</t>
  </si>
  <si>
    <t>La fusion nuclÃ©aire</t>
  </si>
  <si>
    <t>La mÃ©tallurgie</t>
  </si>
  <si>
    <t>Endocrinologie et communications cellulaires</t>
  </si>
  <si>
    <t>Simon Idelman-Jean Verdetti</t>
  </si>
  <si>
    <t>L'agriculture en famille : travailler, rÃ©inventer, transmettre</t>
  </si>
  <si>
    <t>Pierre Gasselin-Jean-Philippe Choisis-Sandrine Petit-FranÃ§ois Purseigle</t>
  </si>
  <si>
    <t>DÃ©mographie, climat et alimentation mondiale</t>
  </si>
  <si>
    <t>Nuclear Power Reactor Core Melt Accidents</t>
  </si>
  <si>
    <t>Ahmed BentaÃ¯b-HervÃ© Bonneville-GÃ©rard CÃ©nÃ©rino</t>
  </si>
  <si>
    <t>Element of Nuclear Safety</t>
  </si>
  <si>
    <t>Jean Couturier-YÃ©hia Hassan-Emmanuel Grolleau</t>
  </si>
  <si>
    <t>Les eaux continentales</t>
  </si>
  <si>
    <t>Well Seismic Surveying and Acoustic Logging</t>
  </si>
  <si>
    <t>Jean-Luc Mari-Christophe Vergniault</t>
  </si>
  <si>
    <t>Hormones, santÃ© publique et environnement</t>
  </si>
  <si>
    <t>Elements of Security and Non-proliferation</t>
  </si>
  <si>
    <t>Jean Jalouneix</t>
  </si>
  <si>
    <t>Les sciences spatiales</t>
  </si>
  <si>
    <t>Ã‰tat des recherches dans le domaine de la sÃ»retÃ© des rÃ©acteurs Ã  eau sous pression</t>
  </si>
  <si>
    <t>Jean Couturier-Michel Schwarz</t>
  </si>
  <si>
    <t>Du soleil Ã  la Terre</t>
  </si>
  <si>
    <t>Jean Lilensten-Pierre-Louis Blelly</t>
  </si>
  <si>
    <t>Sismique en forage et diagraphies acoustiques</t>
  </si>
  <si>
    <t>Ã‰lÃ©ments de sÃ©curitÃ© et non-prolifÃ©ration</t>
  </si>
  <si>
    <t>L'Ã©pidÃ©miologie humaine</t>
  </si>
  <si>
    <t>La maÃ®trise des maladies infectieuses</t>
  </si>
  <si>
    <t>Le climat</t>
  </si>
  <si>
    <t>Bernard Tardieu</t>
  </si>
  <si>
    <t>Sciences et pays en dÃ©veloppement</t>
  </si>
  <si>
    <t>Nuclear Physics for Cultural Heritage</t>
  </si>
  <si>
    <t>Anna MackovÃ Â¡-Douglas MacGregor-FaiÃ§al Azaiez-Johan Nyberg</t>
  </si>
  <si>
    <t>3D City Models and Urban Information: Current Issues and Perspectives</t>
  </si>
  <si>
    <t>Roland Billen-Anne-FranÃ§oise Cutting-Decelle-Ognen Marina-JosÃ©-Paulo de Almeida</t>
  </si>
  <si>
    <t>The ESPAS E-infrastructure:</t>
  </si>
  <si>
    <t>Anna Belehaki-Mike Hapgood-Juergen Watermann</t>
  </si>
  <si>
    <t>The Romano-British Villa and Anglo-Saxon Cemetery at Eccles, Kent</t>
  </si>
  <si>
    <t>Nick Stoodley-Stephen R. Cosh</t>
  </si>
  <si>
    <t>Literatur nach der Digitalisierung</t>
  </si>
  <si>
    <t>Elias Kreuzmair-Eckhard Schumacher</t>
  </si>
  <si>
    <t>Stocks for All: Peopleâ€™s Capitalism in the Twenty-First Century</t>
  </si>
  <si>
    <t>Petri MÃ¤ntysaari</t>
  </si>
  <si>
    <t>In Search of the Culprit</t>
  </si>
  <si>
    <t>Lukas RÃ¶sli-Stefanie Gropper</t>
  </si>
  <si>
    <t>How Is World Literature Made?</t>
  </si>
  <si>
    <t>Gesine MÃ¼ller</t>
  </si>
  <si>
    <t>Iconicity and Verb Agreement</t>
  </si>
  <si>
    <t>Marloes Oomen</t>
  </si>
  <si>
    <t>Aber die Zeit fÃ¼rchtet die Pyramiden</t>
  </si>
  <si>
    <t>Thomas L. Gertzen</t>
  </si>
  <si>
    <t>Partitive Determiners, Partitive Pronouns and Partitive Case</t>
  </si>
  <si>
    <t>Petra Sleeman-Giuliana Giusti</t>
  </si>
  <si>
    <t>Learned Physicians and Everyday Medical Practice in the Renaissance</t>
  </si>
  <si>
    <t>The Politics of Dementia</t>
  </si>
  <si>
    <t>Irmela Marei KrÃ¼ger-FÃ¼rhoff-Nina Schmidt-Sue Vice</t>
  </si>
  <si>
    <t>Die Germanistik und ihre Mittelalter</t>
  </si>
  <si>
    <t>Michael R. Ott</t>
  </si>
  <si>
    <t>Red Glow</t>
  </si>
  <si>
    <t>Davor KonjikuÅ¡iÄ‡-Rosa-Luxemburg-Stiftung</t>
  </si>
  <si>
    <t>Dictionnaire historique de lâ€™adjectif-adverbe</t>
  </si>
  <si>
    <t>Martin Hummel-Anna Gazdik</t>
  </si>
  <si>
    <t>The Politics of Service</t>
  </si>
  <si>
    <t>Daniel Maul</t>
  </si>
  <si>
    <t>Cultural Perspectives on Aging</t>
  </si>
  <si>
    <t>Andrea HÃ¼lsen-Esch</t>
  </si>
  <si>
    <t>Die â€žConfessio Augustanaâ€œ im Ã¶kumenischen GesprÃ¤ch</t>
  </si>
  <si>
    <t>GÃ¼nter Frank-Volker Leppin-Tobias Licht</t>
  </si>
  <si>
    <t>Feminist Solutions for Ending War</t>
  </si>
  <si>
    <t>Megan MacKenzie-Nicole Wegner</t>
  </si>
  <si>
    <t>Geschlecht, Bildung, Profession</t>
  </si>
  <si>
    <t>Susanne Burren-Sabina Larcher-Klee</t>
  </si>
  <si>
    <t>Jugend â€“ Lebenswelt â€“ Bildung</t>
  </si>
  <si>
    <t>Fred Berger-Flavia Guerrini-Birgit BÃ¼tow-Helmut Fennes-Karin Lauermann-Stephan Sting-Natalia WÃ¤chter</t>
  </si>
  <si>
    <t>AlltÃ¤gliche BewÃ¤ltigungspraxen obdachloser Menschen</t>
  </si>
  <si>
    <t>Nora Sellner</t>
  </si>
  <si>
    <t>Urban Matters</t>
  </si>
  <si>
    <t>Arne Ziegler-Stefanie Edler-Georg Oberdorfer</t>
  </si>
  <si>
    <t>Economy Studies</t>
  </si>
  <si>
    <t>Sam Muijnck-Joris Tieleman</t>
  </si>
  <si>
    <t>Transforming Markets</t>
  </si>
  <si>
    <t>Andrew Kilpatrick-Anthony Williams</t>
  </si>
  <si>
    <t>Digitale Editionen im Spannungsfeld des Medienwechsels</t>
  </si>
  <si>
    <t>Andreas Oberhoff</t>
  </si>
  <si>
    <t>Music and Democracy</t>
  </si>
  <si>
    <t>Marko KÃ¶lbl-Fritz TrÃ¼mpi</t>
  </si>
  <si>
    <t>Datumskunst</t>
  </si>
  <si>
    <t>Brigitte Obermayr</t>
  </si>
  <si>
    <t>Van Gogh TV's Â»Piazza VirtualeÂ«</t>
  </si>
  <si>
    <t>Tilman BaumgÃ¤rtel</t>
  </si>
  <si>
    <t>Global Age, Migration und Medien</t>
  </si>
  <si>
    <t>Transnationaler Bergbau und lokale Politik</t>
  </si>
  <si>
    <t>Alexandra Bechtum</t>
  </si>
  <si>
    <t>Shifts in Mapping</t>
  </si>
  <si>
    <t>Christine Schranz</t>
  </si>
  <si>
    <t>Hilfeleistungssysteme der Zukunft</t>
  </si>
  <si>
    <t>Matthias Max-Matthias Schulze</t>
  </si>
  <si>
    <t>Amnesty International and Women's Rights</t>
  </si>
  <si>
    <t>Miriam Ganzfried</t>
  </si>
  <si>
    <t>Biohacking, Bodies and Do-It-Yourself</t>
  </si>
  <si>
    <t>Mirjam Grewe-Salfeld</t>
  </si>
  <si>
    <t>Post-/koloniale Erinnerungsdiskurse in der Medienkultur</t>
  </si>
  <si>
    <t>Kaya de Wolff</t>
  </si>
  <si>
    <t>Museen des ImaginÃ¤ren</t>
  </si>
  <si>
    <t>Anna Quednau</t>
  </si>
  <si>
    <t>Between Violence, Vulnerability, Resilience and Resistance</t>
  </si>
  <si>
    <t>Rand El Zein</t>
  </si>
  <si>
    <t>Black Travel Writing</t>
  </si>
  <si>
    <t>Isabel Kalous</t>
  </si>
  <si>
    <t>Working Misunderstandings</t>
  </si>
  <si>
    <t>Frauke MÃ¶rike</t>
  </si>
  <si>
    <t>SexualitÃ¤t, KÃ¶rperlichkeit und IntimitÃ¤t</t>
  </si>
  <si>
    <t>Marion Thuswald-Elisabeth Sattler</t>
  </si>
  <si>
    <t>Indigene Autonomie in Lateinamerika</t>
  </si>
  <si>
    <t>Michael Fackler</t>
  </si>
  <si>
    <t>Digitale MaterialitÃ¤t</t>
  </si>
  <si>
    <t>Ronja Trischler</t>
  </si>
  <si>
    <t>Whistleblowing for Change</t>
  </si>
  <si>
    <t>Tatiana Bazzichelli</t>
  </si>
  <si>
    <t>Das Begehren der Vielfalt</t>
  </si>
  <si>
    <t>Marie FrÃ¼hauf</t>
  </si>
  <si>
    <t>Practicing Sovereignty</t>
  </si>
  <si>
    <t>Bianca Herlo-Daniel Irrgang-Gesche Joost-Andreas Unteidig</t>
  </si>
  <si>
    <t>Post-Growth Geographies</t>
  </si>
  <si>
    <t>Skandal!? Stadtgeschichten aus Marburg im 20. Jahrhundert</t>
  </si>
  <si>
    <t>Martin GÃ¶llnitz-Sabine Mecking</t>
  </si>
  <si>
    <t>Wer sucht, kann gefunden werden</t>
  </si>
  <si>
    <t>Robin Schrade</t>
  </si>
  <si>
    <t>Zwischen Biomacht und Lebensmacht</t>
  </si>
  <si>
    <t>Nasser Ahmed</t>
  </si>
  <si>
    <t>PÃ¤dophilie</t>
  </si>
  <si>
    <t>Katrin M. KÃ¤mpf</t>
  </si>
  <si>
    <t>Freie Zeit</t>
  </si>
  <si>
    <t>Gregor Ritschel</t>
  </si>
  <si>
    <t>Affektdramaturgien im FuÃŸballsport</t>
  </si>
  <si>
    <t>Michael Wetzels</t>
  </si>
  <si>
    <t>Das GedÃ¤chtnis der Migrationsgesellschaft</t>
  </si>
  <si>
    <t>Manuel Gogos</t>
  </si>
  <si>
    <t>Paratextualizing Games</t>
  </si>
  <si>
    <t>Benjamin Beil-Gundolf S. Freyermuth-Hanns Christian Schmidt</t>
  </si>
  <si>
    <t>Mensch â€“ Tier â€“ Maschine</t>
  </si>
  <si>
    <t>Miriam Lind</t>
  </si>
  <si>
    <t>Das Konzertpublikum der Zukunft</t>
  </si>
  <si>
    <t>Irena MÃ¼ller-Brozovic-Barbara Balba Weber</t>
  </si>
  <si>
    <t>Urteilen und Werten</t>
  </si>
  <si>
    <t>Anja Burghardt-Nora Scholz</t>
  </si>
  <si>
    <t>Antifeminismen</t>
  </si>
  <si>
    <t>Annette Henninger-Ursula Birsl</t>
  </si>
  <si>
    <t>Listen und Rankings</t>
  </si>
  <si>
    <t>Ralf Adelmann</t>
  </si>
  <si>
    <t>Global Debates, Local Dilemmas</t>
  </si>
  <si>
    <t>SOCIAL SCIENCE / Abortion &amp; Birth Control</t>
  </si>
  <si>
    <t>Mr Tran Minh Hang</t>
  </si>
  <si>
    <t>Drawing in the Land</t>
  </si>
  <si>
    <t>Julie Dibden</t>
  </si>
  <si>
    <t>The Court As Archive</t>
  </si>
  <si>
    <t>LAW / Court Records</t>
  </si>
  <si>
    <t>Ann Genovese-Trish Luker-Kim Rubenstein</t>
  </si>
  <si>
    <t>A Doctor Across Borders</t>
  </si>
  <si>
    <t>Alexander Cameron-Smith</t>
  </si>
  <si>
    <t>Dog Days</t>
  </si>
  <si>
    <t>Ivan Franceschini-Nicholas Loubere</t>
  </si>
  <si>
    <t>In Search of the Never-Never</t>
  </si>
  <si>
    <t>Ann McGrath</t>
  </si>
  <si>
    <t>True Biographies of Nations</t>
  </si>
  <si>
    <t>LITERARY CRITICISM / Reference</t>
  </si>
  <si>
    <t>Successful Public Policy</t>
  </si>
  <si>
    <t>Joannah Luetjens-Michael Mintrom-Paul 't Hart</t>
  </si>
  <si>
    <t>The Spice Islands in Prehistory</t>
  </si>
  <si>
    <t>Peter Bellwood</t>
  </si>
  <si>
    <t>The Genesis of a Policy</t>
  </si>
  <si>
    <t>Honae Cuffe</t>
  </si>
  <si>
    <t>The Chinese Economic Transformation</t>
  </si>
  <si>
    <t>Ligang Song-Yixiao Zhou-Luke Hurst</t>
  </si>
  <si>
    <t>Competing for Influence</t>
  </si>
  <si>
    <t>Barry Ferguson</t>
  </si>
  <si>
    <t>Critical Perspectives on the Scholarship of Assessment and Learning in Law</t>
  </si>
  <si>
    <t>Alison Bone-Paul Maharg</t>
  </si>
  <si>
    <t>A Memory of Ice</t>
  </si>
  <si>
    <t>Elizabeth Truswell</t>
  </si>
  <si>
    <t>New Dimensions of Connectivity in the Asia-Pacific</t>
  </si>
  <si>
    <t>Christopher Findlay-Somkiat Tangkitvanich</t>
  </si>
  <si>
    <t>Latin American Liberation Theology</t>
  </si>
  <si>
    <t>Verwendungsregelungen und Verwertungsverbote im Strafprozessrecht.</t>
  </si>
  <si>
    <t>Randi Weil</t>
  </si>
  <si>
    <t>Marriage Discourses</t>
  </si>
  <si>
    <t>Jowan A. Mohammed-Frank Jacob</t>
  </si>
  <si>
    <t>Inszenierte Geschichte | Staging History</t>
  </si>
  <si>
    <t>Anton Guhl-Gisela HÃ¼rlimann</t>
  </si>
  <si>
    <t>Einstein Vs. Bergson</t>
  </si>
  <si>
    <t>Alessandra Campo-Simone Gozzano</t>
  </si>
  <si>
    <t>Paul on the Human Vocation</t>
  </si>
  <si>
    <t>Simon DÃ¼rr</t>
  </si>
  <si>
    <t>The Medieval Archive of Antisemitism in Nineteenth-Century Sweden</t>
  </si>
  <si>
    <t>Physics and Literature</t>
  </si>
  <si>
    <t>Aura Heydenreich-Klaus Mecke</t>
  </si>
  <si>
    <t>The Post-Screen Through Virtual Reality, Holograms and Light Projections</t>
  </si>
  <si>
    <t>Jenna Ng</t>
  </si>
  <si>
    <t>Labour in a Single Shot</t>
  </si>
  <si>
    <t>Roy Grundmann-Peter Schwartz-Gregory Williams</t>
  </si>
  <si>
    <t>Medical Histories of Belgium</t>
  </si>
  <si>
    <t>Joris Vandendriessche-BenoÃ®t Majerus</t>
  </si>
  <si>
    <t>Yearbook on the African Union Volume 1 (2020)</t>
  </si>
  <si>
    <t>Leonard BlussÃ©-Cynthia ViallÃ©-Willem Remmelink-Isabel van Daalen</t>
  </si>
  <si>
    <t>Translating the Hebrew Bible in Medieval Iberia</t>
  </si>
  <si>
    <t>Esperanza Alfonso-Javier del Barco</t>
  </si>
  <si>
    <t>Contemporary Research on Business and Management</t>
  </si>
  <si>
    <t>Quaternary Vegetation Dynamics</t>
  </si>
  <si>
    <t>JÃ¼rgen Runge-William Gosling-Anne-Marie LÃ©zine-Louis Scott</t>
  </si>
  <si>
    <t>The Marvels Found in the Great Cities and in the Seas and on the Islands</t>
  </si>
  <si>
    <t>Non-communicable Disease Prevention</t>
  </si>
  <si>
    <t xml:space="preserve"> Wanrudee Isaranuwatchai-Rachel A. Archer-Yot Teerawattananon-Anthony J. Culyer</t>
  </si>
  <si>
    <t>Negotiating Climate Change in Crisis</t>
  </si>
  <si>
    <t xml:space="preserve"> Steffen BÃ¶hm-Sian Sullivan</t>
  </si>
  <si>
    <t>Forms of Life and Subjectivity</t>
  </si>
  <si>
    <t xml:space="preserve"> Daniel Rueda Garrido</t>
  </si>
  <si>
    <t>Documentary Making for Digital Humanists</t>
  </si>
  <si>
    <t xml:space="preserve"> Darren R. Reid-Brett Sanders</t>
  </si>
  <si>
    <t>Auld Lang Syne</t>
  </si>
  <si>
    <t xml:space="preserve"> Morag Josephine Grant</t>
  </si>
  <si>
    <t>Elaine, Dennison-Michael, Clynes</t>
  </si>
  <si>
    <t>Power, Protection and Magic in Thailand</t>
  </si>
  <si>
    <t>BIOGRAPHY &amp; AUTOBIOGRAPHY / Law Enforcement</t>
  </si>
  <si>
    <t>Craig J. Reynolds</t>
  </si>
  <si>
    <t>Women and Reproductive Technologies</t>
  </si>
  <si>
    <t>Annette Burfoot-Derya GÃ¼ngÃ¶r</t>
  </si>
  <si>
    <t>The Original Portrayal of Mozartâ€™s Don Giovanni</t>
  </si>
  <si>
    <t>Magnus Tessing Schneider</t>
  </si>
  <si>
    <t>Artificial Intelligence for Digitising Industry â€“ Applications</t>
  </si>
  <si>
    <t>Ovidiu Vermesan</t>
  </si>
  <si>
    <t>Who Saved the Parthenon?</t>
  </si>
  <si>
    <t xml:space="preserve"> William St Clair-David St Clair-Lucy Barnes</t>
  </si>
  <si>
    <t>Circulation and Control</t>
  </si>
  <si>
    <t xml:space="preserve"> Marie-StÃ©phanie Delamaire-Will Slauter</t>
  </si>
  <si>
    <t>Ancient Greek I</t>
  </si>
  <si>
    <t>LANGUAGE STUDY / Ancient Languages</t>
  </si>
  <si>
    <t>A Handbook and Reader of Ottoman Arabic</t>
  </si>
  <si>
    <t xml:space="preserve"> Esther-Miriam Wagner</t>
  </si>
  <si>
    <t>The Swedish FrameNet++</t>
  </si>
  <si>
    <t>Dana DannÃ©lls-Lars Borin-Karin Friberg Heppin</t>
  </si>
  <si>
    <t>A Dissident Liberal</t>
  </si>
  <si>
    <t>John Wanna-Marija Taflaga-Peter Baume</t>
  </si>
  <si>
    <t>Origins, Ancestry and Alliance</t>
  </si>
  <si>
    <t>James J. Fox-Clifford Sather</t>
  </si>
  <si>
    <t>Basin Futures</t>
  </si>
  <si>
    <t>Daniel Connell-Quentin Grafton</t>
  </si>
  <si>
    <t>Bougainville Before the Conflict</t>
  </si>
  <si>
    <t>Anthony J Regan-Helga M Griffin</t>
  </si>
  <si>
    <t>Michi's Memories</t>
  </si>
  <si>
    <t>Keiko Tamura</t>
  </si>
  <si>
    <t>Lak Chang</t>
  </si>
  <si>
    <t>Yos Santasombat</t>
  </si>
  <si>
    <t>Coup</t>
  </si>
  <si>
    <t>Brij V. Lal-Michael Pretes</t>
  </si>
  <si>
    <t>Passage of Change</t>
  </si>
  <si>
    <t>Anita Jowitt</t>
  </si>
  <si>
    <t>A Kind of Mending</t>
  </si>
  <si>
    <t>Sinclair Dinnen-Anita Jowitt-Tess Newton</t>
  </si>
  <si>
    <t>The Hmong of Australia</t>
  </si>
  <si>
    <t>Nicholas Tapp</t>
  </si>
  <si>
    <t>Dance of the Nomad</t>
  </si>
  <si>
    <t>Ann Mcculloch</t>
  </si>
  <si>
    <t>An Uneasy Relationship</t>
  </si>
  <si>
    <t>Maev O'Collins</t>
  </si>
  <si>
    <t>Gobernanza y gestiÃ³n de Ã¡reas protegidas</t>
  </si>
  <si>
    <t>Graeme L. Worboys-Michael Lockwood-Ashish Kothari-Sue Feary-Ian Pulsford</t>
  </si>
  <si>
    <t>Archaeologies of Island Melanesia</t>
  </si>
  <si>
    <t>Mathieu Leclerc-James L. Flexner</t>
  </si>
  <si>
    <t>Labour Lines and Colonial Power</t>
  </si>
  <si>
    <t>Victoria Stead-Jon Eltman</t>
  </si>
  <si>
    <t>Teacher for Justice</t>
  </si>
  <si>
    <t>Heather Goodall-Helen Randerson-Devleena Ghosh</t>
  </si>
  <si>
    <t>Contested Terrain</t>
  </si>
  <si>
    <t>Tulagi</t>
  </si>
  <si>
    <t>The Realities and Futures of Work</t>
  </si>
  <si>
    <t>David Peetz</t>
  </si>
  <si>
    <t>Levelling Wind</t>
  </si>
  <si>
    <t>Following the Water</t>
  </si>
  <si>
    <t>Kylie Carman-Brown</t>
  </si>
  <si>
    <t>Framing the Islands</t>
  </si>
  <si>
    <t>Greg Fry</t>
  </si>
  <si>
    <t>Pacific Youth</t>
  </si>
  <si>
    <t>Ms Helen Lee</t>
  </si>
  <si>
    <t>Understanding Oceania</t>
  </si>
  <si>
    <t>Stewart Firth-Vijay Naidu</t>
  </si>
  <si>
    <t>Black Gold</t>
  </si>
  <si>
    <t>Fred Cahir</t>
  </si>
  <si>
    <t>Tides of Innovation in Oceania</t>
  </si>
  <si>
    <t>Ms Elisabetta Gnecchi-Ruscone-Ms Anna Paini</t>
  </si>
  <si>
    <t>Making Mala</t>
  </si>
  <si>
    <t>Vocational Education and Training</t>
  </si>
  <si>
    <t>Mr Don Zoellner</t>
  </si>
  <si>
    <t>Kastom, Property and Ideology</t>
  </si>
  <si>
    <t>Siobhan McDonnell-Matthew G. Allen-Colin Filer</t>
  </si>
  <si>
    <t>New Worlds From Below</t>
  </si>
  <si>
    <t>Tessa Morris-Suzuki-Eon Jeong Soh</t>
  </si>
  <si>
    <t>Regulatory Theory</t>
  </si>
  <si>
    <t>Peter Drahos</t>
  </si>
  <si>
    <t>Conflict and Resource Development in the Southern Highlands of Papua New Guinea</t>
  </si>
  <si>
    <t>Nicole Haley</t>
  </si>
  <si>
    <t>Australian Clinical Legal Education</t>
  </si>
  <si>
    <t>Adrian Evans-Anna Cody-Anna Copeland-Jeff Giddings-Peter Joy-Mary Anne Noone-Simon Rice</t>
  </si>
  <si>
    <t>Disturbances in Heaven</t>
  </si>
  <si>
    <t>Joro's Youth</t>
  </si>
  <si>
    <t>Igor de Rachewiltz-Li Narangoa</t>
  </si>
  <si>
    <t>Transformations of Gender in Melanesia</t>
  </si>
  <si>
    <t>Martha MacIntyre-Ceridwen Spark</t>
  </si>
  <si>
    <t>History Wars</t>
  </si>
  <si>
    <t>Doug Munro</t>
  </si>
  <si>
    <t>Australia Goes to Washington</t>
  </si>
  <si>
    <t>David Lowe-Carl Bridge-David Lee</t>
  </si>
  <si>
    <t>What If We Could Reimagine Copyright?</t>
  </si>
  <si>
    <t>Rebecca Giblin-Kimberlee Weatherall</t>
  </si>
  <si>
    <t>Archaeology of Early Christianity in Vanuatu</t>
  </si>
  <si>
    <t>James L. Flexner</t>
  </si>
  <si>
    <t>Gender Violence &amp; Human Rights</t>
  </si>
  <si>
    <t>Aletta Biersack-Margaret Jolly-Martha MacIntyre</t>
  </si>
  <si>
    <t>The Personality Cult of Stalin in Soviet Posters, 1929â€“1953: Archetypes, Inventions &amp; Fabrications</t>
  </si>
  <si>
    <t>POLITICAL SCIENCE / Propaganda</t>
  </si>
  <si>
    <t>Anita Pisch</t>
  </si>
  <si>
    <t>Touring Pacific Cultures</t>
  </si>
  <si>
    <t>Kalissa Alexeyeff-John Taylor</t>
  </si>
  <si>
    <t>Garnaut-Ligang Song</t>
  </si>
  <si>
    <t>Harnessing the Bohemian</t>
  </si>
  <si>
    <t>Peter Skippington</t>
  </si>
  <si>
    <t>Reluctant Representatives</t>
  </si>
  <si>
    <t>Elizabeth Ganter</t>
  </si>
  <si>
    <t>Bridging Australia and Japan: Volume 1</t>
  </si>
  <si>
    <t>Arthur Stockwin-Keiko Tamura</t>
  </si>
  <si>
    <t>Family Experiments</t>
  </si>
  <si>
    <t>Shelley Richardson</t>
  </si>
  <si>
    <t>Indigenous Data Sovereignty</t>
  </si>
  <si>
    <t>Tahu Kukutai-John Taylor</t>
  </si>
  <si>
    <t>Sharpening the Sword of State</t>
  </si>
  <si>
    <t>Andrew Podger-John Wanna</t>
  </si>
  <si>
    <t>Also Innovators</t>
  </si>
  <si>
    <t>Chris Yardley</t>
  </si>
  <si>
    <t>A Difficult Neighbourhood</t>
  </si>
  <si>
    <t>John Besemeres</t>
  </si>
  <si>
    <t>Performance Measurement, Reporting, Obstacles and Accountability</t>
  </si>
  <si>
    <t>Paul G. Thomas</t>
  </si>
  <si>
    <t>Party Rules?</t>
  </si>
  <si>
    <t>Anika Gauja-Marian Sawer</t>
  </si>
  <si>
    <t>The Lion That Didn't Roar</t>
  </si>
  <si>
    <t>Nigel Davidson</t>
  </si>
  <si>
    <t>Better Than Welfare?</t>
  </si>
  <si>
    <t>Kirrily Jordan</t>
  </si>
  <si>
    <t>A National Asset</t>
  </si>
  <si>
    <t>Desmond Ball-Andrew Carr</t>
  </si>
  <si>
    <t>Unintended Consequences</t>
  </si>
  <si>
    <t>Marianne Dickie-Dorota Gozdecka-Sudrishti Reich</t>
  </si>
  <si>
    <t>The Bionarrative</t>
  </si>
  <si>
    <t>Stephen Boyden</t>
  </si>
  <si>
    <t>Imaging Identity</t>
  </si>
  <si>
    <t>ART / Subjects &amp; Themes / Human Figure</t>
  </si>
  <si>
    <t>Melinda Hinkson</t>
  </si>
  <si>
    <t>Power and Dysfunction</t>
  </si>
  <si>
    <t>Richard Egan</t>
  </si>
  <si>
    <t>The Doubters' Dilemma</t>
  </si>
  <si>
    <t>Mario Daniel MartÃ­n-Louise Jansen-Elizabeth A. Beckmann</t>
  </si>
  <si>
    <t>Black, White and Gold</t>
  </si>
  <si>
    <t>Hank Nelson</t>
  </si>
  <si>
    <t>The Three Sector Solution</t>
  </si>
  <si>
    <t>John Butcher-David Gilchrist</t>
  </si>
  <si>
    <t>Seismic Wave Propagation in Stratified Media</t>
  </si>
  <si>
    <t>Brian Kennett</t>
  </si>
  <si>
    <t>Proceedings of the 7th University House Wine Symposium</t>
  </si>
  <si>
    <t>Kiaran Kirk-John Richards</t>
  </si>
  <si>
    <t>Engaging the Neighbours</t>
  </si>
  <si>
    <t>Frank Frost</t>
  </si>
  <si>
    <t>China 2002</t>
  </si>
  <si>
    <t>The Naturalist and His 'Beautiful Islands'</t>
  </si>
  <si>
    <t>David Russell Lawrence</t>
  </si>
  <si>
    <t>China's New Sources of Economic Growth: Vol. 1</t>
  </si>
  <si>
    <t>Narrow But Endlessly Deep</t>
  </si>
  <si>
    <t>The Making of The Australian National University</t>
  </si>
  <si>
    <t>Stephen Foster-Margaret Varghese</t>
  </si>
  <si>
    <t>The Coombs</t>
  </si>
  <si>
    <t>Brij V. Lal-Allison Ley</t>
  </si>
  <si>
    <t>War, Strategy and History</t>
  </si>
  <si>
    <t>Daniel P. Marston-Tamara Leahy</t>
  </si>
  <si>
    <t>A Background to Primary School Science</t>
  </si>
  <si>
    <t>Neville Fletcher</t>
  </si>
  <si>
    <t>One World</t>
  </si>
  <si>
    <t>Venerable Alex Bruce</t>
  </si>
  <si>
    <t>Real Harmonic Analysis</t>
  </si>
  <si>
    <t>Pascal Auscher</t>
  </si>
  <si>
    <t>Innamincka Words</t>
  </si>
  <si>
    <t>Gavan Breen</t>
  </si>
  <si>
    <t>Innamincka Talk</t>
  </si>
  <si>
    <t>Ligang Song-Garnaut-Cai Fang</t>
  </si>
  <si>
    <t>A Dictionary of VurÃ«s, Vanuatu</t>
  </si>
  <si>
    <t>Catriona Malau</t>
  </si>
  <si>
    <t>El Lago EspaÃ±ol</t>
  </si>
  <si>
    <t>O.H.K. Spate</t>
  </si>
  <si>
    <t>Geography, Power, Strategy and Defence Policy</t>
  </si>
  <si>
    <t>Desmond Ball-Sheryn Lee</t>
  </si>
  <si>
    <t>CHS Toolkit: Training Group Leaders How to Include People with Chronic Disease in Community Activities</t>
  </si>
  <si>
    <t>REFERENCE / Personal &amp; Practical Guides</t>
  </si>
  <si>
    <t>Susan Abbott-Amy Vassallo-Paul Dugdale-David Greenfield</t>
  </si>
  <si>
    <t>Learning From Agri-environment Schemes in Australia</t>
  </si>
  <si>
    <t>Dean Ansell-Fiona Gibson-David Salt</t>
  </si>
  <si>
    <t>APEC and the Liberalisation of the Chinese Economy</t>
  </si>
  <si>
    <t>Peter Drysdale-Ligang Song-Zhang Yunling</t>
  </si>
  <si>
    <t>The Federated States of Micronesia's Engagement with the Outside World</t>
  </si>
  <si>
    <t>Gonzaga Puas</t>
  </si>
  <si>
    <t>Archaeological Science Under a Microscope</t>
  </si>
  <si>
    <t>Michael Haslam-Gail Robertson-Alison Crowther-Sue Nugent-Luke Kirkwood</t>
  </si>
  <si>
    <t>CHS Guide</t>
  </si>
  <si>
    <t>Susan Abbott-Stefan Baku-Paul Dugdale-David Greenfield</t>
  </si>
  <si>
    <t>Professional Social Work in Australia</t>
  </si>
  <si>
    <t>R.J. Lawrence</t>
  </si>
  <si>
    <t>Confronting Fiji Futures</t>
  </si>
  <si>
    <t>A. Haroon Akram-Lodhi</t>
  </si>
  <si>
    <t>Social Cost-Benefit Analysis in Australia and New Zealand</t>
  </si>
  <si>
    <t>Leo Dobes-Joanne Leung-George Argyrous</t>
  </si>
  <si>
    <t>New Mana</t>
  </si>
  <si>
    <t>Matt Tomlinson-Ty P. Kawika Tengan</t>
  </si>
  <si>
    <t>Engaging Indigenous Economy</t>
  </si>
  <si>
    <t>Will Sanders</t>
  </si>
  <si>
    <t>Oceanic Explorations</t>
  </si>
  <si>
    <t>Stuart Bedford-Christopher Sand-Sean P. Connaughton</t>
  </si>
  <si>
    <t>Out of the Ashes</t>
  </si>
  <si>
    <t>James J. Fox-Dionisio Babo Soares</t>
  </si>
  <si>
    <t>Master Poets, Ritual Masters</t>
  </si>
  <si>
    <t>No Truck with the Chilean Junta!</t>
  </si>
  <si>
    <t>Ann Jones</t>
  </si>
  <si>
    <t>NGOs and Political Change</t>
  </si>
  <si>
    <t>Patrick Kilby</t>
  </si>
  <si>
    <t>New Accountabilities, New Challenges</t>
  </si>
  <si>
    <t>John Wanna-Evert A. Lindquist-Penelope Marshall</t>
  </si>
  <si>
    <t>Name, Shame and Blame</t>
  </si>
  <si>
    <t>Christine Stewart</t>
  </si>
  <si>
    <t>Public Sector Governance in Australia</t>
  </si>
  <si>
    <t>Meredith Edwards-John Halligan-Bryan Horrigan-Geoffrey McNicoll</t>
  </si>
  <si>
    <t>Measuring and Promoting Wellbeing</t>
  </si>
  <si>
    <t>Andrew Podger-Dennis Trewin</t>
  </si>
  <si>
    <t>Maudu'</t>
  </si>
  <si>
    <t>Muhammad Adlin Sila</t>
  </si>
  <si>
    <t>Managing Under Austerity, Delivering Under Pressure</t>
  </si>
  <si>
    <t>John Wanna-Hsu-Ann Lee-Sophie Yates</t>
  </si>
  <si>
    <t>Ma`afu, Prince of Tonga, Chief of Fiji</t>
  </si>
  <si>
    <t>John Spurway</t>
  </si>
  <si>
    <t>Losing Control</t>
  </si>
  <si>
    <t>Roland Rich-Louise Williams</t>
  </si>
  <si>
    <t>Leading From the North</t>
  </si>
  <si>
    <t>Tom Brewer-Allan Dale-Rolf Gerritsen-Sharon Harwood-Bruce Prideaux-Linda Rosenman-Ruth Wallace</t>
  </si>
  <si>
    <t>Looking for Love in the Legal Discourse of Marriage</t>
  </si>
  <si>
    <t>Renata Grossi</t>
  </si>
  <si>
    <t>Finding the Enemy Within</t>
  </si>
  <si>
    <t>Sana Ashraf</t>
  </si>
  <si>
    <t>Linguistic Organisation and Native Title</t>
  </si>
  <si>
    <t>Ken Hale-Peter Sutton</t>
  </si>
  <si>
    <t>Long History, Deep Time</t>
  </si>
  <si>
    <t>Ann McGrath-Mary Anne Jebb</t>
  </si>
  <si>
    <t>China's Challenges in Moving Towards a High-income Economy</t>
  </si>
  <si>
    <t>Fishing for Fairness</t>
  </si>
  <si>
    <t>Michael Fabinyi</t>
  </si>
  <si>
    <t>Engendering Violence in Papua New Guinea</t>
  </si>
  <si>
    <t>Margaret Jolly</t>
  </si>
  <si>
    <t>Directions in Australian Electoral Reform</t>
  </si>
  <si>
    <t>Norm Kelly</t>
  </si>
  <si>
    <t>Law and Democracy</t>
  </si>
  <si>
    <t>Glenn Patmore-Kim Rubenstein</t>
  </si>
  <si>
    <t>Journeys Into the Rainforest</t>
  </si>
  <si>
    <t>Asa Ferrier</t>
  </si>
  <si>
    <t>Japan's Failed Revolution</t>
  </si>
  <si>
    <t>Giblin's Platoon</t>
  </si>
  <si>
    <t>William Coleman-Selwyn Cornish-Alf Haggar</t>
  </si>
  <si>
    <t>Indigenous Intermediaries</t>
  </si>
  <si>
    <t>Shino Konishi-Maria Nugent-Tiffany Shellam</t>
  </si>
  <si>
    <t>Indigenous Australians and the National Disability Insurance Scheme</t>
  </si>
  <si>
    <t>N. Biddle-F. Al-Yaman-M. Gourley et al.</t>
  </si>
  <si>
    <t>Creative Frictions</t>
  </si>
  <si>
    <t>ART / Australian &amp; Oceanian</t>
  </si>
  <si>
    <t>Cecelia Cmielewski</t>
  </si>
  <si>
    <t>Indigenous and Minority Placenames</t>
  </si>
  <si>
    <t>Ian D. Clark-Luise Hercus-Laura Kostanski</t>
  </si>
  <si>
    <t>In the Service of the Company - Volume 1</t>
  </si>
  <si>
    <t>In the Eye of the Beholder</t>
  </si>
  <si>
    <t>Barbara Dawson</t>
  </si>
  <si>
    <t>Improving Implementation</t>
  </si>
  <si>
    <t>John Wanna</t>
  </si>
  <si>
    <t>Hesychasm and Art</t>
  </si>
  <si>
    <t>Anita Strezova</t>
  </si>
  <si>
    <t>Health of People, Places and Planet</t>
  </si>
  <si>
    <t>Colin D. Butler-Jane Dixon-Anthony G. Capon</t>
  </si>
  <si>
    <t>Globalisation and Governance in the Pacific Islands</t>
  </si>
  <si>
    <t>Stewart Firth</t>
  </si>
  <si>
    <t>Global Warming and Climate Change</t>
  </si>
  <si>
    <t>Maria W. Taylor</t>
  </si>
  <si>
    <t>Future-Proofing the State</t>
  </si>
  <si>
    <t>Justin Pritchard-Vic Lipski-Jonathan Boston-John Wanna</t>
  </si>
  <si>
    <t>From 'Stone-Age' to 'Real-Time'</t>
  </si>
  <si>
    <t>Martin Slama-Jenny Munro</t>
  </si>
  <si>
    <t>Forestry and Water Conservation in South Africa</t>
  </si>
  <si>
    <t>Fred Kruger-Brett Bennett</t>
  </si>
  <si>
    <t>Fiji</t>
  </si>
  <si>
    <t>Daryl Tarte</t>
  </si>
  <si>
    <t>Explorations in Semantic Parallelism</t>
  </si>
  <si>
    <t>Election 2007</t>
  </si>
  <si>
    <t>R.J. May-Ray Anere-Nicole Haley-Katherine Wheen</t>
  </si>
  <si>
    <t>On the Dual Uses of Science and Ethics</t>
  </si>
  <si>
    <t>Brian Rappert-Michael J. Selgelid</t>
  </si>
  <si>
    <t>Divine Domesticities</t>
  </si>
  <si>
    <t>Hyaeweol Choi-Margaret Jolly</t>
  </si>
  <si>
    <t>The New Pacific Diplomacy</t>
  </si>
  <si>
    <t>Greg Fry-Sandra Tarte</t>
  </si>
  <si>
    <t>R. G. Menzies Scholarships to Harvard 1968â€“2010</t>
  </si>
  <si>
    <t>Karen Holt-Kim Rubenstein</t>
  </si>
  <si>
    <t>Vietnam As Ifâ€¦</t>
  </si>
  <si>
    <t>Kim Huynh</t>
  </si>
  <si>
    <t>Tropical Forests Of Oceania</t>
  </si>
  <si>
    <t>Joshua A. Bell-Paige West-Colin Filer</t>
  </si>
  <si>
    <t>Timor-Leste's Bill of Rights</t>
  </si>
  <si>
    <t>Annemarie Devereux</t>
  </si>
  <si>
    <t>Through a Glass Darkly</t>
  </si>
  <si>
    <t>They Came to Murramarang</t>
  </si>
  <si>
    <t>Bruce Hamon-Alastair Greig-Sue Feary</t>
  </si>
  <si>
    <t>The Tools of Owatatsumi</t>
  </si>
  <si>
    <t>Desmond Ball-Richard Tanter</t>
  </si>
  <si>
    <t>The Spanish Lake</t>
  </si>
  <si>
    <t>The Absent Presence of the State in Large-Scale Resource Extraction Projects</t>
  </si>
  <si>
    <t>Nicholas A. Bainton-Emilia E. Skrzypek</t>
  </si>
  <si>
    <t>The Struggle of the Shi'is in Indonesia</t>
  </si>
  <si>
    <t>Zulkifli Hasan</t>
  </si>
  <si>
    <t>The Social Sciences in the Asian Century</t>
  </si>
  <si>
    <t>Carol Johnson-Vera Mackie-Tessa Morris-Suzuki</t>
  </si>
  <si>
    <t>The Seven Dwarfs and the Age of the Mandarins</t>
  </si>
  <si>
    <t>The Plant Detective's Manual</t>
  </si>
  <si>
    <t>Gonzalo M. Estavillo-Ulrike Mathesius-Michael Djordjevi-Adrienne B. Nicotra</t>
  </si>
  <si>
    <t>Island Encounters</t>
  </si>
  <si>
    <t>Lisa Palmer</t>
  </si>
  <si>
    <t>The Light Inside the Shadow</t>
  </si>
  <si>
    <t>Julia Reynolds-Joanne Allen-Michelle Anderson</t>
  </si>
  <si>
    <t>The Islamic Traditions of Cirebon</t>
  </si>
  <si>
    <t>A.G. Muhaimin</t>
  </si>
  <si>
    <t>The Curious Country</t>
  </si>
  <si>
    <t>Leigh Dayton</t>
  </si>
  <si>
    <t>The Boy From Boort</t>
  </si>
  <si>
    <t>Bill Gammage-Brij V. Lal</t>
  </si>
  <si>
    <t>Foreign Bodies</t>
  </si>
  <si>
    <t>Bronwen Douglas-Chris Ballard</t>
  </si>
  <si>
    <t>Ten Journeys to Cameron's Farm</t>
  </si>
  <si>
    <t>Cameron Hazlehurst</t>
  </si>
  <si>
    <t>Indigenous Australian Youth Futures</t>
  </si>
  <si>
    <t>Victoria Burbank-Richard Chenhall-Kate Senior</t>
  </si>
  <si>
    <t>Like Fire</t>
  </si>
  <si>
    <t>Michael French Smith-Theodore Schwartz</t>
  </si>
  <si>
    <t>Taxonomic Tapestries</t>
  </si>
  <si>
    <t>Marc F. Oxenham-Alison M. Behie</t>
  </si>
  <si>
    <t>Talking It Through</t>
  </si>
  <si>
    <t>Miranda Forsyth-Richard Eves</t>
  </si>
  <si>
    <t>Telling Pacific Lives</t>
  </si>
  <si>
    <t>Brij V. Lal-Vicki Luker</t>
  </si>
  <si>
    <t>Tajikistan</t>
  </si>
  <si>
    <t>Christian Bleuer-Kirill Nourzhanov</t>
  </si>
  <si>
    <t>Studies in Australian Political Rhetoric</t>
  </si>
  <si>
    <t>John Uhr-Ryan Walter</t>
  </si>
  <si>
    <t>Strings of Connectedness</t>
  </si>
  <si>
    <t>P.G. Toner</t>
  </si>
  <si>
    <t>Songs of the Empty Place</t>
  </si>
  <si>
    <t>James F. Weiner-Don Niles</t>
  </si>
  <si>
    <t>Settler Colonial Governance in Nineteenth-Century Victoria</t>
  </si>
  <si>
    <t>Leigh Boucher-Lynette Russell</t>
  </si>
  <si>
    <t>The Representation of Science and Scientists on Postage Stamps</t>
  </si>
  <si>
    <t>Christopher B. Yard</t>
  </si>
  <si>
    <t>Professionalism in the Information and Communication Technology Industry</t>
  </si>
  <si>
    <t>John Weckert-Richard Lucas</t>
  </si>
  <si>
    <t>The Visnu Purana</t>
  </si>
  <si>
    <t>McComas Taylor</t>
  </si>
  <si>
    <t>Power and Responsibility in Chinese Foreign Policy</t>
  </si>
  <si>
    <t>Greg Austin-Yongjin Zhang</t>
  </si>
  <si>
    <t>Power and International Relations</t>
  </si>
  <si>
    <t>Political Parties in the Pacific Islands</t>
  </si>
  <si>
    <t>Roland Rich-Luke Hambly-Michael G. Morgan</t>
  </si>
  <si>
    <t>Political Life Writing in the Pacific</t>
  </si>
  <si>
    <t>Jack Corbett-Brij V. Lal</t>
  </si>
  <si>
    <t>Pillars and Shadows</t>
  </si>
  <si>
    <t>John Braithwaite-Sinclair Dinnen-Valerie Braithwaite-Hilary Charlesworth</t>
  </si>
  <si>
    <t>Planning and Managing Scientific Research</t>
  </si>
  <si>
    <t>Pacific Regional Order</t>
  </si>
  <si>
    <t>Dave Peebles</t>
  </si>
  <si>
    <t>Connected and Disconnected in Viet Nam</t>
  </si>
  <si>
    <t>Philip Taylor</t>
  </si>
  <si>
    <t>The People Have Spoken</t>
  </si>
  <si>
    <t>Steven Ratuva-Stephanie Lawson</t>
  </si>
  <si>
    <t>Eyewitness to Early Reform in Myanmar</t>
  </si>
  <si>
    <t>Trevor Wilson</t>
  </si>
  <si>
    <t>The Rahui</t>
  </si>
  <si>
    <t>Tamatoa Bambridge</t>
  </si>
  <si>
    <t>Experiments in Self-Determination</t>
  </si>
  <si>
    <t>Fred Myers-Nicolas Peterson</t>
  </si>
  <si>
    <t>In Defence of Country</t>
  </si>
  <si>
    <t>Noah Riseman</t>
  </si>
  <si>
    <t>The First Fleet Piano - Volume 1</t>
  </si>
  <si>
    <t>Geoffrey Lancaster</t>
  </si>
  <si>
    <t>Food and Agriculture in Papua New Guinea</t>
  </si>
  <si>
    <t>Michael Bourke</t>
  </si>
  <si>
    <t>Howard's Long March</t>
  </si>
  <si>
    <t>Roy Campbell McDowall</t>
  </si>
  <si>
    <t>Himalayan Dreaming</t>
  </si>
  <si>
    <t>Will Steffen</t>
  </si>
  <si>
    <t>Geology at ANU (1959â€“2009)</t>
  </si>
  <si>
    <t>Mike Rickard-Judith Caton</t>
  </si>
  <si>
    <t>The Cult of the Market</t>
  </si>
  <si>
    <t>Lee Boldeman</t>
  </si>
  <si>
    <t>Steep Slopes</t>
  </si>
  <si>
    <t>Kirsty Gillespie</t>
  </si>
  <si>
    <t>Passionate Histories</t>
  </si>
  <si>
    <t>Frances Peters-Little-Ann Curthoys-John Docker</t>
  </si>
  <si>
    <t>Henry Prinsep's Empire</t>
  </si>
  <si>
    <t>Malcolm Allbrook</t>
  </si>
  <si>
    <t>Delivering Policy Reform</t>
  </si>
  <si>
    <t>Negotiating the Sacred II</t>
  </si>
  <si>
    <t>Elizabeth Burns Coleman-Maria Suzette Fernandes-Dias</t>
  </si>
  <si>
    <t>Humanities Research Centre</t>
  </si>
  <si>
    <t>Glen St J. Barclay-Caroline Turner-Australian National University</t>
  </si>
  <si>
    <t>Diversity in Leadership</t>
  </si>
  <si>
    <t>Joy Damousi-Kim Rubenstein-Mary Tomsic</t>
  </si>
  <si>
    <t>Dharmalan Dana</t>
  </si>
  <si>
    <t>BIOGRAPHY &amp; AUTOBIOGRAPHY / Indigenous</t>
  </si>
  <si>
    <t>George Nelson-Robynne Nelson</t>
  </si>
  <si>
    <t>Developing Asian Bondmarkets</t>
  </si>
  <si>
    <t>Takatoshi Ito-Yung Chul Park</t>
  </si>
  <si>
    <t>Politics, Policy and Public Administration in Theory and Practice</t>
  </si>
  <si>
    <t>Michael de Percy-Andrew Podger-Sam Vincent</t>
  </si>
  <si>
    <t>Defence Policy-Making</t>
  </si>
  <si>
    <t>Sir Arthur Tange-Peter Edwards</t>
  </si>
  <si>
    <t>Deep Crustal Seismic Reflection Profiling</t>
  </si>
  <si>
    <t>B.L.N Kennett-E. Saygin-T. Fomin-R. Blewett</t>
  </si>
  <si>
    <t>Sound Citizens</t>
  </si>
  <si>
    <t>Catherine Fisher</t>
  </si>
  <si>
    <t>Customary Land Tenure &amp; Registration in Australia and Papua New Guinea</t>
  </si>
  <si>
    <t>James Weiner-Katie Glaskin</t>
  </si>
  <si>
    <t>Atlas of Butterflies and Diurnal Moths in the Monsoon Tropics of Northern Australia</t>
  </si>
  <si>
    <t>M.F. Braby-D.C. Franklin-D.E. Bisa-M.R. Williams-A.A.E. Williams-C.L. Bishop-R.A.M. Coppen</t>
  </si>
  <si>
    <t>Russian Energy Strategy in the Asia-Pacific</t>
  </si>
  <si>
    <t>Elizabeth Buchanan</t>
  </si>
  <si>
    <t>Politics, Development and Security in Oceania</t>
  </si>
  <si>
    <t>David Hegarty-Darrell Tryon</t>
  </si>
  <si>
    <t>Contemporary Asian Art and Exhibitions</t>
  </si>
  <si>
    <t>Michelle Antoinette-Caroline Turner</t>
  </si>
  <si>
    <t>Circulating Cultures</t>
  </si>
  <si>
    <t>Amanda Harris</t>
  </si>
  <si>
    <t>China's Domestic Transformation in a Global Context</t>
  </si>
  <si>
    <t>Change!</t>
  </si>
  <si>
    <t>Austronesian Paths and Journeys</t>
  </si>
  <si>
    <t>Chalo Jahaji</t>
  </si>
  <si>
    <t>Capturing Wealth From Tuna</t>
  </si>
  <si>
    <t>Kate Barclay-Ian Cartwright</t>
  </si>
  <si>
    <t>Pacific Missionary George Brown 1835-1917</t>
  </si>
  <si>
    <t>Reeson</t>
  </si>
  <si>
    <t>Building a Sustainable and Desirable Economy in Society in Nature</t>
  </si>
  <si>
    <t>Joshua Farley-Robert Costanza-Gar Alperovitz-Herman Daly</t>
  </si>
  <si>
    <t>Bayesian Methods for Statistical Analysis</t>
  </si>
  <si>
    <t>MATHEMATICS / Probability &amp; Statistics / Bayesian Analysis</t>
  </si>
  <si>
    <t>Borek Puza</t>
  </si>
  <si>
    <t>Twenty K.R. Narayanan Orations</t>
  </si>
  <si>
    <t>Raghbendra Jha</t>
  </si>
  <si>
    <t>Asian Socialism and Legal Change</t>
  </si>
  <si>
    <t>Pip Nicholson-John Gillespie</t>
  </si>
  <si>
    <t>Crisis</t>
  </si>
  <si>
    <t>Jane Golley-Linda Jaivin-Sharon Strange</t>
  </si>
  <si>
    <t>The Architecture of Security in the Asia-Pacific</t>
  </si>
  <si>
    <t>Ron Huisken</t>
  </si>
  <si>
    <t>Anomie and Violence</t>
  </si>
  <si>
    <t>John Braithwaite-Valerie Braithwaite-Michael Cookson-Leah Dunn</t>
  </si>
  <si>
    <t>Antarctica</t>
  </si>
  <si>
    <t>Bernadette Hince-Rupert Summerson-Arnan Wiesel</t>
  </si>
  <si>
    <t>Administrative Decision-Making in Australian Migration Law</t>
  </si>
  <si>
    <t>Alan Freckelton-Marianne Dickie</t>
  </si>
  <si>
    <t>Securing Village Life</t>
  </si>
  <si>
    <t>Scott MacWilliam</t>
  </si>
  <si>
    <t>The ADB's Story</t>
  </si>
  <si>
    <t>Christine Fernon-Melanie Nolan</t>
  </si>
  <si>
    <t>A Quest for True Islam</t>
  </si>
  <si>
    <t>Rifki Rosyad</t>
  </si>
  <si>
    <t>A Political Memoir of the Anglo-French Condominium of the New Hebrides</t>
  </si>
  <si>
    <t>Keith Woodward</t>
  </si>
  <si>
    <t>A New Era?</t>
  </si>
  <si>
    <t>Sue Ingram-Andrew Mcwilliam-Lia Kent</t>
  </si>
  <si>
    <t>A Mission Divided</t>
  </si>
  <si>
    <t>Dr Kirstie Close-Barry</t>
  </si>
  <si>
    <t>Intermediate Ancient Greek Language</t>
  </si>
  <si>
    <t>Darryl Palmer</t>
  </si>
  <si>
    <t>Abbott's Gambit</t>
  </si>
  <si>
    <t>John Wanna-Hsu-Ann Lee-Carol Johnson</t>
  </si>
  <si>
    <t>Reformist Muslims in Yogyakarta Village</t>
  </si>
  <si>
    <t>Hyung Jun Kim</t>
  </si>
  <si>
    <t>Austronesians</t>
  </si>
  <si>
    <t>Peter Bellwood-James J. Fox-Darrell Tryon</t>
  </si>
  <si>
    <t>Interpreting Chekhov</t>
  </si>
  <si>
    <t>Geoffrey Borny</t>
  </si>
  <si>
    <t>Learning Policy, Doing Policy</t>
  </si>
  <si>
    <t>Russell Ayres-Brian Head-Trish Mercer-John Wanna</t>
  </si>
  <si>
    <t>Poetic Power of Place</t>
  </si>
  <si>
    <t>Complex Science for a Complex World</t>
  </si>
  <si>
    <t>Pascal Perez-David Batten</t>
  </si>
  <si>
    <t>Cooperative Evolution</t>
  </si>
  <si>
    <t>Valerie A. Brown-Christopher Bryant</t>
  </si>
  <si>
    <t>Black Words White Page</t>
  </si>
  <si>
    <t>LITERARY CRITICISM / Australian &amp; Oceanian</t>
  </si>
  <si>
    <t>Adam Shoemaker</t>
  </si>
  <si>
    <t>Struggling for the Umma</t>
  </si>
  <si>
    <t>Endang Turmudi</t>
  </si>
  <si>
    <t>Australian Dictionary of Biography, Volume 19</t>
  </si>
  <si>
    <t>Melanie Nolan</t>
  </si>
  <si>
    <t>Traversing the Divide</t>
  </si>
  <si>
    <t>Kim Rubenstein</t>
  </si>
  <si>
    <t>The China Alternative</t>
  </si>
  <si>
    <t>Graeme Smith-Terence Wesley-Smith</t>
  </si>
  <si>
    <t>Health Expenditure, Income and Health Status Among Indigenous and Other Australians</t>
  </si>
  <si>
    <t>Matthew Gray-John Taylor-Boyd Hunter</t>
  </si>
  <si>
    <t>Prehistory of the Indo-Malaysian Archipelago</t>
  </si>
  <si>
    <t>Dislocating the Frontier</t>
  </si>
  <si>
    <t>Deborah Bird Rose-Richard Davis</t>
  </si>
  <si>
    <t>Lithics in the Land of the Lightning Brothers</t>
  </si>
  <si>
    <t>Chris Clarkson</t>
  </si>
  <si>
    <t>Culture and Sustainable Development in the Pacific</t>
  </si>
  <si>
    <t>Antony Hooper</t>
  </si>
  <si>
    <t>A Passion for Policy</t>
  </si>
  <si>
    <t>Connected Worlds</t>
  </si>
  <si>
    <t>Ann Curthoys-Marilyn Lake</t>
  </si>
  <si>
    <t>Journey of a Book</t>
  </si>
  <si>
    <t>Elizabeth Keen</t>
  </si>
  <si>
    <t>Business and the Risk of Crime in China</t>
  </si>
  <si>
    <t>Brigitte Bouhours-John Bacon-Shone-Thierry Bouhours</t>
  </si>
  <si>
    <t>History As Policy</t>
  </si>
  <si>
    <t>Ronald Huisken</t>
  </si>
  <si>
    <t>Federalism and Regionalism in Australia</t>
  </si>
  <si>
    <t>A.J. Brown-J.A. Bellamy</t>
  </si>
  <si>
    <t>Caretaker Conventions in Australasia</t>
  </si>
  <si>
    <t>Jennifer Menzies-Anne Tiernan</t>
  </si>
  <si>
    <t>Boats to Burn</t>
  </si>
  <si>
    <t>Natasha Stacey</t>
  </si>
  <si>
    <t>Agency Contingency and Census Process</t>
  </si>
  <si>
    <t>Frances Morphy</t>
  </si>
  <si>
    <t>At Home in Exile</t>
  </si>
  <si>
    <t>Helga M Griffin</t>
  </si>
  <si>
    <t>Pedigree and Panache</t>
  </si>
  <si>
    <t>Shireen Huda</t>
  </si>
  <si>
    <t>Australia and Cyber-Warfare</t>
  </si>
  <si>
    <t>Gary Waters-Desmond Ball-Ian Dudgeon</t>
  </si>
  <si>
    <t>Australian Travellers in the South Seas</t>
  </si>
  <si>
    <t>Refugee Journeys</t>
  </si>
  <si>
    <t>Jordana Silverstein-Rachel Stevens</t>
  </si>
  <si>
    <t>A Time Bomb Lies Buried</t>
  </si>
  <si>
    <t>Britain's Second Embassy to China</t>
  </si>
  <si>
    <t>Caroline Stevenson</t>
  </si>
  <si>
    <t>Unequal Lives</t>
  </si>
  <si>
    <t>Kalissa Alexeyeff-Nicholas A. Bainton-John Cox-Debra McDougall</t>
  </si>
  <si>
    <t>First Contacts in Polynesia - The Samoan Case (1722-1848)</t>
  </si>
  <si>
    <t>Serge Tcherkezoff</t>
  </si>
  <si>
    <t>Contested Governance</t>
  </si>
  <si>
    <t>Janet Hunt-Will Sanders-Stephanie Garling</t>
  </si>
  <si>
    <t>Green Carbon Part 1</t>
  </si>
  <si>
    <t>Sandra Berry-Brendan Mackey-Heather Keith-Mathew Brookhouse-Justin Jonson</t>
  </si>
  <si>
    <t>Calvin for the Third Millennium</t>
  </si>
  <si>
    <t>Whatever Happened to Frank and Fearless?</t>
  </si>
  <si>
    <t>Kathy MacDermott</t>
  </si>
  <si>
    <t>Australia Under Construction</t>
  </si>
  <si>
    <t>John Butcher</t>
  </si>
  <si>
    <t>Remaining Karen</t>
  </si>
  <si>
    <t>Ananda Rajah</t>
  </si>
  <si>
    <t>Public Leadership</t>
  </si>
  <si>
    <t>Paul 't Hart-John Uhr</t>
  </si>
  <si>
    <t>Permissive Residents</t>
  </si>
  <si>
    <t>Diana Glazebrook</t>
  </si>
  <si>
    <t>Our Unswerving Loyalty</t>
  </si>
  <si>
    <t>David Lovell</t>
  </si>
  <si>
    <t>Minding the Gap</t>
  </si>
  <si>
    <t>Peter Carroll-Rex Deighton-Smith-Helen Silver-Chris Walker</t>
  </si>
  <si>
    <t>The Information Systems Academic Discipline in Australia</t>
  </si>
  <si>
    <t>Gable.G-S. Gregor-Roger Clarke-Gail Ridley</t>
  </si>
  <si>
    <t>Indigenous Biography and Autobiography</t>
  </si>
  <si>
    <t>Peter Read-Frances Peters-Little-Anna Haebich</t>
  </si>
  <si>
    <t>Dreamtime Superhighway</t>
  </si>
  <si>
    <t>Jo McDonald</t>
  </si>
  <si>
    <t>Dictatorship, Disorder and Decline in Myanmar</t>
  </si>
  <si>
    <t>Monique Skidmore-Trevor Wilson</t>
  </si>
  <si>
    <t>Collaborative Governance</t>
  </si>
  <si>
    <t>Janine O'Flynn-John Wanna</t>
  </si>
  <si>
    <t>Reite Plants</t>
  </si>
  <si>
    <t>Porer Nombo-James Leach</t>
  </si>
  <si>
    <t>New Directions in Archaeological Science</t>
  </si>
  <si>
    <t>Andrew Fairbairn-Sue O'Connor-Ben Marwick</t>
  </si>
  <si>
    <t>Public Sector Employment in the Twenty-first Century</t>
  </si>
  <si>
    <t>Marilyn Pittard-Phillipa Weeks</t>
  </si>
  <si>
    <t>Phoenix From the Ashes?</t>
  </si>
  <si>
    <t>BUSINESS &amp; ECONOMICS / Industries / Manufacturing</t>
  </si>
  <si>
    <t>Cameron Mitchell</t>
  </si>
  <si>
    <t>Framing the Global Economic Downturn</t>
  </si>
  <si>
    <t>Paul 't Hart-Karen Tindall</t>
  </si>
  <si>
    <t>Fresh Perspectives on the 'War on Terror'</t>
  </si>
  <si>
    <t>Miriam Gani-Penelope Mathew</t>
  </si>
  <si>
    <t>Whistleblowing in the Australian Public Sector</t>
  </si>
  <si>
    <t>J. Brown</t>
  </si>
  <si>
    <t>A Bird That Flies with Two Wings</t>
  </si>
  <si>
    <t>Miranda Forsyth</t>
  </si>
  <si>
    <t>An Atlas of the Global Water Cycle</t>
  </si>
  <si>
    <t>Wee Ho Lim-Michael Roderick</t>
  </si>
  <si>
    <t>Policy Making and Implementation</t>
  </si>
  <si>
    <t>Oceanic Encounters</t>
  </si>
  <si>
    <t>Margaret Jolly-Serge Tcherkezoff-Darrell Tryon</t>
  </si>
  <si>
    <t>Migration and Transnationalism</t>
  </si>
  <si>
    <t>Helen and Francis Lee-Steve Tupai Francis</t>
  </si>
  <si>
    <t>Making Sense of the Census</t>
  </si>
  <si>
    <t>D. F. Martin-Frances Morphy-Will Sanders-John Taylor</t>
  </si>
  <si>
    <t>Gunnar Landtman in Papua</t>
  </si>
  <si>
    <t>David Lawrence-Pirjo Varjola</t>
  </si>
  <si>
    <t>Pioneers, Settlers, Aliens, Exiles</t>
  </si>
  <si>
    <t>Josephine Lucy Fisher</t>
  </si>
  <si>
    <t>The Power of Economic Ideas</t>
  </si>
  <si>
    <t>Alex J. Millmow</t>
  </si>
  <si>
    <t>Dealing with Uncertainties in Policing Serious Crime</t>
  </si>
  <si>
    <t>Garnaut-Jane Golley-Ligang Song</t>
  </si>
  <si>
    <t>Critical Reflections on Australian Public Policy</t>
  </si>
  <si>
    <t>Bridging the 'Know-Do' Gap</t>
  </si>
  <si>
    <t>Reconciliation and Architectures of Commitment</t>
  </si>
  <si>
    <t>Public Policy</t>
  </si>
  <si>
    <t>Jonathan Boston-Andrew Bradstock-David Eng</t>
  </si>
  <si>
    <t>The Lihir Destiny</t>
  </si>
  <si>
    <t>Nicholas A. Bainton</t>
  </si>
  <si>
    <t>Turnings</t>
  </si>
  <si>
    <t>Precedence</t>
  </si>
  <si>
    <t>Michael P. Vischer</t>
  </si>
  <si>
    <t>Green Carbon Part 2</t>
  </si>
  <si>
    <t>Meaning, Life and Culture</t>
  </si>
  <si>
    <t>Helen Bromhead-Zhengdao Ye</t>
  </si>
  <si>
    <t>Niche Wars</t>
  </si>
  <si>
    <t>John Blaxland-Marcus Fielding-Thea Gellerfy</t>
  </si>
  <si>
    <t>Interpreting Myanmar</t>
  </si>
  <si>
    <t>Andrew Selth</t>
  </si>
  <si>
    <t>4000 Years of Migration and Cultural Exchange</t>
  </si>
  <si>
    <t>Peter Bellwood-Eusebio Dizon</t>
  </si>
  <si>
    <t>On Taungurung Land</t>
  </si>
  <si>
    <t>Jennifer Jones-Roy Henry Patterson</t>
  </si>
  <si>
    <t>Shaping a Nation</t>
  </si>
  <si>
    <t>R. Blewett</t>
  </si>
  <si>
    <t>Protected Area Governance and Management</t>
  </si>
  <si>
    <t>Graeme Worboys-Michael Lockwood-Ashish Kothari-Ian Pulsford</t>
  </si>
  <si>
    <t>Global Water</t>
  </si>
  <si>
    <t>R Quentin Grafton-Paul Wyrwoll-Chris White-David Allendes</t>
  </si>
  <si>
    <t>Towards Human Rights Compliance in Australian Prisons</t>
  </si>
  <si>
    <t>Anita Mackay</t>
  </si>
  <si>
    <t>A Bridge Between</t>
  </si>
  <si>
    <t>Katharine Massam</t>
  </si>
  <si>
    <t>The Military and Democracy in Asia and the Pacific</t>
  </si>
  <si>
    <t>Ron May-Viberto Selochan</t>
  </si>
  <si>
    <t>'Now Is the Psychological Moment'</t>
  </si>
  <si>
    <t>The Bible in Buffalo Country</t>
  </si>
  <si>
    <t>Sally K. May-Donna Nadjamerrek-Julie Narndal Gumurdul-Laura Rademaker</t>
  </si>
  <si>
    <t>Gouvernance et gestion des aires protÃ©gÃ©es</t>
  </si>
  <si>
    <t>Sue Feary-Ashish Kothari-Michael Lockwood-Ian Pulsford-Graeme L. Worboys</t>
  </si>
  <si>
    <t>Collaboration for Impact</t>
  </si>
  <si>
    <t>'We Are All Here to Stay'</t>
  </si>
  <si>
    <t>Dominic O'Sullivan</t>
  </si>
  <si>
    <t>Communicating Science</t>
  </si>
  <si>
    <t>Peter Broks-Toss Gascoigne-Joan Leach-Bruce V. Lewenstein-Luisa Massarani-Michelle Riedlinger-Bernard Schiele</t>
  </si>
  <si>
    <t>On the Frontiers of History</t>
  </si>
  <si>
    <t>Tessa Morris-Suzuki</t>
  </si>
  <si>
    <t>Indigenous Self-Determination in Australia</t>
  </si>
  <si>
    <t>Laura Rademaker-Tim Rowse</t>
  </si>
  <si>
    <t>Forts and Fortification in Wallacea</t>
  </si>
  <si>
    <t>Sally Brockwell-Andrew Mcwilliam-Sue O'Connor</t>
  </si>
  <si>
    <t>Goodna Girls</t>
  </si>
  <si>
    <t>Adele Chynoweth</t>
  </si>
  <si>
    <t>How Local Art Made Australia's National Capital</t>
  </si>
  <si>
    <t>Anni Doyle WawrzyÅ„czak</t>
  </si>
  <si>
    <t>Bridging Australia and Japan: Volume 2</t>
  </si>
  <si>
    <t>Achieving Inclusive Growth in the Asia Pacific</t>
  </si>
  <si>
    <t>Adam Triggs-Shujiro Urata</t>
  </si>
  <si>
    <t>A Populist Exception?</t>
  </si>
  <si>
    <t>Jennifer Curtin-Jack Vowles</t>
  </si>
  <si>
    <t>What's France Got to Do with It?</t>
  </si>
  <si>
    <t>Juliana de Nooy</t>
  </si>
  <si>
    <t>A Sketch Grammar of Pondi</t>
  </si>
  <si>
    <t>LANGUAGE STUDY / Oceanic &amp; Australian Languages</t>
  </si>
  <si>
    <t>Russell Barlow</t>
  </si>
  <si>
    <t>The Eye of the Crocodile</t>
  </si>
  <si>
    <t>Val Plumwood-Lorraine Shannon</t>
  </si>
  <si>
    <t>Grappling with the Bomb</t>
  </si>
  <si>
    <t>Nic Maclellan</t>
  </si>
  <si>
    <t>Designing Governance Structures for Performance and Accountability</t>
  </si>
  <si>
    <t>Hon S. Chan-Meili Niu-Andrew Podger-Tsai-tsu Su-John Wanna</t>
  </si>
  <si>
    <t>Morrison's Miracle</t>
  </si>
  <si>
    <t>Anika Gauja-Marian Sawer-Marian Simms</t>
  </si>
  <si>
    <t>A Philosophy of Intellectual Property</t>
  </si>
  <si>
    <t>Diltheyev san</t>
  </si>
  <si>
    <t>Derek Freeman</t>
  </si>
  <si>
    <t>China &amp; ANU</t>
  </si>
  <si>
    <t>William Sima</t>
  </si>
  <si>
    <t>Shared Destiny</t>
  </si>
  <si>
    <t>Geremie R BarmÃ©-Jeremy Goldkorn-Linda Jaivin</t>
  </si>
  <si>
    <t>Past Law, Present Histories</t>
  </si>
  <si>
    <t>Diane Kirkby</t>
  </si>
  <si>
    <t>With the Benefit of Hindsight</t>
  </si>
  <si>
    <t>Andrew Podger-Sam Vincent-John Wanna</t>
  </si>
  <si>
    <t>Experiments in Modern Living</t>
  </si>
  <si>
    <t>Milton Cameron</t>
  </si>
  <si>
    <t>Scholars at War</t>
  </si>
  <si>
    <t>Geoffrey Gray-Doug Munro-Christine Winter</t>
  </si>
  <si>
    <t>Movement, Knowledge, Emotion</t>
  </si>
  <si>
    <t>Jennifer Power</t>
  </si>
  <si>
    <t>Whistling While They Work</t>
  </si>
  <si>
    <t>A.J. Brown-Jane Olsen-Peter Roberts</t>
  </si>
  <si>
    <t>Rising China: Global Challenges and Opportunities</t>
  </si>
  <si>
    <t>Jane Golley-Ligang Song</t>
  </si>
  <si>
    <t>Asia-Pacific Security</t>
  </si>
  <si>
    <t>David W. Lovell</t>
  </si>
  <si>
    <t>Sex Discrimination in Uncertain Times</t>
  </si>
  <si>
    <t>The Future of Audit</t>
  </si>
  <si>
    <t>Keith Houghton-Christine Jubb-Michael Kend-Juliana Ng</t>
  </si>
  <si>
    <t>Soeharto's New Order and Its Legacy</t>
  </si>
  <si>
    <t>Edward Aspinall-Greg Fealy</t>
  </si>
  <si>
    <t>Education and Ethics in the Life Sciences</t>
  </si>
  <si>
    <t>Watriama and Co</t>
  </si>
  <si>
    <t>Hugh Laracy</t>
  </si>
  <si>
    <t>Introducing China</t>
  </si>
  <si>
    <t>What Does the Honeybee See? And How Do We Know?</t>
  </si>
  <si>
    <t>Adrian Horridge</t>
  </si>
  <si>
    <t>Does History Matter?</t>
  </si>
  <si>
    <t>Klaus Neumann-Gwenda Tavan</t>
  </si>
  <si>
    <t>People and Place</t>
  </si>
  <si>
    <t>Len Richardson</t>
  </si>
  <si>
    <t>The Dilemmas of Engagement</t>
  </si>
  <si>
    <t>Jenny Stewart</t>
  </si>
  <si>
    <t>The Aranda's Pepa</t>
  </si>
  <si>
    <t>Research Integration Using Dialogue Methods</t>
  </si>
  <si>
    <t>Gabriele Bammer-Peter Deane-David McDonald</t>
  </si>
  <si>
    <t>The Disaster of the Third Princess</t>
  </si>
  <si>
    <t>Royall Tyler</t>
  </si>
  <si>
    <t>Rising China</t>
  </si>
  <si>
    <t>Sounds in Translation</t>
  </si>
  <si>
    <t>Amy Chan-Alistair Noble</t>
  </si>
  <si>
    <t>The 2006 Military Takeover in Fiji</t>
  </si>
  <si>
    <t>Stewart Firth-Jon Fraenkel-Brij V. Lal</t>
  </si>
  <si>
    <t>Consolidated Gold Fields in Australia</t>
  </si>
  <si>
    <t>Robert Porter</t>
  </si>
  <si>
    <t>The Centrelink Experiment</t>
  </si>
  <si>
    <t>John Halligan-Jules Wills</t>
  </si>
  <si>
    <t>Islamising Indonesia</t>
  </si>
  <si>
    <t>Yon Machmudi</t>
  </si>
  <si>
    <t>Transnational Ties</t>
  </si>
  <si>
    <t>Desley Deacon-Penny Russell-Angela Woollacott</t>
  </si>
  <si>
    <t>Steady Hands Needed</t>
  </si>
  <si>
    <t>Graham Cooke-Trevor Wilson</t>
  </si>
  <si>
    <t>Struggling for Self Reliance</t>
  </si>
  <si>
    <t>Bob Breen</t>
  </si>
  <si>
    <t>Remembering Hedley</t>
  </si>
  <si>
    <t>Coral Bell-Meredith Thatcher</t>
  </si>
  <si>
    <t>Islands of Inquiry</t>
  </si>
  <si>
    <t>Geoffrey Clark-Foss Leach-Sue O'Connor</t>
  </si>
  <si>
    <t>Signs of the Wali</t>
  </si>
  <si>
    <t>Tommy Christomy</t>
  </si>
  <si>
    <t>The Workshop for Morality</t>
  </si>
  <si>
    <t>Dindin Solahudin</t>
  </si>
  <si>
    <t>The Social Effects of Native Title</t>
  </si>
  <si>
    <t>Frances Morphy-Benjamin R. Smith</t>
  </si>
  <si>
    <t>Talking and Listening in the Age of Modernity</t>
  </si>
  <si>
    <t>Joy Damousi-Desley Deacon</t>
  </si>
  <si>
    <t>China Dreams</t>
  </si>
  <si>
    <t>Jane Golley-Ben Hillman-Linda Jaivin-Sharon Strange</t>
  </si>
  <si>
    <t>Everyday Revolutions</t>
  </si>
  <si>
    <t>Michelle Arrow-Angela Woollacott</t>
  </si>
  <si>
    <t>Transgressions</t>
  </si>
  <si>
    <t>Mark Hannah-Ingereth Macfarlane</t>
  </si>
  <si>
    <t>Re-Visioning Arts and Cultural Policy</t>
  </si>
  <si>
    <t>Jennifer Craik</t>
  </si>
  <si>
    <t>Electronic Engagement</t>
  </si>
  <si>
    <t>Peter Chen</t>
  </si>
  <si>
    <t>The First Ten K R Narayanan Orations</t>
  </si>
  <si>
    <t>Ethics and Auditing</t>
  </si>
  <si>
    <t>Tom Campbell-Keith Houghton</t>
  </si>
  <si>
    <t>Social Indicators for Aboriginal Governance</t>
  </si>
  <si>
    <t>The Indigenous Welfare Economy and the CDEP Scheme</t>
  </si>
  <si>
    <t>Frances Morphy-Will Sanders</t>
  </si>
  <si>
    <t>Afterlives of Chinese Communism</t>
  </si>
  <si>
    <t>Ivan Franceschini-Nicholas Loubere-Christian Sorace</t>
  </si>
  <si>
    <t>Zhang Peili</t>
  </si>
  <si>
    <t>Olivier Krischer</t>
  </si>
  <si>
    <t>Power</t>
  </si>
  <si>
    <t>Paul J. Farrelly-Jane Golley-Linda Jaivin-Sharon Strange</t>
  </si>
  <si>
    <t>Rosalie Gascoigne</t>
  </si>
  <si>
    <t>Martin Gascoigne</t>
  </si>
  <si>
    <t>Prosperity</t>
  </si>
  <si>
    <t>Jane Golley-Linda Jaivin</t>
  </si>
  <si>
    <t>Jane Golley-Linda Jaivin-Luigi Tomba</t>
  </si>
  <si>
    <t>Roars From the Mountain</t>
  </si>
  <si>
    <t>Pollution</t>
  </si>
  <si>
    <t>Gloria Davies-Jeremy Goldkorn-Luigi Tomba</t>
  </si>
  <si>
    <t>The Bugis Chronicle of Bone</t>
  </si>
  <si>
    <t>Muhlis Hadrawi-Campbell Macknight-Mukhlis Paeni</t>
  </si>
  <si>
    <t>Partnership for Change</t>
  </si>
  <si>
    <t>China Center for International Economic Exchanges-East Asian Bureau of Economic Research</t>
  </si>
  <si>
    <t>Three Creative Fellows</t>
  </si>
  <si>
    <t>A Cautious New Approach</t>
  </si>
  <si>
    <t>Denghua Zhang</t>
  </si>
  <si>
    <t>The Turning Point in China's Economic Development</t>
  </si>
  <si>
    <t>Situating Women</t>
  </si>
  <si>
    <t>Nicole George</t>
  </si>
  <si>
    <t>Commonwealth Responsibility and Cold War Solidarity</t>
  </si>
  <si>
    <t>Dan Halvorson</t>
  </si>
  <si>
    <t>Civil Society and Transitional Justice in Asia and the Pacific</t>
  </si>
  <si>
    <t>Lia Kent-Joanne Wallis-Claire Cronin</t>
  </si>
  <si>
    <t>Debating Lapita</t>
  </si>
  <si>
    <t>Stuart Bedford-Matthew Spriggs</t>
  </si>
  <si>
    <t>The Jingshan Report</t>
  </si>
  <si>
    <t>China Finance 40 Forum Research Group</t>
  </si>
  <si>
    <t>Altered Ecologies</t>
  </si>
  <si>
    <t>Simon Haberle-J. Stevenson-M. Prebble</t>
  </si>
  <si>
    <t>Radical Spaces</t>
  </si>
  <si>
    <t>Christina Parolin</t>
  </si>
  <si>
    <t>Ian Keen</t>
  </si>
  <si>
    <t>In the Eye of the Storm</t>
  </si>
  <si>
    <t>Re-imagining Japan After Fukushima</t>
  </si>
  <si>
    <t>Tamaki Mihic</t>
  </si>
  <si>
    <t>Fiducial Governance</t>
  </si>
  <si>
    <t>John Power</t>
  </si>
  <si>
    <t>Crisis Policymaking</t>
  </si>
  <si>
    <t>David Connery</t>
  </si>
  <si>
    <t>Civic Insecurity</t>
  </si>
  <si>
    <t>Sinclair Dinnen-Vicki Luker</t>
  </si>
  <si>
    <t>Aboriginal Placenames</t>
  </si>
  <si>
    <t>Harold Koch-Luise Hercus</t>
  </si>
  <si>
    <t>Demographic and Socioeconomic Outcomes Across the Indigenous Australian Lifecourse</t>
  </si>
  <si>
    <t>Nicholas Biddle-Mandy Yap</t>
  </si>
  <si>
    <t>Multiculturalism and Integration</t>
  </si>
  <si>
    <t>Michael Clyne-James Jupp</t>
  </si>
  <si>
    <t>In Good Faith?</t>
  </si>
  <si>
    <t>Jessie Mitchell</t>
  </si>
  <si>
    <t>Echoes of the Tambaran</t>
  </si>
  <si>
    <t>David Lipset-Paul Roscoe</t>
  </si>
  <si>
    <t>In From the Cold</t>
  </si>
  <si>
    <t>John Blaxland-Liam Brewin Higgins-Michael Kelly</t>
  </si>
  <si>
    <t>ãƒ•ã‚¯ã‚·ãƒžã®æ•™è¨“</t>
  </si>
  <si>
    <t>Melvin Gurtov-Peter Van Ness</t>
  </si>
  <si>
    <t>Vietnam Vanguard</t>
  </si>
  <si>
    <t>Ron Boxall-Robert O'Neill</t>
  </si>
  <si>
    <t>Australia's Fertility Transition</t>
  </si>
  <si>
    <t>Helen Moyle</t>
  </si>
  <si>
    <t>Growing up on the Trobriand Islands in Papua New Guinea</t>
  </si>
  <si>
    <t>Barbara Senft-Gunter Senft</t>
  </si>
  <si>
    <t>A Comparative Grammar of the Early Germanic Languages</t>
  </si>
  <si>
    <t>R.D. Fulk</t>
  </si>
  <si>
    <t>Approaches to Hungarian</t>
  </si>
  <si>
    <t>Veronika HegedÅ±s-Irene Vogel</t>
  </si>
  <si>
    <t>Non-canonical Control in a Cross-linguistic Perspective</t>
  </si>
  <si>
    <t>Anne Mucha-Jutta M. Hartmann-Beata TrawiÅ„ski</t>
  </si>
  <si>
    <t>Letters As Loot</t>
  </si>
  <si>
    <t>Gijsbert Rutten-Marijke J. van der Wal</t>
  </si>
  <si>
    <t>Studies in Ã–vdalian Morphology and Syntax</t>
  </si>
  <si>
    <t>Kristine Bentzen-Henrik Rosenkvist-Janne Bondi Johannessen</t>
  </si>
  <si>
    <t>Germanic Heritage Languages in North America</t>
  </si>
  <si>
    <t>Janne Bondi Johannessen-Joseph C. Salmons</t>
  </si>
  <si>
    <t>Imdeduya</t>
  </si>
  <si>
    <t>Gunter Senft</t>
  </si>
  <si>
    <t>Creole Studies â€“ Phylogenetic Approaches</t>
  </si>
  <si>
    <t>Peter Bakker-Finn Borchsenius-Carsten Levisen-Eeva Sippola</t>
  </si>
  <si>
    <t>Adjective Adverb Interfaces in Romance</t>
  </si>
  <si>
    <t>Martin Hummel-Salvador Valera</t>
  </si>
  <si>
    <t>Language Dispersal Beyond Farming</t>
  </si>
  <si>
    <t>Martine Robbeets-Alexander Savelyev</t>
  </si>
  <si>
    <t>The Dawn of Dutch</t>
  </si>
  <si>
    <t>Michiel de Vaan</t>
  </si>
  <si>
    <t>Constructicography</t>
  </si>
  <si>
    <t>Benjamin Lyngfelt-Lars Borin-Kyoko Ohara-Tiago Timponi Torrent</t>
  </si>
  <si>
    <t>Patterns of Change in 18th-century English</t>
  </si>
  <si>
    <t>Terttu Nevalainen-Minna Palander-Collin-Tanja SÃ¤ily</t>
  </si>
  <si>
    <t>Language Planning As Nation Building</t>
  </si>
  <si>
    <t>Gijsbert Rutten</t>
  </si>
  <si>
    <t>Atypical Language Development in Romance Languages</t>
  </si>
  <si>
    <t>Eva Aguilar-Mediavilla-LucÃ­a Buil-Legaz-RaÃºl LÃ³pez-PenadÃ©s-Victor A. Sanchez-Azanza-Daniel Adrover-Roig</t>
  </si>
  <si>
    <t>Skyping the Family</t>
  </si>
  <si>
    <t>Richard Harper-Rod Watson-Christian Licoppe</t>
  </si>
  <si>
    <t>Grammatical and Sociolinguistic Aspects of Ethiopian Languages</t>
  </si>
  <si>
    <t>Derib Ado-Almaz Wasse Gelagay-Janne Bondi Johannessen</t>
  </si>
  <si>
    <t>Scientia Media</t>
  </si>
  <si>
    <t>Sven K. Knebel</t>
  </si>
  <si>
    <t>East and West of The Pentacrest</t>
  </si>
  <si>
    <t>Timothy Gupton-Elizabeth Gielau</t>
  </si>
  <si>
    <t>Organic Creativity and the Physics Within</t>
  </si>
  <si>
    <t>PSYCHOLOGY / Creative Ability</t>
  </si>
  <si>
    <t>Mea M.M. Lowcre-Johan F. Hoorn</t>
  </si>
  <si>
    <t>Building Innovation Capabilities for Sustainable Industrialisation</t>
  </si>
  <si>
    <t>Rasmus Lema-Margrethe Holm Andersen-Rebecca Hanlin-Charles Nzila</t>
  </si>
  <si>
    <t>Parisa, Aslani-Henry N., Young-Michelle, Koo</t>
  </si>
  <si>
    <t>Michael H., Davidson-Lane, Benes-Anthony S., Wierzbicki</t>
  </si>
  <si>
    <t>Rethinking Teacher Education for the 21st Century</t>
  </si>
  <si>
    <t>Wioleta Danilewicz-Alicja Korzeniecka-Bondar-Marta Kowalczuk-WalÄ™dziak-Gracienne Maria Louisa Veronica Lauwers</t>
  </si>
  <si>
    <t>The White Indians of Mexican Cinema</t>
  </si>
  <si>
    <t>MÃ³nica GarcÃ­a Blizzard</t>
  </si>
  <si>
    <t>Multilingualism Across the Lifespan</t>
  </si>
  <si>
    <t>Unn RÃ¸yneland-Robert Blackwood</t>
  </si>
  <si>
    <t>Michael Saffle-Hon-Lun Yang</t>
  </si>
  <si>
    <t>Ã–ffentliche Ã„mter im Spannungsfeld rechtlicher Anforderungen und politischer Erforderlichkeit.</t>
  </si>
  <si>
    <t>Khawaja Asad Yasin</t>
  </si>
  <si>
    <t>The EU and Crisis Response</t>
  </si>
  <si>
    <t>Roger Mac Ginty-Sandra Pogodda-Oliver P. Richmond</t>
  </si>
  <si>
    <t>Negotiating the Pandemic</t>
  </si>
  <si>
    <t>Inayat Ali-Robbie Davis-Floyd</t>
  </si>
  <si>
    <t>Vergabe an die Ã–ffentliche Hand.</t>
  </si>
  <si>
    <t>Nikolas Eisentraut</t>
  </si>
  <si>
    <t>Die Bedeutung des Wettbewerbsrechts im Vergaberecht.</t>
  </si>
  <si>
    <t>Jongwook Park</t>
  </si>
  <si>
    <t>Bilder, Texte, Rituale.</t>
  </si>
  <si>
    <t>Klaus Schreiner-Gabriela Signori</t>
  </si>
  <si>
    <t>Alteuropa oder FrÃ¼he Moderne?</t>
  </si>
  <si>
    <t>Luise Schorn-SchÃ¼tte</t>
  </si>
  <si>
    <t>Preventing Mass Human-Rights Violations and Atrocity Crimes</t>
  </si>
  <si>
    <t>Angieszka BieÅ„czyk-Missala</t>
  </si>
  <si>
    <t>Listening to the Lomax Archive</t>
  </si>
  <si>
    <t>Jonathan W. Stone</t>
  </si>
  <si>
    <t>Piracy in World History</t>
  </si>
  <si>
    <t>Stefan Amirell-Hans HÃ¤gerdal-Bruce Buchan</t>
  </si>
  <si>
    <t>Reza, Zaidi-Philip, Weston-Julie, Brake</t>
  </si>
  <si>
    <t>Richard J., Buka-Deidre, Moloney</t>
  </si>
  <si>
    <t>Politics of the Russian Language Beyond Russia</t>
  </si>
  <si>
    <t>Christian Noack</t>
  </si>
  <si>
    <t>Extremism, Society, and the State</t>
  </si>
  <si>
    <t>Giacomo Loperfido</t>
  </si>
  <si>
    <t>â€ºKleine BischÃ¶feâ€¹ im Alten Reich.</t>
  </si>
  <si>
    <t>Andreas Bihrer-Nina Gallion-Oliver Auge</t>
  </si>
  <si>
    <t>Harold Garfinkel: Studies of Work in the Sciences</t>
  </si>
  <si>
    <t>Harold Garfinkel-Michael Lynch</t>
  </si>
  <si>
    <t>Carl von Schubert (1882â€“1947).</t>
  </si>
  <si>
    <t>Peter KrÃ¼ger</t>
  </si>
  <si>
    <t>Das Handwerk in der Bundesrepublik Deutschland.</t>
  </si>
  <si>
    <t>Theo Beckermann</t>
  </si>
  <si>
    <t>Der Private Verbrauch in der Bundesrepublik Deutschland.</t>
  </si>
  <si>
    <t>Rainer Rau</t>
  </si>
  <si>
    <t>Maritime Risk Management.</t>
  </si>
  <si>
    <t>LAW / Insurance</t>
  </si>
  <si>
    <t>Phillip Hellwege-Guido Rossi</t>
  </si>
  <si>
    <t>Reichskanzler Theobald von Bethmann Hollweg 1909â€“1921.</t>
  </si>
  <si>
    <t>Winfried Baumgart</t>
  </si>
  <si>
    <t>Das modernisierte Besteuerungsverfahren in Deutschland im Vergleich zu Ã–sterreich.</t>
  </si>
  <si>
    <t>Christoph Schmidt</t>
  </si>
  <si>
    <t>Der Grundsatz digitaler SouverÃ¤nitÃ¤t.</t>
  </si>
  <si>
    <t>Christian Ernst</t>
  </si>
  <si>
    <t>Fritz Hartung â€“ Korrespondenz eines Historikers zwischen Kaiserreich und zweiter Nachkriegszeit</t>
  </si>
  <si>
    <t>Hans-Christof Kraus</t>
  </si>
  <si>
    <t>Menschen, die ich kannte.</t>
  </si>
  <si>
    <t>Robert Davidsohn-Wolfram KnÃ¤bich-Wiebke Fastenrath Vinattieri-Martin Baumeister</t>
  </si>
  <si>
    <t>Briefe eines Intellektuellen 1886â€“1937.</t>
  </si>
  <si>
    <t>Werner Sombart-Friedrich Lenger-Michael Schellenberger-Thomas Kroll</t>
  </si>
  <si>
    <t>Ein preuÃŸischer Gesandter in MÃ¼nchen.</t>
  </si>
  <si>
    <t>Der KÃ¶nig und sein Beichtvater.</t>
  </si>
  <si>
    <t>Das politische Denken von Christian Thomasius.</t>
  </si>
  <si>
    <t>Martin KÃ¼hnel</t>
  </si>
  <si>
    <t>Regionales Innovationsmanagement unter den Bedingungen einer regionalisierten Strukturpolitik.</t>
  </si>
  <si>
    <t>Petra Feldotto</t>
  </si>
  <si>
    <t>Verkehrsinfrastrukturpolitik in der Marktwirtschaft.</t>
  </si>
  <si>
    <t>RÃ¼diger Wink</t>
  </si>
  <si>
    <t>Krisenmanagement in der Stahlindustrie.</t>
  </si>
  <si>
    <t>Arne Gieseck</t>
  </si>
  <si>
    <t>Die Tarifierung elektrischer Energie.</t>
  </si>
  <si>
    <t>Thomas Werbeck</t>
  </si>
  <si>
    <t>AuslÃ¤ndische SelbstÃ¤ndige in der Bundesrepublik</t>
  </si>
  <si>
    <t>Hans Dietrich von Loeffelholz-Arne Gieseck-Holger Buch</t>
  </si>
  <si>
    <t>Konflikte um Standorte fÃ¼r Abfallbehandlungs- und -beseitigungsanlagen.</t>
  </si>
  <si>
    <t>Nicola Werbeck</t>
  </si>
  <si>
    <t>Konsumstruktur, UmweltbewuÃŸtsein und Umweltpolitik.</t>
  </si>
  <si>
    <t>Martin Wenke</t>
  </si>
  <si>
    <t>Politische MaÃŸnahmen zur Verbesserung von StandortqualitÃ¤ten.</t>
  </si>
  <si>
    <t>Paul Klemmer-Klaus Schubert</t>
  </si>
  <si>
    <t>Die Stahlindustrie in der DDR.</t>
  </si>
  <si>
    <t>Helmut Wienert</t>
  </si>
  <si>
    <t>MÃ¶glichkeiten und Grenzen der Steuerung von RÃ¼ckstandsmaterialstrÃ¶men Ã¼ber den Abfallbeseitigungspreis.</t>
  </si>
  <si>
    <t>Dieter Hecht</t>
  </si>
  <si>
    <t>Einbeziehung von Umweltindikatoren in die Regionalpolitik.</t>
  </si>
  <si>
    <t>Helmut Karl-Paul Klemmer</t>
  </si>
  <si>
    <t>Schattenwirtschaft und Strukturwandel in der Bundesrepublik Deutschland.</t>
  </si>
  <si>
    <t>Roland DÃ¶hrn</t>
  </si>
  <si>
    <t>Strukturelle Anpassung altindustrieller Regionen im internationalen Vergleich.</t>
  </si>
  <si>
    <t>RÃ¼diger Hamm-Helmut Wienert</t>
  </si>
  <si>
    <t>Transfer-Einkommen und Einkommensverteilung.</t>
  </si>
  <si>
    <t>Ralf Zeppernick</t>
  </si>
  <si>
    <t>Nordrhein-Westfalen in der Krise - Krise in Nordrhein-Westfalen?</t>
  </si>
  <si>
    <t>Rheinisch-WestfÃ¤lisches Institut fÃ¼r Wirtschaftsforschung</t>
  </si>
  <si>
    <t>Stahlkrise - Ist der Staat gefordert?</t>
  </si>
  <si>
    <t>Rheinisch-WestfÃ¤lisches Instituts fÃ¼r Wirtschaftsforschung</t>
  </si>
  <si>
    <t>Zur Prognoseleistung Ã¶konometrischer Konjunkturmodelle fÃ¼r die Bundesrepublik Deutschland.</t>
  </si>
  <si>
    <t>Ullrich Heilemann</t>
  </si>
  <si>
    <t>Die Umverteilungswirkungen der StaatstÃ¤tigkeit bei den wichtigsten Haushaltstypen.</t>
  </si>
  <si>
    <t>Hanns Karrenberg-Bernd Fritsche-Wolfgang Kitterer-Heinz Josef MÃ¼nch-Gabriele Schulz-Overthun</t>
  </si>
  <si>
    <t>Marketing im Handwerk.</t>
  </si>
  <si>
    <t>Thomas Zimmermann</t>
  </si>
  <si>
    <t>Grundfragen der Gesetzgebungslehre.</t>
  </si>
  <si>
    <t>Burkhardt Krems</t>
  </si>
  <si>
    <t>Strukturdiagnose in der Marktwirtschaft.</t>
  </si>
  <si>
    <t>Christa Thoben</t>
  </si>
  <si>
    <t>Der Einzelhandel 1959 - 1985.</t>
  </si>
  <si>
    <t>Theo Beckermann-Rainer Rau</t>
  </si>
  <si>
    <t>Wachstum und Strukturbildung bei AuslÃ¤nderbeschÃ¤ftigung.</t>
  </si>
  <si>
    <t>Willi Lamberts</t>
  </si>
  <si>
    <t>Wirtschaftsstrukturelle Bestandsaufnahme fÃ¼r das Ruhrgebiet.</t>
  </si>
  <si>
    <t>Klaus LÃ¶bbe-Roswitha Kruck</t>
  </si>
  <si>
    <t>Die Bauwirtschaft.</t>
  </si>
  <si>
    <t>Ã–konometrische Analyse der Ausgabearten des Privaten Verbrauchs.</t>
  </si>
  <si>
    <t>Das Handwerk im Wachstum der Wirtschaft.</t>
  </si>
  <si>
    <t>Branchenstruktur und Wachstumsaussichten in Hessen.</t>
  </si>
  <si>
    <t>JÃ¼rgen Fischer-Christa Thoben</t>
  </si>
  <si>
    <t>Der Staatssektor in der Input-Output-Rechnung.</t>
  </si>
  <si>
    <t>Johann Komarnicki-Karl-Herbert Neuhaus</t>
  </si>
  <si>
    <t>Methoden der mittelfristigen SteuervorausschÃ¤tzung.</t>
  </si>
  <si>
    <t>Klaus LÃ¶bbe-Albert Roth</t>
  </si>
  <si>
    <t>Die VorausschÃ¤tzung von Brancheninvestitionen mit Hilfe von Faktor-Output-Relationen.</t>
  </si>
  <si>
    <t>Wilhelmine StÃ¼rmer</t>
  </si>
  <si>
    <t>Der Ã¶konomische DifferenzierungsprozeÃŸ im heutigen Handwerk.</t>
  </si>
  <si>
    <t>Arnim Schlaghecken</t>
  </si>
  <si>
    <t>Autonome und heteronome Verteilung.</t>
  </si>
  <si>
    <t>Christian Heinze</t>
  </si>
  <si>
    <t>Einzelhandel und Handwerk 1965 und 1975.</t>
  </si>
  <si>
    <t>Theo Beckermann-Arnim Schlaghecken</t>
  </si>
  <si>
    <t>Soziale Arbeit im Kontext Schule</t>
  </si>
  <si>
    <t>Emanuela Chiapparini-Renate Stohler-Esther Bussmann</t>
  </si>
  <si>
    <t>Erstorientierung fÃ¼r GeflÃ¼chtete</t>
  </si>
  <si>
    <t>Silvester Backe-Popescu-Stefanie Ebbeler-Bernd Remmele</t>
  </si>
  <si>
    <t>Experiences of Intervention Against Violence</t>
  </si>
  <si>
    <t>Carol Hagemann-White-Bianca Grafe</t>
  </si>
  <si>
    <t>Mobilisierungen gegen Feminismus und â€šGenderâ€˜</t>
  </si>
  <si>
    <t>Mara Kastein-NilgÃ¼n DaÄŸlar-Sezer-Sandra BeaufaÓ±s-Annette Henninger-Denise Bergold-Caldwell-Barbara Grubner-Helga KrÃ¼ger-Kirn-Susanne Maurer-Marion NÃ¤ser-Lather-Sandra BeaufaÃ¿s-Sabine Grenz</t>
  </si>
  <si>
    <t>Behinderung und Menschenrechte: Ein VerhÃ¤ltnis auf dem PrÃ¼fstand</t>
  </si>
  <si>
    <t>Corinne Wohlgensinger</t>
  </si>
  <si>
    <t>Digitalisierung als Herausforderung fÃ¼r Personalentwicklung und Mitbestimmung</t>
  </si>
  <si>
    <t>Ines Langemeyer</t>
  </si>
  <si>
    <t>Jahrbuch der berufs- und wirtschaftspÃ¤dagogischen Forschung 2018</t>
  </si>
  <si>
    <t>Eveline Wittmann-Dietmar Frommberger-Birgit Ziegler</t>
  </si>
  <si>
    <t>FrÃ¼he informatische Bildung â€“ Ziele und Gelingensbedingungen fÃ¼r den Elementar- und Primarbereich</t>
  </si>
  <si>
    <t>Nadine Bergner-Hilde KÃ¶ster-Johannes Magenheim-Kathrin MÃ¼ller-Ralf Romeike-Ulrik Schroeder-Carsten Schulte-Peter Hubwieser-Stiftung Haus der kleinen Forscher</t>
  </si>
  <si>
    <t>Dokumentarische Methode: Triangulation und blinde Flecken</t>
  </si>
  <si>
    <t>Olaf DÃ¶rner-Peter Loos-Burkhard SchÃ¤ffer-Anne-Christin Schondelmayer</t>
  </si>
  <si>
    <t>Ã–konomische Bildung fÃ¼r eine nachhaltige Entwicklung</t>
  </si>
  <si>
    <t>David LÃ¶w Beer</t>
  </si>
  <si>
    <t>Jahrbuch der berufs- und wirtschaftspÃ¤dagogischen Forschung 2015</t>
  </si>
  <si>
    <t>JÃ¼rgen Seifried-Susan Seeber-Birgit Ziegler</t>
  </si>
  <si>
    <t>Geschlecht â€“ Sozialisation â€“ Transformationen</t>
  </si>
  <si>
    <t>Bettina Dausien-Christine Thon-Katharina Walgenbach</t>
  </si>
  <si>
    <t>Jahrbuch der berufs- und wirtschaftspÃ¤dagogischen Forschung 2013</t>
  </si>
  <si>
    <t>Uwe FaÃŸhauer-BÃ¤rbel FÃ¼rstenau-Eveline Wuttke</t>
  </si>
  <si>
    <t>Jahrbuch der berufs- und wirtschaftspÃ¤dagogischen Forschung 2014</t>
  </si>
  <si>
    <t>JÃ¼rgen Seifried-Uwe FaÃŸhauer-Susan Seeber</t>
  </si>
  <si>
    <t>Jahrbuch der berufs- und wirtschaftspÃ¤dagogischen Forschung 2016</t>
  </si>
  <si>
    <t>Jahrbuch der berufs- und wirtschaftspÃ¤dagogischen Forschung 2021</t>
  </si>
  <si>
    <t>Eveline Wittmann-Dietmar Frommberger-Ulrike Weyland</t>
  </si>
  <si>
    <t>Jahrbuch der berufs- und wirtschaftspÃ¤dagogischen Forschung 2020</t>
  </si>
  <si>
    <t>Bewegungen</t>
  </si>
  <si>
    <t>Isabell van Ackeren-Helmut Bremer-Fabian Kessl-Hans-Christoph Koller-Nicolle Pfaff-Carolin Rotter-Esther Dominique Klein-Ulrich Salaschek</t>
  </si>
  <si>
    <t>Jahrbuch der berufs- und wirtschaftspÃ¤dagogischen Forschung 2019</t>
  </si>
  <si>
    <t>Gewalt als soziales Problem in Schulen</t>
  </si>
  <si>
    <t>Wolfgang Melzer-Wilfried Schubarth</t>
  </si>
  <si>
    <t>Ã–konomien der Geschlechter</t>
  </si>
  <si>
    <t>Eva Borst-Rita Casale</t>
  </si>
  <si>
    <t>Ohne Abschluss in die Bildungsgesellschaft</t>
  </si>
  <si>
    <t>Heike Solga</t>
  </si>
  <si>
    <t>Geschlechtertypisierungen im Kontext von Familie und Schule</t>
  </si>
  <si>
    <t>Sabine Andresen-Barbara Rendtorff</t>
  </si>
  <si>
    <t>Disziplingeschichte der Erziehungswissenschaft als Geschlechtergeschichte</t>
  </si>
  <si>
    <t>Sabine Andresen-Edith Glaser</t>
  </si>
  <si>
    <t>Qualitative Analysis and Documentary Method</t>
  </si>
  <si>
    <t>Ralf Bohnsack-Nicolle Pfaff-Wivian Weller</t>
  </si>
  <si>
    <t>Research and Development in Adult Education</t>
  </si>
  <si>
    <t>Esther Oliver</t>
  </si>
  <si>
    <t>Kinder und ihr Geschlecht</t>
  </si>
  <si>
    <t>Barbara Rendtorff-Annedore Prengel</t>
  </si>
  <si>
    <t>Care â€“ Wer sorgt fÃ¼r wen?</t>
  </si>
  <si>
    <t>Vera Moser-Inga Pinhard</t>
  </si>
  <si>
    <t>Participation and Reconciliation</t>
  </si>
  <si>
    <t>Armin G. Wildfeuer-Sami Adwan</t>
  </si>
  <si>
    <t>Ungleiche Geschlechtergleichheit</t>
  </si>
  <si>
    <t>Rita Casale-Edgar Forster</t>
  </si>
  <si>
    <t>Theories in Adult Learning and Education</t>
  </si>
  <si>
    <t>Paul BÃ©langer</t>
  </si>
  <si>
    <t>Geschlechterforschung in der Kritik</t>
  </si>
  <si>
    <t>Rita Casale-Barbara Rendtorff-Sabine Andresen-Vera Moser-Annedore Prengel</t>
  </si>
  <si>
    <t>Learning and Teaching in Adult Education</t>
  </si>
  <si>
    <t>Henning PÃ¤tzold</t>
  </si>
  <si>
    <t>European Strategies in Lifelong Learning</t>
  </si>
  <si>
    <t>LicÃ­nio C. Lima-Paula GuimarÃ£es</t>
  </si>
  <si>
    <t>Lehr-Lernforschung und Professionalisierung</t>
  </si>
  <si>
    <t>Uwe FaÃŸhauer-Josef Aff-BÃ¤rbel FÃ¼rstenau-Eveline Wuttke</t>
  </si>
  <si>
    <t>The Good Cause</t>
  </si>
  <si>
    <t>Gjalt de Graaf-Patrick von Maravic-Pieter Wagenaar</t>
  </si>
  <si>
    <t>Grundlagenforschung zum Dualen System und Kompetenzentwicklung in der Lehrerbildung</t>
  </si>
  <si>
    <t>Riskante Leben? Geschlechterordnungen in der Reflexiven Moderne</t>
  </si>
  <si>
    <t>Vera Moser-Barbara Rendtorff</t>
  </si>
  <si>
    <t>Berufs- und wirtschaftspÃ¤dagogische Analysen</t>
  </si>
  <si>
    <t>BÃ¤rbel FÃ¼rstenau-Uwe FaÃŸhauer-Eveline Wuttke</t>
  </si>
  <si>
    <t>Competence and Competence Development</t>
  </si>
  <si>
    <t>ValÃ©rie Cohen-Scali</t>
  </si>
  <si>
    <t>Professionalisierung in LernberatungsgesprÃ¤chen</t>
  </si>
  <si>
    <t>Daniel Wrana-Christiane Maier Reinhard</t>
  </si>
  <si>
    <t>Deutschland und seine Ã¶stlichen Nachbarn</t>
  </si>
  <si>
    <t>Jan Menzer</t>
  </si>
  <si>
    <t>Soziale Ungleichheit in der flexibilisierten Berufsbildung</t>
  </si>
  <si>
    <t>Rebekka Sagelsdorff</t>
  </si>
  <si>
    <t>Die Darstellung Subsahara-Afrikas im deutschen Schulbuch</t>
  </si>
  <si>
    <t>Kessete Awet</t>
  </si>
  <si>
    <t>Der Aufbruch der Frauen in der SPD</t>
  </si>
  <si>
    <t>Susanne Eyssen</t>
  </si>
  <si>
    <t>Mobile Entrepreneurs</t>
  </si>
  <si>
    <t>Katrin Sontag</t>
  </si>
  <si>
    <t>Doing Democracy Differently</t>
  </si>
  <si>
    <t>Henrike Knappe</t>
  </si>
  <si>
    <t>Sprache im italienischen Erdkundeunterricht</t>
  </si>
  <si>
    <t>Stephanie SchÃ¶ber</t>
  </si>
  <si>
    <t>Changing Gender Norms in Islam Between Reason and Revelation</t>
  </si>
  <si>
    <t>Marziyeh Bakhshizadeh</t>
  </si>
  <si>
    <t>GeisteswissenschaftlerInnen: kompetent, kreativ, motiviert â€“ und doch chancenlos?</t>
  </si>
  <si>
    <t>Heike Solga-Denis Huschka-Patricia Eilsberger-Gert G. Wagner</t>
  </si>
  <si>
    <t>Autonomie und Struktur in Selbstlernarchitekturen</t>
  </si>
  <si>
    <t>Christiane Maier Reinhard-Daniel Wrana</t>
  </si>
  <si>
    <t>Kritische Vernunft fÃ¼r demokratische Transformationen</t>
  </si>
  <si>
    <t>Brigitte GeiÃŸel-Alexandra Manske</t>
  </si>
  <si>
    <t>Findigkeit in unsicheren Zeiten</t>
  </si>
  <si>
    <t>Heike Solga-Denis Huschka-Gert G. Wagner-Patricia Eilsberger</t>
  </si>
  <si>
    <t>Auf Erfolgen aufbauend</t>
  </si>
  <si>
    <t>Rat fÃ¼r Sozial- und Wirtschaftsdaten (Ra</t>
  </si>
  <si>
    <t>Soziale Beziehungen und Leistungsmotivation</t>
  </si>
  <si>
    <t>DÃ¶lf Looser</t>
  </si>
  <si>
    <t>Building on Progress</t>
  </si>
  <si>
    <t>German Data Forum</t>
  </si>
  <si>
    <t>Gestaltungsraum Hochschullehre</t>
  </si>
  <si>
    <t>Benjamin Klages-Marion Bonillo-Stefan Reinders-Axel Bohmeyer</t>
  </si>
  <si>
    <t>Kompetenzentwicklung und organisationale VerÃ¤nderung</t>
  </si>
  <si>
    <t>Petra F. KÃ¶ster</t>
  </si>
  <si>
    <t>Weibliche Genitalbeschneidung im Kontext von Migration</t>
  </si>
  <si>
    <t>Isabelle Ihring</t>
  </si>
  <si>
    <t>Soziale Netzwerke in gemeinschaftlichen Wohnprojekten</t>
  </si>
  <si>
    <t>Christine Philippsen</t>
  </si>
  <si>
    <t>Praxis der Individualisierung</t>
  </si>
  <si>
    <t>Patrik Widmer-Wolf</t>
  </si>
  <si>
    <t>Gewalt als Risiko in der offenen Jugendarbeit</t>
  </si>
  <si>
    <t>Ursula Unterkofler</t>
  </si>
  <si>
    <t>(De-)Thematisierung von Geschlecht</t>
  </si>
  <si>
    <t>Sabine Klinger</t>
  </si>
  <si>
    <t>Migration und Lebenszufriedenheit</t>
  </si>
  <si>
    <t>Sylvia KÃ¤mpfer</t>
  </si>
  <si>
    <t>Segmentierte AusbildungsmÃ¤rkte</t>
  </si>
  <si>
    <t>Paula Protsch</t>
  </si>
  <si>
    <t>Raum â€“ Weltbild â€“ Kontrolle</t>
  </si>
  <si>
    <t>Nils Zurawski</t>
  </si>
  <si>
    <t>MÃ¤dchen auf dem Weg ins Erwerbsleben: WÃ¼nsche, Werte, Berufsbilder</t>
  </si>
  <si>
    <t>Lore Funk-Wenka Wentzel</t>
  </si>
  <si>
    <t>The Hybridization of Vocational Training and Higher Education in Austria, Germany, and Switzerland</t>
  </si>
  <si>
    <t>Lukas Graf</t>
  </si>
  <si>
    <t>Eine relationale Perspektive auf Lernen</t>
  </si>
  <si>
    <t>Franz Schaller</t>
  </si>
  <si>
    <t>Paradigmenwechsel als Feld strukturellen Lernens</t>
  </si>
  <si>
    <t>Birgit Hilliger</t>
  </si>
  <si>
    <t>Ehrliche Unehrlichkeit</t>
  </si>
  <si>
    <t>Emanuela Chiapparini</t>
  </si>
  <si>
    <t>Organisationsgebundene pÃ¤dagogische ProfessionalitÃ¤t</t>
  </si>
  <si>
    <t>Hildegard Schicke</t>
  </si>
  <si>
    <t>Mehrdimensionale Bildung im Kontext Kommunaler Bildungslandschaften</t>
  </si>
  <si>
    <t>Christoph Berse</t>
  </si>
  <si>
    <t>Kinder- und Jugendhilfereport 2018</t>
  </si>
  <si>
    <t>Melanie BÃ¶wing-Schmalenbrock-Sandra Fendrich-Katharina Kopp-Christiane Meiner- Teubner-Thomas MÃ¼hlmann-Sylvia MÃ¼ller-Jens Pothmann-Thomas Rauschenbach-Matthias Schilling-Agathe Tabel-Nadine Feller</t>
  </si>
  <si>
    <t>Zwischen Sandkasten und Abschiebung</t>
  </si>
  <si>
    <t>Anne Wihstutz</t>
  </si>
  <si>
    <t>Leadership in Early Education in Times of Change</t>
  </si>
  <si>
    <t>Johanna Heikka-Eeva Hujala-Jillian Rodd-Petra Strehmel-Manjula Waniganayake</t>
  </si>
  <si>
    <t>Interventions Against Child Abuse and Violence Against Women</t>
  </si>
  <si>
    <t>Carol Hagemann-White-Liz Kelly-Thomas Meysen</t>
  </si>
  <si>
    <t>Elementar â€“ MÃ¤nner in der pÃ¤dagogischen Arbeit mit Kindern</t>
  </si>
  <si>
    <t>Josef Christian Aigner-Tim Rohrmann</t>
  </si>
  <si>
    <t>Gemeinsam Karriere machen</t>
  </si>
  <si>
    <t>Alessandra Rusconi-Heike Solga</t>
  </si>
  <si>
    <t>Transitionen in der Erwachsenenbildung</t>
  </si>
  <si>
    <t>Henning PÃ¤tzold-Sabine Schmidt-Lauff-Heide von Felden</t>
  </si>
  <si>
    <t>The Regional Security Puzzle Around Afghanistan</t>
  </si>
  <si>
    <t>Helena RytÃ¶vuori-Apunen</t>
  </si>
  <si>
    <t>Differente Lernkulturen â€“ regional, national, transnational</t>
  </si>
  <si>
    <t>Olaf DÃ¶rner-Carola Iller-Henning PÃ¤tzold-Steffi Robak</t>
  </si>
  <si>
    <t>Familienleitbilder in Deutschland</t>
  </si>
  <si>
    <t>Norbert F. Schneider-Sabine DiabatÃ©-Kerstin Ruckdeschel</t>
  </si>
  <si>
    <t>Soziale Arbeit als Profession</t>
  </si>
  <si>
    <t>Katharina Motzke</t>
  </si>
  <si>
    <t>MÃ¤nnlichkeiten</t>
  </si>
  <si>
    <t>JÃ¼rgen Budde-Christine Thon-Katharina Walgenbach</t>
  </si>
  <si>
    <t>FriedenspÃ¤dagogik und Gewaltfreiheit</t>
  </si>
  <si>
    <t>Norbert Frieters-Reermann-Gregor Lang-Wojtasik</t>
  </si>
  <si>
    <t>Das Geschlecht der Migration â€“ Bildungsprozesse in UngleichheitsverhÃ¤ltnissen</t>
  </si>
  <si>
    <t>Isabell Diehm-Astrid Messerschmidt</t>
  </si>
  <si>
    <t>Needs Analysis and Programme Planning in Adult Education</t>
  </si>
  <si>
    <t>Simona Sava</t>
  </si>
  <si>
    <t>Soziale Arbeit in der Migrationsgesellschaft</t>
  </si>
  <si>
    <t>Martin Spetsmann-Kunkel-Norbert Frieters-Reermann</t>
  </si>
  <si>
    <t>Geschlecht zwischen Struktur und Subjekt</t>
  </si>
  <si>
    <t>Julia Graf-Kristin Ideler-Sabine Klinger</t>
  </si>
  <si>
    <t>Planlos durchs Praktikum?</t>
  </si>
  <si>
    <t>Samuel Krattenmacher</t>
  </si>
  <si>
    <t>Unternehmerfamilien</t>
  </si>
  <si>
    <t>Isabell Stamm</t>
  </si>
  <si>
    <t>Health Among the Elderly in Germany</t>
  </si>
  <si>
    <t>Gabriele Doblhammer-Reiter</t>
  </si>
  <si>
    <t>Vorausberechnung von Verwandtschaft</t>
  </si>
  <si>
    <t>Christian Dudel</t>
  </si>
  <si>
    <t>Economic Competence and Financial Literacy of Young Adults</t>
  </si>
  <si>
    <t>Eveline Wuttke-JÃ¼rgen Seifried-Stephan Schumann</t>
  </si>
  <si>
    <t>Ambulante Hilfe zur Erziehung und Sozialraumorientierung</t>
  </si>
  <si>
    <t>Mechthild Seithe-Matthias Heintz</t>
  </si>
  <si>
    <t>The Base of the Iceberg</t>
  </si>
  <si>
    <t>Alan Rogers</t>
  </si>
  <si>
    <t>Mittendrin?</t>
  </si>
  <si>
    <t>FAMILY &amp; RELATIONSHIPS / Life Stages / Later Years</t>
  </si>
  <si>
    <t>Norbert F. Schneider-Andreas Mergenthaler-Ursula M. Staudinger-Ines Sackreuther</t>
  </si>
  <si>
    <t>Bildung im gesellschaftlichen Wandel</t>
  </si>
  <si>
    <t>Juliane Engel-AndrÃ© Epp-Julia Lipkina-Sebastian Schinkel-Henrike Terhart-Anke Wischmann</t>
  </si>
  <si>
    <t>Die erste Generation â€“ Pionier:innen der migrationsbezogenen (Sozial-)PÃ¤dagogik</t>
  </si>
  <si>
    <t>Sabine Jungk</t>
  </si>
  <si>
    <t>Social Policies and Institutional Reform in Post-COVID Cuba</t>
  </si>
  <si>
    <t>Bert Hoffmann</t>
  </si>
  <si>
    <t>Optimierung</t>
  </si>
  <si>
    <t>Henrike Terhart-Sandra Hofhues-Elke Kleinau</t>
  </si>
  <si>
    <t>Kulturelle Vielfalt der Ã¶ffentlichen Verwaltung</t>
  </si>
  <si>
    <t>Andreas Ette-Sophie Straub-Martin Weinmann-Norbert F. Schneider</t>
  </si>
  <si>
    <t>Jungen als Bildungsgewinner</t>
  </si>
  <si>
    <t>Michael Richter</t>
  </si>
  <si>
    <t>Kindliche Zeitpraktiken in KiTa und Grundschule</t>
  </si>
  <si>
    <t>Tilmann Wahne</t>
  </si>
  <si>
    <t>FunktionalitÃ¤t von Kultur in der Weltgesellschaft</t>
  </si>
  <si>
    <t>Barbara Conrad-GrÃ¼ner</t>
  </si>
  <si>
    <t>Die Erfahrung von Armut</t>
  </si>
  <si>
    <t>Franz Erhard</t>
  </si>
  <si>
    <t>Power, Alliances, and Redistribution</t>
  </si>
  <si>
    <t>Carl Friedrich Bossert</t>
  </si>
  <si>
    <t>Professionalisierung pÃ¤dagogischer Fach- und LehrkrÃ¤fte in der frÃ¼hen MINT-Bildung</t>
  </si>
  <si>
    <t>Diemut Kucharz-Lisa Ã–z-Julia Katharina Schmidt-Nina Skorsetz-Mirjam Steffensky-Stiftung Haus der kleinen Forscher</t>
  </si>
  <si>
    <t>International Perspectives on School Settings, Education Policy and Digital Strategies</t>
  </si>
  <si>
    <t>Annika Wilmers-Sieglinde Jornitz</t>
  </si>
  <si>
    <t>Handbuch Inklusion international / International Handbook of Inclusive Education</t>
  </si>
  <si>
    <t>Andreas KÃ¶pfer-Justin J.W. Powell-Raphael Zahnd</t>
  </si>
  <si>
    <t>PolÃ­ticas sociales y reforma institucional en la Cuba pos-COVID</t>
  </si>
  <si>
    <t>IntersektionalitÃ¤t und PostkolonialitÃ¤t</t>
  </si>
  <si>
    <t>Heike Mauer-Johanna Leinius</t>
  </si>
  <si>
    <t>Die Neumitgliederwerbung von SPD und CDU im Vergleich</t>
  </si>
  <si>
    <t>Simon Jakobs-Uwe Jun</t>
  </si>
  <si>
    <t>Strategische Partnerschaften in der AuÃŸenpolitik</t>
  </si>
  <si>
    <t>Alexandra Sitenko</t>
  </si>
  <si>
    <t>DiversitÃ¤tsorientierte Personalauswahl</t>
  </si>
  <si>
    <t>Silke Schreiber</t>
  </si>
  <si>
    <t>Vocational Education and Training in the Age of Digitization</t>
  </si>
  <si>
    <t>Eveline Wuttke-JÃ¼rgen Seifried-Helmut M. Niegemann</t>
  </si>
  <si>
    <t>Sprache und (Subjekt-)Bildung</t>
  </si>
  <si>
    <t>Vesna BjegaÄ</t>
  </si>
  <si>
    <t>Vergangene ZukuÌˆnfte â€“ neue Vergangenheiten</t>
  </si>
  <si>
    <t>Olaf DÃ¶rner-Anke GrotlÃ¼schen-Bernd KÃ¤pplinger-Gabriele Molzberger-JÃ¶rg Dinkelaker</t>
  </si>
  <si>
    <t>Das bisschen Haushalt</t>
  </si>
  <si>
    <t>Ruth Abramowski</t>
  </si>
  <si>
    <t>Elternschaft und Familie jenseits von HeteronormativitÃ¤t und Zweigeschlechtlichkeit</t>
  </si>
  <si>
    <t>FAMILY &amp; RELATIONSHIPS / Alternative Family</t>
  </si>
  <si>
    <t>Almut Peukert-Julia Teschlade-Christine Wimbauer-Mona Motakef-Elisabeth Holzleithner</t>
  </si>
  <si>
    <t>Gleichstellungspolitik an Hochschulen</t>
  </si>
  <si>
    <t>Ute Klammer-Lara AltenstÃ¤dter-Ralitsa Petrova-Stoyanov-Eva Wegrzyn</t>
  </si>
  <si>
    <t>Mentale und physische Gesundheit im Alter</t>
  </si>
  <si>
    <t>Fabio Franzese</t>
  </si>
  <si>
    <t>Gender Diversity in der Tech-Branche</t>
  </si>
  <si>
    <t>Franziska Beckert-Antje Ducki-Eva-Maria Dombrowski</t>
  </si>
  <si>
    <t>Bilinguale Interaktion beim Peer-Learning in der Grundschule</t>
  </si>
  <si>
    <t>Martin Schastak</t>
  </si>
  <si>
    <t>Armutsrisiko alleinerziehend</t>
  </si>
  <si>
    <t>Sabine HÃ¼bgen</t>
  </si>
  <si>
    <t>â€žFÃ¶rdern und Fordernâ€œ im Diskurs</t>
  </si>
  <si>
    <t>Katharina Zimmermann-Jan-Ocko Heuer</t>
  </si>
  <si>
    <t>Der Einfluss muslimischer ReligiositÃ¤t auf die gesellschaftliche Integration von Einwanderern in Deutschland</t>
  </si>
  <si>
    <t>Martina Sauer-Dirk Halm</t>
  </si>
  <si>
    <t>Lernprozesse Ã¼ber die Lebensspanne</t>
  </si>
  <si>
    <t>Monika Kastner-Jasmin Donlic-Barbara Hanfstingl-Elisabeth Jaksche-Hoffman</t>
  </si>
  <si>
    <t>Stiftungen, Zivilgesellschaft und soziale Differenz</t>
  </si>
  <si>
    <t>NilgÃ¼n DaÄŸlar-Sezer</t>
  </si>
  <si>
    <t>Zieldimensionen fÃ¼r Multiplikatorinnen und Multiplikatoren frÃ¼her MINT-Bildung</t>
  </si>
  <si>
    <t>Olaf KÃ¶ller-Johannes Magenheim-Heike Molitor-Uwe Pfenning-JÃ¶rg Ramseger-Mirjam Steffensky-Christian WiesmÃ¼ller-Esther Winther-Bernd Wollring-Stiftung Haus der kleinen Forscher</t>
  </si>
  <si>
    <t>Electric-Shock Weapons, Tasers and Policing</t>
  </si>
  <si>
    <t>Abi Dymond</t>
  </si>
  <si>
    <t>Laien, Wissen, Sprache</t>
  </si>
  <si>
    <t>Toke Hoffmeister-Markus Hundt-Saskia Naths</t>
  </si>
  <si>
    <t>Die fragmentierte Stadt</t>
  </si>
  <si>
    <t>JÃ¼rgen Krusche-Aya Domenig-Thomas SchÃ¤rer-Julia Weber</t>
  </si>
  <si>
    <t>Creative Selection Between Emending and Forming Medieval Memory</t>
  </si>
  <si>
    <t>Sebastian Scholz-Gerald Schwedler</t>
  </si>
  <si>
    <t>Confronting Antisemitism From Perspectives of Philosophy and Social Sciences</t>
  </si>
  <si>
    <t>Armin Lange-Kerstin Mayerhofer-Dina Porat-Lawrence H. Schiffman</t>
  </si>
  <si>
    <t>Valency Over Time</t>
  </si>
  <si>
    <t>Silvia Luraghi-Elisa Roma</t>
  </si>
  <si>
    <t>Rekrutierungen fÃ¼r die Waffen-SS in SÃ¼dosteuropa</t>
  </si>
  <si>
    <t>Franziska Anna Zaugg</t>
  </si>
  <si>
    <t>Uncertain Values</t>
  </si>
  <si>
    <t>Stefan Riedener</t>
  </si>
  <si>
    <t>Clarice Lispector â€“ Weltliteratur?</t>
  </si>
  <si>
    <t>Leonie Meyer-Krentler</t>
  </si>
  <si>
    <t>Digital Roots</t>
  </si>
  <si>
    <t>Gabriele Balbi-Nelson Ribeiro-ValÃ©rie Schafer-Christian Schwarzenegger</t>
  </si>
  <si>
    <t>La identidad mexicana en libros escolares y narrativas</t>
  </si>
  <si>
    <t>Alba Nalleli GarcÃ­a AgÃ¼ero</t>
  </si>
  <si>
    <t>Beyond Exceptionalism</t>
  </si>
  <si>
    <t>Rebekka Mallinckrodt-Josef KÃ¶stlbauer-Sarah Lentz</t>
  </si>
  <si>
    <t>Lesepraktiken im antiken Judentum</t>
  </si>
  <si>
    <t>Jonas Leipziger</t>
  </si>
  <si>
    <t>Die BegrÃ¼ndung des Realen</t>
  </si>
  <si>
    <t>Claudia Wirsing</t>
  </si>
  <si>
    <t>Handbook of Empirical Literary Studies</t>
  </si>
  <si>
    <t>Donald Kuiken-Arthur M. Jacobs</t>
  </si>
  <si>
    <t>â€ºWort fÃ¼r Wortâ€¹ â€“ LektÃ¼ren zum Werk von Oswald Egger</t>
  </si>
  <si>
    <t>Martin Endres-Ralf Simon</t>
  </si>
  <si>
    <t>Early Thirteenth-Century English Franciscan Thought</t>
  </si>
  <si>
    <t>Lydia Schumacher</t>
  </si>
  <si>
    <t>Chronicles and the Priestly Literature of the Hebrew Bible</t>
  </si>
  <si>
    <t>Jaeyoung Jeon-Louis C. Jonker</t>
  </si>
  <si>
    <t>Vergemeinschaftung und Distinktion</t>
  </si>
  <si>
    <t>Kristin Weiser-ZurmÃ¼hlen</t>
  </si>
  <si>
    <t>Herrschaftsumbruch und Historiographie</t>
  </si>
  <si>
    <t>Markus Krumm</t>
  </si>
  <si>
    <t>La literatura latinoamericana en versiÃ³n francesa</t>
  </si>
  <si>
    <t>Gustavo Guerrero-Gersende Camenen</t>
  </si>
  <si>
    <t>Land</t>
  </si>
  <si>
    <t>Sarah Ruth Sippel-Michaela BÃ¶hme</t>
  </si>
  <si>
    <t>Paragesellschaften</t>
  </si>
  <si>
    <t>Teresa Hiergeist-Agnes Bidmon-Simone Broders-Katharina Gerund</t>
  </si>
  <si>
    <t>Trading Zones of Digital History</t>
  </si>
  <si>
    <t>Max Kemman</t>
  </si>
  <si>
    <t>Ernst Papanek and Jewish Refugee Children</t>
  </si>
  <si>
    <t>Francesco da Barberino al crocevia</t>
  </si>
  <si>
    <t>LANGUAGE STUDY / Romance Languages (Other)</t>
  </si>
  <si>
    <t>Sara Bischetti-Antonio Montefusco</t>
  </si>
  <si>
    <t>System- and Data-Driven Methods and Algorithms</t>
  </si>
  <si>
    <t>Peter Benner-et al.</t>
  </si>
  <si>
    <t>Magnetic Hybrid-Materials</t>
  </si>
  <si>
    <t>Stefan Odenbach</t>
  </si>
  <si>
    <t>Augustus Hopkins Strong and the Struggle to Reconcile Christian Theology with Modern Thought</t>
  </si>
  <si>
    <t>John Aloisi</t>
  </si>
  <si>
    <t>En Esur ('Ein Asawir) III: Excavations in the Bronze Age Cemetery</t>
  </si>
  <si>
    <t>Yehuda Dagan-Shelley Sadeh</t>
  </si>
  <si>
    <t>A Jewel in the Crown II</t>
  </si>
  <si>
    <t>Carlos R. Stroud-Gina A. Kern</t>
  </si>
  <si>
    <t>A Pathway to Excellence</t>
  </si>
  <si>
    <t>Bruce R. Smoller</t>
  </si>
  <si>
    <t>Significance in Language</t>
  </si>
  <si>
    <t>Jim Feist</t>
  </si>
  <si>
    <t>Queer Rebels</t>
  </si>
  <si>
    <t>Åukasz Smuga</t>
  </si>
  <si>
    <t>Combating Poverty and Social Exclusion in European Union Law</t>
  </si>
  <si>
    <t>Ane Aranguiz</t>
  </si>
  <si>
    <t>Hidden Cities</t>
  </si>
  <si>
    <t>Fabrizio Nevola-David Rosenthal-Nicholas Terpstra</t>
  </si>
  <si>
    <t>Archaeological 3D GIS</t>
  </si>
  <si>
    <t>NicolÃ² Dellâ€™Unto-Giacomo Landeschi</t>
  </si>
  <si>
    <t>Migration in Africa</t>
  </si>
  <si>
    <t>Michiel de Haas-Ewout Frankema</t>
  </si>
  <si>
    <t>The Right-Wing Critique of Europe</t>
  </si>
  <si>
    <t>Joanna Sondel-Cedarmas-Francesco Berti</t>
  </si>
  <si>
    <t>Atlas of Salivary Glands Diseases</t>
  </si>
  <si>
    <t>MEDICAL / Atlases</t>
  </si>
  <si>
    <t>Salma Mohammed Al Sheibani</t>
  </si>
  <si>
    <t>Islam, Justice, and Democracy</t>
  </si>
  <si>
    <t>Sabri Ciftci</t>
  </si>
  <si>
    <t>Das Deutsche als europÃ¤ische Sprache</t>
  </si>
  <si>
    <t>Gisela Zifonun</t>
  </si>
  <si>
    <t>The Twilight of the Avant-Garde</t>
  </si>
  <si>
    <t>Jonathan Mayhew</t>
  </si>
  <si>
    <t>The Letters of Elizabeth Rigby, Lady Eastlake</t>
  </si>
  <si>
    <t>Julie Sheldon</t>
  </si>
  <si>
    <t>The Historical Jesus and the Literary Imagination 1860â€“1920</t>
  </si>
  <si>
    <t>Jennifer Stevens</t>
  </si>
  <si>
    <t>Middlebrow Matters</t>
  </si>
  <si>
    <t>Diana Holmes</t>
  </si>
  <si>
    <t>Essentials of Financial Management</t>
  </si>
  <si>
    <t>Jason Laws</t>
  </si>
  <si>
    <t>Ciaran Carson</t>
  </si>
  <si>
    <t>Neal Alexander</t>
  </si>
  <si>
    <t>Improvising Reconciliation</t>
  </si>
  <si>
    <t>Ed Charlton</t>
  </si>
  <si>
    <t>The Politics of Knowledge in Inclusive Development and Innovation</t>
  </si>
  <si>
    <t>David Ludwig-Birgit Boogaard-Phil Macnaghten-Cees Leeuwis</t>
  </si>
  <si>
    <t>The Graveyard and the Table</t>
  </si>
  <si>
    <t>Justyna Straczuk</t>
  </si>
  <si>
    <t>El espaÃ±ol de Granada.</t>
  </si>
  <si>
    <t>MarÃ­a de la Mercedes Soto Melgar-Anna Zholobova</t>
  </si>
  <si>
    <t>Archaeology and History of Toraijin</t>
  </si>
  <si>
    <t>Song-nai Rhee-C. Melvin Aikens-Gina L. Barnes</t>
  </si>
  <si>
    <t>Making Research Matter</t>
  </si>
  <si>
    <t>Tara Lamont</t>
  </si>
  <si>
    <t>The Novel in the Spanish Silver Age</t>
  </si>
  <si>
    <t>JosÃ© Calvo Tello</t>
  </si>
  <si>
    <t>Tattoos zeigen</t>
  </si>
  <si>
    <t>Susanna Kumschick</t>
  </si>
  <si>
    <t>Mit Geld spielt man nicht!</t>
  </si>
  <si>
    <t>Gerd MÃ¶ll</t>
  </si>
  <si>
    <t>Der abwesende SouverÃ¤n</t>
  </si>
  <si>
    <t>Max Roehl</t>
  </si>
  <si>
    <t>Narco-Rap</t>
  </si>
  <si>
    <t>Christiane M. GoÃŸen</t>
  </si>
  <si>
    <t>Das Regieren der Favela</t>
  </si>
  <si>
    <t>Stephan Lanz</t>
  </si>
  <si>
    <t>Medien der Forensik</t>
  </si>
  <si>
    <t>Verkehr im Kapitalismus</t>
  </si>
  <si>
    <t>Stadtklanggestaltung</t>
  </si>
  <si>
    <t>Thomas Kusitzky</t>
  </si>
  <si>
    <t>Post/pandemisches Leben</t>
  </si>
  <si>
    <t>Yener Bayramoglu-MarÃ­a do Mar Castro Varela</t>
  </si>
  <si>
    <t>Medien und Techniken der Wahrheit</t>
  </si>
  <si>
    <t>Anne Fleckstein</t>
  </si>
  <si>
    <t>Kompromisslose RÃ¤ume</t>
  </si>
  <si>
    <t>Carolin Mehnert</t>
  </si>
  <si>
    <t>Ikonische KohÃ¤renz</t>
  </si>
  <si>
    <t>Claudia Ba</t>
  </si>
  <si>
    <t>Radikale Wirklichkeiten</t>
  </si>
  <si>
    <t>Julia Buchberger-Patrick Kohn-Max Reiniger</t>
  </si>
  <si>
    <t>Repensar la RevoluciÃ³n del Poncho</t>
  </si>
  <si>
    <t>Andrea Heidy MÃ¼ller</t>
  </si>
  <si>
    <t>Powerful Prose</t>
  </si>
  <si>
    <t>R. L. Victoria PÃ¶hls-Mariane Utudji</t>
  </si>
  <si>
    <t>Die Eigentumsfrage im 21. Jahrhundert</t>
  </si>
  <si>
    <t>Alexander von Pechmann</t>
  </si>
  <si>
    <t>Der Fall Colonia Dignidad</t>
  </si>
  <si>
    <t>Jan Stehle</t>
  </si>
  <si>
    <t>Gott, Gaia und eine neue Gesellschaft</t>
  </si>
  <si>
    <t>Daniel Bogner-Michael SchÃ¼ÃŸler-Christian Bauer</t>
  </si>
  <si>
    <t>Rassismus. Macht. Vergessen.</t>
  </si>
  <si>
    <t>Onur Suzan Nobrega-Matthias Quent-Jonas Zipf</t>
  </si>
  <si>
    <t>Moving Matter: Nicht-menschliche KÃ¶rper in zeitgenÃ¶ssischen Choreografien</t>
  </si>
  <si>
    <t>Martina Ruhsam</t>
  </si>
  <si>
    <t>Cyborg werden</t>
  </si>
  <si>
    <t>Dagmar Fink</t>
  </si>
  <si>
    <t>Wenn Parlamente vors Volk ziehen</t>
  </si>
  <si>
    <t>Nils Arne Brockmann</t>
  </si>
  <si>
    <t>Instabile Bildlichkeit</t>
  </si>
  <si>
    <t>Nicolas Oxen</t>
  </si>
  <si>
    <t>Moves - Spaces - Places</t>
  </si>
  <si>
    <t>Lisa Johnson</t>
  </si>
  <si>
    <t>Krieg und Geschlecht im 20. Jahrhundert</t>
  </si>
  <si>
    <t>Vincent Streichhahn-Riccardo Altieri</t>
  </si>
  <si>
    <t>Oswald Mathias Ungers and Rem Koolhaas</t>
  </si>
  <si>
    <t>Lara Schrijver</t>
  </si>
  <si>
    <t>Ohnmacht in der Demokratie</t>
  </si>
  <si>
    <t>Nikolai Huke</t>
  </si>
  <si>
    <t>Ã–ffnung â€“ SchlieÃŸung â€“ Ãœbertritte</t>
  </si>
  <si>
    <t>Iris Meinen-Nils Lehnert</t>
  </si>
  <si>
    <t>Dancing Youth</t>
  </si>
  <si>
    <t>Sandra KurfÃ¼rst</t>
  </si>
  <si>
    <t>Queere Praktiken der Reproduktion</t>
  </si>
  <si>
    <t>Sarah Charlotte Dionisius</t>
  </si>
  <si>
    <t>Die Wirklichkeit lesen</t>
  </si>
  <si>
    <t>Lisa Gensluckner-Michaela Ralser-Oscar Thomas-Olalde-Erol Yildiz</t>
  </si>
  <si>
    <t>Arbeit und Behinderung</t>
  </si>
  <si>
    <t>Sarah Karim</t>
  </si>
  <si>
    <t>In digitaler Gesellschaft</t>
  </si>
  <si>
    <t>Kathrin Braun-Cordula Kropp</t>
  </si>
  <si>
    <t>Zones of Tradition - Places of Identity</t>
  </si>
  <si>
    <t>Gerhard Vinken</t>
  </si>
  <si>
    <t>Images on the Move</t>
  </si>
  <si>
    <t>Olga Moskatova</t>
  </si>
  <si>
    <t>Autonome Autos</t>
  </si>
  <si>
    <t>Taking Sides</t>
  </si>
  <si>
    <t>Elke Bippus-Anne Ganzert-Isabell Otto</t>
  </si>
  <si>
    <t>Social Media and Hate</t>
  </si>
  <si>
    <t>Shakuntala Banaji-Ramnath Bhat</t>
  </si>
  <si>
    <t>KÃ¶rper in biografieanalytischer Perspektive</t>
  </si>
  <si>
    <t>Sabine Gabriel</t>
  </si>
  <si>
    <t>Der Preis der Autonomie: Wie sorgende AngehÃ¶rige Live-in-ArbeitsverhÃ¤ltnisse ausgestalten</t>
  </si>
  <si>
    <t>Verena Rossow</t>
  </si>
  <si>
    <t>Gelingensbedingungen pÃ¤dagogischer IntegrationsfÃ¶rderung</t>
  </si>
  <si>
    <t>Tamara Ehmann</t>
  </si>
  <si>
    <t>Prosa: Theorie, Exegese, Geschichte</t>
  </si>
  <si>
    <t>Sina Dellâ€™Anno-Achim Imboden-Ralf Simon-Jodok TrÃ¶sch</t>
  </si>
  <si>
    <t>Berliner Weltliteraturen</t>
  </si>
  <si>
    <t>Jutta MÃ¼ller-Tamm</t>
  </si>
  <si>
    <t>Touch in the Time of Corona</t>
  </si>
  <si>
    <t>Henriette Steiner-Kristin Veel</t>
  </si>
  <si>
    <t>Gewalt in Laktanzâ€™ â€ºDe mortibus persecutorumâ€¹</t>
  </si>
  <si>
    <t>Gianna Zipp</t>
  </si>
  <si>
    <t>QualitÃ¤t in der InhaltserschlieÃŸung</t>
  </si>
  <si>
    <t>Michael Franke-Maier-Anna Kasprzik-Andreas Ledl-Hans SchÃ¼rmann</t>
  </si>
  <si>
    <t>Making Black History</t>
  </si>
  <si>
    <t>Dominique Haensell</t>
  </si>
  <si>
    <t>Les normes de prononciation du franÃ§ais</t>
  </si>
  <si>
    <t>Marc Chalier</t>
  </si>
  <si>
    <t>History of Philosophy and the Reflective Society</t>
  </si>
  <si>
    <t>Riccardo Pozzo</t>
  </si>
  <si>
    <t>The Lumumba Generation</t>
  </si>
  <si>
    <t>Daniel TÃ¶dt</t>
  </si>
  <si>
    <t>Kritische Edition der sahidischen Version des Johannesevangeliums</t>
  </si>
  <si>
    <t>RELIGION / Biblical Reference / Language Study</t>
  </si>
  <si>
    <t>Hans FÃ¶rster-Kerstin SÃ¤nger-BÃ¶hm-Matthias H. O. Schulz</t>
  </si>
  <si>
    <t>Genetic Surveillance and Crime Control</t>
  </si>
  <si>
    <t>SÃ¡mi Research in Transition</t>
  </si>
  <si>
    <t>Laura Junka-Aikio-Jukka NyyssÃ¶nen-Veli-Pekka Lehtola</t>
  </si>
  <si>
    <t>The Reflector</t>
  </si>
  <si>
    <t>Jennifer Battaglia-Margie Hodges Shaw-Susan Daiss-Martha Gdowski</t>
  </si>
  <si>
    <t>Computer als SchÃ¶pfer</t>
  </si>
  <si>
    <t>Niklas Maamar</t>
  </si>
  <si>
    <t>Archaeological Excavations and Research Studies in Southern Israel: Collected Papers Volume 4: 17th Annual Southern Conference / ×—×¤×™×¨×•×ª ×•×ž×—×§×¨×™× ××¨×›×™××•×œ×•×’×™×™× ×‘×“×¨×•× ×”××¨×¥: ×§×•×‘×¥ ×ž×—×§×¨×™× ×›×¨×š ×“': ×›× ×¡ ×“×¨×•× ×”-×™'×–</t>
  </si>
  <si>
    <t>Amir Golani-Daniel Varga-Gunnar Lehmann-Yana Tchekhanovets</t>
  </si>
  <si>
    <t>New Studies in the Archaeology of Northern Israel / ×—×™×“×•×©×™× ×‘××¨×›×™××•×œ×•×’×™×” ×©×œ ×¦×¤×•×Ÿ ××¨×¥ ×™×©×¨××œ</t>
  </si>
  <si>
    <t>Karen Covello-Para-Adi Erlich-Ron Beeri</t>
  </si>
  <si>
    <t>Grazing Communities</t>
  </si>
  <si>
    <t>Letizia Bindi</t>
  </si>
  <si>
    <t>Powertrain Systems for Net-Zero Transport</t>
  </si>
  <si>
    <t>Institution of Mechanical Engineers (IMe</t>
  </si>
  <si>
    <t>The Political Economy of Coal</t>
  </si>
  <si>
    <t>Michael Jakob-Jan C. Steckel</t>
  </si>
  <si>
    <t>Interactive Peacemaking</t>
  </si>
  <si>
    <t>Susan H. Allen</t>
  </si>
  <si>
    <t>Racialized Health, COVID-19, and Religious Responses</t>
  </si>
  <si>
    <t>R. Drew Smith-Stephanie C. Boddie-Bertis D. English</t>
  </si>
  <si>
    <t>Von den Nazis vertrieben</t>
  </si>
  <si>
    <t>Detlef Garz</t>
  </si>
  <si>
    <t>Methoden kontrastiver Medienlinguistik</t>
  </si>
  <si>
    <t>Susanne Tienken-Stefan Hauser-Hartmut Lenk-Martin LuginbÃ¼hl</t>
  </si>
  <si>
    <t>Relatar la catÃ¡strofe en el Siglo de Oro</t>
  </si>
  <si>
    <t>Gennaro Schiano</t>
  </si>
  <si>
    <t>A Stage of Emancipation</t>
  </si>
  <si>
    <t>DRAMA / European / English, Irish, Scottish, Welsh</t>
  </si>
  <si>
    <t>MarguÃ©rite Corporaal-Ruud van den Beuken</t>
  </si>
  <si>
    <t>Reconstructing Public Housing</t>
  </si>
  <si>
    <t>Matthew Thompson</t>
  </si>
  <si>
    <t>From Slavery to Civil Rights</t>
  </si>
  <si>
    <t>Hilary McLaughlin-Stonham</t>
  </si>
  <si>
    <t>The Persistence of Memory</t>
  </si>
  <si>
    <t>Jessica Moody</t>
  </si>
  <si>
    <t>Butinage</t>
  </si>
  <si>
    <t>Yonatan N. Gez-Yvan Droz-Jeanne Rey-Edio Soares</t>
  </si>
  <si>
    <t>Dostoevsky at 200</t>
  </si>
  <si>
    <t>Katherine Bowers-Kate Holland</t>
  </si>
  <si>
    <t>Global University Rankings and the Politics of Knowledge</t>
  </si>
  <si>
    <t>Michelle Stack</t>
  </si>
  <si>
    <t>Refugee States</t>
  </si>
  <si>
    <t>Vinh Nguyen-Thy Phu</t>
  </si>
  <si>
    <t>Liber Uricrisiarum</t>
  </si>
  <si>
    <t>Henry Daniel-E.Ruth Harvey-M. Teresa Tavormina-Sarah Star</t>
  </si>
  <si>
    <t>Clandestine Philosophy</t>
  </si>
  <si>
    <t>Gianni Paganini-Margaret C. Jacob-John Christian Laursen</t>
  </si>
  <si>
    <t>Right Across the World</t>
  </si>
  <si>
    <t>John Feffer</t>
  </si>
  <si>
    <t>The Politics of Climate Change Knowledge</t>
  </si>
  <si>
    <t>Nowrin Tabassum</t>
  </si>
  <si>
    <t>Pathways for Irregular Forces in Southeast Asia</t>
  </si>
  <si>
    <t>Atsushi Yasutomi-Rosalie Arcala Hall-Saya Kiba</t>
  </si>
  <si>
    <t>Latour for Architects</t>
  </si>
  <si>
    <t>Albena Yaneva</t>
  </si>
  <si>
    <t>Words in Space and Time</t>
  </si>
  <si>
    <t>Tomasz Kamusella</t>
  </si>
  <si>
    <t>Staged Otherness</t>
  </si>
  <si>
    <t>DagnosÅ‚aw Demski-Dominika Czarnecka</t>
  </si>
  <si>
    <t>Sex, Identity, Aesthetics</t>
  </si>
  <si>
    <t>Jina B. Kim-Joshua Kupetz-Crystal Yin Lie-Cynthia Wu</t>
  </si>
  <si>
    <t>Yearbook of the Maimonides Centre for Advanced Studies. 2019</t>
  </si>
  <si>
    <t>Yoav Meyrav</t>
  </si>
  <si>
    <t>Antioxidants in Sport Nutrition</t>
  </si>
  <si>
    <t>Manfred Lamprecht</t>
  </si>
  <si>
    <t>The Geographies of Threat and the Production of Violence</t>
  </si>
  <si>
    <t>Rasul A Mowatt</t>
  </si>
  <si>
    <t>Sustainable Development Goal 3</t>
  </si>
  <si>
    <t>Ben Y. F. Fong-Vincent T. S. Law</t>
  </si>
  <si>
    <t>Postmodern Love in the Contemporary Jewish Imagination</t>
  </si>
  <si>
    <t>Efraim Sicher</t>
  </si>
  <si>
    <t>Energy Transition in the Baltic Sea Region</t>
  </si>
  <si>
    <t>Farid Karimi-Michael Rodi</t>
  </si>
  <si>
    <t>Postsocialist Shrinking Cities</t>
  </si>
  <si>
    <t>Chung-Tong Wu-Maria Gunko-Tadeusz Stryjakiewicz-Kai Zhou</t>
  </si>
  <si>
    <t>Friendship and Technology</t>
  </si>
  <si>
    <t>FAMILY &amp; RELATIONSHIPS / Friendship</t>
  </si>
  <si>
    <t>Tiffany A. Petricini</t>
  </si>
  <si>
    <t>Infectious Inequalities</t>
  </si>
  <si>
    <t>Qijun Han-Daniel R. Curtis</t>
  </si>
  <si>
    <t>Zurechnungsfragen des Betrugstatbestands.</t>
  </si>
  <si>
    <t>Jan Rennicke</t>
  </si>
  <si>
    <t>Xenopus</t>
  </si>
  <si>
    <t>Abraham Fainsod-Sally A. Moody</t>
  </si>
  <si>
    <t>Making Muslim Women European</t>
  </si>
  <si>
    <t>Fabio Giomi</t>
  </si>
  <si>
    <t>The Tsar, The Empire, and The Nation</t>
  </si>
  <si>
    <t>Darius StaliÅ«nas-Yoko Aoshima</t>
  </si>
  <si>
    <t>Nation and Migration</t>
  </si>
  <si>
    <t>GyÃ¶rgy Csepeli-Antal Ã–rkÃ©ny</t>
  </si>
  <si>
    <t>The Anatomy of Post-Communist Regimes</t>
  </si>
  <si>
    <t>BÃ¡lint Magyar-BÃ¡lint Madlovics</t>
  </si>
  <si>
    <t>Living in a Nuclear World</t>
  </si>
  <si>
    <t>Bernadette Bensaude-Vincent-Soraya Boudia-Kyoko Sato</t>
  </si>
  <si>
    <t>Indirect Education</t>
  </si>
  <si>
    <t>Herner Saeverot</t>
  </si>
  <si>
    <t>Religion and the COVID-19 Pandemic in Southern Africa</t>
  </si>
  <si>
    <t>Fortune Sibanda-Tenson Muyambo-Ezra Chitando</t>
  </si>
  <si>
    <t>European Foreign Policy in a Decarbonising World</t>
  </si>
  <si>
    <t>Sebastian OberthÃ¼r-Dennis TÃ¤nzler-Emily Wright-Gauri Khandekar</t>
  </si>
  <si>
    <t>Ingmar Bergman</t>
  </si>
  <si>
    <t>Erik Hedling</t>
  </si>
  <si>
    <t>Transcendent God, Rational World</t>
  </si>
  <si>
    <t>Ramon Harvey</t>
  </si>
  <si>
    <t>Modernism and the Choreographic Imagination</t>
  </si>
  <si>
    <t>DRAMA / European / General</t>
  </si>
  <si>
    <t>Megan Girdwood</t>
  </si>
  <si>
    <t>Age of Rogues</t>
  </si>
  <si>
    <t>HISTORY / Europe / Former Soviet Republics</t>
  </si>
  <si>
    <t>Ramazan HakkÄ± Ã–ztan-Alp Yenen</t>
  </si>
  <si>
    <t>Tensional Responsiveness</t>
  </si>
  <si>
    <t>Doerte Weig</t>
  </si>
  <si>
    <t>MÃ¤nner im Schwangerschaftskonflikt</t>
  </si>
  <si>
    <t>Anika Steger</t>
  </si>
  <si>
    <t>Stadtforschung als Gesellschaftsforschung</t>
  </si>
  <si>
    <t>Johanna Rolshoven</t>
  </si>
  <si>
    <t>Paradoxa Ã¼ber Politik und Theater</t>
  </si>
  <si>
    <t>Susanne Schmieden</t>
  </si>
  <si>
    <t>Das PhÃ¤nomen Â»YizuÂ«</t>
  </si>
  <si>
    <t>Kimiko Suda</t>
  </si>
  <si>
    <t>Der lange Weg zum Internet</t>
  </si>
  <si>
    <t>Matthias RÃ¶hr</t>
  </si>
  <si>
    <t>Poetik des Kolibris</t>
  </si>
  <si>
    <t>Praxistheorien und Religionswissenschaft</t>
  </si>
  <si>
    <t>Katharina Limacher-Rafael Walthert</t>
  </si>
  <si>
    <t>Die Kunst der Einfachheit</t>
  </si>
  <si>
    <t>Nadine Wisotzki</t>
  </si>
  <si>
    <t>What Will Be Already Exists</t>
  </si>
  <si>
    <t>Emese KÃ¼rti-Zsuzsa LÃ¡szlÃ³</t>
  </si>
  <si>
    <t>Geschichte digital schreiben</t>
  </si>
  <si>
    <t>Christian Wachter</t>
  </si>
  <si>
    <t>Religion in der Altenpflege</t>
  </si>
  <si>
    <t>Susanne Stentenbach-Petzold</t>
  </si>
  <si>
    <t>Geschichten zerstÃ¶ren</t>
  </si>
  <si>
    <t>Viktor Konitzer</t>
  </si>
  <si>
    <t>Digitalisierung ethnologischer Sammlungen</t>
  </si>
  <si>
    <t>Hans Peter Hahn-Oliver Lueb-Katja MÃ¼ller-Karoline Noack</t>
  </si>
  <si>
    <t>Populismus und Mittelklasse</t>
  </si>
  <si>
    <t>Tobias Boos</t>
  </si>
  <si>
    <t>50 Jahre Zukunft â€“ FH Bielefeld 1971-2021</t>
  </si>
  <si>
    <t>Andreas Beaugrand</t>
  </si>
  <si>
    <t>Das Selbstmordattentat im Bild</t>
  </si>
  <si>
    <t>Verena Straub</t>
  </si>
  <si>
    <t>Mediale AffektÃ¶konomie</t>
  </si>
  <si>
    <t>Claudia TÃ¶pper</t>
  </si>
  <si>
    <t>Auf den Spuren von Anton Wilhelm Amo</t>
  </si>
  <si>
    <t>Stefan KnauÃŸ-Louis Wolfradt-Tim Hofmann-Jens Eberhard</t>
  </si>
  <si>
    <t>Legitime Sprachen, legitime IdentitÃ¤ten</t>
  </si>
  <si>
    <t>Daniel H. Rellstab</t>
  </si>
  <si>
    <t>Hochschule auf Abstand</t>
  </si>
  <si>
    <t>Iris Neiske-Judith Osthushenrich-Niclas Schaper-Ulrike Trier-Nerea VÃ¶ing</t>
  </si>
  <si>
    <t>Kunst mit allen Sinnen</t>
  </si>
  <si>
    <t>Cecilia Mareike Carolin PreiÃŸ</t>
  </si>
  <si>
    <t>Der Wert der Digitalisierung</t>
  </si>
  <si>
    <t>Chris Piallat</t>
  </si>
  <si>
    <t>Erfolg</t>
  </si>
  <si>
    <t>Michael Niehaus-Wim Peeters-Horst Gruner-Stephanie Wollmann</t>
  </si>
  <si>
    <t>Heiner MÃ¼llers KÃ¼stenLANDSCHAFTEN</t>
  </si>
  <si>
    <t>Till Nitschmann-Florian VaÃŸen</t>
  </si>
  <si>
    <t>Gute Technik fÃ¼r ein gutes Leben im Alter?</t>
  </si>
  <si>
    <t>Debora Frommeld-Ulrike Scorna-Sonja Haug-Karsten Weber</t>
  </si>
  <si>
    <t>Ethnomethodologie reloaded</t>
  </si>
  <si>
    <t>JÃ¶rg R. Bergmann-Christian Meyer</t>
  </si>
  <si>
    <t>Passing and Posing Between Black and White</t>
  </si>
  <si>
    <t>Das Audioviduum</t>
  </si>
  <si>
    <t>Julia Eckel</t>
  </si>
  <si>
    <t>Entanglements of the Maghreb</t>
  </si>
  <si>
    <t>Julius Dihstelhoff-Charlotte Pardey-Rachid Ouaissa-Friederike Pannewick</t>
  </si>
  <si>
    <t>Skizzen, Romane, Karikaturen</t>
  </si>
  <si>
    <t>Christiane Schwab</t>
  </si>
  <si>
    <t>Postmigration</t>
  </si>
  <si>
    <t>Anna Meera Gaonkar-Astrid Sophie Ost Hansen-Hans Christian Post-Moritz Schramm</t>
  </si>
  <si>
    <t>The Persistence of Technology</t>
  </si>
  <si>
    <t>Stefan Krebs-Heike Weber</t>
  </si>
  <si>
    <t>Ethical Challenges of Organ Transplantation</t>
  </si>
  <si>
    <t>Solveig Lena Hansen-Silke Schicktanz</t>
  </si>
  <si>
    <t>Indirekte Referenz â€“ Pragmatischer Realismus und Medientheorie</t>
  </si>
  <si>
    <t>Joachim Renn</t>
  </si>
  <si>
    <t>Translation and Transfer of Knowledge in Encyclopedic Compilations, 1680â€“1830</t>
  </si>
  <si>
    <t>Clorinda Donato-Hans-JÃ¼rgen LÃ¼sebrink</t>
  </si>
  <si>
    <t>Scholars in Exile</t>
  </si>
  <si>
    <t>Nadia Zavorotna</t>
  </si>
  <si>
    <t>Critical Alliances</t>
  </si>
  <si>
    <t>S. Brooke Cameron</t>
  </si>
  <si>
    <t>Colonizing Russiaâ€™s Promised Land</t>
  </si>
  <si>
    <t>Aileen Friesen</t>
  </si>
  <si>
    <t>Poetic Images, Presence, and the Theater of Kenotic Rituals</t>
  </si>
  <si>
    <t>EnikÅ‘ Sepsi</t>
  </si>
  <si>
    <t>Transformational Moments in Social Welfare</t>
  </si>
  <si>
    <t>Georgina Brewis-Angela Ellis Paine-Irene Hardill-Rose Lindsey-Rob Macmillan</t>
  </si>
  <si>
    <t>Global Domestic Workers</t>
  </si>
  <si>
    <t>Sabrina Marchetti-Daniela Cherubini-Giulia Garofalo Geymonat</t>
  </si>
  <si>
    <t>Impact of Materials on Society</t>
  </si>
  <si>
    <t>Sophia Krzys Acord-Kevin S. Jones-Marsha Bryant-Debra Dauphin-Jones-Pamela Hupp</t>
  </si>
  <si>
    <t>Litigating the Rights of Minorities and Indigenous Peoples in Domestic and International Courts</t>
  </si>
  <si>
    <t>Bertus de Villiers-Joseph Marko-Francesco Palermo-Sergiu Constantin</t>
  </si>
  <si>
    <t>Eine theoretische Orientierung fÃ¼r die Soziale Arbeit in Zeiten des Klimawandels</t>
  </si>
  <si>
    <t>Marcel Schmidt</t>
  </si>
  <si>
    <t>Prolegomena zur PÃ¤dagogik des gespaltenen Subjekts</t>
  </si>
  <si>
    <t>Robert Langnickel</t>
  </si>
  <si>
    <t>Vorstellungen von Erziehung und Bildung in Kinder- und JugendbÃ¼chern</t>
  </si>
  <si>
    <t>Ursula TÃ¶lle</t>
  </si>
  <si>
    <t>Politik als parlamentarischer Begriff</t>
  </si>
  <si>
    <t>Kari Palonen</t>
  </si>
  <si>
    <t>Jia Zhangke on Jia Zhangke</t>
  </si>
  <si>
    <t>Michael Berry</t>
  </si>
  <si>
    <t>Supersymmetric Gauge Field Theory and String Theory</t>
  </si>
  <si>
    <t>D. Bailin-Alexander Love</t>
  </si>
  <si>
    <t>Cosmology in Gauge Field Theory and String Theory</t>
  </si>
  <si>
    <t>D. Bailin-A. Love</t>
  </si>
  <si>
    <t>Sociology of Law As the Science of Norms</t>
  </si>
  <si>
    <t>HÃ¥kan HydÃ©n</t>
  </si>
  <si>
    <t>Disappearances in Mexico</t>
  </si>
  <si>
    <t>Silvana Mandolessi-Katia Olalde Rico</t>
  </si>
  <si>
    <t>New Industrial Urbanism</t>
  </si>
  <si>
    <t>Tali Hatuka-Eran Ben-Joseph</t>
  </si>
  <si>
    <t>Justice and Food Security in a Changing Climate</t>
  </si>
  <si>
    <t>Hanna SchÃ¼bel-Ivo Wallimann-Helmer</t>
  </si>
  <si>
    <t>From Goethe to Gundolf</t>
  </si>
  <si>
    <t xml:space="preserve"> Roger Paulin</t>
  </si>
  <si>
    <t>Healing with Poisons</t>
  </si>
  <si>
    <t>Yan Liu</t>
  </si>
  <si>
    <t>Governance and City Regions</t>
  </si>
  <si>
    <t>Karsten Zimmermann-Patricia Feiertag</t>
  </si>
  <si>
    <t>The Poetry of Ennodius</t>
  </si>
  <si>
    <t>Bret Mulligan</t>
  </si>
  <si>
    <t>The Acoustic Self in English Modernism and Beyond</t>
  </si>
  <si>
    <t>Zoltan Varga</t>
  </si>
  <si>
    <t>The Transgender Exigency</t>
  </si>
  <si>
    <t>Edward Schiappa</t>
  </si>
  <si>
    <t>Development with Dignity</t>
  </si>
  <si>
    <t>Tom G. Palmer-Matt Warner</t>
  </si>
  <si>
    <t>Reframing Immigrant Resistance</t>
  </si>
  <si>
    <t>Teresa Cappiali</t>
  </si>
  <si>
    <t>Projecting Russia in a Mediatized World</t>
  </si>
  <si>
    <t>Stephen Hutchings</t>
  </si>
  <si>
    <t>Contemporary Narratives of Ageing, Illness, Care</t>
  </si>
  <si>
    <t>Katsura Sako-Sarah Falcus</t>
  </si>
  <si>
    <t>Lâ€™Ã©nergie au Cameroun au XXe siÃ¨cle</t>
  </si>
  <si>
    <t>Williams Pokam Kamdem</t>
  </si>
  <si>
    <t>Wind Turbine Syndrome</t>
  </si>
  <si>
    <t>Chapman, Simon-Crichton, Fiona</t>
  </si>
  <si>
    <t>You're So Punny!: A Book of Pun-derful Wordplay</t>
  </si>
  <si>
    <t>JUVENILE NONFICTION / Humor / Jokes &amp; Riddles</t>
  </si>
  <si>
    <t>Sequoia Kids Media</t>
  </si>
  <si>
    <t>WHO Invented Bubble Gum?</t>
  </si>
  <si>
    <t>JUVENILE NONFICTION / Science &amp; Nature / General</t>
  </si>
  <si>
    <t>My Emotions</t>
  </si>
  <si>
    <t>JUVENILE FICTION / Concepts / Words</t>
  </si>
  <si>
    <t>Claire Winslow-Kris Dresen</t>
  </si>
  <si>
    <t>Afrikaners and the Boundaries of Faith in Post-Apartheid South Africa</t>
  </si>
  <si>
    <t>Annika BjÃ¶rnsdotter Teppo</t>
  </si>
  <si>
    <t>Animals, Plants and Afterimages</t>
  </si>
  <si>
    <t>NATURE / Endangered Species</t>
  </si>
  <si>
    <t>ValÃ©rie Bienvenue-Nicholas Chare</t>
  </si>
  <si>
    <t>Engaging Environments in Tonga</t>
  </si>
  <si>
    <t>Arne Aleksej Perminow</t>
  </si>
  <si>
    <t>Strengthening Postgraduate Supervision</t>
  </si>
  <si>
    <t>AFRICAN SUN MeDIA</t>
  </si>
  <si>
    <t>Sioux McKenna</t>
  </si>
  <si>
    <t>Institutional Research in South African Higher Education: Intersecting Contexts And Practices</t>
  </si>
  <si>
    <t>Jan Botha</t>
  </si>
  <si>
    <t>Changing Spaces: Writing Centres and Access to Higher Education</t>
  </si>
  <si>
    <t>Arlene Archer-Rose Richards</t>
  </si>
  <si>
    <t>An Introduction to Postgraduate Supervision</t>
  </si>
  <si>
    <t>Laetus Lategan</t>
  </si>
  <si>
    <t>Woordeloos tot Verhaal: Trauma en narratief in Nederlands en Afrikaans</t>
  </si>
  <si>
    <t>Hans Ester-Chris van der Merwe-Etty Mulder</t>
  </si>
  <si>
    <t>Welfare, Religion and Gender in Post-apartheid South Africa: Constructing a South-North Dialogue</t>
  </si>
  <si>
    <t>Ignatius Swart</t>
  </si>
  <si>
    <t>Weather Index Insurance for Smallholder Farmers in Africa: Lessons Learnt and Goals for the Future</t>
  </si>
  <si>
    <t>Ephias Makaudze</t>
  </si>
  <si>
    <t>War and Society: Participation and Remembrance: South African Black and Coloured Troops in the First World War, 1914 -1918</t>
  </si>
  <si>
    <t>Albert Grundlingh</t>
  </si>
  <si>
    <t>Vreesloos Gehoorsaam: â€™n Keur uit Beyers NaudÃ© se preke 1939-1997</t>
  </si>
  <si>
    <t>Robert Vosloo</t>
  </si>
  <si>
    <t>Van Volksmoeder tot Fokofpolisiekar: Kritiese opstelle oor Afrikaanse herinneringsplekke</t>
  </si>
  <si>
    <t>Albert Grundlingh-Siegfried Huigen</t>
  </si>
  <si>
    <t>Unsung: South African Jazz Musicians Under Apartheid</t>
  </si>
  <si>
    <t>Chatradari Devroop</t>
  </si>
  <si>
    <t>Towards Good Order at Sea: African Experiences</t>
  </si>
  <si>
    <t>Francois VreÃ¿</t>
  </si>
  <si>
    <t>They Came to Stay: Discovering Meaning in the 18thâ€‘Century Cape Country Dwelling</t>
  </si>
  <si>
    <t>Yvonne Brink</t>
  </si>
  <si>
    <t>Theories of Social and Economic Justice</t>
  </si>
  <si>
    <t>AndrÃ© van der Walt</t>
  </si>
  <si>
    <t>The Tenderness of Conscience: African Renaissance and the Spirituality of Politics</t>
  </si>
  <si>
    <t>Allan Boesak</t>
  </si>
  <si>
    <t>The Scholarship of Teaching and Learning in Higher Education: On Its Constitution and Transformative Potential</t>
  </si>
  <si>
    <t>Shirley Booth</t>
  </si>
  <si>
    <t>The Role of the Intermediary Organisations in the Utilisation of Research</t>
  </si>
  <si>
    <t>Jaamiah Galant</t>
  </si>
  <si>
    <t>The Relevance of Critical Citizenship Education in an African Context</t>
  </si>
  <si>
    <t>Elmarie Costandius</t>
  </si>
  <si>
    <t>The Quest for Identity in So-called Mainline Churches in South Africa</t>
  </si>
  <si>
    <t>The Prince Edward Islands: Land-Sea Interactions in a Changing Ecosystem</t>
  </si>
  <si>
    <t>Steven L Chown</t>
  </si>
  <si>
    <t>The Many Faces of God: Highways and Byways on the Route Towards an Orthodox Image of God</t>
  </si>
  <si>
    <t>Jaap Durand</t>
  </si>
  <si>
    <t>The Living Voice of the Gospel: Revisiting the Basic Principles of Preaching</t>
  </si>
  <si>
    <t>The Legacy of Beyers NaudÃ©</t>
  </si>
  <si>
    <t>Len Hansen</t>
  </si>
  <si>
    <t>The Humanist Imperative in South Africa</t>
  </si>
  <si>
    <t>John W de Gruchy</t>
  </si>
  <si>
    <t>The Geometry of Violence: Africa, Girard, Modernity</t>
  </si>
  <si>
    <t>Leonard Praeg</t>
  </si>
  <si>
    <t>The Epistemology of Statistical Science</t>
  </si>
  <si>
    <t>Mauritz van Aarde</t>
  </si>
  <si>
    <t>The Dynamic of Knowledge Production and Utilisation: Fifteen Case Studies</t>
  </si>
  <si>
    <t>Tracey Bailey</t>
  </si>
  <si>
    <t>The Churches and the Development Debate: Perspectives on a Fourth Generation Approach</t>
  </si>
  <si>
    <t>RELIGION / Christian Church / Growth</t>
  </si>
  <si>
    <t>Telling Stories Differently: Engaging 21st Century Students Through Digital Storytelling</t>
  </si>
  <si>
    <t>Janet Condy</t>
  </si>
  <si>
    <t>Sustaining Cape Town: Imagining a Livable City</t>
  </si>
  <si>
    <t>Mark Swilling</t>
  </si>
  <si>
    <t>Strategic Management Support Technologies in the Public Sector</t>
  </si>
  <si>
    <t>Fanie Cloete</t>
  </si>
  <si>
    <t>Sport and Development Policy in Africa</t>
  </si>
  <si>
    <t>Marion Keim</t>
  </si>
  <si>
    <t>Speaking to Good Effect: An Introduction to the Theory and Practice of Rhetoric</t>
  </si>
  <si>
    <t>Douglas Lawrie</t>
  </si>
  <si>
    <t>Spatialities of Urban Change: Selected Themes From Bloemfontein at the Beginning of the 21st Century</t>
  </si>
  <si>
    <t>Song in Gold Pavilions: Ronald Stevenson on Music</t>
  </si>
  <si>
    <t>Social Transformation, Leadership and Healing</t>
  </si>
  <si>
    <t>Semantics, World View and Bible Translation: An Integrated Analysis of a Selection of Hebrew Lexical Items Referring to Negative Moral Behaviour in the Book of Isaiah</t>
  </si>
  <si>
    <t>Gerrit J van Steenbergen</t>
  </si>
  <si>
    <t>Searching for Dignity: Conversations on Human Dignity, Theology and Disability</t>
  </si>
  <si>
    <t>Julie Claassens</t>
  </si>
  <si>
    <t>Santa Claus: Law, Fourth Industrial Revolution, Decolonisation and Covid-19</t>
  </si>
  <si>
    <t>Rights and Democracy: In a Transformative Constitution</t>
  </si>
  <si>
    <t>Henk Botha</t>
  </si>
  <si>
    <t>Religious Pluralism, Heritage and Social Development in Africa</t>
  </si>
  <si>
    <t>M. Christian Green</t>
  </si>
  <si>
    <t>Religious Freedom and Religious Pluralism in Africa: Prospects and Limitations</t>
  </si>
  <si>
    <t>Pieter Coertzen</t>
  </si>
  <si>
    <t>Religion, Law and Security in Africa</t>
  </si>
  <si>
    <t>Reliability Analysis for Structural Design</t>
  </si>
  <si>
    <t>Milan HolickÃ½</t>
  </si>
  <si>
    <t>Re-imagining Academic Staff Development: Spaces for Disruption</t>
  </si>
  <si>
    <t>Lynn Quinn</t>
  </si>
  <si>
    <t>Refusal, Transition &amp; Post-apartheid Law</t>
  </si>
  <si>
    <t>Karin van Marle</t>
  </si>
  <si>
    <t>Reformed Churches in South Africa and the Struggle for Justice: Remembering 1960-1990</t>
  </si>
  <si>
    <t>Mary-Anne Plaatjies-Van Huffel-Robert Vosloo</t>
  </si>
  <si>
    <t>Reconciliation: A Guiding Vision for South Africa?</t>
  </si>
  <si>
    <t>RELIGION / Christian Living / Social Issues</t>
  </si>
  <si>
    <t>Ragbag Theologies: Essays in Honour of Denise M Ackermann - a Feminist Theologian of Praxis</t>
  </si>
  <si>
    <t>Miranda Pillay-Sarojini Nadar-Clint Le Bruyns</t>
  </si>
  <si>
    <t>Rabadia Ratsatsha: Studies in African Language, Literature, Linguistics, Translation and Lexicography</t>
  </si>
  <si>
    <t>Mawatle Jerry Mojalefa</t>
  </si>
  <si>
    <t>Pushing Boundaries in Postgraduate Supervision</t>
  </si>
  <si>
    <t>Eli Bitzer-Ruth Albertyn-Liezel Frick-Barbara Grant-Frances Kelly</t>
  </si>
  <si>
    <t>Public Management</t>
  </si>
  <si>
    <t>William Fox</t>
  </si>
  <si>
    <t>Prophet From the South: Essays in Honour of Allan Aubrey Boesak</t>
  </si>
  <si>
    <t>Prince Dibeela-Puleng Lenka-Bula-Vuyani Vellem</t>
  </si>
  <si>
    <t>Principles and Practice of South African Lexicography</t>
  </si>
  <si>
    <t>Rufus Gouws-Danie Prinsloo</t>
  </si>
  <si>
    <t>Playing the Water Dance: A Guide to Conducting and Reporting Interdisciplinary Research in Water Resources Management</t>
  </si>
  <si>
    <t>Lewis Jonker-Emmanuel Manzungu</t>
  </si>
  <si>
    <t>Pathways in Theology: Ecumenical, African and Reformed</t>
  </si>
  <si>
    <t>Piet NaudÃ©</t>
  </si>
  <si>
    <t>Pathways in Ethics: Justice, Interpretation, Discourse, Economics</t>
  </si>
  <si>
    <t>Oral and Manuscript Culture in the Bible: Studies on the Media Texture of the New Testament â€“ Explorative Hermeneutics</t>
  </si>
  <si>
    <t>Bobby Loubser</t>
  </si>
  <si>
    <t>Oom Bey for the Future: Engaging the Witness of Beyers NaudÃ©</t>
  </si>
  <si>
    <t>Onderweg na die beste moontlike wetenskap</t>
  </si>
  <si>
    <t>A.P.J. (Braam) Roux-C.S. (Fanie) De Beer</t>
  </si>
  <si>
    <t>On the Way to the Best Possible Science</t>
  </si>
  <si>
    <t>On Strategy: Strategic Theory and Contemporary African Armed Conflicts</t>
  </si>
  <si>
    <t>n Vaste plek vir Afrikaans: Taaluitdagings op kampus</t>
  </si>
  <si>
    <t>Hermann Giliomee-Lawrence Schlemmer</t>
  </si>
  <si>
    <t>n Skrywer by Sonsopkoms: Hennie Aucamp 70</t>
  </si>
  <si>
    <t>Lina Spies-Lucas Malan</t>
  </si>
  <si>
    <t>Methodology, Speech, Society: The Hebrew Bible</t>
  </si>
  <si>
    <t>Yehoshua Gitay</t>
  </si>
  <si>
    <t>Metaphor in Zulu: Problems in the Translation of Biblical Metaphor in the Book of Amos</t>
  </si>
  <si>
    <t>Eric Hermanson</t>
  </si>
  <si>
    <t>Men in the Pulpit, Women in the Pew?: Addressing Gender Inequality in Africa</t>
  </si>
  <si>
    <t>H Jurgens Hendricks-Elna Mouton-Len Hansen-Elisabet le Roux</t>
  </si>
  <si>
    <t>Maritime Security in Southern African Waters</t>
  </si>
  <si>
    <t>Thean Potgieter</t>
  </si>
  <si>
    <t>Mapping Systematic Theology in Africa: An Indexed Bibliography</t>
  </si>
  <si>
    <t>Making and Sharing the Space Among Women and Men: Some Challenges for the South African Church Environment</t>
  </si>
  <si>
    <t>Maria Ericson</t>
  </si>
  <si>
    <t>Local Government Finance: A Comparative Study</t>
  </si>
  <si>
    <t>Dirk Brand</t>
  </si>
  <si>
    <t>Local Elections in South Africa: Parties, People, Politics</t>
  </si>
  <si>
    <t>Susan Booysen</t>
  </si>
  <si>
    <t>Living with Dignity: African Perspectives on Gender Equality</t>
  </si>
  <si>
    <t>Elna Mouton-Gertrude Kapuma-Len Hansen-Thomas Togom</t>
  </si>
  <si>
    <t>Living Through Languages: An African Tribute to RenÃ© Dirven</t>
  </si>
  <si>
    <t>Christa van derWalt</t>
  </si>
  <si>
    <t>Lexicographie Et Confection Des Dictionnaires Au Gabon</t>
  </si>
  <si>
    <t>Paul Achille Mavoungou</t>
  </si>
  <si>
    <t>Law, Religion and the Environment in Africa</t>
  </si>
  <si>
    <t>Law and Religion in Africa: The Quest for the Common Good in Pluralistic Societies</t>
  </si>
  <si>
    <t>Large-Class Pedagogy: Interdisciplinary Perspectives for Quality Higher Eductation</t>
  </si>
  <si>
    <t>David Hornsby-Ruksana Osman-Jacqueline de Matos-Ala</t>
  </si>
  <si>
    <t>Language Science and Language Technology in Africa: Festschrift for Justus C. Roux</t>
  </si>
  <si>
    <t>Steve Ndinga-Koumba-Binza-Sonja Bosch</t>
  </si>
  <si>
    <t>Kultur- und literaturvermittlung: Festschrift fÃ¼r Werner Krueger</t>
  </si>
  <si>
    <t>Undine Weber-Janina Wozniak</t>
  </si>
  <si>
    <t>Justice Not Silence: Churches Facing Sexual and Gender-based Violence</t>
  </si>
  <si>
    <t>RELIGION / Sexuality &amp; Gender Studies</t>
  </si>
  <si>
    <t>Ezra Chitando-Sophia Chirangoma</t>
  </si>
  <si>
    <t>International Dialogue: Exploring Potential Criteria for the Measurement of Safety and Crime Prevention</t>
  </si>
  <si>
    <t>Marion Keim-Clemens Ley</t>
  </si>
  <si>
    <t>Innovative Practices in the African Water Supply and Sanitation</t>
  </si>
  <si>
    <t>Marco Schouten-Edwin Hes-Zvikomborero Hoko</t>
  </si>
  <si>
    <t>Inclusive Businesses in Agriculture</t>
  </si>
  <si>
    <t>Wytske Chamberlain</t>
  </si>
  <si>
    <t>Imagined Liberation: Xenophobia, Citizenship and Identity in South Africa, Germany and Canada</t>
  </si>
  <si>
    <t>Heribert Adam-Kogila Moodley</t>
  </si>
  <si>
    <t>Hospitality and Hostility in the Multilingual Global Village</t>
  </si>
  <si>
    <t>Kathleen Thorpe-Anette Horn-Alida Poeti-VÃ©ronique Tadjo</t>
  </si>
  <si>
    <t>HIV/AIDS, Poverty, and Pastoral Care and Counselling: A Home-based and Congregational Systems Ministerial Approach in Africa</t>
  </si>
  <si>
    <t>Vhumani Magezi</t>
  </si>
  <si>
    <t>Higher Education for the Public Good: Views From the South</t>
  </si>
  <si>
    <t>Brenda Leibowitz</t>
  </si>
  <si>
    <t>Hermeneutics and Social Transformation: A Selection From the Essays of Bernard Lategan</t>
  </si>
  <si>
    <t>God for Us?: An Analysis and Assessment of Dutch Reformed Preaching During the Apartheid Years</t>
  </si>
  <si>
    <t>Globalisation II   [volume 2]: Global Crisis, Global Challenge, Global Faith â€“ An Ongoing Response to the Accra Confession</t>
  </si>
  <si>
    <t>Globalisation   [volume 1]: The Politics of Empire, Justice and the Life of Faith</t>
  </si>
  <si>
    <t>Global Bodies in Grey Zones: Health, Hope, Bioeconomy</t>
  </si>
  <si>
    <t>Susanne Lundin</t>
  </si>
  <si>
    <t>Geometrically Nonlinear Analysis of Plane Trusses and Frames</t>
  </si>
  <si>
    <t>Vera Galishnikova</t>
  </si>
  <si>
    <t>Genres of Critique: Law, Aesthetics and Liminality</t>
  </si>
  <si>
    <t>Gender &amp; Sexuality in South African Music</t>
  </si>
  <si>
    <t>Focus on First-Year Success: Perspectives Emerging From South Africa and Beyond</t>
  </si>
  <si>
    <t>Fishing for Jonah (anew): Various Approaches to Biblical Interpretation</t>
  </si>
  <si>
    <t>Louis Jonker</t>
  </si>
  <si>
    <t>Film Criticism in Cape Town 1928-1930: An Explorative Investigation Into the CAPE TIMES and DIE BURGER</t>
  </si>
  <si>
    <t>Michael Eckardt</t>
  </si>
  <si>
    <t>Festschrift Rufus H. Gouws</t>
  </si>
  <si>
    <t>Willem Botha-Paul Mavoungou-Dioni Nkomo</t>
  </si>
  <si>
    <t>Festschrift in Honour of Allan Boesak: A Life in Black Liberation Theology</t>
  </si>
  <si>
    <t>Charles Daniel Flaendorp</t>
  </si>
  <si>
    <t>Ethical Leadership and the Challenges of Moral Transformation</t>
  </si>
  <si>
    <t>Gordon Dames</t>
  </si>
  <si>
    <t>Entrepreneurship, Training, Education and Job Creation</t>
  </si>
  <si>
    <t>BUSINESS &amp; ECONOMICS / Training</t>
  </si>
  <si>
    <t>Magda Hewitt</t>
  </si>
  <si>
    <t>Einzelgang Und RÃ¼ckkehr Im Wandel Der Zeit: Unknown Passages â€“ New Beginnings: Festschrift FÃ¼r Gunther Pakendorf</t>
  </si>
  <si>
    <t>Hannelore van Ryneveld-Janina Wozniak</t>
  </si>
  <si>
    <t>Education, Democracy and Citizenship Revisited: Pedagogical Encounters</t>
  </si>
  <si>
    <t>Yusef Waghid</t>
  </si>
  <si>
    <t>Ecriture Et Standardisation Des Langues Gabonaises</t>
  </si>
  <si>
    <t>Jacques Hubert-Paul Mavoungou</t>
  </si>
  <si>
    <t>Ecosystem Services in the Gariep Basin: A Basin-Scale Component of the Southern African Millenium Ecosystem Assessment</t>
  </si>
  <si>
    <t>Erin Bohensky</t>
  </si>
  <si>
    <t>Economic Perspectives: Ruiterbosch Essays in Honour of Peet Strydom</t>
  </si>
  <si>
    <t>Cees Bruggemans-ElsabÃ© Loots</t>
  </si>
  <si>
    <t>Ecclesial Reform and Deform Movements in the South African Context</t>
  </si>
  <si>
    <t>Ernst Conradie-Miranda Pillay</t>
  </si>
  <si>
    <t>Doodloopstrate van die geloof: â€™n Perspektief op die Nuwe Hervorming</t>
  </si>
  <si>
    <t>Discerning God's Justice in Church, Society and Academy: Festschrift for Jaap Durand</t>
  </si>
  <si>
    <t>Ernst Conradie-Christo Lombard</t>
  </si>
  <si>
    <t>Die Vlug Van Gods Verbeelding</t>
  </si>
  <si>
    <t>RELIGION / Christian Living / Women"s Interests</t>
  </si>
  <si>
    <t>Die Tand van die Tyd: Opstelle opgedra aan Jac Conradie</t>
  </si>
  <si>
    <t>Willie Burger-MarnÃ© Pienaar</t>
  </si>
  <si>
    <t>Die Lewende Stem van die Evangelie: Nuut gedink oor die basiese beginsels van prediking</t>
  </si>
  <si>
    <t>Johann Cilliers</t>
  </si>
  <si>
    <t>Die Houtbeen van St Sergius: Opstelle oor Afrikaanse romans</t>
  </si>
  <si>
    <t>Chris van der Merwe</t>
  </si>
  <si>
    <t>Deutsch als Herausforderung: Festschrift fÃ¼r Rainer Kussler</t>
  </si>
  <si>
    <t>Rolf Annas</t>
  </si>
  <si>
    <t>Democracy Under Stress: The Global Crisis and Beyond</t>
  </si>
  <si>
    <t>Ursula van Beek-Edmund Wnuk-Lipinski</t>
  </si>
  <si>
    <t>Debating Thesis Supervision: Perspectives From a University Education Department</t>
  </si>
  <si>
    <t>Aslam Fataar</t>
  </si>
  <si>
    <t>Dancing with Doctoral Encounters: Democratic Education in Motion</t>
  </si>
  <si>
    <t>EDUCATION / Counseling / General</t>
  </si>
  <si>
    <t>Cultivating Seeds of Hope: Conversations on the Life of Beyers NaudÃ©</t>
  </si>
  <si>
    <t>Murray Coetzee-Retief Muller-Len Hansen</t>
  </si>
  <si>
    <t>Climate Change Remedies: Injunctive Relief and Criminal Law Responses</t>
  </si>
  <si>
    <t>Jaap Spier-Ulrich Magnus</t>
  </si>
  <si>
    <t>Church Emerging From the Cracks: A Church IN, but Not OF the World</t>
  </si>
  <si>
    <t>Johann-Albrecht Meylahn</t>
  </si>
  <si>
    <t>Christianity and Ecological Theology: Resources for Further Research</t>
  </si>
  <si>
    <t>Christianity and Earthkeeping: In Search of an Inspiring Vision</t>
  </si>
  <si>
    <t>Christian in Public: Aims, Methodologies and Issues in Public Theology</t>
  </si>
  <si>
    <t>Christian Identity: An Introduction</t>
  </si>
  <si>
    <t>Chris Brink â€“ Anatomy of a Transformer</t>
  </si>
  <si>
    <t>Amanda Botha</t>
  </si>
  <si>
    <t>Chris Brink â€“ Anatomie van â€™n omvormer</t>
  </si>
  <si>
    <t>Changing Our Worlds: Art As Transformative Practice</t>
  </si>
  <si>
    <t>Michelle LeBaron</t>
  </si>
  <si>
    <t>Brothers in Armchairs: Post-apartheid Cultural Struggles at Die Burger</t>
  </si>
  <si>
    <t>GabriÃ«l Botma</t>
  </si>
  <si>
    <t>Breaking the Mould: The Role of Scenarios in Shaping South Africaâ€™s Future</t>
  </si>
  <si>
    <t>BUSINESS &amp; ECONOMICS / Forecasting</t>
  </si>
  <si>
    <t>Nick Segal</t>
  </si>
  <si>
    <t>Binne Die Kring-dans Van Die Kuns: Die Betekenis Van Estetika Vir Die Gereformeerde Liturgie</t>
  </si>
  <si>
    <t>Being Scholarly: Festschrift in Honour of the Work of Eli M Bitzer</t>
  </si>
  <si>
    <t>Liezel Frick</t>
  </si>
  <si>
    <t>Angling for Interpretation: A First Introduction to Biblical, Theological and Contextual Hermeneutics</t>
  </si>
  <si>
    <t>An Industry Study of the Utilisation of Public R&amp;D</t>
  </si>
  <si>
    <t>Tracey Bailey-Gerrit Loots-Lauren Wildshut</t>
  </si>
  <si>
    <t>An Experiment in Bible Translation: The Translation of â€˜covenantâ€™ Into Lomwe, with a Focus on Leviticus 26</t>
  </si>
  <si>
    <t>Stuart Foster</t>
  </si>
  <si>
    <t>Affirmative Action: A View From the Global South</t>
  </si>
  <si>
    <t>Ockert Dupper-Kamala Sankaran</t>
  </si>
  <si>
    <t>Aantekeninge by Koos Prinsloo</t>
  </si>
  <si>
    <t>Gerrit Olivier</t>
  </si>
  <si>
    <t>A Theological Odyssey: My Life in Writing</t>
  </si>
  <si>
    <t>John De Gruchy</t>
  </si>
  <si>
    <t>A Survey of Research Utilisation</t>
  </si>
  <si>
    <t>Nelius Boshoff-Johann Mouton</t>
  </si>
  <si>
    <t>A Space for Grace: Towards an Aesthetics of Preaching</t>
  </si>
  <si>
    <t>A Review of Models of Research Utilisation</t>
  </si>
  <si>
    <t>Tracey Bailey-Johann Mouton</t>
  </si>
  <si>
    <t>A Practical Guide to Strategy: Making Strategic Thinking, Development and Implementation Accessible</t>
  </si>
  <si>
    <t>Jan Havenga-Ilse Hobbs</t>
  </si>
  <si>
    <t>A Place to Live: The Red Location and Its History From 1903 to 2003</t>
  </si>
  <si>
    <t>Vuyisile Msila</t>
  </si>
  <si>
    <t>A Composer in Africa: Essays on the Life and Work of Stefans GrovÃ©</t>
  </si>
  <si>
    <t>Chris Walton-Stephanus Muller</t>
  </si>
  <si>
    <t>#DiscourseCafÃ© / #Diskoerskafee: Thought Leadership for the Future / Denkleierskap Vir Die Toekoms</t>
  </si>
  <si>
    <t>Stephanie Nieuwoudt</t>
  </si>
  <si>
    <t>Jewish Warsaw â€“ Jewish Berlin</t>
  </si>
  <si>
    <t>Alina Molisak</t>
  </si>
  <si>
    <t>Capitalism--its Nature and Its Replacement</t>
  </si>
  <si>
    <t>Graham Priest</t>
  </si>
  <si>
    <t>Digital Archives and Collections</t>
  </si>
  <si>
    <t>Katja MÃ¼ller</t>
  </si>
  <si>
    <t>Clinical Maternal-Fetal Medicine</t>
  </si>
  <si>
    <t>MEDICAL / Perinatology &amp; Neonatology</t>
  </si>
  <si>
    <t>Hung N. Winn-Frank A. Chervenak-Roberto Romero</t>
  </si>
  <si>
    <t>The Politics of Climate Change and Uncertainty in India</t>
  </si>
  <si>
    <t>Lyla Mehta-Hans Nicolai Adam-Shilpi Srivastava</t>
  </si>
  <si>
    <t>Responsible Management Education</t>
  </si>
  <si>
    <t>Principles for Responsible Management Education</t>
  </si>
  <si>
    <t>Value Incommensurability</t>
  </si>
  <si>
    <t>Henrik Andersson-Anders Herlitz</t>
  </si>
  <si>
    <t>Rotes Licht</t>
  </si>
  <si>
    <t>KitÄb KhÄá¹£á¹£ al-KhÄá¹£á¹£</t>
  </si>
  <si>
    <t>Bilal Orfali-Ramzi Baalbaki</t>
  </si>
  <si>
    <t>Comprehending Antisemitism Through the Ages: A Historical Perspective</t>
  </si>
  <si>
    <t>The Life and Work of Ernesto De Martino</t>
  </si>
  <si>
    <t>Flavio A. Geisshuesler</t>
  </si>
  <si>
    <t>Remanufacturing and Advanced Machining Processes for New Materials and Components</t>
  </si>
  <si>
    <t>Ð•.S. Gevorkyan-M. Rucki-V.P. Nerubatskyi-W. Å»urowski-Z. SiemiÄ…tkowski-D. Morozow-A.G. Kharatyan</t>
  </si>
  <si>
    <t>Organising Care Around Patients</t>
  </si>
  <si>
    <t>Naomi Chambers-Jeremy Taylor</t>
  </si>
  <si>
    <t>The Environmental Turn in Postwar Sweden</t>
  </si>
  <si>
    <t>David Larsson Heidenblad</t>
  </si>
  <si>
    <t>The Popular and the Sacred in Music</t>
  </si>
  <si>
    <t>Antti-Ville KÃ¤rjÃ¤</t>
  </si>
  <si>
    <t>Designs for Research, Teaching and Learning</t>
  </si>
  <si>
    <t>Lisa BjÃ¶rklund Boistrup-Staffan Selander</t>
  </si>
  <si>
    <t>Ageing and COVID-19</t>
  </si>
  <si>
    <t>Maria ÅuszczyÅ„ska-Marvin Formosa</t>
  </si>
  <si>
    <t>Questing Excellence in Academia</t>
  </si>
  <si>
    <t>Knut H. SÃ¸rensen-Sharon Traweek</t>
  </si>
  <si>
    <t>Multimodal Literacy in School Science</t>
  </si>
  <si>
    <t>Len Unsworth-Russell Tytler-Lisl Fenwick-Sally Humphrey-Paul Chandler-Michele Herrington-Lam Pham</t>
  </si>
  <si>
    <t>Catholic Peacebuilding and Mining</t>
  </si>
  <si>
    <t>Caesar A. Montevecchio-Gerard F. Powers</t>
  </si>
  <si>
    <t>Healthcare As a Universal Human Right</t>
  </si>
  <si>
    <t>Rui Nunes</t>
  </si>
  <si>
    <t>TragÃ¶die des Rechts.</t>
  </si>
  <si>
    <t>Daria Bayer</t>
  </si>
  <si>
    <t>Die Rolle von Anschauung und Begriff bei Johann Gottlieb Fichte.</t>
  </si>
  <si>
    <t>PHILOSOPHY / Movements / Idealism</t>
  </si>
  <si>
    <t>Jacinto Rivera de Rosales ChacÃ³n-Violetta L. Waibel</t>
  </si>
  <si>
    <t>Das Verbrechen als Rechtsverletzung.</t>
  </si>
  <si>
    <t>Philipp-Alexander Hirsch</t>
  </si>
  <si>
    <t>29th Annual Conference of the German Crystallographic Society, March 15â€“18, 2021, Hamburg, Germany</t>
  </si>
  <si>
    <t>Deutsches Elektronen-Synchrotron-DESY</t>
  </si>
  <si>
    <t>Die Geschichtlichkeit des Briefs</t>
  </si>
  <si>
    <t>Norman Kasper-Jana Kittelmann-Jochen Strobel-Robert Vellusig</t>
  </si>
  <si>
    <t>Evaluating Interreligious Peacebuilding and Dialogue</t>
  </si>
  <si>
    <t>Mohammed Abu-Nimer-RenÃ¡ta Katalin Nelson</t>
  </si>
  <si>
    <t>Romantik zwischen zwei Welten</t>
  </si>
  <si>
    <t>Was vom Himmel kommt</t>
  </si>
  <si>
    <t>GÃ¶sta Ingvar Gabriel-Brit KÃ¤rger-Annette Zgoll-Christian Zgoll</t>
  </si>
  <si>
    <t>The Poetry of Meng Haoran</t>
  </si>
  <si>
    <t>LITERARY COLLECTIONS / Asian / Chinese</t>
  </si>
  <si>
    <t>Paul W. Kroll-Stephen Owen</t>
  </si>
  <si>
    <t>Der Zweite Weltkrieg in postsozialistischen Gedenkmuseen</t>
  </si>
  <si>
    <t>Ljiljana RadoniÄ‡</t>
  </si>
  <si>
    <t>Poetas hispanoamericanas contemporÃ¡neas</t>
  </si>
  <si>
    <t>Milena RodrÃ­guez GutiÃ©rrez</t>
  </si>
  <si>
    <t>Oktober 1749 âˆ’ Mai 1750</t>
  </si>
  <si>
    <t>Caroline KÃ¶hler-Franziska Menzel-RÃ¼diger Otto-Michael Schlott</t>
  </si>
  <si>
    <t>Angstkonstruktionen</t>
  </si>
  <si>
    <t>Natalia Filatkina-Franziska Bergmann</t>
  </si>
  <si>
    <t>Vanitas und Gesellschaft</t>
  </si>
  <si>
    <t>Claudia Benthien-Antje Schmidt-Christian Wobbeler</t>
  </si>
  <si>
    <t>Das Bild der Schweiz bei den Papstgesandten (1586-1654)</t>
  </si>
  <si>
    <t>Mario Galgano</t>
  </si>
  <si>
    <t>Bilddenken und Morphologie</t>
  </si>
  <si>
    <t>Laura Follesa-Federico Vercellone</t>
  </si>
  <si>
    <t>The Good Christian Ruler in the First Millennium</t>
  </si>
  <si>
    <t>Philip Michael Forness-Alexandra Hasse-Ungeheuer-Hartmut Leppin</t>
  </si>
  <si>
    <t>Der Heeresdienst von Christen in der rÃ¶mischen Kaiserzeit</t>
  </si>
  <si>
    <t>Andreas Gerstacker</t>
  </si>
  <si>
    <t>Expressions of Sceptical Topoi in (Late) Antique Judaism</t>
  </si>
  <si>
    <t>Reuven Kiperwasser-Geoffrey Herman</t>
  </si>
  <si>
    <t>DinÃ¡micas lingÃ¼Ã­sticas de las situaciones de contacto</t>
  </si>
  <si>
    <t>Azucena Palacios-MarÃ­a Sanchez ParaÃ­so</t>
  </si>
  <si>
    <t>Politik der â€šGlÃ¼ckskulturenâ€˜</t>
  </si>
  <si>
    <t>Isabelle Haffter</t>
  </si>
  <si>
    <t>FunktionsverbgefÃ¼ge des Deutschen</t>
  </si>
  <si>
    <t>Volker Harm</t>
  </si>
  <si>
    <t>Colonial Impotence</t>
  </si>
  <si>
    <t>BenoÃ®t Henriet</t>
  </si>
  <si>
    <t>Language Activism</t>
  </si>
  <si>
    <t>Haley De Korne</t>
  </si>
  <si>
    <t>Mehr Mut zum Altern</t>
  </si>
  <si>
    <t>Cornelia Behnke-Vonier-Herbert Vonier</t>
  </si>
  <si>
    <t>KinÃ¤sthetische Interferenzen</t>
  </si>
  <si>
    <t>Dominik Mohs</t>
  </si>
  <si>
    <t>Stillstand in Bewegung?</t>
  </si>
  <si>
    <t>Christoph Hoeft</t>
  </si>
  <si>
    <t>Bildung.Macht.DiversitÃ¤t.</t>
  </si>
  <si>
    <t>Serena O. Dankwa-Sarah-Mee Filep-Ulla Klingovsky-Georges Pfruender</t>
  </si>
  <si>
    <t>Curupira und Kohlenstoff</t>
  </si>
  <si>
    <t>Michaela Meurer</t>
  </si>
  <si>
    <t>Tauschnetze und AlternativwÃ¤hrungen</t>
  </si>
  <si>
    <t>Merlin Austen</t>
  </si>
  <si>
    <t>BÃ¼rgerliche Frauenbilder im 19. Jahrhundert</t>
  </si>
  <si>
    <t>Barbara Krautwald</t>
  </si>
  <si>
    <t>Musikgeschichte auf der BÃ¼hne â€“ Performing Music History</t>
  </si>
  <si>
    <t>Anna Langenbruch-Daniel Samaga-ClÃ©mence Schupp-Maurer</t>
  </si>
  <si>
    <t>Nichtstun als politische Praxis</t>
  </si>
  <si>
    <t>Agatha Frischmuth</t>
  </si>
  <si>
    <t>Kosmetische Chirurgie im Online-Diskurs</t>
  </si>
  <si>
    <t>Steffen Loick Molina</t>
  </si>
  <si>
    <t>Systemvertrauen und Journalismus im Neoliberalismus</t>
  </si>
  <si>
    <t>Malte G. Schmidt</t>
  </si>
  <si>
    <t>BrÃ¼cke, Switchboard, Theke â€“ Working Girls vor Ort</t>
  </si>
  <si>
    <t>Verena Mund</t>
  </si>
  <si>
    <t>Konfliktlandschaften des SÃ¼dsudan</t>
  </si>
  <si>
    <t>Jan Pospisil</t>
  </si>
  <si>
    <t>Handbuch TransdisziplinÃ¤re Didaktik</t>
  </si>
  <si>
    <t>Tobias Schmohl-Thorsten Philipp</t>
  </si>
  <si>
    <t>Dem Schmerz begegnen</t>
  </si>
  <si>
    <t>Katharina Greschat-Claudia Jahnel</t>
  </si>
  <si>
    <t>Die Geste der Kunst</t>
  </si>
  <si>
    <t>Luca Viglialoro</t>
  </si>
  <si>
    <t>InterdisziplinÃ¤re Stadtforschung</t>
  </si>
  <si>
    <t>Ãœber die Grenzen des Bildes</t>
  </si>
  <si>
    <t>Birgit Mersmann</t>
  </si>
  <si>
    <t>Sprachendidaktik in der FrÃ¼hpÃ¤dagogik</t>
  </si>
  <si>
    <t>Elisa Tessmer</t>
  </si>
  <si>
    <t>Disability, Elternschaft und Soziale Arbeit</t>
  </si>
  <si>
    <t>Rahel More</t>
  </si>
  <si>
    <t>The Expanding Universe of Writing Studies</t>
  </si>
  <si>
    <t>Kelly Blewett-Tiane Donahue-Cynthia Monroe</t>
  </si>
  <si>
    <t>Touching the Unreachable</t>
  </si>
  <si>
    <t>Fusako Innami</t>
  </si>
  <si>
    <t>What Works in Conservation</t>
  </si>
  <si>
    <t xml:space="preserve"> William J. Sutherland-Lynn V. Dicks-Silviu O. Petrovan-Rebecca K. Smith</t>
  </si>
  <si>
    <t>Politics and the Environment in Eastern Europe</t>
  </si>
  <si>
    <t xml:space="preserve"> Eszter Krasznai Kovacs</t>
  </si>
  <si>
    <t>Westberlin â€“ ein sexuelles PortrÃ¤t</t>
  </si>
  <si>
    <t>Rethinking Value Chains</t>
  </si>
  <si>
    <t>Florence Palpacuer-Alistair Smith</t>
  </si>
  <si>
    <t>Stephen J. Hawkins</t>
  </si>
  <si>
    <t>Advances in Phytochemistry, Textile and Renewable Energy Research for Industrial Growth</t>
  </si>
  <si>
    <t>Charles Nzila-Nyamwala Oluoch-Ambrose Kiprop-Rose Ramkat-Isaac Kosgey</t>
  </si>
  <si>
    <t>Schoolteachers and the Nordic Model</t>
  </si>
  <si>
    <t>Jesper Eckhardt Larsen-Barbara Schulte-Fredrik W. Thue</t>
  </si>
  <si>
    <t>Anthology of Arabic Discourse on Translation</t>
  </si>
  <si>
    <t>Tarek Shamma-Myriam Salama-Carr</t>
  </si>
  <si>
    <t>Corporate Social Responsibility and SMEs</t>
  </si>
  <si>
    <t>Johan J. Graafland</t>
  </si>
  <si>
    <t>The Routledge Handbook of Sport and Sustainable Development</t>
  </si>
  <si>
    <t>Brian P. McCullough-Timothy Kellison-E. Nicole Melton</t>
  </si>
  <si>
    <t>Andean States and the Resource Curse</t>
  </si>
  <si>
    <t>Gerardo Damonte-Bettina Schorr</t>
  </si>
  <si>
    <t>Wanderers</t>
  </si>
  <si>
    <t>David Brown Morris</t>
  </si>
  <si>
    <t>Cross-Cultural and Religious Critiques of Informed Consent</t>
  </si>
  <si>
    <t>Joseph Tham-Alberto GarcÃ­a GÃ³mez-Mirko Daniel Garasic</t>
  </si>
  <si>
    <t>Comparative Perspectives on Gender Equality in Japan and Norway</t>
  </si>
  <si>
    <t>Masako Ishii-Kuntz-Guro Korsnes Kristensen-Priscilla Ringrose</t>
  </si>
  <si>
    <t>Lebensschutz fÃ¼r den Embryo in vitro.</t>
  </si>
  <si>
    <t>Melike ÅžentÃ¼rk Tur</t>
  </si>
  <si>
    <t>Emerging Trends in and Strategies for Industry 4.0 During and Beyond Covid-19</t>
  </si>
  <si>
    <t>BÃ¼lent Akkaya-Kittisak Jermsittiparsert-Muhammad Abid Malik-Yesim Kocyigit</t>
  </si>
  <si>
    <t>Claiming and Making Muslim Worlds</t>
  </si>
  <si>
    <t>Jeanine Elif DaÄŸyeli-Claudia Ghrawi-Ulrike Freitag</t>
  </si>
  <si>
    <t>Shared Margins</t>
  </si>
  <si>
    <t>Samuli Schielke-Mukhtar Saad Shehata</t>
  </si>
  <si>
    <t>Between Daily Routine and Violent Protest</t>
  </si>
  <si>
    <t>Ernst Wolff</t>
  </si>
  <si>
    <t>Education Materialised</t>
  </si>
  <si>
    <t>Stefanie Brinkmann-Giovanni Ciotti-Stefano Valente-Eva Maria Wilden</t>
  </si>
  <si>
    <t>Scientific Writing and Publishing in Medicine and Health Sciences</t>
  </si>
  <si>
    <t>Daniel Kotz-Jochen Cals</t>
  </si>
  <si>
    <t>Anachronismus und Aktualisierung in Ovids â€ºMetamorphosenâ€¹</t>
  </si>
  <si>
    <t>Philipp Geitner</t>
  </si>
  <si>
    <t>Une doxographie sunnite du IVe/Xe siÃ¨cle</t>
  </si>
  <si>
    <t>Ziad Bou Akl</t>
  </si>
  <si>
    <t>Handbook of Polish, Czech, and Slovak Holocaust Fiction</t>
  </si>
  <si>
    <t>Elisa-Maria Hiemer-JiÅ™Ã­ HolÃ½-Agata Firlej-Hana NichtburgerovÃ¡</t>
  </si>
  <si>
    <t>Powers of Protection</t>
  </si>
  <si>
    <t>Gergely Hidas</t>
  </si>
  <si>
    <t>Documentation and Argument in Early China</t>
  </si>
  <si>
    <t>Dirk Meyer</t>
  </si>
  <si>
    <t>Diversity Dimensions in Mathematics and Language Learning</t>
  </si>
  <si>
    <t>Annemarie Fritz-Erkan GÃ¼rsoy-Moritz Herzog</t>
  </si>
  <si>
    <t>New Libraries in Old Buildings</t>
  </si>
  <si>
    <t>Petra Hauke-Karen Latimer-Robert Niess</t>
  </si>
  <si>
    <t>Cultural Sovereignty Beyond the Modern State</t>
  </si>
  <si>
    <t>Gregor Feindt-Bernhard Gissibl-Johannes Paulmann</t>
  </si>
  <si>
    <t>Tracing the Jerusalem Code</t>
  </si>
  <si>
    <t>Kristin B. Aavitsland-Line M. Bonde</t>
  </si>
  <si>
    <t>Filming, Researching, Annotating</t>
  </si>
  <si>
    <t>Gunter LÃ¶sel-Martin Zimper</t>
  </si>
  <si>
    <t>Filmen, Forschen, Annotieren</t>
  </si>
  <si>
    <t>Forms of Exile in Jewish Literature and Thought</t>
  </si>
  <si>
    <t>Bronislava VolkovÃ¡</t>
  </si>
  <si>
    <t>Wikipedia and the Representation of Reality</t>
  </si>
  <si>
    <t>Zachary J. McDowell-Matthew A. Vetter</t>
  </si>
  <si>
    <t>The Evolution of Geotech - 25 Years of Innovation</t>
  </si>
  <si>
    <t>TECHNOLOGY &amp; ENGINEERING / Civil / Earthquake</t>
  </si>
  <si>
    <t>Reginald Hammah-Thamer Yacoub-Alison McQuillan-John Curran</t>
  </si>
  <si>
    <t>The Afterlife of the Shoah in Central and Eastern European Cultures</t>
  </si>
  <si>
    <t>Anna Artwinska-Anja Tippner</t>
  </si>
  <si>
    <t>Information and Knowledge Organisation in Digital Humanities</t>
  </si>
  <si>
    <t>Koraljka Golub-Ying-Hsang Liu</t>
  </si>
  <si>
    <t>Language, Identity, and Power in Modern India</t>
  </si>
  <si>
    <t>Riho Isaka</t>
  </si>
  <si>
    <t>Probleme der Wertlehre.</t>
  </si>
  <si>
    <t>Ludwig Mises-Arthur Spiethoff</t>
  </si>
  <si>
    <t>Wandlungen des Kapitalismus â€“ Auslandsanleihen â€“ Kredit und Konjunktur.</t>
  </si>
  <si>
    <t>The Fringes of Citizenship</t>
  </si>
  <si>
    <t>Julija Sardelic</t>
  </si>
  <si>
    <t>Opening Up the University</t>
  </si>
  <si>
    <t>CÃ©line Cantat-Ian M. Cook-Prem Kumar Rajaram</t>
  </si>
  <si>
    <t>Refugees on the Move</t>
  </si>
  <si>
    <t>Erol Balkan-ZÃ¼mray Kutlu Tonak</t>
  </si>
  <si>
    <t>Wine Is Our Bread</t>
  </si>
  <si>
    <t>Daniela Ana</t>
  </si>
  <si>
    <t>Dice and Gods on the Silk Road</t>
  </si>
  <si>
    <t>Brandon Dotson-Constance A. Cook-Zhao Lu</t>
  </si>
  <si>
    <t>Compliance and Resistance Within Neoliberal Academia</t>
  </si>
  <si>
    <t>Susan Gair-Tamar Hager-Omri Herzog</t>
  </si>
  <si>
    <t>Politik der Gemeinschaft</t>
  </si>
  <si>
    <t>Janine BÃ¶ckelmann-Claas Morgenroth</t>
  </si>
  <si>
    <t>Keywork</t>
  </si>
  <si>
    <t>Reinhold Knopp-Karin Nell</t>
  </si>
  <si>
    <t>TÃ¼rkische MÃ¤nner in Deutschland</t>
  </si>
  <si>
    <t>Margret Spohn</t>
  </si>
  <si>
    <t>Weltgesellschaft</t>
  </si>
  <si>
    <t>Theresa Wobbe</t>
  </si>
  <si>
    <t>Globalisierung</t>
  </si>
  <si>
    <t>JÃ¶rg DÃ¼rrschmidt</t>
  </si>
  <si>
    <t>Buddhist Approaches to Human Rights</t>
  </si>
  <si>
    <t>Carmen Meinert-Hans-Bernd ZÃ¶llner</t>
  </si>
  <si>
    <t>Verordnete Entgrenzung</t>
  </si>
  <si>
    <t>Andrea Glauser</t>
  </si>
  <si>
    <t>Von Monstern und Menschen</t>
  </si>
  <si>
    <t>Gunther Gebhard-Oliver Geisler-Steffen SchrÃ¶ter</t>
  </si>
  <si>
    <t>KÃ¶rperhandeln und KÃ¶rpererleben</t>
  </si>
  <si>
    <t>Anke Abraham-Beatrice MÃ¼ller</t>
  </si>
  <si>
    <t>Islamunterricht â€“ Islamischer Religionsunterricht â€“ Islamkunde</t>
  </si>
  <si>
    <t>Irka-Christin Mohr-Michael Kiefer</t>
  </si>
  <si>
    <t>Weltereignisse und Massenmedien: Zur Theorie des Weltmedienereignisses</t>
  </si>
  <si>
    <t>Christian Morgner</t>
  </si>
  <si>
    <t>Das Bewusstsein der Krise</t>
  </si>
  <si>
    <t>Hendrik Wallat</t>
  </si>
  <si>
    <t>Die Zukunft der Arbeit in Europa</t>
  </si>
  <si>
    <t>Helmut KÃ¶nig-Julia Schmidt-Manfred Sicking</t>
  </si>
  <si>
    <t>Die Kunst der Schule</t>
  </si>
  <si>
    <t>Eckart Liebau-JÃ¶rg Zirfas</t>
  </si>
  <si>
    <t>Leben im Â»neuen EuropaÂ«</t>
  </si>
  <si>
    <t>Asta Vonderau</t>
  </si>
  <si>
    <t>Das schÃ¶ne Selbst</t>
  </si>
  <si>
    <t>Jens Elberfeld-Marcus Otto</t>
  </si>
  <si>
    <t>Avantgarden und Politik</t>
  </si>
  <si>
    <t>Lutz Hieber-Stephan Moebius</t>
  </si>
  <si>
    <t>Entfremdete KÃ¶rper</t>
  </si>
  <si>
    <t>Wulf D. Hund</t>
  </si>
  <si>
    <t>Zerbrochene SchÃ¶nheit</t>
  </si>
  <si>
    <t>Tobin Siebers</t>
  </si>
  <si>
    <t>Das Begehren des Gesetzes</t>
  </si>
  <si>
    <t>Bernhard Schwaiger</t>
  </si>
  <si>
    <t>Die neue Diskussion um Gemeinschaft</t>
  </si>
  <si>
    <t>Philipp Sandermann</t>
  </si>
  <si>
    <t>Die Verwaltung der Prostitution</t>
  </si>
  <si>
    <t>Rebecca Pates-Daniel Schmidt</t>
  </si>
  <si>
    <t>Im Spiegel der Migrationen</t>
  </si>
  <si>
    <t>Angela Weber</t>
  </si>
  <si>
    <t>An Bord der Bauhaus</t>
  </si>
  <si>
    <t>Sonja Neef</t>
  </si>
  <si>
    <t>Fluchtlinien des Neorealismus</t>
  </si>
  <si>
    <t>Massimo Perinelli</t>
  </si>
  <si>
    <t>Visualisierungen des Ereignisses</t>
  </si>
  <si>
    <t>Gunnar Schmidt</t>
  </si>
  <si>
    <t>Music in Motion</t>
  </si>
  <si>
    <t>Bernd Clausen-Ursula Hemetek-Eva SÃ¦ther-European Music Council</t>
  </si>
  <si>
    <t>Theater und Medien / Theatre and the Media</t>
  </si>
  <si>
    <t>Henri Schoenmakers-Stefan BlÃ¤ske-Kay Kirchmann-Jens Ruchatz</t>
  </si>
  <si>
    <t>Virtuelle Welten als Basistechnologie fÃ¼r Kunst und Kultur?</t>
  </si>
  <si>
    <t>Manfred Bogen-Roland Kuck-Jens SchrÃ¶ter</t>
  </si>
  <si>
    <t>Mehr(wert) queer â€“ Queer Added (Value)</t>
  </si>
  <si>
    <t>Barbara Paul-Johanna Schaffer</t>
  </si>
  <si>
    <t>Schwarze deutsche Kolonialsoldaten</t>
  </si>
  <si>
    <t>Stefanie Michels</t>
  </si>
  <si>
    <t>Wissenskultur Tanz</t>
  </si>
  <si>
    <t>Sabine Huschka</t>
  </si>
  <si>
    <t>Die deutschen Kanzler im Fernsehen</t>
  </si>
  <si>
    <t>Christoph Lutz-Scheurle</t>
  </si>
  <si>
    <t>Das Fremde sehen</t>
  </si>
  <si>
    <t>Bettina Lockemann</t>
  </si>
  <si>
    <t>Von Â»Neuer UnterschichtÂ« und Prekariat</t>
  </si>
  <si>
    <t>Claudio Altenhain-Anja Danilina-Erik Hildebrandt-Stefan Kausch-Annekathrin MÃ¼ller-Tobias Roscher</t>
  </si>
  <si>
    <t>Punkt, Punkt, Komma, Strich?</t>
  </si>
  <si>
    <t>Christine Abbt-Tim Kammasch</t>
  </si>
  <si>
    <t>No Time for Losers</t>
  </si>
  <si>
    <t>TranskulturalitÃ¤t</t>
  </si>
  <si>
    <t>Wolfgang Gippert-Petra GÃ¶tte-Elke Kleinau</t>
  </si>
  <si>
    <t>Choreographie als kritische Praxis</t>
  </si>
  <si>
    <t>Pirkko Husemann</t>
  </si>
  <si>
    <t>Dimensions of Locality</t>
  </si>
  <si>
    <t>Georg Stauth-Samuli Schielke</t>
  </si>
  <si>
    <t>GrenzgÃ¤nge zwischen den KÃ¼nsten</t>
  </si>
  <si>
    <t>Jennifer John-Sigrid Schade</t>
  </si>
  <si>
    <t>The Social Life of Anti-Terrorism Laws</t>
  </si>
  <si>
    <t>Der Stoff, aus dem Konflikte sind</t>
  </si>
  <si>
    <t>Sabine Berghahn-Petra Rostock</t>
  </si>
  <si>
    <t>GouvernementalitÃ¤t der Wissensgesellschaft</t>
  </si>
  <si>
    <t>Torsten Junge</t>
  </si>
  <si>
    <t>BSE, Vogelgrippe &amp; Co.</t>
  </si>
  <si>
    <t>Axel Philipps</t>
  </si>
  <si>
    <t>Port Cities As Areas of Transition</t>
  </si>
  <si>
    <t>Waltraud Kokot-Mijal Gandelsman-Trier-Kathrin Wildner-Astrid Wonneberger</t>
  </si>
  <si>
    <t>ErdbeerpflÃ¼cker, Spargelstecher, Erntehelfer</t>
  </si>
  <si>
    <t>JÃ¶rg Becker</t>
  </si>
  <si>
    <t>Historische Generationen</t>
  </si>
  <si>
    <t>Beate Fietze</t>
  </si>
  <si>
    <t>Migration und religiÃ¶se Dynamik</t>
  </si>
  <si>
    <t>Andrea Lauser-Cordula WeiÃŸkÃ¶ppel</t>
  </si>
  <si>
    <t>VerdrÃ¤ngungen des Ã–konomischen</t>
  </si>
  <si>
    <t>Gregor Bongaerts</t>
  </si>
  <si>
    <t>Klang â€“ Struktur â€“ Konzept</t>
  </si>
  <si>
    <t>Kai Lothwesen</t>
  </si>
  <si>
    <t>Wie geht Kultur unter die Haut?</t>
  </si>
  <si>
    <t>JÃ¶rg NiewÃ¶hner-Christoph Kehl-Stefan Beck</t>
  </si>
  <si>
    <t>Selbsterkenntnis und Lebensform</t>
  </si>
  <si>
    <t>JÃ¶rg Volbers</t>
  </si>
  <si>
    <t>Kleidung und Geschlecht</t>
  </si>
  <si>
    <t>Cordula Bachmann</t>
  </si>
  <si>
    <t>Der Star und seine Nutzer</t>
  </si>
  <si>
    <t>Katrin Keller</t>
  </si>
  <si>
    <t>Was ist eine UniversitÃ¤t?</t>
  </si>
  <si>
    <t>Ulrike HaÃŸ-Nikolaus MÃ¼ller-SchÃ¶ll</t>
  </si>
  <si>
    <t>Der Mann in der Krise</t>
  </si>
  <si>
    <t>Ines Kappert</t>
  </si>
  <si>
    <t>Frosch und Frankenstein</t>
  </si>
  <si>
    <t>Bernd HÃ¼ppauf-Peter Weingart</t>
  </si>
  <si>
    <t>Doing Images</t>
  </si>
  <si>
    <t>Regula ValÃ©rie Burri</t>
  </si>
  <si>
    <t>The Beatles on Film</t>
  </si>
  <si>
    <t>Roland Reiter</t>
  </si>
  <si>
    <t>Â»Ich Tarzan.Â«</t>
  </si>
  <si>
    <t>Gesine KrÃ¼ger-Ruth Mayer-Marianne Sommer</t>
  </si>
  <si>
    <t>Interkulturelle Mahlzeiten</t>
  </si>
  <si>
    <t>Claudia Lillge-Anne-Rose Meyer</t>
  </si>
  <si>
    <t>Parasiten und Sirenen</t>
  </si>
  <si>
    <t>Bernhard J. Dotzler-Henning Schmidgen</t>
  </si>
  <si>
    <t>Public Istanbul</t>
  </si>
  <si>
    <t>Frank Eckardt-Kathrin Wildner</t>
  </si>
  <si>
    <t>Kunst verbindet Menschen</t>
  </si>
  <si>
    <t>Tina Jerman</t>
  </si>
  <si>
    <t>Ã„sthetik der ObjektivitÃ¤t</t>
  </si>
  <si>
    <t>Anja Zimmermann</t>
  </si>
  <si>
    <t>Bildende WiderstÃ¤nde â€“ widerstÃ¤ndige Bildung</t>
  </si>
  <si>
    <t>Christiane Thompson-Gabriele WeiÃŸ</t>
  </si>
  <si>
    <t>Zwischen Amazonas und East River</t>
  </si>
  <si>
    <t>Maren RÃ¶ÃŸler</t>
  </si>
  <si>
    <t>Nationalsozialismus und Geschlecht</t>
  </si>
  <si>
    <t>Elke Frietsch-Christina Herkommer</t>
  </si>
  <si>
    <t>Die Fabrikation globaler Vielfalt</t>
  </si>
  <si>
    <t>Andreas Gebesmair</t>
  </si>
  <si>
    <t>Passagen der PÃ¤dagogik</t>
  </si>
  <si>
    <t>Werner Friedrichs</t>
  </si>
  <si>
    <t>Frauenbewegung im Wandel der Generationen</t>
  </si>
  <si>
    <t>Christine Thon</t>
  </si>
  <si>
    <t>Paradoxes of Interactivity</t>
  </si>
  <si>
    <t>Uwe Seifert-Jin Hyun Kim-Anthony Moore</t>
  </si>
  <si>
    <t>Das Weib als Versuchsperson</t>
  </si>
  <si>
    <t>Katja Sabisch</t>
  </si>
  <si>
    <t>Unheimliche Inskriptionen</t>
  </si>
  <si>
    <t>Catherine Shelton</t>
  </si>
  <si>
    <t>Erleben, Erleiden, Erfahren</t>
  </si>
  <si>
    <t>Kay Junge-Daniel Suber-Gerold Gerber</t>
  </si>
  <si>
    <t>Nicht(s) sagen</t>
  </si>
  <si>
    <t>Emmanuel Alloa-Alice Lagaay</t>
  </si>
  <si>
    <t>Durch Lesen sich selbst verstehen</t>
  </si>
  <si>
    <t>Florian Huber</t>
  </si>
  <si>
    <t>York Kautt</t>
  </si>
  <si>
    <t>Von Stadtplanung und Immobilienwirtschaft</t>
  </si>
  <si>
    <t>Susanne Heeg</t>
  </si>
  <si>
    <t>Hin zum Film â€“ ZurÃ¼ck zu den Bildern</t>
  </si>
  <si>
    <t>Joanna Barck</t>
  </si>
  <si>
    <t>Differenz und Raum</t>
  </si>
  <si>
    <t>Dirk Quadflieg</t>
  </si>
  <si>
    <t>Alien Gender</t>
  </si>
  <si>
    <t>Nadja Sennewald</t>
  </si>
  <si>
    <t>Operation Video</t>
  </si>
  <si>
    <t>Sigrid Adorf</t>
  </si>
  <si>
    <t>Grenzen. Differenzen. ÃœbergÃ¤nge.</t>
  </si>
  <si>
    <t>Antje Gunsenheimer</t>
  </si>
  <si>
    <t>Von der Â»KulturÂ« zur Â»RasseÂ« â€“ vom Objekt zum KÃ¶rper?</t>
  </si>
  <si>
    <t>Anja LaukÃ¶tter</t>
  </si>
  <si>
    <t>Berlin aufgemischt: abendlÃ¤ndisch, multikulturell, kosmopolitisch?</t>
  </si>
  <si>
    <t>Biographische Wechselwirkungen</t>
  </si>
  <si>
    <t>Margarete Menz</t>
  </si>
  <si>
    <t>ZeitgenÃ¶ssischer Tanz</t>
  </si>
  <si>
    <t>Reto Clavadetscher-Claudia Rosiny</t>
  </si>
  <si>
    <t>Zwischen Sagen und Zeigen</t>
  </si>
  <si>
    <t>Fabian GoppelsrÃ¶der</t>
  </si>
  <si>
    <t>Orte des Tourismus</t>
  </si>
  <si>
    <t>Andreas Pott</t>
  </si>
  <si>
    <t>HipHop meets Academia</t>
  </si>
  <si>
    <t>Karin Bock-Stefan Meier-Gunter SÃ¼ÃŸ</t>
  </si>
  <si>
    <t>Rhetorik des Subjekts</t>
  </si>
  <si>
    <t>Sylvia Pritsch</t>
  </si>
  <si>
    <t>Menschliches Handeln als Improvisation</t>
  </si>
  <si>
    <t>Ronald Kurt-Klaus NÃ¤umann</t>
  </si>
  <si>
    <t>Die Ã–kologie der Literatur</t>
  </si>
  <si>
    <t>Stefan Hofer</t>
  </si>
  <si>
    <t>Public-Private Dynamics in Higher Education</t>
  </si>
  <si>
    <t>JÃ¼rgen Enders-Ben Jongbloed</t>
  </si>
  <si>
    <t>Transnationale Perspektiven</t>
  </si>
  <si>
    <t>Â»das Dennoch jedes BuchstabensÂ«</t>
  </si>
  <si>
    <t>Margret Karsch</t>
  </si>
  <si>
    <t>Die VerrÃ¼cktheit des Sinns</t>
  </si>
  <si>
    <t>Oliver Kohns</t>
  </si>
  <si>
    <t>Ã„sthetik der Immersion</t>
  </si>
  <si>
    <t>Laura Bieger</t>
  </si>
  <si>
    <t>Schnittstelle Kunst â€“ Vermittlung</t>
  </si>
  <si>
    <t>Carmen MÃ¶rsch-Landesverband der Kunstschulen Niedersac</t>
  </si>
  <si>
    <t>Europas GedÃ¤chtnis</t>
  </si>
  <si>
    <t>Der Holocaust als Herausforderung fÃ¼r den Film</t>
  </si>
  <si>
    <t>Catrin Corell</t>
  </si>
  <si>
    <t>Das Unbehagen in der Islamwissenschaft</t>
  </si>
  <si>
    <t>Abbas Poya-Maurus Reinkowski</t>
  </si>
  <si>
    <t>Technische Reproduzierbarkeit</t>
  </si>
  <si>
    <t>Lutz Hieber-Dominik Schrage</t>
  </si>
  <si>
    <t>Geschlecht als Tabu</t>
  </si>
  <si>
    <t>Ute Frietsch-Konstanze Hanitzsch-Jennifer John-Beatrice Michaelis</t>
  </si>
  <si>
    <t>MÃ¤nnlichkeiten und Moderne</t>
  </si>
  <si>
    <t>Ulrike Brunotte-Rainer Herrn</t>
  </si>
  <si>
    <t>Transit Marseille</t>
  </si>
  <si>
    <t>Daniel Winkler</t>
  </si>
  <si>
    <t>Â»pathosÂ«</t>
  </si>
  <si>
    <t>Kathrin Busch-Iris DÃ¤rmann</t>
  </si>
  <si>
    <t>Lone Star Texas</t>
  </si>
  <si>
    <t>Dieter Haller</t>
  </si>
  <si>
    <t>Das Opernhafte</t>
  </si>
  <si>
    <t>Immacolata Amodeo</t>
  </si>
  <si>
    <t>Gender und Fernsehen</t>
  </si>
  <si>
    <t>Tanja Maier</t>
  </si>
  <si>
    <t>Doing Time</t>
  </si>
  <si>
    <t>Hans-Joachim Lincke</t>
  </si>
  <si>
    <t>The Politics of Imagination</t>
  </si>
  <si>
    <t>Tara Forrest</t>
  </si>
  <si>
    <t>Â»Gender and ScienceÂ«</t>
  </si>
  <si>
    <t>Carmen Leicht-Scholten</t>
  </si>
  <si>
    <t>Express yourself!</t>
  </si>
  <si>
    <t>Eva Kimminich-Michael Rappe-Heinz Geuen-Stefan PfÃ¤nder</t>
  </si>
  <si>
    <t>Wege zur Integration</t>
  </si>
  <si>
    <t>Halit Ã–ztÃ¼rk</t>
  </si>
  <si>
    <t>Transnationale Migrationen</t>
  </si>
  <si>
    <t>Pascal Goeke</t>
  </si>
  <si>
    <t>Evolution und Rasse</t>
  </si>
  <si>
    <t>Thomas Gondermann</t>
  </si>
  <si>
    <t>Psychosen: eine Herausforderung fÃ¼r die Psychoanalyse</t>
  </si>
  <si>
    <t>Peter Widmer-Michael Schmid</t>
  </si>
  <si>
    <t>Lived Temporalities</t>
  </si>
  <si>
    <t>Julia Mahler</t>
  </si>
  <si>
    <t>Literarische Foto-Texte</t>
  </si>
  <si>
    <t>Thomas von Steinaecker</t>
  </si>
  <si>
    <t>Im Kino der Humanwissenschaften</t>
  </si>
  <si>
    <t>RamÃ³n Reichert</t>
  </si>
  <si>
    <t>Dancing Postcolonialism</t>
  </si>
  <si>
    <t>Sabine SÃ¶rgel</t>
  </si>
  <si>
    <t>Der computeranimierte Spielfilm</t>
  </si>
  <si>
    <t>Klaus Kohlmann</t>
  </si>
  <si>
    <t>GouvernementalitÃ¤t und Sicherheit</t>
  </si>
  <si>
    <t>Patricia Purtschert-Katrin Meyer-Yves Winter</t>
  </si>
  <si>
    <t>Architekturen in Zelluloid</t>
  </si>
  <si>
    <t>Doris Agotai</t>
  </si>
  <si>
    <t>Kleidung verÃ¤ndert</t>
  </si>
  <si>
    <t>Claudia C. Ebner</t>
  </si>
  <si>
    <t>Rapocalypse</t>
  </si>
  <si>
    <t>Florian Werner</t>
  </si>
  <si>
    <t>Von Polen nach Deutschland und zurÃ¼ck</t>
  </si>
  <si>
    <t>Magdalena Nowicka</t>
  </si>
  <si>
    <t>Beobachtungen der RealitÃ¤t</t>
  </si>
  <si>
    <t>Benjamin JÃ¶rissen</t>
  </si>
  <si>
    <t>Kunst â€“ Museum â€“ Kontexte</t>
  </si>
  <si>
    <t>Viktor Kittlausz-Winfried Pauleit</t>
  </si>
  <si>
    <t>Emotionstheorien</t>
  </si>
  <si>
    <t>Alexander Kochinka</t>
  </si>
  <si>
    <t>Jenseits des Paradigmas kultureller Differenz</t>
  </si>
  <si>
    <t>Martin SÃ¶kefeld</t>
  </si>
  <si>
    <t>KÃ¶rperliche Erkenntnis</t>
  </si>
  <si>
    <t>Franz Bockrath-Bernhard Boschert-Elk Franke</t>
  </si>
  <si>
    <t>Aufmerksames Sehen</t>
  </si>
  <si>
    <t>Religion und Museum</t>
  </si>
  <si>
    <t>Peter J. BrÃ¤unlein</t>
  </si>
  <si>
    <t>TranskulturalitÃ¤t als Praxis</t>
  </si>
  <si>
    <t>Robert PÃ¼tz</t>
  </si>
  <si>
    <t>Â»Ein guter Mann ist harte ArbeitÂ«</t>
  </si>
  <si>
    <t>Andrea Lauser</t>
  </si>
  <si>
    <t>Soziale RÃ¤ume und kulturelle Praktiken</t>
  </si>
  <si>
    <t>Georg Mein-Markus Rieger-Ladich</t>
  </si>
  <si>
    <t>Treue zum Stil</t>
  </si>
  <si>
    <t>Gunter Gebauer-Thomas Alkemeyer-Bernhard Boschert-Uwe Flick-Robert Schmidt</t>
  </si>
  <si>
    <t>Der sechste Sinn</t>
  </si>
  <si>
    <t>Klaus E. MÃ¼ller</t>
  </si>
  <si>
    <t>Bewegung</t>
  </si>
  <si>
    <t>Gabriele Klein</t>
  </si>
  <si>
    <t>IdentitÃ¤tsrÃ¤ume</t>
  </si>
  <si>
    <t>Brigitte Hipfl-Elisabeth Klaus-Uta Scheer</t>
  </si>
  <si>
    <t>VIRUS!</t>
  </si>
  <si>
    <t>Ruth Mayer-Brigitte Weingart</t>
  </si>
  <si>
    <t>Historische Soziologie</t>
  </si>
  <si>
    <t>Rainer SchÃ¼tzeichel</t>
  </si>
  <si>
    <t>Recht und Unrecht</t>
  </si>
  <si>
    <t>Hermann Klenner</t>
  </si>
  <si>
    <t>Indischer Film</t>
  </si>
  <si>
    <t>Matthias Uhl-Keval J. Kumar</t>
  </si>
  <si>
    <t>Kino der LÃ¼ge</t>
  </si>
  <si>
    <t>Kerstin Kratochwill-Almut Steinlein</t>
  </si>
  <si>
    <t>GeschichtsbewuÃŸtsein im Jugendalter</t>
  </si>
  <si>
    <t>Carlos KÃ¶lbl</t>
  </si>
  <si>
    <t>Das Netz und die Virtuelle RealitÃ¤t</t>
  </si>
  <si>
    <t>Jens SchrÃ¶ter</t>
  </si>
  <si>
    <t>EXPOSITUM</t>
  </si>
  <si>
    <t>Alexander Klein</t>
  </si>
  <si>
    <t>Ereignis</t>
  </si>
  <si>
    <t>Nikolaus MÃ¼ller-SchÃ¶ll</t>
  </si>
  <si>
    <t>Mikrologien</t>
  </si>
  <si>
    <t>Marianne Schuller-Gunnar Schmidt</t>
  </si>
  <si>
    <t>Reflexion</t>
  </si>
  <si>
    <t>JÃ¶rg Zimmer</t>
  </si>
  <si>
    <t>Thomas Metscher</t>
  </si>
  <si>
    <t>Der komische KÃ¶rper</t>
  </si>
  <si>
    <t>Eva Erdmann</t>
  </si>
  <si>
    <t>Der Eigen-Sinn des BewuÃŸtseins</t>
  </si>
  <si>
    <t>NÃ¤hte am PuppenkÃ¶rper</t>
  </si>
  <si>
    <t>Meike Wagner</t>
  </si>
  <si>
    <t>Wie werden Wissenschaftler gemacht?</t>
  </si>
  <si>
    <t>Sandra BeaufaÃ¿s</t>
  </si>
  <si>
    <t>Facetten islamischer Welten</t>
  </si>
  <si>
    <t>Mechthild Rumpf-Ute Gerhard-Mechtild M. Jansen</t>
  </si>
  <si>
    <t>Pop Sounds</t>
  </si>
  <si>
    <t>Thomas Phleps-Ralf von Appen</t>
  </si>
  <si>
    <t>Paradoxien der Entscheidung</t>
  </si>
  <si>
    <t>Friedrich Balke-Gregor Schwering-Urs StÃ¤heli</t>
  </si>
  <si>
    <t>Clipped Differences</t>
  </si>
  <si>
    <t>Soziologie der Stadt</t>
  </si>
  <si>
    <t>Frank Eckardt</t>
  </si>
  <si>
    <t>Sehenlernen im Museum</t>
  </si>
  <si>
    <t>Muslime im sÃ¤kularen Rechtsstaat</t>
  </si>
  <si>
    <t>Heiner Bielefeldt</t>
  </si>
  <si>
    <t>Diskurs</t>
  </si>
  <si>
    <t>Hannelore Bublitz</t>
  </si>
  <si>
    <t>Mensch â€“ Natur</t>
  </si>
  <si>
    <t>Hans Heinz Holz</t>
  </si>
  <si>
    <t>Wahrnehmen</t>
  </si>
  <si>
    <t>Michael Weingarten</t>
  </si>
  <si>
    <t>Widerspiegelung</t>
  </si>
  <si>
    <t>Zur Modernisierung der Schule</t>
  </si>
  <si>
    <t>Thomas BrÃ¼semeister-Klaus-Dieter Eubel</t>
  </si>
  <si>
    <t>PÃ¤dagogik der Wissensgesellschaft</t>
  </si>
  <si>
    <t>Thomas HÃ¶hne</t>
  </si>
  <si>
    <t>HipHop</t>
  </si>
  <si>
    <t>Jannis Androutsopoulos</t>
  </si>
  <si>
    <t>Nomaden</t>
  </si>
  <si>
    <t>Andreas Leutzsch</t>
  </si>
  <si>
    <t>ReligiÃ¶se Strategien der Â»machbarenÂ« Gesellschaft</t>
  </si>
  <si>
    <t>Levent Tezcan</t>
  </si>
  <si>
    <t>Kleist lesen</t>
  </si>
  <si>
    <t>Nikolaus MÃ¼ller-SchÃ¶ll-Marianne Schuller</t>
  </si>
  <si>
    <t>Bourdieu lesen</t>
  </si>
  <si>
    <t>Christian Papilloud</t>
  </si>
  <si>
    <t>GÃ¶tterdÃ¤mmerung</t>
  </si>
  <si>
    <t>Volkhard Krech</t>
  </si>
  <si>
    <t>Eine WellenlÃ¤nge zu Gott</t>
  </si>
  <si>
    <t>Stimme und Blick</t>
  </si>
  <si>
    <t>Susanne Gottlob</t>
  </si>
  <si>
    <t>Naturwissenschaft</t>
  </si>
  <si>
    <t>Renate Wahsner</t>
  </si>
  <si>
    <t>Mittel</t>
  </si>
  <si>
    <t>Christoph Hubig</t>
  </si>
  <si>
    <t>Expanded Museum</t>
  </si>
  <si>
    <t>Annette HÃ¼nnekens</t>
  </si>
  <si>
    <t>Â»Den Islam auslebenÂ«</t>
  </si>
  <si>
    <t>Hans-Ludwig Frese</t>
  </si>
  <si>
    <t>Ordnungen des Anderen</t>
  </si>
  <si>
    <t>Julia Reuter</t>
  </si>
  <si>
    <t>Die Politik der Verortung</t>
  </si>
  <si>
    <t>Julia Lossau</t>
  </si>
  <si>
    <t>Medien â€“ Systeme â€“ Netze</t>
  </si>
  <si>
    <t>Stefan Weber</t>
  </si>
  <si>
    <t>Mediale Anatomien</t>
  </si>
  <si>
    <t>Annette Keck-Nicolas Pethes</t>
  </si>
  <si>
    <t>Â»Sicher in KreuzbergÂ«</t>
  </si>
  <si>
    <t>Ayhan Kaya</t>
  </si>
  <si>
    <t>MuseumsTheater</t>
  </si>
  <si>
    <t>Gabriele Kindler</t>
  </si>
  <si>
    <t>Die Werkzeugkiste der Cultural Studies</t>
  </si>
  <si>
    <t>Udo GÃ¶ttlich-Lothar Mikos-Rainer Winter</t>
  </si>
  <si>
    <t>Sabine Maasen-Matthias Winterhager</t>
  </si>
  <si>
    <t>Big Brother</t>
  </si>
  <si>
    <t>Kriminalsoziologie</t>
  </si>
  <si>
    <t>Stefanie Eifler</t>
  </si>
  <si>
    <t>Situating Globalization</t>
  </si>
  <si>
    <t>Cynthia Nelson-Shahnaz Rouse</t>
  </si>
  <si>
    <t>Besucher zu StammgÃ¤sten machen!</t>
  </si>
  <si>
    <t>Bernd GÃ¼nter-Hartmut John</t>
  </si>
  <si>
    <t>euphorie digital?</t>
  </si>
  <si>
    <t>Claudia Gemmeke-Harald KrÃ¤mer-Hartmut John</t>
  </si>
  <si>
    <t>Shops und kommerzielle Warenangebote</t>
  </si>
  <si>
    <t>Hartmut John</t>
  </si>
  <si>
    <t>Transstaatliche RÃ¤ume</t>
  </si>
  <si>
    <t>Thomas Faist</t>
  </si>
  <si>
    <t>Class, Culture and Space</t>
  </si>
  <si>
    <t>Alexander Horstmann</t>
  </si>
  <si>
    <t>Ending Slavery</t>
  </si>
  <si>
    <t>Urs Peter Ruf</t>
  </si>
  <si>
    <t>Islamische Kultur und moderne Gesellschaft</t>
  </si>
  <si>
    <t>Georg Stauth</t>
  </si>
  <si>
    <t>Die TÃ¶chter der Gastarbeiter und der Islam</t>
  </si>
  <si>
    <t>Sigrid NÃ¶kel</t>
  </si>
  <si>
    <t>Der neue Islam der Frauen</t>
  </si>
  <si>
    <t>Ruth Klein-Hessling-Sigrid NÃ¶kel-Karin Werner</t>
  </si>
  <si>
    <t>Disability in Different Cultures</t>
  </si>
  <si>
    <t>Brigitte Holzer-Arthur Vreede-Gabriele Weigt</t>
  </si>
  <si>
    <t>Rational-Choice-Theorie</t>
  </si>
  <si>
    <t>Paul B. Hill</t>
  </si>
  <si>
    <t>Medizinsoziologie</t>
  </si>
  <si>
    <t>Gunnar Stollberg</t>
  </si>
  <si>
    <t>Soziale Konflikte</t>
  </si>
  <si>
    <t>Ansgar Thiel</t>
  </si>
  <si>
    <t>Risiko</t>
  </si>
  <si>
    <t>Klaus Peter Japp</t>
  </si>
  <si>
    <t>Religionssoziologie</t>
  </si>
  <si>
    <t>Gesellschaftliche Differenzierung</t>
  </si>
  <si>
    <t>Uwe Schimank-Ute Volkmann</t>
  </si>
  <si>
    <t>Stephen, Clarke-Bob T., Li</t>
  </si>
  <si>
    <t>Fast Facts: Les Troubles D'oxydation Des Acides Gras Ã€ ChaÃ®ne Longue</t>
  </si>
  <si>
    <t>Barbara K., Burton-Anne, Daly</t>
  </si>
  <si>
    <t>Fast Facts para pacientes: DistÃºrbios da oxidaÃ§Ã£o dos Ã¡cidos graxos de cadeia longa</t>
  </si>
  <si>
    <t>Burton, Barbara K.-Daly, Anne</t>
  </si>
  <si>
    <t>Fast Facts pour les patients: Les troubles d'oxydation des acides gras Ã  chaÃ®ne longue</t>
  </si>
  <si>
    <t>The Data Journalism Handbook</t>
  </si>
  <si>
    <t>Liliana Bounegru-Jonathan Gray</t>
  </si>
  <si>
    <t>Dynamics of Industrial Revolution 4.0: Digital Technology Transformation and Cultural Evolution</t>
  </si>
  <si>
    <t>Ratri Wulandari-Idhar Resmadi-Vika Haristianti-Rahmiati Aulia-Riky Taufik Afif-Gema Ari Prahara-Aulia Ibrahim Yeru</t>
  </si>
  <si>
    <t>Intermedial Studies</t>
  </si>
  <si>
    <t>JÃ¸rgen Bruhn-Beate Schirrmacher</t>
  </si>
  <si>
    <t>The Political Economy of Transnational Governance</t>
  </si>
  <si>
    <t>Hong Liu</t>
  </si>
  <si>
    <t>The Routledge Handbook of Taxation and Philanthropy</t>
  </si>
  <si>
    <t>BUSINESS &amp; ECONOMICS / Nonprofit Organizations &amp; Charities / Finance &amp; Accounting</t>
  </si>
  <si>
    <t>Henry Peter-Giedre Lideikyte Huber</t>
  </si>
  <si>
    <t>Civil Society in China</t>
  </si>
  <si>
    <t>Runya Qiaoan</t>
  </si>
  <si>
    <t>Including LGBT Parented Families in Schools</t>
  </si>
  <si>
    <t>Tiffany Jones-Trent Mann</t>
  </si>
  <si>
    <t>Federalism and the Response to COVID-19</t>
  </si>
  <si>
    <t>Rupak Chattopadhyay-Felix KnÃ¼pling-Diana Chebenova-Liam Whittington-Phillip Gonzalez</t>
  </si>
  <si>
    <t>Dictators and Autocrats</t>
  </si>
  <si>
    <t>Klaus Larres</t>
  </si>
  <si>
    <t>Chinaâ€™s Carbon-Energy Policy and Asiaâ€™s Energy Transition</t>
  </si>
  <si>
    <t>Akihisa Mori</t>
  </si>
  <si>
    <t>Accessibility Denied. Understanding Inaccessibility and Everyday Resistance to Inclusion for Persons with Disabilities</t>
  </si>
  <si>
    <t>Hanna Egard-Kristofer Hansson-David WÃ¤sterfors</t>
  </si>
  <si>
    <t>The Socioeconomic Impact of COVID-19 on Eastern European Countries</t>
  </si>
  <si>
    <t>RafaÅ‚ WisÅ‚a-PaweÅ‚ Dykas</t>
  </si>
  <si>
    <t>Stakeholder Management and Social Responsibility</t>
  </si>
  <si>
    <t>Open World Learning</t>
  </si>
  <si>
    <t>Bart Rienties-Regine Hampel-Eileen Scanlon-Denise Whitelock</t>
  </si>
  <si>
    <t>Climate Change and the Health Sector</t>
  </si>
  <si>
    <t>Alexander Thomas-K. Srinath Reddy-Divya Alexander-Poornima Prabhakaran</t>
  </si>
  <si>
    <t>Routledge Handbook of Public Policy in Africa</t>
  </si>
  <si>
    <t>Gedion Onyango</t>
  </si>
  <si>
    <t>The Germanic Tribes, the Gods and the German Far Right Today</t>
  </si>
  <si>
    <t>Georg Schuppener</t>
  </si>
  <si>
    <t>Communicative Constructions and the Refiguration of Spaces</t>
  </si>
  <si>
    <t>Gabriela B. Christmann-Hubert Knoblauch-Martina LÃ¶w</t>
  </si>
  <si>
    <t>Gender, Food and COVID-19</t>
  </si>
  <si>
    <t>Paige Castellanos-Carolyn E. Sachs-Ann R. Tickamyer</t>
  </si>
  <si>
    <t>Belgian Exceptionalism</t>
  </si>
  <si>
    <t>Didier Caluwaerts-Min Reuchamps</t>
  </si>
  <si>
    <t>An Archaeology of Institutional Confinement</t>
  </si>
  <si>
    <t>Davies, Dr Peter-Crook, Dr Penny-Murray, Tim</t>
  </si>
  <si>
    <t>Animal Welfare in Australia</t>
  </si>
  <si>
    <t>Chen, Dr Peter John</t>
  </si>
  <si>
    <t>Heimat Und Gedaechtnis Heute</t>
  </si>
  <si>
    <t>Garbine Iztueta Goizueta-Carme Bescansa-Iraide Talavera-Mario Saalbach</t>
  </si>
  <si>
    <t>Tableau Methods for Propositional Logic and Term Logic</t>
  </si>
  <si>
    <t>Tomasz JarmuÅ¼ek</t>
  </si>
  <si>
    <t>The Politics of Permaculture</t>
  </si>
  <si>
    <t>Terry Leahy</t>
  </si>
  <si>
    <t>Social Exclusion of Youth in Europe</t>
  </si>
  <si>
    <t>Marge Unt-Michael Gebel-Sonia Bertolini-Vassiliki Deliyanni-Kouimtzi-Dirk HofÃ¤cker</t>
  </si>
  <si>
    <t>Towards an Ethics of Autism</t>
  </si>
  <si>
    <t>Human Cultures Through the Scientific Lens</t>
  </si>
  <si>
    <t xml:space="preserve"> Pascal Boyer</t>
  </si>
  <si>
    <t>Evaluation of Childrens' Play</t>
  </si>
  <si>
    <t>Serenella Besio-Daniela Bulgarelli-Vaska Stancheva-Popkostadinova</t>
  </si>
  <si>
    <t>Rechte VerhÃ¤ltnisse in Hochschule und Gesellschaft</t>
  </si>
  <si>
    <t>Markus Baum-Julia Maria Breidung-Martin Spetsmann-Kunkel</t>
  </si>
  <si>
    <t>Berufliches Crossover zwischen Ã¶konomischer und soziokultureller Fachwelt</t>
  </si>
  <si>
    <t>Franziska KÃ¶nig</t>
  </si>
  <si>
    <t>â€šFit machenâ€˜ fÃ¼r die Ausbildung</t>
  </si>
  <si>
    <t>Marc Thielen-Antje Handelmann</t>
  </si>
  <si>
    <t>Walking the Teacher's Path with Mindfulness</t>
  </si>
  <si>
    <t>Richard Brady</t>
  </si>
  <si>
    <t>Menâ€™s Activism to End Violence Against Women</t>
  </si>
  <si>
    <t>Nicole Westmarland-Anna-Lena Almqvist-Linn Egeberg Holmgren-Sandy Ruxton-Stephen Burrell-Custodio Delgado Valbuena</t>
  </si>
  <si>
    <t>Over Our Dead Bodies</t>
  </si>
  <si>
    <t>Chapman, Simon</t>
  </si>
  <si>
    <t>For the Sake of a Song</t>
  </si>
  <si>
    <t>Marett, Allan-Barwick, Linda-Ford, Lysbeth</t>
  </si>
  <si>
    <t>On Aboriginal Religion</t>
  </si>
  <si>
    <t>Stanner, W.E.H.</t>
  </si>
  <si>
    <t>Customary Marine Tenure in Australia</t>
  </si>
  <si>
    <t>Peterson, Nicolas-Rigsby, Bruce</t>
  </si>
  <si>
    <t>The State of the Art</t>
  </si>
  <si>
    <t>Anderson, Professor Michael-Roche, Colleen</t>
  </si>
  <si>
    <t>Landmarks of Otsego County</t>
  </si>
  <si>
    <t>Syracuse University Press</t>
  </si>
  <si>
    <t>Diantha Dow Schull</t>
  </si>
  <si>
    <t>Moses Hazen and the Canadian Refugees in the American Revolution</t>
  </si>
  <si>
    <t>Allan S. Everest</t>
  </si>
  <si>
    <t>Bennett's New York Herald and the Rise of the Popular Press</t>
  </si>
  <si>
    <t>James L. Crouthamel</t>
  </si>
  <si>
    <t>Through "Poverty's Vale"</t>
  </si>
  <si>
    <t>Henry Conklin-Wendell Tripp</t>
  </si>
  <si>
    <t>Joseph Ellicott and the Holland Land Company</t>
  </si>
  <si>
    <t>William Chazanof</t>
  </si>
  <si>
    <t>Rum Across the Border</t>
  </si>
  <si>
    <t>House of Refuge</t>
  </si>
  <si>
    <t>Robert S. Pickett</t>
  </si>
  <si>
    <t>Scholar in the Wilderness</t>
  </si>
  <si>
    <t>Harry F. Jackson</t>
  </si>
  <si>
    <t>Industrial Development and Irish National Identity, 1922-1939</t>
  </si>
  <si>
    <t>Mary E. Daly</t>
  </si>
  <si>
    <t>Belief and Worship in Native North America</t>
  </si>
  <si>
    <t>Ã…ke Hultkrantz-Christopher Vecsey</t>
  </si>
  <si>
    <t>Geography of New York State Supplement</t>
  </si>
  <si>
    <t>John H. Thompson</t>
  </si>
  <si>
    <t>Yeats and Postmodernism</t>
  </si>
  <si>
    <t>Leonard Orr</t>
  </si>
  <si>
    <t>Gardens of the Gilded Age</t>
  </si>
  <si>
    <t>M. Christine Klim Doell</t>
  </si>
  <si>
    <t>Stubborn For Liberty</t>
  </si>
  <si>
    <t>Alice P. Kenney</t>
  </si>
  <si>
    <t>Defending the Wilderness</t>
  </si>
  <si>
    <t>Paul Schaefer</t>
  </si>
  <si>
    <t>Hanna Sheehy-Skeffington</t>
  </si>
  <si>
    <t>Leah Levenson-Jerry H. Natterstad</t>
  </si>
  <si>
    <t>Landmarks of Rochester and Monroe County</t>
  </si>
  <si>
    <t>Paul Malo</t>
  </si>
  <si>
    <t>Die Taufe des Leviathan</t>
  </si>
  <si>
    <t>Heinrich Wilhelm SchÃ¤fer</t>
  </si>
  <si>
    <t>Regulating Transitions From School to Work</t>
  </si>
  <si>
    <t>Stephan Dahmen</t>
  </si>
  <si>
    <t>Unlocking Luhmann</t>
  </si>
  <si>
    <t>Claudio Baraldi-Giancarlo Corsi-Elena Esposito</t>
  </si>
  <si>
    <t>Pospopulares</t>
  </si>
  <si>
    <t>Pablo Alabarces</t>
  </si>
  <si>
    <t>La crisis de los regÃ­menes progresistas y el legado del socialismo de Estado</t>
  </si>
  <si>
    <t>Klaus Meschkat</t>
  </si>
  <si>
    <t>Entre el bosque y los Ã¡rboles</t>
  </si>
  <si>
    <t>Jeffrey Gould</t>
  </si>
  <si>
    <t>Demokratie im digitalen Kapitalismus</t>
  </si>
  <si>
    <t>NÃ©stor GarcÃ­a Canclini</t>
  </si>
  <si>
    <t>Digital Methods in the Humanities</t>
  </si>
  <si>
    <t>Silke Schwandt</t>
  </si>
  <si>
    <t>Recht und DiversitÃ¤t</t>
  </si>
  <si>
    <t>Christina Brauner-Antje FlÃ¼chter</t>
  </si>
  <si>
    <t>Narratives and Comparisons</t>
  </si>
  <si>
    <t>Martin Carrier-Rebecca Mertens-Carsten Reinhardt</t>
  </si>
  <si>
    <t>Die Grenzen der Rohstoffausbeutung</t>
  </si>
  <si>
    <t>Maristella Svampa</t>
  </si>
  <si>
    <t>ProducciÃ³n horizontal del conocimiento</t>
  </si>
  <si>
    <t>Alternativas al colapso socioambiental desde AmÃ©rica Latina</t>
  </si>
  <si>
    <t>LeÃ³n Enrique Ãvila Romero</t>
  </si>
  <si>
    <t>Conflictividades interculturales</t>
  </si>
  <si>
    <t>Claudia Briones</t>
  </si>
  <si>
    <t>Ciudadanos reemplazados por algoritmos</t>
  </si>
  <si>
    <t>Crisis polÃ­tica en la Argentina</t>
  </si>
  <si>
    <t>Elvira Narvaja de Arnoux</t>
  </si>
  <si>
    <t>Crisis civilizatoria</t>
  </si>
  <si>
    <t>Edgardo Lander</t>
  </si>
  <si>
    <t>RefeudalizaciÃ³n</t>
  </si>
  <si>
    <t>Olaf Kaltmeier</t>
  </si>
  <si>
    <t>War der Coronavirus-Lockdown notwendig?</t>
  </si>
  <si>
    <t>Dirk Richter</t>
  </si>
  <si>
    <t>Staat, Sicherheit und Gewalt in Kamerun</t>
  </si>
  <si>
    <t>Maria Ketzmerick</t>
  </si>
  <si>
    <t>Transnationalizing Radio Research</t>
  </si>
  <si>
    <t>Golo FÃ¶llmer-Alexander Badenoch</t>
  </si>
  <si>
    <t>Zuhause fremd</t>
  </si>
  <si>
    <t>Sabine Ipsen-Peitzmeier-Markus Kaiser</t>
  </si>
  <si>
    <t>Jahrbuch Migration Und Gesellschaft / Yearbook Migration and Society 2020/2021</t>
  </si>
  <si>
    <t>SONA - Netzwerk Soziologie</t>
  </si>
  <si>
    <t>So schaffen wir das â€“ eine Zivilgesellschaft im Aufbruch</t>
  </si>
  <si>
    <t>Werner Schiffauer-Anne Eilert-Marlene Rudloff</t>
  </si>
  <si>
    <t>Governance der Kreativwirtschaft</t>
  </si>
  <si>
    <t>Bastian Lange-Ares Kalandides-Birgit StÃ¶ber-Inga Wellmann</t>
  </si>
  <si>
    <t>Europa an der Oder</t>
  </si>
  <si>
    <t>Alexandra Schwell</t>
  </si>
  <si>
    <t>Professionalisierung der wissenschaftlichen Politikberatung?</t>
  </si>
  <si>
    <t>Kai Buchholz</t>
  </si>
  <si>
    <t>Das MilitÃ¤r und seine Subjekte</t>
  </si>
  <si>
    <t>Jens Warburg</t>
  </si>
  <si>
    <t>Europa â€“ geeint durch Werte?</t>
  </si>
  <si>
    <t>Moritz CsÃ¡ky-Johannes Feichtinger</t>
  </si>
  <si>
    <t>Ordnungen im Wandel</t>
  </si>
  <si>
    <t>Friedrich Arndt-Carmen Dege-Christian Ellermann-Maximilian Mayer-David Teller-Lisbeth Zimmermann</t>
  </si>
  <si>
    <t>Gerechtigkeit in Europa</t>
  </si>
  <si>
    <t>Helmut KÃ¶nig-Emanuel Richter-Sabine Schielke</t>
  </si>
  <si>
    <t>Zwischen BÃ¼rgerkrieg und friedlicher Koexistenz</t>
  </si>
  <si>
    <t>Dr. Peter Kreuzer-Mirjam Weiberg-Salzmann</t>
  </si>
  <si>
    <t>RationalitÃ¤ten der Gewalt</t>
  </si>
  <si>
    <t>Susanne Krasmann-JÃ¼rgen Martschukat</t>
  </si>
  <si>
    <t>Kontrollierte UrbanitÃ¤t</t>
  </si>
  <si>
    <t>Volker Eick-Jens Sambale-Eric TÃ¶pfer</t>
  </si>
  <si>
    <t>Politik mit dem Einkaufswagen</t>
  </si>
  <si>
    <t>Sigrid Baringhorst-Veronika Kneip-Annegret MÃ¤rz-Johanna Niesyto</t>
  </si>
  <si>
    <t>Soziale Stadtpolitik</t>
  </si>
  <si>
    <t>Simon GÃ¼ntner</t>
  </si>
  <si>
    <t>Die Organisation des Washington Consensus</t>
  </si>
  <si>
    <t>Christian Kellermann</t>
  </si>
  <si>
    <t>Soziale Grundsicherung in der Weltgesellschaft</t>
  </si>
  <si>
    <t>Lutz Leisering-Petra Buhr-Ute Traiser-Diop</t>
  </si>
  <si>
    <t>Politisierte Religion</t>
  </si>
  <si>
    <t>Schirin Amir-Moazami</t>
  </si>
  <si>
    <t>Nichtregierungsorganisationen, soziale Bewegungen und Global Governance</t>
  </si>
  <si>
    <t>Armin Stickler</t>
  </si>
  <si>
    <t>Banal Militarism</t>
  </si>
  <si>
    <t>Tanja Thomas-Fabian Virchow</t>
  </si>
  <si>
    <t>GehÃ¶rt die TÃ¼rkei zu Europa?</t>
  </si>
  <si>
    <t>Helmut KÃ¶nig-Manfred Sicking</t>
  </si>
  <si>
    <t>Der Sicherheitsdiskurs</t>
  </si>
  <si>
    <t>Thomas Kunz</t>
  </si>
  <si>
    <t>Rechte nationaler Minderheiten</t>
  </si>
  <si>
    <t>Heiner Bielefeldt-JÃ¶rg LÃ¼er</t>
  </si>
  <si>
    <t>Der Irak-Krieg und die Zukunft Europas</t>
  </si>
  <si>
    <t>WeltWissen</t>
  </si>
  <si>
    <t>Markus Kaiser</t>
  </si>
  <si>
    <t>Feminismus in der frÃ¼hen Gewerkschaftsbewegung (1890-1914)</t>
  </si>
  <si>
    <t>Uwe Fuhrmann</t>
  </si>
  <si>
    <t>Komplexes ErzÃ¤hlen â€“ Literatur auf 2+n-ter Stufe</t>
  </si>
  <si>
    <t>AndrÃ© Steiner</t>
  </si>
  <si>
    <t>Schillers Â»Ã„sthetische BriefeÂ« als Literatur</t>
  </si>
  <si>
    <t>Alexa Lucke</t>
  </si>
  <si>
    <t>Â»SolidaritÃ¤t zuerstÂ«</t>
  </si>
  <si>
    <t>Hermann-Josef GroÃŸe Kracht</t>
  </si>
  <si>
    <t>Care trans_formieren</t>
  </si>
  <si>
    <t>Francis Seeck</t>
  </si>
  <si>
    <t>Zwischen bÃ¼rgerlicher IdentitÃ¤t und musikalischer Profession</t>
  </si>
  <si>
    <t>Katrin Bock</t>
  </si>
  <si>
    <t>EU-Staatlichkeit zwischen Ausbau und Stagnation</t>
  </si>
  <si>
    <t>Johannes Gerken</t>
  </si>
  <si>
    <t>Chirale Welten</t>
  </si>
  <si>
    <t>Sandra Lang</t>
  </si>
  <si>
    <t>Friedensgutachten 2021</t>
  </si>
  <si>
    <t>Die Evolution der Religion</t>
  </si>
  <si>
    <t>Wie kÃ¶nnen wir den Schaden maximieren?</t>
  </si>
  <si>
    <t>Christoph Rodatz-Pierre Smolarski</t>
  </si>
  <si>
    <t>Der Verleger als literarische Figur</t>
  </si>
  <si>
    <t>Alessandra Goggio</t>
  </si>
  <si>
    <t>Â»Wir machen StoffÂ«</t>
  </si>
  <si>
    <t>Peter Donath-Annette SzegfÃ¼</t>
  </si>
  <si>
    <t>Kritik der Gegenwart â€“ Politische Theorie als kritische Zeitdiagnose</t>
  </si>
  <si>
    <t>Oliver FlÃ¼gel-Martinsen</t>
  </si>
  <si>
    <t>How to Relate</t>
  </si>
  <si>
    <t>Annika Haas-Maximilian Haas-Hanna Magauer-Dennis Pohl</t>
  </si>
  <si>
    <t>Freiheit wagen!</t>
  </si>
  <si>
    <t>Revolution und defekte Transformation in Ã„gypten</t>
  </si>
  <si>
    <t>KÃ¤mpfe um Migrationspolitik seit 2015</t>
  </si>
  <si>
    <t>Sonja Buckel-Laura Graf-Judith Kopp-Neva LÃ¶w-Maximilian Pichl</t>
  </si>
  <si>
    <t>Competition in World Politics</t>
  </si>
  <si>
    <t>Daniela Russ-James Stafford</t>
  </si>
  <si>
    <t>Bally - A History of Footwear in the Interwar Period</t>
  </si>
  <si>
    <t>Studies in the Arts â€“ Neue Perspektiven auf Forschung Ã¼ber, in und durch Kunst und Design</t>
  </si>
  <si>
    <t>Thomas Gartmann-Michaela SchÃ¤uble</t>
  </si>
  <si>
    <t>Europa als Grenze</t>
  </si>
  <si>
    <t>Bernd Kasparek</t>
  </si>
  <si>
    <t>The Wealthy, the Brilliant, the Few</t>
  </si>
  <si>
    <t>Sophie Spieler</t>
  </si>
  <si>
    <t>Fernbeziehungen</t>
  </si>
  <si>
    <t>Madeleine Scherrer</t>
  </si>
  <si>
    <t>Kontinent der Zukunft</t>
  </si>
  <si>
    <t>Eberhard Martin Pausch</t>
  </si>
  <si>
    <t>Erdgeschichte(n) und Entwicklungsromane</t>
  </si>
  <si>
    <t>Kathrin SchÃ¤r</t>
  </si>
  <si>
    <t>BÃ¼rgerwehren in Deutschland</t>
  </si>
  <si>
    <t>Nina Marie Bust-Bartels</t>
  </si>
  <si>
    <t>Muslimischsein im Sicherheitsdiskurs</t>
  </si>
  <si>
    <t>Iman Attia-Ozan Zakariya KeskinkiliÃ§-BÃ¼sra Okcu</t>
  </si>
  <si>
    <t>The Production of Consumer Society</t>
  </si>
  <si>
    <t>Mindfulness and Meditation at University</t>
  </si>
  <si>
    <t>Andreas de Bruin</t>
  </si>
  <si>
    <t>Arbeit an der Kultur</t>
  </si>
  <si>
    <t>Thilo NeidhÃ¶fer</t>
  </si>
  <si>
    <t>Nachhaltige LebensfÃ¼hrung</t>
  </si>
  <si>
    <t>Benjamin GÃ¶rgen</t>
  </si>
  <si>
    <t>Authority and Authorship in Medieval and Seventeenth Century Women's Visionary Writings</t>
  </si>
  <si>
    <t>Deborah Frick</t>
  </si>
  <si>
    <t>Tanzbilder und Bildbewegungen</t>
  </si>
  <si>
    <t>Svenja Ludwig</t>
  </si>
  <si>
    <t>Queere Zeitlichkeiten in dokumentarischen Filmen</t>
  </si>
  <si>
    <t>Natascha Frankenberg</t>
  </si>
  <si>
    <t>Robuste Langzeit-Governance bei der Endlagersuche</t>
  </si>
  <si>
    <t>Bettina Brohmann-Achim BrunnengrÃ¤ber-Peter Hocke-Ana MarÃ­a Isidoro Losada</t>
  </si>
  <si>
    <t>Die Gabe als drittes Prinzip zwischen Markt und Staat?</t>
  </si>
  <si>
    <t>Marc Frick</t>
  </si>
  <si>
    <t>Zivilgesellschaft in der Bundesrepublik Deutschland</t>
  </si>
  <si>
    <t>Brigitte Grande-Edgar Grande-Udo Hahn</t>
  </si>
  <si>
    <t>Anders lernen, arbeiten und leben</t>
  </si>
  <si>
    <t>Joachim BrÃ¶cher</t>
  </si>
  <si>
    <t>Radikalislamische YouTube-Propaganda</t>
  </si>
  <si>
    <t>Lino Klevesath-Annemieke Munderloh-Joris Sprengeler-Florian Grahmann-Julia Reiter</t>
  </si>
  <si>
    <t>Wikis und die Wikipedia verstehen</t>
  </si>
  <si>
    <t>Ziko van Dijk</t>
  </si>
  <si>
    <t>Achtsamkeit und Meditation im Hochschulkontext</t>
  </si>
  <si>
    <t>Die Welt neu denken lernen â€“ PlÃ¤doyer fÃ¼r eine planetare Politik</t>
  </si>
  <si>
    <t>Werner Wintersteiner-Hans Karl Peterlini</t>
  </si>
  <si>
    <t>Alltag in der Moschee</t>
  </si>
  <si>
    <t>Veronika RÃ¼ckamp</t>
  </si>
  <si>
    <t>Religion und Disability</t>
  </si>
  <si>
    <t>Ramona Jelinek-Menke</t>
  </si>
  <si>
    <t>Warum treffen sich soziale Bewegungen?</t>
  </si>
  <si>
    <t>Rainald Manthe</t>
  </si>
  <si>
    <t>Das literarische Weblog</t>
  </si>
  <si>
    <t>Marcella Fassio</t>
  </si>
  <si>
    <t>Schaufenster der Nation</t>
  </si>
  <si>
    <t>JÃ¼rgen Kramer-Uwe Horst-Werner Hennings</t>
  </si>
  <si>
    <t>Ãœberwachen und konsumieren</t>
  </si>
  <si>
    <t>Private Daten</t>
  </si>
  <si>
    <t>Barbara Wiesner</t>
  </si>
  <si>
    <t>Das quantifizierte Selbst</t>
  </si>
  <si>
    <t>Thorben MÃ¤mecke</t>
  </si>
  <si>
    <t>Technologisches Regieren</t>
  </si>
  <si>
    <t>Vincent August</t>
  </si>
  <si>
    <t>Der literarische Realismus und die illustrierten Printmedien</t>
  </si>
  <si>
    <t>Willi W. Barthold</t>
  </si>
  <si>
    <t>Im Zwischenraum der beschleunigten Moderne</t>
  </si>
  <si>
    <t>Robin Kellermann</t>
  </si>
  <si>
    <t>Thinking of Space Relationally</t>
  </si>
  <si>
    <t>Xiaoxue Gao</t>
  </si>
  <si>
    <t>Frei, fair und lebendig â€“ Die Macht der Commons</t>
  </si>
  <si>
    <t>Silke Helfrich-David Bollier</t>
  </si>
  <si>
    <t>Objekte im Netz</t>
  </si>
  <si>
    <t>Udo Andraschke-Sarah Wagner</t>
  </si>
  <si>
    <t>Der Offenbacher Ansatz</t>
  </si>
  <si>
    <t>Thilo Schwer-Kai VÃ¶ckler</t>
  </si>
  <si>
    <t>Ausbildung statt Ausgrenzung</t>
  </si>
  <si>
    <t>Andreas Germershausen-Wilfried Kruse</t>
  </si>
  <si>
    <t>Migration in den Alpen</t>
  </si>
  <si>
    <t>Flurina Graf</t>
  </si>
  <si>
    <t>The Supernatural Media Virus</t>
  </si>
  <si>
    <t>Rahel Sixta Schmitz</t>
  </si>
  <si>
    <t>HipHop aus Ã–sterreich</t>
  </si>
  <si>
    <t>Frederik DÃ¶rfler-Trummer</t>
  </si>
  <si>
    <t>Multispezies-Ethnographie</t>
  </si>
  <si>
    <t>Katharina Ameli</t>
  </si>
  <si>
    <t>Die Kunst des BÃ¼chermachens: Autorschaft und MaterialitÃ¤t der Literatur zwischen 1765 und 1815</t>
  </si>
  <si>
    <t>Tobias Fuchs</t>
  </si>
  <si>
    <t>Envisioning the World: Mapping and Making the Global</t>
  </si>
  <si>
    <t>Sandra Holtgreve-Karlson PreuÃŸ-Mathias Albert</t>
  </si>
  <si>
    <t>Pop-Musik sammeln</t>
  </si>
  <si>
    <t>Christian Elster</t>
  </si>
  <si>
    <t>Interspezies Lernen</t>
  </si>
  <si>
    <t>Simone Horstmann</t>
  </si>
  <si>
    <t>External Communication in Social Media During Asymmetric Conflicts</t>
  </si>
  <si>
    <t>Bernd Hirschberger</t>
  </si>
  <si>
    <t>Judith Butler und die Theologie der Freiheit</t>
  </si>
  <si>
    <t>Gunda Werner</t>
  </si>
  <si>
    <t>WÃ¤hrung â€“ Krise â€“ Emotion</t>
  </si>
  <si>
    <t>Sanne Ziethen-Nina Peter</t>
  </si>
  <si>
    <t>Co-Parenting und die Zukunft der Liebe</t>
  </si>
  <si>
    <t>Christine Wimbauer</t>
  </si>
  <si>
    <t>Monospace and Multiverse</t>
  </si>
  <si>
    <t>Sabine Hansmann</t>
  </si>
  <si>
    <t>Religious Fundamentalism in the Age of Pandemic</t>
  </si>
  <si>
    <t>RELIGION / Fundamentalism</t>
  </si>
  <si>
    <t>Nina KÃ¤sehage</t>
  </si>
  <si>
    <t>Die Energiewende im Bundestag: ein politisches Transformationsprojekt?</t>
  </si>
  <si>
    <t>Andrea Amri-Henkel</t>
  </si>
  <si>
    <t>Polemische Ã–ffentlichkeiten</t>
  </si>
  <si>
    <t>Elke Dubbels-JÃ¼rgen Fohrmann-Andrea SchÃ¼tte</t>
  </si>
  <si>
    <t>Der transgressive Charakter der Pornografie</t>
  </si>
  <si>
    <t>Nathan Schocher</t>
  </si>
  <si>
    <t>Philipp von Huttens Tod in der Neuen Welt</t>
  </si>
  <si>
    <t>Susanne Andrea Gujer-Bertschinger</t>
  </si>
  <si>
    <t>Contested Solidarity</t>
  </si>
  <si>
    <t>Larissa Fleischmann</t>
  </si>
  <si>
    <t>The New Meatways and Sustainability</t>
  </si>
  <si>
    <t>Minna Kanerva</t>
  </si>
  <si>
    <t>Hoffnung auf eine bessere Vergangenheit</t>
  </si>
  <si>
    <t>Jochen Kibel</t>
  </si>
  <si>
    <t>Democracy, Markets and the Commons</t>
  </si>
  <si>
    <t>Lukas Peter</t>
  </si>
  <si>
    <t>Digitalisierung als Distributivkraft</t>
  </si>
  <si>
    <t>Nach der Â»WillkommenskulturÂ«</t>
  </si>
  <si>
    <t>Samia Dinkelaker-Nikolai Huke-Olaf Tietje</t>
  </si>
  <si>
    <t>Am Ende der Globalisierung</t>
  </si>
  <si>
    <t>Martina LÃ¶w-Volkan Sayman-Jona Schwerer-Hannah Wolf</t>
  </si>
  <si>
    <t>Ver-rÃ¼ckte Expertisen</t>
  </si>
  <si>
    <t>Christine Schmid</t>
  </si>
  <si>
    <t>Friedensgutachten 2020</t>
  </si>
  <si>
    <t>Wasser als Gemeinsames</t>
  </si>
  <si>
    <t>Johannes Euler</t>
  </si>
  <si>
    <t>Kampf um Mitbestimmung</t>
  </si>
  <si>
    <t>Oliver ThÃ¼nken-Sissy Morgenroth-Markus Hertwig-Alrun Fischer</t>
  </si>
  <si>
    <t>Praxeologie in der Historischen Bildungsforschung</t>
  </si>
  <si>
    <t>Andreas Hoffmann-Ocon-Andrea De Vincenti-Norbert Grube</t>
  </si>
  <si>
    <t>Student und Demokratie</t>
  </si>
  <si>
    <t>Julian Schenke</t>
  </si>
  <si>
    <t>Von Tierdaten zu Datentieren</t>
  </si>
  <si>
    <t>Ina Bolinski</t>
  </si>
  <si>
    <t>Das zweite konvivialistische Manifest</t>
  </si>
  <si>
    <t>Die konvivialistische Internationale</t>
  </si>
  <si>
    <t>Mit Geschichte spielen</t>
  </si>
  <si>
    <t>Christoph KÃ¼hberger</t>
  </si>
  <si>
    <t>Religion in der Schule</t>
  </si>
  <si>
    <t>Joachim Willems</t>
  </si>
  <si>
    <t>Beyond the Mirror</t>
  </si>
  <si>
    <t>Susanne von Falkenhausen</t>
  </si>
  <si>
    <t>Re-Cording Lives</t>
  </si>
  <si>
    <t>Ephraim PÃ¶rtner</t>
  </si>
  <si>
    <t>Fridays for Future â€“ Die Jugend gegen den Klimawandel</t>
  </si>
  <si>
    <t>Sebastian Haunss-Moritz Sommer</t>
  </si>
  <si>
    <t>Narrative Mechanics</t>
  </si>
  <si>
    <t>Beat Suter-RenÃ© Bauer-Mela Kocher</t>
  </si>
  <si>
    <t>100 Jahre Politikwissenschaft in Hamburg</t>
  </si>
  <si>
    <t>Peter Niesen-David WeiÃŸ</t>
  </si>
  <si>
    <t>Krankheit in Digitalen Spielen</t>
  </si>
  <si>
    <t>Arno GÃ¶rgen-Stefan Heinrich Simond</t>
  </si>
  <si>
    <t>Gilles Deleuze und die Anyone Corporation</t>
  </si>
  <si>
    <t>Frederike Lausch</t>
  </si>
  <si>
    <t>Arts in Context â€“ Kunst, Forschung, Gesellschaft</t>
  </si>
  <si>
    <t>Thomas Gartmann-Christian Pauli</t>
  </si>
  <si>
    <t>Nationale Hoffnung und konservative EnttÃ¤uschung</t>
  </si>
  <si>
    <t>Florian Finkbeiner</t>
  </si>
  <si>
    <t>Islam, Gender, IntersektionalitÃ¤t</t>
  </si>
  <si>
    <t>Nathalie Gasser</t>
  </si>
  <si>
    <t>Hegemonie und Kulturkampf</t>
  </si>
  <si>
    <t>Errol Babacan</t>
  </si>
  <si>
    <t>Anti-Genderismus in Europa</t>
  </si>
  <si>
    <t>Sonja A. Strube-Rita Perintfalvi-Raphaela Hemet-Miriam Metze-Cicek Sahbaz</t>
  </si>
  <si>
    <t>Segregation, Inequality, and Urban Development</t>
  </si>
  <si>
    <t>Sara Dehkordi</t>
  </si>
  <si>
    <t>Knowing in Performing</t>
  </si>
  <si>
    <t>Annegret Huber-Doris Ingrisch-Therese Kaufmann-Johannes Kretz-Gesine SchrÃ¶der-Tasos Zembylas</t>
  </si>
  <si>
    <t>Die Formation des literarischen Humors</t>
  </si>
  <si>
    <t>Dieter HÃ¶rhammer</t>
  </si>
  <si>
    <t>Obskure Organisationen</t>
  </si>
  <si>
    <t>Roman Gibel</t>
  </si>
  <si>
    <t>Geschlechtsspezifische Gewalt in Zeiten der Digitalisierung</t>
  </si>
  <si>
    <t>bff â€“ Frauen gegen Gewalt e.V.-Nivedita Prasad</t>
  </si>
  <si>
    <t>Die Dialektik der Angewiesenheit</t>
  </si>
  <si>
    <t>Lothar BÃ¶hnisch</t>
  </si>
  <si>
    <t>Inklusion im kommunalen Raum</t>
  </si>
  <si>
    <t>Hendrik Trescher-Teresa Hauck</t>
  </si>
  <si>
    <t>A New Science for Future</t>
  </si>
  <si>
    <t>Simon David Hirsbrunner</t>
  </si>
  <si>
    <t>Religion in FlÃ¼chtlingsunterkÃ¼nften</t>
  </si>
  <si>
    <t>Natalie Powroznik</t>
  </si>
  <si>
    <t>GlÃ¼ck und Nachhaltigkeit</t>
  </si>
  <si>
    <t>Jochen Dallmer</t>
  </si>
  <si>
    <t>Als Andere unter Anderen</t>
  </si>
  <si>
    <t>Curating Contemporary Music Festivals</t>
  </si>
  <si>
    <t>Brandon Farnsworth</t>
  </si>
  <si>
    <t>Achtsamkeit als kulturelle Praxis</t>
  </si>
  <si>
    <t>Jacob Schmidt</t>
  </si>
  <si>
    <t>Perspektiven pragmatischer Medienphilosophie</t>
  </si>
  <si>
    <t>Mike Sandbothe</t>
  </si>
  <si>
    <t>GeflÃ¼chtete im Betrieb</t>
  </si>
  <si>
    <t>Werner Schmidt</t>
  </si>
  <si>
    <t>Robotic Knitting</t>
  </si>
  <si>
    <t>Pat Treusch</t>
  </si>
  <si>
    <t>Praktiken der (Im-)Mobilisierung</t>
  </si>
  <si>
    <t>Julia Devlin-Tanja Evers-Simon Goebel</t>
  </si>
  <si>
    <t>Sich selbst vergleichen</t>
  </si>
  <si>
    <t>Franz-Josef Arlinghaus-Walter Erhart-Lena Gumpert-Simon Siemianowski</t>
  </si>
  <si>
    <t>Mikro-Utopien der Architektur</t>
  </si>
  <si>
    <t>Sandra Meireis</t>
  </si>
  <si>
    <t>Â»Wir machen Kunst fÃ¼r KÃ¼nstlerÂ«</t>
  </si>
  <si>
    <t>Franz Schultheis</t>
  </si>
  <si>
    <t>ReligiÃ¶se PluralitÃ¤ten â€“ UmbrÃ¼che in der Wahrnehmung religiÃ¶ser Vielfalt in Deutschland</t>
  </si>
  <si>
    <t>Gritt Klinkhammer-Anna Neumaier</t>
  </si>
  <si>
    <t>Die multiple IdentitÃ¤t der Technik</t>
  </si>
  <si>
    <t>Kirstin Lenzen</t>
  </si>
  <si>
    <t>Der Hochverrat des Amtmanns Povel Juel</t>
  </si>
  <si>
    <t>Martin Schaad</t>
  </si>
  <si>
    <t>Socializing Development</t>
  </si>
  <si>
    <t>Leon Valentin Schettler</t>
  </si>
  <si>
    <t>Postwachstumsgeographien</t>
  </si>
  <si>
    <t>Kritik â€“ Selbstaffirmation â€“ Othering</t>
  </si>
  <si>
    <t>Karin Hostettler</t>
  </si>
  <si>
    <t>Transfer in der Lehre</t>
  </si>
  <si>
    <t>Albert KÃ¼mmel-Schnur-Sibylle MÃ¼hleisen-Thomas S. Hoffmeister</t>
  </si>
  <si>
    <t>Southeast Asian Transformations</t>
  </si>
  <si>
    <t>Sandra KurfÃ¼rst-Stefanie Wehner</t>
  </si>
  <si>
    <t>NormalitÃ¤t und Subjektivierung</t>
  </si>
  <si>
    <t>Angela Rein</t>
  </si>
  <si>
    <t>Flucht und Vertreibung in europÃ¤ischen Museen</t>
  </si>
  <si>
    <t>Vincent Regente</t>
  </si>
  <si>
    <t>SexualitÃ¤t â€“ Geschlecht â€“ Affekt</t>
  </si>
  <si>
    <t>Christa Binswanger</t>
  </si>
  <si>
    <t>Baustelle ElektromobilitÃ¤t</t>
  </si>
  <si>
    <t>Achim BrunnengrÃ¤ber-Tobias Haas</t>
  </si>
  <si>
    <t>Im Rauschen der Schweizer Alpen</t>
  </si>
  <si>
    <t>Patricia JÃ¤ggi</t>
  </si>
  <si>
    <t>Strange Blood</t>
  </si>
  <si>
    <t>Boel Berner</t>
  </si>
  <si>
    <t>Stuttgart 21 â€“ eine Rekonstruktion der Proteste</t>
  </si>
  <si>
    <t>Julia von Staden</t>
  </si>
  <si>
    <t>Moschee-Neubauten</t>
  </si>
  <si>
    <t>Lucia StÃ¶ckli</t>
  </si>
  <si>
    <t>Towards Shared Research</t>
  </si>
  <si>
    <t>Tobias Haller-Claudia Zingerli</t>
  </si>
  <si>
    <t>Music â€“ Media â€“ History</t>
  </si>
  <si>
    <t>Matej Santi-Elias Berner</t>
  </si>
  <si>
    <t>Leben weben</t>
  </si>
  <si>
    <t>Gernot Howanitz</t>
  </si>
  <si>
    <t>Epistemische Gewalt</t>
  </si>
  <si>
    <t>Claudia Brunner</t>
  </si>
  <si>
    <t>Democratic and Authoritarian Political Systems in 21st Century World Society</t>
  </si>
  <si>
    <t>Anna L. Ahlers-Damien Krichewsky-Evelyn Moser-Rudolf Stichweh</t>
  </si>
  <si>
    <t>Fragile Werte</t>
  </si>
  <si>
    <t>Nathalie BÃ¤schlin</t>
  </si>
  <si>
    <t>Armut und Umweltschutz</t>
  </si>
  <si>
    <t>Elisabeth Huber</t>
  </si>
  <si>
    <t>The Redundant City</t>
  </si>
  <si>
    <t>Norbert Kling</t>
  </si>
  <si>
    <t>Rechtes Denken, rechte RÃ¤ume?</t>
  </si>
  <si>
    <t>Lynn Berg-Jan Ãœblacker</t>
  </si>
  <si>
    <t>The Bureaucratic Production of Difference</t>
  </si>
  <si>
    <t>Musical Composition in the Context of Globalization</t>
  </si>
  <si>
    <t>Christian Utz</t>
  </si>
  <si>
    <t>Die Ã„sthetisierung und Politisierung des Todes</t>
  </si>
  <si>
    <t>Mareike Meis</t>
  </si>
  <si>
    <t>Depression und Biographie</t>
  </si>
  <si>
    <t>Amina Trevisan</t>
  </si>
  <si>
    <t>Autonomie und Kalkulation</t>
  </si>
  <si>
    <t>Kaspar Molzberger</t>
  </si>
  <si>
    <t>Publikationsberatung an UniversitÃ¤ten</t>
  </si>
  <si>
    <t>Karin Lackner-Lisa Schilhan-Christian Kaier</t>
  </si>
  <si>
    <t>Energiewende und Megatrends</t>
  </si>
  <si>
    <t>Steven Engler-Julia Janik-Matthias Wolf</t>
  </si>
  <si>
    <t>Â»Hope dies â€“ Action beginsÂ«: Stimmen einer neuen Bewegung</t>
  </si>
  <si>
    <t>Extinction Rebellion Hannover</t>
  </si>
  <si>
    <t>European Regions</t>
  </si>
  <si>
    <t>Elisabeth Donat-Sarah Meyer-Gabriele Abels</t>
  </si>
  <si>
    <t>Trump â€“ ein amerikanischer Traum?</t>
  </si>
  <si>
    <t>Wolfgang Fach</t>
  </si>
  <si>
    <t>Wahrheit und Revolution</t>
  </si>
  <si>
    <t>Matthias Bohlender-Anna-Sophie SchÃ¶nfelder-Matthias Spekker</t>
  </si>
  <si>
    <t>Historisches Lernen und Materielle Kultur</t>
  </si>
  <si>
    <t>Sebastian Barsch-JÃ¶rg van Norden</t>
  </si>
  <si>
    <t>Transgressive Truths and Flattering Lies</t>
  </si>
  <si>
    <t>Markus Schmitz</t>
  </si>
  <si>
    <t>Moscheeleben in Deutschland</t>
  </si>
  <si>
    <t>Ayse Almila Akca</t>
  </si>
  <si>
    <t>Konzepte der InterkulturalitÃ¤t in der Germanistik weltweit</t>
  </si>
  <si>
    <t>Renata Cornejo-Gesine Lenore Schiewer-Manfred Weinberg</t>
  </si>
  <si>
    <t>Bilder, soziale Medien und das Politische</t>
  </si>
  <si>
    <t>Heike Kanter-Michael Brandmayr-Nadja KÃ¶ffler</t>
  </si>
  <si>
    <t>Maritime Poetics</t>
  </si>
  <si>
    <t>Caroline Wiedmer</t>
  </si>
  <si>
    <t>Politiken der GenerativitÃ¤t</t>
  </si>
  <si>
    <t>Franziska Schutzbach</t>
  </si>
  <si>
    <t>Legal Pluralism in Ethiopia</t>
  </si>
  <si>
    <t>Susanne Epple-Getachew Assefa</t>
  </si>
  <si>
    <t>Urban Resilience in a Global Context</t>
  </si>
  <si>
    <t>Dorothee Brantz-Avi Sharma</t>
  </si>
  <si>
    <t>Making Democracy â€“ Aushandlungen von Freiheit, Gleichheit und SolidaritÃ¤t im Alltag</t>
  </si>
  <si>
    <t>Elke Rajal-bÃ¼ro trafo.K-Oliver Marchart-Nora Landkammer-Carina Maier</t>
  </si>
  <si>
    <t>Refugee Routes</t>
  </si>
  <si>
    <t>Vanessa Agnew-Kader Konuk-Jane O. Newman</t>
  </si>
  <si>
    <t>GeflÃ¼chtetenprotest und Gewerkschaften</t>
  </si>
  <si>
    <t>Oskar Ilja Fischer</t>
  </si>
  <si>
    <t>Das Indernet</t>
  </si>
  <si>
    <t>Urmila Goel</t>
  </si>
  <si>
    <t>Generative Bildarbeit</t>
  </si>
  <si>
    <t>Vera Brandner</t>
  </si>
  <si>
    <t>Geplante Obsoleszenz</t>
  </si>
  <si>
    <t>Erik Poppe-JÃ¶rg LongmuÃŸ</t>
  </si>
  <si>
    <t>MedienqualitÃ¤t</t>
  </si>
  <si>
    <t>Frauke Gerlach</t>
  </si>
  <si>
    <t>Bildspuren â€“ Sprachspuren</t>
  </si>
  <si>
    <t>Karin Almasy-Heinrich Pfandl-Eva Tropper</t>
  </si>
  <si>
    <t>Der Weltanschauungsroman 2. Ordnung</t>
  </si>
  <si>
    <t>Florens SchwarzwÃ¤lder</t>
  </si>
  <si>
    <t>Die Fabrikation von KreativitÃ¤t</t>
  </si>
  <si>
    <t>Judith Nyfeler</t>
  </si>
  <si>
    <t>NormativitÃ¤t und WertneutralitÃ¤t</t>
  </si>
  <si>
    <t>Natalie Mevissen</t>
  </si>
  <si>
    <t>Kunstlabore: FÃ¼r mehr Kunst in Schulen!</t>
  </si>
  <si>
    <t>Julia Heisig-Ivana Scharf-Heide SchÃ¶nfeld</t>
  </si>
  <si>
    <t>Gemeinwohlorientiert und innovativ?</t>
  </si>
  <si>
    <t>Anja Hirsch</t>
  </si>
  <si>
    <t>Sterbeorte</t>
  </si>
  <si>
    <t>Katharina Voigt</t>
  </si>
  <si>
    <t>Im Namen der Emanzipation</t>
  </si>
  <si>
    <t>Benjamin Opratko</t>
  </si>
  <si>
    <t>Vernetzte Islamfeindlichkeit</t>
  </si>
  <si>
    <t>Oliver WÃ¤ckerlig</t>
  </si>
  <si>
    <t>Rechtsradikalismus in Niedersachsen</t>
  </si>
  <si>
    <t>Florian Finkbeiner-Katharina Trittel-Lars Geiges</t>
  </si>
  <si>
    <t>Democratic Citizenship in Flux</t>
  </si>
  <si>
    <t>Markus Bayer-Oliver Schwarz-Toralf Stark</t>
  </si>
  <si>
    <t>Internet Health Report 2019</t>
  </si>
  <si>
    <t>Mozilla Berlin</t>
  </si>
  <si>
    <t>Good White Queers?</t>
  </si>
  <si>
    <t>Kai Linke</t>
  </si>
  <si>
    <t>Nation Europa!</t>
  </si>
  <si>
    <t>Marcus Koch</t>
  </si>
  <si>
    <t>Die Produktion der Konsumgesellschaft</t>
  </si>
  <si>
    <t>Markeninszenierung in Japan</t>
  </si>
  <si>
    <t>Christiane RÃ¼hle</t>
  </si>
  <si>
    <t>Eingeschlossene RÃ¤ume</t>
  </si>
  <si>
    <t>Nepomuk Zettl</t>
  </si>
  <si>
    <t>Political Participation in the Digital Age</t>
  </si>
  <si>
    <t>Julia Tiemann-Kollipost</t>
  </si>
  <si>
    <t>Creating Learning Spaces</t>
  </si>
  <si>
    <t>Europa erneuern!</t>
  </si>
  <si>
    <t>Ulrike Liebert</t>
  </si>
  <si>
    <t>Imagined Economies â€“ Real Fictions</t>
  </si>
  <si>
    <t>Jessica Fischer-Gesa Stedman</t>
  </si>
  <si>
    <t>Handbuch Poststrukturalistische Perspektiven auf soziale Bewegungen</t>
  </si>
  <si>
    <t>Judith Vey-Johanna Leinius-Ingmar Hagemann</t>
  </si>
  <si>
    <t>Media Agency â€“ Neue AnsÃ¤tze zur MedialitÃ¤t in der Architektur</t>
  </si>
  <si>
    <t>Christophe Barlieb-Lidia Gasperoni</t>
  </si>
  <si>
    <t>Wagner â€“ Weimar â€“ Eisenach</t>
  </si>
  <si>
    <t>Helen Geyer-Kiril Georgiev-Stefan Alschner</t>
  </si>
  <si>
    <t>Jeanette Hofmann-Norbert Kersting-Claudia Ritzi-Wolf J. SchÃ¼nemann</t>
  </si>
  <si>
    <t>Zeit im Lebensverlauf</t>
  </si>
  <si>
    <t>Sebastian Schinkel-Fanny HÃ¶sel-Sina-Mareen KÃ¶hler-Alexandra KÃ¶nig-Elisabeth Schilling-Julia Schreiber-Regina Soremski-Maren Zschach</t>
  </si>
  <si>
    <t>Portraits of Automated Facial Recognition</t>
  </si>
  <si>
    <t>Lila Lee-Morrison</t>
  </si>
  <si>
    <t>Utopie und Politik</t>
  </si>
  <si>
    <t>Ina-Maria Maahs</t>
  </si>
  <si>
    <t>Epistemologien des Umgebens</t>
  </si>
  <si>
    <t>Protest twittern</t>
  </si>
  <si>
    <t>Mark Dang-Anh</t>
  </si>
  <si>
    <t>Migration und radikale Demokratie</t>
  </si>
  <si>
    <t>Helge Schwiertz</t>
  </si>
  <si>
    <t>Moving Images</t>
  </si>
  <si>
    <t>Krista Lynes-Tyler Morgenstern-Ian Alan Paul</t>
  </si>
  <si>
    <t>Gewaltige Liebe</t>
  </si>
  <si>
    <t>Eva Maria Lohner</t>
  </si>
  <si>
    <t>Cities of Entanglements</t>
  </si>
  <si>
    <t>Barbara Heer</t>
  </si>
  <si>
    <t>InterdisziplinÃ¤re Teams in inklusiven Schulen</t>
  </si>
  <si>
    <t>David Labhart</t>
  </si>
  <si>
    <t>Material Cultures of Psychiatry</t>
  </si>
  <si>
    <t>Monika Ankele-BenoÃ®t Majerus</t>
  </si>
  <si>
    <t>Â»Fremde, ferne WeltÂ«</t>
  </si>
  <si>
    <t>Benjamin Langer</t>
  </si>
  <si>
    <t>Narratologie und Geschichte</t>
  </si>
  <si>
    <t>Davina Hachgenei</t>
  </si>
  <si>
    <t>Alltagskulturen in den Slums von Nairobi</t>
  </si>
  <si>
    <t>Andreas Eberth</t>
  </si>
  <si>
    <t>Tanz der Dinge/Things that dance</t>
  </si>
  <si>
    <t>Johannes Birringer-Josephine Fenger</t>
  </si>
  <si>
    <t>The Politics of Affective Societies</t>
  </si>
  <si>
    <t>Jonas Bens-Aletta Diefenbach-Thomas John-Antje Kahl-Hauke Lehmann-Matthias LÃ¼thjohann-Friederike Oberkrome-Hans Roth-Gabriel Scheidecker-Gerhard Thonhauser-Nur Yasemin Ural-Dina Wahba-Robert Walter-Jochum-M. Ragip Zik</t>
  </si>
  <si>
    <t>Der PalmÃ¶lboom in Indonesien</t>
  </si>
  <si>
    <t>Alina Brad</t>
  </si>
  <si>
    <t>Mediated Bordering</t>
  </si>
  <si>
    <t>Sabrina Ellebrecht</t>
  </si>
  <si>
    <t>Practices of Speculation</t>
  </si>
  <si>
    <t>Jeanne Cortiel-Christine Hanke-Jan Simon Hutta-Colin Milburn</t>
  </si>
  <si>
    <t>Politische Kulturforschung reloaded</t>
  </si>
  <si>
    <t>Wolfgang Bergem-Paula Diehl-Hans J. Lietzmann</t>
  </si>
  <si>
    <t>Judith Butler und die Theologie</t>
  </si>
  <si>
    <t>Bernhard GrÃ¼mme-Gunda Werner</t>
  </si>
  <si>
    <t>Grenzen der Menschenrechte</t>
  </si>
  <si>
    <t>Franziska Martinsen</t>
  </si>
  <si>
    <t>Prototyping Society â€“ Zur vorauseilenden Technologisierung der Zukunft</t>
  </si>
  <si>
    <t>Sascha Dickel</t>
  </si>
  <si>
    <t>Raum und WÃ¼rde</t>
  </si>
  <si>
    <t>Joschka Haltaufderheide-Ina Otte-Philipp Weber</t>
  </si>
  <si>
    <t>AnnÃ¤herungen an das Unaussprechliche</t>
  </si>
  <si>
    <t>Isabella Schwaderer-Katharina Waldner</t>
  </si>
  <si>
    <t>The Democratization of Artificial Intelligence</t>
  </si>
  <si>
    <t>Andreas Sudmann</t>
  </si>
  <si>
    <t>An den Grenzen Europas und des Rechts</t>
  </si>
  <si>
    <t>Maximilian Pichl-Timo Tohidipur</t>
  </si>
  <si>
    <t>Umstrittene RegierungsfÃ¼hrung in Afghanistan</t>
  </si>
  <si>
    <t>Frangis Dadfar Spanta</t>
  </si>
  <si>
    <t>Die Polemik der Restauration</t>
  </si>
  <si>
    <t>Alexander Kruska</t>
  </si>
  <si>
    <t>Miteinander fÃ¼r morgen</t>
  </si>
  <si>
    <t>JÃ¶rg Hofmann-Stefan Schaumburg-Tanja Smolenski</t>
  </si>
  <si>
    <t>Post-Digital Cultures of the Far Right</t>
  </si>
  <si>
    <t>Maik Fielitz-Nick Thurston</t>
  </si>
  <si>
    <t>Music Practices Across Borders</t>
  </si>
  <si>
    <t>Glaucia Peres da Silva-Konstantin Hondros</t>
  </si>
  <si>
    <t>DigitalitÃ¤t und Privatheit</t>
  </si>
  <si>
    <t>Christian Aldenhoff-Lukas Edeler-Martin Hennig-Jakob Kelsch-Lea Raabe-Felix Sobala</t>
  </si>
  <si>
    <t>Â»TruthÂ« and Fiction</t>
  </si>
  <si>
    <t>Jens Herlth-Alois Woldan-Peter Deutschmann</t>
  </si>
  <si>
    <t>Stanislaw Brzozowski and the Migration of Ideas</t>
  </si>
  <si>
    <t>Jens Herlth-Edward M. Swiderski</t>
  </si>
  <si>
    <t>Thinking the Problematic</t>
  </si>
  <si>
    <t>Oliver Leistert-Isabell Schrickel</t>
  </si>
  <si>
    <t>Experimentieren</t>
  </si>
  <si>
    <t>SÃ©verine Marguin-Henrike Rabe-Wolfgang SchÃ¤ffner-Friedrich Schmidgall</t>
  </si>
  <si>
    <t>Kommunen im Klimawandel</t>
  </si>
  <si>
    <t>Nanja Nagorny-Koring</t>
  </si>
  <si>
    <t>Cultural Governance in Ã–sterreich</t>
  </si>
  <si>
    <t>Anke Simone Schad</t>
  </si>
  <si>
    <t>Kritische KreativitÃ¤t</t>
  </si>
  <si>
    <t>Kim Kannler-Valeska Klug-Kristina Petzold-Franziska Schaaf</t>
  </si>
  <si>
    <t>Diagnose Angstgesellschaft?</t>
  </si>
  <si>
    <t>Christiane LÃ¼bke-Jan Delhey</t>
  </si>
  <si>
    <t>Ãœber Projektionen: Weltkarten und Weltanschauungen</t>
  </si>
  <si>
    <t>Julia Mia Stirnemann</t>
  </si>
  <si>
    <t>PopulÃ¤rkulturforschung</t>
  </si>
  <si>
    <t>Medicine â€“ Religion â€“ Spirituality</t>
  </si>
  <si>
    <t>Dorothea LÃ¼ddeckens-Monika Schrimpf</t>
  </si>
  <si>
    <t>Was ist Public Interest Design?</t>
  </si>
  <si>
    <t>Die Ã–konomisierung des Krankenhauses</t>
  </si>
  <si>
    <t>Robin Mohan</t>
  </si>
  <si>
    <t>Inclusion Through Exclusion</t>
  </si>
  <si>
    <t>Anja Schmidt-Kleinert</t>
  </si>
  <si>
    <t>Soziologien des Lebens</t>
  </si>
  <si>
    <t>Heike Delitz-Frithjof Nungesser-Robert Seyfert</t>
  </si>
  <si>
    <t>Biopolitics and Historic Justice</t>
  </si>
  <si>
    <t>Kathrin Braun</t>
  </si>
  <si>
    <t>Der Beruf</t>
  </si>
  <si>
    <t>Gerald Sailmann</t>
  </si>
  <si>
    <t>Ambivalenzen pÃ¤dagogischen Handelns</t>
  </si>
  <si>
    <t>Hendrik Trescher</t>
  </si>
  <si>
    <t>Size Matters â€“ Understanding Monumentality Across Ancient Civilizations</t>
  </si>
  <si>
    <t>Federico Buccellati-Sebastian Hageneuer-Sylva van der Heyden-Felix Levenson</t>
  </si>
  <si>
    <t>Because of You: Understanding Second-Person Storytelling</t>
  </si>
  <si>
    <t>Evgenia Iliopoulou</t>
  </si>
  <si>
    <t>Frei, fair und lebendig - Die Macht der Commons</t>
  </si>
  <si>
    <t>This Is Not an Atlas</t>
  </si>
  <si>
    <t>orangotango</t>
  </si>
  <si>
    <t>Intersektionale Sozialforschung</t>
  </si>
  <si>
    <t>Kathrin Ganz-Jette Hausotter</t>
  </si>
  <si>
    <t>Dinge als Herausforderung</t>
  </si>
  <si>
    <t>Hans Peter Hahn-Friedemann Neumann</t>
  </si>
  <si>
    <t>Filmische Zeugenschaft im Abseits</t>
  </si>
  <si>
    <t>Robert Stock</t>
  </si>
  <si>
    <t>Jeremy Bentham und Karl Marx</t>
  </si>
  <si>
    <t>Power and Its Logic</t>
  </si>
  <si>
    <t>Dominik Meier-Christian Blum</t>
  </si>
  <si>
    <t>Auf dem Weg zu einer Green Economy</t>
  </si>
  <si>
    <t>Walter Kahlenborn-Jens Clausen-Siegfried Behrendt-Edgar GÃ¶ll</t>
  </si>
  <si>
    <t>Jahrbuch fÃ¼r Kulturpolitik 2019/20</t>
  </si>
  <si>
    <t>Norbert Sievers-Ulrike Blumenreich-Sabine Dengel-Christine Wingert</t>
  </si>
  <si>
    <t>Bildungs- und Berufsberatung in der Migrationsgesellschaft</t>
  </si>
  <si>
    <t>Birgit Schmidtke</t>
  </si>
  <si>
    <t>Affekt Macht Netz</t>
  </si>
  <si>
    <t>Rainer MÃ¼hlhoff-Anja Breljak-Jan Slaby</t>
  </si>
  <si>
    <t>Konversation und Geselligkeit</t>
  </si>
  <si>
    <t>Karin Schulz</t>
  </si>
  <si>
    <t>Aging and Self-Realization</t>
  </si>
  <si>
    <t>Hanne Laceulle</t>
  </si>
  <si>
    <t>Games and Bereavement</t>
  </si>
  <si>
    <t>Sabine Harrer</t>
  </si>
  <si>
    <t>KolonialitÃ¤t und Geschlecht im 20. Jahrhundert</t>
  </si>
  <si>
    <t>Patricia Purtschert</t>
  </si>
  <si>
    <t>Autonome Systeme und Arbeit</t>
  </si>
  <si>
    <t>Hartmut Hirsch-Kreinsen-Anemari Karacic</t>
  </si>
  <si>
    <t>Interventionsalltag</t>
  </si>
  <si>
    <t>Julika Bake</t>
  </si>
  <si>
    <t>Unbegleitete minderjÃ¤hrige GeflÃ¼chtete</t>
  </si>
  <si>
    <t>Stefan Thomas-Madeleine Sauer-Ingmar Zalewski</t>
  </si>
  <si>
    <t>Equality Governance Via Policy Analysis?</t>
  </si>
  <si>
    <t>Arn T. Sauer</t>
  </si>
  <si>
    <t>Die SÃ¤kularisierung des Exodus</t>
  </si>
  <si>
    <t>Laurin Mackowitz</t>
  </si>
  <si>
    <t>Popular Music and Public Diplomacy</t>
  </si>
  <si>
    <t>Mario Dunkel-Sina A. Nitzsche</t>
  </si>
  <si>
    <t>Fremde Galaxien und abstrakte Welten</t>
  </si>
  <si>
    <t>Niels Taubert</t>
  </si>
  <si>
    <t>Un/Certain Futures â€“ Rollen des Designs in gesellschaftlichen Transformationsprozessen</t>
  </si>
  <si>
    <t>Marius FÃ¶rster-Saskia Hebert-Mona Hofmann-Wolfgang Jonas</t>
  </si>
  <si>
    <t>Tanz â€“ DiversitÃ¤t â€“ Inklusion</t>
  </si>
  <si>
    <t>Susanne Quinten-Christiana Rosenberg</t>
  </si>
  <si>
    <t>Soziale Welten der Erwachsenenbildung</t>
  </si>
  <si>
    <t>Petra H. Steiner</t>
  </si>
  <si>
    <t>Games and Rules</t>
  </si>
  <si>
    <t>Beat Suter-Mela Kocher-RenÃ© Bauer</t>
  </si>
  <si>
    <t>Sozialraum Hochhaus</t>
  </si>
  <si>
    <t>Eveline Althaus</t>
  </si>
  <si>
    <t>Land Grabbing and Home Country Development</t>
  </si>
  <si>
    <t>Ariane Goetz</t>
  </si>
  <si>
    <t>Ordnungen des Nationalen und die geteilte Welt</t>
  </si>
  <si>
    <t>Jens Adam</t>
  </si>
  <si>
    <t>Liquid Democracy in Deutschland</t>
  </si>
  <si>
    <t>Anja Adler</t>
  </si>
  <si>
    <t>Kulturpolitik in ThÃ¼ringen</t>
  </si>
  <si>
    <t>Michael Flohr</t>
  </si>
  <si>
    <t>Jahrbuch fÃ¼r Kulturpolitik 2017/18</t>
  </si>
  <si>
    <t>Ulrike Blumenreich-Sabine Dengel-Wolfgang Hippe-Norbert Sievers</t>
  </si>
  <si>
    <t>Â»LeanÂ« und Â»agilÂ« im BÃ¼ro</t>
  </si>
  <si>
    <t>Andreas Boes-Tobias KÃ¤mpf-Barbara Langes-Thomas LÃ¼hr</t>
  </si>
  <si>
    <t>Erfahrung und Engagement</t>
  </si>
  <si>
    <t>Christine Unrau</t>
  </si>
  <si>
    <t>Finding, Inheriting or Borrowing?</t>
  </si>
  <si>
    <t>Jochen Althoff-Dominik Berrens-Tanja Pommerening</t>
  </si>
  <si>
    <t>Dinge â€“ Nutzer â€“ Netze: Von der Virtualisierung des Musealen zur Musealisierung des Virtuellen</t>
  </si>
  <si>
    <t>Dennis Niewerth</t>
  </si>
  <si>
    <t>Aufbruch in die Ã–ffentlichkeit?</t>
  </si>
  <si>
    <t>Bernhard GrÃ¼mme</t>
  </si>
  <si>
    <t>Sprache der Transzendenzerfahrungen</t>
  </si>
  <si>
    <t>Janina Maris Hofer</t>
  </si>
  <si>
    <t>Hinter der glitzernden Fassade</t>
  </si>
  <si>
    <t>Rail Safiyev</t>
  </si>
  <si>
    <t>Gewerkschaften im deutschen Einheitsprozess</t>
  </si>
  <si>
    <t>Detlev Brunner-Michaela Kuhnhenne-Hartmut Simon</t>
  </si>
  <si>
    <t>Leistungsklassen und Geschlechtertests</t>
  </si>
  <si>
    <t>Karolin Heckemeyer</t>
  </si>
  <si>
    <t>Art and Economics in the City</t>
  </si>
  <si>
    <t>Caterina Benincasa-Gianfranco Neri-Michele Trimarchi</t>
  </si>
  <si>
    <t>Verhaltensdesign</t>
  </si>
  <si>
    <t>Jeannie Moser-Christina Vagt</t>
  </si>
  <si>
    <t>Politik in Fernsehserien</t>
  </si>
  <si>
    <t>Niko Switek</t>
  </si>
  <si>
    <t>Musikalische Praxis als Lebensform</t>
  </si>
  <si>
    <t>Eva-Maria Houben</t>
  </si>
  <si>
    <t>Die Gesellschaft der Nachhaltigkeit</t>
  </si>
  <si>
    <t>Sighard Neckel-Natalia Besedovsky-Moritz Boddenberg-Martina Hasenfratz-Sarah Miriam Pritz-Timo Wiegand</t>
  </si>
  <si>
    <t>Privatisierte Weiblichkeit</t>
  </si>
  <si>
    <t>Musikgeschichte ohne Markennamen</t>
  </si>
  <si>
    <t>Menschenrechte im Unternehmen durchsetzen</t>
  </si>
  <si>
    <t>Felix Hadwiger-Brigitte Hamm-Katrin Vitols-Peter Wilke</t>
  </si>
  <si>
    <t>Religion, SpiritualitÃ¤t, Medizin</t>
  </si>
  <si>
    <t>Mirjam Mezger</t>
  </si>
  <si>
    <t>Philosophie des HipHop</t>
  </si>
  <si>
    <t>JÃ¼rgen Manemann-Eike Brock</t>
  </si>
  <si>
    <t>Racial Profiling</t>
  </si>
  <si>
    <t>Mohamed Wa Baile-Serena O. Dankwa-Tarek Naguib-Patricia Purtschert-Sarah Schilliger</t>
  </si>
  <si>
    <t>Kosmopolitische Pioniere</t>
  </si>
  <si>
    <t>Rohit Jain</t>
  </si>
  <si>
    <t>A Poetics of Neurosis</t>
  </si>
  <si>
    <t>Elena Furlanetto-Dietmar Meinel</t>
  </si>
  <si>
    <t>GroÃŸerzÃ¤hlungen des Extremen</t>
  </si>
  <si>
    <t>Jo Reichertz-Volker M. Heins-Armin Flender-Jennifer SchellhÃ¶h</t>
  </si>
  <si>
    <t>TransCoding â€“ From â€ºHighbrow Artâ€¹ to Participatory Culture</t>
  </si>
  <si>
    <t>Barbara LÃ¼neburg</t>
  </si>
  <si>
    <t>Lehrer_in, Migration und Differenz</t>
  </si>
  <si>
    <t>Carola Mantel</t>
  </si>
  <si>
    <t>Provokante Kommunikation</t>
  </si>
  <si>
    <t>Sebastian Lange</t>
  </si>
  <si>
    <t>Schreiben im ZwiegesprÃ¤ch / Writing as Dialogue</t>
  </si>
  <si>
    <t>Johanne Mohs-Katrin Zimmermann-Marie Caffari</t>
  </si>
  <si>
    <t>Reflexive Responsibilisierung</t>
  </si>
  <si>
    <t>Anna Henkel-Nico LÃ¼dtke-Nikolaus Buschmann-Lars Hochmann</t>
  </si>
  <si>
    <t>Â»Verworfene FrauenzimmerÂ«</t>
  </si>
  <si>
    <t>Melanie GrÃ¼tter</t>
  </si>
  <si>
    <t>Arbeit transformieren!</t>
  </si>
  <si>
    <t>Kerstin JÃ¼rgens-Reiner Hoffmann-Christina Schildmann</t>
  </si>
  <si>
    <t>Radio als HÃ¶r-Spiel-Raum</t>
  </si>
  <si>
    <t>Bettina Wodianka</t>
  </si>
  <si>
    <t>Psychische Erkrankungen in der Arbeitswelt</t>
  </si>
  <si>
    <t>Nora Alsdorf-Ute Engelbach-Sabine Flick-Rolf Haubl-Stephan Voswinkel</t>
  </si>
  <si>
    <t>KlÃ¤nge in Bewegung</t>
  </si>
  <si>
    <t>Sabine KaroÃŸ-Stephanie Schroedter</t>
  </si>
  <si>
    <t>Behinderung als Praxis</t>
  </si>
  <si>
    <t>Weiterbildungswiderstand</t>
  </si>
  <si>
    <t>Daniela Holzer</t>
  </si>
  <si>
    <t>Shifting Baselines of Europe</t>
  </si>
  <si>
    <t>European Alternatives Limited-Daphne BÃ¼llesbach-Marta Cillero-Lukas Stolz</t>
  </si>
  <si>
    <t>Anarchistische Uhrmacher in der Schweiz</t>
  </si>
  <si>
    <t>Florian Eitel</t>
  </si>
  <si>
    <t>Mistrust</t>
  </si>
  <si>
    <t>Florian MÃ¼hlfried</t>
  </si>
  <si>
    <t>Postmigrantische Visionen</t>
  </si>
  <si>
    <t>Marc Hill-Erol Yildiz</t>
  </si>
  <si>
    <t>Digital Image Systems</t>
  </si>
  <si>
    <t>Claus Gunti</t>
  </si>
  <si>
    <t>Der Gebrauch der JugendgewaltprÃ¤vention</t>
  </si>
  <si>
    <t>Verena Kuglstatter</t>
  </si>
  <si>
    <t>Kulturen des Reparierens</t>
  </si>
  <si>
    <t>Stefan Krebs-Gabriele Schabacher-Heike Weber</t>
  </si>
  <si>
    <t>Care Home Stories</t>
  </si>
  <si>
    <t>MEDICAL / Nursing / Home &amp; Community Care</t>
  </si>
  <si>
    <t>Sally Chivers-Ulla Kriebernegg</t>
  </si>
  <si>
    <t>Writing Emotions</t>
  </si>
  <si>
    <t>Ingeborg Jandl-Susanne Knaller-Sabine SchÃ¶nfellner-Gudrun Tockner</t>
  </si>
  <si>
    <t>Organisation im soziotechnischen Gemenge</t>
  </si>
  <si>
    <t>Lisa Conrad</t>
  </si>
  <si>
    <t>Killing and Being Killed: Bodies in Battle</t>
  </si>
  <si>
    <t>JÃ¶rg Rogge</t>
  </si>
  <si>
    <t>Trusting the Police</t>
  </si>
  <si>
    <t>Silvia Staubli</t>
  </si>
  <si>
    <t>Faking, Forging, Counterfeiting</t>
  </si>
  <si>
    <t>Daniel Becker-Annalisa Fischer-Yola Schmitz</t>
  </si>
  <si>
    <t>Kriegserfahrungen erzÃ¤hlen</t>
  </si>
  <si>
    <t>Dinge sammeln, Wissen schaffen</t>
  </si>
  <si>
    <t>Flavio HÃ¤ner</t>
  </si>
  <si>
    <t>Verzeihen, VersÃ¶hnen, Vergessen</t>
  </si>
  <si>
    <t>Takemitsu Morikawa</t>
  </si>
  <si>
    <t>The Nile: Natural and Cultural Landscape in Egypt</t>
  </si>
  <si>
    <t>Harco Willems-Jan-Michael Dahms</t>
  </si>
  <si>
    <t>Tanzpraxis in der Forschung â€“ Tanz als Forschungspraxis</t>
  </si>
  <si>
    <t>Susanne Quinten-Stephanie Schroedter</t>
  </si>
  <si>
    <t>Zwischenstadtland Schweiz</t>
  </si>
  <si>
    <t>Lineo Umberto Devecchi</t>
  </si>
  <si>
    <t>ArchÃ¤ologische Untersuchungen. Ãœber TemporalitÃ¤t und Dinge</t>
  </si>
  <si>
    <t>Undine Stabrey</t>
  </si>
  <si>
    <t>Gewalt im Computerspiel</t>
  </si>
  <si>
    <t>Christoph Bareither</t>
  </si>
  <si>
    <t>Kurz &amp; Knapp</t>
  </si>
  <si>
    <t>Michael Gamper-Ruth Mayer</t>
  </si>
  <si>
    <t>Regime der Anerkennung</t>
  </si>
  <si>
    <t>Alexander Hasgall</t>
  </si>
  <si>
    <t>Doing Space while Doing Gender â€“ Vernetzungen von Raum und Geschlecht in Forschung und Politik</t>
  </si>
  <si>
    <t>Aenne Gottschalk-Susanne Kersten-Felix KrÃ¤mer</t>
  </si>
  <si>
    <t>Gesundheitswissen in der Schule</t>
  </si>
  <si>
    <t>MichÃ¨le Hofmann</t>
  </si>
  <si>
    <t>Jahrbuch fÃ¼r Kulturpolitik 2015/16</t>
  </si>
  <si>
    <t>Norbert Sievers-Patrick S. FÃ¶hl-Tobias J. Knoblich</t>
  </si>
  <si>
    <t>Digital Environments</t>
  </si>
  <si>
    <t>Urte Undine FrÃ¶mming-Steffen KÃ¶hn-Samantha Fox-Mike Terry</t>
  </si>
  <si>
    <t>Intellectual Radicalism After 1989</t>
  </si>
  <si>
    <t>Sebastian Berg</t>
  </si>
  <si>
    <t>Migrationsbedingt behindert?</t>
  </si>
  <si>
    <t>Donja Amirpur</t>
  </si>
  <si>
    <t>Die Welt reparieren</t>
  </si>
  <si>
    <t>Andrea Baier-Tom Hansing-Christa MÃ¼ller-Karin Werner</t>
  </si>
  <si>
    <t>Performing the Digital</t>
  </si>
  <si>
    <t>Martina Leeker-Imanuel Schipper-Timon Beyes</t>
  </si>
  <si>
    <t>Target Markets â€“ International Terrorism Meets Global Capitalism in the Mall</t>
  </si>
  <si>
    <t>Suzi Mirgani</t>
  </si>
  <si>
    <t>Intermedialer Style</t>
  </si>
  <si>
    <t>Gerda Wurzenberger</t>
  </si>
  <si>
    <t>Praxishandbuch Online-Fundraising</t>
  </si>
  <si>
    <t>BjÃ¶rn Lampe-Kathleen Ziemann-Angela Ullrich</t>
  </si>
  <si>
    <t>Art Unlimited?</t>
  </si>
  <si>
    <t>Franz Schultheis-Erwin Single-Raphaela KÃ¶feler-Thomas Mazzurana</t>
  </si>
  <si>
    <t>Roman Charity</t>
  </si>
  <si>
    <t>Jutta Gisela Sperling</t>
  </si>
  <si>
    <t>Haare hÃ¶ren â€“ Strukturen wissen â€“ RÃ¤ume agieren</t>
  </si>
  <si>
    <t>Horst Bredekamp-Wolfgang SchÃ¤ffner</t>
  </si>
  <si>
    <t>Transdifferenz und TranskulturalitÃ¤t</t>
  </si>
  <si>
    <t>Alexandra Millner-Katalin Teller</t>
  </si>
  <si>
    <t>Die Welt der Commons</t>
  </si>
  <si>
    <t>Silke Helfrich-David Bollier-Heinrich-BÃ¶ll-Stiftung e.V.</t>
  </si>
  <si>
    <t>Independent Theatre in Contemporary Europe</t>
  </si>
  <si>
    <t>Manfred Brauneck-ITI Zentrum Deutschland</t>
  </si>
  <si>
    <t>Umstrittene KÃ¶rperteile</t>
  </si>
  <si>
    <t>Simon Hofmann</t>
  </si>
  <si>
    <t>Martin Butler-Paul Mecheril-Lea Brenningmeyer</t>
  </si>
  <si>
    <t>Grenzobjekte und Medienforschung</t>
  </si>
  <si>
    <t>Susan Leigh Star-Sebastian GieÃŸmann-Nadine Taha</t>
  </si>
  <si>
    <t>Culinary Turn</t>
  </si>
  <si>
    <t>Nicolaj van der Meulen-JÃ¶rg Wiesel-Raphaela Reinmann</t>
  </si>
  <si>
    <t>Digitale Datenbanken</t>
  </si>
  <si>
    <t>Marcus Burkhardt</t>
  </si>
  <si>
    <t>Global Photographies</t>
  </si>
  <si>
    <t>Sissy Helff-Stefanie Michels</t>
  </si>
  <si>
    <t>KÃ¶rper als Archiv in Bewegung</t>
  </si>
  <si>
    <t>Julia Wehren</t>
  </si>
  <si>
    <t>Fines Hominis?</t>
  </si>
  <si>
    <t>Marc RÃ¶lli</t>
  </si>
  <si>
    <t>Negotiations of the Â»New WorldÂ«</t>
  </si>
  <si>
    <t>Sabine Selchow</t>
  </si>
  <si>
    <t>Commons</t>
  </si>
  <si>
    <t>Heinrich-BÃ¶ll-Stiftung e.V.-Silke Helfrich</t>
  </si>
  <si>
    <t>Culture â€“ Theory â€“ Disability</t>
  </si>
  <si>
    <t>Anne Waldschmidt-Hanjo Berressem-Moritz Ingwersen</t>
  </si>
  <si>
    <t>Stadt der Commonisten</t>
  </si>
  <si>
    <t>Manifeste</t>
  </si>
  <si>
    <t>Johanna Klatt-Robert Lorenz</t>
  </si>
  <si>
    <t>Sakrale Geographie</t>
  </si>
  <si>
    <t>Elisabeth Heidenreich</t>
  </si>
  <si>
    <t>Die soziale Magie politischer ReprÃ¤sentation</t>
  </si>
  <si>
    <t>Erik Jentges</t>
  </si>
  <si>
    <t>Reflexionsspiele</t>
  </si>
  <si>
    <t>Steffen Albrecht</t>
  </si>
  <si>
    <t>TafelGesellschaft</t>
  </si>
  <si>
    <t>Stephan Lorenz</t>
  </si>
  <si>
    <t>Historische Kulturwissenschaften</t>
  </si>
  <si>
    <t>Jan Kusber-Mechthild Dreyer-JÃ¶rg Rogge-Andreas HÃ¼tig</t>
  </si>
  <si>
    <t>Integration von Zuwanderern</t>
  </si>
  <si>
    <t>Stefan Luft-Peter Schimany</t>
  </si>
  <si>
    <t>Zivile Sicherheit</t>
  </si>
  <si>
    <t>Peter Zoche-Stefan Kaufmann-Rita Haverkamp</t>
  </si>
  <si>
    <t>Doing Anthropology in Wartime and War Zones</t>
  </si>
  <si>
    <t>Reinhard Johler-Christian Marchetti-Monique Scheer</t>
  </si>
  <si>
    <t>Europa zwischen Fiktion und Realpolitik/L'Europe â€“ fictions et rÃ©alitÃ©s politiques</t>
  </si>
  <si>
    <t>Roland Marti-Henri Vogt</t>
  </si>
  <si>
    <t>Prostitution und Menschenhandel als Verwaltungsproblem</t>
  </si>
  <si>
    <t>Claudia Vorheyer</t>
  </si>
  <si>
    <t>Totalitarian Communication</t>
  </si>
  <si>
    <t>Kirill Postoutenko</t>
  </si>
  <si>
    <t>Die politische Ordnung des FlÃ¼chtlingslagers</t>
  </si>
  <si>
    <t>Katharina Inhetveen</t>
  </si>
  <si>
    <t>Creative Networks and the City</t>
  </si>
  <si>
    <t>Bas van Heur</t>
  </si>
  <si>
    <t>Making Sex Revisited</t>
  </si>
  <si>
    <t>Politik der Unentschiedenheit</t>
  </si>
  <si>
    <t>Margarete Misselwitz-Klaus Schlichte</t>
  </si>
  <si>
    <t>Kritik der transnationalen Gewalt</t>
  </si>
  <si>
    <t>Claas Christophersen</t>
  </si>
  <si>
    <t>Eine andere Welt ist mÃ¶glich â€“ ohne Antisemitismus?</t>
  </si>
  <si>
    <t>Holger Knothe</t>
  </si>
  <si>
    <t>System Beratung</t>
  </si>
  <si>
    <t>Adrian Steiner</t>
  </si>
  <si>
    <t>Sicherheit und Risiko</t>
  </si>
  <si>
    <t>Herfried MÃ¼nkler-Matthias Bohlender-Sabine Meurer</t>
  </si>
  <si>
    <t>Handeln unter Risiko</t>
  </si>
  <si>
    <t>Die Entwicklung von Sicherheit</t>
  </si>
  <si>
    <t>Die EU und der RÃ¼ckzug des Staates</t>
  </si>
  <si>
    <t>Dr. Anne Karrass</t>
  </si>
  <si>
    <t>Workfare in den USA</t>
  </si>
  <si>
    <t>Britta Grell</t>
  </si>
  <si>
    <t>Die TÃ¼rkei und das andere Europa</t>
  </si>
  <si>
    <t>BÃ¼lent KÃ¼Ã§Ã¼k</t>
  </si>
  <si>
    <t>Governance and Business Models for Sustainable Capitalism</t>
  </si>
  <si>
    <t>Atle Midttun</t>
  </si>
  <si>
    <t>Guidelines for Supporting Children with Disabilities' Play</t>
  </si>
  <si>
    <t>Pedro EncarnaÃ§Ã£o-Sylvie Ray-Kaeser-Nicole Bianquin</t>
  </si>
  <si>
    <t>Der Krieg der anderen</t>
  </si>
  <si>
    <t>Andrzej Chwalba</t>
  </si>
  <si>
    <t>Domestic and International Trials, 1700â€“2000</t>
  </si>
  <si>
    <t>Rose Melikan</t>
  </si>
  <si>
    <t>Pastoral Poetry of the English Renaissance</t>
  </si>
  <si>
    <t>Sukanta Chaudhuri</t>
  </si>
  <si>
    <t>Witchcraft Narratives in Germany</t>
  </si>
  <si>
    <t>Alison Rowlands</t>
  </si>
  <si>
    <t>The United States Congress</t>
  </si>
  <si>
    <t>Ross English</t>
  </si>
  <si>
    <t>Half the Battle</t>
  </si>
  <si>
    <t>Robert Mackay</t>
  </si>
  <si>
    <t>Across the Margins</t>
  </si>
  <si>
    <t>Glenda Norquay-Gerry Smyth</t>
  </si>
  <si>
    <t>The Conservatives in Crisis</t>
  </si>
  <si>
    <t>Mark Garnett-Philip Lynch</t>
  </si>
  <si>
    <t>After the New Social Democracy</t>
  </si>
  <si>
    <t>Tony Fitzpatrick</t>
  </si>
  <si>
    <t>A War of Individuals</t>
  </si>
  <si>
    <t>Jonathan Atkin</t>
  </si>
  <si>
    <t>Democratization Through the Looking-glass</t>
  </si>
  <si>
    <t>Peter Burnell</t>
  </si>
  <si>
    <t>The Kosovo Crisis and the Evolution of a Post-Cold War European Security</t>
  </si>
  <si>
    <t>Martin A Smith-Paul Latawski</t>
  </si>
  <si>
    <t>A History of the University of Manchester, 1973â€“90</t>
  </si>
  <si>
    <t>Brian Pullan-Michele Abendstern</t>
  </si>
  <si>
    <t>Implementing International Environmental Agreements in Russia</t>
  </si>
  <si>
    <t>Geir HÃ¸nneland-Anne-Kristen Jorgensen</t>
  </si>
  <si>
    <t>The Ideology of the Extreme Right</t>
  </si>
  <si>
    <t>Cas Mudde</t>
  </si>
  <si>
    <t>The Labour Party and the World, Volume 1</t>
  </si>
  <si>
    <t>Rhiannon Vickers</t>
  </si>
  <si>
    <t>Redefining Security in the Middle East</t>
  </si>
  <si>
    <t>Tami Jacoby-Brent Sasley</t>
  </si>
  <si>
    <t>Mapping European Security After Kosovo</t>
  </si>
  <si>
    <t>Peter Van Ham-Sergei Medvedev</t>
  </si>
  <si>
    <t>Equal Subjects, Unequal Rights</t>
  </si>
  <si>
    <t>Julie Evans-Patricia Grimshaw-David Philips-Shurlee Swain</t>
  </si>
  <si>
    <t>The United Nations, Intra-state Peacekeeping and Normative Change</t>
  </si>
  <si>
    <t>Esref Aksu</t>
  </si>
  <si>
    <t>Balkan Holocausts?</t>
  </si>
  <si>
    <t>David Bruce MacDonald</t>
  </si>
  <si>
    <t>The Forgotten French</t>
  </si>
  <si>
    <t>Nicholas Atkin</t>
  </si>
  <si>
    <t>Postcolonial Contraventions</t>
  </si>
  <si>
    <t>Laura Chrisman</t>
  </si>
  <si>
    <t>Federalism and Democratisation in Russia</t>
  </si>
  <si>
    <t>Cameron Ross</t>
  </si>
  <si>
    <t>The â€˜Malleus Maleficarumâ€˜ and the Construction of Witchcraft</t>
  </si>
  <si>
    <t>Hans Broedel</t>
  </si>
  <si>
    <t>The Israeli Response to Jewish Extremism and Violence</t>
  </si>
  <si>
    <t>Ami Pedahzur</t>
  </si>
  <si>
    <t>The International Politics of the Middle East</t>
  </si>
  <si>
    <t>Raymond Hinnebusch</t>
  </si>
  <si>
    <t>The Formation of Croatian National Identity</t>
  </si>
  <si>
    <t>Alex Bellamy</t>
  </si>
  <si>
    <t>Limiting Institutions?</t>
  </si>
  <si>
    <t>James Sperling-Sean Kay-Victor Papacosma</t>
  </si>
  <si>
    <t>Understanding British and European Political Issues</t>
  </si>
  <si>
    <t>Krystyna McNaughton</t>
  </si>
  <si>
    <t>Potentials of Disorder</t>
  </si>
  <si>
    <t>Jan Koehler-Christoph Zuercher</t>
  </si>
  <si>
    <t>Fifteen Into One?</t>
  </si>
  <si>
    <t>Wolfgang Wessels-Andreas Maurer-Juergen Mittag</t>
  </si>
  <si>
    <t>Samuel Beckett and the Primacy of Love</t>
  </si>
  <si>
    <t>John Robert Keller</t>
  </si>
  <si>
    <t>Special Relationships</t>
  </si>
  <si>
    <t>Janet Beer-Bridget Bennett</t>
  </si>
  <si>
    <t>Understanding Political Ideas and Movements</t>
  </si>
  <si>
    <t>Kevin Harrison-Tony Boyd</t>
  </si>
  <si>
    <t>The LÃ¤nder and German Federalism</t>
  </si>
  <si>
    <t>Arthur Gunlicks</t>
  </si>
  <si>
    <t>The Truest Form of Patriotism'</t>
  </si>
  <si>
    <t>Heloise Brown</t>
  </si>
  <si>
    <t>The Enlightenment and Religion</t>
  </si>
  <si>
    <t>S. J. Barnett</t>
  </si>
  <si>
    <t>Witchcraft Continued</t>
  </si>
  <si>
    <t>Yseult De Blecourt-Owen Davies</t>
  </si>
  <si>
    <t>Democratic Inclusion</t>
  </si>
  <si>
    <t>Everyday Resistance, Peacebuilding and State-making</t>
  </si>
  <si>
    <t>Marta IÃ±iguez de Heredia</t>
  </si>
  <si>
    <t>Disability in the Industrial Revolution</t>
  </si>
  <si>
    <t>David M. Turner-Daniel Blackie</t>
  </si>
  <si>
    <t>Migrating Borders and Moving Times</t>
  </si>
  <si>
    <t>Hastings Donnan-Madeleine Hurd-Carolin Leutloff-Grandits</t>
  </si>
  <si>
    <t>A History of the Case Study</t>
  </si>
  <si>
    <t>Birgit Lang-Joy Damousi-Alison Lewis</t>
  </si>
  <si>
    <t>Sport in the Black Atlantic</t>
  </si>
  <si>
    <t>Janelle Joseph</t>
  </si>
  <si>
    <t>Disability in Industrial Britain</t>
  </si>
  <si>
    <t>Kirsti Bohata-Alexandra Jones-Mike Mantin-Steven Thompson</t>
  </si>
  <si>
    <t>Rethinking European Union Foreign Policy</t>
  </si>
  <si>
    <t>Ben Tonra-Thomas Christiansen</t>
  </si>
  <si>
    <t>Performing Care</t>
  </si>
  <si>
    <t>Amanda Stuart Fisher-James Thompson</t>
  </si>
  <si>
    <t>Vaccinating Britain</t>
  </si>
  <si>
    <t>Gareth Millward</t>
  </si>
  <si>
    <t>Change and the Politics of Certainty</t>
  </si>
  <si>
    <t>Jenny Edkins</t>
  </si>
  <si>
    <t>A Global History of Early Modern Violence</t>
  </si>
  <si>
    <t>Erica Charters-Marie Houllemare-Peter H. Wilson</t>
  </si>
  <si>
    <t>A 'special Relationship'?</t>
  </si>
  <si>
    <t>Jonathan Colman</t>
  </si>
  <si>
    <t>Communities and Knowledge Production in Archaeology</t>
  </si>
  <si>
    <t>Julia Roberts-Kathleen L. Sheppard-Ulf R. Hansson-Jonathan R. Trigg</t>
  </si>
  <si>
    <t>Houses Built on Sand</t>
  </si>
  <si>
    <t>Simon Mabon</t>
  </si>
  <si>
    <t>Making Work More Equal</t>
  </si>
  <si>
    <t>Damian Grimshaw-Colette Fagan-Gail Hebson-Isabel Tavora</t>
  </si>
  <si>
    <t>Localizing Global Sport for Development</t>
  </si>
  <si>
    <t>SPORTS &amp; RECREATION / Cricket</t>
  </si>
  <si>
    <t>Iain Lindsey-Tess Kay-Ruth Jeanes-Davies Banda</t>
  </si>
  <si>
    <t>Science in Performance</t>
  </si>
  <si>
    <t>Simon Parry</t>
  </si>
  <si>
    <t>Sport and Technology</t>
  </si>
  <si>
    <t>Roslyn Kerr</t>
  </si>
  <si>
    <t>Brothers in the Great War</t>
  </si>
  <si>
    <t>Linda Maynard</t>
  </si>
  <si>
    <t>The United States in the Indo-Pacific</t>
  </si>
  <si>
    <t>Oliver Turner-Inderjeet Parmar</t>
  </si>
  <si>
    <t>African Cities and Collaborative Futures</t>
  </si>
  <si>
    <t>Michael Keith-Andreza Aruska de Souza Santos</t>
  </si>
  <si>
    <t>Literature and Sustainability</t>
  </si>
  <si>
    <t>Adeline Johns-Putra-John Parham-Louise Squire</t>
  </si>
  <si>
    <t>Managing Diabetes, Managing Medicine</t>
  </si>
  <si>
    <t>Martin D. Moore</t>
  </si>
  <si>
    <t>Nonhuman Voices in Anglo-Saxon Literature and Material Culture</t>
  </si>
  <si>
    <t>James Paz</t>
  </si>
  <si>
    <t>Progress and Pathology</t>
  </si>
  <si>
    <t>Sally Shuttleworth-Melissa Dickson-Emilie Taylor-Brown</t>
  </si>
  <si>
    <t>Beyond the Witch Trials</t>
  </si>
  <si>
    <t>Owen Davies-Yseult De Blecourt</t>
  </si>
  <si>
    <t>Embodiment and Everyday Cyborgs</t>
  </si>
  <si>
    <t>Gill Haddow</t>
  </si>
  <si>
    <t>The Senses in Early Modern England, 1558â€“1660</t>
  </si>
  <si>
    <t>Simon Smith-Jacqueline Watson-Amy Kenny</t>
  </si>
  <si>
    <t>Engine of Modernity</t>
  </si>
  <si>
    <t>Masha Belenky</t>
  </si>
  <si>
    <t>The Metamorphosis of Autism</t>
  </si>
  <si>
    <t>Bonnie Evans</t>
  </si>
  <si>
    <t>Time for Mapping</t>
  </si>
  <si>
    <t>Sybille Lammes-Chris Perkins-Alex Gekker-Sam Hind-Clancy Wilmott-Daniel Evans</t>
  </si>
  <si>
    <t>Theory and Reform in the European Union</t>
  </si>
  <si>
    <t>Dimitris N. Chryssochoou-Michael J. Tsinisizelis-Stelios Stavridis-Kostas Ifantis</t>
  </si>
  <si>
    <t>All in the Mix</t>
  </si>
  <si>
    <t>Bridget Byrne-Carla De Tona</t>
  </si>
  <si>
    <t>A Research Handbook for Patient and Public Involvement Researchers</t>
  </si>
  <si>
    <t>Kelly Rushton-Penny Bee-Helen Brooks-Patrick Callaghan-Karina Lovell</t>
  </si>
  <si>
    <t>In Search of Social Democracy</t>
  </si>
  <si>
    <t>John Callaghan-Nina Fishman-Ben Jackson-Martin McIvor</t>
  </si>
  <si>
    <t>Frontiers of the Caribbean</t>
  </si>
  <si>
    <t>Philip Nanton</t>
  </si>
  <si>
    <t>Recognition and Global Politics</t>
  </si>
  <si>
    <t>Patrick Hayden-Kate Schick</t>
  </si>
  <si>
    <t>Gothic Incest</t>
  </si>
  <si>
    <t>Jenny DiPlacidi</t>
  </si>
  <si>
    <t>Subjects of Modernity</t>
  </si>
  <si>
    <t>Saurabh Dube</t>
  </si>
  <si>
    <t>Technical Politics</t>
  </si>
  <si>
    <t>Graeme Kirkpatrick</t>
  </si>
  <si>
    <t>The British Monarchy on Screen</t>
  </si>
  <si>
    <t>Mandy Merck</t>
  </si>
  <si>
    <t>Debt As Power</t>
  </si>
  <si>
    <t>Richard H. Robbins-Tim Di Muzio</t>
  </si>
  <si>
    <t>The Politics of Vaccination</t>
  </si>
  <si>
    <t>Christine Holmberg-Stuart Blume-Paul Greenough</t>
  </si>
  <si>
    <t>Lehman Brothers</t>
  </si>
  <si>
    <t>Oonagh McDonald</t>
  </si>
  <si>
    <t>Global Humanitarianism and Media Culture</t>
  </si>
  <si>
    <t>Michael Lawrence-Rachel Tavernor</t>
  </si>
  <si>
    <t>A Table for One</t>
  </si>
  <si>
    <t>Kinneret Lahad</t>
  </si>
  <si>
    <t>Personalised Cancer Medicine</t>
  </si>
  <si>
    <t>Anne Kerr-Choon Key Chekar-Emily Ross-Julia Swallow-Sarah Cunningham-Burley</t>
  </si>
  <si>
    <t>Loud and Proud</t>
  </si>
  <si>
    <t>Burning the Veil</t>
  </si>
  <si>
    <t>Neil MacMaster</t>
  </si>
  <si>
    <t>Balancing the Self</t>
  </si>
  <si>
    <t>Mark Jackson-Martin D. Moore</t>
  </si>
  <si>
    <t>Violence Against Women's Health in International Law</t>
  </si>
  <si>
    <t>Sara De Vido</t>
  </si>
  <si>
    <t>Civilising Rural Ireland</t>
  </si>
  <si>
    <t>Patrick Doyle</t>
  </si>
  <si>
    <t>Early Anglo-Saxon Cemeteries</t>
  </si>
  <si>
    <t>Duncan Sayer</t>
  </si>
  <si>
    <t>Refugees and the Violence of Welfare Bureaucracies in Northern Europe</t>
  </si>
  <si>
    <t>Dalia Abdelhady-Nina Gren-Martin Joormann</t>
  </si>
  <si>
    <t>History, Historians and Development Policy</t>
  </si>
  <si>
    <t>C.A. Bayly-Vijayendra Rao-Simon Szreter-Michael Woolcock</t>
  </si>
  <si>
    <t>The Greening of Golf</t>
  </si>
  <si>
    <t>Brad Millington-Brian Wilson</t>
  </si>
  <si>
    <t>Bordering Intimacy</t>
  </si>
  <si>
    <t>Joe Turner</t>
  </si>
  <si>
    <t>Race and the Yugoslav Region</t>
  </si>
  <si>
    <t>Catherine Baker</t>
  </si>
  <si>
    <t>Race Talk</t>
  </si>
  <si>
    <t>Antonia Lucia Dawes</t>
  </si>
  <si>
    <t>Comradely Objects</t>
  </si>
  <si>
    <t>Yulia Karpova</t>
  </si>
  <si>
    <t>John Dewey</t>
  </si>
  <si>
    <t>John Narayan</t>
  </si>
  <si>
    <t>Antisemitism and the Left</t>
  </si>
  <si>
    <t>Robert Fine-Philip Spencer</t>
  </si>
  <si>
    <t>Women's Medicine</t>
  </si>
  <si>
    <t>Caroline Rusterholz</t>
  </si>
  <si>
    <t>Sonic Ethnography</t>
  </si>
  <si>
    <t>Lorenzo Ferrarini-Nicola Scaldaferri</t>
  </si>
  <si>
    <t>Urban Transformations and Public Health in the Emergent City</t>
  </si>
  <si>
    <t>Beckett and Nothing</t>
  </si>
  <si>
    <t>Daniela Caselli</t>
  </si>
  <si>
    <t>Cinema, Democracy and Perfectionism</t>
  </si>
  <si>
    <t>Joshua Foa Dienstag</t>
  </si>
  <si>
    <t>Toxic Truths</t>
  </si>
  <si>
    <t>Thom Davies-Alice Mah</t>
  </si>
  <si>
    <t>Dance and Politics</t>
  </si>
  <si>
    <t>Dana Mills</t>
  </si>
  <si>
    <t>Payment and Philanthropy in British Healthcare, 1918â€“48</t>
  </si>
  <si>
    <t>George Campbell Gosling</t>
  </si>
  <si>
    <t>Measuring Difference, Numbering Normal</t>
  </si>
  <si>
    <t>Coreen McGuire</t>
  </si>
  <si>
    <t>Beyond Observation</t>
  </si>
  <si>
    <t>Paul Henley</t>
  </si>
  <si>
    <t>Bog Bodies</t>
  </si>
  <si>
    <t>Melanie Giles</t>
  </si>
  <si>
    <t>Science and the Politics of Openness</t>
  </si>
  <si>
    <t>Brigitte Nerlich-Sarah Hartley-Sujatha Raman-Alexander Smith</t>
  </si>
  <si>
    <t>Go Home?</t>
  </si>
  <si>
    <t>Hannah Jones-Yasmin Gunaratnam-Gargi Bhattacharyya-William Davies-Sukhwant Dhaliwal-Kirsten Forkert-Emma Gleadhill-Roiyah Saltus</t>
  </si>
  <si>
    <t>The Power of Vulnerability</t>
  </si>
  <si>
    <t>Anu Koivunen-Katariina KyrÃ¶lÃ¤-Ingrid Ryberg</t>
  </si>
  <si>
    <t>States and Statistics in the Nineteenth Century</t>
  </si>
  <si>
    <t>Nico Randeraad</t>
  </si>
  <si>
    <t>Austerity Baby</t>
  </si>
  <si>
    <t>Janet Wolff</t>
  </si>
  <si>
    <t>Dating Beowulf</t>
  </si>
  <si>
    <t>Daniel C. Remein-Erica Weaver</t>
  </si>
  <si>
    <t>The New Politics of Russia</t>
  </si>
  <si>
    <t>Andrew Monaghan</t>
  </si>
  <si>
    <t>Network Neutrality</t>
  </si>
  <si>
    <t>Christopher T. Marsden</t>
  </si>
  <si>
    <t>Jews on Trial</t>
  </si>
  <si>
    <t>Katherine Aron-Beller</t>
  </si>
  <si>
    <t>Subsidies, Diplomacy, and State Formation in Europe, 1494â€“1789</t>
  </si>
  <si>
    <t>Svante Norrhem-Erik Thomson</t>
  </si>
  <si>
    <t>Heritopia</t>
  </si>
  <si>
    <t>Jes Wienberg</t>
  </si>
  <si>
    <t>Colonial Powers and Ethiopian Frontiers 1880â€“1884</t>
  </si>
  <si>
    <t>Sven Rubenson-Amsalu Aklilu-Shiferaw Bekele-Samuel Rubenson</t>
  </si>
  <si>
    <t>Incest in Sweden, 1680â€“1940</t>
  </si>
  <si>
    <t>Bonnie Clementsson</t>
  </si>
  <si>
    <t>Germany and the Use of Force</t>
  </si>
  <si>
    <t>Kerry Longhurst</t>
  </si>
  <si>
    <t>Participatory Reading in Late-medieval England</t>
  </si>
  <si>
    <t>Heather Blatt</t>
  </si>
  <si>
    <t>Arctic Governance</t>
  </si>
  <si>
    <t>Elana Wilson Rowe</t>
  </si>
  <si>
    <t>The Gothic Novel in Ireland, C. 1760â€“1829</t>
  </si>
  <si>
    <t>Christina Morin</t>
  </si>
  <si>
    <t>Science at the End of Empire</t>
  </si>
  <si>
    <t>Sabine Clarke</t>
  </si>
  <si>
    <t>The Experience of Occupation in the Nord, 1914â€“18</t>
  </si>
  <si>
    <t>James E. Connolly</t>
  </si>
  <si>
    <t>Community-Led Research</t>
  </si>
  <si>
    <t>Rawlings, Victoria-Flexner, James-Riley, Lynette</t>
  </si>
  <si>
    <t>Sounding Together</t>
  </si>
  <si>
    <t>Charles Garrett-Carol J. Oja</t>
  </si>
  <si>
    <t>National Security Intelligence and Ethics</t>
  </si>
  <si>
    <t>Seumas Miller-Mitt Regan-Patrick F. Walsh</t>
  </si>
  <si>
    <t>Contemporary Issues in Digital Marketing</t>
  </si>
  <si>
    <t>Outi Niininen</t>
  </si>
  <si>
    <t>Athlete Activism</t>
  </si>
  <si>
    <t>Rory Magrath</t>
  </si>
  <si>
    <t>Reputation Management and Family Business</t>
  </si>
  <si>
    <t>ZdzisÅ‚awa Dacko-Pikiewicz</t>
  </si>
  <si>
    <t>Care and the City</t>
  </si>
  <si>
    <t>Angelika Gabauer-Sabine Knierbein-Nir Cohen-Henrik Lebuhn-Kim Trogal-Tihomir Viderman-Tigran Haas</t>
  </si>
  <si>
    <t>Comparative Federalism and Covid-19</t>
  </si>
  <si>
    <t>Queer Roma</t>
  </si>
  <si>
    <t>Lucie Fremlova</t>
  </si>
  <si>
    <t>Indigenous Peoples, Natural Resources and Governance</t>
  </si>
  <si>
    <t>Monica Tennberg-Else Grete Broderstad-Hans-Kristian Hernes</t>
  </si>
  <si>
    <t>The Routledge Handbook of Smuggling</t>
  </si>
  <si>
    <t>Max Gallien-Florian Weigand</t>
  </si>
  <si>
    <t>Routledge Handbook of Chinese Medicine</t>
  </si>
  <si>
    <t>Vivienne Lo-Michael Stanley-Baker</t>
  </si>
  <si>
    <t>The Routledge Handbook of Religious Literacy, Pluralism, and Global Engagement</t>
  </si>
  <si>
    <t>Chris Seiple-Dennis R. Hoover</t>
  </si>
  <si>
    <t>Post-Truth Imaginations</t>
  </si>
  <si>
    <t>Kjetil Rommetveit</t>
  </si>
  <si>
    <t>Understanding Disability Throughout History</t>
  </si>
  <si>
    <t>Hanna BjÃ¶rg SigurjÃ³nsdÃ³ttir-James G. Rice</t>
  </si>
  <si>
    <t>Trust and Transparency in an Age of Surveillance</t>
  </si>
  <si>
    <t>Lora Anne Viola-PaweÅ‚ Laidler</t>
  </si>
  <si>
    <t>The Everyday Lives of Gay Men</t>
  </si>
  <si>
    <t>Edgar RodrÃ­guez-Dorans-Jason Holmes</t>
  </si>
  <si>
    <t>Genders, Cultures, and Literacies</t>
  </si>
  <si>
    <t>Barbara J. Guzzetti</t>
  </si>
  <si>
    <t>The Making and Circulation of Nordic Models, Ideas and Images</t>
  </si>
  <si>
    <t>Haldor Byrkjeflot-Lars MjÃ¸set-Mads Mordhorst-Klaus Petersen</t>
  </si>
  <si>
    <t>Doing Human Service Ethnography</t>
  </si>
  <si>
    <t>Katarina Jacobsson-Jaber F Gubrium</t>
  </si>
  <si>
    <t>Ã„rztliche Einbestellungspflichten.</t>
  </si>
  <si>
    <t>Milad Ahmadi</t>
  </si>
  <si>
    <t>Missbrauchsverbot und Standardisierung.</t>
  </si>
  <si>
    <t>Jonas Kranz</t>
  </si>
  <si>
    <t>Development, Social Change and Environmental Sustainability</t>
  </si>
  <si>
    <t>Sumarmi-Nanda Meiji-Joan Purwasih-Abdul Kodir-Edo Andriesse-Dorina Ilies-Ken Miichi</t>
  </si>
  <si>
    <t>Japan der Regionen</t>
  </si>
  <si>
    <t>Shingo Shimada-Theresa Sieland</t>
  </si>
  <si>
    <t>Protestant Textuality and the Tamil Modern</t>
  </si>
  <si>
    <t>Bernard Bate-E. Annamalai-Francis Cody-Malarvizhi Jayanth-Constantine Nakassis</t>
  </si>
  <si>
    <t>Reading Backwards</t>
  </si>
  <si>
    <t xml:space="preserve"> Timothy Langen-Muireann Maguire</t>
  </si>
  <si>
    <t>Silent Love</t>
  </si>
  <si>
    <t>Gerard Vries</t>
  </si>
  <si>
    <t>Der KÃ¶rper als Vermittler zwischen Musik und (all)tÃ¤glicher Lebenswelt</t>
  </si>
  <si>
    <t>Karolin Schmitt-Weidmann</t>
  </si>
  <si>
    <t>KÃ¤mpfe um die Professionalisierung des Museums</t>
  </si>
  <si>
    <t>Andrea Meyer</t>
  </si>
  <si>
    <t>Scheitern als Performance</t>
  </si>
  <si>
    <t>Nicole Alber</t>
  </si>
  <si>
    <t>Psychiatriereform in der Bundesrepublik Deutschland</t>
  </si>
  <si>
    <t>Christian ReumschÃ¼ssel-Wienert</t>
  </si>
  <si>
    <t>ErzÃ¤hlen im Imperativ</t>
  </si>
  <si>
    <t>Franziska Ascher</t>
  </si>
  <si>
    <t>EuropaentwÃ¼rfe â€“ Positionierungen der rumÃ¤nischen Literatur nach 1989</t>
  </si>
  <si>
    <t>Miruna Bacali</t>
  </si>
  <si>
    <t>Curating (Post-)Socialist Environments</t>
  </si>
  <si>
    <t>Philipp Schorch-Daniel Habit</t>
  </si>
  <si>
    <t>Wem gehÃ¶rt die GebÃ¤rdensprache?</t>
  </si>
  <si>
    <t>Tomas Vollhaber</t>
  </si>
  <si>
    <t>Das Rohrnetz stÃ¤dtischer Wasserwerke</t>
  </si>
  <si>
    <t>H. P. Brinkhaus</t>
  </si>
  <si>
    <t>Zur Analysis des Endlichen und des Unendlichen</t>
  </si>
  <si>
    <t>Gerhard Kowalewski</t>
  </si>
  <si>
    <t>Die StrahlungsverhÃ¤ltnisse im beheizten Wohnraum</t>
  </si>
  <si>
    <t>Albrecht Kollmar</t>
  </si>
  <si>
    <t>Die Zypressen der Villa d'Este</t>
  </si>
  <si>
    <t>Johannes Guthmann</t>
  </si>
  <si>
    <t>Goethe und die Geschichte</t>
  </si>
  <si>
    <t>Friedrich Meinecke</t>
  </si>
  <si>
    <t>Mechanische Triebwerke und Bremsen</t>
  </si>
  <si>
    <t>St. LÃ¶ffler</t>
  </si>
  <si>
    <t>Chemische Kosmographie</t>
  </si>
  <si>
    <t>Emil Baur</t>
  </si>
  <si>
    <t>Die AnfÃ¤nge des Humanismus in Ingolstadt</t>
  </si>
  <si>
    <t>Gustav Bauch</t>
  </si>
  <si>
    <t>Erinnerungen an Rainer Maria Rilke</t>
  </si>
  <si>
    <t>Marie Thurn und Taxis-Hohenlohe</t>
  </si>
  <si>
    <t>Mokilese Reference Grammar</t>
  </si>
  <si>
    <t>Sheldon Harrison</t>
  </si>
  <si>
    <t>Yapese Reference Grammar</t>
  </si>
  <si>
    <t>John Thayer Jensen</t>
  </si>
  <si>
    <t>Painting and Performance</t>
  </si>
  <si>
    <t>Victor H. Mair</t>
  </si>
  <si>
    <t>Palauan Reference Grammar</t>
  </si>
  <si>
    <t>Lewis S. Josephs</t>
  </si>
  <si>
    <t>Ancient Tahitian Society</t>
  </si>
  <si>
    <t>Douglas L. Oliver</t>
  </si>
  <si>
    <t>Philippine Ethnography</t>
  </si>
  <si>
    <t>Shiro Saito</t>
  </si>
  <si>
    <t>In Freedom's Cause</t>
  </si>
  <si>
    <t>Thomas D. Murphy</t>
  </si>
  <si>
    <t>A Motif-Index of Traditional Polynesian Narratives</t>
  </si>
  <si>
    <t>Bacil F. Kirtley</t>
  </si>
  <si>
    <t>Out of This Struggle</t>
  </si>
  <si>
    <t>Luis V. Teodoro, Jr.</t>
  </si>
  <si>
    <t>Who's Who in Pacific Navigation</t>
  </si>
  <si>
    <t>John Dunmore</t>
  </si>
  <si>
    <t>Voyages to HawaiÊ»i Before 1860</t>
  </si>
  <si>
    <t>Bernice Judd</t>
  </si>
  <si>
    <t>The Path of the Ocean</t>
  </si>
  <si>
    <t>Marjorie Sinclair</t>
  </si>
  <si>
    <t>The Birth of the Japanese Labor Movement</t>
  </si>
  <si>
    <t>Stephen E. Marsland</t>
  </si>
  <si>
    <t>Leibniz and Confucianism</t>
  </si>
  <si>
    <t>D. E. Mungello</t>
  </si>
  <si>
    <t>Human Jurisprudence</t>
  </si>
  <si>
    <t>Glendon Schubert</t>
  </si>
  <si>
    <t>Filipinos in Rural Hawaii</t>
  </si>
  <si>
    <t>Robert N. Anderson</t>
  </si>
  <si>
    <t>Transactions in Kinship</t>
  </si>
  <si>
    <t>Ivan Brady</t>
  </si>
  <si>
    <t>Ilocano Irrigation</t>
  </si>
  <si>
    <t>Henry T. Lewis</t>
  </si>
  <si>
    <t>Kumu Kahua Plays</t>
  </si>
  <si>
    <t>DRAMA / Anthologies (multiple authors)</t>
  </si>
  <si>
    <t>Dennis Carroll</t>
  </si>
  <si>
    <t>Land Tenure in Oceania</t>
  </si>
  <si>
    <t>The Origins of Japan's Modern Forests</t>
  </si>
  <si>
    <t>Conrad Totman</t>
  </si>
  <si>
    <t>The Congress of Micronesia</t>
  </si>
  <si>
    <t>Norman Meller</t>
  </si>
  <si>
    <t>The Fantastic Life of Walter Murray Gibson</t>
  </si>
  <si>
    <t>Jacob Adler-Robert M. Kamins</t>
  </si>
  <si>
    <t>Woleaian-English Dictionary</t>
  </si>
  <si>
    <t>Ho-min Sohn-Anthony F. Tawerilmang</t>
  </si>
  <si>
    <t>Woleaian Reference Grammar</t>
  </si>
  <si>
    <t>Ho-min Sohn</t>
  </si>
  <si>
    <t>Tungaru Traditions</t>
  </si>
  <si>
    <t>Arthur Francis Grimble-Harry Evans Maude</t>
  </si>
  <si>
    <t>Traditional Music in Modern Java</t>
  </si>
  <si>
    <t>Tagalog for Beginners</t>
  </si>
  <si>
    <t>LANGUAGE STUDY / Southeast Asian Languages</t>
  </si>
  <si>
    <t>Teresita V. Ramos-Videa P. De Guzman</t>
  </si>
  <si>
    <t>Sentence Patterns of Indonesian</t>
  </si>
  <si>
    <t>Soenjono Dardjowidjojo</t>
  </si>
  <si>
    <t>Pidgin and Creole Languages</t>
  </si>
  <si>
    <t>LANGUAGE STUDY / Creole Languages</t>
  </si>
  <si>
    <t>Glenn Gilbert</t>
  </si>
  <si>
    <t>National Integration in Indonesia</t>
  </si>
  <si>
    <t>Christine Drake</t>
  </si>
  <si>
    <t>Mokilese-English Dictionary</t>
  </si>
  <si>
    <t>Maritime Trade and State Development in Early Southeast Asia</t>
  </si>
  <si>
    <t>Kenneth R. Hall</t>
  </si>
  <si>
    <t>Kusaiean-English Dictionary</t>
  </si>
  <si>
    <t>Kee-Dong Lee</t>
  </si>
  <si>
    <t>Hiligaynon Reference Grammar</t>
  </si>
  <si>
    <t>Elmer P. Wolfenden</t>
  </si>
  <si>
    <t>Hiligaynon Lessons</t>
  </si>
  <si>
    <t>Cecile L. Motus</t>
  </si>
  <si>
    <t>Hiligaynon Dictionary</t>
  </si>
  <si>
    <t>Farmers in the Forest</t>
  </si>
  <si>
    <t>Peter R. Kunstadter-Edward Char Chapman-Sanga Sabhasri</t>
  </si>
  <si>
    <t>Developments in Polynesian Ethnology</t>
  </si>
  <si>
    <t>Robert Borofsky-S. Alan Howard</t>
  </si>
  <si>
    <t>Carolinian-English Dictionary</t>
  </si>
  <si>
    <t>Frederick H. Jackson-Jeffrey C. Marck</t>
  </si>
  <si>
    <t>The Fijian Language</t>
  </si>
  <si>
    <t>Albert J. SchÃ¼tz</t>
  </si>
  <si>
    <t>Vietnamese Pronunciation</t>
  </si>
  <si>
    <t>LANGUAGE STUDY / Vietnamese</t>
  </si>
  <si>
    <t>Nguyen Dang Liem</t>
  </si>
  <si>
    <t>Kapingamarangi Lexicon</t>
  </si>
  <si>
    <t>Michael D. Lieber-Kalio H. Dikepa</t>
  </si>
  <si>
    <t>Cebuano Grammar Notes</t>
  </si>
  <si>
    <t>Elsa P. Yap-Maria V. R. Bunye</t>
  </si>
  <si>
    <t>Chinese Romanization Self-Study Guide</t>
  </si>
  <si>
    <t>Dennis K. Yee</t>
  </si>
  <si>
    <t>Da Kine Talk</t>
  </si>
  <si>
    <t>Elizabeth Ball Carr</t>
  </si>
  <si>
    <t>Kapampangan Dictionary</t>
  </si>
  <si>
    <t>Michael L. Forman</t>
  </si>
  <si>
    <t>China's Old Dwellings</t>
  </si>
  <si>
    <t>Ronald G. Knapp</t>
  </si>
  <si>
    <t>Formosa</t>
  </si>
  <si>
    <t>George H. Kerr</t>
  </si>
  <si>
    <t>Yap</t>
  </si>
  <si>
    <t>Sherwood Lingenfelter</t>
  </si>
  <si>
    <t>The Northern Expedition</t>
  </si>
  <si>
    <t>Donald A. Jordan</t>
  </si>
  <si>
    <t>The Cavern-Mystery Transmission</t>
  </si>
  <si>
    <t>PHILOSOPHY / Taoist</t>
  </si>
  <si>
    <t>Charles D. Benn</t>
  </si>
  <si>
    <t>Tai Chen's Inquiry Into Goodness</t>
  </si>
  <si>
    <t>Chung-Ying Cheng</t>
  </si>
  <si>
    <t>Japan's Militant Teachers</t>
  </si>
  <si>
    <t>Benjamin C. Duke</t>
  </si>
  <si>
    <t>Ilokano Reference Grammar</t>
  </si>
  <si>
    <t>Ernesto Constantino</t>
  </si>
  <si>
    <t>Health, Illness, and Medical Care in Japan</t>
  </si>
  <si>
    <t>Edward Norbeck-Margaret Lock</t>
  </si>
  <si>
    <t>Exiles and Migrants in Oceania</t>
  </si>
  <si>
    <t>Michael D. Lieber</t>
  </si>
  <si>
    <t>Democratizing Japan</t>
  </si>
  <si>
    <t>Robert E. Ward-Yoshikazu Sakamoto</t>
  </si>
  <si>
    <t>Can Language Be Planned?</t>
  </si>
  <si>
    <t>Joan Rubin-Bjorn Jernudd</t>
  </si>
  <si>
    <t>Archaeology of the Ryukyu Islands</t>
  </si>
  <si>
    <t>Richard Pearson</t>
  </si>
  <si>
    <t>Popular Songs and Ballads of Han China</t>
  </si>
  <si>
    <t>Anne Birrell</t>
  </si>
  <si>
    <t>Tahiti Nui</t>
  </si>
  <si>
    <t>Colin W. Newbury</t>
  </si>
  <si>
    <t>Chaiyo!</t>
  </si>
  <si>
    <t>Walter F. Vella</t>
  </si>
  <si>
    <t>The Politics of Tourism in Asia</t>
  </si>
  <si>
    <t>Linda K. Richter</t>
  </si>
  <si>
    <t>Revolutionaries, Monarchists, and Chinatowns</t>
  </si>
  <si>
    <t>L. Eve Armentrout Ma</t>
  </si>
  <si>
    <t>Politics of the Meiji Press</t>
  </si>
  <si>
    <t>James L. Huffman</t>
  </si>
  <si>
    <t>Big-Men and Business</t>
  </si>
  <si>
    <t>Ben R. Finney</t>
  </si>
  <si>
    <t>Pagan</t>
  </si>
  <si>
    <t>Michael A. Aung-Thwin</t>
  </si>
  <si>
    <t>Elusive Destiny</t>
  </si>
  <si>
    <t>Paul F. Hooper</t>
  </si>
  <si>
    <t>China's Island Frontier</t>
  </si>
  <si>
    <t>Getting an Heir</t>
  </si>
  <si>
    <t>Ann Waltner</t>
  </si>
  <si>
    <t>Cebuano for Beginners</t>
  </si>
  <si>
    <t>Maria V. R. Bunye-Elsa P. Yap</t>
  </si>
  <si>
    <t>Bikol Text</t>
  </si>
  <si>
    <t>Malcolm W. Mintz</t>
  </si>
  <si>
    <t>The Foundations of Mao Zedong's Political Thought, 1917â€“1935</t>
  </si>
  <si>
    <t>Brantly Womack</t>
  </si>
  <si>
    <t>Thailand in Transition</t>
  </si>
  <si>
    <t>Ross Prizzia</t>
  </si>
  <si>
    <t>Spoken Pangasinan</t>
  </si>
  <si>
    <t>Richard A. Benton</t>
  </si>
  <si>
    <t>Reed Town Japan</t>
  </si>
  <si>
    <t>Yasumasa Kuroda</t>
  </si>
  <si>
    <t>Paths of Duty</t>
  </si>
  <si>
    <t>Patricia Grimshaw</t>
  </si>
  <si>
    <t>Pangasinan Reference Grammar</t>
  </si>
  <si>
    <t>Pangasinan Dictionary</t>
  </si>
  <si>
    <t>Last Among Equals</t>
  </si>
  <si>
    <t>Roger Bell</t>
  </si>
  <si>
    <t>Ilokano Dictionary</t>
  </si>
  <si>
    <t>Ilokano Lessons</t>
  </si>
  <si>
    <t>Emma Bernabe-Virginia Lapid-Bonifacio Sibayan</t>
  </si>
  <si>
    <t>Kapampangan Grammar Notes</t>
  </si>
  <si>
    <t>Cargo Cult</t>
  </si>
  <si>
    <t>Lamont Lindstrom</t>
  </si>
  <si>
    <t>Bikol Grammar Notes</t>
  </si>
  <si>
    <t>Bikol Dictionary</t>
  </si>
  <si>
    <t>The Value of HawaiÊ»i 3</t>
  </si>
  <si>
    <t>Noelani Goodyear-Kaâ€˜Åpua-Craig Howes-Jonathan Kay Kamakawiwoâ€˜ole Osorio-Aiko Yamashiro</t>
  </si>
  <si>
    <t>The Mists of RÄmaÃ±Ã±a</t>
  </si>
  <si>
    <t>Bringing the World Home</t>
  </si>
  <si>
    <t>Theodore Huters</t>
  </si>
  <si>
    <t>After Confucius</t>
  </si>
  <si>
    <t>Paul R. Goldin</t>
  </si>
  <si>
    <t>Sojourners and Settlers</t>
  </si>
  <si>
    <t>Clarence E. Glick</t>
  </si>
  <si>
    <t>Fairness, Globalization, and Public Institutions</t>
  </si>
  <si>
    <t>Jim Dator-Richard C. Pratt-Yongseok Seo</t>
  </si>
  <si>
    <t>Pacific Languages</t>
  </si>
  <si>
    <t>John Lynch</t>
  </si>
  <si>
    <t>Balancing the Tides</t>
  </si>
  <si>
    <t>JoAnna Poblete</t>
  </si>
  <si>
    <t>Mass Mobilization in the Democratic Republic of Vietnam, 1945â€“1960</t>
  </si>
  <si>
    <t>Alec Holcombe</t>
  </si>
  <si>
    <t>Turning Toward Edification</t>
  </si>
  <si>
    <t>Adam Bohnet</t>
  </si>
  <si>
    <t>Tanna Times</t>
  </si>
  <si>
    <t>Iconographies of Occupation</t>
  </si>
  <si>
    <t>Jeremy E. Taylor</t>
  </si>
  <si>
    <t>Language and Truth in North Korea</t>
  </si>
  <si>
    <t>Sonia Ryang</t>
  </si>
  <si>
    <t>Fishers, Monks and Cadres</t>
  </si>
  <si>
    <t>Edyta Roszko</t>
  </si>
  <si>
    <t>Portraits of Paul's Performance in the Book of Acts</t>
  </si>
  <si>
    <t>Arco den Heijer</t>
  </si>
  <si>
    <t>Legal Tech und das Anwaltsmonopol</t>
  </si>
  <si>
    <t>Bernhard Brechmann</t>
  </si>
  <si>
    <t>Verordnete Arbeit - Gelenkte Freizeit</t>
  </si>
  <si>
    <t>Elisabeth CheaurÃ©-Jochen Gimmel-Konstantin Rapp</t>
  </si>
  <si>
    <t>Semantiken der MuÃŸe aus interdisziplinÃ¤ren Perspektiven</t>
  </si>
  <si>
    <t>Monika Fludernik-Thomas JÃ¼rgasch</t>
  </si>
  <si>
    <t>Vita perfecta?</t>
  </si>
  <si>
    <t>Henrike Manuwald-Daniel Eder-Christian Schmidt</t>
  </si>
  <si>
    <t>Die Religion der BÃ¼rger</t>
  </si>
  <si>
    <t>Georg Pfleiderer-Harald Matern</t>
  </si>
  <si>
    <t>Janindra, Warusavitarne-Paulo Gustavo, Kotze</t>
  </si>
  <si>
    <t>Expanding Professionalism in Music and Higher Music Education</t>
  </si>
  <si>
    <t>Heidi Westerlund-Helena Gaunt</t>
  </si>
  <si>
    <t>A World Without Capitalism?</t>
  </si>
  <si>
    <t>Christian W. Chun</t>
  </si>
  <si>
    <t>Islam and the Trajectory of Globalization</t>
  </si>
  <si>
    <t>Louay M. Safi</t>
  </si>
  <si>
    <t>Games of History</t>
  </si>
  <si>
    <t>Apostolos Spanos</t>
  </si>
  <si>
    <t>The Unequal Pandemic</t>
  </si>
  <si>
    <t>Nonlinear Evolution Equations</t>
  </si>
  <si>
    <t>Boling Guo-Fei Chen-Jing Shao-Ting Luo</t>
  </si>
  <si>
    <t>Der deutsche Bauernkrieg</t>
  </si>
  <si>
    <t>GÃ¼nther Franz</t>
  </si>
  <si>
    <t>Rethinking Language Use in Digital Africa</t>
  </si>
  <si>
    <t>Leketi Makalela-Goodith White</t>
  </si>
  <si>
    <t>Writing Pirates</t>
  </si>
  <si>
    <t>Yuanfei Wang</t>
  </si>
  <si>
    <t>Good Governance in Sport</t>
  </si>
  <si>
    <t>Arnout Geeraert-Frank van Eekeren</t>
  </si>
  <si>
    <t>Environmental Evaluation and Global Development Institutions</t>
  </si>
  <si>
    <t>Geeta Batra-Juha I. Uitto-Osvaldo N. Feinstein</t>
  </si>
  <si>
    <t>Adaptive Collaborative Management in Forest Landscapes</t>
  </si>
  <si>
    <t>Carol J. Pierce Colfer-Ravi Prabhu-Anne M. Larson</t>
  </si>
  <si>
    <t>Feminist Existentialism, Biopolitics, and Critical Phenomenology in a Time of Bad Health</t>
  </si>
  <si>
    <t>Talia Welsh</t>
  </si>
  <si>
    <t>Social Protection and Informal Workers in Sub-Saharan Africa</t>
  </si>
  <si>
    <t>Lone Riisgaard-Winnie V. Mitullah-Nina Torm</t>
  </si>
  <si>
    <t>Extractivisms, Existences and Extinctions</t>
  </si>
  <si>
    <t>Markus KrÃ¶ger</t>
  </si>
  <si>
    <t>Education for Sustainable Development in Foreign Language Learning</t>
  </si>
  <si>
    <t>MarÃ­a de la Fuente</t>
  </si>
  <si>
    <t>Practices of Comparing</t>
  </si>
  <si>
    <t>Angelika Epple-Walter Erhart-Johannes Grave</t>
  </si>
  <si>
    <t>Refeudalisierung und Rechtsruck</t>
  </si>
  <si>
    <t>Las fronteras del neoextractivismo en AmÃ©rica Latina</t>
  </si>
  <si>
    <t>Trazos de sangre y fuego</t>
  </si>
  <si>
    <t>JosÃ© Manuel Valenzuela Arce</t>
  </si>
  <si>
    <t>Pierre Rosanvallon's Political Thought</t>
  </si>
  <si>
    <t>Oliver FlÃ¼gel-Martinsen-Franziska Martinsen-Stephen W. Sawyer-Daniel Schulz</t>
  </si>
  <si>
    <t>Crisis del multiculturalismo en AmÃ©rica Latina</t>
  </si>
  <si>
    <t>Claudia Zapata Silva</t>
  </si>
  <si>
    <t>Are We Comparing Yet?</t>
  </si>
  <si>
    <t>Haun Saussy</t>
  </si>
  <si>
    <t>Commentaries, Catenae and Biblical Tradition</t>
  </si>
  <si>
    <t>Early Readers, Scholars and Editors of the New Testament</t>
  </si>
  <si>
    <t>Advanced Composite Materials: Properties and Applications</t>
  </si>
  <si>
    <t>Ehsan Bafekrpour</t>
  </si>
  <si>
    <t>Commentar zu den Reliefs des zweiten dakischen Krieges</t>
  </si>
  <si>
    <t>Cichorius Conrad</t>
  </si>
  <si>
    <t>Schleiermacher's Briefe an Brinckmann</t>
  </si>
  <si>
    <t>Ludwig Jonas-Wilhelm Dilthey</t>
  </si>
  <si>
    <t>The Poetry and Prose of Wang Wei</t>
  </si>
  <si>
    <t>Paul Rouzer-Christopher Nugent</t>
  </si>
  <si>
    <t>The Summa Halensis</t>
  </si>
  <si>
    <t>Jahrbuch der Heinrich-Heine-UniversitÃ¤t DÃ¼sseldorf 2007/2008</t>
  </si>
  <si>
    <t>REFERENCE / Yearbooks &amp; Annuals</t>
  </si>
  <si>
    <t>Rektor der Heinrich-Heine-UniversitÃ¤t DÃ¼sseldorf</t>
  </si>
  <si>
    <t>Die Ordnung der WÃ¶rter</t>
  </si>
  <si>
    <t>Gisela Harras</t>
  </si>
  <si>
    <t>Aspects of Linguistic Variation</t>
  </si>
  <si>
    <t>DaniÃ«l Olmen-Tanja Mortelmans-Frank Brisard</t>
  </si>
  <si>
    <t>FunktionsprÃ¼fungen in der Herz-Kreislaufdiagnostik</t>
  </si>
  <si>
    <t>Helmut Neumann-Karl-Josef Boeder</t>
  </si>
  <si>
    <t>From Memory to Marble Vol 1</t>
  </si>
  <si>
    <t xml:space="preserve"> Elizabeth Rankin-Rolf Michael</t>
  </si>
  <si>
    <t>From Memory to Marble</t>
  </si>
  <si>
    <t>Sprache und Neue Medien</t>
  </si>
  <si>
    <t>Werner Kallmeyer</t>
  </si>
  <si>
    <t>Die Bedeutung des Protestantismus fÃ¼r die Entstehung der modernen Welt</t>
  </si>
  <si>
    <t>Ernst Troeltsch</t>
  </si>
  <si>
    <t>Amalthea oder Museum der Kunstmythologie und bildlichen Alterthumskunde</t>
  </si>
  <si>
    <t>C. A. BÃ–TTIGER</t>
  </si>
  <si>
    <t>The Historiography of Music in Global Perspective</t>
  </si>
  <si>
    <t>The Coming of the Comforter: When, Where, and to Whom?</t>
  </si>
  <si>
    <t>Carlos A. Segovia</t>
  </si>
  <si>
    <t>Dischronology and Dialogic in the Bibleâ€™s Primary Narrative</t>
  </si>
  <si>
    <t>David A. Bergen</t>
  </si>
  <si>
    <t>Recent Developments in Midrash Research</t>
  </si>
  <si>
    <t>Democratic State and Democratic Society</t>
  </si>
  <si>
    <t>Fredrik Engelstad-Cathrine Holst-Gunnar C. Aakvaag</t>
  </si>
  <si>
    <t>Microwave Based Weed Control and Soil Treatment</t>
  </si>
  <si>
    <t>Graham Brodie-Dorin Gupta-Jamal Khan-Sally Foletta-Natalie Bootes</t>
  </si>
  <si>
    <t>Ergonomics For People With Disabilities</t>
  </si>
  <si>
    <t>Aleksandra Polak-Sopinska-Jan KrÃ³likowski</t>
  </si>
  <si>
    <t>Successes &amp; Failures in EU Cohesion Policy: An Introduction to EU Cohesion Policy in Eastern, Central, and Southern Europe</t>
  </si>
  <si>
    <t>Ida MusiaÅ‚kowska-Piotr Idczak-Oto Potluka</t>
  </si>
  <si>
    <t>Proceedings of the EnviBUILD 2019</t>
  </si>
  <si>
    <t>HraÅ¡ka Jozef</t>
  </si>
  <si>
    <t>Human Computer Confluence</t>
  </si>
  <si>
    <t>Andrea Gaggioli-Alois Ferscha-Giuseppe Riva-Stephen Dunne-Isabelle Viaud-Delmon</t>
  </si>
  <si>
    <t>Embodying the Vedas</t>
  </si>
  <si>
    <t>Borayin Larios</t>
  </si>
  <si>
    <t>Barriers to Play and Recreation for Children and Young People with Disabilities</t>
  </si>
  <si>
    <t>Carol Barron-Angharad Beckett-Marieke Coussens-Annemie Desoete-Nan Cannon Jones-Helen Lynch-Maria Prellwitz-Deborah Fenney Salkeld</t>
  </si>
  <si>
    <t>The Psychology of Social Networking Vol.2</t>
  </si>
  <si>
    <t>Giuseppe Riva-Brenda K. Wiederhold-Pietro Cipresso</t>
  </si>
  <si>
    <t>Moderate Fundamentalists</t>
  </si>
  <si>
    <t>Muhammad Afzal Upal</t>
  </si>
  <si>
    <t>Proceedings From the ICERP 2016</t>
  </si>
  <si>
    <t>Yuegang Zuo</t>
  </si>
  <si>
    <t>The Concept of Constitution in the History of Political Thought</t>
  </si>
  <si>
    <t>Arkadiusz GÃ³rnisiewicz-Bogdan Szlachta</t>
  </si>
  <si>
    <t>New Cosmopolitanisms, Race, and Ethnicity</t>
  </si>
  <si>
    <t>Ewa Barbara Luczak-Anna Pochmara-Samir Dayal</t>
  </si>
  <si>
    <t>The Psychology of Social Networking Vol.1</t>
  </si>
  <si>
    <t>Current Trends in Computer Science and Mechanical Automation Vol. 1</t>
  </si>
  <si>
    <t>Shawn X. Wang</t>
  </si>
  <si>
    <t>Non-Extensive Entropy Econometrics for Low Frequency Series</t>
  </si>
  <si>
    <t>Second Bwanakare</t>
  </si>
  <si>
    <t>Biodiversity in Agricultural Landscapes of Southeastern Brazil</t>
  </si>
  <si>
    <t>Carla Gheler-Costa-Maria Carolina Lyra-Jorge-Luciano Martins Verdade</t>
  </si>
  <si>
    <t>Current Trends in Computer Science and Mechanical Automation Vol. 2</t>
  </si>
  <si>
    <t>Measure Theory in Non-Smooth Spaces</t>
  </si>
  <si>
    <t>Nicola Gigli</t>
  </si>
  <si>
    <t>Dynamics of Architecture in Late Baroque Rome</t>
  </si>
  <si>
    <t>ARCHITECTURE / History / Baroque &amp; Rococo</t>
  </si>
  <si>
    <t>Edward Olszewski</t>
  </si>
  <si>
    <t>Institutional Change in the Public Sphere</t>
  </si>
  <si>
    <t>Fredrik Engelstad-HÃ¥kon Larsen-Jon Rogstad-Kari Steen-Johnsen</t>
  </si>
  <si>
    <t>Culture-bearing Women</t>
  </si>
  <si>
    <t>Izabella Penier</t>
  </si>
  <si>
    <t>Structural Analysis and Renovation Design of Ageing Sewers</t>
  </si>
  <si>
    <t>Shi Zihai-Nakano Masaaki-Takahashi Yoshifumi</t>
  </si>
  <si>
    <t>Genre in the Climate Debate</t>
  </si>
  <si>
    <t>Sune Auken-Christel Sunesen</t>
  </si>
  <si>
    <t>The British and Irish Ruling Class 1660-1945 Vol. 1</t>
  </si>
  <si>
    <t>Ellis A. Wasson</t>
  </si>
  <si>
    <t>Play Development in Children with Disabilties</t>
  </si>
  <si>
    <t>Events, States and Times</t>
  </si>
  <si>
    <t>Daniel Altshuler</t>
  </si>
  <si>
    <t>Health Promotion at School</t>
  </si>
  <si>
    <t>Elke Knisel</t>
  </si>
  <si>
    <t>Regions in International Trade</t>
  </si>
  <si>
    <t>StanisÅ‚aw UmiÅ„ski-JarosÅ‚aw M. Nazarczuk</t>
  </si>
  <si>
    <t>Governance of a Distant Province in the Middle Ages</t>
  </si>
  <si>
    <t>Krzysztof Fokt</t>
  </si>
  <si>
    <t>Novel Molecular Approaches to Target Microbial Virulence</t>
  </si>
  <si>
    <t>Alina Maria Holban-Alexandru Mihai Grumezescu</t>
  </si>
  <si>
    <t>Pacific Climate Cultures</t>
  </si>
  <si>
    <t>Tony Crook-Peter Rudiak-Gould</t>
  </si>
  <si>
    <t>Genealogy, Archive, Image</t>
  </si>
  <si>
    <t>Angma Jhala-Jayasinhji Jhala</t>
  </si>
  <si>
    <t>Jayasinhji Jhala</t>
  </si>
  <si>
    <t>Crossing Experiences in Digital Epigraphy</t>
  </si>
  <si>
    <t>Annamaria De Santis-Irene Rossi</t>
  </si>
  <si>
    <t>Users' Needs Report on Play for Children with Disabilities</t>
  </si>
  <si>
    <t>Mara Allodi Westling-Tamara Zappaterra</t>
  </si>
  <si>
    <t>Contemporary Debates in Bioethics: European Perspectives</t>
  </si>
  <si>
    <t>Emilian Mihailov-Tenzin Wangmo-Victoria Federiuc-Bernice Elger</t>
  </si>
  <si>
    <t>Early Urbanism in Europe</t>
  </si>
  <si>
    <t>Bisserka Gaydarska</t>
  </si>
  <si>
    <t>Kinetic Landscapes</t>
  </si>
  <si>
    <t>Bleda S. DÃ¼ring-Claudia Glatz</t>
  </si>
  <si>
    <t>Deep Stories</t>
  </si>
  <si>
    <t>Mariela NuÃ±ez-Janes-Aaron Thornburg-Angela Booker</t>
  </si>
  <si>
    <t>Current Trends in Historical Sociolinguistics</t>
  </si>
  <si>
    <t>Cinzia Russi</t>
  </si>
  <si>
    <t>Planning to Cope with Tropical and Subtropical Climate Change</t>
  </si>
  <si>
    <t>Maurizio Tiepolo</t>
  </si>
  <si>
    <t>Quo Vadis, Medicus?</t>
  </si>
  <si>
    <t>HEALTH &amp; FITNESS / Work-Related Health</t>
  </si>
  <si>
    <t>Ida Laudanska-Krzeminska</t>
  </si>
  <si>
    <t>Shape Optimization and Spectral Theory</t>
  </si>
  <si>
    <t>Antoine Henrot</t>
  </si>
  <si>
    <t>The Black Death and Later Plague Epidemics in the Scandinavian Countries:</t>
  </si>
  <si>
    <t>Ole JÃ¸rgen Benedictow</t>
  </si>
  <si>
    <t>Western-Pontic Culture Ambience and Pattern</t>
  </si>
  <si>
    <t>Lolita Nikolova-Marco Merlini-Alexandra Comsa</t>
  </si>
  <si>
    <t>Proceedings of the International Seminar on Safety and Security of Autonomous Vessels (ISSAV) and European STAMP Workshop and Conference (ESWC) 2019</t>
  </si>
  <si>
    <t>Osiris Alejandro Valdez Banda-Pentti Kujala-Spyros Hirdaris-Sunil Basnet</t>
  </si>
  <si>
    <t>The British and Irish Ruling Class 1660-1945 Vol. 2</t>
  </si>
  <si>
    <t>New Directions in Geometric and Applied Knot Theory</t>
  </si>
  <si>
    <t>Philipp Reiter-Simon Blatt-Armin Schikorra</t>
  </si>
  <si>
    <t>Toward a Cognitive Classical Linguistics</t>
  </si>
  <si>
    <t>Egle Mocciaro-William Michael (eds.) Short</t>
  </si>
  <si>
    <t>Transport, Fluids, and Mixing</t>
  </si>
  <si>
    <t>Gianluca Crippa-Anna Mazzucato</t>
  </si>
  <si>
    <t>Derrida on Being As Presence</t>
  </si>
  <si>
    <t>David A. White</t>
  </si>
  <si>
    <t>PsicologÃ­a JurÃ­dica: InvestigaciÃ³n para la PrÃ¡ctica Profesional. ColecciÃ³n PsicologÃ­a y Ley, NÂº16</t>
  </si>
  <si>
    <t>Ana MarÃ­a MartÃ­n-Francisca FariÃ±a-RamÃ³n Arce</t>
  </si>
  <si>
    <t>Perspectives and Research on Play for Children with Disabilities</t>
  </si>
  <si>
    <t>Daniela Bulgarelli</t>
  </si>
  <si>
    <t>International Conference on Psychology, Education and Mental Health</t>
  </si>
  <si>
    <t>Yantri Maputra</t>
  </si>
  <si>
    <t>Landscape Impact Assessment in Planning Processes</t>
  </si>
  <si>
    <t>Ingrid BelÄÃ¡kovÃ¡-Paola Gazzola-Eva PauditÅ¡ovÃ¡</t>
  </si>
  <si>
    <t>Language in the Digital Era. Challenges and Perspectives</t>
  </si>
  <si>
    <t>Daniel Dejica-Gyde Hansen-Peter Sandrini-Iulia Para</t>
  </si>
  <si>
    <t>PAINTING THE SKY BLACK</t>
  </si>
  <si>
    <t>Florian Sauter</t>
  </si>
  <si>
    <t>A Prehistory of Hinduism</t>
  </si>
  <si>
    <t>Manu V. Devadevan</t>
  </si>
  <si>
    <t>Pressekriege</t>
  </si>
  <si>
    <t>Dominik Geppert-German Historical Institute London</t>
  </si>
  <si>
    <t>Das Londoner Schuldenabkommen</t>
  </si>
  <si>
    <t>Ursula Rombeck-Jaschinski-German Historical Institute London</t>
  </si>
  <si>
    <t>Ehrbare Spekulanten</t>
  </si>
  <si>
    <t>Andreas Fahrmeir-German Historical Institute London</t>
  </si>
  <si>
    <t>Englische Verfassung und politisches Denken im Ancien RÃ©gime</t>
  </si>
  <si>
    <t>Hans-Christof Kraus-German Historical Institute London</t>
  </si>
  <si>
    <t>Summa theologica Halensis: De legibus et praeceptis</t>
  </si>
  <si>
    <t>Alexander Halesius-Michael Basse</t>
  </si>
  <si>
    <t>The Civilising Offensive</t>
  </si>
  <si>
    <t>Christoph De Spiegeleer</t>
  </si>
  <si>
    <t>ReiseSchreiben</t>
  </si>
  <si>
    <t>Greek Medical Papyri</t>
  </si>
  <si>
    <t>Nicola Reggiani</t>
  </si>
  <si>
    <t>Making Religion and Human Rights at the United Nations</t>
  </si>
  <si>
    <t>Helge Ã…rsheim</t>
  </si>
  <si>
    <t>Das spÃ¤tantike Rom und die stadtrÃ¶mische Senatsaristokratie (395â€“455 n. Chr.)</t>
  </si>
  <si>
    <t>Hendrik Wagner</t>
  </si>
  <si>
    <t>Die Predigt im 19. Jahrhundert</t>
  </si>
  <si>
    <t>Paul Drews</t>
  </si>
  <si>
    <t>Expanding the Lexicon</t>
  </si>
  <si>
    <t>Sabine Arndt-Lappe-Angelika Braun-Claudine Moulin-Esme Winter-Froemel</t>
  </si>
  <si>
    <t>Gender-UseIT</t>
  </si>
  <si>
    <t>Hochschule Heilbronn, Kompetenzzentrum Technik-Diversity-Chancengleichheit-Nicola Marsden-Ute Kempf</t>
  </si>
  <si>
    <t>Logiken der Sammlung</t>
  </si>
  <si>
    <t>Petra-Maria Dallinger-Georg Hofer</t>
  </si>
  <si>
    <t>Volksschauspiele</t>
  </si>
  <si>
    <t>Toni Bernhart</t>
  </si>
  <si>
    <t>The Roll in England and France in the Late Middle Ages</t>
  </si>
  <si>
    <t>Stefan G. Holz-JÃ¶rg Peltzer-Maree Shirota</t>
  </si>
  <si>
    <t>SociÃ©tÃ© et libertÃ© chez les Peul DjelgÃ´bÃ© de Haute-Volta</t>
  </si>
  <si>
    <t>Paul Riesman</t>
  </si>
  <si>
    <t>Family Instructions for the Yan Clan and Other Works by Yan Zhitui (531â€“590s)</t>
  </si>
  <si>
    <t>Xiaofei Tian-Paul W. Kroll</t>
  </si>
  <si>
    <t>From Scrolls to Scrolling</t>
  </si>
  <si>
    <t>Bradford A. Anderson</t>
  </si>
  <si>
    <t>The Nivison Annals</t>
  </si>
  <si>
    <t>David S. Nivison-Adam C. Schwartz</t>
  </si>
  <si>
    <t>Occult Roots of Religious Studies</t>
  </si>
  <si>
    <t>Yves MÃ¼hlematter-Helmut Zander</t>
  </si>
  <si>
    <t>Die Poesie der Dinge</t>
  </si>
  <si>
    <t>RamunÄ— MarkeviÄiÅ«tÄ—-Bernd Roling</t>
  </si>
  <si>
    <t>GefÃ¤ngnis als Schwellenraum in der byzantinischen Hagiographie</t>
  </si>
  <si>
    <t>Christodoulos Papavarnavas</t>
  </si>
  <si>
    <t>Lived Religion in the Ancient Mediterranean World</t>
  </si>
  <si>
    <t>Valentino Gasparini-Maik Patzelt-Rubina Raja-Anna-Katharina Rieger-JÃ¶rg RÃ¼pke-Emiliano Urciuoli</t>
  </si>
  <si>
    <t>Literarische Wissenschaftsgeschichte und Wissenschaftstheorie</t>
  </si>
  <si>
    <t>Bernadette Malinowski</t>
  </si>
  <si>
    <t>Annotations in Scholarly Editions and Research</t>
  </si>
  <si>
    <t>Julia Nantke-Frederik Schlupkothen</t>
  </si>
  <si>
    <t>Precious Irony</t>
  </si>
  <si>
    <t>Paul A. Mankin</t>
  </si>
  <si>
    <t>Der Nachlass Paul de Lagarde</t>
  </si>
  <si>
    <t>Heike Behlmer-Thomas L. Gertzen-Orell Witthuhn</t>
  </si>
  <si>
    <t>Neue Richtungen in der hoch- und spÃ¤tmittelalterlichen Bibelexegese</t>
  </si>
  <si>
    <t>Robert E. Lerner</t>
  </si>
  <si>
    <t>Der Teufel und seine poietische Macht in literarischen Texten vom Mittelalter zur Moderne</t>
  </si>
  <si>
    <t>Jutta Eming-Daniela Fuhrmann</t>
  </si>
  <si>
    <t>Handbook of Stemmatology</t>
  </si>
  <si>
    <t>Navigating Socialist Encounters</t>
  </si>
  <si>
    <t>Eric Burton-Anne Dietrich-Immanuel Harisch-Marcia Schenck</t>
  </si>
  <si>
    <t>Kleine Kakao-Kunde</t>
  </si>
  <si>
    <t>Herbert Holst</t>
  </si>
  <si>
    <t>Morphosyntactic Variation in Medieval Celtic Languages</t>
  </si>
  <si>
    <t>Elliott Lash-Fangzhe Qiu-David Stifter</t>
  </si>
  <si>
    <t>Zwischen "nationaler Revolution" und militÃ¤rischer Aggression</t>
  </si>
  <si>
    <t>Gerhard Besier</t>
  </si>
  <si>
    <t>Cultural Techniques</t>
  </si>
  <si>
    <t>JÃ¶rg DÃ¼nne-Kathrin Fehringer-Kristina Kuhn-Wolfgang Struck</t>
  </si>
  <si>
    <t>Grundriss der Ultraviolett- und Infrarot-Behandlung</t>
  </si>
  <si>
    <t>Harald M. Kunze</t>
  </si>
  <si>
    <t>Sprachen, VÃ¶lker und Phantome</t>
  </si>
  <si>
    <t>Peter-Arnold Mumm</t>
  </si>
  <si>
    <t>The Second World War in the Twenty-First-Century Museum</t>
  </si>
  <si>
    <t>Stephan Jaeger</t>
  </si>
  <si>
    <t>Bibliographie zum Strafrecht im Nationalsozialismus</t>
  </si>
  <si>
    <t>Hinrich RÃ¼ping</t>
  </si>
  <si>
    <t>La Interfaz Sintaxis-PragmÃ¡tica</t>
  </si>
  <si>
    <t>Valeria A. Belloro</t>
  </si>
  <si>
    <t>Approaches to the Medieval Self</t>
  </si>
  <si>
    <t>Stefka G. Eriksen-Karen Langsholt Holmqvist-BjÃ¸rn Bandlien</t>
  </si>
  <si>
    <t>ReligiÃ¶se Individualisierung in historischer Perspektive / Religious Individualisation in Historical Perspective</t>
  </si>
  <si>
    <t>Riccarda Suitner-Martin Mulsow-JÃ¶rg RÃ¼pke</t>
  </si>
  <si>
    <t>Writing Beyond Pen and Parchment</t>
  </si>
  <si>
    <t>Ricarda Wagner-Christine Neufeld-Ludger Lieb</t>
  </si>
  <si>
    <t>Prototypen â€“ Schemata â€“ Konstruktionen</t>
  </si>
  <si>
    <t>Anja Binanzer-Jana Gamper-Verena Wecker</t>
  </si>
  <si>
    <t>Dialogues Between Media</t>
  </si>
  <si>
    <t>Paul Ferstl</t>
  </si>
  <si>
    <t>Wortverbindungen - mehr oder weniger fest</t>
  </si>
  <si>
    <t>Kathrin Steyer</t>
  </si>
  <si>
    <t>Das Steininschriftenprojekt des Wolkenheimklosters wÃ¤hrend der Liao-Dynastie (907â€“1125)</t>
  </si>
  <si>
    <t>Hui-Ping Chuang</t>
  </si>
  <si>
    <t>Hamburgisches Hafen- und Schiffahrtsrecht</t>
  </si>
  <si>
    <t>Karl KÃ¼ster</t>
  </si>
  <si>
    <t>Regionalismen</t>
  </si>
  <si>
    <t>Bibliography</t>
  </si>
  <si>
    <t>Jacques Waardenburg</t>
  </si>
  <si>
    <t>Theorie der Kugelfunctionen und der verwandten Functionen</t>
  </si>
  <si>
    <t>E. Heine</t>
  </si>
  <si>
    <t>BeitrÃ¤ge zur Geschichte Ã„gyptens unter dem Islam</t>
  </si>
  <si>
    <t>Carl H. Becker</t>
  </si>
  <si>
    <t>Verwaltungsrecht in der Klausur</t>
  </si>
  <si>
    <t>EinfÃ¼hrung in das Programmieren in BASIC</t>
  </si>
  <si>
    <t>Erich W. MÃ¤gerle</t>
  </si>
  <si>
    <t>Leibniz</t>
  </si>
  <si>
    <t>Kurt Huber</t>
  </si>
  <si>
    <t>Botanik</t>
  </si>
  <si>
    <t>Karl Bischoff</t>
  </si>
  <si>
    <t>The Hirsch Institute of Tropical Medicine</t>
  </si>
  <si>
    <t>Dieter HÃ¤ussinger</t>
  </si>
  <si>
    <t>Ninth European Powder Diffraction Conference</t>
  </si>
  <si>
    <t>Vorlesungen Ã¼ber die Naturlehre fÃ¼r Leser, denen es an mathematischen Vorkenntnissen fehlt</t>
  </si>
  <si>
    <t>H. W. Brandes-W. J. H. [Bearb.] Michaelis</t>
  </si>
  <si>
    <t>Grundkurs Strafrecht</t>
  </si>
  <si>
    <t>Harro Otto</t>
  </si>
  <si>
    <t>Rechtsentwicklungen in Deutschland</t>
  </si>
  <si>
    <t>Adolf Laufs</t>
  </si>
  <si>
    <t>Metaphysik des Mittelalters</t>
  </si>
  <si>
    <t>Alois Dempf</t>
  </si>
  <si>
    <t>Yearbook of the Maimonides Centre for Advanced Studies. 2016</t>
  </si>
  <si>
    <t>Giuseppe Veltri</t>
  </si>
  <si>
    <t>Philosophie als Denken der Welt gemÃ¤ÃŸ dem Prinzip des kleinsten KraftmaÃŸes</t>
  </si>
  <si>
    <t>Richard Avenarius</t>
  </si>
  <si>
    <t>Prosodie und Konstruktionsgrammatik</t>
  </si>
  <si>
    <t>Wolfgang Imo-Jens Philipp Lanwer</t>
  </si>
  <si>
    <t>Jewish Manuscript Cultures</t>
  </si>
  <si>
    <t>Irina Wandrey</t>
  </si>
  <si>
    <t>Linear Algebra</t>
  </si>
  <si>
    <t>Arak M. Mathai-Hans J. Haubold</t>
  </si>
  <si>
    <t>Sequence Comparison in Historical Linguistics</t>
  </si>
  <si>
    <t>Mattis List</t>
  </si>
  <si>
    <t>Neues aus Wissenschaft und Lehre</t>
  </si>
  <si>
    <t>H. Michael Piper</t>
  </si>
  <si>
    <t>Literatura latinoamericana mundial</t>
  </si>
  <si>
    <t>Gustavo Guerrero-Jorge J. Locane-Benjamin Loy-Gesine MÃ¼ller</t>
  </si>
  <si>
    <t>Ikonen der Nationen</t>
  </si>
  <si>
    <t>Klaudija Sabo</t>
  </si>
  <si>
    <t>Deutsche Syntax</t>
  </si>
  <si>
    <t>Ludger Hoffmann</t>
  </si>
  <si>
    <t>Yearbook of the Maimonides Centre for Advanced Studies. 2018</t>
  </si>
  <si>
    <t>Bill Rebiger</t>
  </si>
  <si>
    <t>Leibniz als Historiker</t>
  </si>
  <si>
    <t>Erich Hochstetter</t>
  </si>
  <si>
    <t>Talking Dialogue</t>
  </si>
  <si>
    <t>Karsten Lehmann</t>
  </si>
  <si>
    <t>LiebeLesen</t>
  </si>
  <si>
    <t>Empire of Liberty</t>
  </si>
  <si>
    <t>Michaela Hampf</t>
  </si>
  <si>
    <t>Elektronische Tischrechenautomaten</t>
  </si>
  <si>
    <t>Georg MÃ¶sl</t>
  </si>
  <si>
    <t>Commentary on the Gospels</t>
  </si>
  <si>
    <t>Fortunatianus Aquileiensis</t>
  </si>
  <si>
    <t>The Meaning of Media</t>
  </si>
  <si>
    <t>Anna Catharina Horn-Karl G. Johansson</t>
  </si>
  <si>
    <t>Homo absconditus</t>
  </si>
  <si>
    <t>Hans-Peter KrÃ¼ger</t>
  </si>
  <si>
    <t>Sprache im kommunikativen, interaktiven und kulturellen Kontext</t>
  </si>
  <si>
    <t>Arnulf Deppermann-Silke Reineke</t>
  </si>
  <si>
    <t>Meyer-Struckmann-Preis 2013: Sir Ian Kershaw</t>
  </si>
  <si>
    <t>Bruno Bleckmann</t>
  </si>
  <si>
    <t>Kriminaltherapie heute</t>
  </si>
  <si>
    <t>Heinz MÃ¼ller-Dietz-Kolloquium der SÃ¼dwestdeutschen Kriminologischen Institute-1972, Otzenhausen&gt; Kolloquium der SÃ¼dwestdeutschen Kriminologischen Institute &lt;8</t>
  </si>
  <si>
    <t>Der Kathedersocialismus und die sociale Frage</t>
  </si>
  <si>
    <t>Julius Wolf</t>
  </si>
  <si>
    <t>Digital Classical Philology</t>
  </si>
  <si>
    <t>Monica Berti</t>
  </si>
  <si>
    <t>Confronting Antisemitism in Modern Media, the Legal and Political Worlds</t>
  </si>
  <si>
    <t>Der Ã¶sterreichische Werbefilm</t>
  </si>
  <si>
    <t>Karin Moser</t>
  </si>
  <si>
    <t>Das Publikum politischer Theorie im 14. Jahrhundert</t>
  </si>
  <si>
    <t>JÃ¼rgen Miethke</t>
  </si>
  <si>
    <t>Sprache in Wissenschaft und Dichtung</t>
  </si>
  <si>
    <t>Manuel Illi</t>
  </si>
  <si>
    <t>Housing Capital</t>
  </si>
  <si>
    <t>Simone Derix-Margareth Lanzinger</t>
  </si>
  <si>
    <t>OrthopÃ¤die</t>
  </si>
  <si>
    <t>Gerhard Neumeyer</t>
  </si>
  <si>
    <t>Deutsch von auÃŸen</t>
  </si>
  <si>
    <t>Gerhard Stickel</t>
  </si>
  <si>
    <t>Die Restitution des Ullstein-Verlags (1945â€“52)</t>
  </si>
  <si>
    <t>Juliane Berndt</t>
  </si>
  <si>
    <t>Le Diplomate au travail</t>
  </si>
  <si>
    <t>Rainer Babel</t>
  </si>
  <si>
    <t>Kasus im Korpus</t>
  </si>
  <si>
    <t>Sophie EllsÃ¤ÃŸer</t>
  </si>
  <si>
    <t>EuropÃ¤er in der Levante - Zwischen Politik, Wissenschaft und Religion (19.-20. Jahrhundert)</t>
  </si>
  <si>
    <t>Dominique Trimbur</t>
  </si>
  <si>
    <t>Disseminating Jewish Literatures</t>
  </si>
  <si>
    <t>Susanne Zepp-Ruth Fine-Natasha Gordinsky-Kader Konuk-Claudia Olk-Galili Shahar</t>
  </si>
  <si>
    <t>Die Werkstatt des Dichters</t>
  </si>
  <si>
    <t>Klaus Kastberger-Stefan Maurer</t>
  </si>
  <si>
    <t>Sechs Jahre aus Carl Burgfeldâ€™s Leben</t>
  </si>
  <si>
    <t>Herrmann Christoph Gottfried Demme</t>
  </si>
  <si>
    <t>Die Baader-Meinhof-Gruppe</t>
  </si>
  <si>
    <t>Reinhard Rauball</t>
  </si>
  <si>
    <t>Deutsche und italienische Besatzung im UnabhÃ¤ngigen Staat Kroatien</t>
  </si>
  <si>
    <t>Sanela Schmid</t>
  </si>
  <si>
    <t>Literary Translation, Reception, and Transfer</t>
  </si>
  <si>
    <t>Kernwaffen und AuswÃ¤rtige Politik</t>
  </si>
  <si>
    <t>Henry A. Kissinger</t>
  </si>
  <si>
    <t>Ãœber Wissenschaft reden</t>
  </si>
  <si>
    <t>Claude Haas-Daniel Weidner</t>
  </si>
  <si>
    <t>Reflektierte algorithmische Textanalyse</t>
  </si>
  <si>
    <t>Nils Reiter-Axel Pichler-Jonas Kuhn</t>
  </si>
  <si>
    <t>La ReprÃ©sentation du Discours Autre</t>
  </si>
  <si>
    <t>Jacqueline Authier-Revuz</t>
  </si>
  <si>
    <t>Gesellschaft und bildende Kunst</t>
  </si>
  <si>
    <t>Mohammed Rassem</t>
  </si>
  <si>
    <t>Prosa</t>
  </si>
  <si>
    <t>Svetlana Efimova-Michael Gamper</t>
  </si>
  <si>
    <t>Opfernarrative in transnationalen Kontexten</t>
  </si>
  <si>
    <t>Eva Binder-Christof Diem-Miriam Finkelstein-Sieglinde Klettenhammer-Birgit Mertz-Baumgartner-Marijana MiloÅ¡eviÄ‡-Julia PrÃ¶ll</t>
  </si>
  <si>
    <t>Dialekte machen</t>
  </si>
  <si>
    <t>Alexandra Schiesser</t>
  </si>
  <si>
    <t>Seneca the Elder and His Rediscovered â€ºHistoriae Ab Initio Bellorum Civiliumâ€¹</t>
  </si>
  <si>
    <t>Maria Chiara Scappaticcio</t>
  </si>
  <si>
    <t>WillkÃ¼r oder mathematische Ãœberlegung beim Bau der Cheopspyramide?</t>
  </si>
  <si>
    <t>K. Kleppisch</t>
  </si>
  <si>
    <t>Les marchands Ã©crivains</t>
  </si>
  <si>
    <t>Christian Bec</t>
  </si>
  <si>
    <t>Heilige Kriege</t>
  </si>
  <si>
    <t>Klaus Schreiner</t>
  </si>
  <si>
    <t>ESSE 2017</t>
  </si>
  <si>
    <t>Yong Wang</t>
  </si>
  <si>
    <t>Die Kriminalpolitik PreuÃŸens unter Friedrich Wilhelm I. und Friedrich II.</t>
  </si>
  <si>
    <t>Eberhard Schmidt</t>
  </si>
  <si>
    <t>Voces de mujeres en la Edad Media</t>
  </si>
  <si>
    <t>Esther Corral DÃ­az</t>
  </si>
  <si>
    <t>Planning in Cold War Europe</t>
  </si>
  <si>
    <t>Michel Christian-Sandrine Kott-Ondrej Matejka</t>
  </si>
  <si>
    <t>The Arts and Crafts of Literacy</t>
  </si>
  <si>
    <t>Andrea Brigaglia-Mauro Nobili</t>
  </si>
  <si>
    <t>Using Ostraca in the Ancient World</t>
  </si>
  <si>
    <t>Clementina Caputo-Julia Lougovaya</t>
  </si>
  <si>
    <t>Antisemitism in the North</t>
  </si>
  <si>
    <t>Jonathan Adams-Cordelia HeÃŸ</t>
  </si>
  <si>
    <t>One-Volume Libraries: Composite and Multiple-Text Manuscripts</t>
  </si>
  <si>
    <t>Michael Friedrich-Cosima Schwarke</t>
  </si>
  <si>
    <t>VarietÃ¤ten des Deutschen</t>
  </si>
  <si>
    <t>Johann Gottlob von Quandt (1787âˆ’1859)</t>
  </si>
  <si>
    <t>Andreas RÃ¼fenacht</t>
  </si>
  <si>
    <t>Optik</t>
  </si>
  <si>
    <t>Frank Matossi</t>
  </si>
  <si>
    <t>The Crisis of the 14th Century</t>
  </si>
  <si>
    <t>Martin Bauch-Gerrit Jasper Schenk</t>
  </si>
  <si>
    <t>Die Mitschuldigen</t>
  </si>
  <si>
    <t>W. Goethe</t>
  </si>
  <si>
    <t>Making the Medieval Relevant</t>
  </si>
  <si>
    <t>Chris Jones-Conor Kostick-Klaus Oschema</t>
  </si>
  <si>
    <t>Der Tosephtatraktat Berakot</t>
  </si>
  <si>
    <t>Oscar Holtzmann</t>
  </si>
  <si>
    <t>Schillers Einfluss auf Theodor KÃ¶rner</t>
  </si>
  <si>
    <t>Gustav Reinhard</t>
  </si>
  <si>
    <t>Zwischen nationalen und transnationalen Erinnerungsnarrativen in Zentraleuropa</t>
  </si>
  <si>
    <t>Lena Dorn-Marek Nekula-VÃ¡clav SmyÄka</t>
  </si>
  <si>
    <t>Cultures and Traditions of Wordplay and Wordplay Research</t>
  </si>
  <si>
    <t>Esme Winter-Froemel-Verena Thaler</t>
  </si>
  <si>
    <t>Ã„sthetik des Gemachten</t>
  </si>
  <si>
    <t>Hans-Joachim Backe-Julia Eckel-Erwin Feyersinger-VÃ©ronique Sina-Jan-NoÃ«l Thon</t>
  </si>
  <si>
    <t>Bringing Buddhism to Tibet</t>
  </si>
  <si>
    <t>Lewis Doney</t>
  </si>
  <si>
    <t>Machtstaat und Utopie</t>
  </si>
  <si>
    <t>Gerhard Ritter</t>
  </si>
  <si>
    <t>Paradigmas y polifuncionalidad</t>
  </si>
  <si>
    <t>Katharina Gerhalter</t>
  </si>
  <si>
    <t>Abraham Abulafiaâ€™s Esotericism</t>
  </si>
  <si>
    <t>Moshe Idel</t>
  </si>
  <si>
    <t>Die Reformation und das ElsaÃŸ</t>
  </si>
  <si>
    <t>Paul GrÃ¼nberg</t>
  </si>
  <si>
    <t>Elemente der antiken ErzÃ¤hltheorie</t>
  </si>
  <si>
    <t>Stefan Feddern</t>
  </si>
  <si>
    <t>Prolegomena zu einer Geschichte des Begriffes â€œNachfolge Christiâ€</t>
  </si>
  <si>
    <t>Friedrich Bosse</t>
  </si>
  <si>
    <t>Diskurserwerb in Familie, Peergroup und Unterricht</t>
  </si>
  <si>
    <t>Uta Quasthoff-Vivien Heller-Miriam Morek</t>
  </si>
  <si>
    <t>The International Labour Organization</t>
  </si>
  <si>
    <t>Zwischen Literatur und Naturwissenschaft</t>
  </si>
  <si>
    <t>Rudolf Freiburg-Christine Lubkoll-Harald Neumeyer</t>
  </si>
  <si>
    <t>Sprachliche Muster</t>
  </si>
  <si>
    <t>Sarah Brommer</t>
  </si>
  <si>
    <t>Mathematical Linguistics in the Soviet Union</t>
  </si>
  <si>
    <t>Ferenc Papp</t>
  </si>
  <si>
    <t>Hunger!</t>
  </si>
  <si>
    <t>Max Rubmann</t>
  </si>
  <si>
    <t>Poetry and Truth</t>
  </si>
  <si>
    <t>Dennis Rasmussen</t>
  </si>
  <si>
    <t>Tra i libri di Isacco Argiro</t>
  </si>
  <si>
    <t>Anna Gioffreda</t>
  </si>
  <si>
    <t>Archive in/aus Literatur</t>
  </si>
  <si>
    <t>Klaus Kastberger-Christian Neuhuber</t>
  </si>
  <si>
    <t>HÃ¤usliche Andachten</t>
  </si>
  <si>
    <t>Gottfried Wilhelm Fink</t>
  </si>
  <si>
    <t>Olympische Statuten</t>
  </si>
  <si>
    <t>Reinhard Rauball-Ingo von MÃ¼nch</t>
  </si>
  <si>
    <t>ZerstÃ¶rung von Geschriebenem</t>
  </si>
  <si>
    <t>Carina KÃ¼hne-Wespi-Klaus Peter Oschema-Joachim Friedrich Quack</t>
  </si>
  <si>
    <t>La fine del mondo nel â€ºDe rerum naturaâ€¹ di Lucrezio</t>
  </si>
  <si>
    <t>Manuel Galzerano</t>
  </si>
  <si>
    <t>Quantitative AnsÃ¤tze in den Literatur- und Geisteswissenschaften</t>
  </si>
  <si>
    <t>Toni Bernhart-Marcus Willand-Sandra Richter-Andrea Albrecht</t>
  </si>
  <si>
    <t>Grundriss der EncyklopÃ¤die der Theologie</t>
  </si>
  <si>
    <t>A. Dorner</t>
  </si>
  <si>
    <t>Perspectives Ã©nergÃ©tiques dans l'industrie des ciments</t>
  </si>
  <si>
    <t>RenÃ© Meyzenc</t>
  </si>
  <si>
    <t>Libraries, Archives and Museums As Democratic Spaces in a Digital Age</t>
  </si>
  <si>
    <t>Ragnar Audunson-HerbjÃ¸rn Andresen-Cicilie Fagerlid-Erik Henningsen-Hans-Christoph Hobohm-Henrik Jochumsen-HÃ¥kon Larsen-Tonje Vold</t>
  </si>
  <si>
    <t>583,37</t>
  </si>
  <si>
    <t>Toni Bernhart-JaÅ¡a Drnovsek-Sven Thorsten Kilian-Joachim KÃ¼pper-Jan Mosch</t>
  </si>
  <si>
    <t>Multiphoton Microscopy and Fluorescence Lifetime Imaging</t>
  </si>
  <si>
    <t>SCIENCE / Physics / Electromagnetism</t>
  </si>
  <si>
    <t>Karsten KÃ¶nig</t>
  </si>
  <si>
    <t>Word Knowledge and Word Usage</t>
  </si>
  <si>
    <t>Vito Pirrelli-Ingo Plag-Wolfgang U. Dressler</t>
  </si>
  <si>
    <t>Was wird aus dem Heidelberger SchloÃŸ werden?</t>
  </si>
  <si>
    <t>G. Dehio</t>
  </si>
  <si>
    <t>Die Reihe Merz 1923â€“1932</t>
  </si>
  <si>
    <t>Kurt Schwitters-Ursula Kocher-Isabel Schulz</t>
  </si>
  <si>
    <t>Verfestigungen in der Interaktion</t>
  </si>
  <si>
    <t>Beate Weidner-Katharina KÃ¶nig-Wolfgang Imo-Lars Wegner</t>
  </si>
  <si>
    <t>Die Graphematik der Morpheme im Deutschen und Englischen</t>
  </si>
  <si>
    <t>Kristian Berg</t>
  </si>
  <si>
    <t>Wohnungsgesetz und BÃ¼rgschaftssicherungsgesetz</t>
  </si>
  <si>
    <t>Benedikt Schmittmann</t>
  </si>
  <si>
    <t>Canones: The Art of Harmony</t>
  </si>
  <si>
    <t>Alessandro Bausi-Bruno Reudenbach-Hanna Wimmer</t>
  </si>
  <si>
    <t>Die Marokkofrage und die Konferenz von Algeciras</t>
  </si>
  <si>
    <t>Gustav Diercks</t>
  </si>
  <si>
    <t>Writing Matters</t>
  </si>
  <si>
    <t>Irene Berti-Katharina Bolle-Fanny Opdenhoff-Fabian Stroth</t>
  </si>
  <si>
    <t>Die Revokation des Edikts von Nantes und die Protestanten in SÃ¼dostfrankreich (Provence und DauphinÃ©) 1685-1730</t>
  </si>
  <si>
    <t>Anna Bernard</t>
  </si>
  <si>
    <t>Das Lager und Heer der RÃ¶mer</t>
  </si>
  <si>
    <t>Franz Stolle</t>
  </si>
  <si>
    <t>SÃ¤kulare Aspekte der Reformationszeit</t>
  </si>
  <si>
    <t>Heinz Angermeier</t>
  </si>
  <si>
    <t>Polizei und Geiseln. Der MÃ¼nchener Bankraub</t>
  </si>
  <si>
    <t>Friedrich-Christian Schroeder</t>
  </si>
  <si>
    <t>Dunhuang Manuscript Culture</t>
  </si>
  <si>
    <t>Imre Galambos</t>
  </si>
  <si>
    <t>Soziologie - Sociology in the German-Speaking World</t>
  </si>
  <si>
    <t>Betina Hollstein-Rainer Greshoff-Uwe Schimank-Anja WeiÃŸ</t>
  </si>
  <si>
    <t>Existentialismus in Ã–sterreich</t>
  </si>
  <si>
    <t>Juliane Werner</t>
  </si>
  <si>
    <t>Discourse on the State of the Jews</t>
  </si>
  <si>
    <t>Simone Luzzatto-Giuseppe Veltri-Anna Lissa</t>
  </si>
  <si>
    <t>Definiteness in a Language Without Articles â€“ A Study on Polish</t>
  </si>
  <si>
    <t>Adrian Czardybon</t>
  </si>
  <si>
    <t>Sprache - Sprachwissenschaft - Ã–ffentlichkeit</t>
  </si>
  <si>
    <t>Zur griechischen Mythologie</t>
  </si>
  <si>
    <t>August Jacob</t>
  </si>
  <si>
    <t>Platons Parmenides, als dialektisches Kunstwerk dargestellt</t>
  </si>
  <si>
    <t>Plato-Theodor Karl Schmidt</t>
  </si>
  <si>
    <t>Zeichentragende Artefakte im sakralen Raum</t>
  </si>
  <si>
    <t>Wilfried E. Keil-Sarah Kiyanrad-Christoffer Theis-Laura Willer</t>
  </si>
  <si>
    <t>Fifth Size Strain Conference. Diffraction Analysis of the Microstructure of Materials</t>
  </si>
  <si>
    <t>Sceptical Paths</t>
  </si>
  <si>
    <t>Giuseppe Veltri-Racheli Haliva-Stephan Schmid-Emidio Spinelli</t>
  </si>
  <si>
    <t>Contesting Religion</t>
  </si>
  <si>
    <t>Knut Lundby</t>
  </si>
  <si>
    <t>KÃ¼rschners biographisches Theater-Handbuch</t>
  </si>
  <si>
    <t>Herbert A. Frenzel-Hans Joachim Moser</t>
  </si>
  <si>
    <t>Krieg und Geist</t>
  </si>
  <si>
    <t>Karl von Wachter</t>
  </si>
  <si>
    <t>Agentsâ€™ Abilities</t>
  </si>
  <si>
    <t>Romy Jaster</t>
  </si>
  <si>
    <t>Tracing and Documenting Nazi Victims Past and Present</t>
  </si>
  <si>
    <t>Henning BorggrÃ¤fe-Christian HÃ¶schler-Isabel Panek</t>
  </si>
  <si>
    <t>The Emergence of Multiple-Text Manuscripts</t>
  </si>
  <si>
    <t>Alessandro Bausi-Michael Friedrich-Marilena Maniaci</t>
  </si>
  <si>
    <t>Sensory Motor Concepts in Language and Cognition</t>
  </si>
  <si>
    <t>Liane StrÃ¶bel</t>
  </si>
  <si>
    <t>Material Aspects of Reading in Ancient and Medieval Cultures</t>
  </si>
  <si>
    <t>Anna KrauÃŸ-Jonas Leipziger-Friederike SchÃ¼cking-Jungblut</t>
  </si>
  <si>
    <t>GehÃ¶rt der Islam zu Deutschland?</t>
  </si>
  <si>
    <t>Klaus Spenlen</t>
  </si>
  <si>
    <t>Land, Dorf, Kehilla</t>
  </si>
  <si>
    <t>Almut Laufer</t>
  </si>
  <si>
    <t>Ãœber den Begriff der Ironie</t>
  </si>
  <si>
    <t>SÃ¶ren Kierkegaard</t>
  </si>
  <si>
    <t>Elizabeth Rankin-Rolf Michael Schneider</t>
  </si>
  <si>
    <t>Cosmopolitan Responsibility</t>
  </si>
  <si>
    <t>Jan-Christoph Heilinger</t>
  </si>
  <si>
    <t>Rulership in 1st to 14th Century Scandinavia</t>
  </si>
  <si>
    <t>Dagfinn Skre</t>
  </si>
  <si>
    <t>Early Printed Narrative Literature in Western Europe</t>
  </si>
  <si>
    <t>Bart Besamusca-Elisabeth de Bruijn-Frank Willaert</t>
  </si>
  <si>
    <t>Hispanos en el mundo</t>
  </si>
  <si>
    <t>Danae Gallo GonzÃ¡lez-Mirjam Leuzinger-Verena Dolle</t>
  </si>
  <si>
    <t>Sterben dÃ¼rfen im Krankenhaus</t>
  </si>
  <si>
    <t>Asita Behzadi</t>
  </si>
  <si>
    <t>Dress and Cultural Difference in Early Modern Europe</t>
  </si>
  <si>
    <t>Cornelia Aust-Denise Klein-Thomas Weller</t>
  </si>
  <si>
    <t>Discourses on Nations and Identities</t>
  </si>
  <si>
    <t>Daniel Syrovy</t>
  </si>
  <si>
    <t>Excavations at Paithan, Maharashtra</t>
  </si>
  <si>
    <t>Derek Kennet-J. Varaprasada Rao-M. Kasturi Bai</t>
  </si>
  <si>
    <t>Verschmelzung von PrÃ¤position und Artikel</t>
  </si>
  <si>
    <t>Hagen Augustin</t>
  </si>
  <si>
    <t>HÃ¤resie und vorzeitige Reformation im SpÃ¤tmittelalter</t>
  </si>
  <si>
    <t>FrantiÅ¡ek Å mahel</t>
  </si>
  <si>
    <t>Menandri Sicyonius</t>
  </si>
  <si>
    <t>Menander-Rudolf Kassel</t>
  </si>
  <si>
    <t>Am Rande der Fotografie</t>
  </si>
  <si>
    <t>Katharina Steidl</t>
  </si>
  <si>
    <t>Toscana bilingue (1260 ca.â€“1430 ca.)</t>
  </si>
  <si>
    <t>Sara Bischetti-Michele Lodone-Cristiano Lorenzi-Antonio Montefusco</t>
  </si>
  <si>
    <t>Coming of Age in Byzantium</t>
  </si>
  <si>
    <t>Despoina Ariantzi</t>
  </si>
  <si>
    <t>Subjektive und objektive Zeit</t>
  </si>
  <si>
    <t>Wolfgang Detel</t>
  </si>
  <si>
    <t>Degree Gradation of Verbs</t>
  </si>
  <si>
    <t>Jens Fleischhauer-Helfer</t>
  </si>
  <si>
    <t>Sollbruchstellen des deutschen, europÃ¤ischen und internationalen FlÃ¼chtlingsrechts</t>
  </si>
  <si>
    <t>Daniel Thym</t>
  </si>
  <si>
    <t>Buddhism and the Dynamics of Transculturality</t>
  </si>
  <si>
    <t>Birgit Kellner</t>
  </si>
  <si>
    <t>Political Economy of Environment. Problems of Method</t>
  </si>
  <si>
    <t>Masora und Exegese</t>
  </si>
  <si>
    <t>Kay Joe Petzold</t>
  </si>
  <si>
    <t>Crossroads of Colonial Cultures</t>
  </si>
  <si>
    <t>Reformen im rheinbÃ¼ndischen Deutschland</t>
  </si>
  <si>
    <t>Eberhard Weis</t>
  </si>
  <si>
    <t>Die Kaufkraft des Geldes</t>
  </si>
  <si>
    <t>Irving Fisher-St. Bauer</t>
  </si>
  <si>
    <t>Das Disziplinargesetz der Evangelischen Kirche in Deutschland vom 11. MÃ¤rz 1955</t>
  </si>
  <si>
    <t>Hans von Arnim</t>
  </si>
  <si>
    <t>Mittheilungen Ã¼ber die in Oberschlesien herrschende Typhus-Epidemie</t>
  </si>
  <si>
    <t>Rudolf Virchow</t>
  </si>
  <si>
    <t>Developing Heritage â€“ Developing Countries</t>
  </si>
  <si>
    <t>Marie Huber</t>
  </si>
  <si>
    <t>Zur Geschichte Friedrichs I. und Friedrich Wilhelms I. von PreuÃŸen</t>
  </si>
  <si>
    <t>Joh. Gust. von Droysen</t>
  </si>
  <si>
    <t>Gallipoli 1915/16</t>
  </si>
  <si>
    <t>Bildzensur</t>
  </si>
  <si>
    <t>Katja MÃ¼ller-Helle</t>
  </si>
  <si>
    <t>Assyrian and Babylonian Scholarly Text Catalogues</t>
  </si>
  <si>
    <t>Ulrike Steinert</t>
  </si>
  <si>
    <t>Maria in Hymnus und Sequenz</t>
  </si>
  <si>
    <t>Eva Rothenberger-Lydia Wegener</t>
  </si>
  <si>
    <t>Das erweiterte Museum</t>
  </si>
  <si>
    <t>Regina Franken-Wendelstorf-Sybille Greisinger-Christian Gries-Astrid Pellengahr</t>
  </si>
  <si>
    <t>The State of Law</t>
  </si>
  <si>
    <t>Ulrich von Alemann-Detlef Briesen-Lai Quoc Khanh</t>
  </si>
  <si>
    <t>Theoretische Mechanik starrer Systeme</t>
  </si>
  <si>
    <t>Robert Stawell Ball-Harry Gravelius</t>
  </si>
  <si>
    <t>Von der Renaissance bis zur AufklÃ¤rung</t>
  </si>
  <si>
    <t>Friedrich Schubel</t>
  </si>
  <si>
    <t>JosÃ© MarÃ­a Ariso</t>
  </si>
  <si>
    <t>Blumen</t>
  </si>
  <si>
    <t>Isabella Schwentner</t>
  </si>
  <si>
    <t>Lernwelt Hochschule</t>
  </si>
  <si>
    <t>Alexandra Becker-Richard Stang</t>
  </si>
  <si>
    <t>Das 19. Jahrhundert</t>
  </si>
  <si>
    <t>Rainer Wimmer</t>
  </si>
  <si>
    <t>KÃ¼rschners Graphiker-Handbuch</t>
  </si>
  <si>
    <t>Joseph KÃ¼rschner-Charlotte Fergg-Frowein</t>
  </si>
  <si>
    <t>Digital Papyrology II</t>
  </si>
  <si>
    <t>Grundwerte rÃ¶mischer Staatsgesinnung in den Geschichtswerken des Sallust</t>
  </si>
  <si>
    <t>Viktor PÃ¶schl</t>
  </si>
  <si>
    <t>Ostasienwissenschaften</t>
  </si>
  <si>
    <t>Ulrich Rosar</t>
  </si>
  <si>
    <t>Sprache und Kognition</t>
  </si>
  <si>
    <t>Barbara Mertins</t>
  </si>
  <si>
    <t>Regional Development. Experiences and Prospects in Eastern Europe</t>
  </si>
  <si>
    <t>Kosta MihailoviÄ</t>
  </si>
  <si>
    <t>Korpuslinguistik</t>
  </si>
  <si>
    <t>Marc Kupietz-Thomas Schmidt</t>
  </si>
  <si>
    <t>Manual der Koloproktologie</t>
  </si>
  <si>
    <t>Alexander Herold-Thomas Schiedeck</t>
  </si>
  <si>
    <t>Ragnhild Johnsrud Zorgati-Anna Bohlin</t>
  </si>
  <si>
    <t>Recht der Ã¶ffentlichen Sachen</t>
  </si>
  <si>
    <t>Hans-JÃ¼rgen Papier</t>
  </si>
  <si>
    <t>Paracelsus</t>
  </si>
  <si>
    <t>Isabella Schwentner-Konstanze Fliedl</t>
  </si>
  <si>
    <t>Ã‰changes Et Communications, II</t>
  </si>
  <si>
    <t>Claude LÃ©vi-Strauss-Jean Pouillon-Pierre Maranda</t>
  </si>
  <si>
    <t>Wissenschaftliches Publizieren</t>
  </si>
  <si>
    <t>Peter Weingart-Niels Taubert</t>
  </si>
  <si>
    <t>Tenth European Powder Diffraction Conference</t>
  </si>
  <si>
    <t>Applications</t>
  </si>
  <si>
    <t>Reigen</t>
  </si>
  <si>
    <t>Marina Rauchenbacher-Konstanze Fliedl</t>
  </si>
  <si>
    <t>Der grÃ¼ne Kakadu</t>
  </si>
  <si>
    <t>Anna Lindner</t>
  </si>
  <si>
    <t>The Legacy of Early Franciscan Thought</t>
  </si>
  <si>
    <t>Confucius and Cicero</t>
  </si>
  <si>
    <t>Andrea Balbo-Jaewon Ahn</t>
  </si>
  <si>
    <t>Rewriting Maimonides</t>
  </si>
  <si>
    <t>Igor H. De Souza</t>
  </si>
  <si>
    <t>Sozialismus und Volkswirtschaft in der Kriegsverfassung</t>
  </si>
  <si>
    <t>Friedrich Bendixen</t>
  </si>
  <si>
    <t>Forschungsfeld Sprachevolution</t>
  </si>
  <si>
    <t>Michael Breyl</t>
  </si>
  <si>
    <t>Das preuÃŸische Disziplinargesetz fÃ¼r die nichtrichterlichen Beamten nebst dem Disziplinargesetze fÃ¼r die Privatdozenten</t>
  </si>
  <si>
    <t>Eugen Dultzig</t>
  </si>
  <si>
    <t>Wahrnehmen, fÃ¼hlen, verstehen</t>
  </si>
  <si>
    <t>Christina Schmitt</t>
  </si>
  <si>
    <t>Theater As Metaphor</t>
  </si>
  <si>
    <t>Elena Penskaya-Joachim KÃ¼pper</t>
  </si>
  <si>
    <t>Mechanik der Punkte und Punktsysteme</t>
  </si>
  <si>
    <t>E. Budde</t>
  </si>
  <si>
    <t>Terrorizing Images</t>
  </si>
  <si>
    <t>Charles Ivan Armstrong-Unni Langas</t>
  </si>
  <si>
    <t>Stefan Rieger-Armin SchÃ¤fer-Anna Tuschling</t>
  </si>
  <si>
    <t>Philosophy of Globalization</t>
  </si>
  <si>
    <t>Concha RoldÃ¡n-Daniel Brauer-Johannes Rohbeck</t>
  </si>
  <si>
    <t>They Did Not Stop at Eboli</t>
  </si>
  <si>
    <t>Karin Priem-Giovanna Hendel-Carole Naggar</t>
  </si>
  <si>
    <t>LittÃ©rature franÃ§aise et savoirs biologiques au XIXe siÃ¨cle</t>
  </si>
  <si>
    <t>Thomas Klinkert-GisÃ¨le SÃ©ginger</t>
  </si>
  <si>
    <t>Kognition und Reflexion: Zur Theorie filmischen Denkens</t>
  </si>
  <si>
    <t>Hermann Kappelhoff</t>
  </si>
  <si>
    <t>Public History and School</t>
  </si>
  <si>
    <t>Marko Demantowsky</t>
  </si>
  <si>
    <t>Die moderne Handschriftendeutung</t>
  </si>
  <si>
    <t>R. Raphael Pokorny</t>
  </si>
  <si>
    <t>Medizinische Gutachten des 17. und 18. Jahrhunderts</t>
  </si>
  <si>
    <t>Bettina Lindner</t>
  </si>
  <si>
    <t>Snapshot-Based Methods and Algorithms</t>
  </si>
  <si>
    <t>Einleitung zur allgemeinen vergleichenden Geographie, und Abhandlung zur BegrÃ¼ndung einer mehr wissenschaftlichen Behandlung der Erdkunde</t>
  </si>
  <si>
    <t>Carl Ritter</t>
  </si>
  <si>
    <t>Die Einheitsbestrebungen in der wissenschaftlichen Medicin</t>
  </si>
  <si>
    <t>In integrum restitutio und vindicatio utilis bei EigentumsÃ¼bertragungen im klassischen rÃ¶mischen Recht</t>
  </si>
  <si>
    <t>Berthold Kupisch</t>
  </si>
  <si>
    <t>Gentrifizierung als Rechtsproblem â€“ Wohnungspolitik ohne Ã¶konomische und rechtsstaatliche Leitplanken?</t>
  </si>
  <si>
    <t>LAW / Landlord &amp; Tenant</t>
  </si>
  <si>
    <t>JÃ¼rgen KÃ¼hling</t>
  </si>
  <si>
    <t>Der Kampf um Chinas kollektives GedÃ¤chtnis</t>
  </si>
  <si>
    <t>Anja Blanke</t>
  </si>
  <si>
    <t>Offshoring of White-collar Services</t>
  </si>
  <si>
    <t>Artur Klimek</t>
  </si>
  <si>
    <t>Was sprach der eine zum anderen?</t>
  </si>
  <si>
    <t>Catherine Mittermayer</t>
  </si>
  <si>
    <t>Biochemie der GÃ¤rungen</t>
  </si>
  <si>
    <t>Hugo Haehn</t>
  </si>
  <si>
    <t>Fictionalizing Heterodoxy</t>
  </si>
  <si>
    <t>Folke Gernert</t>
  </si>
  <si>
    <t>Pore Scale Geochemical Processes</t>
  </si>
  <si>
    <t>Carl Steefel-Simon Emmanuel-Lawrence Anovitz</t>
  </si>
  <si>
    <t>The Patient Griselda Myth</t>
  </si>
  <si>
    <t>Madeline RÃ¼egg</t>
  </si>
  <si>
    <t>Das Zeitalter der Novelle in Hellas</t>
  </si>
  <si>
    <t>Bernhard ErdmannsdÃ¶rffer</t>
  </si>
  <si>
    <t>Men, Masculinities and the Modern Career</t>
  </si>
  <si>
    <t>Kadri Aavik-Clarice Bland-Josephine Hoegaerts-Janne Tuomas Vilhelm Salminen</t>
  </si>
  <si>
    <t>VernakulÃ¤re Wissenschaftskommunikation</t>
  </si>
  <si>
    <t>Michael Prinz-JÃ¼rgen Schiewe</t>
  </si>
  <si>
    <t>Body and Spirit in the Middle Ages</t>
  </si>
  <si>
    <t>Gaia Gubbini</t>
  </si>
  <si>
    <t>Competing Knowledges â€“ Wissen Im Widerstreit</t>
  </si>
  <si>
    <t>Anna Margaretha Horatschek</t>
  </si>
  <si>
    <t>Reform des deutschen Namensrechts</t>
  </si>
  <si>
    <t>Staging Doubt</t>
  </si>
  <si>
    <t>LITERARY CRITICISM / Modern / 16th Century</t>
  </si>
  <si>
    <t>Leonie Pawlita</t>
  </si>
  <si>
    <t>Die Sprache der Mainzer Republik (1792/93)</t>
  </si>
  <si>
    <t>Joachim Herrgen</t>
  </si>
  <si>
    <t>GrundzÃ¼ge der Prosasyntax</t>
  </si>
  <si>
    <t>Anne Betten</t>
  </si>
  <si>
    <t>The Epoch of Universalism 1769â€“1989 / Lâ€™Ã©poque De Lâ€™universalisme 1769â€“1989</t>
  </si>
  <si>
    <t>Franck Hofmann-Markus Messling</t>
  </si>
  <si>
    <t>Jeux de mots, textes et contextes</t>
  </si>
  <si>
    <t>Esme Winter-Froemel-Alex Demeulenaere</t>
  </si>
  <si>
    <t>Complex Lexical Units</t>
  </si>
  <si>
    <t>Barbara SchlÃ¼cker</t>
  </si>
  <si>
    <t>Inscriptions of the Aulikaras and Their Associates</t>
  </si>
  <si>
    <t>DÃ¡niel Balogh</t>
  </si>
  <si>
    <t>Doing Applied Linguistics</t>
  </si>
  <si>
    <t>Daniel Perrin-Ulla Kleinberger</t>
  </si>
  <si>
    <t>Deutsch - Typologisch</t>
  </si>
  <si>
    <t>Ewald Lang-Gisela Zifonun</t>
  </si>
  <si>
    <t>Commercial Communication in the Digital Age</t>
  </si>
  <si>
    <t>Gabriele Siegert-M. BjÃ¸rn Rimscha-Stephanie Grubenmann</t>
  </si>
  <si>
    <t>Gesammelte AufsÃ¤tze zur altfranzÃ¶sischen Epik</t>
  </si>
  <si>
    <t>Gustav Adolf Beckmann</t>
  </si>
  <si>
    <t>Hermann Kurz und die 'Poesie der Wirklichkeit'</t>
  </si>
  <si>
    <t>Matthias Slunitschek</t>
  </si>
  <si>
    <t>Christus in natura</t>
  </si>
  <si>
    <t>ZbynÄ›k Kindschi GarskÃ½-Rainer Hirsch-Luipold</t>
  </si>
  <si>
    <t>Die Stadt als beschriebener Raum</t>
  </si>
  <si>
    <t>Fanny Opdenhoff</t>
  </si>
  <si>
    <t>Facing Poetry</t>
  </si>
  <si>
    <t>In Diensten des Afrikanischen Sozialismus</t>
  </si>
  <si>
    <t>Eric Burton</t>
  </si>
  <si>
    <t>Reading Ciceroâ€™s Final Years</t>
  </si>
  <si>
    <t>Christoph Pieper-Bram van der Velden</t>
  </si>
  <si>
    <t>A Touch of Doubt</t>
  </si>
  <si>
    <t>Rachel Aumiller</t>
  </si>
  <si>
    <t>Die deutsche Staatskrise 1930 - 1933</t>
  </si>
  <si>
    <t>Heinrich August Winkler</t>
  </si>
  <si>
    <t>Die Inschriften des Stadtgottesackers in Halle an der Saale (1550â€“1700)</t>
  </si>
  <si>
    <t>Klaus KrÃ¼ger</t>
  </si>
  <si>
    <t>Material Culture in Modern Diplomacy From the 15th to the 20th Century</t>
  </si>
  <si>
    <t>Harriet Rudolph-Gregor M. Metzig</t>
  </si>
  <si>
    <t>Essays on the Arts and Sciences</t>
  </si>
  <si>
    <t>Miloslav Rechcigl</t>
  </si>
  <si>
    <t>Golda Meir</t>
  </si>
  <si>
    <t>Meron Medzini</t>
  </si>
  <si>
    <t>Aging Between Participation and Simulation</t>
  </si>
  <si>
    <t>Joschka Haltaufderheide-Johanna Hovemann-Jochen Vollmann</t>
  </si>
  <si>
    <t>Mineral Building Traditions in the Himalayas</t>
  </si>
  <si>
    <t>Hubert Feiglstorfer</t>
  </si>
  <si>
    <t>Confronting Antisemitism From the Perspectives of Christianity, Islam, and Judaism</t>
  </si>
  <si>
    <t>Isaac Orobio</t>
  </si>
  <si>
    <t>Carsten Wilke</t>
  </si>
  <si>
    <t>Antike Texte und ihre MaterialitÃ¤t</t>
  </si>
  <si>
    <t>Cornelia Ritter-Schmalz-Raphael Schwitter</t>
  </si>
  <si>
    <t>Tempi der Bewegung â€“ Modi des GefÃ¼hls</t>
  </si>
  <si>
    <t>Sarah Greifenstein</t>
  </si>
  <si>
    <t>Traduire CicÃ©ron au XVe siÃ¨cle - Le â€ºLivre des officesâ€¹ d'Anjourrant BourrÃ©</t>
  </si>
  <si>
    <t>Olivier Delsaux</t>
  </si>
  <si>
    <t>Mythische SphÃ¤renwechsel</t>
  </si>
  <si>
    <t>Annette Zgoll-Christian Zgoll</t>
  </si>
  <si>
    <t>The Formation of the Talmud</t>
  </si>
  <si>
    <t>Ari Bergmann</t>
  </si>
  <si>
    <t>Bertel Thorvaldsen - celebrity</t>
  </si>
  <si>
    <t>Tabea Schindler</t>
  </si>
  <si>
    <t>Urban-regional Development in South America</t>
  </si>
  <si>
    <t>Poul Ove Pedersen</t>
  </si>
  <si>
    <t>Semantische Spezialisierung vs. Polysemie</t>
  </si>
  <si>
    <t>Tanja von der Becke</t>
  </si>
  <si>
    <t>Handwerk in Europa</t>
  </si>
  <si>
    <t>Knut Schulz</t>
  </si>
  <si>
    <t>IT fÃ¼r soziale Inklusion</t>
  </si>
  <si>
    <t>Aljoscha Burchardt-Hans Uszkoreit</t>
  </si>
  <si>
    <t>Der Hofmeister und die Gouvernante</t>
  </si>
  <si>
    <t>Michael M. Metzger-Gerard F. Schmidt</t>
  </si>
  <si>
    <t>Religious Individualisation</t>
  </si>
  <si>
    <t>Martin Fuchs-Antje Linkenbach-Martin Mulsow-Bernd-Christian Otto-Rahul BjÃ¸rn Parson-JÃ¶rg RÃ¼pke</t>
  </si>
  <si>
    <t>Data Loam</t>
  </si>
  <si>
    <t>Johnny Golding-Martin Reinhart-Mattia Paganelli</t>
  </si>
  <si>
    <t>Nah am Boden</t>
  </si>
  <si>
    <t>Mariya Petrova</t>
  </si>
  <si>
    <t>Immanuel Kant</t>
  </si>
  <si>
    <t>Otto Liebmann</t>
  </si>
  <si>
    <t>Richard Schaukal in Netzwerken und Feldern der literarischen Moderne</t>
  </si>
  <si>
    <t>Cornelius Mitterer</t>
  </si>
  <si>
    <t>Farewell to Shulamit</t>
  </si>
  <si>
    <t>Victimhood and Acknowledgement</t>
  </si>
  <si>
    <t>Petra Terhoeven</t>
  </si>
  <si>
    <t>Variation â€“ Normen â€“ IdentitÃ¤ten</t>
  </si>
  <si>
    <t>Alexandra Nicole Lenz-Albrecht Plewnia</t>
  </si>
  <si>
    <t>Urban Religion in Late Antiquity</t>
  </si>
  <si>
    <t>Asuman LÃ¤tzer-Lasar-Emiliano Rubens Urciuoli</t>
  </si>
  <si>
    <t>Deutsch als Verkehrssprache in Europa</t>
  </si>
  <si>
    <t>Joachim Born-Gerhard Stickel</t>
  </si>
  <si>
    <t>Our Neighbours, Ourselves</t>
  </si>
  <si>
    <t>Homi K. Bhabha</t>
  </si>
  <si>
    <t>Aspectuality</t>
  </si>
  <si>
    <t>Sarah DessÃ¬ Schmid</t>
  </si>
  <si>
    <t>Topografien des 20. Jahrhunderts</t>
  </si>
  <si>
    <t>Jasmin Wrobel</t>
  </si>
  <si>
    <t>A Bridgehead to Africa</t>
  </si>
  <si>
    <t>Suaad Alghafal</t>
  </si>
  <si>
    <t>Stealing the Club From Hercules</t>
  </si>
  <si>
    <t>Gian Biagio Conte</t>
  </si>
  <si>
    <t>Address in Portuguese and Spanish</t>
  </si>
  <si>
    <t>Martin Hummel-CÃ©lia dos Santos Lopes</t>
  </si>
  <si>
    <t>Herakleios, der schwitzende Kaiser</t>
  </si>
  <si>
    <t>Nadine Viermann</t>
  </si>
  <si>
    <t>Converts of Conviction</t>
  </si>
  <si>
    <t>The Maghrib in the Mashriq</t>
  </si>
  <si>
    <t>Maribel Fierro-Mayte Penelas</t>
  </si>
  <si>
    <t>Inschriftenkulturen im kommunalen Italien</t>
  </si>
  <si>
    <t>Katharina Bolle-Marc von der HÃ¶h-Nikolas Jaspert</t>
  </si>
  <si>
    <t>The Cultural Net</t>
  </si>
  <si>
    <t>Joachim KÃ¼pper</t>
  </si>
  <si>
    <t>Visualizing the Invisible with the Human Body</t>
  </si>
  <si>
    <t>J. Cale Johnson-Alessandro Stavru</t>
  </si>
  <si>
    <t>Divination on Stage</t>
  </si>
  <si>
    <t>Temperatur, Salzgehalt und Dichte an der OberflÃ¤che des Atlantischen Ozeans, Lfg 3. Untersuchungen Ã¼ber die mittleren hydrographischen VerhÃ¤ltnisse an der MeeresoberflÃ¤che des nÃ¶rdlichen Nordatlantischen Ozeans</t>
  </si>
  <si>
    <t>Wolfgang Krauss-Albert Defant</t>
  </si>
  <si>
    <t>Emma Goldman and the Russian Revolution</t>
  </si>
  <si>
    <t>A Buddhist Ritual Manual on Agriculture</t>
  </si>
  <si>
    <t>Friedrich Rosen</t>
  </si>
  <si>
    <t>Amir Theilhaber</t>
  </si>
  <si>
    <t>The Fish Lands</t>
  </si>
  <si>
    <t>Bart Holterman</t>
  </si>
  <si>
    <t>Diaspora and Disaster</t>
  </si>
  <si>
    <t>Andreas Niehaus-Christian Tagsold</t>
  </si>
  <si>
    <t>Schauplatz Archiv</t>
  </si>
  <si>
    <t>Klaus Kastberger-Stefan Maurer-Christian Neuhuber</t>
  </si>
  <si>
    <t>GuimarÃ£es Rosa und Meyer-Clason</t>
  </si>
  <si>
    <t>Ottmar Ette-Paulo Astor Soethe</t>
  </si>
  <si>
    <t>Spanisch in Berlin</t>
  </si>
  <si>
    <t>Philipp KrÃ¤mer</t>
  </si>
  <si>
    <t>Heinrich von Sybel: Die BegrÃ¼ndung des Deutschen Reiches durch Wilhelm I.. Band 1</t>
  </si>
  <si>
    <t>Heinrich von Sybel</t>
  </si>
  <si>
    <t>Klassische ArchÃ¤ologie</t>
  </si>
  <si>
    <t>Eine angebliche und eine wirkliche Chronik von Orvieto</t>
  </si>
  <si>
    <t>Alex Himmelstern</t>
  </si>
  <si>
    <t>Laienpotential, Patientenaktivierung und Gesundheitsselbsthilfe</t>
  </si>
  <si>
    <t>Christian von Ferber</t>
  </si>
  <si>
    <t>Sacred Scripture / Sacred Space</t>
  </si>
  <si>
    <t>Tobias Frese-Wilfried E. Keil-Kristina KrÃ¼ger</t>
  </si>
  <si>
    <t>Grubengasanalyse im Kohlenbergbau</t>
  </si>
  <si>
    <t>Robert Kattwinkel</t>
  </si>
  <si>
    <t>Dostoevskij and Schiller</t>
  </si>
  <si>
    <t>Alexandra H. Lyngstad</t>
  </si>
  <si>
    <t>Predigt zur Jubelfeier der Reformazion und Union gehalten in der Nikolai Kirche zu Berlin den 31. Oktober 1867</t>
  </si>
  <si>
    <t>[Adolf] Thomas</t>
  </si>
  <si>
    <t>Der Papst</t>
  </si>
  <si>
    <t>The Oracle Bone Inscriptions From Huayuanzhuang East</t>
  </si>
  <si>
    <t>Adam C. Schwartz</t>
  </si>
  <si>
    <t>Framing Intellectual and Lived Spaces in Early South Asia</t>
  </si>
  <si>
    <t>Lucas den Boer-Elizabeth A. Cecil</t>
  </si>
  <si>
    <t>Praxishandbuch Forschungsdatenmanagement</t>
  </si>
  <si>
    <t>Markus Putnings-Heike Neuroth-Janna Neumann</t>
  </si>
  <si>
    <t>Meaning, Frames, and Conceptual Representation</t>
  </si>
  <si>
    <t>Thomas Gamerschlag-Doris Gerland-Rainer Osswald-Wiebke Petersen</t>
  </si>
  <si>
    <t>Religious Otherness and National Identity in Scandinavia, C. 1790â€“1960</t>
  </si>
  <si>
    <t>Frode Ulvund</t>
  </si>
  <si>
    <t>Von den historischen Avantgarden bis nach der Postmoderne</t>
  </si>
  <si>
    <t>Primary Sources and Asian Pasts</t>
  </si>
  <si>
    <t>Peter C. Bisschop-Elizabeth A. Cecil</t>
  </si>
  <si>
    <t>Le lettere di Dante</t>
  </si>
  <si>
    <t>Antonio Montefusco-Giuliano Milani</t>
  </si>
  <si>
    <t>Neues und Fremdes im deutschen Wortschatz</t>
  </si>
  <si>
    <t>The Poetry of Cao Zhi</t>
  </si>
  <si>
    <t>Robert Joe Cutter-Paul W. Kroll</t>
  </si>
  <si>
    <t>SignGram Blueprint</t>
  </si>
  <si>
    <t>Josep Quer-Carlo Cecchetto-Caterina Donati-Carlo Geraci-Meltem Kelepir-Roland Pfau-Markus Steinbach</t>
  </si>
  <si>
    <t>Formulaic Language and New Data</t>
  </si>
  <si>
    <t>Elisabeth Piirainen-Natalia Filatkina-SÃ¶ren Stumpf-Christian Pfeiffer</t>
  </si>
  <si>
    <t>The Power of Urban Water</t>
  </si>
  <si>
    <t>Nicola Chiarenza-Annette Haug-Ulrich MÃ¼ller</t>
  </si>
  <si>
    <t>Konstruktion von Sprache und Sprachwissen</t>
  </si>
  <si>
    <t>Pascale Schaller</t>
  </si>
  <si>
    <t>Wir sind nicht auf der Welt, um zu schweigen</t>
  </si>
  <si>
    <t>Josef Kopperschmidt</t>
  </si>
  <si>
    <t>Schreiben auf statuarischen Monumenten</t>
  </si>
  <si>
    <t>Nikolaus Dietrich-Johannes Fouquet-Corinna Reinhardt</t>
  </si>
  <si>
    <t>Audiovisuelle Rhythmen</t>
  </si>
  <si>
    <t>Jan-Hendrik Bakels</t>
  </si>
  <si>
    <t>Die Inschriften zu den Ludi saeculares</t>
  </si>
  <si>
    <t>BÃ¤rbel Schnegg</t>
  </si>
  <si>
    <t>Einleitung in die Philosophie</t>
  </si>
  <si>
    <t>Geschichte der Krim</t>
  </si>
  <si>
    <t>Kerstin S. Jobst</t>
  </si>
  <si>
    <t>Ã–ffentliche Vernunft?</t>
  </si>
  <si>
    <t>Wilfried Hinsch-Daniel Eggers</t>
  </si>
  <si>
    <t>Literary Culture in Early Modern England, 1630â€“1700</t>
  </si>
  <si>
    <t>Der Sinn der humanistischen Bildung</t>
  </si>
  <si>
    <t>Max Hildebert Boehm</t>
  </si>
  <si>
    <t>Diskursive Verfestigungen</t>
  </si>
  <si>
    <t>Laurent Gautier-Pierre-Yves Modicom-HÃ©lÃ¨ne Vinckel-Roisin</t>
  </si>
  <si>
    <t>Decor-RÃ¤ume in pompejanischen StadthÃ¤usern</t>
  </si>
  <si>
    <t>Geschichte der Deutschen in England</t>
  </si>
  <si>
    <t>Karl Heinrich Schaible</t>
  </si>
  <si>
    <t>G. Ch. Lichtenberg in seiner Stellung zur deutschen Literatur</t>
  </si>
  <si>
    <t>Richard Kleineibst</t>
  </si>
  <si>
    <t>Franz Brentano und sein philosophischer Nachlass</t>
  </si>
  <si>
    <t>Thomas Binder</t>
  </si>
  <si>
    <t>MaterialitÃ¤t und PrÃ¤senz spÃ¤tantiker Inschriften</t>
  </si>
  <si>
    <t>Katharina Bolle</t>
  </si>
  <si>
    <t>La Splendeur divine</t>
  </si>
  <si>
    <t>Elena Cassin</t>
  </si>
  <si>
    <t>Filmische Poetiken der Schuld</t>
  </si>
  <si>
    <t>Matthias Grotkopp</t>
  </si>
  <si>
    <t>Medizinische Informationsverarbeitung</t>
  </si>
  <si>
    <t>Michael J. A. Hoffmann</t>
  </si>
  <si>
    <t>De Pseudo-Luciani Amoribus</t>
  </si>
  <si>
    <t>Robert Bloch</t>
  </si>
  <si>
    <t>Filmische Seitenblicke</t>
  </si>
  <si>
    <t>Hermann Kappelhoff-Christine LÃ¶tscher-Daniel Illger</t>
  </si>
  <si>
    <t>Theater im GesprÃ¤ch</t>
  </si>
  <si>
    <t>Jan Gerwinski-Stephan Habscheid-Erika Linz</t>
  </si>
  <si>
    <t>Deutsche Juden und die Moderne</t>
  </si>
  <si>
    <t>Shulamit Volkov</t>
  </si>
  <si>
    <t>Kunstgeschichte und Kunsttheorie im 19. Jahrhundert</t>
  </si>
  <si>
    <t>Hermann Bauer-Lorenz Dittmann</t>
  </si>
  <si>
    <t>Graffiti als Interaktionsform</t>
  </si>
  <si>
    <t>Polly Lohmann</t>
  </si>
  <si>
    <t>Wirtschaft und Wirtschaftspolitik in Deutschland</t>
  </si>
  <si>
    <t>Toni Pierenkemper-Rainer Fremdling</t>
  </si>
  <si>
    <t>Die GewaltkriminalitÃ¤t in den USA</t>
  </si>
  <si>
    <t>Wolf Middendorff</t>
  </si>
  <si>
    <t>Japan-Pop-Revolution</t>
  </si>
  <si>
    <t>Michiko Mae-Elisabeth Scherer</t>
  </si>
  <si>
    <t>WettbewerbsfÃ¤higkeit von Start-ups</t>
  </si>
  <si>
    <t>Eva Lutz-Stefan SÃ¼ÃŸ</t>
  </si>
  <si>
    <t>Auslegung und Hermeneutik der Bibel in der Reformationszeit</t>
  </si>
  <si>
    <t>Christine Christ-von Wedel-Sven Grosse</t>
  </si>
  <si>
    <t>Authorship and Text-making in Early China</t>
  </si>
  <si>
    <t>LANGUAGE ARTS &amp; DISCIPLINES / Writing / Authorship</t>
  </si>
  <si>
    <t>Hanmo Zhang</t>
  </si>
  <si>
    <t>The Works of Li Qingzhao</t>
  </si>
  <si>
    <t>Ronald Egan-Anna Shields</t>
  </si>
  <si>
    <t>Die VorgÃ¤nge der inneren Politik seit der Thronbesteigung Kaiser Wilhelms II.</t>
  </si>
  <si>
    <t>Konstantin Roessler</t>
  </si>
  <si>
    <t>Im Banne des Schachproblems</t>
  </si>
  <si>
    <t>A. Kraemer-E. Zepler</t>
  </si>
  <si>
    <t>Elemente der Funktionentheorie</t>
  </si>
  <si>
    <t>Konrad Knopp</t>
  </si>
  <si>
    <t>Deutsche Gegenwartssprache</t>
  </si>
  <si>
    <t>Wortschatz: Theorie, Empirie, Dokumentation</t>
  </si>
  <si>
    <t>Stefan Engelberg-Heidrun KÃ¤mper-Petra Storjohann</t>
  </si>
  <si>
    <t>Wie sah Goethe aus?</t>
  </si>
  <si>
    <t>Fritz Stahl</t>
  </si>
  <si>
    <t>BÃ¼cherkunde zur deutschen Geschichte</t>
  </si>
  <si>
    <t>Kriminologie</t>
  </si>
  <si>
    <t>Hans Joachim Schneider</t>
  </si>
  <si>
    <t>Das 20. Jahrhundert</t>
  </si>
  <si>
    <t>Heidrun KÃ¤mper-Hartmut Schmidt</t>
  </si>
  <si>
    <t>Sprache und Recht</t>
  </si>
  <si>
    <t>Ulrike HaÃŸ-Zumkehr</t>
  </si>
  <si>
    <t>Theorie der Kosten</t>
  </si>
  <si>
    <t>Konrad Mellerowicz</t>
  </si>
  <si>
    <t>Grundriss der Physik</t>
  </si>
  <si>
    <t>Johann Kleiber</t>
  </si>
  <si>
    <t>Constructions in Use</t>
  </si>
  <si>
    <t>Alexander auf der StraÃŸe</t>
  </si>
  <si>
    <t>Der Ã‰lysÃ©e-Vertrag und die deutsch-franzÃ¶sischen Beziehungen 1945 - 1963 - 2003</t>
  </si>
  <si>
    <t>Corine Defrance-Ulrich Pfeil</t>
  </si>
  <si>
    <t>A Lecture on Russian History</t>
  </si>
  <si>
    <t>Michael Karpovich</t>
  </si>
  <si>
    <t>Internationale Gerechtigkeit und institutionelle Verantwortung</t>
  </si>
  <si>
    <t>Julian Nida-RÃ¼melin-Detlef Daniels-Nicole Wloka</t>
  </si>
  <si>
    <t>Affektpoetiken des New Hollywood</t>
  </si>
  <si>
    <t>Hauke Lehmann</t>
  </si>
  <si>
    <t>Lehrbuch der Instrumentenkunde fÃ¼r die Operationspraxis</t>
  </si>
  <si>
    <t>Berta Kaboth</t>
  </si>
  <si>
    <t>Logarithmische Rechentafeln fÃ¼r Chemiker, Pharmazeuten, Mediziner und Physiker</t>
  </si>
  <si>
    <t>F. W. KÃ¼ster-Kurt Fischbeck</t>
  </si>
  <si>
    <t>Probability and Statistics</t>
  </si>
  <si>
    <t>Wieland und das Drama</t>
  </si>
  <si>
    <t>Emilie Marx</t>
  </si>
  <si>
    <t>Wachstum und Entwicklung</t>
  </si>
  <si>
    <t>Helmut Wagner</t>
  </si>
  <si>
    <t>Lineare Algebra</t>
  </si>
  <si>
    <t>Hans-Joachim Kowalsky</t>
  </si>
  <si>
    <t>Visuelle Linguistik</t>
  </si>
  <si>
    <t>Noah Bubenhofer</t>
  </si>
  <si>
    <t>Jews and Germans in Eastern Europe</t>
  </si>
  <si>
    <t>Tobias Grill</t>
  </si>
  <si>
    <t>Jalkut Schimoni zum ZwÃ¶lfprophetenbuch</t>
  </si>
  <si>
    <t>RELIGION / Biblical Studies / Old Testament / Poetry &amp; Wisdom Literature</t>
  </si>
  <si>
    <t>Farina Marx</t>
  </si>
  <si>
    <t>Genocide and Mass Violence in Asia</t>
  </si>
  <si>
    <t>Material Aspects of Letter Writing in the Graeco-Roman World</t>
  </si>
  <si>
    <t>Antonia Sarri</t>
  </si>
  <si>
    <t>Kirchenbild und Kircheneinheit</t>
  </si>
  <si>
    <t>Andrea Riedl</t>
  </si>
  <si>
    <t>Medienwissenschaften</t>
  </si>
  <si>
    <t>The Rhetoric of Topics and Forms</t>
  </si>
  <si>
    <t>Gianna Zocco</t>
  </si>
  <si>
    <t>Mesopotamian Eye Disease Texts</t>
  </si>
  <si>
    <t>Markham J. Geller-Strahil V. Panayotov</t>
  </si>
  <si>
    <t>Papierherstellung im deutschen SÃ¼dwesten</t>
  </si>
  <si>
    <t>Sandra Schultz</t>
  </si>
  <si>
    <t>Stilfragen</t>
  </si>
  <si>
    <t>Organized Secularism in the United States</t>
  </si>
  <si>
    <t>Ryan T. Cragun-Christel Manning-Lori L. Fazzino</t>
  </si>
  <si>
    <t>Humanidades Digitales</t>
  </si>
  <si>
    <t>DÃ©borah GonzÃ¡lez-Helena BermÃºdez Sabel</t>
  </si>
  <si>
    <t>SportfunktionÃ¤re und jÃ¼dische Differenz</t>
  </si>
  <si>
    <t>Bernhard Hachleitner-Matthias Marschik-Georg Spitaler</t>
  </si>
  <si>
    <t>Advances in the Sociology of Trust and Cooperation</t>
  </si>
  <si>
    <t>Vincent Buskens-Rense Corten-Chris Snijders</t>
  </si>
  <si>
    <t>Disiecta Membra Musicae</t>
  </si>
  <si>
    <t>Giovanni Varelli</t>
  </si>
  <si>
    <t>WeiÃŸbuch Konservative OrthopÃ¤die und Unfallchirurgie</t>
  </si>
  <si>
    <t>Matthias Psczolla-Bernd Kladny-Johannes Flechtenmacher-Reinhard Hoffmann-Karsten DreinhÃ¶fer</t>
  </si>
  <si>
    <t>World Literature, Cosmopolitanism, Globality</t>
  </si>
  <si>
    <t>Gesine MÃ¼ller-Mariano Siskind</t>
  </si>
  <si>
    <t>Bild und Schrift auf 'magischen' Artefakten</t>
  </si>
  <si>
    <t>Sarah Kiyanrad-Christoffer Theis-Laura Willer</t>
  </si>
  <si>
    <t>Kaiserhaus, StaatsmÃ¤nner und Politiker</t>
  </si>
  <si>
    <t>Erich Kielmansegg</t>
  </si>
  <si>
    <t>The Politics of Housing in (Post-)Colonial Africa</t>
  </si>
  <si>
    <t>Kirsten RÃ¼ther-Martina Barker-Ciganikova-Daniela Waldburger-Carl-Philipp Bodenstein</t>
  </si>
  <si>
    <t>Beyond Priesthood</t>
  </si>
  <si>
    <t>Richard L. Gordon-Georgia Petridou-JÃ¶rg RÃ¼pke</t>
  </si>
  <si>
    <t>Judah Haleviâ€™s Fideistic Scepticism in the Kuzari</t>
  </si>
  <si>
    <t>Ehud Krinis</t>
  </si>
  <si>
    <t>Neues aus Wissenschaft und Lehre der Heinrich-Heine-UniversitÃ¤t DÃ¼sseldorf 2010</t>
  </si>
  <si>
    <t>Die feinen Unterschiede</t>
  </si>
  <si>
    <t>Elke Stein-HÃ¶lkeskamp</t>
  </si>
  <si>
    <t>Sachtypologie der Landfahrzeuge</t>
  </si>
  <si>
    <t>Wolfgang Putschke</t>
  </si>
  <si>
    <t>The Poetry of Ruan Ji and Xi Kang</t>
  </si>
  <si>
    <t>Stephen Owen-Wendy Swartz-Ding Xiang Warner-Xiaofei Tian</t>
  </si>
  <si>
    <t>Migration und Avantgarde</t>
  </si>
  <si>
    <t>Stephanie Bung-Susanne Zepp</t>
  </si>
  <si>
    <t>NobelpreistrÃ¤gerinnen</t>
  </si>
  <si>
    <t>GrÃ¼ne Sonnen: Poetik und Politik der Fantasy am Medium Videospiel</t>
  </si>
  <si>
    <t>Daniel Illger</t>
  </si>
  <si>
    <t>Goetheâ€™s Faust and the Divan of á¸¤Äfiáº“</t>
  </si>
  <si>
    <t>Hiwa Michaeli</t>
  </si>
  <si>
    <t>Novalis, der Romantiker</t>
  </si>
  <si>
    <t>Ernst Heilborn</t>
  </si>
  <si>
    <t>Health and Socio-economic Status Over the Life Course</t>
  </si>
  <si>
    <t>Axel BÃ¶rsch-Supan-Johanna Bristle-Karen Andersen-Ranberg-Agar Brugiavini-Florence Jusot-Howard Litwin-Guglielmo Weber</t>
  </si>
  <si>
    <t>Levinas and Literature</t>
  </si>
  <si>
    <t>Michael Fagenblat-Arthur Cools</t>
  </si>
  <si>
    <t>Das Tragische und die TragÃ¶die</t>
  </si>
  <si>
    <t>Ludwig Hasenclever</t>
  </si>
  <si>
    <t>Transregional and Regional Elites â€“ Connecting the Early Islamic Empire</t>
  </si>
  <si>
    <t>Hannah-Lena Hagemann-Stefan Heidemann</t>
  </si>
  <si>
    <t>Archive fÃ¼r Literatur</t>
  </si>
  <si>
    <t>Petra-Maria Dallinger-Georg Hofer-Bernhard Judex</t>
  </si>
  <si>
    <t>Assessment of General Practitioners' Performance in Daily Practice</t>
  </si>
  <si>
    <t>Stefan Wilm</t>
  </si>
  <si>
    <t>Ort und Zeit</t>
  </si>
  <si>
    <t>Michael Wedel</t>
  </si>
  <si>
    <t>Normen und Standards fÃ¼r die digitale Transformation</t>
  </si>
  <si>
    <t>Axel Mangelsdorf-Petra Weiler</t>
  </si>
  <si>
    <t>Confini, identitÃ , appartenenze</t>
  </si>
  <si>
    <t>Angela Fabris-Ilvano Caliaro</t>
  </si>
  <si>
    <t>Stories That Make History</t>
  </si>
  <si>
    <t>The Research Team of the War-Womenâ€™s Human Rights Center</t>
  </si>
  <si>
    <t>Cultures of Eschatology</t>
  </si>
  <si>
    <t>Veronika Wieser-Vincent Eltschinger-Johann Heiss</t>
  </si>
  <si>
    <t>Digitale Infrastrukturen fÃ¼r die germanistische Forschung</t>
  </si>
  <si>
    <t>Henning Lobin-Roman Schneider-Andreas Witt</t>
  </si>
  <si>
    <t>Zur Geschichte deutscher Wissenschaftssprachen</t>
  </si>
  <si>
    <t>Uwe PÃ¶rksen-JÃ¼rgen Schiewe</t>
  </si>
  <si>
    <t>ErzÃ¤hlte Ordnungen â€“ Ordnungen des ErzÃ¤hlens</t>
  </si>
  <si>
    <t>Daniela Fuhrmann-Pia Selmayr</t>
  </si>
  <si>
    <t>Bildungspraktiken der AufklÃ¤rung / Education practices of the Enlightenment</t>
  </si>
  <si>
    <t>Silke Pasewalck-Matthias Weber</t>
  </si>
  <si>
    <t>The Roots of Respect</t>
  </si>
  <si>
    <t>Giovanni Giorgini-Elena Irrera</t>
  </si>
  <si>
    <t>Discursive â€œRenovatioâ€ in Lope De Vega and CalderÃ³n</t>
  </si>
  <si>
    <t>Historische GÃ¤rten und Klimawandel</t>
  </si>
  <si>
    <t>Reinhard F. HÃ¼ttl-Karen David-Bernd Uwe Schneider</t>
  </si>
  <si>
    <t>Futures of the Study of Culture</t>
  </si>
  <si>
    <t>Doris Bachmann-Medick-Jens Kugele-Ansgar NÃ¼nning</t>
  </si>
  <si>
    <t>Rhetoric and Drama</t>
  </si>
  <si>
    <t>DS Mayfield</t>
  </si>
  <si>
    <t>De la literatura latinoamericana a la literatura (latinoamericana) mundial</t>
  </si>
  <si>
    <t>Jorge J. Locane</t>
  </si>
  <si>
    <t>Sitta Reden</t>
  </si>
  <si>
    <t>Das Problem des KÃ¼nstlerischen</t>
  </si>
  <si>
    <t>Emil Preetorius</t>
  </si>
  <si>
    <t>Eivor Andersen Oftestad-Joar Haga</t>
  </si>
  <si>
    <t>Psychobiologie der Volksseuche Neurose</t>
  </si>
  <si>
    <t>Hans Lungwitz</t>
  </si>
  <si>
    <t>Der freiwillige soziale Aufwand in der Industrie und seine betriebswirtschaftliche Behandlung</t>
  </si>
  <si>
    <t>GÃ¼nter Merle</t>
  </si>
  <si>
    <t>Fakes and Forgeries of Written Artefacts From Ancient Mesopotamia to Modern China</t>
  </si>
  <si>
    <t>CÃ©cile Michel-Michael Friedrich</t>
  </si>
  <si>
    <t>An Imaginary Trio</t>
  </si>
  <si>
    <t>Yaacov Shavit</t>
  </si>
  <si>
    <t>FÃ¼hrungskrÃ¤fte im Betrieb</t>
  </si>
  <si>
    <t>Dimitris N. Chorafas</t>
  </si>
  <si>
    <t>Digital Papyrology I</t>
  </si>
  <si>
    <t>Sprach-Spiel-Kunst</t>
  </si>
  <si>
    <t>Creating Standards</t>
  </si>
  <si>
    <t>Dmitry Bondarev-Alessandro Gori-Lameen Souag</t>
  </si>
  <si>
    <t>Chinese Annals in the Western Observatory</t>
  </si>
  <si>
    <t>Edward Shaughnessy</t>
  </si>
  <si>
    <t>Das Hirsch-Institut fÃ¼r Tropenmedizin</t>
  </si>
  <si>
    <t>Carbon-Based Smart Materials</t>
  </si>
  <si>
    <t>Constantinos A. Charitidis-Elias P. Koumoulos-Dimitrios A. Dragatogiannis</t>
  </si>
  <si>
    <t>Geschichte der islamischen VÃ¶lker und Staaten</t>
  </si>
  <si>
    <t>Carl Brockelmann</t>
  </si>
  <si>
    <t>Indic Manuscript Cultures Through the Ages</t>
  </si>
  <si>
    <t>Vincenzo Vergiani-Daniele Cuneo-Camillo Alessio Formigatti</t>
  </si>
  <si>
    <t>World Editors</t>
  </si>
  <si>
    <t>Gustavo Guerrero-Benjamin Loy-Gesine MÃ¼ller</t>
  </si>
  <si>
    <t>English Formal Satire</t>
  </si>
  <si>
    <t>Doris C. Powers</t>
  </si>
  <si>
    <t>Dynamics of Religion</t>
  </si>
  <si>
    <t>Christoph Bochinger-JÃ¶rg RÃ¼pke</t>
  </si>
  <si>
    <t>Das materielle Erbe des Steinkohlenbergbaus in Deutschland</t>
  </si>
  <si>
    <t>Stefan Siemer</t>
  </si>
  <si>
    <t>Heilige und Heiden im legendarischen ErzÃ¤hlen des 13. Jahrhunderts</t>
  </si>
  <si>
    <t>Felix Prautzsch</t>
  </si>
  <si>
    <t>Dividing Texts</t>
  </si>
  <si>
    <t>Bidur Bhattarai</t>
  </si>
  <si>
    <t>Die KriminalitÃ¤t in den USA und ihre Behandlung</t>
  </si>
  <si>
    <t>Walter C. Reckless</t>
  </si>
  <si>
    <t>Rente im Dritten Reich</t>
  </si>
  <si>
    <t>Paul Erker</t>
  </si>
  <si>
    <t>Apprendre la langue Rwanda</t>
  </si>
  <si>
    <t>C. M. Overdulve</t>
  </si>
  <si>
    <t>HimmelwÃ¤rts / Das unbekannte Leben / Mit dem Kopf durch die Wand</t>
  </si>
  <si>
    <t>Nicole Streitler-Kastberger</t>
  </si>
  <si>
    <t>Image â€“ Action â€“ Space</t>
  </si>
  <si>
    <t>Luisa Feiersinger-Kathrin Friedrich-Moritz Queisner</t>
  </si>
  <si>
    <t>Re-mapping World Literature</t>
  </si>
  <si>
    <t>Gesine MÃ¼ller-Jorge J. Locane-Benjamin Loy</t>
  </si>
  <si>
    <t>History and Drama</t>
  </si>
  <si>
    <t>Joachim KÃ¼pper-Jan Mosch-Elena Penskaya</t>
  </si>
  <si>
    <t>The BÃ¤nkelsang and the Work of Bertolt Brecht</t>
  </si>
  <si>
    <t>Sammy K. McLean</t>
  </si>
  <si>
    <t>Loans in Colonial and Modern Nahuatl</t>
  </si>
  <si>
    <t>Agnieszka Brylak-Julia Madajczak-Justyna Olko-John Sullivan</t>
  </si>
  <si>
    <t>Studies on Greek and Coptic Majuscule Scripts and Books</t>
  </si>
  <si>
    <t>Pasquale Orsini</t>
  </si>
  <si>
    <t>"Fabellae"</t>
  </si>
  <si>
    <t>Grammatiktheorie und Empirie in der germanistischen Linguistik</t>
  </si>
  <si>
    <t>Angelika WÃ¶llstein-Peter Gallmann-Mechthild Habermann-Manfred Krifka</t>
  </si>
  <si>
    <t>Wirklichkeit oder Konstruktion?</t>
  </si>
  <si>
    <t>Ekkehard Felder-Andreas Gardt</t>
  </si>
  <si>
    <t>German and Dutch in Contrast</t>
  </si>
  <si>
    <t>Gunther Vogelaer-Dietha Koster-Torsten Leuschner</t>
  </si>
  <si>
    <t>Meaning and Grammar of Nouns and Verbs</t>
  </si>
  <si>
    <t>Doris Gerland-Christian Horn-Anja Latrouite-Albert Ortmann</t>
  </si>
  <si>
    <t>Tractatus mythologicus</t>
  </si>
  <si>
    <t>Christian Zgoll</t>
  </si>
  <si>
    <t>Von der MakroÃ¶konomie zum Kleinbauern</t>
  </si>
  <si>
    <t>Andrea Franc</t>
  </si>
  <si>
    <t>Simulations in Medicine</t>
  </si>
  <si>
    <t>Irena Roterman-Konieczna</t>
  </si>
  <si>
    <t>Pays candidats au processus de dÃ©veloppement</t>
  </si>
  <si>
    <t>Samuel C. Nana-Sinkam</t>
  </si>
  <si>
    <t>Zukunft Lernwelt Hochschule</t>
  </si>
  <si>
    <t>Die LehnwÃ¶rter im Wortschatz der spÃ¤tbyzantinischen historiographischen Literatur</t>
  </si>
  <si>
    <t>Vratislav Zervan</t>
  </si>
  <si>
    <t>Kalter Krieg auf dem indischen Subkontinent</t>
  </si>
  <si>
    <t>Alexander Benatar</t>
  </si>
  <si>
    <t>Rome and The Guidebook Tradition</t>
  </si>
  <si>
    <t>Anna Blennow-Stefano Fogelberg Rota</t>
  </si>
  <si>
    <t>Die Transformation der InformationsmÃ¤rkte in Richtung Nutzungsfreiheit</t>
  </si>
  <si>
    <t>Rainer Kuhlen</t>
  </si>
  <si>
    <t>Theatre Cultures Within Globalising Empires</t>
  </si>
  <si>
    <t>Joachim KÃ¼pper-Leonie Pawlita</t>
  </si>
  <si>
    <t>Comprehending and Confronting Antisemitism</t>
  </si>
  <si>
    <t>Socrates, or on Human Knowledge</t>
  </si>
  <si>
    <t>Simone Luzzatto-Giuseppe Veltri-Michela Torbidoni</t>
  </si>
  <si>
    <t>Minnereden</t>
  </si>
  <si>
    <t>Iulia-Emilia Dorobantu-Jacob Klingner-Ludger Lieb</t>
  </si>
  <si>
    <t>Untersuchungen Ã¼ber Ulrich FÃ¼rtrers Dichtung von dem Gral und der Tafelrunde, 1</t>
  </si>
  <si>
    <t>Paul Hamburger</t>
  </si>
  <si>
    <t>Petrarch and Boccaccio</t>
  </si>
  <si>
    <t>Igor Candido</t>
  </si>
  <si>
    <t>Meeresalgen fuer die menschliche ErnÃ¤hrung</t>
  </si>
  <si>
    <t>Landscapeâ€™s Revenge</t>
  </si>
  <si>
    <t>Caio Yurgel</t>
  </si>
  <si>
    <t>Manuscripts and Archives</t>
  </si>
  <si>
    <t>Alessandro Bausi-Christian Brockmann-Michael Friedrich-Sabine Kienitz</t>
  </si>
  <si>
    <t>Black Boxes â€“ Versiegelungskontexte und Ã–ffnungsversuche</t>
  </si>
  <si>
    <t>Eckhard Geitz-Christian Vater-Silke Zimmer-Merkle</t>
  </si>
  <si>
    <t>Die Macht des Seelischen</t>
  </si>
  <si>
    <t>Hans Braun</t>
  </si>
  <si>
    <t>Paulus als ErzÃ¤hler?</t>
  </si>
  <si>
    <t>Christoph Heilig</t>
  </si>
  <si>
    <t>Geistliche Liederdichter zwischen Liturgie und Volkssprache</t>
  </si>
  <si>
    <t>Andreas KraÃŸ-Matthias Standke</t>
  </si>
  <si>
    <t>Wie wird Weltliteratur gemacht?</t>
  </si>
  <si>
    <t>Was macht die Digitalisierung mit den Hochschulen?</t>
  </si>
  <si>
    <t>Marko Demantowsky-Gerhard Lauer-Robin Schmidt-Bert te Wildt</t>
  </si>
  <si>
    <t>JÃ¼dische Expatriates in China und Hong Kong nach 1976</t>
  </si>
  <si>
    <t>Alina PÄƒtru</t>
  </si>
  <si>
    <t>Krieg und Kunst im antiken Griechenland und Rom</t>
  </si>
  <si>
    <t>Tonio HÃ¶lscher</t>
  </si>
  <si>
    <t>Schweizerdeutsch und Sprachbewusstsein</t>
  </si>
  <si>
    <t>Emanuel Ruoss</t>
  </si>
  <si>
    <t>Barren Women</t>
  </si>
  <si>
    <t>Sara Verskin</t>
  </si>
  <si>
    <t>Die Untersuchung und Konstruktion schwieriger Raumgebilde</t>
  </si>
  <si>
    <t>Gustav HolzmÃ¼ller</t>
  </si>
  <si>
    <t>Explorations of the Syntax-Semantics Interface</t>
  </si>
  <si>
    <t>Jens Fleischhauer-Anja Latrouite-Rainer Osswald</t>
  </si>
  <si>
    <t>The Role of Value in Karl Mannheims Sociology of Knowledge</t>
  </si>
  <si>
    <t>F. Warren Rempel</t>
  </si>
  <si>
    <t>Frames InterdisziplinÃ¤r: Modelle, Anwendungsfelder, Methoden</t>
  </si>
  <si>
    <t>Alexander Ziem-Lars Inderelst-Detmer Wulf</t>
  </si>
  <si>
    <t>Bronze Age Lives</t>
  </si>
  <si>
    <t>Anthony Harding</t>
  </si>
  <si>
    <t>Of Gods and Books</t>
  </si>
  <si>
    <t>Florinda De Simini</t>
  </si>
  <si>
    <t>Bewertungsinteraktionen in der Theaterpause</t>
  </si>
  <si>
    <t>Christine Hrncal</t>
  </si>
  <si>
    <t>Jeux de mots et crÃ©ativitÃ©</t>
  </si>
  <si>
    <t>Bettina Full-Michelle Lecolle</t>
  </si>
  <si>
    <t>Instruments and Related Concepts at the Syntax-Semantics Interface</t>
  </si>
  <si>
    <t>Koen Van Hooste</t>
  </si>
  <si>
    <t>Yearbook of the Maimonides Centre for Advanced Studies. 2017</t>
  </si>
  <si>
    <t>Renaissance- und Humanistenhandschriften</t>
  </si>
  <si>
    <t>Johanne Autenrieth</t>
  </si>
  <si>
    <t>Eleventh European Powder Diffraction Conference</t>
  </si>
  <si>
    <t>Rationale Entscheidungen unter Unsicherheit</t>
  </si>
  <si>
    <t>Bernhard Fleischer-Reiner Lauterbach-Kurt Pawlik</t>
  </si>
  <si>
    <t>Dialektik und Rhetorik im frÃ¼hen und hohen Mittelalter</t>
  </si>
  <si>
    <t>Johannes Fried</t>
  </si>
  <si>
    <t>LaienfrÃ¶mmigkeit im spÃ¤ten Mittelalter</t>
  </si>
  <si>
    <t>Les AmÃ©ricains de Paris</t>
  </si>
  <si>
    <t>Solange Petit</t>
  </si>
  <si>
    <t>Ost-westliche Erfahrungen der ModernitÃ¤t</t>
  </si>
  <si>
    <t>Michael Jaeger-Mingchao Mao-Benjamin Langer</t>
  </si>
  <si>
    <t>Understanding Material Text Cultures</t>
  </si>
  <si>
    <t>Markus Hilgert</t>
  </si>
  <si>
    <t>Principles of Decoration in the Roman World</t>
  </si>
  <si>
    <t>Annette Haug-M. Taylor Lauritsen</t>
  </si>
  <si>
    <t>Das Sutta NipÃ¢ta</t>
  </si>
  <si>
    <t>Arthur Pfungst-V. FausbÃ¶ll</t>
  </si>
  <si>
    <t>Poetic Critique</t>
  </si>
  <si>
    <t>Michel Chaouli-Jan Lietz-Jutta MÃ¼ller-Tamm-Simon Schleusener</t>
  </si>
  <si>
    <t>Traumaticismus und Infection</t>
  </si>
  <si>
    <t>Superconductors at the Nanoscale</t>
  </si>
  <si>
    <t>Roger WÃ¶rdenweber-Victor Moshchalkov-Simon Bending-Francesco Tafuri</t>
  </si>
  <si>
    <t>Bridging Formal and Conceptual Semantics</t>
  </si>
  <si>
    <t>Kata Balogh-Wiebke Petersen</t>
  </si>
  <si>
    <t>Scepticism and Anti-Scepticism in Medieval Jewish Philosophy and Thought</t>
  </si>
  <si>
    <t>Racheli Haliva</t>
  </si>
  <si>
    <t>Weissbuch Gastroenterologie 2020/2021</t>
  </si>
  <si>
    <t>Frank Lammert-Petra Lynen Jansen-Markus M. Lerch</t>
  </si>
  <si>
    <t>De saltationibus Graecorum capita quinque</t>
  </si>
  <si>
    <t>Kurt Latte</t>
  </si>
  <si>
    <t>Namenwechsel</t>
  </si>
  <si>
    <t>Miriam Schmidt-JÃ¼ngst</t>
  </si>
  <si>
    <t>The Linguistic Integration of Adult Migrants / Lâ€™intÃ©gration linguistique des migrants adultes</t>
  </si>
  <si>
    <t>Jean-Claude Beacco-Hans-JÃ¼rgen Krumm-David Little-Philia Thalgott</t>
  </si>
  <si>
    <t>Bibliotheken der Schweiz: Innovation durch Kooperation</t>
  </si>
  <si>
    <t>Zentralbibliothek ZÃ¼rich-Alice Keller-Susanne Uhl</t>
  </si>
  <si>
    <t>Die Chronica pontificum Leodiensium</t>
  </si>
  <si>
    <t>Friedrich Franz</t>
  </si>
  <si>
    <t>The Present and Past Periphrastic Tenses in Anglo-Saxon</t>
  </si>
  <si>
    <t>Constance Pessels</t>
  </si>
  <si>
    <t>The Study of an Italian Village</t>
  </si>
  <si>
    <t>A. L. Maraspini</t>
  </si>
  <si>
    <t>Experimentalphysik</t>
  </si>
  <si>
    <t>Thomas Fischer</t>
  </si>
  <si>
    <t>Energy Efficiency Solutions for Historic Buildings</t>
  </si>
  <si>
    <t>Alexandra (EURAC research) Troi-Zeno (Passive House Institute) Bastian</t>
  </si>
  <si>
    <t>Augmented Spaces and Maps</t>
  </si>
  <si>
    <t>RingstraÃŸe ist Ã¼berall</t>
  </si>
  <si>
    <t>Christian KÃ¼hn</t>
  </si>
  <si>
    <t>Challenging The City Scale</t>
  </si>
  <si>
    <t>CitÃ© du Design-CLEAR VILLAGE</t>
  </si>
  <si>
    <t>Natural Communication</t>
  </si>
  <si>
    <t>Elias Zafiris-Ludger Hovestadt-Vera BÃ¼hlmann</t>
  </si>
  <si>
    <t>Ghosts of Transparency</t>
  </si>
  <si>
    <t>Michael R. Doyle-Selena SaviÄ‡-Vera BÃ¼hlmann</t>
  </si>
  <si>
    <t>Not at Your Service</t>
  </si>
  <si>
    <t>DESIGN / Product</t>
  </si>
  <si>
    <t>BjÃ¶rn Franke-Hansuli Matter</t>
  </si>
  <si>
    <t>Architecture and Naturing Affairs</t>
  </si>
  <si>
    <t>Mihye An-Ludger Hovestadt</t>
  </si>
  <si>
    <t>Technology, Media Literacy, and the Human Subject</t>
  </si>
  <si>
    <t xml:space="preserve"> Richard S. Lewis</t>
  </si>
  <si>
    <t>The Great Upheaval</t>
  </si>
  <si>
    <t>Judith A. Byfield</t>
  </si>
  <si>
    <t>Des Mots Pour Les Dieux</t>
  </si>
  <si>
    <t>MarÃ­a JosÃ© EstarÃ¡n Tolosa-Emmanuel Dupraz-Michel Aberson</t>
  </si>
  <si>
    <t>Transformations of Trade Unionism</t>
  </si>
  <si>
    <t>Ad Knotter</t>
  </si>
  <si>
    <t>The Playful Citizen</t>
  </si>
  <si>
    <t>RenÃ© Glas-Sybille Lammes-Michiel Lange-Joost Raessens-Imar Vries</t>
  </si>
  <si>
    <t>Real Life Cryptology</t>
  </si>
  <si>
    <t>Benedek LÃ¡ng</t>
  </si>
  <si>
    <t>Network and Migration in Early Renaissance Florence, 1378-1433</t>
  </si>
  <si>
    <t>Katalin Prajda</t>
  </si>
  <si>
    <t>Higher Education in 2040</t>
  </si>
  <si>
    <t>Bert Zwaan</t>
  </si>
  <si>
    <t>The Public and Their Platforms</t>
  </si>
  <si>
    <t>Mark Carrigan-Lambros Fatsis</t>
  </si>
  <si>
    <t>Transformational Ethics of Film</t>
  </si>
  <si>
    <t>Martin P. Rossouw</t>
  </si>
  <si>
    <t>The Orexin System. Basic Science and Role in Sleep Pathology</t>
  </si>
  <si>
    <t>Michel A., Steiner-Masashi, Yanagisawa-Martine, Clozel</t>
  </si>
  <si>
    <t>Transfer gelingend steuern</t>
  </si>
  <si>
    <t>Veronika Manitius</t>
  </si>
  <si>
    <t>A Victorian Curate</t>
  </si>
  <si>
    <t xml:space="preserve"> David Yeandle</t>
  </si>
  <si>
    <t>Writing and Publishing Scientific Papers</t>
  </si>
  <si>
    <t xml:space="preserve"> GÃ¡bor L. LÃ¶vei</t>
  </si>
  <si>
    <t>On the Literature and Thought of the German Classical Era</t>
  </si>
  <si>
    <t>PHILOSOPHY / Essays</t>
  </si>
  <si>
    <t xml:space="preserve"> Hugh Barr Nisbet</t>
  </si>
  <si>
    <t>Inventory Analytics</t>
  </si>
  <si>
    <t xml:space="preserve"> Roberto Rossi</t>
  </si>
  <si>
    <t>Right Research</t>
  </si>
  <si>
    <t xml:space="preserve"> Chelsea Miya-Oliver Rossier-Geoffrey Rockwell</t>
  </si>
  <si>
    <t>Diversity and Rabbinization</t>
  </si>
  <si>
    <t xml:space="preserve"> Gavin McDowell-Ron Naiweld-Daniel StÃ¶kl Ben Ezra</t>
  </si>
  <si>
    <t>Shaping the Digital Dissertation</t>
  </si>
  <si>
    <t xml:space="preserve"> Virginia Kuhn-Anke Finger</t>
  </si>
  <si>
    <t>Das Interdikt in der europÃ¤ischen Vormoderne.</t>
  </si>
  <si>
    <t>Tobias Daniels-Christian Jaser-Thomas Woelki</t>
  </si>
  <si>
    <t>Lebenswelten jenseits der Parallelgesellschaft</t>
  </si>
  <si>
    <t>Severin Frenzel</t>
  </si>
  <si>
    <t>BerÃ¼hrbarkeit als conditio humana</t>
  </si>
  <si>
    <t>HÃ©la Hecker</t>
  </si>
  <si>
    <t>Governmental Migration Research in Germany</t>
  </si>
  <si>
    <t>Vinzenz Kratzer</t>
  </si>
  <si>
    <t>Skateparks</t>
  </si>
  <si>
    <t>SPORTS &amp; RECREATION / Skateboarding</t>
  </si>
  <si>
    <t>Veith Kilberth</t>
  </si>
  <si>
    <t>Sterben und Ehrenamt</t>
  </si>
  <si>
    <t>Melanie Pierburg</t>
  </si>
  <si>
    <t>Representations of Global Civility</t>
  </si>
  <si>
    <t>Sascha R. Klement</t>
  </si>
  <si>
    <t>Die Anderen ge-brauchen</t>
  </si>
  <si>
    <t>Veronika Kourabas</t>
  </si>
  <si>
    <t>Erfinden, SchÃ¶pfen, Machen</t>
  </si>
  <si>
    <t>Nina Engelhardt-Johannes F.M. Schick</t>
  </si>
  <si>
    <t>Transforming Gender and Emotion</t>
  </si>
  <si>
    <t>Sookja Cho</t>
  </si>
  <si>
    <t>The Philosophy and Psychology of Commitment</t>
  </si>
  <si>
    <t>John Michael</t>
  </si>
  <si>
    <t>The Internationalization of the Academic Library</t>
  </si>
  <si>
    <t>Emmett Lombard</t>
  </si>
  <si>
    <t>In the Shadow of Transitional Justice</t>
  </si>
  <si>
    <t>Guy Elcheroth-Neloufer de Mel</t>
  </si>
  <si>
    <t>Global Perspectives on NGO Communication for Social Change</t>
  </si>
  <si>
    <t>Giuliana Sorce</t>
  </si>
  <si>
    <t>Naturvorstellungen im Altertum</t>
  </si>
  <si>
    <t>Florian Schimpf-Dominik Berrens-Katharina Hillenbrand-Tim Brandes-Carrie Schidlo</t>
  </si>
  <si>
    <t>The Principle of Equality in Diverse States</t>
  </si>
  <si>
    <t>Eva Maria Belser-Thea BÃ¤chler-Sandra Egli-Lawrence ZÃ¼nd</t>
  </si>
  <si>
    <t>Language Variation â€“ European Perspectives VIII</t>
  </si>
  <si>
    <t>Hans Van de Velde-Nanna Haug Hilton-Remco Knooihuizen</t>
  </si>
  <si>
    <t>People's Wars in China, Malaya, and Vietnam</t>
  </si>
  <si>
    <t>Marc Opper</t>
  </si>
  <si>
    <t>Embodied Archive</t>
  </si>
  <si>
    <t>Susan Antebi</t>
  </si>
  <si>
    <t>Discovering Addiction</t>
  </si>
  <si>
    <t>Nancy D. Campbell</t>
  </si>
  <si>
    <t>In the Red</t>
  </si>
  <si>
    <t>Zsofia Barta</t>
  </si>
  <si>
    <t>European-Russian Power Relations in Turbulent Times</t>
  </si>
  <si>
    <t>Mai'a Cross-Ireneusz Pawel Karolewski</t>
  </si>
  <si>
    <t>Coronavirus Politics</t>
  </si>
  <si>
    <t>Scott L. Greer-Elizabeth J King-Elize Massard da Fonseca-Andre Peralta-Santos</t>
  </si>
  <si>
    <t>Brushed in Light</t>
  </si>
  <si>
    <t>AbÃ© Markus Nornes</t>
  </si>
  <si>
    <t>Mapping Water in Dominica</t>
  </si>
  <si>
    <t>Mark W. Hauser</t>
  </si>
  <si>
    <t>Social Movements and Solidarity Structures in Crisis-Ridden Greece</t>
  </si>
  <si>
    <t>Haris Malamidis</t>
  </si>
  <si>
    <t>Belonging and Becoming in a Multicultural World</t>
  </si>
  <si>
    <t>Laura Moran</t>
  </si>
  <si>
    <t>Globalization, Environmental Law, and Sustainable Development in the Global South</t>
  </si>
  <si>
    <t>Kirk W. Junker-Paolo Davide Farah</t>
  </si>
  <si>
    <t>Gender, Judging and the Courts in Africa</t>
  </si>
  <si>
    <t>J. Jarpa Dawuni</t>
  </si>
  <si>
    <t>Decolonizing Colonial Heritage</t>
  </si>
  <si>
    <t>Britta Timm Knudsen-John Oldfield-Elizabeth Buettner-Elvan Zabunyan</t>
  </si>
  <si>
    <t>Action Sports and the Olympic Games</t>
  </si>
  <si>
    <t>Belinda Wheaton-Holly Thorpe</t>
  </si>
  <si>
    <t>Antiracist Medievalisms</t>
  </si>
  <si>
    <t>Jonathan Hsy</t>
  </si>
  <si>
    <t>Wirtschaftliche Auswirkungen einer Ã¶kologischen Steuerreform.</t>
  </si>
  <si>
    <t>Stefan Bach-Michael Kohlhaas-Volker Meinhardt-Barbara Praetorius-Hans Wessels-Rudolf Zwiener</t>
  </si>
  <si>
    <t>Fast Facts for Patients: Long-Chain Fatty Acid Oxidation Disorders</t>
  </si>
  <si>
    <t>Livestock for Sale</t>
  </si>
  <si>
    <t>Maaike Groot</t>
  </si>
  <si>
    <t>Nuns Across the Orange</t>
  </si>
  <si>
    <t xml:space="preserve"> Michael Sparrow</t>
  </si>
  <si>
    <t>Greek Tragedy and Modernist Performance</t>
  </si>
  <si>
    <t>Olga Taxidou</t>
  </si>
  <si>
    <t>Stella E., Hughes-Gabrielle , Macaron</t>
  </si>
  <si>
    <t>COVID-19 and Co-production in Health and Social Care Research, Policy, and Practice</t>
  </si>
  <si>
    <t>Oli Williams-Doreen Tembo-Josephine Ocloo-Meerat Kaur-Gary Hickey-Michelle Farr-Peter Beresford</t>
  </si>
  <si>
    <t>Peter Beresford-Michelle Farr-Gary Hickey-Meerat Kaur-Josephine Ocloo-Doreen Tembo-Oli Williams</t>
  </si>
  <si>
    <t>Peter, Dyer-Martha L., Arellano</t>
  </si>
  <si>
    <t>Intelligent Circuits and Systems</t>
  </si>
  <si>
    <t>Rajesh Singh-Anita Gehlot</t>
  </si>
  <si>
    <t>Modern Trends in Research on Steel, Aluminium and Composite Structures</t>
  </si>
  <si>
    <t>Marian GiÅ¼ejowski-Aleksander KozÅ‚owski-Marcin ChybiÅ„ski-Katarzyna Rzeszut-Robert StudziÅ„ski-Maciej SzumigaÅ‚a</t>
  </si>
  <si>
    <t>Valuing Nature</t>
  </si>
  <si>
    <t>Robert Fish-Holly McKelvey</t>
  </si>
  <si>
    <t>Pesticides, Organic Contaminants, and Pathogens in Air</t>
  </si>
  <si>
    <t>James N. Seiber-Thomas M. Cahill</t>
  </si>
  <si>
    <t>Empowering Civil Society in the Industrial Revolution 4.0</t>
  </si>
  <si>
    <t>Sukowiyono-Siti Awaliyah-Peter Carey-Max Lane-Chen Fei</t>
  </si>
  <si>
    <t>Forced Migration in the Feminist Imagination</t>
  </si>
  <si>
    <t>Anna Ball</t>
  </si>
  <si>
    <t>Urban Blue Spaces</t>
  </si>
  <si>
    <t>Simon Bell-Lora E. Fleming-James Grellier-Friedrich Kuhlmann-Mark J. Nieuwenhuijsen-Mathew P. White</t>
  </si>
  <si>
    <t>Urban Modernity in the Contemporary Gulf</t>
  </si>
  <si>
    <t>Roberto Fabbri-Sultan Sooud Al-Qassemi</t>
  </si>
  <si>
    <t>Oil Spaces</t>
  </si>
  <si>
    <t>Risk Management in Crisis</t>
  </si>
  <si>
    <t>Piotr Jedynak-Sylwia BÄ…k</t>
  </si>
  <si>
    <t>Big and Little Histories</t>
  </si>
  <si>
    <t>Marnie Hughes-Warrington-Anne Martin</t>
  </si>
  <si>
    <t>Transformative Pathways to Sustainability</t>
  </si>
  <si>
    <t>Adrian Ely</t>
  </si>
  <si>
    <t>English and Translation in the European Union</t>
  </si>
  <si>
    <t>Alice Leal</t>
  </si>
  <si>
    <t>Learning to Live with Climate Change</t>
  </si>
  <si>
    <t>Blanche Verlie</t>
  </si>
  <si>
    <t>Organization and Education Development</t>
  </si>
  <si>
    <t>Suresh Nanwani</t>
  </si>
  <si>
    <t>Making Sense of the Future</t>
  </si>
  <si>
    <t>Rick Szostak</t>
  </si>
  <si>
    <t>Climate Adaptation and Resilience Across Scales</t>
  </si>
  <si>
    <t>Nicholas B. Rajkovich-Seth H. Holmes</t>
  </si>
  <si>
    <t>European Union Competition Policy Versus Industrial Competitiveness</t>
  </si>
  <si>
    <t>Hikaru Yoshizawa</t>
  </si>
  <si>
    <t>Electoral Politics in Crisis After the Great Recession</t>
  </si>
  <si>
    <t>Eva H. Ã–nnudÃ³ttir-Agnar Freyr Helgason-Ã“lafur Th. HarÃ°arson-Hulda ThÃ³risdÃ³ttir</t>
  </si>
  <si>
    <t>Gender Equity in STEM in Higher Education</t>
  </si>
  <si>
    <t>Hyun Kyoung Ro-Frank Fernandez-Elizabeth Ramon</t>
  </si>
  <si>
    <t>Art, History, and Anachronic Interventions Since 1990</t>
  </si>
  <si>
    <t>Eva Kernbauer</t>
  </si>
  <si>
    <t>Young People, Wellbeing and Sustainable Arctic Communities</t>
  </si>
  <si>
    <t>Florian Stammler-Reetta Toivanen</t>
  </si>
  <si>
    <t>The Routledge Handbook on Extraterritorial Human Rights Obligations</t>
  </si>
  <si>
    <t>Mark Gibney-Gamze Erdem TÃ¼rkelli-Markus Krajewski-Wouter Vandenhole</t>
  </si>
  <si>
    <t>Engagement in Medical Research Discourse</t>
  </si>
  <si>
    <t>Daniel Lees Fryer</t>
  </si>
  <si>
    <t>Newton's Third Rule and the Experimental Argument for Universal Gravity</t>
  </si>
  <si>
    <t>Mary Domski</t>
  </si>
  <si>
    <t>Generational Tensions and Solidarity Within Advanced Welfare States</t>
  </si>
  <si>
    <t>Asgeir Falch-Eriksen-Marianne Takle-Britt Slagsvold</t>
  </si>
  <si>
    <t>Effective Directors</t>
  </si>
  <si>
    <t>Charlotte Valeur-Claire Fargeot</t>
  </si>
  <si>
    <t>Ecological Limits of Development</t>
  </si>
  <si>
    <t>Kaitlin Kish-Stephen Quilley</t>
  </si>
  <si>
    <t>Artificial Intelligence in the Capitalist University</t>
  </si>
  <si>
    <t>John Preston</t>
  </si>
  <si>
    <t>Narrating Nonhuman Spaces</t>
  </si>
  <si>
    <t>Marco Caracciolo-Marlene Karlsson Marcussen-David Rodriguez</t>
  </si>
  <si>
    <t>Russiaâ€™s Cultural Statecraft</t>
  </si>
  <si>
    <t>Tuomas Forsberg-Sirke MÃ¤kinen</t>
  </si>
  <si>
    <t>Translations of Security</t>
  </si>
  <si>
    <t>Trine Villumsen Berling-Ulrik Pram Gad-Karen Lund Petersen-Ole Waever</t>
  </si>
  <si>
    <t>After the Berlin Wall</t>
  </si>
  <si>
    <t>Andrew Kilpatrick</t>
  </si>
  <si>
    <t>Geography and Religious Knowledge in the Medieval World</t>
  </si>
  <si>
    <t>Christoph Mauntel</t>
  </si>
  <si>
    <t>History of Construction Cultures Volume 2</t>
  </si>
  <si>
    <t>JoÃ£o Mascarenhas-Mateus-Ana Paula Pires</t>
  </si>
  <si>
    <t>History of Construction Cultures Volume 1</t>
  </si>
  <si>
    <t>Handbook of Marine Model Organisms in Experimental Biology</t>
  </si>
  <si>
    <t>Agnes Boutet-Bernd Schierwater</t>
  </si>
  <si>
    <t>Renewable Economies in the Arctic</t>
  </si>
  <si>
    <t>David C. Natcher-Timo Koivurova</t>
  </si>
  <si>
    <t>Loss in French Romantic Art, Literature, and Politics</t>
  </si>
  <si>
    <t>Jonathan P. Ribner</t>
  </si>
  <si>
    <t>Commodifying Violence in Literature and on Screen</t>
  </si>
  <si>
    <t>Alejandro Herrero-Olaizola</t>
  </si>
  <si>
    <t>Spatial Transformations</t>
  </si>
  <si>
    <t>Angela Million-Christian Haid-Ignacio Castillo Ulloa-Nina Baur</t>
  </si>
  <si>
    <t>Hate Speech and Polarization in Participatory Society</t>
  </si>
  <si>
    <t>Marta PÃ©rez-Escolar-JosÃ© Manuel Noguera-Vivo</t>
  </si>
  <si>
    <t>The Dialectical Primatologist</t>
  </si>
  <si>
    <t>Nicholas Malone</t>
  </si>
  <si>
    <t>Literature and Historiography in the Spanish Golden Age</t>
  </si>
  <si>
    <t>Sofie Kluge</t>
  </si>
  <si>
    <t>Western Wall Plaza Excavations III: The Roman and Byzantine Periods; Small Finds From Rhe Roman Refuse Dump and Other Contexts</t>
  </si>
  <si>
    <t>Shlomit Weksler-Bdolah, Alexander Onn</t>
  </si>
  <si>
    <t>Zwei Aufstaende</t>
  </si>
  <si>
    <t>Damian Markowski</t>
  </si>
  <si>
    <t>Jo A., Douglass-Timothy S.C., Hinks</t>
  </si>
  <si>
    <t>Minefill 2020-2021</t>
  </si>
  <si>
    <t>Ferri Hassani-Jan Palarski-Violetta SokoÅ‚a-SzewioÅ‚a-Grzegorz Strozik</t>
  </si>
  <si>
    <t>Brick By Brick: A Snippet of The Life of Booker T. Washington</t>
  </si>
  <si>
    <t>JUVENILE NONFICTION / Biography &amp; Autobiography / Cultural &amp; Regional</t>
  </si>
  <si>
    <t>Stagnations- und Deflationstheorien.</t>
  </si>
  <si>
    <t>Richtlinienkonforme Auslegung und Fortbildung von TarifvertrÃ¤gen.</t>
  </si>
  <si>
    <t>Matthias MÃ¼nder</t>
  </si>
  <si>
    <t>Probleme der normativen Ã–konomik und der wirtschaftspolitischen Beratung.</t>
  </si>
  <si>
    <t>Erwin von Beckerath-Herbert Giersch</t>
  </si>
  <si>
    <t>Reproductive Politics and the Making of Modern India</t>
  </si>
  <si>
    <t>Mytheli Sreenivas</t>
  </si>
  <si>
    <t>The University Revolution</t>
  </si>
  <si>
    <t>Eric Lybeck</t>
  </si>
  <si>
    <t>Matthew, Brown-Katherin, Peperzak</t>
  </si>
  <si>
    <t>Adoption From Care</t>
  </si>
  <si>
    <t>FAMILY &amp; RELATIONSHIPS / Adoption &amp; Fostering</t>
  </si>
  <si>
    <t>Tarja PÃ¶sÃ¶-Marit Skivenes-June Thoburn</t>
  </si>
  <si>
    <t>Urgent Archives</t>
  </si>
  <si>
    <t>Michelle Caswell</t>
  </si>
  <si>
    <t>Macht und Ã¶konomisches Gesetz.</t>
  </si>
  <si>
    <t>Hans K. Schneider-Christian Watrin</t>
  </si>
  <si>
    <t>The Forgotten Massacre</t>
  </si>
  <si>
    <t>Andrea PetÅ‘</t>
  </si>
  <si>
    <t>Corona and Work Around the Globe</t>
  </si>
  <si>
    <t>Andreas Eckert-Felicitas Hentschke</t>
  </si>
  <si>
    <t>Deutsche und sowjetische Gesellschaften im ersten Nachkriegsjahrzehnt</t>
  </si>
  <si>
    <t>Aleksandr O. Cubar'jan-Andreas Wirsching</t>
  </si>
  <si>
    <t>Crystal, Denlinger-Kristen, Spencer</t>
  </si>
  <si>
    <t>Eric, Deconinck-Andrew A., Lane-Naveen, Pemmaraju-Francine, Garnache Ottou</t>
  </si>
  <si>
    <t>Fast Facts: Managing Immune-related Adverse Events in Oncology</t>
  </si>
  <si>
    <t>Rapoport, Bernardo L.-Westman, Helen</t>
  </si>
  <si>
    <t>BarÄqish/Yathill (Yemen) 1986-2007</t>
  </si>
  <si>
    <t>Sabina Antonini-Francesco G. Fedele</t>
  </si>
  <si>
    <t>Pflegerische Versorgung alter Menschen</t>
  </si>
  <si>
    <t>Ingrid Darmann-Finck-Heike Mertesacker</t>
  </si>
  <si>
    <t>Islam and Evolution</t>
  </si>
  <si>
    <t>Shoaib Ahmed Malik</t>
  </si>
  <si>
    <t>Reine VermÃ¶gensschÃ¤den im EuropÃ¤ischen Internationalen Deliktsrecht.</t>
  </si>
  <si>
    <t>Hannes Meyle</t>
  </si>
  <si>
    <t>SÃ¼dtirols Minderheitenschutzsystem.</t>
  </si>
  <si>
    <t>Matthias Haller</t>
  </si>
  <si>
    <t>Cooling Down</t>
  </si>
  <si>
    <t>Susanna Hoffman-Thomas Hylland Eriksen-Paulo Mendes</t>
  </si>
  <si>
    <t>Afropolitan Horizons</t>
  </si>
  <si>
    <t>Ulf Hannerz</t>
  </si>
  <si>
    <t>Indigenous Resurgence</t>
  </si>
  <si>
    <t>Jaskiran Dhillon</t>
  </si>
  <si>
    <t>China's Political Worldview and Chinese Exceptionalism</t>
  </si>
  <si>
    <t>Benjamin Ho</t>
  </si>
  <si>
    <t>Municipal Magdeburg Law (Ius Municipale Magdeburgense) in Late Medieval Poland</t>
  </si>
  <si>
    <t>Maciej MikuÅ‚a</t>
  </si>
  <si>
    <t>Entrepreneurship Education</t>
  </si>
  <si>
    <t>Gustav HÃ¤gg-Agnieszka Kurczewska</t>
  </si>
  <si>
    <t>Flucht als Ãœberlebensstrategie</t>
  </si>
  <si>
    <t>Frauke Schacht</t>
  </si>
  <si>
    <t>Corona und andere WeltuntergÃ¤nge</t>
  </si>
  <si>
    <t>Alexander-Kenneth Nagel</t>
  </si>
  <si>
    <t>Komplexen Subjektivierungen auf der Spur</t>
  </si>
  <si>
    <t>Melanie Behrens</t>
  </si>
  <si>
    <t>Bilder der Enge</t>
  </si>
  <si>
    <t>Martin Schlesinger</t>
  </si>
  <si>
    <t>Die Emotionalisierung des Politischen</t>
  </si>
  <si>
    <t>Paul Helfritzsch-JÃ¶rg MÃ¼ller Hipper</t>
  </si>
  <si>
    <t>Mapping the Unmappable?</t>
  </si>
  <si>
    <t>Ute Dieckmann</t>
  </si>
  <si>
    <t>Operatic Pasticcios in 18th-Century Europe</t>
  </si>
  <si>
    <t>Berthold Over-Gesa zur Nieden</t>
  </si>
  <si>
    <t>Understanding Drugs Markets</t>
  </si>
  <si>
    <t>Carine Baxerres-Maurice Cassier</t>
  </si>
  <si>
    <t>Foundational Principles of Task-Based Language Teaching</t>
  </si>
  <si>
    <t>Martin East</t>
  </si>
  <si>
    <t>Comic Art and Feminism in the Baltic Sea Region</t>
  </si>
  <si>
    <t>Kristy Beers FÃ¤gersten-Anna Nordenstam-Leena Romu-Margareta Wallin Wictorin</t>
  </si>
  <si>
    <t>Indigenous Legal Judgments</t>
  </si>
  <si>
    <t>Cultural Mobilities Between Africa and the Caribbean</t>
  </si>
  <si>
    <t>Birgit Englert-Barbara GfÃ¶llner-Sigrid Thomsen</t>
  </si>
  <si>
    <t>Sweden, Japan, and the Long Second World War</t>
  </si>
  <si>
    <t>Pascal Lottaz-Ingemar Ottosson</t>
  </si>
  <si>
    <t>The Politics and Ethics of Representation in Qualitative Research</t>
  </si>
  <si>
    <t>The Critical Methodologies Collective</t>
  </si>
  <si>
    <t>Queering Translation History</t>
  </si>
  <si>
    <t>Eva SpiÅ¡iakovÃ¡</t>
  </si>
  <si>
    <t>Vaccination Programmes</t>
  </si>
  <si>
    <t>Susan HahnÃ©-Kaatje Bollaerts-Paddy Farrington</t>
  </si>
  <si>
    <t>Subtle Agroecologies</t>
  </si>
  <si>
    <t>Julia Wright</t>
  </si>
  <si>
    <t>Edyta Chlebowska-Agata Brajerska-Mazur</t>
  </si>
  <si>
    <t>The People of Poland at War: 1914-1918</t>
  </si>
  <si>
    <t>Festa and Music at the Court of Marie Casimire Sobieska in Rome (1699â€“1714)</t>
  </si>
  <si>
    <t>Aneta Markuszewska</t>
  </si>
  <si>
    <t>The King and the Crown of Thorns</t>
  </si>
  <si>
    <t>Jerzy Pysiak</t>
  </si>
  <si>
    <t>Poland and the Origins of the Second World War</t>
  </si>
  <si>
    <t>Marek Kornat</t>
  </si>
  <si>
    <t>Die Hofordnungen der Herzoege von Burgund</t>
  </si>
  <si>
    <t>ValÃ©rie Bessey-Sonja DÃ¼nnebeil-Paravicini Werner</t>
  </si>
  <si>
    <t>UmkÃ¤mpfte Zivilgesellschaft</t>
  </si>
  <si>
    <t>Friedemann Bringt</t>
  </si>
  <si>
    <t>Emotion and Proactivity at Work</t>
  </si>
  <si>
    <t>Kelly Z. Peng-Chia-Huei Wu</t>
  </si>
  <si>
    <t>Trans and Genderqueer Subjects in Medieval Hagiography</t>
  </si>
  <si>
    <t>Alicia Spencer-Hall-Blake Gutt</t>
  </si>
  <si>
    <t>Phytotechnology with Biomass Production</t>
  </si>
  <si>
    <t>Larry E. Erickson-Valentina Pidlisnyuk</t>
  </si>
  <si>
    <t>Alles bleibt anders</t>
  </si>
  <si>
    <t>Konrad Weller</t>
  </si>
  <si>
    <t>Rethinking Migration and Return in Southeastern Europe</t>
  </si>
  <si>
    <t>Eda Gemi-Anna Triandafyllidou</t>
  </si>
  <si>
    <t>A Task for Sisyphus</t>
  </si>
  <si>
    <t>Iulius Rostas</t>
  </si>
  <si>
    <t>Seeking the Best Master</t>
  </si>
  <si>
    <t>MiklÃ³s Szanyi</t>
  </si>
  <si>
    <t>Rethinking Social Action Through Music</t>
  </si>
  <si>
    <t>Middlemarch</t>
  </si>
  <si>
    <t>FICTION / Romance / Historical / Regency</t>
  </si>
  <si>
    <t xml:space="preserve"> Adam Roberts</t>
  </si>
  <si>
    <t>New Perspectives in Biblical and Rabbinic Hebrew</t>
  </si>
  <si>
    <t xml:space="preserve"> Aaron D. Hornkohl-Geoffrey Khan</t>
  </si>
  <si>
    <t>Classical Music</t>
  </si>
  <si>
    <t xml:space="preserve"> Michael Beckerman-Paul Boghossian</t>
  </si>
  <si>
    <t>Verbrechen und Strafe in der jÃ¼dischen Rechtstradition.</t>
  </si>
  <si>
    <t>Hendrik PekÃ¡rek</t>
  </si>
  <si>
    <t>The Confederate Jurist</t>
  </si>
  <si>
    <t>BIOGRAPHY &amp; AUTOBIOGRAPHY / Lawyers &amp; Judges</t>
  </si>
  <si>
    <t>William C. Gilmore</t>
  </si>
  <si>
    <t>Banning Black Gods</t>
  </si>
  <si>
    <t>Danielle N. Boaz</t>
  </si>
  <si>
    <t>Psychology and Politics</t>
  </si>
  <si>
    <t>Anna Borgos-JÃºlia Gyimesi-Ferenc ErÅ‘s</t>
  </si>
  <si>
    <t>Half in Shadow</t>
  </si>
  <si>
    <t>Shanna Greene Benjamin</t>
  </si>
  <si>
    <t>What Works in Improving Gender Equality</t>
  </si>
  <si>
    <t>Kirstein Rummery-Craig McAngus-Alcuin Edwards</t>
  </si>
  <si>
    <t>Living Standards in Southeast Asia</t>
  </si>
  <si>
    <t>Anne Booth</t>
  </si>
  <si>
    <t>Berufliche Bildung in WerkstÃ¤tten fÃ¼r Menschen mit Behinderung</t>
  </si>
  <si>
    <t>Anna Riedl-Hans-Walter Kranert-Roland Stein</t>
  </si>
  <si>
    <t>On Media, On Technology, On Life - Interviews with Innovators</t>
  </si>
  <si>
    <t>Arthur Clay-Timothy J. Senior</t>
  </si>
  <si>
    <t>Home in A Hybrid World</t>
  </si>
  <si>
    <t>Martin Pot</t>
  </si>
  <si>
    <t>Internet of Things â€“ The Call of the Edge</t>
  </si>
  <si>
    <t>Ovidiu Vermesan-JoÃ«l Bacquet</t>
  </si>
  <si>
    <t>Everyday Life Under Communism and After</t>
  </si>
  <si>
    <t>Tibor Valuch</t>
  </si>
  <si>
    <t>Social Enterprise in Western Europe</t>
  </si>
  <si>
    <t>Jacques Defourny-Marthe Nyssens</t>
  </si>
  <si>
    <t>Hostile Humor in Renaissance France</t>
  </si>
  <si>
    <t>Bruce Hayes</t>
  </si>
  <si>
    <t>On Language, Education, Politics, and Identity: A Cross-Linguistics Perspective</t>
  </si>
  <si>
    <t>Nazarudin Nazarudin</t>
  </si>
  <si>
    <t>Powers of the Prosecutor in Criminal Investigation</t>
  </si>
  <si>
    <t>Karolina Kremens</t>
  </si>
  <si>
    <t>Role of Livestock in Developing Communities: Enhancing Multifunctionality</t>
  </si>
  <si>
    <t>Frans Swanepoel Aldo Stroebel Siboniso Moyo</t>
  </si>
  <si>
    <t>Hendrik M. Goudappel â€˜reader â€™ over de urbanistiek en planologie</t>
  </si>
  <si>
    <t>Das SteÃ¿n</t>
  </si>
  <si>
    <t>There Ãs Water: A Traveller's View of the Xhariepean Community in Transition</t>
  </si>
  <si>
    <t>Lut Teck</t>
  </si>
  <si>
    <t>Jihad: A South African Perspective</t>
  </si>
  <si>
    <t>RELIGION / Religious Intolerance, Persecution &amp; Conflict</t>
  </si>
  <si>
    <t>Hussein Solomon</t>
  </si>
  <si>
    <t>Federalism and Secession</t>
  </si>
  <si>
    <t>Jorge Cagiao y Conde-Alain-G. Gagnon</t>
  </si>
  <si>
    <t>Jihadi Audiovisuality and Its Entanglements</t>
  </si>
  <si>
    <t>Christoph GÃ¼nther-Simone Pfeifer</t>
  </si>
  <si>
    <t>How ISIS Fights</t>
  </si>
  <si>
    <t>Omar Ashour</t>
  </si>
  <si>
    <t>The Cinema of Mia Hansen-LÃ¸ve</t>
  </si>
  <si>
    <t>Kate Ince</t>
  </si>
  <si>
    <t>Cinematic Intermediality</t>
  </si>
  <si>
    <t>Kim Knowles-Marion Schmid</t>
  </si>
  <si>
    <t>Animating Truth</t>
  </si>
  <si>
    <t>Nea Ehrlich</t>
  </si>
  <si>
    <t>Paths to a Culture of Tolerance and Peace</t>
  </si>
  <si>
    <t>Basma EL Zein-Ahmed Al Jarwan</t>
  </si>
  <si>
    <t>Chinese Families Upside Down: Intergenerational Dynamics and Neo-Familism in the Early 21st Century</t>
  </si>
  <si>
    <t>Yunxiang Yan</t>
  </si>
  <si>
    <t>Moral Economy at Work</t>
  </si>
  <si>
    <t>Lale YalÃ§Ä±n-Heckmann</t>
  </si>
  <si>
    <t>The Anthroposcene of Weather and Climate</t>
  </si>
  <si>
    <t>Paul Sillitoe</t>
  </si>
  <si>
    <t>Transcending the Nostalgic</t>
  </si>
  <si>
    <t>George Jaramillo-Juliane Tomann</t>
  </si>
  <si>
    <t>Community Empowerment Through Research, Innovation and Open Access</t>
  </si>
  <si>
    <t>Joko Sayono-Ahmad Taufiq-Luechai Sringernyuang-Muhamad Alif Haji Sismat-Zawawi Ismaâ€™il-Francis Navarro-Agus Purnomo-Idris</t>
  </si>
  <si>
    <t>Climate Crisis Economics</t>
  </si>
  <si>
    <t>Stuart P. M. Mackintosh</t>
  </si>
  <si>
    <t>Cities After Crisis</t>
  </si>
  <si>
    <t>Carlos Vazquez</t>
  </si>
  <si>
    <t>Africa's Soft Power</t>
  </si>
  <si>
    <t>Oluwaseun Tella</t>
  </si>
  <si>
    <t>Enabling the City</t>
  </si>
  <si>
    <t>Josefine Fokdal-Olivia Bina-Prue Chiles-Liis OjamÃ¤e-Katrin Paadam</t>
  </si>
  <si>
    <t>Experimental Museology</t>
  </si>
  <si>
    <t>Marianne Achiam-Michael Haldrup-Kirsten Drotner</t>
  </si>
  <si>
    <t>Discourses of Global Queer Mobility and the Mediatization of Equality</t>
  </si>
  <si>
    <t>Joseph Comer</t>
  </si>
  <si>
    <t>Record-Making and Record-Keeping in Early Societies</t>
  </si>
  <si>
    <t>Geoffrey Yeo</t>
  </si>
  <si>
    <t>South African Christian Experiences: From Colonialism to Democracy</t>
  </si>
  <si>
    <t>Kelebogile Thomas Resane</t>
  </si>
  <si>
    <t>Obedience and Servant Leadership: Apollis, Appies, Buti, Buys</t>
  </si>
  <si>
    <t>Eugene Baron Nico A. Botha</t>
  </si>
  <si>
    <t>wonderbare Heilige Gees Ã©n die Vader van liefde - 'n MissionÃªre teologie</t>
  </si>
  <si>
    <t>Pieter Verster</t>
  </si>
  <si>
    <t>Passage of Nostalgia: The Life and Work of Jacobus Kloppers</t>
  </si>
  <si>
    <t>Martina Viljoen</t>
  </si>
  <si>
    <t>Churches in the Mirror - Developing Contemporary Ecclesiologies</t>
  </si>
  <si>
    <t>RELIGION / Christian Church / Canon &amp; Ecclesiastical Law</t>
  </si>
  <si>
    <t>Kobus Schoeman</t>
  </si>
  <si>
    <t>Recognition, Regulation, Revitalisation: Place Names and Indigenous Languages. Proceedings of the 5th International Symposium on Place Names 2019</t>
  </si>
  <si>
    <t>Theodorus du Plessis Chrismi-Rinda Loth</t>
  </si>
  <si>
    <t>Relating the South African Soil Taxonomy to the World Reference Base for Soil Resources</t>
  </si>
  <si>
    <t>SCIENCE / Life Sciences / Taxonomy</t>
  </si>
  <si>
    <t>CW van Huyssteen</t>
  </si>
  <si>
    <t>Konstruksieveiligheid Sakboekie vir Suid-Afrika</t>
  </si>
  <si>
    <t xml:space="preserve"> Fidelis A. Emuze</t>
  </si>
  <si>
    <t>Engaging the Fourth Industrial Revolution - Perspectives From Theology, Philosophy and Education</t>
  </si>
  <si>
    <t>JA Van Den Berg</t>
  </si>
  <si>
    <t>Voices Past and Present - A Comparison of Old Cape Dialectal, Bushman and Khoikhoi Words</t>
  </si>
  <si>
    <t>Peter E. Raper</t>
  </si>
  <si>
    <t>Response-ability in the Era of AIDS: Building Social Capital in Community Care and Support</t>
  </si>
  <si>
    <t>W. Dageid Y. Sliep O. Akintola F. Duckert</t>
  </si>
  <si>
    <t>Multilingualism and the Public Sector in South Africa</t>
  </si>
  <si>
    <t>M. Mwaniki</t>
  </si>
  <si>
    <t>Sesotho Plant and Animal Names and Plants Used by the Basotho</t>
  </si>
  <si>
    <t>Rodney Moffett</t>
  </si>
  <si>
    <t>Praxis Towards Sustainable Empowering Learning Environments</t>
  </si>
  <si>
    <t>Dennis Francis Sechaba Mahlomaholo Milton Nkoane</t>
  </si>
  <si>
    <t>South African Language Rights Monitor 2007: Sixth Report on the South African Language Rights Monitor Project</t>
  </si>
  <si>
    <t>Mariana Kriel</t>
  </si>
  <si>
    <t>Modelling As Research Methodology: Revised Edition</t>
  </si>
  <si>
    <t>G.D. Jordaan Laetus O.K. Lategan</t>
  </si>
  <si>
    <t>South African Language Rights Monitor 2006: Fifth Report on the South African Language Rights Monitor Project</t>
  </si>
  <si>
    <t>Spirituality of Black Hebrew Pentecostals</t>
  </si>
  <si>
    <t>Fred G. Sherron</t>
  </si>
  <si>
    <t>Theology and the (post)apartheid Condition: Genealogies and Future Directions</t>
  </si>
  <si>
    <t>Rian Venter</t>
  </si>
  <si>
    <t>South African Language Rights Monitor 2011: Tenth Report on the South African Language Rights Monitor Project</t>
  </si>
  <si>
    <t>Johan Lubbe Theodorus du Plessis</t>
  </si>
  <si>
    <t>Knowledge As Enablement: Engagement Between Higher Education and the Third Sector in South Africa</t>
  </si>
  <si>
    <t>Mabel Erasmus Ruth Albertyn</t>
  </si>
  <si>
    <t>Kaapstad se 'Streetgate': Politieke maneuvers en die Peter Marais debakel (1999-2002)</t>
  </si>
  <si>
    <t>Johan C. Moll</t>
  </si>
  <si>
    <t>South African Language Rights Monitor 2010: Ninth Report on the South African Language Rights Monitor Project</t>
  </si>
  <si>
    <t>Handleiding Vir Meertalige Tekens / Manual for Multilingual Signage</t>
  </si>
  <si>
    <t>Chrismi-Rinda Loth Joan-MariÃ© Steenkamp Theodorus du Plessis</t>
  </si>
  <si>
    <t>South African Language Rights Monitor 2009: Eigth Report on the South African Language Rights Monitor Project</t>
  </si>
  <si>
    <t>Sexuality, Society and Pedagogy</t>
  </si>
  <si>
    <t>Dennis A. Francis</t>
  </si>
  <si>
    <t>International Comparative Perspectives on Religion and Education</t>
  </si>
  <si>
    <t>Charl C. Wolhuter Corene de Wet</t>
  </si>
  <si>
    <t>South African Language Rights Monitor 2008: Seventh Report on TheSouth African Language Rights Monitor Project</t>
  </si>
  <si>
    <t>Transforming Theological Knowledge: Essays on Theology and the University After Apartheid</t>
  </si>
  <si>
    <t>Rian Venter Francois Tolmie</t>
  </si>
  <si>
    <t>Politics and Higher Education in East Africa From the 1920s to 1970</t>
  </si>
  <si>
    <t>Bhekithemba R. Mngomezulu</t>
  </si>
  <si>
    <t>Religion and Politics in Swaziland: The Contributions of Dr. J.B. Mzizi</t>
  </si>
  <si>
    <t>R. Simangaliso Kumalo</t>
  </si>
  <si>
    <t>Law, Language and the Multilingual State: Proceedings of the 12th International Conference of the International Academy of Linguistic Law</t>
  </si>
  <si>
    <t>Claudine Brohy Theo du Plessis Joseph-G. Turi JosÃ© Woehrling</t>
  </si>
  <si>
    <t>Spirit and Healing in Africa: A Reformed Pneumatological Perspective</t>
  </si>
  <si>
    <t>RELIGION / Christian Living / Spiritual Growth</t>
  </si>
  <si>
    <t>Deborah van den Bosch-Heij</t>
  </si>
  <si>
    <t>New Hope for the Poor: A Perspective on the Church in Informal Settlements in Africa</t>
  </si>
  <si>
    <t>South African Language Rights Monitor 2005: Fourth Report on the South African Language Rights Monitor Project</t>
  </si>
  <si>
    <t>Susan Lombaard Johan Lubbe Theo du Plessis</t>
  </si>
  <si>
    <t>South African Language Rights Monitor 2004: Third Report on the South African Language Rights Monitor Project</t>
  </si>
  <si>
    <t>Johan Lubbe Elbie Truter Theo du Plessis</t>
  </si>
  <si>
    <t>South African Language Rights Monitor 2003: Second Report on the South African Language Rights Monitor Project</t>
  </si>
  <si>
    <t>South African Language Rights Monitor 2002: First Report on the South African Language Rights Monitor Project</t>
  </si>
  <si>
    <t>Johan Lubbe Theo du Plessis Elbie Truter Chris Wiegand</t>
  </si>
  <si>
    <t>From Technology Transfer to Intercultural Development: Understanding Technology and Development in a Globalising World</t>
  </si>
  <si>
    <t>Jan van der Stoep Sytse Strijbos</t>
  </si>
  <si>
    <t>The Children of Looked After Children</t>
  </si>
  <si>
    <t>Louise Roberts</t>
  </si>
  <si>
    <t>A Handbook of Management Theories and Models for Office Environments and Services</t>
  </si>
  <si>
    <t>BUSINESS &amp; ECONOMICS / Facility Management</t>
  </si>
  <si>
    <t>Rianne Appel-Meulenbroek-Vitalija Danivska</t>
  </si>
  <si>
    <t>Cities and Affordable Housing</t>
  </si>
  <si>
    <t>Sasha Tsenkova</t>
  </si>
  <si>
    <t>The Fourth Industrial Revolution and the Recolonisation of Africa</t>
  </si>
  <si>
    <t>Everisto Benyera</t>
  </si>
  <si>
    <t>Mosquitopia</t>
  </si>
  <si>
    <t>Marcus Hall-Dan TamÃ¯r</t>
  </si>
  <si>
    <t>Plurilingual Classroom Practices and Participation</t>
  </si>
  <si>
    <t>Dolors Masats-Luci Nussbaum</t>
  </si>
  <si>
    <t>Advancing Sexual and Reproductive Health and Rights in Africa</t>
  </si>
  <si>
    <t>Ebenezer Durojaye-Gladys Mirugi-Mukundi-Charles Ngwena</t>
  </si>
  <si>
    <t>Archival Silences</t>
  </si>
  <si>
    <t>Michael Moss-David Thomas</t>
  </si>
  <si>
    <t>Romanticism and Time</t>
  </si>
  <si>
    <t xml:space="preserve"> Sophie Laniel-Musitelli-CÃ©line Sabiron</t>
  </si>
  <si>
    <t>Arab Media Systems</t>
  </si>
  <si>
    <t xml:space="preserve"> Carola Richter-Claudia Kozman</t>
  </si>
  <si>
    <t>Doing Journeys - Transatlantische Reisen von Lateinamerika nach Europa schreiben, 1839-1910</t>
  </si>
  <si>
    <t>Lilli Riettiens</t>
  </si>
  <si>
    <t>Form, Funktion und Freiheit</t>
  </si>
  <si>
    <t>Felix Kosok</t>
  </si>
  <si>
    <t>MÃ¶glichkeit</t>
  </si>
  <si>
    <t>GÃ¶sta Gantner</t>
  </si>
  <si>
    <t>Sozial-Ã¶kologische Krise und kollektives Landeigentum</t>
  </si>
  <si>
    <t>Janina Dannenberg</t>
  </si>
  <si>
    <t>Der Dandy im Smart Home</t>
  </si>
  <si>
    <t>Felix HÃ¼ttemann</t>
  </si>
  <si>
    <t>Gefragt durch Andere</t>
  </si>
  <si>
    <t>Ganz schÃ¶n operiert</t>
  </si>
  <si>
    <t>Julia Wustmann</t>
  </si>
  <si>
    <t>Lesen lernen im Nationalsozialismus</t>
  </si>
  <si>
    <t>The Polish Reason of State in Austria</t>
  </si>
  <si>
    <t>Dorota Litwin-Lewandowska</t>
  </si>
  <si>
    <t>Der Traum in der neueren russischen Lyrik</t>
  </si>
  <si>
    <t>POETRY / Russian &amp; Soviet</t>
  </si>
  <si>
    <t>Katina Baharova</t>
  </si>
  <si>
    <t>Janet, Rimmer-Francis, Thien</t>
  </si>
  <si>
    <t>PytaÄ‡ o Putina â€“ pytaÄ‡ o RosjÄ™</t>
  </si>
  <si>
    <t>Marian Broda</t>
  </si>
  <si>
    <t>The Sa'dan-Toraja</t>
  </si>
  <si>
    <t>Hetty Nooy-Palm</t>
  </si>
  <si>
    <t>Explorations in the Anthropology of Religion</t>
  </si>
  <si>
    <t>W.E.A. van Beek-J.H. Scherer</t>
  </si>
  <si>
    <t>The Struggle of Islam in Modern Indonesia</t>
  </si>
  <si>
    <t>B.J. Bolland</t>
  </si>
  <si>
    <t>The Heritage of Arung Palakka</t>
  </si>
  <si>
    <t>Leonard Y. Andaya</t>
  </si>
  <si>
    <t>Property in Social Continuity</t>
  </si>
  <si>
    <t>Franz von Benda-Beckmann</t>
  </si>
  <si>
    <t>Islamic States in Java 1500-1700</t>
  </si>
  <si>
    <t>The Family System of the Paramaribo Creoles</t>
  </si>
  <si>
    <t>Willem F.L. Buschkens</t>
  </si>
  <si>
    <t>Head-Hunters About Themselves</t>
  </si>
  <si>
    <t>J.H.M.C. Boelaars</t>
  </si>
  <si>
    <t>Understanding and Combatting African Swine Fever</t>
  </si>
  <si>
    <t>Laura Iacolina-Mary-Louise Penrith-Silvia Bellini-Erika Chenais-Ferran Jori-Maria Montoya-Karl StÃ¥hl-Dolores Gavier-WidÃ©n</t>
  </si>
  <si>
    <t>Ethics and Economics</t>
  </si>
  <si>
    <t>Johan Graafland</t>
  </si>
  <si>
    <t>Globalisation and Its Economic Consequences</t>
  </si>
  <si>
    <t>Shujiro Urata-Ha Thi Thanh Doan</t>
  </si>
  <si>
    <t>Honouring and Admiring the Immoral</t>
  </si>
  <si>
    <t>Alfred Archer-Benjamin Matheson</t>
  </si>
  <si>
    <t>The Mutant Project</t>
  </si>
  <si>
    <t>Kirksey, Eben</t>
  </si>
  <si>
    <t>Les signatures neurobiologiques de la conscience</t>
  </si>
  <si>
    <t>New Paths and Policies Towards Conflict Prevention</t>
  </si>
  <si>
    <t>Courtney J. Fung-BjÃ¶rn Gehrmann-Rachel F. Madenyika-Jason G. Tower</t>
  </si>
  <si>
    <t>The Beginnings of Capitalism in Central Europe</t>
  </si>
  <si>
    <t>Cyril Levitt</t>
  </si>
  <si>
    <t>Grenzenlos menschlich?</t>
  </si>
  <si>
    <t>Vera Zimmermann</t>
  </si>
  <si>
    <t>Der asymptomatische Mensch</t>
  </si>
  <si>
    <t>Hans Vogt</t>
  </si>
  <si>
    <t>More Than Machines?</t>
  </si>
  <si>
    <t>Laura Voss</t>
  </si>
  <si>
    <t>Die Un/Sichtbarkeit des Kapitals</t>
  </si>
  <si>
    <t>Felix T. Gregor</t>
  </si>
  <si>
    <t>Authority and Trust in US Culture and Society</t>
  </si>
  <si>
    <t>GÃ¼nter Leypoldt-Manfred Berg</t>
  </si>
  <si>
    <t>What Is Authorial Philology?</t>
  </si>
  <si>
    <t xml:space="preserve"> Paola Italia-Giulia Raboni</t>
  </si>
  <si>
    <t>Halal Development: Trends, Opportunities and Challenges</t>
  </si>
  <si>
    <t>Heri Pratikto-Ahmad Taufiq-Adam Voak-Nurdeng Deuraseh-Hadi Nur-Winai Dahlan-Idris-Agus Purnomo</t>
  </si>
  <si>
    <t>Ethical Journalism</t>
  </si>
  <si>
    <t>Joe Mathewson</t>
  </si>
  <si>
    <t>Safe Migration and the Politics of Brokered Safety in Southeast Asia</t>
  </si>
  <si>
    <t>Sverre Molland</t>
  </si>
  <si>
    <t>The Universe Behind Barbed Wire</t>
  </si>
  <si>
    <t>Myroslav Marynovych-Katherine Younger</t>
  </si>
  <si>
    <t>Ethik als Existenzhermeneutik</t>
  </si>
  <si>
    <t>Michael U. Braunschweig</t>
  </si>
  <si>
    <t>Der lateinische Begriff "otium"</t>
  </si>
  <si>
    <t>Franziska C. Eickhoff</t>
  </si>
  <si>
    <t>MuÃŸe und Poetik in der rÃ¶mischen Briefliteratur</t>
  </si>
  <si>
    <t>Gelassene Teilnahme</t>
  </si>
  <si>
    <t>Peter Philipp Riedl</t>
  </si>
  <si>
    <t>NormativitÃ¤t Heiliger Schriften in Judentum, Christentum und Islam</t>
  </si>
  <si>
    <t>Klaus von Stosch-Christiane Tietz</t>
  </si>
  <si>
    <t>Continental Theory Buffalo</t>
  </si>
  <si>
    <t>David R. Castillo-Jean-Jacques Thomas-Ewa PÅ‚onowska Ziarek</t>
  </si>
  <si>
    <t>Transnationales Altersvorsorgehandeln tÃ¼rkeistÃ¤mmiger Migrantinnen und Migranten.</t>
  </si>
  <si>
    <t>Ina Alexandra Conen</t>
  </si>
  <si>
    <t>InformationsintermediÃ¤re</t>
  </si>
  <si>
    <t>Alexander Schiff</t>
  </si>
  <si>
    <t>Tagzeitentexte des Mittelalters</t>
  </si>
  <si>
    <t>Stefan Matter</t>
  </si>
  <si>
    <t>Routledge Handbook of U.S. Counterterrorism and Irregular Warfare Operations</t>
  </si>
  <si>
    <t>Michael A. Sheehan-Erich Marquardt-Liam Collins</t>
  </si>
  <si>
    <t>Mapping Urban Spaces</t>
  </si>
  <si>
    <t>Lamberto Amistadi-Valter Balducci-Tomasz Bradecki-Enrico Prandi-Uwe SchrÃ¶der</t>
  </si>
  <si>
    <t>Accountability and the Law</t>
  </si>
  <si>
    <t>Piotr Mikuli-Grzegorz Kuca</t>
  </si>
  <si>
    <t>A Christian Education in the Virtues</t>
  </si>
  <si>
    <t>Migration Control and Access to Welfare</t>
  </si>
  <si>
    <t>Marry-Anne Karlsen</t>
  </si>
  <si>
    <t>Science in Movements</t>
  </si>
  <si>
    <t>Hepeng Jia</t>
  </si>
  <si>
    <t>Human Development and the Catholic Social Tradition</t>
  </si>
  <si>
    <t>SÃ©verine Deneulin</t>
  </si>
  <si>
    <t>Like Nobody's Business</t>
  </si>
  <si>
    <t xml:space="preserve"> Andrew C. Comrie</t>
  </si>
  <si>
    <t>Sustainable Human Development Across the Life Course</t>
  </si>
  <si>
    <t>Prerna Banati</t>
  </si>
  <si>
    <t>Beholding Disability in Renaissance England</t>
  </si>
  <si>
    <t>Allison P. Hobgood</t>
  </si>
  <si>
    <t>Bernardo L., Rapoport-Giancarlo, Troncone-Fernando, Schmitt-Simon, Nayler</t>
  </si>
  <si>
    <t>Richard J., Buka-Ankit J., Kansagra</t>
  </si>
  <si>
    <t>Let's Go to School</t>
  </si>
  <si>
    <t>JUVENILE NONFICTION / School &amp; Education</t>
  </si>
  <si>
    <t>Caleb Burroughs</t>
  </si>
  <si>
    <t>My First Dictionary</t>
  </si>
  <si>
    <t>JUVENILE NONFICTION / Reference / Dictionaries</t>
  </si>
  <si>
    <t>Susan Miller</t>
  </si>
  <si>
    <t>3 Minute Read to Me, Grandma!</t>
  </si>
  <si>
    <t>JUVENILE FICTION / Family / Multigenerational</t>
  </si>
  <si>
    <t>Sequoia Children's Publishing</t>
  </si>
  <si>
    <t>Picture Puzzles</t>
  </si>
  <si>
    <t>JUVENILE NONFICTION / Concepts / Size &amp; Shape</t>
  </si>
  <si>
    <t>Ehre</t>
  </si>
  <si>
    <t>Matthias D. WÃ¼thrich-Markus HÃ¶fner-Richard Amesbury</t>
  </si>
  <si>
    <t>Men in Metal</t>
  </si>
  <si>
    <t>Sven Saaler</t>
  </si>
  <si>
    <t>City Regions and Devolution in the UK</t>
  </si>
  <si>
    <t>David Beel-Martin Jones-Ian Rees Jones</t>
  </si>
  <si>
    <t>MuÃŸerÃ¤ume der Antike und der frÃ¼hen Neuzeit</t>
  </si>
  <si>
    <t>Evaluating Environment in International Development</t>
  </si>
  <si>
    <t>Juha I. Uitto</t>
  </si>
  <si>
    <t>Studien zur Entwicklung der Ã¶konomischen Theorie XV.</t>
  </si>
  <si>
    <t>Heinz Rieter</t>
  </si>
  <si>
    <t>Die Ãœbergangs- und Schlussbestimmungen des Grundgesetzes.</t>
  </si>
  <si>
    <t>Patrick Wegner</t>
  </si>
  <si>
    <t>Die Umsetzung wirtschaftspolitischer Grundkonzeptionen in die kontinentaleuropÃ¤ische Praxis des 19. und 20. Jahrhunderts, I. Teil.</t>
  </si>
  <si>
    <t>Erich W. Streissler</t>
  </si>
  <si>
    <t>Koloniale StraÃŸennamen</t>
  </si>
  <si>
    <t>Verena Ebert</t>
  </si>
  <si>
    <t>Transnational Religious Spaces</t>
  </si>
  <si>
    <t>Philip Clart-Adam Jones</t>
  </si>
  <si>
    <t>Allan, Sniderman-Paul, Durrington</t>
  </si>
  <si>
    <t>Forging Transnational Belonging Through Informal Trade</t>
  </si>
  <si>
    <t>Sandra King-Savic</t>
  </si>
  <si>
    <t>Historical Communities</t>
  </si>
  <si>
    <t>Hilary J. Bernstein</t>
  </si>
  <si>
    <t>Committed</t>
  </si>
  <si>
    <t>Susan Burch</t>
  </si>
  <si>
    <t>Diskursanalytische Geschlechterforschung in der Erziehungswissenschaft</t>
  </si>
  <si>
    <t>Susann Fegter-Antje Langer-Christine Thon</t>
  </si>
  <si>
    <t>Jane Austen</t>
  </si>
  <si>
    <t xml:space="preserve"> Nora Bartlett-Jane Stabler</t>
  </si>
  <si>
    <t>Women and the UN</t>
  </si>
  <si>
    <t>Rebecca Adami-Dan Plesch</t>
  </si>
  <si>
    <t>Interdyscyplinarne aspekty diagnozy I terapii logopedycznej</t>
  </si>
  <si>
    <t>Ewelina ZajÄ…c-Mateusz Szurek</t>
  </si>
  <si>
    <t>Humanizacja opieki okoÅ‚oporodowej warunkiem zdrowego spoÅ‚eczeÅ„stwa. Standardy a rzeczywistoÅ›Ä‡ na przykÅ‚adzie Polski i Chile</t>
  </si>
  <si>
    <t>HEALTH &amp; FITNESS / Pregnancy &amp; Childbirth</t>
  </si>
  <si>
    <t>Alicja Åaska-Formejster-Paulina Adamczyk-Aneta MuzioÅ‚ Vidal</t>
  </si>
  <si>
    <t>Convergence Processes in the European Housing Markets. International and Regional Perspective</t>
  </si>
  <si>
    <t>Konrad Å»elazowski-Ewa KusideÅ‚-Magdalena ZaÅ‚Ä™czna-Ewa Kucharska-Stasiak</t>
  </si>
  <si>
    <t>Toponimia powiatu tureckiego. Analiza materiaÅ‚u</t>
  </si>
  <si>
    <t>Ewelina ZajÄ…c</t>
  </si>
  <si>
    <t>An Introduction to Ultra-Fast Silicon Detectors</t>
  </si>
  <si>
    <t>Marco Ferrero-Roberta Arcidiacono-Marco Mandurrino-Valentina Sola-NicolÃ² Cartiglia</t>
  </si>
  <si>
    <t>A Handbook of Theories on Designing Alignment Between People and the Office Environment</t>
  </si>
  <si>
    <t>Rethinking EMI</t>
  </si>
  <si>
    <t>Lily I-Wen Su-Hintat Cheung-Jessica R. W. Wu</t>
  </si>
  <si>
    <t>New Thinking, New Scholarship and New Research in Catholic Education</t>
  </si>
  <si>
    <t>Sean Whittle</t>
  </si>
  <si>
    <t>Children, Human Rights and Temporary Labour Migration</t>
  </si>
  <si>
    <t>Rasika Jayasuriya</t>
  </si>
  <si>
    <t>Furthering Fair Housing</t>
  </si>
  <si>
    <t>Justin P. Steil-Nicholas F. Kelly-Lawrence J. Vale-Maia S. Woluchem</t>
  </si>
  <si>
    <t>Stimmrechtszuordnungen beim NieÃŸbrauch an Gesellschaftsanteilen.</t>
  </si>
  <si>
    <t>Jennifer Trinks</t>
  </si>
  <si>
    <t>Justin, Loke</t>
  </si>
  <si>
    <t>Developing Graphics Frameworks with Python and OpenGL</t>
  </si>
  <si>
    <t>Lee Stemkoski-Michael Pascale</t>
  </si>
  <si>
    <t>Sensemaking in Safety Critical and Complex Situations</t>
  </si>
  <si>
    <t>Stig Ole Johnsen-Thomas Porathe</t>
  </si>
  <si>
    <t>Phenotypic Plasticity &amp; Evolution</t>
  </si>
  <si>
    <t>David W. Pfennig</t>
  </si>
  <si>
    <t>COVID-19 Pandemic, Geospatial Information, and Community Resilience</t>
  </si>
  <si>
    <t>Abbas Rajabifard-Daniel Paez-Greg Foliente</t>
  </si>
  <si>
    <t>Future of Sustainable Agriculture in Saline Environments</t>
  </si>
  <si>
    <t>Katarzyna Negacz-Pier Vellinga-Edward Barrett-Lennard-Redouane Choukr-Allah-Theo Elzenga</t>
  </si>
  <si>
    <t>Why International Organizations Hate Politics</t>
  </si>
  <si>
    <t>Marieke Louis-Lucile Maertens</t>
  </si>
  <si>
    <t>COVID-19 and Human Rights</t>
  </si>
  <si>
    <t>Morten Kjaerum-Martha F. Davis-Amanda Lyons</t>
  </si>
  <si>
    <t>Gender Equality and Nation Branding in the Nordic Region</t>
  </si>
  <si>
    <t>Eirinn Larsen-Sigrun Marie Moss-Inger SkjelsbÃ¦k</t>
  </si>
  <si>
    <t>Climate Change and Journalism</t>
  </si>
  <si>
    <t>Henrik BÃ¸dker-Hanna E. Morris</t>
  </si>
  <si>
    <t>Anti-Gender Politics in the Populist Moment</t>
  </si>
  <si>
    <t>Agnieszka Graff-ElÅ¼bieta Korolczuk</t>
  </si>
  <si>
    <t>Gender, Intersectionality and Climate Institutions in Industrialised States</t>
  </si>
  <si>
    <t>Gunnhildur Lily Magnusdottir-Annica Kronsell</t>
  </si>
  <si>
    <t>Decolonising Political Communication in Africa</t>
  </si>
  <si>
    <t>Beschara Karam-Bruce Mutsvairo</t>
  </si>
  <si>
    <t>Studying Complex Interactions and Outcomes Through Qualitative Comparative Analysis</t>
  </si>
  <si>
    <t>The Routledge Handbook of Research Methods for Social-Ecological Systems</t>
  </si>
  <si>
    <t>Reinette Biggs-Alta de Vos-Rika Preiser-Hayley Clements-Kristine Maciejewski-Maja SchlÃ¼ter</t>
  </si>
  <si>
    <t>Pricing Carbon Emissions</t>
  </si>
  <si>
    <t>Aviel Verbruggen</t>
  </si>
  <si>
    <t>The Anthropology of Parliaments</t>
  </si>
  <si>
    <t>Emma Crewe</t>
  </si>
  <si>
    <t>Caste and Equality in India</t>
  </si>
  <si>
    <t>Akio Tanabe</t>
  </si>
  <si>
    <t>Dilemmas of Energy Transitions in the Global South</t>
  </si>
  <si>
    <t>Ankit Kumar-Johanna HÃ¶ffken-Auke Pols</t>
  </si>
  <si>
    <t>Sandeep, Potluri</t>
  </si>
  <si>
    <t>Pam, Brown-Clare, Hambling</t>
  </si>
  <si>
    <t>Postfaktisches ErzÃ¤hlen?</t>
  </si>
  <si>
    <t>Antonius Weixler-Matei Chihaia-MatÃ­as MartÃ­nez-Katharina Rennhak-Michael Scheffel-Roy Sommer</t>
  </si>
  <si>
    <t>Jerusalem Excavations in the Tyropoeon Valley (Givati Parking Lot) Volume II: The Byzantine and Early Islamic Periods. Part 2: Strata IV â€“I: The Early Islamic Period</t>
  </si>
  <si>
    <t>Doron Ben-Ami-Yana Tchekhanovets</t>
  </si>
  <si>
    <t>Jerusalem Excavations in the Tyropoeon Valley (Givati Parking Lot) Volume II: The Byzantine and Early Islamic Periods. Part 1: Stratum V: The Byzantine Period</t>
  </si>
  <si>
    <t>Jerusalem Excavations in the Tyropoeon Valley (Givati Parking Lot) Volume II: The Byzantine and Early Islamic Periods. Part 3: Complementary Studies of Various Finds</t>
  </si>
  <si>
    <t>Childhood Vulnerabilities in South Africa: Some Ethical Perspectives</t>
  </si>
  <si>
    <t>Jan Grobbelaar</t>
  </si>
  <si>
    <t>Effekte arbeitsmarktpolitischer Reformen</t>
  </si>
  <si>
    <t>Johannes Ulrich Thomsen</t>
  </si>
  <si>
    <t>Social Enterprise in Central and Eastern Europe</t>
  </si>
  <si>
    <t>Archives and Human Rights</t>
  </si>
  <si>
    <t>Jens Boel-Perrine Canavaggio-Antonio GonzÃ¡lez Quintana</t>
  </si>
  <si>
    <t>Our Lives â€“ Our Stories</t>
  </si>
  <si>
    <t>Roland Pfau-Asli GÃ¶ksel-Jana Hosemann</t>
  </si>
  <si>
    <t>Professoren mit Migrationshintergrund</t>
  </si>
  <si>
    <t>Ole Engel</t>
  </si>
  <si>
    <t>Missbrauch des Beweisantragsrechts im Strafprozess und Missbrauchsabwehr.</t>
  </si>
  <si>
    <t>LAW / Evidence</t>
  </si>
  <si>
    <t>Chang Liu</t>
  </si>
  <si>
    <t>'The Philosophes' by Charles Palissot</t>
  </si>
  <si>
    <t xml:space="preserve"> Jessica Goodman-Olivier Ferret</t>
  </si>
  <si>
    <t>Acoustemologies in Contact</t>
  </si>
  <si>
    <t xml:space="preserve"> Emily Wilbourne-Suzanne G. Cusick</t>
  </si>
  <si>
    <t>Studies in the Grammar and Lexicon of Neo-Aramaic</t>
  </si>
  <si>
    <t xml:space="preserve"> Geoffrey Khan-Paul M. Noorlander</t>
  </si>
  <si>
    <t>Chang Châ€™un-châ€™iao and Shanghaiâ€™s January Revolution</t>
  </si>
  <si>
    <t>Andrew Walder</t>
  </si>
  <si>
    <t>The Wild Goose</t>
  </si>
  <si>
    <t>Mori Ogai-Ogai Mori</t>
  </si>
  <si>
    <t>Organisation und Institution in der Sozialen Arbeit</t>
  </si>
  <si>
    <t>Birgit BÃ¼tow-Melanie Holztrattner-Eberhard Raithelhuber</t>
  </si>
  <si>
    <t>Power and Authority in Internet Governance</t>
  </si>
  <si>
    <t>Blayne Haggart-Natasha Tusikov-Jan Aart Scholte</t>
  </si>
  <si>
    <t>Toxic Cyanobacteria in Water</t>
  </si>
  <si>
    <t>Ingrid Chorus-Martin Welker</t>
  </si>
  <si>
    <t>I Have No Country, I Have a Homeland</t>
  </si>
  <si>
    <t>Nurdan TÃ¼rker</t>
  </si>
  <si>
    <t>Visiones histÃ³rico-literarias de EspaÃ±a y el Nuevo Mundo en la tradiciÃ³n clÃ¡sica (siglos XVI-XIX)</t>
  </si>
  <si>
    <t>JesÃºs Paniagua PÃ©rez-Ãngel Ruiz PÃ©rez</t>
  </si>
  <si>
    <t>Extimate Technology</t>
  </si>
  <si>
    <t>Ciano Aydin</t>
  </si>
  <si>
    <t>Vielfalt des ReligiÃ¶sen</t>
  </si>
  <si>
    <t>Susanne Bernhardt-Bent Gebert</t>
  </si>
  <si>
    <t>Entangled Coercion</t>
  </si>
  <si>
    <t>Paola A. Revilla OrÃ­as</t>
  </si>
  <si>
    <t>Die gÃ¶ttliche Weisheit des Hermes Trismegistos</t>
  </si>
  <si>
    <t>Dorothee Gall-Zlatko Plese-Sydney-HervÃ© AufrÃ¨re-Christian Tornau-Joachim Friedrich Quack-Heike Sternberg-el Hotabi-Claudio Moreschnini</t>
  </si>
  <si>
    <t>Was ist Selftracking?</t>
  </si>
  <si>
    <t>Nikola Plohr</t>
  </si>
  <si>
    <t>KÃ¶rper, Leistung, Selbstdarstellung</t>
  </si>
  <si>
    <t>Lena Schurzmann-Leder</t>
  </si>
  <si>
    <t>Die Fabrikation der Stadt</t>
  </si>
  <si>
    <t>Jessica Wilde</t>
  </si>
  <si>
    <t>Freiheit der Kritik</t>
  </si>
  <si>
    <t>PHILOSOPHY / Criticism</t>
  </si>
  <si>
    <t>Alexander BrÃ¶dner</t>
  </si>
  <si>
    <t>A â€ºCrisis of Whitenessâ€¹ in the â€ºHeart of Darknessâ€¹</t>
  </si>
  <si>
    <t>Felix LÃ¶sing</t>
  </si>
  <si>
    <t>Bilder des Fremden</t>
  </si>
  <si>
    <t>Claudia Valeska Czycholl</t>
  </si>
  <si>
    <t>â€œProletarian Hegemonyâ€ in the Chinese Revolution and the Canton Commune of 1927</t>
  </si>
  <si>
    <t>S. Bernard Thomas</t>
  </si>
  <si>
    <t>Kinship and History in South Asia</t>
  </si>
  <si>
    <t>Thomas R. Trautmann</t>
  </si>
  <si>
    <t>Hsin-lun (New Treatise) and Other Writings by Huan T'an (43 B.C.â€“28 A.D.)</t>
  </si>
  <si>
    <t>Timoteus Pokora</t>
  </si>
  <si>
    <t>Two Studies on Ming History</t>
  </si>
  <si>
    <t>Charles Hucker</t>
  </si>
  <si>
    <t>Gauge Theories in Particle Physics: A Practical Introduction, Fourth Edition - 2 Volume Set</t>
  </si>
  <si>
    <t>Ian J.R. Aitchison-Anthony J.G. Hey</t>
  </si>
  <si>
    <t>The Buddhist Poetry of the Great Kamo Priestess</t>
  </si>
  <si>
    <t>Edward Kamens</t>
  </si>
  <si>
    <t>Introduction to Old Javanese Language and Literature</t>
  </si>
  <si>
    <t>Mary S. Zurbuchen</t>
  </si>
  <si>
    <t>Black Eggs</t>
  </si>
  <si>
    <t>Sadako Kurihara</t>
  </si>
  <si>
    <t>Opposing Democracy in the Digital Age</t>
  </si>
  <si>
    <t>Aim Sinpeng</t>
  </si>
  <si>
    <t>Howard Jacobson</t>
  </si>
  <si>
    <t>David Brauner</t>
  </si>
  <si>
    <t>Smartphone-Based 3D Indoor Localization and Navigation</t>
  </si>
  <si>
    <t>Frank Ebner</t>
  </si>
  <si>
    <t>The Lady of Linshui Pacifies Demons</t>
  </si>
  <si>
    <t>FICTION / Historical / General</t>
  </si>
  <si>
    <t>Freedom of Speech in Universities</t>
  </si>
  <si>
    <t>Alison Scott-Baumann-Simon Perfect</t>
  </si>
  <si>
    <t>Photography in the Third Reich</t>
  </si>
  <si>
    <t xml:space="preserve"> Christopher Webster</t>
  </si>
  <si>
    <t>The Image of Africa in Ghana's Press</t>
  </si>
  <si>
    <t xml:space="preserve"> Michael Serwornoo</t>
  </si>
  <si>
    <t>Challenging Women's Agency and Activism in Early Modernity</t>
  </si>
  <si>
    <t>Merry Wiesner-Hanks</t>
  </si>
  <si>
    <t>Family Firms and Closed Companies in Germany and Spain</t>
  </si>
  <si>
    <t>Holger Fleischer-AndrÃ©s Recalde-Gerald Spindler</t>
  </si>
  <si>
    <t>Staat und Verfassung in der Digitalen Konstellation</t>
  </si>
  <si>
    <t>Ingolf Pernice</t>
  </si>
  <si>
    <t>Evidenzbasierte Jurisprudenz</t>
  </si>
  <si>
    <t>Hanjo Hamann</t>
  </si>
  <si>
    <t>The Objectionable Li Zhi</t>
  </si>
  <si>
    <t>Rivi Handler-Spitz-Pauline C. Lee-Haun Saussy</t>
  </si>
  <si>
    <t>Art Activism for an Anticolonial Future</t>
  </si>
  <si>
    <t>Carlos Garrido Castellano</t>
  </si>
  <si>
    <t>Black Campus Life</t>
  </si>
  <si>
    <t>Antar A. Tichavakunda</t>
  </si>
  <si>
    <t>Die Applikation literarischer Texte</t>
  </si>
  <si>
    <t>Jan Borkowski</t>
  </si>
  <si>
    <t>Peripheries at the Centre</t>
  </si>
  <si>
    <t>Machteld Venken</t>
  </si>
  <si>
    <t>After Corporate Paternalism</t>
  </si>
  <si>
    <t>Christian Straube</t>
  </si>
  <si>
    <t>Allan, Hackshaw-Gavin C.E., Stuart</t>
  </si>
  <si>
    <t>The Time of Enlightenment</t>
  </si>
  <si>
    <t>William Max Nelson</t>
  </si>
  <si>
    <t>Algorithms and the End of Politics</t>
  </si>
  <si>
    <t>Scott Timcke</t>
  </si>
  <si>
    <t>Das hÃ¶here Schulwesen der Stadt KÃ¶nigsberg in PreuÃŸen 1800 bis 1915.</t>
  </si>
  <si>
    <t>Margund Hinz</t>
  </si>
  <si>
    <t>Increase Supply, Reduce Demand and Punish Severely</t>
  </si>
  <si>
    <t>Maria Pasztor-Dariusz Jarosz</t>
  </si>
  <si>
    <t>Karawitan</t>
  </si>
  <si>
    <t>Judith Becker-Alan H. Feinstein</t>
  </si>
  <si>
    <t>Technology, Innovation and Access to Justice</t>
  </si>
  <si>
    <t>LAW / General Practice</t>
  </si>
  <si>
    <t>Siddharth Peter de Souza-Maximilian Spohr</t>
  </si>
  <si>
    <t>Writing Black Scotland</t>
  </si>
  <si>
    <t>Joseph H. Jackson</t>
  </si>
  <si>
    <t>Spinoza and the Politics of Freedom</t>
  </si>
  <si>
    <t>Dan Taylor</t>
  </si>
  <si>
    <t>Authorities in Early Modern Law Courts</t>
  </si>
  <si>
    <t>Guido Rossi</t>
  </si>
  <si>
    <t>Misfit Modernism</t>
  </si>
  <si>
    <t>Octavio R. GonzÃ¡lez</t>
  </si>
  <si>
    <t>The Red Spears, 1916â€“1949</t>
  </si>
  <si>
    <t>Hsuan-chi Tai-Hsuan-chih Tai</t>
  </si>
  <si>
    <t>The Economy of Communist China, 1949â€“1969</t>
  </si>
  <si>
    <t>Chu-yuan Cheng</t>
  </si>
  <si>
    <t>The Cultural Revolution</t>
  </si>
  <si>
    <t>Michel Oksenberg-Carl Riskin-Ezra F. Vogel</t>
  </si>
  <si>
    <t>The American and Japanese Auto Industries in Transition</t>
  </si>
  <si>
    <t>Robert Cole-Taizo Yakushiji</t>
  </si>
  <si>
    <t>Studies in Malaysian Oral and Musical Traditions</t>
  </si>
  <si>
    <t>William Malm-Amin Sweeney</t>
  </si>
  <si>
    <t>Reaction to World News Events and the Influence of Mass Media in an Indian Village</t>
  </si>
  <si>
    <t>Thomas Poffenberger-Shirley B. Poffenberger</t>
  </si>
  <si>
    <t>Nineteenth-Century China</t>
  </si>
  <si>
    <t>Dilip Basu-Rhoads Murphey</t>
  </si>
  <si>
    <t>Modern China, 1840â€“1972</t>
  </si>
  <si>
    <t>Andrew Nathan</t>
  </si>
  <si>
    <t>Explorations in Early Southeast Asian History</t>
  </si>
  <si>
    <t>Kenneth Hall-John K. Whitmore</t>
  </si>
  <si>
    <t>Doctoral Dissertations on South Asia, 1966â€“1970</t>
  </si>
  <si>
    <t>Frank Joseph Shulman</t>
  </si>
  <si>
    <t>Compadre Colonialism</t>
  </si>
  <si>
    <t>Norman Owen</t>
  </si>
  <si>
    <t>Chinese and Japanese Music-Dramas</t>
  </si>
  <si>
    <t>J. I. Crump-William P. Malm</t>
  </si>
  <si>
    <t>Change and the Persistence of Tradition in India</t>
  </si>
  <si>
    <t>Richard Park</t>
  </si>
  <si>
    <t>Between Two Plenums</t>
  </si>
  <si>
    <t>Ellis Joffe</t>
  </si>
  <si>
    <t>An Annotated Bibliography of Chinese Painting Catalogues and Related Texts</t>
  </si>
  <si>
    <t>Hin-cheung Lovell</t>
  </si>
  <si>
    <t>Global Warming in Local Discourses</t>
  </si>
  <si>
    <t xml:space="preserve"> Michael BrÃ¼ggemann-Simone RÃ¶dder</t>
  </si>
  <si>
    <t>Mendl Mannâ€™s 'The Fall of Berlin'</t>
  </si>
  <si>
    <t>Maurice Wolfthal</t>
  </si>
  <si>
    <t>Terrestrial Mammal Conservation</t>
  </si>
  <si>
    <t>NATURE / Animals / Mammals</t>
  </si>
  <si>
    <t xml:space="preserve"> Nick A. Littlewood-Ricardo Rocha-Rebecca K. Smith-Philip A. Martin-Sarah L. Lockhart-Rebecca F. Schoonover</t>
  </si>
  <si>
    <t>Writing the New World</t>
  </si>
  <si>
    <t>Mauro JosÃ© Caraccioli</t>
  </si>
  <si>
    <t>Memory Crash</t>
  </si>
  <si>
    <t>Georgiy Kasianov</t>
  </si>
  <si>
    <t>Area-wide Integrated Pest Management</t>
  </si>
  <si>
    <t>Jorge Hendrichs-Rui Pereira-Marc J.B. Vreysen</t>
  </si>
  <si>
    <t>The Politics of the Sustainable Development Goals</t>
  </si>
  <si>
    <t>Magdalena Bexell-Kristina JÃ¶nsson</t>
  </si>
  <si>
    <t>Consumption Corridors</t>
  </si>
  <si>
    <t>Doris Fuchs-Marlyne Sahakian-Tobias Gumbert-Antonietta Di Giulio-Michael Maniates-Sylvia Lorek-Antonia Graf</t>
  </si>
  <si>
    <t>Planting Parliaments in Eurasia, 1850â€“1950</t>
  </si>
  <si>
    <t>Didaktik and Curriculum in Ongoing Dialogue</t>
  </si>
  <si>
    <t>Ellen Krogh-Ane Qvortrup-Stefan Ting Graf</t>
  </si>
  <si>
    <t>Exploring Organized Interests in Post-Communist Policy-Making</t>
  </si>
  <si>
    <t>Michael Dobbins-RafaÅ‚ Riedel</t>
  </si>
  <si>
    <t>Adolescents in Humanitarian Crisis</t>
  </si>
  <si>
    <t>Nicola Jones-Kate Pincock-Bassam Abu Hamad</t>
  </si>
  <si>
    <t>Materiality in Modernist Short Fiction</t>
  </si>
  <si>
    <t>LITERARY COLLECTIONS / Canadian</t>
  </si>
  <si>
    <t>Laura Oulanne</t>
  </si>
  <si>
    <t>Migration, Workers, and Fundamental Freedoms</t>
  </si>
  <si>
    <t>Asha Hans-Kalpana Kannabiran-Manoranjan Mohanty-Pushpendra</t>
  </si>
  <si>
    <t>Labour, Mobility and Informal Practices in Russia, Central Asia and Eastern Europe</t>
  </si>
  <si>
    <t>Rano Turaeva-Rustamjon Urinboyev</t>
  </si>
  <si>
    <t>Citizen Activities in Energy Transition</t>
  </si>
  <si>
    <t>True Cost Accounting for Food</t>
  </si>
  <si>
    <t>Barbara Gemmill-Herren-Lauren E. Baker-Paula A. Daniels</t>
  </si>
  <si>
    <t>Our Extractive Age</t>
  </si>
  <si>
    <t>Judith Shapiro-John-Andrew McNeish</t>
  </si>
  <si>
    <t>Arts-Based Methods for Decolonising Participatory Research</t>
  </si>
  <si>
    <t>Tiina SeppÃ¤lÃ¤-Melanie Sarantou-Satu Miettinen</t>
  </si>
  <si>
    <t>Hidden Attractions of Administration</t>
  </si>
  <si>
    <t>Malin Ã…kerstrÃ¶m-Katarina Jacobsson-Erika Andersson Cederholm-David WÃ¤sterfors</t>
  </si>
  <si>
    <t>Healing the Reason-Emotion Split</t>
  </si>
  <si>
    <t>Daniel S. Levine</t>
  </si>
  <si>
    <t>Remapping Knowledge</t>
  </si>
  <si>
    <t>Mihai I. Spariosu</t>
  </si>
  <si>
    <t>The Visigothic Kingdom</t>
  </si>
  <si>
    <t>Panzram-Paulo PachÃ¡</t>
  </si>
  <si>
    <t>Masken denken â€“ in Masken denken</t>
  </si>
  <si>
    <t>Corinna Schubert</t>
  </si>
  <si>
    <t>Die schreibenden Arbeiter der DDR</t>
  </si>
  <si>
    <t>Anne M. N. Sokoll</t>
  </si>
  <si>
    <t>Staatsauftrag: Â»Kultur fÃ¼r alleÂ«</t>
  </si>
  <si>
    <t>Birgit Mandel-Birgit Wolf</t>
  </si>
  <si>
    <t>Sensing and Making Sense</t>
  </si>
  <si>
    <t>Graziele Lautenschlaeger</t>
  </si>
  <si>
    <t>Klientelisierte Staatlichkeit in Konfliktregionen</t>
  </si>
  <si>
    <t>Philipp Naucke</t>
  </si>
  <si>
    <t>Housing and Human Settlements in a World of Change</t>
  </si>
  <si>
    <t>Astrid Ley-Md Ashiq Ur Rahman-Josefine Fokdal</t>
  </si>
  <si>
    <t>Die andere Seite der Intervention</t>
  </si>
  <si>
    <t>Elisa Satjukow</t>
  </si>
  <si>
    <t>Wissen und Ueberzeugungen von Deutschlehrkraeften</t>
  </si>
  <si>
    <t>Frederike Schmidt-Kirsten Schindler</t>
  </si>
  <si>
    <t>Mind Your Writing</t>
  </si>
  <si>
    <t>Christian Wymann</t>
  </si>
  <si>
    <t>Familie und NormalitÃ¤t</t>
  </si>
  <si>
    <t>Anne-Christin Schondelmayer-Christine Riegel-Sebastian Fitz-Klausner</t>
  </si>
  <si>
    <t>Entertaining the Idea</t>
  </si>
  <si>
    <t>Lowell Gallagher-James Kearney-Julia Reinhard Lupton</t>
  </si>
  <si>
    <t>In the Suburbs of History</t>
  </si>
  <si>
    <t>Steven Logan</t>
  </si>
  <si>
    <t>The Pleasure of Punishment</t>
  </si>
  <si>
    <t>Magnus HÃ¶rnqvist</t>
  </si>
  <si>
    <t>Der Beschluss als RechtsgeschÃ¤ft.</t>
  </si>
  <si>
    <t>Dominik Skauradszun</t>
  </si>
  <si>
    <t>The First World War As a Caesura?</t>
  </si>
  <si>
    <t>Christin Pschichholz</t>
  </si>
  <si>
    <t>Charting Literary Urban Studies</t>
  </si>
  <si>
    <t>Travelling the Korosko Road: Archaeological Exploration in Sudanâ€™s Eastern Desert</t>
  </si>
  <si>
    <t>W. Vivian Davies-Derek A. Welsby</t>
  </si>
  <si>
    <t>Engaged Encounters</t>
  </si>
  <si>
    <t>Elisabet Dueholm Rasch-Oscar Salemink-Bram BÃ¼scher-Michiel KÃ¶hne</t>
  </si>
  <si>
    <t>Engendering Climate Change</t>
  </si>
  <si>
    <t>Asha Hans-Nitya Rao-Anjal Prakash-Amrita Patel</t>
  </si>
  <si>
    <t>Social-Emotional Competences of Preschoolers: The Impact of Outdoor Educational Activities</t>
  </si>
  <si>
    <t>Otilia Clipa-Erica CÃ®mpan</t>
  </si>
  <si>
    <t>Integrative Psychotherapy</t>
  </si>
  <si>
    <t>Gregor Å½velc-MaÅ¡a Å½velc</t>
  </si>
  <si>
    <t>Regional Economic Communities and Peacebuilding in Africa</t>
  </si>
  <si>
    <t>Victor Adetula-Redie Bereketeab-Cyril Obi</t>
  </si>
  <si>
    <t>Labor and the Chinese Revolution</t>
  </si>
  <si>
    <t>Career Patterns in the Châ€™ing Dynasty</t>
  </si>
  <si>
    <t>Raymond Chu-William Saywell</t>
  </si>
  <si>
    <t>Mental Health and Social Withdrawal in Contemporary Japan</t>
  </si>
  <si>
    <t>Nicolas Tajan</t>
  </si>
  <si>
    <t>Scarlet and Black, Volume Three</t>
  </si>
  <si>
    <t>Miya Carey-Marisa J. Fuentes-Deborah Gray White</t>
  </si>
  <si>
    <t>Scarlet and Black</t>
  </si>
  <si>
    <t>Children and Young Peopleâ€™s Participation in Disaster Risk Reduction</t>
  </si>
  <si>
    <t>Maggie Mort-Israel Rodriguez-Giralt-Ana Delicado</t>
  </si>
  <si>
    <t>The Mega Project at Motza (Moáº“a): The Neolithic and Later Occupations up to the 20th Century; New Studies in the Archaeology of Jerusalem and Its Region. Supplementary Volume</t>
  </si>
  <si>
    <t>Hamoudi Khalaily-Amit Re'em-Jacob Vardi-Ianir Milevski</t>
  </si>
  <si>
    <t>Early Printed Music and Material Culture in Central and Western Europe</t>
  </si>
  <si>
    <t>Andrea Lindmayr-Brandl-Grantley McDonald</t>
  </si>
  <si>
    <t>The Dynamics of Conflict and Peace in Contemporary South Asia</t>
  </si>
  <si>
    <t>Minoru Mio-Kazuya Nakamizo-Tatsuro Fujikura</t>
  </si>
  <si>
    <t>Climate Governance Across the Globe</t>
  </si>
  <si>
    <t>RÃ¼diger K.W. Wurzel-Mikael Skou Andersen-Paul Tobin</t>
  </si>
  <si>
    <t>Verhandlungen des Vereins fÃ¼r Socialpolitik in Wien, 1909. I. Zum GedÃ¤chtnis an Georg Hanssen â€“ II. Die wirtschaftlichen Unternehmungen der Gemeinden â€“ III. Die ProduktivitÃ¤t der Volkswirtschaft.</t>
  </si>
  <si>
    <t>The Musical Heritage of Al-Andalus</t>
  </si>
  <si>
    <t>Przewodnik do Ä‡wiczeÅ„ z fizjologii roÅ›lin</t>
  </si>
  <si>
    <t>Maria SkÅ‚odowska-ElÅ¼bieta KuÅºniak-GÄ™barowska</t>
  </si>
  <si>
    <t>ÅÃ³dÅº i Å‚odzianie wobec wojny polsko-bolszewickiej 1920 roku</t>
  </si>
  <si>
    <t>Witold Jarno, PrzemysÅ‚aw Waingertner</t>
  </si>
  <si>
    <t>Brzmienie Holocaustu. O reprezentacjach ZagÅ‚ady w sztuce radiowej</t>
  </si>
  <si>
    <t>Eliza Matusiak-Joanna Bachura-Wojtasik</t>
  </si>
  <si>
    <t>Psychoanalytic Perspectives on Puberty and Adolescence</t>
  </si>
  <si>
    <t>FAMILY &amp; RELATIONSHIPS / Life Stages / Adolescence</t>
  </si>
  <si>
    <t>Gertraud Diem-Wille</t>
  </si>
  <si>
    <t>Influencer</t>
  </si>
  <si>
    <t>T. Bettina Cornwell-Helen Katz</t>
  </si>
  <si>
    <t>The Nordic Economic, Social and Political Model</t>
  </si>
  <si>
    <t>Anu Koivunen-Jari Ojala-Janne HolmÃ©n</t>
  </si>
  <si>
    <t>The American Automobile Industry</t>
  </si>
  <si>
    <t>Robert Cole</t>
  </si>
  <si>
    <t>Law and Kingship in Thailand During the Reign of King Chulalongkorn</t>
  </si>
  <si>
    <t>David Engel</t>
  </si>
  <si>
    <t>Inventar zur brandenburgischen Militaergeschichte 1914âˆ’1945</t>
  </si>
  <si>
    <t>Klaus GeÃŸner-Klaus Neitmann</t>
  </si>
  <si>
    <t>Designs of Blackness</t>
  </si>
  <si>
    <t>A. Robert Lee</t>
  </si>
  <si>
    <t>â€œHard Powerâ€ and the European Convention on Human Rights</t>
  </si>
  <si>
    <t>Peter Kempees</t>
  </si>
  <si>
    <t>Maria Stuart</t>
  </si>
  <si>
    <t>Friedrich Schiller (Author)-Flora Kimmich (Translator)-Roger Paulin (Introduction)</t>
  </si>
  <si>
    <t>The Atheist's Bible</t>
  </si>
  <si>
    <t xml:space="preserve"> Caroline Warman</t>
  </si>
  <si>
    <t>Plato's 'Republic'</t>
  </si>
  <si>
    <t xml:space="preserve"> Sean McAleer</t>
  </si>
  <si>
    <t>Pille Macht Diskurs</t>
  </si>
  <si>
    <t>Kris Vera Hartmann</t>
  </si>
  <si>
    <t>Democracy and Fake News</t>
  </si>
  <si>
    <t>Serena Giusti-Elisa Piras</t>
  </si>
  <si>
    <t>Exile From the Grasslands</t>
  </si>
  <si>
    <t>Jarmila PtÃ¡ÄkovÃ¡</t>
  </si>
  <si>
    <t>Citizen Humanitarianism at European Borders</t>
  </si>
  <si>
    <t>Maria Gabrielsen Jumbert-Elisa Pascucci</t>
  </si>
  <si>
    <t>Transcending Modernity with Relational Thinking</t>
  </si>
  <si>
    <t>Pierpaolo Donati</t>
  </si>
  <si>
    <t>Geschichte merkantilistischer Ideen und Praktiken.</t>
  </si>
  <si>
    <t>Klassische Themen der Dogmengeschichte.</t>
  </si>
  <si>
    <t>Nominale Determination im Bulgarischen und Mazedonischen</t>
  </si>
  <si>
    <t>Syuzan Sachliyan</t>
  </si>
  <si>
    <t>Polska w Europie Åšrodkowo-Wschodniej w XX wieku. Aspekty gospodarcze, tom III</t>
  </si>
  <si>
    <t>PrzemysÅ‚aw Waingertner</t>
  </si>
  <si>
    <t>Miasta studentÃ³w â€“ miasta konsumentÃ³w. Zachowania konsumenckie studentÃ³w w rozwoju Åodzi i Turynu</t>
  </si>
  <si>
    <t>Jakub Zasina</t>
  </si>
  <si>
    <t>(Kontr-)rewolucja oÅ›wiatowa. Studium z polityki prawicowych reform edukacyjnych</t>
  </si>
  <si>
    <t>BogusÅ‚aw Åšliwerski</t>
  </si>
  <si>
    <t>Localism and the Design of Political Systems</t>
  </si>
  <si>
    <t>Rick Harmes</t>
  </si>
  <si>
    <t>Reimagining the Higher Education Student</t>
  </si>
  <si>
    <t>Rachel Brooks-Sarah Oâ€™Shea</t>
  </si>
  <si>
    <t>Womenâ€™s Economic Thought in the Romantic Age</t>
  </si>
  <si>
    <t>Joanna Rostek</t>
  </si>
  <si>
    <t>Re-thinking Mobility Poverty</t>
  </si>
  <si>
    <t>Tobias Kuttler-Massimo Moraglio</t>
  </si>
  <si>
    <t>Socialism and Legal History</t>
  </si>
  <si>
    <t>HISTORY / Europe / Baltic States</t>
  </si>
  <si>
    <t>Ville ErkkilÃ¤-Hans-Peter Haferkamp</t>
  </si>
  <si>
    <t>Sustainable Development and Resource Productivity</t>
  </si>
  <si>
    <t>Harry Lehmann</t>
  </si>
  <si>
    <t>The Legitimacy of Modern Democracy</t>
  </si>
  <si>
    <t>Pedro T. MagalhÃ£es</t>
  </si>
  <si>
    <t>Criminal Futures</t>
  </si>
  <si>
    <t>Simon Egbert-Matthias Leese</t>
  </si>
  <si>
    <t>Historie eksperymentalne. Szkice o gatunkach radia artystycznego</t>
  </si>
  <si>
    <t>Natalia Kowalska-Elkader</t>
  </si>
  <si>
    <t>Procesy konwergencji na europejskich rynkach mieszkaniowych. UjÄ™cie miÄ™dzynarodowe i regionalne</t>
  </si>
  <si>
    <t>Der Wille zum Stil. Die bibelgemÃ¤ÃŸe Sprache in Friedrich Nietzsches â€žAlso sprach Zarathustraâ€œ und dessen Ãœbersetzungen ins Polnische und Englische</t>
  </si>
  <si>
    <t>Åukasz M. PlÄ™s</t>
  </si>
  <si>
    <t>Las formas verbales con vector de posterioridad en el espaÃ±ol peninsular y en su variedad mexicana</t>
  </si>
  <si>
    <t>Delta Life</t>
  </si>
  <si>
    <t>Franz Krause-Mark Harris</t>
  </si>
  <si>
    <t>Wandering the Wards</t>
  </si>
  <si>
    <t>Katie Featherstone-Andy Northcott</t>
  </si>
  <si>
    <t>Food and Agribusiness in 2030: a Roadmap</t>
  </si>
  <si>
    <t>Marcos Fava Neves-Allan Gray-Flavio Runkhe Valerio-Leticia Franco Martinez-Jonny Mateus Rodrigues-Rafael Bordonal Kalaki-Vitor Nardini Marques-VinÃ­cius CambaÃºva</t>
  </si>
  <si>
    <t>Le comique de phrases autonymiques polonaises et franÃ§aises. Analyse sÃ©mantique. stylistique et pragmatique</t>
  </si>
  <si>
    <t>Magdalena LipiÅ„ska</t>
  </si>
  <si>
    <t>Global Business Networks. Concept â€“ Structure â€“ Competitiveness</t>
  </si>
  <si>
    <t>Magdalena RosiÅ„ska-Bukowska</t>
  </si>
  <si>
    <t>O autonomii uniwersytetu. WykÅ‚ad wygÅ‚oszony przez Profesora Krzysztofa Pomiana z okazji nadania 24 maja 2017 r. doktoratu honorowego Uniwersytetu ÅÃ³dzkiego wraz z laudacjÄ… recenzjami i bibliografiÄ… prac Autora</t>
  </si>
  <si>
    <t>Krzysztof Pomian-RafaÅ‚ Stobiecki</t>
  </si>
  <si>
    <t>OÅ›wiadczenia zdrowotne i Å¼ywieniowe na rynku produktÃ³w Å¼ywnoÅ›ciowych</t>
  </si>
  <si>
    <t>PaweÅ‚ BryÅ‚a</t>
  </si>
  <si>
    <t>Muslim Womenâ€™s Pilgrimage to Mecca and Beyond</t>
  </si>
  <si>
    <t>Marjo Buitelaar-Manja Stephan-Emmrich-Viola Thimm</t>
  </si>
  <si>
    <t>Geschichtsschreibung in der Emigration</t>
  </si>
  <si>
    <t>Birte Meinschien</t>
  </si>
  <si>
    <t>JOURNALISM IN TURKEY:</t>
  </si>
  <si>
    <t>Devrim Ä°nce-YurdagÃ¼l Bezirgan Arar</t>
  </si>
  <si>
    <t>Isolierte Zession bei Gesamtschulden.</t>
  </si>
  <si>
    <t>Jan Liesenfeld</t>
  </si>
  <si>
    <t>Further Adventures on the Journey to the West</t>
  </si>
  <si>
    <t>Master of Silent Whistle Studio</t>
  </si>
  <si>
    <t>Women and War in Roman Epic</t>
  </si>
  <si>
    <t>Elina Pyy</t>
  </si>
  <si>
    <t>The Flowering of Ecology</t>
  </si>
  <si>
    <t>Kay Etheridge</t>
  </si>
  <si>
    <t>Dismantling Rape Culture</t>
  </si>
  <si>
    <t>Tracey Nicholls</t>
  </si>
  <si>
    <t>Across the Copperbelt</t>
  </si>
  <si>
    <t>Miles Larmer-Enid Guene-BenoÃ®t Henriet</t>
  </si>
  <si>
    <t>Sterile Insect Technique</t>
  </si>
  <si>
    <t>Victor A. Dyck-Jorge Hendrichs-A.S. Robinson</t>
  </si>
  <si>
    <t>Advances in Raw Material Industries for Sustainable Development Goals</t>
  </si>
  <si>
    <t>Vladimir Litvinenko</t>
  </si>
  <si>
    <t>Translating Great Russian Literature</t>
  </si>
  <si>
    <t>LANGUAGE STUDY / Russian</t>
  </si>
  <si>
    <t>Cathy McAteer</t>
  </si>
  <si>
    <t>Sport and Development in Emerging Nations</t>
  </si>
  <si>
    <t>Cem Tinaz-Brendon Knott</t>
  </si>
  <si>
    <t>Environmental Policy and Air Pollution in China</t>
  </si>
  <si>
    <t>Yuan Xu</t>
  </si>
  <si>
    <t>Assessment of Responsible Innovation</t>
  </si>
  <si>
    <t>Emad Yaghmaei-Ibo van de Poel</t>
  </si>
  <si>
    <t>Justice and Human Rights in the African Imagination</t>
  </si>
  <si>
    <t>Chielozona Eze</t>
  </si>
  <si>
    <t>The Rise of Autism</t>
  </si>
  <si>
    <t>MEDICAL / Health Risk Assessment</t>
  </si>
  <si>
    <t>Ginny Russell</t>
  </si>
  <si>
    <t>Digital Disruption in Teaching and Testing</t>
  </si>
  <si>
    <t>Claire Wyatt-Smith-Bob Lingard-Elizabeth Heck</t>
  </si>
  <si>
    <t>Solidarity in the Media and Public Contention Over Refugees in Europe</t>
  </si>
  <si>
    <t>Manlio Cinalli-Hans-JÃ¶rg Trenz-Verena BrÃ¤ndle-Olga Eisele-Christian Lahusen</t>
  </si>
  <si>
    <t>A Sensory Education</t>
  </si>
  <si>
    <t>Anna Harris</t>
  </si>
  <si>
    <t>Reframing the Urban Challenge in Africa</t>
  </si>
  <si>
    <t xml:space="preserve">FICTION / Small Town &amp; Rural </t>
  </si>
  <si>
    <t>Ntombini Marrengane-Sylvia Croese</t>
  </si>
  <si>
    <t>Corporate Policing, Yellow Unionism, and Strikebreaking, 1890-1930</t>
  </si>
  <si>
    <t>Matteo Millan-Alessandro Saluppo</t>
  </si>
  <si>
    <t>Modes of Truth</t>
  </si>
  <si>
    <t>Carlo Nicolai-Johannes Stern</t>
  </si>
  <si>
    <t>The Train That Had Wings</t>
  </si>
  <si>
    <t>M. Mukundan, Jr.</t>
  </si>
  <si>
    <t>On the Significance of Religion for Global Diplomacy</t>
  </si>
  <si>
    <t>Philip McDonagh-Kishan Manocha-John Neary-Lucia VÃ¡zquez Mendoza</t>
  </si>
  <si>
    <t>Anerkannter Protest?</t>
  </si>
  <si>
    <t>Lina Brink</t>
  </si>
  <si>
    <t>Musik &amp; politischer Konflikt aus der TÃ¼rkei</t>
  </si>
  <si>
    <t>Kirsten Seidlitz</t>
  </si>
  <si>
    <t>Konzepte und Modelle Integrierter Medizin</t>
  </si>
  <si>
    <t>ZugehÃ¶rigkeiten und Esskultur</t>
  </si>
  <si>
    <t>Anna Flack</t>
  </si>
  <si>
    <t>Topik zwischen Modellierung und Operationalisierung</t>
  </si>
  <si>
    <t>Maria Hinzmann</t>
  </si>
  <si>
    <t>Gegen\Dokumentation</t>
  </si>
  <si>
    <t>Esra Canpalat-Maren Haffke-Sarah Horn-Felix HÃ¼ttemann-Matthias Preuss</t>
  </si>
  <si>
    <t>Durchbrochene Ordnungen</t>
  </si>
  <si>
    <t>Friedrich Balke-Oliver Fahle-Annette Urban</t>
  </si>
  <si>
    <t>Making up Numbers</t>
  </si>
  <si>
    <t xml:space="preserve"> Ekkehard Kopp</t>
  </si>
  <si>
    <t>B C, Before Computers</t>
  </si>
  <si>
    <t xml:space="preserve"> Stephen Robertson</t>
  </si>
  <si>
    <t>The Political Attitudes of Divided European Citizens</t>
  </si>
  <si>
    <t>Iron Will</t>
  </si>
  <si>
    <t>Markus Kroger</t>
  </si>
  <si>
    <t>Leading Transformative Change Collectively</t>
  </si>
  <si>
    <t>Petra Kuenkel-Elisabeth Kuhn-Dominic Stucker-Douglas Williamson</t>
  </si>
  <si>
    <t>Lineages and Advancements in Material Culture Studies</t>
  </si>
  <si>
    <t>Timothy Carroll-Antonia Walford-Shireen Walton</t>
  </si>
  <si>
    <t>Bisexuality in Europe</t>
  </si>
  <si>
    <t>Emiel Maliepaard-Renate Baumgartner</t>
  </si>
  <si>
    <t>Insane Run</t>
  </si>
  <si>
    <t>Wojciech Tomasik</t>
  </si>
  <si>
    <t>In Search of a Model for the Legal Protection of a Whistleblower in the Workplace in Poland. A Legal and Comparative Study</t>
  </si>
  <si>
    <t>Åukasz Bolesta</t>
  </si>
  <si>
    <t>Real-Time Systems Development with RTEMS and Multicore Processors</t>
  </si>
  <si>
    <t>Gedare Bloom-Joel Sherrill-Tingting Hu-Ivan Cibrario Bertolotti</t>
  </si>
  <si>
    <t>Idioms and Ambiguity in Context</t>
  </si>
  <si>
    <t>Wiltrud Wagner</t>
  </si>
  <si>
    <t>Blasphemie</t>
  </si>
  <si>
    <t>PHILOSOPHY / Hindu</t>
  </si>
  <si>
    <t>Matthias D. WÃ¼thrich-Matthias Gockel-JÃ¼rgen Mohn</t>
  </si>
  <si>
    <t>Islam and Heritage in Europe</t>
  </si>
  <si>
    <t>Katarzyna Puzon-Sharon Macdonald-Mirjam Shatanawi</t>
  </si>
  <si>
    <t>Political Communication and COVID-19</t>
  </si>
  <si>
    <t>Darren Lilleker-Ioana A. Coman-MiloÅ¡ Gregor-Edoardo Novelli</t>
  </si>
  <si>
    <t>Rights for Robots</t>
  </si>
  <si>
    <t>Joshua C. Gellers</t>
  </si>
  <si>
    <t>Romani Communities and Transformative Change</t>
  </si>
  <si>
    <t>Andrew Ryder-Marius Taba-Nidhi Trehan</t>
  </si>
  <si>
    <t>COVID-19 in the Global South</t>
  </si>
  <si>
    <t>Carmody, PÃ¡draig-McCann, Gerard</t>
  </si>
  <si>
    <t>PÃ¡draig Carmody-Gerard McCann-Clodagh Colleran-Ciara Oâ€™Halloran</t>
  </si>
  <si>
    <t>From Water to Wine: Angola's Transformation</t>
  </si>
  <si>
    <t>Jess Auerbach</t>
  </si>
  <si>
    <t>Introducing Vigilant Audiences</t>
  </si>
  <si>
    <t xml:space="preserve"> Daniel Trottier-Rashid Gabdulhakov-Qian Huang</t>
  </si>
  <si>
    <t>Probleme des Finanzausgleichs III.</t>
  </si>
  <si>
    <t>Un-Settling Middle Eastern Refugees</t>
  </si>
  <si>
    <t>Marcia C. Inhorn-Lucia Volk</t>
  </si>
  <si>
    <t>Divining Nature</t>
  </si>
  <si>
    <t>Tili Boon CuillÃ©</t>
  </si>
  <si>
    <t>The Religion of White Rage</t>
  </si>
  <si>
    <t>Stephen C. Finley-Biko Mandela Gray-Lori Latrice Martin</t>
  </si>
  <si>
    <t>Obama V. Trump</t>
  </si>
  <si>
    <t>POLITICAL SCIENCE / American Government / Legislative Branch</t>
  </si>
  <si>
    <t>Clodagh Harrington-Alex Waddan</t>
  </si>
  <si>
    <t>Balancing the Commons in Switzerland</t>
  </si>
  <si>
    <t>Tobias Haller-Karina Liechti-Martin Stuber-FranÃ§ois-Xavier Viallon-Rahel Wunderli</t>
  </si>
  <si>
    <t>Interpreters and War Crimes</t>
  </si>
  <si>
    <t>Kayoko Takeda</t>
  </si>
  <si>
    <t>The Rhine and European Security in the Long Nineteenth Century</t>
  </si>
  <si>
    <t>Joep Schenk</t>
  </si>
  <si>
    <t>Waiting and the Temporalities of Irregular Migration</t>
  </si>
  <si>
    <t>Christine M. Jacobsen-Marry-Anne Karlsen-Shahram Khosravi</t>
  </si>
  <si>
    <t>The Three Ages of Government</t>
  </si>
  <si>
    <t>Jos C.N. Raadschelders</t>
  </si>
  <si>
    <t>Embracing Age</t>
  </si>
  <si>
    <t>Anna I. Corwin</t>
  </si>
  <si>
    <t>Scepticism and Belief in English Witchcraft Drama, 1538â€“1681</t>
  </si>
  <si>
    <t>Eric Pudney</t>
  </si>
  <si>
    <t>Exposed</t>
  </si>
  <si>
    <t>Mia-Marie Hammarlin</t>
  </si>
  <si>
    <t>Humboldt and the Modern German University</t>
  </si>
  <si>
    <t>Johan Ã–stling</t>
  </si>
  <si>
    <t>Overwhelmed by Overflows?</t>
  </si>
  <si>
    <t>Barbara Czarniawska-Orvar LÃ¶fgren</t>
  </si>
  <si>
    <t>Zur Geschichte der Ã–konomik der Privathaushalte.</t>
  </si>
  <si>
    <t>Building Better Schools with Evidence-based Policy</t>
  </si>
  <si>
    <t>Kelly-Ann Allen-Andrea Reupert-Lindsay Oades</t>
  </si>
  <si>
    <t>Towards a Philosophical Anthropology of Culture</t>
  </si>
  <si>
    <t>Kevin M. Cahill</t>
  </si>
  <si>
    <t>Comics and Videogames</t>
  </si>
  <si>
    <t>Andreas Rauscher-Daniel Stein-Jan-NoÃ«l Thon</t>
  </si>
  <si>
    <t>The Constitution and Governance in Cameroon</t>
  </si>
  <si>
    <t>Laura-Stella E. Enonchong</t>
  </si>
  <si>
    <t>Bedeutung und Fortwirkung der Physiokraten.</t>
  </si>
  <si>
    <t>Johann Heinrich von ThÃ¼nen als Wirtschaftstheoretiker.</t>
  </si>
  <si>
    <t>Pro dignitate legis et maiestate iustitiae. KsiÄ™ga jubileuszowa z okazji 70. rocznicy urodzin Profesora Witolda Kuleszy</t>
  </si>
  <si>
    <t>Jan Kulesza-Agnieszka Liszewska</t>
  </si>
  <si>
    <t>Democracy at Risk. The Growth of Nationalism and Extreme Right Parties As Threat to the EU</t>
  </si>
  <si>
    <t>Dieter EiÃŸel-Jeremy Leaman-Ewa Rokicka</t>
  </si>
  <si>
    <t>Torah, Temple, Land</t>
  </si>
  <si>
    <t>Jens SchrÃ¶ter-Markus Witte-Verena M. Lepper</t>
  </si>
  <si>
    <t>Interpreting and Living God's Law at Qumran</t>
  </si>
  <si>
    <t>Reinhard Gregor Kratz-Eibert Tigchelaaar-Noam Mizrahi-Jonathan Ben-Dov-Charlotte Hempel-Vered Noam-John J. Collins-Lutz Doering-JÃ¶rg Frey</t>
  </si>
  <si>
    <t>Produktive UnproduktivitÃ¤t</t>
  </si>
  <si>
    <t>Inga Wilke-Gregor Dobler-Markus Tauschek-Michael VollstÃ¤dt</t>
  </si>
  <si>
    <t>Nutzungsausgleich im BÃ¼rgerlichen Recht</t>
  </si>
  <si>
    <t>Erik RÃ¶der</t>
  </si>
  <si>
    <t>Datenprivatrecht</t>
  </si>
  <si>
    <t>Philipp Hacker</t>
  </si>
  <si>
    <t>Juristische Kommentare: Ein internationaler Vergleich</t>
  </si>
  <si>
    <t>David KÃ¤stle-Lamparter-Nils Jansen-Reinhard Zimmermann</t>
  </si>
  <si>
    <t>Liminal Spaces</t>
  </si>
  <si>
    <t xml:space="preserve"> Grace Aneiza Ali</t>
  </si>
  <si>
    <t>The Bavarian Commentary and Ovid</t>
  </si>
  <si>
    <t xml:space="preserve"> Robin Wahlsten BÃ¶ckerman</t>
  </si>
  <si>
    <t>The Life and Letters of William Sharp and "Fiona Macleod"</t>
  </si>
  <si>
    <t>A Powerful Particulars View of Causation</t>
  </si>
  <si>
    <t>R.D. Ingthorsson</t>
  </si>
  <si>
    <t>12th International Conference on Vibrations in Rotating Machinery</t>
  </si>
  <si>
    <t>TECHNOLOGY &amp; ENGINEERING / Machinery</t>
  </si>
  <si>
    <t>Institute of Mechanical Engineers</t>
  </si>
  <si>
    <t>Generational Gaps in Political Media Use and Civic Engagement</t>
  </si>
  <si>
    <t>Kim Andersen-Jakob Ohme-Camilla BjarnÃ¸e-Mats Joe Bordacconi-Erik AlbÃ¦k-Claes H De Vreese</t>
  </si>
  <si>
    <t>International Labour Migration to Europeâ€™s Rural Regions</t>
  </si>
  <si>
    <t>Johan Fredrik Rye-Karen O'Reilly</t>
  </si>
  <si>
    <t>The Cultural Life of James Bond</t>
  </si>
  <si>
    <t>LITERARY CRITICISM / Mystery &amp; Detective</t>
  </si>
  <si>
    <t>Jaap Verheul</t>
  </si>
  <si>
    <t>AuthentizitÃ¤t und industriekulturelles Erbe</t>
  </si>
  <si>
    <t>Michael Farrenkopf-Torsten Meyer</t>
  </si>
  <si>
    <t>Bergbausammlungen in Deutschland</t>
  </si>
  <si>
    <t>Michael Farrenkopf-Stefan Siemer</t>
  </si>
  <si>
    <t>Literature and Politics in the Later Foucault</t>
  </si>
  <si>
    <t>Azucena G. Blanco</t>
  </si>
  <si>
    <t>Mediality on Trial</t>
  </si>
  <si>
    <t>Ehler Voss</t>
  </si>
  <si>
    <t>Making Sense of World History</t>
  </si>
  <si>
    <t>Midwives in Mexico</t>
  </si>
  <si>
    <t>Hanna Laako-Georgina SÃ¡nchez-RamÃ­rez</t>
  </si>
  <si>
    <t>Bioeconomy</t>
  </si>
  <si>
    <t>Iris Lewandowski</t>
  </si>
  <si>
    <t>Participation in Courts and Tribunals</t>
  </si>
  <si>
    <t>Jessica Jacobson-Penny Cooper</t>
  </si>
  <si>
    <t>Enterprise Social Policy As a Means of Development of Social Work</t>
  </si>
  <si>
    <t>Marie Å pilÃ¡ÄkovÃ¡</t>
  </si>
  <si>
    <t>The Cost of Free Shipping</t>
  </si>
  <si>
    <t>BUSINESS &amp; ECONOMICS / Distribution</t>
  </si>
  <si>
    <t>Jake Alimahomed-Wilson-Ellen Reese</t>
  </si>
  <si>
    <t>The Stoic Theory of Beauty</t>
  </si>
  <si>
    <t>Aiste Celkyte</t>
  </si>
  <si>
    <t>14th International Conference on Turbochargers and Turbocharging</t>
  </si>
  <si>
    <t>Technical Universities</t>
  </si>
  <si>
    <t>Lars Geschwind-Anders BrostrÃ¶m-Katarina Larsen</t>
  </si>
  <si>
    <t>Risikoethik der Banken</t>
  </si>
  <si>
    <t>Vandad Sohrabi</t>
  </si>
  <si>
    <t>Short-termism im Aktien- und Kapitalmarktrecht</t>
  </si>
  <si>
    <t>Eckart Bueren</t>
  </si>
  <si>
    <t>Ecological Justice and the Extinction Crisis</t>
  </si>
  <si>
    <t>Anna Wienhues</t>
  </si>
  <si>
    <t>The Science and Technology of Particle Accelerators</t>
  </si>
  <si>
    <t>Rob Appleby-Graeme Burt-James Clarke-Hywel Owen</t>
  </si>
  <si>
    <t>Chronicles From Kashmir</t>
  </si>
  <si>
    <t>DRAMA / Asian / General</t>
  </si>
  <si>
    <t xml:space="preserve"> Nandita Dinesh</t>
  </si>
  <si>
    <t>Waltzing Through Europe</t>
  </si>
  <si>
    <t xml:space="preserve"> Egil Bakka-Theresa Jill Buckland-Helena Saarikoski-Anne von Bibra Wharton</t>
  </si>
  <si>
    <t>Childrenâ€™s Guided Participation in Jazz Improvisation</t>
  </si>
  <si>
    <t>Guro Gravem Johansen</t>
  </si>
  <si>
    <t>Locating Imagination in Popular Culture</t>
  </si>
  <si>
    <t>Nicky van Es-Stijn Reijnders-Leonieke Bolderman-Abby Waysdorf</t>
  </si>
  <si>
    <t>Power and Influence of Economists</t>
  </si>
  <si>
    <t>Jens Maesse-Stephan PÃ¼hringer-Thierry Rossier-Pierre Benz</t>
  </si>
  <si>
    <t>Perspektiven des Bergbauerbes im Museum</t>
  </si>
  <si>
    <t>JÃ¼dinnen in der frÃ¼hen italienischen Frauenbewegung (1861â€“1945)</t>
  </si>
  <si>
    <t>Ruth Nattermann</t>
  </si>
  <si>
    <t>Making Histories</t>
  </si>
  <si>
    <t>Paul Ashton-Tanya Evans-Paula Hamilton</t>
  </si>
  <si>
    <t>OsteuropÃ¤ische Dogmengeschichte.</t>
  </si>
  <si>
    <t>Drei JubilÃ¤en (1983): Karl Marx - Joseph Schumpeter - John Maynard Keynes.</t>
  </si>
  <si>
    <t>Deutsche NationalÃ¶konomie im 19. Jahrhundert.</t>
  </si>
  <si>
    <t>Deutsche Finanzwissenschaft zwischen 1918 und 1939.</t>
  </si>
  <si>
    <t>Untersuchungen zu Quesnay, Stein, Jevons und zur allgemeinen Gleichgewichtstheorie.</t>
  </si>
  <si>
    <t>Deutsche NationalÃ¶konomie zu Beginn des 19. Jahrhunderts.</t>
  </si>
  <si>
    <t>Comparative Renewables Policy</t>
  </si>
  <si>
    <t>Elin Lerum Boasson-Merethe Dotterud Leiren-JÃ¸rgen Wettestad</t>
  </si>
  <si>
    <t>Morrey Spaces</t>
  </si>
  <si>
    <t>Yoshihiro Sawano-Giuseppe Di Fazio-Denny Ivanal Hakim</t>
  </si>
  <si>
    <t>Yoshihiro Sawano</t>
  </si>
  <si>
    <t>Ã–ffentliche Finanzen und Umweltpolitik I.</t>
  </si>
  <si>
    <t>Neue Instrumente an den FinanzmÃ¤rkten.</t>
  </si>
  <si>
    <t>PAHs and the Universe</t>
  </si>
  <si>
    <t>Christine Joblin-Alexander Godfried Gerardus Maria Tielens</t>
  </si>
  <si>
    <t>The West and the Word</t>
  </si>
  <si>
    <t>Steffen WÃ¶ll</t>
  </si>
  <si>
    <t>European Socialist Regimes' Fateful Engagement with the West</t>
  </si>
  <si>
    <t>Angela Romano-Federico Romero</t>
  </si>
  <si>
    <t>Motivation in Organisations</t>
  </si>
  <si>
    <t>Manuel Guillen</t>
  </si>
  <si>
    <t>Human Trafficking in Medieval Europe</t>
  </si>
  <si>
    <t>Christopher Paolella</t>
  </si>
  <si>
    <t>Mapping Good Work</t>
  </si>
  <si>
    <t>Mark Williams-Ying Zhou-Min Zou</t>
  </si>
  <si>
    <t>Enrique, de-Madaria-Matthias, LÃ¶hr</t>
  </si>
  <si>
    <t>African Literature in the Digital Age</t>
  </si>
  <si>
    <t>Shola Adenekan</t>
  </si>
  <si>
    <t>Borderland Infrastructures</t>
  </si>
  <si>
    <t>Alessandro Rippa</t>
  </si>
  <si>
    <t>â€œNo One Will Do This For Usâ€.</t>
  </si>
  <si>
    <t>Nicole DoÅ‚owy-RybiÅ„ska</t>
  </si>
  <si>
    <t>The Attitude of Christian Churches in the Kingdom of Poland Toward Jews in 1855â€“1915</t>
  </si>
  <si>
    <t>Krzysztof Lewalski</t>
  </si>
  <si>
    <t>Yuarn Music Dramas</t>
  </si>
  <si>
    <t>Dale Johnson</t>
  </si>
  <si>
    <t>Women and Public Life in Early Meiji Japan</t>
  </si>
  <si>
    <t>Mara Patessio</t>
  </si>
  <si>
    <t>The Sian Incident</t>
  </si>
  <si>
    <t>Tien-wei Wu</t>
  </si>
  <si>
    <t>The Mertiyo Rathors of Merto, Rajasthan</t>
  </si>
  <si>
    <t>Richard Saran-Norman P. Ziegler</t>
  </si>
  <si>
    <t>The Kagero Diary</t>
  </si>
  <si>
    <t>Social Organization in South China, 1911â€“1949</t>
  </si>
  <si>
    <t>Yuen-fong Woon</t>
  </si>
  <si>
    <t>Poems of the Five Mountains</t>
  </si>
  <si>
    <t>Marian Ury</t>
  </si>
  <si>
    <t>Paninian Studies</t>
  </si>
  <si>
    <t>Madhav Deshpande-Saroja Bhate</t>
  </si>
  <si>
    <t>Ethnic Diversity and the Control of Natural Resources in Southeast Asia</t>
  </si>
  <si>
    <t>A. Terry Rambo-A. Rambo-Kathleen Gillogly-Karl Hutterer</t>
  </si>
  <si>
    <t>Educated Youth and the Cultural Revolution in China</t>
  </si>
  <si>
    <t>Martin Singer</t>
  </si>
  <si>
    <t>Double Jeopardy</t>
  </si>
  <si>
    <t>Ching-Hsi Perng-Perng Ching-Hsi</t>
  </si>
  <si>
    <t>Dances with Sheep</t>
  </si>
  <si>
    <t>Matthew Strecher</t>
  </si>
  <si>
    <t>Daily Life and Demographics in Ancient Japan</t>
  </si>
  <si>
    <t>William Wayne Farris</t>
  </si>
  <si>
    <t>Cultural Values and Human Ecology in Southeast Asia</t>
  </si>
  <si>
    <t>Karl Hutterer-A. Rambo-A. Terry Rambo-George Lovelace</t>
  </si>
  <si>
    <t>Conversations with Shotetsu</t>
  </si>
  <si>
    <t>Robert Brower-Steven Carter</t>
  </si>
  <si>
    <t>Conflicting Counsels to Confuse the Age</t>
  </si>
  <si>
    <t>Helen Dunstan</t>
  </si>
  <si>
    <t>Classifying the Zhuangzi Chapters</t>
  </si>
  <si>
    <t>Xiaogan Liu</t>
  </si>
  <si>
    <t>Citizens and Groups in Contemporary China</t>
  </si>
  <si>
    <t>Victor Falkenheim</t>
  </si>
  <si>
    <t>Chinese Communist Materials at the Bureau of Investigation Archives, Taiwan</t>
  </si>
  <si>
    <t>Peter Donovan-Carl Dorris-Carl E. Dorris-Lawrence R. Sullivan-Lawrence Sullivan</t>
  </si>
  <si>
    <t>Chinaâ€™s Allocation of Fixed Capital Investment, 1952â€“1957</t>
  </si>
  <si>
    <t>Aryan and Non-Aryan in India</t>
  </si>
  <si>
    <t>Madhav Deshpande-Peter Hook-Peter Edwin Hook</t>
  </si>
  <si>
    <t>A Translation of Lao-tzuâ€™s Tao Te Ching and Wang Piâ€™s Commentary</t>
  </si>
  <si>
    <t>Paul Lin</t>
  </si>
  <si>
    <t>A Tanizaki Feast</t>
  </si>
  <si>
    <t>Adriana Boscaro-Anthony Chambers</t>
  </si>
  <si>
    <t>A History of Japanâ€™s Government-Business Relationship</t>
  </si>
  <si>
    <t>Phyllis Genther</t>
  </si>
  <si>
    <t>A Glossary of Words and Phrases in the Oral Performing and Dramatic Literatures of the Jin, Yuan, and Ming</t>
  </si>
  <si>
    <t>A Bibliography of Chinese Language Materials on the People's Communes</t>
  </si>
  <si>
    <t>Wei-yi Ma</t>
  </si>
  <si>
    <t>The Era of the Martyrs</t>
  </si>
  <si>
    <t>Aaltje Hidding</t>
  </si>
  <si>
    <t>â€œThe Sting of Deathâ€ and Other Stories</t>
  </si>
  <si>
    <t>Toshio Shimao</t>
  </si>
  <si>
    <t>G. Rowley-Gaye Rowley</t>
  </si>
  <si>
    <t>Writing and Renunciation in Medieval Japan</t>
  </si>
  <si>
    <t>Rajyashree Pandey</t>
  </si>
  <si>
    <t>Two Twelfth-Century Texts on Chinese Painting</t>
  </si>
  <si>
    <t>Robert Maeda</t>
  </si>
  <si>
    <t>Transport in Transition</t>
  </si>
  <si>
    <t>Andrew Watson</t>
  </si>
  <si>
    <t>Transformations of Sensibility</t>
  </si>
  <si>
    <t>Hideo Kamei-Michael K. Bourdaghs</t>
  </si>
  <si>
    <t>The Tale of Matsura</t>
  </si>
  <si>
    <t>Wayne Lammers</t>
  </si>
  <si>
    <t>The Ming Dynasty</t>
  </si>
  <si>
    <t>The Matrix of Lyric Transformation</t>
  </si>
  <si>
    <t>Zong-qi Cai-Zong-qu Cai</t>
  </si>
  <si>
    <t>The Linguistic Turn in Contemporary Japanese Literary Studies</t>
  </si>
  <si>
    <t>Michael K. Bourdaghs</t>
  </si>
  <si>
    <t>The Journey</t>
  </si>
  <si>
    <t>K.C. Das-K. Das</t>
  </si>
  <si>
    <t>The Japanese Automotive Industry</t>
  </si>
  <si>
    <t>The Imperial Style of Inquiry in Twentieth-Century China</t>
  </si>
  <si>
    <t>Donald J. Munro</t>
  </si>
  <si>
    <t>The Grand Old Man and the Great Tradition</t>
  </si>
  <si>
    <t>Luisa Bienati-Bonaventura Ruperti</t>
  </si>
  <si>
    <t>Tales of Times Now Past</t>
  </si>
  <si>
    <t>Swallows and Settlers</t>
  </si>
  <si>
    <t>Thomas Gottschang-Diana Lary</t>
  </si>
  <si>
    <t>Sukerokuâ€™s Double Identity</t>
  </si>
  <si>
    <t>Barbara Thornbury</t>
  </si>
  <si>
    <t>Salt and State</t>
  </si>
  <si>
    <t>Cecilia Chien</t>
  </si>
  <si>
    <t>Research Guide to Peopleâ€™s Daily Editorials, 1949â€“1975</t>
  </si>
  <si>
    <t>Michel Oksenberg-Gail Henderson</t>
  </si>
  <si>
    <t>Political Leadership in Contemporary Japan</t>
  </si>
  <si>
    <t>Terry MacDougall</t>
  </si>
  <si>
    <t>Pearl From the Dragonâ€™s Mouth</t>
  </si>
  <si>
    <t>Cecile Sun</t>
  </si>
  <si>
    <t>Nourish the People</t>
  </si>
  <si>
    <t>Pierre-Etienne Will-R. Wong-R. Bin Wong</t>
  </si>
  <si>
    <t>Musashino in Tuscany</t>
  </si>
  <si>
    <t>Susanna Fessler</t>
  </si>
  <si>
    <t>Mao Zedongâ€™s â€œTalks at the Yanâ€™an Conference on Literature and Artâ€</t>
  </si>
  <si>
    <t>Bonnie McDougall</t>
  </si>
  <si>
    <t>Japan in the World, the World in Japan</t>
  </si>
  <si>
    <t>Center for Japanese Studies</t>
  </si>
  <si>
    <t>Industry at the Crossroads</t>
  </si>
  <si>
    <t>Imagination Without Borders</t>
  </si>
  <si>
    <t>Laura Hein-Rebecca Jennison</t>
  </si>
  <si>
    <t>Essays on the Modern Japanese Church</t>
  </si>
  <si>
    <t>Aizan Yamaji</t>
  </si>
  <si>
    <t>Economic Exchange and Social Interaction in Southeast Asia</t>
  </si>
  <si>
    <t>Karl Hutterer</t>
  </si>
  <si>
    <t>Early Communist China</t>
  </si>
  <si>
    <t>Ronald Suleski-Daniel Bays</t>
  </si>
  <si>
    <t>Critical Studies in Indian Grammarians I</t>
  </si>
  <si>
    <t>Madhav Deshpande</t>
  </si>
  <si>
    <t>Collective Decision Making in Rural Japan</t>
  </si>
  <si>
    <t>Robert Marshall</t>
  </si>
  <si>
    <t>Christian Converts and Social Protests in Meiji Japan</t>
  </si>
  <si>
    <t>Irwin Scheiner</t>
  </si>
  <si>
    <t>Chinese Paintings in Chinese Publications, 1956â€“1968</t>
  </si>
  <si>
    <t>Ellen Johnston Laing</t>
  </si>
  <si>
    <t>Chinese Domestic Politics and Foreign Policy in the 1970s</t>
  </si>
  <si>
    <t>Allen S. Whiting</t>
  </si>
  <si>
    <t>Chinaâ€™s Revolutions and Intergenerational Relations</t>
  </si>
  <si>
    <t>Martin Whyte</t>
  </si>
  <si>
    <t>Central Documents and Politburo Politics in China</t>
  </si>
  <si>
    <t>Kenneth Lieberthal-James Tong-Sai-cheung Yeung</t>
  </si>
  <si>
    <t>Boundaries of the Text</t>
  </si>
  <si>
    <t>Joyce Flueckiger-Laurie Sears</t>
  </si>
  <si>
    <t>Automobiles and the Future</t>
  </si>
  <si>
    <t>Appropriation and Representation</t>
  </si>
  <si>
    <t>Shuhui Yang</t>
  </si>
  <si>
    <t>An Index to Reproductions of Paintings by Twentieth-Century Chinese Artists</t>
  </si>
  <si>
    <t>The Maltese Archipelago at the Dawn of History</t>
  </si>
  <si>
    <t>Davide Tanasi-David Cardona</t>
  </si>
  <si>
    <t>Soft Computing</t>
  </si>
  <si>
    <t>Mangey Ram-Suraj B. Singh</t>
  </si>
  <si>
    <t>Sign Language Ideologies in Practice</t>
  </si>
  <si>
    <t>Annelies Kusters-Mara Green-Erin Moriarty-Kristin Snoddon</t>
  </si>
  <si>
    <t>Locating the Global</t>
  </si>
  <si>
    <t>Brazilian Sign Language Studies</t>
  </si>
  <si>
    <t>Ronice MÃ¼ller de Quadros</t>
  </si>
  <si>
    <t>Contextual Theology</t>
  </si>
  <si>
    <t>Sigurd Bergmann-Mika VÃ¤hÃ¤kangas</t>
  </si>
  <si>
    <t>Family Business and Regional Development</t>
  </si>
  <si>
    <t>Rodrigo Basco-Roger Stough-Lech Suwala</t>
  </si>
  <si>
    <t>Negotiating Gender Expertise in Environment and Development</t>
  </si>
  <si>
    <t>Bernadette ResurrecciÃ³n-Rebecca Elmhirst</t>
  </si>
  <si>
    <t>Indigenous Invisibility in the City</t>
  </si>
  <si>
    <t>Development of the Global Film Industry</t>
  </si>
  <si>
    <t>Qiao Li-Yanqiu Guan-Hong Lu</t>
  </si>
  <si>
    <t>Indigenous Data Sovereignty and Policy</t>
  </si>
  <si>
    <t>Maggie Walter-Tahu Kukutai-Stephanie Russo Carroll-Desi Rodriguez-Lonebear</t>
  </si>
  <si>
    <t>International Aid and Democracy Promotion</t>
  </si>
  <si>
    <t>Bann Seng Tan</t>
  </si>
  <si>
    <t>Preventing HIV Among Young People in Southern and Eastern Africa</t>
  </si>
  <si>
    <t>Kaymarlin Govender-Nana K Poku</t>
  </si>
  <si>
    <t>Masculinities in Forests</t>
  </si>
  <si>
    <t>Carol J. Pierce Colfer</t>
  </si>
  <si>
    <t>Procedural Justice and Relational Theory</t>
  </si>
  <si>
    <t>Denise Meyerson-Catriona Mackenzie-Therese MacDermott</t>
  </si>
  <si>
    <t>Regulating Coastal Zones</t>
  </si>
  <si>
    <t>Rachelle Alterman-Cygal Pellach</t>
  </si>
  <si>
    <t>Reinsurance and the Law of Aggregation</t>
  </si>
  <si>
    <t>Oliver D. William</t>
  </si>
  <si>
    <t>Eisaku Sato, Japanese Prime Minister, 1964-72</t>
  </si>
  <si>
    <t>POETRY / Shakespeare</t>
  </si>
  <si>
    <t>Keywords in Western Literary Criticism and Contemporary China</t>
  </si>
  <si>
    <t>Yamin Hu</t>
  </si>
  <si>
    <t>The Political Economy of Populism</t>
  </si>
  <si>
    <t>Petar Stankov</t>
  </si>
  <si>
    <t>Sustainable Development in India</t>
  </si>
  <si>
    <t>Koichi Fujita-Tsukasa Mizushima</t>
  </si>
  <si>
    <t>Small Sample Size Solutions</t>
  </si>
  <si>
    <t>Rens van de Schoot-Milica MioÄeviÄ‡</t>
  </si>
  <si>
    <t>Governance Ethics in Healthcare Organizations</t>
  </si>
  <si>
    <t>Gerard Magill-Lawrence Prybil</t>
  </si>
  <si>
    <t>Europe and the Refugee Response</t>
  </si>
  <si>
    <t>ElÅ¼bieta M. GoÅºdziak-Izabella Main-Brigitte Suter</t>
  </si>
  <si>
    <t>Mongol Court Dress, Identity Formation, and Global Exchange</t>
  </si>
  <si>
    <t>Eiren L. Shea</t>
  </si>
  <si>
    <t>Immersive Journalism As Storytelling</t>
  </si>
  <si>
    <t>Turo Uskali-Astrid Gynnild-Sarah Jones-Esa Sirkkunen</t>
  </si>
  <si>
    <t>Challenging Perceptions of Africa in Schools</t>
  </si>
  <si>
    <t>Barbara Oâ€™Toole-Ebun Joseph-David Nyaluke</t>
  </si>
  <si>
    <t>A Political Biography of Aung San Suu Kyi</t>
  </si>
  <si>
    <t>MichaÅ‚ Lubina</t>
  </si>
  <si>
    <t>Cities and Local Governments in Central Asia</t>
  </si>
  <si>
    <t>Madina Junussova</t>
  </si>
  <si>
    <t>(Re)writing History in Byzantium</t>
  </si>
  <si>
    <t>Panagiotis Manafis</t>
  </si>
  <si>
    <t>Governing Delinquency Through Freedom</t>
  </si>
  <si>
    <t>GÃ©raldine Bugnon</t>
  </si>
  <si>
    <t>Whistleblowing, Communication and Consequences</t>
  </si>
  <si>
    <t>Peer Jacob Svenkerud-Jan-Oddvar SÃ¸rnes-Larry Browning</t>
  </si>
  <si>
    <t>Economic Transformation in Poland and Ukraine</t>
  </si>
  <si>
    <t>RafaÅ‚ WisÅ‚a-Andrzej Nowosad</t>
  </si>
  <si>
    <t>Ravenna and the Traditions of Late Antique and Early Byzantine Craftsmanship</t>
  </si>
  <si>
    <t>Salvatore Cosentino</t>
  </si>
  <si>
    <t>Aulus Gellius und die â€ºNoctes Atticaeâ€¹</t>
  </si>
  <si>
    <t>Beate Beer</t>
  </si>
  <si>
    <t>Passions, Politics and the Limits of Society</t>
  </si>
  <si>
    <t>Heikki Haara-Koen Stapelbroek-Mikko Immanen</t>
  </si>
  <si>
    <t>Einkommens- und VermÃ¶gensverteilung in historischer Sicht.</t>
  </si>
  <si>
    <t>Der EinfluÃŸ des Staates auf den Wettbewerb.</t>
  </si>
  <si>
    <t>â€žMam na Pana nowy zamachâ€¦â€. WybÃ³r korespondencji Jerzego Giedroycia z historykami i Å›wiadkami historii 1946â€“2000. Tom 3</t>
  </si>
  <si>
    <t>SÅ‚awomir M. Nowinowski-RafaÅ‚ Stobiecki-Anna BrzeziÅ„ska-Milena Przybysz-Gralewska-Jan Kowalski Redaktor tomu: Jan Kowalski</t>
  </si>
  <si>
    <t>â€žMam na Pana nowy zamachâ€¦â€. WybÃ³r korespondencji Jerzego Giedroycia z historykami i Å›wiadkami historii 1946â€“2000. Tom 2</t>
  </si>
  <si>
    <t>SÅ‚awomir M. Nowinowski-RafaÅ‚ Stobiecki-Anna BrzeziÅ„ska-Milena Przybysz-Gralewska</t>
  </si>
  <si>
    <t>â€žMam na Pana nowy zamachâ€¦â€. WybÃ³r korespondencji Jerzego Giedroycia z historykami i Å›wiadkami historii 1946â€“2000. Tom 1</t>
  </si>
  <si>
    <t>Understanding Local Economic Development</t>
  </si>
  <si>
    <t>Emil Malizia-Edward J. Feser-Henry Renski-Joshua Drucker</t>
  </si>
  <si>
    <t>What Is Digital Journalism Studies?</t>
  </si>
  <si>
    <t>Steen Steensen-Oscar Westlund</t>
  </si>
  <si>
    <t>Social Thinking and History</t>
  </si>
  <si>
    <t>Constance De Saint Laurent</t>
  </si>
  <si>
    <t>Film and the Chinese Medical Humanities</t>
  </si>
  <si>
    <t>Vivienne Lo-Chris Berry-Guo Liping</t>
  </si>
  <si>
    <t>African Environmental Crisis</t>
  </si>
  <si>
    <t>Gufu Oba</t>
  </si>
  <si>
    <t>On the Significance of Religion in Conflict and Conflict Resolution</t>
  </si>
  <si>
    <t>Christine Schliesser-S. Ayse Kadayifci-Orellana-Pauline Kollontai</t>
  </si>
  <si>
    <t>The Politics of Uncertainty</t>
  </si>
  <si>
    <t>Ian Scoones-Andy Stirling</t>
  </si>
  <si>
    <t>Judicial Law-Making in European Constitutional Courts</t>
  </si>
  <si>
    <t>Queering the Migrant in Contemporary European Cinema</t>
  </si>
  <si>
    <t>James S. Williams</t>
  </si>
  <si>
    <t>Politics As a Science</t>
  </si>
  <si>
    <t>Philippe C. Schmitter-Marc Blecher</t>
  </si>
  <si>
    <t>Investigating the Resurrection of Jesus Christ</t>
  </si>
  <si>
    <t>Japan Through the Lens of the Tokyo Olympics Open Access</t>
  </si>
  <si>
    <t>Barbara Holthus-Isaac GagnÃ©-Wolfram Manzenreiter-Franz Waldenberger</t>
  </si>
  <si>
    <t>Rethinking White Societies in Southern Africa</t>
  </si>
  <si>
    <t>Duncan Money-Danelle van Zyl-Hermann</t>
  </si>
  <si>
    <t>Researching Ageing</t>
  </si>
  <si>
    <t>Maria ÅuszczyÅ„ska</t>
  </si>
  <si>
    <t>Using Evidence in Policy and Practice</t>
  </si>
  <si>
    <t>Ian Goldman-Mine Pabari</t>
  </si>
  <si>
    <t>Journalist Safety and Self-Censorship</t>
  </si>
  <si>
    <t>Anna GrÃ¸ndahl Larsen-Ingrid Fadnes-Roy KrÃ¸vel</t>
  </si>
  <si>
    <t>Relations Between Immigration and Integration Policies in Europe</t>
  </si>
  <si>
    <t>Maciej Duszczyk-Marta Pachocka-Dominika PszczÃ³Å‚kowska</t>
  </si>
  <si>
    <t>Actualizing Human Rights</t>
  </si>
  <si>
    <t>Jos Philips</t>
  </si>
  <si>
    <t>The Literary History of the Igbo Novel</t>
  </si>
  <si>
    <t>Nordic Societal Security</t>
  </si>
  <si>
    <t>Sebastian Larsson-Mark Rhinard</t>
  </si>
  <si>
    <t>The Psychology of Fake News</t>
  </si>
  <si>
    <t>Rainer Greifeneder-Mariela Jaffe-Eryn Newman-Norbert Schwarz</t>
  </si>
  <si>
    <t>Kathy Acker</t>
  </si>
  <si>
    <t>Margaret Henderson</t>
  </si>
  <si>
    <t>The Gender-Sensitive University</t>
  </si>
  <si>
    <t>Eileen Drew-SiobhÃ¡n Canavan</t>
  </si>
  <si>
    <t>Musical Gentrification</t>
  </si>
  <si>
    <t>Petter Dyndahl-Sidsel Karlsen-Ruth Wright</t>
  </si>
  <si>
    <t>Aggression in Pornography</t>
  </si>
  <si>
    <t>JUVENILE NONFICTION / Social Topics / Violence</t>
  </si>
  <si>
    <t>Eran Shor-Kimberly Seida</t>
  </si>
  <si>
    <t>Changing Habits of Mind</t>
  </si>
  <si>
    <t>Zoltan Gross</t>
  </si>
  <si>
    <t>The Informal Economy Revisited</t>
  </si>
  <si>
    <t>Martha Chen-FranÃ§oise CarrÃ©</t>
  </si>
  <si>
    <t>A History of Participation in Museums and Archives</t>
  </si>
  <si>
    <t>Per Hetland-Palmyre Pierroux-Line Esborg</t>
  </si>
  <si>
    <t>Job's Body and the Dramatised Comedy of Moralising</t>
  </si>
  <si>
    <t>BIBLES / Christian Standard Bible / Dramatized</t>
  </si>
  <si>
    <t>Katherine E. Southwood</t>
  </si>
  <si>
    <t>Negotiating the North</t>
  </si>
  <si>
    <t>Sarah Semple-Alexandra Sanmark-Frode Iversen-Natascha Mehler</t>
  </si>
  <si>
    <t>Food Security in the High North</t>
  </si>
  <si>
    <t>Kamrul Hossain-Lena Maria Nilsson-Thora Martina Herrmann</t>
  </si>
  <si>
    <t>Indigenous Knowledges and the Sustainable Development Agenda</t>
  </si>
  <si>
    <t>Anders Breidlid-Roy KrÃ¸vel</t>
  </si>
  <si>
    <t>Challenges and Solutions in Ethnographic Research</t>
  </si>
  <si>
    <t>Tuuli LÃ¤hdesmÃ¤ki-Eerika Koskinen-Koivisto-Viktorija L.A. ÄŒeginskas-Aino-Kaisa Koistinen</t>
  </si>
  <si>
    <t>Women, Agency, and the State in Guinea</t>
  </si>
  <si>
    <t>Carole Ammann</t>
  </si>
  <si>
    <t>Handbook of the Cultural Foundations of Learning</t>
  </si>
  <si>
    <t>Na'ilah Suad Nasir-Carol D. Lee-Roy Pea-Maxine McKinney de Royston</t>
  </si>
  <si>
    <t>Childlessness in the Age of Communication</t>
  </si>
  <si>
    <t>Cristina Archetti</t>
  </si>
  <si>
    <t>Indigenous Religion(s)</t>
  </si>
  <si>
    <t>Siv Ellen Kraft-BjÃ¸rn Ola Tafjord-Arkotong Longkumer-Gregory D. Alles-Greg Johnson</t>
  </si>
  <si>
    <t>The Politics and Science of Prevision</t>
  </si>
  <si>
    <t>Andreas Wenger-Ursula Jasper-Myriam Dunn Cavelty</t>
  </si>
  <si>
    <t>Fair and Equitable Benefit-Sharing in Agriculture (Open Access)</t>
  </si>
  <si>
    <t>Elsa Tsioumani</t>
  </si>
  <si>
    <t>State of the Young Child in India</t>
  </si>
  <si>
    <t>Mobile Creches</t>
  </si>
  <si>
    <t>Critica</t>
  </si>
  <si>
    <t>Egil Kraggerud</t>
  </si>
  <si>
    <t>Happiness, Well-being and Sustainability</t>
  </si>
  <si>
    <t>Laura Musikanski-Rhonda Phillips-James Bradbury-John de Graaf-Clinton Bliss</t>
  </si>
  <si>
    <t>Hegemony and World Order</t>
  </si>
  <si>
    <t>Piotr Dutkiewicz-Tom Casier-Jan Aart Scholte</t>
  </si>
  <si>
    <t>Das lÃ¤ndliche Japan zwischen Idylle und Verfall</t>
  </si>
  <si>
    <t>Ludgera Lewerich-Theresa Sieland-Timo Thelen</t>
  </si>
  <si>
    <t>Decolonizing Pathways Towards Integrative Healing in Social Work</t>
  </si>
  <si>
    <t>MEDICAL / Holistic Medicine</t>
  </si>
  <si>
    <t>Kris Clarke-Michael Yellow Bird</t>
  </si>
  <si>
    <t>Contextualizing Entrepreneurship Theory</t>
  </si>
  <si>
    <t>Ted Baker-Friederike Welter</t>
  </si>
  <si>
    <t>Involving Anthroponomy in the Anthropocene</t>
  </si>
  <si>
    <t>GARDENING / Climatic / Temperate</t>
  </si>
  <si>
    <t>Jeremy Bendik-Keymer</t>
  </si>
  <si>
    <t>Integrating Timing Considerations to Improve Testing Practices</t>
  </si>
  <si>
    <t>Melissa J. Margolis-Richard A. Feinberg</t>
  </si>
  <si>
    <t>A People's History of Classics</t>
  </si>
  <si>
    <t>Edith Hall-Henry Stead</t>
  </si>
  <si>
    <t>Childrenâ€™s English in Singapore</t>
  </si>
  <si>
    <t>Sarah Buschfeld</t>
  </si>
  <si>
    <t>Ahmadiyya Islam and the Muslim Diaspora</t>
  </si>
  <si>
    <t>Marzia Balzani</t>
  </si>
  <si>
    <t>Communicating Identities</t>
  </si>
  <si>
    <t>Gary Barkhuizen-Pat Strauss</t>
  </si>
  <si>
    <t>Crowds</t>
  </si>
  <si>
    <t>Megan Steffen</t>
  </si>
  <si>
    <t>Jewish-Muslim Intellectual History Entangled</t>
  </si>
  <si>
    <t xml:space="preserve"> Adang Camilla-Bruno Chiesa-Omar Hamdan-Wilferd Madelung-Sabine Schmidtke-Jan Thiele</t>
  </si>
  <si>
    <t>Simplified Signs</t>
  </si>
  <si>
    <t xml:space="preserve"> John D. Bonvillian-Nicole Kissane Lee-Tracy T. Dooley-Filip T. Loncke</t>
  </si>
  <si>
    <t>Sailing From Polis to Empire</t>
  </si>
  <si>
    <t xml:space="preserve"> Emmanuel Nantet</t>
  </si>
  <si>
    <t>Boy-Wives and Female Husbands</t>
  </si>
  <si>
    <t>Stephen O. Murray-Will Roscoe</t>
  </si>
  <si>
    <t>Premises and Problems</t>
  </si>
  <si>
    <t>Luiza Franco Moreira</t>
  </si>
  <si>
    <t>The Other/Argentina</t>
  </si>
  <si>
    <t>Amy K. Kaminsky</t>
  </si>
  <si>
    <t>Death Rights</t>
  </si>
  <si>
    <t>Deanna P. Koretsky</t>
  </si>
  <si>
    <t>The Historical Distinctiveness of Central Europe</t>
  </si>
  <si>
    <t>Krzysztof Brzechczyn</t>
  </si>
  <si>
    <t>Empires of the Sea</t>
  </si>
  <si>
    <t>Rolf Strootman-Floris van den Eijnde-Roy van Wijk</t>
  </si>
  <si>
    <t>Erinnerung und IdentitÃ¤t</t>
  </si>
  <si>
    <t>Christina Lammer</t>
  </si>
  <si>
    <t>Erinnerungsorte in Belgien</t>
  </si>
  <si>
    <t>Hermann Kamp-Sabine Schmitz</t>
  </si>
  <si>
    <t>The Geostationary Ring</t>
  </si>
  <si>
    <t>Martha MejÃ­a-Kaiser</t>
  </si>
  <si>
    <t>Integrating Everything</t>
  </si>
  <si>
    <t>Justin Amery</t>
  </si>
  <si>
    <t>"The Distress Is Impossible to Convey"</t>
  </si>
  <si>
    <t>Ravi Ahuja-Marcel van der Linden-Anna Sailer</t>
  </si>
  <si>
    <t>Triumph der Mitte</t>
  </si>
  <si>
    <t>Matthias Oppermann</t>
  </si>
  <si>
    <t>EuropÃ¤ische Bankenregulierung und private Haftung</t>
  </si>
  <si>
    <t>Nikolai Badenhoop</t>
  </si>
  <si>
    <t>Das Leben des Weisen</t>
  </si>
  <si>
    <t>Daniel Lanzinger-Matthias Adrian-Maximilian Forschner-Heinz-GÃ¼nther Nesselrath-Maren R. Niehoff-Friederike Oertelt-Simone Seibert-Nicolai Sinai</t>
  </si>
  <si>
    <t>BÃ¼rger-Ethos, politisches Engagement und die Bewahrung des Status Quo</t>
  </si>
  <si>
    <t>Vera Hofmann-Frank Daubner-Tobias Thum-Gustav Adolf Lehmann</t>
  </si>
  <si>
    <t>Protagonisten im Gesellschaftsrecht</t>
  </si>
  <si>
    <t>Hans-Ueli Vogt-Holger Fleischer-Susanne Kalss</t>
  </si>
  <si>
    <t>Das konvivialistische Manifest</t>
  </si>
  <si>
    <t>Les Convivialistes-Frank Adloff-Claus Leggewie</t>
  </si>
  <si>
    <t>Multilingual Online Academic Collaborations As Resistance</t>
  </si>
  <si>
    <t>Giovanna Fassetta-Nazmi Al-Masri-Alison Phipps</t>
  </si>
  <si>
    <t>The Hand Behind the Invisible Hand</t>
  </si>
  <si>
    <t>Fir and Empire</t>
  </si>
  <si>
    <t>Ian M. Miller</t>
  </si>
  <si>
    <t>Fast Facts para pacientes y las personas que los apoyan: Enfermedad inflamatoria intestinal</t>
  </si>
  <si>
    <t>Shanahan, Fergus</t>
  </si>
  <si>
    <t>Fast Facts: Medical Statistics</t>
  </si>
  <si>
    <t>Richard, Kay</t>
  </si>
  <si>
    <t>Ã–konomie und Evolution.</t>
  </si>
  <si>
    <t>Deutsch-Ostafrika als Siedlungsgebiet fÃ¼r EuropÃ¤er unter BerÃ¼cksichtigung Britisch-Ostafrikas und Nyassalands.</t>
  </si>
  <si>
    <t>Ethnographies of Power</t>
  </si>
  <si>
    <t>Tristan Loloum-Simone Abram-Nathalie Ortar</t>
  </si>
  <si>
    <t>Whoâ€™s Cashing In?</t>
  </si>
  <si>
    <t>Atreyee Sen-Johan Lindquist-Marie Kolling</t>
  </si>
  <si>
    <t>Deutschland und die Weltkrise.</t>
  </si>
  <si>
    <t>Poetry, Bible and Theology From Late Antiquity to the Middle Ages</t>
  </si>
  <si>
    <t>Michele Cutino</t>
  </si>
  <si>
    <t>Lâ€™enseignement du franÃ§ais et le dÃ©fi du numÃ©rique</t>
  </si>
  <si>
    <t>Vincent Capt-Mathieu Depeursinge-Sonya Florey</t>
  </si>
  <si>
    <t>Discourses We Live By</t>
  </si>
  <si>
    <t xml:space="preserve"> Hazel R. Wright-Marianne HÃ¸yen</t>
  </si>
  <si>
    <t>Kirby, Roger S.-Patel, Manish I.-Poon, Darren M.C.</t>
  </si>
  <si>
    <t>Lexical Nonmanuals in German Sign Language</t>
  </si>
  <si>
    <t>Nina-Kristin Pendzich</t>
  </si>
  <si>
    <t>Social Reform, Modernization and Technical Diplomacy</t>
  </si>
  <si>
    <t>VÃ©ronique Plata-Stenger</t>
  </si>
  <si>
    <t>A Lexicon of Medieval Nordic Law</t>
  </si>
  <si>
    <t xml:space="preserve"> Jeffrey Love-Inger Larsson-Ulrika DjÃ¤rv-Christine Peel-Erik Simensen</t>
  </si>
  <si>
    <t>Euripides-Rezeption in Kaiserzeit und SpÃ¤tantike</t>
  </si>
  <si>
    <t>A European Public Investment Outlook</t>
  </si>
  <si>
    <t>Educating Students with Refugee and Asylum Seeker Experiences</t>
  </si>
  <si>
    <t>Maura Sellars</t>
  </si>
  <si>
    <t>Material Acts in Everyday Hindu Worlds</t>
  </si>
  <si>
    <t>Joyce Burkhalter Flueckiger</t>
  </si>
  <si>
    <t>Earning Heavenly Salvation</t>
  </si>
  <si>
    <t>Tomasz WiÅ›licz</t>
  </si>
  <si>
    <t>Pina Bausch's Dance Theater</t>
  </si>
  <si>
    <t>Ukraine's Search for Justice in the Shadow of the Donbas Conflict</t>
  </si>
  <si>
    <t>Igor Lyubashenko</t>
  </si>
  <si>
    <t>Geschlechterforschung in und zwischen den Disziplinen</t>
  </si>
  <si>
    <t>Julia Hahmann-Ulrike Knobloch-Melanie Kubandt-Anna Orlikowski-Christina Plath</t>
  </si>
  <si>
    <t>A Simple Approach to Quantum Chemistry</t>
  </si>
  <si>
    <t>Rabah Ali Khalil</t>
  </si>
  <si>
    <t>Studies in Semitic Vocalisation and Reading Traditions</t>
  </si>
  <si>
    <t>Gelehrte im Reich.</t>
  </si>
  <si>
    <t>Probleme der Geldmengensteuerung.</t>
  </si>
  <si>
    <t>Werner Ehrlicher-Alois Oberhauser</t>
  </si>
  <si>
    <t>Ausbildungskosten, AusbildungsfÃ¶rderung und Familienlastenausgleich.</t>
  </si>
  <si>
    <t>Dieter Dohmen</t>
  </si>
  <si>
    <t>Der Ausbildungsstellenmarkt der Bundesrepublik Deutschland.</t>
  </si>
  <si>
    <t>Renate NeubÃ¤umer</t>
  </si>
  <si>
    <t>Ã–konomie und Politik beruflicher Bildung - EuropÃ¤ische Entwicklungen.</t>
  </si>
  <si>
    <t>Dieter Sadowski-Andrea Timmesfeld</t>
  </si>
  <si>
    <t>Probleme der WÃ¤hrungspolitik.</t>
  </si>
  <si>
    <t>Creative Multilingualism</t>
  </si>
  <si>
    <t xml:space="preserve"> Katrin Kohl-Rajinder Dudrah-Andrew Gosler-Suzanne Graham-Martin Maiden-Wen-chin Ouyang</t>
  </si>
  <si>
    <t>Studies in Rabbinic Hebrew</t>
  </si>
  <si>
    <t xml:space="preserve"> Shai Heijmans</t>
  </si>
  <si>
    <t>Living Earth Community</t>
  </si>
  <si>
    <t xml:space="preserve"> Sam Mickey-Mary Evelyn Tucker-John Grim</t>
  </si>
  <si>
    <t>Music on the Move</t>
  </si>
  <si>
    <t>Danielle Fosler-Lussier</t>
  </si>
  <si>
    <t>Fast Facts para pacientes y las personas que los apoyan: asma</t>
  </si>
  <si>
    <t>Harrington, John</t>
  </si>
  <si>
    <t>Neutrino Physics</t>
  </si>
  <si>
    <t>Kai Zuber</t>
  </si>
  <si>
    <t>ZrozumieÄ‡ pijÄ…ce dziecko. Poradnik dla rodzicÃ³w (dorosÅ‚ych) osÃ³b z problemem alkoholowym</t>
  </si>
  <si>
    <t>PSYCHOLOGY / Psychopathology / Addiction</t>
  </si>
  <si>
    <t>Diana MÃ¼ller-Siekierska-Agnieszka Jaros</t>
  </si>
  <si>
    <t>Polska wobec poÅ‚udniowych sÄ…siadÃ³w w Europie Åšrodkowo-Wschodniej w XX wieku. Tom 2</t>
  </si>
  <si>
    <t>Åad wschodnio-europejski w polskiej myÅ›li politycznej w XX wieku. Tom 1</t>
  </si>
  <si>
    <t>Interdyscyplinarium nauk o mediach i kulturze</t>
  </si>
  <si>
    <t>Mariola Antczak, Zbigniew Gruszka</t>
  </si>
  <si>
    <t>Wprowadzenie do groznawstwa</t>
  </si>
  <si>
    <t>Katarzyna Prajzner</t>
  </si>
  <si>
    <t>WspÃ³Å‚czesne problemy zarzÄ…dzania. Teoria i praktyka</t>
  </si>
  <si>
    <t>Beata Glinkowska-Krauze-BogusÅ‚aw Kaczmarek-Viaczeslav Chebotarov</t>
  </si>
  <si>
    <t>Professionalisierung im Lehramtsstudium Deutsch</t>
  </si>
  <si>
    <t>Nicole Masanek-JÃ¶rg Kilian</t>
  </si>
  <si>
    <t>Brueckenschlaege Nord: Landeskunde an der Schnittstelle von Schule und Universitaet</t>
  </si>
  <si>
    <t>Frank Thomas Grub-Maris Saagpakk</t>
  </si>
  <si>
    <t>Living the End of Antiquity</t>
  </si>
  <si>
    <t>Sabine R. Huebner-Eugenio Garosi-Isabelle Marthot-Santaniello-Matthias MÃ¼ller-Stefanie Schmidt-Matthias Stern</t>
  </si>
  <si>
    <t>Black Racialization and Resistance at an Elite University</t>
  </si>
  <si>
    <t>rosalind hampton</t>
  </si>
  <si>
    <t>The Psychological Assessment of Presidential Candidates</t>
  </si>
  <si>
    <t>Stanley A Renshon</t>
  </si>
  <si>
    <t>Freezing Fertility</t>
  </si>
  <si>
    <t>Lucy van de Wiel</t>
  </si>
  <si>
    <t>Creating the Creation Museum</t>
  </si>
  <si>
    <t>Kathleen C. Oberlin</t>
  </si>
  <si>
    <t>High Hopes</t>
  </si>
  <si>
    <t>Companies Act No 31 of 1909</t>
  </si>
  <si>
    <t>Neels Kilian</t>
  </si>
  <si>
    <t>Reinventing the Social Scientist and Humanist in the Era of Big Data</t>
  </si>
  <si>
    <t>Susan Brokensha, Eduan KotzÃ© &amp; Burgert A Senekal</t>
  </si>
  <si>
    <t>Construction Safety Pocketbook for South Africa</t>
  </si>
  <si>
    <t>Making Sense of Jesus</t>
  </si>
  <si>
    <t>Francois Tolmie &amp; Rian Venter</t>
  </si>
  <si>
    <t>Jesus Christus, Seun van God, is ons Versoening</t>
  </si>
  <si>
    <t>Prof Pieter Verster</t>
  </si>
  <si>
    <t>Books &amp; Bones &amp; Other Things</t>
  </si>
  <si>
    <t>Jan K. Coetzee</t>
  </si>
  <si>
    <t>In Pursuit of Societal Harmony</t>
  </si>
  <si>
    <t>Ludmilla Aâ€™Beckett &amp; Theodorus du Plessis</t>
  </si>
  <si>
    <t>Designing with Photovoltaics</t>
  </si>
  <si>
    <t>AngÃ¨le Reinders</t>
  </si>
  <si>
    <t>Challenges in Cybersecurity and Privacy - the European Research Landscape</t>
  </si>
  <si>
    <t>Jorge Bernal Bernabe-Antonio Skarmeta</t>
  </si>
  <si>
    <t>RF CMOS Oscillators for Modern Wireless Applications</t>
  </si>
  <si>
    <t>Masoud Babaie-Mina Shahmohammadi-Robert Bogdan Staszewski</t>
  </si>
  <si>
    <t>Direct Nerve Stimulation for Induction of Sensation and Treatment of Phantom Limb Pain</t>
  </si>
  <si>
    <t>Winnie Jensen</t>
  </si>
  <si>
    <t>The Digital Shopfloor- Industrial Automation in the Industry 4.0 Era</t>
  </si>
  <si>
    <t>John Soldatos-Oscar Lazaro-Franco Cavadini</t>
  </si>
  <si>
    <t>Stadtentwicklung und Strukturwandel.</t>
  </si>
  <si>
    <t>The Consistory and Social Discipline in Calvin's Geneva</t>
  </si>
  <si>
    <t>Jeffrey R. Watt</t>
  </si>
  <si>
    <t>Ã„sthetik der Autonomie</t>
  </si>
  <si>
    <t>Hanna Heinrich</t>
  </si>
  <si>
    <t>IntersexualitÃ¤t im Sport</t>
  </si>
  <si>
    <t>Dennis KrÃ¤mer</t>
  </si>
  <si>
    <t>Skyscraping Frontiers</t>
  </si>
  <si>
    <t>Sascha Klein</t>
  </si>
  <si>
    <t>Construyendo espacios: la ciudad iberoamericana virreinal</t>
  </si>
  <si>
    <t>JesÃºs Paniagua PÃ©rez-Daniele Arciello</t>
  </si>
  <si>
    <t>Fast Facts for Women and Their Supporters: Menopause</t>
  </si>
  <si>
    <t>Briggs, Paula</t>
  </si>
  <si>
    <t>Fast Facts for Patients and Their Supporters: Asthma</t>
  </si>
  <si>
    <t>Fast Facts for Patients and Their Supporters: Advanced Cutaneous Squamous Cell Carcinoma</t>
  </si>
  <si>
    <t>Arron, Sarah T.</t>
  </si>
  <si>
    <t>BeitrÃ¤ge zum Vergleich der Wirtschaftssysteme.</t>
  </si>
  <si>
    <t>Erik Boettcher</t>
  </si>
  <si>
    <t>Roland W., Herzog-Linda, Popplewell</t>
  </si>
  <si>
    <t>Margery Spring Rice</t>
  </si>
  <si>
    <t xml:space="preserve"> Lucy Pollard</t>
  </si>
  <si>
    <t>Earth 2020</t>
  </si>
  <si>
    <t>Using Evidence to End Homelessness</t>
  </si>
  <si>
    <t>LÃ­gia Teixeira-James Cartwright</t>
  </si>
  <si>
    <t>Pauuluâ€™s Diaspora</t>
  </si>
  <si>
    <t>Quito J. Swan</t>
  </si>
  <si>
    <t>Doing Tolerance</t>
  </si>
  <si>
    <t>Maria Castro Varela-BarÄ±ÅŸ Ãœlker</t>
  </si>
  <si>
    <t>Keeping Autonomous Driving Alive</t>
  </si>
  <si>
    <t>GÃ¶de Both</t>
  </si>
  <si>
    <t>Analytic and Algebraic Geometry 3</t>
  </si>
  <si>
    <t>MATHEMATICS / Geometry / Analytic</t>
  </si>
  <si>
    <t>Analytic and Algebraic Geometry</t>
  </si>
  <si>
    <t>JÄ™drzej Moraczewski. Wspomnienia. Ludzie, czasy i zdarzenia. CzÄ™Å›Ä‡ pierwsza. MÅ‚odoÅ›Ä‡ i praca inÅ¼ynierska. Tom 2. Lata 1895â€“1900</t>
  </si>
  <si>
    <t>Ilona Florczak</t>
  </si>
  <si>
    <t>AndrÃ© de Lorde et son thÃ©Ã¢tre de la peur</t>
  </si>
  <si>
    <t>ÐŸÑ€ÐµÐ´Ð¿ÐµÑ€ÐµÐ²Ð¾Ð´Ñ‡ÐµÑÐºÐ¸Ð¹ Ð°Ð½Ð°Ð»Ð¸Ð· Ñ‚ÐµÐºÑÑ‚Ð° ÐºÐ°Ðº Ð¿ÐµÑ€Ð²Ñ‹Ð¹ ÑÑ‚Ð°Ð¿ ÑÑ‚Ð¸Ñ…Ð¾Ñ‚Ð²Ð¾Ñ€Ð½Ð¾Ð³Ð¾ Ð¿ÐµÑ€ÐµÐ²Ð¾Ð´Ð°</t>
  </si>
  <si>
    <t>Anna Bednarczyk</t>
  </si>
  <si>
    <t>La condiciÃ³n civil de la mujer en el derecho espaÃ±ol antiguo y moderno.</t>
  </si>
  <si>
    <t>Cellular Dialogues in the Holobiont</t>
  </si>
  <si>
    <t>Thomas C. G. Bosch-Michael G. Hadfield</t>
  </si>
  <si>
    <t>BIOGRAPHY &amp; AUTOBIOGRAPHY / Editors, Journalists, Publishers</t>
  </si>
  <si>
    <t>Open Access in Theory and Practice</t>
  </si>
  <si>
    <t>Stephen Pinfield-Simon Wakeling-David Bawden-Lyn Robinson</t>
  </si>
  <si>
    <t>Crime and Fear in Public Places</t>
  </si>
  <si>
    <t>Vania Ceccato-Mahesh K. Nalla</t>
  </si>
  <si>
    <t>Entangled Mobilities in the Transnational Salsa Circuit</t>
  </si>
  <si>
    <t>Joanna Menet</t>
  </si>
  <si>
    <t>Gender and Sexuality Diversity in a Culture of Limitation</t>
  </si>
  <si>
    <t>Tania Ferfolja-Jacqueline Ullman</t>
  </si>
  <si>
    <t>Adventures of the Mind</t>
  </si>
  <si>
    <t>Natalie Clifford Barney</t>
  </si>
  <si>
    <t>Las colonias penales de la Australia y la pena de deportaciÃ³n. EdiciÃ³n Bicentenario</t>
  </si>
  <si>
    <t>Arenal, ConcepciÃ³n</t>
  </si>
  <si>
    <t>La seguridad deportiva a debate.</t>
  </si>
  <si>
    <t>Preventing Dementia?</t>
  </si>
  <si>
    <t>Annette Leibing-Silke Schicktanz</t>
  </si>
  <si>
    <t>Moebius Anthropology</t>
  </si>
  <si>
    <t>Don Handelman-Matan Shapiro-Jackie Feldman</t>
  </si>
  <si>
    <t>Poor Man's Fortune</t>
  </si>
  <si>
    <t>Jarod Roll</t>
  </si>
  <si>
    <t>Reimagining Homelessness</t>
  </si>
  <si>
    <t>Eoin O'Sullivan</t>
  </si>
  <si>
    <t>Race Characters</t>
  </si>
  <si>
    <t>Swati Rana</t>
  </si>
  <si>
    <t>The Last Turtlemen of the Caribbean</t>
  </si>
  <si>
    <t>Sharika D. Crawford</t>
  </si>
  <si>
    <t>Germanistikstudium an der Universitaet Vilnius und Berufsbilder litauischer Germanist(inn)en</t>
  </si>
  <si>
    <t>Virginija MasiulionytÄ—-Diana Å ileikaitÄ—-Kaishauri</t>
  </si>
  <si>
    <t>Il Ê»pensiero per immaginiÊ¼ e le forme dell'invisibile / Das â€šDenken in Bildernâ€˜ und die Formen des Unsichtbaren</t>
  </si>
  <si>
    <t>Laura Follesa</t>
  </si>
  <si>
    <t>Andrea, Coravos-Jennifer C., Goldsack-Daniel R., Karlin-Camille, Nebeker-Eric, Perakslis-Noah, Zimmerman-M. Kelley, Erb</t>
  </si>
  <si>
    <t>Internal Combustion Engines and Powertrain Systems for Future Transport 2019</t>
  </si>
  <si>
    <t>IMECHE</t>
  </si>
  <si>
    <t>Zukunftsprobleme der Sozialen Marktwirtschaft.</t>
  </si>
  <si>
    <t>Secularism in the Arab World</t>
  </si>
  <si>
    <t>Aziz al-Azmeh</t>
  </si>
  <si>
    <t>Russiaâ€™s New Authoritarianism</t>
  </si>
  <si>
    <t>David G. Lewis</t>
  </si>
  <si>
    <t>Confucian Academies in East Asia</t>
  </si>
  <si>
    <t>Vladimir Glomb-Eun-Jeung Lee-Martin Gehlmann</t>
  </si>
  <si>
    <t>Agency</t>
  </si>
  <si>
    <t xml:space="preserve"> David Weissman</t>
  </si>
  <si>
    <t>Quintessence of Dust: The Science of Matter and the Philosophy of Mind</t>
  </si>
  <si>
    <t>Engaging with Policy, Practice and Publics</t>
  </si>
  <si>
    <t>Sarah M Hall-Ralitsa Hiteva</t>
  </si>
  <si>
    <t>Ethnicity, Race and Inequality in the UK</t>
  </si>
  <si>
    <t>Bridget Byrne-Claire Alexander-Omar Khan-James Nazroo-William Shankley</t>
  </si>
  <si>
    <t>Models in Microeconomic Theory ('He' Edition)</t>
  </si>
  <si>
    <t>Models in Microeconomic Theory ('She' Edition)</t>
  </si>
  <si>
    <t>Exploring Greek Manuscripts in the Library at Wellcome Collection in London</t>
  </si>
  <si>
    <t>ANTIQUES &amp; COLLECTIBLES / Paper Ephemera</t>
  </si>
  <si>
    <t>Petros Bouras-Vallianatos</t>
  </si>
  <si>
    <t>Histories of Knowledge in Postwar Scandinavia</t>
  </si>
  <si>
    <t>Johan Ã–stling-Niklas Olsen-David Larsson Heidenblad</t>
  </si>
  <si>
    <t>Gallucci's Commentary on DÃ¼rerâ€™s 'Four Books on Human Proportion'</t>
  </si>
  <si>
    <t xml:space="preserve"> James Hutson</t>
  </si>
  <si>
    <t>Industry 4.0 and Regional Transformations</t>
  </si>
  <si>
    <t>Lisa De Propris-David Bailey</t>
  </si>
  <si>
    <t>How Metaphors Guide, Teach and Popularize Science</t>
  </si>
  <si>
    <t>Anke Beger-Thomas H. Smith</t>
  </si>
  <si>
    <t>Creating and Governing Cultural Heritage in the European Union</t>
  </si>
  <si>
    <t>Tuuli LÃ¤hdesmÃ¤ki-Viktorija L.A. ÄŒeginskas-Sigrid Kaasik-Krogerus-Katja MÃ¤kinen-Johanna Turunen</t>
  </si>
  <si>
    <t>Systems of Classification in Premodern Medical Cultures</t>
  </si>
  <si>
    <t>The Cinema of Marguerite Duras</t>
  </si>
  <si>
    <t>Michelle Royer</t>
  </si>
  <si>
    <t>Teaching Social Justice Through Shakespeare</t>
  </si>
  <si>
    <t>Hillary Eklund-Wendy Beth Hyman</t>
  </si>
  <si>
    <t>Monstrosity and Philosophy</t>
  </si>
  <si>
    <t>Filippo Del Lucchese</t>
  </si>
  <si>
    <t>Kathleen Collins</t>
  </si>
  <si>
    <t>Geetha Ramanathan</t>
  </si>
  <si>
    <t>Israel/Palestine</t>
  </si>
  <si>
    <t>Drew Paul</t>
  </si>
  <si>
    <t>Intermedial Dialogues</t>
  </si>
  <si>
    <t>Marion Schmid</t>
  </si>
  <si>
    <t>Gender, Governance and Islam</t>
  </si>
  <si>
    <t>Deniz Kandiyoti-Nadje Al-Ali-Kathryn Spellman Poots</t>
  </si>
  <si>
    <t>UnternehmensfortfÃ¼hrung durch Testamentsvollstrecker und Insolvenzverwalter.</t>
  </si>
  <si>
    <t>Hendrik Quast</t>
  </si>
  <si>
    <t>Corporate Social Responsibility â€“ Impulse aus der und fÃ¼r die Profit- und Sozialwirtschaft</t>
  </si>
  <si>
    <t>Bettina Stoll-Heike Herrmann</t>
  </si>
  <si>
    <t>Generation und SexualitÃ¤t</t>
  </si>
  <si>
    <t>Elke Kleinau-Jeannette Windheuser</t>
  </si>
  <si>
    <t>DocumentaciÃ³n digital y lÃ©xico en la traducciÃ³n e interpretaciÃ³n en los servicios pÃºblicos (TISP): fundamentos teÃ³ricos y prÃ¡cticos</t>
  </si>
  <si>
    <t>MarÃ­a del Mar SÃ¡nchez Ramos</t>
  </si>
  <si>
    <t>West African Masking Traditions and Diaspora Masquerade Carnivals</t>
  </si>
  <si>
    <t>Raphael Chijioke Njoku</t>
  </si>
  <si>
    <t>A Primer on Memory Consistency and Cache Coherence, Second Edition</t>
  </si>
  <si>
    <t>Vijay Nagarajan-Daniel J. Sorin-Mark D. Hill-David A. Wood</t>
  </si>
  <si>
    <t>Ã–ffentliches Recht und Privatrecht</t>
  </si>
  <si>
    <t>Ute Sacksofsky</t>
  </si>
  <si>
    <t>Jews and Protestants</t>
  </si>
  <si>
    <t>Irene Aue-Ben David-Aya Elyada-Moshe Sluhovsky-Christian Wiese</t>
  </si>
  <si>
    <t>Europa und die osmanische Expansion im ausgehenden Mittelalter.</t>
  </si>
  <si>
    <t>Franz-Reiner Erkens</t>
  </si>
  <si>
    <t>Catholic Activism Today</t>
  </si>
  <si>
    <t>Maureen K. Day</t>
  </si>
  <si>
    <t>Marie A., Scully-Spero R., Cataland</t>
  </si>
  <si>
    <t>Comparative Urban Research From Theory To Practice</t>
  </si>
  <si>
    <t>David Simon-Henrietta Palmer-Jan Riise</t>
  </si>
  <si>
    <t>Decriminalising Abortion in the UK</t>
  </si>
  <si>
    <t>Sally Sheldon-Kaye Wellings</t>
  </si>
  <si>
    <t>Paul, Cornes-David J., Bennett</t>
  </si>
  <si>
    <t>Fast Facts: Manejo de eventos adversos relacionados con el sistema inmunitario en oncologÃ­a</t>
  </si>
  <si>
    <t>Bernardo L., Rapoport-Helen, Westman</t>
  </si>
  <si>
    <t>Justin, Loke-Bipin, Savani</t>
  </si>
  <si>
    <t>Fast Facts: Glioblastoma</t>
  </si>
  <si>
    <t>MairÃ©ad, McNamara-Sebastian, Brandner-Stefanie C., Thust</t>
  </si>
  <si>
    <t>Martin, Turner-Liberty, Jenkins</t>
  </si>
  <si>
    <t>Paul, Cornes-Ali, McBride</t>
  </si>
  <si>
    <t>Scriptures, Shrines, Scapegoats, and World Politics</t>
  </si>
  <si>
    <t>Zeev Maoz-Errol A Henderson</t>
  </si>
  <si>
    <t>William, Blum-Vikram, Mathews</t>
  </si>
  <si>
    <t>Charlotte Smith and the Sonnet</t>
  </si>
  <si>
    <t>Bethan Roberts</t>
  </si>
  <si>
    <t>Fellow Travellers</t>
  </si>
  <si>
    <t>TRANSPORTATION / Railroads / History</t>
  </si>
  <si>
    <t>Thomas Beaumont</t>
  </si>
  <si>
    <t>LEO 2018</t>
  </si>
  <si>
    <t>Klaus Buddeberg-Anke GrotlÃ¼schen</t>
  </si>
  <si>
    <t>Christus als Held und seine heroische Nachfolge</t>
  </si>
  <si>
    <t>Achim Aurnhammer-Johann Anselm Steiger</t>
  </si>
  <si>
    <t>(Dy)fuzje. ZwiÄ…zki literatury i sztuki w Polsce po 1945 roku</t>
  </si>
  <si>
    <t>Magdalena Lachman-PaweÅ‚ Polit</t>
  </si>
  <si>
    <t>Wariacje (post)humanistyczne</t>
  </si>
  <si>
    <t>Marcin Maria BogusÅ‚awski</t>
  </si>
  <si>
    <t>Strategie instytucji kultury wobec niezadowolenia i bojkotÃ³w konsumenckich</t>
  </si>
  <si>
    <t>Artur ModliÅ„ski</t>
  </si>
  <si>
    <t>Edukacyjna wartoÅ›Ä‡ dzieciÄ™cych pytaÅ„</t>
  </si>
  <si>
    <t>Anna BuÅ‚a-Jolanta Bonar</t>
  </si>
  <si>
    <t>Dziennik z getta Å‚Ã³dzkiego / Das Tagebuch aus dem Lodzer Getto</t>
  </si>
  <si>
    <t>Irene Hauser</t>
  </si>
  <si>
    <t>L'Ã©cole maternelle de la performance enfantine</t>
  </si>
  <si>
    <t>Ghislain Leroy</t>
  </si>
  <si>
    <t>Sprachgeschichte und Sprachwandel im Slavischen</t>
  </si>
  <si>
    <t>Alexander Bierich-Thomas Bruns</t>
  </si>
  <si>
    <t>Architectonics of Game Spaces</t>
  </si>
  <si>
    <t>Andri Gerber-Ulrich GÃ¶tz</t>
  </si>
  <si>
    <t>Fictions of Legibility</t>
  </si>
  <si>
    <t>Gabriela Stoicea</t>
  </si>
  <si>
    <t>Relationality and Learning in Oceania</t>
  </si>
  <si>
    <t>Seu'ula Johansson-Fua-Rebecca Jesson-Rebecca Spratt-Eve Coxon</t>
  </si>
  <si>
    <t>Ashqelon Barneâ€˜a. The Early Bronze Age Site Volume I: The Excavations</t>
  </si>
  <si>
    <t>Amir Golani</t>
  </si>
  <si>
    <t>The Tiberian Pronunciation Tradition of Biblical Hebrew, Volume 2</t>
  </si>
  <si>
    <t>The Tiberian Pronunciation Tradition of Biblical Hebrew, Volume 1</t>
  </si>
  <si>
    <t>Mobile Mapping</t>
  </si>
  <si>
    <t>Clancy Wilmott</t>
  </si>
  <si>
    <t>Soul Liberty</t>
  </si>
  <si>
    <t>Nicole Myers Turner</t>
  </si>
  <si>
    <t>Fenomenologicko-pragmatistickÃ¡ interpretace hyperkonektivistickÃ©ho svÄ›ta: k problÃ©mÅ¯m filosofie informace</t>
  </si>
  <si>
    <t>ÄŒernÃ½, Michal</t>
  </si>
  <si>
    <t>Kafka's Zoopoetics</t>
  </si>
  <si>
    <t>Naama Harel</t>
  </si>
  <si>
    <t>High Temperature Corrosion of Stainless Steels: An Alain Galerie Festschrift</t>
  </si>
  <si>
    <t>Somrerk Chandra-Ambhorn-Yves Wouters-Wanlop Harnnarongchai</t>
  </si>
  <si>
    <t>Kindheit und Arbeit</t>
  </si>
  <si>
    <t>Manfred Liebel</t>
  </si>
  <si>
    <t>Apalachee</t>
  </si>
  <si>
    <t>John H. Hann</t>
  </si>
  <si>
    <t>Caribbean Creolization</t>
  </si>
  <si>
    <t>Kathleen M. Balutansky-Marie-Agnes Sourieau</t>
  </si>
  <si>
    <t>Mullet on the Beach</t>
  </si>
  <si>
    <t>Patricia C. Griffin</t>
  </si>
  <si>
    <t>History of the Second Seminole War, 1835â€“1842</t>
  </si>
  <si>
    <t>John K. Mahon</t>
  </si>
  <si>
    <t>Archaeology of Precolumbian Florida</t>
  </si>
  <si>
    <t>Jerald T. Milanich</t>
  </si>
  <si>
    <t>The African American Heritage of Florida</t>
  </si>
  <si>
    <t>David Colburn-Jane Landers</t>
  </si>
  <si>
    <t>Historic Architecture in the Caribbean Islands</t>
  </si>
  <si>
    <t>ART / Caribbean &amp; Latin American</t>
  </si>
  <si>
    <t>Edward E. Crain</t>
  </si>
  <si>
    <t>Swamp Sailors in the Second Seminole War</t>
  </si>
  <si>
    <t>George E. Buker</t>
  </si>
  <si>
    <t>Immigrant World of Ybor City</t>
  </si>
  <si>
    <t>Gary R. Mormino-George E. Pozzetta</t>
  </si>
  <si>
    <t>The Seminoles of Florida</t>
  </si>
  <si>
    <t>James W. Covington</t>
  </si>
  <si>
    <t>Afro-Cuban Religious Experience</t>
  </si>
  <si>
    <t>Eugenio Matibag</t>
  </si>
  <si>
    <t>A Guide-Book of Florida and the South, for Tourists, Invalids, and Emigrants</t>
  </si>
  <si>
    <t>Daniel G. Brinton</t>
  </si>
  <si>
    <t>A Narrative of the Early Days and Remembrances of Oceola Nikkanochee, Prince of Econchatti</t>
  </si>
  <si>
    <t>Andrew G . Welch</t>
  </si>
  <si>
    <t>First Encounters</t>
  </si>
  <si>
    <t>Jerald T. Milanich-Susan Milbrath</t>
  </si>
  <si>
    <t>St. Petersburg and the Florida Dream, 1888â€“1950</t>
  </si>
  <si>
    <t>Raymond Arsenault</t>
  </si>
  <si>
    <t>The Architecture of Leisure</t>
  </si>
  <si>
    <t>Susan R. Braden</t>
  </si>
  <si>
    <t>A Sketch of the History of Key West, Florida</t>
  </si>
  <si>
    <t>Walter C. Maloney</t>
  </si>
  <si>
    <t>Jacksonville After the Fire, 1901â€“1919</t>
  </si>
  <si>
    <t>James B. Crooks</t>
  </si>
  <si>
    <t>The History and Antiquities of the City of St. Augustine, Florida</t>
  </si>
  <si>
    <t>George R. Fairbanks</t>
  </si>
  <si>
    <t>Eighteenth-Century Florida and the Revolutionary South</t>
  </si>
  <si>
    <t>Samuel Proctor</t>
  </si>
  <si>
    <t>Josiah Walls</t>
  </si>
  <si>
    <t>Peter D. Klingman</t>
  </si>
  <si>
    <t>Florida Indians and the Invasion From Europe</t>
  </si>
  <si>
    <t>A History of Florida Through New World Maps</t>
  </si>
  <si>
    <t>Dana Ste.Claire</t>
  </si>
  <si>
    <t>Key West</t>
  </si>
  <si>
    <t>Jefferson B. Browne</t>
  </si>
  <si>
    <t>The Humble Petition of Denys Rolle, Esq.</t>
  </si>
  <si>
    <t>Denys Rolle</t>
  </si>
  <si>
    <t>Slavery and Plantation Growth in Antebellum Florida 1821-1860</t>
  </si>
  <si>
    <t>Julia Floyd Smith</t>
  </si>
  <si>
    <t>A Relation, or Journal, of a Late Expedition to the Gates of St. Augustine on Florida</t>
  </si>
  <si>
    <t>Edward Kimber</t>
  </si>
  <si>
    <t>A View of West Florida</t>
  </si>
  <si>
    <t>John Lee Williams</t>
  </si>
  <si>
    <t>A Guide to Florida's Historic Architecture</t>
  </si>
  <si>
    <t>the Florida Association of the American Institute of Architects</t>
  </si>
  <si>
    <t>Trial and Imprisonment of Jonathan Walker, at Pensacola, Florida, for Aiding Slaves to Escape From Bondage</t>
  </si>
  <si>
    <t>Jonathan Walker</t>
  </si>
  <si>
    <t>Petals Plucked From Sunny Climes</t>
  </si>
  <si>
    <t>Silvia Sunshine</t>
  </si>
  <si>
    <t>Struggle for the Gulf Borderlands</t>
  </si>
  <si>
    <t>Frank Lawrence Owsley Jr.</t>
  </si>
  <si>
    <t>Tacachale</t>
  </si>
  <si>
    <t>Jerald T. Milanich-Samuel Proctor</t>
  </si>
  <si>
    <t>Empire in Transition</t>
  </si>
  <si>
    <t>Alfred Hower</t>
  </si>
  <si>
    <t>Historical Sketches of Colonial Florida</t>
  </si>
  <si>
    <t>Richard L. Campbell</t>
  </si>
  <si>
    <t>Sketches of St. Augustine</t>
  </si>
  <si>
    <t>R. K. Sewall</t>
  </si>
  <si>
    <t>The Dutch in the Caribbean and on the Wild Coast 1580-1680</t>
  </si>
  <si>
    <t>Cornelis CH. Goslinga</t>
  </si>
  <si>
    <t>Notes on the Life and Works of Bernard Romans</t>
  </si>
  <si>
    <t>P. Lee Phillips</t>
  </si>
  <si>
    <t>The Florida Seminoles and the New Deal, 1933-1942</t>
  </si>
  <si>
    <t>Harry A. Kersey Jr.</t>
  </si>
  <si>
    <t>Amerikanische Aristokraten</t>
  </si>
  <si>
    <t>Jonas Anderson</t>
  </si>
  <si>
    <t>Plurinational Afrobolivianity</t>
  </si>
  <si>
    <t>Moritz Heck</t>
  </si>
  <si>
    <t>Das Politische der Dekonstruktion</t>
  </si>
  <si>
    <t>Ralf Rother</t>
  </si>
  <si>
    <t>Spectral Geometry of Partial Differential Operators</t>
  </si>
  <si>
    <t>Michael Ruzhansky-Makhmud Sadybekov-Durvudkhan Suragan</t>
  </si>
  <si>
    <t>The Writing of Disaster - Literary Representations of War, Trauma and Earthquakes in Modern Japan</t>
  </si>
  <si>
    <t>Leith Morton</t>
  </si>
  <si>
    <t>Analytical Variations â€“ Eight Critical Essays on Applied Music Theory</t>
  </si>
  <si>
    <t>Inventar zur brandenburgischen Militaergeschichte 1815â€“1914</t>
  </si>
  <si>
    <t>Multilingualism in Film</t>
  </si>
  <si>
    <t>Ralf JunkerjÃ¼rgen-Gala Rebane</t>
  </si>
  <si>
    <t>Areal Convergence in Eastern Central European Languages and Beyond</t>
  </si>
  <si>
    <t>Luka Szucsich-Agnes Kim-Uliana Yazhinova</t>
  </si>
  <si>
    <t>The Idea of Political Representation and Its Paradoxes</t>
  </si>
  <si>
    <t>Andrzej WaÅ›kiewicz</t>
  </si>
  <si>
    <t>Nach der Einsprachigkeit</t>
  </si>
  <si>
    <t>Diana Hitzke</t>
  </si>
  <si>
    <t>Unmoeglichkeit der Erkenntnistheorie</t>
  </si>
  <si>
    <t>Tomasz Kubalica</t>
  </si>
  <si>
    <t>Transformation on the Southern Ukrainian Steppe</t>
  </si>
  <si>
    <t>Harvey L. Dyck-John R. Staples-Ingrid I. Epp</t>
  </si>
  <si>
    <t>Maternal Conceptions in Classical Literature and Philosophy</t>
  </si>
  <si>
    <t>Alison Sharrock-Alison Keith</t>
  </si>
  <si>
    <t>Finance or Food?</t>
  </si>
  <si>
    <t>Hilde Bjorkhaug-Philip McMichael-Bruce Muirhead</t>
  </si>
  <si>
    <t>American Power and International Theory at the Council on Foreign Relations, 1953-54</t>
  </si>
  <si>
    <t>David M. McCourt</t>
  </si>
  <si>
    <t>Zootechnologies</t>
  </si>
  <si>
    <t>Sebastian Vehlken</t>
  </si>
  <si>
    <t>Money and Moralities in Contemporary Asia</t>
  </si>
  <si>
    <t>Lan Anh Hoang-Cheryll Alipio</t>
  </si>
  <si>
    <t>The Waning Sword</t>
  </si>
  <si>
    <t>Digital Technology and the Practices of Humanities Research</t>
  </si>
  <si>
    <t xml:space="preserve"> Jennifer Edmond</t>
  </si>
  <si>
    <t>Antonius Diogenes, "Die unglaublichen Dinge jenseits von Thule"</t>
  </si>
  <si>
    <t>Helena Schmedt</t>
  </si>
  <si>
    <t>PhysiklehrkrÃ¤fte korrigieren SchÃ¼lertexte</t>
  </si>
  <si>
    <t>Markus Sebastian Feser</t>
  </si>
  <si>
    <t>Datenreport Erziehungswissenschaft 2020</t>
  </si>
  <si>
    <t>Hermann Josef Abs-Harm Kuper-Renate Martini</t>
  </si>
  <si>
    <t>State of Empowerment</t>
  </si>
  <si>
    <t>Carolyn Barnes</t>
  </si>
  <si>
    <t>Macht oder Ã¶konomisches Gesetz?</t>
  </si>
  <si>
    <t>Hans-Michael Trautwein</t>
  </si>
  <si>
    <t>Becoming Human</t>
  </si>
  <si>
    <t>Jana RoÅ¡ker</t>
  </si>
  <si>
    <t>Environmental Conflicts, Migration and Governance</t>
  </si>
  <si>
    <t>Tim Krieger-Diana Panke-Michael Pregernig</t>
  </si>
  <si>
    <t>Gerry, Kaye-Robert, Lemery</t>
  </si>
  <si>
    <t>Gastrointestinal Infectious Diseases</t>
  </si>
  <si>
    <t>Hyasinta Jaka</t>
  </si>
  <si>
    <t>Grembach â€“ etnograficzny przewodnik po Å‚Ã³dzkim osiedlu</t>
  </si>
  <si>
    <t>GRAÅ»YNA EWA KARPIÅƒSKA-ALEKSANDRA KRUPA-ÅAWRYNOWICZ</t>
  </si>
  <si>
    <t>Was ist ein Original?</t>
  </si>
  <si>
    <t>Doris Reisinger</t>
  </si>
  <si>
    <t>Borders Across Healthcare</t>
  </si>
  <si>
    <t>Nina Sahraoui</t>
  </si>
  <si>
    <t>Cyborg Mind</t>
  </si>
  <si>
    <t>Calum MacKellar</t>
  </si>
  <si>
    <t>The DARPA Model for Transformative Technologies</t>
  </si>
  <si>
    <t xml:space="preserve"> William Boone Bonvillian-Richard Van Atta-Patrick Windham</t>
  </si>
  <si>
    <t>Digitalisierung â€“ Subjekt â€“ Bildung</t>
  </si>
  <si>
    <t>Valentin Dander-Patrick Bettinger-Estella Ferraro-Christian Leineweber-Klaus Rummler</t>
  </si>
  <si>
    <t>MuÃŸe und Moderne</t>
  </si>
  <si>
    <t>Tobias Keiling-Robert Krause-Heidi Liedke</t>
  </si>
  <si>
    <t>Studien zum Gottesbild im Johannesevangelium</t>
  </si>
  <si>
    <t>Veronika Burz-Tropper</t>
  </si>
  <si>
    <t>Hidden Criticism?</t>
  </si>
  <si>
    <t>Heiligung bei Paulus</t>
  </si>
  <si>
    <t>Hanna Stettler</t>
  </si>
  <si>
    <t>Das letzte Gericht</t>
  </si>
  <si>
    <t>Christian Stettler</t>
  </si>
  <si>
    <t>The Interpretation of Freedom in the Letters of Paul</t>
  </si>
  <si>
    <t>Wayne Coppins</t>
  </si>
  <si>
    <t>Von Jesus zur neutestamentlichen Theologie</t>
  </si>
  <si>
    <t>JÃ¶rg Frey-Benjamin Schliesser</t>
  </si>
  <si>
    <t>Das Endgericht bei Paulus</t>
  </si>
  <si>
    <t>Die Herrlichkeit des Gekreuzigten</t>
  </si>
  <si>
    <t>JÃ¶rg Frey-Juliane Schlegel</t>
  </si>
  <si>
    <t>Paul's Anthropology in Context</t>
  </si>
  <si>
    <t>George H. van Kooten</t>
  </si>
  <si>
    <t>Die Materialisierung des Zivilprozessrechts</t>
  </si>
  <si>
    <t>Roman F. Kehrberger</t>
  </si>
  <si>
    <t>Rabbinic Parodies of Jewish and Christian Literature</t>
  </si>
  <si>
    <t>Holger Michael Zellentin</t>
  </si>
  <si>
    <t>Settlement and History in Hellenistic, Roman, and Byzantine Galilee</t>
  </si>
  <si>
    <t>Uzi Leibner</t>
  </si>
  <si>
    <t>VerhaltensÃ¶konomik und NormativitÃ¤t</t>
  </si>
  <si>
    <t>Zivilprozessuale Gruppenvergleichsverfahren</t>
  </si>
  <si>
    <t>Matthis Peter</t>
  </si>
  <si>
    <t>MuÃŸe und Gesellschaft</t>
  </si>
  <si>
    <t>Gregor Dobler-Peter Philipp Riedl</t>
  </si>
  <si>
    <t>Ã„uÃŸerungsrechte staatlicher FunktionstrÃ¤ger</t>
  </si>
  <si>
    <t>Sebastian Nellesen</t>
  </si>
  <si>
    <t>The Medieval Luther</t>
  </si>
  <si>
    <t>Christine Helmer</t>
  </si>
  <si>
    <t>Ãœber das GlÃ¼ck</t>
  </si>
  <si>
    <t>John Dillon-Udo Hartmann-Christoph Helmig-Dominic O'Meara-Stefan Schorn-Benjamin Topp-Oliver Schelske-Irmgard MÃ¤nnlein-Robert-Matthias Becker</t>
  </si>
  <si>
    <t>Griechische GÃ¶tter unter sich</t>
  </si>
  <si>
    <t>Andreas Bendlin-Janet Downie-Adolf Martin Ritter-Fabio Berdozzo-Heinz-GÃ¼nther Nesselrath</t>
  </si>
  <si>
    <t>Die Seele im Kosmos</t>
  </si>
  <si>
    <t>Matthias Becker-Reinhold F. Glei-Irmgard MÃ¤nnlein-Robert-Christoph Riedweg-Benjamin Topp-Manuel Baumbach</t>
  </si>
  <si>
    <t>Ist Beten sinnvoll?</t>
  </si>
  <si>
    <t>Rainer Hirsch-Luipold-Michael Trapp-Barbara Borg-Franco Ferrari-Alfons FÃ¼rst-Vincenzo Vitiello</t>
  </si>
  <si>
    <t>Abrahams Aufbruch</t>
  </si>
  <si>
    <t>Heinrich Detering-Lutz Doering-Rainer Hirsch-Luipold-Heinz-GÃ¼nther Nesselrath-Peter Van Nuffelen-Florian Wilk-Maren R. Niehoff-Reinhard Feldmeier</t>
  </si>
  <si>
    <t>Content and Competence</t>
  </si>
  <si>
    <t>Jakob Weissinger</t>
  </si>
  <si>
    <t>MuÃŸe im hÃ¶fischen Roman</t>
  </si>
  <si>
    <t>Rebekka Becker</t>
  </si>
  <si>
    <t>MuÃŸe in mystischer Literatur</t>
  </si>
  <si>
    <t>Anna Keiling</t>
  </si>
  <si>
    <t>Kontemplation und Konfrontation</t>
  </si>
  <si>
    <t>Georg Feitscher</t>
  </si>
  <si>
    <t>Dem GÃ¶ttlichen ganz nah</t>
  </si>
  <si>
    <t>Andreas Kirchner</t>
  </si>
  <si>
    <t>RÃ¼ckzugsorte des ErzÃ¤hlens</t>
  </si>
  <si>
    <t>Anna Karina Sennefelder</t>
  </si>
  <si>
    <t>Anthropologie der Theorie</t>
  </si>
  <si>
    <t>Thomas JÃ¼rgasch-Tobias Keiling-Thomas BÃ¶hm-GÃ¼nter Figal</t>
  </si>
  <si>
    <t>MuÃŸe-Diskurse</t>
  </si>
  <si>
    <t>Elisabeth CheaurÃ©</t>
  </si>
  <si>
    <t>Die Raumzeitlichkeit der MuÃŸe</t>
  </si>
  <si>
    <t>GÃ¼nter Figal-Hans W. Hubert-Thomas Klinkert</t>
  </si>
  <si>
    <t>MuÃŸe und RekursivitÃ¤t in der antiken Briefliteratur</t>
  </si>
  <si>
    <t>Das Bad als MuÃŸeraum</t>
  </si>
  <si>
    <t>Anja Grebe-Hans W. Hubert-Antonio Russo</t>
  </si>
  <si>
    <t>Ã–konomische Methoden im Recht</t>
  </si>
  <si>
    <t>Emanuel V. Towfigh-Niels Petersen</t>
  </si>
  <si>
    <t>Handbuch des chinesischen Zivilprozessrechts</t>
  </si>
  <si>
    <t>Knut Benjamin PiÃŸler</t>
  </si>
  <si>
    <t>Private International Law in Mainland China, Taiwan and Europe</t>
  </si>
  <si>
    <t>Knut Benjamin PiÃŸler-JÃ¼rgen Basedow</t>
  </si>
  <si>
    <t>Private Law in Eastern Europe</t>
  </si>
  <si>
    <t>Christa Jessel-Holst-Rainer Kulms-Alexander Trunk</t>
  </si>
  <si>
    <t>Intellectual Property in the Global Arena</t>
  </si>
  <si>
    <t>JÃ¼rgen Basedow-Toshiyuki Kono-Axel Metzger</t>
  </si>
  <si>
    <t>Das Parteien-Paradox</t>
  </si>
  <si>
    <t>Emanuel V. Towfigh</t>
  </si>
  <si>
    <t>Gubernative Rechtsetzung</t>
  </si>
  <si>
    <t>Armin von Bogdandy</t>
  </si>
  <si>
    <t>Verbraucherrechtsdurchsetzung</t>
  </si>
  <si>
    <t>Martin Fries</t>
  </si>
  <si>
    <t>Information als Schutzgegenstand</t>
  </si>
  <si>
    <t>Herbert Zech</t>
  </si>
  <si>
    <t>Transnationale Rechtserzeugung</t>
  </si>
  <si>
    <t>Johan Horst</t>
  </si>
  <si>
    <t>Informationsverwaltungsrecht internationaler Institutionen</t>
  </si>
  <si>
    <t>Michael Riegner</t>
  </si>
  <si>
    <t>Menschenrechtsberichterstattung durch Unternehmen</t>
  </si>
  <si>
    <t>Sebastian EickenjÃ¤ger</t>
  </si>
  <si>
    <t>Kritik der Ontologie des ImmaterialgÃ¼terrechts</t>
  </si>
  <si>
    <t>Alexander Peukert</t>
  </si>
  <si>
    <t>Common Principles of European Intellectual Property Law</t>
  </si>
  <si>
    <t>Ansgar Ohly</t>
  </si>
  <si>
    <t>Autoren in religiÃ¶sen literarischen Texten der spÃ¤thellenistischen und der frÃ¼hkaiserzeitlichen Welt</t>
  </si>
  <si>
    <t>Eve-Marie Becker-JÃ¶rg RÃ¼pke</t>
  </si>
  <si>
    <t>Der Staat als AktionÃ¤r</t>
  </si>
  <si>
    <t>Susanne Kalss-Holger Fleischer-Hans-Ueli Vogt</t>
  </si>
  <si>
    <t>Ukrainian Private Law and the European Area of Justice</t>
  </si>
  <si>
    <t>Eugenia Kurzynsky-Singer-Rainer Kulms</t>
  </si>
  <si>
    <t>"Mehr Freiheit wagen" - BeitrÃ¤ge zur Emeritierung von JÃ¼rgen Basedow</t>
  </si>
  <si>
    <t>Anatol Dutta-Christian Heinze</t>
  </si>
  <si>
    <t>Holger Fleischer-Susanne Kalss-Hans-Ueli Vogt</t>
  </si>
  <si>
    <t>Issues and Challenges in Corporate and Capital Market Law: Germany and East Asia</t>
  </si>
  <si>
    <t>Holger Fleischer-Hideki Kanda-Kon Sik Kim-Peter MÃ¼lbert</t>
  </si>
  <si>
    <t>Legislators, Judges, and Professors</t>
  </si>
  <si>
    <t>Holger Fleischer-JÃ¼rgen Basedow-Reinhard Zimmermann</t>
  </si>
  <si>
    <t>Zukunftsperspektiven der Rechtsvergleichung</t>
  </si>
  <si>
    <t>Reinhard Zimmermann</t>
  </si>
  <si>
    <t>Die Brautgabe im FamilienvermÃ¶gensrecht</t>
  </si>
  <si>
    <t>Nadjma Yassari</t>
  </si>
  <si>
    <t>Bismarck's Institutions</t>
  </si>
  <si>
    <t>Beatrice Scheubel</t>
  </si>
  <si>
    <t>Smart Contracts</t>
  </si>
  <si>
    <t>Martin Fries-Boris P. Paal</t>
  </si>
  <si>
    <t>Economic Analysis of International Law</t>
  </si>
  <si>
    <t>Thomas Eger-Stefan Oeter-Stefan Voigt</t>
  </si>
  <si>
    <t>Max Weber's Sociology of Religion</t>
  </si>
  <si>
    <t>Christopher Adair-Toteff</t>
  </si>
  <si>
    <t>Lifelong Learning Policies for Young Adults in Europe</t>
  </si>
  <si>
    <t>Marcelo Parreira do Amaral-Siyka Kovacheva-Xavier Rambla</t>
  </si>
  <si>
    <t>Asian Yearbook of International Law, Volume 23 (2017)</t>
  </si>
  <si>
    <t>The War That Never Ends</t>
  </si>
  <si>
    <t>PaweÅ‚ Machcewicz</t>
  </si>
  <si>
    <t>Kommunale BÃ¼ndnisse im Patrimonium Petri des 13. Jahrhunderts</t>
  </si>
  <si>
    <t>Christina Abel</t>
  </si>
  <si>
    <t>Rechtstitel und Herrschaftssymbol</t>
  </si>
  <si>
    <t>Georg Vogeler</t>
  </si>
  <si>
    <t>Staatliche Grenzen</t>
  </si>
  <si>
    <t>Judith Miggelbrink</t>
  </si>
  <si>
    <t>Big Data Security</t>
  </si>
  <si>
    <t>Shibakali Gupta-Indradip Banerjee-Siddhartha Bhattacharyya</t>
  </si>
  <si>
    <t>Kaiser Konstantin als Leser</t>
  </si>
  <si>
    <t>Anna-Lena KÃ¶rfer</t>
  </si>
  <si>
    <t>Kulturen des Risikos im Mittelalter und in der FrÃ¼hen Neuzeit</t>
  </si>
  <si>
    <t>Benjamin Scheller</t>
  </si>
  <si>
    <t>Beam-based Correction and Optimization for Accelerators</t>
  </si>
  <si>
    <t>Xiaobiao Huang</t>
  </si>
  <si>
    <t>Prose Fiction</t>
  </si>
  <si>
    <t xml:space="preserve"> Ignasi RibÃ³</t>
  </si>
  <si>
    <t>Gedaechtnisraum Literatur â€“ Gedaechtnisraum Sprache: Europaeische Dimensionen Slavischer Geschichte Und Kultur</t>
  </si>
  <si>
    <t>Alexander Bierich-Thomas Bruns-Henrieke Stahl</t>
  </si>
  <si>
    <t>Zweisprachigkeit und das semantische Lexikon</t>
  </si>
  <si>
    <t>Claudia Wahn</t>
  </si>
  <si>
    <t>Kinder mit Behinderungen in der Volksschule des 19. und fruehen 20. Jahrhunderts</t>
  </si>
  <si>
    <t>Ulrich Schwerdt</t>
  </si>
  <si>
    <t>Contextualizing Practical Knowledge in Early Modern Europe</t>
  </si>
  <si>
    <t>Annemie Leemans</t>
  </si>
  <si>
    <t>Financialization</t>
  </si>
  <si>
    <t>Chris Hann-Don Kalb</t>
  </si>
  <si>
    <t>Basic and Applied Research</t>
  </si>
  <si>
    <t>David Kaldewey-DÃ©sirÃ©e Schauz</t>
  </si>
  <si>
    <t>Crime, Gender and Social Control in Early Modern Frankfurt Am Main</t>
  </si>
  <si>
    <t>Jeannette Kamp</t>
  </si>
  <si>
    <t>Advocating Social Change Through International Law</t>
  </si>
  <si>
    <t>Daniel Bradlow-David Hunter</t>
  </si>
  <si>
    <t>Migrating Words, Migrating Merchants, Migrating Law</t>
  </si>
  <si>
    <t>Stefania Gialdroni-Albrecht Cordes-Serge Dauchy-Dave De ruysscher-Heikki PihlajamÃ¤ki</t>
  </si>
  <si>
    <t>Die Emanzipation des hybriden Selbst</t>
  </si>
  <si>
    <t>Isabell Eva Baumann</t>
  </si>
  <si>
    <t>Enklaven</t>
  </si>
  <si>
    <t>Katja Werthmann</t>
  </si>
  <si>
    <t>Der inkriminierte Bischof</t>
  </si>
  <si>
    <t>Till StÃ¼ber</t>
  </si>
  <si>
    <t>Verfilmte TrÃ¼mmerlandschaften</t>
  </si>
  <si>
    <t>Johannes HÃ¼rter-Tobias Hof</t>
  </si>
  <si>
    <t>Memories of Utopia</t>
  </si>
  <si>
    <t>Bronwen Neil-Kosta Simic</t>
  </si>
  <si>
    <t>Faith-Based Organizations in Development Discourses and Practice</t>
  </si>
  <si>
    <t>Jens Koehrsen-Andreas Heuser</t>
  </si>
  <si>
    <t>Margins for Manoeuvre in Cold War Europe</t>
  </si>
  <si>
    <t>Laurien Crump-Susanna Erlandsson</t>
  </si>
  <si>
    <t>Transforming Agriculture in Southern Africa</t>
  </si>
  <si>
    <t>Richard A. Sikora-Eugene R. Terry-Paul L.G. Vlek-Joyce Chitja</t>
  </si>
  <si>
    <t>Kindsmord in den Medien</t>
  </si>
  <si>
    <t>Kathleen Heft</t>
  </si>
  <si>
    <t>Imagining Personal Data</t>
  </si>
  <si>
    <t>Vaike Fors-Sarah Pink-Martin Berg-Tom O'Dell</t>
  </si>
  <si>
    <t>Sustainable Food System Assessment</t>
  </si>
  <si>
    <t>Alison Blay-Palmer-Damien ConarÃ©-Ken Meter-Amanda Di Battista-Carla Johnston</t>
  </si>
  <si>
    <t>Dating Urban Classical Deposits: Approaches and Problems in Using Finds to Date Strata</t>
  </si>
  <si>
    <t>Guido Furlan</t>
  </si>
  <si>
    <t>AP2017: 12th International Conference of Archaeological Prospection</t>
  </si>
  <si>
    <t>Benjamin Jennings-Christopher Gaffney-Thomas Sparrow-Sue Gaffney</t>
  </si>
  <si>
    <t>Cultures, Citizenship and Human Rights</t>
  </si>
  <si>
    <t>Rosemarie Buikema-Antoine Buyse-Antonius C. G. M. Robben</t>
  </si>
  <si>
    <t>Infrastructure Investment in Indonesia</t>
  </si>
  <si>
    <t xml:space="preserve"> Colin Duffield-Felix Kin Peng Hui-Sally Wilson</t>
  </si>
  <si>
    <t>Internacjonalizacja polskich i ukraiÅ„skich organizacji</t>
  </si>
  <si>
    <t>Scarlet and Black, Volume Two</t>
  </si>
  <si>
    <t>Kendra Boyd-Marisa J. Fuentes-Deborah Gray White</t>
  </si>
  <si>
    <t>Sign Multilingualism</t>
  </si>
  <si>
    <t>Ulrike Zeshan-Jenny Webster</t>
  </si>
  <si>
    <t>On the Margins of Urban South Korea</t>
  </si>
  <si>
    <t>Jesook Song-Laam Hae</t>
  </si>
  <si>
    <t>Kinship Across the Black Atlantic</t>
  </si>
  <si>
    <t>Gigi Adair</t>
  </si>
  <si>
    <t>Corruption in a Global Context</t>
  </si>
  <si>
    <t>Melchior Powell-Dina Wafa-Tim A. Mau</t>
  </si>
  <si>
    <t>Fast Facts para pacientes y familiares: Deficiencia de piruvato quinasa</t>
  </si>
  <si>
    <t>Grace, Rachael</t>
  </si>
  <si>
    <t>Fast Facts fÃ¼r Patienten und AngehÃ¶rige: Pyruvatkinase-Mangel</t>
  </si>
  <si>
    <t>Fast Facts pour les patients et les accompagnants: Le dÃ©ficit en pyruvate kinase</t>
  </si>
  <si>
    <t>Fast Facts: DÃ©ficit En Pyruvate Kinase</t>
  </si>
  <si>
    <t>Fast Facts per pazienti e sostenitori: Deficit di piruvato chinasi</t>
  </si>
  <si>
    <t>Vigilantism Against Migrants and Minorities</t>
  </si>
  <si>
    <t>Tore BjÃ¸rgo-Miroslav MareÅ¡</t>
  </si>
  <si>
    <t>Modernity and Spirit Worship in India</t>
  </si>
  <si>
    <t>Miho Ishii</t>
  </si>
  <si>
    <t>TaymÄâ€™ I: Archaeological Exploration, Palaeoenvironment, Cultural Contacts</t>
  </si>
  <si>
    <t>Arnulf Hausleiter-Ricardo Eichmann-Muhammad al-Najem</t>
  </si>
  <si>
    <t>The River: Peoples and Histories of the Omo-Turkana Area</t>
  </si>
  <si>
    <t>Timothy Clack-Marcus Brittain</t>
  </si>
  <si>
    <t>New Global Perspectives on Archaeological Prospection</t>
  </si>
  <si>
    <t>James Bonsall</t>
  </si>
  <si>
    <t>La parure en callaÃ¯s du NÃ©olithique europÃ©en</t>
  </si>
  <si>
    <t>Guirec QuerrÃ©-Serge Cassen-Emmanuelle Vigier</t>
  </si>
  <si>
    <t>Indonesian Megaliths: A Forgotten Cultural Heritage</t>
  </si>
  <si>
    <t>Tara Steimer-Herbet</t>
  </si>
  <si>
    <t>Historic Landscapes and Mental Well-being</t>
  </si>
  <si>
    <t>Timothy Darvill-Kerry Barrass-Laura Drysdale-Vanessa Heaslip-Yvette Staelens</t>
  </si>
  <si>
    <t>Hellenistic Alexandria: Celebrating 24 Centuries â€“ Papers Presented at the Conference Held on December 13â€“15 2017 at Acropolis Museum, Athens</t>
  </si>
  <si>
    <t>Christos S. Zerefos-Marianna V. Vardinoyannis</t>
  </si>
  <si>
    <t>The Geography of GandhÄran Art</t>
  </si>
  <si>
    <t>The European Archaeologist: 1 â€“ 21a</t>
  </si>
  <si>
    <t>Henry Cleere-Karen Waugh-Ross Samson</t>
  </si>
  <si>
    <t>Early Medieval Settlement in Upland Perthshire: Excavations at Lair, Glen Shee 2012-17</t>
  </si>
  <si>
    <t>David Strachan-David Sneddon-Richard Tipping</t>
  </si>
  <si>
    <t>Ceramics in Transition: Production and Exchange of Late Byzantine-Early Islamic Pottery in Southern Transjordan and the Negev</t>
  </si>
  <si>
    <t>Elisabeth Holmqvist</t>
  </si>
  <si>
    <t>Carving Interactions: Rock Art in the Nomadic Landscape of the Black Desert, North-Eastern Jordan</t>
  </si>
  <si>
    <t>Nathalie Ã˜sterled Brusgaard</t>
  </si>
  <si>
    <t>CAA2016: Oceans of Data</t>
  </si>
  <si>
    <t>Mieko Matsumoto-Espen Uleberg</t>
  </si>
  <si>
    <t>Bronze Age Tell Communities in Context: An Exploration Into Culture, Society and the Study of European Prehistory. Part 1</t>
  </si>
  <si>
    <t>Bridging Science and Heritage in the Balkans: Studies in Archaeometry and Cultural Heritage Restoration and Conservation</t>
  </si>
  <si>
    <t>Nona Palincas-Corneliu C. Ponta</t>
  </si>
  <si>
    <t>Art of the Ancestors: Spatial and Temporal Patterning in the Ceiling Rock Art of Nawarla Gabarnmang, Arnhem Land, Australia</t>
  </si>
  <si>
    <t>Robert G. Gunn</t>
  </si>
  <si>
    <t>El sol, sÃ­mbolo de continuidad y permanencia: un estudio multidisciplinar sobre la figura soliforme en el arte esquemÃ¡tico de la Provincia de CÃ¡diz</t>
  </si>
  <si>
    <t>Mercedes Versaci</t>
  </si>
  <si>
    <t>Joseph H., Friedman-Clive, Ballard</t>
  </si>
  <si>
    <t>Christina, Fotopoulou-Thomas J., Herzog</t>
  </si>
  <si>
    <t>Hatton, Chris-Collins, Graham-Sweetenham, John</t>
  </si>
  <si>
    <t>Francine, Foss-Matthew, Ahearne-Christopher P., Fox</t>
  </si>
  <si>
    <t>Ruben A., Mesa-Claire N., Harrison</t>
  </si>
  <si>
    <t>Loke, Justin-Savani, Bipin</t>
  </si>
  <si>
    <t>â€œSelfâ€ in Language, Culture, and Cognition</t>
  </si>
  <si>
    <t>Yanying Lu</t>
  </si>
  <si>
    <t>Between East and South</t>
  </si>
  <si>
    <t>Anna Calori-Anne-Kristin Hartmetz-Bence Kocsev-James Mark-Jan Zofka</t>
  </si>
  <si>
    <t>Gerechtigkeit und gerechte Herrschaft vom 15. bis zum 17. Jahrhundert</t>
  </si>
  <si>
    <t>HISTORY / Modern / 16th Century</t>
  </si>
  <si>
    <t>Stefan Plaggenborg</t>
  </si>
  <si>
    <t>Visions of Electric Media</t>
  </si>
  <si>
    <t>Ivy Roberts</t>
  </si>
  <si>
    <t>Inventing Cinema</t>
  </si>
  <si>
    <t>BenoÃ®t Turquety</t>
  </si>
  <si>
    <t>Independent Filmmaking Across Borders in Contemporary Asia</t>
  </si>
  <si>
    <t>Ran Ma</t>
  </si>
  <si>
    <t>Chinese Environmental Contention</t>
  </si>
  <si>
    <t>Maria Bondes</t>
  </si>
  <si>
    <t>Erwachsenenbildung und Lernen in Zeiten von Globalisierung, Transformation und Entgrenzung</t>
  </si>
  <si>
    <t>Olaf DÃ¶rner-Carola Iller-Ingeborg SchÃ¼ÃŸler-Heide von Felden-Sebastian Lerch</t>
  </si>
  <si>
    <t>Die Berufseingangsphase im Lehramt an berufsbildenden Schulen</t>
  </si>
  <si>
    <t>Sylke GrÃ¼ll</t>
  </si>
  <si>
    <t>Adventures in Sustainable Urbanism</t>
  </si>
  <si>
    <t>Robert Krueger-Tim Freytag-Samuel MÃ¶ssner</t>
  </si>
  <si>
    <t>The French Revolution As a Moment of Respatialization</t>
  </si>
  <si>
    <t>Matthias Middell-Megan Maruschke</t>
  </si>
  <si>
    <t>Orthodox Christianity and Gender</t>
  </si>
  <si>
    <t>Helena Kupari-Elina Vuola</t>
  </si>
  <si>
    <t>Advanced Problems in Mathematics</t>
  </si>
  <si>
    <t xml:space="preserve"> Stephen Siklos</t>
  </si>
  <si>
    <t>Zur Analyse von Institutionen im EntwicklungsprozeÃŸ und in der internationalen Zusammenarbeit.</t>
  </si>
  <si>
    <t>Ã–ffentliche Finanzen und Umweltpolitik II.</t>
  </si>
  <si>
    <t>Deregulierung - eine Herausforderung an die Wirtschafts- und Sozialpolitik in der Marktwirtschaft.</t>
  </si>
  <si>
    <t>Hellmuth St. Seidenfus</t>
  </si>
  <si>
    <t>Wettbewerb, Konzentration und Nachfragemacht im Lebensmittelhandel.</t>
  </si>
  <si>
    <t>Ã–konomie der Hochschule I.</t>
  </si>
  <si>
    <t>One Planet, One Health</t>
  </si>
  <si>
    <t>Walton, Professor Merrilyn</t>
  </si>
  <si>
    <t>Economic Sanctions in International Law and Practice</t>
  </si>
  <si>
    <t>Masahiko Asada</t>
  </si>
  <si>
    <t>The Digital Transformation of Labor</t>
  </si>
  <si>
    <t>Anthony Larsson-Robin Teigland</t>
  </si>
  <si>
    <t>New Narratives of Russian and East European Art</t>
  </si>
  <si>
    <t>ART / Russian &amp; Soviet</t>
  </si>
  <si>
    <t>Galina Mardilovich-Maria Taroutina</t>
  </si>
  <si>
    <t>Innovating Healthcare</t>
  </si>
  <si>
    <t>John Storey-Richard Holti</t>
  </si>
  <si>
    <t>The Age of Sustainability</t>
  </si>
  <si>
    <t>Psychology in Edgar Allan Poe</t>
  </si>
  <si>
    <t>Gerardo Del Guercio</t>
  </si>
  <si>
    <t>Multilingual Life Writing by French and Francophone Women</t>
  </si>
  <si>
    <t>Natalie Edwards</t>
  </si>
  <si>
    <t>Private Law, Nudging and Behavioural Economic Analysis</t>
  </si>
  <si>
    <t>Antonios Karampatzos</t>
  </si>
  <si>
    <t>The Circular Economy in Europe</t>
  </si>
  <si>
    <t>Zora Kovacic-Roger Strand-Thomas VÃ¶lker</t>
  </si>
  <si>
    <t>Intersectionality in Feminist and Queer Movements</t>
  </si>
  <si>
    <t>Elizabeth Evans-ElÃ©onore LÃ©pinard</t>
  </si>
  <si>
    <t>Cultural Organizations, Networks and Mediators in Contemporary Ibero-America</t>
  </si>
  <si>
    <t>Diana Roig-Sanz-Jaume Subirana</t>
  </si>
  <si>
    <t>Practices of Citizenship in East Africa</t>
  </si>
  <si>
    <t>The Aesthetics and Politics of Linguistic Borders</t>
  </si>
  <si>
    <t>Heidi GrÃ¶nstrand-Markus Huss-Ralf Kauranen</t>
  </si>
  <si>
    <t>Root Narrative Theory and Conflict Resolution</t>
  </si>
  <si>
    <t>Solon Simmons</t>
  </si>
  <si>
    <t>Womenâ€™s Lived Landscapes of War and Liberation in Mozambique</t>
  </si>
  <si>
    <t>Jonna Katto</t>
  </si>
  <si>
    <t>The Performative Power of Vocality</t>
  </si>
  <si>
    <t>Virginie Magnat</t>
  </si>
  <si>
    <t>African Initiated Christianity and the Decolonisation of Development</t>
  </si>
  <si>
    <t>Philipp Ã–hlmann-Wilhelm GrÃ¤b-Marie-Luise Frost</t>
  </si>
  <si>
    <t>Coastal Landscapes of the Mesolithic</t>
  </si>
  <si>
    <t>Almut SchÃ¼lke</t>
  </si>
  <si>
    <t>Standardization and Risk Governance</t>
  </si>
  <si>
    <t>Odd Einar Olsen-Kirsten Voigt Juhl-Preben H. LindÃ¸e-Ole Andreas Engen</t>
  </si>
  <si>
    <t>Divine Action, Determinism, and the Laws of Nature</t>
  </si>
  <si>
    <t>Jeffrey Koperski</t>
  </si>
  <si>
    <t>Rethinking Governance in Europe and Northeast Asia</t>
  </si>
  <si>
    <t>Uwe Wissenbach</t>
  </si>
  <si>
    <t>Chinaâ€™s New Role in African Politics</t>
  </si>
  <si>
    <t>Christof Hartmann-Nele Noesselt</t>
  </si>
  <si>
    <t>Towards a Climate-Neutral Europe</t>
  </si>
  <si>
    <t>Jos Delbeke-Peter Vis</t>
  </si>
  <si>
    <t>Reforming Senates</t>
  </si>
  <si>
    <t>Nikolaj Bijleveld-Colin Grittner-David Smith-Wybren Verstegen</t>
  </si>
  <si>
    <t>Contested Territories and International Law</t>
  </si>
  <si>
    <t>Kamal Makili-Aliyev</t>
  </si>
  <si>
    <t>News Literacy and Democracy</t>
  </si>
  <si>
    <t>Seth Ashley</t>
  </si>
  <si>
    <t>Regionale Erzeugnisse aus Deutschland</t>
  </si>
  <si>
    <t>Friedrich-Philipp Becker</t>
  </si>
  <si>
    <t>Ryszard KapuÅ›ciÅ„ski. Biographie dâ€™un Ã©crivain</t>
  </si>
  <si>
    <t>Beata Nowacka-Zygmunt ZiÄ…tek</t>
  </si>
  <si>
    <t>Rereading Marx in the Age of Digital Capitalism</t>
  </si>
  <si>
    <t>Contract Law in the Construction Industry Context</t>
  </si>
  <si>
    <t>Carl J. Circo</t>
  </si>
  <si>
    <t>Glass and Glass Production in the Near East During the Iron Age</t>
  </si>
  <si>
    <t>Katharina Schmidt</t>
  </si>
  <si>
    <t>Bronze Age Metalwork: Techniques and Traditions in the Nordic Bronze Age 1500-1100 BC</t>
  </si>
  <si>
    <t>Heide W. NÃ¸rgaard</t>
  </si>
  <si>
    <t>The Subject(s) of Human Rights</t>
  </si>
  <si>
    <t>Cathy J. Schlund-Vials-Guy Beauregard-Hsiu-chuan Lee</t>
  </si>
  <si>
    <t>Gender and Diversity Studies</t>
  </si>
  <si>
    <t>Ingrid Jungwirth-Carola Bauschke-Urban</t>
  </si>
  <si>
    <t>Labour and Value</t>
  </si>
  <si>
    <t xml:space="preserve"> Ernesto Screpanti</t>
  </si>
  <si>
    <t>Sytuacja kobiet na rynku pracy. Wybrane aspekty</t>
  </si>
  <si>
    <t>Dorota Witkowska-Krzysztof Kompa-Aleksandra Matuszewska-Janica</t>
  </si>
  <si>
    <t>Tropami retoryki stylistyki i dziennikarstwa. Tom dedykowany Profesor Barbarze BogoÅ‚Ä™bskiej</t>
  </si>
  <si>
    <t>Monika Worsowicz-BogumiÅ‚a FioÅ‚ek-LubczyÅ„ska</t>
  </si>
  <si>
    <t>Polityka Unii Europejskiej wobec partnerÃ³w azjatyckich</t>
  </si>
  <si>
    <t>Tomasza KamiÅ„skiego</t>
  </si>
  <si>
    <t>Power Shifts in East Asia and Their Lmplications for Asia-Europe Relations</t>
  </si>
  <si>
    <t>Karol Å»akowski-Bartosz Kowalski</t>
  </si>
  <si>
    <t>La folie au theatre, ou l'esthetique de l'epouvante selon andre de lorde</t>
  </si>
  <si>
    <t>W krÄ™gu wyobraÅ¼eÅ„ zbiorowych. Polityka, wÅ‚adza, spoÅ‚eczeÅ„stwo</t>
  </si>
  <si>
    <t>Andrzeja Dubickiego-Magdaleny RekÅ›Ä‡-Andrzeja Sepkowskiego</t>
  </si>
  <si>
    <t>Revisiting Regionalism and the Contemporary World Order</t>
  </si>
  <si>
    <t>Ã‰lise FÃ©ron-Jyrki KÃ¤kÃ¶nen-Gabriel Rached</t>
  </si>
  <si>
    <t>Engaging Researchers with Data Management</t>
  </si>
  <si>
    <t xml:space="preserve"> Connie Clare-Maria Cruz-Elli Papadopoulou-James Savage-Marta Teperek-Yan Wang</t>
  </si>
  <si>
    <t>Articulating Bodies</t>
  </si>
  <si>
    <t>Kylee-Anne Hingston</t>
  </si>
  <si>
    <t>Affective Disorders</t>
  </si>
  <si>
    <t>Bede Scott</t>
  </si>
  <si>
    <t>Theology Without Walls</t>
  </si>
  <si>
    <t>Jerry L. Martin</t>
  </si>
  <si>
    <t>Romans at War</t>
  </si>
  <si>
    <t>Jeremy Armstrong-Michael P. Fronda</t>
  </si>
  <si>
    <t>Religion, Modernity, Globalisation</t>
  </si>
  <si>
    <t>Science, (Anti-)Communism and Diplomacy</t>
  </si>
  <si>
    <t>Alison Kraft-Carola Sachse</t>
  </si>
  <si>
    <t>Agriculture et qualitÃ© de l'air</t>
  </si>
  <si>
    <t>EinfÃ¼hrung in die internationalen Wirtschaftsbeziehungen</t>
  </si>
  <si>
    <t>Axel Sell</t>
  </si>
  <si>
    <t>Situative Marketingstrategien</t>
  </si>
  <si>
    <t>Torsten Tomczak</t>
  </si>
  <si>
    <t>Cell Electrophoresis</t>
  </si>
  <si>
    <t>W. SchÃ¼tt-H. Klinkmann</t>
  </si>
  <si>
    <t>Strategische UnternehmensfÃ¼hrung bei Diversifikation</t>
  </si>
  <si>
    <t>Burkhard F. Wittek</t>
  </si>
  <si>
    <t>FÃ¼hrung in deutschen Unternehmen</t>
  </si>
  <si>
    <t>Bernhard Wilpert</t>
  </si>
  <si>
    <t>American Catholic Leadership</t>
  </si>
  <si>
    <t>James H. Stewart</t>
  </si>
  <si>
    <t>Die Kunst des MÃ¶glichen II</t>
  </si>
  <si>
    <t>Die Kunst des MÃ¶glichen I</t>
  </si>
  <si>
    <t>Vom Abschied</t>
  </si>
  <si>
    <t>Hans-Joachim Lenger</t>
  </si>
  <si>
    <t>Die Stimme im HipHop</t>
  </si>
  <si>
    <t>Fernand HÃ¶rner-Oliver Kautny</t>
  </si>
  <si>
    <t>Der archÃ¤ologische Zirkel</t>
  </si>
  <si>
    <t>Pravu Mazumdar</t>
  </si>
  <si>
    <t>Die Evidenz der Kunst</t>
  </si>
  <si>
    <t>Judith Siegmund</t>
  </si>
  <si>
    <t>SubjektivitÃ¤t und Ã„sthetik</t>
  </si>
  <si>
    <t>Jens Szczepanski</t>
  </si>
  <si>
    <t>Die Kunst des Essens</t>
  </si>
  <si>
    <t>Harald Lemke</t>
  </si>
  <si>
    <t>Zwischen Bewusstseinsphilosophie und Naturalismus</t>
  </si>
  <si>
    <t>Daniel C. Henrich</t>
  </si>
  <si>
    <t>Chiasmen</t>
  </si>
  <si>
    <t>Diskurs â€“ radikale Demokratie â€“ Hegemonie</t>
  </si>
  <si>
    <t>Wissenschaft und Leben</t>
  </si>
  <si>
    <t>Peter Janich</t>
  </si>
  <si>
    <t>VerstÃ¤ndigung und Versprechen</t>
  </si>
  <si>
    <t>Stefan Blank</t>
  </si>
  <si>
    <t>Philosophie nach Marx</t>
  </si>
  <si>
    <t>Christoph Henning</t>
  </si>
  <si>
    <t>Teufel und Engel</t>
  </si>
  <si>
    <t>Kurt RÃ¶ttgers</t>
  </si>
  <si>
    <t>Marx zufolge</t>
  </si>
  <si>
    <t>Perspektiven interdisziplinÃ¤rer Medienphilosophie</t>
  </si>
  <si>
    <t>Christoph Ernst-Petra Gropp-Karl Anton Sprengard</t>
  </si>
  <si>
    <t>MuÃŸe</t>
  </si>
  <si>
    <t>Volker SchÃ¼rmann</t>
  </si>
  <si>
    <t>Metapher</t>
  </si>
  <si>
    <t>System</t>
  </si>
  <si>
    <t>Angelica Nuzzo</t>
  </si>
  <si>
    <t>Pina Bausch und das Tanztheater</t>
  </si>
  <si>
    <t>Sustainable Development in Science Policy-Making</t>
  </si>
  <si>
    <t>Anna Schwachula</t>
  </si>
  <si>
    <t>Die Soziologie und der Nationalsozialismus in Ã–sterreich</t>
  </si>
  <si>
    <t>Andreas Kranebitter-Christoph Reinprecht</t>
  </si>
  <si>
    <t>Time and Space in Video Games</t>
  </si>
  <si>
    <t>Federico Alvarez IgarzÃ¡bal</t>
  </si>
  <si>
    <t>Zeichen und Freiheit</t>
  </si>
  <si>
    <t>Lars Leeten</t>
  </si>
  <si>
    <t>Soziale Formen</t>
  </si>
  <si>
    <t>Athanasios Karafillidis</t>
  </si>
  <si>
    <t>Die urbane Revolution</t>
  </si>
  <si>
    <t>Fernand Mathias Guelf</t>
  </si>
  <si>
    <t>Doing Identity in Luxemburg</t>
  </si>
  <si>
    <t>IPSE â€“ IdentitÃ©s Politiques SociÃ©tÃ©s Esp</t>
  </si>
  <si>
    <t>Berufsbildungsforschung</t>
  </si>
  <si>
    <t>Peter SchlÃ¶gl-Krisztina DÃ©r</t>
  </si>
  <si>
    <t>Freiheit als Norm?</t>
  </si>
  <si>
    <t>Tatjana SchÃ¶nwÃ¤lder-Kuntze</t>
  </si>
  <si>
    <t>Auf der Suche nach einer zeitgemÃ¤ÃŸen MusikÃ¤sthetik</t>
  </si>
  <si>
    <t>Nikolaus Urbanek</t>
  </si>
  <si>
    <t>Lachen Ã¼ber das Andere</t>
  </si>
  <si>
    <t>Claudia Gottwald</t>
  </si>
  <si>
    <t>Die Seele: Metapher oder Wirklichkeit?</t>
  </si>
  <si>
    <t>Peter Nickl-Georgios Terizakis</t>
  </si>
  <si>
    <t>Schatten des Unbestimmten</t>
  </si>
  <si>
    <t>Albrecht Fritzsche</t>
  </si>
  <si>
    <t>Epiphanie</t>
  </si>
  <si>
    <t>Guy van Kerckhoven</t>
  </si>
  <si>
    <t>Der andere Austin</t>
  </si>
  <si>
    <t>Eckard Rolf</t>
  </si>
  <si>
    <t>Philosophie nach dem Â»Medial TurnÂ«</t>
  </si>
  <si>
    <t>Stefan MÃ¼nker</t>
  </si>
  <si>
    <t>Entwicklung und Umwelt.</t>
  </si>
  <si>
    <t>Choosing a Mother Tongue</t>
  </si>
  <si>
    <t>Corinne A. Seals</t>
  </si>
  <si>
    <t>Hands on Media History</t>
  </si>
  <si>
    <t>Nick Hall-John Ellis</t>
  </si>
  <si>
    <t>Essays on Paula Rego</t>
  </si>
  <si>
    <t>ART / Individual Artists / Essays</t>
  </si>
  <si>
    <t xml:space="preserve"> Maria Manuel Lisboa</t>
  </si>
  <si>
    <t>Spaces and Planning in Secondary Cities</t>
  </si>
  <si>
    <t>Lochner Marais &amp; Verna Nel</t>
  </si>
  <si>
    <t>J.C. Steyn en Afrikaans: 'n Viering</t>
  </si>
  <si>
    <t>Angelique van Niekerk-H.P. (Hennie) van Coller &amp; Bernard Odendaal</t>
  </si>
  <si>
    <t>Delivering an Elusive Dream of Democracy: Lessons From Nelson Mandela Bay</t>
  </si>
  <si>
    <t>Joleen Steyn Kotze</t>
  </si>
  <si>
    <t>The Emerging Data Revolution in Africa: Strengthening the Statistics, Policy and Decision-making Chain</t>
  </si>
  <si>
    <t>Ben Kiregyera</t>
  </si>
  <si>
    <t>Belhar Confession: The Embracing Confession of Faith for Church and Society</t>
  </si>
  <si>
    <t>Mary-Anne Plaatjies-Van Huffel</t>
  </si>
  <si>
    <t>Export Promotion: A Decision Support Model Approach</t>
  </si>
  <si>
    <t>Ludo Cuyvers</t>
  </si>
  <si>
    <t>Die verhaal van die Griekse Taal oor 35 Eeue heen</t>
  </si>
  <si>
    <t>Gerrit van Wyk Kruger</t>
  </si>
  <si>
    <t>Exploring Sustainability Science: A Southern African Perspective</t>
  </si>
  <si>
    <t>Michael Burns</t>
  </si>
  <si>
    <t>Church and Civil Society: German and South African Perspectives</t>
  </si>
  <si>
    <t>Michael Walker</t>
  </si>
  <si>
    <t>The Origin and Growth of Geography As a Discipline at South Africa Universities</t>
  </si>
  <si>
    <t>Gustav Visser</t>
  </si>
  <si>
    <t>Kromdraai: A Birthplace of Paranthropus in the Cradle of Humankind - A South African Heritage Site</t>
  </si>
  <si>
    <t>JosÃ© Braga</t>
  </si>
  <si>
    <t>Universiteit Stellenbosch En Die Onverkwiklike Taalstryd</t>
  </si>
  <si>
    <t>Moll, Johan C.</t>
  </si>
  <si>
    <t>Southern African Geomorphology</t>
  </si>
  <si>
    <t>Peter Holmes</t>
  </si>
  <si>
    <t>Postgraduate Supervision: Future Foci for the Knowledge Society</t>
  </si>
  <si>
    <t>Magda Fourie-Malherbe</t>
  </si>
  <si>
    <t>Die reis gaan inwaarts: Die kuns van sterwe in kreatiewe werke van Karel Schoeman</t>
  </si>
  <si>
    <t>Cas Wepener</t>
  </si>
  <si>
    <t>Writing Centres in Higher Education: Working in and Across the Disciplines</t>
  </si>
  <si>
    <t>Sherran Clarence</t>
  </si>
  <si>
    <t>Sugar and Settlers</t>
  </si>
  <si>
    <t xml:space="preserve"> Duncan L. Du Bois</t>
  </si>
  <si>
    <t>Russel Botman: 'n Huldeblyk 1953-2014</t>
  </si>
  <si>
    <t>Russel Botman: A Tribute 1953-2014</t>
  </si>
  <si>
    <t>Reforming Memory: Essays on South African Church and Theological History</t>
  </si>
  <si>
    <t>RELIGION / Essays</t>
  </si>
  <si>
    <t>Reflections on War: Preparedness and Consequences</t>
  </si>
  <si>
    <t>Ian Liebenberg</t>
  </si>
  <si>
    <t>Learning to Teach in Post-apartheid South Africa: Student Teachers' Encounters with Initial Teacher Education</t>
  </si>
  <si>
    <t>Yusuf Sayed</t>
  </si>
  <si>
    <t>Khaki-clad Springboks: Rugby Played by the 6th South African Armoured Division 1943-1946</t>
  </si>
  <si>
    <t>SPORTS &amp; RECREATION / Rugby</t>
  </si>
  <si>
    <t>Gideon Nieman</t>
  </si>
  <si>
    <t>Decolonising Higher Education in the Era of Globalisation and Internationalisation</t>
  </si>
  <si>
    <t>Fomunyam, Kehdinga George</t>
  </si>
  <si>
    <t>Foreign Voyage</t>
  </si>
  <si>
    <t>John T. Grider</t>
  </si>
  <si>
    <t>Postgraduate Study in South Africa: Surviving and Succeeding</t>
  </si>
  <si>
    <t>On Record: Music and Society in Recorded Popular Afrikaans Music Records, 1900-2015</t>
  </si>
  <si>
    <t>Schalk van der Merwe</t>
  </si>
  <si>
    <t>Of the Same Breath</t>
  </si>
  <si>
    <t>MÃ¶ller LA</t>
  </si>
  <si>
    <t>Communion Ecclesiology in a Racially Polarised South Africa</t>
  </si>
  <si>
    <t>RELIGION / Christian Theology / Ecclesiology</t>
  </si>
  <si>
    <t>RESANE, KELEBOGILE T.</t>
  </si>
  <si>
    <t>A Necklace of Springbok Ears: /Xam Orality and South African Literature</t>
  </si>
  <si>
    <t>Helize van Vuuren</t>
  </si>
  <si>
    <t>A Far-Away War: Angola 1975-1989</t>
  </si>
  <si>
    <t>Transformation and Legitimation in Post-apartheid Universities</t>
  </si>
  <si>
    <t>JC van der Merwe</t>
  </si>
  <si>
    <t>The (im)possibility of Forgiveness?: An Empirical Intercultural Bible Reading of Matthew 18:15-35</t>
  </si>
  <si>
    <t>Dion Forster</t>
  </si>
  <si>
    <t>Narrating the Everyday</t>
  </si>
  <si>
    <t>Following Foucault: The Trail of the Fox</t>
  </si>
  <si>
    <t>Howard Richards</t>
  </si>
  <si>
    <t>Education First!: From Martin Luther to Sustainable Development</t>
  </si>
  <si>
    <t>Wolfgang Lutz</t>
  </si>
  <si>
    <t>Critical Toponymy</t>
  </si>
  <si>
    <t>Editors: Herman Beyer</t>
  </si>
  <si>
    <t>Afrikaanse Filosofie</t>
  </si>
  <si>
    <t>Pieter Duvenage</t>
  </si>
  <si>
    <t>Evaluation Landscape in Africa: Context, Methods and Capacity</t>
  </si>
  <si>
    <t>Caitlin Blaser Mapitsa</t>
  </si>
  <si>
    <t>Engaging Students</t>
  </si>
  <si>
    <t>Francois Strydom</t>
  </si>
  <si>
    <t>Africanising the Curriculum: Indigenous Perspectives and Theories</t>
  </si>
  <si>
    <t>Vuyisile Msila-Mishack T Gumbo</t>
  </si>
  <si>
    <t>Accessing Post-School Studies: A Student's GPS to Successful Learning</t>
  </si>
  <si>
    <t>Venica McGhie</t>
  </si>
  <si>
    <t>Battle at Mamusa</t>
  </si>
  <si>
    <t>Piet Erasmus</t>
  </si>
  <si>
    <t>Taalkundige Essays: 'n Gerf uit die vroegskemer</t>
  </si>
  <si>
    <t>Frank Hendricks</t>
  </si>
  <si>
    <t>Spikkels en Spatsels uit Bloemfontein se verlede</t>
  </si>
  <si>
    <t>Hannes Haasbroek</t>
  </si>
  <si>
    <t>Spaces, Journeys and New Horizons for Postgraduate Supervision</t>
  </si>
  <si>
    <t>Eli Bitzer</t>
  </si>
  <si>
    <t>Moedertaalonderrig en taalaktivisme in Suid-Afrika</t>
  </si>
  <si>
    <t>Johan Moll</t>
  </si>
  <si>
    <t>Engaging Schooling Subjectivities Across Post-apartheid Urban Spaces</t>
  </si>
  <si>
    <t>Engaging Higher Education Curricula: A Critical Citizenship Perspective</t>
  </si>
  <si>
    <t>Elmarie Costandius-Eli Bitzer</t>
  </si>
  <si>
    <t>Commercialising Medicinal Plants: A Southern African Guide</t>
  </si>
  <si>
    <t>Nicci Diederichs</t>
  </si>
  <si>
    <t>Bible and Theology From the Underside of Empire</t>
  </si>
  <si>
    <t>Vuyani Vellem</t>
  </si>
  <si>
    <t>African Standby Force: Quo Vadis?</t>
  </si>
  <si>
    <t>Practical Guide to Guest House Management</t>
  </si>
  <si>
    <t>DeserÃ© Kokt</t>
  </si>
  <si>
    <t>The Human Spirit: Groundwork</t>
  </si>
  <si>
    <t>BODY, MIND &amp; SPIRIT / Spiritualism</t>
  </si>
  <si>
    <t>Douglas R. McGaughey</t>
  </si>
  <si>
    <t>Vulnerable Responsibility</t>
  </si>
  <si>
    <t>Vanlaere, Linus-Burggraeve, Roger-Lategan, Laetus O. K.</t>
  </si>
  <si>
    <t>Understanding the Other: An Introduction to Christian and Jewish Relations</t>
  </si>
  <si>
    <t>Jaco Beyers</t>
  </si>
  <si>
    <t>Subjects of Modernity: Time-space, Disciplines, Margins</t>
  </si>
  <si>
    <t>Regional Innovation</t>
  </si>
  <si>
    <t>Patrick Dubarle</t>
  </si>
  <si>
    <t>Reading Writing Right: Essays Presented in Honour of Prof Elna Mouton</t>
  </si>
  <si>
    <t>Jeremy Punt</t>
  </si>
  <si>
    <t>Non-racialism in South Africa: The Life and Times of Neville Alexander</t>
  </si>
  <si>
    <t>Allan Zinn</t>
  </si>
  <si>
    <t>Modern State Development, Capacity, and Institutions</t>
  </si>
  <si>
    <t>Derica Lambrechts</t>
  </si>
  <si>
    <t>Kerk en orde vandag</t>
  </si>
  <si>
    <t>Piet Strauss</t>
  </si>
  <si>
    <t>Interpreting Terminology/ Terminologie Van Het Tolken/ Tolkterminologie/ Mareo a Botoloki/ Amatemu Okutolika</t>
  </si>
  <si>
    <t>MarnÃ© Pienaar</t>
  </si>
  <si>
    <t>Hospitality Management</t>
  </si>
  <si>
    <t>Kokt, DesereÌ.</t>
  </si>
  <si>
    <t>Get Ready ... Get Set ... GO!</t>
  </si>
  <si>
    <t>Laetus O.K. Lategan</t>
  </si>
  <si>
    <t>Accounting and Auditing Practices in Africa</t>
  </si>
  <si>
    <t>Mariaan Roos</t>
  </si>
  <si>
    <t>Surfers van die Tsunami</t>
  </si>
  <si>
    <t>Burgert Senekal</t>
  </si>
  <si>
    <t>South African Perspectives on Notions and Forms of Ecumenicity</t>
  </si>
  <si>
    <t>Resistance to and Acquiescence in Apartheid: St. Paulâ€™s Theological College, Grahamstown, 1965-92</t>
  </si>
  <si>
    <t>Quote/Unquote: Quotations on Freedom of Speech, Journalism, the News Media and a World or Words</t>
  </si>
  <si>
    <t>Lizette Rabe</t>
  </si>
  <si>
    <t>Kaaps in Fokus</t>
  </si>
  <si>
    <t>Inclusive Teaching in South Africa</t>
  </si>
  <si>
    <t>Tsediso M. Makoelle</t>
  </si>
  <si>
    <t>Healthcare Ethics for Healthcare Practitioners</t>
  </si>
  <si>
    <t>Lategan, Lateus O. K.-Van Zyl, Gert J.</t>
  </si>
  <si>
    <t>Amsterdam tot Zeeland: Van Slawestand tot Middestand. â€™n Stellenbosse Geskiedenis, 1679-1849</t>
  </si>
  <si>
    <t>Hans Heese</t>
  </si>
  <si>
    <t>#Journalism4.0 | #Joernalistiek4.0</t>
  </si>
  <si>
    <t>The Effects of Race</t>
  </si>
  <si>
    <t>Nina G. Jablonski</t>
  </si>
  <si>
    <t>Splinters en Dorings uit die Rosestad se Verlede</t>
  </si>
  <si>
    <t>Living in a Hut in 21st Century South Africa</t>
  </si>
  <si>
    <t>Monde Ndandani</t>
  </si>
  <si>
    <t>Lig Wankelend: Die wese van die liefde en lewe van Utte Reuter - Å‰ Roman</t>
  </si>
  <si>
    <t>Gerard Scholtz</t>
  </si>
  <si>
    <t>Corporate Lessons</t>
  </si>
  <si>
    <t>BUSINESS &amp; ECONOMICS / Personal Success</t>
  </si>
  <si>
    <t>Mokete Lebitso</t>
  </si>
  <si>
    <t>Seven Imperatives for Success in Research</t>
  </si>
  <si>
    <t>Ulrich Holzbaur</t>
  </si>
  <si>
    <t>Doing Research</t>
  </si>
  <si>
    <t>Laetus Lategan-Liezel Lues-Hesta Friedrich-Nel</t>
  </si>
  <si>
    <t>The First Chemistry Department in Port Elizabeth</t>
  </si>
  <si>
    <t>Peter Loyson</t>
  </si>
  <si>
    <t>Encountering Adamastor: South Africaâ€™s Founding Geographers in Time and Place</t>
  </si>
  <si>
    <t>W.S. Barnard</t>
  </si>
  <si>
    <t>UMama: Recollections of South African Mothers and Grandmothers</t>
  </si>
  <si>
    <t>World of Work</t>
  </si>
  <si>
    <t>The Semiotics of New Spaces: Languaging and Literacy Practices in One South African Township</t>
  </si>
  <si>
    <t>Charlyn Dyers</t>
  </si>
  <si>
    <t>Struggle and Hope: Reflections on the Recent History of the Transkeian People</t>
  </si>
  <si>
    <t>Mda Mda</t>
  </si>
  <si>
    <t>RE:search ABC: Down-to-earth Assistance for the Researcher</t>
  </si>
  <si>
    <t>Gereformeerdes onder die Suiderkruis</t>
  </si>
  <si>
    <t>Beneath the Black Sun of Cabinda</t>
  </si>
  <si>
    <t>FICTION / Political</t>
  </si>
  <si>
    <t>Vanessa Everson</t>
  </si>
  <si>
    <t>Scorsese and Religion</t>
  </si>
  <si>
    <t>Christopher B. Barnett-Clark J. Elliston</t>
  </si>
  <si>
    <t>Beyond Jewish Identity</t>
  </si>
  <si>
    <t>Jon A. Levisohn-Ari Y. Kelman</t>
  </si>
  <si>
    <t>Kommunikation und Kooperation in GeschÃ¤ftsprozessen</t>
  </si>
  <si>
    <t>Juliana Schlicht</t>
  </si>
  <si>
    <t>FuÃŸball und Feminismus</t>
  </si>
  <si>
    <t>Friederike Faust</t>
  </si>
  <si>
    <t>Zentrum und Peripherie - Zur Entwicklung der Arbeitsteilung in Europa.</t>
  </si>
  <si>
    <t>Hans-JÃ¼rgen Vosgerau</t>
  </si>
  <si>
    <t>Die Tarifautonomie auf dem PrÃ¼fstand.</t>
  </si>
  <si>
    <t>Digital Gaming and the Advertising Landscape</t>
  </si>
  <si>
    <t>DESIGN / Graphic Arts / Branding &amp; Logo Design</t>
  </si>
  <si>
    <t>Teresa Hera</t>
  </si>
  <si>
    <t>The Big Thaw</t>
  </si>
  <si>
    <t>Ezra B. W. Zubrow-Errol Meidinger-Kim Diana Connolly</t>
  </si>
  <si>
    <t>Â«ÐŸÐ¾ÑÑ‚Ð¸Ñ‡ÐµÑÐºÐ¸Ð¹ Ð°Ð½ÑÐ°Ð¼Ð±Ð»ÑŒÂ» Ð ÑƒÑÑÐºÐ¸Ðµ Ð±Ð¾Ð³Ð¸ Ð”Ð°Ð½Ð¸Ð¸Ð»Ð° ÐÐ½Ð´Ñ€ÐµÐµÐ²Ð° Ð² Ð°ÑÐ¿ÐµÐºÑ‚Ðµ Ð¸Ð½Ñ‚ÐµÑ€Ñ‚ÐµÐºÑÑ‚ÑƒÐ°Ð»ÑŒÐ½Ð¾ÑÑ‚Ð¸</t>
  </si>
  <si>
    <t>Daniel Andrzej Banasiak</t>
  </si>
  <si>
    <t>Analisi di enunciati ironici nella lingua italiana della cultura e dei media tra la fine del XX secolo e lâ€™inizio del XXI</t>
  </si>
  <si>
    <t>Stefano Cavallo</t>
  </si>
  <si>
    <t>StaroÅ›Ä‡ w nurcie Å¼ycia</t>
  </si>
  <si>
    <t>ElÅ¼bieta Dubas-Marcin MuszyÅ„ski</t>
  </si>
  <si>
    <t>Adaptive Middleware for the Internet of Things</t>
  </si>
  <si>
    <t>Marcus Handte-Pedro JosÃ© MarrÃ³n-Gregor Schiele-Matoses Manuel Serrano</t>
  </si>
  <si>
    <t>Literature and the World</t>
  </si>
  <si>
    <t>Stefan Helgesson-Mads Rosendahl Thomsen</t>
  </si>
  <si>
    <t>GrenzgÃ¤nge zwischen Erwerbsarbeit und Ruhestand</t>
  </si>
  <si>
    <t>BUSINESS &amp; ECONOMICS / Personal Finance / Retirement Planning</t>
  </si>
  <si>
    <t>Volker Cihlar-Laura Konzelmann-Andreas Mergenthaler-Frank Micheel-Norbert F. Schneider</t>
  </si>
  <si>
    <t>Adaptation in the Age of Media Convergence</t>
  </si>
  <si>
    <t>Johannes Fehrle-Werner SchÃ¤fke-Zell</t>
  </si>
  <si>
    <t>Jerusalem Western Wall Plaza Excavations II: The Pottery From the Eastern Cardo</t>
  </si>
  <si>
    <t>ANTIQUES &amp; COLLECTIBLES / Pottery &amp; Ceramics</t>
  </si>
  <si>
    <t>Renate Rosenthal-Heginbottom</t>
  </si>
  <si>
    <t>Jerusalem Western Wall Plaza Excavations I: The Roman and Byzantine Remains; Architecture and Stratigraphy</t>
  </si>
  <si>
    <t>Shlomit Weksler-Bdolah-Alexander Onn</t>
  </si>
  <si>
    <t>Chemie fÃ¼r Mediziner</t>
  </si>
  <si>
    <t>Benno Krieg</t>
  </si>
  <si>
    <t>Literaturgeschichte</t>
  </si>
  <si>
    <t>EinfÃ¼hrung in die angewandte Logik</t>
  </si>
  <si>
    <t>Theodor Bucher</t>
  </si>
  <si>
    <t>Philosophie und Politik bei Nietzsche</t>
  </si>
  <si>
    <t>Henning Ottmann</t>
  </si>
  <si>
    <t>Grundlagen der Ethik</t>
  </si>
  <si>
    <t>Franz von Kutschera</t>
  </si>
  <si>
    <t>EinfÃ¼hrung in die Rechtswissenschaft</t>
  </si>
  <si>
    <t>Manfred Rehbinder-Bernhard Rehfeldt</t>
  </si>
  <si>
    <t>InnovationsrÃ¤ume</t>
  </si>
  <si>
    <t>Thilo Lang-Martin Graffenberger-Lukas Vonnahme</t>
  </si>
  <si>
    <t>Die "Nachfolgepartei"</t>
  </si>
  <si>
    <t>Thorsten Holzhauser</t>
  </si>
  <si>
    <t>Wie der Feldgraue spricht</t>
  </si>
  <si>
    <t>Karl Bergmann</t>
  </si>
  <si>
    <t>DiefÃ¼r alle Versicherungszweige geltenden Vorschriften der Reichsversicherungsordnung (Erstes, fÃ¼nftes und sechstes Buch) nebst Einleitung und EinfÃ¼hrungsgesetz</t>
  </si>
  <si>
    <t>Manes-Mentzel-Schultz</t>
  </si>
  <si>
    <t>Anonymus Argentinensis</t>
  </si>
  <si>
    <t>Bruno Keil</t>
  </si>
  <si>
    <t>Die Arbeits- und WirtschaftsverhÃ¤ltnisse der Einzelsticker in der Nordostschweiz und Vorarlberg</t>
  </si>
  <si>
    <t>Alfred Swaine</t>
  </si>
  <si>
    <t>Russland</t>
  </si>
  <si>
    <t>Otto HÃ¶tzsch</t>
  </si>
  <si>
    <t>Animal Kingdom of Heaven</t>
  </si>
  <si>
    <t>Ingo Schaaf</t>
  </si>
  <si>
    <t>FrÃ¼hhistorische Literaturformen. Die heidnische Periode. Die Zeit der Bekehrung bis zum Jahre 1100</t>
  </si>
  <si>
    <t>Jan de Vries</t>
  </si>
  <si>
    <t>Traditional and Present-day Topics in Real Analysis. Dedicated to Professor Jan StanisÅ‚aw LipiÅ„ski</t>
  </si>
  <si>
    <t>ElÅ¼bieta Wagner-Bojakowska-MaÅ‚gorzata Filipczak</t>
  </si>
  <si>
    <t>Speclang 2. JÄ™zyki specjalistyczne. Edukacja â€“ Perspektywy â€“ Kariera</t>
  </si>
  <si>
    <t>Agnieszka Stawikowska-Marcinkowska-Beata Pawlikowska-Grzeszczakowska</t>
  </si>
  <si>
    <t>Speclang 2. Fachsprachen â€“ Ausbildung â€“ Karrierechancen</t>
  </si>
  <si>
    <t>Inspiracja</t>
  </si>
  <si>
    <t>Monika UrbaÅ„ska</t>
  </si>
  <si>
    <t>Garnizon Wojska Polskiego w Tomaszowie Mazowieckim w latach 1918-1939</t>
  </si>
  <si>
    <t>Witold Jarno</t>
  </si>
  <si>
    <t>Optical Cues Used in Prey Identification by a Juvenile Jumping Spider, Yllenus Arenarius (Araneae, Salticidae)</t>
  </si>
  <si>
    <t>NATURE / Animals / Insects &amp; Spiders</t>
  </si>
  <si>
    <t>Maciej Bartos</t>
  </si>
  <si>
    <t>Anxious Creativity</t>
  </si>
  <si>
    <t>David Trend</t>
  </si>
  <si>
    <t>Uninformative Information</t>
  </si>
  <si>
    <t>Jakob Krebs</t>
  </si>
  <si>
    <t>Ludotopia</t>
  </si>
  <si>
    <t>Espen Aarseth-Stephan GÃ¼nzel</t>
  </si>
  <si>
    <t>Squatters in the Capitalist City</t>
  </si>
  <si>
    <t>Miguel Martinez</t>
  </si>
  <si>
    <t>Facebook, the Media and Democracy</t>
  </si>
  <si>
    <t>Leighton Andrews</t>
  </si>
  <si>
    <t>After the Pink Tide</t>
  </si>
  <si>
    <t>Marina Gold-Alessandro Zagato</t>
  </si>
  <si>
    <t>Metaphor and Senses</t>
  </si>
  <si>
    <t>Magdalena ZawisÅ‚awska</t>
  </si>
  <si>
    <t>Pathways to Recovery and Desistance</t>
  </si>
  <si>
    <t>David Best</t>
  </si>
  <si>
    <t>Beruf, Beruflichkeit, Employability</t>
  </si>
  <si>
    <t>Bernd-Joachim Ertelt-Klaus Beck-Andreas Frey-JÃ¼rgen Seifried</t>
  </si>
  <si>
    <t>Benefit-sharing in Environmental Governance</t>
  </si>
  <si>
    <t>Louisa Parks</t>
  </si>
  <si>
    <t>Contemporary Co-housing in Europe</t>
  </si>
  <si>
    <t>Pernilla Hagbert-Henrik Gutzon Larsen-HÃ¥kan ThÃ¶rn-Cathrin Wasshede</t>
  </si>
  <si>
    <t>Deeper Learning, Dialogic Learning, and Critical Thinking</t>
  </si>
  <si>
    <t>Emmanuel Manalo</t>
  </si>
  <si>
    <t>Vergangenes verhandeln</t>
  </si>
  <si>
    <t>Tabea L. Meurer</t>
  </si>
  <si>
    <t>Critical Theory, Democracy, and the Challenge of Neoliberalism</t>
  </si>
  <si>
    <t>Brian Caterino-Phillip Hansen</t>
  </si>
  <si>
    <t>The Politics of Language Contact in the Himalaya</t>
  </si>
  <si>
    <t xml:space="preserve"> Selma K. Sonntag-Mark Turin</t>
  </si>
  <si>
    <t>Germany On Their Minds</t>
  </si>
  <si>
    <t>Anne C. Schenderlein</t>
  </si>
  <si>
    <t>Submerged on the Surface</t>
  </si>
  <si>
    <t>Richard N. Lutjens, Jr.</t>
  </si>
  <si>
    <t>Entangled Entertainers</t>
  </si>
  <si>
    <t>Klaus HÃ¶dl</t>
  </si>
  <si>
    <t>Impacts et services issus des Ã©levages europÃ©ens</t>
  </si>
  <si>
    <t>Dumont, Bertrand-Dupraz, Pierre-Donnars, Catherine</t>
  </si>
  <si>
    <t>Migrating Texts</t>
  </si>
  <si>
    <t>Marilyn Booth</t>
  </si>
  <si>
    <t>Apprendre Ã  innover dans un monde incertain</t>
  </si>
  <si>
    <t>Le sÃ©chage des mangues</t>
  </si>
  <si>
    <t>Michel Rivier-Jean-Michel MÃ©ot-Thierry FerrÃ©-Mathieu Briard</t>
  </si>
  <si>
    <t>Le sens des pratiques</t>
  </si>
  <si>
    <t>DiversitÃ© des agricultures familiales</t>
  </si>
  <si>
    <t>Le virus du Nil occidental</t>
  </si>
  <si>
    <t>Du Cemagref Ã  Irstea</t>
  </si>
  <si>
    <t>Pascal Griset</t>
  </si>
  <si>
    <t>Une histoire des plantes coloniales</t>
  </si>
  <si>
    <t>Serge Volper</t>
  </si>
  <si>
    <t>Marine Renewable Energies</t>
  </si>
  <si>
    <t xml:space="preserve"> Collectif</t>
  </si>
  <si>
    <t>Gardens of Oceania</t>
  </si>
  <si>
    <t>Vincent Lebot-Annie Walter</t>
  </si>
  <si>
    <t>Diseases of Tropical Tree Crops</t>
  </si>
  <si>
    <t>Dominique Mariau</t>
  </si>
  <si>
    <t>Jardins d'OcÃ©anie</t>
  </si>
  <si>
    <t>Les maladies des cultures pÃ©rennes tropicales</t>
  </si>
  <si>
    <t>Les maladies Ã©mergentes</t>
  </si>
  <si>
    <t>Barnouin, Jacques.-Institut national de la recherche agronomique (France).-Sache, Ivan.</t>
  </si>
  <si>
    <t>DiversitÃ© gÃ©nÃ©tique des plantes tropicales cultivÃ©es</t>
  </si>
  <si>
    <t>Perla Hamon-Marc Seguin-Xavier Perrier-Jean-Christophe Glaszmann</t>
  </si>
  <si>
    <t>Paysans du sertÃ£o</t>
  </si>
  <si>
    <t>L'Ã©levage bovin Ã  la RÃ©union</t>
  </si>
  <si>
    <t>Spatial Formats Under the Global Condition</t>
  </si>
  <si>
    <t>Matthias Middell-Steffi Marung</t>
  </si>
  <si>
    <t>Imagining the Peoples of Europe</t>
  </si>
  <si>
    <t>Jan Zienkowski-Ruth Breeze</t>
  </si>
  <si>
    <t>PendelmobilitÃ¤t und FamiliengrÃ¼ndung</t>
  </si>
  <si>
    <t>Thomas Skora</t>
  </si>
  <si>
    <t>Honeybees of Thailand</t>
  </si>
  <si>
    <t>Guntima Suwannapong</t>
  </si>
  <si>
    <t>History of International Relations</t>
  </si>
  <si>
    <t xml:space="preserve"> Erik Ringmar</t>
  </si>
  <si>
    <t>Selling the Economic Miracle</t>
  </si>
  <si>
    <t>Mark E. Spicka</t>
  </si>
  <si>
    <t>Aachens Hochschule fÃ¼r Soziale Arbeit</t>
  </si>
  <si>
    <t>Marion Gerards-Ute Antonia Lammel-Norbert Frieters-Reermann-Rainer Krockauer</t>
  </si>
  <si>
    <t>Making Bodies Kosher</t>
  </si>
  <si>
    <t>Ben Kasstan</t>
  </si>
  <si>
    <t>Kultur interdisziplinÃ¤r â€“ eine Kategorie in der Diskussion</t>
  </si>
  <si>
    <t>Martin Spetsmann-Kunkel</t>
  </si>
  <si>
    <t>The Internet of Everything</t>
  </si>
  <si>
    <t>Nilanjan Dey-Gitanjali Shinde-Parikshit Mahalle-Henning Olesen</t>
  </si>
  <si>
    <t>Political Science and Digitalization â€“ Global Perspectives</t>
  </si>
  <si>
    <t>Marianne Kneuer-Helen V. Milner</t>
  </si>
  <si>
    <t>Comrades in Arms</t>
  </si>
  <si>
    <t>Tom Smith</t>
  </si>
  <si>
    <t>Nanny Families</t>
  </si>
  <si>
    <t>EldÃ©n, Sara-Anving, Terese</t>
  </si>
  <si>
    <t>The Internationalisation of Polish Industries in the Context of the New Institutional Economics: Diagnosis and Determinants</t>
  </si>
  <si>
    <t>Katarzyna Mroczek-DÄ…browska</t>
  </si>
  <si>
    <t>Make We Merry More and Less</t>
  </si>
  <si>
    <t xml:space="preserve"> Douglas Gray-Jane Bliss</t>
  </si>
  <si>
    <t>Locating Zika</t>
  </si>
  <si>
    <t>Kevin Bardosh</t>
  </si>
  <si>
    <t>Environmental Education in Indonesia</t>
  </si>
  <si>
    <t>Lyn Parker-Kelsie Prabawa-Sear</t>
  </si>
  <si>
    <t>European Heritage, Dialogue and Digital Practices</t>
  </si>
  <si>
    <t>Areti Galani-Rhiannon Mason-Gabi Arrigoni</t>
  </si>
  <si>
    <t>Konfliktdynamiken â€“ Kriegsdynamiken</t>
  </si>
  <si>
    <t>Lotta Mayer</t>
  </si>
  <si>
    <t>Feeling Exclusion</t>
  </si>
  <si>
    <t>Giovanni Tarantino-Charles Zika</t>
  </si>
  <si>
    <t>Negotiating Gender Equity in the Global South</t>
  </si>
  <si>
    <t>Sohela Nazneen-Sam Hickey-Eleni Sifaki</t>
  </si>
  <si>
    <t>Assembling Therapeutics</t>
  </si>
  <si>
    <t>HEALTH &amp; FITNESS / Alternative Therapies</t>
  </si>
  <si>
    <t>Suvi Salmenniemi-Johanna Nurmi-Inna Perheentupa-Harley Bergroth</t>
  </si>
  <si>
    <t>A Community Empowerment Approach to Heritage Management</t>
  </si>
  <si>
    <t>Evangelos Kyriakidis</t>
  </si>
  <si>
    <t>Rape in the Nordic Countries</t>
  </si>
  <si>
    <t>Marie Bruvik Heinskou-May-Len Skilbrei-Kari Stefansen</t>
  </si>
  <si>
    <t>Organizational Network Analysis</t>
  </si>
  <si>
    <t>Anna Ujwary-Gil</t>
  </si>
  <si>
    <t>Making Moral Judgments</t>
  </si>
  <si>
    <t>Donelson Forsyth</t>
  </si>
  <si>
    <t>Defining and Assessing Lexical Proficiency</t>
  </si>
  <si>
    <t>Agnieszka LeÅ„ko-SzymaÅ„ska</t>
  </si>
  <si>
    <t>1989 and the West</t>
  </si>
  <si>
    <t>Eleni Braat-Pepijn Corduwener</t>
  </si>
  <si>
    <t>Uncertain Bioethics</t>
  </si>
  <si>
    <t>Stephen Napier</t>
  </si>
  <si>
    <t>Reducing Greenhouse Gas Emissions and Improving Air Quality</t>
  </si>
  <si>
    <t>Area-Wide Management of Fruit Fly Pests</t>
  </si>
  <si>
    <t>Diana Perez-Staples-Francisco Diaz-Fleischer-Pablo Montoya-Maria Vera</t>
  </si>
  <si>
    <t>Space, Land, Territory, and the Study of the Bible</t>
  </si>
  <si>
    <t>Stephen C. Russell</t>
  </si>
  <si>
    <t>Legal Linguistics Beyond Borders: Language and Law in a World of Media, Globalisation and Social Conflicts.</t>
  </si>
  <si>
    <t>LAW / Media &amp; the Law</t>
  </si>
  <si>
    <t>Friedemann Vogel</t>
  </si>
  <si>
    <t>Care in konsensuell-nichtmonogamen Beziehungsnetzwerken</t>
  </si>
  <si>
    <t>Michael Raab</t>
  </si>
  <si>
    <t>Unterrichten und Aneignen</t>
  </si>
  <si>
    <t>Marion Pollmanns</t>
  </si>
  <si>
    <t>The Revolution Will Not Be Theorized</t>
  </si>
  <si>
    <t>Errol A. Henderson</t>
  </si>
  <si>
    <t>Der zweite Mann im Staat.</t>
  </si>
  <si>
    <t>Andreas PeÄar-Michael Kaiser</t>
  </si>
  <si>
    <t>Nonverbal Communication Today</t>
  </si>
  <si>
    <t>Mary Ritchie Key</t>
  </si>
  <si>
    <t>Die Deutung der GÃ¶ttlichen Liturgie in der russischen Theologie</t>
  </si>
  <si>
    <t>Karl Christian Felmy</t>
  </si>
  <si>
    <t>Bausteine eines Strategischen Managements</t>
  </si>
  <si>
    <t>Werner Kirsch-Peter Roventa</t>
  </si>
  <si>
    <t>Algebra</t>
  </si>
  <si>
    <t>Logische Phantasien</t>
  </si>
  <si>
    <t>Wolfgang Dittmann-Armin Geister-Dieter Kutzborski</t>
  </si>
  <si>
    <t>Orbital Remote Sensing of Coastal and Offshore Environments</t>
  </si>
  <si>
    <t>H. G. Gierloff-Emden</t>
  </si>
  <si>
    <t>Konzilstudien</t>
  </si>
  <si>
    <t>Eduard Schwartz</t>
  </si>
  <si>
    <t>Die Inschrift von Skaptoparene in ihrer Beziehung zur kaiserlichen Kanzlei in Rom</t>
  </si>
  <si>
    <t>Friedrich Preisigke</t>
  </si>
  <si>
    <t>Urgeschichte Europas</t>
  </si>
  <si>
    <t>Sophus MÃ¼ller-Otto Luitpold Jiriczek</t>
  </si>
  <si>
    <t>Geschichte der grotesken Satire</t>
  </si>
  <si>
    <t>Heinrich Schneegans</t>
  </si>
  <si>
    <t>Synkretismus</t>
  </si>
  <si>
    <t>Berthold DelbrÃ¼ck</t>
  </si>
  <si>
    <t>On Deletion Phenomena in English</t>
  </si>
  <si>
    <t>John Thomas Grinder</t>
  </si>
  <si>
    <t>Deutschlands innere Wandlung</t>
  </si>
  <si>
    <t>Georg Simmel</t>
  </si>
  <si>
    <t>The Reagan Administration</t>
  </si>
  <si>
    <t>Helga Haftendorn-Jakob Schissler</t>
  </si>
  <si>
    <t>Grundlagen der politischen Kultur des Westens</t>
  </si>
  <si>
    <t>Klaus W. Hempfer-Alexander Schwan</t>
  </si>
  <si>
    <t>Die Unternehmung in der demokratischen Gesellschaft / The business corporation in the democratic society</t>
  </si>
  <si>
    <t>Wolfgang Dorow</t>
  </si>
  <si>
    <t>VerkaufsfÃ¶rderung</t>
  </si>
  <si>
    <t>Peter M. Cristofolini-Gerhard Thies</t>
  </si>
  <si>
    <t>Werbung als Marketinginstrument</t>
  </si>
  <si>
    <t>GÃ¼nther Haedrich</t>
  </si>
  <si>
    <t>Grammars and Descriptions</t>
  </si>
  <si>
    <t>Teun A. van Dijk-JÃ¡nos S. PetÃ¶fi</t>
  </si>
  <si>
    <t>The Grammatical Foundations of Rhetoric</t>
  </si>
  <si>
    <t>Bennison Gray</t>
  </si>
  <si>
    <t>Classroom Assessment and Educational Measurement</t>
  </si>
  <si>
    <t>Susan M. Brookhart-James H. McMillan</t>
  </si>
  <si>
    <t>Atlas polskiego handlu wartoÅ›ciÄ… dodanÄ…. Eksport</t>
  </si>
  <si>
    <t>Aleksandra Nacewska-Twardowska</t>
  </si>
  <si>
    <t>Lâ€™adjectif Ã©pithÃ¨te en franÃ§ais, espagnol et polonais â€“ Ã©tude contrastive</t>
  </si>
  <si>
    <t>Magdalena SzefliÅ„ska-Baran-Marek Baran</t>
  </si>
  <si>
    <t>Motywy fauny i flory w literaturze i kulturze</t>
  </si>
  <si>
    <t>MichaÅ‚ Kuran</t>
  </si>
  <si>
    <t>Geographical Indication and Global Agri-Food</t>
  </si>
  <si>
    <t>Alessandro Bonanno-Kae Sekine-Hart N. Feuer</t>
  </si>
  <si>
    <t>Augustine and the Art of Ruling in the Carolingian Imperial Period</t>
  </si>
  <si>
    <t>Sophia Moesch</t>
  </si>
  <si>
    <t>Kurdische Migrant_innen in Deutschland</t>
  </si>
  <si>
    <t>Kassel University Press GmbH</t>
  </si>
  <si>
    <t>Kenan Engin</t>
  </si>
  <si>
    <t>Anamnetisches Theologisieren mit Kunst</t>
  </si>
  <si>
    <t>Britta Konz</t>
  </si>
  <si>
    <t>The Essence of Mathematics Through Elementary Problems</t>
  </si>
  <si>
    <t>MATHEMATICS / Algebra / Elementary</t>
  </si>
  <si>
    <t xml:space="preserve"> Alexandre Borovik-Tony Gardiner</t>
  </si>
  <si>
    <t>The Pogroms in Ukraine, 1918-19</t>
  </si>
  <si>
    <t>Social Media in Higher Education</t>
  </si>
  <si>
    <t xml:space="preserve"> Chris Rowell</t>
  </si>
  <si>
    <t>Imaginationen</t>
  </si>
  <si>
    <t>Maren MÃ¶hring-Gabriele Pisarz-Ramirez-Ute Wardenga</t>
  </si>
  <si>
    <t>Southern African Liberation Movements and the Global Cold War â€˜Eastâ€™</t>
  </si>
  <si>
    <t>Lena Dallywater-Chris Saunders-Helder Adegar Fonseca</t>
  </si>
  <si>
    <t>The Agroecological Transition of Agricultural Systems in the Global South</t>
  </si>
  <si>
    <t>Peut-on se passer du cuivre en protection des cultures biologiques ?</t>
  </si>
  <si>
    <t>Agroforesterie et services Ã©cosystÃ©miques en zone tropicale</t>
  </si>
  <si>
    <t>The NEUROGESÂ® Analysis System for Nonverbal Behavior and Gesture</t>
  </si>
  <si>
    <t>PSYCHOLOGY / Developmental / Adulthood &amp; Aging</t>
  </si>
  <si>
    <t>Hedda Lausberg</t>
  </si>
  <si>
    <t>Human Extinction and the Pandemic Imaginary</t>
  </si>
  <si>
    <t>Christos Lynteris</t>
  </si>
  <si>
    <t>Married Women in Legal Practice</t>
  </si>
  <si>
    <t>Charlotte Cederbom</t>
  </si>
  <si>
    <t>Making Sense of "Bad English"</t>
  </si>
  <si>
    <t>Elizabeth Peterson</t>
  </si>
  <si>
    <t>Teacher Education for Sustainable Development and Global Citizenship</t>
  </si>
  <si>
    <t>Philip Bamber</t>
  </si>
  <si>
    <t>Time, Migration and Forced Immobility</t>
  </si>
  <si>
    <t>Inka Stock</t>
  </si>
  <si>
    <t>Neue Perspektiven auf die politische Ã–konomie von Karl Marx und Friedrich Engels.</t>
  </si>
  <si>
    <t>Insolvenzrechtliche GlÃ¤ubigerautonomie im GlÃ¤ubigerausschuss.</t>
  </si>
  <si>
    <t>Carl-Friedrich Thoma</t>
  </si>
  <si>
    <t>KontinuitÃ¤t und Wandel in der InstitutionenÃ¶konomie.</t>
  </si>
  <si>
    <t>Herstellung und Darstellung von Entscheidungen.</t>
  </si>
  <si>
    <t>Barbara Stollberg-Rilinger-AndrÃ© Krischer</t>
  </si>
  <si>
    <t>Historiographie an europÃ¤ischen HÃ¶fen (16.-18. Jahrhundert).</t>
  </si>
  <si>
    <t>Markus VÃ¶lkel-Arno Strohmeyer</t>
  </si>
  <si>
    <t>Kriegs / Bilder in Mittelalter und FrÃ¼her Neuzeit.</t>
  </si>
  <si>
    <t>Birgit Emich-Gabriela Signori</t>
  </si>
  <si>
    <t>Freundschaft oder Â»amitiÃ©Â«?</t>
  </si>
  <si>
    <t>Klaus Oschema</t>
  </si>
  <si>
    <t>Juden im Recht.</t>
  </si>
  <si>
    <t>LAW / Reference</t>
  </si>
  <si>
    <t>Andreas Gotzmann-Stephan Wendehorst</t>
  </si>
  <si>
    <t>Pro-poor Growth: Policy and Evidence.</t>
  </si>
  <si>
    <t>Lukas Menkhoff</t>
  </si>
  <si>
    <t>Evidenzbasierte Bildungspolitik: BeitrÃ¤ge der BildungsÃ¶konomie.</t>
  </si>
  <si>
    <t>Manfred WeiÃŸ</t>
  </si>
  <si>
    <t>Generationengerechtigkeit?</t>
  </si>
  <si>
    <t>Stefan Brakensiek-Michael Stolleis-Heide Wunder</t>
  </si>
  <si>
    <t>Ã–konomische und politische Grenzen von WirtschaftsrÃ¤umen.</t>
  </si>
  <si>
    <t>Uwe Vollmer</t>
  </si>
  <si>
    <t>Was heiÃŸt Kulturgeschichte des Politischen?</t>
  </si>
  <si>
    <t>Finanzierungsprobleme der deutschen Einheit III.</t>
  </si>
  <si>
    <t>Finanzintermediation, Bankenregulierung und Finanzmarktintegration.</t>
  </si>
  <si>
    <t>Unternehmerische Qualifikationsstrategien im internationalen Wettbewerb.</t>
  </si>
  <si>
    <t>Dieter Sadowski-Uschi Backes-Gellner</t>
  </si>
  <si>
    <t>Wettbewerb und Werbung.</t>
  </si>
  <si>
    <t>Wettbewerbsprobleme der ElektrizitÃ¤tsversorgung.</t>
  </si>
  <si>
    <t>Borderlines: Essays on Mapping and The Logic of Place</t>
  </si>
  <si>
    <t>Ruthie Abeliovich-Edwin Seroussi</t>
  </si>
  <si>
    <t>Transition Engineering</t>
  </si>
  <si>
    <t>Susan Krumdieck</t>
  </si>
  <si>
    <t>IntegritÃ¤t und Verantwortung</t>
  </si>
  <si>
    <t>Barbara Bushart</t>
  </si>
  <si>
    <t>Our Civilizing Mission</t>
  </si>
  <si>
    <t>Nicholas Harrison</t>
  </si>
  <si>
    <t>A Cultural History of Twin Beds</t>
  </si>
  <si>
    <t>Hilary Hinds</t>
  </si>
  <si>
    <t>Wettbewerb im Gesundheitswesen.</t>
  </si>
  <si>
    <t>Justus Haucap-Peter Oberender-JÃ¼rgen Zerth</t>
  </si>
  <si>
    <t>Geschichte der Entwicklungstheorien.</t>
  </si>
  <si>
    <t>Heinz D. Kurz</t>
  </si>
  <si>
    <t>Die Zeit um den Ersten Weltkrieg als Krisenzeit der Ã–konomen.</t>
  </si>
  <si>
    <t>Die wertbestÃ¤ndigen Anleihen in finanzwirtschaftlicher Betrachtung.</t>
  </si>
  <si>
    <t>Rudolf Stucken-Franz Eulenburg-Karl Diehl-Felix Somary</t>
  </si>
  <si>
    <t>Notenbankpolitik und staatliche Anleihepolitik in den Ã¶sterreich-ungarischen Nachfolgestaaten.</t>
  </si>
  <si>
    <t>Friedrich Steiner-Franz Eulenburg-Karl Diehl-Felix Somary</t>
  </si>
  <si>
    <t>Valutafrage und Ã¶ffentliche Finanzen in Deutschland.</t>
  </si>
  <si>
    <t>Walther Lotz-Emil Lederer-Karl Diehl-Felix Somary</t>
  </si>
  <si>
    <t>Deutsch-Ã–sterreich.</t>
  </si>
  <si>
    <t>Gustav Stolper</t>
  </si>
  <si>
    <t>Wirtschaftliche VerhÃ¤ltnisse Deutsch-Ã–sterreichs.</t>
  </si>
  <si>
    <t>Michael Hainisch</t>
  </si>
  <si>
    <t>VerschrÃ¤nkte Ungleichheit.</t>
  </si>
  <si>
    <t>Matthias BÃ¤hr-Florian KÃ¼hnel</t>
  </si>
  <si>
    <t>Der Bruch des Vertrages.</t>
  </si>
  <si>
    <t>Gesa Wilangowski-Georg Jostkleigrewe</t>
  </si>
  <si>
    <t>Landfrieden â€“ epochenÃ¼bergreifend.</t>
  </si>
  <si>
    <t>Hendrik Baumbach-Horst Carl</t>
  </si>
  <si>
    <t>German Influences on American Economic Thought and American Influences on German Economic Thought.</t>
  </si>
  <si>
    <t>Harald Hagemann</t>
  </si>
  <si>
    <t>Reformverlierer 1000â€“1800.</t>
  </si>
  <si>
    <t>Andreas Bihrer-Dietmar Schiersner</t>
  </si>
  <si>
    <t>Interkulturelle Ritualpraxis in der Vormoderne: Diplomatische Interaktion an den Ã¶stlichen Grenzen der FÃ¼rstengesellschaft.</t>
  </si>
  <si>
    <t>Claudia Garnier-Christine Vogel</t>
  </si>
  <si>
    <t>Wachstum, Einkommensverteilung und wirtschaftliches Gleichgewicht.</t>
  </si>
  <si>
    <t>Das Christentum im frÃ¼hen Europa</t>
  </si>
  <si>
    <t>Uta Heil</t>
  </si>
  <si>
    <t>Portals of Globalization</t>
  </si>
  <si>
    <t>Megan Maruschke</t>
  </si>
  <si>
    <t>Der Tee</t>
  </si>
  <si>
    <t>Otto Franz Schleinkofer</t>
  </si>
  <si>
    <t>Faust-Studien</t>
  </si>
  <si>
    <t>Henry Wood</t>
  </si>
  <si>
    <t>Aus Schleiermachers Hause</t>
  </si>
  <si>
    <t>Ehrenfried v. Willich</t>
  </si>
  <si>
    <t>Understanding Perspectivism</t>
  </si>
  <si>
    <t>Michela Massimi-Casey D. McCoy</t>
  </si>
  <si>
    <t>Health in Hard Times</t>
  </si>
  <si>
    <t>Clare Bambra</t>
  </si>
  <si>
    <t>Afro-Catholic Festivals in the Americas</t>
  </si>
  <si>
    <t>CÃ©cile Fromont</t>
  </si>
  <si>
    <t>Nanoparticle Engineering for Chemical-Mechanical Planarization</t>
  </si>
  <si>
    <t>Ungyu Paik-Jea-Gun Park</t>
  </si>
  <si>
    <t>Heavy Flavour Physics Theory and Experimental Results in Heavy Quark Physics</t>
  </si>
  <si>
    <t>C.T.H Davies-S.M Playfer</t>
  </si>
  <si>
    <t>Ist das Hautfarbe?</t>
  </si>
  <si>
    <t>Alexander StÃ¤rck</t>
  </si>
  <si>
    <t>Nanomechanics and Nanomaterials: Advance and Application</t>
  </si>
  <si>
    <t>Shijie Zhu-Nobuyoshi Miyamoto</t>
  </si>
  <si>
    <t>Treason</t>
  </si>
  <si>
    <t>Larissa Tracy</t>
  </si>
  <si>
    <t>Die Philosophie des 19. Jahrhunderts, I.</t>
  </si>
  <si>
    <t>Gerhard Lehmann</t>
  </si>
  <si>
    <t>EinfÃ¼hrung in die Kristalloptik</t>
  </si>
  <si>
    <t>Eberhard Buchwald</t>
  </si>
  <si>
    <t>SpÃ¤tmittelalter und Neuzeit</t>
  </si>
  <si>
    <t>Hans Weigert</t>
  </si>
  <si>
    <t>Von Fermat und Descartes bis zur Erfindung des Calculus und bis zum Ausbau der neuen Methoden</t>
  </si>
  <si>
    <t>Joseph Ehrenfried Hofmann</t>
  </si>
  <si>
    <t>Lineare Gleichungen</t>
  </si>
  <si>
    <t>Helmut Hasse</t>
  </si>
  <si>
    <t>In Defense of Monopoly</t>
  </si>
  <si>
    <t>Richard B. McKenzie-Dwight R. Lee</t>
  </si>
  <si>
    <t>Love and Intrigue</t>
  </si>
  <si>
    <t>Flora Kimmich (Trans.)-Fredrich Schiller.</t>
  </si>
  <si>
    <t>Understanding History in Asia: What Diplomatic Documents Reveal</t>
  </si>
  <si>
    <t>Hattori RyÅ«ji</t>
  </si>
  <si>
    <t>Nietzsche, Religion, and Mood</t>
  </si>
  <si>
    <t>Sampsa Andrei Saarinen</t>
  </si>
  <si>
    <t>Flavins and Flavoproteins</t>
  </si>
  <si>
    <t>R. C. Bray-P. C. Engel-S. G. Mayhew</t>
  </si>
  <si>
    <t>Carl H. Becker: BeitrÃ¤ge zur Geschichte Ã„gyptens unter dem Islam. Teil 1</t>
  </si>
  <si>
    <t>The Battle of the Standards</t>
  </si>
  <si>
    <t>Peter Kramper-German Historical Institute London</t>
  </si>
  <si>
    <t>Digital Transformation and Public Services</t>
  </si>
  <si>
    <t>Design for Sustainability</t>
  </si>
  <si>
    <t>Fabrizio Ceschin-Ä°dil Gaziulusoy</t>
  </si>
  <si>
    <t>Cultural Genocide</t>
  </si>
  <si>
    <t>Jeffrey Bachman</t>
  </si>
  <si>
    <t>Arctic Geopolitics, Media and Power</t>
  </si>
  <si>
    <t>Annika Nilsson E.-Miyase Christensen</t>
  </si>
  <si>
    <t>Panepiphanal World</t>
  </si>
  <si>
    <t>Sangam MacDuff</t>
  </si>
  <si>
    <t>Sustainable Development Goals Connectivity Dilemma</t>
  </si>
  <si>
    <t>Abbas Rajabifard</t>
  </si>
  <si>
    <t>Arnold Schoenberg und Roberto Gerhard: Briefwechsel</t>
  </si>
  <si>
    <t>Paloma Ortiz de Urbina</t>
  </si>
  <si>
    <t>Il terzo libro dei Mottetti a sei voci (Milano, 1598) di Orfeo Vecchi</t>
  </si>
  <si>
    <t>Dario De Cicco</t>
  </si>
  <si>
    <t>Heinrich Heine. Ein Intellektueller erobert Europa</t>
  </si>
  <si>
    <t>Norbert Honsza</t>
  </si>
  <si>
    <t>Northern Archaeology and Cosmology</t>
  </si>
  <si>
    <t>Vesa-Pekka Herva-Antti Lahelma</t>
  </si>
  <si>
    <t>Social Enterprise in Asia</t>
  </si>
  <si>
    <t>Eric Bidet-Jacques Defourny</t>
  </si>
  <si>
    <t>Justice in the Digital State</t>
  </si>
  <si>
    <t>Joe Tomlinson</t>
  </si>
  <si>
    <t>East Asian Integration</t>
  </si>
  <si>
    <t>Lili Yan Ing-Martin Richardson-Shujiro Urata</t>
  </si>
  <si>
    <t>Aktuelle theoretische AnsÃ¤tze in der deutschen HeilpÃ¤dagogik</t>
  </si>
  <si>
    <t>Mirjam Faust</t>
  </si>
  <si>
    <t>Crossing and Controlling Borders</t>
  </si>
  <si>
    <t>Mechthild Baumann-Astrid Lorenz-Kerstin Rosenow-Williams</t>
  </si>
  <si>
    <t>Manual for Developing Intercultural Competencies</t>
  </si>
  <si>
    <t>Darla K. Deardorff</t>
  </si>
  <si>
    <t>Modernity, History, and Politics in Czech Art</t>
  </si>
  <si>
    <t>Mining Goes Digital</t>
  </si>
  <si>
    <t>Christoph Mueller-Winfred Assibey-Bonsu-Ernest Baafi-Christoph Dauber-Chris Doran-Marek Jerzy Jaszczuk-Oleg Nagovitsyn</t>
  </si>
  <si>
    <t>Politics, Hierarchy, and Public Health</t>
  </si>
  <si>
    <t>Deborah Wallace-Rodrick Wallace</t>
  </si>
  <si>
    <t>Reconfiguring Human, Nonhuman and Posthuman in Literature and Culture</t>
  </si>
  <si>
    <t>Sanna Karkulehto-Aino-Kaisa Koistinen-Essi Varis</t>
  </si>
  <si>
    <t>Archaeology, Heritage and Ethics in the Western Wall Plaza, Jerusalem</t>
  </si>
  <si>
    <t>Raz Kletter</t>
  </si>
  <si>
    <t>Postcolonialism Cross-Examined</t>
  </si>
  <si>
    <t>Monika Albrecht</t>
  </si>
  <si>
    <t>Climate Change Denial and Public Relations</t>
  </si>
  <si>
    <t>NÃºria Almiron-Jordi Xifra</t>
  </si>
  <si>
    <t>Secrecy and Methods in Security Research</t>
  </si>
  <si>
    <t>Marieke De Goede-EsmÃ© Bosma-Polly Pallister-Wilkins</t>
  </si>
  <si>
    <t>Civic Medicine</t>
  </si>
  <si>
    <t>J. Andrew Mendelsohn-Annemarie Kinzelbach-Ruth Schilling</t>
  </si>
  <si>
    <t>Terrorism, Criminal Law and Politics</t>
  </si>
  <si>
    <t>Julia Jansson</t>
  </si>
  <si>
    <t>Social Enterprise in Latin America</t>
  </si>
  <si>
    <t>Luiz InÃ¡cio Gaiger-Marthe Nyssens-Fernanda Wanderley</t>
  </si>
  <si>
    <t>Undoing Homogeneity in the Nordic Region</t>
  </si>
  <si>
    <t>Suvi Keskinen-Unnur SkaptadÃ³ttir-Mari Toivanen</t>
  </si>
  <si>
    <t>Multifunctional Land Uses in Africa</t>
  </si>
  <si>
    <t>Elisabeth Simelton-Madelene Ostwald</t>
  </si>
  <si>
    <t>Banking on Milk</t>
  </si>
  <si>
    <t>Tanya Cassidy-Fiona Dykes</t>
  </si>
  <si>
    <t>Diversity of Patchwork Capitalism in Central and Eastern Europe</t>
  </si>
  <si>
    <t>Ryszard Rapacki</t>
  </si>
  <si>
    <t>The Nuosu Book of Origins</t>
  </si>
  <si>
    <t>LITERARY COLLECTIONS / Asian / General</t>
  </si>
  <si>
    <t>Jjivot Zopqu</t>
  </si>
  <si>
    <t>Youth and the Politics of the Present</t>
  </si>
  <si>
    <t>Enzo Colombo-Paola Rebughini</t>
  </si>
  <si>
    <t>Victim Support and the Welfare State</t>
  </si>
  <si>
    <t>Carina Gallo-Kerstin Svensson</t>
  </si>
  <si>
    <t>The Environmental Impact of Sieben Linden Ecovillage</t>
  </si>
  <si>
    <t>Andrea Bocco-Martina Gerace-Susanna Pollini</t>
  </si>
  <si>
    <t>Academics Writing</t>
  </si>
  <si>
    <t>Karin Tusting-Sharon McCulloch-Ibrar Bhatt-Mary Hamilton-David Barton</t>
  </si>
  <si>
    <t>Post-Socialist Urban Infrastructures (OPEN ACCESS)</t>
  </si>
  <si>
    <t>Tauri Tuvikene-Wladimir Sgibnev-Carola S. Neugebauer</t>
  </si>
  <si>
    <t>Lande: The Calais 'Jungle' and Beyond</t>
  </si>
  <si>
    <t>Dan Hicks-Sarah Mallet</t>
  </si>
  <si>
    <t>Workers Before the Court</t>
  </si>
  <si>
    <t>Texeira da Silva Fernando</t>
  </si>
  <si>
    <t>Global Digital Cultures</t>
  </si>
  <si>
    <t>Aswin Punathambekar-Sriram Mohan</t>
  </si>
  <si>
    <t>MetadisziplinÃ¤re Ã„sthetik</t>
  </si>
  <si>
    <t>Michael Heinrich</t>
  </si>
  <si>
    <t>Matrixiale Philosophie</t>
  </si>
  <si>
    <t>Arantzazu Saratxaga Arregi</t>
  </si>
  <si>
    <t>Tennysonâ€™s Poems</t>
  </si>
  <si>
    <t>Annunciations</t>
  </si>
  <si>
    <t xml:space="preserve"> George Corbett</t>
  </si>
  <si>
    <t>Queering Romantic Engagement in the Postal Age</t>
  </si>
  <si>
    <t>Pamela VanHaitsma</t>
  </si>
  <si>
    <t>Brucellosis in Goats and Sheep: An Endemic and Re-Emerging Old Zoonosis in the 21st Century</t>
  </si>
  <si>
    <t>SCIENCE / Life Sciences / Zoology / Mammals</t>
  </si>
  <si>
    <t>JoÃ£o SimÃµes</t>
  </si>
  <si>
    <t>Kingship and Polity on the Himalayan Borderland</t>
  </si>
  <si>
    <t>Arik Moran</t>
  </si>
  <si>
    <t>WspÃ³Å‚czesna diaspora asyryjsko-aramejska w Szwecji</t>
  </si>
  <si>
    <t>Marta WoÅºniak-BobiÅ„ska</t>
  </si>
  <si>
    <t>Verbs in Fictive Motion</t>
  </si>
  <si>
    <t>Jacek Tadeusz WaliÅ„ski</t>
  </si>
  <si>
    <t>Sztetl, szund, bunt i Palestyna. Antologia twÃ³rczoÅ›ci literackiej Å»ydÃ³w w Åodzi (1905-1939)</t>
  </si>
  <si>
    <t>Krystyna Radziszewska-Dariusz Dekiert-Ewa Wiatr</t>
  </si>
  <si>
    <t>Transport towarÃ³w w projekcie One Belt and One Road jako component globalnego Å‚aÅ„cucha dostaw</t>
  </si>
  <si>
    <t>Urszula Motowidlak-Monika Kujawa</t>
  </si>
  <si>
    <t>Ekonomia. Zadania i Ä‡wiczenia z elementami ekonomii menedÅ¼erskiej</t>
  </si>
  <si>
    <t>Tomasz Grabia, Mariusz Nyk</t>
  </si>
  <si>
    <t>Wspieranie zagranicznych inwestycji bezpoÅ›rednich w Polsce przez system zachÄ™t dla inwestorÃ³w</t>
  </si>
  <si>
    <t>Tomasz DoroÅ¼yÅ„ski</t>
  </si>
  <si>
    <t>Invisible Search and Online Search Engines</t>
  </si>
  <si>
    <t>California and the Melancholic American Identity in Joan Didionâ€™s Novels</t>
  </si>
  <si>
    <t>Katarzyna Nowak McNeice</t>
  </si>
  <si>
    <t>New Palauan-English Dictionary</t>
  </si>
  <si>
    <t>Industrie- und Betriebssoziologie</t>
  </si>
  <si>
    <t>Ralf Dahrendorf</t>
  </si>
  <si>
    <t>Philosophisches WÃ¶rterbuch</t>
  </si>
  <si>
    <t>Max Apel</t>
  </si>
  <si>
    <t>Grundfragen der Soziologie</t>
  </si>
  <si>
    <t>Allgemeines deutsches Handelsgesetzbuch</t>
  </si>
  <si>
    <t>Felix Litthauer</t>
  </si>
  <si>
    <t>Redaktion, die Sparten Verlag und Vertrieb, Wirtschaft und Technik, Sicherung der Ã¶ffentlichen Aufgabe</t>
  </si>
  <si>
    <t>Emil Dovifat</t>
  </si>
  <si>
    <t>Theoretische und rechtliche Grundlagen, Nachricht und Meinung, Sprache und Form</t>
  </si>
  <si>
    <t>Genossenschaftswesen</t>
  </si>
  <si>
    <t>Reinhard Schultz</t>
  </si>
  <si>
    <t>Nietzsche</t>
  </si>
  <si>
    <t>GÃ¼nter Abel</t>
  </si>
  <si>
    <t>Geologie</t>
  </si>
  <si>
    <t>Franz Lotze</t>
  </si>
  <si>
    <t>Linguistics in East Asia and South East Asia</t>
  </si>
  <si>
    <t>Chao Yuen Ren-Richard B. Noss-Joseph. K. Yamagiwa</t>
  </si>
  <si>
    <t>Die Lieder der LÃ¼cke im Codex Regius der Edda</t>
  </si>
  <si>
    <t>Andreas Heusler</t>
  </si>
  <si>
    <t>Ideengeschichte der sozialen Bewegung des 19. und 20. Jahrhunderts</t>
  </si>
  <si>
    <t>Werner Hofmann-Wolfgang Abendroth</t>
  </si>
  <si>
    <t>The Study of Languages</t>
  </si>
  <si>
    <t>Einar Haugen</t>
  </si>
  <si>
    <t>StrafprozeÃŸordnung vom 1. Februar 1877 und Gerichtsverfassungsgesetz vom 27. Januar 1877 mit den EinfÃ¼hrungsgesetzen</t>
  </si>
  <si>
    <t>Carl Hahn</t>
  </si>
  <si>
    <t>Ãœber das VerhÃ¤ltnis der Wissenschaft zum Leben</t>
  </si>
  <si>
    <t>August Boeckh</t>
  </si>
  <si>
    <t>Der Ursprung der kyprischen Sylbenschrift</t>
  </si>
  <si>
    <t>Wilhelm Deecke</t>
  </si>
  <si>
    <t>Praktiken des Zivilprozessrechtes</t>
  </si>
  <si>
    <t>Wilhelm Kisch</t>
  </si>
  <si>
    <t>Des Sophokles Antigone</t>
  </si>
  <si>
    <t>Sophocles-August Boeckh</t>
  </si>
  <si>
    <t>Die Kaiserliche UniversitÃ¤ts- und Landesbibliothek in Strassburg</t>
  </si>
  <si>
    <t>S. Hausmann</t>
  </si>
  <si>
    <t>Die franzÃ¶sischen Kolonialbanken</t>
  </si>
  <si>
    <t>Otto Soltau</t>
  </si>
  <si>
    <t>Das Geldwesen Spaniens seit dem Jahre 1772</t>
  </si>
  <si>
    <t>Fritz RÃ¼he</t>
  </si>
  <si>
    <t>Gleichungen hÃ¶heren Grades</t>
  </si>
  <si>
    <t>Aufbau der Materie</t>
  </si>
  <si>
    <t>Heinrich Gobrecht-Hans Bucka-Ludwig Bergmann-Clemens Schaefer-Klaus Becker</t>
  </si>
  <si>
    <t>Werbepsychologie</t>
  </si>
  <si>
    <t>Hans-Joachim Hoffmann</t>
  </si>
  <si>
    <t>Das Geldwesen der Schweiz seit 1798</t>
  </si>
  <si>
    <t>Kurt Blaum</t>
  </si>
  <si>
    <t>Studien zum Alten Testament (1966â€“1988)</t>
  </si>
  <si>
    <t>Georg Fohrer</t>
  </si>
  <si>
    <t>Ideology and Atheism in the Soviet Union</t>
  </si>
  <si>
    <t>William van den Bercken</t>
  </si>
  <si>
    <t>Hayo Gerdes</t>
  </si>
  <si>
    <t>Nichteuklidische Geometrie</t>
  </si>
  <si>
    <t>Richard Baldus-Frank LÃ¶bell</t>
  </si>
  <si>
    <t>Martin Luther und die Juden</t>
  </si>
  <si>
    <t>Walther Bienert</t>
  </si>
  <si>
    <t>Grundfragen des Management</t>
  </si>
  <si>
    <t>Hans Fritz Gross</t>
  </si>
  <si>
    <t>PredigtmÃ¤rlein der Barockzeit</t>
  </si>
  <si>
    <t>Elfriede Moser-Rath</t>
  </si>
  <si>
    <t>Theory of the Linguistic Sign</t>
  </si>
  <si>
    <t>J. W. Mulder-S. G. Hervey</t>
  </si>
  <si>
    <t>Grammar Discovery Procedures</t>
  </si>
  <si>
    <t>Robert F. Longacre</t>
  </si>
  <si>
    <t>Managing Mixed Economies</t>
  </si>
  <si>
    <t>Francis G. Castles-Franz Lehner-Manfred G. Schmidt</t>
  </si>
  <si>
    <t>Ordnung und Katalogisierung eines Kupferstich-Kabinetts</t>
  </si>
  <si>
    <t>V. Loga</t>
  </si>
  <si>
    <t>Konjunkturkrisen im Sozialismus</t>
  </si>
  <si>
    <t>Spiridon Paraskewopoulos</t>
  </si>
  <si>
    <t>Die Macht der Wenigen</t>
  </si>
  <si>
    <t>Hans Beck-Peter Scholz-Uwe Walter</t>
  </si>
  <si>
    <t>Pacifism, Politics, and Feminism</t>
  </si>
  <si>
    <t>Jennifer Kling</t>
  </si>
  <si>
    <t>Recherche agronomique et politique agricole</t>
  </si>
  <si>
    <t>Bishops in Flight</t>
  </si>
  <si>
    <t>Jennifer Barry</t>
  </si>
  <si>
    <t>ASEAN Resistance to Sovereignty Violation</t>
  </si>
  <si>
    <t>Laura Southgate</t>
  </si>
  <si>
    <t>Transforming Education Outcomes in Africa</t>
  </si>
  <si>
    <t>Johannes Hoogeveen-Mariacristina Rossi</t>
  </si>
  <si>
    <t>Zwischen Offenbarung und metaphysischer Losigkeit</t>
  </si>
  <si>
    <t>Antonia BrÃ¤utigam</t>
  </si>
  <si>
    <t>Menschenrechte und MenschenwÃ¼rde</t>
  </si>
  <si>
    <t>Kritik des Anti-Doping</t>
  </si>
  <si>
    <t>Nils Zurawski-Marcel Scharf</t>
  </si>
  <si>
    <t>Juden und Nichtjuden nach der Shoah</t>
  </si>
  <si>
    <t>Stefanie Fischer-Nathanael Riemer-Stefanie SchÃ¼ler-Springorum</t>
  </si>
  <si>
    <t>Direct Digital Manufacturing and Polymers</t>
  </si>
  <si>
    <t>Geoffrey R. Mitchell-Nuno Alves-Artur Mateus</t>
  </si>
  <si>
    <t>#identity</t>
  </si>
  <si>
    <t>Abigail De Kosnik-Keith Feldman</t>
  </si>
  <si>
    <t>Waiting for the Call</t>
  </si>
  <si>
    <t>Jacqueline Taylor</t>
  </si>
  <si>
    <t>Journalistische Mitbestimmung in schwedischen Zeitungsverlagen</t>
  </si>
  <si>
    <t>Ingo Petzke</t>
  </si>
  <si>
    <t>B. F. Dolbin, der Zeichner als Reporter</t>
  </si>
  <si>
    <t>Will Schaber</t>
  </si>
  <si>
    <t>Spiel und Konversation im Barock</t>
  </si>
  <si>
    <t>Rosmarie Zeller</t>
  </si>
  <si>
    <t>Der Briefwechsel zwischen Bettine Brentano und Max Prokop von Freyberg</t>
  </si>
  <si>
    <t>Bettina Brentano-Max P. von Freyberg-Sibylle von Steinsdorff</t>
  </si>
  <si>
    <t>Megafusionen, Wettbewerb und Globalisierung</t>
  </si>
  <si>
    <t>Oliver Budzinski-Wolfgang Kerber</t>
  </si>
  <si>
    <t>Dem Holocaust entkommen</t>
  </si>
  <si>
    <t>Markus Nesselrodt</t>
  </si>
  <si>
    <t>Genesis und Dynamiken der Mehrheitsentscheidung</t>
  </si>
  <si>
    <t>Egon Flaig</t>
  </si>
  <si>
    <t>Mastering Russian Spaces</t>
  </si>
  <si>
    <t>Karl SchlÃ¶gel</t>
  </si>
  <si>
    <t>Das Ende des konziliaren Zeitalters (1440-1450)</t>
  </si>
  <si>
    <t>Heribert MÃ¼ller</t>
  </si>
  <si>
    <t>Hermetischer Symbolismus: Andrej Belyjs Â«Istorija stanovlenija samosoznajuÅ¡Äej duÅ¡iÂ»</t>
  </si>
  <si>
    <t>Angelika Schmitt</t>
  </si>
  <si>
    <t>Les ordonnances de lâ€™hÃ´tel des ducs de Bourgogne</t>
  </si>
  <si>
    <t>ValÃ©rie Bessey-Jean-Marie Cauchies-Paravicini Werner</t>
  </si>
  <si>
    <t>Integrationism and the Self</t>
  </si>
  <si>
    <t>Christopher Hutton</t>
  </si>
  <si>
    <t>Urban Food Sharing</t>
  </si>
  <si>
    <t>Davies, Anna</t>
  </si>
  <si>
    <t>Bildung als Perspektive fÃ¼r Care Leaver?</t>
  </si>
  <si>
    <t>Maria Groinig-Wolfgang Hagleitner-Thomas Maran-Stephan Sting</t>
  </si>
  <si>
    <t>From Darkness to Light</t>
  </si>
  <si>
    <t xml:space="preserve"> Rosella Mamoli Zorzi-Katherine Manthorne</t>
  </si>
  <si>
    <t>Places of Engagement</t>
  </si>
  <si>
    <t>Vaart-Armand Heijnen</t>
  </si>
  <si>
    <t>Ã‰lÃ©ments de sÃ»retÃ© nuclÃ©aire</t>
  </si>
  <si>
    <t>Policy Transformation in Canada</t>
  </si>
  <si>
    <t>Carolyn Hughes Tuohy-Sophie Borwein-Peter John Loewen-Andrew Potter</t>
  </si>
  <si>
    <t>The Al-Subayba (Nimrod) Fortress: Towers 11 and 9.</t>
  </si>
  <si>
    <t>Hartal, Moshe</t>
  </si>
  <si>
    <t>Simulation-Based Technology Development for Material Forming</t>
  </si>
  <si>
    <t>Rudolf Kawalla-Ulrich Prahl-Matthias Schmidtchen-Nico Kaden</t>
  </si>
  <si>
    <t>Wellbeing of Transnational Muslim Families</t>
  </si>
  <si>
    <t>Marja Tiilikainen-Mulki Al-Sharmani-Sanna Mustasaari</t>
  </si>
  <si>
    <t>Morality Made Visible</t>
  </si>
  <si>
    <t>Otto Pipatti</t>
  </si>
  <si>
    <t>Ovarian Hyperstimulation Syndrome</t>
  </si>
  <si>
    <t>Jan Gerris-Annick Delvigne-Francois Olivennes</t>
  </si>
  <si>
    <t>Self-Directed Learner - the Three Pillar Model of Self-Directedness</t>
  </si>
  <si>
    <t>Jennifer Gavriel</t>
  </si>
  <si>
    <t>Electricity in Africa</t>
  </si>
  <si>
    <t>Christopher Gore</t>
  </si>
  <si>
    <t>Geschlechterreflektierte Professionalisierung â€“ Geschlecht und ProfessionalitÃ¤t in pÃ¤dagogischen Berufen</t>
  </si>
  <si>
    <t>Robert Baar-Jutta Hartmann-Marita Kampshoff</t>
  </si>
  <si>
    <t>Whose Book Is It Anyway?</t>
  </si>
  <si>
    <t xml:space="preserve"> Janis Jefferies-Sarah Kember</t>
  </si>
  <si>
    <t>Women and Migration</t>
  </si>
  <si>
    <t xml:space="preserve"> Deborah Willis-Ellyn Toscano-Kalia Brooks Nelson</t>
  </si>
  <si>
    <t>Close Reading with Computers</t>
  </si>
  <si>
    <t>Figurations of the Feminine in the Early French Womenâ€™s Press, 1758â€“1848</t>
  </si>
  <si>
    <t>SiobhÃ¡n McIlvanney</t>
  </si>
  <si>
    <t>Migration and Refuge</t>
  </si>
  <si>
    <t>John Patrick Walsh</t>
  </si>
  <si>
    <t>Heroism As a Global Phenomenon in Contemporary Culture</t>
  </si>
  <si>
    <t>Barbara Korte-Simon Wendt-Nicole Falkenhayner</t>
  </si>
  <si>
    <t>From Waste to Value</t>
  </si>
  <si>
    <t>Antje Klitkou-Arne Martin Fevolden-Marco Capasso</t>
  </si>
  <si>
    <t>S. J. Hawkins-A. L. Allcock-A. E. Bates-L. B. Firth-I. P. Smith-S. E. Swearer-P. A. Todd</t>
  </si>
  <si>
    <t>Grenzen und Strafe in der Heimerziehung</t>
  </si>
  <si>
    <t>Sven Huber</t>
  </si>
  <si>
    <t>Infrastrukturen</t>
  </si>
  <si>
    <t>Zur Kriminal- und Strafrechtspolitik des 21. Jahrhunderts</t>
  </si>
  <si>
    <t>Raimo Lahti</t>
  </si>
  <si>
    <t>Narratologie und Epistemologie</t>
  </si>
  <si>
    <t>Sebastian Meixner</t>
  </si>
  <si>
    <t>Abbas Amanat-Assef Ashraf</t>
  </si>
  <si>
    <t>Actions of Their Own to Learn</t>
  </si>
  <si>
    <t>Bonnie Shapiro</t>
  </si>
  <si>
    <t>Distributed Blackness</t>
  </si>
  <si>
    <t>AndrÃ© Brock, Jr.</t>
  </si>
  <si>
    <t>World of Difference</t>
  </si>
  <si>
    <t>Naomi Ellemers</t>
  </si>
  <si>
    <t>Sensing the Everyday</t>
  </si>
  <si>
    <t>C. Nadia Seremetakis</t>
  </si>
  <si>
    <t>Tracing the Consequences of Child Poverty</t>
  </si>
  <si>
    <t>Jo Boyden-Andrew Dawes-Paul Dornan-Colin Tredoux</t>
  </si>
  <si>
    <t>KÃ¶rpermodifikationen und leibliche Erfahrungen in der Adoleszenz</t>
  </si>
  <si>
    <t>Julia Ganterer-Simone Kosica</t>
  </si>
  <si>
    <t xml:space="preserve">Une agronomie pour le XXIe siÃ¨cle </t>
  </si>
  <si>
    <t>Trente annÃ©es dâ€™observation des micro-algues et des toxines dâ€™algues sur le littoral</t>
  </si>
  <si>
    <t>Catherine Belin-Dominique Soudant</t>
  </si>
  <si>
    <t xml:space="preserve">SystÃ¨mes agraires et changement climatique au Sud </t>
  </si>
  <si>
    <t>StratÃ©gies des filiÃ¨res fromagÃ¨res sous AOP en Europe</t>
  </si>
  <si>
    <t>Philippe Jeanneaux</t>
  </si>
  <si>
    <t>Big Data for Qualitative Research</t>
  </si>
  <si>
    <t>Kathy A. Mills</t>
  </si>
  <si>
    <t>Street Theatre and the Production of Postindustrial Space</t>
  </si>
  <si>
    <t>David Calder</t>
  </si>
  <si>
    <t>Stage Women, 1900â€“50</t>
  </si>
  <si>
    <t>Maggie B. Gale-Kate Dorney</t>
  </si>
  <si>
    <t>Textimmanente Wahrnehmung bei Gajto Gazdanov</t>
  </si>
  <si>
    <t>Ingeborg Jandl</t>
  </si>
  <si>
    <t>History Education and (Post-)Colonialism</t>
  </si>
  <si>
    <t>Susanne Popp-Katja Gorbahn-Susanne Grindel</t>
  </si>
  <si>
    <t>Kognitive Aspekte der Phraseologie</t>
  </si>
  <si>
    <t>Anna Sulikowska</t>
  </si>
  <si>
    <t>Integracja handlowa krajÃ³w o rÃ³Å¼nych poziomach rozwoju gospodarczego. Przypadek Meksyku w PÃ³Å‚nocnoamerykaÅ„skim Porozumieniu o Wolnym Handlu</t>
  </si>
  <si>
    <t>Justyna Wieloch</t>
  </si>
  <si>
    <t>Vade-mecum. Transliteracja autografu</t>
  </si>
  <si>
    <t>Cyprian Norwid, oprac. i wstÄ™p Mateusz Grabowski</t>
  </si>
  <si>
    <t>Elementy logiki matematycznej i metodologii nauk Å›cisÅ‚ych (skrypt z wykÅ‚adÃ³w)</t>
  </si>
  <si>
    <t>StanisÅ‚aw JaÅ›kowski-Andrzej Indrzejczak</t>
  </si>
  <si>
    <t>Dyplomacja sportowa. Sport w dziaÅ‚aniach dyplomatycznych paÅ„stw i aktorÃ³w niepaÅ„stwowych</t>
  </si>
  <si>
    <t>MichaÅ‚ Marcin Kobierecki</t>
  </si>
  <si>
    <t>Wybrane zjawiska i procesy wpÅ‚ywajÄ…ce na rozwÃ³j polskiej gospodarki w pierwszej poÅ‚owie XXI wieku. Projekcje na podstawie systemu modeli makroekonomicznych</t>
  </si>
  <si>
    <t>Waldemar Florczak-MichaÅ‚ PrzybyliÅ„ski-Iwona Åšwieczewska-Åucja Tomaszewicz-Joanna TrÄ™bska</t>
  </si>
  <si>
    <t>Le denominazioni proprie nelle traduzioni italiane della narrativa contemporanea polacca</t>
  </si>
  <si>
    <t>Joanna Ozimska</t>
  </si>
  <si>
    <t>La persuasion au service des grandes causes. Une Ã©tude comparative franco-polonaise des campagnes sociÃ©tales contre la discrimination raciste, homophobe et sÃ©rophobe</t>
  </si>
  <si>
    <t>Agnieszka Woch</t>
  </si>
  <si>
    <t>From Cotton and Smoke: ÅÃ³dÅº â€“ Industrial City and Discourses of Asynchronous Modernity 1897â€“1994</t>
  </si>
  <si>
    <t>Agata Zysiak-Kamil Åšmiechowski-Kamil PiskaÅ‚a-Wiktor Marzec-Kaja KaÅºmierska-Jacek Burski</t>
  </si>
  <si>
    <t>Czytanie miÄ™dzy jÄ™zykami. Szkice komparatystyczne z literatury polskiej i hiszpaÅ„skojÄ™zycznej</t>
  </si>
  <si>
    <t>Ewa KobyÅ‚ecka-PiwoÅ„ska-Agnieszka KÅ‚osiÅ„ska-Nachin-Red.</t>
  </si>
  <si>
    <t>Stopa procentowa jako kanaÅ‚ transmisji polityki pieniÄ™Å¼nej Systemu Rezerwy Federalnej</t>
  </si>
  <si>
    <t>Dominika BrÃ³zda-Wilamek</t>
  </si>
  <si>
    <t>Periphere RÃ¤ume in der Amerikanistik</t>
  </si>
  <si>
    <t>Gabriele Pisarz-Ramirez-Steffen Adrian WÃ¶ll</t>
  </si>
  <si>
    <t>Mord(s)bilder - AufzÃ¤hlungen von Gewalt bei Seneca und Lucan</t>
  </si>
  <si>
    <t>Maria Backhaus</t>
  </si>
  <si>
    <t>Gleichheit, Vielfalt, technischer Wandel</t>
  </si>
  <si>
    <t>Deutsche Volkslieder aus Hohenlohe mit ihren Weisen</t>
  </si>
  <si>
    <t>Konrad Scheierling</t>
  </si>
  <si>
    <t>Setting in the American Short Story of Local Color, 1865â€“1900</t>
  </si>
  <si>
    <t>Robert D. Rhode</t>
  </si>
  <si>
    <t>A History of Bulgarian Literature 865â€“1944</t>
  </si>
  <si>
    <t>Charles A. Moser</t>
  </si>
  <si>
    <t>The Vocalization Systems of Arabic, Hebrew, and Aramaic</t>
  </si>
  <si>
    <t>Shelomo Morag</t>
  </si>
  <si>
    <t>Semantics and Syntax in Complementation</t>
  </si>
  <si>
    <t>Peter Menzel</t>
  </si>
  <si>
    <t>Das Schleswig-Holsteinische Landesmuseum</t>
  </si>
  <si>
    <t>Ernst Schlee</t>
  </si>
  <si>
    <t>La colonisation agricole au Moyen-Ouest malgache. La petite rÃ©gion dâ€™Ambohimanambola</t>
  </si>
  <si>
    <t>Jean-Yves Marchal</t>
  </si>
  <si>
    <t>The Akhziv Cemeteries: The Ben-Dor Excavations, 1941â€“1944</t>
  </si>
  <si>
    <t>Michal Dayagi-Mendels</t>
  </si>
  <si>
    <t>Settlement Dynamics and Regional Diversity in Ancient Upper Galilee</t>
  </si>
  <si>
    <t>FrankÌ£el, Rafi.</t>
  </si>
  <si>
    <t>Tel Teâ€™o: A Neolithic, Chalcolithic and Early Bronze Age Site in the Hula Valley</t>
  </si>
  <si>
    <t>Emanuel Eisenberg, Avi Gopher, Raphael Greenberg</t>
  </si>
  <si>
    <t>Excavations at Efrata: A Burial Ground From the Intermediate Bronze and Middle Bronze Ages</t>
  </si>
  <si>
    <t>Rivka Gonen</t>
  </si>
  <si>
    <t>From Russia with Code</t>
  </si>
  <si>
    <t>Mario Biagioli-Vincent Antonin LÃ©pinay</t>
  </si>
  <si>
    <t>Christianity in India</t>
  </si>
  <si>
    <t>Clara A.B. Joseph</t>
  </si>
  <si>
    <t>Human and Minority Rights Protection by Multiple Diversity Governance</t>
  </si>
  <si>
    <t>Joseph Marko-Sergiu Constantin</t>
  </si>
  <si>
    <t>The American Stravinsky</t>
  </si>
  <si>
    <t>Gayle Minetta Murchison</t>
  </si>
  <si>
    <t>The Juggler of Notre Dame and the Medievalizing of Modernity</t>
  </si>
  <si>
    <t>Hyperion, or the Hermit in Greece</t>
  </si>
  <si>
    <t>HoÌˆlderlin, Friedrich-Gaskill, Howard</t>
  </si>
  <si>
    <t>Delivering on the Promise of Democracy</t>
  </si>
  <si>
    <t xml:space="preserve"> Sukhwant Jhaj</t>
  </si>
  <si>
    <t>Life Histories of Etnos Theory in Russia and Beyond</t>
  </si>
  <si>
    <t xml:space="preserve"> David G. Anderson-Dmitry V Arzyutov-Sergei S. Alymov</t>
  </si>
  <si>
    <t>A Fleet Street In Every Town</t>
  </si>
  <si>
    <t>Virgil, Aeneid 11, Pallas and Camilla, 1â€“224, 498â€“521, 532â€“596, 648â€“689, 725â€“835</t>
  </si>
  <si>
    <t xml:space="preserve"> Ingo Gildenhard-John Henderson</t>
  </si>
  <si>
    <t>Rhetorical Code Studies</t>
  </si>
  <si>
    <t>Kevin Brock</t>
  </si>
  <si>
    <t>Occupied Territory</t>
  </si>
  <si>
    <t>Simon Balto</t>
  </si>
  <si>
    <t>Organische Chemie</t>
  </si>
  <si>
    <t>Friedrich Nerdel-Bernhard Schrader</t>
  </si>
  <si>
    <t>Steuerbedarf und Geldpolitik in der wachsenden Wirtschaft</t>
  </si>
  <si>
    <t>JÃ¼rgen Pahlke</t>
  </si>
  <si>
    <t>Absorptions-Spektralanalyse</t>
  </si>
  <si>
    <t>Franz X. Mayer-Alfred Luszczak</t>
  </si>
  <si>
    <t>Mathematik fÃ¼r die Wirtschaftspraxis</t>
  </si>
  <si>
    <t>BUSINESS &amp; ECONOMICS / Business Mathematics</t>
  </si>
  <si>
    <t>John G. Kemeny-Arthur, jr. Schleifer-J. Laurie Snell-Gerald L. Thompson-Hans-JÃ¼rgen Zimmermann</t>
  </si>
  <si>
    <t>Integrierte Datenverarbeitungssysteme fÃ¼r die UnternehmensfÃ¼hrung</t>
  </si>
  <si>
    <t>Das europÃ¤ische Staatensystem im Wandel</t>
  </si>
  <si>
    <t>Anthropology of Tobacco</t>
  </si>
  <si>
    <t>Andrew Russell</t>
  </si>
  <si>
    <t>Risk Quantification and Allocation Methods for Practitioners</t>
  </si>
  <si>
    <t>Jaume Belles-Sampera-Montserrat GuillÃ©n-Miguel Santolino</t>
  </si>
  <si>
    <t>Globalizing the Library</t>
  </si>
  <si>
    <t>Amanda Laugesen</t>
  </si>
  <si>
    <t>Restorative and Responsive Human Services</t>
  </si>
  <si>
    <t>Gale Burford-John Braithwaite-Valerie Braithwaite</t>
  </si>
  <si>
    <t>A Saint of Our Own</t>
  </si>
  <si>
    <t>Kathleen Sprows Cummings</t>
  </si>
  <si>
    <t>The Conscience of Cinema</t>
  </si>
  <si>
    <t>Thomas Waugh</t>
  </si>
  <si>
    <t>Postgrowth Imaginaries</t>
  </si>
  <si>
    <t>Luis I. PrÃ¡danos</t>
  </si>
  <si>
    <t>Rethinking Authority in the Carolingian Empire</t>
  </si>
  <si>
    <t>Rutger Kramer</t>
  </si>
  <si>
    <t>OntomedialitÃ¤t</t>
  </si>
  <si>
    <t>PHILOSOPHY / Movements / Post-Structuralism</t>
  </si>
  <si>
    <t>Lisa Handel</t>
  </si>
  <si>
    <t>Deutschland und Italien 1860-1960</t>
  </si>
  <si>
    <t>Christof Dipper</t>
  </si>
  <si>
    <t>Information Structure in Sign Languages</t>
  </si>
  <si>
    <t>Vadim Kimmelman</t>
  </si>
  <si>
    <t>Strukturmerkmale der deutschen Geschichte des 20. Jahrhunderts</t>
  </si>
  <si>
    <t>Anselm Doering-Manteuffel</t>
  </si>
  <si>
    <t>Wege mystischer Gotteserfahrung. Mystical Approaches to God</t>
  </si>
  <si>
    <t>Peter SchÃ¤fer</t>
  </si>
  <si>
    <t>Naturrecht und Staat</t>
  </si>
  <si>
    <t>Diethelm Klippel</t>
  </si>
  <si>
    <t>Recht und Gericht in Kirche und Welt um 900</t>
  </si>
  <si>
    <t>Wilfried Hartmann</t>
  </si>
  <si>
    <t>Judaism, Christianity, and Islam in the Course of History: Exchange and Conflicts</t>
  </si>
  <si>
    <t>Lothar Gall-Dietmar Willoweit</t>
  </si>
  <si>
    <t>Konfessioneller Fundamentalismus</t>
  </si>
  <si>
    <t>Text und Kontext</t>
  </si>
  <si>
    <t>Jan-Dirk MÃ¼ller</t>
  </si>
  <si>
    <t>GegenErinnerung</t>
  </si>
  <si>
    <t>Helmut Altrichter</t>
  </si>
  <si>
    <t>Urban Europe</t>
  </si>
  <si>
    <t>Virginie Mamadouh-Anne Wageningen</t>
  </si>
  <si>
    <t>Imams in Western Europe</t>
  </si>
  <si>
    <t>Mohammed Hashas-Jan Jaap Ruiter-Niels Valdemar Vinding</t>
  </si>
  <si>
    <t>Seeing the Past with Computers</t>
  </si>
  <si>
    <t>Kevin Kee-Timothy J Compeau</t>
  </si>
  <si>
    <t>Developing Writers in Higher Education</t>
  </si>
  <si>
    <t>Anne Ruggles Gere</t>
  </si>
  <si>
    <t>The Ethics and Practice of Refugee Repatriation</t>
  </si>
  <si>
    <t>Mollie Gerver</t>
  </si>
  <si>
    <t>The Handbook of Privacy Studies</t>
  </si>
  <si>
    <t>SOCIAL SCIENCE / Privacy &amp; Surveillance</t>
  </si>
  <si>
    <t>Bart Sloot-Aviva Groot</t>
  </si>
  <si>
    <t>Narratives of Low-Carbon Transitions</t>
  </si>
  <si>
    <t>Susanne Hanger-Kopp-Jenny Lieu-Alexandros Nikas</t>
  </si>
  <si>
    <t>Improvisation und Organisation</t>
  </si>
  <si>
    <t>Wolfgang Stark-David Vossebrecher-Christopher Dell-Holger Schmidhuber</t>
  </si>
  <si>
    <t>Remapping Travel Narratives, 1000-1700</t>
  </si>
  <si>
    <t>Montserrat Piera</t>
  </si>
  <si>
    <t>Pandemic Disease in the Medieval World</t>
  </si>
  <si>
    <t>Monica H. Green</t>
  </si>
  <si>
    <t>â€žUns wurde die WÃ¼rde genommenâ€œ</t>
  </si>
  <si>
    <t>Brigitte Baums-Stammberger-Benno Hafeneger-Andre Morgenstern-Einenkel</t>
  </si>
  <si>
    <t>Migration and Media</t>
  </si>
  <si>
    <t>Lorella Viola-Andreas Musolff</t>
  </si>
  <si>
    <t>Borges, Desire, and Sex</t>
  </si>
  <si>
    <t>Ariel de la Fuente</t>
  </si>
  <si>
    <t>MIMOS 2018</t>
  </si>
  <si>
    <t>Paola Gilardi-Delphine Abrecht-Andreas Klaeui-Yvonne Schmidt</t>
  </si>
  <si>
    <t>Arbeitsmarktmobilitaet in hoeherem Lebensalter</t>
  </si>
  <si>
    <t>Martina Kattein</t>
  </si>
  <si>
    <t>Controversy Over the Existence of the World</t>
  </si>
  <si>
    <t>Roman Ingarden</t>
  </si>
  <si>
    <t>Tech Giants, Artificial Intelligence, and the Future of Journalism</t>
  </si>
  <si>
    <t>Jason Paul Whittaker</t>
  </si>
  <si>
    <t>Data Science for Wind Energy</t>
  </si>
  <si>
    <t>Yu Ding</t>
  </si>
  <si>
    <t>Social Media Activism</t>
  </si>
  <si>
    <t>Matteo Cernison</t>
  </si>
  <si>
    <t>Excavations at Tiberias, 1973-1974: The Early Islamic Periods</t>
  </si>
  <si>
    <t>David Stacey</t>
  </si>
  <si>
    <t>Maresha Excavations Final Report</t>
  </si>
  <si>
    <t>Kloner, Amos-Ariel, Donald T.-Israel.</t>
  </si>
  <si>
    <t>The Neolithic Site of Abu Ghosh: The 1995 Excavations</t>
  </si>
  <si>
    <t>Hamoudi Khalaily , Ofer Marder</t>
  </si>
  <si>
    <t>Salvage Excavations at the Early Bronze Age Site of Qiryat Ata</t>
  </si>
  <si>
    <t>Kissufim Road: A Chalcolithic Mortuary Site</t>
  </si>
  <si>
    <t>Yuval Goren,Peter Fabian</t>
  </si>
  <si>
    <t>Human Minds and Animal Stories</t>
  </si>
  <si>
    <t>Wojciech MaÅ‚ecki-Piotr Sorokowski-BogusÅ‚aw PawÅ‚owski-Marcin CieÅ„ski</t>
  </si>
  <si>
    <t>Wellness in Whiteness</t>
  </si>
  <si>
    <t>Amina Mire</t>
  </si>
  <si>
    <t>New Authoritarianism</t>
  </si>
  <si>
    <t>Thought Crime</t>
  </si>
  <si>
    <t>Max M. Ward</t>
  </si>
  <si>
    <t>Van schoolbioloog tot duurzame duizendpoot</t>
  </si>
  <si>
    <t>Ellen Leussink-Jack Jansen-Hans Nuiver-Roel van Raaij</t>
  </si>
  <si>
    <t>The MANTIS Book</t>
  </si>
  <si>
    <t>Michele Albano-Urko Zurutuza</t>
  </si>
  <si>
    <t>Department Stores and the Black Freedom Movement</t>
  </si>
  <si>
    <t>Traci Parker</t>
  </si>
  <si>
    <t>Enduring Change</t>
  </si>
  <si>
    <t>Ju Li</t>
  </si>
  <si>
    <t>Das rÃ¶misch-deutsche Reich im politischen System Karls V.</t>
  </si>
  <si>
    <t>Heinrich Lutz</t>
  </si>
  <si>
    <t>Recht bei Tacitus</t>
  </si>
  <si>
    <t>Jens Petersen</t>
  </si>
  <si>
    <t>Variation in Indonesian Sign Language</t>
  </si>
  <si>
    <t>Nick Palfreyman</t>
  </si>
  <si>
    <t>Von Kant zu Schelling</t>
  </si>
  <si>
    <t>MiklÃ³s VetÅ‘</t>
  </si>
  <si>
    <t>Erwerbsverlauf und Gesundheit Ã¤lterer weiblicher BeschÃ¤ftigter</t>
  </si>
  <si>
    <t>Silke Tophoven</t>
  </si>
  <si>
    <t>Civil Society and Social Movements in Food System Governance</t>
  </si>
  <si>
    <t>Peter AndrÃ©e-Jill K. Clark-Charles Z. Levkoe-Kristen Lowitt</t>
  </si>
  <si>
    <t>Queering Mennonite Literature</t>
  </si>
  <si>
    <t>Daniel Shank Cruz</t>
  </si>
  <si>
    <t>90 lat Å‚Ã³dzkiej ekonomii</t>
  </si>
  <si>
    <t>CzesÅ‚aw DomaÅ„ski-Witold Kasperkiewicz-Eugeniusz Kwiatkowski</t>
  </si>
  <si>
    <t>JÄ™drzej Moraczewski. Wspomnienia. Ludzie, czasy i zdarzenia. CzÄ™Å›Ä‡ pierwsza. MÅ‚odoÅ›Ä‡ i praca inÅ¼ynierska. Tom 1. Lata nauki 1870â€“1896</t>
  </si>
  <si>
    <t>JÄ™drzej Moraczewski, Ilona Florczak</t>
  </si>
  <si>
    <t>The Portuguese Slave Trade in Early Modern Japan</t>
  </si>
  <si>
    <t>LÃºcio De Sousa</t>
  </si>
  <si>
    <t>Das Epos im Blick</t>
  </si>
  <si>
    <t>Helge Baumann</t>
  </si>
  <si>
    <t>Die Geschichte der Shoah im virtuellen Raum</t>
  </si>
  <si>
    <t>Alina Bothe</t>
  </si>
  <si>
    <t>Impedance Spectroscopy</t>
  </si>
  <si>
    <t>Olfa Kanoun</t>
  </si>
  <si>
    <t>The Decline of Marriage in Namibia</t>
  </si>
  <si>
    <t>Prof. Dr. Julia Pauli</t>
  </si>
  <si>
    <t>The G20</t>
  </si>
  <si>
    <t>Peter I. Hajnal</t>
  </si>
  <si>
    <t>How America Became Capitalist</t>
  </si>
  <si>
    <t>James Parisot</t>
  </si>
  <si>
    <t>Curious Encounters</t>
  </si>
  <si>
    <t>Adriana Craciun-Mary Terrall</t>
  </si>
  <si>
    <t>Gewalt in Teenagerbeziehungen</t>
  </si>
  <si>
    <t>Iris Stahlke</t>
  </si>
  <si>
    <t>Following His Own Path</t>
  </si>
  <si>
    <t>Das Hirn der Studierenden</t>
  </si>
  <si>
    <t>Klaus GÃ¼nther</t>
  </si>
  <si>
    <t>Beratung im Kontext des Lebenslangen Lernens</t>
  </si>
  <si>
    <t>Olaf DÃ¶rner-Carola Iller-Cornelia Maier-Gutheil-Christiane Schiersmann-Ingeborg SchÃ¼ÃŸler</t>
  </si>
  <si>
    <t>The Anthropology of Epidemics</t>
  </si>
  <si>
    <t>Ann H. Kelly-FrÃ©dÃ©ric Keck-Christos Lynteris</t>
  </si>
  <si>
    <t>George Rochberg, American Composer</t>
  </si>
  <si>
    <t>Amy Lynn Wlodarski</t>
  </si>
  <si>
    <t>Reformprojekt Care Work</t>
  </si>
  <si>
    <t>Marianne Friese</t>
  </si>
  <si>
    <t>Arbeitslehre und Berufsorientierung modernisieren</t>
  </si>
  <si>
    <t>Tel Yoqne'am: Excavations on the Acropolis</t>
  </si>
  <si>
    <t>Avissar, M.</t>
  </si>
  <si>
    <t>Ashdod VI: The Excavations of Areas H and K (1968-1969)</t>
  </si>
  <si>
    <t>Dothan, M., Ben-Shlomo, D.</t>
  </si>
  <si>
    <t>Bronze and Iron Age Tombs at Tell Beit Mirsim</t>
  </si>
  <si>
    <t>Ben-Arieh, M.</t>
  </si>
  <si>
    <t>Excavations at Tiberias, 1989-1994</t>
  </si>
  <si>
    <t>Hirschfeld, Y.</t>
  </si>
  <si>
    <t>Kunstmarkt und Kunstbetrieb in Rom (1750â€“1850)</t>
  </si>
  <si>
    <t>Hannelore Putz-Andrea FronhÃ¶fer</t>
  </si>
  <si>
    <t>Introduction to Gauge Field Theory Revised Edition</t>
  </si>
  <si>
    <t>David Bailin-Alexander Love</t>
  </si>
  <si>
    <t>Monitored</t>
  </si>
  <si>
    <t xml:space="preserve">Services Ã©cosystÃ©miques fournis par les espaces agricoles </t>
  </si>
  <si>
    <t>La transition agro-Ã©cologique des agricultures du Sud</t>
  </si>
  <si>
    <t>CoÌ‚te, FrancÌ§ois-Xavier.</t>
  </si>
  <si>
    <t>Moral Foods</t>
  </si>
  <si>
    <t>Angela Ki Che Leung-Melissa L. Caldwell</t>
  </si>
  <si>
    <t>Jugend und Sucht â€“ Analysen und Auswege</t>
  </si>
  <si>
    <t>Marc Fischer-Ute Antonia Lammel</t>
  </si>
  <si>
    <t>Geschlecht im sozialen Kontext</t>
  </si>
  <si>
    <t>Christiane Rohleder-Brigitte HasenjÃ¼rgen</t>
  </si>
  <si>
    <t>Violence Against Women and Ethnicity: Commonalities and Differences Across Europe</t>
  </si>
  <si>
    <t>Monika SchrÃ¶ttle-Ravi K. Thiara-Stephanie A. Condon</t>
  </si>
  <si>
    <t>Jesuits and Matriarchs</t>
  </si>
  <si>
    <t>Nadine Amsler</t>
  </si>
  <si>
    <t>The Politics of Poverty in Contemporary Russia</t>
  </si>
  <si>
    <t>Ann-Mari SÃ¤tre</t>
  </si>
  <si>
    <t>Supporting Self-Directed Learning in Science and Technology Beyond the School Years</t>
  </si>
  <si>
    <t>LÃ©onie J. Rennie-Susan M. Stocklmayer-John K. Gilbert</t>
  </si>
  <si>
    <t>Visualizing the Street</t>
  </si>
  <si>
    <t>Pedram Dibazar-Judith Naeff</t>
  </si>
  <si>
    <t>The Dutch and English East India Companies</t>
  </si>
  <si>
    <t>Adam Clulow-Tristan Mostert</t>
  </si>
  <si>
    <t>The Mauritian Novel</t>
  </si>
  <si>
    <t>Julia Waters</t>
  </si>
  <si>
    <t>Crisis and Coloniality at Europe's Margins</t>
  </si>
  <si>
    <t>KristÃ­n LoftsdÃ³ttir</t>
  </si>
  <si>
    <t>Musical Culture of Polish Benedictine Nuns in the 17th and 18th Centuries</t>
  </si>
  <si>
    <t>Magdalena Walter-Mazur</t>
  </si>
  <si>
    <t>Inventar zur brandenburgischen Militaergeschichte 1806â€“1815</t>
  </si>
  <si>
    <t>Polen und Deutsche in Europa Polacy i Niemcy w Europie</t>
  </si>
  <si>
    <t>Krzysztof Trybus-Michael DÃ¼ring-Maciej Junkiert</t>
  </si>
  <si>
    <t>Taste, Waste and the New Materiality of Food</t>
  </si>
  <si>
    <t>Bethaney Turner</t>
  </si>
  <si>
    <t>Material Cultures of Childhood in Second World War Britain</t>
  </si>
  <si>
    <t>Gabriel Moshenska</t>
  </si>
  <si>
    <t>Next Generation Internet of Things â€“ Distributed Intelligence at the Edge and Human-Machine Interactions</t>
  </si>
  <si>
    <t>Bet Yerah: The Early Bronze Age Mound, Vol. I: Excavation Reports, 1933-1986</t>
  </si>
  <si>
    <t>Raphael Greenberg</t>
  </si>
  <si>
    <t>Gamla I</t>
  </si>
  <si>
    <t>Berlin, Andrea-GutÌ£man, Shemaryah.</t>
  </si>
  <si>
    <t>The Tel Bet Yerah Excavations, 1994-1995: Early Bronze AgeIB-III</t>
  </si>
  <si>
    <t>Nimrod Getzov</t>
  </si>
  <si>
    <t>Shoham (North): Late Chalcolithic Burial Caves In the Lod Valley, Israel</t>
  </si>
  <si>
    <t>Edwin C.M. van den Brink-Ram Gophna</t>
  </si>
  <si>
    <t>Pottery of the Crusader, Ayyubid and Mamluk Periods in Israel</t>
  </si>
  <si>
    <t>Miriam Avissar-Edna J. Stern</t>
  </si>
  <si>
    <t>GIS in Sustainable Urban Planning and Management</t>
  </si>
  <si>
    <t>Martin van Maarseveen-Javier Martinez-Johannes Flacke</t>
  </si>
  <si>
    <t>Transitions in Energy Efficiency and Demand</t>
  </si>
  <si>
    <t>Kirsten E.H. Jenkins-Debbie Hopkins</t>
  </si>
  <si>
    <t>Passing to AmÃ©rica</t>
  </si>
  <si>
    <t>Thomas A. Abercrombie</t>
  </si>
  <si>
    <t>Uncertainty in Mechanical Engineering III</t>
  </si>
  <si>
    <t>GÃ¡bor Alberti-Tibor LÃ¡czko</t>
  </si>
  <si>
    <t>Across Space and Time</t>
  </si>
  <si>
    <t>Arianna Traviglia</t>
  </si>
  <si>
    <t>Women and Power at the French Court, 1483-1563</t>
  </si>
  <si>
    <t>Urban Memory and Visual Culture in Berlin</t>
  </si>
  <si>
    <t>Simon Ward</t>
  </si>
  <si>
    <t>The Youth of Early Modern Women</t>
  </si>
  <si>
    <t>Elizabeth Storr Cohen-Margaret Louise Reeves</t>
  </si>
  <si>
    <t>The Universe, Life and Everything...</t>
  </si>
  <si>
    <t>Sarah Durston-Ton Baggerman</t>
  </si>
  <si>
    <t>Screens</t>
  </si>
  <si>
    <t>Dominique Chateau-JosÃ© Moure</t>
  </si>
  <si>
    <t>Orchestrating Public Opinion</t>
  </si>
  <si>
    <t>Paul Christiansen</t>
  </si>
  <si>
    <t>EnttÃ¤uschung in der Demokratie</t>
  </si>
  <si>
    <t>Bernhard Gotto</t>
  </si>
  <si>
    <t>Race and Gender in Modern Western Warfare</t>
  </si>
  <si>
    <t>David Ulbrich-Bobby A. Wintermute</t>
  </si>
  <si>
    <t>Von "jÃ¼dischem Optimismus" und "unausbleiblicher EnttÃ¤uschung"</t>
  </si>
  <si>
    <t>Anna Ullrich</t>
  </si>
  <si>
    <t>Professional Emotions in Court</t>
  </si>
  <si>
    <t>Stina Bergman Blix-Ã…sa Wettergren</t>
  </si>
  <si>
    <t>Regional Government Competition</t>
  </si>
  <si>
    <t>Chen Yunxian-Gu Wenjing</t>
  </si>
  <si>
    <t>Cicero, Philippic 2, 44â€“50, 78â€“92, 100â€“119</t>
  </si>
  <si>
    <t xml:space="preserve"> Ingo Gildenhard</t>
  </si>
  <si>
    <t>The Red Countess</t>
  </si>
  <si>
    <t xml:space="preserve"> Hermynia Zur MÃ¼hlen-Lionel Gossman</t>
  </si>
  <si>
    <t>ANZUS and the Early Cold War</t>
  </si>
  <si>
    <t xml:space="preserve"> Andrew Kelly</t>
  </si>
  <si>
    <t>With and Without Galton</t>
  </si>
  <si>
    <t xml:space="preserve"> Nikolai Krementsov</t>
  </si>
  <si>
    <t>Hanging on to the Edges</t>
  </si>
  <si>
    <t xml:space="preserve"> Daniel Nettle</t>
  </si>
  <si>
    <t>The Life and Letters of William Sharp and â€œFiona Macleodâ€</t>
  </si>
  <si>
    <t>Hearing Voices, Demonic and Divine</t>
  </si>
  <si>
    <t>Christopher C. H. Cook</t>
  </si>
  <si>
    <t>Online Misogyny As Hate Crime</t>
  </si>
  <si>
    <t>Kim Barker-Olga Jurasz</t>
  </si>
  <si>
    <t>UN Security Council Referrals to the International Criminal Court</t>
  </si>
  <si>
    <t>Alexandre Skander Galand</t>
  </si>
  <si>
    <t>Rethinking Political Judgement</t>
  </si>
  <si>
    <t>MaÅ¡a Mrovlje</t>
  </si>
  <si>
    <t>Shakespeareâ€™s Representation of Weather, Climate and Environment</t>
  </si>
  <si>
    <t>Sophie Chiari</t>
  </si>
  <si>
    <t>Belonging and Narrative</t>
  </si>
  <si>
    <t>Playing Dystopia</t>
  </si>
  <si>
    <t>Gerald Farca</t>
  </si>
  <si>
    <t>Fugitive Borders</t>
  </si>
  <si>
    <t>Nele Sawallisch</t>
  </si>
  <si>
    <t>Szenarien der ErnÃ¤hrungswende</t>
  </si>
  <si>
    <t>Normed Children</t>
  </si>
  <si>
    <t>Erik Schneider-Christel Baltes-LÃ¶hr</t>
  </si>
  <si>
    <t>Excavating the Future</t>
  </si>
  <si>
    <t>Shawn Malley</t>
  </si>
  <si>
    <t>Political Ecology of REDD+ in Indonesia</t>
  </si>
  <si>
    <t>Jonas Hein</t>
  </si>
  <si>
    <t>Death and (Re) Birth of J.S. Bach</t>
  </si>
  <si>
    <t>Roberto Alonso Trillo</t>
  </si>
  <si>
    <t>The Many Faces of Strategic Voting</t>
  </si>
  <si>
    <t>John H Aldrich-AndrÃ© Blais-Laura B. Stephenson</t>
  </si>
  <si>
    <t>Internet of Things Applications - From Research and Innovation to Market Deployment</t>
  </si>
  <si>
    <t>Ovidiu Vermesan-Peter Friess</t>
  </si>
  <si>
    <t>5G: 2020 and Beyond</t>
  </si>
  <si>
    <t>Ramjee Prasad</t>
  </si>
  <si>
    <t>Innovative Strategies in Tissue Engineering</t>
  </si>
  <si>
    <t>Mayuri Prasad-Paolo Di Nardo</t>
  </si>
  <si>
    <t>Advances in Intelligent Robotics and Collaborative Automation</t>
  </si>
  <si>
    <t>Richard Duro-Yuriy Kondratenko</t>
  </si>
  <si>
    <t>Building the Hyperconnected Society- Internet of Things Research and Innovation Value Chains, Ecosystems and Markets</t>
  </si>
  <si>
    <t>Generation and Applications of Extra-Terrestrial Environments on Earth</t>
  </si>
  <si>
    <t>Daniel A. Beysens-Jack J.W. A. van Loon</t>
  </si>
  <si>
    <t>Advancing IoT Platforms Interoperability</t>
  </si>
  <si>
    <t>Engineering Agile Big-Data Systems</t>
  </si>
  <si>
    <t>Kevin Feeney-Jim Davies-James Welch</t>
  </si>
  <si>
    <t>RachunkowoÅ›Ä‡ zarzÄ…dcza. Nauka - badania - ksztaÅ‚cenie - zastosowania</t>
  </si>
  <si>
    <t>Irena SobaÅ„ska</t>
  </si>
  <si>
    <t>Legal Methods for Combating Unemployment Among Older People</t>
  </si>
  <si>
    <t>Magdalena Paluszkiewicz-Tatiana WrocÅ‚awska-MirosÅ‚aw WÅ‚odarczyk</t>
  </si>
  <si>
    <t>Philo of Alexandria</t>
  </si>
  <si>
    <t>R. Radice-Douwe (David) Runia</t>
  </si>
  <si>
    <t>Law and Language in the Middle Ages</t>
  </si>
  <si>
    <t>Matthew W. McHaffie-Jenny Benham-Helle Vogt</t>
  </si>
  <si>
    <t>Douwe (David) Runia</t>
  </si>
  <si>
    <t>Climate Change and International Shipping</t>
  </si>
  <si>
    <t>Yubing Shi</t>
  </si>
  <si>
    <t>Jonathan Swift and the Millennium of Madness</t>
  </si>
  <si>
    <t>Kenneth Craven</t>
  </si>
  <si>
    <t>The Acquisition of Africa (1870-1914)</t>
  </si>
  <si>
    <t>Mieke van der Linden</t>
  </si>
  <si>
    <t>The Crisis of Causality</t>
  </si>
  <si>
    <t>Han van Ruler</t>
  </si>
  <si>
    <t>Koordinaten deutscher Geschichte in der Epoche des Ost-West-Konflikts</t>
  </si>
  <si>
    <t>Hans GÃ¼nter Hockerts</t>
  </si>
  <si>
    <t>Francophonie and the Orient</t>
  </si>
  <si>
    <t>Mathilde Kang</t>
  </si>
  <si>
    <t>The Uncanny Child in Transnational Cinema</t>
  </si>
  <si>
    <t>Jessica Balanzategui</t>
  </si>
  <si>
    <t>Refugee Governance, State and Politics in the Middle East</t>
  </si>
  <si>
    <t>Zeynep Åžahin MencÃ¼tek</t>
  </si>
  <si>
    <t>History, Space and Place</t>
  </si>
  <si>
    <t>Susanne Rau</t>
  </si>
  <si>
    <t>Datenbanksysteme</t>
  </si>
  <si>
    <t>Friedhelm Ahrens-Helmut Walter</t>
  </si>
  <si>
    <t>Wolfgang Schollwer</t>
  </si>
  <si>
    <t>Monika FaÃŸbender</t>
  </si>
  <si>
    <t>Modele biznesu przedsiÄ™biorstw. Analiza i raportowanie</t>
  </si>
  <si>
    <t>Jan Michalak</t>
  </si>
  <si>
    <t>PrzeciwdziaÅ‚anie bezrobociu wÅ›rÃ³d osÃ³b starszych. W poszukiwaniu modelu</t>
  </si>
  <si>
    <t>Binationale Diskursanalyse. Grundlagen und Fallstudien zum deutsch-polnischen medialen Gegendiskurs</t>
  </si>
  <si>
    <t>Dorota Kaczmarek</t>
  </si>
  <si>
    <t>Maresha Excavations Final Report II: Hellenistic Terracotta Figurines From the 1989-1996.</t>
  </si>
  <si>
    <t>A. Erlich-A. Kloner</t>
  </si>
  <si>
    <t>Nysa-Scythopolis</t>
  </si>
  <si>
    <t>Mazor, Gabriel.-Najjar, Arfan.-Bet SheÊ¼an Archaeological Project (Israel)-Israel.</t>
  </si>
  <si>
    <t>The Necropolis of Bet Guvrin - Eleutheropolis: Jewish and Non-Jewish Burials From the 3th to the 8th Centuries CE.</t>
  </si>
  <si>
    <t>G. Avni</t>
  </si>
  <si>
    <t>Excavations at Kadesh Barnea (Tell El-Qudeirat) 1976-1982. Part 2: Plates, Plans and Sections.</t>
  </si>
  <si>
    <t>R. Cohen-H. Bernick-Greenberg</t>
  </si>
  <si>
    <t>Excavations at Kadesh Barnea (Tell El-Qudeirat) 1976-1982</t>
  </si>
  <si>
    <t>Cohen, Rudolph-Bernick-Greenberg, Hannah-Israel.-Mayer, Daniella Bar-Yosef</t>
  </si>
  <si>
    <t>Tel Mor</t>
  </si>
  <si>
    <t>Barako, Tristan J.-Dothan, M.-Israel.-Ariel, Donald T.</t>
  </si>
  <si>
    <t>â€™En Esur (`Ein Asawir) I: Excavations at a Protohistoric Site in the Coastal Plain of Israel</t>
  </si>
  <si>
    <t>E. Yannai</t>
  </si>
  <si>
    <t>From Grain to Pixel</t>
  </si>
  <si>
    <t>Giovanna Fossati</t>
  </si>
  <si>
    <t>Film Serials and the American Cinema, 1910-1940</t>
  </si>
  <si>
    <t>Ilka Brasch</t>
  </si>
  <si>
    <t>Cities in Asia by and for the People</t>
  </si>
  <si>
    <t>Yves Cabannes-Mike Douglass-Rita Padawangi</t>
  </si>
  <si>
    <t>Drones and Support for the Use of Force</t>
  </si>
  <si>
    <t>James Igoe Walsh-Marcus Schulzke</t>
  </si>
  <si>
    <t>The Greatest Films Never Seen</t>
  </si>
  <si>
    <t>Claudy Op den Kamp</t>
  </si>
  <si>
    <t>Images of Dutchness</t>
  </si>
  <si>
    <t>Sarah Dellmann</t>
  </si>
  <si>
    <t>Temperance and Cosmopolitanism</t>
  </si>
  <si>
    <t>Carole Lynn Stewart</t>
  </si>
  <si>
    <t>The Portuguese Language Continuum in Africa and Brazil</t>
  </si>
  <si>
    <t>Laura Ãlvarez LÃ³pez-PerpÃ©tua GonÃ§alves-Juanito Ornelas de Avelar</t>
  </si>
  <si>
    <t>Jesting in Earnest</t>
  </si>
  <si>
    <t>Derek C. Maus</t>
  </si>
  <si>
    <t>Waddenland Outstanding</t>
  </si>
  <si>
    <t>Linde Egberts-Meindert Schroor</t>
  </si>
  <si>
    <t>Akten zur AuswÃ¤rtigen Politik der Bundesrepublik Deutschland 1961</t>
  </si>
  <si>
    <t>Andreas Wirsching-HÃ©lÃ¨ne Miard-Delacroix-Gregor SchÃ¶llgen-Mechthild Lindemann-Christoph Johannes Franzen</t>
  </si>
  <si>
    <t>Laboring Along</t>
  </si>
  <si>
    <t>Adrian Grama</t>
  </si>
  <si>
    <t>Diplomatische Wissenskulturen der FrÃ¼hen Neuzeit</t>
  </si>
  <si>
    <t>Guido Braun</t>
  </si>
  <si>
    <t>Die SS in der Bundesrepublik</t>
  </si>
  <si>
    <t>Andreas EichmÃ¼ller</t>
  </si>
  <si>
    <t>Januar 1935 â€“ April 1937</t>
  </si>
  <si>
    <t>Sergej Slutsch-Carola Tischler</t>
  </si>
  <si>
    <t>Plan und Planung</t>
  </si>
  <si>
    <t>Elke Seefried-Dierk Hoffmann</t>
  </si>
  <si>
    <t>Fragile Spaces</t>
  </si>
  <si>
    <t>Steven E. Aschheim</t>
  </si>
  <si>
    <t>Kollektive Gewalt in der Stadt</t>
  </si>
  <si>
    <t>Friedrich Lenger</t>
  </si>
  <si>
    <t>Young People, Social Media and Health</t>
  </si>
  <si>
    <t>Victoria Goodyear-Kathleen Armour</t>
  </si>
  <si>
    <t>Mapping and Politics in the Digital Age</t>
  </si>
  <si>
    <t>Pol BarguÃ©s-Pedreny-David Chandler-Elena Simon</t>
  </si>
  <si>
    <t>History As Wonder</t>
  </si>
  <si>
    <t>Marnie Hughes-Warrington</t>
  </si>
  <si>
    <t>Social Innovation</t>
  </si>
  <si>
    <t>Helmut Anheier-Gorgi Krlev-Georg Mildenberger</t>
  </si>
  <si>
    <t>Ageing, Diversity and Equality</t>
  </si>
  <si>
    <t>Sue Westwood</t>
  </si>
  <si>
    <t>The Origins of Anti-Authoritarianism</t>
  </si>
  <si>
    <t>Nina Witoszek</t>
  </si>
  <si>
    <t>World Trade Evolution</t>
  </si>
  <si>
    <t>Lili Yan Ing-Miaojie Yu</t>
  </si>
  <si>
    <t>Gender and Precarious Research Careers</t>
  </si>
  <si>
    <t>Annalisa Murgia-Barbara Poggio</t>
  </si>
  <si>
    <t>Russian Nationalism</t>
  </si>
  <si>
    <t>Marlene Laruelle</t>
  </si>
  <si>
    <t>Reconciliation in Global Context</t>
  </si>
  <si>
    <t>BjÃ¶rn Krondorfer</t>
  </si>
  <si>
    <t>Indigenous Peoples' Cultural Heritage</t>
  </si>
  <si>
    <t>Alexandra Xanthaki-Sanna Valkonen-Leena HeinÃ¤mÃ¤ki-Piia Kristiina Nuorgam</t>
  </si>
  <si>
    <t>RogÃ©rio Sousa</t>
  </si>
  <si>
    <t>Waqf in ZaydÄ« Yemen</t>
  </si>
  <si>
    <t>Eirik Hovden</t>
  </si>
  <si>
    <t>Genre, Authorship and Contemporary Women Filmmakers</t>
  </si>
  <si>
    <t>Katarzyna Paszkiewicz</t>
  </si>
  <si>
    <t>The American Short Story Cycle</t>
  </si>
  <si>
    <t>Jennifer J. Smith</t>
  </si>
  <si>
    <t>Imperial Muslims</t>
  </si>
  <si>
    <t>Scott S. Reese</t>
  </si>
  <si>
    <t>Medieval Empires and the Culture of Competition</t>
  </si>
  <si>
    <t>Samuel England</t>
  </si>
  <si>
    <t>The Twilight of the British Empire</t>
  </si>
  <si>
    <t>Chikara Hashimoto</t>
  </si>
  <si>
    <t>ZugehÃ¶rigkeit und Teilhabe junger Frauen im Ãœbergang in die Arbeitswelt</t>
  </si>
  <si>
    <t>JÃºlia WÃ©ber</t>
  </si>
  <si>
    <t>Ungleichheitsrelevanz im Bildungs- und Betreuungsalltag</t>
  </si>
  <si>
    <t>Sylvia Nienhaus</t>
  </si>
  <si>
    <t>Civil Society and Gender Relations in Authoritarian and Hybrid Regimes</t>
  </si>
  <si>
    <t>Gabriele Wilde-Annette Zimmer-Katharina Obuch-Isabelle-Christine Panreck</t>
  </si>
  <si>
    <t>Gender in Focus</t>
  </si>
  <si>
    <t>Andreea Zamfira-Christian de Montlibert-Daniela Radu</t>
  </si>
  <si>
    <t>Inklusion â€“ eine unerfÃ¼llbare Vision?</t>
  </si>
  <si>
    <t>Olga Graumann</t>
  </si>
  <si>
    <t>Women and the Universal Declaration of Human Rights</t>
  </si>
  <si>
    <t>Rebecca Adami</t>
  </si>
  <si>
    <t>Climate Adaptation Finance and Investment in California</t>
  </si>
  <si>
    <t>Jesse M. Keenan</t>
  </si>
  <si>
    <t>The Geography of Scientific Collaboration</t>
  </si>
  <si>
    <t>Agnieszka Olechnicka-Adam Ploszaj-Dorota CeliÅ„ska-Janowicz</t>
  </si>
  <si>
    <t>Learners in Transition</t>
  </si>
  <si>
    <t>Yoke Sim Fong</t>
  </si>
  <si>
    <t>Land Use and Food Security in 2050: a Narrow Road</t>
  </si>
  <si>
    <t>La conscience des animaux</t>
  </si>
  <si>
    <t>FrÃ¨res Ennemis</t>
  </si>
  <si>
    <t>William Cloonan</t>
  </si>
  <si>
    <t>Anti-Empire: Decolonial Interventions in Lusophone Literatures</t>
  </si>
  <si>
    <t>The Multi Business Model Innovation Approach</t>
  </si>
  <si>
    <t>Peter Lindgren</t>
  </si>
  <si>
    <t>Slogans</t>
  </si>
  <si>
    <t>Nicolette Makovicky-Anne-Christine TrÃ©mon-Sheyla Zandonai</t>
  </si>
  <si>
    <t>Femicide Across Europe</t>
  </si>
  <si>
    <t>Shalva Weil-Consuelo Corradi-Marceline Naudi</t>
  </si>
  <si>
    <t>Arts, Religion, and the Environment</t>
  </si>
  <si>
    <t>Sigurd Bergmann-Forrest J. Clingerman</t>
  </si>
  <si>
    <t>Molecular Feminisms</t>
  </si>
  <si>
    <t>Deboleena Roy</t>
  </si>
  <si>
    <t>Footprints of War</t>
  </si>
  <si>
    <t>David Andrew Biggs</t>
  </si>
  <si>
    <t>The Future of Ocean Governance and Capacity Development</t>
  </si>
  <si>
    <t>LAW / Maritime</t>
  </si>
  <si>
    <t>International Ocean Institute - Canada</t>
  </si>
  <si>
    <t>Topographies of Tolerance and Intolerance</t>
  </si>
  <si>
    <t>Marjorie Elizabeth Plummer-Victoria Christman</t>
  </si>
  <si>
    <t>Atlas of Religion in China: Social and Geographical Contexts</t>
  </si>
  <si>
    <t>Fenggang Yang</t>
  </si>
  <si>
    <t>Nicht-Naives ErzÃ¤hlen</t>
  </si>
  <si>
    <t>Tobias Lambrecht</t>
  </si>
  <si>
    <t>Pragmatism As Post-Postmodernism</t>
  </si>
  <si>
    <t>Fordham University Press</t>
  </si>
  <si>
    <t>Larry A. Hickman</t>
  </si>
  <si>
    <t>A Bowl for a Coin</t>
  </si>
  <si>
    <t>Managing Diabetes</t>
  </si>
  <si>
    <t>HEALTH &amp; FITNESS / Diseases &amp; Conditions / Diabetes</t>
  </si>
  <si>
    <t>Jeffrey A. Bennett</t>
  </si>
  <si>
    <t>Mathematics Teacher Education in the Andean Region and Paraguay</t>
  </si>
  <si>
    <t>Yuriko Yamamoto Baldin-Uldarico Malaspina-Jill Adler</t>
  </si>
  <si>
    <t>History's Queer Stories</t>
  </si>
  <si>
    <t>Natalie Marena Nobitz</t>
  </si>
  <si>
    <t>Imagining Ageing</t>
  </si>
  <si>
    <t>Carmen Concilio</t>
  </si>
  <si>
    <t>Allianzen</t>
  </si>
  <si>
    <t>Elisa Liepsch-Julian Warner</t>
  </si>
  <si>
    <t>Crisis Management Beyond the Humanitarian-Development Nexus</t>
  </si>
  <si>
    <t>Atsushi Hanatani-Oscar A. GÃ³mez-Chigumi Kawaguchi</t>
  </si>
  <si>
    <t>Medizin und Ã¶ffentliche Gesundheit</t>
  </si>
  <si>
    <t>Heinz-Peter Schmiedebach</t>
  </si>
  <si>
    <t>Becoming One</t>
  </si>
  <si>
    <t>Chika Watanabe</t>
  </si>
  <si>
    <t>Islamizing Intimacies</t>
  </si>
  <si>
    <t>Nancy J. Smith-Hefner</t>
  </si>
  <si>
    <t>The Dreaming Mind and the End of the Ming World</t>
  </si>
  <si>
    <t>Lynn A. Struve</t>
  </si>
  <si>
    <t>The Sociology of Knowledge Approach to Discourse</t>
  </si>
  <si>
    <t>Reiner Keller-Anna-Katharina Hornidge-Wolf SchÃ¼nemann</t>
  </si>
  <si>
    <t>Race and Rurality in the Global Economy</t>
  </si>
  <si>
    <t>Michaeline A. Crichlow-Patricia Northover-Juan Giusti-Cordero</t>
  </si>
  <si>
    <t>The Sorrowful Muslim's Guide</t>
  </si>
  <si>
    <t>Hussein Ahmad Amin</t>
  </si>
  <si>
    <t>Krystyna Åšreniowska, Moje Å¼ycie</t>
  </si>
  <si>
    <t>Jolanta Kolbuszewska-RafaÅ‚ Stobiecki</t>
  </si>
  <si>
    <t>Analizy weryfikacyjne â€“ przeszÅ‚e i obecne doÅ›wiadczenia badawcze.</t>
  </si>
  <si>
    <t>Katarzyna Grzeszkiewicz-Radulska-Aneta KrzewiÅ„ska</t>
  </si>
  <si>
    <t>25 lat niemieckiego zjednoczenia. Bilans Ä‡wierÄ‡wiecza</t>
  </si>
  <si>
    <t>Joanna Ciesielska-Klikowska-Ernest KuczyÅ„ski</t>
  </si>
  <si>
    <t>Learning From the History of British Interventions in the Middle East</t>
  </si>
  <si>
    <t>Louise Kettle</t>
  </si>
  <si>
    <t>Shakespeare and the Fall of the Roman Republic</t>
  </si>
  <si>
    <t>Patrick Gray</t>
  </si>
  <si>
    <t>Le poids des mots. Hommage Ã  Alicja Kacprzak</t>
  </si>
  <si>
    <t>Agnieszka Konowska-Agnieszka Woch-Andrzej Napieralski-Anna BobiÅ„ska</t>
  </si>
  <si>
    <t>Mechanizmy manifestowania orientacji ideologicznej w dyskursie politycznym</t>
  </si>
  <si>
    <t>Anita Filipczak-BiaÅ‚kowska</t>
  </si>
  <si>
    <t>Emprunts nÃ©ologiques et Ã©quivalents autochtones : Ã©tudes interlangues</t>
  </si>
  <si>
    <t>Christine Jacquet-Pfau-Andrzej Napieralski-Jean-FranÃ§ois Sablayrolles</t>
  </si>
  <si>
    <t>Aberration of Mind</t>
  </si>
  <si>
    <t>Diane Miller Sommerville</t>
  </si>
  <si>
    <t>Time Geography in the Global Context</t>
  </si>
  <si>
    <t>Kajsa EllegÃ¥rd</t>
  </si>
  <si>
    <t>The Believer and the Modern Study of the Bible</t>
  </si>
  <si>
    <t>Tova Ganzel-Yehudah Brandes-Chayuta Deutsch</t>
  </si>
  <si>
    <t>Towards a Decent Labour Market for Low-Waged Migrant Workers</t>
  </si>
  <si>
    <t>Conny Rijken-Tesseltje Lange</t>
  </si>
  <si>
    <t>State and Crafts in the Qing Dynasty (1644-1911)</t>
  </si>
  <si>
    <t>Christine Moll-Murata</t>
  </si>
  <si>
    <t>Heritage and Romantic Consumption in China</t>
  </si>
  <si>
    <t>Yujie Zhu</t>
  </si>
  <si>
    <t>Chivalry, Reading, and Women's Culture in Early Modern Spain</t>
  </si>
  <si>
    <t>Stacey Triplette</t>
  </si>
  <si>
    <t>Storytelling</t>
  </si>
  <si>
    <t>Rodolphe GaschÃ©</t>
  </si>
  <si>
    <t>The Freedom of Scientific Research</t>
  </si>
  <si>
    <t>Simona Giordano-John Harris-Lucio Piccirillo</t>
  </si>
  <si>
    <t>Long Road to Harpers Ferry</t>
  </si>
  <si>
    <t>Mark A. Lause</t>
  </si>
  <si>
    <t>Advanced Materials â€“ XV</t>
  </si>
  <si>
    <t>Tahir Ikram-Mustasim Billah Bhatty-Muhammad Mansoor-Ejaz Ahmed Mukhtar</t>
  </si>
  <si>
    <t>Thinking Time Geography</t>
  </si>
  <si>
    <t>Productive Fandom</t>
  </si>
  <si>
    <t>Nicolle Lamerichs</t>
  </si>
  <si>
    <t>Colonialism, Institutional Change, and Shifts in Global Labour Relations</t>
  </si>
  <si>
    <t>Karin Hofmeester-Pim Zwart</t>
  </si>
  <si>
    <t>Analogy and Exemplary Reasoning in Legal Discourse</t>
  </si>
  <si>
    <t>Hendrik Kaptein-Bastiaan Velden</t>
  </si>
  <si>
    <t>What, If Anything, Are Species?</t>
  </si>
  <si>
    <t>Brent D. Mishler</t>
  </si>
  <si>
    <t>Anatomy of a Civil War</t>
  </si>
  <si>
    <t>Mehmet Gurses</t>
  </si>
  <si>
    <t>Macht Arbeit Frei?</t>
  </si>
  <si>
    <t>Witold Medykowski</t>
  </si>
  <si>
    <t>Poverty and Climate Change</t>
  </si>
  <si>
    <t>Fitzroy B. Beckford</t>
  </si>
  <si>
    <t>The Justification of Responsibility in the UN Security Council</t>
  </si>
  <si>
    <t>Holger Niemann</t>
  </si>
  <si>
    <t>Climate Information for Public Health Action</t>
  </si>
  <si>
    <t>Madeleine C. Thomson-Simon J. Mason</t>
  </si>
  <si>
    <t>The American West and the World</t>
  </si>
  <si>
    <t>Janne Lahti</t>
  </si>
  <si>
    <t>The Routledge Handbook of Transregional Studies</t>
  </si>
  <si>
    <t>Matthias Middell</t>
  </si>
  <si>
    <t>Women and Politeness in Eighteenth-Century England</t>
  </si>
  <si>
    <t>Soile Ylivuori</t>
  </si>
  <si>
    <t>The Routledge Handbook of Museums, Media and Communication</t>
  </si>
  <si>
    <t>Kirsten Drotner-Vince Dziekan-Ross Parry-Kim Christian SchrÃ¸der</t>
  </si>
  <si>
    <t>Die Briefe des Ignatios von Antiochia</t>
  </si>
  <si>
    <t>Thomas Johann Bauer-Peter von MÃ¶llendorff</t>
  </si>
  <si>
    <t>Warum weinen?</t>
  </si>
  <si>
    <t>Moritz Buchner</t>
  </si>
  <si>
    <t>Transformations of Romanness</t>
  </si>
  <si>
    <t>Walter Pohl-Clemens Gantner-Cinzia Grifoni-Marianne Pollheimer-Mohaupt</t>
  </si>
  <si>
    <t>Die Interaktion von Herrschern und Eliten in imperialen Ordnungen des Mittelalters</t>
  </si>
  <si>
    <t>Wolfram Drews</t>
  </si>
  <si>
    <t>Justinian und die Armee des frÃ¼hen Byzanz</t>
  </si>
  <si>
    <t>Clemens Koehn</t>
  </si>
  <si>
    <t>The Enemy in Contemporary Film</t>
  </si>
  <si>
    <t>Martin LÃ¶schnigg-Marzena SokoÅ‚owska-ParyÅ¼</t>
  </si>
  <si>
    <t>As You Law It - Negotiating Shakespeare</t>
  </si>
  <si>
    <t>Daniela Carpi-FranÃ§ois Ost</t>
  </si>
  <si>
    <t>To Be at Home</t>
  </si>
  <si>
    <t>James Williams-Felicitas Hentschke</t>
  </si>
  <si>
    <t>Sprechen und ErzÃ¤hlen beim Stricker</t>
  </si>
  <si>
    <t>Nina Nowakowski</t>
  </si>
  <si>
    <t>The Epistolary Renaissance</t>
  </si>
  <si>
    <t>Maria LÃ¶schnigg-Rebekka Schuh</t>
  </si>
  <si>
    <t>Women Writing War</t>
  </si>
  <si>
    <t>Katharina von Hammerstein-Barbara Kosta-Julie Shoults</t>
  </si>
  <si>
    <t>Disruption in the Arts</t>
  </si>
  <si>
    <t>Lars Koch-Tobias Nanz-Johannes Pause</t>
  </si>
  <si>
    <t>Ethics for Radiation Protection in Medicine</t>
  </si>
  <si>
    <t>Jim Malone-Friedo ZÃ¶lzer-Gaston Meskens-Christina Skourou</t>
  </si>
  <si>
    <t>Safety and Reliability â€“ Safe Societies in a Changing World</t>
  </si>
  <si>
    <t>Stein Haugen-Anne Barros-Coen van Gulijk-Trond Kongsvik-Jan Erik Vinnem</t>
  </si>
  <si>
    <t>The Workplace of the Future</t>
  </si>
  <si>
    <t>Jon-Arild Johannessen</t>
  </si>
  <si>
    <t>Discourse in Translation</t>
  </si>
  <si>
    <t>Said Faiq</t>
  </si>
  <si>
    <t>Theory and Methods for Sociocultural Research in Science and Engineering Education</t>
  </si>
  <si>
    <t>Gregory J. Kelly-Judith L. Green</t>
  </si>
  <si>
    <t>Moving Boundaries in Translation Studies</t>
  </si>
  <si>
    <t>Helle Dam-Matilde BrÃ¸gger-Karen Zethsen</t>
  </si>
  <si>
    <t>On Self-Translation</t>
  </si>
  <si>
    <t>Ilan Stavans</t>
  </si>
  <si>
    <t>Pests and Vector-borne Diseases in the Livestock Industry</t>
  </si>
  <si>
    <t>Claire Garros-JÃ©rÃ©my Bouyer-Willem Takken-Renate C. Smallegange</t>
  </si>
  <si>
    <t>Fostering Transformation and Growth in Niger's Agricultural Sector</t>
  </si>
  <si>
    <t>Fleur Wouterse-Ousmane Badiane</t>
  </si>
  <si>
    <t>Integrated Approaches to Health</t>
  </si>
  <si>
    <t>Simon R. RÃ¼egg-Barbara HÃ¤sler-Jakob Zinsstag</t>
  </si>
  <si>
    <t>See It Feelingly</t>
  </si>
  <si>
    <t>Ralph James Savarese</t>
  </si>
  <si>
    <t>Zeolites and Metal-Organic Frameworks</t>
  </si>
  <si>
    <t>Vincent Blay-Luis Francisco Bobadilla-Alejandro Cabrera</t>
  </si>
  <si>
    <t>Stories</t>
  </si>
  <si>
    <t>Ian Christie-Annie Oever</t>
  </si>
  <si>
    <t>English Aristocratic Women and the Fabric of Piety, 1450-1550</t>
  </si>
  <si>
    <t>Barbara Harris</t>
  </si>
  <si>
    <t>Becoming a European Homegrown Jihadist</t>
  </si>
  <si>
    <t>Bart Schuurman</t>
  </si>
  <si>
    <t>Theaternarratologie</t>
  </si>
  <si>
    <t>Jan Horstmann</t>
  </si>
  <si>
    <t>Recht, Staat und Verwaltung im klassischen Indien / The State, the Law, and Administration in Classical India</t>
  </si>
  <si>
    <t>Bernhard KÃ¶lver</t>
  </si>
  <si>
    <t>Die AnfÃ¤nge der stÃ¤ndischen Vertretungen in PreuÃŸen und seinen NachbarlÃ¤ndern</t>
  </si>
  <si>
    <t>Hartmut Bookmann</t>
  </si>
  <si>
    <t>Klientelsysteme im Europa der FrÃ¼hen Neuzeit</t>
  </si>
  <si>
    <t>Antoni Maczak</t>
  </si>
  <si>
    <t>Goethe und die Juden â€“ die Juden und Goethe</t>
  </si>
  <si>
    <t>Anna-Dorothea Ludewig-Steffen HÃ¶hne</t>
  </si>
  <si>
    <t>Adel und BÃ¼rgertum in Deutschland 1770-1848</t>
  </si>
  <si>
    <t>Elisabeth Fehrenbach</t>
  </si>
  <si>
    <t>"Wahre" und "falsche" Heiligkeit</t>
  </si>
  <si>
    <t>Hubert Wolf</t>
  </si>
  <si>
    <t>Virtue Ethics and Education From Late Antiquity to the Eighteenth Century</t>
  </si>
  <si>
    <t>Andreas Hellerstedt</t>
  </si>
  <si>
    <t>Cinematic Vitalism</t>
  </si>
  <si>
    <t>Inga Pollmann</t>
  </si>
  <si>
    <t>The Gulf in World History</t>
  </si>
  <si>
    <t>Allen James Fromherz</t>
  </si>
  <si>
    <t>Surveillance, Maintenance and Diagnosis of Flood Protection Dikes</t>
  </si>
  <si>
    <t>Patrice MÃ©riaux-Paul Royet</t>
  </si>
  <si>
    <t>Faune sauvage, biodiversitÃ© et santÃ©, quels dÃ©fis ?</t>
  </si>
  <si>
    <t>Morand, S.-Moutou, FrancÌ§ois-Richomme, CeÌline</t>
  </si>
  <si>
    <t>The Making of Modern Psychiatry</t>
  </si>
  <si>
    <t>Ronald Chase</t>
  </si>
  <si>
    <t>The Troubles in Northern Ireland and Theories of Social Movements</t>
  </si>
  <si>
    <t>Lorenzo Bosi-Gianluca Fazio</t>
  </si>
  <si>
    <t>The Great West Ukrainian Prison Massacre of 1941</t>
  </si>
  <si>
    <t>Alexander Motyl-Ksenya Kiebuzinski</t>
  </si>
  <si>
    <t>Queer Festivals</t>
  </si>
  <si>
    <t>Konstantinos Eleftheriadis</t>
  </si>
  <si>
    <t>Nazism and Neo-Nazism in Film and Media</t>
  </si>
  <si>
    <t>Jason Lee</t>
  </si>
  <si>
    <t>Narrative Concepts in the Study of Eighteenth-Century Literature</t>
  </si>
  <si>
    <t>Liisa Steinby-Aino MÃ¤kikalli</t>
  </si>
  <si>
    <t>May '68</t>
  </si>
  <si>
    <t>Julie Pagis</t>
  </si>
  <si>
    <t>List Cultures</t>
  </si>
  <si>
    <t>Liam Young</t>
  </si>
  <si>
    <t>From Media Hype to Twitter Storm</t>
  </si>
  <si>
    <t>Peter Vasterman</t>
  </si>
  <si>
    <t>Emerging Socialities in 21st Century Healthcare</t>
  </si>
  <si>
    <t>Bernhard Hadolt-Anita Hardon</t>
  </si>
  <si>
    <t>Consuming Life in Post-Bubble Japan</t>
  </si>
  <si>
    <t>Katarzyna J. Cwiertka-Ewa Machotka</t>
  </si>
  <si>
    <t>Chinese Heritage in the Making</t>
  </si>
  <si>
    <t>Christina Maags-Marina Svensson</t>
  </si>
  <si>
    <t>A Player and a Gentleman</t>
  </si>
  <si>
    <t>Amy E. Hughes-Amy Hughes-Naomi J. Stubbs</t>
  </si>
  <si>
    <t>Paneas IV. The Aqueduct and the Northern Suburbs</t>
  </si>
  <si>
    <t>Moshe Hartal</t>
  </si>
  <si>
    <t>Paneas</t>
  </si>
  <si>
    <t>Salvage Excavations at Tel Moza</t>
  </si>
  <si>
    <t>Greenhut, Zvi.-De-Groot, Alon.-Barzilay, Eldad.</t>
  </si>
  <si>
    <t>Vassillios Tzaferis-Shoshana Israeli</t>
  </si>
  <si>
    <t>TzaphereÌ„s, Vasileios-Israeli, Shoshana-Israel.-Avissar, M.</t>
  </si>
  <si>
    <t>Zivilisatorische Verortungen</t>
  </si>
  <si>
    <t>Riccardo Bavaj-Martina Steber</t>
  </si>
  <si>
    <t>Painting and Publishing As Cultural Industries</t>
  </si>
  <si>
    <t>Claartje Rasterhoff</t>
  </si>
  <si>
    <t>Save the Womanhood!</t>
  </si>
  <si>
    <t>Samantha Caslin</t>
  </si>
  <si>
    <t>Urban Food Systems Governance and Poverty in African Cities</t>
  </si>
  <si>
    <t>Jane Battersby-Vanessa Watson</t>
  </si>
  <si>
    <t>From Models to Simulations</t>
  </si>
  <si>
    <t>Franck Varenne</t>
  </si>
  <si>
    <t>Gendered Violence</t>
  </si>
  <si>
    <t>Irina Astashkevich</t>
  </si>
  <si>
    <t>Advancing the Learning Agenda in Jewish Education</t>
  </si>
  <si>
    <t>Jon A. Levisohn-Jeffrey Kress</t>
  </si>
  <si>
    <t>L'eutrophisation</t>
  </si>
  <si>
    <t>Gilles Pinay-Chantal Gascuel-Alain MÃ©nesguen-Yves Souchon-Morgane Le Moal-Alix Levain-Claire Etrillard-Florentina Moatar-Alexandrine Pannard-Philippe Souchu</t>
  </si>
  <si>
    <t>Innovation et dÃ©veloppement dans les systÃ¨mes agricoles et alimentaires</t>
  </si>
  <si>
    <t>Guy Faure-Yuna Chiffoleau-FrÃ©dÃ©ric Goulet-Ludovic Temple-Jean-Marc Touzard</t>
  </si>
  <si>
    <t>The Routledge Companion to Butoh Performance</t>
  </si>
  <si>
    <t>DRAMA / Asian / Japanese</t>
  </si>
  <si>
    <t>Bruce Baird-Rosemary Candelario</t>
  </si>
  <si>
    <t>Intergenerational Family Relations</t>
  </si>
  <si>
    <t>Antti Tanskanen-Mirkka Danielsbacka</t>
  </si>
  <si>
    <t>Repealing the 8th</t>
  </si>
  <si>
    <t>Fiona de Londras-MÃ¡irÃ©ad Enright</t>
  </si>
  <si>
    <t>Rethinking Poverty</t>
  </si>
  <si>
    <t>Barry Knight</t>
  </si>
  <si>
    <t>High Performance Embedded Computing</t>
  </si>
  <si>
    <t>Luis Miguel Pinho-Eduardo Quinones-Marko Bertogna</t>
  </si>
  <si>
    <t>Soft and Stiffness-controllable Robotics Solutions for Minimally Invasive Surgery</t>
  </si>
  <si>
    <t>Jelizaveta Konstantinova-Helge Wurdemann-Ali Shafti</t>
  </si>
  <si>
    <t>Many Faces of Mulian</t>
  </si>
  <si>
    <t>Rostislav Berezkin</t>
  </si>
  <si>
    <t>IllegitimitÃ¤t im SpÃ¤tmittelalter</t>
  </si>
  <si>
    <t>Ludwig Schmugge</t>
  </si>
  <si>
    <t>Decolonising the University</t>
  </si>
  <si>
    <t>Gurminder K. Bhambra-Dalia Gebrial-Kerem NiÅŸancÄ±oÄŸlu</t>
  </si>
  <si>
    <t xml:space="preserve"> William J. Sutherland-Lynn V. Dicks-Nancy Ockendon-Silviu O. Petrovan-Rebecca K. Smith</t>
  </si>
  <si>
    <t>Europa im Geisterkrieg. Studien zu Nietzsche</t>
  </si>
  <si>
    <t xml:space="preserve"> Werner Stegmaier-Andrea C. Bertino</t>
  </si>
  <si>
    <t>Don Carlos Infante of Spain</t>
  </si>
  <si>
    <t xml:space="preserve"> Friedrich Schiller</t>
  </si>
  <si>
    <t>Undocumented Migrants and Healthcare</t>
  </si>
  <si>
    <t xml:space="preserve"> Marianne Jossen</t>
  </si>
  <si>
    <t>Exploring the Interior</t>
  </si>
  <si>
    <t xml:space="preserve"> Karl S. Guthke</t>
  </si>
  <si>
    <t>Transgender and The Literary Imagination</t>
  </si>
  <si>
    <t>Rachel Carroll</t>
  </si>
  <si>
    <t>Shakespeareâ€™s Moral Compass</t>
  </si>
  <si>
    <t>Neema Parvini</t>
  </si>
  <si>
    <t>Gamla II</t>
  </si>
  <si>
    <t>Syon, Danny-GutÌ£man, Shemaryah.-Yavor, Zvi.;Ê»Amit, DavÌ£id.</t>
  </si>
  <si>
    <t>HÌ£orbat Ê»UzÌ£a</t>
  </si>
  <si>
    <t>Getzov, Nimrod-Lieberman-Wander, Ronny-Smithline, Howard-Syon, Danny</t>
  </si>
  <si>
    <t>Maresha Excavations Final Report III: Epigraphic Finds From the 1989-2000 Seasons</t>
  </si>
  <si>
    <t>Amos Kloner, Esther Eshel, Hava B. Korzakova ans Gerald Finkielsztejn</t>
  </si>
  <si>
    <t>NahÌ£al HÌ£aggit</t>
  </si>
  <si>
    <t>Seligman, Jon.-Bijovsky, Gabriela.</t>
  </si>
  <si>
    <t>Getzov, Nimrod-Avshalom-Gorni, Dina-Gorin-Rosen, Yael-Stern, Edna J.-Syon, Danny-Tatcher, Ayelet</t>
  </si>
  <si>
    <t>Raum und Interieurs in Thomas Manns ErzÃ¤hlwerk</t>
  </si>
  <si>
    <t>Julian Reidy</t>
  </si>
  <si>
    <t>Negotiating the Borders of the Gender Regime</t>
  </si>
  <si>
    <t>Adrian de Silva</t>
  </si>
  <si>
    <t>What Is Rape?</t>
  </si>
  <si>
    <t>Hilkje HÃ¤nel</t>
  </si>
  <si>
    <t>Unsicheres Mitleid</t>
  </si>
  <si>
    <t>Georg Siller</t>
  </si>
  <si>
    <t>Freiheit als Kritik</t>
  </si>
  <si>
    <t>Karsten Schubert</t>
  </si>
  <si>
    <t>Der Andere als Herausforderung</t>
  </si>
  <si>
    <t>Carla Schriever</t>
  </si>
  <si>
    <t>Religion und Vernunft â€“ Ein Widerstreit?</t>
  </si>
  <si>
    <t>Cultures of Computer Game Concerns</t>
  </si>
  <si>
    <t>Estrid SÃ¶rensen</t>
  </si>
  <si>
    <t>â€žIrgendwann brauch' ich dann auch Hilfe â€¦!â€œ â€“ Selbstorganisation, Engagement und Mitverantwortung Ã¤lterer Menschen in lÃ¤ndlichen RÃ¤umen</t>
  </si>
  <si>
    <t>Monika Alisch-Annegret Boos-KrÃ¼ger-Martina Ritter-Christine SchÃ¶nberger-Roger Glaser-Yvonne Rubin-Barbara Solf-Leipold</t>
  </si>
  <si>
    <t>Borders and Margins</t>
  </si>
  <si>
    <t>Guy Lachapelle-Pablo OÃ±ate</t>
  </si>
  <si>
    <t>Bordering Two Unions</t>
  </si>
  <si>
    <t>Sylvia de Mars-Colin Murray-Aoife O'Donoghue-Ben Warwick</t>
  </si>
  <si>
    <t>Sites of Translation</t>
  </si>
  <si>
    <t>Laura Gonzales</t>
  </si>
  <si>
    <t>Science and Processing of Cast Iron XI</t>
  </si>
  <si>
    <t>Attila DiÃ³szegi-Vasile Lucian Diaconu-Anders E.W. Jarfors</t>
  </si>
  <si>
    <t>Postfeminist Whiteness</t>
  </si>
  <si>
    <t>Kendra Marston</t>
  </si>
  <si>
    <t>American Classics</t>
  </si>
  <si>
    <t>Judith P. Saunders</t>
  </si>
  <si>
    <t>The Lumbee Indians</t>
  </si>
  <si>
    <t>Malinda Maynor Lowery</t>
  </si>
  <si>
    <t>Modernism, Fiction and Mathematics</t>
  </si>
  <si>
    <t>Nina Engelhardt</t>
  </si>
  <si>
    <t>Persuasion in Public Discourse</t>
  </si>
  <si>
    <t>Jana PelclovÃ¡-Wei-lun Lu</t>
  </si>
  <si>
    <t>Machiavelli and the Politics of Democratic Innovation</t>
  </si>
  <si>
    <t>Christopher Holman</t>
  </si>
  <si>
    <t>Theories of Metaphor Revised</t>
  </si>
  <si>
    <t>Framing Social Interaction</t>
  </si>
  <si>
    <t>Anders Persson</t>
  </si>
  <si>
    <t>Fire and Snow</t>
  </si>
  <si>
    <t>Marc DiPaolo</t>
  </si>
  <si>
    <t>Language and Culture on the Margins</t>
  </si>
  <si>
    <t>Sjaak Kroon-Jos Swanenberg</t>
  </si>
  <si>
    <t>Rethinking Global Health</t>
  </si>
  <si>
    <t>Rochelle A. Burgess</t>
  </si>
  <si>
    <t>The Transformation of Tamil Religion</t>
  </si>
  <si>
    <t>Srilata Raman</t>
  </si>
  <si>
    <t>An Interdisciplinary Approach to the Human Mind</t>
  </si>
  <si>
    <t>Line Joranger</t>
  </si>
  <si>
    <t>Administracyjnoprawne ograniczenia prawa wÅ‚asnoÅ›ci nieruchomoÅ›ci</t>
  </si>
  <si>
    <t>Åukasz KamiÅ„ski</t>
  </si>
  <si>
    <t>ÐœÐµÑ‚Ð°Ñ„Ð¾Ñ€Ð° Ð’ Ð¢Ð²Ð¾Ñ€Ñ‡ÐµÑÑ‚Ð²Ðµ Ð¡ÐµÑ€Ð³ÐµÑ Ð•ÑÐµÐ½Ð¸Ð½Ð° Ð˜ Ð•Ðµ ÐŸÐµÑ€ÐµÐ²Ð¾Ð´ ÐÐ° ÐŸÐ¾Ð»ÑŒÑÐºÐ¸Ð¹ Ð¯Ð·Ñ‹Ðº</t>
  </si>
  <si>
    <t>EÅ‚ona Curkan-DrÃ³Å¼ka</t>
  </si>
  <si>
    <t>Menschenrechtsbildung an Gymnasien</t>
  </si>
  <si>
    <t>Stefanie Rinaldi</t>
  </si>
  <si>
    <t>Duale Ausbildung im Tourismus - das Projekt MENDI</t>
  </si>
  <si>
    <t>Kirsten Lehmkuhl-Stefan Wolf-Marcus Eckelt</t>
  </si>
  <si>
    <t>Going to Pentecost</t>
  </si>
  <si>
    <t>Annelin Eriksen-Ruy Llera Blanes-Michelle MacCarthy</t>
  </si>
  <si>
    <t>L'Europe dans le monde du football</t>
  </si>
  <si>
    <t>Philippe Vonnard</t>
  </si>
  <si>
    <t>Arabic in Contact</t>
  </si>
  <si>
    <t>Stefano Manfredi-Mauro Tosco</t>
  </si>
  <si>
    <t>Electronic Democracy</t>
  </si>
  <si>
    <t>Norbert Kersting</t>
  </si>
  <si>
    <t>Radical Approaches to Political Science: Roads Less Traveled</t>
  </si>
  <si>
    <t>Rainer Eisfeld</t>
  </si>
  <si>
    <t>Von der fÃ¼rsorglichen Bevormundung Ã¼ber die organisierte Unverantwortlichkeit zur  professionsgestÃ¼tzten selbstbestimmten Teilhabe?</t>
  </si>
  <si>
    <t>Johann Behrens-Andreas Weber-Michael Schubert</t>
  </si>
  <si>
    <t>Jane H. Bayes</t>
  </si>
  <si>
    <t>Genderkompetenz in pÃ¤dagogischer Interaktion</t>
  </si>
  <si>
    <t>Ulrike Stadler-Altmann</t>
  </si>
  <si>
    <t>Familientradition Hartz IV?</t>
  </si>
  <si>
    <t>Dominik Wagner-Diehl</t>
  </si>
  <si>
    <t>Von der Schule in die Berufsausbildung</t>
  </si>
  <si>
    <t>AndrÃ© Epp</t>
  </si>
  <si>
    <t>UnschÃ¤rfe in der Erziehungswissenschaft</t>
  </si>
  <si>
    <t>Martin Eugen Gallmann</t>
  </si>
  <si>
    <t>Gaming the Stage</t>
  </si>
  <si>
    <t>Gina Bloom</t>
  </si>
  <si>
    <t>Recoding Life</t>
  </si>
  <si>
    <t>Sakari Tamminen-Eric Deibel</t>
  </si>
  <si>
    <t>Local Knowledge Matters</t>
  </si>
  <si>
    <t>Kharisma Nugroho-Fred Carden-Hans Antlov</t>
  </si>
  <si>
    <t>Gender Based Violence in University Communities</t>
  </si>
  <si>
    <t>Sundari Anitha-Ruth Lewis</t>
  </si>
  <si>
    <t>ZISU 4 - ebook</t>
  </si>
  <si>
    <t>Ulrich Gebhard-Merle Hummrich-Kerstin Rabenstein-Sabine Rah</t>
  </si>
  <si>
    <t>Problemfelder kindlicher Entwicklung</t>
  </si>
  <si>
    <t>Friedhelm Eller-Armin G. Wildfeuer</t>
  </si>
  <si>
    <t>Kooperationsmanagement</t>
  </si>
  <si>
    <t>Ulrich Deller</t>
  </si>
  <si>
    <t>The Holocaust in Three Generations</t>
  </si>
  <si>
    <t>Gabriele Rosenthal</t>
  </si>
  <si>
    <t>Internet basierte Ausbildungssupervision</t>
  </si>
  <si>
    <t>Michael Ziemons</t>
  </si>
  <si>
    <t>Jugendliche in der Provinz</t>
  </si>
  <si>
    <t>Michael May</t>
  </si>
  <si>
    <t>After 9/11: Leading Political Thinkers About the World, the U.S. And Themselves</t>
  </si>
  <si>
    <t>Tobias Endler</t>
  </si>
  <si>
    <t>Systemische Beratung in Pflege und Pflegebildung</t>
  </si>
  <si>
    <t>Elke Geyer-Andrea Rose-Renate Zwicker-Pelzer</t>
  </si>
  <si>
    <t>AMIQUS â€“ Unter Freunden</t>
  </si>
  <si>
    <t>Michael May-Monika Alisch</t>
  </si>
  <si>
    <t>Vergangenheit als Gegenwart â€“ Zum 40-jÃ¤hrigen Bestehen der Sektion Erwachsenenbildung der DGfE</t>
  </si>
  <si>
    <t>Familien in kritischen Situationen der klinischen Pflege</t>
  </si>
  <si>
    <t>Andrea Schiff</t>
  </si>
  <si>
    <t>Geschlecht in gesellschaftlichen Transformationsprozessen</t>
  </si>
  <si>
    <t>Katharina Walgenbach-Anna Stach</t>
  </si>
  <si>
    <t>Sozialraum und Governance</t>
  </si>
  <si>
    <t>Monika Alisch</t>
  </si>
  <si>
    <t>Kinder in JugendverbÃ¤nden</t>
  </si>
  <si>
    <t>Gunda Voigts</t>
  </si>
  <si>
    <t>PÃ¤dagogische Kasuistik</t>
  </si>
  <si>
    <t>Johannes Twardella</t>
  </si>
  <si>
    <t>Lernumgebungen</t>
  </si>
  <si>
    <t>Democracy Under Stress</t>
  </si>
  <si>
    <t>Ursula J. van Beek-Edmund Wnuk-Lipinski</t>
  </si>
  <si>
    <t>Wirtlich handeln in Sozialer Arbeit</t>
  </si>
  <si>
    <t>Wolf Rainer Wendt</t>
  </si>
  <si>
    <t>Nazi Characters in German Propaganda and Literature</t>
  </si>
  <si>
    <t>Dagmar C. G. Lorenz</t>
  </si>
  <si>
    <t>Buddhist Encounters and Identities Across East Asia</t>
  </si>
  <si>
    <t>Ann Heirman-Carmen Meinert-Christoph Anderl</t>
  </si>
  <si>
    <t>The Religious Polemics of the Muslims of Late Medieval Christian Iberia</t>
  </si>
  <si>
    <t>Remaking Gender and the Family</t>
  </si>
  <si>
    <t>Sarah Woodland</t>
  </si>
  <si>
    <t>The Discursive Construction of Identities On- and Offline</t>
  </si>
  <si>
    <t>Birte BÃ¶s-Sonja Kleinke-Sandra Mollin-Nuria HernÃ¡ndez</t>
  </si>
  <si>
    <t>Silicon-Germanium Heterojunction Bipolar Transistors for Mm-wave Systems Technology, Modeling and Circuit Applications</t>
  </si>
  <si>
    <t>NiccolÃ² Rinaldi-Michael SchrÃ¶ter</t>
  </si>
  <si>
    <t>A World of Fiction</t>
  </si>
  <si>
    <t>Katherine Bode</t>
  </si>
  <si>
    <t>Akko I, the 1991-1998 Excavations</t>
  </si>
  <si>
    <t>Stern, Edna J.-Shapiro, Anastasia-Waksman, S. Y.</t>
  </si>
  <si>
    <t>The Azor Cemetery: Moshe Dothanâ€™s Excavations, 1958 and 1960</t>
  </si>
  <si>
    <t>David Ben-Shlomo</t>
  </si>
  <si>
    <t>Mary's Well, Nazareth</t>
  </si>
  <si>
    <t>Alexandre, Y.</t>
  </si>
  <si>
    <t>BaysaÌ„n</t>
  </si>
  <si>
    <t>Rachel Bar-Nathan</t>
  </si>
  <si>
    <t>The Ramat Bet Shemesh Regional Project: Landscapes of Settlement From the Paleolithic to the Ottoman Periods</t>
  </si>
  <si>
    <t>Yehuda Dagan</t>
  </si>
  <si>
    <t>The Ramat Bet Shemesh Regional Project: The Gazetteer</t>
  </si>
  <si>
    <t>Commerce, Finance and Statecraft</t>
  </si>
  <si>
    <t>Benjamin Dew</t>
  </si>
  <si>
    <t>Negotiating Nursing</t>
  </si>
  <si>
    <t>Jane Brooks</t>
  </si>
  <si>
    <t>Pageantry and Power</t>
  </si>
  <si>
    <t>Tracey Hill</t>
  </si>
  <si>
    <t>Law and Violence</t>
  </si>
  <si>
    <t>Christoph Menke</t>
  </si>
  <si>
    <t>Kooperative Informationsinfrastrukturen als Chance und Herausforderung</t>
  </si>
  <si>
    <t>Achim Bonte-Juliane Rehnolt</t>
  </si>
  <si>
    <t>Going to Court to Change Japan</t>
  </si>
  <si>
    <t>Patricia G. Steinhoff</t>
  </si>
  <si>
    <t>Familienfeste der Griechen und RÃ¶mer</t>
  </si>
  <si>
    <t>Ernst Samter</t>
  </si>
  <si>
    <t>Bet She'an IV: Hellenistic Nysa-Scythopolis; The Amphora Stamps and Sealings from Tel Iztabba</t>
  </si>
  <si>
    <t>Gabriel Mazor, Walid Atrash, Gerald Finkielsztejn</t>
  </si>
  <si>
    <t>Back to Qumran: Final Report (1993-2004) (JSP 18)</t>
  </si>
  <si>
    <t>Yitzhak Magen-Yuval Peleg</t>
  </si>
  <si>
    <t>Gendered Temporalities in the Early Modern World</t>
  </si>
  <si>
    <t>Borders and Mobility in South Asia and Beyond</t>
  </si>
  <si>
    <t>Reece Jones-Md. Azmeary Ferdoush</t>
  </si>
  <si>
    <t>Bet She'an III:: Nysa-Scythopolis. The Southern And Severan Theaters. Part 1: The Stratigraphy and Finds</t>
  </si>
  <si>
    <t>Gabriel Mazor-Walid Atrash</t>
  </si>
  <si>
    <t>The Governance of International Migration</t>
  </si>
  <si>
    <t>Aysen E. ÃœstÃ¼bici Ã–nay</t>
  </si>
  <si>
    <t>NICHTS NEUES SCHAFFEN</t>
  </si>
  <si>
    <t>Antonia Putzger-Marion Heisterberg-Susanne MÃ¼ller-Bechtel</t>
  </si>
  <si>
    <t>Stamping American Memory</t>
  </si>
  <si>
    <t>Sheila Brennan</t>
  </si>
  <si>
    <t>Forging the Ideal Educated Girl</t>
  </si>
  <si>
    <t>Shenila Khoja-Moolji</t>
  </si>
  <si>
    <t>AKKO II;THE 1991-1998 EXCAVATIONS</t>
  </si>
  <si>
    <t>Moshe Hartal-Danny Syon-Eliezer Stern-Ayelet Tatcher</t>
  </si>
  <si>
    <t>Gamla III: The Shmarya Gutmann Excavations 1976-1989, Finds and Studies: Part 2</t>
  </si>
  <si>
    <t>Danny Syon</t>
  </si>
  <si>
    <t>Gamla III</t>
  </si>
  <si>
    <t>Bet She'an III:: Nysa-Scythopolis. The Southern And Severan Theaters. Part 2: The Archutecture</t>
  </si>
  <si>
    <t>Caesarea Maritima</t>
  </si>
  <si>
    <t>Porath, Y.-Bijovsky, Gabriela-Cotton, Hannah-Eck, Werner-Finkielsztejn, GeÌrald-Gendelman, Peter-Gersht, Rivka-Gorin-Rosen, Yael-Gur, Karmit-Katsnelson, Natalya-Lernau, Omri</t>
  </si>
  <si>
    <t>Syon, Danny-GutÌ£man, Shemaryah.-Israel.-Amorai-Stark, Shua</t>
  </si>
  <si>
    <t>Bet Degan: Intermediate Bronze Age And Mamluk- Period Cemeteries 2004- 2005 Excavations</t>
  </si>
  <si>
    <t>Eli Yannai-Yossi Nagar</t>
  </si>
  <si>
    <t>Bet Yerah</t>
  </si>
  <si>
    <t>Greenberg, Raphael-Iserlis, Mark-Liphschitz, Nili-Mienis, Henk K.-Paz, Sarit-Rosen, Steven A-Rosenberg, Danny-Shimelmitz, Ron</t>
  </si>
  <si>
    <t>Caesarea Maritima I: Herodâ€™s Circus and Related Buildings. Part 1: Architecture and Stratigraphy</t>
  </si>
  <si>
    <t>Yosef Porath</t>
  </si>
  <si>
    <t>Jerusalem Excavations in the Tyropoeon Valley (Givati Parking Lot) I</t>
  </si>
  <si>
    <t>Doron Ben-Ami</t>
  </si>
  <si>
    <t>Shakespeare and the Legacy of Loss</t>
  </si>
  <si>
    <t>Emily Hodgson Anderson</t>
  </si>
  <si>
    <t>Enthusiast!</t>
  </si>
  <si>
    <t>David Herd</t>
  </si>
  <si>
    <t>Representations of Slave Women in Discourses on Slavery and Abolition, 1780â€“1838</t>
  </si>
  <si>
    <t>Henrice Altink</t>
  </si>
  <si>
    <t>Consciousness and Moral Status</t>
  </si>
  <si>
    <t>Joshua Shepherd</t>
  </si>
  <si>
    <t>Queer in Africa</t>
  </si>
  <si>
    <t>Zethu Matebeni-Surya Monro-Vasu Reddy</t>
  </si>
  <si>
    <t>Gender, Age, and Gendered Age in Relation to Attitudes to One's Own Appearance and Health (Chosen Aspects)</t>
  </si>
  <si>
    <t>Ewa Malinowska-Krystyna Dzwonkowska-Godula-Emilia Garncarek-Julita Czernecka-Joanna BrzeziÅ„ska</t>
  </si>
  <si>
    <t>Montesquieu: Der aristokratische Geist der AufklÃ¤rung</t>
  </si>
  <si>
    <t>Hans Schlosser</t>
  </si>
  <si>
    <t>Das Ringen um das Selbst</t>
  </si>
  <si>
    <t>Sandra Schmitt</t>
  </si>
  <si>
    <t>Demokratie, Recht und soziale Kontrolle im klassischen Athen</t>
  </si>
  <si>
    <t>David Cohen-Elisabeth MÃ¼ller-Luckner</t>
  </si>
  <si>
    <t>Cultivating Political and Public Identity</t>
  </si>
  <si>
    <t>Rodney Barker</t>
  </si>
  <si>
    <t>Unpopular Culture</t>
  </si>
  <si>
    <t>Martin Luthe-Sascha Pohlmann</t>
  </si>
  <si>
    <t>The Displacement of Borders Among Russian Koreans in Northeast Asia</t>
  </si>
  <si>
    <t>Hyun-Gwi Park</t>
  </si>
  <si>
    <t>The Politics of Slavery</t>
  </si>
  <si>
    <t>Laura Brace</t>
  </si>
  <si>
    <t>The Foreign Policy of Islamist Political Parties</t>
  </si>
  <si>
    <t>Mohamed-Ali Adraoui</t>
  </si>
  <si>
    <t>Denying the Spoils of War</t>
  </si>
  <si>
    <t>Joseph O'Mahoney</t>
  </si>
  <si>
    <t>Bioeconomy Challenges and Implementation: the European Research Organisationsâ€™ Perspective</t>
  </si>
  <si>
    <t>Restaurer les milieux et prÃ©venir les inondations grÃ¢ce au gÃ©nie vÃ©gÃ©tal</t>
  </si>
  <si>
    <t>Que serions-nous sans eux ?</t>
  </si>
  <si>
    <t>Murielle NaÃ¯tali</t>
  </si>
  <si>
    <t>Between Jews and Heretics</t>
  </si>
  <si>
    <t>Matthijs den Dulk</t>
  </si>
  <si>
    <t>Vivir Bien As an Alternative to Neoliberal Globalization</t>
  </si>
  <si>
    <t>Eija Ranta</t>
  </si>
  <si>
    <t>Traces of War</t>
  </si>
  <si>
    <t>Colin Davis</t>
  </si>
  <si>
    <t>Disabled Bodies in Early Modern Spanish Literature</t>
  </si>
  <si>
    <t>EncarnaciÃ³n JuÃ¡rez-Almendros</t>
  </si>
  <si>
    <t>Women's Literary Networks and Romanticism</t>
  </si>
  <si>
    <t>Andrew O. Winckles-Angela Rehbein</t>
  </si>
  <si>
    <t>Europeanization in Sweden</t>
  </si>
  <si>
    <t>Anna Meeuwisse-Roberto Scaramuzzino</t>
  </si>
  <si>
    <t>Lessons in Perception</t>
  </si>
  <si>
    <t>Paul Taberham</t>
  </si>
  <si>
    <t>The Witness As Object</t>
  </si>
  <si>
    <t>Steffi de Jong</t>
  </si>
  <si>
    <t>Posthumous America</t>
  </si>
  <si>
    <t>Benjamin Hoffmann</t>
  </si>
  <si>
    <t>Managerial Capitalism</t>
  </si>
  <si>
    <t>GÃ©rard DumÃ©nil-Dominique LÃ©vy</t>
  </si>
  <si>
    <t>Hope Lies in the Proles</t>
  </si>
  <si>
    <t>John Newsinger</t>
  </si>
  <si>
    <t>A Theory of ISIS</t>
  </si>
  <si>
    <t>Mohammad-Mahmoud Ould Mohamedou</t>
  </si>
  <si>
    <t>Politics of Quality in Education</t>
  </si>
  <si>
    <t>Jaakko Kauko-Risto Rinne-Tuomas Takala</t>
  </si>
  <si>
    <t>Bonn, Jakarta und der Kalte Krieg</t>
  </si>
  <si>
    <t>Till Florian TÃ¶mmel</t>
  </si>
  <si>
    <t>Cognitive Disability Aesthetics</t>
  </si>
  <si>
    <t>Microscale Testing in Aquatic Toxicology</t>
  </si>
  <si>
    <t>Peter G. Wells-Kenneth Lee-Christian Blaise</t>
  </si>
  <si>
    <t>Constituent, Confederate, and Conquered Space</t>
  </si>
  <si>
    <t>Eva Cancik-Kirschbaum-Nicole Brisch-Jesper Eidem</t>
  </si>
  <si>
    <t>Oaths and Swearing in Ancient Greece</t>
  </si>
  <si>
    <t>Alan H. Sommerstein-Isabelle C. Torrance</t>
  </si>
  <si>
    <t>The World Jewish Congress During the Holocaust</t>
  </si>
  <si>
    <t>Zohar Segev</t>
  </si>
  <si>
    <t>Reichenbachâ€™s Paradise</t>
  </si>
  <si>
    <t>Leszek Wronski</t>
  </si>
  <si>
    <t>Youth and Experiences of Ageing Among Maa</t>
  </si>
  <si>
    <t>Paul Spencer</t>
  </si>
  <si>
    <t>Coordination Abilities in Volleyball</t>
  </si>
  <si>
    <t>SPORTS &amp; RECREATION / Essays</t>
  </si>
  <si>
    <t>JaromÃ­r Å imonek</t>
  </si>
  <si>
    <t>An Historical Geography of Tourism in Victoria, Australia</t>
  </si>
  <si>
    <t>Ian Clark</t>
  </si>
  <si>
    <t>Major Trends in Theoretical and Applied Linguistics 3</t>
  </si>
  <si>
    <t>Nikolaos Lavidas-ThomaÃ¯ Alexiou-Areti Maria Sougari</t>
  </si>
  <si>
    <t>Major Trends in Theoretical and Applied Linguistics 2</t>
  </si>
  <si>
    <t>Major Trends in Theoretical and Applied Linguistics 1</t>
  </si>
  <si>
    <t>An Experimental Study on Adhesive or Anti-adhesive, Bio-inspired Experimental Nanomaterials</t>
  </si>
  <si>
    <t>Emiliano Lepore-Nicola Pugno</t>
  </si>
  <si>
    <t>Rating EFL Written Performance</t>
  </si>
  <si>
    <t>Katalin Bukta</t>
  </si>
  <si>
    <t>Exploring Cultural Identities in Jean Rhysâ€™ Fiction</t>
  </si>
  <si>
    <t>Cristina-Georgiana Voicu</t>
  </si>
  <si>
    <t>Mutation Breeding in Chickpea:</t>
  </si>
  <si>
    <t>IMRAN Kozgar</t>
  </si>
  <si>
    <t>Russia in the Reign of Aleksei Mikhailovich</t>
  </si>
  <si>
    <t>Grigorii Karpovich Kotoshikhin-Marshall Poe</t>
  </si>
  <si>
    <t>Retirement Timing and Social Stratification</t>
  </si>
  <si>
    <t>Jonas Radl</t>
  </si>
  <si>
    <t>Monumental Polovtsian Statues in Eastern Europe</t>
  </si>
  <si>
    <t>Aneta Golebiowska-Tobiasz</t>
  </si>
  <si>
    <t>Musket, Map and Money:</t>
  </si>
  <si>
    <t>Jimmy Teng</t>
  </si>
  <si>
    <t>Computational Approaches to the Study of Movement in Archaeology</t>
  </si>
  <si>
    <t>Silvia Polla-Philip Verhagen</t>
  </si>
  <si>
    <t>Translating Chinese Tradition and Teaching Tangut Culture</t>
  </si>
  <si>
    <t>The Post-Human Society</t>
  </si>
  <si>
    <t>Rajani Kanth</t>
  </si>
  <si>
    <t>Ageing in Europe - Supporting Policies for an Inclusive Society</t>
  </si>
  <si>
    <t>Axel BÃ¶rsch-Supan-Thorsten Kneip-Howard Litwin-Michal Myck-Guglielmo Weber</t>
  </si>
  <si>
    <t>Patient Engagement</t>
  </si>
  <si>
    <t>Guendalina Graffigna-Serena Barello-Stefano Triberti</t>
  </si>
  <si>
    <t>Imagining Human Rights</t>
  </si>
  <si>
    <t>Susanne Kaul-David Kim</t>
  </si>
  <si>
    <t>Variation und Wandel</t>
  </si>
  <si>
    <t>Saskia Schuster</t>
  </si>
  <si>
    <t>Facets of Facebook</t>
  </si>
  <si>
    <t>Kathrin Knautz-Katsiaryna S. Baran</t>
  </si>
  <si>
    <t>Metatexte</t>
  </si>
  <si>
    <t>Friedrich-Emanuel Focken-Michael R. Ott</t>
  </si>
  <si>
    <t>The Masorah of Elijah Ha-Naqdan</t>
  </si>
  <si>
    <t>Ã‰lodie Attia</t>
  </si>
  <si>
    <t>Mobility and Biography</t>
  </si>
  <si>
    <t>Sarah Panter</t>
  </si>
  <si>
    <t>Was bedeutet Ordnung - was ordnet Bedeutung?</t>
  </si>
  <si>
    <t>Christian David HaÃŸ-Eva Marie Noller</t>
  </si>
  <si>
    <t>Physik und Poetik</t>
  </si>
  <si>
    <t>Quarks and Letters</t>
  </si>
  <si>
    <t>Women in the Ancient Near East</t>
  </si>
  <si>
    <t>Marten Stol</t>
  </si>
  <si>
    <t>The Challenge of Minority Integration</t>
  </si>
  <si>
    <t>Peter A. Kraus-Peter Kivisto</t>
  </si>
  <si>
    <t>Muslims and Christians in the Bulgarian Rhodopes.</t>
  </si>
  <si>
    <t>Magdalena Lubanska</t>
  </si>
  <si>
    <t>Melchizedek Passages in the Bible</t>
  </si>
  <si>
    <t>Chan Alan KamYau</t>
  </si>
  <si>
    <t>Society, Law, and Culture in the Middle East</t>
  </si>
  <si>
    <t>Dror Zeâ€™evi-Ehud R. Toledano</t>
  </si>
  <si>
    <t>The Archaeology of Death in Post-medieval Europe</t>
  </si>
  <si>
    <t>Biological Invasions in Changing Ecosystems</t>
  </si>
  <si>
    <t>JoÃ£o Canning-Clode</t>
  </si>
  <si>
    <t>Architectural Journal 1960-1975</t>
  </si>
  <si>
    <t>Rob Krier</t>
  </si>
  <si>
    <t>VergilÂ´s Political Commentary</t>
  </si>
  <si>
    <t>Leendert Weeda</t>
  </si>
  <si>
    <t>The Sons of Scripture</t>
  </si>
  <si>
    <t>Mikhail Kizilov</t>
  </si>
  <si>
    <t>Introduction to Paremiology</t>
  </si>
  <si>
    <t>Hrisztalina Hrisztova-Gotthardt-Melita Aleksa Varga</t>
  </si>
  <si>
    <t>Communication and Materiality</t>
  </si>
  <si>
    <t>Susanne Enderwitz-Rebecca Sauer</t>
  </si>
  <si>
    <t>Plant Life of Southwestern Australia</t>
  </si>
  <si>
    <t>Philip Groom-Byron Lamont</t>
  </si>
  <si>
    <t>Optically Induced Nanostructures</t>
  </si>
  <si>
    <t>SCIENCE / Microscopes &amp; Microscopy</t>
  </si>
  <si>
    <t>Karsten KÃ¶nig-Andreas Ostendorf</t>
  </si>
  <si>
    <t>Fear and Loathing in the North</t>
  </si>
  <si>
    <t>Cordelia HeÃŸ-Jonathan Adams</t>
  </si>
  <si>
    <t>Galeni In Hippocratis Epidemiarum librum II Commentariorum I-III versio Arabica</t>
  </si>
  <si>
    <t>Defending Christian Faith</t>
  </si>
  <si>
    <t>Abjar Bahkou</t>
  </si>
  <si>
    <t>Linguistic Atlas of French Polynesia / Atlas Linguistique De La PolynÃ©sie FranÃ§aise</t>
  </si>
  <si>
    <t>Jean-Michel Charpentier-Alexandre FranÃ§ois</t>
  </si>
  <si>
    <t>Riemann-Roch Spaces and Computation</t>
  </si>
  <si>
    <t>Paraskevas Alvanos</t>
  </si>
  <si>
    <t>Enabling Positive Change</t>
  </si>
  <si>
    <t>Paolo Inghilleri-Giuseppe Riva-Eleonora Riva</t>
  </si>
  <si>
    <t>Bird Ringing Station Manual</t>
  </si>
  <si>
    <t>NATURE / Birdwatching Guides</t>
  </si>
  <si>
    <t>Przemyslaw Busse-Wlodzimierz Meissner</t>
  </si>
  <si>
    <t>Papier im mittelalterlichen Europa</t>
  </si>
  <si>
    <t>Carla Meyer-Sandra Schultz-Bernd SchneidmÃ¼ller</t>
  </si>
  <si>
    <t>Thomas Meier-Michael R. Ott-Rebecca Sauer</t>
  </si>
  <si>
    <t>Karolingische KlÃ¶ster</t>
  </si>
  <si>
    <t>Julia Becker-Tino Licht-Stefan Weinfurter</t>
  </si>
  <si>
    <t>Language MOOCs</t>
  </si>
  <si>
    <t>Elena MartÃ­n-Monje-Elena BÃ¡rcena</t>
  </si>
  <si>
    <t>Body Law and the Body of Law</t>
  </si>
  <si>
    <t>Christine M. Hassenstab</t>
  </si>
  <si>
    <t>Marine Propulsion Simulation</t>
  </si>
  <si>
    <t>Michele Martelli</t>
  </si>
  <si>
    <t>An Introduction to Nonlinear Optimization Theory</t>
  </si>
  <si>
    <t>Marius Durea-Radu Strugariu</t>
  </si>
  <si>
    <t>Biochemistry Laboratory Manual For Undergraduates</t>
  </si>
  <si>
    <t>Timea Gerczei Fernandez-Scott Pattison</t>
  </si>
  <si>
    <t>Arab Women in Algeria</t>
  </si>
  <si>
    <t>Hubertine Auclert</t>
  </si>
  <si>
    <t>Mathematics for the Physical Sciences</t>
  </si>
  <si>
    <t>Leslie Copley</t>
  </si>
  <si>
    <t>Bibliotheken: Innovation aus Tradition</t>
  </si>
  <si>
    <t>Klaus Ceynowa-Martin Hermann</t>
  </si>
  <si>
    <t>Interacting with Presence</t>
  </si>
  <si>
    <t>Giuseppe Riva-John Waterworth-Dianne Murray</t>
  </si>
  <si>
    <t>Miniaturization in Sample Preparation</t>
  </si>
  <si>
    <t>Francisco Pena Pereira</t>
  </si>
  <si>
    <t>Materiality, Techniques and Society in Pottery Production</t>
  </si>
  <si>
    <t>Daniel Albero Santacreu</t>
  </si>
  <si>
    <t>Creativity: the Actor in Performance</t>
  </si>
  <si>
    <t>Helen Trenos</t>
  </si>
  <si>
    <t>Palpation fÃ¼r das Beckenbodentraining</t>
  </si>
  <si>
    <t>Engelbert Hanzal-Bernhard Bartosch-Christine Stelzhammer-Elisabeth Udier</t>
  </si>
  <si>
    <t>Genre und Gemeinsinn</t>
  </si>
  <si>
    <t>Zukunftsgestaltung durch Ã–ffentliches Recht</t>
  </si>
  <si>
    <t>Bernhard Ehrenzeller-Astrid Wallrabenstein-Ulrich Haltern-et al.</t>
  </si>
  <si>
    <t>Spatial Analysis and Social Spaces</t>
  </si>
  <si>
    <t>Eleftheria Paliou-Undine Lieberwirth-Silvia Polla</t>
  </si>
  <si>
    <t>Die Jugend des Dionysos</t>
  </si>
  <si>
    <t>Nicole KrÃ¶ll</t>
  </si>
  <si>
    <t>Fractional Dynamics</t>
  </si>
  <si>
    <t>Carlo Cattani-Hari M. Srivastava-Xiao-Jun Yang</t>
  </si>
  <si>
    <t>Inside War</t>
  </si>
  <si>
    <t>Formulation in Action</t>
  </si>
  <si>
    <t>David Dawson-Nima Moghaddam</t>
  </si>
  <si>
    <t>The Eurasian Triangle</t>
  </si>
  <si>
    <t>Hiroaki Kuromiya-Georges Mamoulia</t>
  </si>
  <si>
    <t>Insight Into Theoretical and Applied Informatics</t>
  </si>
  <si>
    <t>Andrzej Yatsko-Walery Suslow</t>
  </si>
  <si>
    <t>Biomedical Chemistry</t>
  </si>
  <si>
    <t>Nuno Vale</t>
  </si>
  <si>
    <t>Religion As a Philosophical Matter</t>
  </si>
  <si>
    <t>Lars Albinus</t>
  </si>
  <si>
    <t>A Peep at the Blacks'</t>
  </si>
  <si>
    <t>The Collapse of Time</t>
  </si>
  <si>
    <t>Andrew Redden</t>
  </si>
  <si>
    <t>A COPD Primer</t>
  </si>
  <si>
    <t>Ralph Panos-William Eschenbacher</t>
  </si>
  <si>
    <t>Materiality of Writing in Early Mesopotamia</t>
  </si>
  <si>
    <t>Thomas E. Balke-Christina Tsouparopoulou</t>
  </si>
  <si>
    <t>Variance in Arabic Manuscripts</t>
  </si>
  <si>
    <t>Florian Sobieroj</t>
  </si>
  <si>
    <t>Microwave and Radio-Frequency Technologies in Agriculture</t>
  </si>
  <si>
    <t>Graham Brodie-Mohan V. Jacob-Peter Farrell</t>
  </si>
  <si>
    <t>Simplifying Complexity</t>
  </si>
  <si>
    <t>George E. Yoos</t>
  </si>
  <si>
    <t>Teaching Political Science to Undergraduates</t>
  </si>
  <si>
    <t>Laure Paquette</t>
  </si>
  <si>
    <t>Sustainability Indicators in Practice</t>
  </si>
  <si>
    <t>Agnieszka Latawiec-Dorice Agol</t>
  </si>
  <si>
    <t>The Well-Being of Children</t>
  </si>
  <si>
    <t>Gottfried Schweiger-Gunter Graf</t>
  </si>
  <si>
    <t>The Writing System of Scribe Zhou</t>
  </si>
  <si>
    <t>Haeree Park</t>
  </si>
  <si>
    <t>Cooperation and Conflict the Nordic Way</t>
  </si>
  <si>
    <t>Fredrik Engelstad-Anniken Hagelund</t>
  </si>
  <si>
    <t>Variation im europÃ¤ischen Kontrast</t>
  </si>
  <si>
    <t>Martine Dalmas-Cathrine Fabricius-Hansen-Horst Schwinn</t>
  </si>
  <si>
    <t>The Poetry of Hanshan (Cold Mountain), Shide, and Fenggan</t>
  </si>
  <si>
    <t>Das Siebenstromland zwischen Bronze- und FrÃ¼heisenzeit</t>
  </si>
  <si>
    <t>Anton Gass</t>
  </si>
  <si>
    <t>Prehistoric Mobility and Diet in the West Eurasian Steppes 3500 to 300 BC</t>
  </si>
  <si>
    <t>Claudia Gerling</t>
  </si>
  <si>
    <t>The Poetry of Du Fu</t>
  </si>
  <si>
    <t>Stephen Owen-Ding Xiang Warner-Paul W. Kroll</t>
  </si>
  <si>
    <t>THE "I" OF THE STORM</t>
  </si>
  <si>
    <t>David Lester</t>
  </si>
  <si>
    <t>Family Life in Adolescence</t>
  </si>
  <si>
    <t>Patricia Noller-Sharon Atkin</t>
  </si>
  <si>
    <t>Introduction to Modern Instrumentation</t>
  </si>
  <si>
    <t>Dardo Oscar Guaraglia-Jorge Lorenzo Pousa</t>
  </si>
  <si>
    <t>Geschichte als Element antiker Kultur</t>
  </si>
  <si>
    <t>Hans-Joachim Gehrke</t>
  </si>
  <si>
    <t>Horbat Rosh Zayit: An Iron Age Storage Fort and Village.</t>
  </si>
  <si>
    <t>Zvi Gal-Yardenna Alexandre</t>
  </si>
  <si>
    <t>Jericho</t>
  </si>
  <si>
    <t>Hachlili, Rachel.-Killebrew, Ann E.-Netzer, Ehud.</t>
  </si>
  <si>
    <t>The Cave of the Warrior: A Fourth Millennium Burial in the Judean Desert.</t>
  </si>
  <si>
    <t>Tamar Schick</t>
  </si>
  <si>
    <t>The Chalcolithic Culture of the Golan.</t>
  </si>
  <si>
    <t>Claire Epstein</t>
  </si>
  <si>
    <t>Villages, Terraces and Stone Mounds: Excavations at Manahat, Jerusalem, 1987â€“1989.</t>
  </si>
  <si>
    <t>Gershon Edelstein</t>
  </si>
  <si>
    <t>Yiftah'el: Salvage and Rescue Excavations at a Prehistoric Village in Lower Galilee, Israel.</t>
  </si>
  <si>
    <t>Eliot Braun</t>
  </si>
  <si>
    <t>The Akeldama Tombs</t>
  </si>
  <si>
    <t>Avni, Gideon.-Greenhut, Zvi.-Israel.-Shadmi, Tamar.</t>
  </si>
  <si>
    <t>Martial Arts and Well-being</t>
  </si>
  <si>
    <t>Carol Fuller-Viki Lloyd</t>
  </si>
  <si>
    <t>Trade, Politics, and Revolution</t>
  </si>
  <si>
    <t>Huw David</t>
  </si>
  <si>
    <t>Ecosystem Services and Poverty Alleviation (OPEN ACCESS)</t>
  </si>
  <si>
    <t>Kate Schreckenberg-Georgina Mace-Mahesh Poudyal</t>
  </si>
  <si>
    <t>Gauge Fields and Strings</t>
  </si>
  <si>
    <t>Polyakov</t>
  </si>
  <si>
    <t>Bet Yerah. Volume III: Hellenistic Philoteria and Islamic Al-Sinnabra; the 1933â€“1986 and 2007â€“2013 Excavations</t>
  </si>
  <si>
    <t>Greenberg, Raphael-Tal, Oren-Deadle, Taufik</t>
  </si>
  <si>
    <t>Arts-Based Methods in Education Around the World</t>
  </si>
  <si>
    <t>Xiangyun Du-Tatiana Chemi</t>
  </si>
  <si>
    <t>Building Industries at Sea - â€˜Blue Growthâ€™ and the New Maritime Economy</t>
  </si>
  <si>
    <t>Kate Johnson-Ian Masters-Gordon Dalton</t>
  </si>
  <si>
    <t>Cognitive Hyperconnected Digital Transformation</t>
  </si>
  <si>
    <t>Behavioural Types</t>
  </si>
  <si>
    <t>Simon Gay-AntÃ³nio Ravara</t>
  </si>
  <si>
    <t>INCOBAT</t>
  </si>
  <si>
    <t>Eric Armengaud-Riccardo Groppo-Sven Rzepka</t>
  </si>
  <si>
    <t>Certifications of Critical Systems â€“ The CECRIS Experience</t>
  </si>
  <si>
    <t>Andrea Bondavalli-Francesco Brancati</t>
  </si>
  <si>
    <t>Computer-Driven Instructional Design with INTUITEL</t>
  </si>
  <si>
    <t>Kevin Fuchs-Peter A. Henning</t>
  </si>
  <si>
    <t>Parkinson's Disease Management Through ICT</t>
  </si>
  <si>
    <t>Joan Cabestany-Angels Bayes</t>
  </si>
  <si>
    <t>Advanced Concepts for Renewable Energy Supply of Data Centres</t>
  </si>
  <si>
    <t>Jaume Salom-Thorsten Urbaneck-Eduard OrÃ³</t>
  </si>
  <si>
    <t>Towards a Common Software/Hardware Methodology for Future Advanced Driver Assistance Systems</t>
  </si>
  <si>
    <t>Guillermo PayÃ¡-VayÃ¡-Holger Blume</t>
  </si>
  <si>
    <t>Building the Future Internet Through FIRE</t>
  </si>
  <si>
    <t>Martin Serrano-Nikolaos Isaris-Hans Schaffers</t>
  </si>
  <si>
    <t>IURBAN</t>
  </si>
  <si>
    <t>Narcis Avellana-Alberto Fernandez</t>
  </si>
  <si>
    <t>Dynamic Resource Allocation in Embedded, High-Performance and Cloud Computing</t>
  </si>
  <si>
    <t>Leando Soares Indrusiak-Piotr Dziurzanski-Amit Kumar Singh</t>
  </si>
  <si>
    <t>Network Based High Speed Product Development</t>
  </si>
  <si>
    <t>Building Blocks for IoT Analytics Internet-of-Things Analytics</t>
  </si>
  <si>
    <t>The Stem Cell Microenvironment and Its Role in Regenerative Medicine and Cancer Pathogenesis</t>
  </si>
  <si>
    <t>Cristian Pablo Pennisi-Mayuri Sinha Prasad-Pranela Rameshwar</t>
  </si>
  <si>
    <t>Digitising the Industry Internet of Things Connecting the Physical, Digital and VirtualWorlds</t>
  </si>
  <si>
    <t>5G Outlook â€“ Innovations and Applications</t>
  </si>
  <si>
    <t>Circuit Design</t>
  </si>
  <si>
    <t>Stephan Weber-Candido Duarte</t>
  </si>
  <si>
    <t>High Temperature Electronics Design for Aero Engine Controls and Health Monitoring</t>
  </si>
  <si>
    <t>Lucian Stoica-Steve Riches-Colin Johnston</t>
  </si>
  <si>
    <t>Cooperative Radio Communications for Green Smart Environments</t>
  </si>
  <si>
    <t>Narcis Cardona</t>
  </si>
  <si>
    <t>Tales of Darkness and Light</t>
  </si>
  <si>
    <t xml:space="preserve"> Soso Tham</t>
  </si>
  <si>
    <t>Mobilities, Boundaries, and Travelling Ideas</t>
  </si>
  <si>
    <t xml:space="preserve"> Manja Stephan-Emmrich-Philipp SchrÃ¶der</t>
  </si>
  <si>
    <t>Remote Capture</t>
  </si>
  <si>
    <t xml:space="preserve"> Patrick Sutherland-Adam Farquhar-Jody Butterworth-Andrew Pearson</t>
  </si>
  <si>
    <t>Yeats's Legacies</t>
  </si>
  <si>
    <t>POETRY / European / English, Irish, Scottish, Welsh</t>
  </si>
  <si>
    <t xml:space="preserve"> Warwick Gould</t>
  </si>
  <si>
    <t>Human and Machine Consciousness</t>
  </si>
  <si>
    <t xml:space="preserve"> David Gamez</t>
  </si>
  <si>
    <t>Text Genetics in Literary Modernism and Other Essays</t>
  </si>
  <si>
    <t>An Anglo-Norman Reader</t>
  </si>
  <si>
    <t xml:space="preserve"> Jane Bliss</t>
  </si>
  <si>
    <t>The Jewish Unions in America</t>
  </si>
  <si>
    <t xml:space="preserve"> Bernard Weinstein</t>
  </si>
  <si>
    <t>Literary Obscenities</t>
  </si>
  <si>
    <t>Erik M. Bachman</t>
  </si>
  <si>
    <t>Argentine Cinema and National Identity (1966-1976)</t>
  </si>
  <si>
    <t>Carolina Rocha</t>
  </si>
  <si>
    <t>Handbook of Direct Democracy in Central and Eastern Europe After 1989</t>
  </si>
  <si>
    <t>Maria Marczewska-Rytko</t>
  </si>
  <si>
    <t>Making Judaism Safe for America</t>
  </si>
  <si>
    <t>Jessica Cooperman</t>
  </si>
  <si>
    <t>Verstaatlichung der Welt?</t>
  </si>
  <si>
    <t>Wolfgang Reinhard</t>
  </si>
  <si>
    <t>Deutschland und Frankreich</t>
  </si>
  <si>
    <t>Stephen A. Schuker</t>
  </si>
  <si>
    <t>Europa vor dem Krieg von 1870</t>
  </si>
  <si>
    <t>Eberhard Kolb</t>
  </si>
  <si>
    <t>Lokale Autonomie und Ordnungsmacht in den kaiserzeitlichen Provinzen vom 1. bis 3. Jahrhundert</t>
  </si>
  <si>
    <t>Werner Eck</t>
  </si>
  <si>
    <t>Chora und Polis</t>
  </si>
  <si>
    <t>Frank Kolb</t>
  </si>
  <si>
    <t>JÃ¼dische Geschichte in hellenistisch-rÃ¶mischer Zeit</t>
  </si>
  <si>
    <t>Aharon Oppenheimer</t>
  </si>
  <si>
    <t>Didaktik der berufl. Bildung - SelbstverstÃ¤ndnis, Zukunftsperspektiven und Innovationsschwerpunkte</t>
  </si>
  <si>
    <t>Tade Tramm-Tobias SchlÃ¶mer-Marc Casper</t>
  </si>
  <si>
    <t>Changement climatique</t>
  </si>
  <si>
    <t>Florent Brissaud-Jacques Bongrand-Dominique Chauvin-Jean-FranÃ§ois Coste-Antoine Coursimault-IESF</t>
  </si>
  <si>
    <t>Trust and Mistrust in the Economies of the China-Russia Borderlands</t>
  </si>
  <si>
    <t>Caroline Humphrey</t>
  </si>
  <si>
    <t>Der digitale Pranger</t>
  </si>
  <si>
    <t>Ulrich Franz</t>
  </si>
  <si>
    <t>Judentum und Arbeiterbewegung</t>
  </si>
  <si>
    <t>Markus BÃ¶rner-Anja Jungfer-Jakob StÃ¼rmann</t>
  </si>
  <si>
    <t>Britishness, Belonging and Citizenship</t>
  </si>
  <si>
    <t>Devyani Prabhat</t>
  </si>
  <si>
    <t>Pioneering Ethics in a Longitudinal Study</t>
  </si>
  <si>
    <t>Karen Birmingham</t>
  </si>
  <si>
    <t>The Triple Bind of Single-Parent Families</t>
  </si>
  <si>
    <t>Rense Nieuwenhuis-Laurie C. Maldonado</t>
  </si>
  <si>
    <t>Environment in the Lives of Children and Families</t>
  </si>
  <si>
    <t>Ann Phoenix-Janet Boddy-Catherine Walker-Uma Vennam</t>
  </si>
  <si>
    <t>Netflix Nations</t>
  </si>
  <si>
    <t>Ramon Lobato</t>
  </si>
  <si>
    <t>The Digital Edge</t>
  </si>
  <si>
    <t>S. Craig Watkins-Alexander Cho-Andres Lombana-Bermudez-Vivian Shaw-Jacqueline Ryan Vickery-Lauren Weinzimmer</t>
  </si>
  <si>
    <t>Affinity Online</t>
  </si>
  <si>
    <t>Mizuko Ito-Crystle Martin-Rachel Cody Pfister-Matthew H. Rafalow-Katie Salen-Amanda Wortman</t>
  </si>
  <si>
    <t>After the Protests Are Heard</t>
  </si>
  <si>
    <t>Sharon D. Welch</t>
  </si>
  <si>
    <t>Agieren und Handeln</t>
  </si>
  <si>
    <t>Migration and (Im)Mobility</t>
  </si>
  <si>
    <t>Anna Xymena Wieczorek</t>
  </si>
  <si>
    <t>Epistemologie als Reflexion wissenschaftlicher Praxen</t>
  </si>
  <si>
    <t>Kaja Tulatz</t>
  </si>
  <si>
    <t>Body and Reality</t>
  </si>
  <si>
    <t>Jasper van Buuren</t>
  </si>
  <si>
    <t>Heteronome SubjektivitÃ¤t</t>
  </si>
  <si>
    <t>Martin Eldracher</t>
  </si>
  <si>
    <t>Judith Butlers Philosophie des Politischen</t>
  </si>
  <si>
    <t>Gerald Posselt-Tatjana SchÃ¶nwÃ¤lder-Kuntze-Sergej Seitz</t>
  </si>
  <si>
    <t>New Directions in the History of the Jews in the Polish Lands</t>
  </si>
  <si>
    <t>Antony Polonsky-Hanna WÄ™grzynek-Andrzej Å»bikowski</t>
  </si>
  <si>
    <t>World Literature and Dissent</t>
  </si>
  <si>
    <t>Lorna Burns-Katie Muth</t>
  </si>
  <si>
    <t>Pride Parades and LGBT Movements</t>
  </si>
  <si>
    <t>Abby Peterson-Mattias WahlstrÃ¶m-Magnus Wennerhag</t>
  </si>
  <si>
    <t>Law, Technology and Dispute Resolution</t>
  </si>
  <si>
    <t>Riikka Koulu</t>
  </si>
  <si>
    <t>Sustainable Modernity</t>
  </si>
  <si>
    <t>Nina Witoszek-Atle Midttun</t>
  </si>
  <si>
    <t>Indigenous Knowledge Production</t>
  </si>
  <si>
    <t>Marcus Woolombi Waters</t>
  </si>
  <si>
    <t>Towards the Ethics of a Green Future</t>
  </si>
  <si>
    <t>Marcus DÃ¼well-Gerhard Bos-Naomi van Steenbergen</t>
  </si>
  <si>
    <t>Wilfred Bion, Thinking, and Emotional Experience with Moving Images</t>
  </si>
  <si>
    <t>Kelli Fuery</t>
  </si>
  <si>
    <t>China's Global Political Economy</t>
  </si>
  <si>
    <t>Robert Taylor-Jacques Jaussaud</t>
  </si>
  <si>
    <t>Enter Culture, Exit Arts?</t>
  </si>
  <si>
    <t>Semi Purhonen-Riie HeikkilÃ¤-Irmak Karademir Hazir-Tina Lauronen-Carlos J. FernÃ¡ndez RodrÃ­guez-Jukka Gronow</t>
  </si>
  <si>
    <t>Reflective Reading and the Power of Narrative</t>
  </si>
  <si>
    <t>Karyn Sproles</t>
  </si>
  <si>
    <t>The Virgin Mary Across Cultures</t>
  </si>
  <si>
    <t>RELIGION / Christian Theology / Mariology</t>
  </si>
  <si>
    <t>Elina Vuola</t>
  </si>
  <si>
    <t>The Literariness of Media Art</t>
  </si>
  <si>
    <t>Claudia Benthien-Jordis Lau-Maraike M. Marxsen</t>
  </si>
  <si>
    <t>China and Great Power Responsibility for Climate Change</t>
  </si>
  <si>
    <t>Sanna Kopra</t>
  </si>
  <si>
    <t>Data Politics</t>
  </si>
  <si>
    <t>Didier Bigo-Engin Isin-Evelyn Ruppert</t>
  </si>
  <si>
    <t>Diversity and Change in Food Wellbeing</t>
  </si>
  <si>
    <t>Anke Niehof-Hom N. Gartaula-Melissa Quetulio-Navarra</t>
  </si>
  <si>
    <t>The Disappearance of Moral Knowledge</t>
  </si>
  <si>
    <t>Dallas Willard-Steven L. Porter-Aaron Preston-Gregg A. Ten Elshof</t>
  </si>
  <si>
    <t>Police Cooperation and Sovereignty in the EU</t>
  </si>
  <si>
    <t>SynnÃ¸ve Ugelvik</t>
  </si>
  <si>
    <t>News Framing Effects</t>
  </si>
  <si>
    <t>Sophie Lecheler-Claes H. de Vreese</t>
  </si>
  <si>
    <t>Imperial Technology and 'Native' Agency</t>
  </si>
  <si>
    <t>Aparajita Mukhopadhyay</t>
  </si>
  <si>
    <t>Politik der Differenzen</t>
  </si>
  <si>
    <t>Stefanie Mayer</t>
  </si>
  <si>
    <t>Soziale Arbeit und soziale Frage(n)</t>
  </si>
  <si>
    <t>Stephan Sting-Sara Blumenthal-Karin Lauermann</t>
  </si>
  <si>
    <t>â€žWir haben ja jetzt auch ein paar Damen bei unsâ€œ â€“ Symbolische Grenzziehungen und HeteronormativitÃ¤t in den Ingenieurwissenschaften</t>
  </si>
  <si>
    <t>Inka Greusing</t>
  </si>
  <si>
    <t>Gentrifizierungsforschung in Deutschland</t>
  </si>
  <si>
    <t>Jan Ãœblacker</t>
  </si>
  <si>
    <t>Lebensstile Jugendlicher</t>
  </si>
  <si>
    <t>RELIGION / Christian Ministry / Youth</t>
  </si>
  <si>
    <t>Carsten Gennerich</t>
  </si>
  <si>
    <t>Codeswitching in the Classroom</t>
  </si>
  <si>
    <t>Jeff MacSwan-Christian J. Faltis</t>
  </si>
  <si>
    <t>Queering Knowledge</t>
  </si>
  <si>
    <t>Paul Boyce-E.J. Gonzalez-Polledo-Silvia Posocco</t>
  </si>
  <si>
    <t>Healthy Ageing</t>
  </si>
  <si>
    <t>Christine Stephens-Mary Breheny</t>
  </si>
  <si>
    <t>Civic Media Literacies</t>
  </si>
  <si>
    <t>Paul Mihailidis</t>
  </si>
  <si>
    <t>Childhood Abuse, Body Shame, and Addictive Plastic Surgery</t>
  </si>
  <si>
    <t>Mark B. Constantian</t>
  </si>
  <si>
    <t>Urban Studies: Border and Mobility</t>
  </si>
  <si>
    <t>Thor Kerr-Bekisizwe Ndimande-Jan Van der Putten-Daniel F. Johnson-Mardones-Diah Arimbi-Yuni Amalia</t>
  </si>
  <si>
    <t>Cone Penetration Testing 2018</t>
  </si>
  <si>
    <t>Michael A. Hicks-Federico PisanÃ²-Joek Peuchen</t>
  </si>
  <si>
    <t>Self-Controlled Case Series Studies</t>
  </si>
  <si>
    <t>Paddy Farrington-Heather Whitaker-Yonas Ghebremichael Weldeselassie</t>
  </si>
  <si>
    <t>Cities' Identity Through Architecture and Arts</t>
  </si>
  <si>
    <t>Anna Catalani-Zeinab Nour-Antonella Versaci-Dean Hawkes-Hocine Bougdah-Adolf Sotoca-Mahmoud Ghoneem-Ferdinando Trapani</t>
  </si>
  <si>
    <t>Emergency Cardiology</t>
  </si>
  <si>
    <t>Karim Ratib-Gurbir Bhatia-Neal Uren-James Nolan</t>
  </si>
  <si>
    <t>Ecology and Applied Environmental Science</t>
  </si>
  <si>
    <t>Kimon Hadjibiros</t>
  </si>
  <si>
    <t>An Introduction to Particle Physics and the Standard Model</t>
  </si>
  <si>
    <t>Robert Mann</t>
  </si>
  <si>
    <t>Gauge Theories in Particle Physics: A Practical Introduction, Volume 2: Non-Abelian Gauge Theories</t>
  </si>
  <si>
    <t>Ian J R Aitchison-Anthony J.G. Hey</t>
  </si>
  <si>
    <t>Gauge Theories in Particle Physics: A Practical Introduction, Volume 1</t>
  </si>
  <si>
    <t>Damage to Concrete Structures</t>
  </si>
  <si>
    <t>Geert De Schutter</t>
  </si>
  <si>
    <t>Biomedical Signal and Image Processing</t>
  </si>
  <si>
    <t>Kayvan Najarian-Robert Splinter</t>
  </si>
  <si>
    <t>Group Theory for the Standard Model of Particle Physics and Beyond</t>
  </si>
  <si>
    <t>Ken J. Barnes</t>
  </si>
  <si>
    <t>Healthcare Biotechnology</t>
  </si>
  <si>
    <t>Dimitris Dogramatzis</t>
  </si>
  <si>
    <t>Mathematics for the Environment</t>
  </si>
  <si>
    <t>Martin Walter</t>
  </si>
  <si>
    <t>A Course in Field Theory</t>
  </si>
  <si>
    <t>Pierre van Baal</t>
  </si>
  <si>
    <t>Postfeminism and Health</t>
  </si>
  <si>
    <t>Sarah Riley-Adrienne Evans-Martine Robson</t>
  </si>
  <si>
    <t>Resource Efficient Material and Forming Technologies</t>
  </si>
  <si>
    <t>Rudolf Kawalla-Ulrich Prahl-Marie Moses-Heike Wemme-Johannes Luft-Markus Kirschner</t>
  </si>
  <si>
    <t>Black Men Teaching in Urban Schools</t>
  </si>
  <si>
    <t>Edward Brockenbrough</t>
  </si>
  <si>
    <t>Stem Cell Oncology</t>
  </si>
  <si>
    <t>Adeya Adella</t>
  </si>
  <si>
    <t>Environmental Arsenic in a Changing World</t>
  </si>
  <si>
    <t>Yongguan Zhu-Huaming Guo-Prosun Bhattacharya-Arslan Ahmad-Jochen Bundschuh-Ravi Naidu</t>
  </si>
  <si>
    <t>Intercultural Business Negotiations</t>
  </si>
  <si>
    <t>Jean-Claude Usunier</t>
  </si>
  <si>
    <t>Small Cities with Big Dreams</t>
  </si>
  <si>
    <t>Greg Richards-Lian Duif</t>
  </si>
  <si>
    <t>Score Reporting Research and Applications</t>
  </si>
  <si>
    <t>Diego Zapata-Rivera</t>
  </si>
  <si>
    <t>Society, Environment and Human Security in the Arctic Barents Region</t>
  </si>
  <si>
    <t>Kamrul Hossain-DorothÃ©e Cambou</t>
  </si>
  <si>
    <t>Inclusive Wealth Report 2018</t>
  </si>
  <si>
    <t>Shunsuke Managi-Pushpam Kumar</t>
  </si>
  <si>
    <t>Memory Politics in Contemporary Russia</t>
  </si>
  <si>
    <t>MariÃ«lle Wijermars</t>
  </si>
  <si>
    <t>Metacognition in Language Learning and Teaching</t>
  </si>
  <si>
    <t>Ã…sta HaukÃ¥s-Camilla BjÃ¸rke-Magne Dypedahl</t>
  </si>
  <si>
    <t>Theorizing Cultures of Political Violence in Times of Austerity</t>
  </si>
  <si>
    <t>Joanna Rak</t>
  </si>
  <si>
    <t>Transforming the Future</t>
  </si>
  <si>
    <t>Riel Miller</t>
  </si>
  <si>
    <t>Employment, Poverty and Rights in India</t>
  </si>
  <si>
    <t>Dayabati Roy</t>
  </si>
  <si>
    <t>Cultural Models of Nature</t>
  </si>
  <si>
    <t>Giovanni Bennardo</t>
  </si>
  <si>
    <t>Services Ã©cosystÃ©miques et protection des sols</t>
  </si>
  <si>
    <t>Le manioc, entre culture alimentaire et filiÃ¨re agro-industrielle</t>
  </si>
  <si>
    <t>Philippe Vernier-Boni Nâ€™ZuÃ©-Nadine Zakhia-Rozis</t>
  </si>
  <si>
    <t>Guide de gestion des dunes et des plages associÃ©es</t>
  </si>
  <si>
    <t>LoÃ¯c Gouguet</t>
  </si>
  <si>
    <t>Emergence of Infectious Diseases</t>
  </si>
  <si>
    <t>Claude Gilbert-Nathalie Brender-FranÃ§ois Roger-Patrick Zylberman</t>
  </si>
  <si>
    <t>Akten zur AuswÃ¤rtigen Politik der Bundesrepublik Deutschland 1987</t>
  </si>
  <si>
    <t>Andreas Wirsching-HÃ©lÃ¨ne Miard-Delacroix-Gregor SchÃ¶llgen-Tim Szatkowski-Tim Geiger-Jens Jost Hofmann</t>
  </si>
  <si>
    <t>Paradiplomacy in Asia. Case Studies of China, Lndia and Russia</t>
  </si>
  <si>
    <t>MaÅ‚gorzata Pietrasiak-Grzegorz Bywalec-Tomasz KamiÅ„ski-Dominik Mierzejewski-MichaÅ‚ SÅ‚owikowski</t>
  </si>
  <si>
    <t>Power Politics, Banking Union and EMU</t>
  </si>
  <si>
    <t>Shawn Donnelly</t>
  </si>
  <si>
    <t>Omani Mehri</t>
  </si>
  <si>
    <t>Aaron D. Rubin</t>
  </si>
  <si>
    <t>Hochkultur fÃ¼r das Volk?</t>
  </si>
  <si>
    <t>Igor Narskij</t>
  </si>
  <si>
    <t>Fast Facts: Recognizing Refractory Myasthenia Gravis</t>
  </si>
  <si>
    <t>Nicholas J., Silvestri-Jacqueline A., Palace</t>
  </si>
  <si>
    <t>Understanding Linguistic Fieldwork</t>
  </si>
  <si>
    <t>Felicity Meakins-Jennifer Green-Myfany Turpin</t>
  </si>
  <si>
    <t>Co-Production and Co-Creation</t>
  </si>
  <si>
    <t>Taco Brandsen-Bram Verschuere-Trui Steen</t>
  </si>
  <si>
    <t>Fast Facts: Bladder Cancer</t>
  </si>
  <si>
    <t>Seth P., Lerner-Ian D., Davis</t>
  </si>
  <si>
    <t>Trust in International Relations</t>
  </si>
  <si>
    <t>Hiski Haukkala-Carina van de Wetering-Johanna Vuorelma</t>
  </si>
  <si>
    <t>Universal Smart Grid Agent for Distributed Power Generation Management</t>
  </si>
  <si>
    <t>Eric MSP Veith</t>
  </si>
  <si>
    <t>Stalinismus vor dem Zweiten Weltkrieg / Stalinism before the Second World War</t>
  </si>
  <si>
    <t>Manfred Hildermeier</t>
  </si>
  <si>
    <t>Tradition, Norm, Innovation</t>
  </si>
  <si>
    <t>Winfried Barner</t>
  </si>
  <si>
    <t>Fragmentierungen</t>
  </si>
  <si>
    <t>Indra Spiecker gen. DÃ¶hmann-Stefan Magen-Andreas Kley-et.al.</t>
  </si>
  <si>
    <t>1919 â€“ The Year That Changed China</t>
  </si>
  <si>
    <t>Elisabeth Forster</t>
  </si>
  <si>
    <t>Entre reconstruction et mutations, les industries de la chimie entre les deux guerres</t>
  </si>
  <si>
    <t>GÃ©rard Emptoz-Danielle Fauque-Jacques Breysse</t>
  </si>
  <si>
    <t>Current State of Research on Pressurized Water Reactor Safety</t>
  </si>
  <si>
    <t>Weiblichkeit â€“ AnsÃ¤tze zur Theoretisierung</t>
  </si>
  <si>
    <t>Antje Langer-Claudia Mahs-Barbara Rendtorff</t>
  </si>
  <si>
    <t>Gleichstellungspolitik in der Schweiz</t>
  </si>
  <si>
    <t>Gesine Fuchs</t>
  </si>
  <si>
    <t>Orientierungen von Jugendlichen beim Urteilen und Entscheiden in Kontexten nachhaltiger Entwicklung</t>
  </si>
  <si>
    <t>Hannes Sander</t>
  </si>
  <si>
    <t>The Occurrence of Separate Opinions at the Federal Constitutional Court</t>
  </si>
  <si>
    <t>Caroline Wittig</t>
  </si>
  <si>
    <t>Was beeinflusst den Erfolg beim ProblemlÃ¶sen in der Physik?</t>
  </si>
  <si>
    <t>Martina Brandenburger</t>
  </si>
  <si>
    <t>Culture Management</t>
  </si>
  <si>
    <t>Lukasz Wroblewski</t>
  </si>
  <si>
    <t>Science Education</t>
  </si>
  <si>
    <t>Markus Bohlmann</t>
  </si>
  <si>
    <t>SozialpÃ¤dagogik</t>
  </si>
  <si>
    <t>Werner Naumann</t>
  </si>
  <si>
    <t>Medicine and Memory in Tibet</t>
  </si>
  <si>
    <t>Theresia Hofer</t>
  </si>
  <si>
    <t>Modalpartikeln als multimodale Konstruktionen</t>
  </si>
  <si>
    <t>Steven Schoonjans</t>
  </si>
  <si>
    <t>Style and Intersubjectivity in Youth Interaction</t>
  </si>
  <si>
    <t>Dwi Noverini Djenar-Michael Ewing-Howard Manns</t>
  </si>
  <si>
    <t>Intimate Japan</t>
  </si>
  <si>
    <t>Allison Alexy-Emma E. Cook</t>
  </si>
  <si>
    <t>Buddhist and Islamic Orders in Southern Asia</t>
  </si>
  <si>
    <t>R. Michael Feener-Anne M. Blackburn</t>
  </si>
  <si>
    <t>Coming to Terms with Our Musical Past</t>
  </si>
  <si>
    <t>Edmund J. Goehring</t>
  </si>
  <si>
    <t>Empowering Adolescent Girls in Developing Countries</t>
  </si>
  <si>
    <t>Caroline Harper-Nicola Jones-Anita Ghimire-Rachel Marcus-Grace Kyomuhendo Bantebya</t>
  </si>
  <si>
    <t>Responsible Drone Journalism</t>
  </si>
  <si>
    <t>Astrid Gynnild-Turo Uskali</t>
  </si>
  <si>
    <t>Geopolitics of the Knowledge-Based Economy</t>
  </si>
  <si>
    <t>Sami Moisio</t>
  </si>
  <si>
    <t>The Rise and Development of FinTech</t>
  </si>
  <si>
    <t>Robin Teigland-Shahryar Siri-Anthony Larsson-Alejandro Moreno Puertas-Claire Ingram Bogusz</t>
  </si>
  <si>
    <t>DiversitÃ¤t lernen und lehren â€“ ein Hochschulbuch</t>
  </si>
  <si>
    <t>Nicole Auferkorte-Michaelis-Frank Linde</t>
  </si>
  <si>
    <t>Early Film Culture in Hong Kong, Taiwan, and Republican China</t>
  </si>
  <si>
    <t>Emilie Yueh-yu Yeh</t>
  </si>
  <si>
    <t>Microfoundations of the Arab Uprisings</t>
  </si>
  <si>
    <t>FrÃ©dÃ©ric Volpi-James Jasper</t>
  </si>
  <si>
    <t>Das Deutsche Reich im Urteil der GroÃŸen MÃ¤chte und europÃ¤ischen Nachbarn (1871â€“1945)</t>
  </si>
  <si>
    <t>Klaus Hildebrand</t>
  </si>
  <si>
    <t>Alternativen zur Reichsverfassung in der FrÃ¼hen Neuzeit?</t>
  </si>
  <si>
    <t>Volker Press-Dieter Stievermann</t>
  </si>
  <si>
    <t>Die Kunst der Disputation</t>
  </si>
  <si>
    <t>Manlio Bellomo</t>
  </si>
  <si>
    <t>The Interwar Depression in an International Context</t>
  </si>
  <si>
    <t>Harold James</t>
  </si>
  <si>
    <t>Der Aufstieg der deutschen Arbeiterbewegung</t>
  </si>
  <si>
    <t>Gerhard A. Ritter</t>
  </si>
  <si>
    <t>Kuno von Westarp (1864â€“1945)</t>
  </si>
  <si>
    <t>Daniela Gasteiger</t>
  </si>
  <si>
    <t>Vincentia Schroeter-MaÃª Nascimento</t>
  </si>
  <si>
    <t>KÃ¶rperorientierte AnsÃ¤tze fÃ¼r die Sexuelle Bildung junger Frauen</t>
  </si>
  <si>
    <t>Star Wars and the History of Transmedia Storytelling</t>
  </si>
  <si>
    <t>Sean Guynes-Dan Hassler-Forest</t>
  </si>
  <si>
    <t>Computational Modelling of Concrete Structures</t>
  </si>
  <si>
    <t>GÃ¼nther Meschke-Bernhard Pichler-Jan Rots</t>
  </si>
  <si>
    <t>MÃ©mento de l'assainissement</t>
  </si>
  <si>
    <t>L'histoire de l'Inra, entre science et politique</t>
  </si>
  <si>
    <t>Pierre Cornu-Egizio Valceschini-Odile Maeght-Bournay</t>
  </si>
  <si>
    <t>Comportement, conduite et bien-Ãªtre animal</t>
  </si>
  <si>
    <t>Xavier Manteca i Vilanova-Anthony J. Smith</t>
  </si>
  <si>
    <t>Debating Civilisations</t>
  </si>
  <si>
    <t>Jeremy C. A. Smith</t>
  </si>
  <si>
    <t>Research Through, With and As Storying</t>
  </si>
  <si>
    <t>Louise Gwenneth Phillips-Tracey Bunda</t>
  </si>
  <si>
    <t>Public Participation, Science and Society</t>
  </si>
  <si>
    <t>Mikko Rask-SaulÄ— MaÄiukaitÄ—-Å½vinienÄ—-Loreta TauginienÄ—-Vytautas DikÄius-Kaisa Matschoss-Timo Aarrevaara-Luciano dâ€™Andrea</t>
  </si>
  <si>
    <t>The Trillion Dollar Shift</t>
  </si>
  <si>
    <t>Marga Hoek</t>
  </si>
  <si>
    <t>Trans-Himalayan Borderlands</t>
  </si>
  <si>
    <t>Dan Smyer Yu-Jean Michaud</t>
  </si>
  <si>
    <t>Medieval Saints and Modern Screens</t>
  </si>
  <si>
    <t>Alicia Spencer-Hall</t>
  </si>
  <si>
    <t>Kurt Baschwitz</t>
  </si>
  <si>
    <t>Jaap Ginneken</t>
  </si>
  <si>
    <t>Kant on Love</t>
  </si>
  <si>
    <t>PÃ¤rttyli Rinne</t>
  </si>
  <si>
    <t>Femininities in the Field</t>
  </si>
  <si>
    <t>Brooke A. Porter-Heike A. SchÃ¤nzel</t>
  </si>
  <si>
    <t>China's Architecture in a Globalizing World: Between Socialism and the Market</t>
  </si>
  <si>
    <t>Jiawen Han</t>
  </si>
  <si>
    <t>Federalism and Regional Policy in Contemporary Russia</t>
  </si>
  <si>
    <t>Andrey Starodubtsev</t>
  </si>
  <si>
    <t>Women in the Silent Cinema</t>
  </si>
  <si>
    <t>Annette FÃ¶rster</t>
  </si>
  <si>
    <t>Our Nanotechnology Future</t>
  </si>
  <si>
    <t>Joseph Natowitz-Christian NgÃ´</t>
  </si>
  <si>
    <t>Accelerators in Silicon Valley</t>
  </si>
  <si>
    <t>Peter Ester</t>
  </si>
  <si>
    <t>Beyond Boycotts</t>
  </si>
  <si>
    <t>Philippe Vonnard-Nicola Sbetti-GrÃ©gory Quin</t>
  </si>
  <si>
    <t>Beschleunigungsstrategien der Strafjustiz</t>
  </si>
  <si>
    <t>Mirjam Stoll</t>
  </si>
  <si>
    <t>Religion and Nationalism in Chinese Societies</t>
  </si>
  <si>
    <t>Cheng-tian Kuo</t>
  </si>
  <si>
    <t>Popular Music in Southeast Asia</t>
  </si>
  <si>
    <t>Bart Barendregt-Peter Keppy-Henk Schulte Nordholt</t>
  </si>
  <si>
    <t>Fascism, Liberalism and Europeanism in the Political Thought of Bertrand De Jouvenel and Alfred Fabre-Luce</t>
  </si>
  <si>
    <t>Daniel Knegt</t>
  </si>
  <si>
    <t>Vertical Readings in Dante's Comedy</t>
  </si>
  <si>
    <t xml:space="preserve"> George Corbett-Heather Webb</t>
  </si>
  <si>
    <t>Science As Social Existence</t>
  </si>
  <si>
    <t xml:space="preserve"> Jeff Kochan</t>
  </si>
  <si>
    <t>Wellbeing, Freedom and Social Justice</t>
  </si>
  <si>
    <t>Information and Empire</t>
  </si>
  <si>
    <t xml:space="preserve"> Simon Franklin-Katherine Bowers</t>
  </si>
  <si>
    <t>Modernism and the Spiritual in Russian Art</t>
  </si>
  <si>
    <t xml:space="preserve"> Louise Hardiman-Nicola Kozicharow</t>
  </si>
  <si>
    <t>Long Narrative Songs From the Mongghul of Northeast Tibet</t>
  </si>
  <si>
    <t xml:space="preserve"> Gerald Roche</t>
  </si>
  <si>
    <t>Basic Knowledge and Conditions on Knowledge</t>
  </si>
  <si>
    <t xml:space="preserve"> Mark McBride</t>
  </si>
  <si>
    <t>World Building</t>
  </si>
  <si>
    <t>Marta Boni</t>
  </si>
  <si>
    <t>Homer, Troy and the Turks</t>
  </si>
  <si>
    <t>GÃ¼nay Uslu</t>
  </si>
  <si>
    <t>Global Diffusion of Protest</t>
  </si>
  <si>
    <t>Donatella Porta</t>
  </si>
  <si>
    <t>Conversations with Christian Metz</t>
  </si>
  <si>
    <t>Warren Buckland-Daniel Fairfax</t>
  </si>
  <si>
    <t>Anglo-Saxon Literary Landscapes</t>
  </si>
  <si>
    <t>Heide Estes</t>
  </si>
  <si>
    <t>Personal Autonomy in Plural Societies</t>
  </si>
  <si>
    <t>Marie-Claire Foblets-Michele Graziadei-Alison Renteln</t>
  </si>
  <si>
    <t>Sprache der Geschichte</t>
  </si>
  <si>
    <t>JÃ¼rgen Trabant</t>
  </si>
  <si>
    <t>Zwischen Politik und Religion</t>
  </si>
  <si>
    <t>GenerationalitÃ¤t und Lebensgeschichte im 20. Jahrhundert</t>
  </si>
  <si>
    <t>JÃ¼rgen Reulecke</t>
  </si>
  <si>
    <t>Cultivating Femininity</t>
  </si>
  <si>
    <t>Rebecca Corbett</t>
  </si>
  <si>
    <t>Painting the Novel</t>
  </si>
  <si>
    <t>Jakub Lipski</t>
  </si>
  <si>
    <t>Black Litigants in the Antebellum American South</t>
  </si>
  <si>
    <t>Kimberly M. Welch</t>
  </si>
  <si>
    <t>SolidaritÃ¤t und Solidarismus</t>
  </si>
  <si>
    <t>Politischer Pessimismus</t>
  </si>
  <si>
    <t>Jan-Paul KlÃ¼nder</t>
  </si>
  <si>
    <t>Macht:Denken</t>
  </si>
  <si>
    <t>Katrin Felgenhauer-Falk BornmÃ¼ller</t>
  </si>
  <si>
    <t>Elemente einer Metaphysik der Immanenz</t>
  </si>
  <si>
    <t>Digital Media and Textuality</t>
  </si>
  <si>
    <t>Daniela CÃ´rtes Maduro</t>
  </si>
  <si>
    <t>Healthcare As a Human Rights Issue</t>
  </si>
  <si>
    <t>Sabine Klotz-Heiner Bielefeldt-Martina Schmidhuber-Andreas Frewer</t>
  </si>
  <si>
    <t>Melting Pots &amp; Mosaics: Children of Immigrants in US-American Literature</t>
  </si>
  <si>
    <t>RÃ¼diger Heinze</t>
  </si>
  <si>
    <t>Klingende Eklats</t>
  </si>
  <si>
    <t>Anna SchÃ¼rmer</t>
  </si>
  <si>
    <t>Neuer Nationalismus im Ã¶stlichen Europa</t>
  </si>
  <si>
    <t>Irene GÃ¶tz-Klaus Roth-Marketa Spiritova</t>
  </si>
  <si>
    <t>Glanz und Blendung</t>
  </si>
  <si>
    <t>Jakob Willis</t>
  </si>
  <si>
    <t>Ort und Verortung</t>
  </si>
  <si>
    <t>Annika Schlitte-Thomas HÃ¼nefeldt</t>
  </si>
  <si>
    <t>Â»Alles Frankreich oder was?Â« â€“ Die saarlÃ¤ndische Frankreichstrategie im europÃ¤ischen Kontext / Â»La France Ã  toutes les sauces?Â« â€“ La â€ºStratÃ©gie Franceâ€¹ de la Sarre dans le contexte europÃ©en</t>
  </si>
  <si>
    <t>Hans-JÃ¼rgen LÃ¼sebrink-Claudia Polzin-Haumann-Christoph Vatter</t>
  </si>
  <si>
    <t>Power Relations in Black Lives</t>
  </si>
  <si>
    <t>Christa Buschendorf</t>
  </si>
  <si>
    <t>Finding Voice</t>
  </si>
  <si>
    <t>Kim Shelley Berman</t>
  </si>
  <si>
    <t>Affective Images</t>
  </si>
  <si>
    <t>Marietta Kesting</t>
  </si>
  <si>
    <t>Charged Particle Optics Theory</t>
  </si>
  <si>
    <t>Timothy R. Groves</t>
  </si>
  <si>
    <t>Development of Form-Adaptive Airfoil Profiles for Wind Turbine Application</t>
  </si>
  <si>
    <t>Irfan Ahmed</t>
  </si>
  <si>
    <t>Kleine Windenergieanlagen - Empirische Erkenntnisse und Bestandsaufnahme</t>
  </si>
  <si>
    <t>Paul KÃ¼hn</t>
  </si>
  <si>
    <t>Modellierung und Simulation reibungsbehafteter StrÃ¶mungen mit freier OberflÃ¤che</t>
  </si>
  <si>
    <t>TECHNOLOGY &amp; ENGINEERING / Reference</t>
  </si>
  <si>
    <t>Martin LÃ¼bke</t>
  </si>
  <si>
    <t>Managing Expatriates</t>
  </si>
  <si>
    <t>Brenton M Wiernik-Heiko RÃ¼ger-Deniz S. Ones</t>
  </si>
  <si>
    <t>Cultural Dynamics in a Globalized World</t>
  </si>
  <si>
    <t>Melani Budianta-Manneke Budiman-Abidin Kusno-Mikihiro Moriyama</t>
  </si>
  <si>
    <t>Reciprocal Relationships and Well-being</t>
  </si>
  <si>
    <t>Maritta TÃ¶rrÃ¶nen-Carol Munn-Giddings-Laura Tarkiainen</t>
  </si>
  <si>
    <t>Public Participation in African Constitutionalism</t>
  </si>
  <si>
    <t>Tania Abbiate-Markus BÃ¶ckenfÃ¶rde-Veronica Federico</t>
  </si>
  <si>
    <t>Justice and the Meritocratic State</t>
  </si>
  <si>
    <t>Thomas Mulligan</t>
  </si>
  <si>
    <t>Digital Techniques for Documenting and Preserving Cultural Heritage</t>
  </si>
  <si>
    <t>Anna Bentkowska-Kafel-Lindsay MacDonald</t>
  </si>
  <si>
    <t>Die Kreuzfahrerstaaten als multikulturelle Gesellschaft</t>
  </si>
  <si>
    <t>Eberhard Mayer</t>
  </si>
  <si>
    <t>Functions of Head and Body Movements in Austrian Sign Language</t>
  </si>
  <si>
    <t>Andrea Lackner</t>
  </si>
  <si>
    <t>Work Out of Place</t>
  </si>
  <si>
    <t>Mahua Sarkar</t>
  </si>
  <si>
    <t>Utopie und politische Herrschaft im Europa der Zwischenkriegszeit</t>
  </si>
  <si>
    <t>Wolfgang Hardtwig</t>
  </si>
  <si>
    <t>Ethnographies of Waiting</t>
  </si>
  <si>
    <t>Manpreet K. Janeja-Andreas Bandak</t>
  </si>
  <si>
    <t>Berufsbildung fÃ¼r Geringqualifizierte</t>
  </si>
  <si>
    <t>Britta Matthes-Eckart Severing</t>
  </si>
  <si>
    <t>Fremdsprachenlernen Erwachsener</t>
  </si>
  <si>
    <t>Sigrid Nolda</t>
  </si>
  <si>
    <t>Toward a Pragmatist Sociology</t>
  </si>
  <si>
    <t>Robert G. Dunn</t>
  </si>
  <si>
    <t>Marking Time</t>
  </si>
  <si>
    <t>Joel Faflak</t>
  </si>
  <si>
    <t>Competition and Cooperation in Social and Political Sciences</t>
  </si>
  <si>
    <t>Isbandi Rukminto Adi-Rochman Achwan</t>
  </si>
  <si>
    <t>Fast Facts: Ovarian Cancer</t>
  </si>
  <si>
    <t>Fotopoulou, Christina-Herzog, Thomas J.</t>
  </si>
  <si>
    <t>Fast Facts: Multiple Myeloma and Plasma Cell Dyscrasias</t>
  </si>
  <si>
    <t>Ramasamy, Karthik-Lonial, Sagar</t>
  </si>
  <si>
    <t>Clarke, Stephen-Li, Bob T.</t>
  </si>
  <si>
    <t>Fast Facts: Osteoarthritis</t>
  </si>
  <si>
    <t>Conaghan, Philip G.-Nelson, Amanda E.</t>
  </si>
  <si>
    <t>Fast Facts: Pancreas and Biliary Tract Diseases</t>
  </si>
  <si>
    <t>Bhutani, Manoop S.-Vilmann, Peter-Saftoiu, Adrian</t>
  </si>
  <si>
    <t>Dante and Epicurus</t>
  </si>
  <si>
    <t>George Corbett</t>
  </si>
  <si>
    <t>The Globalization of Foreign Aid</t>
  </si>
  <si>
    <t>Liam Swiss</t>
  </si>
  <si>
    <t>Russia, the European Union and NATO</t>
  </si>
  <si>
    <t>Michael Staack</t>
  </si>
  <si>
    <t>A United Nations Renaissance</t>
  </si>
  <si>
    <t>John E. Trent-Laura Schnurr</t>
  </si>
  <si>
    <t>Die Netzbewegung</t>
  </si>
  <si>
    <t>Kathrin Ganz</t>
  </si>
  <si>
    <t>Dinge und Raum in der qualitativen Bildungs- und Biographieforschung</t>
  </si>
  <si>
    <t>Anja Tervooren-Robert Kreitz</t>
  </si>
  <si>
    <t>Karrierewege zur Professur an einer Fachhochschule</t>
  </si>
  <si>
    <t>Ursula Diallo-Ruschhaupt-Susanne Plaumann-Eva-Maria Dombrowski</t>
  </si>
  <si>
    <t>Bitcoin and Beyond</t>
  </si>
  <si>
    <t>Malcolm Campbell-Verduyn</t>
  </si>
  <si>
    <t>Martin Luther in Rom</t>
  </si>
  <si>
    <t>Michael Matheus-Arnold Nesselrath-Martin Wallraff</t>
  </si>
  <si>
    <t>Exil und IdentitÃ¤t</t>
  </si>
  <si>
    <t>Silvano Longhi</t>
  </si>
  <si>
    <t>Handbook Global History of Work</t>
  </si>
  <si>
    <t>Karin Hofmeester-Marcel van der Linden</t>
  </si>
  <si>
    <t>The Language of Jokes in the Digital Age</t>
  </si>
  <si>
    <t>Delia Chiaro</t>
  </si>
  <si>
    <t>Academic Ableism</t>
  </si>
  <si>
    <t>Jay T. Dolmage</t>
  </si>
  <si>
    <t>Die vergebliche Gabe</t>
  </si>
  <si>
    <t>Hans Holleis</t>
  </si>
  <si>
    <t>Â»Hate SpeechÂ« und Verletzbarkeit im digitalen Zeitalter</t>
  </si>
  <si>
    <t>Jennifer Eickelmann</t>
  </si>
  <si>
    <t>Congoism</t>
  </si>
  <si>
    <t>Johnny Van Hove</t>
  </si>
  <si>
    <t>Vom Â»oikosÂ« zum Cyberspace</t>
  </si>
  <si>
    <t>Julia Maria MÃ¶nig</t>
  </si>
  <si>
    <t>Okulare Demokratie</t>
  </si>
  <si>
    <t>Dominik Hammer-Marie-Christine Kajewski</t>
  </si>
  <si>
    <t>Das Ã¼bergangene Wissen</t>
  </si>
  <si>
    <t>Mechthild Exo</t>
  </si>
  <si>
    <t>Actors and Networks in the Megacity</t>
  </si>
  <si>
    <t>Prachi More</t>
  </si>
  <si>
    <t>Menschenrechte, Geschlecht, Religion</t>
  </si>
  <si>
    <t>Cornelia MÃ¼gge</t>
  </si>
  <si>
    <t>Innen â€“ AuÃŸen â€“ Anders</t>
  </si>
  <si>
    <t>Ann-Cathrin Drews-Katharina D. Martin</t>
  </si>
  <si>
    <t>Landscapes of Music in Istanbul</t>
  </si>
  <si>
    <t>Alex G. Papadopoulos-Asli Duru</t>
  </si>
  <si>
    <t>Sola Scriptura</t>
  </si>
  <si>
    <t>Hans Burger-Arnold Huijgen-Eric Peels</t>
  </si>
  <si>
    <t>Law and Justice in a Globalized World</t>
  </si>
  <si>
    <t>Harkristuti Harkrisnowo-Hikmahanto Juwana-Yu Un Oppusunggu</t>
  </si>
  <si>
    <t>Moral Agency and the Politics of Responsibility</t>
  </si>
  <si>
    <t>Cornelia Ulbert-Peter Finkenbusch-Elena Sondermann-Tobias Debiel</t>
  </si>
  <si>
    <t>Understanding Immigration</t>
  </si>
  <si>
    <t>Marilyn Hoskin</t>
  </si>
  <si>
    <t>Early Science Education â€“ Goals and Process-Related Quality Criteria for Science Teaching</t>
  </si>
  <si>
    <t>Yvonne Anders-Ilonca Hardy-Sabina Pauen-JÃ¶rg Ramseger-Beate Sodian-Mirjam Steffensky-Stiftung Haus der kleinen Forscher</t>
  </si>
  <si>
    <t>IntersektionalitÃ¤t und GouvernementalitÃ¤t</t>
  </si>
  <si>
    <t>Heike Mauer</t>
  </si>
  <si>
    <t>Haddad, Mark-Boyce, Philip</t>
  </si>
  <si>
    <t>Fast Facts: Chronic and Cancer Pain</t>
  </si>
  <si>
    <t>Cousins, Michael J.-Gallagher, Rollin M.</t>
  </si>
  <si>
    <t>Polymer Engineering</t>
  </si>
  <si>
    <t>Bartosz Tylkowski-Karolina Wieszczycka-Renata Jastrzab</t>
  </si>
  <si>
    <t>Stalinâ€™s Constitution</t>
  </si>
  <si>
    <t>Samantha Lomb</t>
  </si>
  <si>
    <t>Characterization in Ancient Greek Literature</t>
  </si>
  <si>
    <t>Koen De,Temmerman-Evert van Emde Boas</t>
  </si>
  <si>
    <t>Women, Consumption, and the Circulation of Ideas in South-Eastern Europe, 17th - 19th Centuries</t>
  </si>
  <si>
    <t>ConstanÅ£a VintilÄƒ-GhiÅ£ulescu</t>
  </si>
  <si>
    <t>Global Resource Scarcity</t>
  </si>
  <si>
    <t>Marcelle C. Dawson-Christopher Rosin-Nave Wald</t>
  </si>
  <si>
    <t>Diversity in Unity: Perspectives From Psychology and Behavioral Sciences</t>
  </si>
  <si>
    <t>Amarina Ashar Ariyanto-Hamdi Muluk-Peter Newcombe-Fred Piercy-Elizabeth Kristi Poerwandari-Sri Hartati Suradijono</t>
  </si>
  <si>
    <t>Die apostolischen VÃ¤ter 1: Der Hirt des Hermas</t>
  </si>
  <si>
    <t>Molly Whittacker</t>
  </si>
  <si>
    <t>From Mind to Text</t>
  </si>
  <si>
    <t>Bartosz Stopel</t>
  </si>
  <si>
    <t>HumanitÃ¤re Kommunikation</t>
  </si>
  <si>
    <t>Matthias Kuhnert</t>
  </si>
  <si>
    <t>Kinderstube des Kapitalismus?</t>
  </si>
  <si>
    <t>Sandra MaÃŸ-German Historical Institute London</t>
  </si>
  <si>
    <t>Noncitizenism</t>
  </si>
  <si>
    <t>Tendayi Bloom</t>
  </si>
  <si>
    <t>Warlike and Peaceful Societies</t>
  </si>
  <si>
    <t xml:space="preserve"> Agner Fog</t>
  </si>
  <si>
    <t>World of Walls</t>
  </si>
  <si>
    <t>POLITICAL SCIENCE / Reference</t>
  </si>
  <si>
    <t xml:space="preserve"> Said Saddiki</t>
  </si>
  <si>
    <t>Dickensâ€™s Working Notes for 'Dombey and Son'</t>
  </si>
  <si>
    <t xml:space="preserve"> Tony Laing</t>
  </si>
  <si>
    <t>Die Europaidee im Zeitalter der AufklÃ¤rung</t>
  </si>
  <si>
    <t xml:space="preserve"> Rotraud von Kulessa-Catriona Seth</t>
  </si>
  <si>
    <t>Ethics for A-Level</t>
  </si>
  <si>
    <t xml:space="preserve"> Mark Dimmock-Andrew Fisher</t>
  </si>
  <si>
    <t>Love and Its Critics</t>
  </si>
  <si>
    <t xml:space="preserve"> Michael Bryson-Arpi Movsesian</t>
  </si>
  <si>
    <t>Birth in Ancient China</t>
  </si>
  <si>
    <t>Constance A. Cook-Xinhui Luo</t>
  </si>
  <si>
    <t>Everyday Sustainability</t>
  </si>
  <si>
    <t>Debarati Sen</t>
  </si>
  <si>
    <t>Oser l'EncyclopÃ©die</t>
  </si>
  <si>
    <t>Alain Cernuschi-Alexandre Guilbaud-Marie Leca-Tsiomis-IrÃ¨ne Passeron</t>
  </si>
  <si>
    <t>ZISU 6 - ebook</t>
  </si>
  <si>
    <t>Matthias Proske-Anne Niessen</t>
  </si>
  <si>
    <t>Russia and China</t>
  </si>
  <si>
    <t>Michal Lubina</t>
  </si>
  <si>
    <t>Queertheoretische Perspektiven auf Bildung</t>
  </si>
  <si>
    <t>Jutta Hartmann-Astrid Messerschmidt-Christine Thon</t>
  </si>
  <si>
    <t>Familien mit multipler Elternschaft</t>
  </si>
  <si>
    <t>Pia Bergold-Andrea Buschner-Birgit Mayer-Lewis-Tanja MÃ¼hling</t>
  </si>
  <si>
    <t>Crossing Central Europe</t>
  </si>
  <si>
    <t>Helga Mitterbauer-Carrie Smith-Prei</t>
  </si>
  <si>
    <t>Development of an Offshore Specific Wind Power Forecasting System Delopment of Am Offshore Specific Wind Power Forecasting System</t>
  </si>
  <si>
    <t>Melih Kurt</t>
  </si>
  <si>
    <t>Reading Shakespeare's Mind</t>
  </si>
  <si>
    <t>Steve Sohmer</t>
  </si>
  <si>
    <t>Neo-Aristotelian Perspectives on Contemporary Science</t>
  </si>
  <si>
    <t>William M.R. Simpson-Robert C. Koons-Nicholas J. Teh</t>
  </si>
  <si>
    <t>Promoting Heritage Language in Northwest Russia</t>
  </si>
  <si>
    <t>Laura Siragusa</t>
  </si>
  <si>
    <t>American Hegemony and the Rise of Emerging Powers</t>
  </si>
  <si>
    <t>Salvador Santino Regilme-James Parisot</t>
  </si>
  <si>
    <t>Willensfreiheit</t>
  </si>
  <si>
    <t>Geert Keil</t>
  </si>
  <si>
    <t>Empirische Erforschung internetbasierter Kommunikation</t>
  </si>
  <si>
    <t>Michael BeiÃŸwenger</t>
  </si>
  <si>
    <t>Space, Time and Language in Plutarch</t>
  </si>
  <si>
    <t>Aristoula Georgiadou-Katerina Oikonomopoulou</t>
  </si>
  <si>
    <t>Archaeology of Babel</t>
  </si>
  <si>
    <t>Siraj Ahmed</t>
  </si>
  <si>
    <t>Monarchische Herrschaft im Altertum</t>
  </si>
  <si>
    <t>Stefan Rebenich</t>
  </si>
  <si>
    <t>Intellektuellen-GÃ¶tter</t>
  </si>
  <si>
    <t>Friedrich Wilhelm Graf</t>
  </si>
  <si>
    <t>Selbstzeugnisse in der FrÃ¼hen Neuzeit</t>
  </si>
  <si>
    <t>Kaspar von Greyerz</t>
  </si>
  <si>
    <t>Die deutsche Nation im frÃ¼hneuzeitlichen Europa</t>
  </si>
  <si>
    <t>Georg Schmidt</t>
  </si>
  <si>
    <t>Die Berliner UniversitÃ¤t im Kontext der deutschen UniversitÃ¤tslandschaft nach 1800, um 1860 und um 1910</t>
  </si>
  <si>
    <t>RÃ¼diger vom Bruch</t>
  </si>
  <si>
    <t>Verfeinertes Sehen</t>
  </si>
  <si>
    <t>Werner Busch</t>
  </si>
  <si>
    <t>Wirtschaftsgeschichte der mittelalterlichen Juden</t>
  </si>
  <si>
    <t>Michael Toch</t>
  </si>
  <si>
    <t>Eine politische Kultur (in) der Krise?</t>
  </si>
  <si>
    <t>Karl-Joachim HÃ¶lkeskamp</t>
  </si>
  <si>
    <t>Der Koran und sein religiÃ¶ses und kulturelles Umfeld</t>
  </si>
  <si>
    <t>Tilman Nagel</t>
  </si>
  <si>
    <t>Entwicklungen und Perspektiven in den Gesundheitsberufen</t>
  </si>
  <si>
    <t>Karin Reiber-Ulrike Weyland</t>
  </si>
  <si>
    <t>Competition and Cooperation in Economics and Business</t>
  </si>
  <si>
    <t>Lindawati Gani-Beta Gitaharie-ZaÃ¤fri Husodo-Ari Kuncoro</t>
  </si>
  <si>
    <t>Making Medicines in Early Colonial Lima, Peru</t>
  </si>
  <si>
    <t>Linda A. Newson</t>
  </si>
  <si>
    <t>Citizens in the Graeco-Roman World</t>
  </si>
  <si>
    <t>Lucia Cecchet-Anna Busetto</t>
  </si>
  <si>
    <t>Proceedings of the 7th International Conference on the Assessment of Animal Welfare at the Farm and Group Level</t>
  </si>
  <si>
    <t>Ingrid C. De Jong-Paul Koene</t>
  </si>
  <si>
    <t>Facts About Fats</t>
  </si>
  <si>
    <t>J. Doppenberg-P.J. Van der Aar</t>
  </si>
  <si>
    <t>Vulnerability Politics</t>
  </si>
  <si>
    <t>Katie Oliviero</t>
  </si>
  <si>
    <t>The Sex Offender Housing Dilemma</t>
  </si>
  <si>
    <t>Monica Williams</t>
  </si>
  <si>
    <t>Playing to the Crowd</t>
  </si>
  <si>
    <t>Nancy K. Baym</t>
  </si>
  <si>
    <t>More Than Meets the Eye</t>
  </si>
  <si>
    <t>Bob Rehak</t>
  </si>
  <si>
    <t>â€žDisability Studiesâ€œ meets â€žHistory of Scienceâ€œ</t>
  </si>
  <si>
    <t>Dominik GroÃŸ-Ylva SÃ¶derfeldt</t>
  </si>
  <si>
    <t>Nahverkehrs-Tage 2017</t>
  </si>
  <si>
    <t>Institut fÃ¼r Verkehrswesen</t>
  </si>
  <si>
    <t>Wissen und Konstruktion des Anderen</t>
  </si>
  <si>
    <t>Simulation in Produktion und Logistik 2017</t>
  </si>
  <si>
    <t>Sigrid Wenzel-Tim Peter</t>
  </si>
  <si>
    <t>Imagined Economies and the Re-Framing of Trade Policy:</t>
  </si>
  <si>
    <t>Yuan-Ming Chiao</t>
  </si>
  <si>
    <t>Flood-related Health Risk Assessment: a Case Study in Hoi An City, Quang Nam Province, Vietnam</t>
  </si>
  <si>
    <t>Thi Giao Chi Trinh</t>
  </si>
  <si>
    <t>Identification of Change Patterns for the Generation of Models of Work-as-Done Using Eye-tracking</t>
  </si>
  <si>
    <t>Marcus Arenius</t>
  </si>
  <si>
    <t>Fragility, Aid, and State-building</t>
  </si>
  <si>
    <t>Rachel M Gisselquist</t>
  </si>
  <si>
    <t>Migration and Social Pathways</t>
  </si>
  <si>
    <t>Anna Guhlich</t>
  </si>
  <si>
    <t>Biografie â€“ Lebenslauf â€“ Generation</t>
  </si>
  <si>
    <t>Olaf DÃ¶rner-Carola Iller-Henning PÃ¤tzold-Julia Franz-Bernhard Schmidt-Hertha</t>
  </si>
  <si>
    <t>Perlokutionen</t>
  </si>
  <si>
    <t>Peter Eyer</t>
  </si>
  <si>
    <t>Sprachpragmatik</t>
  </si>
  <si>
    <t>Helmut Henne</t>
  </si>
  <si>
    <t>Markt und intellektuelles KrÃ¤ftefeld</t>
  </si>
  <si>
    <t>Michaela Enderle-Ristori</t>
  </si>
  <si>
    <t>Numerative und Numerativkonstruktionen im Deutschen und im Chinesischen</t>
  </si>
  <si>
    <t>Aizheng Chen</t>
  </si>
  <si>
    <t>Bedeutung, Gebrauch und sprachliche Handlung</t>
  </si>
  <si>
    <t>Thomas Gloning</t>
  </si>
  <si>
    <t>Johannes Widmanns Â»Behende und hubsche RechenungÂ«</t>
  </si>
  <si>
    <t>Barbara GÃ¤rtner</t>
  </si>
  <si>
    <t>Versunkene Hoffnungen</t>
  </si>
  <si>
    <t>Sebastian Rojek</t>
  </si>
  <si>
    <t>Der Verlust der Eindeutigkeit</t>
  </si>
  <si>
    <t>Harald MÃ¼ller</t>
  </si>
  <si>
    <t>Gender, Intersections, and Institutions</t>
  </si>
  <si>
    <t>Louise K. Davidson-Schmich</t>
  </si>
  <si>
    <t>Broken Trust</t>
  </si>
  <si>
    <t>Samuel P. King-Randall W. Roth</t>
  </si>
  <si>
    <t>Health and Political Engagement</t>
  </si>
  <si>
    <t>Mikko Mattila-Lauri Rapeli-Hanna Wass-Peter SÃ¶derlund</t>
  </si>
  <si>
    <t>Introduction to Louis Michel's Lattice Geometry Through Group Action</t>
  </si>
  <si>
    <t>Boris Zhilinskii-Michel Leduc-Michel Le Bellac</t>
  </si>
  <si>
    <t>Earth's Climate Response to a Changing Sun</t>
  </si>
  <si>
    <t>Katja Matthes-Thierry Dudok de Wit-Jean Lilensten-Collectif</t>
  </si>
  <si>
    <t>The Biology of the First 1,000 Days</t>
  </si>
  <si>
    <t>Crystal D Karakochuk-Kyly C. Whitfield-Tim J Green-Klaus Kraemer</t>
  </si>
  <si>
    <t>Food Riots, Food Rights and the Politics of Provisions</t>
  </si>
  <si>
    <t>Naomi Hossain-Patta Scott-Villiers</t>
  </si>
  <si>
    <t>The Agency of Things in Medieval and Early Modern Art</t>
  </si>
  <si>
    <t>GraÅ¼yna Jurkowlaniec-Ika Matyjaszkiewicz-Zuzanna Sarnecka</t>
  </si>
  <si>
    <t>Queering Translation, Translating the Queer</t>
  </si>
  <si>
    <t>Brian James Baer-Klaus Kaindl</t>
  </si>
  <si>
    <t>Scientific Communication</t>
  </si>
  <si>
    <t>Han Yu-Kathryn M. Northcut</t>
  </si>
  <si>
    <t>The Holocaust, Corporations, and the Law</t>
  </si>
  <si>
    <t>Leora Yedida Bilsky</t>
  </si>
  <si>
    <t>Der neue Terrorismus</t>
  </si>
  <si>
    <t>Markus Lammert</t>
  </si>
  <si>
    <t>DDR und PLO</t>
  </si>
  <si>
    <t>Lutz Kreller (vormals: Maeke)</t>
  </si>
  <si>
    <t>Revolutionserinnerung in der FrÃ¼hen Neuzeit</t>
  </si>
  <si>
    <t>Ulrich Niggemann-German Historical Institute London</t>
  </si>
  <si>
    <t>Theodor Fontane als Kunstkritiker</t>
  </si>
  <si>
    <t>Carmen Aus der Au</t>
  </si>
  <si>
    <t>Vorsorgen in der Moderne</t>
  </si>
  <si>
    <t>Nicolai Hannig-Malte ThieÃŸen</t>
  </si>
  <si>
    <t>Die HÃ¼ter der Begriffe</t>
  </si>
  <si>
    <t>Martina Steber-German Historical Institute London</t>
  </si>
  <si>
    <t>World Politics in Translation</t>
  </si>
  <si>
    <t>Tobias Berger-Alejandro Esguerra</t>
  </si>
  <si>
    <t>Integrative Framing Analysis</t>
  </si>
  <si>
    <t>Viorela Dan</t>
  </si>
  <si>
    <t>Une troisiÃ¨me voie entre lâ€™Ã‰tat et le marchÃ©</t>
  </si>
  <si>
    <t>Film Museum Practice and Film Historiography</t>
  </si>
  <si>
    <t>Bregt Lameris</t>
  </si>
  <si>
    <t>The Datafied Society</t>
  </si>
  <si>
    <t>Mirko Tobias SchÃ¤fer-Karin Es</t>
  </si>
  <si>
    <t>Fanfiction and the Author</t>
  </si>
  <si>
    <t>Judith Fathallah</t>
  </si>
  <si>
    <t>Bildungsorientierungen im Erfahrungsraum Familie</t>
  </si>
  <si>
    <t>Michael Hermes</t>
  </si>
  <si>
    <t>Jahrbuch der berufs- und wirtschaftspÃ¤dagogischen Forschung 2017</t>
  </si>
  <si>
    <t>Beyond the Panama Papers. The Performance of EU Good Governance Promotion</t>
  </si>
  <si>
    <t>Alina Mungiu-Pippidi-Jana Warkotsch</t>
  </si>
  <si>
    <t>Belonging and Transnational Refugee Settlement</t>
  </si>
  <si>
    <t>Jay Marlowe</t>
  </si>
  <si>
    <t>The Embodied Child</t>
  </si>
  <si>
    <t>Roxanne Harde-Lydia Kokkola</t>
  </si>
  <si>
    <t>The History of Japanese Economic Development</t>
  </si>
  <si>
    <t>Kenichi Ohno</t>
  </si>
  <si>
    <t>African Border Disorders</t>
  </si>
  <si>
    <t>Olivier J. Walther-William F.S. Miles</t>
  </si>
  <si>
    <t>The Indonesian Economy</t>
  </si>
  <si>
    <t>Lili Yan Ing-Gordon H. Hanson-Sri Mulyani Indrawati</t>
  </si>
  <si>
    <t>Environments of Intelligence</t>
  </si>
  <si>
    <t>Hajo Greif</t>
  </si>
  <si>
    <t>Internationales Verzeichnis der Monogramme bildender KÃ¼nstler seit 1850 / International List of Monograms in the Visual Arts since 1850</t>
  </si>
  <si>
    <t>Die germanische Tierornamentik der VÃ¶lkerwanderungszeit</t>
  </si>
  <si>
    <t>GÃ¼nther Haseloff</t>
  </si>
  <si>
    <t>Wahrheit, Perspektive, Interpretation</t>
  </si>
  <si>
    <t>Johann N. Hofmann</t>
  </si>
  <si>
    <t>Small Nations and Colonial Peripheries in World War I</t>
  </si>
  <si>
    <t>GearÃ³id Barry-Enrico Dal Lago-RÃ³isÃ­n Healy</t>
  </si>
  <si>
    <t>Painted Pottery of Honduras</t>
  </si>
  <si>
    <t>Rosemary A. Joyce</t>
  </si>
  <si>
    <t>Questions of Style</t>
  </si>
  <si>
    <t>Michel Hockx</t>
  </si>
  <si>
    <t>Physical Modeling for Virtual Manufacturing Systems and Processes</t>
  </si>
  <si>
    <t>Jan C. Aurich-Bahram Ravani-Achim Ebert-Bernd Hamann-Ralf MÃ¼ller-Tarek Zohdi-Benjamin Kirsch</t>
  </si>
  <si>
    <t>X-Machines for Agent-Based Modeling</t>
  </si>
  <si>
    <t>Mariam Kiran</t>
  </si>
  <si>
    <t>Literature and Medicine in the Nineteenth-Century Periodical Press</t>
  </si>
  <si>
    <t>LITERARY COLLECTIONS / European / English, Irish, Scottish, Welsh</t>
  </si>
  <si>
    <t>Megan Coyer</t>
  </si>
  <si>
    <t>Negotiating Dissidence</t>
  </si>
  <si>
    <t>Stefanie Van de Peer</t>
  </si>
  <si>
    <t>Digital Resistance in the Middle East</t>
  </si>
  <si>
    <t>Deborah L. Wheeler</t>
  </si>
  <si>
    <t>Democratisation in the Maghreb</t>
  </si>
  <si>
    <t>J.N.C. Hill</t>
  </si>
  <si>
    <t>Sensational Internationalism</t>
  </si>
  <si>
    <t>J. Michelle Coghlan</t>
  </si>
  <si>
    <t>Jane Austen, Virginia Woolf and Worldly Realism</t>
  </si>
  <si>
    <t>Pam Morris</t>
  </si>
  <si>
    <t>The Moral Mappings of South and North</t>
  </si>
  <si>
    <t>Peter Wagner</t>
  </si>
  <si>
    <t>Prehistoric Myths in Modern Political Philosophy</t>
  </si>
  <si>
    <t>Karl Widerquist-Grant S. McCall</t>
  </si>
  <si>
    <t>Women in Mongol Iran</t>
  </si>
  <si>
    <t>Bruno de Nicola</t>
  </si>
  <si>
    <t>Contemporary Encounters with Ancient Metaphysics</t>
  </si>
  <si>
    <t>Abraham Jacob Greenstine-Ryan J. Johnson</t>
  </si>
  <si>
    <t>Cicero's Law</t>
  </si>
  <si>
    <t>Paul J. du Plessis</t>
  </si>
  <si>
    <t>Preparing Students for College and Careers</t>
  </si>
  <si>
    <t>Katie Larsen McClarty-Krista D. Mattern-Matthew N. Gaertner</t>
  </si>
  <si>
    <t>International Labor Migration and Livelihood Security in Nepal</t>
  </si>
  <si>
    <t>Beatrice Knerr</t>
  </si>
  <si>
    <t>Das wasserrechtliche Verschlechterungsverbot und seine Ausnahmen</t>
  </si>
  <si>
    <t>LAW / Practical Guides</t>
  </si>
  <si>
    <t>Maria AnschÃ¼tz</t>
  </si>
  <si>
    <t>ReligiÃ¶se Sozialisation in muslimischen Familien</t>
  </si>
  <si>
    <t>Ayse Uygun-Altunbas</t>
  </si>
  <si>
    <t>Existenzieller Republikanismus</t>
  </si>
  <si>
    <t>Nils Heisterhagen</t>
  </si>
  <si>
    <t>Die Rache der Placebos</t>
  </si>
  <si>
    <t>Ulrike Neumaier</t>
  </si>
  <si>
    <t>Imagining Earth</t>
  </si>
  <si>
    <t>Solvejg Nitzke-Nicolas Pethes</t>
  </si>
  <si>
    <t>MenschenwÃ¼rde als heilige Ordnung</t>
  </si>
  <si>
    <t>Frank Schulz-Nieswandt</t>
  </si>
  <si>
    <t>Gewerkschaftsmacht und ihre Grenzen</t>
  </si>
  <si>
    <t>Karl Christian FÃ¼hrer</t>
  </si>
  <si>
    <t>Vierzig Jahre Â»Ãœberwachen und StrafenÂ«</t>
  </si>
  <si>
    <t>Marc RÃ¶lli-Roberto Nigro</t>
  </si>
  <si>
    <t>Social Networks with Rich Edge Semantics</t>
  </si>
  <si>
    <t>Quan Zheng-David Skillicorn</t>
  </si>
  <si>
    <t>Migration and Refugee Policies in Germany</t>
  </si>
  <si>
    <t>Andreas Ette</t>
  </si>
  <si>
    <t>Marketing Management and Communications in the Public Sector</t>
  </si>
  <si>
    <t>Martial Pasquier-Jean-Patrick Villeneuve</t>
  </si>
  <si>
    <t>Elliptische Strukturen in SMS</t>
  </si>
  <si>
    <t>Karina Frick</t>
  </si>
  <si>
    <t>Jugendkommunikation und Dialekt</t>
  </si>
  <si>
    <t>Melanie Lenzhofer</t>
  </si>
  <si>
    <t>The Role of Music in European Integration</t>
  </si>
  <si>
    <t>Albrecht RiethmÃ¼ller</t>
  </si>
  <si>
    <t>Junge Frauen mit Lernschwierigkeiten zwischen Selbst- und Fremdbestimmung</t>
  </si>
  <si>
    <t>Marion Sigot</t>
  </si>
  <si>
    <t>Gender and the Genocide in Rwanda</t>
  </si>
  <si>
    <t>Sara E. Brown</t>
  </si>
  <si>
    <t>The Autonomous Life?</t>
  </si>
  <si>
    <t>Nazima Kadir</t>
  </si>
  <si>
    <t>Rethinking Sustainable Cities</t>
  </si>
  <si>
    <t>David Simon</t>
  </si>
  <si>
    <t>Game of Privilege</t>
  </si>
  <si>
    <t>SPORTS &amp; RECREATION / Golf</t>
  </si>
  <si>
    <t>Lane Demas</t>
  </si>
  <si>
    <t>Language and Slavery</t>
  </si>
  <si>
    <t>Jacques Arends-Crit Cremers</t>
  </si>
  <si>
    <t>Minority Women and Austerity</t>
  </si>
  <si>
    <t>Leah Bassel-Akwugo Emejulu</t>
  </si>
  <si>
    <t>Designing Prostitution Policy</t>
  </si>
  <si>
    <t>Hendrik Wagenaar-Helga Amesberger-Sietske Altink</t>
  </si>
  <si>
    <t>Labour Exploitation and Work-Based Harm</t>
  </si>
  <si>
    <t>Sam Scott</t>
  </si>
  <si>
    <t>The Concept and Measurement of Violence Against Women and Men</t>
  </si>
  <si>
    <t>FAMILY &amp; RELATIONSHIPS / Abuse / Domestic Partner Abuse</t>
  </si>
  <si>
    <t>Sylvia Walby-Jude Towers-Susan Balderston-Consuelo Corradi-Brian Francis-Markku Heiskanen-Karin Helweg-Larsen-Lut Mergaert-Phillipa Olive-Emma Palmer-Heidi StÃ¶ckl-Sofia Strid</t>
  </si>
  <si>
    <t>Cosmopolitanisms and the Jews</t>
  </si>
  <si>
    <t>Cathy Gelbin-Sander Gilman</t>
  </si>
  <si>
    <t>A People's History of the Second World War</t>
  </si>
  <si>
    <t>Donny Gluckstein</t>
  </si>
  <si>
    <t>Chancen und Perspektiven computergestÃ¼tzter Lexikographie</t>
  </si>
  <si>
    <t>Ingrid Lemberg-Bernhard SchrÃ¶der-Angelika Storrer</t>
  </si>
  <si>
    <t>Besatzung, Kollaboration, Holocaust</t>
  </si>
  <si>
    <t>Johannes HÃ¼rter-JÃ¼rgen Zarusky</t>
  </si>
  <si>
    <t>Deutsche Geschichtswissenschaft nach dem Zweiten Weltkrieg (1945â€“1965)</t>
  </si>
  <si>
    <t>Ernst Schulin</t>
  </si>
  <si>
    <t>Information, Kommunikation und Selbstdarstellung in mittelalterlichen Gemeinden</t>
  </si>
  <si>
    <t>Alfred Haverkamp</t>
  </si>
  <si>
    <t>Republiken und Republikanismus im Europa der FrÃ¼hen Neuzeit</t>
  </si>
  <si>
    <t>Helmut G. Koenigsberger</t>
  </si>
  <si>
    <t>Glaube und Eid</t>
  </si>
  <si>
    <t>Paolo Prodi</t>
  </si>
  <si>
    <t>Die Italiener an der Ostfront 1942/43</t>
  </si>
  <si>
    <t>Thomas Schlemmer</t>
  </si>
  <si>
    <t>Eherecht und Familiengut in Antike und Mittelalter</t>
  </si>
  <si>
    <t>Dieter Simon</t>
  </si>
  <si>
    <t>Die BegrÃ¼ndung des Rechts als historisches Problem</t>
  </si>
  <si>
    <t>Dietmar Willoweit</t>
  </si>
  <si>
    <t>Hof und Hofgesellschaft in den deutschen Staaten im 19. und beginnenden 20. Jahrhundert</t>
  </si>
  <si>
    <t>Karl MÃ¶ckl</t>
  </si>
  <si>
    <t>Die Rolle der Geisteswissenschaften im Dritten Reich 1933â€“1945</t>
  </si>
  <si>
    <t>Frank-Rutger Hausmann</t>
  </si>
  <si>
    <t>Gaddafis Libyen und die Bundesrepublik Deutschland 1969 bis 1982</t>
  </si>
  <si>
    <t>Tim Szatkowski</t>
  </si>
  <si>
    <t>Advising in Austerity</t>
  </si>
  <si>
    <t>Samuel Kirwan</t>
  </si>
  <si>
    <t>The Taiwan Voter</t>
  </si>
  <si>
    <t>Christopher Henry Achen-T. Y. Wang</t>
  </si>
  <si>
    <t>Mothering, Public Leadership, and Womenâ€™s Life Writing</t>
  </si>
  <si>
    <t>Claire Wolfteich</t>
  </si>
  <si>
    <t>Routledge Handbook of Sport and the Environment</t>
  </si>
  <si>
    <t>Brian P. McCullough-Timothy B. Kellison</t>
  </si>
  <si>
    <t>Development Assistance for Peacebuilding</t>
  </si>
  <si>
    <t>Rachel M. Gisselquist</t>
  </si>
  <si>
    <t>Rethinking EU Consumer Law</t>
  </si>
  <si>
    <t>Geraint Howells-Christian Twigg-Flesner-Thomas Wilhelmsson</t>
  </si>
  <si>
    <t>Democracy and Climate Change</t>
  </si>
  <si>
    <t>Frederic Hanusch</t>
  </si>
  <si>
    <t>Technocrats and the Politics of Drought and Development in Twentieth-Century Brazil</t>
  </si>
  <si>
    <t>Eve E. Buckley</t>
  </si>
  <si>
    <t>The Making of British Bioethics</t>
  </si>
  <si>
    <t>Duncan Wilson</t>
  </si>
  <si>
    <t>Museums in a Digital Culture</t>
  </si>
  <si>
    <t>LegÃªne-Chiel van den Akker</t>
  </si>
  <si>
    <t>A New Dawn for the Second Sex</t>
  </si>
  <si>
    <t>Karen Vintges</t>
  </si>
  <si>
    <t>Surrender</t>
  </si>
  <si>
    <t>Michael Allen Meeropol</t>
  </si>
  <si>
    <t>Putting Inequality in Context</t>
  </si>
  <si>
    <t>Christopher Ellis</t>
  </si>
  <si>
    <t>The Psychology of Study Success in Universities</t>
  </si>
  <si>
    <t>Kaarina Maatta-Satu Uusiautti</t>
  </si>
  <si>
    <t>Russiaâ€“EU Relations and the Common Neighborhood</t>
  </si>
  <si>
    <t>Irina Busygina</t>
  </si>
  <si>
    <t>Visions of the End in Medieval Spain</t>
  </si>
  <si>
    <t>LITERARY COLLECTIONS / Medieval</t>
  </si>
  <si>
    <t>John Williams-Therese Martin</t>
  </si>
  <si>
    <t>Prosopon Rhomaikon</t>
  </si>
  <si>
    <t>Alexander Beihammer-Bettina KrÃ¶nung-Claudia Ludwig</t>
  </si>
  <si>
    <t>Quantum Groups</t>
  </si>
  <si>
    <t>Vladimir K. Dobrev</t>
  </si>
  <si>
    <t>Broadsheets</t>
  </si>
  <si>
    <t>Andrew Pettegree</t>
  </si>
  <si>
    <t>Factional Struggles</t>
  </si>
  <si>
    <t>The Routledge Handbook of Planning History</t>
  </si>
  <si>
    <t>Against Meritocracy</t>
  </si>
  <si>
    <t>Jo Littler</t>
  </si>
  <si>
    <t>Studies in Science Education in the Asia-Pacific Region</t>
  </si>
  <si>
    <t>May Hung Cheng-Alister Jones-Cathy Buntting</t>
  </si>
  <si>
    <t>Standardizing Minority Languages</t>
  </si>
  <si>
    <t>Pia Lane-James Costa-Haley De Korne</t>
  </si>
  <si>
    <t>Brainwaves: A Cultural History of Electroencephalography</t>
  </si>
  <si>
    <t>Cornelius Borck</t>
  </si>
  <si>
    <t>A Guide for the Idealist</t>
  </si>
  <si>
    <t>Richard Willson</t>
  </si>
  <si>
    <t>Integrating Sustainable Development in International Investment Law</t>
  </si>
  <si>
    <t>Manjiao Chi</t>
  </si>
  <si>
    <t>Modern Languages Across the Curriculum</t>
  </si>
  <si>
    <t>Michael Grenfell</t>
  </si>
  <si>
    <t>Erwachsenenbildung und Region</t>
  </si>
  <si>
    <t>Christian Bernhard-Skala</t>
  </si>
  <si>
    <t>ScheinselbstÃ¤ndigkeit in Deutschland</t>
  </si>
  <si>
    <t>Hans Dietrich-Rolf Wank-Alexander Patzina</t>
  </si>
  <si>
    <t>Persons and Their Minds</t>
  </si>
  <si>
    <t>Svend Brinkmann</t>
  </si>
  <si>
    <t>The Work of Communication</t>
  </si>
  <si>
    <t>Timothy Kuhn-Karen L Ashcraft-Francois Cooren</t>
  </si>
  <si>
    <t>The Hirschfeld Archives</t>
  </si>
  <si>
    <t>Heike Bauer</t>
  </si>
  <si>
    <t>The Idea of Europe</t>
  </si>
  <si>
    <t xml:space="preserve"> Catriona Seth-Rotraud von Kulessa</t>
  </si>
  <si>
    <t>Zombies in Western Culture</t>
  </si>
  <si>
    <t xml:space="preserve"> John Vervaeke-Filip Miscevic-Christopher Mastropietro</t>
  </si>
  <si>
    <t>Just Managing?</t>
  </si>
  <si>
    <t xml:space="preserve"> Mark O'Brien-Paul Kyprianou</t>
  </si>
  <si>
    <t>Searching for Sharing</t>
  </si>
  <si>
    <t xml:space="preserve"> Daniela Merolla-Mark Turin</t>
  </si>
  <si>
    <t>Lâ€™idÃ©e De Lâ€™Europe</t>
  </si>
  <si>
    <t>Twentieth-Century Russian Poetry</t>
  </si>
  <si>
    <t xml:space="preserve"> Katharine Hodgson-Joanne Shelton-Alexandra Smith</t>
  </si>
  <si>
    <t>Living Territories to Transform the World</t>
  </si>
  <si>
    <t>Diplomatie fÃ¼r die deutsche Einheit</t>
  </si>
  <si>
    <t>Andreas Hilger</t>
  </si>
  <si>
    <t>â€œLike Love Is Primal?â€</t>
  </si>
  <si>
    <t>Sara Davin</t>
  </si>
  <si>
    <t>Human Capital, Occupational Status, and Social Integration of Pakistani Immigrants in Germany: Gender Perspectives</t>
  </si>
  <si>
    <t>Sadaf Mahmood</t>
  </si>
  <si>
    <t>Food Culture of Southeast Asia: Perspectives of Social Science and Food Science</t>
  </si>
  <si>
    <t>Wahyudi David-Daniel Kofahl</t>
  </si>
  <si>
    <t>Flexibilisierung des industriellen Energiebedarfes</t>
  </si>
  <si>
    <t>Diana Khripko</t>
  </si>
  <si>
    <t>Alter(n) und Soziale Nachhaltigkeit</t>
  </si>
  <si>
    <t>Monika Alisch-Stephanie Hagspihl-Claudia Kreipl-Martina Ritter</t>
  </si>
  <si>
    <t>Die Kasseler Hofbildhauer Heyd â€“ eine AnnÃ¤herung</t>
  </si>
  <si>
    <t>Martina Sitt</t>
  </si>
  <si>
    <t>Klima- und energieeffiziente Bereitstellung von FlÃ¼ssigaluminium fÃ¼r den DruckgieÃŸprozess</t>
  </si>
  <si>
    <t>TECHNOLOGY &amp; ENGINEERING / Technical &amp; Manufacturing Industries &amp; Trades</t>
  </si>
  <si>
    <t>Kai Bloemen</t>
  </si>
  <si>
    <t>Pesticides</t>
  </si>
  <si>
    <t>DÃ©veloppement durable et filiÃ¨res tropicales</t>
  </si>
  <si>
    <t>Estelle BiÃ©nabe-Alain Rival-Denis Loeillet</t>
  </si>
  <si>
    <t>Ã‰mergence de maladies infectieuses</t>
  </si>
  <si>
    <t>Morand, Serge.-FiguieÌ, Muriel.</t>
  </si>
  <si>
    <t>The Standard Model and Beyond</t>
  </si>
  <si>
    <t>Paul Langacker</t>
  </si>
  <si>
    <t>Korczyk, Dariusz-Kaye, Gerry</t>
  </si>
  <si>
    <t>Charles Ludlam Lives!</t>
  </si>
  <si>
    <t>Sean Edgecomb</t>
  </si>
  <si>
    <t>Oktober 1745 â€“ September 1746</t>
  </si>
  <si>
    <t>Arabic Script on Christian Kings</t>
  </si>
  <si>
    <t>Isabelle Dolezalek</t>
  </si>
  <si>
    <t>InterfiguralitÃ¤t bei Phaedrus</t>
  </si>
  <si>
    <t>Johannes Park</t>
  </si>
  <si>
    <t>Communism's Jewish Question</t>
  </si>
  <si>
    <t>AndrÃ¡s KovÃ¡cs</t>
  </si>
  <si>
    <t>Une petite histoire de l'alimentation franÃ§aise</t>
  </si>
  <si>
    <t>VÃ©ronique Bellemain-Karine Boquet-ThÃ©o Galichet-Katell Gouello-Ambroise Martin-Daniel Nairaud-Jean-Pierre Poulain</t>
  </si>
  <si>
    <t>Le lapin</t>
  </si>
  <si>
    <t>Gidenne, Thierry</t>
  </si>
  <si>
    <t>Jean-Philippe Braly-Yazdan Yazdanpanah</t>
  </si>
  <si>
    <t>Le palmier Ã  huile</t>
  </si>
  <si>
    <t>La conservation des grains aprÃ¨s rÃ©colte</t>
  </si>
  <si>
    <t>Jean-FranÃ§ois Cruz-D. Joseph Hounhouigan-Francis Fleurat-Lessard-Francis Troude</t>
  </si>
  <si>
    <t>Unequal Friendship</t>
  </si>
  <si>
    <t>Antoni MÄ…czak</t>
  </si>
  <si>
    <t>ChanceMINT.NRW â€“ Studienbiografische Wendepunkte und Karriereperspektiven</t>
  </si>
  <si>
    <t>Nicole Auferkorte-Michaelis-Arne Gillert</t>
  </si>
  <si>
    <t>Gendersensible Gestaltung des neuen Studiengangs â€žBWL â€“ Digitale Wirtschaftâ€œ an der Beuth Hochschule fÃ¼r Technik Berlin</t>
  </si>
  <si>
    <t>Martina Brandt-Antje Ducki</t>
  </si>
  <si>
    <t>Soziale Geschlechtergerechtigkeit in Wissenschaft und Forschung</t>
  </si>
  <si>
    <t>Jennifer Dahmen-Adkins-Anita Thaler</t>
  </si>
  <si>
    <t>Die OECD und die Bildungsplanung der freien Welt</t>
  </si>
  <si>
    <t>Regula BÃ¼rgi</t>
  </si>
  <si>
    <t>Fathers in Work Organizations</t>
  </si>
  <si>
    <t>Brigitte Liebig-Mechtild Oechsle</t>
  </si>
  <si>
    <t>Wirkungsevaluation mobiler Jugendarbeit</t>
  </si>
  <si>
    <t>Hemma Mayrhofer</t>
  </si>
  <si>
    <t>Kapitalismus und NaturzerstÃ¶rung</t>
  </si>
  <si>
    <t>BUSINESS &amp; ECONOMICS / Free Enterprise &amp; Capitalism</t>
  </si>
  <si>
    <t>Christian Stache</t>
  </si>
  <si>
    <t>LehrbetriebsverbÃ¼nde</t>
  </si>
  <si>
    <t>Nicolette Seiterle</t>
  </si>
  <si>
    <t>Gender und Diversity im Unternehmen</t>
  </si>
  <si>
    <t>Hildegard Macha-Hildrun Brendler-Catarina RÃ¶mer</t>
  </si>
  <si>
    <t>Sozialisation von Jugendlichen in geschlechtsuntypischen Berufslehren</t>
  </si>
  <si>
    <t>Benno Rottermann</t>
  </si>
  <si>
    <t>Architecture et croissance des plantes</t>
  </si>
  <si>
    <t>Reffye, Philippe de</t>
  </si>
  <si>
    <t>Learning Legacies</t>
  </si>
  <si>
    <t>Sarah Ruffing Robbins</t>
  </si>
  <si>
    <t>La traction animale</t>
  </si>
  <si>
    <t>Michel Havard-Ã‰ric Vall-Philippe Lhoste</t>
  </si>
  <si>
    <t>Transformations agricoles et agroalimentaires</t>
  </si>
  <si>
    <t>Les virus</t>
  </si>
  <si>
    <t>StÃ©phane Biacchesi-Christophe Chevalier-Marie Galloux-Christelle Langevin-Ronan Le Goffic-Michel BrÃ©mont</t>
  </si>
  <si>
    <t>Le cotonnier</t>
  </si>
  <si>
    <t>Michel CrÃ©tenet-Jean-Paul Gourlot</t>
  </si>
  <si>
    <t>Construire des politiques alimentaires urbaines</t>
  </si>
  <si>
    <t>FÃ©minin-masculin</t>
  </si>
  <si>
    <t>HÃ©lÃ¨ne GuÃ©tat-Bernard, Coordinatrice</t>
  </si>
  <si>
    <t>Praxishandbuch Open Access</t>
  </si>
  <si>
    <t>Konstanze SÃ¶llner-Bernhard Mittermaier</t>
  </si>
  <si>
    <t>Ablasskampagnen des SpÃ¤tmittelalters</t>
  </si>
  <si>
    <t>Andreas Rehberg</t>
  </si>
  <si>
    <t>Just Vibrations</t>
  </si>
  <si>
    <t>William Cheng</t>
  </si>
  <si>
    <t>Prometheus Reimagined</t>
  </si>
  <si>
    <t>Albert C. Lin</t>
  </si>
  <si>
    <t>Web Writing</t>
  </si>
  <si>
    <t>Jack Dougherty-Tennyson O'Donnell</t>
  </si>
  <si>
    <t>Traces of the Old, Uses of the New</t>
  </si>
  <si>
    <t>Amy E. Earhart</t>
  </si>
  <si>
    <t>This Gaming Life</t>
  </si>
  <si>
    <t>Jim Rossignol</t>
  </si>
  <si>
    <t>The Resonance of Unseen Things</t>
  </si>
  <si>
    <t>Susan Lepselter</t>
  </si>
  <si>
    <t>The Jazz Republic</t>
  </si>
  <si>
    <t>Jonathan O. Wipplinger</t>
  </si>
  <si>
    <t>The Distinction of Peace</t>
  </si>
  <si>
    <t>Catherine Goetze</t>
  </si>
  <si>
    <t>The Chatter of the Visible</t>
  </si>
  <si>
    <t>Patrizia C. McBride</t>
  </si>
  <si>
    <t>Strange Science</t>
  </si>
  <si>
    <t>Lara Pauline Karpenko-Shalyn Rae Claggett</t>
  </si>
  <si>
    <t>Spectacular Disappearances</t>
  </si>
  <si>
    <t>Settlers of Unassigned Lands</t>
  </si>
  <si>
    <t>Charles McLeod</t>
  </si>
  <si>
    <t>Science Fiction in Argentina</t>
  </si>
  <si>
    <t>Joanna Page</t>
  </si>
  <si>
    <t>Mixed-Member Electoral Systems in Constitutional Context</t>
  </si>
  <si>
    <t>Nathan F. Batto-Chi Huang-Alexander C. Tan-Gary W. Cox</t>
  </si>
  <si>
    <t>Late Sophocles</t>
  </si>
  <si>
    <t>Thomas Van Nortwick</t>
  </si>
  <si>
    <t>Interdisciplining Digital Humanities</t>
  </si>
  <si>
    <t>Julie Thompson Klein</t>
  </si>
  <si>
    <t>Full Metal Jhacket</t>
  </si>
  <si>
    <t>FICTION / Fantasy / Contemporary</t>
  </si>
  <si>
    <t>Matthew Derby</t>
  </si>
  <si>
    <t>Big Digital Humanities</t>
  </si>
  <si>
    <t>Patrik Svensson</t>
  </si>
  <si>
    <t>Beyond the Bauhaus</t>
  </si>
  <si>
    <t>Deborah Ascher Barnstone</t>
  </si>
  <si>
    <t>American Homes</t>
  </si>
  <si>
    <t>Ryan Ridge</t>
  </si>
  <si>
    <t>A Heart Beating Hard</t>
  </si>
  <si>
    <t>Lauren Foss Goodman</t>
  </si>
  <si>
    <t>Human Development From Middle Childhood to Middle Adulthood</t>
  </si>
  <si>
    <t>Lea Pulkkinen</t>
  </si>
  <si>
    <t>Emerging Practices in Intergovernmental Functional Assignment</t>
  </si>
  <si>
    <t>Gabriele Ferrazzi-Rainer Rohdewohld</t>
  </si>
  <si>
    <t>New York City Cartmen, 1667-1850</t>
  </si>
  <si>
    <t>Graham Russell Gao Hodges</t>
  </si>
  <si>
    <t>The Givenness of Desire</t>
  </si>
  <si>
    <t>Randall S. Rosenberg</t>
  </si>
  <si>
    <t>Ophthalmology: Current and Future Developments Diagnostic Atlas of Retinal Diseases Volume: 3</t>
  </si>
  <si>
    <t>Mitzy E Torres, Soriano-Gerardo GarcÃ­a, Aguirre-Maximiliano, Gordon-Veronica Kon, Graversen</t>
  </si>
  <si>
    <t>21st Century Cooperation</t>
  </si>
  <si>
    <t>Antoni Estevadeordal-Louis Goodman</t>
  </si>
  <si>
    <t>Rampage Shootings and Gun Control</t>
  </si>
  <si>
    <t>Steffen Hurka</t>
  </si>
  <si>
    <t>Begabungen und FÃ¤higkeiten durch WertschÃ¤tzung fÃ¶rdern</t>
  </si>
  <si>
    <t>Gabriel Tetzner</t>
  </si>
  <si>
    <t>Rechtliche GewÃ¤hrleistung eines hohen Schutzniveaus bei Nanomaterialien in REACH</t>
  </si>
  <si>
    <t>Julian Schenten</t>
  </si>
  <si>
    <t>Berufserfolg und Bleibeabsichten hochqualifizierter Chinesen in Deutschland</t>
  </si>
  <si>
    <t>Kaikai Zhang</t>
  </si>
  <si>
    <t>Berechnungsmethodik zur Beurteilung von mechatronischen Bauteilen unter groÃŸen Temperaturschwankungen</t>
  </si>
  <si>
    <t>Patrick Obermann</t>
  </si>
  <si>
    <t>Toussaint Louverture</t>
  </si>
  <si>
    <t>Charles Forsdick-Christian Hogsbjerg</t>
  </si>
  <si>
    <t>Psychosis and Near Psychosis</t>
  </si>
  <si>
    <t>Eric Marcus</t>
  </si>
  <si>
    <t>Migration und DiversitÃ¤t in Einrichtungen der Weiterbildung</t>
  </si>
  <si>
    <t>Halit Ã–ztÃ¼rk-Sara Reiter</t>
  </si>
  <si>
    <t>English Language Teaching in South America</t>
  </si>
  <si>
    <t>LÃ­a D. Kamhi-Stein-Gabriel DÃ­az Maggioli-Luciana C. de Oliveira</t>
  </si>
  <si>
    <t>Boxing, Masculinity and Identity</t>
  </si>
  <si>
    <t>Kath Woodward</t>
  </si>
  <si>
    <t>Reginald McKenna</t>
  </si>
  <si>
    <t>Martin Farr</t>
  </si>
  <si>
    <t>The Narratology of Comic Art</t>
  </si>
  <si>
    <t>Kai Mikkonen</t>
  </si>
  <si>
    <t>The History of Skepticism</t>
  </si>
  <si>
    <t>Renata ZiemiÅ„ska</t>
  </si>
  <si>
    <t>The Spell of Capital</t>
  </si>
  <si>
    <t>Samir Gandesha-Johan Frederik Hartle</t>
  </si>
  <si>
    <t>Open Data and the Knowledge Society</t>
  </si>
  <si>
    <t>Bridgette Wessels-Rachel Finn-Kush Wadhwa-Thordis Sveinsdottir</t>
  </si>
  <si>
    <t>Japanese Reflections on World War II and the American Occupation</t>
  </si>
  <si>
    <t>Edgar Porter-Ran Ying Porter</t>
  </si>
  <si>
    <t>Neue Forschungen zur Medizingeschichte</t>
  </si>
  <si>
    <t>Mathias Schmidt-Dominik GroÃŸ-Axel Karenberg</t>
  </si>
  <si>
    <t>Organic Computing</t>
  </si>
  <si>
    <t>Sven Tomforde-Bernhard Sick</t>
  </si>
  <si>
    <t>Ich mach Dir den Hof! - Brennpunkt HofÃ¼bergabe</t>
  </si>
  <si>
    <t>Projektgruppe Ich mach Dir den Hof! - Brennpunkt HofÃ¼bergabe</t>
  </si>
  <si>
    <t>Beitrag zur Herstellung 3-dimensionaler Kunststoffscheiben mit integrierter Funktion zur VerÃ¤nderung der Transparenz durch Elektrochromie</t>
  </si>
  <si>
    <t>Ralf-Urs Giesen</t>
  </si>
  <si>
    <t>Soziale Rechte und gesellschaftliche Wirklichkeiten</t>
  </si>
  <si>
    <t>Simone Kreher-Felix Welti</t>
  </si>
  <si>
    <t>Ein Verfahren zur Prognose verkehrsabhÃ¤ngiger Schaltzeiten von Lichtsignalanlagen</t>
  </si>
  <si>
    <t>Toni Weisheit</t>
  </si>
  <si>
    <t>Innovation Technology</t>
  </si>
  <si>
    <t>Laurier Schramm</t>
  </si>
  <si>
    <t>Nominal Modification in Italian Sign Language</t>
  </si>
  <si>
    <t>WirtschaftsrÃ¤ume und Lebenschancen</t>
  </si>
  <si>
    <t>Stefan GrÃ¼ner-Sabine Mecking</t>
  </si>
  <si>
    <t>Ze'enah U Re'enah</t>
  </si>
  <si>
    <t>Morris M. Faierstein</t>
  </si>
  <si>
    <t>Von der Freiheit, Schmerz zu spÃ¼ren</t>
  </si>
  <si>
    <t>Akademie der Wissenschaften-Burkhart Bromm-JÃ¶rn Henning Wolf</t>
  </si>
  <si>
    <t>Neue Zeiten â€“ Altes Recht</t>
  </si>
  <si>
    <t>Martin LÃ¶hnig</t>
  </si>
  <si>
    <t>England in Europe</t>
  </si>
  <si>
    <t>Elizabeth Muir Tyler</t>
  </si>
  <si>
    <t>Sincerity in Politics and International Relations</t>
  </si>
  <si>
    <t>Sorin Baiasu-Sylvie Loriaux</t>
  </si>
  <si>
    <t>Researching Non-state Actors in International Security</t>
  </si>
  <si>
    <t>Andreas Kruck-Andrea Schneiker</t>
  </si>
  <si>
    <t>Knowledge Production, Area Studies and Global Cooperation</t>
  </si>
  <si>
    <t>Claudia Derichs</t>
  </si>
  <si>
    <t>Uncertainty, Threat, and International Security</t>
  </si>
  <si>
    <t>Ivan Savic-Zachary C. Shirkey</t>
  </si>
  <si>
    <t>Constitutional Theory: Schmitt After Derrida</t>
  </si>
  <si>
    <t>Jacques de Ville</t>
  </si>
  <si>
    <t>Posthumanism and Deconstructing Arguments</t>
  </si>
  <si>
    <t>Kieran O'Halloran</t>
  </si>
  <si>
    <t>Trust and Terror</t>
  </si>
  <si>
    <t>Ammar Shamaileh</t>
  </si>
  <si>
    <t>SexualitÃ¤t von MÃ¤nnern</t>
  </si>
  <si>
    <t>Doris Bardehle-Theodor Klotz-Bettina Staudenmeyer-Stiftung MÃ¤nnergesundheit-Heinz-JÃ¼rgen VoÃŸ</t>
  </si>
  <si>
    <t>The Politics of Evidence</t>
  </si>
  <si>
    <t>Justin Parkhurst</t>
  </si>
  <si>
    <t>Untamed Urbanisms</t>
  </si>
  <si>
    <t>Adriana Allen-Andrea Lampis-Mark Swilling</t>
  </si>
  <si>
    <t>Glocal Pharma</t>
  </si>
  <si>
    <t>Ericka Johnson-Ebba SjÃ¶gren-Cecilia Ã…sberg</t>
  </si>
  <si>
    <t>KindeswohlgefÃ¤hrdung</t>
  </si>
  <si>
    <t>Miriam GÃ¼nderoth</t>
  </si>
  <si>
    <t>GrenzÃ¼berschreitungen (in) der Kunst</t>
  </si>
  <si>
    <t>Tufan Acil</t>
  </si>
  <si>
    <t>Algorithmuskulturen</t>
  </si>
  <si>
    <t>Robert Seyfert-Jonathan Roberge</t>
  </si>
  <si>
    <t>Globalisierung im Zwiespalt</t>
  </si>
  <si>
    <t>JÃ¼rgen Turek</t>
  </si>
  <si>
    <t>Alles relativ?</t>
  </si>
  <si>
    <t>Politische Konsumentinnen im Social Web</t>
  </si>
  <si>
    <t>Katharina Witterhold</t>
  </si>
  <si>
    <t>Squatting in Rio De Janeiro</t>
  </si>
  <si>
    <t>Bea Wittger</t>
  </si>
  <si>
    <t>Teaching Media</t>
  </si>
  <si>
    <t>Elisabeth Kampmann-Gregor Schwering</t>
  </si>
  <si>
    <t>European Monarchies From 1814 to 1906</t>
  </si>
  <si>
    <t>Volker Sellin</t>
  </si>
  <si>
    <t>Virginal. Goldemar</t>
  </si>
  <si>
    <t>Elisabeth Lienert-Elisa Pontini-Katrin Schumacher</t>
  </si>
  <si>
    <t>Claiming Freedom</t>
  </si>
  <si>
    <t>Karen Cook Bell</t>
  </si>
  <si>
    <t>Simpliciana XXXVIII (2016)</t>
  </si>
  <si>
    <t>Peter HeÃŸelmann</t>
  </si>
  <si>
    <t>Simpliciana</t>
  </si>
  <si>
    <t>Courts in Federal Countries</t>
  </si>
  <si>
    <t>Nicholas Theodore Aroney-John Kincaid</t>
  </si>
  <si>
    <t>The Unmaking of Home in Contemporary Art</t>
  </si>
  <si>
    <t>Claudette Lauzon</t>
  </si>
  <si>
    <t>The Most Noble of People</t>
  </si>
  <si>
    <t>Jessica Coope</t>
  </si>
  <si>
    <t>Integrated Reporting and Sustainability-related Assurance</t>
  </si>
  <si>
    <t>Anil GÃ¼rtÃ¼rk</t>
  </si>
  <si>
    <t>Numerical Modeling of Narrow-linewidth Quantum Dot Lasers</t>
  </si>
  <si>
    <t>Marko Bjelica</t>
  </si>
  <si>
    <t>Die Rehabilitation und das SchwerbeschÃ¤digtenrecht der DDR im Ãœbergang zur Bundesrepublik Deutschland</t>
  </si>
  <si>
    <t>Diana Ramm</t>
  </si>
  <si>
    <t>The Reflective Entrepreneur</t>
  </si>
  <si>
    <t>Dimo Dimov</t>
  </si>
  <si>
    <t>Art, Research, Philosophy</t>
  </si>
  <si>
    <t>Clive Cazeaux</t>
  </si>
  <si>
    <t>Ophthalmology: Current and Future Developments Diagnostic Atlas of Retinal Diseases Volume: 2</t>
  </si>
  <si>
    <t>Mitzy E Torres, Soriano-Gerardo Garcia, Aguirre-Maximiliano, Gordon-Veronica Kon, Graversen</t>
  </si>
  <si>
    <t>Rethinking Japanese Feminisms</t>
  </si>
  <si>
    <t>Julia C. Bullock-Ayako Kano-James Welker</t>
  </si>
  <si>
    <t>American Sociology and Holocaust Studies</t>
  </si>
  <si>
    <t>Adele Valeria Messina</t>
  </si>
  <si>
    <t>Kirby, Roger S.-Patel, Manish I.</t>
  </si>
  <si>
    <t>North American Cornucopia</t>
  </si>
  <si>
    <t>Ernest Small</t>
  </si>
  <si>
    <t>The Laboratory Guinea Pig</t>
  </si>
  <si>
    <t>Donna J. Clemons-Jennifer L. Seeman</t>
  </si>
  <si>
    <t>The COST Manual of Laboratory Animal Care and Use</t>
  </si>
  <si>
    <t>Bryan Howard-Timo Nevalainen-Gemma Perretta</t>
  </si>
  <si>
    <t>Alternative Fuels for Transportation</t>
  </si>
  <si>
    <t>A S Ramadhas</t>
  </si>
  <si>
    <t>An Introduction to Beam Physics</t>
  </si>
  <si>
    <t>Martin Berz-Kyoko Makino-Weishi Wan</t>
  </si>
  <si>
    <t>Global Surgery and Anesthesia Manual</t>
  </si>
  <si>
    <t>John G. Meara, MD, DMD, MBA, FACS, FRACS-Craig D. McClain, MD, MPH-Selwyn O. Rogers, Jr., MD, MPH, FACS-David P. Mooney, MD, MPH, FACS</t>
  </si>
  <si>
    <t>Je-Chin Han</t>
  </si>
  <si>
    <t>The Dutch National Research Agenda in Perspective</t>
  </si>
  <si>
    <t>Beatrice Graaf-Alexander Rinnooy Kan-Henk Molenaar</t>
  </si>
  <si>
    <t>Shipbuilding and Ship Repair Workers Around the World</t>
  </si>
  <si>
    <t>Raquel Varela-Hugh Murphy-Marcel Linden</t>
  </si>
  <si>
    <t>Disability Media Studies</t>
  </si>
  <si>
    <t>Elizabeth Ellcessor-Bill Kirkpatrick</t>
  </si>
  <si>
    <t>Authentically Black and Truly Catholic</t>
  </si>
  <si>
    <t>Matthew J. Cressler</t>
  </si>
  <si>
    <t>GrenzÃ¼berschreitungen</t>
  </si>
  <si>
    <t>Stephan Breitenmoser-Kerstin Odendahl-Markus Krajewski-et. al.</t>
  </si>
  <si>
    <t>Wavelet Analysis on the Sphere</t>
  </si>
  <si>
    <t>Sabrine Arfaoui-Imen Rezgui-Anouar Ben Mabrouk</t>
  </si>
  <si>
    <t>The Politics of Contemporary Art Biennials</t>
  </si>
  <si>
    <t>Panos Kompatsiaris</t>
  </si>
  <si>
    <t xml:space="preserve"> William J. Sutherland-Lynn V. Dicks-Nancy Ockendon-Rebecca K. Smith</t>
  </si>
  <si>
    <t>Security in a Small Nation</t>
  </si>
  <si>
    <t xml:space="preserve"> Andrew W. Neal</t>
  </si>
  <si>
    <t>Behaviour, Development and Evolution</t>
  </si>
  <si>
    <t xml:space="preserve"> Patrick Bateson</t>
  </si>
  <si>
    <t>Wallenstein</t>
  </si>
  <si>
    <t>Deliberation, Representation, Equity</t>
  </si>
  <si>
    <t xml:space="preserve"> Love Ekenberg-Karin Hansson-Mats Danielson-GÃ¶ran Cars</t>
  </si>
  <si>
    <t>Validation of Score Meaning for the Next Generation of Assessments</t>
  </si>
  <si>
    <t>Kadriye Ercikan-James W. Pellegrino</t>
  </si>
  <si>
    <t>Meeting Ethnography</t>
  </si>
  <si>
    <t>Jen Sandler-Renita Thedvall</t>
  </si>
  <si>
    <t>Improvisation and Social Aesthetics</t>
  </si>
  <si>
    <t>Georgina Born-Eric Lewis-Will Straw</t>
  </si>
  <si>
    <t>Symptoms of an Unruly Age</t>
  </si>
  <si>
    <t>Rivi Handler-Spitz</t>
  </si>
  <si>
    <t>Regieren in der modernen Gesellschaft</t>
  </si>
  <si>
    <t>Manfred Mai</t>
  </si>
  <si>
    <t>Women Political Leaders in Rwanda and South Africa</t>
  </si>
  <si>
    <t>Naleli Mpho Soledad Morojele</t>
  </si>
  <si>
    <t>Geschlechterdifferenzierung in der Kindertageseinrichtung</t>
  </si>
  <si>
    <t>Melanie Kubandt</t>
  </si>
  <si>
    <t>Der Morgenkreis</t>
  </si>
  <si>
    <t>Friederike Heinzel</t>
  </si>
  <si>
    <t>Ikonische Macht</t>
  </si>
  <si>
    <t>Heike Kanter</t>
  </si>
  <si>
    <t>Kimbanguism</t>
  </si>
  <si>
    <t>AurÃ©lien Mokoko Gampiot</t>
  </si>
  <si>
    <t>Open Source Archaeology</t>
  </si>
  <si>
    <t>Andrew T. Wilson-Ben Edwards</t>
  </si>
  <si>
    <t>EU Cohesion Policy</t>
  </si>
  <si>
    <t>John Bachtler-Peter Berkowitz-Sally Hardy-Tatjana Muravska</t>
  </si>
  <si>
    <t>Surveillance, Privacy and Security</t>
  </si>
  <si>
    <t>Michael Friedewald-J. Peter Burgess-Johann ÄŒas-Rocco Bellanova-Walter Peissl</t>
  </si>
  <si>
    <t>Testing in the Professions</t>
  </si>
  <si>
    <t>Susan Davis-Becker-Chad W. Buckendahl</t>
  </si>
  <si>
    <t>A New Approach to Research Ethics</t>
  </si>
  <si>
    <t>Henriikka Mustajoki-Arto Mustajoki</t>
  </si>
  <si>
    <t>FrÃ¼he mathematische Bildung â€“ Ziele und Gelingensbedingungen fÃ¼r den Elementar- und Primarbereich</t>
  </si>
  <si>
    <t>Christiane Benz-Meike GrÃ¼ÃŸing-Jens Holger Lorenz-Kristina Reiss-Christoph Selter-Bernd Wollring-Stiftung Haus der kleinen Forscher</t>
  </si>
  <si>
    <t>Die Gesellschaft der Zukunft â€“ Beobachtungen aus der Gegenwart</t>
  </si>
  <si>
    <t>Dieter Grunow</t>
  </si>
  <si>
    <t>Methoden und Techniken der Bildungsberatung</t>
  </si>
  <si>
    <t>Anne SchlÃ¼ter-Karin Kress</t>
  </si>
  <si>
    <t>Mensch Und Computer 2015 â€“ Workshopband</t>
  </si>
  <si>
    <t>Anette Weisbecker-Michael Burmester-Albrecht Schmidt</t>
  </si>
  <si>
    <t>Mensch Und Computer 2015 â€“ Tagungsband</t>
  </si>
  <si>
    <t>Martin Pielot-Sarah Diefenbach-Niels Henze</t>
  </si>
  <si>
    <t>Mensch Und Computer 2015 â€“ Usability Professionals</t>
  </si>
  <si>
    <t>Anja Endmann-Holger Fischer-Malte KrÃ¶kel</t>
  </si>
  <si>
    <t>Wikipedia und Geschichtswissenschaft</t>
  </si>
  <si>
    <t>Thomas Wozniak-JÃ¼rgen Nemitz-Uwe Rohwedder</t>
  </si>
  <si>
    <t>A Typological Perspective on Latvian Grammar</t>
  </si>
  <si>
    <t>Andra Kalnaca</t>
  </si>
  <si>
    <t>Initiation Into the Mysteries of the Ancient World</t>
  </si>
  <si>
    <t>Jan N. Bremmer</t>
  </si>
  <si>
    <t>Designing Adaptive Virtual Worlds</t>
  </si>
  <si>
    <t>Ning Gu-Mary Lou Maher</t>
  </si>
  <si>
    <t>Experiential Teaching for Public Health Practice</t>
  </si>
  <si>
    <t>Bud, Nicola-Amy, Hagopian</t>
  </si>
  <si>
    <t>Les directeurs au travail</t>
  </si>
  <si>
    <t>Monica Gather Thurler-Isabelle Kolly Ottiger-Philippe Losego-Olivier Maulini</t>
  </si>
  <si>
    <t>Venire contra factum proprium</t>
  </si>
  <si>
    <t>Lisa Isola</t>
  </si>
  <si>
    <t>The European Union's Policy Towards Mercosur</t>
  </si>
  <si>
    <t>Arantza Gomez Arana</t>
  </si>
  <si>
    <t>Dynamics in Education Politics</t>
  </si>
  <si>
    <t>Hannu Simola-Jaakko Kauko-Janne Varjo-Mira Kalalahti-Fritjof Sahlstrom</t>
  </si>
  <si>
    <t>Broken Voices</t>
  </si>
  <si>
    <t>Roald Maliangkay</t>
  </si>
  <si>
    <t>Confucianisms for a Changing World Cultural Order</t>
  </si>
  <si>
    <t>Roger T. Ames-Peter D. Hershock</t>
  </si>
  <si>
    <t>Der Klang der Vernunft</t>
  </si>
  <si>
    <t>RenÃ© Thun</t>
  </si>
  <si>
    <t>Demokratie ohne Grund â€“ kein Grund fÃ¼r Demokratie?</t>
  </si>
  <si>
    <t>Luzia Sievi</t>
  </si>
  <si>
    <t>Urban Planning and Everyday Urbanisation</t>
  </si>
  <si>
    <t>Nadine Appelhans</t>
  </si>
  <si>
    <t>Rechtspopulismus und Hegemonie</t>
  </si>
  <si>
    <t>Marius Hildebrand</t>
  </si>
  <si>
    <t>Die Regierung der Gesundheit</t>
  </si>
  <si>
    <t>Irene Poczka</t>
  </si>
  <si>
    <t>Ã„sthetiken in Kindheit und Jugend</t>
  </si>
  <si>
    <t>Sebastian Schinkel-Ina Herrmann</t>
  </si>
  <si>
    <t>PhÃ¤nomen HÃ¶rbuch</t>
  </si>
  <si>
    <t>Stephanie Bung-Jenny SchrÃ¶dl</t>
  </si>
  <si>
    <t>Asyl verwalten</t>
  </si>
  <si>
    <t>Christian Lahusen-Stephanie Schneider</t>
  </si>
  <si>
    <t>Displaced Archives</t>
  </si>
  <si>
    <t>Haiti Unbound</t>
  </si>
  <si>
    <t>Kaiama L. Glover</t>
  </si>
  <si>
    <t>Model Driven Visual Programming for Serious Games</t>
  </si>
  <si>
    <t>Thillainathan Niroshan</t>
  </si>
  <si>
    <t>Simulation of Manufacturing Sequences of Functionally Graded Structures</t>
  </si>
  <si>
    <t>Tobias Gleim</t>
  </si>
  <si>
    <t>Drug-Acceptor Interactions</t>
  </si>
  <si>
    <t>Niels Bindslev</t>
  </si>
  <si>
    <t>Genius Envy</t>
  </si>
  <si>
    <t>Adrianna M. Paliyenko</t>
  </si>
  <si>
    <t>Transcending Textuality</t>
  </si>
  <si>
    <t>Ariadna GarcÃ­a-Bryce</t>
  </si>
  <si>
    <t>Multilingualism and Mother Tongue in Medieval French, Occitan, and Catalan Narratives</t>
  </si>
  <si>
    <t>Catherine E. LÃ©glu</t>
  </si>
  <si>
    <t>Manekine, John and Blonde, and â€œFoolish Generosityâ€</t>
  </si>
  <si>
    <t>Philippe de Remi</t>
  </si>
  <si>
    <t>Imperial Lyric</t>
  </si>
  <si>
    <t>Leah Middlebrook</t>
  </si>
  <si>
    <t>Public Health Humanitarian Responses to Natural Disasters</t>
  </si>
  <si>
    <t>Emily Chan</t>
  </si>
  <si>
    <t>Power, Knowledge and Feminist Scholarship</t>
  </si>
  <si>
    <t>Maria do Mar Pereira</t>
  </si>
  <si>
    <t>Managing Modern Healthcare</t>
  </si>
  <si>
    <t>Mike Bresnen-Damian Hodgson-Simon Bailey-Paula Hyde-John Hassard</t>
  </si>
  <si>
    <t>Borrowed Forms</t>
  </si>
  <si>
    <t>Kathryn Lachman</t>
  </si>
  <si>
    <t>Security/Mobility</t>
  </si>
  <si>
    <t>Matthias Leese-Stef Wittendorp</t>
  </si>
  <si>
    <t>Human Remains in Society</t>
  </si>
  <si>
    <t>Jean-Marc Dreyfus-Ã‰lisabeth Anstett</t>
  </si>
  <si>
    <t>Akten zur AuswÃ¤rtigen Politik der Bundesrepublik Deutschland 1986</t>
  </si>
  <si>
    <t>Andreas Wirsching-HÃ©lÃ¨ne Miard-Delacroix-Gregor SchÃ¶llgen-Matthias Peter-Daniela Taschler</t>
  </si>
  <si>
    <t>The Cold War</t>
  </si>
  <si>
    <t>Konrad H. Jarausch-Christian Ostermann-Andreas Etges</t>
  </si>
  <si>
    <t>Proclus and His Legacy</t>
  </si>
  <si>
    <t>Danielle Layne-David D. Butorac</t>
  </si>
  <si>
    <t>Discovering the South</t>
  </si>
  <si>
    <t>Jennifer Ritterhouse</t>
  </si>
  <si>
    <t>Simulation rotordynamischer Problemstellungen mit der Smoothed Particle Hydrodynamics Methode</t>
  </si>
  <si>
    <t>Anika Stein</t>
  </si>
  <si>
    <t>The Interaction Between Financial Stability and Financial Institutions: Some Reflections</t>
  </si>
  <si>
    <t>Benjamin KÃ¤fer</t>
  </si>
  <si>
    <t>Selbstlernende Algorithmen zur videobasierten Absichtserkennung von FuÃŸgÃ¤ngern</t>
  </si>
  <si>
    <t>Michael Goldhammer</t>
  </si>
  <si>
    <t>Rotatives VibrationsschweiÃŸen</t>
  </si>
  <si>
    <t>Stefan Jarka</t>
  </si>
  <si>
    <t>Art As a Political Witness</t>
  </si>
  <si>
    <t>Kia Lindroos-Frank MÃ¶ller</t>
  </si>
  <si>
    <t>UnerfÃ¼llte KinderwÃ¼nsche und Reproduktionsmedizin</t>
  </si>
  <si>
    <t>Jasmin Passet-Wittig</t>
  </si>
  <si>
    <t>Durch EuropÃ¤isierung zu mehr DurchlÃ¤ssigkeit?</t>
  </si>
  <si>
    <t>Nadine Bernhard</t>
  </si>
  <si>
    <t>ZurÃ¼ck in den Alltag â€“ MÃ¼tter nach Behandlung ihrer AlkoholabhÃ¤ngigkeit</t>
  </si>
  <si>
    <t>Silvija Gavez-Samuel Keller-Trudi Beck</t>
  </si>
  <si>
    <t>Confucianism</t>
  </si>
  <si>
    <t>Ming-huei Lee-David Jones</t>
  </si>
  <si>
    <t>Water and Politics</t>
  </si>
  <si>
    <t>Veronica Herrera</t>
  </si>
  <si>
    <t>From Seascapes of Extinction to Seascapes of Confidence</t>
  </si>
  <si>
    <t>Gloria L. Gallardo Fernandez</t>
  </si>
  <si>
    <t>Argentina's Economic Reforms of the 1990s in Contemporary and Historical Perspective</t>
  </si>
  <si>
    <t>Domingo Cavallo-Sonia Cavallo Runde</t>
  </si>
  <si>
    <t>Inventar der Befehle des Obersten Chefs der Sowjetischen MilitÃ¤radministration in Deutschland (SMAD) 1945â€“1949</t>
  </si>
  <si>
    <t>Jan Foitzik-Werner RÃ¶der-Christoph Weisz</t>
  </si>
  <si>
    <t>Bilingualism and Deafness</t>
  </si>
  <si>
    <t>Carolina Plaza-Pust</t>
  </si>
  <si>
    <t>Coolies of Capitalism</t>
  </si>
  <si>
    <t>Nitin Varma</t>
  </si>
  <si>
    <t>Kultur und Krieg</t>
  </si>
  <si>
    <t>Wolfgang J. Mommsen</t>
  </si>
  <si>
    <t>Deutschland im ersten Nachkriegsjahr</t>
  </si>
  <si>
    <t>Martin RÃ¼ther-Uwe SchÃ¼tz-Otto Dann-Werner RÃ¶der-Christoph Weisz</t>
  </si>
  <si>
    <t>ReichszentralbehÃ¶rden, regionale BehÃ¶rden und wissenschaftliche Hochschulen fÃ¼r die zehn westdeutschen LÃ¤nder sowie Berlin</t>
  </si>
  <si>
    <t>Heinz Boberach</t>
  </si>
  <si>
    <t>Le dÃ©fi de lâ€™enracinement napolÃ©onien entre Rhin et Meuse, 1810-1814</t>
  </si>
  <si>
    <t>Pierre Horn-Institut Historique Allemand Paris</t>
  </si>
  <si>
    <t>OMGUS-Handbuch</t>
  </si>
  <si>
    <t>Christoph Weisz</t>
  </si>
  <si>
    <t>Dimension des VÃ¶lkermords</t>
  </si>
  <si>
    <t>Wolfgang Benz</t>
  </si>
  <si>
    <t>Writing Beloveds</t>
  </si>
  <si>
    <t>Aileen Astorga Feng</t>
  </si>
  <si>
    <t>Exzerpieren - Kompilieren - Tradieren</t>
  </si>
  <si>
    <t>Stephan Dusil-Gerald Schwedler-Raphael Schwitter</t>
  </si>
  <si>
    <t>Tattooed Skin and Health</t>
  </si>
  <si>
    <t>J., Serup-N., Kluger-W., BÃ¤umler</t>
  </si>
  <si>
    <t>Somalis in the Twin Cities and Columbus</t>
  </si>
  <si>
    <t>Stefanie Chambers</t>
  </si>
  <si>
    <t>Values, Objectivity, and Explanation in Historiography</t>
  </si>
  <si>
    <t>Tor Egil FÃ¸rland</t>
  </si>
  <si>
    <t>Unearthing Shakespeare</t>
  </si>
  <si>
    <t>DRAMA / Shakespeare</t>
  </si>
  <si>
    <t>Valerie Clayman Pye</t>
  </si>
  <si>
    <t>Human Rights in Business</t>
  </si>
  <si>
    <t>Juan JosÃ© Ãlvarez Rubio-Katerina Yiannibas</t>
  </si>
  <si>
    <t>Artistic Disobedience</t>
  </si>
  <si>
    <t>Claudio Bacciagaluppi</t>
  </si>
  <si>
    <t>Locating Religions</t>
  </si>
  <si>
    <t>Reinhold Glei-Nikolas Jaspert</t>
  </si>
  <si>
    <t>Life After Guns</t>
  </si>
  <si>
    <t>Abby Hardgrove</t>
  </si>
  <si>
    <t>Children As Caregivers</t>
  </si>
  <si>
    <t>Jean Hunleth</t>
  </si>
  <si>
    <t>Nurse Writers of the Great War</t>
  </si>
  <si>
    <t>Christine E. Hallett</t>
  </si>
  <si>
    <t>European Regions and Boundaries</t>
  </si>
  <si>
    <t>Diana Mishkova-BalÃ¡zs TrencsÃ©nyi</t>
  </si>
  <si>
    <t>A People's History of the Russian Revolution</t>
  </si>
  <si>
    <t>Neil Faulkner</t>
  </si>
  <si>
    <t>Open Education</t>
  </si>
  <si>
    <t xml:space="preserve"> Patrick Blessinger-TJ Bliss</t>
  </si>
  <si>
    <t>Essays in Honour of Eamonn Cantwell</t>
  </si>
  <si>
    <t>The Infrastructure Finance Challenge</t>
  </si>
  <si>
    <t xml:space="preserve"> Ingo Walter</t>
  </si>
  <si>
    <t>Woodstock Scholarship</t>
  </si>
  <si>
    <t xml:space="preserve"> Jeffrey N. Gatten</t>
  </si>
  <si>
    <t>Literature Against Criticism</t>
  </si>
  <si>
    <t xml:space="preserve"> Martin Paul Eve</t>
  </si>
  <si>
    <t>Marisa J. Fuentes-Deborah Gray White</t>
  </si>
  <si>
    <t>Spenserian Satire</t>
  </si>
  <si>
    <t>Rachel Hile</t>
  </si>
  <si>
    <t>Biopunk Dystopias</t>
  </si>
  <si>
    <t>Lars Schmeink</t>
  </si>
  <si>
    <t>Knights Across the Atlantic</t>
  </si>
  <si>
    <t>Steven Parfitt</t>
  </si>
  <si>
    <t>Defying the IRA?</t>
  </si>
  <si>
    <t>Brian Hughes</t>
  </si>
  <si>
    <t>Vital Subjects</t>
  </si>
  <si>
    <t>Rhiannon Noel Welch</t>
  </si>
  <si>
    <t>Ã‰dith Piaf</t>
  </si>
  <si>
    <t>David Looseley</t>
  </si>
  <si>
    <t>SchÃ¼lerInnen an der BildungsÃ¼bertrittsschwelle zur Sekundarstufe I</t>
  </si>
  <si>
    <t>Corinna Geppert</t>
  </si>
  <si>
    <t>Social Networks As the New Frontier of Terrorism</t>
  </si>
  <si>
    <t>Laura Scaife</t>
  </si>
  <si>
    <t>Climate Change and Natural Disasters</t>
  </si>
  <si>
    <t>Vinod Thomas</t>
  </si>
  <si>
    <t>Fast Facts: Diagnosing Cutaneous T-Cell Lymphoma</t>
  </si>
  <si>
    <t>Haun, Paul L.-Scarisbrick, Julia J.</t>
  </si>
  <si>
    <t>Vaidya, Jayant S.-Patkar, Vivek</t>
  </si>
  <si>
    <t>Rampton, David S.-Shanahan, Fergus</t>
  </si>
  <si>
    <t>O'Brien, Mary-Besse, Benjamin</t>
  </si>
  <si>
    <t>Construire la MÃ©diterranÃ©e, penser les transferts culturels</t>
  </si>
  <si>
    <t>Rania Abdellatif-Yassir Benhima-Daniel KÃ¶nig-Elisabeth Ruchaud</t>
  </si>
  <si>
    <t>Atlantic Bonds</t>
  </si>
  <si>
    <t>Lisa A. Lindsay</t>
  </si>
  <si>
    <t>Germanistik in Wien</t>
  </si>
  <si>
    <t>Elisabeth Grabenweger</t>
  </si>
  <si>
    <t>Tracing Manuscripts in Time and Space Through Paratexts</t>
  </si>
  <si>
    <t>Giovanni Ciotti-Hang Lin</t>
  </si>
  <si>
    <t>Ein Sklavenball. Pompeji</t>
  </si>
  <si>
    <t>Ã–dÃ¶n von HorvÃ¡th-Martin Vejvar</t>
  </si>
  <si>
    <t>Das Berliner TransitionsProgramm</t>
  </si>
  <si>
    <t>Jana Findorff-Silvia MÃ¼ther-Arpad Moers-Hans-Dieter Nolting-Walter Burger</t>
  </si>
  <si>
    <t>Vibrant Architecture</t>
  </si>
  <si>
    <t>Rachel Armstrong</t>
  </si>
  <si>
    <t>The Far Horizons of Time</t>
  </si>
  <si>
    <t>SCIENCE / Time</t>
  </si>
  <si>
    <t>H. Chris Ransford</t>
  </si>
  <si>
    <t>The Densification Process of Wood Waste</t>
  </si>
  <si>
    <t>Peter Krizan</t>
  </si>
  <si>
    <t>Exercises with Solutions in Radiation Physics</t>
  </si>
  <si>
    <t>Bo N. Nilsson</t>
  </si>
  <si>
    <t>Die Gleichheit vor dem Gesetz im Sinne des Art. 109 der Reichsverfassung. Der EinfluÃŸ des Steuerrechts auf die Begriffsbildung des Ã¶ffentlichen Rechts</t>
  </si>
  <si>
    <t>Commercial Orchids</t>
  </si>
  <si>
    <t>NATURE / Plants / Flowers</t>
  </si>
  <si>
    <t>Lakshman Chandra De</t>
  </si>
  <si>
    <t>Textbook of Cortical Brain Stimulation</t>
  </si>
  <si>
    <t>Sergio Canavero</t>
  </si>
  <si>
    <t>Why Do We Do What We Do?</t>
  </si>
  <si>
    <t>Ramsay MacMullen</t>
  </si>
  <si>
    <t>Plug&amp;Play Places</t>
  </si>
  <si>
    <t>Robert Nadler</t>
  </si>
  <si>
    <t>The Contents of Perceptual Experience: A Kantian Perspective</t>
  </si>
  <si>
    <t>Anna Tomaszewska</t>
  </si>
  <si>
    <t>The Szczecin Lagoon Ecosystem</t>
  </si>
  <si>
    <t>Norbert Wolnomiejski-Zbigniew Witek</t>
  </si>
  <si>
    <t>Moving to Sustainable Buildings:</t>
  </si>
  <si>
    <t>Umberto Berardi</t>
  </si>
  <si>
    <t>KommunikationsrÃ¤ume im kaiserzeitlichen Rom</t>
  </si>
  <si>
    <t>Felix Mundt</t>
  </si>
  <si>
    <t>Copular Clauses and Focus Marking in Sumerian</t>
  </si>
  <si>
    <t>GÃ¡bor ZÃ³lyomi</t>
  </si>
  <si>
    <t>Information and Communications Technology</t>
  </si>
  <si>
    <t>Diana PÃ©rez MarÃ­n</t>
  </si>
  <si>
    <t>Simon of Genoa's Medical Lexicon</t>
  </si>
  <si>
    <t>MEDICAL / Allied Health Services / Medical Assistants</t>
  </si>
  <si>
    <t>Barbara Zipser</t>
  </si>
  <si>
    <t>Remy Belleau et lâ€™art de guÃ©rir</t>
  </si>
  <si>
    <t>Jean Braybrook</t>
  </si>
  <si>
    <t>The Linguistic Worldview</t>
  </si>
  <si>
    <t>Adam Glaz-David Danaher-Przemyslaw Lozowski</t>
  </si>
  <si>
    <t>SpÃ¤tmittelalterliche Heroldskompendien</t>
  </si>
  <si>
    <t>Torsten Hiltmann</t>
  </si>
  <si>
    <t>Ein 'neues' Deutschland? Eine deutsch-franzÃ¶sische Bilanz 20 Jahre nach der Vereinigung</t>
  </si>
  <si>
    <t>Reiner Marcowitz</t>
  </si>
  <si>
    <t>Comparaisons, raisons, raisons d'Ã‰tat</t>
  </si>
  <si>
    <t>Armelle Lefebvre</t>
  </si>
  <si>
    <t>Frieden schaffen und sich verteidigen im SpÃ¤tmittelalter</t>
  </si>
  <si>
    <t>Gisela Naegle</t>
  </si>
  <si>
    <t>Les 'autres' rois</t>
  </si>
  <si>
    <t>Abgrund Metz</t>
  </si>
  <si>
    <t>Matthias Steinbach</t>
  </si>
  <si>
    <t>Acteurs des transferts culturels en MÃ©diterranÃ©e mÃ©diÃ©vale</t>
  </si>
  <si>
    <t>Made in Canada, Read in Spain</t>
  </si>
  <si>
    <t>Pilar Somacarrera</t>
  </si>
  <si>
    <t>Environmental Democracy at the Global Level:</t>
  </si>
  <si>
    <t>Behold Our Moral Body</t>
  </si>
  <si>
    <t>Sally K. Severino</t>
  </si>
  <si>
    <t>Russian Policy in the Orthodox East</t>
  </si>
  <si>
    <t>Lora Gerd</t>
  </si>
  <si>
    <t>Europe and the Gospel</t>
  </si>
  <si>
    <t>Evert Van de Poll</t>
  </si>
  <si>
    <t>Children Disengaged From Armed Groups in Colombia</t>
  </si>
  <si>
    <t>Julia Villanueva Oâ€™Driscoll-Gerrit Loots-Ilse Derluyn</t>
  </si>
  <si>
    <t>Random Differential Equations in Scientific Computing</t>
  </si>
  <si>
    <t>Tobias Neckel-Florian Rupp</t>
  </si>
  <si>
    <t>Histamine H4 Receptor</t>
  </si>
  <si>
    <t>Holger Stark</t>
  </si>
  <si>
    <t>Before the Museums Came</t>
  </si>
  <si>
    <t>Leo J. Harris</t>
  </si>
  <si>
    <t>Jeremiah Smith, Jr. And Hungary, 1924â€“1926</t>
  </si>
  <si>
    <t>ZoltÃ¡n Peterecz</t>
  </si>
  <si>
    <t>Constructivist Blended Learning Approach</t>
  </si>
  <si>
    <t>Oleg Tarnopolsky</t>
  </si>
  <si>
    <t>Bild - Raum - Handlung</t>
  </si>
  <si>
    <t>Ortwin Dally-Susanne Moraw-Hauke Ziemssen</t>
  </si>
  <si>
    <t>Biographien (mit-)teilen</t>
  </si>
  <si>
    <t>Mechthild Bereswill-Johanna ZÃ¼hlke</t>
  </si>
  <si>
    <t>Nachhall</t>
  </si>
  <si>
    <t>MUSIC / Reference</t>
  </si>
  <si>
    <t>Christel Nies</t>
  </si>
  <si>
    <t>60 Jahre Moderne Stadt(t)rÃ¤ume in Hamburg</t>
  </si>
  <si>
    <t>ARCHITECTURE / Reference</t>
  </si>
  <si>
    <t>Blecher, Sebastian.</t>
  </si>
  <si>
    <t>Far-infrared Spectroscopy of Dimethyl-Ether and Its 13C-enriched Isotopologues and First Spectroscopic Characterization of Tert-butyl-dibromophosphane</t>
  </si>
  <si>
    <t>Pia Kutzer</t>
  </si>
  <si>
    <t>QualitÃ¤tsanalyse koordinierter Lichtsignalsteuerungen unter Verwendung kooperativ gewonnener MessgrÃ¶ÃŸen</t>
  </si>
  <si>
    <t>Felix Rudolph</t>
  </si>
  <si>
    <t>The Profit Doctrine</t>
  </si>
  <si>
    <t>Robert Chernomas-Ian Hudson</t>
  </si>
  <si>
    <t>Postmodern Crises</t>
  </si>
  <si>
    <t>Mark Lipovetsky</t>
  </si>
  <si>
    <t>The Cinema of Oliver Stone</t>
  </si>
  <si>
    <t>Ian Scott-Henry Thompson</t>
  </si>
  <si>
    <t>Nursing with a Message</t>
  </si>
  <si>
    <t>Patricia D'Antonio</t>
  </si>
  <si>
    <t>The Art of Neighbouring</t>
  </si>
  <si>
    <t>Martin Saxer-J. Zhang</t>
  </si>
  <si>
    <t>The Animal Rights Struggle</t>
  </si>
  <si>
    <t>Christophe TraÃ¯ni</t>
  </si>
  <si>
    <t>Memory in Motion</t>
  </si>
  <si>
    <t>Ina Blom-Trond Lundemo-Eivind RÃ¸ssaak</t>
  </si>
  <si>
    <t>Videoanalysen von Fernsehshows und Musikvideos</t>
  </si>
  <si>
    <t>MUSIC / Printed Music / Musicals, Film &amp; TV</t>
  </si>
  <si>
    <t>Stefan Hampl</t>
  </si>
  <si>
    <t>Frankreich im KSZE-Prozess</t>
  </si>
  <si>
    <t>Veronika Heyde</t>
  </si>
  <si>
    <t>Zionist Israel and the Question of Palestine</t>
  </si>
  <si>
    <t>Tamar Amar-Dahl</t>
  </si>
  <si>
    <t>Okkultismus im GehÃ¤use</t>
  </si>
  <si>
    <t>Anna Lux-Sylvia Paletschek</t>
  </si>
  <si>
    <t>Diaspora, Law and Literature</t>
  </si>
  <si>
    <t>Klaus Stierstorfer-Daniela Carpi</t>
  </si>
  <si>
    <t>Knowledge Services</t>
  </si>
  <si>
    <t>Guy St. Clair</t>
  </si>
  <si>
    <t>Diversification of Mexican Spanish</t>
  </si>
  <si>
    <t>Margarita Hidalgo</t>
  </si>
  <si>
    <t>MÃ¤nner mit "Makel"</t>
  </si>
  <si>
    <t>Bernhard Gotto-Elke Seefried</t>
  </si>
  <si>
    <t>Codename TREVI</t>
  </si>
  <si>
    <t>Eva Oberloskamp</t>
  </si>
  <si>
    <t>The Qur'an Seminar Commentary / Le Qur'an Seminar</t>
  </si>
  <si>
    <t>Mehdi Azaiez-Gabriel Said Reynolds-Tommaso Tesei-Hamza M. Zafer</t>
  </si>
  <si>
    <t>Traum - Mantik - Allegorie</t>
  </si>
  <si>
    <t>Ursula Bittrich</t>
  </si>
  <si>
    <t>Kommunikation und Konfrontation</t>
  </si>
  <si>
    <t>Gregor Metzig</t>
  </si>
  <si>
    <t>Geschlechtliche Vielfalt (er)leben</t>
  </si>
  <si>
    <t>Alexander NaÃŸ-Silvia Rentzsch-Johanna RÃ¶denbeck-Monika Deinbeck</t>
  </si>
  <si>
    <t>Medieval Women and Their Objects</t>
  </si>
  <si>
    <t>Jennifer Adams-Nancy Bradbury</t>
  </si>
  <si>
    <t>Bonded Labour</t>
  </si>
  <si>
    <t>Sabine Damir-Geilsdorf-Ulrike Lindner-Gesine MÃ¼ller-Oliver Tappe-Michael Zeuske</t>
  </si>
  <si>
    <t>Protest und Selbstbeschreibung</t>
  </si>
  <si>
    <t>Luca Tratschin</t>
  </si>
  <si>
    <t>Solidarische Ã–konomie als Lebensform</t>
  </si>
  <si>
    <t>Bastian Ronge</t>
  </si>
  <si>
    <t>Dem Erleben auf der Spur</t>
  </si>
  <si>
    <t>Hilge Landweer-Isabella Marcinski-Michel</t>
  </si>
  <si>
    <t>Soziale Aktivierung von Arbeitslosen?</t>
  </si>
  <si>
    <t>Carolin Freier</t>
  </si>
  <si>
    <t>Das Theater der Erziehung</t>
  </si>
  <si>
    <t>Martin JÃ¶rg SchÃ¤fer</t>
  </si>
  <si>
    <t>Das Sozialpolitische Prinzip</t>
  </si>
  <si>
    <t>Lothar BÃ¶hnisch-Wolfgang SchrÃ¶er</t>
  </si>
  <si>
    <t>Constructions of Cultural Identities in Newsreel Cinema and Television After 1945</t>
  </si>
  <si>
    <t>Kornelia Imesch-Sigrid Schade-Samuel Sieber</t>
  </si>
  <si>
    <t>Online Hate and Harmful Content</t>
  </si>
  <si>
    <t>Teo Keipi-Matti NÃ¤si-Atte Oksanen-Pekka RÃ¤sÃ¤nen</t>
  </si>
  <si>
    <t>Betriebswirtschaftliche Strategien fÃ¼r die Abfallwirtschaft und Stadtreinigung 2016</t>
  </si>
  <si>
    <t>Hans-Peter Obladen-Michael Meetz</t>
  </si>
  <si>
    <t>Das Ikonische</t>
  </si>
  <si>
    <t>Holger van den Boom-Felicidad Romero-Tejedor</t>
  </si>
  <si>
    <t>Procesos de transporte de biomasa y carbonizados en hornos rotatorios</t>
  </si>
  <si>
    <t>Wolfgang Klose-Sonia RincÃ³n-Alexander GÃ³mez</t>
  </si>
  <si>
    <t>Kollektive IdentitÃ¤t und Gemeinschaft am Berg</t>
  </si>
  <si>
    <t>Carolin Holtkamp</t>
  </si>
  <si>
    <t>Struktur-Eigenschafts-Beziehung von Mischungen aus thermoplastischem PMMA mit vernetzten PMMA-Kolloiden</t>
  </si>
  <si>
    <t>Viola Sauer</t>
  </si>
  <si>
    <t>Beitrag zur Betrachtung von MTTFSpurious-Modellierung im Zusammenhang mit dem internationalen Sicherheitsstandard IEC 61508</t>
  </si>
  <si>
    <t>P. N. Thao Dang</t>
  </si>
  <si>
    <t>Alte neue Ungleichheiten?</t>
  </si>
  <si>
    <t>Annette von Alemann-Sandra BeaufaÓ±s-Beate Kortendiek</t>
  </si>
  <si>
    <t>Work and Livelihoods</t>
  </si>
  <si>
    <t>Susana Narotzky-Victoria Goddard</t>
  </si>
  <si>
    <t>Ecology and Prevention of Lyme Borreliosis</t>
  </si>
  <si>
    <t>Marieta A.H. Braks-Sipke E. van Wieren-Willem Takken-Hein Sprong</t>
  </si>
  <si>
    <t>Footprints in Paradise</t>
  </si>
  <si>
    <t>TRAVEL / Special Interest / Ecotourism</t>
  </si>
  <si>
    <t>Andrea E. Murray</t>
  </si>
  <si>
    <t>Hope and Uncertainty in Contemporary African Migration</t>
  </si>
  <si>
    <t>Nauja Kleist-Dorte Thorsen</t>
  </si>
  <si>
    <t>Refugees and the Ethics of Forced Displacement</t>
  </si>
  <si>
    <t>Serena Parekh</t>
  </si>
  <si>
    <t>Ambiguous Citizenship in an Age of Global Migration</t>
  </si>
  <si>
    <t>Aoileann NÃ­ MhurchÃº</t>
  </si>
  <si>
    <t>A Gender-based Approach to Parliamentary Discourse</t>
  </si>
  <si>
    <t>Catalina Fuentes RodrÃ­guez-Gloria Ãlvarez-Benito</t>
  </si>
  <si>
    <t>Border Crossing</t>
  </si>
  <si>
    <t>Alexander Burry-Frederick White</t>
  </si>
  <si>
    <t>The New Russian Nationalism</t>
  </si>
  <si>
    <t>PÃ¥l KolstÃ¸-Helge Blakkisrud</t>
  </si>
  <si>
    <t>The Jalayirids</t>
  </si>
  <si>
    <t>Patrick Wing</t>
  </si>
  <si>
    <t>Slums on Screen</t>
  </si>
  <si>
    <t>Igor KrstiÄ‡</t>
  </si>
  <si>
    <t>Reinventing Liberty</t>
  </si>
  <si>
    <t>Fiona Price</t>
  </si>
  <si>
    <t>Culinary Linguistics</t>
  </si>
  <si>
    <t>Cornelia Gerhardt-Maximiliane Frobenius-Susanne Ley</t>
  </si>
  <si>
    <t>Austerity and the Labor Movement</t>
  </si>
  <si>
    <t>Michael Schiavone</t>
  </si>
  <si>
    <t>Neue Wege des Diagnostizierens und FÃ¶rderns im mathematischen Anfangsunterricht</t>
  </si>
  <si>
    <t>Nora Haberzettl</t>
  </si>
  <si>
    <t>Place-related Factors, Employment Opportunities and International Studentsâ€™ Migration Intention</t>
  </si>
  <si>
    <t>Rebecca Tlatlik</t>
  </si>
  <si>
    <t>Nachhaltiges Kaufungen</t>
  </si>
  <si>
    <t>Sven LÃ¤mmerhirt-Annika Schmitt-Robin Sievert</t>
  </si>
  <si>
    <t>Democracy Promotion As Foreign Policy</t>
  </si>
  <si>
    <t>Cathy Elliott</t>
  </si>
  <si>
    <t>Women's Emancipation and Civil Society Organisations</t>
  </si>
  <si>
    <t>Christina Schwabenland-Chris Lange-Jenny Onyx-Sachiko Nakagawa</t>
  </si>
  <si>
    <t>Soziale Arbeit als Arbeit am Gemeinwesen</t>
  </si>
  <si>
    <t>URU International Conference on Science and Technology 2016</t>
  </si>
  <si>
    <t>Ruangdet Wongla</t>
  </si>
  <si>
    <t>Writing the Yugoslav Wars</t>
  </si>
  <si>
    <t>Dragana Obradovic</t>
  </si>
  <si>
    <t>Consensus and Debate in Salazar's Portugal</t>
  </si>
  <si>
    <t>Ellen W. Sapega</t>
  </si>
  <si>
    <t>Working the Phones</t>
  </si>
  <si>
    <t>Using Gramsci</t>
  </si>
  <si>
    <t>Michele Filippini</t>
  </si>
  <si>
    <t>Auf dem Weg zum Museum</t>
  </si>
  <si>
    <t>Alexis Joachimides-Charlotte Schreiter-RÃ¼diger Splitter</t>
  </si>
  <si>
    <t>Marinersâ€™ Adaptive Performance Under Stress</t>
  </si>
  <si>
    <t>Georgios Athanassiou</t>
  </si>
  <si>
    <t>Der Beitrag von Supervision zur StÃ¤rkung von Resilienz in der Jugendhilfe</t>
  </si>
  <si>
    <t>PSYCHOLOGY / Reference</t>
  </si>
  <si>
    <t>Herbert Winkens</t>
  </si>
  <si>
    <t>Interference Mitigation with Selective Retransmissions in Wireless Sensor Networks</t>
  </si>
  <si>
    <t>Marc Selig</t>
  </si>
  <si>
    <t>DÃ¶rfliche Erwerbs- und Nutzungsorientierungen</t>
  </si>
  <si>
    <t>Jochen Ebert-Werner TroÃŸbach</t>
  </si>
  <si>
    <t>Methoden und Werkzeuge fÃ¼r die Entwicklung von Software im Kontext verteilter AusfÃ¼hrung</t>
  </si>
  <si>
    <t>Andreas Koch</t>
  </si>
  <si>
    <t>Stand-by-Betrieb von Maschinen und Anlagen</t>
  </si>
  <si>
    <t>Simon Goy</t>
  </si>
  <si>
    <t>Refining Child Pornography Law</t>
  </si>
  <si>
    <t>Carissa Byrne Hessick</t>
  </si>
  <si>
    <t>On the Politics of Educational Theory</t>
  </si>
  <si>
    <t>Tomasz Szkudlarek</t>
  </si>
  <si>
    <t>Alter(n) und Teilhabe</t>
  </si>
  <si>
    <t>Liane Schirra-Weirich-Henrik Wiegelmann</t>
  </si>
  <si>
    <t>JungenfÃ¶rderung in der Schule</t>
  </si>
  <si>
    <t>Christoph Blomberg</t>
  </si>
  <si>
    <t>Under the Shadow of the Rising Sun</t>
  </si>
  <si>
    <t>Learning to Read Talmud</t>
  </si>
  <si>
    <t>RELIGION / Judaism / Talmud</t>
  </si>
  <si>
    <t>Jane L. Kanarek-Marjorie Lehman</t>
  </si>
  <si>
    <t>Time and the Rhythms of Emancipatory Education</t>
  </si>
  <si>
    <t>Michel Alhadeff-Jones</t>
  </si>
  <si>
    <t>The Impact of Losing Your Job</t>
  </si>
  <si>
    <t>Martin Ehlert</t>
  </si>
  <si>
    <t>Animal Rights Activism</t>
  </si>
  <si>
    <t>Kerstin Jacobsson-Jonas Lindblom</t>
  </si>
  <si>
    <t>Transnational Black Dialogues</t>
  </si>
  <si>
    <t>Markus Nehl</t>
  </si>
  <si>
    <t>Philosophie der LebensfÃ¼hrung</t>
  </si>
  <si>
    <t>RenÃ© Weiland</t>
  </si>
  <si>
    <t>Das Geheimnis der Wiederholung</t>
  </si>
  <si>
    <t>Richard BlÃ¤ttel</t>
  </si>
  <si>
    <t>Die Politik der Echokammer</t>
  </si>
  <si>
    <t>Torben LÃ¼tjen</t>
  </si>
  <si>
    <t>Regieren: Die Geschichte einer Zumutung</t>
  </si>
  <si>
    <t>Liebe und Macht in der deutsch-amerikanischen Sicherheitsbeziehung 2001-2003</t>
  </si>
  <si>
    <t>Tim Griebel</t>
  </si>
  <si>
    <t>Sich einen Begriff vom Leiden Anderer machen</t>
  </si>
  <si>
    <t>Patrick Schuchter</t>
  </si>
  <si>
    <t>Musicians' Mobilities and Music Migrations in Early Modern Europe</t>
  </si>
  <si>
    <t>Gesa zur Nieden-Berthold Over</t>
  </si>
  <si>
    <t>Von der FrÃ¼hverrentung bis zur Rente mit 67</t>
  </si>
  <si>
    <t>Martin Brussig-Matthias Knuth-Sarah MÃ¼mken</t>
  </si>
  <si>
    <t>Genealogie der Ethikpolitik</t>
  </si>
  <si>
    <t>Sabine KÃ¶nninger</t>
  </si>
  <si>
    <t>Ambivalenzen des Alltags</t>
  </si>
  <si>
    <t>Brigitte Bargetz</t>
  </si>
  <si>
    <t>Bildung als Integrationstechnologie?</t>
  </si>
  <si>
    <t>Anselm BÃ¶hmer</t>
  </si>
  <si>
    <t>Nation-Building As Necessary Effort in Fragile States</t>
  </si>
  <si>
    <t>RenÃ© Grotenhuis</t>
  </si>
  <si>
    <t>Good Vibrations</t>
  </si>
  <si>
    <t>Philip Lambert</t>
  </si>
  <si>
    <t>Transnational Social Work and Social Welfare</t>
  </si>
  <si>
    <t>Beatrix Schwarzer-Ursula KÃ¤mmerer-RÃ¼tten-Alexandra Schleyer-Lindenmann-Yafang Wang</t>
  </si>
  <si>
    <t>Domestic Politics and Norm Diffusion in International Relations</t>
  </si>
  <si>
    <t>Thomas Risse</t>
  </si>
  <si>
    <t>Der Briefwechsel</t>
  </si>
  <si>
    <t>Alexius Meinong-Kazimierz Twardowski-Venanzio Raspa</t>
  </si>
  <si>
    <t>AuÃŸenpolitik nach der Kuba-Krise (Dezember 1962 bis Oktober 1964)</t>
  </si>
  <si>
    <t>Gerhard Wettig</t>
  </si>
  <si>
    <t>Graphs for Pattern Recognition</t>
  </si>
  <si>
    <t>Damir Gainanov</t>
  </si>
  <si>
    <t>Mathematics Teacher Preparation in Central America and the Caribbean</t>
  </si>
  <si>
    <t>Angel Ruiz</t>
  </si>
  <si>
    <t>Work, Labour, and Professions in the Roman World</t>
  </si>
  <si>
    <t>Koenraad Verboven-Christian Laes</t>
  </si>
  <si>
    <t>Migrating Fujianese</t>
  </si>
  <si>
    <t>Guotong Li</t>
  </si>
  <si>
    <t>Growing Godâ€™s Family</t>
  </si>
  <si>
    <t>Samuel L. Perry</t>
  </si>
  <si>
    <t>Ethnic Church Meets Megachurch</t>
  </si>
  <si>
    <t>Prema A. Kurien</t>
  </si>
  <si>
    <t>Drawn to the Gods</t>
  </si>
  <si>
    <t>David Feltmate</t>
  </si>
  <si>
    <t>Finding Feminism</t>
  </si>
  <si>
    <t>Alison Dahl Crossley</t>
  </si>
  <si>
    <t>Paranoid Science</t>
  </si>
  <si>
    <t>Antony Alumkal</t>
  </si>
  <si>
    <t>Domestic Workers of the World Unite!</t>
  </si>
  <si>
    <t>Jennifer N. Fish</t>
  </si>
  <si>
    <t>Handbuch Arbeitsmarkt 2013</t>
  </si>
  <si>
    <t>Ulrich Walwei-Herbert BrÃ¼cker-Joachim MÃ¶ller-Sabine Klinger</t>
  </si>
  <si>
    <t>Schwule Sichtbarkeit â€“ schwule IdentitÃ¤t</t>
  </si>
  <si>
    <t>ZÃ¼lfukar Ã‡etin-Heinz-JÃ¼rgen VoÃŸ</t>
  </si>
  <si>
    <t>Ein Beitrag zur Optimierung der Projektsteuerung von Neuproduktprojekten</t>
  </si>
  <si>
    <t>Florian Feustel</t>
  </si>
  <si>
    <t>Fahrdynamikregelung fÃ¼r ein einachsiges Elektrofahrzeug</t>
  </si>
  <si>
    <t>Paul Oborowski</t>
  </si>
  <si>
    <t>The Normative Basis of Forest Utilization and Conversion</t>
  </si>
  <si>
    <t>Sylvia Ebersberger</t>
  </si>
  <si>
    <t>The Other Russia</t>
  </si>
  <si>
    <t>Leo Granberg-Ann-Mari SÃ¤tre</t>
  </si>
  <si>
    <t>Ancient China</t>
  </si>
  <si>
    <t>John S. Major-Constance A. Cook</t>
  </si>
  <si>
    <t>Confucian Image Politics</t>
  </si>
  <si>
    <t>Ying Zhang</t>
  </si>
  <si>
    <t>Three-Way Street</t>
  </si>
  <si>
    <t>Jay Howard Geller-Leslie Morris</t>
  </si>
  <si>
    <t>India China</t>
  </si>
  <si>
    <t>L.H.M. Ling-Adriana Erthal Abdenur-Payal Banerjee-Nimmi Kurian-Mahendra P. Lama-Li Bo</t>
  </si>
  <si>
    <t>Transatlantic Democracy in the Twentieth Century</t>
  </si>
  <si>
    <t>Paul Nolte</t>
  </si>
  <si>
    <t>ErdÃ¶l, Mais und Devisen</t>
  </si>
  <si>
    <t>Dierk Hoffmann-Andreas Malycha</t>
  </si>
  <si>
    <t>Dynamiken politischer Imagination</t>
  </si>
  <si>
    <t>Robert Leucht</t>
  </si>
  <si>
    <t>Crossing Languages to Play with Words</t>
  </si>
  <si>
    <t>Sebastian Knospe-Alexander Onysko-Maik Goth</t>
  </si>
  <si>
    <t>Fairness in Educational Assessment and Measurement</t>
  </si>
  <si>
    <t>Neil J. Dorans-Linda L. Cook</t>
  </si>
  <si>
    <t>Migrant Workers in Russia</t>
  </si>
  <si>
    <t>Anna-Liisa Heusala-Kaarina Aitamurto</t>
  </si>
  <si>
    <t>Fairness and Justice in Natural Resource Politics</t>
  </si>
  <si>
    <t>Melanie Pichler-Cornelia Staritz-Karin KÃ¼blbÃ¶ck-Christina Plank-Werner Raza-Fernando Ruiz PeyrÃ©</t>
  </si>
  <si>
    <t>Remembering and Disremembering the Dead</t>
  </si>
  <si>
    <t>Floris Tomasini</t>
  </si>
  <si>
    <t>Piety in Pieces</t>
  </si>
  <si>
    <t>Ovid, Metamorphoses, 3.511-733</t>
  </si>
  <si>
    <t xml:space="preserve"> Ingo Gildenhard-Andrew Zissos</t>
  </si>
  <si>
    <t>Digital Scholarly Editing</t>
  </si>
  <si>
    <t xml:space="preserve"> Matthew James Driscoll-Elena Pierazzo</t>
  </si>
  <si>
    <t>Theatre and War</t>
  </si>
  <si>
    <t>Fathers, Pastors and Kings</t>
  </si>
  <si>
    <t>RELIGION / Leadership</t>
  </si>
  <si>
    <t>Alison Forrestal</t>
  </si>
  <si>
    <t>Theorien in der qualitativen Bildungsforschung â€“ Qualitative Bildungsforschung als Theoriegenerierung</t>
  </si>
  <si>
    <t>Robert Kreitz-Ingrid Miethe-Anja Tervooren</t>
  </si>
  <si>
    <t>Ethik und Beruf</t>
  </si>
  <si>
    <t>Humanitarian Intervention in the Long Nineteenth Century</t>
  </si>
  <si>
    <t>Alexis Heraclides-Ada Dialla</t>
  </si>
  <si>
    <t>Irish Literature Since 1990</t>
  </si>
  <si>
    <t>Michael Parker-Scott Brewster</t>
  </si>
  <si>
    <t>Europe After Wyclif</t>
  </si>
  <si>
    <t>J. Patrick Hornbeck II-Michael Van Dussen</t>
  </si>
  <si>
    <t>Katechismus-Andachten (1656)</t>
  </si>
  <si>
    <t>Johann Rist-Andreas Hammerschmidt-Michael Jacobi-Johann Anselm Steiger</t>
  </si>
  <si>
    <t>Group Theory of Chemical Elements</t>
  </si>
  <si>
    <t>Abram I. Fet</t>
  </si>
  <si>
    <t>The Construct of Identity in Hellenistic Judaism</t>
  </si>
  <si>
    <t>Erich S. Gruen</t>
  </si>
  <si>
    <t>NÃ©gocier pour exister</t>
  </si>
  <si>
    <t>Indravati FÃ©licitÃ©-Institut Historique Allemand Paris</t>
  </si>
  <si>
    <t>Global Histories of Work</t>
  </si>
  <si>
    <t>Andreas Eckert</t>
  </si>
  <si>
    <t>Flourishing Thought</t>
  </si>
  <si>
    <t>Ruth A. Miller</t>
  </si>
  <si>
    <t>Endangered Languages and Languages in Danger</t>
  </si>
  <si>
    <t>Luna FilipoviÄ‡-Martin PÃ¼tz</t>
  </si>
  <si>
    <t>Rensel, Mary-Gray, Orla</t>
  </si>
  <si>
    <t>Das Geschlecht der Inklusion</t>
  </si>
  <si>
    <t>JÃ¼rgen Budde-Susanne Offen-Anja Tervooren</t>
  </si>
  <si>
    <t>Driving Modernity</t>
  </si>
  <si>
    <t>Massimo Moraglio</t>
  </si>
  <si>
    <t>Contextualizing Disaster</t>
  </si>
  <si>
    <t>Gregory V. Button-Mark Schuller</t>
  </si>
  <si>
    <t>From Clans to Co-ops</t>
  </si>
  <si>
    <t>Theodoros Rakopoulos</t>
  </si>
  <si>
    <t>Ground Improvement by Deep Vibratory Methods</t>
  </si>
  <si>
    <t>Klaus Kirsch-Fabian Kirsch</t>
  </si>
  <si>
    <t>Democratization and Memories of Violence</t>
  </si>
  <si>
    <t>Royal Tourists, Colonial Subjects and the Making of a British World, 1860â€“1911</t>
  </si>
  <si>
    <t>Charles Reed</t>
  </si>
  <si>
    <t>Writing Palestine 1933-1950</t>
  </si>
  <si>
    <t>Dorothy Kahn Bar-Adon-Esther Carmel-Hakim-Nancy Rosenfeld</t>
  </si>
  <si>
    <t>From the Bible to Shakespeare</t>
  </si>
  <si>
    <t>Andrii Danylenko</t>
  </si>
  <si>
    <t>Dostoevsky Beyond Dostoevsky</t>
  </si>
  <si>
    <t>Vladimir Golstein-Svetlana Evdokimova</t>
  </si>
  <si>
    <t>Fast Facts: Chronic Obstructive Pulmonary Disease</t>
  </si>
  <si>
    <t>Drummond, M. Bradley-MacNee, William</t>
  </si>
  <si>
    <t>A Contemporary History of Exclusion</t>
  </si>
  <si>
    <t>BalÃ¡zs MajtÃ©nyi-GyÃ¶rgy MajtÃ©nyi</t>
  </si>
  <si>
    <t>Migration Borders Freedom</t>
  </si>
  <si>
    <t>Harald Bauder</t>
  </si>
  <si>
    <t>PÃ¤dagogische Kunsttherapie und Soziale Arbeit</t>
  </si>
  <si>
    <t>Wolfgang Domma</t>
  </si>
  <si>
    <t>Gleichstellungspolitik Ã¶ffentlicher Arbeitgeber</t>
  </si>
  <si>
    <t>Gesine Fuchs-Silke Bothfeld-Andrea Leitner-Sophie Rouault</t>
  </si>
  <si>
    <t>Integrity and Conscience</t>
  </si>
  <si>
    <t>Ian Shapiro-Robert Adams</t>
  </si>
  <si>
    <t>A. Philip Randolph</t>
  </si>
  <si>
    <t>Cynthia Taylor</t>
  </si>
  <si>
    <t>Grassroots Innovation Movements</t>
  </si>
  <si>
    <t>Adrian Smith-Mariano Fressoli-Dinesh Abrol-Elisa Arond-Adrian Ely</t>
  </si>
  <si>
    <t>Common Law Judging</t>
  </si>
  <si>
    <t>Douglas E. Edlin</t>
  </si>
  <si>
    <t>Ecology of Parasite-vector Interactions</t>
  </si>
  <si>
    <t>Willem Takken-Constantianus J.M. Koenraadt</t>
  </si>
  <si>
    <t>Worker Voice</t>
  </si>
  <si>
    <t>Greg Patmore</t>
  </si>
  <si>
    <t>Alienation Effects</t>
  </si>
  <si>
    <t>European Competence Standards for the Academic Training of Career Practitioners</t>
  </si>
  <si>
    <t>Christiane Schiersmann-Sif Einarsdottir-Johannes Katsarov-Jukka Lerkkanen-Rachel Mulvey-Jaques Pouyaud-Kestutis Pukelis-Peter Weber</t>
  </si>
  <si>
    <t>Lieselott Herforth</t>
  </si>
  <si>
    <t>Zur Gestaltung von Philosophie</t>
  </si>
  <si>
    <t>Hanno Depner</t>
  </si>
  <si>
    <t>Qualitative Freiheit</t>
  </si>
  <si>
    <t>Claus Dierksmeier</t>
  </si>
  <si>
    <t>Die medizinische Versorgung von Menschen ohne Papiere in Deutschland</t>
  </si>
  <si>
    <t>Maren Mylius</t>
  </si>
  <si>
    <t>Ethik des Essens</t>
  </si>
  <si>
    <t>BRIC-Investitionen in Deutschland</t>
  </si>
  <si>
    <t>Martin Franz-Sebastian Henn-JÃ¶rg Weingarten</t>
  </si>
  <si>
    <t>The Art of Being Many</t>
  </si>
  <si>
    <t>geheimagentur-Martin JÃ¶rg SchÃ¤fer-Vassilis S. Tsianos</t>
  </si>
  <si>
    <t>Wissenskulturen der Musikwissenschaft</t>
  </si>
  <si>
    <t>Sebastian Bolz-Moritz Kelber-Ina Knoth-Anna Langenbruch</t>
  </si>
  <si>
    <t>Theory of Inquiry Learning Arrangements</t>
  </si>
  <si>
    <t>Johannes Reitinger-Christina Haberfellner-Eric Brewster</t>
  </si>
  <si>
    <t>Nachverkehrs-Tage 2015</t>
  </si>
  <si>
    <t>Wertstoffhof - Chancen, Entwicklungen,â€¦ (2016)</t>
  </si>
  <si>
    <t>Arnd I. Urban-Gerhard Halm</t>
  </si>
  <si>
    <t>Rechtsfragen der VerknÃ¼pfung von Emissionshandelssystemen</t>
  </si>
  <si>
    <t>Barbara Volmert</t>
  </si>
  <si>
    <t>Statistische Modellierungen zur SchÃ¤tzung genetischer Parameter fÃ¼r das Merkmal Vielseitigkeit beim Deutschen Reitpferd</t>
  </si>
  <si>
    <t>Henning Frevert</t>
  </si>
  <si>
    <t>Affekte und Kommunikation in ausgewÃ¤hlten Spielen</t>
  </si>
  <si>
    <t>BUSINESS &amp; ECONOMICS / Reference</t>
  </si>
  <si>
    <t>Ã–zcan Ihtiyar</t>
  </si>
  <si>
    <t>Software-Ergonomie in der GefÃ¤hrdungsbeurteilung</t>
  </si>
  <si>
    <t>Werner Dietrich</t>
  </si>
  <si>
    <t>GeschÃ¤ftliche DialogfÃ¼hrung im franzÃ¶sischen Messebau</t>
  </si>
  <si>
    <t>Dorothea Kadenbach</t>
  </si>
  <si>
    <t>Deutsche Mitbestimmung als Erfolgsfaktor der Automobilindustrie im internationalen Vergleich</t>
  </si>
  <si>
    <t>Jennifer Sarah Geffers</t>
  </si>
  <si>
    <t>VerÃ¤nderte Anforderungen an die Rechtsanwendung durch die Umsetzung vollharmonisierender Richtlinien</t>
  </si>
  <si>
    <t>Fabian Riexinger</t>
  </si>
  <si>
    <t>DaZ-Kurse im geschlossenen Strafvollzug</t>
  </si>
  <si>
    <t>Yulia Davydova</t>
  </si>
  <si>
    <t>Netzintegration groÃŸer Leistungen erneuerbarer Energien durch Kraft-WÃ¤rme-Kopplung mit thermischer Energiespeicherung</t>
  </si>
  <si>
    <t>Tim Schmidla</t>
  </si>
  <si>
    <t>Christianity, Book-Burning and Censorship in Late Antiquity</t>
  </si>
  <si>
    <t>Dirk Rohmann</t>
  </si>
  <si>
    <t>Writing the Reader</t>
  </si>
  <si>
    <t>Dorothee Birke</t>
  </si>
  <si>
    <t>MÃ¤rz 1744 â€“ September 1745</t>
  </si>
  <si>
    <t>Detlef DÃ¶ring-Franziska Menzel-RÃ¼diger Otto-Michael Schlott</t>
  </si>
  <si>
    <t>Kafka and the Universal</t>
  </si>
  <si>
    <t>Arthur Cools-Vivian Liska</t>
  </si>
  <si>
    <t>The Permanent Crisis of Film Criticism</t>
  </si>
  <si>
    <t>Mattias Frey</t>
  </si>
  <si>
    <t>Race on Display in 20th- and 21st- Century France</t>
  </si>
  <si>
    <t>Katelyn E. Knox</t>
  </si>
  <si>
    <t>Involuntary Associations</t>
  </si>
  <si>
    <t>David Huddart</t>
  </si>
  <si>
    <t>Street Politics in the Age of Austerity</t>
  </si>
  <si>
    <t>Marcos Ancelovici-Pascale Dufour</t>
  </si>
  <si>
    <t>Humour and Irony in Dutch Post-War Fiction Film</t>
  </si>
  <si>
    <t>Peter Verstraten</t>
  </si>
  <si>
    <t>Genocide</t>
  </si>
  <si>
    <t>Ugur ÃœngÃ¶r</t>
  </si>
  <si>
    <t>Borderland City in New India</t>
  </si>
  <si>
    <t>Duncan McDuie-Ra</t>
  </si>
  <si>
    <t>Statistics and Probability in High School</t>
  </si>
  <si>
    <t>Carmen Batanero-Manfred Borovcnik</t>
  </si>
  <si>
    <t>Teaching Health Care in Virtual Space</t>
  </si>
  <si>
    <t>Estelle E. Codier</t>
  </si>
  <si>
    <t>Transnational Japan in the Global Environmental Movement</t>
  </si>
  <si>
    <t>Simon Avenell</t>
  </si>
  <si>
    <t>Denis Diderot 'Rameau's Nephew' - 'Le Neveu De Rameau'</t>
  </si>
  <si>
    <t xml:space="preserve"> Denis Diderot-Marian Hobson</t>
  </si>
  <si>
    <t>The Environment in the Age of the Internet</t>
  </si>
  <si>
    <t xml:space="preserve"> Heike Graf</t>
  </si>
  <si>
    <t>Verdi in Victorian London</t>
  </si>
  <si>
    <t>MUSIC / Instruction &amp; Study / Voice</t>
  </si>
  <si>
    <t>Intellectual Property and Public Health in the Developing World</t>
  </si>
  <si>
    <t xml:space="preserve"> Monirul Azam</t>
  </si>
  <si>
    <t>Ovid, Amores (Book 1)</t>
  </si>
  <si>
    <t xml:space="preserve"> William Turpin</t>
  </si>
  <si>
    <t>Contemporary Irish Women Poets</t>
  </si>
  <si>
    <t>Lucy Collins</t>
  </si>
  <si>
    <t>Das Haus Europa</t>
  </si>
  <si>
    <t>Pim den Boer-Heinz Duchhardt-Georg Kreis-Wolfgang Schmale</t>
  </si>
  <si>
    <t>Sprachkorpora â€“ Datenmengen und Erkenntnisfortschritt</t>
  </si>
  <si>
    <t>Werner Kallmeyer-Gisela Zifonun</t>
  </si>
  <si>
    <t>Sprache - Kognition - Kultur</t>
  </si>
  <si>
    <t>Heidrun KÃ¤mper-Ludwig Eichinger</t>
  </si>
  <si>
    <t>LehrstÃ¼cke in SolidaritÃ¤t</t>
  </si>
  <si>
    <t>Helga Grebing</t>
  </si>
  <si>
    <t>"Republikflucht"</t>
  </si>
  <si>
    <t>Henrik Bispinck-Damian van Melis</t>
  </si>
  <si>
    <t>Das "Gastarbeiter"-System</t>
  </si>
  <si>
    <t>Jochen Oltmer-Axel Kreienbrink-Carlos Sanz DÃ­az</t>
  </si>
  <si>
    <t>The Service User As a Partner in Social Work Projects and Education</t>
  </si>
  <si>
    <t>Consumer Psychology: A Study Guide to Qualitative Research Methods</t>
  </si>
  <si>
    <t>Paul M.W. Hackett-Jessica Schwarzenbach-Uta Maria JÃ¼rgens</t>
  </si>
  <si>
    <t>Greek Tragedy, European Odyssey: The Politics and Economics of the Eurozone Crisis</t>
  </si>
  <si>
    <t>Robert Godby-Stephanie Anderson</t>
  </si>
  <si>
    <t>Breaking Intergenerational Cycles of Repetition</t>
  </si>
  <si>
    <t>Donna Orange-Pumla Gobodo-Madikizela</t>
  </si>
  <si>
    <t>Gender Equality in Context</t>
  </si>
  <si>
    <t>Brigitte Liebig-Karin Gottschall-Birgit Sauer</t>
  </si>
  <si>
    <t>â€œFrozen Conflictsâ€ in Europe</t>
  </si>
  <si>
    <t>Anton Bebler</t>
  </si>
  <si>
    <t>Geschlechterreflektierte PÃ¤dagogik gegen Rechts</t>
  </si>
  <si>
    <t>Andreas Hechler-Olaf Stuve</t>
  </si>
  <si>
    <t>The End of Welfare As We Know It?</t>
  </si>
  <si>
    <t>Paare und Ungleichheit(en)</t>
  </si>
  <si>
    <t>Alessandra Rusconi-Christine Wimbauer-Mona Motakef-Beate Kortendiek-Peter A. Berger</t>
  </si>
  <si>
    <t>Wegbegleitung, Trost und Hoffnung</t>
  </si>
  <si>
    <t>Johannes Jungbauer-Rainer Krockauer</t>
  </si>
  <si>
    <t>International Relations</t>
  </si>
  <si>
    <t>Manuela Spindler</t>
  </si>
  <si>
    <t>Human Remains and Mass Violence</t>
  </si>
  <si>
    <t>Population, Providence and Empire</t>
  </si>
  <si>
    <t>Sarah Roddy</t>
  </si>
  <si>
    <t>Governing the Dead</t>
  </si>
  <si>
    <t>Finn Stepputat</t>
  </si>
  <si>
    <t>Destruction and Human Remains</t>
  </si>
  <si>
    <t>Ã‰lisabeth Anstett-Jean-Marc Dreyfus</t>
  </si>
  <si>
    <t>Creolizing Europe</t>
  </si>
  <si>
    <t>EncarnaciÃ³n GutiÃ©rrez RodrÃ­guez-Shirley Anne Tate</t>
  </si>
  <si>
    <t>Handbuch Bildungsplanung</t>
  </si>
  <si>
    <t>Michael Klebl-Silvester Popescu-Willigmann</t>
  </si>
  <si>
    <t>Wettbewerbsprobleme im Internet.</t>
  </si>
  <si>
    <t>Wirtschaftsethische Perspektiven X.</t>
  </si>
  <si>
    <t>Reinhard Neck</t>
  </si>
  <si>
    <t>Erfolg und Versagen von Institutionen.</t>
  </si>
  <si>
    <t>Thomas Eger</t>
  </si>
  <si>
    <t>KÃ¶nigliche Gewalt - Gewalt gegen KÃ¶nige.</t>
  </si>
  <si>
    <t>Martin Kintzinger-JÃ¶rg Rogge</t>
  </si>
  <si>
    <t>Die Ã„ltere Historische Schule: Wirtschaftstheoretische BeitrÃ¤ge und wirtschaftspolitische Vorstellungen.</t>
  </si>
  <si>
    <t>Christian Scheer</t>
  </si>
  <si>
    <t>Institutionen und wirtschaftliche Entwicklung.</t>
  </si>
  <si>
    <t>Measuring the Burden of Disease and Returns to Education in Rural West Africa.</t>
  </si>
  <si>
    <t>Ralph WÃ¼rthwein</t>
  </si>
  <si>
    <t>New Economy.</t>
  </si>
  <si>
    <t>Jochen Dehio-Roland DÃ¶hrn-Rainer Graskamp-Klaus LÃ¶bbe-Hans Dietrich von Loeffelholz-Waike Moos-Michael Rothgang</t>
  </si>
  <si>
    <t>Strategien, KMU und Umfeld.</t>
  </si>
  <si>
    <t>Friederike Welter</t>
  </si>
  <si>
    <t>Studien zur Evolutorischen Ã–konomik VII.</t>
  </si>
  <si>
    <t>Kurt Dopfer</t>
  </si>
  <si>
    <t>HochschulÃ¶konomie - Analysen interner Steuerungsprobleme und gesamtwirtschaftlicher Effekte.</t>
  </si>
  <si>
    <t>Uschi Backes-Gellner-Corinna Schmidtke</t>
  </si>
  <si>
    <t>Finanzpolitik und Umwelt.</t>
  </si>
  <si>
    <t>Bernd Genser</t>
  </si>
  <si>
    <t>Soziale Sicherung und Arbeitsmarkt.</t>
  </si>
  <si>
    <t>Winfried SchmÃ¤hl</t>
  </si>
  <si>
    <t>Konjunktur, Wachstum und Wirtschaftspolitik im Zeichen der New Economy.</t>
  </si>
  <si>
    <t>Wolf SchÃ¤fer</t>
  </si>
  <si>
    <t>Wettbewerb in der InternetÃ¶konomie.</t>
  </si>
  <si>
    <t>Arbeitsmarktgesteuerte Zuwanderung.</t>
  </si>
  <si>
    <t>Ullrich Heilemann-Hans Dietrich von Loeffelholz-Klaus Sieveking</t>
  </si>
  <si>
    <t>Kulturelle PrÃ¤gungen wirtschaftlicher Institutionen und wirtschaftspolitischer Reformen.</t>
  </si>
  <si>
    <t>Studien zur Evolutorischen Ã–konomik VI.</t>
  </si>
  <si>
    <t>Marco Lehmann-Waffenschmidt</t>
  </si>
  <si>
    <t>Wirtschaftsethische Perspektiven VI.</t>
  </si>
  <si>
    <t>Volker Arnold</t>
  </si>
  <si>
    <t>John Stuart Mill.</t>
  </si>
  <si>
    <t>Bildungssystem und betriebliche BeschÃ¤ftigungsstrategien in internationaler Perspektive.</t>
  </si>
  <si>
    <t>Megafusionen.</t>
  </si>
  <si>
    <t>Finanzpolitik und ArbeitsmÃ¤rkte.</t>
  </si>
  <si>
    <t>Studien zur Evolutorischen Ã–konomik V.</t>
  </si>
  <si>
    <t>Deregulierung und Privatisierung: Gewolltes - Erreichtes - VersÃ¤umtes.</t>
  </si>
  <si>
    <t>Hartmut Berg</t>
  </si>
  <si>
    <t>Verteilungsprobleme im TransformationsprozeÃŸ.</t>
  </si>
  <si>
    <t>Wechselwirkungen zwischen Arbeitsmarkt und sozialer Sicherung.</t>
  </si>
  <si>
    <t>Finanzreformen in der Bundesrepublik Deutschland.</t>
  </si>
  <si>
    <t>Torsten Schmidt</t>
  </si>
  <si>
    <t>Bildung und BeschÃ¤ftigung.</t>
  </si>
  <si>
    <t>Robert K. von WeizsÃ¤cker</t>
  </si>
  <si>
    <t>Probleme der Kommunalfinanzen.</t>
  </si>
  <si>
    <t>Norbert Andel</t>
  </si>
  <si>
    <t>Entwicklungsperspektiven von NiedrigeinkommenslÃ¤ndern - Zur Bedeutung von Wissen und Institutionen.</t>
  </si>
  <si>
    <t>Renate Schubert</t>
  </si>
  <si>
    <t>Bildungssystem und betriebliche BeschÃ¤ftigungsstrategien.</t>
  </si>
  <si>
    <t>Uschi Backes-Gellner-Petra Moog</t>
  </si>
  <si>
    <t>Osterweiterung und Transformationskrisen.</t>
  </si>
  <si>
    <t>Ursachen und Therapien regionaler Entwicklungskrisen -</t>
  </si>
  <si>
    <t>Soziale Sicherung zwischen Markt und Staat.</t>
  </si>
  <si>
    <t>Studien zur Evolutorischen Ã–konomik IV.</t>
  </si>
  <si>
    <t>Hans-Walter Lorenz-Bernd Meyer</t>
  </si>
  <si>
    <t>Wirtschaftsethische Perspektiven V.</t>
  </si>
  <si>
    <t>Wulf Gaertner</t>
  </si>
  <si>
    <t>Probleme der Besteuerung III.</t>
  </si>
  <si>
    <t>Schul- und Hochschulorganisation.</t>
  </si>
  <si>
    <t>Die EuropÃ¤ische Fusionskontrolle.</t>
  </si>
  <si>
    <t>BUSINESS &amp; ECONOMICS / Mergers &amp; Acquisitions</t>
  </si>
  <si>
    <t>Arbeitsmarkt und BeschÃ¤ftigung: Deutschland im internationalen Vergleich.</t>
  </si>
  <si>
    <t>Knowledge, Democracy and Action</t>
  </si>
  <si>
    <t>Budd L. Hall-Edward T. Jackson-Rajesh Tandon-Jean-Marc Fontan-Nirmala Lall</t>
  </si>
  <si>
    <t>A Strained Partnership?</t>
  </si>
  <si>
    <t>Thomas Robb</t>
  </si>
  <si>
    <t>Socio-economics of Personalized Medicine in Asia</t>
  </si>
  <si>
    <t>Shirley Sun</t>
  </si>
  <si>
    <t>The EU's Eastern Neighbourhood</t>
  </si>
  <si>
    <t>Ilkka Liikanen-James W. Scott-Tiina Sotkasiira</t>
  </si>
  <si>
    <t>Developing, Modelling and Assessing Second Languages</t>
  </si>
  <si>
    <t>JÃ¶rg-U. KeÃŸler-Anke Lenzing-Mathias Liebner</t>
  </si>
  <si>
    <t>Cracking Facebook</t>
  </si>
  <si>
    <t>Maria Leena Korpijaakko</t>
  </si>
  <si>
    <t>Cultures of Anyone</t>
  </si>
  <si>
    <t>Luis Moreno-Caballud</t>
  </si>
  <si>
    <t>Building a Peace Economy?</t>
  </si>
  <si>
    <t>Jenny H. Peterson</t>
  </si>
  <si>
    <t>Making and Unmaking in Early Modern English Drama</t>
  </si>
  <si>
    <t>Chloe Porter</t>
  </si>
  <si>
    <t>German Rabbis in British Exile</t>
  </si>
  <si>
    <t>Astrid Zajdband</t>
  </si>
  <si>
    <t>Verfassung als Ordnungskonzept</t>
  </si>
  <si>
    <t>Franz Mayer-Hans Michael Heinig-Lothar Michael-et al.</t>
  </si>
  <si>
    <t>Disputed Memory</t>
  </si>
  <si>
    <t>JÃ¼discher Widerstand in Europa (1933-1945)</t>
  </si>
  <si>
    <t>Julius H. Schoeps-Dieter Bingen-Gideon Botsch</t>
  </si>
  <si>
    <t>Living Class in Urban India</t>
  </si>
  <si>
    <t>Sara Dickey</t>
  </si>
  <si>
    <t>Exodus</t>
  </si>
  <si>
    <t>Judith GÃ¤rtner-Barbara Schmitz</t>
  </si>
  <si>
    <t>Historyblogosphere</t>
  </si>
  <si>
    <t>Peter Haber-Eva Pfanzelter</t>
  </si>
  <si>
    <t>Deutschland und Europa: WÃ¤chst zusammen, was zusammen gehÃ¶rt?</t>
  </si>
  <si>
    <t>Akademie der Wissenschaften in Hamburg-Heimo Reinitzer</t>
  </si>
  <si>
    <t>MobilitÃ¤t und Wissenstransfer in diachroner und interdisziplinÃ¤rer Perspektive</t>
  </si>
  <si>
    <t>Elke Kaiser-Wolfram Schier</t>
  </si>
  <si>
    <t>Stammheim</t>
  </si>
  <si>
    <t>Sabine Bergstermann</t>
  </si>
  <si>
    <t>Monastische Kultur als transkonfessionelles PhÃ¤nomen</t>
  </si>
  <si>
    <t>Ludwig Steindorff-Oliver Auge</t>
  </si>
  <si>
    <t>A Degenerate World</t>
  </si>
  <si>
    <t>Jerzy Jedlicki-Elena Rozbicka</t>
  </si>
  <si>
    <t>Beyond Certification</t>
  </si>
  <si>
    <t>Scott Poynton</t>
  </si>
  <si>
    <t>Der Staat als ZuhÃ¤lter</t>
  </si>
  <si>
    <t>Malte KÃ¶nig</t>
  </si>
  <si>
    <t>Zwischen Strukturgeschichte und Biographie</t>
  </si>
  <si>
    <t>Aloys Winterling</t>
  </si>
  <si>
    <t>EuropÃ¤ische Volkswirtschaften unter deutscher Hegemonie</t>
  </si>
  <si>
    <t>Christoph Buchheim-Marcel Boldorf</t>
  </si>
  <si>
    <t>Die Verteilung der Welt. Selbstbestimmung und das Selbstbestimmungsrecht der VÃ¶lker</t>
  </si>
  <si>
    <t>JÃ¶rg Fisch</t>
  </si>
  <si>
    <t>AutoritÃ¤t und Wahrheit</t>
  </si>
  <si>
    <t>Gian Luca PotestÃ </t>
  </si>
  <si>
    <t>Eine Grenze in Bewegung / Une frontiÃ¨re mouvante</t>
  </si>
  <si>
    <t>Albrecht Cordes-Serge Dauchy</t>
  </si>
  <si>
    <t>Fractured Modernity</t>
  </si>
  <si>
    <t>Thomas Welskopp-Alan Lessoff</t>
  </si>
  <si>
    <t>Language-Learner Computer Interactions</t>
  </si>
  <si>
    <t>Catherine Caws-Marie-JosÃ©e Hamel</t>
  </si>
  <si>
    <t>Political Transition and Inclusive Development in Malawi</t>
  </si>
  <si>
    <t>Dan Banik-Blessings Chinsinga</t>
  </si>
  <si>
    <t>Gifts of Cooperation, Mauss and Pragmatism</t>
  </si>
  <si>
    <t>Frank Adloff</t>
  </si>
  <si>
    <t>The Limits to Citizen Power</t>
  </si>
  <si>
    <t>Victor Albert</t>
  </si>
  <si>
    <t>Fast Facts: Parkinson's Disease</t>
  </si>
  <si>
    <t>Chaudhuri, K. Ray-Fung, Victor S. C.</t>
  </si>
  <si>
    <t>Towards a Feminist Cinematic Ethics</t>
  </si>
  <si>
    <t>Kristin LenÃ© Hole</t>
  </si>
  <si>
    <t>Production and Further Processing of Flat Products</t>
  </si>
  <si>
    <t>Rudolf Kawalla-Madlen Ullmann-K. Neh</t>
  </si>
  <si>
    <t>Technicians of Human Dignity</t>
  </si>
  <si>
    <t>Gaymon Bennett</t>
  </si>
  <si>
    <t>Peoples of the Apocalypse</t>
  </si>
  <si>
    <t>Wolfram Brandes-Felicitas Schmieder-Rebekka VoÃŸ</t>
  </si>
  <si>
    <t>Lucius Cornelius Sulla in der antiken Erinnerung</t>
  </si>
  <si>
    <t>Alexandra Eckert</t>
  </si>
  <si>
    <t>History and Cultural Memory in Neo-Victorian Fiction</t>
  </si>
  <si>
    <t>Kate Mitchell</t>
  </si>
  <si>
    <t>Air Quality Integrated Assessment</t>
  </si>
  <si>
    <t>Giorgio Guariso-Marialuisa Volta</t>
  </si>
  <si>
    <t>Education Systems and Inequalities</t>
  </si>
  <si>
    <t>Andreas Hadjar-Christiane Gross</t>
  </si>
  <si>
    <t>16th International Conference on Production Diseases in Farm Animals</t>
  </si>
  <si>
    <t>MEDICAL / Veterinary Medicine / Food Animal</t>
  </si>
  <si>
    <t>Scientific Committee</t>
  </si>
  <si>
    <t>Keeping up Her Geography</t>
  </si>
  <si>
    <t>Tanya Ann Kennedy</t>
  </si>
  <si>
    <t>The Subject of Race in American Science Fiction</t>
  </si>
  <si>
    <t>Sharon DeGraw</t>
  </si>
  <si>
    <t>Veiled Threats</t>
  </si>
  <si>
    <t>Naaz Rashid</t>
  </si>
  <si>
    <t>Innovative Catholicism and the Human Condition</t>
  </si>
  <si>
    <t>Jane Anderson</t>
  </si>
  <si>
    <t>Beratungswissen fÃ¼r die Erwachsenenbildung</t>
  </si>
  <si>
    <t>Kira Nierobisch-Cornelia Maier-Gutheil</t>
  </si>
  <si>
    <t>A People's History of Modern Europe</t>
  </si>
  <si>
    <t>William A. Pelz</t>
  </si>
  <si>
    <t>Die Bundesrepublik Deutschland und die TÃ¼rkei 1978 bis 1983</t>
  </si>
  <si>
    <t>Abschied vom Kalten Krieg?</t>
  </si>
  <si>
    <t>Jan Hansen</t>
  </si>
  <si>
    <t>Das Menschenrecht auf Gesundheit</t>
  </si>
  <si>
    <t>Andreas Frewer-Heiner Bielefeldt</t>
  </si>
  <si>
    <t>Houses, Secrets, and the Closet</t>
  </si>
  <si>
    <t>Gero Bauer</t>
  </si>
  <si>
    <t>CyberPlaces â€“ Philosophische AnnÃ¤herungen an den virtuellen Ort</t>
  </si>
  <si>
    <t>Tobias Holischka</t>
  </si>
  <si>
    <t>Vom Verteilen zum Gestalten</t>
  </si>
  <si>
    <t>Dimitrij Owetschkin</t>
  </si>
  <si>
    <t>Social Media in der Arbeitswelt</t>
  </si>
  <si>
    <t>Tanja Carstensen</t>
  </si>
  <si>
    <t>On Folding</t>
  </si>
  <si>
    <t>Michael Friedman-Wolfgang SchÃ¤ffner</t>
  </si>
  <si>
    <t>Antiamerikanismus in Deutschland</t>
  </si>
  <si>
    <t>Felix Knappertsbusch</t>
  </si>
  <si>
    <t>Miteinander leben</t>
  </si>
  <si>
    <t>Die Luxemburger Mehrsprachigkeit</t>
  </si>
  <si>
    <t>Fernand Fehlen-Andreas Heinz</t>
  </si>
  <si>
    <t>Das traumatisierte Subjekt</t>
  </si>
  <si>
    <t>Bettina Wuttig</t>
  </si>
  <si>
    <t>At Face Value and Beyond</t>
  </si>
  <si>
    <t>Monika SchwÃ¤rzler</t>
  </si>
  <si>
    <t>Praxistheorie</t>
  </si>
  <si>
    <t>Hilmar SchÃ¤fer</t>
  </si>
  <si>
    <t>Urban Recycling Cooperatives</t>
  </si>
  <si>
    <t>Jutta Gutberlet</t>
  </si>
  <si>
    <t>Fast Facts: Smoking Cessation</t>
  </si>
  <si>
    <t>West, Robert-Shiffman, Saul</t>
  </si>
  <si>
    <t>Fast Facts: Chemotherapy-Induced Nausea and Vomiting</t>
  </si>
  <si>
    <t>Navari, Rudolph M.-Rapoport, Bernardo L.</t>
  </si>
  <si>
    <t>World War II and Two Occupations</t>
  </si>
  <si>
    <t>Anna Wolff-PowÄ™ska-Piotr Forecki</t>
  </si>
  <si>
    <t>The Changing Landscape of the Academic Profession</t>
  </si>
  <si>
    <t>Vicente M. Lechuga</t>
  </si>
  <si>
    <t>Adaptation of Western Economics by Russian Universities</t>
  </si>
  <si>
    <t>Tatiana Suspitsyna</t>
  </si>
  <si>
    <t>Validating Bachelorhood</t>
  </si>
  <si>
    <t>Scott Slawinski</t>
  </si>
  <si>
    <t>Punishing the Criminal Corpse, 1700-1840</t>
  </si>
  <si>
    <t>Peter King</t>
  </si>
  <si>
    <t>Alternative Countrysides</t>
  </si>
  <si>
    <t>Jeremy Macclancy</t>
  </si>
  <si>
    <t>Sex and the Second-Best City</t>
  </si>
  <si>
    <t>Kenneth Royce Moore</t>
  </si>
  <si>
    <t>The Idea of Infancy in Nineteenth-Century British Poetry</t>
  </si>
  <si>
    <t>D.B. Ruderman</t>
  </si>
  <si>
    <t>Sounds of the Underground</t>
  </si>
  <si>
    <t>Stephen Graham</t>
  </si>
  <si>
    <t>HeterogenitÃ¤t in PÃ¤dagogischen Handlungsfeldern</t>
  </si>
  <si>
    <t>DaniÃ¨le Hollick-Marianne NeiÃŸl-Martin Kramer-Johannes Reitinger</t>
  </si>
  <si>
    <t>Beratung als Basis erfolgreicher Partizipation Partizipative Energiesysteme in Nordhessen</t>
  </si>
  <si>
    <t>Kristina Bayer</t>
  </si>
  <si>
    <t>Beschreibung von wiederverwendbaren Prozessen zur Erreichung von Lernzielen in Serious Games</t>
  </si>
  <si>
    <t>Eike Hirdes</t>
  </si>
  <si>
    <t>Frohes Schaffen!? - Arbeit in der Landwirtschaft</t>
  </si>
  <si>
    <t>Projektgruppe Frohes Schaffen Arbeit in der Landwirtschaft</t>
  </si>
  <si>
    <t>Link Mining and Localisation in the Context of Face-to-Face Contact Networks</t>
  </si>
  <si>
    <t>Christoph Scholz</t>
  </si>
  <si>
    <t>Erprobung und Optimierung eines einfachen MembranfiltrationsgerÃ¤tes zur Aufbereitung von trinkbarem Wasser aus OberflÃ¤chengewÃ¤ssern fÃ¼r kleine Personengruppen in Notsituationen ohne Fremdenergie (3. Phase) mit dem Ziel der Serienreife</t>
  </si>
  <si>
    <t>Franz-Bernd Frechen</t>
  </si>
  <si>
    <t>Engineering Tool Supported Collaboration Processes for Web-based Platforms</t>
  </si>
  <si>
    <t>Philipp Kipp</t>
  </si>
  <si>
    <t>LeistungsfÃ¤higkeit Der Ultra-Low-Pressure-Ultrafiltration (ULPUF) Zur Dezentralen Wasseraufbereitung in Not- Und KatastrophenfÃ¤llen</t>
  </si>
  <si>
    <t>Exler, Harald.</t>
  </si>
  <si>
    <t>Science, Information, and Policy Interface for Effective Coastal and Ocean Management</t>
  </si>
  <si>
    <t>Bertrum H. MacDonald-Suzuette S. Soomai-Elizabeth M. De Santo-Peter G. Wells</t>
  </si>
  <si>
    <t>Teaching Mathematics at Secondary Level</t>
  </si>
  <si>
    <t xml:space="preserve"> Tony Gardiner</t>
  </si>
  <si>
    <t>The Universal Declaration of Human Rights in the 21st Century</t>
  </si>
  <si>
    <t xml:space="preserve"> Gordon Brown</t>
  </si>
  <si>
    <t>The Fatal News</t>
  </si>
  <si>
    <t>Katherine E. Ellison</t>
  </si>
  <si>
    <t>The Farm Press, Reform and Rural Change, 1895-1920</t>
  </si>
  <si>
    <t>John J. Fry</t>
  </si>
  <si>
    <t>Shakespeare and Hospitality</t>
  </si>
  <si>
    <t>Julia Reinhard Lupton-David Goldstein</t>
  </si>
  <si>
    <t>Postcoloniality</t>
  </si>
  <si>
    <t>Margaret A. Majumdar</t>
  </si>
  <si>
    <t>Textual Curation</t>
  </si>
  <si>
    <t>Krista Kennedy</t>
  </si>
  <si>
    <t>Architects of Buddhist Leisure</t>
  </si>
  <si>
    <t>Justin Thomas McDaniel</t>
  </si>
  <si>
    <t>The History Problem</t>
  </si>
  <si>
    <t>Hiro Saito</t>
  </si>
  <si>
    <t>Defiant Braceros</t>
  </si>
  <si>
    <t>SOCIAL SCIENCE / Cultural &amp; Ethnic Studies / American / Hispanic &amp; Latino Studies</t>
  </si>
  <si>
    <t>Mireya Loza</t>
  </si>
  <si>
    <t>Contracultura</t>
  </si>
  <si>
    <t>Christopher Dunn</t>
  </si>
  <si>
    <t>Mind, Body, Motion, Matter</t>
  </si>
  <si>
    <t>Mary Helen McMurran-Alison Conway</t>
  </si>
  <si>
    <t>Der Prozess Jesu - aus rÃ¶misch-rechtlicher Perspektive</t>
  </si>
  <si>
    <t>Christoph G. Paulus</t>
  </si>
  <si>
    <t>"Was ist das Volk?"</t>
  </si>
  <si>
    <t>JÃ¶rn Retterath</t>
  </si>
  <si>
    <t>Entgrenzungen des Wahnsinns</t>
  </si>
  <si>
    <t>Â»Spiritus intus agitÂ«</t>
  </si>
  <si>
    <t>Oliver Mallick-Institut Historique Allemand</t>
  </si>
  <si>
    <t>Globalization and Labour in the Twenty-First Century</t>
  </si>
  <si>
    <t>Verity Burgmann</t>
  </si>
  <si>
    <t>Hesselmann, Peter-Grimmelshausen-Gesellschaft.</t>
  </si>
  <si>
    <t>Xinjiang and the Modern Chinese State</t>
  </si>
  <si>
    <t>Justin M. Jacobs</t>
  </si>
  <si>
    <t>Fast-Food Kids</t>
  </si>
  <si>
    <t>Amy L. Best</t>
  </si>
  <si>
    <t>Time and History</t>
  </si>
  <si>
    <t>Friedrich Stadler-Michael StÃ¶ltzner</t>
  </si>
  <si>
    <t>IFLA's First Fifty Years</t>
  </si>
  <si>
    <t>Willem Roelf Henderikus Koops-Joachim Wieder</t>
  </si>
  <si>
    <t>Antibiotika-Forschung: Probleme und Perspektiven</t>
  </si>
  <si>
    <t>Akademie der Wissenschaften Hamburg-Deutsche Akademie der Naturforscher Leopoldina</t>
  </si>
  <si>
    <t>Arbeitsorganisation 2.0</t>
  </si>
  <si>
    <t>Julia Bergmann-JÃ¼rgen Plieninger</t>
  </si>
  <si>
    <t>Deutschland, Russland, Komintern - Dokumente (1918â€“1943)</t>
  </si>
  <si>
    <t>Hermann Weber-Jakov Drabkin-Bernhard H. Bayerlein-Gleb Albert</t>
  </si>
  <si>
    <t>Gaming und Bibliotheken</t>
  </si>
  <si>
    <t>Christoph Deeg</t>
  </si>
  <si>
    <t>Is There a Judeo-Christian Tradition?</t>
  </si>
  <si>
    <t>Emmanuel Nathan-Anya Topolski</t>
  </si>
  <si>
    <t>Lernort Tagung</t>
  </si>
  <si>
    <t>Ekkehard Nuissl-Christina MÃ¼ller-Naevecke</t>
  </si>
  <si>
    <t>The Nature and Pace of Change in American Indian Cultures</t>
  </si>
  <si>
    <t>R. Michael Stewart-Kurt W. Carr-Paul A. Raber</t>
  </si>
  <si>
    <t>Middlebrow Cinema</t>
  </si>
  <si>
    <t>Sally Faulkner</t>
  </si>
  <si>
    <t>Kyiv As Regime City</t>
  </si>
  <si>
    <t>Martin J. Blackwell</t>
  </si>
  <si>
    <t>Rousseau and the Problem of Human Relations</t>
  </si>
  <si>
    <t>John M. Warner</t>
  </si>
  <si>
    <t>Quality and Innovation in Food Chains</t>
  </si>
  <si>
    <t>Jos Bijman-Verena Bitzer</t>
  </si>
  <si>
    <t>Rival Kurdish Movements in Turkey</t>
  </si>
  <si>
    <t>Mustafa GÃ¼rbÃ¼z</t>
  </si>
  <si>
    <t>Kyiv, Ukraine - Revised Edition</t>
  </si>
  <si>
    <t>Roman Cybriwsky</t>
  </si>
  <si>
    <t>Die Stadt, das Geld und der Markt</t>
  </si>
  <si>
    <t>Gegen den Stand der Dinge</t>
  </si>
  <si>
    <t>Martina Griesser-Christine Haupt-Stummer-Renate HÃ¶llwart-Beatrice Jaschke-Monika Sommer-Nora Sternfeld-Luisa Ziaja</t>
  </si>
  <si>
    <t>A Matter of Complexity</t>
  </si>
  <si>
    <t>Roland Pfau-Markus Steinbach-Annika Herrmann</t>
  </si>
  <si>
    <t>Global Metal Music and Culture</t>
  </si>
  <si>
    <t>Andy R. Brown-Karl Spracklen-Keith Kahn-Harris-Niall Scott</t>
  </si>
  <si>
    <t>WeiÃŸbuch Multiple Sklerose</t>
  </si>
  <si>
    <t>Miriam Kip-Tonio SchÃ¶nfelder-Hans-Holger BleÃŸ</t>
  </si>
  <si>
    <t>Design Principles for the Productive Delivery of Blended Learning Services</t>
  </si>
  <si>
    <t>BUSINESS &amp; ECONOMICS / Skills</t>
  </si>
  <si>
    <t>Philipp Bitzer</t>
  </si>
  <si>
    <t>Vorhersage der PrognosegÃ¼te verschieden groÃŸer Windpark-Portfolios</t>
  </si>
  <si>
    <t>Jan Dobschinski</t>
  </si>
  <si>
    <t>ErlÃ¶sung durch Vernichtung?!</t>
  </si>
  <si>
    <t>Stefan Piasecki</t>
  </si>
  <si>
    <t>Ultra-High Performance Concrete and High Performance Construction Materials</t>
  </si>
  <si>
    <t>Ekkehard Fehling-Bernhard Middendorf-Jenny Thiemicke</t>
  </si>
  <si>
    <t>Handelsstrategien fÃ¼r Rohstoff-Futures</t>
  </si>
  <si>
    <t>Cornelius von der Heydt-von Kalckreuth</t>
  </si>
  <si>
    <t>KaSyCo â€“ Kategoriensysteme zur Analyse von Coachingprozessen</t>
  </si>
  <si>
    <t>Silvia Deplazes</t>
  </si>
  <si>
    <t>SexualitÃ¤t und Autismus</t>
  </si>
  <si>
    <t>Lena Lache</t>
  </si>
  <si>
    <t>Geschlecht als Gabe und Aufgabe</t>
  </si>
  <si>
    <t>Conrad Krannich</t>
  </si>
  <si>
    <t>Geschlechtliche, sexuelle und reproduktive Selbstbestimmung</t>
  </si>
  <si>
    <t>Michaela Katzer-Heinz-JÃ¼rgen VoÃŸ</t>
  </si>
  <si>
    <t>Knowledge and the Norm of Assertion</t>
  </si>
  <si>
    <t xml:space="preserve"> John Turri</t>
  </si>
  <si>
    <t>First Words (ENG)</t>
  </si>
  <si>
    <t>Lewis Bagby</t>
  </si>
  <si>
    <t>Judaism As Philosophy</t>
  </si>
  <si>
    <t>Howard Kreisel</t>
  </si>
  <si>
    <t>The Translator's Doubts</t>
  </si>
  <si>
    <t>Julia Trubikhina</t>
  </si>
  <si>
    <t>Transnational Adoption</t>
  </si>
  <si>
    <t>Sara K. Dorow</t>
  </si>
  <si>
    <t>Lehrkraft-Eltern-Interaktionen am Elternsprechtag</t>
  </si>
  <si>
    <t>Lars Wegner</t>
  </si>
  <si>
    <t>Semantic Fields in Sign Languages</t>
  </si>
  <si>
    <t>Ulrike Zeshan-Keiko Sagara</t>
  </si>
  <si>
    <t>Transkulturelle Verflechtungsprozesse in der Vormoderne</t>
  </si>
  <si>
    <t>Wolfram Drews-Christian Scholl</t>
  </si>
  <si>
    <t>Theories of Informetrics and Scholarly Communication</t>
  </si>
  <si>
    <t>Cassidy R. Sugimoto</t>
  </si>
  <si>
    <t>The Insecure City</t>
  </si>
  <si>
    <t>Kristin V. Monroe</t>
  </si>
  <si>
    <t>Human Nature in Gregory of Nyssa</t>
  </si>
  <si>
    <t>We Shall Not Be Moved/No Nos Moveran</t>
  </si>
  <si>
    <t>David Spener</t>
  </si>
  <si>
    <t>Processes of Making</t>
  </si>
  <si>
    <t>Kathrin M. Wiertelarz</t>
  </si>
  <si>
    <t>FFH-Abweichungsverfahren und artenschutzrechtliches Ausnahmeverfahren</t>
  </si>
  <si>
    <t xml:space="preserve"> Katrin Wulfert</t>
  </si>
  <si>
    <t>QualitÃ¤tsmanagement 4.0 â€“ Status Quo! Quo vadis?</t>
  </si>
  <si>
    <t>Robert Refflinghaus-Christian Kern-Sandra Klute-Wenig</t>
  </si>
  <si>
    <t>American Politics and the Environment</t>
  </si>
  <si>
    <t>Byron W. Daynes-Glen Sussman-Jonathan P. West</t>
  </si>
  <si>
    <t>Cognition, Language and Aging</t>
  </si>
  <si>
    <t>Heather Harris Wright</t>
  </si>
  <si>
    <t>Fact and Fiction</t>
  </si>
  <si>
    <t>Christine Lehleiter</t>
  </si>
  <si>
    <t>Young Entrepreneurs in Sub-Saharan Africa</t>
  </si>
  <si>
    <t>Katherine V. Gough-Thilde Langevang</t>
  </si>
  <si>
    <t>Imperfect Creatures</t>
  </si>
  <si>
    <t>Lucinda Cole</t>
  </si>
  <si>
    <t>Slavery in the Circuit of Sugar</t>
  </si>
  <si>
    <t>Dale W. Tomich</t>
  </si>
  <si>
    <t>Green Voices</t>
  </si>
  <si>
    <t>Richard D. Besel-Bernard K. Duffy</t>
  </si>
  <si>
    <t>Art Beyond Borders</t>
  </si>
  <si>
    <t>JÃ©rÃ´me Bazin-Pascal Dubourg Glatigny-Piotr Piotrowski</t>
  </si>
  <si>
    <t>New Insights in the History of Interpreting</t>
  </si>
  <si>
    <t>Kayoko Takeda-JesÃºs Baigorri-JalÃ³n</t>
  </si>
  <si>
    <t>Mathematics Education in East Africa</t>
  </si>
  <si>
    <t>Anjum Halai-Geoff Tennant</t>
  </si>
  <si>
    <t>Social Innovations in the Urban Context</t>
  </si>
  <si>
    <t>Taco Brandsen-Sandro Cattacin-Adalbert Evers-Annette Zimmer</t>
  </si>
  <si>
    <t>Sharing Lives</t>
  </si>
  <si>
    <t>Marc Szydlik</t>
  </si>
  <si>
    <t>Bioenergy Crops for Ecosystem Health and Sustainability</t>
  </si>
  <si>
    <t>Alex Baumber</t>
  </si>
  <si>
    <t>Managing Risk and Information Security</t>
  </si>
  <si>
    <t>Malcolm W. Harkins</t>
  </si>
  <si>
    <t>Determinants of Financial Development</t>
  </si>
  <si>
    <t>Y. Huang</t>
  </si>
  <si>
    <t>Networks in the Russian Market Economy</t>
  </si>
  <si>
    <t>M. Lonkila</t>
  </si>
  <si>
    <t>Accountability in Public Policy Partnerships</t>
  </si>
  <si>
    <t>J. Steets</t>
  </si>
  <si>
    <t>Cyborgs in Latin America</t>
  </si>
  <si>
    <t>Social Theory of Fear</t>
  </si>
  <si>
    <t>G. Skoll</t>
  </si>
  <si>
    <t>Datenschutz bei Wearable Computing</t>
  </si>
  <si>
    <t>Carolin hOHMANN</t>
  </si>
  <si>
    <t>Zum Verformungsverhalten der Magnesiumknetlegierung AZ31 unter homogener und inhomogener Belastung</t>
  </si>
  <si>
    <t>Kerstin Anten</t>
  </si>
  <si>
    <t>Das kaufrechtliche MÃ¤ngelrecht als Instrument zur Verwirklichung eines nachhaltigen Konsums</t>
  </si>
  <si>
    <t>Stephan Lars Sonde</t>
  </si>
  <si>
    <t>Violent Becomings</t>
  </si>
  <si>
    <t>BjÃ¸rn Enge Bertelsen</t>
  </si>
  <si>
    <t>Chauvinism, Polish Style</t>
  </si>
  <si>
    <t>Grzegorz Krzywiec</t>
  </si>
  <si>
    <t>The Life of August Wilhelm Schlegel, Cosmopolitan of Art and Poetry</t>
  </si>
  <si>
    <t>Metaethics From a First Person Standpoint</t>
  </si>
  <si>
    <t xml:space="preserve"> Catherine Wilson</t>
  </si>
  <si>
    <t>On Civic Republicanism</t>
  </si>
  <si>
    <t>Geoffrey Kellow-Neven Leddy</t>
  </si>
  <si>
    <t>Media and New Religions in Japan</t>
  </si>
  <si>
    <t>Erica Baffelli</t>
  </si>
  <si>
    <t>Humanitarianism and Challenges of Cooperation</t>
  </si>
  <si>
    <t>Volker Heins-Kai Koddenbrock-Christine Unrau</t>
  </si>
  <si>
    <t>Technologiebasierte Kompetenzmessung in der beruflichen Bildung</t>
  </si>
  <si>
    <t>Fritz Oser-Margarete Landenberger-Klaus Beck</t>
  </si>
  <si>
    <t>Dreams for Dead Bodies</t>
  </si>
  <si>
    <t>Miriam Michelle Robinson</t>
  </si>
  <si>
    <t>Derailment bei FÃ¼hrungskrÃ¤ften</t>
  </si>
  <si>
    <t>Rabea Christiane Haag</t>
  </si>
  <si>
    <t>Vergessene Opfer?</t>
  </si>
  <si>
    <t>Carina Kinz</t>
  </si>
  <si>
    <t>Salt Deterioration of Historic Mortars in Tropical Climate: Analysis and Characterisation</t>
  </si>
  <si>
    <t>Isabela Wilfred Mtani</t>
  </si>
  <si>
    <t>Deadly Contradictions</t>
  </si>
  <si>
    <t>Stephen P. Reyna</t>
  </si>
  <si>
    <t>The War Correspondent</t>
  </si>
  <si>
    <t>LANGUAGE ARTS &amp; DISCIPLINES / Style Manuals</t>
  </si>
  <si>
    <t>Greg McLaughlin</t>
  </si>
  <si>
    <t>DiverCity â€“ Global Cities As a Literary Phenomenon</t>
  </si>
  <si>
    <t>Melanie U. Pooch</t>
  </si>
  <si>
    <t>American Mobilities</t>
  </si>
  <si>
    <t>Julia Leyda</t>
  </si>
  <si>
    <t>Intersex Narratives</t>
  </si>
  <si>
    <t>Viola Amato</t>
  </si>
  <si>
    <t>Terrorismus und moderne KriegsfÃ¼hrung</t>
  </si>
  <si>
    <t>Eva-Maria Heinke</t>
  </si>
  <si>
    <t>Das Ehrenamt nutzen</t>
  </si>
  <si>
    <t>Daniela Neumann</t>
  </si>
  <si>
    <t>Die ChimÃ¤re einer Globalen Ã–ffentlichkeit</t>
  </si>
  <si>
    <t>Dirk-Claas Ulrich</t>
  </si>
  <si>
    <t>Grauzonen staatlicher Gewalt</t>
  </si>
  <si>
    <t>Alke Jenss</t>
  </si>
  <si>
    <t>Das Denken des Denkens</t>
  </si>
  <si>
    <t>Maja Soboleva</t>
  </si>
  <si>
    <t>Ageing and Technology</t>
  </si>
  <si>
    <t>Emma DomÃ­nguez RuÃ©-Linda Nierling</t>
  </si>
  <si>
    <t>Meeting the Challenges to Measurement in an Era of Accountability</t>
  </si>
  <si>
    <t>Henry Braun</t>
  </si>
  <si>
    <t>Peacebuilding in Crisis</t>
  </si>
  <si>
    <t>Tobias Debiel-Thomas Held-Ulrich Schneckener</t>
  </si>
  <si>
    <t>Novel Medicine</t>
  </si>
  <si>
    <t>Andrew Schonebaum</t>
  </si>
  <si>
    <t>Antisemitism in North America</t>
  </si>
  <si>
    <t>Steven K. Baum-Neil J. Kressel-Florette Cohen-Steven Leonard Jacobs</t>
  </si>
  <si>
    <t>Undisciplined</t>
  </si>
  <si>
    <t>Nihad M. Farooq</t>
  </si>
  <si>
    <t>Akten zur AuswÃ¤rtigen Politik der Bundesrepublik Deutschland 1985</t>
  </si>
  <si>
    <t>Horst MÃ¶ller-HÃ©lÃ¨ne Miard-Delacroix-Gregor SchÃ¶llgen-Andreas Wirsching-Michael Ploetz-Mechthild Lindemann-Christoph Johannes Franzen</t>
  </si>
  <si>
    <t>Predigt und Politik im frÃ¼hmittelalterlichen Bayern</t>
  </si>
  <si>
    <t>Maximilian Diesenberger</t>
  </si>
  <si>
    <t>Die Macht der Wirkungsannahmen</t>
  </si>
  <si>
    <t>Christian GÃ¶tter-German Historical Institute</t>
  </si>
  <si>
    <t>AuÃŸenpolitik vor Ausbruch der Berlin-Krise (Sommer 1955 bis Herbst 1958)</t>
  </si>
  <si>
    <t>Von den Besiegten lernen?</t>
  </si>
  <si>
    <t>Esther-Julia Howell</t>
  </si>
  <si>
    <t>Das MÃ¶nchtum in der Religionspolitik Kaiser Justinians I.</t>
  </si>
  <si>
    <t>Alexandra Hasse-Ungeheuer</t>
  </si>
  <si>
    <t>Menschen zÃ¤hlen</t>
  </si>
  <si>
    <t>Kerstin BrÃ¼ckweh-German Historical Institute London</t>
  </si>
  <si>
    <t>Logik</t>
  </si>
  <si>
    <t>Kazimierz Twardowski-Arianna Betti-Venanzio Raspa</t>
  </si>
  <si>
    <t>Holiness and Power</t>
  </si>
  <si>
    <t>Rafal Kosinski</t>
  </si>
  <si>
    <t>The Muslim Question in Europe</t>
  </si>
  <si>
    <t>Peter O'Brien</t>
  </si>
  <si>
    <t>The Alliance of Bioenergy Production and Organic Farming</t>
  </si>
  <si>
    <t>Torsten Siegmeier</t>
  </si>
  <si>
    <t>Der Beitrag der Landwirtschaft zur wirtschaftlichen Entwicklung in Guatemala durch WertschÃ¶pfungsketten und agricultural growth linkages</t>
  </si>
  <si>
    <t>NATURE / Reference</t>
  </si>
  <si>
    <t>Jochen DÃ¼rr</t>
  </si>
  <si>
    <t>Remembrance, History, and Justice</t>
  </si>
  <si>
    <t>Vladimir Tismaneanu-Bogdan C. Iacob</t>
  </si>
  <si>
    <t>Ancient Jewish Prayers and Emotions</t>
  </si>
  <si>
    <t>Stefan C. Reif-Renate Egger-Wenzel</t>
  </si>
  <si>
    <t>Werstoffhof - Chancen, Entwicklungen, â€¦</t>
  </si>
  <si>
    <t>Arndt I. Urban-Gerhard Halm</t>
  </si>
  <si>
    <t>The Rise of Democracy</t>
  </si>
  <si>
    <t>Christopher Hobson</t>
  </si>
  <si>
    <t>Water, Towns and People</t>
  </si>
  <si>
    <t>Urszula Sowina</t>
  </si>
  <si>
    <t>Chemische Reinigung von getauchten Niederdruck-Hohlfasermembranen auf groÃŸtechnischen kommunalen MBR-Anlagen</t>
  </si>
  <si>
    <t>Kinga Drensla</t>
  </si>
  <si>
    <t>Knowledge Transfer Between Germany and Russia</t>
  </si>
  <si>
    <t>Gabriele Gorzka-Ekaterina Piotrowski</t>
  </si>
  <si>
    <t>A Contribution to Enlarge the Application Limits of Residual Stress Analyses by the Hole-Drilling and the Ring-Core Method</t>
  </si>
  <si>
    <t>Andreas Nau</t>
  </si>
  <si>
    <t>Fluid Balance, Hydration, and Athletic Performance</t>
  </si>
  <si>
    <t>Flavia Meyer-Zbigniew Szygula-Boguslaw Wilk</t>
  </si>
  <si>
    <t>Foundations for Moral Relativism</t>
  </si>
  <si>
    <t xml:space="preserve"> J. David Velleman</t>
  </si>
  <si>
    <t>Tolerance</t>
  </si>
  <si>
    <t>Tyneside Neighbourhoods</t>
  </si>
  <si>
    <t>Forests and Food</t>
  </si>
  <si>
    <t xml:space="preserve"> Bhaskar Vira-Christoph Wildburger-Stephanie Mansourian</t>
  </si>
  <si>
    <t>Gramsci on Tahrir</t>
  </si>
  <si>
    <t>Brecht De Smet</t>
  </si>
  <si>
    <t>Paul Robeson</t>
  </si>
  <si>
    <t>Gerald Horne</t>
  </si>
  <si>
    <t>Youth and the Crisis</t>
  </si>
  <si>
    <t>Gianluigi Coppola-Niall O'Higgins</t>
  </si>
  <si>
    <t>The Struggling State</t>
  </si>
  <si>
    <t>Jennifer Riggan</t>
  </si>
  <si>
    <t>Wehrmachtjustiz an der "Heimatfront"</t>
  </si>
  <si>
    <t>Kerstin Theis</t>
  </si>
  <si>
    <t>IdentitÃ¤ten im Prozess</t>
  </si>
  <si>
    <t>Anna Margaretha Horatschek-Anja Pistor-Hatam</t>
  </si>
  <si>
    <t>EuropÃ¤ische Wissenschaftskulturen und politische Ordnungen in der Moderne (1890-1970)</t>
  </si>
  <si>
    <t>Gangolf HÃ¼binger</t>
  </si>
  <si>
    <t>Apostasy and Jewish Identity in High Middle Ages Northern Europe</t>
  </si>
  <si>
    <t>Simha Goldin</t>
  </si>
  <si>
    <t>Mobilizing Labour for the Global Coffee Market</t>
  </si>
  <si>
    <t>Anti-Imperialist Modernism</t>
  </si>
  <si>
    <t>Benjamin Balthaser</t>
  </si>
  <si>
    <t>Team Teaching and Team Learning in the Language Classroom</t>
  </si>
  <si>
    <t>Akira Tajino-Tim Stewart-David Dalsky</t>
  </si>
  <si>
    <t>Shakespeare in Hate</t>
  </si>
  <si>
    <t>Peter Kishore Saval</t>
  </si>
  <si>
    <t>Introducing Peace Museums</t>
  </si>
  <si>
    <t>Joyce Apsel</t>
  </si>
  <si>
    <t>Global Cooperation and the Human Factor in International Relations</t>
  </si>
  <si>
    <t>Dirk Messner-Silke Weinlich</t>
  </si>
  <si>
    <t>Fast Facts: Hypertension</t>
  </si>
  <si>
    <t>MacGregor, Graham A.-Stowasser, Michael</t>
  </si>
  <si>
    <t>The Integration of the Second Generation in Germany</t>
  </si>
  <si>
    <t>Inken SÃ¼rig-Maren Wilmes</t>
  </si>
  <si>
    <t>Spain, China, and Japan in Manila, 1571-1644</t>
  </si>
  <si>
    <t>Birgit Tremml-Werner</t>
  </si>
  <si>
    <t>Ripples of Hope</t>
  </si>
  <si>
    <t>Robert Press</t>
  </si>
  <si>
    <t>Medium, Messenger, Transmission</t>
  </si>
  <si>
    <t>Sybille KrÃ¤mer</t>
  </si>
  <si>
    <t>Breaking Down the State</t>
  </si>
  <si>
    <t>Jan Willem Duyvendak-James Jasper</t>
  </si>
  <si>
    <t>Beyond Divine Coincidence</t>
  </si>
  <si>
    <t>Jakob Palek</t>
  </si>
  <si>
    <t>Georg-Forster-Studien XX</t>
  </si>
  <si>
    <t>Stefan Greif-Michael Ewert</t>
  </si>
  <si>
    <t>Positive Organizational Psychology</t>
  </si>
  <si>
    <t>SELF-HELP / Personal Growth / Success</t>
  </si>
  <si>
    <t>Andreea Negruti-Plama Hristova-Knud S. Larsen</t>
  </si>
  <si>
    <t>Die neuen BÃ¼rgerproteste in Deutschland</t>
  </si>
  <si>
    <t>Felix Butzlaff</t>
  </si>
  <si>
    <t>Die Konstruktion von Reputation</t>
  </si>
  <si>
    <t>Julia Richter</t>
  </si>
  <si>
    <t>Constructing Intersex</t>
  </si>
  <si>
    <t>Joris Atte Gregor</t>
  </si>
  <si>
    <t>A Spectre Is Haunting Arabia</t>
  </si>
  <si>
    <t>Miriam M. MÃ¼ller</t>
  </si>
  <si>
    <t>Vom ImaginÃ¤ren zur Autonomie</t>
  </si>
  <si>
    <t>Nicola Condoleo</t>
  </si>
  <si>
    <t>Der Intellektuelle als Yogi</t>
  </si>
  <si>
    <t>Hans-Willi Weis</t>
  </si>
  <si>
    <t>Â»Deeply SuperficialÂ«</t>
  </si>
  <si>
    <t>MÃ©lanie-Chantal Deiss</t>
  </si>
  <si>
    <t>Armut und Engagement</t>
  </si>
  <si>
    <t>Leiv Eirik VoigtlÃ¤nder</t>
  </si>
  <si>
    <t>Postsowjetische Transformationen in der Weltgesellschaft</t>
  </si>
  <si>
    <t>Evelyn Moser</t>
  </si>
  <si>
    <t>Formwandel der Verfassung</t>
  </si>
  <si>
    <t>Kolja MÃ¶ller</t>
  </si>
  <si>
    <t>Ethnicity As a Political Resource</t>
  </si>
  <si>
    <t>University of Cologne Forum Â»Ethnicity as a Political ResourceÂ«</t>
  </si>
  <si>
    <t>Im Leben bleiben</t>
  </si>
  <si>
    <t>Verena Rothe-Gabriele Kreutzner-Reimer Gronemeyer</t>
  </si>
  <si>
    <t>Serbische Vergangenheitsaufarbeitung</t>
  </si>
  <si>
    <t>Daniela Mehler</t>
  </si>
  <si>
    <t>City of Crisis</t>
  </si>
  <si>
    <t>Frank Eckardt-Javier Ruiz SÃ¡nchez</t>
  </si>
  <si>
    <t>Kunst und Handlung</t>
  </si>
  <si>
    <t>Daniel Martin Feige-Judith Siegmund</t>
  </si>
  <si>
    <t>Spaces and Identities in Border Regions</t>
  </si>
  <si>
    <t>Christian Wille-Rachel Reckinger-Sonja Kmec-Markus Hesse</t>
  </si>
  <si>
    <t>Strategien â€ºkultureller Kannibalisierungâ€¹</t>
  </si>
  <si>
    <t>Peter W. Schulze</t>
  </si>
  <si>
    <t>Areas and Methods of Audiovisual Translation Research</t>
  </si>
  <si>
    <t>Åukasz Bogucki</t>
  </si>
  <si>
    <t>Von der Hysterie zur Magersucht</t>
  </si>
  <si>
    <t>Iris SchÃ¤fer</t>
  </si>
  <si>
    <t>The Ahmadiyya Quest for Religious Progress</t>
  </si>
  <si>
    <t>Gerdientje Jonker</t>
  </si>
  <si>
    <t>The KhÅjÄ of Tanzania</t>
  </si>
  <si>
    <t>Iqbal Akhtar</t>
  </si>
  <si>
    <t>Everywhere Taksim</t>
  </si>
  <si>
    <t>Isabel David-Kumru Toktamis</t>
  </si>
  <si>
    <t>Entwicklung eines Referenzmodells zur systematischen Steigerung der Mitgliederanzahl und der NutzeraktivitÃ¤t in der Wachstumsphase von Virtuellen Communities</t>
  </si>
  <si>
    <t>Marco Hartmann</t>
  </si>
  <si>
    <t>Handbook of Brand Semiotics</t>
  </si>
  <si>
    <t>George Rossolatos</t>
  </si>
  <si>
    <t>Erscheinungsformen und Handhabungen Heiliger Schriften</t>
  </si>
  <si>
    <t>Joachim Friedrich Quack-Daniela Christina Luft</t>
  </si>
  <si>
    <t>Soul of the Documentary</t>
  </si>
  <si>
    <t>Ilona Hongisto</t>
  </si>
  <si>
    <t>Seeking Peace in the Wake of War</t>
  </si>
  <si>
    <t>Stefan-Ludwig Hoffmann-Olivier Wieviorka-Peter Romijn-Sandrine Kott</t>
  </si>
  <si>
    <t>Playing War</t>
  </si>
  <si>
    <t>Matthew Thomas Payne</t>
  </si>
  <si>
    <t>Handbuch der deutsch-jÃ¼dischen Literatur</t>
  </si>
  <si>
    <t>Hans Otto Horch</t>
  </si>
  <si>
    <t>50 Jahre Aktiengesetz</t>
  </si>
  <si>
    <t>Holger Fleischer-Jens Koch-Bruno Kropff-Marcus Lutter</t>
  </si>
  <si>
    <t>BildungsbÃ¼rgertum und vÃ¶lkische Ideologie</t>
  </si>
  <si>
    <t>Thomas Vordermayer</t>
  </si>
  <si>
    <t>Kriegstagebuch einer jungen Nationalsozialistin</t>
  </si>
  <si>
    <t>Sven Keller</t>
  </si>
  <si>
    <t>Mathematics Education and Language Diversity</t>
  </si>
  <si>
    <t>Richard Barwell-Philip Clarkson-Anjum Halai-Mercy Kazima-Judit Moschkovich-NÃºria Planas-Mamokgethi Setati-Phakeng-Paola Valero-Martha Villavicencio UbillÃºs</t>
  </si>
  <si>
    <t>Manifesto for the Humanities</t>
  </si>
  <si>
    <t>Sidonie Ann Smith</t>
  </si>
  <si>
    <t>Addiction, Modernity, and the City</t>
  </si>
  <si>
    <t>Christopher B.R. Smith</t>
  </si>
  <si>
    <t>Designing for Shared Understanding</t>
  </si>
  <si>
    <t>Eva Bittner</t>
  </si>
  <si>
    <t>Untersuchung des Betriebsverhaltens einer Windkraftanlage mit permanenterregten Synchrongeneratoren fÃ¼r den Einsatz im Offshore-Bereich</t>
  </si>
  <si>
    <t>Adil  Ezzahraoui</t>
  </si>
  <si>
    <t>Ãœberwindung der KÃ¶rperlichkeit</t>
  </si>
  <si>
    <t>Energieeffizienz von HochschulgebÃ¤uden</t>
  </si>
  <si>
    <t>Benedikt Biechele</t>
  </si>
  <si>
    <t>Environmental Life Cycle Assessment</t>
  </si>
  <si>
    <t>Olivier Jolliet-Myriam Saade-Sbeih-Shanna Shaked-Alexandre Jolliet-Pierre Crettaz</t>
  </si>
  <si>
    <t>The Correspondence of Wolfgang Capito</t>
  </si>
  <si>
    <t>Wolfgang Capito</t>
  </si>
  <si>
    <t>Beitrag zur Ermittlung von Eigenspannungen nahe der Streckgrenze mittels mechanischer PrÃ¼fmethoden</t>
  </si>
  <si>
    <t>Mirbach, David von</t>
  </si>
  <si>
    <t>TragfÃ¤higkeitsberechnungen fÃ¼r KehlnÃ¤hte auf Grundlage experimentell gestÃ¼tzter Werkstoffmodellierung</t>
  </si>
  <si>
    <t>RÃ¶mer, Wolfgang</t>
  </si>
  <si>
    <t>Chinese Diasporas in Europe</t>
  </si>
  <si>
    <t>Knerr, BeÌatrice.-Jieping, Fan.</t>
  </si>
  <si>
    <t>Aktives Lernen FÃ¼r Klassifikationsprobleme Unter Der Nutzung Von Strukturinformationen</t>
  </si>
  <si>
    <t>Reitmaier, Tobias</t>
  </si>
  <si>
    <t>Die gravierten Messinggrabplatten des 13. und 14.Jahrhunderts im Bereich der norddeutschen Hanse - ihre Herkunft und ihre Bedeutung</t>
  </si>
  <si>
    <t>Wolkewitz, Ursula</t>
  </si>
  <si>
    <t>Nahverkehrstage 2015</t>
  </si>
  <si>
    <t>UniversitaÌˆt Kassel.</t>
  </si>
  <si>
    <t>Disciplinary Technologies of Microfinance Institutions in Bangladesh</t>
  </si>
  <si>
    <t>Hussain, A. H. M. Belayeth.</t>
  </si>
  <si>
    <t>Immissionsschutzrechtliche Instrumente</t>
  </si>
  <si>
    <t>Keller, Karsten.</t>
  </si>
  <si>
    <t>Wissenschaft der Synthese â€“ Ein Ansatz zur wissenschaftsphilosophischen Bestimmung der Chemie</t>
  </si>
  <si>
    <t>Frevert, Mareike</t>
  </si>
  <si>
    <t>Landleben mit Zukunft?</t>
  </si>
  <si>
    <t>RoÌˆhrig, Carolin</t>
  </si>
  <si>
    <t>Inter-American Development Bank-Norbert Schady-Samuel Berlinski</t>
  </si>
  <si>
    <t>Beyond the State</t>
  </si>
  <si>
    <t>Anna Greenwood</t>
  </si>
  <si>
    <t>The Powhatan Landscape</t>
  </si>
  <si>
    <t>Martin D. Gallivan</t>
  </si>
  <si>
    <t>The Anthropocene and the Global Environmental Crisis</t>
  </si>
  <si>
    <t>Clive Hamilton-FranÃ§ois Gemenne-Christophe Bonneuil</t>
  </si>
  <si>
    <t>Recovering Armenia</t>
  </si>
  <si>
    <t>Lerna Ekmekcioglu</t>
  </si>
  <si>
    <t>Learning Disability and Inclusion Phobia</t>
  </si>
  <si>
    <t>C. F. Goodey</t>
  </si>
  <si>
    <t>Ibn Al-Jazzar On Sexual Diseases</t>
  </si>
  <si>
    <t>Gerrit Bos</t>
  </si>
  <si>
    <t>The Class</t>
  </si>
  <si>
    <t>Sonia Livingstone-Julian Sefton-Green</t>
  </si>
  <si>
    <t>A Bun in the Oven</t>
  </si>
  <si>
    <t>Barbara Katz Rothman</t>
  </si>
  <si>
    <t>Failing Families, Failing Science</t>
  </si>
  <si>
    <t>Elaine Ecklund-Anne E. Lincoln</t>
  </si>
  <si>
    <t>Critical Trauma Studies</t>
  </si>
  <si>
    <t>Monica Casper-Eric Wertheimer</t>
  </si>
  <si>
    <t>Priced Out</t>
  </si>
  <si>
    <t>Rachael A. Woldoff-Lisa M. Morrison-Michael R. Glass</t>
  </si>
  <si>
    <t>Black Womenâ€™s Christian Activism</t>
  </si>
  <si>
    <t>Betty Livingston Adams</t>
  </si>
  <si>
    <t>Proofs of Genius</t>
  </si>
  <si>
    <t>Amanda Gailey</t>
  </si>
  <si>
    <t>Digital Samaritans</t>
  </si>
  <si>
    <t>Jim Ridolfo</t>
  </si>
  <si>
    <t>Campaign Finance and Political Polarization</t>
  </si>
  <si>
    <t>Raymond J. La Raja-Brian F. Schaffner</t>
  </si>
  <si>
    <t>The Victorian Soldier in Africa</t>
  </si>
  <si>
    <t>Edward Spiers</t>
  </si>
  <si>
    <t>Colonial Caring</t>
  </si>
  <si>
    <t>Helen Sweet-Sue Hawkins</t>
  </si>
  <si>
    <t>Human Remains and Identification</t>
  </si>
  <si>
    <t>MÃ©dialitÃ© et interprÃ©tation contemporaine des premiÃ¨res guerres de Religion</t>
  </si>
  <si>
    <t>Gabriele Haug-Moritz-Lothar Schilling</t>
  </si>
  <si>
    <t>White Working-Class Voices</t>
  </si>
  <si>
    <t>Harris Beider</t>
  </si>
  <si>
    <t>Cornelius Nepos, Life of Hannibal</t>
  </si>
  <si>
    <t xml:space="preserve"> Bret Mulligan</t>
  </si>
  <si>
    <t>Beyond Price</t>
  </si>
  <si>
    <t>Precision Agriculture Technology for Crop Farming</t>
  </si>
  <si>
    <t>Qin Zhang</t>
  </si>
  <si>
    <t>Philosophical Heuristics</t>
  </si>
  <si>
    <t>Jan Hartman</t>
  </si>
  <si>
    <t>History of the Polish-Lithuanian Commonwealth</t>
  </si>
  <si>
    <t>Urszula Augustyniak-Iwo Hryniewicz</t>
  </si>
  <si>
    <t>Intergeschlechtlichkeit</t>
  </si>
  <si>
    <t>Manuela Tillmanns</t>
  </si>
  <si>
    <t>SexualitÃ¤t und Familie</t>
  </si>
  <si>
    <t>Transfer of Buddhism Across Central Asian Networks (7th to 13th Centuries)</t>
  </si>
  <si>
    <t>Carmen Meinert</t>
  </si>
  <si>
    <t>Higher Education Revolutions in the Gulf</t>
  </si>
  <si>
    <t>Fatima Badry-John Willoughby</t>
  </si>
  <si>
    <t>Tellings and Texts</t>
  </si>
  <si>
    <t xml:space="preserve"> Francesca Orsini-Katherine Butler Schofield</t>
  </si>
  <si>
    <t>International Multiparty Mediation and Conflict Management</t>
  </si>
  <si>
    <t>Sinisa Vukovic</t>
  </si>
  <si>
    <t>Wordplay and Metalinguistic / Metadiscursive Reflection</t>
  </si>
  <si>
    <t>Angelika Zirker-Esme Winter-Froemel</t>
  </si>
  <si>
    <t>Why Be Moral?</t>
  </si>
  <si>
    <t>Beatrix Himmelmann-Robert Louden</t>
  </si>
  <si>
    <t>Enjeux du jeu de mots</t>
  </si>
  <si>
    <t>Esme Winter-Froemel-Angelika Zirker</t>
  </si>
  <si>
    <t>Being Jewish in 21st-Century Germany</t>
  </si>
  <si>
    <t>Olaf GlÃ¶ckner-Haim Fireberg</t>
  </si>
  <si>
    <t>Fragment und Gesamtwerk</t>
  </si>
  <si>
    <t>Hans, Kruschwitz-Jordans, Stephanie-Berning, Matthias</t>
  </si>
  <si>
    <t>Molekulare Identifizierung chiraler MolekuÌˆle in der Gasphase mittels Femtosekundenlaserspektrometrie</t>
  </si>
  <si>
    <t>Lux, Christian</t>
  </si>
  <si>
    <t>Klassifikation von Niederspannungsnetzen mit Support Vector Machines</t>
  </si>
  <si>
    <t>Breker, Sebastian</t>
  </si>
  <si>
    <t>Vom Waisenhaus zur Kita 1690-2015</t>
  </si>
  <si>
    <t>CredeÌ, Hans-Dieter</t>
  </si>
  <si>
    <t>Auswirkungen der Netzintegration von Windkraftanlagen auf die SpannungsstabilitaÌˆt im NoÌˆrdlichen Verbundsystem Chiles</t>
  </si>
  <si>
    <t>Lafferte, DariÌo</t>
  </si>
  <si>
    <t>Kirche, Jugend, Internet</t>
  </si>
  <si>
    <t>FaÃŸhauer, Daniel</t>
  </si>
  <si>
    <t>Mapping the Country of Regions</t>
  </si>
  <si>
    <t>Nancy P. Appelbaum</t>
  </si>
  <si>
    <t>Designing Worlds</t>
  </si>
  <si>
    <t>Kjetil Fallan-Grace Lees-Maffei</t>
  </si>
  <si>
    <t>Sweden After Nazism</t>
  </si>
  <si>
    <t>Parenthood Between Generations</t>
  </si>
  <si>
    <t>SiÃ¢n Pooley-Kaveri Qureshi</t>
  </si>
  <si>
    <t>Deep Cosmopolis</t>
  </si>
  <si>
    <t>Nationalsozialistische Judenverfolgung in Ostgalizien 1941-1944</t>
  </si>
  <si>
    <t>Dieter Pohl</t>
  </si>
  <si>
    <t>Tractates Peah and Demay</t>
  </si>
  <si>
    <t>Heinrich W. Guggenheimer</t>
  </si>
  <si>
    <t>Women, Migration &amp; the Cashew Economy in Southern Mozambique</t>
  </si>
  <si>
    <t>Jeanne Marie Penvenne</t>
  </si>
  <si>
    <t>Afro-Peruvian Spanish</t>
  </si>
  <si>
    <t>Sandro Sessarego</t>
  </si>
  <si>
    <t>Diseases of Edible Oilseed Crops</t>
  </si>
  <si>
    <t>Chirantan Chattopadhyay-S. J. Kolte-Farid Waliyar</t>
  </si>
  <si>
    <t>Compact Models for Integrated Circuit Design</t>
  </si>
  <si>
    <t>Samar K. Saha</t>
  </si>
  <si>
    <t>Mr. Emerson's Revolution</t>
  </si>
  <si>
    <t xml:space="preserve"> Jean McClure Mudge</t>
  </si>
  <si>
    <t>A Musicology of Performance</t>
  </si>
  <si>
    <t xml:space="preserve"> Dorottya Fabian</t>
  </si>
  <si>
    <t>Praxeologie</t>
  </si>
  <si>
    <t>Friederike Elias-Albrecht Franz-Henning Murmann-Ulrich Wilhelm Weiser</t>
  </si>
  <si>
    <t>Ethical Programs</t>
  </si>
  <si>
    <t>James J. Brown, Jr.</t>
  </si>
  <si>
    <t>Disabled People, Work and Welfare</t>
  </si>
  <si>
    <t>Chris Grover-Linda Piggott</t>
  </si>
  <si>
    <t>Occidentalist Perceptions of European Architecture in Nineteenth-Century Persian Travel Diaries</t>
  </si>
  <si>
    <t>Vahid Vahdat</t>
  </si>
  <si>
    <t>US Nation-Building in Afghanistan</t>
  </si>
  <si>
    <t>Conor Keane</t>
  </si>
  <si>
    <t>The Principle of Effective Legal Protection in Administrative Law</t>
  </si>
  <si>
    <t>ZoltÃ¡n Szente-Konrad Lachmayer</t>
  </si>
  <si>
    <t>Human and International Security in India</t>
  </si>
  <si>
    <t>Crispin Bates-Akio Tanabe-Minoru Mio</t>
  </si>
  <si>
    <t>The German-Jewish Experience Revisited</t>
  </si>
  <si>
    <t>Steven E. Aschheim-Vivian Liska</t>
  </si>
  <si>
    <t>Untersuchungen zur Lebensdauer und ZuverlaÌˆssigkeit von Elektrofahrzeugen</t>
  </si>
  <si>
    <t>HochgraÌˆf, Marco.</t>
  </si>
  <si>
    <t>Corporate social responsibility</t>
  </si>
  <si>
    <t>Stoll, Bettina.-Schrader, Christian.-Deinert, Stefanie.</t>
  </si>
  <si>
    <t>Water Resources Availability, National Food Security Strategies and Farmers' Reactions in Darab, Iran</t>
  </si>
  <si>
    <t>Dehnavi, Sudeh</t>
  </si>
  <si>
    <t>Beweiseignung fortgeschrittener elektronischer signaturen</t>
  </si>
  <si>
    <t>Grigorjew, Olga.</t>
  </si>
  <si>
    <t>A Service Engineering Method for Knowledge-intense Person-oriented Services</t>
  </si>
  <si>
    <t>Menschner, Philipp</t>
  </si>
  <si>
    <t>Konsistente Schutzgutbehandlung in Zulassungsverfahren</t>
  </si>
  <si>
    <t>Kober, Detlef.</t>
  </si>
  <si>
    <t>Wirkung von Outplacement-Beratung</t>
  </si>
  <si>
    <t>RoÌˆsler, Daniela.</t>
  </si>
  <si>
    <t>Essays on Funding and Effects of Public Expenditures on Household Related Infrastructure</t>
  </si>
  <si>
    <t>Krauskopf, Thomas.</t>
  </si>
  <si>
    <t>Fast Facts: Schizophrenia</t>
  </si>
  <si>
    <t>Lewis, Shon W.-Buchanan, Robert W.</t>
  </si>
  <si>
    <t>Tempest</t>
  </si>
  <si>
    <t>Judd Ethan Ruggill-Ken S. McAllister</t>
  </si>
  <si>
    <t>Rural Crime and Community Safety</t>
  </si>
  <si>
    <t>Vania A Ceccato</t>
  </si>
  <si>
    <t>Development Discourse and Global History</t>
  </si>
  <si>
    <t>Aram Ziai</t>
  </si>
  <si>
    <t>People, Places and Policy</t>
  </si>
  <si>
    <t>Martin Jones-Scott Orford-Victoria Macfarlane</t>
  </si>
  <si>
    <t>Building Europe</t>
  </si>
  <si>
    <t>Wilfried Loth</t>
  </si>
  <si>
    <t>Arbeit als Hoffnung</t>
  </si>
  <si>
    <t>Joachim Tauber</t>
  </si>
  <si>
    <t>Verallgemeinerung des Beruflichen - Verberuflichung des Allgemeinen?</t>
  </si>
  <si>
    <t>Birgit Ziegler</t>
  </si>
  <si>
    <t>Players and Arenas</t>
  </si>
  <si>
    <t>Observing Protest From a Place</t>
  </si>
  <si>
    <t>Johanna SimÃ©ant-Isabelle Sommier-Marie-Emanuelle Pommerolle</t>
  </si>
  <si>
    <t>Late-career Risks in Changing Welfare States</t>
  </si>
  <si>
    <t>Jan Paul Heisig</t>
  </si>
  <si>
    <t>Technology and Testing</t>
  </si>
  <si>
    <t>Fritz Drasgow</t>
  </si>
  <si>
    <t>LegitimitÃ¤t</t>
  </si>
  <si>
    <t>Maria Dammayr-Doris GraÃŸ-Barbara RothmÃ¼ller</t>
  </si>
  <si>
    <t>Freiheitsgrade</t>
  </si>
  <si>
    <t>Dirk Stederoth</t>
  </si>
  <si>
    <t>Lebenswirklichkeiten und politische Konstruktionen in Grenzregionen</t>
  </si>
  <si>
    <t>Christian Wille</t>
  </si>
  <si>
    <t>Victims in the War on Crime</t>
  </si>
  <si>
    <t>Markus Dirk Dubber</t>
  </si>
  <si>
    <t>Literature and Disability</t>
  </si>
  <si>
    <t>Alice Hall</t>
  </si>
  <si>
    <t>Adventures in Paradox</t>
  </si>
  <si>
    <t>Charles D. Presberg</t>
  </si>
  <si>
    <t>Regionale Alltagssprache</t>
  </si>
  <si>
    <t>Jens Philipp Lanwer</t>
  </si>
  <si>
    <t>Coming of Age</t>
  </si>
  <si>
    <t>International Integrated Engineering Summit 2014</t>
  </si>
  <si>
    <t>Al Emran Ismail-Amir Khalid-Aziman Madun-Ahmad Kueh Beng Hong-Fariza Mohamad-Hamidon Salleh-Kamaruddin Ambak-Mohammad Kamil Abdullah-Mohd Azlis Sani Md Jalil-Mohd Ezree Abdullah-Mohd Fahrul Hassan-Mohd Halim Irwan Ibrahim-Mohd Khairul bin Ahmad-Nan Mad Sahar-Nik Hisyamudin Muhd Nor-Nor Aiziz Yusoff-Norwati Jamaluddin-Norzila Othman-Radin Maya Saphira Radin Mohamed-Saidin Wahab-Saiful Azhar Ahmad Tajudin-Saifulnizan Jamian-Chin Fhong Soon-Wan Mahani Hafizah Wan Mahmud-Mohd Zainizan Sahdan</t>
  </si>
  <si>
    <t>Deutsches Institut fÃ¼r Erwachsenenbildung (DIE)</t>
  </si>
  <si>
    <t>Zukunft (der) Weiterbildung</t>
  </si>
  <si>
    <t>Bundesministerium fÃ¼r Bildung und Forschung (BMBF)</t>
  </si>
  <si>
    <t>Gleichartig - aber anderswertig?</t>
  </si>
  <si>
    <t>Andreas Weber-Ann-Katrin SchrÃ¶der-Kralemann-Stefan Delplace-Baden-WÃ¼rttemberg Stiftung</t>
  </si>
  <si>
    <t>1731â€“1733</t>
  </si>
  <si>
    <t>Detlef DÃ¶ring-RÃ¼diger Otto-Michael Schlott</t>
  </si>
  <si>
    <t>1722â€“1730</t>
  </si>
  <si>
    <t>Stopping Rape</t>
  </si>
  <si>
    <t>FAMILY &amp; RELATIONSHIPS / Abuse / General</t>
  </si>
  <si>
    <t>Sylvia Walby-Philippa Olive-Jude Towers-Brian Francis-Sofia Strid-Andrea KrizsÃ¡n-Emanuela Lombardo-Corinne May-Chahal-Suzanne Franzway-David Sugarman-Bina Agarwal-Jo Armstrong</t>
  </si>
  <si>
    <t>Political (Dis)Engagement</t>
  </si>
  <si>
    <t>Nathan Manning</t>
  </si>
  <si>
    <t>The First to Be Destroyed</t>
  </si>
  <si>
    <t>Witold Medykowski-Anetta Glowacka-Penczynska-Tomasz Kawski-T. Horev</t>
  </si>
  <si>
    <t>Word and Image in Russian History</t>
  </si>
  <si>
    <t>Maria di Salvo-Daniel H. Kaiser-Valerie A. Kivelson</t>
  </si>
  <si>
    <t>Complexity, Security and Civil Society in East Asia</t>
  </si>
  <si>
    <t xml:space="preserve"> Peter Hayes-Kiho Yi</t>
  </si>
  <si>
    <t>Der Reformator Martin Luther 2017</t>
  </si>
  <si>
    <t>Unternehmer - Fakten und Fiktionen</t>
  </si>
  <si>
    <t>Werner Plumpe</t>
  </si>
  <si>
    <t>Migration and Integration in Europe, Southeast Asia, and Australia</t>
  </si>
  <si>
    <t>Juliet Pietsch-Marshall Clark</t>
  </si>
  <si>
    <t>Farocki/Godard</t>
  </si>
  <si>
    <t>Digital Passages: Migrant Youth 2.0</t>
  </si>
  <si>
    <t>Koen Leurs</t>
  </si>
  <si>
    <t>Cultural Dynamics of Climate Change and the Environment in Northern America</t>
  </si>
  <si>
    <t>Bernd Sommer</t>
  </si>
  <si>
    <t>Feminisms</t>
  </si>
  <si>
    <t>Anna Backman Rogers-Laura Mulvey</t>
  </si>
  <si>
    <t>Tales From the Trobriand Islands of Papua New Guinea</t>
  </si>
  <si>
    <t>Brauchen wir ein drittes Geschlecht?</t>
  </si>
  <si>
    <t>Tobias Helms</t>
  </si>
  <si>
    <t>November 1742 â€“ Februar 1744</t>
  </si>
  <si>
    <t>Kosmopoliten wider Willen</t>
  </si>
  <si>
    <t>Friedemann Pestel-Institut Historique Allemand Paris</t>
  </si>
  <si>
    <t>Kommentar zu Nietzsches "MorgenrÃ¶the", "Idyllen aus Messina"</t>
  </si>
  <si>
    <t>Jochen Schmidt-Sebastian Kaufmann</t>
  </si>
  <si>
    <t>SchrifttrÃ¤ger - TexttrÃ¤ger</t>
  </si>
  <si>
    <t>Annette Kehnel-Diamantis Panagiotopoulos</t>
  </si>
  <si>
    <t>The Essential Agus</t>
  </si>
  <si>
    <t>Steven T. Katz</t>
  </si>
  <si>
    <t>Genders 22</t>
  </si>
  <si>
    <t>Ellen E. Berry</t>
  </si>
  <si>
    <t>Digital Jesus</t>
  </si>
  <si>
    <t>Robert Glenn Howard</t>
  </si>
  <si>
    <t>Compensatory Justice</t>
  </si>
  <si>
    <t>John W. Chapman</t>
  </si>
  <si>
    <t>Writing(s) at the Crossroads</t>
  </si>
  <si>
    <t>Georgeta Cislaru</t>
  </si>
  <si>
    <t>The Native Conquistador</t>
  </si>
  <si>
    <t>Amber Brian-Bradley Benton-Pablo GarcÃ­a Loaeza</t>
  </si>
  <si>
    <t>Redesigning Life</t>
  </si>
  <si>
    <t>Nathan Van Camp</t>
  </si>
  <si>
    <t>Questioning Schenkerism</t>
  </si>
  <si>
    <t>Fast Facts: Ophthalmology</t>
  </si>
  <si>
    <t>Simcock, Peter-Burger, Andre</t>
  </si>
  <si>
    <t>Die Preisbildung und Preisentwicklung fÃ¼r Vieh und Fleisch am Berliner Markte (fÃ¼r Schweine).</t>
  </si>
  <si>
    <t>Heinrich Gerlich</t>
  </si>
  <si>
    <t>Die StÃ¶rungen im deutschen Wirtschaftsleben wÃ¤hrend der Jahre 1900 ff..</t>
  </si>
  <si>
    <t>Untersuchungen Ã¼ber den EinfluÃŸ der distributiven Gewerbe auf die Preise.</t>
  </si>
  <si>
    <t>Transfer von Institutionen.</t>
  </si>
  <si>
    <t>Thomas Apolte</t>
  </si>
  <si>
    <t>SÃ¶ldnerlandschaften.</t>
  </si>
  <si>
    <t>Philippe Rogger-Benjamin Hitz</t>
  </si>
  <si>
    <t>Die Entwicklung der Raumwirtschaftslehre von ihren AnfÃ¤ngen bis in die Gegenwart.</t>
  </si>
  <si>
    <t>Wettbewerbsprobleme im Lebensmitteleinzelhandel.</t>
  </si>
  <si>
    <t>Die Ã–konomik im Spannungsfeld zwischen Natur- und Geisteswissenschaften.</t>
  </si>
  <si>
    <t>Neuere AnsÃ¤tze der theoretischen und empirischen Entwicklungsforschung.</t>
  </si>
  <si>
    <t>Heinz Ahrens</t>
  </si>
  <si>
    <t>MÃ¶glichkeiten und Grenzen einer nationalen Sozialpolitik in der EuropÃ¤ischen Union.</t>
  </si>
  <si>
    <t>Finanzdienstleistungen und FinanzmÃ¤rkte im Umbruch.</t>
  </si>
  <si>
    <t>Theorie der Wirtschaftspolitik: Erfahrungen - Probleme - Perspektiven.</t>
  </si>
  <si>
    <t>Erweiterung der EU.</t>
  </si>
  <si>
    <t>Lutz Hoffmann</t>
  </si>
  <si>
    <t>Die Zukunft des Sozialstaats.</t>
  </si>
  <si>
    <t>Agrarumweltpolitik nach den Prinzipien der Ã–konomischen Theorie des FÃ¶deralismus.</t>
  </si>
  <si>
    <t>Guido Urfei</t>
  </si>
  <si>
    <t>Theorie und Empirie der Direktinvestitionen.</t>
  </si>
  <si>
    <t>Roland DÃ¶hrn-GÃ¼nter Heiduk</t>
  </si>
  <si>
    <t>Neue Wachstums- und AuÃŸenhandelstheorie.</t>
  </si>
  <si>
    <t>Perspektiven der Systemforschung.</t>
  </si>
  <si>
    <t>Probleme der Besteuerung II.</t>
  </si>
  <si>
    <t>Berufliche Weiterbildung in europÃ¤ischer Perspektive.</t>
  </si>
  <si>
    <t>Ã–konomische Auswirkungen der Zuwanderungen nach Deutschland.</t>
  </si>
  <si>
    <t>Hans Dietrich von Loeffelholz-GÃ¼nter KÃ¶pp</t>
  </si>
  <si>
    <t>Alternative Konzeptionen der sozialen Sicherung.</t>
  </si>
  <si>
    <t>Das Defizit im Ã¶ffentlichen Personennahverkehr in Theorie und Empirie.</t>
  </si>
  <si>
    <t>Karl-Heinz Storchmann</t>
  </si>
  <si>
    <t>Die Dynamik der TelekommunikationsmÃ¤rkte als Herausforderung an die Wettbewerbspolitik.</t>
  </si>
  <si>
    <t>Transmissionsmechanismen der Geldpolitik.</t>
  </si>
  <si>
    <t>Ernst Baltensperger</t>
  </si>
  <si>
    <t>Globalisierung der Wirtschaft: Ursachen - Formen - Konsequenzen.</t>
  </si>
  <si>
    <t>Deregulierung und Finanzierung des Bildungswesens.</t>
  </si>
  <si>
    <t>FinanzmÃ¤rkte im Spannungsfeld von Globalisierung, Regulierung und Geldpolitik. Johann-Heinrich-von-ThÃ¼nen-Vorlesung:</t>
  </si>
  <si>
    <t>EuropÃ¤ische Integration als ordnungspolitische Gestaltungsaufgabe.</t>
  </si>
  <si>
    <t>Knut Wicksell als Ã–konom.</t>
  </si>
  <si>
    <t>Die Umsetzung wirtschaftspolitischer Grundkonzeptionen in die kontinentaleuropÃ¤ische Praxis des 19. und 20. Jahrhunderts, II. Teil.</t>
  </si>
  <si>
    <t>Osterweiterung der EU â€“ Neue Chancen fÃ¼r Europa?!</t>
  </si>
  <si>
    <t>Gesamtwirtschaftliche Modelle in der Bundesrepublik Deutschland: Erfahrungen und Perspektiven.</t>
  </si>
  <si>
    <t>Ullrich Heilemann-JÃ¼rgen Wolters</t>
  </si>
  <si>
    <t>Bildung und Wirtschaftswachstum.</t>
  </si>
  <si>
    <t>Probleme der Besteuerung I.</t>
  </si>
  <si>
    <t>Wirtschaftsethische Perspektiven IV.</t>
  </si>
  <si>
    <t>Reform des Sozialstaats II.</t>
  </si>
  <si>
    <t>Spekulation, Preisbildung und VolatilitÃ¤t auf Finanz- und DevisenmÃ¤rkten.</t>
  </si>
  <si>
    <t>Perspektiven der Osterweiterung und Reformbedarf der EuropÃ¤ischen Union.</t>
  </si>
  <si>
    <t>Steuersysteme der Zukunft.</t>
  </si>
  <si>
    <t>Gerold Krause-Junk</t>
  </si>
  <si>
    <t>Post-Ottoman Coexistence</t>
  </si>
  <si>
    <t>Rebecca Bryant</t>
  </si>
  <si>
    <t>Unifying Physics of Accelerators, Lasers and Plasma</t>
  </si>
  <si>
    <t>Andrei Seryi</t>
  </si>
  <si>
    <t>Neues LeistungsstÃ¶rungs- und Kaufrecht</t>
  </si>
  <si>
    <t>Diaphan und gedichtet</t>
  </si>
  <si>
    <t>Maas, Renate</t>
  </si>
  <si>
    <t>MentalisierungsfoÌˆrderung als professionalisierter Erkenntnisprozess</t>
  </si>
  <si>
    <t>Hartmann, Lorena Katharina</t>
  </si>
  <si>
    <t>Man soll etwas glauben, was man nie gesehen hat</t>
  </si>
  <si>
    <t>ReiÃŸ, Annike</t>
  </si>
  <si>
    <t>Entwicklung eines Berechnungsmodells zur Beschreibung des Trag- und Verformungsverhaltens von HolzrahmenwaÌˆnden unter BeruÌˆcksichtigung lokaler Effekte</t>
  </si>
  <si>
    <t>TECHNOLOGY &amp; ENGINEERING / Construction / Carpentry</t>
  </si>
  <si>
    <t>Vogt, Tobias</t>
  </si>
  <si>
    <t>Advances in Engineering &amp; Management</t>
  </si>
  <si>
    <t>Gabriel Constantin Benga-Oana GÃ®ngu</t>
  </si>
  <si>
    <t>Techniques of Social Influence</t>
  </si>
  <si>
    <t>Dariusz Dolinski</t>
  </si>
  <si>
    <t>Nachman Krochmal</t>
  </si>
  <si>
    <t>Jay Harris</t>
  </si>
  <si>
    <t>HIV Mental Health for the 21st Century</t>
  </si>
  <si>
    <t>Mark G. Winiarski</t>
  </si>
  <si>
    <t>Critical Cyberculture Studies</t>
  </si>
  <si>
    <t>PSYCHOLOGY / Psychopathology / Dissociative Identity Disorder</t>
  </si>
  <si>
    <t>David Silver-Adrienne Massanari</t>
  </si>
  <si>
    <t>The Dilemma of Context</t>
  </si>
  <si>
    <t>Ben-Ami Scharfstein</t>
  </si>
  <si>
    <t>Out of Work</t>
  </si>
  <si>
    <t>Richard K Vedder-Lowell E. Gallaway</t>
  </si>
  <si>
    <t>Gershom Scholem and the Mystical Dimension of Jewish History</t>
  </si>
  <si>
    <t>Joseph Dan</t>
  </si>
  <si>
    <t>Divorce</t>
  </si>
  <si>
    <t>David Chiriboga-William A. Galston</t>
  </si>
  <si>
    <t>Whitewashed</t>
  </si>
  <si>
    <t>LAW / Discrimination</t>
  </si>
  <si>
    <t>John Tehranian</t>
  </si>
  <si>
    <t>This Time We Knew</t>
  </si>
  <si>
    <t>Thomas Cushman-Stjepan Mestrovic</t>
  </si>
  <si>
    <t>The Prostitution of Sexuality</t>
  </si>
  <si>
    <t>Kathleen Barry</t>
  </si>
  <si>
    <t>The Lavender Vote</t>
  </si>
  <si>
    <t>Mark Hertzog</t>
  </si>
  <si>
    <t>The Latino Body</t>
  </si>
  <si>
    <t>Lazaro Lima</t>
  </si>
  <si>
    <t>The Fighting Rabbis</t>
  </si>
  <si>
    <t>Albert I. Slomovitz</t>
  </si>
  <si>
    <t>The Beginning of Terror</t>
  </si>
  <si>
    <t>David Kleinbard</t>
  </si>
  <si>
    <t>The Americanization of the Jews</t>
  </si>
  <si>
    <t>Robert Seltzer-Norman S. Cohen</t>
  </si>
  <si>
    <t>Self and Other</t>
  </si>
  <si>
    <t>Robert Rogers</t>
  </si>
  <si>
    <t>Reflections</t>
  </si>
  <si>
    <t>Therese-AdÃ¨le Husson</t>
  </si>
  <si>
    <t>Queer Words, Queer Images</t>
  </si>
  <si>
    <t>Ronald Jeffrey Ringer</t>
  </si>
  <si>
    <t>Peer-Impact Diagnosis and Therapy</t>
  </si>
  <si>
    <t>Vivian Center Seltzer</t>
  </si>
  <si>
    <t>Neither Fugitive nor Free</t>
  </si>
  <si>
    <t>Edlie L. Wong</t>
  </si>
  <si>
    <t>Narcissism and the Literary Libido</t>
  </si>
  <si>
    <t>Marshall W. Alcorn Jr.</t>
  </si>
  <si>
    <t>Mixed Race Hollywood</t>
  </si>
  <si>
    <t>Mary BeltrÃ¡n-Camilla Fojas</t>
  </si>
  <si>
    <t>Markets and Justice</t>
  </si>
  <si>
    <t>Lover</t>
  </si>
  <si>
    <t>FICTION / LGBTQ+ / Lesbian</t>
  </si>
  <si>
    <t>Bertha Harris</t>
  </si>
  <si>
    <t>Illegal, Alien, or Immigrant</t>
  </si>
  <si>
    <t>Lina Newton</t>
  </si>
  <si>
    <t>Holy Mavericks</t>
  </si>
  <si>
    <t>Phillip Luke Sinitiere-Shayne Lee</t>
  </si>
  <si>
    <t>Guadalupe in New York</t>
  </si>
  <si>
    <t>Alyshia Galvez</t>
  </si>
  <si>
    <t>Global TV</t>
  </si>
  <si>
    <t>Denise D. Bielby-C. Lee Harrington</t>
  </si>
  <si>
    <t>Four Steeples Over the City Streets</t>
  </si>
  <si>
    <t>Kyle T. Bulthuis</t>
  </si>
  <si>
    <t>Ferenczi's Turn in Psychoanalysis</t>
  </si>
  <si>
    <t>Peter L. Rudnytsky-Antal Bokay-Patrizia Giampieri-Deutsch</t>
  </si>
  <si>
    <t>Feeling Mediated</t>
  </si>
  <si>
    <t>Brenton J. Malin</t>
  </si>
  <si>
    <t>Faith Born of Seduction</t>
  </si>
  <si>
    <t>Jennifer L Manlowe</t>
  </si>
  <si>
    <t>Embracing the Other</t>
  </si>
  <si>
    <t>Pearl Oliner-Samuel P. Oliner-Lawrence Baron-Lawrence Blum</t>
  </si>
  <si>
    <t>Dying to Get High</t>
  </si>
  <si>
    <t>Wendy Chapkis-Richard J. Webb</t>
  </si>
  <si>
    <t>Deconstruction Is/In America</t>
  </si>
  <si>
    <t>Anselm Haverkamp</t>
  </si>
  <si>
    <t>Deaf Subjects</t>
  </si>
  <si>
    <t>Brenda Jo Brueggemann</t>
  </si>
  <si>
    <t>Christianity and the Holocaust of Hungarian Jewry</t>
  </si>
  <si>
    <t>Moshe Y. Herczl</t>
  </si>
  <si>
    <t>Charles Dickens and the Image of Women</t>
  </si>
  <si>
    <t>David K. Holbrook</t>
  </si>
  <si>
    <t>Body Panic</t>
  </si>
  <si>
    <t>Shari L. Dworkin-Faye Linda Wachs</t>
  </si>
  <si>
    <t>Blacks at Harvard</t>
  </si>
  <si>
    <t>Werner Sollors-Caldwell Titcomb-Thomas A. Underwood-Randall Kennedy</t>
  </si>
  <si>
    <t>Beyond the Bonus March and GI Bill</t>
  </si>
  <si>
    <t>Stephen R. Ortiz</t>
  </si>
  <si>
    <t>Beyond Christianity</t>
  </si>
  <si>
    <t>RELIGION / Christianity / Christian Science</t>
  </si>
  <si>
    <t>Darnise C. Martin</t>
  </si>
  <si>
    <t>Bad Pastors</t>
  </si>
  <si>
    <t>Anson D. Shupe-William A. Stacey-Susan E. Darnell</t>
  </si>
  <si>
    <t>Babysitter</t>
  </si>
  <si>
    <t>Miriam Forman-Brunell</t>
  </si>
  <si>
    <t>Douglas Biklen-Richard Attfield-Larry Bissonnette-Lucy Blackman-Jamie Burke-Alberto Frugone-Tito Rajarshi Mukhopadhyay-Sue Rubin</t>
  </si>
  <si>
    <t>Asian American Religions</t>
  </si>
  <si>
    <t>Tony Carnes-Fenggang Yang</t>
  </si>
  <si>
    <t>Americaâ€™s Forgotten Holiday</t>
  </si>
  <si>
    <t>Donna T. Haverty-Stacke</t>
  </si>
  <si>
    <t>After Race</t>
  </si>
  <si>
    <t>Antonia Darder-Rodolfo D. Torres</t>
  </si>
  <si>
    <t>Adolescent Boys</t>
  </si>
  <si>
    <t>Niobe Way-Judy Y. Chu</t>
  </si>
  <si>
    <t>Deafening Modernism</t>
  </si>
  <si>
    <t>Rebecca Sanchez</t>
  </si>
  <si>
    <t>The BahÃ¡â€™Ã­s of America</t>
  </si>
  <si>
    <t>RELIGION / Baha"i</t>
  </si>
  <si>
    <t>Mike McMullen</t>
  </si>
  <si>
    <t>Does God Make the Man?</t>
  </si>
  <si>
    <t>Stewart M. Hoover-Curtis D. Coats</t>
  </si>
  <si>
    <t>Ethnology and Empire</t>
  </si>
  <si>
    <t>Robert Lawrence Gunn</t>
  </si>
  <si>
    <t>This Year's Model</t>
  </si>
  <si>
    <t>Elizabeth Wissinger</t>
  </si>
  <si>
    <t>Pillars of Cloud and Fire</t>
  </si>
  <si>
    <t>Herbert Robinson Marbury</t>
  </si>
  <si>
    <t>Jude und Demokrat</t>
  </si>
  <si>
    <t>Max Hirschberg-Reinhard Weber</t>
  </si>
  <si>
    <t>Eine sÃ¤chsische Lebensgeschichte</t>
  </si>
  <si>
    <t>Karl Buchheim-Udo Wengst-Isabel F. Pantenburg</t>
  </si>
  <si>
    <t>Meine Vertreibung aus Prag</t>
  </si>
  <si>
    <t>Ursula HÃ¼bler-Juliane Wetzel</t>
  </si>
  <si>
    <t>Totale Erziehung fÃ¼r den totalen Krieg</t>
  </si>
  <si>
    <t>Michael Buddrus</t>
  </si>
  <si>
    <t>Mahnen und Regieren</t>
  </si>
  <si>
    <t>Monika Suchan</t>
  </si>
  <si>
    <t>Erinnerung an Diktatur und Krieg</t>
  </si>
  <si>
    <t>Andreas Wirsching-JÃ¼rgen Zarusky-Viktor Ischtschenko-Alexander Tschubarjan</t>
  </si>
  <si>
    <t>Moskaus Spuren in Ostdeutschland 1945 bis 1949</t>
  </si>
  <si>
    <t>Detlev Brunner-Elke Scherstjanoi</t>
  </si>
  <si>
    <t>ZukÃ¼nfte</t>
  </si>
  <si>
    <t>Elke Seefried</t>
  </si>
  <si>
    <t>The Meaning of Space in Sign Language</t>
  </si>
  <si>
    <t>Gemma BarberÃ  Altimira</t>
  </si>
  <si>
    <t>The Purpose of the First World War</t>
  </si>
  <si>
    <t>Holger Afflerbach</t>
  </si>
  <si>
    <t>Globalization and Capitalist Geopolitics</t>
  </si>
  <si>
    <t>Daniel Woodley</t>
  </si>
  <si>
    <t>Digital Rhetoric</t>
  </si>
  <si>
    <t>Douglas Eyman</t>
  </si>
  <si>
    <t>A Tale of Two Capitalisms</t>
  </si>
  <si>
    <t>Supritha Rajan</t>
  </si>
  <si>
    <t>Landscape Biographies</t>
  </si>
  <si>
    <t>Rita Hermans-Jan Kolen-Hans Renes</t>
  </si>
  <si>
    <t>Krisen und Krisenbewusstsein in Deutschland und Frankreich in den 1960er Jahren</t>
  </si>
  <si>
    <t>Bernhard Gotto-Horst MÃ¶ller-Jean Mondot-Nicole Pelletier</t>
  </si>
  <si>
    <t>Die amerikanische Besetzung Deutschlands</t>
  </si>
  <si>
    <t>Klaus-Dietmar Henke</t>
  </si>
  <si>
    <t>The Cultural Life of Money</t>
  </si>
  <si>
    <t>Isabel Capeloa Gil-Helena GonÃ§alves da Silva</t>
  </si>
  <si>
    <t>Lâ€™historiographie tardo-antique et la transmission des savoirs</t>
  </si>
  <si>
    <t>Philippe Blaudeau-Peter Nuffelen</t>
  </si>
  <si>
    <t>Dialogue As a Trans-disciplinary Concept</t>
  </si>
  <si>
    <t>Paul Mendes-Flohr</t>
  </si>
  <si>
    <t>Die Strafbarkeit von Unternehmen und VerbÃ¤nden</t>
  </si>
  <si>
    <t>Deregulierung des Arbeitsrechts - Ansatzpunkte und verfassungsrechtliche Grenzen</t>
  </si>
  <si>
    <t>Peter Hanau</t>
  </si>
  <si>
    <t>Europa und die Welt</t>
  </si>
  <si>
    <t>Deutsche in Polen nach 1945</t>
  </si>
  <si>
    <t>Dieter Bingen</t>
  </si>
  <si>
    <t>Kriegsgefangenschaft</t>
  </si>
  <si>
    <t>Otto Engelbert-Wolfgang Benz-Angelika Schardt</t>
  </si>
  <si>
    <t>TÃ¶chter der Revolte?</t>
  </si>
  <si>
    <t>Elisabeth Zellmer</t>
  </si>
  <si>
    <t>Sowjetische Interessenpolitik in Deutschland 1944-1954</t>
  </si>
  <si>
    <t>Jan Foitzik</t>
  </si>
  <si>
    <t>Der Kriegseintritt Italiens im Mai 1915</t>
  </si>
  <si>
    <t>Johannes HÃ¼rter-Gian Enrico Rusconi</t>
  </si>
  <si>
    <t>Die CSU 1945â€“1948</t>
  </si>
  <si>
    <t>Alf Mintzel-Barbara Fait</t>
  </si>
  <si>
    <t>Mythen und Grundbegriffe des europÃ¤ischen SelbstverstÃ¤ndnisses</t>
  </si>
  <si>
    <t>Die Vertriebenenpolitik der SED 1949 bis 1990</t>
  </si>
  <si>
    <t>Heike Amos</t>
  </si>
  <si>
    <t>Die KSZE im Ost-West-Konflikt</t>
  </si>
  <si>
    <t>Matthias Peter-Hermann Wentker</t>
  </si>
  <si>
    <t>Hans Reichmann</t>
  </si>
  <si>
    <t>Michael Wildt</t>
  </si>
  <si>
    <t>An Imperialist Love Story</t>
  </si>
  <si>
    <t>Amira Jarmakani</t>
  </si>
  <si>
    <t>Pacific Strife</t>
  </si>
  <si>
    <t>Kees Dijk</t>
  </si>
  <si>
    <t>The Upper Guinea Coast in Global Perspective</t>
  </si>
  <si>
    <t>Jacqueline KnÃ¶rr-Christoph Kohl</t>
  </si>
  <si>
    <t>Bush Bound</t>
  </si>
  <si>
    <t>Paolo Gaibazzi</t>
  </si>
  <si>
    <t>Abbildung und Analyse von Fehlstellen in Betonbauteilen mittels Ultraschall unter BeruÌˆcksichtigung von MaterialinhomogenitaÌˆten</t>
  </si>
  <si>
    <t>Ballier, Gregor</t>
  </si>
  <si>
    <t>Fiesco's Conspiracy at Genoa</t>
  </si>
  <si>
    <t>Thomas Annan of Glasgow</t>
  </si>
  <si>
    <t xml:space="preserve"> Lionel Gossman</t>
  </si>
  <si>
    <t>Essays in Conveyancing and Property Law in Honour of Professor Robert Rennie</t>
  </si>
  <si>
    <t>LAW / Property</t>
  </si>
  <si>
    <t xml:space="preserve"> Frankie McCarthy-James Chalmers-Stephen Bogle</t>
  </si>
  <si>
    <t>Animals and Medicine</t>
  </si>
  <si>
    <t xml:space="preserve"> Jack Botting-Regina Botting</t>
  </si>
  <si>
    <t>The Scientific Revolution Revisited</t>
  </si>
  <si>
    <t xml:space="preserve"> MikulÃ¡Å¡ Teich</t>
  </si>
  <si>
    <t>Dictionary of the British English Spelling System</t>
  </si>
  <si>
    <t xml:space="preserve"> Greg Brooks</t>
  </si>
  <si>
    <t>From Dust to Digital</t>
  </si>
  <si>
    <t xml:space="preserve"> Maja Kominko</t>
  </si>
  <si>
    <t>Measuring the Master Race</t>
  </si>
  <si>
    <t xml:space="preserve"> Jon RÃ¸yne Kyllingstad</t>
  </si>
  <si>
    <t>Fast Facts: Acne</t>
  </si>
  <si>
    <t>Layton, Alison M.-Thiboutot, Diane-Bettoli, Vincenzo</t>
  </si>
  <si>
    <t>Das Hegemonieprojekt der Ã¶kologischen Modernisierung</t>
  </si>
  <si>
    <t>Timmo KrÃ¼ger</t>
  </si>
  <si>
    <t>Anerkennen als Erfahrungsprozess</t>
  </si>
  <si>
    <t>Sebastian Bandelin</t>
  </si>
  <si>
    <t>Europa, wie weiter?</t>
  </si>
  <si>
    <t>Winfried BrÃ¶mmel-Helmut KÃ¶nig-Manfred Sicking</t>
  </si>
  <si>
    <t>Fiasko â€“ Scheitern in der FrÃ¼hen Neuzeit</t>
  </si>
  <si>
    <t>Stefan Brakensiek-Claudia Claridge</t>
  </si>
  <si>
    <t>Poverty, Inequality and Growth in Developing Countries</t>
  </si>
  <si>
    <t>Atsushi Maki</t>
  </si>
  <si>
    <t>How the West Came to Rule</t>
  </si>
  <si>
    <t>Alexander Anievas-Kerem NiÅŸancÄ±oÄŸlu</t>
  </si>
  <si>
    <t>Enduring Uncertainty</t>
  </si>
  <si>
    <t>Ines Hasselberg</t>
  </si>
  <si>
    <t>Transactions with the World</t>
  </si>
  <si>
    <t>Adam Oâ€™Brien</t>
  </si>
  <si>
    <t>Gender Equality and Work-Life Balance</t>
  </si>
  <si>
    <t>Sarah Blithe</t>
  </si>
  <si>
    <t>Translating Feminism in China</t>
  </si>
  <si>
    <t>Zhongli Yu</t>
  </si>
  <si>
    <t>The Han</t>
  </si>
  <si>
    <t>Agnieszka Joniak-Luthi</t>
  </si>
  <si>
    <t>Literature of Consciousness</t>
  </si>
  <si>
    <t>Jakub Momro</t>
  </si>
  <si>
    <t>The Habsburg Monarchy's Many-Languaged Soul</t>
  </si>
  <si>
    <t>Michaela Wolf</t>
  </si>
  <si>
    <t>Gut - besser - exzellent?</t>
  </si>
  <si>
    <t>Gewerkschaft Erziehung und Wissenschaft (GEW)</t>
  </si>
  <si>
    <t>Alfred Flechtheim</t>
  </si>
  <si>
    <t>Andrea Bambi-Axel Drecoll</t>
  </si>
  <si>
    <t>Frieden durch Kommunikation</t>
  </si>
  <si>
    <t>Agnes Bresselau von Bressensdorf</t>
  </si>
  <si>
    <t>Soziale Elite und Christentum</t>
  </si>
  <si>
    <t>Alexander WeiÃŸ</t>
  </si>
  <si>
    <t>The Impossible Jew</t>
  </si>
  <si>
    <t>Benjamin Schreier</t>
  </si>
  <si>
    <t>The Sounds of Latinidad</t>
  </si>
  <si>
    <t>Samuel K. Byrd</t>
  </si>
  <si>
    <t>Nano Hybrids Vol. 7</t>
  </si>
  <si>
    <t>Amir Al-Ahmed</t>
  </si>
  <si>
    <t>Nano Hybrids Vol. 6</t>
  </si>
  <si>
    <t>Cities in South Asia</t>
  </si>
  <si>
    <t>Crispin Bates-Minoru Mio</t>
  </si>
  <si>
    <t>Pynchon and Philosophy</t>
  </si>
  <si>
    <t>Antioxidants in Health and Disease</t>
  </si>
  <si>
    <t>HEALTH &amp; FITNESS / Diseases &amp; Conditions / General</t>
  </si>
  <si>
    <t>Antonis Zampelas-Renata Micha</t>
  </si>
  <si>
    <t>Quo vadis, politischer Islam?</t>
  </si>
  <si>
    <t>Thorsten Hasche</t>
  </si>
  <si>
    <t>Global Player EU?</t>
  </si>
  <si>
    <t>Karin Bischof</t>
  </si>
  <si>
    <t>Vorausschauendes Denken</t>
  </si>
  <si>
    <t>Bruno Gransche</t>
  </si>
  <si>
    <t>Von der Vernunft zum Wert</t>
  </si>
  <si>
    <t>Martin Eichler</t>
  </si>
  <si>
    <t>Neue alte Rassismen?</t>
  </si>
  <si>
    <t>Gesine Drews-Sylla-Renata Makarska</t>
  </si>
  <si>
    <t>Libraries Driving Access to Knowledge</t>
  </si>
  <si>
    <t>JesÃºs Lau-Anna Maria Tammaro-Theo J. D. Bothma</t>
  </si>
  <si>
    <t>Asian Students in Germany</t>
  </si>
  <si>
    <t>Auslegungskonzept gegen Volumenversagen bei einsatzgehÃ¤rteten StirnrÃ¤dern</t>
  </si>
  <si>
    <t>Ralf Weber</t>
  </si>
  <si>
    <t>Behavior of UHPC Structural Members Subjected to Pure Torsion</t>
  </si>
  <si>
    <t>Mohammed Ismail</t>
  </si>
  <si>
    <t>KippstabilitÃ¤t von Stahlbeton- und SpannbetontrÃ¤gern</t>
  </si>
  <si>
    <t>Friedrich-Karl RÃ¶der</t>
  </si>
  <si>
    <t>Die Makrozoobenthosgemeinschaften hydromorphologisch unterschiedlicher TieflandbÃ¤che</t>
  </si>
  <si>
    <t>Jan BrÃ¼ckmann</t>
  </si>
  <si>
    <t>Autonomes Fahren</t>
  </si>
  <si>
    <t>Italians in Early Modern Poland</t>
  </si>
  <si>
    <t>Wojciech Tygielski</t>
  </si>
  <si>
    <t>Studien zur Â«buergerlichen LiteraturÂ» um die Wende vom 16. zum 17. Jahrhundert</t>
  </si>
  <si>
    <t>Witold Wojtowicz</t>
  </si>
  <si>
    <t>Ã–ffnung der Ã¶ffentlich-rechtlichen Methode durch InternationalitÃ¤t und InterdisziplinaritÃ¤t. Dritte Gewalt im Wandel. Gestaltung des demographischen Wandels als Verwaltungsaufgabe. Sicherung grund- und menschenrechtlicher Standards â€¦</t>
  </si>
  <si>
    <t>Andreas Arnauld-Hans Christian RÃ¶hl-Fabian Wittreck-et al.</t>
  </si>
  <si>
    <t>Politische Ã–konomie der Erneuerbare-Energien-Politik in Deutschland</t>
  </si>
  <si>
    <t>Tom MÃ¼ller</t>
  </si>
  <si>
    <t>Medizin in nationalsozialistischen Tageszeitungen</t>
  </si>
  <si>
    <t>Jens Lohmeier</t>
  </si>
  <si>
    <t>GÃ¤rten fÃ¼r Menschen mit Demenz</t>
  </si>
  <si>
    <t>Dagmar Hoffmann</t>
  </si>
  <si>
    <t>The Integration of Descendants of Migrants From Turkey in Stockholm</t>
  </si>
  <si>
    <t>Charles Westin</t>
  </si>
  <si>
    <t>Issue Mapping for an Ageing Europe</t>
  </si>
  <si>
    <t>Richard Rogers-Aleksandra Kil-Natalia SÃ¡nchez-QuerubÃ­n</t>
  </si>
  <si>
    <t>Emerging Memory</t>
  </si>
  <si>
    <t>Paul Bijl</t>
  </si>
  <si>
    <t>Tractates Ta'aniot, Megillah, Hagigah and Mo'ed Qatan (MaÅ¡qin)</t>
  </si>
  <si>
    <t>Inspice diligenter codices</t>
  </si>
  <si>
    <t>Rebekka S. Schirner</t>
  </si>
  <si>
    <t>Lucan und der Prinzipat</t>
  </si>
  <si>
    <t>Nadja Kimmerle</t>
  </si>
  <si>
    <t>We Are Not Amused</t>
  </si>
  <si>
    <t>Nancy Bell</t>
  </si>
  <si>
    <t>Enhancing Autonomy in Language Education</t>
  </si>
  <si>
    <t>Manuel JimÃ©nez Raya-FlÃ¡via Vieira</t>
  </si>
  <si>
    <t>The Boundaries of Europe</t>
  </si>
  <si>
    <t>Pietro Rossi</t>
  </si>
  <si>
    <t>Discourses of Purity in Transcultural Perspective (300â€“1600)</t>
  </si>
  <si>
    <t>Matthias Bley-Nikolas Jaspert-Stefan KÃ¶ck</t>
  </si>
  <si>
    <t>Before They Were Titans</t>
  </si>
  <si>
    <t>Elizabeth Cheresh Allen</t>
  </si>
  <si>
    <t>Adolescence, Discrimination, and the Law</t>
  </si>
  <si>
    <t>Roger J.R. Levesque</t>
  </si>
  <si>
    <t>Teilentladungsmessung als PruÌˆfverfahren in End of Line-PruÌˆfungen elektrischer Traktionsmotoren</t>
  </si>
  <si>
    <t>Berbic, Amir</t>
  </si>
  <si>
    <t>Optimierung von PV-Wechselrichtern im Netzparallelbetrieb mithilfe analytischer Verhaltens- und Verlustleistungsmodelle</t>
  </si>
  <si>
    <t>Pinne, Julia</t>
  </si>
  <si>
    <t>Planungskognitionen von Lehrern im Vorbereitungsdienst (LiV). Eine qualitative Untersuchung bei LiV der Wirtschafts- und BerufspÃ¤dagogik</t>
  </si>
  <si>
    <t>Pfannkuche, Jens</t>
  </si>
  <si>
    <t>Sprachwissenschaft im Fokus</t>
  </si>
  <si>
    <t>Ludwig Eichinger</t>
  </si>
  <si>
    <t>Anaphora Resolution and Text Retrieval</t>
  </si>
  <si>
    <t>Helene Schmolz</t>
  </si>
  <si>
    <t>Anfangsjahre der Berlin-Krise (Herbst 1958 bis Herbst 1960)</t>
  </si>
  <si>
    <t>Die Bundesrepublik im KSZE-Prozess 1975-1983</t>
  </si>
  <si>
    <t>Matthias Peter</t>
  </si>
  <si>
    <t>Geistliches ErzÃ¤hlen</t>
  </si>
  <si>
    <t>Nicole Eichenberger</t>
  </si>
  <si>
    <t>Antike Mythologie in christlichen Kontexten der SpÃ¤tantike</t>
  </si>
  <si>
    <t>Hartmut Leppin</t>
  </si>
  <si>
    <t>Metapher und Metonymie</t>
  </si>
  <si>
    <t>Constanze SpieÃŸ-Klaus-Michael KÃ¶pcke</t>
  </si>
  <si>
    <t>The Craft of Poetry</t>
  </si>
  <si>
    <t>Derek Attridge-Henry Staten</t>
  </si>
  <si>
    <t>Stress in Post-War Britain, 1945â€“85</t>
  </si>
  <si>
    <t>Mark Jackson</t>
  </si>
  <si>
    <t>Qualifikation und Beruf in Deutschlands Regionen bis 2030</t>
  </si>
  <si>
    <t>Tobias Maier-Gerd Zika</t>
  </si>
  <si>
    <t>Defending Women's Rights in Europe</t>
  </si>
  <si>
    <t>Olga A. Avdeyeva</t>
  </si>
  <si>
    <t>Tactics of the Human</t>
  </si>
  <si>
    <t>Laura Shackelford</t>
  </si>
  <si>
    <t>Imagining the Global</t>
  </si>
  <si>
    <t>Fabienne Darling-Wolf</t>
  </si>
  <si>
    <t>Internationalizing "International Communication"</t>
  </si>
  <si>
    <t>Chin-Chuan Lee</t>
  </si>
  <si>
    <t>CorazÃ³n De Dixie</t>
  </si>
  <si>
    <t>Julie M. Weise</t>
  </si>
  <si>
    <t>Girlhood and the Politics of Place</t>
  </si>
  <si>
    <t>Claudia Mitchell-Carrie Rentschler</t>
  </si>
  <si>
    <t>Â«A World ApartÂ» by Gustaw Herling</t>
  </si>
  <si>
    <t>Wlodzimierz Bolecki</t>
  </si>
  <si>
    <t>Einfluss der Projektmanagementreife auf den Projekterfolg</t>
  </si>
  <si>
    <t>Albrecht, Jan Christoph</t>
  </si>
  <si>
    <t>Entwicklung von InnovationsfaÌˆhigkeit in Unternehmen</t>
  </si>
  <si>
    <t>Kugler, Florian</t>
  </si>
  <si>
    <t>Analysis and Comparison of Power Electronic Converters with Electronic Isolation</t>
  </si>
  <si>
    <t>Kazanbas, Mehmet Cemil</t>
  </si>
  <si>
    <t>Children's Voices</t>
  </si>
  <si>
    <t>Freudenberger-LoÌˆtz, Petra-BuÌˆttner, Gerhard</t>
  </si>
  <si>
    <t>WeiÃŸt du wohin wir gehen ... ?</t>
  </si>
  <si>
    <t>Kiener, Robin Alexander</t>
  </si>
  <si>
    <t>Market Orientation, Rural Out-migration, Crop Production and Household Food Security</t>
  </si>
  <si>
    <t>Ochieng, Justus</t>
  </si>
  <si>
    <t>Death in the Shape of a Young Girl</t>
  </si>
  <si>
    <t>Patricia Melzer</t>
  </si>
  <si>
    <t>Humour and Laughter in History</t>
  </si>
  <si>
    <t>Elisabeth CheaurÃ©-Regine Nohejl</t>
  </si>
  <si>
    <t>Freiheit und Wirtschaft</t>
  </si>
  <si>
    <t>Sven Ellmers</t>
  </si>
  <si>
    <t>Community-Based Urban Violence Prevention</t>
  </si>
  <si>
    <t>Kosta MathÃ©y-Silvia Matuk</t>
  </si>
  <si>
    <t>Das Weltsozialforum</t>
  </si>
  <si>
    <t>Christian SchrÃ¶der</t>
  </si>
  <si>
    <t>Gemeinwohl und Seelenheil</t>
  </si>
  <si>
    <t>Ahmet Cavuldak</t>
  </si>
  <si>
    <t>Das utopische Europa</t>
  </si>
  <si>
    <t>Occupy in Deutschland</t>
  </si>
  <si>
    <t>Lars Geiges</t>
  </si>
  <si>
    <t>(Re-)Framing the Arab/Muslim</t>
  </si>
  <si>
    <t>Silke Schmidt</t>
  </si>
  <si>
    <t>Zeit, Dauer und VerÃ¤nderung</t>
  </si>
  <si>
    <t>Franz Bockrath</t>
  </si>
  <si>
    <t>Sprachgemeinschaft im Streit</t>
  </si>
  <si>
    <t>Tilman Reitz</t>
  </si>
  <si>
    <t>Die Kunst des MÃ¶glichen III</t>
  </si>
  <si>
    <t>Was vom Krieg Ã¼brig bleibt</t>
  </si>
  <si>
    <t>Anne Menzel</t>
  </si>
  <si>
    <t>FranÃ§ois Hemsterhuis, Å’uvres philosophiques</t>
  </si>
  <si>
    <t>Jacob van Sluis</t>
  </si>
  <si>
    <t>ShinkokinshÅ« (2 Vols)</t>
  </si>
  <si>
    <t>Laurel Rasplica Rodd</t>
  </si>
  <si>
    <t>Adult Language Education and Migration</t>
  </si>
  <si>
    <t>James Simpson-Anne Whiteside</t>
  </si>
  <si>
    <t>Arbeit im Nationalsozialismus</t>
  </si>
  <si>
    <t>Marc Buggeln-Michael Wildt</t>
  </si>
  <si>
    <t>Playful Identities</t>
  </si>
  <si>
    <t>Michiel Lange-Joost Raessens-Jos Mul-Sybille Lammes-Valerie Frissen</t>
  </si>
  <si>
    <t>Akten zur AuswÃ¤rtigen Politik der Bundesrepublik Deutschland 1964</t>
  </si>
  <si>
    <t>Wolfgang HÃ¶lscher-Daniel Kosthorst</t>
  </si>
  <si>
    <t>The Arab Revolution of 2011</t>
  </si>
  <si>
    <t>SaÃ¯d Amir Arjomand</t>
  </si>
  <si>
    <t>E-Portfolios fÃ¼r das lebenslange Lernen</t>
  </si>
  <si>
    <t>Matthias Rohs-Uwe Elsholz</t>
  </si>
  <si>
    <t>Lernen im Web 2.0</t>
  </si>
  <si>
    <t>Ulrich H. Hoppe-Tina Ganster-Nils Malzahn-Nicole StrÃ¤fling-Nicole C. KrÃ¤mer</t>
  </si>
  <si>
    <t>Naturwissenschaft in der Allgemeinen Weiterbildung</t>
  </si>
  <si>
    <t>Harald Bierbaum-Peter Euler-Bernhard S. T. Wolf</t>
  </si>
  <si>
    <t>Baustelle Hochschule</t>
  </si>
  <si>
    <t>Andreas Keller-Doreen PÃ¶schl-Anna SchÃ¼tz</t>
  </si>
  <si>
    <t>ZugÃ¤nge zu Inklusion</t>
  </si>
  <si>
    <t>Martin Kronauer-Monika Kil-Reinhard Burtscher-Eduard Jan Ditschek-Karl-Ernst Ackermann</t>
  </si>
  <si>
    <t>Weiterbildungsbeteiligung 2010</t>
  </si>
  <si>
    <t>Bernhard von Rosenbladt-Frauke Bilger</t>
  </si>
  <si>
    <t>Ã–konomische Grundbildung fÃ¼r Erwachsene</t>
  </si>
  <si>
    <t>Birgit Weber-Petra Maier-Iris van Eik</t>
  </si>
  <si>
    <t>Erfolgreich studieren unter Bologna-Bedingungen?</t>
  </si>
  <si>
    <t>Margret BÃ¼low-Schramm</t>
  </si>
  <si>
    <t>Professionalisierungsstrategien der Erwachsenenbildung in Europa</t>
  </si>
  <si>
    <t>Susanne Lattke-Irena Sgier</t>
  </si>
  <si>
    <t>Lehrerbildung in Gewerblich-Technischen Fachrichtungen</t>
  </si>
  <si>
    <t>Matthias Becker-Georg SpÃ¶ttl-Thomas Vollmer</t>
  </si>
  <si>
    <t>Erwachsenenbildung im Kontext</t>
  </si>
  <si>
    <t>Olaf DÃ¶rner-Burkhard SchÃ¤ffer-Michael Schemmann</t>
  </si>
  <si>
    <t>Lokale Infrastruktur fÃ¼r alle Generationen</t>
  </si>
  <si>
    <t>Melanie Staats-Christopher Gess-Christoph Emminghaus</t>
  </si>
  <si>
    <t>WisÅ‚awa Szymborskaâ€™s Poetry</t>
  </si>
  <si>
    <t>Anna Nasilowska</t>
  </si>
  <si>
    <t>Moderne Beruflichkeit</t>
  </si>
  <si>
    <t>Martin Frenz-Tim Unger-Christopher M. Schlick</t>
  </si>
  <si>
    <t>Bildungsforschung fÃ¼r Praktiker in der Erwachsenenbildung</t>
  </si>
  <si>
    <t>Claus Kapelke-Barbara Ulreich</t>
  </si>
  <si>
    <t>ErwachsenenpÃ¤dagogische Kompetenzen stÃ¤rken</t>
  </si>
  <si>
    <t>Gisela Wiesner-Elke Gruber</t>
  </si>
  <si>
    <t>Ein Grund fÃ¼r Bildung?!</t>
  </si>
  <si>
    <t>Karsten Schneider-Annegret Ernst-Johanna Schneider</t>
  </si>
  <si>
    <t>Zukunftsfeld Bildungs- und Berufsberatung</t>
  </si>
  <si>
    <t>Erika Kanelutti-Marika Hammerer-Ingeborg Melter</t>
  </si>
  <si>
    <t>Berufsbildung im europÃ¤ischen Verbund</t>
  </si>
  <si>
    <t>Wolfgang HÃ¼bel-Prof. Dr. Peter Storz</t>
  </si>
  <si>
    <t>Neue Bildungswege in die Hochschule</t>
  </si>
  <si>
    <t>Walburga Freitag</t>
  </si>
  <si>
    <t>InterdisziplinaritÃ¤t als Chance</t>
  </si>
  <si>
    <t>Joachim Ludwig</t>
  </si>
  <si>
    <t>Diesseits vom Abseits</t>
  </si>
  <si>
    <t>GÃ¼nter Ratschinski-Peter StraÃŸer-Arnulf Bojanowski</t>
  </si>
  <si>
    <t>FrÃ¼herkennung des Qualifikationsbedarfs in der Berufsbildung</t>
  </si>
  <si>
    <t>Lars Windelband</t>
  </si>
  <si>
    <t>Traumjob Wissenschaft?</t>
  </si>
  <si>
    <t>Klemens Himpele-Alexandra Ortmann-Andreas Keller</t>
  </si>
  <si>
    <t>Endstation Bologna?</t>
  </si>
  <si>
    <t>Sonja Staack-Andreas Keller-Klemens Himpele</t>
  </si>
  <si>
    <t>Innovation durch Partizipation</t>
  </si>
  <si>
    <t>Sonja Staack-Andreas Keller</t>
  </si>
  <si>
    <t>Lernberatung und Diagnostik</t>
  </si>
  <si>
    <t>Lernen und Lernberatung</t>
  </si>
  <si>
    <t>Reflexionen zur Selbstbildung</t>
  </si>
  <si>
    <t>Ingeborg SchÃ¼ÃŸler-Wiltrud Gieseke-Ekkehard Nuissl</t>
  </si>
  <si>
    <t>Netzwerke und Organisationsentwicklung in der Weiterbildung</t>
  </si>
  <si>
    <t>Timm Feld</t>
  </si>
  <si>
    <t>Theorie und Praxis der Kompetenzfeststellung im Betrieb - Status quo und Entwicklungsbedarf</t>
  </si>
  <si>
    <t>Eckart Severing-Dieter MÃ¼nk</t>
  </si>
  <si>
    <t>Nation, Ethnicity and Race on Russian Television</t>
  </si>
  <si>
    <t>Stephen Hutchings-Vera Tolz</t>
  </si>
  <si>
    <t>Hate Speech Law</t>
  </si>
  <si>
    <t>Alex Brown</t>
  </si>
  <si>
    <t>Elements of Structural Syntax</t>
  </si>
  <si>
    <t>Lucien TesniÃ¨re</t>
  </si>
  <si>
    <t>Pioneers of Zionism: Hess, Pinsker, RÃ¼lf</t>
  </si>
  <si>
    <t>Julius H. Schoeps</t>
  </si>
  <si>
    <t>The Archaeology of Political Spaces</t>
  </si>
  <si>
    <t>Dominik Bonatz</t>
  </si>
  <si>
    <t>A Galileo Forgery</t>
  </si>
  <si>
    <t>Horst Bredekamp-Irene BrÃ¼ckle-Paul Needham</t>
  </si>
  <si>
    <t>On Ancient Grammars of Space</t>
  </si>
  <si>
    <t>Silvia Kutscher-Daniel A. Werning</t>
  </si>
  <si>
    <t>Handbuch Bibliothek 2.0</t>
  </si>
  <si>
    <t>Julia Bergmann-Patrick Danowski</t>
  </si>
  <si>
    <t>Orienting Hollywood</t>
  </si>
  <si>
    <t>Nitin Govil</t>
  </si>
  <si>
    <t>Trace Elements in Abiotic and Biotic Environments</t>
  </si>
  <si>
    <t>Alina Kabata-Pendias-Barbara Szteke</t>
  </si>
  <si>
    <t>Resistance, Repression, and Gender Politics in Occupied Palestine and Jordan</t>
  </si>
  <si>
    <t>Syracuse University Press (Lightning Source)</t>
  </si>
  <si>
    <t>Frances S. Hasso</t>
  </si>
  <si>
    <t>The Practice of Philology in the Nineteenth-Century Netherlands</t>
  </si>
  <si>
    <t>Ton Kalmthout-Huib Zuidervaart</t>
  </si>
  <si>
    <t>Surveillance Cinema</t>
  </si>
  <si>
    <t>Catherine Zimmer</t>
  </si>
  <si>
    <t>Information Politics</t>
  </si>
  <si>
    <t>Tim Jordan</t>
  </si>
  <si>
    <t>Work, Sex and Power</t>
  </si>
  <si>
    <t>Willie Thompson</t>
  </si>
  <si>
    <t>Discourse and Digital Practices</t>
  </si>
  <si>
    <t>Rodney H Jones-Alice Chik-Christoph A Hafner</t>
  </si>
  <si>
    <t>Akten zur AuswÃ¤rtigen Politik der Bundesrepublik Deutschland 1984</t>
  </si>
  <si>
    <t>Daniela Taschler-Tim Szatkowski</t>
  </si>
  <si>
    <t>Diplomatie mit GefÃ¼hl</t>
  </si>
  <si>
    <t>Reinhild Kreis</t>
  </si>
  <si>
    <t>Von der DÃ¤monologie zum Unbewussten</t>
  </si>
  <si>
    <t>Maren Sziede-Helmut Zander</t>
  </si>
  <si>
    <t>Der Briefwechsel Richard Dedekind â€“ Heinrich Weber</t>
  </si>
  <si>
    <t>Katrin Scheel-Thomas Sonar</t>
  </si>
  <si>
    <t>Das Kulturerbe deutschsprachiger Juden</t>
  </si>
  <si>
    <t>Elke-Vera Kotowski</t>
  </si>
  <si>
    <t>Local Cattle Breeds in Europe</t>
  </si>
  <si>
    <t>Sipke Joost Hiemstra-Yvette de Haas-Asko MÃ¤ki-Tanila-Gustavo Gandini</t>
  </si>
  <si>
    <t>Unlocking Markets to Smallholders</t>
  </si>
  <si>
    <t>Herman D. van Schalkwyk-Jan A. Groenewald-Gavin C.G. Fraser-Ajuruchukwu Obi-Aad van Tilburg</t>
  </si>
  <si>
    <t>Geochemische bodematlas van Nederland</t>
  </si>
  <si>
    <t>Gerben Mol-Job Spijker-Pauline van Gaans-Paul RÃ¶mkens</t>
  </si>
  <si>
    <t>Proceedings of the 48th Congress of the International Society for Applied Ethology</t>
  </si>
  <si>
    <t>Inma Estevez-Xavier Manteca-Raul H. Marin-Xavier AverÃ³s</t>
  </si>
  <si>
    <t>After BSE - A Future for the European Livestock Sector</t>
  </si>
  <si>
    <t>E.P. Cunningham</t>
  </si>
  <si>
    <t>Social Learning Towards a Sustainable World</t>
  </si>
  <si>
    <t>Arjen E.J. Wals</t>
  </si>
  <si>
    <t>Emerging Pests and Vector-borne Diseases in Europe</t>
  </si>
  <si>
    <t>Willem Takken-Bart G.J. Knols</t>
  </si>
  <si>
    <t>Sugarcane Ethanol</t>
  </si>
  <si>
    <t>Peter Zuurbier-Jos van de Vooren</t>
  </si>
  <si>
    <t>Olfaction in Vector-host Interactions</t>
  </si>
  <si>
    <t>Private Food Law</t>
  </si>
  <si>
    <t>Bernd van der Meulen</t>
  </si>
  <si>
    <t>Agriculture, Peasantry and Poverty in Turkey in the Neo-liberal Age</t>
  </si>
  <si>
    <t>Murat Ã–ztÃ¼rk</t>
  </si>
  <si>
    <t>Sacred Science?</t>
  </si>
  <si>
    <t>Simen Andersen Ã˜yen-Nora S. Vaage-Tone Lund-Olsen</t>
  </si>
  <si>
    <t>Blamestorming, Blamemongers and Scapegoats</t>
  </si>
  <si>
    <t>Gavin Dingwall-Tim Hillier</t>
  </si>
  <si>
    <t>Spiritus Loci</t>
  </si>
  <si>
    <t>Bert Daelemans, S.J.</t>
  </si>
  <si>
    <t>GewaÌˆsseroÌˆkologische Charakterisierung silikatischer MittelgebirgsbaÌˆche im Kellerwald als Beitrag zur FlieÃŸgewaÌˆsserbewertung</t>
  </si>
  <si>
    <t>Stein, Ulf.</t>
  </si>
  <si>
    <t>Lokale WohnungsmaÌˆrkte im Wandel. Demografische Perspektiven und wohnungspolitische Optionen jenseits der GroÃŸstadt</t>
  </si>
  <si>
    <t>Pristl, Thomas.</t>
  </si>
  <si>
    <t>Corporate Social Responsibility in Supply Chains</t>
  </si>
  <si>
    <t>Yawar, Sadaat Ali</t>
  </si>
  <si>
    <t>Rollenspiele im welttheater des Andreas Gryphius am Beispiel des Leo Armenius / Oder FuÌˆrsten-Mord</t>
  </si>
  <si>
    <t>Peters, Jeanny</t>
  </si>
  <si>
    <t>Analyse des Zusammenhangs zwischen der QualitaÌˆt OÌˆffentlicher Deckungsmassen und der Rendite von OÌˆffentlichen Pfandbriefen in Deutschland</t>
  </si>
  <si>
    <t>Doll, Georg F.</t>
  </si>
  <si>
    <t>Betriebswirtschaftliche strategien fuÌˆr die Abfallwirtschaft und Stadtreinigung 2014</t>
  </si>
  <si>
    <t>Obladen, Hans-Peter-Meetz, Michael</t>
  </si>
  <si>
    <t>The Scholar and the State</t>
  </si>
  <si>
    <t>Liangyan Ge</t>
  </si>
  <si>
    <t>Sustaining New Orleans</t>
  </si>
  <si>
    <t>Barbara Eckstein</t>
  </si>
  <si>
    <t>Verborgen, unsichtbar, unlesbar â€“ zur Problematik restringierter SchriftprÃ¤senz</t>
  </si>
  <si>
    <t>Geschichte lernen im digitalen Wandel</t>
  </si>
  <si>
    <t>Marko Demantowsky-Christoph Pallaske</t>
  </si>
  <si>
    <t>Data Privacy for the Smart Grid</t>
  </si>
  <si>
    <t>Rebecca Herold-Christine Hertzog</t>
  </si>
  <si>
    <t>Music in Literature</t>
  </si>
  <si>
    <t>Andrzej Hejmej</t>
  </si>
  <si>
    <t>Sowjetische Kommandanturen und deutsche Verwaltung in der SBZ und frÃ¼hen DDR</t>
  </si>
  <si>
    <t>Active Ageing and Solidarity Between Generations in Europe</t>
  </si>
  <si>
    <t>Axel BÃ¶rsch-Supan-Martina Brandt-Howard Litwin-Guglielmo Weber</t>
  </si>
  <si>
    <t>Population Dynamics in Prehistory and Early History</t>
  </si>
  <si>
    <t>Elke Kaiser-Joachim Burger-Wolfram Schier</t>
  </si>
  <si>
    <t>MilitÃ¤rsiedlungen und Territorialherrschaft in der Antike</t>
  </si>
  <si>
    <t>Frank Daubner</t>
  </si>
  <si>
    <t>The Politics of Green Transformations</t>
  </si>
  <si>
    <t>Ian Scoones-Melissa Leach-Peter Newell</t>
  </si>
  <si>
    <t>Democracy and Power</t>
  </si>
  <si>
    <t xml:space="preserve"> Noam Chomsky</t>
  </si>
  <si>
    <t>Stories From Quechan Oral Literature</t>
  </si>
  <si>
    <t xml:space="preserve"> A.M. Halpern-Amy Miller</t>
  </si>
  <si>
    <t>God's Babies</t>
  </si>
  <si>
    <t xml:space="preserve"> John McKeown</t>
  </si>
  <si>
    <t>Cultural Heritage Ethics</t>
  </si>
  <si>
    <t xml:space="preserve"> Sandis Constantine</t>
  </si>
  <si>
    <t>Der Europadiskurs im deutschen Exil 1933-1945</t>
  </si>
  <si>
    <t>Boris Schilmar</t>
  </si>
  <si>
    <t>Die Erfindung des modernen Militarismus</t>
  </si>
  <si>
    <t>Wolfgang Kruse</t>
  </si>
  <si>
    <t>Burgund und das Reich</t>
  </si>
  <si>
    <t>Petra Ehm</t>
  </si>
  <si>
    <t>Der Munizipalsozialismus in Europa /Le socialisme municipal en Europe</t>
  </si>
  <si>
    <t>Uwe KÃ¼hl</t>
  </si>
  <si>
    <t>Die LeistungsfÃ¤higkeit der Wissenschaft des Ã–ffentlichen Rechts</t>
  </si>
  <si>
    <t>Christian Hillgruber-Uwe Volkmann-Georg Nolte-Ralf Poscher-et al.</t>
  </si>
  <si>
    <t>Tractates Ma'aser Seni, Hallah, 'Orlah, and Bikkurim</t>
  </si>
  <si>
    <t>Tractates Kilaim and Seviit</t>
  </si>
  <si>
    <t>Tractates Terumot and Ma'serot</t>
  </si>
  <si>
    <t>The Book of Job</t>
  </si>
  <si>
    <t>Leora Batnitzky-Ilana Pardes</t>
  </si>
  <si>
    <t>On Relativization and Clefting</t>
  </si>
  <si>
    <t>Chiara Branchini</t>
  </si>
  <si>
    <t>Genuss als Politikum</t>
  </si>
  <si>
    <t>Monika Sigmund</t>
  </si>
  <si>
    <t>TerrorismusbekÃ¤mpfung in Westeuropa</t>
  </si>
  <si>
    <t>Johannes HÃ¼rter</t>
  </si>
  <si>
    <t>Das AuswÃ¤rtige Amt in der NS-Diktatur</t>
  </si>
  <si>
    <t>Johannes HÃ¼rter-Michael Mayer</t>
  </si>
  <si>
    <t>Das rÃ¶mische Spielewesen in der SpÃ¤tantike</t>
  </si>
  <si>
    <t>Alexander Puk</t>
  </si>
  <si>
    <t>Ã–l und SouverÃ¤nitÃ¤t</t>
  </si>
  <si>
    <t>RÃ¼diger Graf</t>
  </si>
  <si>
    <t>Mathematical Aspects of Logic Programming Semantics</t>
  </si>
  <si>
    <t>Pascal Hitzler-Anthony Seda</t>
  </si>
  <si>
    <t>Permeable Reactive Barrier</t>
  </si>
  <si>
    <t>Ravi Naidu-Volker Birke</t>
  </si>
  <si>
    <t>Mobile Ad Hoc Networks</t>
  </si>
  <si>
    <t>Jonathan Loo-Jaime Lloret Mauri-JesÃºs Hamilton Ortiz</t>
  </si>
  <si>
    <t>Sitting in Darkness</t>
  </si>
  <si>
    <t>Hsuan L. Hsu</t>
  </si>
  <si>
    <t>Fashioning Fat</t>
  </si>
  <si>
    <t>Amanda M. Czerniawski</t>
  </si>
  <si>
    <t>Democratizing Inequalities</t>
  </si>
  <si>
    <t>Caroline W. Lee-Michael McQuarrie-Edward T. Walker</t>
  </si>
  <si>
    <t>Poetry and Psychiatry</t>
  </si>
  <si>
    <t>The Codification of Jewish Law and an Introduction to the Jurisprudence of the Mishna Berura</t>
  </si>
  <si>
    <t>Michael J. Broyde-Ira Bedzow</t>
  </si>
  <si>
    <t>Law, Liberty, and the Pursuit of Terrorism</t>
  </si>
  <si>
    <t>Roger Douglas</t>
  </si>
  <si>
    <t>The Media Welfare State</t>
  </si>
  <si>
    <t>Ole J. MjÃ¸s-Hallvard Moe-Trine Syvertsen-Gunn Sara Enli</t>
  </si>
  <si>
    <t>Murder Most Queer</t>
  </si>
  <si>
    <t>Jordan Schildcrout</t>
  </si>
  <si>
    <t>That Wonderful Composite Called Author</t>
  </si>
  <si>
    <t>Christian Schwermann-Raji C. Steineck</t>
  </si>
  <si>
    <t>Comorbidity of Mental and Physical Disorders</t>
  </si>
  <si>
    <t>N., Sartorius-R.I.G., Holt-M., Maj</t>
  </si>
  <si>
    <t>Architecture in Perspective VI</t>
  </si>
  <si>
    <t>Martina PeÅ™inkovÃ¡-Martin NedvÄ›d</t>
  </si>
  <si>
    <t>Consumption and Violence</t>
  </si>
  <si>
    <t>Alexander Sedlmaier</t>
  </si>
  <si>
    <t>Dieter Breuer</t>
  </si>
  <si>
    <t>Memory As Burden and Liberation</t>
  </si>
  <si>
    <t>Anna Wolff-Poweska</t>
  </si>
  <si>
    <t>Sienkiewiczâ€™s Bodies</t>
  </si>
  <si>
    <t>Ryszard Koziolek</t>
  </si>
  <si>
    <t>Warlikowski: Extra Ecclesiam</t>
  </si>
  <si>
    <t>Grzegorz Niziolek</t>
  </si>
  <si>
    <t>Der deutsche Â»Dialog mit der islamischen WeltÂ«</t>
  </si>
  <si>
    <t>Marcel Ernst</t>
  </si>
  <si>
    <t>Securitization of Islam: A Vicious Circle</t>
  </si>
  <si>
    <t>Kathrin Lenz-Raymann</t>
  </si>
  <si>
    <t>Â»Hauptsache ein Job spÃ¤terÂ«</t>
  </si>
  <si>
    <t>Carolin Dempki</t>
  </si>
  <si>
    <t>Memory Boxes</t>
  </si>
  <si>
    <t>Heta Aali-Anna-Leena PerÃ¤mÃ¤ki-Cathleen Sarti</t>
  </si>
  <si>
    <t>Mitte in Deutschland</t>
  </si>
  <si>
    <t>Stine Marg</t>
  </si>
  <si>
    <t>Teilnahme an Weiterbildung in der Migrationsgesellschaft</t>
  </si>
  <si>
    <t>Alisha M.B. Heinemann</t>
  </si>
  <si>
    <t>Die Praxis der KreativitÃ¤t</t>
  </si>
  <si>
    <t>Hannes KrÃ¤mer</t>
  </si>
  <si>
    <t>RÃ¤ume und IdentitÃ¤ten in Grenzregionen</t>
  </si>
  <si>
    <t>Die Sicherheit der Menschenrechte</t>
  </si>
  <si>
    <t>BÃ¤rbel Heide Uhl</t>
  </si>
  <si>
    <t>Herausforderungen fÃ¼r die Politik und die Ethik</t>
  </si>
  <si>
    <t>Zentrum fÃ¼r Ethik und Nachhaltigkeit (ZEN-FHS)</t>
  </si>
  <si>
    <t>Das Recht des Politischen</t>
  </si>
  <si>
    <t>Daniel Bogner</t>
  </si>
  <si>
    <t>Leistung</t>
  </si>
  <si>
    <t>Lars Disselhorst</t>
  </si>
  <si>
    <t>Immanente Kritik heute</t>
  </si>
  <si>
    <t>JosÃ© M. Romero</t>
  </si>
  <si>
    <t>Nach der Migration</t>
  </si>
  <si>
    <t>Erol Yildiz-Marc Hill</t>
  </si>
  <si>
    <t>20 Jahre Asylkompromiss</t>
  </si>
  <si>
    <t>To Be Unfree</t>
  </si>
  <si>
    <t>Christian Dahl-Tue Andersen NexÃ¸</t>
  </si>
  <si>
    <t>TransnationalitÃ¤t und Ã–ffentlichkeit</t>
  </si>
  <si>
    <t>Caroline Schmitt-Asta Vonderau</t>
  </si>
  <si>
    <t>The Myths That Made America</t>
  </si>
  <si>
    <t>Heike Paul</t>
  </si>
  <si>
    <t>Geotherapy</t>
  </si>
  <si>
    <t>Thomas J. Goreau-Ronal W. Larson-Joanna Campe</t>
  </si>
  <si>
    <t>Austrian Economics Re-examined</t>
  </si>
  <si>
    <t>Gerald P O'Driscoll Jr-Mario Rizzo</t>
  </si>
  <si>
    <t>National Museums and Nation-building in Europe 1750-2010</t>
  </si>
  <si>
    <t>Peter Aronsson-Gabriella Elgenius</t>
  </si>
  <si>
    <t>The Work of Authorship</t>
  </si>
  <si>
    <t>Mireille Eechoud</t>
  </si>
  <si>
    <t>New Publication Cultures in the Humanities</t>
  </si>
  <si>
    <t>PÃ©ter DÃ¡vidhÃ¡zi</t>
  </si>
  <si>
    <t>Educational Reception in Rotterdam and Barcelona</t>
  </si>
  <si>
    <t>Maria Bruquetas Callejo</t>
  </si>
  <si>
    <t>Ich spreche im kopf mit Gott</t>
  </si>
  <si>
    <t>Ritz, Bettina</t>
  </si>
  <si>
    <t>DEUTSCH-RUSSISCHER VERBUND BIOTECHNOLOGIE 2005-2014</t>
  </si>
  <si>
    <t>Ost-West-Wissenschaftszentrum, UniversitaÌˆt Kassel (ed.).</t>
  </si>
  <si>
    <t>Einfluss persoÌˆnlichkeitsbezogener und kultureller konstrukte auf verhandlungen</t>
  </si>
  <si>
    <t>Zulauf, Katrin-Kocer, Ilknur</t>
  </si>
  <si>
    <t>WeiÃŸt du wieviel Sternlein stehen? Eine Kosmologie (nicht nur) fÃ¼r Religionslehrer/innen</t>
  </si>
  <si>
    <t>Dieterich, Veit J.-BÃ¼ttner, Gerhard</t>
  </si>
  <si>
    <t>The Paradox of Openness</t>
  </si>
  <si>
    <t>Norbert GÃ¶tz-Carl Marklund</t>
  </si>
  <si>
    <t>Precarious Lives</t>
  </si>
  <si>
    <t>Hannah Lewis-Peter Dwyer-Stuart Hodkinson-Louise Waite</t>
  </si>
  <si>
    <t>Community Criminology</t>
  </si>
  <si>
    <t>Ralph B. Taylor</t>
  </si>
  <si>
    <t>Stalin und die Deutschen</t>
  </si>
  <si>
    <t>JÃ¼rgen Zarusky</t>
  </si>
  <si>
    <t>The Fin-de-SiÃ¨cle World</t>
  </si>
  <si>
    <t>Michael Saler</t>
  </si>
  <si>
    <t>Dancing Tango</t>
  </si>
  <si>
    <t>Kathy Davis</t>
  </si>
  <si>
    <t>Pro Git</t>
  </si>
  <si>
    <t>Scott Chacon-Ben Straub</t>
  </si>
  <si>
    <t>Network-on-Chip</t>
  </si>
  <si>
    <t>Santanu Kundu-Santanu Chattopadhyay</t>
  </si>
  <si>
    <t>Die Stiftung von Autorschaft in der neulateinischen Literatur (ca. 1350-ca. 1650)</t>
  </si>
  <si>
    <t>Karl A. E. Enenkel</t>
  </si>
  <si>
    <t>Human Rights and Law Enforcement at Sea</t>
  </si>
  <si>
    <t>Anna Petrig</t>
  </si>
  <si>
    <t>Lone Star Muslims</t>
  </si>
  <si>
    <t>Ahmed Afzal</t>
  </si>
  <si>
    <t>Aging and Health - A Systems Biology Perspective</t>
  </si>
  <si>
    <t>A.I., Yashin-S.M., Jazwinski</t>
  </si>
  <si>
    <t>Landschaft und Verkehr</t>
  </si>
  <si>
    <t>Bellin-Harder, Florian-Holzapfel, Helmut-KoÌˆrner, Stefan</t>
  </si>
  <si>
    <t>Rastertunnelmikroskopie und-spektroskopie an Ruthenaten und der violetten Lithium-MolybdÃ¤n-Bronze</t>
  </si>
  <si>
    <t>Klinke, Melanie</t>
  </si>
  <si>
    <t>Tomforde, Sven-Sick, Bernhard</t>
  </si>
  <si>
    <t>Michaelis Pselli Chronographia</t>
  </si>
  <si>
    <t>Diether Roderich Reinsch</t>
  </si>
  <si>
    <t>Plato in the Third Sophistic</t>
  </si>
  <si>
    <t>Ryan C. Fowler</t>
  </si>
  <si>
    <t>Lament in Jewish Thought</t>
  </si>
  <si>
    <t>Ilit Ferber-Paula Schwebel</t>
  </si>
  <si>
    <t>Erosion von Verfassungsvoraussetzungen</t>
  </si>
  <si>
    <t>Ute Sacksofsky-Christoph MÃ¶llers-Ulrike Davy-Peter Axer-et al.</t>
  </si>
  <si>
    <t>Planar Dynamical Systems</t>
  </si>
  <si>
    <t>Yirong Liu-Jibin Li-Wentao Huang</t>
  </si>
  <si>
    <t>Alltag im Holocaust</t>
  </si>
  <si>
    <t>Andrea LÃ¶w-Doris L. Bergen-Anna HÃ¡jkovÃ¡</t>
  </si>
  <si>
    <t>Mapping Shangrila</t>
  </si>
  <si>
    <t>Emily T. Yeh-Christopher R. Coggins</t>
  </si>
  <si>
    <t>Video thrills the Radio Star</t>
  </si>
  <si>
    <t>Henry Keazor-Thorsten WÃ¼bbena</t>
  </si>
  <si>
    <t>Werbung und IdentitÃ¤t im multikulturellen Raum</t>
  </si>
  <si>
    <t>Sebastian Reddeker</t>
  </si>
  <si>
    <t>Die UnergrÃ¼ndlichkeit des Lebens</t>
  </si>
  <si>
    <t>Das Subjekt der Kunst: Schrei, Klage und Darstellung</t>
  </si>
  <si>
    <t>Diana KÃ¶nig</t>
  </si>
  <si>
    <t>Protest der Physiker</t>
  </si>
  <si>
    <t>Robert Lorenz</t>
  </si>
  <si>
    <t>AufklÃ¤rung, Wissenschaft und lebensentfaltende Bildung</t>
  </si>
  <si>
    <t>Peter Faulstich</t>
  </si>
  <si>
    <t>Fraktale Sicherheiten</t>
  </si>
  <si>
    <t>Verena Schreiber</t>
  </si>
  <si>
    <t>Entbehrliche der BÃ¼rgergesellschaft?</t>
  </si>
  <si>
    <t>Johanna Klatt-Franz Walter</t>
  </si>
  <si>
    <t>Die andere Natur des Menschen</t>
  </si>
  <si>
    <t>Anke Haarmann</t>
  </si>
  <si>
    <t>Cultural History in Europe</t>
  </si>
  <si>
    <t>Europa zwischen Grenzkontrolle und FlÃ¼chtlingsschutz</t>
  </si>
  <si>
    <t>Silja Klepp</t>
  </si>
  <si>
    <t>Radikale IndividualitÃ¤t</t>
  </si>
  <si>
    <t>Maurice Schuhmann</t>
  </si>
  <si>
    <t>Andere</t>
  </si>
  <si>
    <t>Thomas Bedorf</t>
  </si>
  <si>
    <t>Glaubensfragen in Europa</t>
  </si>
  <si>
    <t>Elke AriÃ«ns-Helmut KÃ¶nig-Manfred Sicking</t>
  </si>
  <si>
    <t>Political Responsibility for a Globalised World</t>
  </si>
  <si>
    <t>Doing Identity in Luxembourg</t>
  </si>
  <si>
    <t>AuÃŸenkulturpolitik</t>
  </si>
  <si>
    <t>Patrick Schreiner</t>
  </si>
  <si>
    <t>Das Europa der EuropÃ¤er</t>
  </si>
  <si>
    <t>Daniel Gaxie-Nicolas HubÃ©-Marine de Lassalle-Jay Rowell</t>
  </si>
  <si>
    <t>Jenseits von Glauben und Wissen</t>
  </si>
  <si>
    <t>Emerging Bodies</t>
  </si>
  <si>
    <t>Gabriele Klein-Sandra Noeth</t>
  </si>
  <si>
    <t>Kritik und Leidenschaft</t>
  </si>
  <si>
    <t>Henrique Ricardo Otten-Manfred Sicking</t>
  </si>
  <si>
    <t>Politik der Zeugenschaft</t>
  </si>
  <si>
    <t>Sibylle Schmidt-Sybille KrÃ¤mer-Ramon Voges</t>
  </si>
  <si>
    <t>Techniken der Behinderung</t>
  </si>
  <si>
    <t>Lisa Pfahl</t>
  </si>
  <si>
    <t>Workfare als Mindestsicherung</t>
  </si>
  <si>
    <t>Christian BrÃ¼tt</t>
  </si>
  <si>
    <t>Historicizing the Uses of the Past</t>
  </si>
  <si>
    <t>Helle Bjerg-Claudia Lenz-Erik Thorstensen</t>
  </si>
  <si>
    <t>Border Medicine</t>
  </si>
  <si>
    <t>Brett Hendrickson</t>
  </si>
  <si>
    <t>In the Shadow of Zion</t>
  </si>
  <si>
    <t>Adam L. Rovner</t>
  </si>
  <si>
    <t>November 1741 â€“ Oktober 1742</t>
  </si>
  <si>
    <t>Pierre ViÃ©not (1897-1944): Ein Intellektueller in der Politik</t>
  </si>
  <si>
    <t>Gaby Sonnabend</t>
  </si>
  <si>
    <t>Die MÃ¼nchner NSDAP 1925â€“1933</t>
  </si>
  <si>
    <t>Mathias RÃ¶sch</t>
  </si>
  <si>
    <t>Der Logos des Spiegels</t>
  </si>
  <si>
    <t>Joachim Schickel-Hans Heinz Holz</t>
  </si>
  <si>
    <t>Gemeinschaft jenseits von IdentitÃ¤t?</t>
  </si>
  <si>
    <t>Juliane Spitta</t>
  </si>
  <si>
    <t>Heimatdiskurs</t>
  </si>
  <si>
    <t>Michael Daxner-Hannah Neumann</t>
  </si>
  <si>
    <t>Feminist Media</t>
  </si>
  <si>
    <t>Elke Zobl-Ricarda DrÃ¼eke</t>
  </si>
  <si>
    <t>Philosophie und die Potenziale der Gender Studies</t>
  </si>
  <si>
    <t>Hilge Landweer-Catherine Newmark-Christine Kley-Simone Miller</t>
  </si>
  <si>
    <t>Migration als Bildungsherausforderung</t>
  </si>
  <si>
    <t>Hegemonie und Populismus in Putins Russland</t>
  </si>
  <si>
    <t>Philipp Casula</t>
  </si>
  <si>
    <t>MultikulturalitÃ¤t in Europa</t>
  </si>
  <si>
    <t>Elke AriÃ«ns-Emanuel Richter-Manfred Sicking</t>
  </si>
  <si>
    <t>Tafeln im flexiblen Ãœberfluss</t>
  </si>
  <si>
    <t>Die besondere AtmosphÃ¤re</t>
  </si>
  <si>
    <t>Andreas Rauh</t>
  </si>
  <si>
    <t>Die Geschichte von der guten Stadt</t>
  </si>
  <si>
    <t>Mara-Daria Cojocaru</t>
  </si>
  <si>
    <t>Generation und Geltung</t>
  </si>
  <si>
    <t>David Bebnowski</t>
  </si>
  <si>
    <t>Past and Present Energy Societies</t>
  </si>
  <si>
    <t>Nina MÃ¶llers-Karin Zachmann</t>
  </si>
  <si>
    <t>Das Ding namens Computer</t>
  </si>
  <si>
    <t>Suzana Alpsancar</t>
  </si>
  <si>
    <t>Die Welt als Vernichtungslager</t>
  </si>
  <si>
    <t>Christian Dries</t>
  </si>
  <si>
    <t>Homo militaris</t>
  </si>
  <si>
    <t>Ulrich vom Hagen</t>
  </si>
  <si>
    <t>Reconciliation, Civil Society, and the Politics of Memory</t>
  </si>
  <si>
    <t>Birgit Schwelling</t>
  </si>
  <si>
    <t>Politik des Essens</t>
  </si>
  <si>
    <t>Medien â€“ Diskurs â€“ Weltpolitik</t>
  </si>
  <si>
    <t>Alexander Brand</t>
  </si>
  <si>
    <t>Verortungen der InterkulturalitÃ¤t</t>
  </si>
  <si>
    <t>Thomas Ernst-Dieter HeimbÃ¶ckel</t>
  </si>
  <si>
    <t>Vom Publicum</t>
  </si>
  <si>
    <t>Dietmar Kammerer</t>
  </si>
  <si>
    <t>Verkehrsgeschichte und Kulturwissenschaft</t>
  </si>
  <si>
    <t>Christoph Neubert-Gabriele Schabacher</t>
  </si>
  <si>
    <t>The ABCs of Political Economy</t>
  </si>
  <si>
    <t>Robin Hahnel</t>
  </si>
  <si>
    <t>Schmerzkarrieren und SchmerzidentitÃ¤ten â€“ Die Formierung von Patienten mit Schmerz zu chronischen orthopÃ¤dischen Schmerzpatienten. Eine soziologische Untersuchung im Milieu der spezialistischen Schmerzversorgung</t>
  </si>
  <si>
    <t>Pfankuch, Oliver</t>
  </si>
  <si>
    <t>Kontrolle von Sensitizerdynamik mit dediziert geformten Femtosekunden-Laserpulsen</t>
  </si>
  <si>
    <t>Schneider, Johannes</t>
  </si>
  <si>
    <t>Was ist Information? Zu den Grundlagen der Designforschung</t>
  </si>
  <si>
    <t>van den Boom, Holger</t>
  </si>
  <si>
    <t>Die Datenweitergabe im Rahmen des Cloud Computings unter besonderer Betrachtung von UnterauftragsverhaÌˆltnissen</t>
  </si>
  <si>
    <t>Maier, Natalie</t>
  </si>
  <si>
    <t>Permanentmagnetische Vormagnetisierung von Speicherdrosseln in Stromrichtern</t>
  </si>
  <si>
    <t>Friebe, Jens</t>
  </si>
  <si>
    <t>3-D-Printing zementgebundener Formteile. Grundlagen, Entwicklung und Verwendung</t>
  </si>
  <si>
    <t>TECHNOLOGY &amp; ENGINEERING / 3D Printing</t>
  </si>
  <si>
    <t>Fromm, Asko</t>
  </si>
  <si>
    <t>Model-driven Development Methodology for Hybrid Embedded Systems Based on UML with Emphasis on Safety-related Requirements</t>
  </si>
  <si>
    <t>Daw PÃ©rez, Zamira A.</t>
  </si>
  <si>
    <t>PhosphorruÌˆckhalt in der mischwasserbehandlung durch retentionsbodenfilter anlagen</t>
  </si>
  <si>
    <t>Felmeden, JoÌˆrg</t>
  </si>
  <si>
    <t>Entwicklung eines modells zur Implementierung eines wissensmanagement-systems in kleinen und mittleren Bauunternehmen</t>
  </si>
  <si>
    <t>Rathswohl, Stefan</t>
  </si>
  <si>
    <t>Untersuchung des Wechselverformungsverhaltens von werkzeugstaÌˆhlen bei isothermer und thermomechanischer ermuÌˆdung im temperaturbereich von RT bis 650 Â°C</t>
  </si>
  <si>
    <t>Lebsanft, Markus</t>
  </si>
  <si>
    <t>BeitraÌˆge zur geschichte der lautenistinnen und gitarristinnen der Renaissance und des Barock (ca. 1500-1750)</t>
  </si>
  <si>
    <t>Knispel, Claudia</t>
  </si>
  <si>
    <t>Verfassungskonformer Einsatz rechnergesteuerter WahlgeraÌˆte</t>
  </si>
  <si>
    <t>Haibl, Fabian-HÃ¶tzel, Gerrit</t>
  </si>
  <si>
    <t>Risikomanagementsysteme im krankenhaus nach dem Patientenrechtegesetz</t>
  </si>
  <si>
    <t>Goldbach, Christiane</t>
  </si>
  <si>
    <t>Investigation of the Self-organising Behaviour of Laser Implanted Tool Surfaces</t>
  </si>
  <si>
    <t>Hilgenberg, Kai</t>
  </si>
  <si>
    <t>Nahverkehrs-tage 2013</t>
  </si>
  <si>
    <t>Institut fuÌˆr Verkehrswesen</t>
  </si>
  <si>
    <t>Die TuÌˆrkei 2013</t>
  </si>
  <si>
    <t>PERFORMING ARTS / Reference</t>
  </si>
  <si>
    <t>GoÌˆksu, GoÌˆkcan-Olgun, Ufuk</t>
  </si>
  <si>
    <t>Produktbewertungen im internet</t>
  </si>
  <si>
    <t>Zimmermann, Roland</t>
  </si>
  <si>
    <t>Sauberkeit sta(d)tt littering</t>
  </si>
  <si>
    <t>Halm, Gerhard-Urban, Arnd I.</t>
  </si>
  <si>
    <t>Georg Forster als interkultureller autor</t>
  </si>
  <si>
    <t>Greif, Stefan-Ewert, Michael</t>
  </si>
  <si>
    <t>Charakterisierung, Beurteilung und modellierung des langzeitverhaltens einer elektrochromen Kunststoffverscheibung</t>
  </si>
  <si>
    <t>Desjean, Aline-WuÌˆnsch, O.-BoÌˆhm, S.-Heim, H.-P.-Fink, H.-P.</t>
  </si>
  <si>
    <t>Contribution of Modelling and Analysis of Wireless Communication for Safety Related Systems with Bluetooth Technology</t>
  </si>
  <si>
    <t>Pendli, Pavan Kumar-Friesen, Helena</t>
  </si>
  <si>
    <t>Passagen in den sozialwissenschaften</t>
  </si>
  <si>
    <t>Beyer-Stiftung, Lothar</t>
  </si>
  <si>
    <t>Kreatives schreiben im Religionsunterricht der Grundschule am Beispiel der Davidsgeschichte</t>
  </si>
  <si>
    <t>Wagner, Elena</t>
  </si>
  <si>
    <t>Entwicklung eines partnering-Modells fuÌˆr infrastrukturprojekte</t>
  </si>
  <si>
    <t>Faber, Silvan Gerhard</t>
  </si>
  <si>
    <t>OÌˆrtliche finanzkontrolle als innovationsfaktor</t>
  </si>
  <si>
    <t>Hornung, Helga</t>
  </si>
  <si>
    <t>Computational Modelling of Opto-electric Properties of Nanowire Array Solar Cells</t>
  </si>
  <si>
    <t>Yu, Shuqing</t>
  </si>
  <si>
    <t>Wissensbasiertes System zur Anforderungsanalyse bei der Anlagenplanung am Beispiel intralogistischer Anlagen</t>
  </si>
  <si>
    <t>TECHNOLOGY &amp; ENGINEERING / Operations Research</t>
  </si>
  <si>
    <t>Kolbe, Constanze</t>
  </si>
  <si>
    <t>Modellierung der parasitaÌˆren passiven elemente in IGBT-Hochleistungsmodulen</t>
  </si>
  <si>
    <t>Heeb, Michael</t>
  </si>
  <si>
    <t>Die endlagerung radioaktiver abfaÌˆlle aus Deutschland im ausland</t>
  </si>
  <si>
    <t>Borck, Philip</t>
  </si>
  <si>
    <t>Examining European Semi-natural Grassland Silages and Urban Green Cut As Input Sources for the Integrated Generation of Solid Fuel and Biogas From Biomass</t>
  </si>
  <si>
    <t>Hensgen, Frank-Batschi, JoÌˆrg</t>
  </si>
  <si>
    <t>Wie rund ist das oÌˆko-Ei? herausforderungen der legehennenhaltung</t>
  </si>
  <si>
    <t>Koch, Ante-Hensgen, Elisabeth-Knierim, Ute-Mittelstrass, Holger-Haselhuhn, Amelie</t>
  </si>
  <si>
    <t>KoÌˆlner Zunfthandwerkerinnen 1650-1750</t>
  </si>
  <si>
    <t>Athenas, Muriel GonzaÌlez-DuÌˆrr, Renate-Wunder, Heide</t>
  </si>
  <si>
    <t>Reaktionen in leichtfluÌˆssigkeitsabscheidern bei Zufluss von bioethanol- und ethyltertiaÌˆrbutylether-Benzin-Gemischen</t>
  </si>
  <si>
    <t>BruÌˆgging, Elmar</t>
  </si>
  <si>
    <t>Adaptive Control Strategies for the Production of Thermo-mechanically Tailored Products</t>
  </si>
  <si>
    <t>Clobes, JoÌˆrg</t>
  </si>
  <si>
    <t>Grammatik &amp; literatur</t>
  </si>
  <si>
    <t>George, Kristin-Carstens, Anne Katrin-Henkel, Monika</t>
  </si>
  <si>
    <t>Untersuchung eines ringgenerators fuÌˆr windenergieanlagen der 10 MW-klasse auf Basis statischer Versuchsmodelle und numerischer simulationen</t>
  </si>
  <si>
    <t>Messoll, Anna Katharina-Schlemmer, Verena</t>
  </si>
  <si>
    <t>Der Didaktische Service blueprint</t>
  </si>
  <si>
    <t>Wegener, ReneÌ-Blocher, Walter-Batschi, JoÌˆrg-Leimeister, Jan Marco-Winand, Udo</t>
  </si>
  <si>
    <t>Mieterbetreuung als projektmanagementprozess beim Bauen im bewohnten Bestand</t>
  </si>
  <si>
    <t>Federowski, Martin</t>
  </si>
  <si>
    <t>Nanostrukturierung von dielektrika mit geformten Femtosekunden-Laserpulsen</t>
  </si>
  <si>
    <t>Englert, Lars</t>
  </si>
  <si>
    <t>Rastertunnelmikroskopie und -spektroskopie an Au/Ge(001)-NanodraÌˆhten</t>
  </si>
  <si>
    <t>Sebastian Mietke</t>
  </si>
  <si>
    <t>Towards a Water and Nutrient Efficient Forage Production in Semi-arid Regions of Pakistan</t>
  </si>
  <si>
    <t>Ul-Allah, Sami</t>
  </si>
  <si>
    <t>Rechtliche Fragestellungen bei internetauktionen am Beispiel der auktionsplattform eBay</t>
  </si>
  <si>
    <t>Bourzutschky, Alexander F.</t>
  </si>
  <si>
    <t>Gott als therapeut?</t>
  </si>
  <si>
    <t>RELIGION / Christian Theology / Soteriology</t>
  </si>
  <si>
    <t>Kurth, Victoria-Batschi, JoÌˆrg</t>
  </si>
  <si>
    <t>Anforderungsmuster zur Spezifikation soziotechnischer Systeme</t>
  </si>
  <si>
    <t>Hoffmann, Axel</t>
  </si>
  <si>
    <t>Integration optischer Filter mit strukturierten mikromechanisch abstimmbaren Sensor-Arrays mittels DuÌˆnnschichtdeposition und Nanostrukturierung</t>
  </si>
  <si>
    <t>Schultz, Karin</t>
  </si>
  <si>
    <t>Autonomous Voltage Control Strategies in Distribution Grids with Photovoltaic Systems</t>
  </si>
  <si>
    <t>Stetz, Thomas</t>
  </si>
  <si>
    <t>Die VerknuÌˆpfung von Emissionshandelssystemen - sozial gerecht und oÌˆkologisch effektiv</t>
  </si>
  <si>
    <t>Lenz, Christine</t>
  </si>
  <si>
    <t>Controlling in den USA</t>
  </si>
  <si>
    <t>Vesper, Oliver</t>
  </si>
  <si>
    <t>Richtungseffekte bei Schiedsrichterentscheidungen im fussball</t>
  </si>
  <si>
    <t>SPORTS &amp; RECREATION / Reference</t>
  </si>
  <si>
    <t>Krug, Marcel</t>
  </si>
  <si>
    <t>AÌˆlter werden im Quartier</t>
  </si>
  <si>
    <t>NULL</t>
  </si>
  <si>
    <t>Das Denken Rosenzweigs zwischen Theologie und Philosophie</t>
  </si>
  <si>
    <t>Barba, Francesco</t>
  </si>
  <si>
    <t>Videobasierte Erfassung von unterrichtsqualitaÌˆt im Anfangsunterricht der grundschule</t>
  </si>
  <si>
    <t>MATHEMATICS / Essays</t>
  </si>
  <si>
    <t>Gabriel, Katrin</t>
  </si>
  <si>
    <t>Vincent van Gogh in Arles</t>
  </si>
  <si>
    <t>Wengler, Bernd</t>
  </si>
  <si>
    <t>Rekultivierung von RuÌˆckstandshalden der Kaliindustrie</t>
  </si>
  <si>
    <t>Papke, Greta-Schmeisky, Helge</t>
  </si>
  <si>
    <t>Gott ist (k)ein alter weiser mann!</t>
  </si>
  <si>
    <t>BODY, MIND &amp; SPIRIT / Gaia &amp; Earth Energies</t>
  </si>
  <si>
    <t>Krasselt-Maier, Judith-Batschi, JoÌˆrg</t>
  </si>
  <si>
    <t>Optimierung der mechanischen vorreinigungsstufe kommunaler abwasserbehandlungsanlagen</t>
  </si>
  <si>
    <t>Ministerium fuÌˆr Umwelt und Naturschutz, Landwirtschaft und Verbraucherschutz</t>
  </si>
  <si>
    <t>Becoming Urban</t>
  </si>
  <si>
    <t>Luo, Rumin</t>
  </si>
  <si>
    <t>Mentoring als MÃ¶glichkeitsraum. Erfahrungen der Teilnehmerinnen und Teilnehmer eines Mentoringprogramms fÃ¼r Studentinnen mit Behinderung</t>
  </si>
  <si>
    <t>Bereswill, Mechthild-Pax, Rafaela M.-ZuÌˆhlke, Johanna</t>
  </si>
  <si>
    <t>What Materials Will Exist in a Decade?</t>
  </si>
  <si>
    <t>Klussmann, Heike-Klooster, Thorsten</t>
  </si>
  <si>
    <t>Static and Dynamic Crack Propagation in Brittle Materials with XFEM</t>
  </si>
  <si>
    <t>Wagner-Petri-Fleming</t>
  </si>
  <si>
    <t>Forschungen zur Medizingeschichte</t>
  </si>
  <si>
    <t>Karenberg, Axel-Gross, Dominik-Schmidt, Mathias</t>
  </si>
  <si>
    <t>Lernen organisationen durch zertifizierung?</t>
  </si>
  <si>
    <t>NeuschaÌˆfer, Daniela</t>
  </si>
  <si>
    <t>Signal Processing</t>
  </si>
  <si>
    <t>COMPUTERS / Computer Engineering</t>
  </si>
  <si>
    <t>Charles L. Byrne</t>
  </si>
  <si>
    <t>Fast Facts: Liver Disorders</t>
  </si>
  <si>
    <t>Mahl, Thomas-O'Grady, John</t>
  </si>
  <si>
    <t>Colonial Survey and Native Landscapes in Rural South Africa, 1850 - 1913</t>
  </si>
  <si>
    <t>Lindsay F. Braun</t>
  </si>
  <si>
    <t>Immigrant Protest</t>
  </si>
  <si>
    <t>Katarzyna Marciniak-Imogen Tyler</t>
  </si>
  <si>
    <t>Ecological Causal Assessment</t>
  </si>
  <si>
    <t>Susan B. Norton-Susan M. Cormier-Glenn W. Suter II</t>
  </si>
  <si>
    <t>Aboriginal Peoples, Colonialism and International Law</t>
  </si>
  <si>
    <t>Irene Watson</t>
  </si>
  <si>
    <t>Hero, Conspiracy, and Death: The Jewish Lectures</t>
  </si>
  <si>
    <t>Maria Janion</t>
  </si>
  <si>
    <t>Wirtschaftsethische Perspektiven IX.</t>
  </si>
  <si>
    <t>Wolfgang Buchholz</t>
  </si>
  <si>
    <t>Fast Facts: Psoriasis</t>
  </si>
  <si>
    <t>Menter, Alan-Smith, Catherine-Barker, Jonathan</t>
  </si>
  <si>
    <t>Border Politics</t>
  </si>
  <si>
    <t>Nancy A. Naples-Jennifer Bickham Mendez</t>
  </si>
  <si>
    <t>Chronic Youth</t>
  </si>
  <si>
    <t>Julie Passanante Elman</t>
  </si>
  <si>
    <t>Labors of Love</t>
  </si>
  <si>
    <t>Jason Rodriquez</t>
  </si>
  <si>
    <t>Was sind Gene nicht?</t>
  </si>
  <si>
    <t>Kirsten Schmidt</t>
  </si>
  <si>
    <t>Die Indigenenbewegung in Ecuador</t>
  </si>
  <si>
    <t>Philipp Altmann</t>
  </si>
  <si>
    <t>Wahrheit und NÃ¼tzlichkeit</t>
  </si>
  <si>
    <t>David Kaldewey</t>
  </si>
  <si>
    <t>Jenseits der Therapie</t>
  </si>
  <si>
    <t>Tobias Eichinger</t>
  </si>
  <si>
    <t>Gewaltbefragungen</t>
  </si>
  <si>
    <t>Franziska Martinsen-Oliver FlÃ¼gel-Martinsen</t>
  </si>
  <si>
    <t>Making Sense As a Cultural Practice</t>
  </si>
  <si>
    <t>Konfuzianischer Humanismus</t>
  </si>
  <si>
    <t>Ming-huei Lee</t>
  </si>
  <si>
    <t>Alternative Economies and Spaces</t>
  </si>
  <si>
    <t>Hans-Martin Zademach-Sebastian Hillebrand</t>
  </si>
  <si>
    <t>Transnational Organized Crime</t>
  </si>
  <si>
    <t>Heinrich-BÃ¶ll-Stiftung e.V.-Regine SchÃ¶nenberg-Bernd Rheinberg-Annette von SchÃ¶nfeld</t>
  </si>
  <si>
    <t>Â»Welcome to EuropeÂ« â€“ Die Grenzen des europÃ¤ischen Migrationsrechts</t>
  </si>
  <si>
    <t>Sonja Buckel</t>
  </si>
  <si>
    <t>The Berlin Reader</t>
  </si>
  <si>
    <t>Matthias Bernt-Britta Grell-Andrej Holm</t>
  </si>
  <si>
    <t>Spaces of the Poor</t>
  </si>
  <si>
    <t>Borders and Border Regions in Europe</t>
  </si>
  <si>
    <t>Arnaud Lechevalier-Jan Wielgohs</t>
  </si>
  <si>
    <t>Fashion Myths</t>
  </si>
  <si>
    <t>Roman Meinhold</t>
  </si>
  <si>
    <t>Gender in Science and Technology</t>
  </si>
  <si>
    <t>Waltraud Ernst-Ilona Horwath</t>
  </si>
  <si>
    <t>Der Begriff der Kultur</t>
  </si>
  <si>
    <t>Arbeitskreis Kultur- und Sozialphilosophie</t>
  </si>
  <si>
    <t>Neubesetzungen des Kunst-Raumes</t>
  </si>
  <si>
    <t>Monika Kaiser</t>
  </si>
  <si>
    <t>Grenzen der GrenzÃ¼berschreitung</t>
  </si>
  <si>
    <t>Nicolas Engel-Michael GÃ¶hlich-Thomas HÃ¶hne-Matthias Klemm-Clemens Kraetsch-Christoph Marx-Marek Nekula-Joachim Renn</t>
  </si>
  <si>
    <t>Demokratie morgen</t>
  </si>
  <si>
    <t>Ulrike Davy-Manuela Lenzen</t>
  </si>
  <si>
    <t>Wounds and Words</t>
  </si>
  <si>
    <t>Christa SchÃ¶nfelder</t>
  </si>
  <si>
    <t>Symbolische Verletzbarkeit</t>
  </si>
  <si>
    <t>Steffen Kitty Herrmann</t>
  </si>
  <si>
    <t>Unbehagen im modernen Staat</t>
  </si>
  <si>
    <t>Maximilian Lakitsch</t>
  </si>
  <si>
    <t>Fragmentierte Nation â€“ globalisierte Region?</t>
  </si>
  <si>
    <t>Patrick Eser</t>
  </si>
  <si>
    <t>Die Ordnung des Theaters</t>
  </si>
  <si>
    <t>Denis HÃ¤nzi</t>
  </si>
  <si>
    <t>Was kann der Staat?</t>
  </si>
  <si>
    <t>Hendrik Meyer</t>
  </si>
  <si>
    <t>Wir sind die Medien</t>
  </si>
  <si>
    <t>Marcus Michaelsen</t>
  </si>
  <si>
    <t>Does War Belong in Museums?</t>
  </si>
  <si>
    <t>Wolfgang Muchitsch</t>
  </si>
  <si>
    <t>Zuteilungskriterien im Gesundheitswesen: Grenzen und Alternativen</t>
  </si>
  <si>
    <t>Kathrin Dengler-Heiner Fangerau</t>
  </si>
  <si>
    <t>GewerkschaftsdÃ¤mmerung</t>
  </si>
  <si>
    <t>Demokratie und Transzendenz</t>
  </si>
  <si>
    <t>Hans VorlÃ¤nder</t>
  </si>
  <si>
    <t>Lernen in Bewegung(en)</t>
  </si>
  <si>
    <t>Jana Trumann</t>
  </si>
  <si>
    <t>Die Machbarkeit politischer Ordnung</t>
  </si>
  <si>
    <t>Werner J. Patzelt</t>
  </si>
  <si>
    <t>Synthesis</t>
  </si>
  <si>
    <t>Gabriele Gramelsberger-Peter Bexte-Werner Kogge</t>
  </si>
  <si>
    <t>The Transatlantic Sixties</t>
  </si>
  <si>
    <t>Grzegorz Kosc-Clara Juncker-Sharon Monteith-Britta Waldschmidt-Nelson</t>
  </si>
  <si>
    <t>Die Prekarisierungsgesellschaft</t>
  </si>
  <si>
    <t>Oliver Marchart</t>
  </si>
  <si>
    <t>Soundscapes of the Urban Past</t>
  </si>
  <si>
    <t>Moderieren im Museum</t>
  </si>
  <si>
    <t>Christiane SchrÃ¼bbers</t>
  </si>
  <si>
    <t>Â»Aufzeichnungen eines VielfachenÂ«</t>
  </si>
  <si>
    <t>Roberto SanchiÃ±o MartÃ­nez</t>
  </si>
  <si>
    <t>JapanizitÃ¤t aus dem Geist der europÃ¤ischen Romantik</t>
  </si>
  <si>
    <t>Aufbruch ins Unversicherbare</t>
  </si>
  <si>
    <t>Leon Hempel-Marie Bartels-Thomas Markwart</t>
  </si>
  <si>
    <t>Das Ringen um die Zivilgesellschaft in der TÃ¼rkei</t>
  </si>
  <si>
    <t>Anil Al-Rebholz</t>
  </si>
  <si>
    <t>Resemblance and Representation</t>
  </si>
  <si>
    <t xml:space="preserve"> Ben Blumson</t>
  </si>
  <si>
    <t>Cicero, On Pompey's Command (De Imperio), 27-49</t>
  </si>
  <si>
    <t xml:space="preserve"> Ingo Gildenhard-Louise Hodgson</t>
  </si>
  <si>
    <t>Denis Diderot's 'Rameau's Nephew'</t>
  </si>
  <si>
    <t>A Time Travel Dialogue</t>
  </si>
  <si>
    <t xml:space="preserve"> John W. Carroll</t>
  </si>
  <si>
    <t>In the Lands of the Romanovs</t>
  </si>
  <si>
    <t xml:space="preserve"> Anthony Cross</t>
  </si>
  <si>
    <t>The Anglo-Scottish Ballad and Its Imaginary Contexts</t>
  </si>
  <si>
    <t xml:space="preserve"> David Atkinson</t>
  </si>
  <si>
    <t>Beyond Holy Russia</t>
  </si>
  <si>
    <t>The Classic Short Story, 1870-1925</t>
  </si>
  <si>
    <t xml:space="preserve"> Florence Goyet</t>
  </si>
  <si>
    <t>Yeats's Mask</t>
  </si>
  <si>
    <t xml:space="preserve"> Margaret Mills Harper-Warwick Gould</t>
  </si>
  <si>
    <t>XiipÃºktan (First of All)</t>
  </si>
  <si>
    <t xml:space="preserve"> George Bryant-Amy Miller</t>
  </si>
  <si>
    <t>On History</t>
  </si>
  <si>
    <t xml:space="preserve"> Jules Michelet</t>
  </si>
  <si>
    <t>How to Read a Folktale</t>
  </si>
  <si>
    <t>Tacitus, Annals, 15.20-23, 33-45</t>
  </si>
  <si>
    <t xml:space="preserve"> Mathew Owen-Ingo Gildenhard</t>
  </si>
  <si>
    <t>Feeding the City</t>
  </si>
  <si>
    <t xml:space="preserve"> Sara Roncaglia</t>
  </si>
  <si>
    <t>Storytelling in Northern Zambia</t>
  </si>
  <si>
    <t xml:space="preserve"> Robert Cancel</t>
  </si>
  <si>
    <t>Oral Literature in the Digital Age</t>
  </si>
  <si>
    <t xml:space="preserve"> Mark Turin-Claire Wheeler-Eleanor Wilkinson</t>
  </si>
  <si>
    <t>Die SED in der Ã„ra Honecker</t>
  </si>
  <si>
    <t>Andreas Malycha</t>
  </si>
  <si>
    <t>Jugendbewegung, Antisemitismus und rechtsradikale Politik</t>
  </si>
  <si>
    <t>Gideon Botsch-Josef Haverkamp</t>
  </si>
  <si>
    <t>The Use of Signing Space in a Shared Sign Language of Australia</t>
  </si>
  <si>
    <t>Anastasia Bauer</t>
  </si>
  <si>
    <t>Gemeinwohl durch Wettbewerb?</t>
  </si>
  <si>
    <t>Anne Peters-Thomas Giegerich-Armin Hatje</t>
  </si>
  <si>
    <t>Der Weg in die Terreur</t>
  </si>
  <si>
    <t>Daniel SchÃ¶npflug</t>
  </si>
  <si>
    <t>The Making of the Humanities, Volume III</t>
  </si>
  <si>
    <t>Rens Bod-Thijs Weststeijn-Jaap Maat</t>
  </si>
  <si>
    <t>The Making of the Humanities</t>
  </si>
  <si>
    <t>Irregular Migrants in Belgium and the Netherlands</t>
  </si>
  <si>
    <t>Masja Meeteren</t>
  </si>
  <si>
    <t>Debtfare States and the Poverty Industry</t>
  </si>
  <si>
    <t>Susanne Soederberg</t>
  </si>
  <si>
    <t>The Devil Next Door</t>
  </si>
  <si>
    <t>Vera B. Profit</t>
  </si>
  <si>
    <t>Making Race in the Courtroom</t>
  </si>
  <si>
    <t>Kenneth R. Aslakson</t>
  </si>
  <si>
    <t>Bluestocking Feminism and British-German Cultural Transfer, 1750-1837</t>
  </si>
  <si>
    <t>Alessa Johns</t>
  </si>
  <si>
    <t>Theoretical Foundations of Synchrotron and Storage Ring RF Systems</t>
  </si>
  <si>
    <t>Harald Klingbeil-Ulrich Laier-Dieter Lens</t>
  </si>
  <si>
    <t>Tadeusz Kantor Today</t>
  </si>
  <si>
    <t>Katarzyna Fazan-Anna R. Burzynska-Marta Brys</t>
  </si>
  <si>
    <t>Residual Stresses IX</t>
  </si>
  <si>
    <t>M. Francois-Guillaume Montay-Benoit Panicaud-Delphine Retraint-Emmanuelle Rouhaud</t>
  </si>
  <si>
    <t>Sex, Slavery and the Trafficked Woman</t>
  </si>
  <si>
    <t>Ramona Vijeyarasa</t>
  </si>
  <si>
    <t>Der Faschismus in Europa</t>
  </si>
  <si>
    <t>Thomas Schlemmer-Hans Woller</t>
  </si>
  <si>
    <t>Tractates Å eqalim, Sukkah, RoÅ¡ HaÅ¡Å¡anah, and Yom Tov (Besah)</t>
  </si>
  <si>
    <t>Inszenierte Moderne</t>
  </si>
  <si>
    <t>Tobias Becker-German Historical Institute London</t>
  </si>
  <si>
    <t>Suger en question</t>
  </si>
  <si>
    <t>Rolf GroÃŸe</t>
  </si>
  <si>
    <t>Politische Theorien des 19. Jahrhunderts</t>
  </si>
  <si>
    <t>Bernd Heidenreich</t>
  </si>
  <si>
    <t>Neuanfang auf TrÃ¼mmern</t>
  </si>
  <si>
    <t>Ursula BÃ¼ttner-Angelika VoÃŸ-Louis</t>
  </si>
  <si>
    <t>Besatzung und Staatsaufbau nach 1945</t>
  </si>
  <si>
    <t>James K. Pollock-Ingrid KrÃ¼ger-Bulcke</t>
  </si>
  <si>
    <t>Auf der Suche nach einem "anderen Deutschland"</t>
  </si>
  <si>
    <t>Death in Jewish Life</t>
  </si>
  <si>
    <t>Stefan C. Reif-Andreas Lehnardt-Avriel Bar-Levav</t>
  </si>
  <si>
    <t>La â€œdescrizione dei tempiâ€ allâ€™alba dellâ€™espansione islamica</t>
  </si>
  <si>
    <t>Maria Conterno</t>
  </si>
  <si>
    <t>Theodor Heuss, Privatier und Elder Statesman</t>
  </si>
  <si>
    <t>Frieder GÃ¼nther</t>
  </si>
  <si>
    <t>Gendering Women</t>
  </si>
  <si>
    <t>Suzanne Clisby-Julia Holdsworth</t>
  </si>
  <si>
    <t>The Post-Conflict Environment</t>
  </si>
  <si>
    <t>Daniel Bertrand Monk-Jacob Mundy</t>
  </si>
  <si>
    <t>AztlÃ¡n and Arcadia</t>
  </si>
  <si>
    <t>Roberto RamÃ³n Lint Sagarena</t>
  </si>
  <si>
    <t>Changing Faith</t>
  </si>
  <si>
    <t>Darren E. Sherkat</t>
  </si>
  <si>
    <t>Soncino â€“ Gesellschaft der Freunde des jÃ¼dischen Buches</t>
  </si>
  <si>
    <t>Karin BÃ¼rger-Ines Sonder-Ursula Wallmeier</t>
  </si>
  <si>
    <t>GelÃ¤ndemodellierung</t>
  </si>
  <si>
    <t>Peter Petschek</t>
  </si>
  <si>
    <t>Mouth Actions in Sign Languages</t>
  </si>
  <si>
    <t>Susanne Mohr</t>
  </si>
  <si>
    <t>Spracheinstellungen und IdentitÃ¤tskonstruktion</t>
  </si>
  <si>
    <t>Katharina KÃ¶nig</t>
  </si>
  <si>
    <t>Homosexuelle im Nationalsozialismus</t>
  </si>
  <si>
    <t>Michael Schwartz</t>
  </si>
  <si>
    <t>Der Kapitalismus entdeckt das Volk</t>
  </si>
  <si>
    <t>Simon Gonser</t>
  </si>
  <si>
    <t>Balancing Privacy and Free Speech</t>
  </si>
  <si>
    <t>Mark Tunick</t>
  </si>
  <si>
    <t>Auf dem Weg zur NormalitÃ¤t</t>
  </si>
  <si>
    <t>Dirk Petter</t>
  </si>
  <si>
    <t>Literature Along the Lines of Flight</t>
  </si>
  <si>
    <t>Hidenaga Arai</t>
  </si>
  <si>
    <t>Ideen, Methoden und Entwicklungen der Geschichte des Ã¶konomischen Denkens.</t>
  </si>
  <si>
    <t>Europa am Scheideweg.</t>
  </si>
  <si>
    <t>Theresia Theurl</t>
  </si>
  <si>
    <t>Multidimensional Inverse and Ill-Posed Problems for Differential Equations</t>
  </si>
  <si>
    <t>Yu. E. Anikonov</t>
  </si>
  <si>
    <t>Der deutsche Staat im Jahre 1945 und seither. Die Berufsbeamten und die Staatskrisen</t>
  </si>
  <si>
    <t>Frankreichs AuÃŸenpolitik in der Julikrise 1914</t>
  </si>
  <si>
    <t>Stefan Schmidt</t>
  </si>
  <si>
    <t>Das Deutsche Historische Institut Paris und seine GrÃ¼ndungsvÃ¤ter</t>
  </si>
  <si>
    <t>Ulrich Pfeil</t>
  </si>
  <si>
    <t>Geschichte schreiben</t>
  </si>
  <si>
    <t>Susanne Rau-Birgit Studt</t>
  </si>
  <si>
    <t>Ester Boserupâ€™s Legacy on Sustainability</t>
  </si>
  <si>
    <t>Marina Fischer-Kowalski-Anette Reenberg-Anke Schaffartzik-Andreas Mayer</t>
  </si>
  <si>
    <t>The Return of the Buddha</t>
  </si>
  <si>
    <t>Himanshu Prabha Ray</t>
  </si>
  <si>
    <t>Oikos and Market</t>
  </si>
  <si>
    <t>Stephen Gudeman-Chris Hann</t>
  </si>
  <si>
    <t>Turbulence</t>
  </si>
  <si>
    <t>Roland Kupers</t>
  </si>
  <si>
    <t>Educational Mobility of Second-generation Turks</t>
  </si>
  <si>
    <t>Philipp Schnell</t>
  </si>
  <si>
    <t>Migration From the Middle East and North Africa to Europe</t>
  </si>
  <si>
    <t>Heinz Fassmann-Michael Bommes-Wiebke Sievers</t>
  </si>
  <si>
    <t>Transit Migration in Europe</t>
  </si>
  <si>
    <t>Irina Molodikova-Franck DÃ¼vell-Michael Collyer</t>
  </si>
  <si>
    <t>The Witching Hour and Other Plays by Nina Sadur</t>
  </si>
  <si>
    <t>Nina Sadur-Nadya L. Peterson</t>
  </si>
  <si>
    <t>Transaction Cost Management</t>
  </si>
  <si>
    <t>Chihiro Suematsu</t>
  </si>
  <si>
    <t>Wer organisiert die Â»EntbehrlichenÂ«?</t>
  </si>
  <si>
    <t>Christoph Hoeft-Johanna Klatt-Annike Klimmeck-Julia Kopp-SÃ¶ren Messinger-Zimmer-Jonas Rugenstein-Franz Walter</t>
  </si>
  <si>
    <t>Neugierige StrukturvorschlÃ¤ge im maschinellen Lernen</t>
  </si>
  <si>
    <t>Sebastian Harrach</t>
  </si>
  <si>
    <t>Ã„sthetik der Unabgeschlossenheit</t>
  </si>
  <si>
    <t>Peter SchlÃ¶gl</t>
  </si>
  <si>
    <t>From Mutual Observation to Propaganda War</t>
  </si>
  <si>
    <t>Malte Griesse</t>
  </si>
  <si>
    <t>Der Wille zum Subjekt</t>
  </si>
  <si>
    <t>Marcus Otto</t>
  </si>
  <si>
    <t>1964 â€“ das Jahr, mit dem Â»68Â« begann</t>
  </si>
  <si>
    <t>Robert Lorenz-Franz Walter</t>
  </si>
  <si>
    <t>KÃ¤mpfe um Migrationspolitik</t>
  </si>
  <si>
    <t>Forschungsgruppe Â»Staatsprojekt EuropaÂ«</t>
  </si>
  <si>
    <t>Private Romantik, Ã¶ffentlicher Pragmatismus?</t>
  </si>
  <si>
    <t>Martin MÃ¼ller</t>
  </si>
  <si>
    <t>Immigrant Faith</t>
  </si>
  <si>
    <t>Phillip Connor</t>
  </si>
  <si>
    <t>Saving Face</t>
  </si>
  <si>
    <t>Heather Laine Talley</t>
  </si>
  <si>
    <t>Electromagnetic Wave Scattering by Aerial and Ground Radar Objects</t>
  </si>
  <si>
    <t>Oleg I. Sukharevsky</t>
  </si>
  <si>
    <t>Democratic Transformation and the Vernacular Public Arena in India</t>
  </si>
  <si>
    <t>Taberez Ahmed Neyazi-Akio Tanabe-Shinya Ishizaka</t>
  </si>
  <si>
    <t>The Psychology of Becoming a Successful Worker</t>
  </si>
  <si>
    <t>Satu Uusiautti-Kaarina MÃ¤Ã¤ttÃ¤</t>
  </si>
  <si>
    <t>The Making of an African Working Class</t>
  </si>
  <si>
    <t>Pnina Werbner</t>
  </si>
  <si>
    <t>Religious Discourse in Modern Japan</t>
  </si>
  <si>
    <t>Jun'ichi Isomae</t>
  </si>
  <si>
    <t>Akten zur AuswÃ¤rtigen Politik der Bundesrepublik Deutschland 1971</t>
  </si>
  <si>
    <t>Martin Koopmann-Matthias Peter-Daniela Taschler</t>
  </si>
  <si>
    <t>Akten zur AuswÃ¤rtigen Politik der Bundesrepublik Deutschland 1972</t>
  </si>
  <si>
    <t>Mechthild Lindemann-Daniela Taschler-Fabian Hilfrich</t>
  </si>
  <si>
    <t>Mitstreiter im Volkstumskampf</t>
  </si>
  <si>
    <t>Maximilian Becker</t>
  </si>
  <si>
    <t>Fast Facts: Breast Cancer</t>
  </si>
  <si>
    <t>Vaidya, Jayant S.-Joseph, David</t>
  </si>
  <si>
    <t>Demand the Impossible</t>
  </si>
  <si>
    <t>Tom Moylan</t>
  </si>
  <si>
    <t>The Black Musician and the White City</t>
  </si>
  <si>
    <t>Amy Absher</t>
  </si>
  <si>
    <t>Stumbling Blocks Before the Blind</t>
  </si>
  <si>
    <t>Edward Wheatley</t>
  </si>
  <si>
    <t>Guest People</t>
  </si>
  <si>
    <t>Nicole Constable</t>
  </si>
  <si>
    <t>By Fables Alone</t>
  </si>
  <si>
    <t>Andrei Zorin</t>
  </si>
  <si>
    <t>Medievalism: a Critical History</t>
  </si>
  <si>
    <t>David Matthews</t>
  </si>
  <si>
    <t>Fast Facts: Obesity</t>
  </si>
  <si>
    <t>Haslam, David-Wittert, Gary</t>
  </si>
  <si>
    <t>Economy and Ritual</t>
  </si>
  <si>
    <t>Anthropological Explorations in Queer Theory</t>
  </si>
  <si>
    <t>Mark Graham</t>
  </si>
  <si>
    <t>Caring Across Generations</t>
  </si>
  <si>
    <t>Grace J. Yoo-Barbara W. Kim</t>
  </si>
  <si>
    <t>Consanguinity - Its Impact, Consequences and Management</t>
  </si>
  <si>
    <t>Lutfi A, Jaber-Gabrielle J, Halpern</t>
  </si>
  <si>
    <t>Prisons in the Late Ottoman Empire</t>
  </si>
  <si>
    <t>Kent F. Schull</t>
  </si>
  <si>
    <t>Emmanuel Joseph SieyÃ¨s: The Essential Political Writings</t>
  </si>
  <si>
    <t>Oliver W. Lembcke-Florian Weber</t>
  </si>
  <si>
    <t>Hans Broekhuis</t>
  </si>
  <si>
    <t>Secularism, Assimilation and the Crisis of Multiculturalism</t>
  </si>
  <si>
    <t>Yolande Jansen</t>
  </si>
  <si>
    <t>The Mediterranean Way of Eating</t>
  </si>
  <si>
    <t>John J.B. Anderson-Marilyn C. Sparling</t>
  </si>
  <si>
    <t>Bridging Between Research and Practice</t>
  </si>
  <si>
    <t>Sara Hennessy</t>
  </si>
  <si>
    <t>Auf ewig Feind?</t>
  </si>
  <si>
    <t>Thomas Wittek-German Historical Institute London</t>
  </si>
  <si>
    <t>Begegnungen vor Gericht</t>
  </si>
  <si>
    <t>Willibald Steinmetz-German Historical Institute London</t>
  </si>
  <si>
    <t>Deutsche Kaufleute in London</t>
  </si>
  <si>
    <t>Margrit Schulte BeerbÃ¼hl-German Historical Institute London</t>
  </si>
  <si>
    <t>Die radikale Herausforderung</t>
  </si>
  <si>
    <t>Andreas RÃ¶dder-German Historical Institute London</t>
  </si>
  <si>
    <t>Gesundheitspolitik in der Nachkriegszeit</t>
  </si>
  <si>
    <t>Ulrike Lindner-German Historical Institute London</t>
  </si>
  <si>
    <t>Liberalismus</t>
  </si>
  <si>
    <t>JÃ¶rn Leonhard-German Historical Institute London</t>
  </si>
  <si>
    <t>Kriegsgefangenschaft in GroÃŸbritannien</t>
  </si>
  <si>
    <t>Renate Held-German Historical Institute London</t>
  </si>
  <si>
    <t>Thatchers konservative Revolution</t>
  </si>
  <si>
    <t>Clarity, Cut, and Culture</t>
  </si>
  <si>
    <t>Susan Falls</t>
  </si>
  <si>
    <t>Syntax of Dutch: Adjectives and Adjective Phrases</t>
  </si>
  <si>
    <t>Fabricating the Absolute Fake - Revised Edition</t>
  </si>
  <si>
    <t>Jaap Kooijman</t>
  </si>
  <si>
    <t>This Cannot Happen Here</t>
  </si>
  <si>
    <t>Ben Braber</t>
  </si>
  <si>
    <t>Shipwrecked</t>
  </si>
  <si>
    <t>James Morrison</t>
  </si>
  <si>
    <t>Making News at The New York Times</t>
  </si>
  <si>
    <t>Nikki Usher</t>
  </si>
  <si>
    <t>Fighting for a Living</t>
  </si>
  <si>
    <t>Water for Energy and Fuel Production</t>
  </si>
  <si>
    <t>Yatish T. Shah</t>
  </si>
  <si>
    <t>Improvising Cinema</t>
  </si>
  <si>
    <t>Gilles MouÃ«llic</t>
  </si>
  <si>
    <t>AIDS, Intimacy and Care in Rural KwaZulu-Natal</t>
  </si>
  <si>
    <t>Patricia C. Henderson</t>
  </si>
  <si>
    <t>Tantalisingly Close</t>
  </si>
  <si>
    <t>Imar Vries</t>
  </si>
  <si>
    <t>Domestic Violence and Sexuality</t>
  </si>
  <si>
    <t>Catherine Donovan-Marianne Hester</t>
  </si>
  <si>
    <t>Economic Complexity and Human Development</t>
  </si>
  <si>
    <t>Dominik Hartmann</t>
  </si>
  <si>
    <t>Italian Jewry in the Early Modern Era</t>
  </si>
  <si>
    <t>Alessandro Guetta</t>
  </si>
  <si>
    <t>Preserving and Exhibiting Media Art</t>
  </si>
  <si>
    <t>Julia Noordegraaf-Vinzenz Hediger-Cosetta Saba-Barbara Maitre</t>
  </si>
  <si>
    <t>Mobile Screens</t>
  </si>
  <si>
    <t>Governing China's Multiethnic Frontiers</t>
  </si>
  <si>
    <t>Morris Rossabi</t>
  </si>
  <si>
    <t>Genocide As Social Practice</t>
  </si>
  <si>
    <t>Daniel Feierstein</t>
  </si>
  <si>
    <t>Gender, Generations and the Family in International Migration</t>
  </si>
  <si>
    <t>Albert Kraler-Eleonore Kofman-Martin Kohli-Camille Schmoll</t>
  </si>
  <si>
    <t>Digital Literacies</t>
  </si>
  <si>
    <t>Julia Gillen</t>
  </si>
  <si>
    <t>Screenwriting</t>
  </si>
  <si>
    <t>Bridget Conor</t>
  </si>
  <si>
    <t>Pastplay</t>
  </si>
  <si>
    <t>Kevin Kee</t>
  </si>
  <si>
    <t>Sharing</t>
  </si>
  <si>
    <t>Philippe Aigrain</t>
  </si>
  <si>
    <t>Bastard or Playmate?</t>
  </si>
  <si>
    <t>David Depestel-Boris Debackere-Robrecht Vanderbeeken-Christel Stalpaert</t>
  </si>
  <si>
    <t>Discourse, Politics and Media in Contemporary China</t>
  </si>
  <si>
    <t>Qing Cao-Hailong Tian-Paul Chilton</t>
  </si>
  <si>
    <t>The Disarticulate</t>
  </si>
  <si>
    <t>James Berger</t>
  </si>
  <si>
    <t>1736â€“1737</t>
  </si>
  <si>
    <t>Nationalsozialistische Polenpolitik 1939-1945</t>
  </si>
  <si>
    <t>Martin Broszat</t>
  </si>
  <si>
    <t>Die deutsche Kriegswirtschaft 1939-1945</t>
  </si>
  <si>
    <t>Alan S. Milward</t>
  </si>
  <si>
    <t>Akten zur AuswÃ¤rtigen Politik der Bundesrepublik Deutschland 1962</t>
  </si>
  <si>
    <t>Mechthild Lindemann-Michael Mayer</t>
  </si>
  <si>
    <t>Fremde neue Welten</t>
  </si>
  <si>
    <t>Handwerk und Kleinhandel in der Bundesrepublik Deutschland</t>
  </si>
  <si>
    <t>Abdolreza Scheybani</t>
  </si>
  <si>
    <t>Akten zur AuswÃ¤rtigen Politik der Bundesrepublik Deutschland 1981</t>
  </si>
  <si>
    <t>Daniela Taschler-Matthias Peter-Judith Michel</t>
  </si>
  <si>
    <t>Akten zur AuswÃ¤rtigen Politik der Bundesrepublik Deutschland 1974</t>
  </si>
  <si>
    <t>Daniela Taschler-Fabian Hilfrich-Michael Ploetz</t>
  </si>
  <si>
    <t>Akten zur AuswÃ¤rtigen Politik der Bundesrepublik Deutschland 1977</t>
  </si>
  <si>
    <t>Amit Das Gupta-Tim Geiger-Matthias Peter-Fabian Hilfrich-Mechthild Lindemann</t>
  </si>
  <si>
    <t>Akten zur AuswÃ¤rtigen Politik der Bundesrepublik Deutschland 1980</t>
  </si>
  <si>
    <t>Tim Geiger-Amit Das Gupta-Tim Szatkowski</t>
  </si>
  <si>
    <t>Revolte und Sozialstatus von der SpÃ¤tantike bis zur FrÃ¼hen Neuzeit / RÃ©volte et statut social de lâ€™AntiquitÃ© tardive aux Temps modernes</t>
  </si>
  <si>
    <t>Philippe Depreux</t>
  </si>
  <si>
    <t>Absolutismus, ein unersetzliches Forschungskonzept? L'absolutisme, un concept irremplaÃ§able?</t>
  </si>
  <si>
    <t>Lothar Schilling</t>
  </si>
  <si>
    <t>Dekadenz und Heroismus</t>
  </si>
  <si>
    <t>Rolf GeiÃŸler</t>
  </si>
  <si>
    <t>Revisionsanspruch und geheime Ostpolitik der Weimarer Republik</t>
  </si>
  <si>
    <t>Norbert Krekeler</t>
  </si>
  <si>
    <t>Justiz als politische Verfolgung</t>
  </si>
  <si>
    <t>Hans Robinsohn</t>
  </si>
  <si>
    <t>Grenzlandpolitik im Westen 1926-1936</t>
  </si>
  <si>
    <t>Gregor StraÃŸer und die NSDAP</t>
  </si>
  <si>
    <t>Udo KissenkÃ¶tter</t>
  </si>
  <si>
    <t>Der Hitler-Mythos</t>
  </si>
  <si>
    <t>Ian Kershaw</t>
  </si>
  <si>
    <t>Spanien nach Franco</t>
  </si>
  <si>
    <t>Walther Bernecker-Carlos Collado Seidel</t>
  </si>
  <si>
    <t>Wehrmacht, Gestapo und sowjetische Kriegsgefangene im deutschen Reichsgebiet 1941/42</t>
  </si>
  <si>
    <t>Reinhard Otto</t>
  </si>
  <si>
    <t>Amerikanische Lizenzpolitik und deutsche Pressetradition</t>
  </si>
  <si>
    <t>Norbert Frei</t>
  </si>
  <si>
    <t>Volksrichter in der SBZ/DDR 1945 bis 1952</t>
  </si>
  <si>
    <t>Hermann Wentker</t>
  </si>
  <si>
    <t>Italien und die GroÃŸmÃ¤chte 1943-1949</t>
  </si>
  <si>
    <t>Hans Woller</t>
  </si>
  <si>
    <t>Zwischen Stresemann und Hitler</t>
  </si>
  <si>
    <t>Hermann Graml</t>
  </si>
  <si>
    <t>Politik auf dem Land</t>
  </si>
  <si>
    <t>JaromÃ­r Balcar</t>
  </si>
  <si>
    <t>Geplantes "Wirtschaftswunder"?</t>
  </si>
  <si>
    <t>Stefan GrÃ¼ner</t>
  </si>
  <si>
    <t>Die ErschlieÃŸung des Landes 1949 bis 1973</t>
  </si>
  <si>
    <t>Hitlers HeerfÃ¼hrer</t>
  </si>
  <si>
    <t>SED-Agrarpolitik unter sowjetischer Kontrolle 1949-1953</t>
  </si>
  <si>
    <t>Elke Scherstjanoi</t>
  </si>
  <si>
    <t>Die Herrschaft der Wehrmacht</t>
  </si>
  <si>
    <t>Zwischen Empire und Kontinent</t>
  </si>
  <si>
    <t>Andreas Rose-German Historical Institute London</t>
  </si>
  <si>
    <t>Vorbild USA?</t>
  </si>
  <si>
    <t>Stefan Paulus</t>
  </si>
  <si>
    <t>Der "VolkskÃ¶rper" im Krieg</t>
  </si>
  <si>
    <t>Winfried SÃ¼ÃŸ</t>
  </si>
  <si>
    <t>Politik der Bewegung</t>
  </si>
  <si>
    <t>Franz Eibl</t>
  </si>
  <si>
    <t>Entnazifizierung in Mecklenburg-Vorpommern</t>
  </si>
  <si>
    <t>Damian van Melis</t>
  </si>
  <si>
    <t>Vom Weltkrieg zum BÃ¼rgerkrieg?</t>
  </si>
  <si>
    <t>Andreas Wirsching</t>
  </si>
  <si>
    <t>Justiz in der SBZ/DDR 1945-1953</t>
  </si>
  <si>
    <t>Paul Reynaud (1878-1966)</t>
  </si>
  <si>
    <t>Von Stalingrad zur WÃ¤hrungsreform</t>
  </si>
  <si>
    <t>Martin Broszat-Klaus-Dietmar Henke-Hans Woller</t>
  </si>
  <si>
    <t>Justiz im Dritten Reich 1933-1940</t>
  </si>
  <si>
    <t>Lothar Gruchmann</t>
  </si>
  <si>
    <t>Ã–ffentliche Wohlfahrt und Judenverfolgung</t>
  </si>
  <si>
    <t>Wolf Gruner</t>
  </si>
  <si>
    <t>Chruschtschows Berlin-Krise 1958 bis 1963</t>
  </si>
  <si>
    <t>Vor dem dritten Staatsbankrott?</t>
  </si>
  <si>
    <t>Marc Hansmann</t>
  </si>
  <si>
    <t>Die See- und KÃ¼stenfischerei Mecklenburgs und Vorpommerns 1918 bis 1960</t>
  </si>
  <si>
    <t>Susanne Raillard</t>
  </si>
  <si>
    <t>LandbevÃ¶lkerung und Nationalsozialismus</t>
  </si>
  <si>
    <t>Rudolf Heberle</t>
  </si>
  <si>
    <t>Komintern und Faschismus</t>
  </si>
  <si>
    <t>Theo Pirker</t>
  </si>
  <si>
    <t>Die revolutionÃ¤re Illusion</t>
  </si>
  <si>
    <t>Wolfgang Benz-Hermann Graml</t>
  </si>
  <si>
    <t>Das OstbÃ¼ro der SPD</t>
  </si>
  <si>
    <t>Wolfgang Buschfort</t>
  </si>
  <si>
    <t>AnnÃ¤herung und Abgrenzung</t>
  </si>
  <si>
    <t>Roger Engelmann-Paul Erker</t>
  </si>
  <si>
    <t>Menschenversuche und Wiedergutmachung</t>
  </si>
  <si>
    <t>Stefanie Michaela Baumann</t>
  </si>
  <si>
    <t>Herbert Wehner in Schweden</t>
  </si>
  <si>
    <t>Michael F. Scholz</t>
  </si>
  <si>
    <t>Schleichende Entfremdung?</t>
  </si>
  <si>
    <t>Gian Enrico Rusconi-Thomas Schlemmer-Hans Woller</t>
  </si>
  <si>
    <t>Sprachpolitik im Britischen Empire</t>
  </si>
  <si>
    <t>Almut Steinbach-German Historical Institute London</t>
  </si>
  <si>
    <t>Gescheiterte Sozialpartnerschaft â€“ GefÃ¤hrdete Republik?</t>
  </si>
  <si>
    <t>Petra Weber</t>
  </si>
  <si>
    <t>Justiz und Diktatur</t>
  </si>
  <si>
    <t>Aufbruch, Krise und Erneuerung</t>
  </si>
  <si>
    <t>Abendland - Alpenland - Alemannien</t>
  </si>
  <si>
    <t>JÃ¼rgen KlÃ¶ckler</t>
  </si>
  <si>
    <t>Das "Ahnenerbe" der SS 1935-1945</t>
  </si>
  <si>
    <t>Michael H. Kater</t>
  </si>
  <si>
    <t>Einen Anfang finden!</t>
  </si>
  <si>
    <t>Dirk Kroegel</t>
  </si>
  <si>
    <t>GeglÃ¼ckte Integration?</t>
  </si>
  <si>
    <t>Dierk Hoffmann-Michael Schwartz</t>
  </si>
  <si>
    <t>Nach "Achtundsechzig"</t>
  </si>
  <si>
    <t>Keine Generalamnestie</t>
  </si>
  <si>
    <t>StaatssekretÃ¤r Wilhelm Stuckart und die Judenpolitik</t>
  </si>
  <si>
    <t>Hans-Christian Jasch</t>
  </si>
  <si>
    <t>Mitterrand und Deutschland</t>
  </si>
  <si>
    <t>Ulrich LappenkÃ¼per</t>
  </si>
  <si>
    <t>Der Troubadour der spanischen Falange</t>
  </si>
  <si>
    <t>JosÃ© Antonio Primo de Rivera</t>
  </si>
  <si>
    <t>Ende einer bÃ¼rgerlichen Kunst-Institution</t>
  </si>
  <si>
    <t>Hildegard Brenner</t>
  </si>
  <si>
    <t>Zwei Legenden aus dem Dritten Reich</t>
  </si>
  <si>
    <t>Hans-Heinrich Wilhelm-Louis de Jong</t>
  </si>
  <si>
    <t>Politik in Bayern 1919-1933</t>
  </si>
  <si>
    <t>Wirtschaft in Westdeutschland 1945-1948</t>
  </si>
  <si>
    <t>Werner Abelshauser</t>
  </si>
  <si>
    <t>Amerikanische Literaturpolitik in Deutschland 1945-1953</t>
  </si>
  <si>
    <t>HansjÃ¶rg Gehring</t>
  </si>
  <si>
    <t>Kultur auf TrÃ¼mmern</t>
  </si>
  <si>
    <t>Brewster S. Chamberlin</t>
  </si>
  <si>
    <t>Heimkehr aus dem Zweiten Weltkrieg</t>
  </si>
  <si>
    <t>Arthur L. Smith</t>
  </si>
  <si>
    <t>Ruhrstahl und Europa</t>
  </si>
  <si>
    <t>Werner BÃ¼hrer</t>
  </si>
  <si>
    <t>Die Deutschnationalen und die ZerstÃ¶rung der Weimarer Republik</t>
  </si>
  <si>
    <t>Hermann WeiÃŸ-Paul Hoser</t>
  </si>
  <si>
    <t>ZÃ¤suren nach 1945</t>
  </si>
  <si>
    <t>GÃ¼nzburg und der Fall Josef Mengele</t>
  </si>
  <si>
    <t>Epos Zeitgeschichte</t>
  </si>
  <si>
    <t>Goebbels` Mann beim Radio</t>
  </si>
  <si>
    <t>Max Bonacker</t>
  </si>
  <si>
    <t>Industriemoderne in der Provinz</t>
  </si>
  <si>
    <t>Kumpel und Genossen</t>
  </si>
  <si>
    <t>Dietmar SÃ¼ÃŸ</t>
  </si>
  <si>
    <t>Ghettorenten</t>
  </si>
  <si>
    <t>Lieschen MÃ¼ller wird politisch</t>
  </si>
  <si>
    <t>Christine Friederich-Nicole Kramer-Elisabeth Zellmer</t>
  </si>
  <si>
    <t>Ein bayerischer Kommunist im doppelten Deutschland</t>
  </si>
  <si>
    <t>Ernst Schumacher-Michael Schwartz</t>
  </si>
  <si>
    <t>Staaten als TÃ¤ter</t>
  </si>
  <si>
    <t>Michael Mayer</t>
  </si>
  <si>
    <t>Okkupation im Osten</t>
  </si>
  <si>
    <t>Demokratie in Deutschland und Frankreich 1918-1933/40</t>
  </si>
  <si>
    <t>Horst MÃ¶ller-Manfred Kittel</t>
  </si>
  <si>
    <t>Die Pfeilkreuzlerbewegung in Ungarn</t>
  </si>
  <si>
    <t>Margit SzÃ¶llÃ¶si-Janze</t>
  </si>
  <si>
    <t>Zivildienst zwischen Reform und Revolte</t>
  </si>
  <si>
    <t>Patrick Bernhard</t>
  </si>
  <si>
    <t>"Madagaskar fÃ¼r die Juden"</t>
  </si>
  <si>
    <t>Magnus Brechtken</t>
  </si>
  <si>
    <t>Justiz in Brandenburg 1945-1955</t>
  </si>
  <si>
    <t>Gesellschaft und Politik in der amerikanischen Besatzungszone</t>
  </si>
  <si>
    <t>Die Schweiz und Deutschland 1945-1961</t>
  </si>
  <si>
    <t>Antoine Fleury-Horst MÃ¶ller-Hans-Peter Schwarz</t>
  </si>
  <si>
    <t>"Der franzÃ¶sischen Sprache mÃ¤chtig"</t>
  </si>
  <si>
    <t>Claudie Paye</t>
  </si>
  <si>
    <t>Elite fÃ¼r Volk und FÃ¼hrer?</t>
  </si>
  <si>
    <t>Bastian Hein</t>
  </si>
  <si>
    <t>Zwischen Paris und Moskau</t>
  </si>
  <si>
    <t>Cristina LÃ©on</t>
  </si>
  <si>
    <t>Michail Gorbatschow und die deutsche Frage</t>
  </si>
  <si>
    <t>Aleksandr Galkin-Anatolij Tschernjajew</t>
  </si>
  <si>
    <t>Der Weg in den Krieg 1938/39</t>
  </si>
  <si>
    <t>Angela Hermann</t>
  </si>
  <si>
    <t>Reform und Revolte</t>
  </si>
  <si>
    <t>Udo Wengst</t>
  </si>
  <si>
    <t>Der Volksgerichtshof im nationalsozialistischen Staat</t>
  </si>
  <si>
    <t>Walter Wagner</t>
  </si>
  <si>
    <t>Autarkiepolitik im Dritten Reich</t>
  </si>
  <si>
    <t>Die Frau im NS-Staat</t>
  </si>
  <si>
    <t>Dorothee Klinksiek</t>
  </si>
  <si>
    <t>Wiederbewaffnung und Westintegration</t>
  </si>
  <si>
    <t>Klaus von Schubert</t>
  </si>
  <si>
    <t>Mitbestimmung in der Montanindustrie</t>
  </si>
  <si>
    <t>Horst Thum</t>
  </si>
  <si>
    <t>Das Dritte Reich und die Deutschen in der Sowjetunion</t>
  </si>
  <si>
    <t>Ingeborg Fleischhauer</t>
  </si>
  <si>
    <t>Deutschlandpolitik 1949-1972</t>
  </si>
  <si>
    <t>Hans Buchheim</t>
  </si>
  <si>
    <t>Das Tagebuch der Hertha Nathorff</t>
  </si>
  <si>
    <t>RevolutionÃ¤rer Wandel auf Befehl?</t>
  </si>
  <si>
    <t>Helga Welsh</t>
  </si>
  <si>
    <t>Vom StÃ¤ndestaat zur Demokratie</t>
  </si>
  <si>
    <t>Fernando Rosas</t>
  </si>
  <si>
    <t>Die Judenpolitik des SD 1935 bis 1938</t>
  </si>
  <si>
    <t>Institut Fuer Zeitgeschichte</t>
  </si>
  <si>
    <t>Auf den TrÃ¼mmern von KÃ¶nigsberg</t>
  </si>
  <si>
    <t>Bert Hoppe</t>
  </si>
  <si>
    <t>Die Bundesrepublik und Franco-Spanien in den 50er Jahren</t>
  </si>
  <si>
    <t>Walter Lehmann</t>
  </si>
  <si>
    <t>Hinter den Kulissen des Nationalkomitees</t>
  </si>
  <si>
    <t>JÃ¶rg MorrÃ©</t>
  </si>
  <si>
    <t>Akten zur AuswÃ¤rtigen Politik der Bundesrepublik Deutschland 1979</t>
  </si>
  <si>
    <t>Michael Ploetz-Tim Szatkowski</t>
  </si>
  <si>
    <t>Akten zur AuswÃ¤rtigen Politik der Bundesrepublik Deutschland 1976</t>
  </si>
  <si>
    <t>Matthias Peter-Michael Ploetz-Tim Geiger</t>
  </si>
  <si>
    <t>Akten zur AuswÃ¤rtigen Politik der Bundesrepublik Deutschland 1982</t>
  </si>
  <si>
    <t>Michael Ploetz-Tim Szatkowski-Judith Michel</t>
  </si>
  <si>
    <t>Matthias Peter-Michael Kieninger-Michael Ploetz-Mechthild LIndemann-Fabian Hilfrich</t>
  </si>
  <si>
    <t>Akten zur AuswÃ¤rtigen Politik der Bundesrepublik Deutschland 1978</t>
  </si>
  <si>
    <t>Daniela Taschler-Amit Das Gupta-Michael Mayer</t>
  </si>
  <si>
    <t>Akten zur AuswÃ¤rtigen Politik der Bundesrepublik Deutschland 1975</t>
  </si>
  <si>
    <t>Michael Kieninger-Mechthild Lindemann-Daniela Taschler</t>
  </si>
  <si>
    <t>Die Politik der Sowjetischen MilitÃ¤radministration in Deutschland (SMAD): Kultur, Wissenschaft und Bildung 1945-1949</t>
  </si>
  <si>
    <t>Alexandr O. Tschubarjan-Horst MÃ¶ller-Wladimir P. Koslow-Sergei W. Mironenko-Hartmut Weber-Jan Foitzik-Natalja P. Timofejewa</t>
  </si>
  <si>
    <t>Sowjetische Partisanen in WeiÃŸruÃŸland</t>
  </si>
  <si>
    <t>Bogdan Musial</t>
  </si>
  <si>
    <t>Deutsche und polnische Juden vor dem Holocaust</t>
  </si>
  <si>
    <t>Yfaat Weiss</t>
  </si>
  <si>
    <t>Meldungen aus Norwegen 1940-1945</t>
  </si>
  <si>
    <t>Stein Ugelvik Larsen-Beatrice Sandberg-Volker Dahm</t>
  </si>
  <si>
    <t>Werner Bergengruen</t>
  </si>
  <si>
    <t>Frank-Lothar Kroll-Luise Hackelsberger-Sylvia Taschka</t>
  </si>
  <si>
    <t>Von der "OrdinarienuniversitÃ¤t" zur "Revolutionszentrale"?</t>
  </si>
  <si>
    <t>Anne Rohstock</t>
  </si>
  <si>
    <t>Der Fiskus als Verfolger</t>
  </si>
  <si>
    <t>Axel Drecoll</t>
  </si>
  <si>
    <t>AnnÃ¤herung an Frankreich im Dienste Hitlers?</t>
  </si>
  <si>
    <t>Roland Ray</t>
  </si>
  <si>
    <t>Kommunale Wohnungspolitik im Dritten Reich</t>
  </si>
  <si>
    <t>Ulrike Haerendel</t>
  </si>
  <si>
    <t>Betriebliche Mitbestimmung in der Weimarer Republik</t>
  </si>
  <si>
    <t>Wiedergutmachung</t>
  </si>
  <si>
    <t>Constantin Goschler</t>
  </si>
  <si>
    <t>Das Amt Rosenberg und seine Gegner</t>
  </si>
  <si>
    <t>Reinhard Bollmus</t>
  </si>
  <si>
    <t>Die Westdeutschen und die Dritte Welt</t>
  </si>
  <si>
    <t>Vom Marshallplan zur EWG</t>
  </si>
  <si>
    <t>Ludolf Herbst-Werner BÃ¼hrer-Hanno Sowade</t>
  </si>
  <si>
    <t>Pour le mÃ©rite und Hakenkreuz</t>
  </si>
  <si>
    <t>Alfred Kube</t>
  </si>
  <si>
    <t>Konservative Revolution in Frankreich?</t>
  </si>
  <si>
    <t>Hans-W. Eckert</t>
  </si>
  <si>
    <t>Sozialstaatlichkeit in der DDR</t>
  </si>
  <si>
    <t>Familienpolitik im fÃ¶derativen Sozialstaat</t>
  </si>
  <si>
    <t>Christiane Kuller</t>
  </si>
  <si>
    <t>Zwischen Widerstand und Martyrium</t>
  </si>
  <si>
    <t>Detlef Garbe</t>
  </si>
  <si>
    <t>Medizin und Gesundheitspolitik in der NS-Zeit</t>
  </si>
  <si>
    <t>Das deutsche Problem in der neueren Geschichte</t>
  </si>
  <si>
    <t>Karl O. Freiherr von Aretin-Jacques Bariety-Horst MÃ¶ller</t>
  </si>
  <si>
    <t>Marsch durch die Institutionen?</t>
  </si>
  <si>
    <t>Manfred Kittel</t>
  </si>
  <si>
    <t>Die UdSSR und der Nahe Osten</t>
  </si>
  <si>
    <t>Wiebke Bachmann</t>
  </si>
  <si>
    <t>Politik in der Reichskanzlei</t>
  </si>
  <si>
    <t>Hermann PÃ¼nder-Thilo Vogelsang</t>
  </si>
  <si>
    <t>Nationalsozialistische GroÃŸraumordnung</t>
  </si>
  <si>
    <t>Willi MÃ¼nzenberg</t>
  </si>
  <si>
    <t>Babette Gross</t>
  </si>
  <si>
    <t>Beamtentum im Dritten Reich</t>
  </si>
  <si>
    <t>Hans Mommsen</t>
  </si>
  <si>
    <t>Reichskommissariat Niederlande</t>
  </si>
  <si>
    <t>Konrad Kwiet</t>
  </si>
  <si>
    <t>Die Volksfeind-Ideologie</t>
  </si>
  <si>
    <t>Hermann Bott</t>
  </si>
  <si>
    <t>Christentum und Sozialismus in der frÃ¼hen CDU</t>
  </si>
  <si>
    <t>Rudolf Uertz</t>
  </si>
  <si>
    <t>Paneuropa oder Mitteleuropa</t>
  </si>
  <si>
    <t>Reinhard Frommelt</t>
  </si>
  <si>
    <t>Der "Fall Dohnanyi" 1943-1945</t>
  </si>
  <si>
    <t>Elisabeth Chowaniec</t>
  </si>
  <si>
    <t>Drei Wege deutscher Sozialstaatlichkeit</t>
  </si>
  <si>
    <t>Im "Luftschutzkeller des Reiches"</t>
  </si>
  <si>
    <t>Katja Klee</t>
  </si>
  <si>
    <t>Die Stalin-Note vom 10. MÃ¤rz 1952</t>
  </si>
  <si>
    <t>Die Sowjetunion und die Dritte Welt</t>
  </si>
  <si>
    <t>Wehrmacht im Ostkrieg</t>
  </si>
  <si>
    <t>Christian Hartmann</t>
  </si>
  <si>
    <t>Stralsund</t>
  </si>
  <si>
    <t>Detlev Brunner</t>
  </si>
  <si>
    <t>Gesellschaft im Wandel 1949 bis 1973</t>
  </si>
  <si>
    <t>Hitler und England</t>
  </si>
  <si>
    <t>Soziale Ungleichheit im Sozialstaat</t>
  </si>
  <si>
    <t>Hans GÃ¼nter Hockerts-Winfried SÃ¼ÃŸ</t>
  </si>
  <si>
    <t>Grenzen der FreizÃ¼gigkeit</t>
  </si>
  <si>
    <t>Christiane Reinecke-German Historical Institute London</t>
  </si>
  <si>
    <t>Otto Grotewohl (1894-1964)</t>
  </si>
  <si>
    <t>Dierk Hoffmann</t>
  </si>
  <si>
    <t>Der deutsche Krieg im Osten 1941-1944</t>
  </si>
  <si>
    <t>Christian Hartmann-Johannes HÃ¼rter-Peter Lieb-Dieter Pohl</t>
  </si>
  <si>
    <t>Sozialisten und Radicaux - eine schwierige Allianz</t>
  </si>
  <si>
    <t>Daniela Neri-Ultsch</t>
  </si>
  <si>
    <t>Das schwierige Spiel des Parlamentarismus</t>
  </si>
  <si>
    <t>Thomas Raithel</t>
  </si>
  <si>
    <t>Die deutsch-franzÃ¶sischen Beziehungen 1949-1963</t>
  </si>
  <si>
    <t>Provinz zwischen Reich und Republik</t>
  </si>
  <si>
    <t>Amerikanische Geheimdienstanalysen Ã¼ber Deutschland 1942â€“1949</t>
  </si>
  <si>
    <t>Petra Marquardt-Bigman</t>
  </si>
  <si>
    <t>Die westdeutschen LÃ¤nder und die Entstehung der Bundesrepulik</t>
  </si>
  <si>
    <t>Bettina Blank</t>
  </si>
  <si>
    <t>Erziehung und Kulturmission</t>
  </si>
  <si>
    <t>Stefan Zauner</t>
  </si>
  <si>
    <t>Deutsche Unternehmer zwischen Kriegswirtschaft und Wiederaufbau</t>
  </si>
  <si>
    <t>Paul Erker-Toni Pierenkemper</t>
  </si>
  <si>
    <t>Armut und Wahnsinn</t>
  </si>
  <si>
    <t>Jens GrÃ¼ndler-German Historical Institute London</t>
  </si>
  <si>
    <t>BÃ¼rgerwille und Gebietsreform</t>
  </si>
  <si>
    <t>Sabine Mecking</t>
  </si>
  <si>
    <t>Die geteilte Nation</t>
  </si>
  <si>
    <t>Andreas Hilger-Oliver Wrochem</t>
  </si>
  <si>
    <t>Kulmination der Berlin-Krise (Herbst 1960 bis Herbst 1962)</t>
  </si>
  <si>
    <t>Geschichte eines Buches: Adolf Hitlers "Mein Kampf"</t>
  </si>
  <si>
    <t>Othmar PlÃ¶ckinger</t>
  </si>
  <si>
    <t>BildungsbÃ¼rger in Demokratie und Diktatur</t>
  </si>
  <si>
    <t>Henrik Bispinck</t>
  </si>
  <si>
    <t>Staat und Terrorismus in Italien 1969-1982</t>
  </si>
  <si>
    <t>Tobias Hof</t>
  </si>
  <si>
    <t>Deutschland und die Reparation 1918/1919</t>
  </si>
  <si>
    <t>Studien zu Geschichte der Konzentrationslager</t>
  </si>
  <si>
    <t>Timpke, Henning.-Kolb, Eberhard.-Bornemann, Manfred.-Broszat, Martin.-Johe, Werner.-Rabitsch, Gisela.-Arndt, Ino.</t>
  </si>
  <si>
    <t>Die wirtschaftlichen Unternehmungen der SS</t>
  </si>
  <si>
    <t>Enno Georg</t>
  </si>
  <si>
    <t>Politische SÃ¤uberung unter franzÃ¶sischer Besatzung</t>
  </si>
  <si>
    <t>Lockung und Zwang</t>
  </si>
  <si>
    <t>Andreas Kranig</t>
  </si>
  <si>
    <t>Anfangsjahre der Bundesrepublik</t>
  </si>
  <si>
    <t>Manfred Todt</t>
  </si>
  <si>
    <t>Frankreich und die deutsche Einheit</t>
  </si>
  <si>
    <t>Nikolaus Meyer-Landrut</t>
  </si>
  <si>
    <t>Der "Volksdeutsche Selbstschutz" in Polen 1939/1940</t>
  </si>
  <si>
    <t>Christian Jansen-Arno Weckbecker</t>
  </si>
  <si>
    <t>Der unstete Nachbar</t>
  </si>
  <si>
    <t>Andreas Wilkens</t>
  </si>
  <si>
    <t>Die Europapolitik der GroÃŸen Koalition 1966-1969</t>
  </si>
  <si>
    <t>Henning TÃ¼rk</t>
  </si>
  <si>
    <t>Die Bundesbank im westeuropÃ¤ischen Wiederaufbau</t>
  </si>
  <si>
    <t>Monika Dickhaus</t>
  </si>
  <si>
    <t>Die "vermiÃŸte Million"</t>
  </si>
  <si>
    <t>Die RÃ¼ckkehr der Arbeitslosigkeit</t>
  </si>
  <si>
    <t>Thomas Raithel-Thomas Schlemmer</t>
  </si>
  <si>
    <t>An der Spitze der CSU</t>
  </si>
  <si>
    <t>JaromÃ­r Balcar-Thomas Schlemmer</t>
  </si>
  <si>
    <t>AuÃŸenpolitik in engen Grenzen</t>
  </si>
  <si>
    <t>Nationalsozialistische Kommunalpolitik</t>
  </si>
  <si>
    <t>Nationale Kontrahenten oder Partner?</t>
  </si>
  <si>
    <t>Christoph Boyer</t>
  </si>
  <si>
    <t>Minderheit im Nationalstaat</t>
  </si>
  <si>
    <t>Jaroslav Kucera</t>
  </si>
  <si>
    <t>Verhandelte Gerechtigkeit</t>
  </si>
  <si>
    <t>Tobias Winstel</t>
  </si>
  <si>
    <t>Johannes Schauff (1902-1990)</t>
  </si>
  <si>
    <t>Dieter Marc Schneider</t>
  </si>
  <si>
    <t>Die Abrechnung mit dem Faschismus in Italien 1943 bis 1948</t>
  </si>
  <si>
    <t>Der Alliierte Kontrollrat in Deutschland 1945-1948</t>
  </si>
  <si>
    <t>Gunther Mai</t>
  </si>
  <si>
    <t>Das letzte Jahr der SBZ</t>
  </si>
  <si>
    <t>Dierk Hoffmann-Hermann Wentker</t>
  </si>
  <si>
    <t>Erobert oder befreit?</t>
  </si>
  <si>
    <t>Hartmut Mehringer-Michael Schwartz-Hermann Wentker</t>
  </si>
  <si>
    <t>Nationalsozialismus in der Region</t>
  </si>
  <si>
    <t>Horst MÃ¶ller-Andreas Wirsching-Walter Ziegler</t>
  </si>
  <si>
    <t>Willy Brandt und Frankreich</t>
  </si>
  <si>
    <t>Horst MÃ¶ller-Maurice Vaisse</t>
  </si>
  <si>
    <t>Jugendarbeitslosigkeit in der Bundesrepublik</t>
  </si>
  <si>
    <t>Das letzte Urteil</t>
  </si>
  <si>
    <t>Rainer Volk</t>
  </si>
  <si>
    <t>Die DDR im KSZE-Prozess 1972-1985</t>
  </si>
  <si>
    <t>Anja Hanisch</t>
  </si>
  <si>
    <t>Demokratischer Staat und transnationaler Terrorismus</t>
  </si>
  <si>
    <t>Matthias Dahlke</t>
  </si>
  <si>
    <t>VertriebenenverbÃ¤nde im Fadenkreuz</t>
  </si>
  <si>
    <t>In Stalins Gefolgschaft</t>
  </si>
  <si>
    <t>"Geistige Gefahr" und "Immunisierung der Gesellschaft"</t>
  </si>
  <si>
    <t>Stefan Creuzberger-Dierk Hoffmann</t>
  </si>
  <si>
    <t>Die Bodenreform in der Britischen Zone 1945-1949</t>
  </si>
  <si>
    <t>GÃ¼nter Trittel</t>
  </si>
  <si>
    <t>Die baltische Krise 1938-1941</t>
  </si>
  <si>
    <t>Seppo Myllyniemi</t>
  </si>
  <si>
    <t>Polnische Ostpolitik nach dem Ersten Weltkrieg</t>
  </si>
  <si>
    <t>Kai von Jena</t>
  </si>
  <si>
    <t>Der Rathenaumord</t>
  </si>
  <si>
    <t>Martin Sabrow</t>
  </si>
  <si>
    <t>Medizinisches Ethos und theologische Ethik</t>
  </si>
  <si>
    <t>Uwe Gerrens</t>
  </si>
  <si>
    <t>Ulbricht, Chruschtschow und die Mauer</t>
  </si>
  <si>
    <t>Matthias Uhl-Armin Wagner</t>
  </si>
  <si>
    <t>Stalins groÃŸer Bluff</t>
  </si>
  <si>
    <t>Peter Ruggenthaler</t>
  </si>
  <si>
    <t>Die bleiernen Jahre</t>
  </si>
  <si>
    <t>Macht der Schrift</t>
  </si>
  <si>
    <t>Andreas Pecar-German Historical Institute London</t>
  </si>
  <si>
    <t>Terrorismus und Freiheitskampf</t>
  </si>
  <si>
    <t>Nikolaus Braun-German Historical Institute London</t>
  </si>
  <si>
    <t>Kommunikation und Kontrolle</t>
  </si>
  <si>
    <t>Florian AltenhÃ¶ner-German Historical Institute London</t>
  </si>
  <si>
    <t>Konventioneller Krieg oder NS-Weltanschauungskrieg?</t>
  </si>
  <si>
    <t>Peter Lieb</t>
  </si>
  <si>
    <t>Ã–ffentliche Geheimnisse</t>
  </si>
  <si>
    <t>Frank BÃ¶sch-German Historical Institute London</t>
  </si>
  <si>
    <t>Elite im Verborgenen</t>
  </si>
  <si>
    <t>Carsten Schreiber</t>
  </si>
  <si>
    <t>Ordnung, Familie, Vaterland</t>
  </si>
  <si>
    <t>Michael Hoffmann</t>
  </si>
  <si>
    <t>Otto Klepper (1888â€“1957)</t>
  </si>
  <si>
    <t>Astrid von Pufendorf</t>
  </si>
  <si>
    <t>Die deutschen Sozialdemokraten und das sowjetische Modell</t>
  </si>
  <si>
    <t>Von der Deutschen Akademie zum Goethe-Institut</t>
  </si>
  <si>
    <t>Eckard Michels</t>
  </si>
  <si>
    <t>Evangelische Kirche und Entnazifizierung 1945â€“1949</t>
  </si>
  <si>
    <t>Clemens Vollnhals</t>
  </si>
  <si>
    <t>Sophies Schwester</t>
  </si>
  <si>
    <t>Christine Friederich</t>
  </si>
  <si>
    <t>Neo-Tories</t>
  </si>
  <si>
    <t>Bernhard Dietz-German Historical Institute London</t>
  </si>
  <si>
    <t>Sowjetische Deutschland-Politik 1953 bis 1958</t>
  </si>
  <si>
    <t>SÃ¼dtirol und die Achse Berlin - Rom 1938-1945</t>
  </si>
  <si>
    <t>Conrad F. Latour</t>
  </si>
  <si>
    <t>Der kroatische Ustascha-Staat 1941-1945</t>
  </si>
  <si>
    <t>Ladislaus Hory-Martin Broszat</t>
  </si>
  <si>
    <t>Inspektionsreisen in der US-Zone</t>
  </si>
  <si>
    <t>Walter L. Dorn-Lutz Niethammer</t>
  </si>
  <si>
    <t>Die Gauleiter</t>
  </si>
  <si>
    <t>Peter HÃ¼ttenberger</t>
  </si>
  <si>
    <t>Heeresadjutant bei Hitler 1938-1943</t>
  </si>
  <si>
    <t>Hildegard von Kotze</t>
  </si>
  <si>
    <t>Lehrjahre der CSU</t>
  </si>
  <si>
    <t>Klaus-Dietmar Henke-Hans Woller</t>
  </si>
  <si>
    <t>Von Adenauer zu Erhard</t>
  </si>
  <si>
    <t>Rainer Blasius</t>
  </si>
  <si>
    <t>Industrie und Gewekschaften 1918-1924</t>
  </si>
  <si>
    <t>Gerald D. Feldman-Irmgard Steinisch</t>
  </si>
  <si>
    <t>Die dritte Atommacht</t>
  </si>
  <si>
    <t>Susanne Schrafstetter</t>
  </si>
  <si>
    <t>Berlusconi an der Macht</t>
  </si>
  <si>
    <t>Nach NÃ¼rnberg und Tokio</t>
  </si>
  <si>
    <t>Die SED und ihre Armee</t>
  </si>
  <si>
    <t>Daniel Giese</t>
  </si>
  <si>
    <t>Zwei Staaten, zwei Literaturen?</t>
  </si>
  <si>
    <t>Von Feldherren und Gefreiten</t>
  </si>
  <si>
    <t>Politik und Kultur im fÃ¶derativen Staat 1949 bis 1973</t>
  </si>
  <si>
    <t>Menschenrechte im Schatten kolonialer Gewalt</t>
  </si>
  <si>
    <t>Fabian Klose-German Historical Institute London</t>
  </si>
  <si>
    <t>Krieg um Berlin?</t>
  </si>
  <si>
    <t>Matthias Uhl</t>
  </si>
  <si>
    <t>Durch alle Klippen hindurch zum Erfolg</t>
  </si>
  <si>
    <t>Joachim Samuel Eichhorn</t>
  </si>
  <si>
    <t>Vertreibung der Vertriebenen?</t>
  </si>
  <si>
    <t>Kredite fÃ¼r NS-Verbrechen</t>
  </si>
  <si>
    <t>Ingo Loose</t>
  </si>
  <si>
    <t>Das Europa der Deutschen</t>
  </si>
  <si>
    <t>Vanessa Conze</t>
  </si>
  <si>
    <t>Aufbau und Krise der Planwirtschaft</t>
  </si>
  <si>
    <t>Vertriebene und "Umsiedlerpolitik"</t>
  </si>
  <si>
    <t>Motorisierung und "Volksgemeinschaft"</t>
  </si>
  <si>
    <t>Dorothee Hochstetter</t>
  </si>
  <si>
    <t>Schulpolitik in Bayern im Spannungsfeld von KultusbÃ¼rokratie und Besatzungsmacht 1945-1949</t>
  </si>
  <si>
    <t>Winfried MÃ¼ller</t>
  </si>
  <si>
    <t>John Maynard Keynes und die britische Deutschlandpolitik</t>
  </si>
  <si>
    <t>Westdeutschland in der OEEC</t>
  </si>
  <si>
    <t>Propagandisten im Krieg</t>
  </si>
  <si>
    <t>Peter Longerich</t>
  </si>
  <si>
    <t>Europas Weg in den Krieg</t>
  </si>
  <si>
    <t>FÃ¼rsorge im Wirtschaftsboom</t>
  </si>
  <si>
    <t>Friederike FÃ¶cking</t>
  </si>
  <si>
    <t>Deutschland und Israel 1945â€“1965</t>
  </si>
  <si>
    <t>Yeshayahu Jelinek</t>
  </si>
  <si>
    <t>Blockpartei und Agrarrevolution von oben</t>
  </si>
  <si>
    <t>Theresia Bauer</t>
  </si>
  <si>
    <t>Provinzfaschismus in Italien</t>
  </si>
  <si>
    <t>Roger Engelmann</t>
  </si>
  <si>
    <t>Vor dem Mauerbau</t>
  </si>
  <si>
    <t>Dierk Hoffmann-Michael Schwartz-Hermann Wentker</t>
  </si>
  <si>
    <t>Das Andere der Monarchie</t>
  </si>
  <si>
    <t>Jan-Friedrich MiÃŸfelder</t>
  </si>
  <si>
    <t>Ethnische "SÃ¤uberungen" in der Moderne</t>
  </si>
  <si>
    <t>La connaissance du Saint-Empire en France du baroque aux LumiÃ¨res 1643-1756</t>
  </si>
  <si>
    <t>Ontological Investigations</t>
  </si>
  <si>
    <t>Ingvar Johansson</t>
  </si>
  <si>
    <t>Tractate Ketubot</t>
  </si>
  <si>
    <t>Tractate Yebamot</t>
  </si>
  <si>
    <t>BrÃ¼cken schlagen</t>
  </si>
  <si>
    <t>Hardarik BlÃ¼hdorn-Eva Breindl-Ulrich Hermann WaÃŸner</t>
  </si>
  <si>
    <t>Sprachverfall?</t>
  </si>
  <si>
    <t>Albrecht Plewnia-Andreas Witt</t>
  </si>
  <si>
    <t>Entspannung in Europa</t>
  </si>
  <si>
    <t>Gottfried Niedhart</t>
  </si>
  <si>
    <t>Die AnfÃ¤nge der Gegenwart</t>
  </si>
  <si>
    <t>Morten Reitmayer-Thomas Schlemmer</t>
  </si>
  <si>
    <t>Approaches to World Literature</t>
  </si>
  <si>
    <t>Akten zur AuswÃ¤rtigen Politik der Bundesrepublik Deutschland 1983</t>
  </si>
  <si>
    <t>Horst MÃ¶ller-Gregor SchÃ¶llgen-Tim Geiger-Matthias Peter-Mechthild Lindemann</t>
  </si>
  <si>
    <t>1933/1934</t>
  </si>
  <si>
    <t>Kriminologie in der Zivilgesellschaft</t>
  </si>
  <si>
    <t>Sabine Freitag-German Historical Institute London</t>
  </si>
  <si>
    <t>WÃ¶rterbuch zum Demokratiediskurs 1967/68</t>
  </si>
  <si>
    <t>Heidrun KÃ¤mper</t>
  </si>
  <si>
    <t>Imitate Anacreon!</t>
  </si>
  <si>
    <t>Manuel Baumbach-Nicola DÃ¼mmler</t>
  </si>
  <si>
    <t>Gottes Werk und Teufels Wirken</t>
  </si>
  <si>
    <t>Bettina KrÃ¶nung</t>
  </si>
  <si>
    <t>Verkehrsdatenerfassung mittels Floating Car Observer auf zweistreifigen Landstrassen</t>
  </si>
  <si>
    <t>KuÌˆhnel, Carsten.</t>
  </si>
  <si>
    <t>Logistikimmobilien vom Band</t>
  </si>
  <si>
    <t>Groenmeyer, Thomas.</t>
  </si>
  <si>
    <t>CAD-integrierte Modellierung von agentenbasierten Simulationsmodellen fuÌˆr die Bauablaufsimulation im Hochbau</t>
  </si>
  <si>
    <t>KuÌˆgler, Martin.</t>
  </si>
  <si>
    <t>Computer Modeling and Investigation on the Steel Corrosion in Cracked Ultra High Performance Concrete</t>
  </si>
  <si>
    <t>Rafiee, Alireza.</t>
  </si>
  <si>
    <t>Was ist gute Supervision? Grundlagen - Merkmale - Methoden</t>
  </si>
  <si>
    <t>MÃ¶ller, Heidi</t>
  </si>
  <si>
    <t>Studium der Elektron-Phonon-Kopplung in nanostrukturierten Adsorbatsystemen mittels winkelaufgeloÌˆster Photoelektronenspektroskopie</t>
  </si>
  <si>
    <t>Bumiller, Christian.</t>
  </si>
  <si>
    <t>Herausforderungen an eine neue Kreislaufwirtschaft</t>
  </si>
  <si>
    <t>Halm, Gerhard.-Urban, Arnd I.</t>
  </si>
  <si>
    <t>Teaching Right Livelihood</t>
  </si>
  <si>
    <t>Christoforatou, Ellen.</t>
  </si>
  <si>
    <t>Ein gekoppeltes Finite-Elemente/Discontinuous-Galerkin-Verfahren zur Simulation von StroÌˆmungs-Transport-Problem</t>
  </si>
  <si>
    <t>Kopecz, Stefan.</t>
  </si>
  <si>
    <t>On the Numerical Solution of Nonlinear and Hybrid Optimal Control Problems</t>
  </si>
  <si>
    <t>Rungger, Matthias.</t>
  </si>
  <si>
    <t>Device Characterization and Modeling of Large-size GaN HEMTs</t>
  </si>
  <si>
    <t>Flores, Jaime Alberto Zamudio.</t>
  </si>
  <si>
    <t>Resonante Starkfeld-Kontrolle kohaÌˆrenter elektronischer Dynamik im K-Atom und K2-MolekuÌˆl</t>
  </si>
  <si>
    <t>Bayer, Tim.</t>
  </si>
  <si>
    <t>Mikrostrukturelle Untersuchungen der Rissinitiierung und -ausbreitung in intermetallischen TiAI-Legierungen unter zyklischer und quasistatischer Belatsung</t>
  </si>
  <si>
    <t>Wessel, Waldermar.</t>
  </si>
  <si>
    <t>Theodizee--Einbruchstelle des Glaubens bei Jugendlichen?</t>
  </si>
  <si>
    <t>Neruda, Stefanie.</t>
  </si>
  <si>
    <t>Gestaltung und EinsatzmoÌˆglichkeiten einer Lernkiste zur JosefserzaÌˆhlung fuÌˆr ein 4. Schuljahr</t>
  </si>
  <si>
    <t>Illner, Rebekka.</t>
  </si>
  <si>
    <t>Das Hochschulstudium nach Bologna</t>
  </si>
  <si>
    <t>Zinger, Benjamin.</t>
  </si>
  <si>
    <t>Rechtliche Rahmenbedingungen der unkonventionellen ErdgasfoÌˆrderung mittels Fracking</t>
  </si>
  <si>
    <t>Rossnagel, Alexander.-Polzer, Andreas.-Hentschel, Anja.</t>
  </si>
  <si>
    <t>Auf der Grenze-- Religionsdidaktik in religionsphilosophischer Perspektive</t>
  </si>
  <si>
    <t>Kaloudis, Anke.</t>
  </si>
  <si>
    <t>Konstruktion und Wirtschaftlichkeit von Whitetopping aus Hochleistungsbeton fuÌˆr Fahrbahnen</t>
  </si>
  <si>
    <t>Schmidt, Cornelia.</t>
  </si>
  <si>
    <t>Psychotherapieausbildungsforschung</t>
  </si>
  <si>
    <t>Pauza, Elisabeth.</t>
  </si>
  <si>
    <t>Steigerung der Wandlungs- und Energieeffizienz durch Kopplung von Biomassekonversionsverfahren und modulierend betriebene Biogasproduktion mit dezentraler Energiebereitstellung</t>
  </si>
  <si>
    <t>Bastian, Oliver.</t>
  </si>
  <si>
    <t>Technische Konvergenz im Hybrid-TV und divergenter Rechtsrahmen fuÌˆr Fernsehen und Internet</t>
  </si>
  <si>
    <t>Boos, Carina.</t>
  </si>
  <si>
    <t>HausaÌˆrztliche Krankheitskonzepte in Biographie und Interaktion</t>
  </si>
  <si>
    <t>Wollny, Anja.</t>
  </si>
  <si>
    <t>Die Professionalisierung Studierender durch ReflexionsgespraÌˆche</t>
  </si>
  <si>
    <t>Schmidl, Sarah-Maria.</t>
  </si>
  <si>
    <t>Callcenter aus der Perspektive des Datenschutzes</t>
  </si>
  <si>
    <t>Hoss, Dennis.</t>
  </si>
  <si>
    <t>Die Erforschung der "Gehirnbewegungen" in medizinhistorischer Sicht</t>
  </si>
  <si>
    <t>Nagel, Thomas T.</t>
  </si>
  <si>
    <t>GATS als unmittelbar geltendes Recht in der EU und Deutschland mit besonderem Blick auf "Bildungsdienstleistungen" am Beispiel von E-Learning</t>
  </si>
  <si>
    <t>Tiedtke, Esther.</t>
  </si>
  <si>
    <t>Sicherheitsmassnahmen an FlughaÌˆfen im Lichte der Grundrechte</t>
  </si>
  <si>
    <t>Kroschwald, Steffen.</t>
  </si>
  <si>
    <t>Ethische Aspekte der Donogenen Insemination</t>
  </si>
  <si>
    <t>Fischer, Tobias H. J.</t>
  </si>
  <si>
    <t>Determinants of Labour Migration Decisions</t>
  </si>
  <si>
    <t>Syafitri, Wildan.</t>
  </si>
  <si>
    <t>Challenges of a Common Climate Policy</t>
  </si>
  <si>
    <t>Aufenanger, Vanessa.</t>
  </si>
  <si>
    <t>Entwicklung einer differenzierten Preisgleitklausel fuÌˆr FunktionsbauvertraÌˆge im Strassenbau</t>
  </si>
  <si>
    <t>AltmuÌˆller, Patrick.</t>
  </si>
  <si>
    <t>Reisezeitermittlung im motorisierten Individualverkehr mit Hilfe drahtloser Kommunikationstechnologien</t>
  </si>
  <si>
    <t>Leitzke, Christian.</t>
  </si>
  <si>
    <t>RealitaÌˆt verstehen</t>
  </si>
  <si>
    <t>ART / Folk &amp; Outsider Art</t>
  </si>
  <si>
    <t>Boom, Holger van den</t>
  </si>
  <si>
    <t>Vom Umgang Jugendlicher mit der Leidfrage</t>
  </si>
  <si>
    <t>Rode, Magdalena.</t>
  </si>
  <si>
    <t>Determinants of Farm Income and Agricultural Risk Management Strategies</t>
  </si>
  <si>
    <t>QaÌ„sim, MuhÌ£ammad.</t>
  </si>
  <si>
    <t>Zur Effizienten Kopplung von Simulationsprogrammen</t>
  </si>
  <si>
    <t>Busch, Martin.</t>
  </si>
  <si>
    <t>Zuteilung der CO2-Zertifikate in einem Emissionshandelssystem</t>
  </si>
  <si>
    <t>Gerner, Daria.</t>
  </si>
  <si>
    <t>IdentitaÌˆt und oÌˆffentlicher Raum</t>
  </si>
  <si>
    <t>GoÌˆtz, Gabriele Franziska-Bereswill, Bechthild</t>
  </si>
  <si>
    <t>Facetten des Gotteskonzepts</t>
  </si>
  <si>
    <t>Pfeil, Carolin.</t>
  </si>
  <si>
    <t>AussendienstmitarbeiterunterstuÌˆtzung durch innovative Marketing- und Vertriebsmethoden am Beispiel der Pharmaindustrie Deutschland</t>
  </si>
  <si>
    <t>Otto, GoÌˆtz.</t>
  </si>
  <si>
    <t>wertvoll! Die Landwirtschaft - ein Ort fÃ¼r Bildung und Soziale Arbeit. Dokumentationsband 6. - 10. Dezember 2011</t>
  </si>
  <si>
    <t>Projektteam 19. WitzenhÃ¤user Konferenz</t>
  </si>
  <si>
    <t>Die Bedeutung der Theodizeefrage im theologischen GespraÌˆch mit Kindern und Jugendlichen</t>
  </si>
  <si>
    <t>Hamel, Sebastian.</t>
  </si>
  <si>
    <t>Ablaufbezogenes Dokumentationsverfahren zum Nachweis der adaÌˆquaten KausalitaÌˆt bei BauablaufstoÌˆrungen mit Schwerpunkt Haftungsgrund im Leistungsbereich Landschaftsbau</t>
  </si>
  <si>
    <t>MoÌˆhring, Felix.</t>
  </si>
  <si>
    <t>Socioeconomic Aspects of Urban and Peri-urban Agriculture</t>
  </si>
  <si>
    <t>Abdalla, Ishtiag Faroug.</t>
  </si>
  <si>
    <t>Hardware-in-the-Loop-gestuÌˆtzte Entwicklungsplattform fuÌˆr Fahrerassistenzsysteme</t>
  </si>
  <si>
    <t>Tellmann, Dirk.</t>
  </si>
  <si>
    <t>Kompetenzorientierter Religionsunterricht</t>
  </si>
  <si>
    <t>RELIGION / Christian Theology / Eschatology</t>
  </si>
  <si>
    <t>Syrnik, Johanna.-Ziegler, Mario.-Wiesinger, Tino.</t>
  </si>
  <si>
    <t>UÌˆber Sprache reflektieren</t>
  </si>
  <si>
    <t>Budde, Monika.</t>
  </si>
  <si>
    <t>Synergien im internationalen Akquisitionsmanagement</t>
  </si>
  <si>
    <t>KuÌˆpper, Carsten.</t>
  </si>
  <si>
    <t>Geschichten sind doch dazu da, weitererzaÌˆhlt zu werden</t>
  </si>
  <si>
    <t>RELIGION / Biblical Reference / Handbooks</t>
  </si>
  <si>
    <t>Metzger, Nicole.</t>
  </si>
  <si>
    <t>Berthold Simonsohn. AusgewÃ¤hlte Schriften 1934-1977</t>
  </si>
  <si>
    <t>LAW / Legal Writing</t>
  </si>
  <si>
    <t>Aden-Grossmann, Wilma</t>
  </si>
  <si>
    <t>Zum Pfahltragverhalten unter zyklisch axialer Belastung</t>
  </si>
  <si>
    <t>Thomas, Sebastian</t>
  </si>
  <si>
    <t>Studentische Hochschulpolitik fÃ¼r die UniversitÃ¤t Kassel. 40 Jahre zwischen Bildungsprotest und Verteidigung der politischen Selbstverwaltung</t>
  </si>
  <si>
    <t>Lotto, Miriam-PreuÃŸ, Jana</t>
  </si>
  <si>
    <t>Russische Bildungseinrichtungen auf dem Weg zur Kundenorientiertheit am Beispiel einer empirischen Studie an der Graduate School of Business Administration an der Staatlichen Lomonossov-UniversitaÌˆt Moskau (GSBA MGU)</t>
  </si>
  <si>
    <t>Klotchkov, Kathleen.</t>
  </si>
  <si>
    <t>Towards a User Context Aware System</t>
  </si>
  <si>
    <t>Lau, Sian Lun.</t>
  </si>
  <si>
    <t>Wissenskulturen</t>
  </si>
  <si>
    <t>Esser, Florian.-MuÌˆller, Harald.</t>
  </si>
  <si>
    <t>The Activation of the Insect Immune System by Endogenous Danger Signals with Emphasis on Drosophila Melanogaster</t>
  </si>
  <si>
    <t>Hauling, Thomas.</t>
  </si>
  <si>
    <t>Naturlyrik im Zeichen der Ã¶kologischen Krise. Begrifflichkeiten - Rezeption - Kontexte.</t>
  </si>
  <si>
    <t>Kopisch, Wendy A.</t>
  </si>
  <si>
    <t>ArbeitsfaÌˆhigkeit von FeuerwehreinsatzkraÌˆften</t>
  </si>
  <si>
    <t>Bilhuber, Henning.</t>
  </si>
  <si>
    <t>Die Ethik-Kommission an der Medizinischen FakultaÌˆt der RWTH Aachen (1981-2005)</t>
  </si>
  <si>
    <t>MEDICAL / Osteopathy</t>
  </si>
  <si>
    <t>Benedetti, Anna-Gabriela Cruz.</t>
  </si>
  <si>
    <t>Determinanten erfolgreicher Stakeholderdialoge</t>
  </si>
  <si>
    <t>Riede, Milena.</t>
  </si>
  <si>
    <t>Kooperative Verkehrsbeeinflussung und Verkehrssteuerung an signalisierten Knotenpunkten</t>
  </si>
  <si>
    <t>Otto, Thomas.</t>
  </si>
  <si>
    <t>Zwischen Austritt und Ausschluss</t>
  </si>
  <si>
    <t>LoÌˆsse, Esther.</t>
  </si>
  <si>
    <t>Technisierte Medizin - dehumanisierte Medizin?</t>
  </si>
  <si>
    <t>Schweikardt, Christoph.-Gross, Dominik-Brukamp, Kirsten.-Laryionava, Katsiaryna.</t>
  </si>
  <si>
    <t>Ã–konomische Relevanz der Kultur- und Kreativwirtschaft in der Region Kassel: Identifizierung und Nutzung regionaler Entwicklungspotenziale</t>
  </si>
  <si>
    <t>Daskalakis, Maria-Hildebrand, Anne-Hoffmann, David</t>
  </si>
  <si>
    <t>Ressourcen und Belastungen in der Berufsbiografie</t>
  </si>
  <si>
    <t>Weichel, Julia.</t>
  </si>
  <si>
    <t>Tourismus in Nordhessen und regionale Betroffenheit durch den Klimawandel</t>
  </si>
  <si>
    <t>Hahne, Ulf.-Kampen, Simone von.-Kahl, Christine.</t>
  </si>
  <si>
    <t>A History of Economic Science in Japan</t>
  </si>
  <si>
    <t>Aiko Ikeo</t>
  </si>
  <si>
    <t>Learning to Industrialize</t>
  </si>
  <si>
    <t>Carnival in Tel Aviv</t>
  </si>
  <si>
    <t>Hizky Shoham</t>
  </si>
  <si>
    <t>Visual Texts, Ceremonial Texts, Texts of Exploration</t>
  </si>
  <si>
    <t>Richard Wortman</t>
  </si>
  <si>
    <t>Soviet Jews in World War II</t>
  </si>
  <si>
    <t>Harriet Murav-Gennady Estraikh</t>
  </si>
  <si>
    <t>A Landscape of Travel</t>
  </si>
  <si>
    <t>Jenny T. Chio</t>
  </si>
  <si>
    <t>Relative Histories</t>
  </si>
  <si>
    <t>LITERARY CRITICISM / American / Asian American &amp; Pacific Islander</t>
  </si>
  <si>
    <t>Rocio G. Davis</t>
  </si>
  <si>
    <t>Mainstream Culture Refocused</t>
  </si>
  <si>
    <t>Xueping Zhong</t>
  </si>
  <si>
    <t>Understanding Don DeLillo</t>
  </si>
  <si>
    <t>Henry Veggian</t>
  </si>
  <si>
    <t>Fantasies of Identification</t>
  </si>
  <si>
    <t>Ellen Samuels</t>
  </si>
  <si>
    <t>A State of Peace in Europe</t>
  </si>
  <si>
    <t>Petri Hakkarainen</t>
  </si>
  <si>
    <t>Access to Justice for Disadvantaged Communities</t>
  </si>
  <si>
    <t>Marjorie Mayo-Gerald Koessl-Matthew Scott-Imogen Slater</t>
  </si>
  <si>
    <t>Dilemmas of Adulthood</t>
  </si>
  <si>
    <t>Nancy R. Rosenberger</t>
  </si>
  <si>
    <t>Choosing the Future for American Juvenile Justice</t>
  </si>
  <si>
    <t>Franklin E. Zimring-David S. Tanenhaus</t>
  </si>
  <si>
    <t>Get a Job</t>
  </si>
  <si>
    <t>Robert D. Crutchfield</t>
  </si>
  <si>
    <t>Mental (Dis)Order in Later Medieval Europe</t>
  </si>
  <si>
    <t>Sari Katajala-Peltomaa-Susanna Niiranen</t>
  </si>
  <si>
    <t>The Jibbali (ShahÌ£ri) Language of Oman</t>
  </si>
  <si>
    <t>150 Jahre deutsche Verwaltungsgerichtsbarkeit</t>
  </si>
  <si>
    <t>Eckart Hien</t>
  </si>
  <si>
    <t>KreativitÃ¤t</t>
  </si>
  <si>
    <t>Simone Mahrenholz</t>
  </si>
  <si>
    <t>Die Karolinger und die Abbasiden von Bagdad</t>
  </si>
  <si>
    <t>Sowjetische MilitÃ¤radministration in Deutschland (SMAD) 1945-1949</t>
  </si>
  <si>
    <t>Brand Equity Planning with Structuralist Rhetorical Semiotics</t>
  </si>
  <si>
    <t>Rossolatos, George.</t>
  </si>
  <si>
    <t>The Ethics of Armed Conflict</t>
  </si>
  <si>
    <t>John W. Lango</t>
  </si>
  <si>
    <t>Fast Facts: Diabetes Mellitus</t>
  </si>
  <si>
    <t>Scobie, Ian N.-Samaras, Katherine</t>
  </si>
  <si>
    <t>Hybrid Justice</t>
  </si>
  <si>
    <t>John D. Ciorciari-Anne Heindel</t>
  </si>
  <si>
    <t>Envisioning Socialism</t>
  </si>
  <si>
    <t>Heather Gumbert</t>
  </si>
  <si>
    <t>Animal Acts</t>
  </si>
  <si>
    <t>Una Chaudhuri-Holly Hughes</t>
  </si>
  <si>
    <t>Cable Guys</t>
  </si>
  <si>
    <t>Amanda D. Lotz</t>
  </si>
  <si>
    <t>Governance for Justice and Environmental Sustainability</t>
  </si>
  <si>
    <t>Merle Sowman-Rachel Wynberg</t>
  </si>
  <si>
    <t>Friendship and Politics in Post-Revolutionary France</t>
  </si>
  <si>
    <t>Sarah Horowitz</t>
  </si>
  <si>
    <t>Ultraschnelle kohaÌˆrente Kontrolle und Spektroskopie an kolloidalen Halbleiter Nanokristallen und Lanthanid dotierten Calciumfluorid Nanokristallen mit Femtosekunden-Laserpulsen</t>
  </si>
  <si>
    <t>Ruge, Martin.</t>
  </si>
  <si>
    <t>Die Wirkung von Macht auf Innovationen innerhalb einer oÌˆffentlichen Verwaltung</t>
  </si>
  <si>
    <t>Bott, Jutta.</t>
  </si>
  <si>
    <t>Energie und Demokratie</t>
  </si>
  <si>
    <t>VoÌˆller, Cindy.-Bayer, Kristina.-Gawora, Dieter.</t>
  </si>
  <si>
    <t>Avatare in Katastrophensimulationen</t>
  </si>
  <si>
    <t>Siemon, Andreas.</t>
  </si>
  <si>
    <t>Recursive Spatial Multiplexing</t>
  </si>
  <si>
    <t>Edlich, Thomas.</t>
  </si>
  <si>
    <t>Leistungsoptimale Regelung von Hochstromverbrauchern im Fahrwerk</t>
  </si>
  <si>
    <t>Hochrein, Paul.</t>
  </si>
  <si>
    <t>Verkehrsplanung und Landschaft</t>
  </si>
  <si>
    <t>Protze, KaÌˆthe.-Holzapfel, Helmut.</t>
  </si>
  <si>
    <t>Informelles Lernen von Lehrerinnen und Lehrern im Kontext Schule und Migration</t>
  </si>
  <si>
    <t>Hollick, DanieÌ€le.</t>
  </si>
  <si>
    <t>Der Bauschingereffekt bei verguÌˆteten, bainitischen und normalisierten ZustaÌˆnden der StaÌˆhle 42CrMoS4 und 100Cr6</t>
  </si>
  <si>
    <t>Ellermann, Arne.</t>
  </si>
  <si>
    <t>Powerful Learning Environments and Theologizing and Philosophizing with Children</t>
  </si>
  <si>
    <t>Kuindersma, Henk.</t>
  </si>
  <si>
    <t>Untersuchungen zum Transfer der australischen Projektabwicklungsform Project Alliancing auf den deutschen Hochbaumarkt</t>
  </si>
  <si>
    <t>Schlabach, Carina.</t>
  </si>
  <si>
    <t>Optimierung von Instandhaltungsstrategien bei unscharfen Eingangsdaten</t>
  </si>
  <si>
    <t>Aha, Ulrich.</t>
  </si>
  <si>
    <t>On the Perspectives of Wide-band Gap Power Devices in Electronic-based Power Conversion for Renewable Systems</t>
  </si>
  <si>
    <t>ArauÌjo, Samuel Vasconcelos.</t>
  </si>
  <si>
    <t>Produktverantwortung nach dem Elektrogesetz und der Altfahrzeugverordnung</t>
  </si>
  <si>
    <t>Gattermann, Jana.</t>
  </si>
  <si>
    <t>Der Selbsterntegarten Wienerstrasse und andere GaÌˆrten in Kassel</t>
  </si>
  <si>
    <t>SCIENCE / Life Sciences / Horticulture</t>
  </si>
  <si>
    <t>SpitthoÌˆver, Maria.-Mauer, Thomas.</t>
  </si>
  <si>
    <t>Erstellung eines intelligenten Steuerungssystems fuÌˆr die integrierte, dezentrale Energiebereitstellung zur ErhoÌˆhung der Energieeffizienz</t>
  </si>
  <si>
    <t>Esser, Marco.</t>
  </si>
  <si>
    <t>Die semiotische Haut der Dinge</t>
  </si>
  <si>
    <t>CRAFTS &amp; HOBBIES / Folkcrafts</t>
  </si>
  <si>
    <t>Romero-Tejedor, Felicidad.-Boom, Holger van den</t>
  </si>
  <si>
    <t>Diskriminierungsschutz durch Kontrahierungszwang</t>
  </si>
  <si>
    <t>Sprafke, Susanne.</t>
  </si>
  <si>
    <t>NatuÌˆrlich Bunt</t>
  </si>
  <si>
    <t>Dialogische Bibeldidaktik</t>
  </si>
  <si>
    <t>Dern, Christian.</t>
  </si>
  <si>
    <t>Hesselman, Peter</t>
  </si>
  <si>
    <t>New Style Workfare</t>
  </si>
  <si>
    <t>Engelberty, Klaus.</t>
  </si>
  <si>
    <t>Landmarks Revisited</t>
  </si>
  <si>
    <t>Robin Aizlewood-Ruth Coates</t>
  </si>
  <si>
    <t>Crafting the 613 Commandments</t>
  </si>
  <si>
    <t>Albert D. Friedberg</t>
  </si>
  <si>
    <t>Belomor</t>
  </si>
  <si>
    <t>Julie S. Draskoczy</t>
  </si>
  <si>
    <t>Mo(ve)ments of Resistance</t>
  </si>
  <si>
    <t>Lev Luis Grinberg</t>
  </si>
  <si>
    <t>The Englishman From Lebedian</t>
  </si>
  <si>
    <t>J.A.E. Curtis</t>
  </si>
  <si>
    <t>Russian Ideaâ€”Jewish Presence</t>
  </si>
  <si>
    <t>Brian Horowitz</t>
  </si>
  <si>
    <t>Russian Monarchy</t>
  </si>
  <si>
    <t>Citizens' Rights and the Right to Be a Citizen</t>
  </si>
  <si>
    <t>Ernst Hirsch Ballin</t>
  </si>
  <si>
    <t>Deutschland, Russland, Komintern - Ãœberblicke, Analysen, Diskussionen</t>
  </si>
  <si>
    <t>Hermann Weber-Jakov Drabkin-Bernhard H. Bayerlein-Aleksandr Galkin</t>
  </si>
  <si>
    <t>Modal and Focus Particles in Sign Languages</t>
  </si>
  <si>
    <t>Annika Herrmann</t>
  </si>
  <si>
    <t>Die Shoah im Spiegel Ã¶ffentlicher Konflikte in Polen</t>
  </si>
  <si>
    <t>Stephanie Kowitz-Harms</t>
  </si>
  <si>
    <t>Der Kaiser und Konstantinopel</t>
  </si>
  <si>
    <t>Rene Pfeilschifter</t>
  </si>
  <si>
    <t>Eastern and Western Ideas for African Growth</t>
  </si>
  <si>
    <t>Kenichi Ohno-Izumi Ohno</t>
  </si>
  <si>
    <t>Land Degradation, Small-scale Farms' Development, and Migratory Flows</t>
  </si>
  <si>
    <t>Eche, David M.</t>
  </si>
  <si>
    <t>Regionale Klimaanpassung. Herausforderungen â€“ LÃ¶sungen â€“ Hemmnisse â€“ Umsetzungen am Beispiel Nordhessens</t>
  </si>
  <si>
    <t>RoÃŸnagel, Alexander</t>
  </si>
  <si>
    <t>Konzeptionelle Grundlagen eines marktorientierten strategischen Krankenhauscontrollings</t>
  </si>
  <si>
    <t>Gary, Alexander.</t>
  </si>
  <si>
    <t>Entwicklung eines Reibmodells fuÌˆr hohe Temperaturen und hohe Umformgrade</t>
  </si>
  <si>
    <t>Horwatitsch, Dieter.</t>
  </si>
  <si>
    <t>ReligionspaÌˆdagogik mit MaÌˆdchen und Jungen unter drei Jahren in ausgewaÌˆhlten neueren EntwuÌˆrfen</t>
  </si>
  <si>
    <t>Fiedler, Frauke</t>
  </si>
  <si>
    <t>Erkenntnis- und Sinnsuche</t>
  </si>
  <si>
    <t>Ferrari, Reinhold.</t>
  </si>
  <si>
    <t>Effizienzgewinn durch verschaltbare Photovoltaik Systeme</t>
  </si>
  <si>
    <t>HOUSE &amp; HOME / Do-It-Yourself / Plumbing</t>
  </si>
  <si>
    <t>Mielcarek, Paul.</t>
  </si>
  <si>
    <t>Thermo-mechanisch gekoppelte Experimente zur Beurteilung der SchÃ¤digungsentwicklung an Werkzeugen zur Warmumformung</t>
  </si>
  <si>
    <t>GrÃ¼ning, Alexander</t>
  </si>
  <si>
    <t>Ultrasonic Nondestructive Testing of Inhomogeneous Isotropic and Anisotropic Media</t>
  </si>
  <si>
    <t>Chinta, Pashanth Kumar.</t>
  </si>
  <si>
    <t>RecycelfaÌˆhige DaÌˆmmstoffe aus Altpapier fuÌˆr Syrien</t>
  </si>
  <si>
    <t>Dahi, Zakia.</t>
  </si>
  <si>
    <t>Zur SchaÌˆdigungsentwicklung bei der KorrosionsermuÌˆdung von Aluminiumbasislegierungen mit definierten fertigungsbedingten RandschichtzustaÌˆnden</t>
  </si>
  <si>
    <t>Timmermann, Klaus.</t>
  </si>
  <si>
    <t>Diskontinuierliche GALERKIN-Verfahren in Raum und Zeit zur Simulation von Transportprozessen</t>
  </si>
  <si>
    <t>Carstens, Sandra.</t>
  </si>
  <si>
    <t>Remittances and Livelihood Strategies</t>
  </si>
  <si>
    <t>Nepal, Ranjita.-Henning, Tomasz.</t>
  </si>
  <si>
    <t>Rechtliche Instrumente zur Durchsetzung von Barrierefreiheit</t>
  </si>
  <si>
    <t>Welti, Felix.</t>
  </si>
  <si>
    <t>Eintags- und Steinfliegen (Insecta: Ephemeroptera) in MittelgebirgsbÃ¤chen des Harzes. Analyse und Prognose naturnaher ReferenzzÃ¶nosen fÃ¼r die GewÃ¤sserbewertung</t>
  </si>
  <si>
    <t>BÃ¶hme, Dirk</t>
  </si>
  <si>
    <t>Untersuchung der anwendungstechnischen Eigenschaften des FormspruÌˆhens von wasserbasierten Trennstoffen in AbhaÌˆngigkeit der Applikationstechnik fuÌˆr den Leichtmetall-Druckguss</t>
  </si>
  <si>
    <t>RoÌˆse, Jens.</t>
  </si>
  <si>
    <t>Biological and Chemical Parameters and Life Cycle Assessment of the Integrated Generation of Solid Fuel and Biogas From Biomass</t>
  </si>
  <si>
    <t>BuÌˆhle, Lutz.</t>
  </si>
  <si>
    <t>Improkomposition</t>
  </si>
  <si>
    <t>MeloÌˆchin, Andre von.-Hemming, Jan.</t>
  </si>
  <si>
    <t>Development of Brushless Self-excited and Self-regulated Synchronous Generating System for Wind and Hydro Generators</t>
  </si>
  <si>
    <t>Izzat, Likaa Fahmi Ahmed.</t>
  </si>
  <si>
    <t>The Emergence of Irish Gothic Fiction</t>
  </si>
  <si>
    <t>Jarlath Killeen</t>
  </si>
  <si>
    <t>Wi-Fi Enabled Healthcare</t>
  </si>
  <si>
    <t>Ali Youssef-Douglas McDonald II-Jon Linton-Bob Zemke-Aaron Earle</t>
  </si>
  <si>
    <t>Disputing Citizenship</t>
  </si>
  <si>
    <t>John Clarke-Kathleen Coll-Evelina Dagnino-Catherine Neveu</t>
  </si>
  <si>
    <t>The Double Kingdom Under Taharqo</t>
  </si>
  <si>
    <t>Jeremy W. Pope</t>
  </si>
  <si>
    <t>Heart-Sick</t>
  </si>
  <si>
    <t>Janet K. Shim</t>
  </si>
  <si>
    <t>God and Blackness</t>
  </si>
  <si>
    <t>Andrea C. Abrams</t>
  </si>
  <si>
    <t>Public Private Partnerships in International Construction</t>
  </si>
  <si>
    <t>Albert P. C. Chan-Esther Cheung</t>
  </si>
  <si>
    <t>Managing Protected Areas in Central and Eastern Europe Under Climate Change</t>
  </si>
  <si>
    <t>Sven Rannow-Marco Neubert</t>
  </si>
  <si>
    <t>From Self-fulfilment to Survival of the Fittest</t>
  </si>
  <si>
    <t>Ewa Mazierska</t>
  </si>
  <si>
    <t>Wie entsteht der Glaube im Menschen?</t>
  </si>
  <si>
    <t>Stahl, Annika.</t>
  </si>
  <si>
    <t>Plug-in Electric Vehicles Integrating Fluctuating Renewable Electricity</t>
  </si>
  <si>
    <t>Dallinger, David.</t>
  </si>
  <si>
    <t>Photon Induced Inner-shell Excitation Processes of Nitrous Oxide Probed by Angle Resolved Fluorescence and Auger-Electron Spectrometry</t>
  </si>
  <si>
    <t>Knie, AndreÌ.</t>
  </si>
  <si>
    <t>Schulentwicklungsprojekte aus neo-institutionalistischer und mikropolitischer Perspektive</t>
  </si>
  <si>
    <t>Voigt, Miriam.</t>
  </si>
  <si>
    <t>Optimierungsanalysen und -ansaÌˆtze des Planungs- und Schnittstellenmanagements vor Baubeginn im Vergleich zur baubegleitenden Planung</t>
  </si>
  <si>
    <t>SchoÌˆlzel, Stefan.</t>
  </si>
  <si>
    <t>Internes Rating als Monitoringtool des Finanzwesens am Beispiel der B. Braun Melsungen AG</t>
  </si>
  <si>
    <t>Pielert, Michael.</t>
  </si>
  <si>
    <t>Long-range Ultra-wideband Radar Sensor for Industrial Applications</t>
  </si>
  <si>
    <t>Ameri, Ahmed Abbas Hussein.</t>
  </si>
  <si>
    <t>Gott im Coaching?</t>
  </si>
  <si>
    <t>Fiedler, Adelheid.</t>
  </si>
  <si>
    <t>Modellbildung und numerische Mechanik tensegrer Strukturen</t>
  </si>
  <si>
    <t>Carstens, SoÌˆnke.</t>
  </si>
  <si>
    <t>Engineering von der Anforderung bis zum Betrieb</t>
  </si>
  <si>
    <t>Vogel-Heuser, Birgit.</t>
  </si>
  <si>
    <t>In Silico Bees</t>
  </si>
  <si>
    <t>James Devillers</t>
  </si>
  <si>
    <t>Current Trends in Ergonomics</t>
  </si>
  <si>
    <t>Rosnah Mohd Yusuff-Siti Anom Ahmad-Dian Darina Indah Daruis-Baba Md Deros-Siti Zawiah Md Dawal</t>
  </si>
  <si>
    <t>Fast Facts: Acute Coronary Syndromes</t>
  </si>
  <si>
    <t>Gurbel, Paul A.-Huber, Kurt-Tantry, Udaya S.</t>
  </si>
  <si>
    <t>Smarte Produktkennzeichnung von Elektro- und ElektronikgeraÌˆten mittels RFID fuÌˆr ein gezieltes Stoffstrom- und Informationsmanagement</t>
  </si>
  <si>
    <t>LoÌˆhle, Stephan.</t>
  </si>
  <si>
    <t>Fernsehen als Medium der Literatur</t>
  </si>
  <si>
    <t>Piper, Jana.-Pfannkuche, Patrick.-Seibert, Peter</t>
  </si>
  <si>
    <t>FruÌˆhpraÌˆvention durch FoÌˆrderung von Mentalisierungsprozessen</t>
  </si>
  <si>
    <t>Uhl, Christiane.</t>
  </si>
  <si>
    <t>Das Unaussprechliche in Worte fassen</t>
  </si>
  <si>
    <t>Leonhard, Claudia.</t>
  </si>
  <si>
    <t>Organisationsentwicklungsprozess in einem deutsch-chinesischen Joint Venture in Wuxi</t>
  </si>
  <si>
    <t>OÌˆzdemir, HuÌˆseyin.</t>
  </si>
  <si>
    <t>Beziehungsweise</t>
  </si>
  <si>
    <t>Ullrich, Kai Christina.</t>
  </si>
  <si>
    <t>Visionen im Kontext von Beruf und Berufung</t>
  </si>
  <si>
    <t>BlaÌˆsing, Sabine.</t>
  </si>
  <si>
    <t>Politische ChefaÌˆrzte?</t>
  </si>
  <si>
    <t>DoÌˆbber, Carola.</t>
  </si>
  <si>
    <t>Studentische Gottesvorstellungen</t>
  </si>
  <si>
    <t>Rothenbusch, Nina.</t>
  </si>
  <si>
    <t>Cloud Computing</t>
  </si>
  <si>
    <t>Bedner, Mark.</t>
  </si>
  <si>
    <t>Improving the Performance of Wireless LANs</t>
  </si>
  <si>
    <t>Nurul Sarkar</t>
  </si>
  <si>
    <t>Religions and Trade</t>
  </si>
  <si>
    <t>Peter Wick-Volker Rabens</t>
  </si>
  <si>
    <t>Global Antisemitism: A Crisis of Modernity</t>
  </si>
  <si>
    <t>Charles Asher Small</t>
  </si>
  <si>
    <t>Der Fall Nicolas Fouquet</t>
  </si>
  <si>
    <t>Christine Howald</t>
  </si>
  <si>
    <t>Volksgemeinschaft am Ende</t>
  </si>
  <si>
    <t>"1968" - Eine Wahrnehmungsrevolution?</t>
  </si>
  <si>
    <t>Ingrid Gilcher-Holtey</t>
  </si>
  <si>
    <t>KSZE-Prozess und Perestroika in der Sowjetunion</t>
  </si>
  <si>
    <t>Yuliya von Saal</t>
  </si>
  <si>
    <t>Justiz zwischen Diktatur und Demokratie</t>
  </si>
  <si>
    <t>Edith Raim</t>
  </si>
  <si>
    <t>Die Schweiz im KSZE-ProzeÃŸ 1972-1983</t>
  </si>
  <si>
    <t>Philip Rosin</t>
  </si>
  <si>
    <t>Der Schatten des Volkes</t>
  </si>
  <si>
    <t>Peter Geiss</t>
  </si>
  <si>
    <t>Ã–sterreich im KSZE-Prozess 1969-1983</t>
  </si>
  <si>
    <t>Benjamin Gilde</t>
  </si>
  <si>
    <t>Models, Simulations, and the Reduction of Complexity</t>
  </si>
  <si>
    <t>Ulrich GÃ¤hde-Stephan Hartmann-JÃ¶rn Henning Wolf</t>
  </si>
  <si>
    <t>Der BundesprÃ¤sident</t>
  </si>
  <si>
    <t>Theodor Heuss-Ernst Wolfgang Becker-Martin Vogt-Wolfram Werner</t>
  </si>
  <si>
    <t>Deutsche und Polen zwischen den Kriegen</t>
  </si>
  <si>
    <t>Rudolf Jaworski-Marian Wojciechowski-Institut fÃ¼r Zeitgeschichte-Generaldirektion d. polnischen Staatsarchive-Przemyslaw Hauser-Mathias Niendorf-Werner RÃ¶der-Christoph Weisz</t>
  </si>
  <si>
    <t>Zur rechtlichen Auseinandersetzung mit der NS-Gewaltherrschaft und dem SED-Regime</t>
  </si>
  <si>
    <t>Lore Maria Peschel-Gutzeit</t>
  </si>
  <si>
    <t>Electronic Iran</t>
  </si>
  <si>
    <t>Niki Akhavan</t>
  </si>
  <si>
    <t>Suzan-Lori Parks in Person</t>
  </si>
  <si>
    <t>Philip C Kolin-Harvey Young</t>
  </si>
  <si>
    <t>Reading the Qur'an in the Twenty-First Century</t>
  </si>
  <si>
    <t>Abdullah Saeed</t>
  </si>
  <si>
    <t>Microfinance 3.0</t>
  </si>
  <si>
    <t>Southeast Asia and the Civil Society Gaze</t>
  </si>
  <si>
    <t>Gabi Waibel-Judith Ehlert-Hart N. Feuer</t>
  </si>
  <si>
    <t>Screening Nature</t>
  </si>
  <si>
    <t>Anat Pick-Guinevere Narraway</t>
  </si>
  <si>
    <t>Writing History in the Digital Age</t>
  </si>
  <si>
    <t>Jack Dougherty-Kristen Nawrotzki</t>
  </si>
  <si>
    <t>In the Land of the Eastern Queendom</t>
  </si>
  <si>
    <t>Tenzin Jinba</t>
  </si>
  <si>
    <t>Called to Serve</t>
  </si>
  <si>
    <t>Margaret M. McGuinness</t>
  </si>
  <si>
    <t>Crossing the Water and Keeping the Faith</t>
  </si>
  <si>
    <t>Terry Rey-Alex Stepick</t>
  </si>
  <si>
    <t>Rhetorics of Insecurity</t>
  </si>
  <si>
    <t>Zeynep Gambetti-Marcial Godoy-Anativia</t>
  </si>
  <si>
    <t>Nano Hybrids Vol. 5</t>
  </si>
  <si>
    <t>After Queer Theory</t>
  </si>
  <si>
    <t>James Penney</t>
  </si>
  <si>
    <t>Gallien in SpÃ¤tantike und FrÃ¼hmittelalter</t>
  </si>
  <si>
    <t>Steffen Diefenbach-Gernot Michael MÃ¼ller</t>
  </si>
  <si>
    <t>Das Emanzipationsedikt von 1812 in PreuÃŸen</t>
  </si>
  <si>
    <t>Irene A. Diekmann</t>
  </si>
  <si>
    <t>Adolescent Psychiatry</t>
  </si>
  <si>
    <t>Leo Sher-Joav Merrick</t>
  </si>
  <si>
    <t>Der Fall Roms und seine Wiederauferstehungen in Antike und Mittelalter</t>
  </si>
  <si>
    <t>Henriette Harich-Schwarzbauer-Karla Pollmann</t>
  </si>
  <si>
    <t>Thinking and Killing</t>
  </si>
  <si>
    <t>Alon Segev</t>
  </si>
  <si>
    <t>The Society for Worldwide Interbank Financial Telecommunication (SWIFT)</t>
  </si>
  <si>
    <t>Susan V. Scott-Markos Zachariadis</t>
  </si>
  <si>
    <t>Qualitative Research in Gambling</t>
  </si>
  <si>
    <t>Rebecca Cassidy-Andrea Pisac-Claire Loussouarn</t>
  </si>
  <si>
    <t>The Conspiracy of the Ninth Duke of Medina Sidonia (1641)</t>
  </si>
  <si>
    <t>Luis Salas Almela</t>
  </si>
  <si>
    <t>Passionate Amateurs</t>
  </si>
  <si>
    <t>Nicholas Ridout</t>
  </si>
  <si>
    <t>Partisan Gerrymandering and the Construction of American Democracy</t>
  </si>
  <si>
    <t>Erik J. Engstrom</t>
  </si>
  <si>
    <t>Fast Facts: Skin Cancer</t>
  </si>
  <si>
    <t>Agnew, Karen L.-Bunker, Christopher B.-Arron, Sarah T.</t>
  </si>
  <si>
    <t>Knowing One's Medical Fate in Advance</t>
  </si>
  <si>
    <t>G., Pfleiderer-M., Battegay-K., Lindpaintner</t>
  </si>
  <si>
    <t>Towards a Unified Soil Mechanics Theory: The Use of Effective Stresses in Unsaturated Soils</t>
  </si>
  <si>
    <t>Eduardo, Rojas</t>
  </si>
  <si>
    <t>Meaning and the Dynamics of Interpretation</t>
  </si>
  <si>
    <t>Hans Kamp-Klaus von Heusinger-Alice ter Meulen</t>
  </si>
  <si>
    <t>What is QuÃ©bÃ©cois Literature?</t>
  </si>
  <si>
    <t>Rosemary Chapman</t>
  </si>
  <si>
    <t>Rhetorics of Belonging</t>
  </si>
  <si>
    <t>Remembering the South African War</t>
  </si>
  <si>
    <t>Peter Donaldson</t>
  </si>
  <si>
    <t>Marie NDiaye</t>
  </si>
  <si>
    <t>Andrew Asibong</t>
  </si>
  <si>
    <t>Imperial Emotions</t>
  </si>
  <si>
    <t>Javier Krauel</t>
  </si>
  <si>
    <t>Byron and the Forms of Thought</t>
  </si>
  <si>
    <t>Anthony Howe</t>
  </si>
  <si>
    <t>Beastly Journeys</t>
  </si>
  <si>
    <t>Tim Youngs</t>
  </si>
  <si>
    <t>Rens Bod-Jaap Maat-Thijs Weststeijn</t>
  </si>
  <si>
    <t>Surveying Ethnic Minorities and Immigrant Populations</t>
  </si>
  <si>
    <t>MÃ³nica MÃ©ndez-Joan Font</t>
  </si>
  <si>
    <t>Battlefields of Negotiation</t>
  </si>
  <si>
    <t>RenÃ© Glas</t>
  </si>
  <si>
    <t>Exhibiting Cinema in Contemporary Art</t>
  </si>
  <si>
    <t>Erika Balsom</t>
  </si>
  <si>
    <t>Installation Art and the Museum</t>
  </si>
  <si>
    <t>Vivian Saaze</t>
  </si>
  <si>
    <t>Syntax of Dutch: Nouns and Noun Phrases - Volume 1</t>
  </si>
  <si>
    <t>Hans Broekhuis-Evelien Keizer</t>
  </si>
  <si>
    <t>Women From Traditional Islamic Educational Institutions in Indonesia</t>
  </si>
  <si>
    <t>Eka Srimulyani</t>
  </si>
  <si>
    <t>Aspects of Urbanization in China</t>
  </si>
  <si>
    <t>Gregory Bracken</t>
  </si>
  <si>
    <t>War of Words</t>
  </si>
  <si>
    <t>Vincent Kuitenbrouwer</t>
  </si>
  <si>
    <t>David Gorlaeus (1591-1612)</t>
  </si>
  <si>
    <t>Christoph LÃ¼thy</t>
  </si>
  <si>
    <t>Audiences</t>
  </si>
  <si>
    <t>After the Break</t>
  </si>
  <si>
    <t>Marijke Valck-Jan Teurlings</t>
  </si>
  <si>
    <t>The New American Zionism</t>
  </si>
  <si>
    <t>Theodore Sasson</t>
  </si>
  <si>
    <t>Who's Your Paddy?</t>
  </si>
  <si>
    <t>Jennifer Nugent Duffy</t>
  </si>
  <si>
    <t>Building the Old Time Religion</t>
  </si>
  <si>
    <t>Priscilla Pope-Levison</t>
  </si>
  <si>
    <t>Michel Houellebecq</t>
  </si>
  <si>
    <t>Douglas Morrey</t>
  </si>
  <si>
    <t>Disability Studies and Spanish Culture</t>
  </si>
  <si>
    <t>Empire and Identity in Guizhou</t>
  </si>
  <si>
    <t>Jodi L. Weinstein</t>
  </si>
  <si>
    <t>China's New Socialist Countryside</t>
  </si>
  <si>
    <t>Russell Harwood</t>
  </si>
  <si>
    <t>Window Functions and Their Applications in Signal Processing</t>
  </si>
  <si>
    <t>K. M. M. Prabhu</t>
  </si>
  <si>
    <t>The Art of Symbolic Resistance</t>
  </si>
  <si>
    <t>Joanne N. Smith Finley</t>
  </si>
  <si>
    <t>Living with Brain Injury</t>
  </si>
  <si>
    <t>J. Eric Stewart</t>
  </si>
  <si>
    <t>The Children of Immigrants at School</t>
  </si>
  <si>
    <t>Richard Alba-Jennifer Holdaway</t>
  </si>
  <si>
    <t>Immigration Justice</t>
  </si>
  <si>
    <t>Peter Higgins</t>
  </si>
  <si>
    <t>Nano Hybrids Vol. 4</t>
  </si>
  <si>
    <t>Nano Hybrids Vol. 3</t>
  </si>
  <si>
    <t>Journal of Nano Research Vol. 2</t>
  </si>
  <si>
    <t>Graeme E. Murch</t>
  </si>
  <si>
    <t>Journal of Nano Research Vol. 1</t>
  </si>
  <si>
    <t>N. Ali</t>
  </si>
  <si>
    <t>Interdisciplinary Research in Engineering: Steps Towards Breakthrough Innovation for Sustainable Development</t>
  </si>
  <si>
    <t>Aurel Vlaicu-Stelian Brad</t>
  </si>
  <si>
    <t>Judging 'Privileged' Jews</t>
  </si>
  <si>
    <t>Adam Brown</t>
  </si>
  <si>
    <t>Identity and Language Learning</t>
  </si>
  <si>
    <t>Bonny Norton</t>
  </si>
  <si>
    <t>UnabhÃ¤ngige staatliche Institutionen in der Demokratie.</t>
  </si>
  <si>
    <t>Akzeptanzprobleme der Marktwirtschaft: Ursachen und wirtschaftspolitische Konsequenzen.</t>
  </si>
  <si>
    <t>The Black Arts Enterprise and the Production of African American Poetry</t>
  </si>
  <si>
    <t>Howard Rambsy, II</t>
  </si>
  <si>
    <t>La Suisse - portrait urbain</t>
  </si>
  <si>
    <t>Roger Diener-Jacques Herzog-Marcel Meili-Pierre de Meuron-Christian Schmid-ETH Studio Basel - Institut pour la Ville Contemporaine</t>
  </si>
  <si>
    <t>ReprÃ¤sentative Demokratie in der Krise?</t>
  </si>
  <si>
    <t>Christian Walter-Klaus Ferdinand GÃ¤rditz-Hermann PÃ¼nder-et al.</t>
  </si>
  <si>
    <t>Tractates Pesahim and Yoma</t>
  </si>
  <si>
    <t>Die Basilika in Byzanz</t>
  </si>
  <si>
    <t>Michael Altripp</t>
  </si>
  <si>
    <t>August 1740 â€“ Oktober 1741</t>
  </si>
  <si>
    <t>Sign Language Research, Uses and Practices</t>
  </si>
  <si>
    <t>Laurence Meurant-AurÃ©lie Sinte-Mieke Van Herreweghe-Myriam Vermeerbergen</t>
  </si>
  <si>
    <t>Large Scale Inverse Problems</t>
  </si>
  <si>
    <t>Mike Cullen-Melina A Freitag-Stefan Kindermann-Robert Scheichl</t>
  </si>
  <si>
    <t>Clinical Recovery From CNS Damage</t>
  </si>
  <si>
    <t>H., Naritomi-D.W., Krieger</t>
  </si>
  <si>
    <t>Fire in the Canyon</t>
  </si>
  <si>
    <t>Leah Sarat</t>
  </si>
  <si>
    <t>Dinner at Dan</t>
  </si>
  <si>
    <t>Jonathan S. Greer</t>
  </si>
  <si>
    <t>Beyond Caste</t>
  </si>
  <si>
    <t>Sumit Guha</t>
  </si>
  <si>
    <t>Russians Abroad</t>
  </si>
  <si>
    <t>Greta Slobin-Nancy Condee-Katerina Clark-Mark Slobin-Dan Slobin</t>
  </si>
  <si>
    <t>Return of the Jew</t>
  </si>
  <si>
    <t>Katka Reszke</t>
  </si>
  <si>
    <t>Shapes of Apocalypse</t>
  </si>
  <si>
    <t>Andrea Oppo</t>
  </si>
  <si>
    <t>Turn It and Turn It Again</t>
  </si>
  <si>
    <t>Jon A. Levisohn-Susan P. Fendrick</t>
  </si>
  <si>
    <t>Close Encounters</t>
  </si>
  <si>
    <t>Robert Louis Jackson</t>
  </si>
  <si>
    <t>New Perspectives in Theology of Judaism</t>
  </si>
  <si>
    <t>Shubert Spero</t>
  </si>
  <si>
    <t>The Invention of Mikhail Lomonosov</t>
  </si>
  <si>
    <t>Steven Usitalo</t>
  </si>
  <si>
    <t>Prosaics and Other Provocations</t>
  </si>
  <si>
    <t>Gary Saul Morson</t>
  </si>
  <si>
    <t>Freedom From Violence and Lies</t>
  </si>
  <si>
    <t>Robert P. Hughes-Richard Taruskin-Thomas A. Koster</t>
  </si>
  <si>
    <t>Grotowski, Women, and Contemporary Performance</t>
  </si>
  <si>
    <t>Migration, Gender and Social Justice</t>
  </si>
  <si>
    <t>Thanh-Dam Truong-Des Gasper-Jeff Handmaker-Sylvia I. Bergh</t>
  </si>
  <si>
    <t>Weary Warriors</t>
  </si>
  <si>
    <t>Pamela Moss-Michael J. Prince</t>
  </si>
  <si>
    <t>Bondage</t>
  </si>
  <si>
    <t>Alessandro Stanziani</t>
  </si>
  <si>
    <t>Crime and Criminal Justice in Modern Germany</t>
  </si>
  <si>
    <t>Richard F. Wetzell</t>
  </si>
  <si>
    <t>Alienating Labour</t>
  </si>
  <si>
    <t>Eszter Bartha</t>
  </si>
  <si>
    <t>The Linguistics of Newswriting</t>
  </si>
  <si>
    <t>Daniel Perrin</t>
  </si>
  <si>
    <t>Greening International Jurisprudence</t>
  </si>
  <si>
    <t>Cathrin Zengerling</t>
  </si>
  <si>
    <t>Buzz</t>
  </si>
  <si>
    <t>Lisa Jean Moore-Mary Kosut</t>
  </si>
  <si>
    <t>Fast Facts: Disorders of the Hair and Scalp</t>
  </si>
  <si>
    <t>Sinclair, Rodney-Jolliffe, Vicky</t>
  </si>
  <si>
    <t>Foundations of Fuzzy Logic and Semantic Web Languages</t>
  </si>
  <si>
    <t>Umberto Straccia</t>
  </si>
  <si>
    <t>Negotiating Bioethics</t>
  </si>
  <si>
    <t>AdÃ¨le Langlois</t>
  </si>
  <si>
    <t>The Emergence of the Digital Humanities</t>
  </si>
  <si>
    <t>Steven E. Jones</t>
  </si>
  <si>
    <t>Die Bedeutung gliedstaatlichen Verfassungsrechts in der Gegenwart. Die Einheit der Verwaltung als Rechtsproblem</t>
  </si>
  <si>
    <t>Vitzthum, Wolfgang</t>
  </si>
  <si>
    <t>Verfassungsgarantie und sozialer Wandel. Das Beispiel von Ehe und Familie. RechtsverhÃ¤ltnisse in der Leistungsverwaltung</t>
  </si>
  <si>
    <t>Campenhausen, Axel-OÌˆhlinger, Theo.-Krause, Peter-Steiger, Heinhard-Fleiner-Gerster, Thomas-Vereinigung der Deutschen Staatsrechtslehrer.</t>
  </si>
  <si>
    <t>Parteienstaatlichkeit - Krisensymptome des demokratischen Verfassungsstaats? Die Ã¶ffentlichrechtliche Anstalt</t>
  </si>
  <si>
    <t>Stolleis, Michael-Lange, Klaus.-Breuer, RuÌˆdiger.-SchaÌˆffer, Heinz.-Rhinow, ReneÌ A.-Vereinigung der Deutschen Staatsrechtslehrer.</t>
  </si>
  <si>
    <t>Der Verfassungsstaat als Glied einer europÃ¤ischen Gemeinschaft. Verwaltungsrecht als Vorgabe fÃ¼r Zivil- und Strafrecht</t>
  </si>
  <si>
    <t>Steinberger, Helmut.-Vereinigung der Deutschen Staatsrechtsleher.</t>
  </si>
  <si>
    <t>Kulturauftrag im staatlichen Gemeinwesen. Die Steuerung des Verwaltungshandelns durch Haushaltsrecht und Haushaltskontrolle</t>
  </si>
  <si>
    <t>Steiner, Udo.-Mutius, Albert von-Schuppert, Gunnar Folke.-Grimm, Dieter-Vereinigung der Deutschen Staatsrechtslehrer.</t>
  </si>
  <si>
    <t>Deutschlands aktuelle Verfassungslage</t>
  </si>
  <si>
    <t>GoÌˆtz, Volkmar.-Frowein, Jochen Abr.</t>
  </si>
  <si>
    <t>Staatszwecke im Verfassungsstaat - nach 40 Jahren Grundgesetz. Die BewÃ¤ltigung der wissenschaftlichen und technischen Entwicklungen durch das Verwaltungsrecht</t>
  </si>
  <si>
    <t>Link, Heinz-Christoph-Murswiek, Dietrich-Schlink, Bernhard.-Ress, Georg-Ipsen, JoÌˆrn</t>
  </si>
  <si>
    <t>Das Grundrecht auf Sicherheit</t>
  </si>
  <si>
    <t>Josef Isensee</t>
  </si>
  <si>
    <t>Grundpflichten als verfassungsrechtliche Dimension. Verwaltungsverfahren zwischen Verwaltungseffizienz und Rechtsschutzauftrag</t>
  </si>
  <si>
    <t>GoÌˆtz, Volkmar.-Pietzcker, Jost.-Wahl, Rainer.-Hofmann, Hasso.-Vereinigung der Deutschen Staatsrechtslehrer.</t>
  </si>
  <si>
    <t>Gesetzgebung im Rechtsstaat. Selbstbindungen der Verwaltung</t>
  </si>
  <si>
    <t>Eichenberger, Kurt.</t>
  </si>
  <si>
    <t>Der Gleichheitssatz. Gesetzesgestaltung und Gesetzesanwendung im Leistungsrecht</t>
  </si>
  <si>
    <t>Zippelius, Reinhold</t>
  </si>
  <si>
    <t>Die Verfassungsgerichtsbarkeit im GefÃ¼ge der Staatsfunktionen. Besteuerung und Eigentum</t>
  </si>
  <si>
    <t>Korinek, Karl-Arnim, Hans-Herbert von-Schlaich, Klaus-MuÌˆller, JoÌˆrg Paul-Vereinigung der Deutschen Staatsrechtslehrer.</t>
  </si>
  <si>
    <t>Deutschland nach 30 Jahren Grundgesetz. Staatsaufgabe Umweltschutz</t>
  </si>
  <si>
    <t>Bernhardt, Rudolf</t>
  </si>
  <si>
    <t>Verfassungstreue und Schutz der Verfassung. Der Ã¶ffentliche Dienst im Staat der Gegenwart</t>
  </si>
  <si>
    <t>Denninger, Erhard.</t>
  </si>
  <si>
    <t>Der Verfassungsstaat im Geflecht der internationalen Beziehungen. Gemeinden und Kreise vor den Ã¶ffentlichen Aufgaben der Gegenwart</t>
  </si>
  <si>
    <t>Tomuschat, Christian.-Grawert, Rolf.-BluÌˆmel, Willi.-Schmidt, Reiner</t>
  </si>
  <si>
    <t>Unternehmen und Unternehmer in der verfassungsrechtlichen Ordnung der Wirtschaft. Der Schutz der Allgemeinheit und der individuellen Rechte durch die polizei- und ordnungsrechtlichen Handlungsvollmachten der Exekutive</t>
  </si>
  <si>
    <t>Saladin, Peter V.</t>
  </si>
  <si>
    <t>Die Bindung des Richters an Gesetz und Verfassung. Verwaltungsverantwortung und Verwaltungsgerichtsbarkeit</t>
  </si>
  <si>
    <t>Roellecke, Gerd.-Schmidt-Assmann, Eberhard.-Scholz, Rupert.-Starck, Christian.-Vereinigung der Deutschen Staatsrechtslehrer.</t>
  </si>
  <si>
    <t>Das parlamentarische Regierungssystem des Grundgesetzes. Organisierte Einwirkungen auf die Verwaltung</t>
  </si>
  <si>
    <t>Oppermann, Thomas.</t>
  </si>
  <si>
    <t>Das Grundrecht der Gewissensfreiheit. Die Rechtsformen der sozialen Sicherung und das Allgemeine Verwaltungsrecht</t>
  </si>
  <si>
    <t>Henke, Wilhelm-RuÌˆfner, Wolfgang.-BaÌˆumlin, Richard.-BoÌˆckenfoÌˆrde, Ernst Wolfgang.</t>
  </si>
  <si>
    <t>Ã–ffentlicher Haushalt und Wirtschaft. Die Stellung der Studenten in der UniversitÃ¤t</t>
  </si>
  <si>
    <t>Friauf, Karl Heinrich.</t>
  </si>
  <si>
    <t>Die Kirchen unter dem Grundgesetz. FÃ¼hrung und Organisation der StreitkrÃ¤fte im demokratisch-parlamentarischen Staat</t>
  </si>
  <si>
    <t>Heckel, Martin.-Quaritech, Helmut.-Christoph von Unruh, Georg.-Hollerbach, Alexander.</t>
  </si>
  <si>
    <t>Das Staatsoberhaupt in der parlamentarischen Demokratie. Verwaltung durch Subventionen</t>
  </si>
  <si>
    <t>Kimminich, Otto.-Vereinigung der Deutschen Staatsrechtslehrer.</t>
  </si>
  <si>
    <t>Staat und VerbÃ¤nde. Gesetzgeber und Verwaltung</t>
  </si>
  <si>
    <t>Leibholz, Gerhard</t>
  </si>
  <si>
    <t>Parlament und Regierung im modernen Staat. Die Organisationsgewalt</t>
  </si>
  <si>
    <t>Friesenhahn, Ernst.</t>
  </si>
  <si>
    <t>Pressefreiheit. Staatsaufsicht in Verwaltung und Wirtschaft</t>
  </si>
  <si>
    <t>Scheuner, Ulrich</t>
  </si>
  <si>
    <t>Bewahrung und VerÃ¤nderung demokratischer und rechtsstaatlicher Verfassungsstruktur in den internationalen Gemeinschaften. Verwaltung und Schule</t>
  </si>
  <si>
    <t>Kaiser, Joseph H.</t>
  </si>
  <si>
    <t>FÃ¶deralismus als nationales und internationales Ordnungsprinzip. Die Ã¶ffentliche Sache</t>
  </si>
  <si>
    <t>BuÌˆlck, Hartwig.</t>
  </si>
  <si>
    <t>Prinzipien der Verfassungsinterpretation. GefÃ¤hrdungshaftung im Ã¶ffentlichen Recht</t>
  </si>
  <si>
    <t>Schneider, Peter</t>
  </si>
  <si>
    <t>Die verfassungsrechtliche Stellung der politischen Parteien im modernen Staat. Das Verwaltungsverfahren</t>
  </si>
  <si>
    <t>Hesse, Konrad.-Melichar, Erwin.-Bettermann, Karl August.-Vereinigung der Deutschen Staatsrechtslehrer.</t>
  </si>
  <si>
    <t>Das Gesetz als Norm und MaÃŸnahme. Das besondere GewaltverhÃ¤ltnis</t>
  </si>
  <si>
    <t>Menger, Christian-Friedrich-Vereinigung der Deutschen Staatsrechtslehrer.</t>
  </si>
  <si>
    <t>Die Finanzverfassung im Rahmen der Staatsverfassung. Verwaltung und Verwaltungsrechtsprechung</t>
  </si>
  <si>
    <t>Hettlage, Karl M.-Vereinigung der Deutschen Staatsrechtslehrer.</t>
  </si>
  <si>
    <t>Ungeschriebenes Verfassungsrecht. Enteignung und Sozialisierung</t>
  </si>
  <si>
    <t>Hippel, Ernst von-Vereinigung der Deutschen Staatsrechtslehrer.</t>
  </si>
  <si>
    <t>Die staatliche Intervention im Bereich der Wirtschaft. Rechtsformen und Rechtsschutz. Die Gegenwartslage des Staatskirchenrechts</t>
  </si>
  <si>
    <t>Scheuner, Ulrich-Vereinigung der Deutschen Staatsrechtslehrer.</t>
  </si>
  <si>
    <t>Die Grenzen der Verfassungsgerichtsbarkeit. Die Gestaltung des Polizei- und Ordnungsrechts in den einzelnen Besatzungszonen</t>
  </si>
  <si>
    <t>Kaufmann, Erich.-Vereinigung der Deutschen Staatsrechtslehrer.</t>
  </si>
  <si>
    <t>Kabinettsfrage und Gesetzgebungsnotstand nach dem Bonner Grundgesetz. Tragweite der Generalklausel im Art. 19 Abs. 4 des Bonner Grundgesetzes</t>
  </si>
  <si>
    <t>Jellinek, Walter-Herrfahrdt, Heinrich-Klein, Friedrich-Vereinigung der Deutschen Staatsrechtslehrer.</t>
  </si>
  <si>
    <t>Entwicklung und Reform des Beamtenrechts. Die Reform des Wahlrechts</t>
  </si>
  <si>
    <t>Gerber, Hans-Vereinigung der Deutschen Staatsrechtslehrer.</t>
  </si>
  <si>
    <t>Bundesstaatliche und gliedstaatliche Rechtsordnung. Verwaltungsrecht der Ã¶ffentlichen Anstalt</t>
  </si>
  <si>
    <t>Fleiner, Fritz</t>
  </si>
  <si>
    <t>Wesen und Entwicklung der Staatsgerichtsbarkeit. ÃœberprÃ¼fung von Verwaltungsakten durch die ordentlichen Gerichte</t>
  </si>
  <si>
    <t>Triepel, Heinrich.</t>
  </si>
  <si>
    <t>Der Schutz des Ã¶ffentlichen Rechts. Die neueste Entwicklung des Gemeindeverfassungsrechts</t>
  </si>
  <si>
    <t>Jellinek, Walter.</t>
  </si>
  <si>
    <t>Die staatsrechtliche Stellung der AuslÃ¤nder in der Bundesrepublik Deutschland. Vertrauensschutz im Verwaltungsrecht</t>
  </si>
  <si>
    <t>Doehring, Karl-PuÌˆttner, GuÌˆnter-Kisker, Gunter-Isensee, Josef</t>
  </si>
  <si>
    <t>Der deutsche FÃ¶deralismus. Die Diktatur des ReichsprÃ¤sidenten</t>
  </si>
  <si>
    <t>AnschuÌˆtz, Gerhard.</t>
  </si>
  <si>
    <t>Gemeinschaftsaufgaben im Bundesstaat. Partizipation an Verwaltungsentscheidungen</t>
  </si>
  <si>
    <t>Frowein, Jochen Abr.-Walter, Robert.-Vereinigung der Deutschen Staatsrechtslehrer.</t>
  </si>
  <si>
    <t>Verfassungsrecht und einfaches Recht - Verfassungsgerichtsbarkeit und Fachgerichtsbarkeit. PrimÃ¤r- und SekundÃ¤rrechtsschutz im Ã–ffentlichen Recht</t>
  </si>
  <si>
    <t>Robert Alexy-Philip Kunig-Werner Heun-Georg Hermes-Wilfried Erbguth-Wolfram HÃ¶fling-Rudolf Streinz-Astrid Epiney</t>
  </si>
  <si>
    <t>Die deutsche Staatsrechtslehre in der Zeit des Nationalsozialismus. EuropÃ¤isches und nationales Verfassungsrecht. Der Staat als Wirtschaftssubjekt und Auftraggeber</t>
  </si>
  <si>
    <t>Dreier, Horst.-Pernice, Ingolf.-LoÌˆwer, Wolfgang.-Holoubek, Michael.-Pauly, Walter.-Puhl, Thomas.-Vereinigung der Deutschen Staatsrechtslehrer.</t>
  </si>
  <si>
    <t>EuropÃ¤ische Union. Deutsches und europÃ¤isches Verwaltungsrecht - Wechselseitige Einwirkungen</t>
  </si>
  <si>
    <t>Rengeling, Hans-Werner.-Zuleeg, Manfred.-Hilf, Meinhard.-Vereinigung der Deutschen Staatsrechtslehrer.</t>
  </si>
  <si>
    <t>GrundsÃ¤tze der Finanzverfassung des vereinten Deutschlands. VertrÃ¤ge und Absprachen zwischen der Verwaltung und Privaten</t>
  </si>
  <si>
    <t>Selmer, Peter-Krebs, Walter-Kirchof, Ferdinand.-Burmeister, Joachim-Vereinigung der Deutschen Staatsrechtslehrer.</t>
  </si>
  <si>
    <t>Der Rechtsstaat und die Aufarbeitung der vor-rechtsstaatlichen Vergangenheit. Eigentumsschutz, Sozialbindung und Enteignung bei der Nutzung von Boden und Umwelt</t>
  </si>
  <si>
    <t>Starck, Christian.-Rill, Heinz Peter.-Vereinigung der Deutschen Staatsrechtslehrer.</t>
  </si>
  <si>
    <t>Language Endangerment and Language Revitalization</t>
  </si>
  <si>
    <t>Tasaku Tsunoda</t>
  </si>
  <si>
    <t>Diokletian und die Tetrarchie</t>
  </si>
  <si>
    <t>Alexander Demandt-Andreas Goltz-Heinrich Schlange-SchÃ¶ningen</t>
  </si>
  <si>
    <t>Die Staatsrechtslehre und die VerÃ¤nderung ihres Gegenstandes. GewÃ¤hrleistung von Freiheit und Sicherheit im Lichte unterschiedlicher Staats- und VerfassungsverstÃ¤ndnisse. Risikosteuerung durch Verwaltungsrecht. Transparente Verwaltung - Konturen...</t>
  </si>
  <si>
    <t>Juliane Kokott-Thomas Vesting-Winfried Brugger-Christoph Gusy-et al.</t>
  </si>
  <si>
    <t>Leistungsgrenzen des Verfassungsrechts. Ã–ffentliche Gemeinwohlverantwortung im Wandel</t>
  </si>
  <si>
    <t>Schulze-Fielitz, Helmuth-Herdegen, Matthias-Vereinigung der Deutschen Staatsrechtslehrer.</t>
  </si>
  <si>
    <t>Inhaltskontrolle von ArbeitsvertrÃ¤gen</t>
  </si>
  <si>
    <t>Reinhard Singer</t>
  </si>
  <si>
    <t>Gesellschaftsrecht und Verbraucherschutz - Zum Widerruf von Fondsbeteiligungen</t>
  </si>
  <si>
    <t>Christian ArmbrÃ¼ster</t>
  </si>
  <si>
    <t>Biographie und Bildungskultur</t>
  </si>
  <si>
    <t>Dennis Pausch</t>
  </si>
  <si>
    <t>Grundrechte im Leistungsstaat. Die Dogmatik des Verwaltungsrechts vor den Gegenwartsaufgaben der Verwaltung</t>
  </si>
  <si>
    <t>HaÌˆberle, Peter.-Brohm, Winfried.-Martens, Wolfgang-Bachof, Otto.</t>
  </si>
  <si>
    <t>Das demokratische Prinzip im Grundgesetz. Die ErfÃ¼llung von Verwaltungsaufgaben durch Private</t>
  </si>
  <si>
    <t>Simson, Werner von.</t>
  </si>
  <si>
    <t>Das Grundgesetz und die Ã¶ffentliche Gewalt internationaler Staatengemeinschaften. Der Plan als verwaltungsrechtliches Institut</t>
  </si>
  <si>
    <t>Erler, Georg.</t>
  </si>
  <si>
    <t>ErschlieÃŸungsband zur Mikrofiche-Edition Widerstand als Hochverrat</t>
  </si>
  <si>
    <t>Werner RÃ¶der-Christoph Weisz</t>
  </si>
  <si>
    <t>1750 - 1780</t>
  </si>
  <si>
    <t>Bender, Wolfgang F.-Bruckmann, Christoph.-Sasse, Christiane.-Bushuven, Siegfried.-Huesmann, Michael.</t>
  </si>
  <si>
    <t>1791-1800</t>
  </si>
  <si>
    <t>Wolfgang F. Bender-Siegfried Bushuven-Michael Huesmann</t>
  </si>
  <si>
    <t>1781-1790</t>
  </si>
  <si>
    <t>Das SKK-Statut</t>
  </si>
  <si>
    <t>Werner RÃ¶der-Christoph Weisz-Elke Scherstjanoi</t>
  </si>
  <si>
    <t>VertrÃ¤ge zwischen Gliedstaaten im Bundesstaat. Schranken nichthoheitlicher Verwaltung</t>
  </si>
  <si>
    <t>Schneider, Hans-Schaumann, Wilfried.-Mallmann, Walter.-Zeidler, Karl.</t>
  </si>
  <si>
    <t>Begriff und Wesen des sozialen Rechtsstaates. Die auswÃ¤rtige Gewalt der Bundesrepublik</t>
  </si>
  <si>
    <t>Forsthoff, Ernst</t>
  </si>
  <si>
    <t>Arbeitsmarkt und staatliche Lenkung. Staat und Religion</t>
  </si>
  <si>
    <t>Joachim Wieland-Christoph Engel-Thomas Danwitz-Wilfried Fiedler-Gerhard Robbers-Michael Brenner</t>
  </si>
  <si>
    <t>Tractate Berakhot</t>
  </si>
  <si>
    <t>Das parlamentarische Regierungssystem und der Bundesrat - Entwicklungsstand und Reformbedarf. Rechtliche Optimierungsgebote oder Rahmensetzungen fÃ¼r das Verwaltungshandeln?</t>
  </si>
  <si>
    <t>Rudolf Dolzer-Michael Sachs-Thomas WÃ¼rtenberger-Herbert Haller-Eibe Riedel</t>
  </si>
  <si>
    <t>Grundrechte und Privatrecht</t>
  </si>
  <si>
    <t>Claus-Wilhelm Canaris</t>
  </si>
  <si>
    <t>Der Grundrechtseingriff. Ã–ffentlich-rechtliche Rahmenbedingungen einer Informationsordnung</t>
  </si>
  <si>
    <t>Bethge, Herbert.-Trute, Hans-Heinrich.-Schoch, Friedrich.-Weber-DuÌˆrler, Beatrice.</t>
  </si>
  <si>
    <t>Ketzerische Bemerkungen zum Prinzip in dubio pro reo</t>
  </si>
  <si>
    <t>Gunther Arzt</t>
  </si>
  <si>
    <t>Kontrolle der auswÃ¤rtigen Gewalt. Verwaltung und Verwaltungsrecht zwischen gesellschaftlicher Selbstregulierung und staatlicher Steuerung</t>
  </si>
  <si>
    <t>Schmidt-Preuss, Matthias.-Hailbronner, Kay.</t>
  </si>
  <si>
    <t>BÃ¼rgerverantwortung im demokratischen Verfassungsstaat / Kontrolle der Verwaltung durch RechnungshÃ¶fe</t>
  </si>
  <si>
    <t>author unknown</t>
  </si>
  <si>
    <t>Erziehungsauftrag und ErziehungsmaÃŸstab der Schule im freiheitlichen Verfassungsstaat. Privatisierung von Verwaltungsaufgaben</t>
  </si>
  <si>
    <t>Bothe, Michael.-HengstschlaÌˆger, Johannes.</t>
  </si>
  <si>
    <t>Quantitative Techniques in Participatory Forest Management</t>
  </si>
  <si>
    <t>Eugenio Martinez-Falero-Susana Martin-Fernandez-Antonio D. Garcia-Abril</t>
  </si>
  <si>
    <t>Managing Emotion in Design Innovation</t>
  </si>
  <si>
    <t>Amitoj Singh</t>
  </si>
  <si>
    <t>Cloning Wild Life</t>
  </si>
  <si>
    <t>Mammographies</t>
  </si>
  <si>
    <t>Mary K. DeShazer</t>
  </si>
  <si>
    <t>DOOM</t>
  </si>
  <si>
    <t>Dan Pinchbeck</t>
  </si>
  <si>
    <t>Unauthorized Access</t>
  </si>
  <si>
    <t>Robert Sloan-Richard Warner</t>
  </si>
  <si>
    <t>Ibn Al-Jazzar On Fevers</t>
  </si>
  <si>
    <t>Economics and Youth Violence</t>
  </si>
  <si>
    <t>Richard Rosenfeld-Mark Edberg-Xiangming Fang-Curtis S. Florence</t>
  </si>
  <si>
    <t>As Long As We Both Shall Love</t>
  </si>
  <si>
    <t>Karen M. Dunak</t>
  </si>
  <si>
    <t>Mississippi Praying</t>
  </si>
  <si>
    <t>Carolyn RenÃ©e Dupont</t>
  </si>
  <si>
    <t>Der Tag von Potsdam</t>
  </si>
  <si>
    <t>Christoph Kopke-Werner TreÃŸ</t>
  </si>
  <si>
    <t>Essays on the Philosophy of Wittgenstein</t>
  </si>
  <si>
    <t>Volker Munz</t>
  </si>
  <si>
    <t>Richard Heinrich-Elisabeth Nemeth-Wolfram Pichler-David Wagner</t>
  </si>
  <si>
    <t>Signs, Minds and Actions</t>
  </si>
  <si>
    <t>Volker Munz-Klaus Puhl-Joseph Wang</t>
  </si>
  <si>
    <t>Wittgenstein: The Philosopher and His Works</t>
  </si>
  <si>
    <t>Alois Pichler-Simo SÃ¤Ã¤telÃ¤</t>
  </si>
  <si>
    <t>Wittgenstein and the Philosophy of Information</t>
  </si>
  <si>
    <t>Alois Pichler-Herbert Hrachovec</t>
  </si>
  <si>
    <t>Wittgenstein Ã¼ber das Verstehen</t>
  </si>
  <si>
    <t>Elena Tatievskaya</t>
  </si>
  <si>
    <t>Die Natur der Farben</t>
  </si>
  <si>
    <t>Fabian Dorsch</t>
  </si>
  <si>
    <t>Phenomenology As Grammar</t>
  </si>
  <si>
    <t>JesÃºs Padilla GÃ¡lvez</t>
  </si>
  <si>
    <t>Substance and Attribute</t>
  </si>
  <si>
    <t>Christian Kanzian-Muhammad Legenhausen</t>
  </si>
  <si>
    <t>Cultures. Conflict - Analysis - Dialogue</t>
  </si>
  <si>
    <t>Christian Kanzian-Edmund Runggaldier SJ</t>
  </si>
  <si>
    <t>How Successful Is Naturalism?</t>
  </si>
  <si>
    <t>Georg Gasser</t>
  </si>
  <si>
    <t>Reduction - Abstraction - Analysis</t>
  </si>
  <si>
    <t>Alexander Hieke-Hannes Leitgeb</t>
  </si>
  <si>
    <t>Reduction</t>
  </si>
  <si>
    <t>Sense and Reality</t>
  </si>
  <si>
    <t>John Edelman</t>
  </si>
  <si>
    <t>Grenzen grammatischer WillkÃ¼r bei Wittgenstein</t>
  </si>
  <si>
    <t>Henrik VoÃŸ</t>
  </si>
  <si>
    <t>Philosophy of the Information Society</t>
  </si>
  <si>
    <t>Herbert Hrachovec-Alois Pichler</t>
  </si>
  <si>
    <t>Wittgensteins Sprachphilosophie in den "Philosophischen Untersuchungen"</t>
  </si>
  <si>
    <t>Wulf Kellerwessel</t>
  </si>
  <si>
    <t>Ethics of Terrorism &amp; Counter-Terrorism</t>
  </si>
  <si>
    <t>Georg Meggle-Andreas Kemmerling-Mark Textor</t>
  </si>
  <si>
    <t>Referenz, Quantifikation und ontologische Festlegung</t>
  </si>
  <si>
    <t>Maria Elisabeth Reicher</t>
  </si>
  <si>
    <t>From Logic to Art</t>
  </si>
  <si>
    <t>Gerhard Ernst-Jakob Steinbrenner-Oliver R. Scholz</t>
  </si>
  <si>
    <t>Interpreting Philosophy</t>
  </si>
  <si>
    <t>Nicholas Rescher</t>
  </si>
  <si>
    <t>Relations and Predicates</t>
  </si>
  <si>
    <t>Herbert Hochberg-Kevin Mulligan</t>
  </si>
  <si>
    <t>Universality in Set Theories</t>
  </si>
  <si>
    <t>Manuel Bremer</t>
  </si>
  <si>
    <t>Fostering the Ontological Turn</t>
  </si>
  <si>
    <t>Rosaria Egidi-Guido Bonino</t>
  </si>
  <si>
    <t>The Necessary Structure of the All-pervading Aether</t>
  </si>
  <si>
    <t>Peter Forrest</t>
  </si>
  <si>
    <t>The Problem of Relativism in the Sociology of (Scientific) Knowledge</t>
  </si>
  <si>
    <t>Richard Schantz-Markus Seidel</t>
  </si>
  <si>
    <t>Consciousness and Subjectivity</t>
  </si>
  <si>
    <t>Sofia Miguens-Gerhard Preyer</t>
  </si>
  <si>
    <t>Applied Ontology</t>
  </si>
  <si>
    <t>Katherine Munn-Barry Smith</t>
  </si>
  <si>
    <t>Von der Physik zur Metaphysik</t>
  </si>
  <si>
    <t>Reiner Hedrich</t>
  </si>
  <si>
    <t>Non-locality and Possible World</t>
  </si>
  <si>
    <t>Tomasz F. Bigaj</t>
  </si>
  <si>
    <t>Theoriebeladenheit und ObjektivitÃ¤t</t>
  </si>
  <si>
    <t>Matthias Adam</t>
  </si>
  <si>
    <t>Die Praxis des Wissens</t>
  </si>
  <si>
    <t>Axel Schubert</t>
  </si>
  <si>
    <t>Das Wertfreiheitsideal in der sozialen Erkenntnistheorie</t>
  </si>
  <si>
    <t>Anke BÃ¼ter</t>
  </si>
  <si>
    <t>A Two-Dimensionalist Guide to Conceptual Analysis</t>
  </si>
  <si>
    <t>Jens Kipper</t>
  </si>
  <si>
    <t>Daten und PhÃ¤nomene</t>
  </si>
  <si>
    <t>Jochen Apel</t>
  </si>
  <si>
    <t>Historische Erkenntnis zwischen ObjektivitÃ¤t und PerspektivitÃ¤t</t>
  </si>
  <si>
    <t>Jens Kistenfeger</t>
  </si>
  <si>
    <t>Johanssonian Investigations</t>
  </si>
  <si>
    <t>Christer Svennerlind-Jan AlmÃ¤ng-RÃ¶gnvaldur Ingthorsson</t>
  </si>
  <si>
    <t>Medicine &amp; Philosophy</t>
  </si>
  <si>
    <t>Ingvar Johansson-Niels LynÃ¸e</t>
  </si>
  <si>
    <t>On the Nature of Philosophy and Other Philosophical Essays</t>
  </si>
  <si>
    <t>Health, Rights and Dignity</t>
  </si>
  <si>
    <t>PHILOSOPHY / Movements / Utilitarianism</t>
  </si>
  <si>
    <t>Christian Erk</t>
  </si>
  <si>
    <t>Pagan Family Values</t>
  </si>
  <si>
    <t>S. Zohreh Kermani</t>
  </si>
  <si>
    <t>Nature for Sale</t>
  </si>
  <si>
    <t>Giovanna Ricoveri</t>
  </si>
  <si>
    <t>Researching New Religious Movements</t>
  </si>
  <si>
    <t>Elisabeth Arweck</t>
  </si>
  <si>
    <t>Fast Facts: Renal Disorders</t>
  </si>
  <si>
    <t>Singh, Ajay-Levy, Jeremy-Pusey, Charles</t>
  </si>
  <si>
    <t>Advanced Location-Based Technologies and Services</t>
  </si>
  <si>
    <t>Hassan A. Karimi</t>
  </si>
  <si>
    <t>Hacking the Academy</t>
  </si>
  <si>
    <t>Daniel J. Cohen-Joseph Thomas Scheinfeldt</t>
  </si>
  <si>
    <t>Multilateral Banks and the Development Process</t>
  </si>
  <si>
    <t>Vinod Thomas-Xubei Luo</t>
  </si>
  <si>
    <t>The Living Stream</t>
  </si>
  <si>
    <t>The Passion of Max Von Oppenheim</t>
  </si>
  <si>
    <t>Digital Humanities Pedagogy</t>
  </si>
  <si>
    <t xml:space="preserve"> Brett D. Hirsch</t>
  </si>
  <si>
    <t>Virgil, Aeneid, 4.1â€“299</t>
  </si>
  <si>
    <t>A People Passing Rude</t>
  </si>
  <si>
    <t>Is Behavioral Economics Doomed?</t>
  </si>
  <si>
    <t xml:space="preserve"> David K. Levine</t>
  </si>
  <si>
    <t>Frontier Encounters</t>
  </si>
  <si>
    <t xml:space="preserve"> Franck BillÃ©-GrÃ©gory Delaplace-Caroline Humphrey</t>
  </si>
  <si>
    <t>Economic Fables</t>
  </si>
  <si>
    <t xml:space="preserve"> Ariel Rubinstein</t>
  </si>
  <si>
    <t>Oral Literature in Africa</t>
  </si>
  <si>
    <t>Women in Nineteenth-Century Russia</t>
  </si>
  <si>
    <t xml:space="preserve"> Wendy Rosslyn-Alessandra Tosi</t>
  </si>
  <si>
    <t>Letters of Blood and Other Works in English</t>
  </si>
  <si>
    <t>HISTORY / Military / Pictorial</t>
  </si>
  <si>
    <t xml:space="preserve"> GÃ¶ran Printz-PÃ¥hlson-Robert Archambeau</t>
  </si>
  <si>
    <t>Cicero, Against Verres, 2.1.53â€“86</t>
  </si>
  <si>
    <t>The End of the World</t>
  </si>
  <si>
    <t>RELIGION / Christianity / Literature &amp; the Arts</t>
  </si>
  <si>
    <t>The Digital Public Domain</t>
  </si>
  <si>
    <t xml:space="preserve"> Melanie Dulong de Rosnay-Juan Carlos De Martin</t>
  </si>
  <si>
    <t>Bourdieu and Literature</t>
  </si>
  <si>
    <t xml:space="preserve"> John R.W. Speller</t>
  </si>
  <si>
    <t>Peace and Democratic Society</t>
  </si>
  <si>
    <t xml:space="preserve"> Amartya Sen</t>
  </si>
  <si>
    <t>Henry James's Europe</t>
  </si>
  <si>
    <t xml:space="preserve"> Dennis Tredy-Annick Duperray-Adrian Harding</t>
  </si>
  <si>
    <t>Why Do We Quote?</t>
  </si>
  <si>
    <t>REFERENCE / Quotations</t>
  </si>
  <si>
    <t>The Theatre of Shelley</t>
  </si>
  <si>
    <t xml:space="preserve"> Jacqueline Mulhallen</t>
  </si>
  <si>
    <t>The End and the Beginning</t>
  </si>
  <si>
    <t>Text and Genre in Reconstruction</t>
  </si>
  <si>
    <t xml:space="preserve"> Willard McCarty</t>
  </si>
  <si>
    <t>Les Bienveillantes de Jonathan Littell</t>
  </si>
  <si>
    <t xml:space="preserve"> Murielle Lucie ClÃ©ment</t>
  </si>
  <si>
    <t>Privilege and Property</t>
  </si>
  <si>
    <t xml:space="preserve"> Ronan Deazley-Martin Kretschmer-Lionel Bently</t>
  </si>
  <si>
    <t>The Sword of Judith</t>
  </si>
  <si>
    <t xml:space="preserve"> Kevin R. Brine-Elena Ciletti-Henrike LÃ¤hnemann</t>
  </si>
  <si>
    <t>Coleridge's Laws</t>
  </si>
  <si>
    <t xml:space="preserve"> Barry Hough-Howard Davis</t>
  </si>
  <si>
    <t>Telling Tales</t>
  </si>
  <si>
    <t xml:space="preserve"> David Blamires</t>
  </si>
  <si>
    <t>Brownshirt Princess</t>
  </si>
  <si>
    <t>The Altering Eye</t>
  </si>
  <si>
    <t xml:space="preserve"> Robert Phillip Kolker</t>
  </si>
  <si>
    <t>That Greece Might Still Be Free</t>
  </si>
  <si>
    <t xml:space="preserve"> William St Clair</t>
  </si>
  <si>
    <t>A History of Anthropology</t>
  </si>
  <si>
    <t>Thomas Hylland Eriksen-Finn Sivert Nielsen</t>
  </si>
  <si>
    <t>Digital Rubbish</t>
  </si>
  <si>
    <t>Jennifer Gabrys</t>
  </si>
  <si>
    <t>The Financial Crisis and the Global South</t>
  </si>
  <si>
    <t>Yilmaz AkyÃ¼z</t>
  </si>
  <si>
    <t>Hydroxyapatite Coatings for Biomedical Applications</t>
  </si>
  <si>
    <t>Sam Zhang</t>
  </si>
  <si>
    <t>Citizenship Excess</t>
  </si>
  <si>
    <t>Hector Amaya</t>
  </si>
  <si>
    <t>Religion and Secularity</t>
  </si>
  <si>
    <t>Marion Eggert-Lucian HÃ¶lscher</t>
  </si>
  <si>
    <t>Kaye, Gerry-Furniss, Steve-Lemery, Robert</t>
  </si>
  <si>
    <t>Fast Facts: Gynecologic Oncology</t>
  </si>
  <si>
    <t>Shahabi, Shohreh-Smith, J. Richard-Del Priore, Giuseppe</t>
  </si>
  <si>
    <t>Fast Facts: Bleeding Disorders</t>
  </si>
  <si>
    <t>Green, David-Ludlam, Christopher A.</t>
  </si>
  <si>
    <t>Holgate, Stephen T.-Douglass, Jo A.</t>
  </si>
  <si>
    <t>Teaching History in the Digital Age</t>
  </si>
  <si>
    <t>T. Mills Kelly</t>
  </si>
  <si>
    <t>Early Start</t>
  </si>
  <si>
    <t>Andrew Karch</t>
  </si>
  <si>
    <t>Natural Computing and Beyond</t>
  </si>
  <si>
    <t>Yasuhiro Suzuki-Toshiyuki Nakagaki</t>
  </si>
  <si>
    <t>Young American Muslims</t>
  </si>
  <si>
    <t>Nahid Afrose Kabir</t>
  </si>
  <si>
    <t>Electrochemical Supercapacitors for Energy Storage and Delivery</t>
  </si>
  <si>
    <t>Aiping Yu-Victor Chabot-Jiujun Zhang</t>
  </si>
  <si>
    <t>SÃ¤kularisierungen in der FrÃ¼hen Neuzeit.</t>
  </si>
  <si>
    <t>Matthias Pohlig-Ute Lotz-Heumann-Vera Isaiasz-Ruth Schilling-Heike Bock-Stefan Ehrenpreis</t>
  </si>
  <si>
    <t>Die Hartz-Gesetze zur Arbeitsmarktpolitik.</t>
  </si>
  <si>
    <t>Michael Fertig-Jochen Kluve-Christoph M. Schmidt-Helmut Apel-Werner Friedrich-Helmut HÃ¤gele</t>
  </si>
  <si>
    <t>Classification and Clustering in Business Cycle Analysis.</t>
  </si>
  <si>
    <t>Ullrich Heilemann-Claus Weihs</t>
  </si>
  <si>
    <t>Private und Ã¶ffentliche Kartellrechtsdurchsetzung.</t>
  </si>
  <si>
    <t>Der Einfluss deutschsprachigen wirtschaftswissenschaftlichen Denkens in Japan.</t>
  </si>
  <si>
    <t>Empirische InstitutionenÃ¶konomik: Konzeptionelle Fragen und Anwendungen.</t>
  </si>
  <si>
    <t>Gute Regeln oder Wirtschaftslenkung?</t>
  </si>
  <si>
    <t>Institutionelle HintergrÃ¼nde von Krisen.</t>
  </si>
  <si>
    <t>Wissen / The Knowledge Economy.</t>
  </si>
  <si>
    <t>Reform der Finanzmarktregulierung.</t>
  </si>
  <si>
    <t>Wirtschaftspolitische Konsequenzen der Finanz- und Wirtschaftskrise.</t>
  </si>
  <si>
    <t>Ã–ffentliche Finanzen, Fiskalwettbewerb, Nachhaltigkeit und soziale Wohlfahrt.</t>
  </si>
  <si>
    <t>Bengt-Arne WickstrÃ¶m</t>
  </si>
  <si>
    <t>Die deutschsprachige Wirtschaftswissenschaft in den ersten Jahrzehnten nach 1945.</t>
  </si>
  <si>
    <t>Wechselseitige EinflÃ¼sse zwischen dem deutschen wirtschaftswissenschaftlichen Denken und dem anderer europÃ¤ischer SprachrÃ¤ume.</t>
  </si>
  <si>
    <t>Institutionelle HintergrÃ¼nde und Konsequenzen von Wissen.</t>
  </si>
  <si>
    <t>Das Recht der freien MeinungsÃ¤uÃŸerung. Der Begriff des Gesetzes in der Reichsverfassung</t>
  </si>
  <si>
    <t>RothenbuÌˆcher, Karl.</t>
  </si>
  <si>
    <t>Die EuropÃ¤isierung des Privatrechts und die Rechtsvergleichung</t>
  </si>
  <si>
    <t>KÃ¶rper und christliche Lebensweise</t>
  </si>
  <si>
    <t>Martin Pujiula</t>
  </si>
  <si>
    <t>Tractates Sotah and Nedarim</t>
  </si>
  <si>
    <t>Childhood in the Middle Ages and the Renaissance</t>
  </si>
  <si>
    <t>Albrecht Classen</t>
  </si>
  <si>
    <t>Der Sozialstaat in Deutschland und Europa</t>
  </si>
  <si>
    <t>Christoph Enders-Ewald Wiederin-Rainer Pitschas-Helge Sodan-et al.</t>
  </si>
  <si>
    <t>Ee</t>
  </si>
  <si>
    <t>Die AllzustÃ¤ndigkeit amerikanischer Gerichte</t>
  </si>
  <si>
    <t>Rolf A. SchÃ¼tze</t>
  </si>
  <si>
    <t>"Donation of Constantine" and "Constitutum Constantini"</t>
  </si>
  <si>
    <t>Artikel 12 GG - Freiheit des Berufs und Grundrecht der Arbeit. Der Verwaltungsvorbehalt</t>
  </si>
  <si>
    <t>Schneider, Hans-Peter-Schnapp, Friedrich E.-Maurer, Hartmut.-Lecheler, Helmut.</t>
  </si>
  <si>
    <t>Life and Works of Saint Gregentios, Archbishop of Taphar</t>
  </si>
  <si>
    <t>Albrecht Berger</t>
  </si>
  <si>
    <t>Der hagiographische Topos</t>
  </si>
  <si>
    <t>Thomas Pratsch</t>
  </si>
  <si>
    <t>Bundesstaat und EuropÃ¤ische Union zwischen Konflikt und Kooperation</t>
  </si>
  <si>
    <t>Stefan Kadelbach-Christian Tietje-Eckhard Pache-Thomas Gross-et al.</t>
  </si>
  <si>
    <t>Bildung und Briefe im 6. Jahrhundert</t>
  </si>
  <si>
    <t>Bianca-Jeanette SchrÃ¶der</t>
  </si>
  <si>
    <t>Spanien und der Holocaust</t>
  </si>
  <si>
    <t>Bernd Rother</t>
  </si>
  <si>
    <t>Theatron</t>
  </si>
  <si>
    <t>Michael GrÃ¼nbart</t>
  </si>
  <si>
    <t>Tertullian the African</t>
  </si>
  <si>
    <t>David E. Wilhite</t>
  </si>
  <si>
    <t>Staatlichkeit und politisches Handeln in der rÃ¶mischen Kaiserzeit</t>
  </si>
  <si>
    <t>Hans-Ulrich Wiemer</t>
  </si>
  <si>
    <t>ZeitgenÃ¶ssische jÃ¼dische Autobiographie</t>
  </si>
  <si>
    <t>Christoph Miething</t>
  </si>
  <si>
    <t>Barbarische BÃ¼rger</t>
  </si>
  <si>
    <t>Karl Feld</t>
  </si>
  <si>
    <t>Kultur und Wissenschaft</t>
  </si>
  <si>
    <t>Karl-Peter Sommermann-Stefan Huster-Martin Schulte-Matthias Ruffert-et al.</t>
  </si>
  <si>
    <t>Das deutschsprachige Prosagedicht</t>
  </si>
  <si>
    <t>Wolfgang Bunzel</t>
  </si>
  <si>
    <t>The Nuremberg Trials: International Criminal Law Since 1945</t>
  </si>
  <si>
    <t>Herbert R. Reginbogin-Christoph Safferling</t>
  </si>
  <si>
    <t>Quintus Smyrnaeus: Transforming Homer in Second Sophistic Epic</t>
  </si>
  <si>
    <t>Manuel Baumbach-Silvio BÃ¤r</t>
  </si>
  <si>
    <t>Rotarmisten schreiben aus Deutschland</t>
  </si>
  <si>
    <t>Die Professoren der UniversitÃ¤t Rostock im Dritten Reich</t>
  </si>
  <si>
    <t>Michael Buddrus-Sigrid Fritzlar</t>
  </si>
  <si>
    <t>Ã–konomie und Technik.</t>
  </si>
  <si>
    <t>TECHNOLOGY &amp; ENGINEERING / Industrial Technology</t>
  </si>
  <si>
    <t>Governance in der Wirtschaftspolitik.</t>
  </si>
  <si>
    <t>Renate Ohr</t>
  </si>
  <si>
    <t>Wirtschaftspolitik im Zeichen europÃ¤ischer Integration.</t>
  </si>
  <si>
    <t>Ansgar Belke-Hans-Helmut Kotz-Stephan Paul-Christoph M. Schmidt</t>
  </si>
  <si>
    <t>Institutionelle Ursachen des Wohlstands der Nationen.</t>
  </si>
  <si>
    <t>Wettbewerb in der Energiewirtschaft.</t>
  </si>
  <si>
    <t>Internationalisierung der Wirtschaftspolitik.</t>
  </si>
  <si>
    <t>Ã–konomische Analyse politischer Institutionen.</t>
  </si>
  <si>
    <t>Finanzpolitik und Unternehmensentscheidung.</t>
  </si>
  <si>
    <t>Finanzpolitik und Schattenwirtschaft.</t>
  </si>
  <si>
    <t>Der Â»more economic approachÂ« in der Beihilfenkontrolle.</t>
  </si>
  <si>
    <t>Der Lissabon-Prozess: Anspruch und RealitÃ¤t.</t>
  </si>
  <si>
    <t>Bernhard Lageman-Christoph M. Schmidt-Dirk Engel-Michael Rothgang</t>
  </si>
  <si>
    <t>Arbeitsmarkt und BeschÃ¤ftigung.</t>
  </si>
  <si>
    <t>Chapaev and His Comrades</t>
  </si>
  <si>
    <t>Angela Brintlinger</t>
  </si>
  <si>
    <t>â€œTsar and Godâ€ and Other Essays in Russian Cultural Semiotics</t>
  </si>
  <si>
    <t>Victor Zhivov-Boris Uspenskij-Marcus Levitt</t>
  </si>
  <si>
    <t>Unternehmensdynamik und alternde BevÃ¶lkerung.</t>
  </si>
  <si>
    <t>Friederike Welter-Johan Wiklund-Lutz Trettin-Dirk Engel-Thomas K. Bauer-Kathrin Brink-Simon Down-Josef Hartmann-Lena Jacobi-Teemu Kautonen</t>
  </si>
  <si>
    <t>Reale Konjunkturzyklen, EffizienzlÃ¶hne und die Rolle von Ã–lpreisschocks.</t>
  </si>
  <si>
    <t>Globalisierung und Wandel von Institutionen.</t>
  </si>
  <si>
    <t>Wettbewerb und geistiges Eigentum.</t>
  </si>
  <si>
    <t>EuropÃ¤ische Union ohne Grenzen?</t>
  </si>
  <si>
    <t>Ã–konomie und Religion.</t>
  </si>
  <si>
    <t>Der Zins-Pass-Through deutscher GeschÃ¤ftsbankengruppen.</t>
  </si>
  <si>
    <t>BUSINESS &amp; ECONOMICS / Interest</t>
  </si>
  <si>
    <t>Hiltrud Nehls</t>
  </si>
  <si>
    <t>Wirtschaftsethische Perspektiven VIII.</t>
  </si>
  <si>
    <t>Udo Ebert</t>
  </si>
  <si>
    <t>Internationale Wettbewerbspolitik.</t>
  </si>
  <si>
    <t>Regionale BehÃ¶rden u. wissenschaftliche Hochschulen fÃ¼r die fÃ¼nf ostdeutschen LÃ¤nder, die ehemaligen preuÃŸischen Ostprovinzen u. eingegliederte Gebiete in Polen, Ã–sterreich u. d. Tschechischen Republik</t>
  </si>
  <si>
    <t>Voraussetzungen fÃ¼r grundlegende institutionelle Reformen.</t>
  </si>
  <si>
    <t>Wirtschaftspolitik im Systemwettbewerb.</t>
  </si>
  <si>
    <t>Development Cooperation - Evaluation and New Approaches.</t>
  </si>
  <si>
    <t>Haushaltspolitik und Ã¶ffentliche Verschuldung.</t>
  </si>
  <si>
    <t>Was hat die Reform der Minijobs bewirkt?</t>
  </si>
  <si>
    <t>Michael Fertig-Jochen Kluve-Markus Scheuer</t>
  </si>
  <si>
    <t>Effizienz und Wettbewerb.</t>
  </si>
  <si>
    <t>Institutionelle Grundlagen effizienter Wirtschaftspolitik.</t>
  </si>
  <si>
    <t>Netzwerke und GrÃ¼ndungen von Unternehmen durch Frauen.</t>
  </si>
  <si>
    <t>Friederike Welter-Ursula Ammon-Lutz Trettin</t>
  </si>
  <si>
    <t>Zur Bewertung der Entwicklungszusammenarbeit.</t>
  </si>
  <si>
    <t>CO2-Vermeidung und Brennstoffwahl in der ElektrizitÃ¤tserzeugung.</t>
  </si>
  <si>
    <t>Harald Tauchmann</t>
  </si>
  <si>
    <t>Studien zur Evolutorischen Ã–konomik VIII.</t>
  </si>
  <si>
    <t>Ã–konomie der Evaluation von Schulen und Hochschulen.</t>
  </si>
  <si>
    <t>Wirtschaftsethische Perspektiven VII.</t>
  </si>
  <si>
    <t>Studien zur Evolutorischen Ã–konomik IX.</t>
  </si>
  <si>
    <t>Wolfgang Kerber</t>
  </si>
  <si>
    <t>Finanzpolitik und Umverteilung.</t>
  </si>
  <si>
    <t>Zukunftsprobleme der EuropÃ¤ischen Wirtschaftsverfassung.</t>
  </si>
  <si>
    <t>Wettbewerb in der Versorgungswirtschaft.</t>
  </si>
  <si>
    <t>Macroeconometric Models and European Monetary Union.</t>
  </si>
  <si>
    <t>Stephen G. Hall-Peter Pauly-Ullrich Heilemann</t>
  </si>
  <si>
    <t>Was ist zu tun?</t>
  </si>
  <si>
    <t>Ullrich Heilemann-Klaus-Dirk Henke</t>
  </si>
  <si>
    <t>Emerging Engineering Approaches and Applications</t>
  </si>
  <si>
    <t>Elwin Mao-Lin Li Xu</t>
  </si>
  <si>
    <t>Euro Superalloys 2010</t>
  </si>
  <si>
    <t>Martin Heilmaier</t>
  </si>
  <si>
    <t>Intelligent Sensor Networks</t>
  </si>
  <si>
    <t>Fei Hu-Qi Hao</t>
  </si>
  <si>
    <t>Design with the Desert</t>
  </si>
  <si>
    <t>Richard Malloy-John Brock-Anthony Floyd-Margaret Livingston-Robert H. Webb</t>
  </si>
  <si>
    <t>English in Post-Revolutionary Iran</t>
  </si>
  <si>
    <t>Maryam Borjian</t>
  </si>
  <si>
    <t>Das Deutsch der Migranten</t>
  </si>
  <si>
    <t>Arnulf Deppermann</t>
  </si>
  <si>
    <t>Black Television Travels</t>
  </si>
  <si>
    <t>Timothy Havens</t>
  </si>
  <si>
    <t>Die Sprache der Judenfeindschaft im 21. Jahrhundert</t>
  </si>
  <si>
    <t>Monika Schwarz-Friesel-Jehuda Reinharz</t>
  </si>
  <si>
    <t>FICTION / Biographical &amp; Autofiction</t>
  </si>
  <si>
    <t>Anatomizing Civil War</t>
  </si>
  <si>
    <t>Martin Dinter</t>
  </si>
  <si>
    <t>Publishing Blackness</t>
  </si>
  <si>
    <t>George Hutchinson-John Young</t>
  </si>
  <si>
    <t>Proof and Proving in Mathematics Education</t>
  </si>
  <si>
    <t>Gila Hanna-Michael de Villiers</t>
  </si>
  <si>
    <t>Age-Period-Cohort Analysis</t>
  </si>
  <si>
    <t>FAMILY &amp; RELATIONSHIPS / Life Stages / School Age</t>
  </si>
  <si>
    <t>Yang Yang-Kenneth C. Land</t>
  </si>
  <si>
    <t>Capital of the World</t>
  </si>
  <si>
    <t>Charlene Mires</t>
  </si>
  <si>
    <t>Refining Expertise</t>
  </si>
  <si>
    <t>Gwen Ottinger</t>
  </si>
  <si>
    <t>Foucault's Archaeology</t>
  </si>
  <si>
    <t>David Webb</t>
  </si>
  <si>
    <t>The Girlhood of Shakespeare's Sisters</t>
  </si>
  <si>
    <t>Jennifer Higginbotham</t>
  </si>
  <si>
    <t>Challenging Multiculturalism</t>
  </si>
  <si>
    <t>Raymond Taras</t>
  </si>
  <si>
    <t>New Frontiers</t>
  </si>
  <si>
    <t>Optimal Control for Chemical Engineers</t>
  </si>
  <si>
    <t>Simant Ranjan Upreti</t>
  </si>
  <si>
    <t>Das Imperium Romanum und seine Gegenwelten</t>
  </si>
  <si>
    <t>Wiebke Vergin</t>
  </si>
  <si>
    <t>Germania Semitica</t>
  </si>
  <si>
    <t>Theo Vennemann gen. Nierfeld-Patrizia Noel Aziz Hanna</t>
  </si>
  <si>
    <t>Contemporary Jewish Reality in Germany and Its Reflection in Film</t>
  </si>
  <si>
    <t>Claudia Simone Dorchain-Felice Naomi Wonnenberg</t>
  </si>
  <si>
    <t>Making Womenâ€™s Histories</t>
  </si>
  <si>
    <t>Pamela S. Nadell-Kate Haulman</t>
  </si>
  <si>
    <t>Love and Money</t>
  </si>
  <si>
    <t>Lisa Henderson</t>
  </si>
  <si>
    <t>Linked Data</t>
  </si>
  <si>
    <t>Glen Hart-Catherine Dolbear</t>
  </si>
  <si>
    <t>Idiotism</t>
  </si>
  <si>
    <t>Neal Curtis</t>
  </si>
  <si>
    <t>(In)Appropriate Online Behavior</t>
  </si>
  <si>
    <t>Jenny Arendholz</t>
  </si>
  <si>
    <t>Effective Theories in Physics</t>
  </si>
  <si>
    <t>James D. Wells</t>
  </si>
  <si>
    <t>Holocaust Denial</t>
  </si>
  <si>
    <t>Robert S. Wistrich</t>
  </si>
  <si>
    <t>Kommentar zu Nietzsches "Der Fall Wagner" und "GÃ¶tzen-DÃ¤mmerung"</t>
  </si>
  <si>
    <t>Andreas Urs Sommer</t>
  </si>
  <si>
    <t>The Harmonious Organ of Sedulius Scottus</t>
  </si>
  <si>
    <t>Michael C. Sloan</t>
  </si>
  <si>
    <t>Sign Languages in Village Communities</t>
  </si>
  <si>
    <t>Ulrike Zeshan-Connie de Vos</t>
  </si>
  <si>
    <t>Sounding Like a No-No</t>
  </si>
  <si>
    <t>Francesca T. Royster</t>
  </si>
  <si>
    <t>The International Monetary Fund and Latin America</t>
  </si>
  <si>
    <t>Claudia Kedar</t>
  </si>
  <si>
    <t>Black Citizenship and Authenticity in the Civil Rights Movement</t>
  </si>
  <si>
    <t>Randolph Hohle</t>
  </si>
  <si>
    <t>Manchus and Han</t>
  </si>
  <si>
    <t>Edward J. M. Rhoads</t>
  </si>
  <si>
    <t>Doing Business in Rural China</t>
  </si>
  <si>
    <t>Thomas Heberer</t>
  </si>
  <si>
    <t>Cultural Encounters on Chinaâ€™s Ethnic Frontiers</t>
  </si>
  <si>
    <t>Stevan Harrell</t>
  </si>
  <si>
    <t>Religious Revival in the Tibetan Borderlands</t>
  </si>
  <si>
    <t>Koen Wellens</t>
  </si>
  <si>
    <t>Information Technology for Manufacturing Systems III</t>
  </si>
  <si>
    <t>Wei Deng-Qi Luo</t>
  </si>
  <si>
    <t>Smart Technologies for Communication</t>
  </si>
  <si>
    <t>Tianharry Chang</t>
  </si>
  <si>
    <t>Mechatronics and Information Technology</t>
  </si>
  <si>
    <t>Qing Kai Han-Kazuhiko Takahashi-Chang Hyun Oh-Zhong Luo</t>
  </si>
  <si>
    <t>Nano Hybrids Vol. 2</t>
  </si>
  <si>
    <t>Nano Hybrids Vol. 1</t>
  </si>
  <si>
    <t>Stories of Women</t>
  </si>
  <si>
    <t>Elleke Boehmer</t>
  </si>
  <si>
    <t>Gone To Pitchipoi</t>
  </si>
  <si>
    <t>Rubin Katz</t>
  </si>
  <si>
    <t>Babel' in Context</t>
  </si>
  <si>
    <t>Strain-Engineered MOSFETs</t>
  </si>
  <si>
    <t>TECHNOLOGY &amp; ENGINEERING / Electronics / Microelectronics</t>
  </si>
  <si>
    <t>C.K. Maiti-T.K. Maiti</t>
  </si>
  <si>
    <t>Advances in Experimental Mechanics VI</t>
  </si>
  <si>
    <t>J.M. Dulieu-Barton-Jerry D. Lord-R.J. Greene</t>
  </si>
  <si>
    <t>Flexible Manufacture of Lightweight Frame Structures, 2008</t>
  </si>
  <si>
    <t>Klaus Weinert-JÃ¼rgen Fleischer-A. Erman Tekkaya-Michael F. Zaeh-Marco Schikorra</t>
  </si>
  <si>
    <t>Historical Agriculture and Soil Erosion in the Upper Mississippi Valley Hill Country</t>
  </si>
  <si>
    <t>Stanley W. Trimble</t>
  </si>
  <si>
    <t>Global Forest Monitoring From Earth Observation</t>
  </si>
  <si>
    <t>JUVENILE NONFICTION / Science &amp; Nature / Trees &amp; Forests</t>
  </si>
  <si>
    <t>Frederic Achard-Matthew C. Hansen</t>
  </si>
  <si>
    <t>The Major Accident at Fukushima</t>
  </si>
  <si>
    <t>Ã‰tienne-Ã‰mile Beaulieu-Ã‰douard BrÃ©zin-Jacques Friedel-Alain Carpentier</t>
  </si>
  <si>
    <t>Roland Barthes at the CollÃ¨ge De France</t>
  </si>
  <si>
    <t>Lucy O'Meara</t>
  </si>
  <si>
    <t>French Cycling</t>
  </si>
  <si>
    <t>Hugh Dauncey</t>
  </si>
  <si>
    <t>Contagion and Enclaves</t>
  </si>
  <si>
    <t>Nandini Bhattacharya</t>
  </si>
  <si>
    <t>Chris Andersen-Maggie Walter</t>
  </si>
  <si>
    <t>The Vitamin A Story</t>
  </si>
  <si>
    <t>R.D., Semba</t>
  </si>
  <si>
    <t>Children in the Online World</t>
  </si>
  <si>
    <t>Elisabeth Staksrud</t>
  </si>
  <si>
    <t>Pastoralism and Development in Africa</t>
  </si>
  <si>
    <t>Andy Catley-Jeremy Lind-Ian Scoones</t>
  </si>
  <si>
    <t>Princely India Re-imagined</t>
  </si>
  <si>
    <t>Aya Ikegame</t>
  </si>
  <si>
    <t>The Unreal Estate Guide to Detroit</t>
  </si>
  <si>
    <t>Andrew Herscher</t>
  </si>
  <si>
    <t>Bacterial NanoCellulose</t>
  </si>
  <si>
    <t>Miguel Gama-Paul Gatenholm-Dieter Klemm</t>
  </si>
  <si>
    <t>Early Buddhist Architecture in Context</t>
  </si>
  <si>
    <t>Akira Shimada</t>
  </si>
  <si>
    <t>Purity and the Forming of Religious Traditions in the Ancient Mediterranean World and Ancient Judaism</t>
  </si>
  <si>
    <t>Christian Frevel-Christophe Nihan</t>
  </si>
  <si>
    <t>Theologians and Contract Law</t>
  </si>
  <si>
    <t>Wim Decock</t>
  </si>
  <si>
    <t>Sunnitischer TafsÄ«r in der modernen islamischen Welt</t>
  </si>
  <si>
    <t>RELIGION / Islam / Koran &amp; Sacred Writings</t>
  </si>
  <si>
    <t>Johanna Pink</t>
  </si>
  <si>
    <t>Advances in Experimental Mechanics VII</t>
  </si>
  <si>
    <t>Robert A.W. Mines-Janice M. Dulieu-Barton</t>
  </si>
  <si>
    <t>Creation of High-Strength Structures and Joints</t>
  </si>
  <si>
    <t>Heinz Palkowski-Kai Michael Rudolph</t>
  </si>
  <si>
    <t>Ferromagnetic Shape Memory Alloys II</t>
  </si>
  <si>
    <t>Volodymyr A. Chernenko-Jose Manuel Barandiaran</t>
  </si>
  <si>
    <t>Advances in Intelligent Transportation System and Technology</t>
  </si>
  <si>
    <t>De Cheng Feng</t>
  </si>
  <si>
    <t>Difference and Disability in the Medieval Islamic World</t>
  </si>
  <si>
    <t>Kristina Richardson</t>
  </si>
  <si>
    <t>Strangers in a Strange Land</t>
  </si>
  <si>
    <t>Paul Manning</t>
  </si>
  <si>
    <t>Judging Addicts</t>
  </si>
  <si>
    <t>Rebecca Tiger</t>
  </si>
  <si>
    <t>Latino Urbanism</t>
  </si>
  <si>
    <t>David R. Diaz-Rodolfo D. Torres</t>
  </si>
  <si>
    <t>The Makeover</t>
  </si>
  <si>
    <t>Katherine Sender</t>
  </si>
  <si>
    <t>The Corporation That Changed the World</t>
  </si>
  <si>
    <t>Nick Robins</t>
  </si>
  <si>
    <t>Tweets and the Streets</t>
  </si>
  <si>
    <t>Paolo Gerbaudo</t>
  </si>
  <si>
    <t>Holy Russia, Sacred Israel</t>
  </si>
  <si>
    <t>Dominic Rubin</t>
  </si>
  <si>
    <t>Dreams of Nationhood</t>
  </si>
  <si>
    <t>Henry Felix Srebrnik</t>
  </si>
  <si>
    <t>A Reader's Guide to Nabokov's 'Lolita'</t>
  </si>
  <si>
    <t>Julian Connolly</t>
  </si>
  <si>
    <t>A "Labyrinth of Linkages" in Tolstoy's Anna Karenina</t>
  </si>
  <si>
    <t>Gary L. Browning</t>
  </si>
  <si>
    <t>Vladimir Soloviev and the Spiritualization of Matter</t>
  </si>
  <si>
    <t>Oliver Smith</t>
  </si>
  <si>
    <t>The Goalkeeper</t>
  </si>
  <si>
    <t>Yuri Leving</t>
  </si>
  <si>
    <t>All the Same The Words Don't Go Away</t>
  </si>
  <si>
    <t>Caryl Emerson</t>
  </si>
  <si>
    <t>The MÃ¼selmann at the Water Cooler</t>
  </si>
  <si>
    <t>Eli Pfefferkorn</t>
  </si>
  <si>
    <t>Alfred Dreyfus</t>
  </si>
  <si>
    <t>Norman Simms</t>
  </si>
  <si>
    <t>From Cape Town to Kabul</t>
  </si>
  <si>
    <t>Penelope Andrews</t>
  </si>
  <si>
    <t>Ways of Being Ethnic in Southwest China</t>
  </si>
  <si>
    <t>Methods in Contemporary Linguistics</t>
  </si>
  <si>
    <t>Andrea Ender-Adrian Leemann-Bernhard WÃ¤lchli</t>
  </si>
  <si>
    <t>Grundrechtsschutz zwischen Karlsruhe und StraÃŸburg</t>
  </si>
  <si>
    <t>Andreas Zimmermann</t>
  </si>
  <si>
    <t>Gottes Haus</t>
  </si>
  <si>
    <t>Miriam Czock</t>
  </si>
  <si>
    <t>Tractates Å abbat and â€˜Eruvin</t>
  </si>
  <si>
    <t>Orthographies in Early Modern Europe</t>
  </si>
  <si>
    <t>Susan Baddeley-Anja Voeste</t>
  </si>
  <si>
    <t>Juli 1739 â€“ Juli 1740</t>
  </si>
  <si>
    <t>Die Mosaiken der Acheiropoietos-Basilika in Thessaloniki</t>
  </si>
  <si>
    <t>Benjamin Fourlas</t>
  </si>
  <si>
    <t>Der Berliner â€žjÃ¼dische Salonâ€œ um 1800</t>
  </si>
  <si>
    <t>Hannah Lotte Lund</t>
  </si>
  <si>
    <t>Christian Martyrdom in Late Antiquity (300-450 AD)</t>
  </si>
  <si>
    <t>Peter Gemeinhardt-Johan Leemans</t>
  </si>
  <si>
    <t>Emotional Minds</t>
  </si>
  <si>
    <t>Sabrina Ebbersmeyer</t>
  </si>
  <si>
    <t>The Battle of VouillÃ©, 507 CE</t>
  </si>
  <si>
    <t>Ralph W. Mathisen-Danuta Shanzer</t>
  </si>
  <si>
    <t>Sex Rewarded, Sex Punished</t>
  </si>
  <si>
    <t>Diane Kriger</t>
  </si>
  <si>
    <t>Jacob's Ladder</t>
  </si>
  <si>
    <t>Marina Aptekman</t>
  </si>
  <si>
    <t>The Marsh of Gold</t>
  </si>
  <si>
    <t>Boris Pasternak</t>
  </si>
  <si>
    <t>Jewish Religion After Theology</t>
  </si>
  <si>
    <t>Avi Sagi</t>
  </si>
  <si>
    <t>The Superstitious Muse</t>
  </si>
  <si>
    <t>David Bethea</t>
  </si>
  <si>
    <t>Language and Culture in Eighteenth-Century Russia</t>
  </si>
  <si>
    <t>Victor Zhivov</t>
  </si>
  <si>
    <t>A Companion to Andrei Platonov's The Foundation Pit</t>
  </si>
  <si>
    <t>Thomas Seifrid</t>
  </si>
  <si>
    <t>In Quest of Tolstoy</t>
  </si>
  <si>
    <t>Hugh McLean</t>
  </si>
  <si>
    <t>Minding Time: A Philosophical and Theoretical Approach to the Psychology of Time</t>
  </si>
  <si>
    <t>Carlos Montemayor</t>
  </si>
  <si>
    <t>Lâ€™avenir du fÃ©dÃ©ralisme en Belgique et au Canada</t>
  </si>
  <si>
    <t>Min Reuchamps</t>
  </si>
  <si>
    <t>A History of Modern Lebanon</t>
  </si>
  <si>
    <t>Fawwaz Traboulsi</t>
  </si>
  <si>
    <t>The Endangered Species Act</t>
  </si>
  <si>
    <t>J. Peyton Doub</t>
  </si>
  <si>
    <t>Class Unknown</t>
  </si>
  <si>
    <t>Mark Pittenger</t>
  </si>
  <si>
    <t>Unvarnishing Reality</t>
  </si>
  <si>
    <t>LITERARY CRITICISM / Subjects &amp; Themes / Politics</t>
  </si>
  <si>
    <t>A Coat of Many Colors</t>
  </si>
  <si>
    <t>Anat Helman</t>
  </si>
  <si>
    <t>Ivan Konevskoi</t>
  </si>
  <si>
    <t>Joan Delaney Grossman</t>
  </si>
  <si>
    <t>Exotic Moscow Under Western Eyes</t>
  </si>
  <si>
    <t>Irene Masing-Delic</t>
  </si>
  <si>
    <t>Charms of the Cynical Reason</t>
  </si>
  <si>
    <t>Keys to The Gift</t>
  </si>
  <si>
    <t>Early Modern Russian Letters</t>
  </si>
  <si>
    <t>Marcus Levitt</t>
  </si>
  <si>
    <t>Epic and the Russian Novel From Gogol to Pasternak</t>
  </si>
  <si>
    <t>Frederick T. Griffiths-Stanley J. Rabinowitz</t>
  </si>
  <si>
    <t>Exemplary Bodies</t>
  </si>
  <si>
    <t>Henrietta Mondry</t>
  </si>
  <si>
    <t>Creating the Empress</t>
  </si>
  <si>
    <t>BIOGRAPHY &amp; AUTOBIOGRAPHY / Royalty</t>
  </si>
  <si>
    <t>Vera Proskurina</t>
  </si>
  <si>
    <t>Life in Transit</t>
  </si>
  <si>
    <t>Shimon Redlich</t>
  </si>
  <si>
    <t>Cultures in Collision and Conversation</t>
  </si>
  <si>
    <t>David Berger</t>
  </si>
  <si>
    <t>Michael Stausberg</t>
  </si>
  <si>
    <t>Blood Libel</t>
  </si>
  <si>
    <t>Hannah Johnson</t>
  </si>
  <si>
    <t>Fast Facts: Vascular and Endovascular Surgery Highlights 2011-12</t>
  </si>
  <si>
    <t>Davies, Alun H.</t>
  </si>
  <si>
    <t>Owning the Olympics</t>
  </si>
  <si>
    <t>Monroe Price-Daniel Dayan</t>
  </si>
  <si>
    <t>Gay Dads</t>
  </si>
  <si>
    <t>Abbie E. Goldberg</t>
  </si>
  <si>
    <t>Facebook Democracy</t>
  </si>
  <si>
    <t>JosÃ© Marichal</t>
  </si>
  <si>
    <t>The Guru in South Asia</t>
  </si>
  <si>
    <t>Jacob Copeman-Aya Ikegame</t>
  </si>
  <si>
    <t>Dickens's London</t>
  </si>
  <si>
    <t>Julian Wolfreys</t>
  </si>
  <si>
    <t>The Mandate of Heaven and The Great Ming Code</t>
  </si>
  <si>
    <t>Jiang Yonglin</t>
  </si>
  <si>
    <t>South Asian Atlantic Literature, 1970-2010</t>
  </si>
  <si>
    <t>Ruth Maxey</t>
  </si>
  <si>
    <t>Rereading Heterosexuality</t>
  </si>
  <si>
    <t>Plague, Quarantines and Geopolitics in the Ottoman Empire</t>
  </si>
  <si>
    <t>Birsen Bulmus</t>
  </si>
  <si>
    <t>Shakespeare's History Plays</t>
  </si>
  <si>
    <t>The Psychosomatic Assessment</t>
  </si>
  <si>
    <t>G.A., Fava-N., Sonino-T.N., Wise</t>
  </si>
  <si>
    <t>Psychiatry of Parkinson's Disease</t>
  </si>
  <si>
    <t>K.P., Ebmeier-J.T., O'Brien-J.-P., Taylor</t>
  </si>
  <si>
    <t>American Arabesque</t>
  </si>
  <si>
    <t>Jacob Rama Berman</t>
  </si>
  <si>
    <t>Space in Ancient Greek Literature</t>
  </si>
  <si>
    <t>I.J.F. de Jong</t>
  </si>
  <si>
    <t>Grundsatzfragen der Rechtsetzung und Rechtsfindung</t>
  </si>
  <si>
    <t>Georg Lienbacher-Bernd Grzeszick-Christian Calliess-et al.</t>
  </si>
  <si>
    <t>Progress in Commutative Algebra 2</t>
  </si>
  <si>
    <t>Christopher Francisco-Lee C. Klingler-Sean M. Sather-Wagstaff-Janet C. Vassilev</t>
  </si>
  <si>
    <t>Kant's Philosophy of the Unconscious</t>
  </si>
  <si>
    <t>Piero Giordanetti-Riccardo Pozzo-Marco Sgarbi</t>
  </si>
  <si>
    <t>Progress in Commutative Algebra 1</t>
  </si>
  <si>
    <t>Christopher Francisco-Lee C. Klingler-Sean Sather-Wagstaff-Janet C. Vassilev</t>
  </si>
  <si>
    <t>Identity Politics and the New Genetics</t>
  </si>
  <si>
    <t>Katharina Schramm-David Skinner-Richard Rottenburg</t>
  </si>
  <si>
    <t>Race in Translation</t>
  </si>
  <si>
    <t>Ella Shohat-Robert Stam</t>
  </si>
  <si>
    <t>Engineering Systems Integration</t>
  </si>
  <si>
    <t>Gary O. Langford</t>
  </si>
  <si>
    <t>Mainline Christianity</t>
  </si>
  <si>
    <t>Jason S. Lantzer</t>
  </si>
  <si>
    <t>Architecture and Modern Literature</t>
  </si>
  <si>
    <t>David Anton Spurr</t>
  </si>
  <si>
    <t>Wartime Shanghai and the Jewish Refugees From Central Europe</t>
  </si>
  <si>
    <t>Irene Eber</t>
  </si>
  <si>
    <t>Deutsch im Sprachvergleich</t>
  </si>
  <si>
    <t>Lutz Gunkel-Gisela Zifonun</t>
  </si>
  <si>
    <t>Kindheit in Byzanz</t>
  </si>
  <si>
    <t>Tiananmen Fictions Outside the Square</t>
  </si>
  <si>
    <t>Belinda Kong</t>
  </si>
  <si>
    <t>Love Cures</t>
  </si>
  <si>
    <t>Laine E. Doggett</t>
  </si>
  <si>
    <t>Words Made Flesh</t>
  </si>
  <si>
    <t>R. A. R. Edwards</t>
  </si>
  <si>
    <t>Moving Ourselves, Moving Others</t>
  </si>
  <si>
    <t>Ad Foolen-Ulrike M. LÃ¼dtke-Timothy P. Racine-Jordan Zlatev</t>
  </si>
  <si>
    <t>Politics, Religion and Gender</t>
  </si>
  <si>
    <t>LAW / Islamic</t>
  </si>
  <si>
    <t>Sieglinde Rosenberger-Birgit Sauer</t>
  </si>
  <si>
    <t>Motion Structures</t>
  </si>
  <si>
    <t>Zhong You-Yan Chen</t>
  </si>
  <si>
    <t>Jacques Derrida</t>
  </si>
  <si>
    <t>Women Who Opt Out</t>
  </si>
  <si>
    <t>Bernie D. Jones</t>
  </si>
  <si>
    <t>Fast Facts: Epilepsy</t>
  </si>
  <si>
    <t>Brodie, Martin J.-Schachter, Steven C.-Kwan, Patrick</t>
  </si>
  <si>
    <t>Fast Facts: Low Back Pain</t>
  </si>
  <si>
    <t>Borenstein, David-Calin, Andei</t>
  </si>
  <si>
    <t>Rules of Disengagement</t>
  </si>
  <si>
    <t>Marjorie Cohn-Kathleen Gilberd</t>
  </si>
  <si>
    <t>Feudal America</t>
  </si>
  <si>
    <t>Vladimir Shlapentokh-Joshua Woods</t>
  </si>
  <si>
    <t>Weaving Narrative</t>
  </si>
  <si>
    <t>Monica L. Wright</t>
  </si>
  <si>
    <t>The Book of Peace</t>
  </si>
  <si>
    <t>Karen Green-Constant J. Mews-Janice Pinder</t>
  </si>
  <si>
    <t>Spanish Spaces</t>
  </si>
  <si>
    <t>Ann Davies</t>
  </si>
  <si>
    <t>American Creoles</t>
  </si>
  <si>
    <t>Martin Munro-Celia Britton</t>
  </si>
  <si>
    <t>Breaking Into the Lab</t>
  </si>
  <si>
    <t>Sue V. Rosser</t>
  </si>
  <si>
    <t>Performing Interpersonal Violence</t>
  </si>
  <si>
    <t>Werner Riess</t>
  </si>
  <si>
    <t>The Rise and Fall of the Welfare State</t>
  </si>
  <si>
    <t>AsbjÃ¸rn Wahl</t>
  </si>
  <si>
    <t>The Birth of Capitalism</t>
  </si>
  <si>
    <t>Henry Heller</t>
  </si>
  <si>
    <t>Divine Callings</t>
  </si>
  <si>
    <t>Richard N. Pitt</t>
  </si>
  <si>
    <t>Beyond the Nation</t>
  </si>
  <si>
    <t>Martin Joseph Ponce</t>
  </si>
  <si>
    <t>Doing Time in the Depression</t>
  </si>
  <si>
    <t>Ethan Blue</t>
  </si>
  <si>
    <t>Fallgirls</t>
  </si>
  <si>
    <t>Ryan Ashley Caldwell</t>
  </si>
  <si>
    <t>Languages From the World of the Bible</t>
  </si>
  <si>
    <t>Holger Gzella</t>
  </si>
  <si>
    <t>Disposable Bioprocessing Systems</t>
  </si>
  <si>
    <t>Sarfaraz K. Niazi</t>
  </si>
  <si>
    <t>Silent Hill</t>
  </si>
  <si>
    <t>Bernard Perron</t>
  </si>
  <si>
    <t>On the Margins of Tibet</t>
  </si>
  <si>
    <t>Ashild Kolas-Monika P. Thowsen</t>
  </si>
  <si>
    <t>Lie Algebras In Particle Physics</t>
  </si>
  <si>
    <t>Howard Georgi</t>
  </si>
  <si>
    <t>The Philosophy of Human Rights</t>
  </si>
  <si>
    <t>Gerhard Ernst-Jan-Christoph Heilinger</t>
  </si>
  <si>
    <t>Rom und Mailand in der SpÃ¤tantike</t>
  </si>
  <si>
    <t>Therese Fuhrer</t>
  </si>
  <si>
    <t>Honey Bee Colony Health</t>
  </si>
  <si>
    <t>Diana Sammataro-Jay A. Yoder</t>
  </si>
  <si>
    <t>Spectral Feature Selection for Data Mining</t>
  </si>
  <si>
    <t>Zheng Alan Zhao-Huan Liu</t>
  </si>
  <si>
    <t>Patrons of Women</t>
  </si>
  <si>
    <t>Esther Hertzog</t>
  </si>
  <si>
    <t>Diamonds and War</t>
  </si>
  <si>
    <t>David De Vries</t>
  </si>
  <si>
    <t>After the 'Socialist Spring'</t>
  </si>
  <si>
    <t>George Last</t>
  </si>
  <si>
    <t>The Surplus Woman</t>
  </si>
  <si>
    <t>Catherine L. Dollard</t>
  </si>
  <si>
    <t>Difficult Folk?</t>
  </si>
  <si>
    <t>David Mills</t>
  </si>
  <si>
    <t>The Train Journey</t>
  </si>
  <si>
    <t>Simone Gigliotti</t>
  </si>
  <si>
    <t>Impotent Warriors</t>
  </si>
  <si>
    <t>Susie Kilshaw</t>
  </si>
  <si>
    <t>Optimizing the German Workforce</t>
  </si>
  <si>
    <t>David Meskill</t>
  </si>
  <si>
    <t>Settling for Less</t>
  </si>
  <si>
    <t>Steven C. Dinero</t>
  </si>
  <si>
    <t>Printing and Prophecy</t>
  </si>
  <si>
    <t>Jonathan Green</t>
  </si>
  <si>
    <t>Fast Facts: Celiac Disease</t>
  </si>
  <si>
    <t>Holmes, Geoffrey-Catassi, Carlo-Fasano, Alessio</t>
  </si>
  <si>
    <t>The Reparations Controversy</t>
  </si>
  <si>
    <t>Yaakov Sharett</t>
  </si>
  <si>
    <t>Communist Multiculturalism</t>
  </si>
  <si>
    <t>Susan McCarthy</t>
  </si>
  <si>
    <t>Fast Facts: Eating Disorders</t>
  </si>
  <si>
    <t>Steiner, Hans-Flament, Martine F.</t>
  </si>
  <si>
    <t>Fast Facts: Religion and Medicine</t>
  </si>
  <si>
    <t>Boyle, D. C. M.-Lee, Men-Jean</t>
  </si>
  <si>
    <t>Fast Facts: Benign Prostatic Hyperplasia</t>
  </si>
  <si>
    <t>Kirby, Roger S.-Gilling, Peter J.</t>
  </si>
  <si>
    <t>Fast Facts: Bladder Disorders</t>
  </si>
  <si>
    <t>Slack, Alex-Newman, Diane K.-Wein, Alan J.</t>
  </si>
  <si>
    <t>Fast Facts: Menopause</t>
  </si>
  <si>
    <t>Barlow, David H.-Wren, Barry G.</t>
  </si>
  <si>
    <t>Fast Facts: Thyroid Disorders</t>
  </si>
  <si>
    <t>Daniels, Gilbert H.-Dayan, Colin M.</t>
  </si>
  <si>
    <t>Fast Facts: Anxiety, Panic and Phobias</t>
  </si>
  <si>
    <t>Lader, Malcolm H.-Uhde, Thomas W.</t>
  </si>
  <si>
    <t>Fast Facts: Soft Tissue Disorders</t>
  </si>
  <si>
    <t>Speed, Cathy-Hazleman, Brian-Dalton, Seamus</t>
  </si>
  <si>
    <t>Fast Facts: Sexually Transmitted Infections</t>
  </si>
  <si>
    <t>Edwards, Anne-Sherrard, Jackie-Zenilman, Jonathan</t>
  </si>
  <si>
    <t>Fast Facts: Rhinitis</t>
  </si>
  <si>
    <t>Scadding, Glenis K.-Fokkens, Wytske J.</t>
  </si>
  <si>
    <t>Fast Facts: Minor Surgery</t>
  </si>
  <si>
    <t>Price, Christopher J.-Sinclair, Rodney</t>
  </si>
  <si>
    <t>Fast Facts: Erectile Dysfunction</t>
  </si>
  <si>
    <t>Carson, Cully-McMahon, Chris</t>
  </si>
  <si>
    <t>Fast Facts: Contraception</t>
  </si>
  <si>
    <t>Gebbie, Ailsa E.-O'Connell White, Katharine</t>
  </si>
  <si>
    <t>Fast Facts: Osteoporosis</t>
  </si>
  <si>
    <t>Compston, Juliet E.-Rosen, Clifford</t>
  </si>
  <si>
    <t>Fast Facts: Dementia</t>
  </si>
  <si>
    <t>Whalley, Lawrence J.-Breitner, John C.S.</t>
  </si>
  <si>
    <t>Fast Facts: Bipolar Disorder</t>
  </si>
  <si>
    <t>Goodwin, Guy-Sachs, Gary</t>
  </si>
  <si>
    <t>Fast Facts: Colorectal Cancer</t>
  </si>
  <si>
    <t>Taylor, Irving-Ward, Robin</t>
  </si>
  <si>
    <t>Fast Facts: Glaucoma</t>
  </si>
  <si>
    <t>Healey, Paul R.-Thomas, Ravi</t>
  </si>
  <si>
    <t>Sniderman, Allan-Durrington, Paul</t>
  </si>
  <si>
    <t>Fast Facts: Brain Tumors</t>
  </si>
  <si>
    <t>Abrey, Lauren E.-Mason, Warren P.</t>
  </si>
  <si>
    <t>Fast Facts: Rheumatoid Arthritis</t>
  </si>
  <si>
    <t>Isaacs, John D.-Moreland, Larry W.</t>
  </si>
  <si>
    <t>5 Grams</t>
  </si>
  <si>
    <t>Dimitri A. Bogazianos</t>
  </si>
  <si>
    <t>Highway Under the Hudson</t>
  </si>
  <si>
    <t>Robert W. Jackson</t>
  </si>
  <si>
    <t>The American Soul Rush</t>
  </si>
  <si>
    <t>Marion Goldman</t>
  </si>
  <si>
    <t>Biologically Inspired Robotics</t>
  </si>
  <si>
    <t>Yunhui Liu-Dong Sun</t>
  </si>
  <si>
    <t>Cybersecurity</t>
  </si>
  <si>
    <t>BUSINESS &amp; ECONOMICS / Quality Control</t>
  </si>
  <si>
    <t>Kim J. Andreasson</t>
  </si>
  <si>
    <t>Information Security Governance Simplified</t>
  </si>
  <si>
    <t>Todd Fitzgerald</t>
  </si>
  <si>
    <t>Dynamics in the History of Religions Between Asia and Europe</t>
  </si>
  <si>
    <t>Volkhard Krech-Marion Steinicke</t>
  </si>
  <si>
    <t>Connecting Grammaticalisation</t>
  </si>
  <si>
    <t>Jens NÃ¸rgÃ¥rd-SÃ¸rensen-Lars Heltoft-Lene SchÃ¸sler</t>
  </si>
  <si>
    <t>Reading Up</t>
  </si>
  <si>
    <t>Amy Blair</t>
  </si>
  <si>
    <t>Figuren des Messianischen in Schriften deutsch-jÃ¼discher Intellektueller 1900-1933</t>
  </si>
  <si>
    <t>Elke Dubbels</t>
  </si>
  <si>
    <t>Languages of Science in the Eighteenth Century</t>
  </si>
  <si>
    <t>Britt-Louise Gunnarsson</t>
  </si>
  <si>
    <t>One Hundred Years at the Intersection of Chemistry and Physics</t>
  </si>
  <si>
    <t>Jeremiah James-Thomas Steinhauser-Dieter Hoffmann-Bretislav Friedrich</t>
  </si>
  <si>
    <t>Formational Units in Sign Languages</t>
  </si>
  <si>
    <t>Rachel Channon-Harry van der Hulst</t>
  </si>
  <si>
    <t>Defense Against the Black Arts</t>
  </si>
  <si>
    <t>Jesse Varsalone-Matthew McFadden</t>
  </si>
  <si>
    <t>Microfluidics and Nanofluidics Handbook</t>
  </si>
  <si>
    <t>Sushanta K. Mitra-Suman Chakraborty</t>
  </si>
  <si>
    <t>Epileptic Seizures and the EEG</t>
  </si>
  <si>
    <t>Andrea Varsavsky-Iven Mareels-Mark Cook</t>
  </si>
  <si>
    <t>Planned Obsolescence</t>
  </si>
  <si>
    <t>Kathleen Fitzpatrick</t>
  </si>
  <si>
    <t>Bytes and Backbeats</t>
  </si>
  <si>
    <t>Steve Savage</t>
  </si>
  <si>
    <t>Veto Power</t>
  </si>
  <si>
    <t>Jonathan Slapin</t>
  </si>
  <si>
    <t>The Tuma Underworld of Love</t>
  </si>
  <si>
    <t>A History of Intelligence and 'Intellectual Disability'</t>
  </si>
  <si>
    <t>C.F. Goodey</t>
  </si>
  <si>
    <t>A Short Guide to Operational Risk</t>
  </si>
  <si>
    <t>David Tattam</t>
  </si>
  <si>
    <t>Greening China</t>
  </si>
  <si>
    <t>Ka Zeng-Joshua Eastin</t>
  </si>
  <si>
    <t>Unit Operations of Particulate Solids</t>
  </si>
  <si>
    <t>Enrique Ortega-Rivas</t>
  </si>
  <si>
    <t>Handbook of Optical and Laser Scanning</t>
  </si>
  <si>
    <t>Gerald F. Marshall-Glenn E. Stutz</t>
  </si>
  <si>
    <t>Sprachliches Wissen zwischen Lexikon und Grammatik</t>
  </si>
  <si>
    <t>Stefan Engelberg-Anke Holler-Kristel Proost</t>
  </si>
  <si>
    <t>1738 â€“ Juni 1739</t>
  </si>
  <si>
    <t>Konflikt und BewÃ¤ltigung</t>
  </si>
  <si>
    <t>Debates in Transgender, Queer, and Feminist Theory</t>
  </si>
  <si>
    <t>Patricia Elliot</t>
  </si>
  <si>
    <t>Queer Methods and Methodologies</t>
  </si>
  <si>
    <t>Catherine J. Nash-Kath Browne</t>
  </si>
  <si>
    <t>Semiconductor Packaging</t>
  </si>
  <si>
    <t>Andrea Chen-Randy Hsiao-Yu Lo</t>
  </si>
  <si>
    <t>Private Yokoi's War and Life on Guam, 1944â€“1972</t>
  </si>
  <si>
    <t>Omi Hatashin</t>
  </si>
  <si>
    <t>Queer Spiritual Spaces</t>
  </si>
  <si>
    <t>Kath Browne-Sally R. Munt-Andrew Kam-Tuck Yip</t>
  </si>
  <si>
    <t>Tractates Å evu'ot and 'Avodah Zarah</t>
  </si>
  <si>
    <t>Bilder schreiben</t>
  </si>
  <si>
    <t>Mario Baumann</t>
  </si>
  <si>
    <t>Heinrich Heine - ein deutscher EuropÃ¤er im franzÃ¶sischen Exil</t>
  </si>
  <si>
    <t>Ursula Stein</t>
  </si>
  <si>
    <t>Sovereign Justice</t>
  </si>
  <si>
    <t>Diogo Aurelio-Gabriele Angelis-Regina Queiroz</t>
  </si>
  <si>
    <t>SpÃ¤tantiker Staat und religiÃ¶ser Konflikt</t>
  </si>
  <si>
    <t>Johannes Hahn</t>
  </si>
  <si>
    <t>Life, Death and Representation</t>
  </si>
  <si>
    <t>Jas Elsner-Janet Huskinson</t>
  </si>
  <si>
    <t>Chicano Nations</t>
  </si>
  <si>
    <t>Marissa K. LÃ³pez</t>
  </si>
  <si>
    <t>Breaking the Devilâ€™s Pact</t>
  </si>
  <si>
    <t>James B. Jacobs-Kerry T. Cooperman</t>
  </si>
  <si>
    <t>Dance With Me</t>
  </si>
  <si>
    <t>Julia A. Ericksen</t>
  </si>
  <si>
    <t>Celluloid Sermons</t>
  </si>
  <si>
    <t>Terry Lindvall-Andrew Quicke</t>
  </si>
  <si>
    <t>â€œAt This Defining Momentâ€</t>
  </si>
  <si>
    <t>Enid Lynette Logan</t>
  </si>
  <si>
    <t>Electromagnetic Fields in Biological Systems</t>
  </si>
  <si>
    <t>James C. Lin</t>
  </si>
  <si>
    <t>Postcolonial Netherlands</t>
  </si>
  <si>
    <t>Gert Oostindie</t>
  </si>
  <si>
    <t>Foggy Social Structures</t>
  </si>
  <si>
    <t>Giuseppe Sciortino</t>
  </si>
  <si>
    <t>The Lebanese Diaspora</t>
  </si>
  <si>
    <t>Dalia Abdelhady</t>
  </si>
  <si>
    <t>Policing Methamphetamine</t>
  </si>
  <si>
    <t>William Garriott</t>
  </si>
  <si>
    <t>All You That Labor</t>
  </si>
  <si>
    <t>RELIGION / Ethics</t>
  </si>
  <si>
    <t>C. Melissa Snarr</t>
  </si>
  <si>
    <t>Emerging Evangelicals</t>
  </si>
  <si>
    <t>James S. Bielo</t>
  </si>
  <si>
    <t>Shutting Down the Streets</t>
  </si>
  <si>
    <t>Luis A. Fernandez-Amory Starr-Christian Scholl</t>
  </si>
  <si>
    <t>The Global Flow of Information</t>
  </si>
  <si>
    <t>Ramesh Subramanian-Eddan Katz</t>
  </si>
  <si>
    <t>Equality and Diversity</t>
  </si>
  <si>
    <t>Steven Smith</t>
  </si>
  <si>
    <t>Cyberpragmatics</t>
  </si>
  <si>
    <t>Francisco Yus</t>
  </si>
  <si>
    <t>The Asia-Europe Meeting: Contributing to a New Global Governance Architecture</t>
  </si>
  <si>
    <t>Sebastian Bersick-Paul Velde</t>
  </si>
  <si>
    <t>Ecstatic Encounters</t>
  </si>
  <si>
    <t>Mattijs van de Port</t>
  </si>
  <si>
    <t>Digital Tools in Urban Schools</t>
  </si>
  <si>
    <t>Jabari Mahiri</t>
  </si>
  <si>
    <t>BioMEMS</t>
  </si>
  <si>
    <t>Simona Badilescu-Muthukumaran Packirisamy</t>
  </si>
  <si>
    <t>Der Schutzauftrag des Rechts</t>
  </si>
  <si>
    <t>Martin Nettesheim-Oliver Diggelmann-Joachim Lege-et al.</t>
  </si>
  <si>
    <t>Circuits of Visibility</t>
  </si>
  <si>
    <t>Radha S. Hegde</t>
  </si>
  <si>
    <t>Critical Rhetorics of Race</t>
  </si>
  <si>
    <t>Kent A. Ono-Michael G. Lacy</t>
  </si>
  <si>
    <t>Street Kids</t>
  </si>
  <si>
    <t>Kristina E. Gibson</t>
  </si>
  <si>
    <t>An Islam of Her Own</t>
  </si>
  <si>
    <t>Sherine Hafez</t>
  </si>
  <si>
    <t>Familiar Strangers</t>
  </si>
  <si>
    <t>Jonathan N. Lipman</t>
  </si>
  <si>
    <t>Severus Pius Augustus</t>
  </si>
  <si>
    <t>Achim Lichtenberger</t>
  </si>
  <si>
    <t>The Story of Han Xiangzi</t>
  </si>
  <si>
    <t>Erzeng Yang</t>
  </si>
  <si>
    <t>Myst and Riven</t>
  </si>
  <si>
    <t>Mark J. P. Wolf</t>
  </si>
  <si>
    <t>Distillation Control, Optimization, and Tuning</t>
  </si>
  <si>
    <t>Lanny Robbins</t>
  </si>
  <si>
    <t>Environmental Contaminants in Biota</t>
  </si>
  <si>
    <t>W. Nelson Beyer-James P. Meador</t>
  </si>
  <si>
    <t>Integrating Gestures</t>
  </si>
  <si>
    <t>Gale Stam-Mika Ishino</t>
  </si>
  <si>
    <t>Disability and Poverty</t>
  </si>
  <si>
    <t>Arne H. Eide-Benedicte Ingstad</t>
  </si>
  <si>
    <t>International Approaches to Rape</t>
  </si>
  <si>
    <t>Nicole Westmarland-Geetanjali Gangoli</t>
  </si>
  <si>
    <t>Art Outside the Lines</t>
  </si>
  <si>
    <t>Elaine Kelly-Amy Wlodarski</t>
  </si>
  <si>
    <t>Solar Module Packaging</t>
  </si>
  <si>
    <t>Michelle Poliskie</t>
  </si>
  <si>
    <t>Mexican Americans Across Generations</t>
  </si>
  <si>
    <t>Jessica Vasquez-Tokos</t>
  </si>
  <si>
    <t>Empireâ€™s Proxy</t>
  </si>
  <si>
    <t>Meg Wesling</t>
  </si>
  <si>
    <t>The Panama Canal</t>
  </si>
  <si>
    <t>Robert Aguirre</t>
  </si>
  <si>
    <t>The Texts and Contexts of Oxford, Bodleian Library, MS Laud Misc. 108</t>
  </si>
  <si>
    <t>Kimberly Bell-Julie Nelson Couch</t>
  </si>
  <si>
    <t>A Grammar of Kharia</t>
  </si>
  <si>
    <t>John Peterson</t>
  </si>
  <si>
    <t>Inventing Africa</t>
  </si>
  <si>
    <t>Robin Derricourt</t>
  </si>
  <si>
    <t>Anthropology's World</t>
  </si>
  <si>
    <t>Race and Ethnicity in Latin America</t>
  </si>
  <si>
    <t>Peter Wade</t>
  </si>
  <si>
    <t>The Roman Empire</t>
  </si>
  <si>
    <t>Neville Morley</t>
  </si>
  <si>
    <t>@ Is for Activism</t>
  </si>
  <si>
    <t>Joss Hands</t>
  </si>
  <si>
    <t>â€œAnd He Knew Our Languageâ€</t>
  </si>
  <si>
    <t>Marcus Tomalin</t>
  </si>
  <si>
    <t>Consuming Desires</t>
  </si>
  <si>
    <t>Frances Hasso</t>
  </si>
  <si>
    <t>Child Poverty, Evidence and Policy</t>
  </si>
  <si>
    <t>Nicola A. Jones-Andy Sumner</t>
  </si>
  <si>
    <t>'Incidental' Ethnographers</t>
  </si>
  <si>
    <t>Jean Michaud</t>
  </si>
  <si>
    <t>The Politics of Coalition in Korea</t>
  </si>
  <si>
    <t>Youngmi Kim</t>
  </si>
  <si>
    <t>John Buridan Quaestiones Super Libros De Generatione Et Corruptione Aristotelis</t>
  </si>
  <si>
    <t>Michiel Streijger-Paul J.J.M. Bakker-Hans J. Thijssen</t>
  </si>
  <si>
    <t>Servants of the Kingdom</t>
  </si>
  <si>
    <t>David Bos</t>
  </si>
  <si>
    <t>Bastard Culture!</t>
  </si>
  <si>
    <t>Mirko Tobias SchÃ¤fer</t>
  </si>
  <si>
    <t>Law and Ecology</t>
  </si>
  <si>
    <t>Andreas Philippopoulos-Mihalopoulos</t>
  </si>
  <si>
    <t>Poetry's Afterlife</t>
  </si>
  <si>
    <t>Kevin Stein</t>
  </si>
  <si>
    <t>When Protest Makes Policy</t>
  </si>
  <si>
    <t>Laurel Weldon</t>
  </si>
  <si>
    <t>Parodies of Ownership</t>
  </si>
  <si>
    <t>Richard L. Schur</t>
  </si>
  <si>
    <t>Health and Zionism</t>
  </si>
  <si>
    <t>Shifra Shvarts</t>
  </si>
  <si>
    <t>Toxic Chemicals</t>
  </si>
  <si>
    <t>HEALTH &amp; FITNESS / Safety</t>
  </si>
  <si>
    <t>Thomas E. Higgins-Jayanti A. Sachdev-Stephen A. Engleman</t>
  </si>
  <si>
    <t>Green Entrepreneur Handbook</t>
  </si>
  <si>
    <t>Eric Koester</t>
  </si>
  <si>
    <t>The Next Generation</t>
  </si>
  <si>
    <t>Richard Alba-Mary C. Waters</t>
  </si>
  <si>
    <t>Race for Citizenship</t>
  </si>
  <si>
    <t>Helen Heran Jun</t>
  </si>
  <si>
    <t>Getting Ahead</t>
  </si>
  <si>
    <t>Silvia Dominguez</t>
  </si>
  <si>
    <t>Born Entrepreneurs?</t>
  </si>
  <si>
    <t>Nahikari Irastorza</t>
  </si>
  <si>
    <t>How Modern Science Came Into the World</t>
  </si>
  <si>
    <t>Floris Cohen</t>
  </si>
  <si>
    <t>Perpetual Happiness</t>
  </si>
  <si>
    <t>Shih-shan Henry Tsai</t>
  </si>
  <si>
    <t>Modeling Citizenship</t>
  </si>
  <si>
    <t>Cathy Schlund-Vials</t>
  </si>
  <si>
    <t>Creating Kabuki Plays</t>
  </si>
  <si>
    <t>Katherine Saltzman-Li</t>
  </si>
  <si>
    <t>Rhythms of the Afro-Atlantic World</t>
  </si>
  <si>
    <t>Ifeoma C.K. Nwankwo-Mamadou Diouf</t>
  </si>
  <si>
    <t>The History of the Catholic Church in Latin America</t>
  </si>
  <si>
    <t>John Frederick Schwaller</t>
  </si>
  <si>
    <t>Mathematics Teacher Noticing</t>
  </si>
  <si>
    <t>Miriam Sherin-Vicki Jacobs-Randy Philipp</t>
  </si>
  <si>
    <t>Applied Technologies in Pulmonary Medicine</t>
  </si>
  <si>
    <t>A. M. Esquinas</t>
  </si>
  <si>
    <t>Location-Based Information Systems</t>
  </si>
  <si>
    <t>Miguel A. Labrador-Alfredo J. Perez-Pedro M. Wightman</t>
  </si>
  <si>
    <t>Civil Society and International Governance</t>
  </si>
  <si>
    <t>David Armstrong-Valeria Bello-Julie Gilson-Debora Spini</t>
  </si>
  <si>
    <t>Hayek, Mill and the Liberal Tradition</t>
  </si>
  <si>
    <t>Andrew Farrant</t>
  </si>
  <si>
    <t>Consumer-Citizens of China</t>
  </si>
  <si>
    <t>Kelly Tian-Lily Dong</t>
  </si>
  <si>
    <t>Is Breast Best?</t>
  </si>
  <si>
    <t>Joan B. Wolf</t>
  </si>
  <si>
    <t>Habeas Corpus After 9/11</t>
  </si>
  <si>
    <t>Jonathan Hafetz</t>
  </si>
  <si>
    <t>Grey Literature in Library and Information Studies</t>
  </si>
  <si>
    <t>Dominic Farace-Joachim SchÃ¶pfel</t>
  </si>
  <si>
    <t>Logos der Vernunft â€“ Logos des Glaubens</t>
  </si>
  <si>
    <t>Ferdinand R. Prostmeier-Horacio E. Lona</t>
  </si>
  <si>
    <t>Hadrian and the Christians</t>
  </si>
  <si>
    <t>Marco Rizzi</t>
  </si>
  <si>
    <t>Krise und Kult</t>
  </si>
  <si>
    <t>Detlev Kreikenbom-Karl-Uwe Mahler-Patrick Schollmeyer-Thomas M. Weber</t>
  </si>
  <si>
    <t>The Assemblies of God</t>
  </si>
  <si>
    <t>Margaret M. Poloma-John C. Green</t>
  </si>
  <si>
    <t>Civil War Citizens</t>
  </si>
  <si>
    <t>Susannah J. Ural</t>
  </si>
  <si>
    <t>The Net Effect</t>
  </si>
  <si>
    <t>Thomas Streeter</t>
  </si>
  <si>
    <t>Is William Martinez Not Our Brother?</t>
  </si>
  <si>
    <t>William Alexander</t>
  </si>
  <si>
    <t>Nuclear Disarmament and Non-Proliferation</t>
  </si>
  <si>
    <t>Sverre Lodgaard</t>
  </si>
  <si>
    <t>NGOs in India</t>
  </si>
  <si>
    <t>Electroweak Physics at LEP and LHC</t>
  </si>
  <si>
    <t>Arno Straessner</t>
  </si>
  <si>
    <t>Stylistic Use of Phraseological Units in Discourse</t>
  </si>
  <si>
    <t>Anita Naciscione</t>
  </si>
  <si>
    <t>Personalized Nutrition</t>
  </si>
  <si>
    <t>A. P. Simopoulos-J. A. Milner</t>
  </si>
  <si>
    <t>The Mystery of Yawning in Physiology and Disease</t>
  </si>
  <si>
    <t>O. Walusinski</t>
  </si>
  <si>
    <t>Online Dispute Resolution for Consumers in the European Union</t>
  </si>
  <si>
    <t>Pablo CortÃ©s</t>
  </si>
  <si>
    <t>The Other Women's Lib</t>
  </si>
  <si>
    <t>Julia C. Bullock</t>
  </si>
  <si>
    <t>Dangerous or Endangered?</t>
  </si>
  <si>
    <t>Jennifer Tilton</t>
  </si>
  <si>
    <t>Strip Club</t>
  </si>
  <si>
    <t>Kim Price-Glynn</t>
  </si>
  <si>
    <t>Why Girls Fight</t>
  </si>
  <si>
    <t>Cindy D. Ness</t>
  </si>
  <si>
    <t>Dynamic Sustainabilities</t>
  </si>
  <si>
    <t>Melissa Leach-Andrew Charles Stirling-Ian Scoones</t>
  </si>
  <si>
    <t>Social Science Libraries</t>
  </si>
  <si>
    <t>Steve W. Witt-Lynne M. Rudasill</t>
  </si>
  <si>
    <t>Sharia Incorporated</t>
  </si>
  <si>
    <t>Jan Michiel Otto</t>
  </si>
  <si>
    <t>Hochverehrter Herr BundesprÃ¤sident!</t>
  </si>
  <si>
    <t>Theodor Heuss-Wolfram Werner</t>
  </si>
  <si>
    <t>Der Kaiser und sein Gott</t>
  </si>
  <si>
    <t>Klaus M. Girardet</t>
  </si>
  <si>
    <t>The Future of Money</t>
  </si>
  <si>
    <t>Mary Mellor</t>
  </si>
  <si>
    <t>Theories of Social Capital</t>
  </si>
  <si>
    <t>Ben Fine</t>
  </si>
  <si>
    <t>Global Cities At Work</t>
  </si>
  <si>
    <t>Jane Wills-Kavita Datta-Yara Evans-Joanna Herbert-Jon May-Cathy McIlwaine</t>
  </si>
  <si>
    <t>Play Redux</t>
  </si>
  <si>
    <t>David Myers</t>
  </si>
  <si>
    <t>My Life As a Night Elf Priest</t>
  </si>
  <si>
    <t>Bonnie Nardi</t>
  </si>
  <si>
    <t>Courting Failure</t>
  </si>
  <si>
    <t>Lynn LoPucki</t>
  </si>
  <si>
    <t>Skate Life</t>
  </si>
  <si>
    <t>Emily Chivers Yochim</t>
  </si>
  <si>
    <t>The Practices of Happiness</t>
  </si>
  <si>
    <t>Ian Steedman-John R Atherton-Elaine Graham</t>
  </si>
  <si>
    <t>Conflict, Security and the Reshaping of Society</t>
  </si>
  <si>
    <t>Alessandro Dal Lago-Salvatore Palidda</t>
  </si>
  <si>
    <t>Colonial Legacies</t>
  </si>
  <si>
    <t>Anne E. Booth</t>
  </si>
  <si>
    <t>Equal Opportunities and Ethnic Inequality in European Labour Markets</t>
  </si>
  <si>
    <t>Karen Kraal-Judith Roosblad-John Wrench</t>
  </si>
  <si>
    <t>Dutch Ships in Tropical Waters</t>
  </si>
  <si>
    <t>Robert Parthesius</t>
  </si>
  <si>
    <t>Aspects of the Performative in Medieval Culture</t>
  </si>
  <si>
    <t>Manuele Gragnolati-Almut Suerbaum</t>
  </si>
  <si>
    <t>Tractates Sanhedrin, Makkot, and Horaiot</t>
  </si>
  <si>
    <t>Erzbischof Hinkmar und die Folgen</t>
  </si>
  <si>
    <t>Olaf Schneider</t>
  </si>
  <si>
    <t>Miracles</t>
  </si>
  <si>
    <t>David L. Weddle</t>
  </si>
  <si>
    <t>Fair Trade and Social Justice</t>
  </si>
  <si>
    <t>Mark Moberg-Sarah Lyon</t>
  </si>
  <si>
    <t>Caribbean Religious History</t>
  </si>
  <si>
    <t>Ennis B. Edmonds-Michelle A. Gonzalez</t>
  </si>
  <si>
    <t>The History and Cultural Heritage of Chinese Calligraphy, Printing and Library Work</t>
  </si>
  <si>
    <t>Susan M. Allen-Lin Zuzao-Cheng Xiaolan-Jan Bos</t>
  </si>
  <si>
    <t>Sprache intermedial</t>
  </si>
  <si>
    <t>Arnulf Deppermann-Angelika Linke</t>
  </si>
  <si>
    <t>Parenting Out of Control</t>
  </si>
  <si>
    <t>Margaret K. Nelson</t>
  </si>
  <si>
    <t>Culture Wars and Enduring American Dilemmas</t>
  </si>
  <si>
    <t>Irene Taviss Thomson</t>
  </si>
  <si>
    <t>Theodor Heuss, Aufbruch im Kaiserreich</t>
  </si>
  <si>
    <t>Guidelines for Legislative Libraries</t>
  </si>
  <si>
    <t>Keith Cuninghame</t>
  </si>
  <si>
    <t>Jenseits der Grenzen</t>
  </si>
  <si>
    <t>Andreas Goltz-Hartmut Leppin-Heinrich Schlange-SchÃ¶ningen</t>
  </si>
  <si>
    <t>Der Anfang vom Ende der Ottonen</t>
  </si>
  <si>
    <t>Kerstin Schulmeyer-Ahl</t>
  </si>
  <si>
    <t>Chomskyan (R)evolutions</t>
  </si>
  <si>
    <t>Douglas A. Kibbee</t>
  </si>
  <si>
    <t>Transgender Identities</t>
  </si>
  <si>
    <t>Sally Hines-Tam Sanger</t>
  </si>
  <si>
    <t>The European Repository Landscape 2008</t>
  </si>
  <si>
    <t>Maurits Graaf</t>
  </si>
  <si>
    <t>Uncertain Safety</t>
  </si>
  <si>
    <t>Alinda Lamein</t>
  </si>
  <si>
    <t>Animals in Stone</t>
  </si>
  <si>
    <t>Alexandra van der Geer</t>
  </si>
  <si>
    <t>Mongrel Nation</t>
  </si>
  <si>
    <t>Ashley Dawson</t>
  </si>
  <si>
    <t>Punishment and Political Order</t>
  </si>
  <si>
    <t>Keally McBride</t>
  </si>
  <si>
    <t>Framed</t>
  </si>
  <si>
    <t>Elizabeth Carolyn Miller</t>
  </si>
  <si>
    <t>Civic Engagement in the Wake of Katrina</t>
  </si>
  <si>
    <t>Amy Koritz-George J. Sanchez</t>
  </si>
  <si>
    <t>Originality, Imitation, and Plagiarism</t>
  </si>
  <si>
    <t>Martha Vicinus-Caroline Eisner</t>
  </si>
  <si>
    <t>Transformative Justice</t>
  </si>
  <si>
    <t>The Hyperlinked Society</t>
  </si>
  <si>
    <t>Lokman Tsui-Joseph Turow</t>
  </si>
  <si>
    <t>Wiki Writing</t>
  </si>
  <si>
    <t>Matthew Barton-Robert Cummings</t>
  </si>
  <si>
    <t>Barack Obama's America</t>
  </si>
  <si>
    <t>John White</t>
  </si>
  <si>
    <t>Guns, Democracy, and the Insurrectionist Idea</t>
  </si>
  <si>
    <t>Joshua Horwitz-Casey Anderson</t>
  </si>
  <si>
    <t>Yearbook of Pediatric Endocrinology 2009</t>
  </si>
  <si>
    <t>The Social Structure of the First Crusade</t>
  </si>
  <si>
    <t>Conor Kostick</t>
  </si>
  <si>
    <t>A History of Christianity in Indonesia</t>
  </si>
  <si>
    <t>Karel Steenbrink-Jan S. Aritonang</t>
  </si>
  <si>
    <t>Nagaoka</t>
  </si>
  <si>
    <t>Ellen van Goethem</t>
  </si>
  <si>
    <t>Chains of Gold</t>
  </si>
  <si>
    <t>Marcelo Borges</t>
  </si>
  <si>
    <t>Ibn Taymiyya's Theodicy of Perpetual Optimism</t>
  </si>
  <si>
    <t>Jon Hoover</t>
  </si>
  <si>
    <t>City in Sight</t>
  </si>
  <si>
    <t>Jan Willem Duyvendak-Mies van Niekerk-Frank Hendriks</t>
  </si>
  <si>
    <t>Working the Diaspora</t>
  </si>
  <si>
    <t>HISTORY / United States / Colonial Period (1600-1775)</t>
  </si>
  <si>
    <t>Frederick C. Knight</t>
  </si>
  <si>
    <t>Show Sold Separately</t>
  </si>
  <si>
    <t>Jonathan Gray</t>
  </si>
  <si>
    <t>Musical ImagiNation</t>
  </si>
  <si>
    <t>Maria Elena Cepeda</t>
  </si>
  <si>
    <t>The Problem of Enforcement in International Law</t>
  </si>
  <si>
    <t>Elena Katselli Proukaki</t>
  </si>
  <si>
    <t>Development, Sexual Rights and Global Governance</t>
  </si>
  <si>
    <t>Amy Lind</t>
  </si>
  <si>
    <t>Die sowjetischen Geheimdienste in der SBZ/DDR von 1945 bis 1953</t>
  </si>
  <si>
    <t>Jan Foitzik-Nikita W. Petrow</t>
  </si>
  <si>
    <t>Images of Egypt in Early Biblical Literature</t>
  </si>
  <si>
    <t>Gun Crusaders</t>
  </si>
  <si>
    <t>Scott Melzer</t>
  </si>
  <si>
    <t>Doing Good or Doing Better</t>
  </si>
  <si>
    <t>Monique Kremer-Robert Went</t>
  </si>
  <si>
    <t>Digital Material</t>
  </si>
  <si>
    <t>Ann-Sophie Lehmann-Joost Raessens-Mirko Tobias SchÃ¤fer-Marianne Boomen</t>
  </si>
  <si>
    <t>'My Name Is Not Natasha'</t>
  </si>
  <si>
    <t>John Davies</t>
  </si>
  <si>
    <t>Strategies for Regenerating the Library and Information Profession</t>
  </si>
  <si>
    <t>Jana Varlejs-Graham Walton</t>
  </si>
  <si>
    <t>1734â€“1735</t>
  </si>
  <si>
    <t>The Mystery of the Rosary</t>
  </si>
  <si>
    <t>Nathan D. Mitchell</t>
  </si>
  <si>
    <t>Advanced Testing and Characterization of Bituminous Materials, Two Volume Set</t>
  </si>
  <si>
    <t>Andreas Loizos-Manfred N. Partl-Tom Scarpas-Imad L Al-Qadi</t>
  </si>
  <si>
    <t>Genetic Algorithms and Genetic Programming</t>
  </si>
  <si>
    <t>Michael Affenzeller-Stefan Wagner-Stephan Winkler-Andreas Beham</t>
  </si>
  <si>
    <t>Healing the Broken Mind</t>
  </si>
  <si>
    <t>Timothy A. Kelly</t>
  </si>
  <si>
    <t>Theodor Heuss, In der Defensive</t>
  </si>
  <si>
    <t>Library Statistics for the Twenty-First Century World</t>
  </si>
  <si>
    <t>Michael Heaney</t>
  </si>
  <si>
    <t>Global Library and Information Science</t>
  </si>
  <si>
    <t>Ismail Abdullahi</t>
  </si>
  <si>
    <t>Deutsche Grammatik - Regeln, Normen, Sprachgebrauch</t>
  </si>
  <si>
    <t>Marek Konopka-Bruno Strecker</t>
  </si>
  <si>
    <t>Tractates Bava Qamma, Bava Mesi'a, and Bava Batra</t>
  </si>
  <si>
    <t>Religion und StÃ¤dtekonkurrenz</t>
  </si>
  <si>
    <t>Christa Frateantonio</t>
  </si>
  <si>
    <t>Umstrittene Vergangenheit</t>
  </si>
  <si>
    <t>Arne Hogrefe</t>
  </si>
  <si>
    <t>Byzantium, Pliska, and the Balkans</t>
  </si>
  <si>
    <t>Joachim Henning</t>
  </si>
  <si>
    <t>The Heirs of the Roman West</t>
  </si>
  <si>
    <t>Performing Grief</t>
  </si>
  <si>
    <t>Anne E. McLaren</t>
  </si>
  <si>
    <t>Crossing Empire's Edge</t>
  </si>
  <si>
    <t>Erik Esselstrom</t>
  </si>
  <si>
    <t>Sailors and Traders</t>
  </si>
  <si>
    <t>Alastair Couper</t>
  </si>
  <si>
    <t>Loan Phonology</t>
  </si>
  <si>
    <t>Andrea Calabrese-W. Leo Wetzels</t>
  </si>
  <si>
    <t>Stalinism Revisited</t>
  </si>
  <si>
    <t>Vladimir Tismaneanu</t>
  </si>
  <si>
    <t>Unchopping a Tree</t>
  </si>
  <si>
    <t>Ernesto Verdeja</t>
  </si>
  <si>
    <t>Sounding Off</t>
  </si>
  <si>
    <t>Julie Huntington</t>
  </si>
  <si>
    <t>Elijah Muhammad and Islam</t>
  </si>
  <si>
    <t>Herbert Berg</t>
  </si>
  <si>
    <t>The Perversion of Youth</t>
  </si>
  <si>
    <t>Frank C. DiCataldo</t>
  </si>
  <si>
    <t>The Netherlands in a Nutshell</t>
  </si>
  <si>
    <t>Frits van Oostrom</t>
  </si>
  <si>
    <t>New Germans, New Dutch</t>
  </si>
  <si>
    <t>Liesbeth Minnaard</t>
  </si>
  <si>
    <t>Libraries and Information Services Towards the Attainment of the UN Millennium Development Goals</t>
  </si>
  <si>
    <t>Benson Njobvu-Sjoerd Koopman</t>
  </si>
  <si>
    <t>Theodor Heuss, Erzieher zur Demokratie</t>
  </si>
  <si>
    <t>Ernst Wolfgang Becker</t>
  </si>
  <si>
    <t>Inzestverbot und Gesetzgebung</t>
  </si>
  <si>
    <t>Karl Ubl</t>
  </si>
  <si>
    <t>Kaiser Julian 'Apostata' und die philosophische Reaktion gegen das Christentum</t>
  </si>
  <si>
    <t>Christian SchÃ¤fer</t>
  </si>
  <si>
    <t>Endzeiten</t>
  </si>
  <si>
    <t>Wolfram Brandes-Felicitas Schmieder</t>
  </si>
  <si>
    <t>Corporate Memory</t>
  </si>
  <si>
    <t>Kenneth A. Megill</t>
  </si>
  <si>
    <t>Barbar â€“ KÃ¶nig â€“ Tyrann</t>
  </si>
  <si>
    <t>Andreas Goltz</t>
  </si>
  <si>
    <t>Rewriting Womanhood</t>
  </si>
  <si>
    <t>Nancy LaGreca</t>
  </si>
  <si>
    <t>Explorations in Reconciliation</t>
  </si>
  <si>
    <t>David Tombs-Joseph Liechty</t>
  </si>
  <si>
    <t>Theodor Heuss, BÃ¼rger der Weimarer Republik</t>
  </si>
  <si>
    <t>Michael Dorrmann</t>
  </si>
  <si>
    <t>Measuring Quality</t>
  </si>
  <si>
    <t>Roswitha Poll-Peter te Boekhorst</t>
  </si>
  <si>
    <t>Changing Roles of NGOs in the Creation, Storage, and Dissemination of Information in Developing Countries</t>
  </si>
  <si>
    <t>Steve W. Witt</t>
  </si>
  <si>
    <t>Management, Marketing and Promotion of Library Services Based on Statistics, Analyses and Evaluation</t>
  </si>
  <si>
    <t>Trine Kolderup Flaten</t>
  </si>
  <si>
    <t>Continuing Professional Development - Preparing for New Roles in Libraries: A Voyage of Discovery</t>
  </si>
  <si>
    <t>Paul Genoni-Graham Walton</t>
  </si>
  <si>
    <t>The Unity of Plutarch's Work</t>
  </si>
  <si>
    <t>Anastasios Nikolaidis</t>
  </si>
  <si>
    <t>Paideia: The World of the Second Sophistic</t>
  </si>
  <si>
    <t>Barbara E. Borg</t>
  </si>
  <si>
    <t>Modes of Migration Regulation and Control in Europe</t>
  </si>
  <si>
    <t>Jeroen Doomernik-Michael Jandl</t>
  </si>
  <si>
    <t>Paradoxes of Social Capital</t>
  </si>
  <si>
    <t>Myriam Cherti</t>
  </si>
  <si>
    <t>From Behind the Curtain</t>
  </si>
  <si>
    <t>Mareike Winkelmann</t>
  </si>
  <si>
    <t>Veins of Devotion</t>
  </si>
  <si>
    <t>Jacob Copeman</t>
  </si>
  <si>
    <t>Asian Yearbook of International Law, Volume 12 (2005-2006)</t>
  </si>
  <si>
    <t>Plympton Priory: A House of Augustinian Canons in South-Western England in the Late Middle Ages</t>
  </si>
  <si>
    <t>Allison Fizzard</t>
  </si>
  <si>
    <t>Time in Ancient Greek Literature</t>
  </si>
  <si>
    <t>Irene J.F. de Jong-RenÃ© NÃ¼nlist</t>
  </si>
  <si>
    <t>Baltic Iron in the Atlantic World in the Eighteenth Century</t>
  </si>
  <si>
    <t>Chris Evans-GÃ¶ran RydÃ©n</t>
  </si>
  <si>
    <t>Lateinische Dialoge 1200-1400</t>
  </si>
  <si>
    <t>Carmen Cardelle de Hartmann</t>
  </si>
  <si>
    <t>Framing Iberia</t>
  </si>
  <si>
    <t>David Wacks</t>
  </si>
  <si>
    <t>Prayer in Josephus</t>
  </si>
  <si>
    <t>Tessel Marina Jonquiere</t>
  </si>
  <si>
    <t>From Capture to Sale</t>
  </si>
  <si>
    <t>Linda Newson-Susie Minchin</t>
  </si>
  <si>
    <t>Managing Technologies and Automated Library Systems in Developing Countries: Open Source Vs Commercial Options</t>
  </si>
  <si>
    <t>Bernard Dione-RÃ©jean Savard</t>
  </si>
  <si>
    <t>RÃ¶mische ErinnerungsrÃ¤ume</t>
  </si>
  <si>
    <t>Steffen Diefenbach</t>
  </si>
  <si>
    <t>Die Landmauer von Konstantinopel-Istanbul</t>
  </si>
  <si>
    <t>Neslihan Asutay-Effenberger</t>
  </si>
  <si>
    <t>Cycles biogÃ©ochimiques et Ã©cosystÃ¨mes continentaux</t>
  </si>
  <si>
    <t>The Most Dreadful Visitation</t>
  </si>
  <si>
    <t>Valerie Pedlar</t>
  </si>
  <si>
    <t>Proust and America</t>
  </si>
  <si>
    <t>Michael Murphy</t>
  </si>
  <si>
    <t>Eating Identities</t>
  </si>
  <si>
    <t>Wenying Xu</t>
  </si>
  <si>
    <t>Pathways to the Present</t>
  </si>
  <si>
    <t>Mansel G. Blackford</t>
  </si>
  <si>
    <t>The Impact of Imperial Rome on Religions, Ritual and Religious Life in the Roman Empire</t>
  </si>
  <si>
    <t>Lukas de Blois-Peter Funke-Johannes Hahn</t>
  </si>
  <si>
    <t>Muslim-Christian Encounters in Africa</t>
  </si>
  <si>
    <t>Benjamin Soares</t>
  </si>
  <si>
    <t>Death in Ancient China</t>
  </si>
  <si>
    <t>Constance Cook</t>
  </si>
  <si>
    <t>Arnold Geulincx Ethics</t>
  </si>
  <si>
    <t>Han van Ruler-Anthony Uhlmann-Martin A. Wilson</t>
  </si>
  <si>
    <t>Signs of Resistance</t>
  </si>
  <si>
    <t>Anthropology of Color</t>
  </si>
  <si>
    <t>Robert E. MacLaury-Galina V. Paramei-Don Dedrick</t>
  </si>
  <si>
    <t>Territories of History</t>
  </si>
  <si>
    <t>Sarah H. Beckjord</t>
  </si>
  <si>
    <t>Career Stories</t>
  </si>
  <si>
    <t>Juliette M. Rogers</t>
  </si>
  <si>
    <t>Reconstructing Woman</t>
  </si>
  <si>
    <t>Dorothy Kelly</t>
  </si>
  <si>
    <t>Pride in the Projects</t>
  </si>
  <si>
    <t>Nancy L. Deutsch</t>
  </si>
  <si>
    <t>After the War on Crime</t>
  </si>
  <si>
    <t>Mary Louise Frampton-Ian Haney Lopez-Jonathan Simon</t>
  </si>
  <si>
    <t>When Mothers Kill</t>
  </si>
  <si>
    <t>Cheryl L. Meyer-Michelle Oberman</t>
  </si>
  <si>
    <t>Global Flows, Local Appropriations</t>
  </si>
  <si>
    <t>Sindre Bangstad</t>
  </si>
  <si>
    <t>Islam, Civil Society and Social Work</t>
  </si>
  <si>
    <t>Egbert Harmsen</t>
  </si>
  <si>
    <t>The Workers' Health Fund in Eretz Israel</t>
  </si>
  <si>
    <t>The Methodist Unification</t>
  </si>
  <si>
    <t>RELIGION / Christianity / Methodist</t>
  </si>
  <si>
    <t>Morris L. Davis</t>
  </si>
  <si>
    <t>Liberty, Equality, Fraternity</t>
  </si>
  <si>
    <t>Paul Spicker</t>
  </si>
  <si>
    <t>American Jewish Loss After the Holocaust</t>
  </si>
  <si>
    <t>Laura Levitt</t>
  </si>
  <si>
    <t>Daddy Grace</t>
  </si>
  <si>
    <t>Marie W. Dallam</t>
  </si>
  <si>
    <t>The Sense of Justice</t>
  </si>
  <si>
    <t>The American Jesuits</t>
  </si>
  <si>
    <t>Raymond A. Schroth</t>
  </si>
  <si>
    <t>Womanism, Literature, and the Transformation of the Black Community, 1965-1980</t>
  </si>
  <si>
    <t>Kalenda C. Eaton</t>
  </si>
  <si>
    <t>Construction Supply Chain Economics</t>
  </si>
  <si>
    <t>Kerry London</t>
  </si>
  <si>
    <t>Die Schweiz â€“ ein stÃ¤dtebauliches Portrait</t>
  </si>
  <si>
    <t>Roger Diener-Jacques Herzog-Marcel Meili-Pierre de Meuron-Christian Schmid-ETH Studio Basel - Institut Stadt der Gegenwart</t>
  </si>
  <si>
    <t>Management of Gastrointestinal Diseases in the Elderly</t>
  </si>
  <si>
    <t>Pilotto, A.-Di Mario, F.</t>
  </si>
  <si>
    <t>Japanese and Chinese Immigrant Activists</t>
  </si>
  <si>
    <t>Josephine Fowler</t>
  </si>
  <si>
    <t>Alternative Shakespeares</t>
  </si>
  <si>
    <t>Diana E. Henderson</t>
  </si>
  <si>
    <t>Hare Krishna Transformed</t>
  </si>
  <si>
    <t>E. Burke Rochford</t>
  </si>
  <si>
    <t>American Karma</t>
  </si>
  <si>
    <t>Sunil Bhatia</t>
  </si>
  <si>
    <t>Rethinking IT in Construction and Engineering</t>
  </si>
  <si>
    <t>ARCHITECTURE / Project Management</t>
  </si>
  <si>
    <t>Mustafa Alshawi</t>
  </si>
  <si>
    <t>Power and Religion in Baroque Rome</t>
  </si>
  <si>
    <t>Peter Rietbergen</t>
  </si>
  <si>
    <t>The Unknown Neighbour</t>
  </si>
  <si>
    <t>Les flux d'Ã©tudiants susceptibles d'accÃ©der aux carriÃ¨res de recherche</t>
  </si>
  <si>
    <t>Jean Dercourt-AcadÃ©mie des sciences</t>
  </si>
  <si>
    <t>Security in Distributed, Grid, Mobile, and Pervasive Computing</t>
  </si>
  <si>
    <t>Yang Xiao</t>
  </si>
  <si>
    <t>Confronting the New Conservatism</t>
  </si>
  <si>
    <t>Michael Thompson</t>
  </si>
  <si>
    <t>Fraternity Gang Rape</t>
  </si>
  <si>
    <t>Peggy Reeves Sanday</t>
  </si>
  <si>
    <t>AfroAsian Encounters</t>
  </si>
  <si>
    <t>Heike Raphael-Hernandez-Shannon Steen</t>
  </si>
  <si>
    <t>The Gender Line</t>
  </si>
  <si>
    <t>Nancy Levit</t>
  </si>
  <si>
    <t>The Wow Climax</t>
  </si>
  <si>
    <t>Henry Jenkins</t>
  </si>
  <si>
    <t>The Good Fight Continues</t>
  </si>
  <si>
    <t>Peter N. Carroll-Michael Nash-Melvin Small</t>
  </si>
  <si>
    <t>Internationalizing the History of Psychology</t>
  </si>
  <si>
    <t>Adrian C. Brock</t>
  </si>
  <si>
    <t>Hybridity</t>
  </si>
  <si>
    <t>Marwan Kraidy</t>
  </si>
  <si>
    <t>Comprehending Columbine</t>
  </si>
  <si>
    <t>Ralph W Larkin</t>
  </si>
  <si>
    <t>Just a Dog</t>
  </si>
  <si>
    <t>Arnold Arluke</t>
  </si>
  <si>
    <t>Different Dispatches</t>
  </si>
  <si>
    <t>David T. Humphries</t>
  </si>
  <si>
    <t>Biodiversity Databases</t>
  </si>
  <si>
    <t>Gordon B. Curry-Chris J. Humphries</t>
  </si>
  <si>
    <t>Innovative Concepts for Alternative Migration Policies</t>
  </si>
  <si>
    <t>Michael Jandl</t>
  </si>
  <si>
    <t>Navigating Borders</t>
  </si>
  <si>
    <t>Ilse van Liempt</t>
  </si>
  <si>
    <t>Narratives of Place, Culture and Identity</t>
  </si>
  <si>
    <t>Anastasia Christou</t>
  </si>
  <si>
    <t>Advances in Chronic Kidney Disease 2007</t>
  </si>
  <si>
    <t>Ronco, C.-Levin, N.W.</t>
  </si>
  <si>
    <t>Wittgenstein's Novels</t>
  </si>
  <si>
    <t>Martin Klebes</t>
  </si>
  <si>
    <t>Residential Segregation Patterns of Latinos in the United States, 1990-2000</t>
  </si>
  <si>
    <t>Michael E Martin</t>
  </si>
  <si>
    <t>An Introduction to the Passage of Energetic Particles Through Matter</t>
  </si>
  <si>
    <t>N.J Carron</t>
  </si>
  <si>
    <t>Environmental Management in Construction</t>
  </si>
  <si>
    <t>Heng Li-Zhen Chen</t>
  </si>
  <si>
    <t>E-government in Europe</t>
  </si>
  <si>
    <t>Paul G. Nixon-Vassiliki N. Koutrakou</t>
  </si>
  <si>
    <t>New Genetics, New Social Formations</t>
  </si>
  <si>
    <t>Peter Glasner-Paul Atkinson-Helen Greenslade</t>
  </si>
  <si>
    <t>New Genetics, New Identities</t>
  </si>
  <si>
    <t>Paul Atkinson-Peter Glasner-Helen Greenslade</t>
  </si>
  <si>
    <t>Sars</t>
  </si>
  <si>
    <t>HEALTH &amp; FITNESS / Reference</t>
  </si>
  <si>
    <t>Deborah Davis-Helen F. Siu</t>
  </si>
  <si>
    <t>Environment, Development and Change in Rural Asia-Pacific</t>
  </si>
  <si>
    <t>John Connell-Eric Waddell</t>
  </si>
  <si>
    <t>Globalization's Contradictions</t>
  </si>
  <si>
    <t>Dennis Conway-Nik Heynen</t>
  </si>
  <si>
    <t>Rethinking Schooling</t>
  </si>
  <si>
    <t>Ian Westbury-Geoff Milburn</t>
  </si>
  <si>
    <t>Learning Outside the Academy</t>
  </si>
  <si>
    <t>Richard Edwards-Jim Gallacher-Susan Whittaker</t>
  </si>
  <si>
    <t>Classical Trade Protectionism 1815-1914</t>
  </si>
  <si>
    <t>Jean-Pierre Dormois-Pedro Lains</t>
  </si>
  <si>
    <t>State Formation and Radical Democracy in India</t>
  </si>
  <si>
    <t>Manali Desai</t>
  </si>
  <si>
    <t>Disclosing Horizons</t>
  </si>
  <si>
    <t>Nicholas Temple</t>
  </si>
  <si>
    <t>Housing and Social Transition in Japan</t>
  </si>
  <si>
    <t>Yosuke Hirayama-Richard Ronald</t>
  </si>
  <si>
    <t>Economic and Social Transformation in China</t>
  </si>
  <si>
    <t>In His Milieu</t>
  </si>
  <si>
    <t>Amy Golahny-Mia Mochizuki-Lisa Vergara</t>
  </si>
  <si>
    <t>Multiregionalism and Multilateralism</t>
  </si>
  <si>
    <t>Sebastian Bersick-Paul van der Velde-Wim Stokhof</t>
  </si>
  <si>
    <t>Strategic Affection?</t>
  </si>
  <si>
    <t>Irma Thoen</t>
  </si>
  <si>
    <t>Text - Verstehen</t>
  </si>
  <si>
    <t>Standardvariation</t>
  </si>
  <si>
    <t>Ludwig Eichinger-Werner Kallmeyer</t>
  </si>
  <si>
    <t>A Feeling of Belonging</t>
  </si>
  <si>
    <t>Shirley Jennifer Lim</t>
  </si>
  <si>
    <t>In a New Land</t>
  </si>
  <si>
    <t>Nancy Foner</t>
  </si>
  <si>
    <t>Organizational Psychology in Cross Cultural Perspective</t>
  </si>
  <si>
    <t>Colin P. Silverthorne</t>
  </si>
  <si>
    <t>Every Time I Feel the Spirit</t>
  </si>
  <si>
    <t>Timothy Nelson</t>
  </si>
  <si>
    <t>Evangelical Feminism</t>
  </si>
  <si>
    <t>Pamela D.H. Cochran</t>
  </si>
  <si>
    <t>Against All Odds</t>
  </si>
  <si>
    <t>Brad Christerson-Michael Oluf Emerson-Korie Little Edwards</t>
  </si>
  <si>
    <t>The Emergence of the Science of Religion in the Netherlands</t>
  </si>
  <si>
    <t>Arie Molendijk</t>
  </si>
  <si>
    <t>Narrators, Narratees, and Narratives in Ancient Greek Literature</t>
  </si>
  <si>
    <t>RenÃ© NÃ¼nlist-Angus M. Bowie-Irene de Jong</t>
  </si>
  <si>
    <t>Asian Yearbook of International Law, Volume 9 (2000)</t>
  </si>
  <si>
    <t>Asian Yearbook of International Law, Volume 10 (2001-2002)</t>
  </si>
  <si>
    <t>Shipwrecked Identities</t>
  </si>
  <si>
    <t>Baron Pineda</t>
  </si>
  <si>
    <t>The Frightened Land</t>
  </si>
  <si>
    <t>Jennifer Beningfield</t>
  </si>
  <si>
    <t>Models of Political Economy</t>
  </si>
  <si>
    <t>Hannu Nurmi</t>
  </si>
  <si>
    <t>Auguste Comte</t>
  </si>
  <si>
    <t>Mike Gane</t>
  </si>
  <si>
    <t>Aquaculture Law and Policy</t>
  </si>
  <si>
    <t>David L. VanderZwaag-Gloria Chao</t>
  </si>
  <si>
    <t>Europe and Asia Beyond East and West</t>
  </si>
  <si>
    <t>Gerard Delanty</t>
  </si>
  <si>
    <t>Working in China</t>
  </si>
  <si>
    <t>Ching Kwan Lee</t>
  </si>
  <si>
    <t>Gender and Lifelong Learning</t>
  </si>
  <si>
    <t>Carole Leathwood-Becky Francis</t>
  </si>
  <si>
    <t>Discourses of Empire</t>
  </si>
  <si>
    <t>Barbara Simerka</t>
  </si>
  <si>
    <t>Policy-Making Processes and the European Constitution</t>
  </si>
  <si>
    <t>Thomas KÃ¶nig-Simon Hug</t>
  </si>
  <si>
    <t>Globalising Democracy</t>
  </si>
  <si>
    <t>Sharmistha Bagchi-Sen-Helen Lawton-Smith</t>
  </si>
  <si>
    <t>Formula Funding of Public Services</t>
  </si>
  <si>
    <t>Peter C. Smith</t>
  </si>
  <si>
    <t>Security and Sustainable Development in Myanmar</t>
  </si>
  <si>
    <t>Helen James</t>
  </si>
  <si>
    <t>The Work of Professional Football</t>
  </si>
  <si>
    <t>Martin Roderick</t>
  </si>
  <si>
    <t>Ancient Greek Literary Letters</t>
  </si>
  <si>
    <t>Patricia A. Rosenmeyer</t>
  </si>
  <si>
    <t>Culture and Development in a Globalizing World</t>
  </si>
  <si>
    <t>Sarah Radcliffe</t>
  </si>
  <si>
    <t>Changing Transatlantic Security Relations</t>
  </si>
  <si>
    <t>Jan Hallenberg-HÃ¥kan Karlsson</t>
  </si>
  <si>
    <t>Indian Sufism Since the Seventeenth Century</t>
  </si>
  <si>
    <t>Towards Principled Oceans Governance</t>
  </si>
  <si>
    <t>Donald R. Rothwell-David L. VanderZwaag</t>
  </si>
  <si>
    <t>Medieval Arabic Historiography</t>
  </si>
  <si>
    <t>Urban Design Futures</t>
  </si>
  <si>
    <t>Malcolm Moor-Jon Rowland</t>
  </si>
  <si>
    <t>Intellectuals in the Modern Islamic World</t>
  </si>
  <si>
    <t>LITERARY COLLECTIONS / Middle Eastern</t>
  </si>
  <si>
    <t>Stephane A. Dudoignon-Komatsu Hisao-Kosugi Yasushi</t>
  </si>
  <si>
    <t>Metaphor and Literalism in Buddhism</t>
  </si>
  <si>
    <t>Soonil Hwang</t>
  </si>
  <si>
    <t>God and Humans in Islamic Thought</t>
  </si>
  <si>
    <t>Maha Elkaisy-Friemuth</t>
  </si>
  <si>
    <t>Teenagers, Literacy and School</t>
  </si>
  <si>
    <t>Ken Cruickshank</t>
  </si>
  <si>
    <t>The Transformation of Urban Space in Post-Soviet Russia</t>
  </si>
  <si>
    <t>Isolde Brade-Konstantin Axenov-Evgenij Bondarchuk</t>
  </si>
  <si>
    <t>Causation and Laws of Nature</t>
  </si>
  <si>
    <t>Max Kistler</t>
  </si>
  <si>
    <t>Cities, Autonomy, and Decentralization in Japan</t>
  </si>
  <si>
    <t>Carola Hein-Philippe Pelletier</t>
  </si>
  <si>
    <t>Buddhism in the Public Sphere</t>
  </si>
  <si>
    <t>Peter D. Hershock</t>
  </si>
  <si>
    <t>Thomistic Principles and Bioethics</t>
  </si>
  <si>
    <t>Jason T. Eberl</t>
  </si>
  <si>
    <t>Developments in the Call Centre Industry</t>
  </si>
  <si>
    <t>Julia Connell-John Burgess</t>
  </si>
  <si>
    <t>A History of Scottish Economic Thought</t>
  </si>
  <si>
    <t>Alexander Dow-Sheila Dow</t>
  </si>
  <si>
    <t>Universities, Innovation and the Economy</t>
  </si>
  <si>
    <t>Helen Lawton-Smith</t>
  </si>
  <si>
    <t>Partnership at Work</t>
  </si>
  <si>
    <t>Bill Roche-John Geary</t>
  </si>
  <si>
    <t>Money and Exchange</t>
  </si>
  <si>
    <t>Sasan Fayazmanesh</t>
  </si>
  <si>
    <t>Faith and Secularisation in Religious Colleges and Universities</t>
  </si>
  <si>
    <t>The Ottoman Administration of Iraq, 1890-1908</t>
  </si>
  <si>
    <t>GÃ¶khan Ã‡etinsaya</t>
  </si>
  <si>
    <t>Transformations in Twentieth Century Korea</t>
  </si>
  <si>
    <t>Yun-shik Chang-Steven Hugh Lee</t>
  </si>
  <si>
    <t>Economics in Sweden</t>
  </si>
  <si>
    <t>Lars Engwall</t>
  </si>
  <si>
    <t>Beyond Enlightenment</t>
  </si>
  <si>
    <t>Richard Cohen</t>
  </si>
  <si>
    <t>Kinanthropometry IX</t>
  </si>
  <si>
    <t>Michael Marfell-Jones-Arthur Stewart-Tim Olds</t>
  </si>
  <si>
    <t>Institutional Change in Japan</t>
  </si>
  <si>
    <t>Magnus BlomstrÃ¶m-Sumner La Croix</t>
  </si>
  <si>
    <t>Urban and Regional Technology Planning</t>
  </si>
  <si>
    <t>Kenneth E. Corey-Mark Wilson</t>
  </si>
  <si>
    <t>Energy, Wealth and Governance in the Caucasus and Central Asia</t>
  </si>
  <si>
    <t>Richard Auty-Indra de Soysa</t>
  </si>
  <si>
    <t>Cultural Revolutions</t>
  </si>
  <si>
    <t>Lawrence E. Cahoone</t>
  </si>
  <si>
    <t>The Poetics of Anti-Colonialism in the Arabic Qaá¹£Ä«dah</t>
  </si>
  <si>
    <t>Hussein Kadhim</t>
  </si>
  <si>
    <t>European Nutrition and Health Report 2004</t>
  </si>
  <si>
    <t>I. Elmadfa-E. Weichselbaum</t>
  </si>
  <si>
    <t>Thinking About Dementia</t>
  </si>
  <si>
    <t>Annette Leibing-Lawrence Cohen</t>
  </si>
  <si>
    <t>Warriors and Politicians</t>
  </si>
  <si>
    <t>Charles A. Stevenson</t>
  </si>
  <si>
    <t>International Trade Policy</t>
  </si>
  <si>
    <t>Nigel Grimwade</t>
  </si>
  <si>
    <t>Institutional and Technological Change in Japan's Economy</t>
  </si>
  <si>
    <t>Janet Hunter-Cornelia Storz</t>
  </si>
  <si>
    <t>Awe for the Tiger, Love for the Lamb</t>
  </si>
  <si>
    <t>Rod Preece</t>
  </si>
  <si>
    <t>Tourism and Global Environmental Change</t>
  </si>
  <si>
    <t>Stefan GÃ¶ssling-Michael C. Hall</t>
  </si>
  <si>
    <t>International Aid and China's Environment</t>
  </si>
  <si>
    <t>Katherine Morton</t>
  </si>
  <si>
    <t>Men In The Public Eye</t>
  </si>
  <si>
    <t>Jeff Hearn</t>
  </si>
  <si>
    <t>Luther</t>
  </si>
  <si>
    <t>Michael Mullett</t>
  </si>
  <si>
    <t>The Group of Seven</t>
  </si>
  <si>
    <t>Andrew Baker</t>
  </si>
  <si>
    <t>Implications of the Euro</t>
  </si>
  <si>
    <t>Mark Baimbridge-Brian Burkitt-Philip Whyman</t>
  </si>
  <si>
    <t>Going Europe or Going Dutch?</t>
  </si>
  <si>
    <t>Mendeltje van Keulen</t>
  </si>
  <si>
    <t>The West in Early Cinema</t>
  </si>
  <si>
    <t>Media Policy for the Digital Age</t>
  </si>
  <si>
    <t>Netherlands Scientific Council for Government Policy</t>
  </si>
  <si>
    <t>Competition and Profitability in European Financial Services</t>
  </si>
  <si>
    <t>Morten Balling-Frank Lierman-Andy Mullineux</t>
  </si>
  <si>
    <t>Morality and Nationalism</t>
  </si>
  <si>
    <t>Catherine Frost</t>
  </si>
  <si>
    <t>Playing on the Periphery</t>
  </si>
  <si>
    <t>Tara Brabazon</t>
  </si>
  <si>
    <t>Intra-Asian Trade and the World Market</t>
  </si>
  <si>
    <t>A.J.H. Latham-Heita Kawakatsu</t>
  </si>
  <si>
    <t>Liberalism Against Liberalism</t>
  </si>
  <si>
    <t>Javier Aranzadi</t>
  </si>
  <si>
    <t>Ethical Codes and Income Distribution</t>
  </si>
  <si>
    <t>Guglielmo Forges Davanzati</t>
  </si>
  <si>
    <t>Managing Development</t>
  </si>
  <si>
    <t>Junji Nakagawa</t>
  </si>
  <si>
    <t>Theoretical Comparative Syntax</t>
  </si>
  <si>
    <t>Naoki Fukui</t>
  </si>
  <si>
    <t>Mathematics of Economics and Business</t>
  </si>
  <si>
    <t>Frank Werner-Yuri N. Sotskov</t>
  </si>
  <si>
    <t>Sufism in the West</t>
  </si>
  <si>
    <t>Jamal Malik-John Hinnells</t>
  </si>
  <si>
    <t>Order and Security in Southeast Asia</t>
  </si>
  <si>
    <t>Ralf Emmers-Joseph Liow</t>
  </si>
  <si>
    <t>Transnational Migration and Work in Asia</t>
  </si>
  <si>
    <t>Kevin Hewison-Ken Young</t>
  </si>
  <si>
    <t>The Transformation of Welfare States?</t>
  </si>
  <si>
    <t>Nick Ellison</t>
  </si>
  <si>
    <t>The International Criminal Court</t>
  </si>
  <si>
    <t>Marlies Glasius</t>
  </si>
  <si>
    <t>Globalisation and Poverty</t>
  </si>
  <si>
    <t>Maurizio Bussolo-Jeffery I Round</t>
  </si>
  <si>
    <t>The Collapse of Communist Power in Poland</t>
  </si>
  <si>
    <t>Jacqueline Hayden</t>
  </si>
  <si>
    <t>Managing Social Research</t>
  </si>
  <si>
    <t>Roger Tarling</t>
  </si>
  <si>
    <t>Japan's Subnational Governments in International Affairs</t>
  </si>
  <si>
    <t>Purnendra Jain</t>
  </si>
  <si>
    <t>Functional Structure(s), Form and Interpretation</t>
  </si>
  <si>
    <t>Andrew Simpson-Audrey-Li Yen-hui</t>
  </si>
  <si>
    <t>Conflict and Change in EU Budgetary Politics</t>
  </si>
  <si>
    <t>Johannes Lindner</t>
  </si>
  <si>
    <t>Forming Nation, Framing Welfare</t>
  </si>
  <si>
    <t>Gail Lewis</t>
  </si>
  <si>
    <t>Using Brainpower in the Classroom</t>
  </si>
  <si>
    <t>Steve Garnett</t>
  </si>
  <si>
    <t>Studies in Jaina History and Culture</t>
  </si>
  <si>
    <t>Peter FlÃ¼gel</t>
  </si>
  <si>
    <t>Artificial Societies</t>
  </si>
  <si>
    <t>Nigel Gilbert-Rosaria Conte</t>
  </si>
  <si>
    <t>English Language Learning and Technology</t>
  </si>
  <si>
    <t>Carol A. Chapelle</t>
  </si>
  <si>
    <t>Migration and Health in Asia</t>
  </si>
  <si>
    <t>Santosh Jatrana-Mika Toyota-Brenda S.A. Yeoh</t>
  </si>
  <si>
    <t>Revolution, Reform and Regionalism in Southeast Asia</t>
  </si>
  <si>
    <t>Ronald Bruce St John</t>
  </si>
  <si>
    <t>Small Firms and Innovation Policy in Japan</t>
  </si>
  <si>
    <t>Cornelia Storz</t>
  </si>
  <si>
    <t>The Politics of China's Accession to the World Trade Organization</t>
  </si>
  <si>
    <t>Hui Feng</t>
  </si>
  <si>
    <t>Finance Against Poverty: Volume 2</t>
  </si>
  <si>
    <t>David Hulme-Paul Mosley</t>
  </si>
  <si>
    <t>Surviving the Crossing</t>
  </si>
  <si>
    <t>Jessica Rabin</t>
  </si>
  <si>
    <t>Interpreting the Qur'an</t>
  </si>
  <si>
    <t>The Rhaeto-Romance Languages</t>
  </si>
  <si>
    <t>Paola Beninca-John Haiman</t>
  </si>
  <si>
    <t>Qualities of Food</t>
  </si>
  <si>
    <t>Mark Harvey-Andrew McMeekin-Alan Warde</t>
  </si>
  <si>
    <t>Rohinton Mistry</t>
  </si>
  <si>
    <t>Peter Morey</t>
  </si>
  <si>
    <t>Pulp Fictions of Medieval England</t>
  </si>
  <si>
    <t>Nicola McDonald</t>
  </si>
  <si>
    <t>Christianity, Islam and Nationalism in Indonesia</t>
  </si>
  <si>
    <t>Charles E. Farhadian</t>
  </si>
  <si>
    <t>Spiritual Shakespeares</t>
  </si>
  <si>
    <t>Ewan Fernie</t>
  </si>
  <si>
    <t>Reshaping Social Life</t>
  </si>
  <si>
    <t>Sarah Irwin</t>
  </si>
  <si>
    <t>Contemporary Landscapes of Contemplation</t>
  </si>
  <si>
    <t>Rebecca Krinke</t>
  </si>
  <si>
    <t>Extending Educational Reform</t>
  </si>
  <si>
    <t>Amanda Datnow-Lea Hubbard-Hugh Mehan</t>
  </si>
  <si>
    <t>Budgetary Policy Modelling</t>
  </si>
  <si>
    <t>Pantelis Capros-Daniele Meulders</t>
  </si>
  <si>
    <t>The Economic Consequences of the Gulf War</t>
  </si>
  <si>
    <t>Kamran Mofid</t>
  </si>
  <si>
    <t>Unhealthy Housing</t>
  </si>
  <si>
    <t>R. Burridge-D. Ormandy</t>
  </si>
  <si>
    <t>Teacher Thinking &amp; Professional Action</t>
  </si>
  <si>
    <t>Dr Pam Denicolo-Michael Kompf</t>
  </si>
  <si>
    <t>On the Public</t>
  </si>
  <si>
    <t>Alastair Hannay</t>
  </si>
  <si>
    <t>Partitions and Atoms of Clause Structure</t>
  </si>
  <si>
    <t>Dominique Sportiche</t>
  </si>
  <si>
    <t>Global Culture, Island Identity</t>
  </si>
  <si>
    <t>Karen Fog Olwig</t>
  </si>
  <si>
    <t>Entrepreneurship</t>
  </si>
  <si>
    <t>Thomas Grebel</t>
  </si>
  <si>
    <t>Law and Development in East and South-East Asia</t>
  </si>
  <si>
    <t>Christoph Antons</t>
  </si>
  <si>
    <t>Migration And Mobility In Britain Since The Eighteenth Century</t>
  </si>
  <si>
    <t>Colin Pooley-Jean Turnbull</t>
  </si>
  <si>
    <t>Industrial Efficiency and State Intervention</t>
  </si>
  <si>
    <t>Dr Nick Tiratsoo-Nick Tiratsoo-Jim Tomlinson</t>
  </si>
  <si>
    <t>Professional Competence And Higher Education</t>
  </si>
  <si>
    <t>Richard Winter-Maire Maisch</t>
  </si>
  <si>
    <t>Constructing Suburbs</t>
  </si>
  <si>
    <t>Ann Forsyth</t>
  </si>
  <si>
    <t>Pathways to Industrialization and Regional Development</t>
  </si>
  <si>
    <t>Allen J. Scott-Michael Storper</t>
  </si>
  <si>
    <t>South African Economy</t>
  </si>
  <si>
    <t>Peter Brixen-Finn Tarp</t>
  </si>
  <si>
    <t>Home Treatment for Acute Mental Disorders</t>
  </si>
  <si>
    <t>David S. Heath</t>
  </si>
  <si>
    <t>Discourse in Action</t>
  </si>
  <si>
    <t>Rodney H Jones-Sigrid Norris</t>
  </si>
  <si>
    <t>A Socially Critical View Of The Self-Managing School</t>
  </si>
  <si>
    <t>John Smyth</t>
  </si>
  <si>
    <t>Housing and Social Policy</t>
  </si>
  <si>
    <t>Peter Somerville-Nigel Sprigings</t>
  </si>
  <si>
    <t>The Myths We Live By</t>
  </si>
  <si>
    <t>Mary Midgley</t>
  </si>
  <si>
    <t>Consorting And Collaborating In The Education Market Place</t>
  </si>
  <si>
    <t>Chris Husbands-David Bridges</t>
  </si>
  <si>
    <t>Contemporary France</t>
  </si>
  <si>
    <t>D. L. Hanley-A. P. Kerr-Miss A P Kerr-N. H. Waites</t>
  </si>
  <si>
    <t>Institutional Frameworks and Labor Market Performance</t>
  </si>
  <si>
    <t>Friedrich Buttler-Wolfgang Franz-Ronald Schettkat-David Soskice</t>
  </si>
  <si>
    <t>Europes Population</t>
  </si>
  <si>
    <t>Ray Hall-Paul White</t>
  </si>
  <si>
    <t>The Happiest Days?</t>
  </si>
  <si>
    <t>Peter Woods</t>
  </si>
  <si>
    <t>After the Victorians</t>
  </si>
  <si>
    <t>Peter Mandler-Susan Pedersen</t>
  </si>
  <si>
    <t>Sheela-na-gigs</t>
  </si>
  <si>
    <t>Barbara Freitag</t>
  </si>
  <si>
    <t>The Archaeology of Human Ancestry</t>
  </si>
  <si>
    <t>Stephen Shennan-James Steele</t>
  </si>
  <si>
    <t>The Environment and International Relations</t>
  </si>
  <si>
    <t>Mark Imber-John Vogler</t>
  </si>
  <si>
    <t>Policing Gender, Class And Family In Britain, 1800-1945</t>
  </si>
  <si>
    <t>Linda Mahood</t>
  </si>
  <si>
    <t>Critical Perspectives On Educational Leadership</t>
  </si>
  <si>
    <t>Consuming Cities</t>
  </si>
  <si>
    <t>Ingemar Elander-Brendan Gleeson-Rolf Lidskog-Nicholas Low</t>
  </si>
  <si>
    <t>Industrial Relations in Schools</t>
  </si>
  <si>
    <t>Mike Ironside-Roger Seifert</t>
  </si>
  <si>
    <t>Classical Economics and Modern Theory</t>
  </si>
  <si>
    <t>Heinz D. Kurz-Neri Salvadori</t>
  </si>
  <si>
    <t>Computer Aided Policy Making</t>
  </si>
  <si>
    <t>Ray Wyatt</t>
  </si>
  <si>
    <t>The Lecturer's Guide to Quality and Standards in Colleges and Universities</t>
  </si>
  <si>
    <t>Professor Kate Ashcroft-Kate Ashcroft-Dr Lorraine Foreman-Peck-Lorraine Foreman-Peck</t>
  </si>
  <si>
    <t>A Popular Dictionary of Hinduism</t>
  </si>
  <si>
    <t>Karel Werner</t>
  </si>
  <si>
    <t>Contested Governance in Japan</t>
  </si>
  <si>
    <t>Glenn D. Hook</t>
  </si>
  <si>
    <t>Thinking About Criminology</t>
  </si>
  <si>
    <t>Simon Holdaway-Paul Rock</t>
  </si>
  <si>
    <t>Annals of Bioethics: Regional Perspectives in Bioethics</t>
  </si>
  <si>
    <t>Mark J. Cherry-John F. Peppin</t>
  </si>
  <si>
    <t>Education in Scotland</t>
  </si>
  <si>
    <t>Margaret M Clark-Margaret Clark-Pamela Munn</t>
  </si>
  <si>
    <t>New Directions in Development Economics</t>
  </si>
  <si>
    <t>Mats Lundahl-Benno Ndulu</t>
  </si>
  <si>
    <t>Religious Motivation and the Origins of Buddhism</t>
  </si>
  <si>
    <t>Torkel Brekke</t>
  </si>
  <si>
    <t>Women Workers And Technological Change In Europe In The Nineteenth And Twentieth Century</t>
  </si>
  <si>
    <t>Gertjan De Groot-Marlou Schrover</t>
  </si>
  <si>
    <t>Change In Classroom Practice</t>
  </si>
  <si>
    <t>Steve Farrow-Jerry Norton-Hilary Constable</t>
  </si>
  <si>
    <t>Japan's Security Relations with China Since 1989</t>
  </si>
  <si>
    <t>Reinhard Drifte</t>
  </si>
  <si>
    <t>Environmental Change in South-East Asia</t>
  </si>
  <si>
    <t>Raymond Bryant-Michael Parnwell</t>
  </si>
  <si>
    <t>Management Development Through Cultural Diversity</t>
  </si>
  <si>
    <t>Ronnie Lessem</t>
  </si>
  <si>
    <t>Subject Learning in the Primary Curriculum</t>
  </si>
  <si>
    <t>Jill Bourne-Mary Briggs-Patricia Murphy-Michelle Selinger</t>
  </si>
  <si>
    <t>Teachers' Work in a Globalizing Economy</t>
  </si>
  <si>
    <t>Alistair Dow-Robert Hattam-Alan Reid-Geoffrey Shacklock-John Smyth</t>
  </si>
  <si>
    <t>Unpaid Work and the Economy</t>
  </si>
  <si>
    <t>Antonella Picchio</t>
  </si>
  <si>
    <t>Communicating In School Science</t>
  </si>
  <si>
    <t>Di Bentley-Mike Watts</t>
  </si>
  <si>
    <t>Urban Society In Roman Italy</t>
  </si>
  <si>
    <t>Tim J. Cornell-Kathryn Lomas</t>
  </si>
  <si>
    <t>The Symbolic Order</t>
  </si>
  <si>
    <t>Peter Abbs</t>
  </si>
  <si>
    <t>Young, Female and Black</t>
  </si>
  <si>
    <t>Heidi Safia Mirza</t>
  </si>
  <si>
    <t>With God on Their Side</t>
  </si>
  <si>
    <t>Timothy Chandler-Tara Magdalinski</t>
  </si>
  <si>
    <t>The European Dimension of British Planning</t>
  </si>
  <si>
    <t>Mark Tewdwr-Jones-Richard H. Williams</t>
  </si>
  <si>
    <t>The British Atlantic Empire Before the American Revolution</t>
  </si>
  <si>
    <t>Glyndwr Williams</t>
  </si>
  <si>
    <t>500 ICT Tips for Primary Teachers</t>
  </si>
  <si>
    <t>Higgins, Steve-Pickard, Nick-Race, Phil</t>
  </si>
  <si>
    <t>Prader-Willi Syndrome</t>
  </si>
  <si>
    <t>Eiholzer, U.</t>
  </si>
  <si>
    <t>Experimenting for Sustainable Transport</t>
  </si>
  <si>
    <t>Remco Hoogma-Rene Kemp-Johan Schot-Bernhard Truffer</t>
  </si>
  <si>
    <t>Transforming Cities</t>
  </si>
  <si>
    <t>Nick Jewson-Susanne MacGregor</t>
  </si>
  <si>
    <t>The Planning Polity</t>
  </si>
  <si>
    <t>Mark Tewdwr-Jones</t>
  </si>
  <si>
    <t>Manufacturing Competitiveness in Asia</t>
  </si>
  <si>
    <t>Jomo K. S.</t>
  </si>
  <si>
    <t>Innovative School Principals and Restructuring</t>
  </si>
  <si>
    <t>C.A.J. Dimmock-T.A. O'Donoghue</t>
  </si>
  <si>
    <t>Organising a School's Response</t>
  </si>
  <si>
    <t>Ann Hackney-Keith Postlethwaite</t>
  </si>
  <si>
    <t>Russian Economic Reform</t>
  </si>
  <si>
    <t>James Leitzel</t>
  </si>
  <si>
    <t>Teaching Under Pressure</t>
  </si>
  <si>
    <t>Anne Cockburn</t>
  </si>
  <si>
    <t>Research In Multicultural Education</t>
  </si>
  <si>
    <t>Carl A. Grant</t>
  </si>
  <si>
    <t>Sweden and Ecological Governance</t>
  </si>
  <si>
    <t>Lennart Lundqvist</t>
  </si>
  <si>
    <t>Interpreting the Labour Party</t>
  </si>
  <si>
    <t>John Callaghan-Steven Fielding-Steve Ludlam</t>
  </si>
  <si>
    <t>Sports Law and Policy in the European Union</t>
  </si>
  <si>
    <t>Richard Parrish</t>
  </si>
  <si>
    <t>The Third Way and Beyond</t>
  </si>
  <si>
    <t>Sarah Hale-Will Leggett-Luke Martell</t>
  </si>
  <si>
    <t>The Political Philosophy of Jean-Jacques Rousseau</t>
  </si>
  <si>
    <t>Matt Qvortrup</t>
  </si>
  <si>
    <t>Destination Europe</t>
  </si>
  <si>
    <t>Kjell Torbiorn</t>
  </si>
  <si>
    <t>Climate Change and the Oil Industry</t>
  </si>
  <si>
    <t>Jon Birger Skjaerseth-Jon Skjaerseth-Tora Skodvin</t>
  </si>
  <si>
    <t>Horseracing and the British, 1919â€“39</t>
  </si>
  <si>
    <t>SPORTS &amp; RECREATION / Animal Sports / Horse Racing</t>
  </si>
  <si>
    <t>Mike Huggins</t>
  </si>
  <si>
    <t>West Indian Intellectuals in Britain</t>
  </si>
  <si>
    <t>Bill Schwarz</t>
  </si>
  <si>
    <t>Female Imperialism and National Identity</t>
  </si>
  <si>
    <t>Katie Pickles</t>
  </si>
  <si>
    <t>Turkey: Facing a New Millennium</t>
  </si>
  <si>
    <t>Amikam Nachmani</t>
  </si>
  <si>
    <t>EU Development Cooperation</t>
  </si>
  <si>
    <t>Karin Arts-Anna Dickson-Anna K. Dickson</t>
  </si>
  <si>
    <t>Louis XIV and the Parlements</t>
  </si>
  <si>
    <t>John J. Hurt</t>
  </si>
  <si>
    <t>The Poor in England 1700â€“1850</t>
  </si>
  <si>
    <t>Alannah Tomkins-Steve King</t>
  </si>
  <si>
    <t>The French Party System</t>
  </si>
  <si>
    <t>Jocelyn Evans</t>
  </si>
  <si>
    <t>Human Rights and the Borders of Suffering</t>
  </si>
  <si>
    <t>Anne Brown-M. Anne Brown</t>
  </si>
  <si>
    <t>Luther's Lives</t>
  </si>
  <si>
    <t>Elizabeth Vandiver-Ralph Keen-Thomas D. Frazel</t>
  </si>
  <si>
    <t>The Other Empire</t>
  </si>
  <si>
    <t>John Marriott</t>
  </si>
  <si>
    <t>The Spoken Word</t>
  </si>
  <si>
    <t>Adam Fox-Daniel Woolf</t>
  </si>
  <si>
    <t>The Labour Governments 1964â€“1970 Volume 1</t>
  </si>
  <si>
    <t>Steven Fielding</t>
  </si>
  <si>
    <t>George III</t>
  </si>
  <si>
    <t>Peter Thomas</t>
  </si>
  <si>
    <t>Noblewomen, Aristocracy and Power in the Twelfth-century Anglo-Norman Realm</t>
  </si>
  <si>
    <t>Susan M. Johns</t>
  </si>
  <si>
    <t>The Asian Financial Crisis</t>
  </si>
  <si>
    <t>Shalendra Sharma</t>
  </si>
  <si>
    <t>Mainstreaming Gender, Democratizing the State</t>
  </si>
  <si>
    <t>Shirin Rai</t>
  </si>
  <si>
    <t>Innovation by Demand</t>
  </si>
  <si>
    <t>Andrew McMeekin-Mark Tomlinson-Ken Green-Vivien Walsh</t>
  </si>
  <si>
    <t>The Radical Lives of Helen Keller</t>
  </si>
  <si>
    <t>Kim E. Nielsen</t>
  </si>
  <si>
    <t>Boricua Pop</t>
  </si>
  <si>
    <t>Frances NegrÃ³n-Muntaner</t>
  </si>
  <si>
    <t>God in Chinatown</t>
  </si>
  <si>
    <t>Kenneth J. Guest</t>
  </si>
  <si>
    <t>R. S. Thomas</t>
  </si>
  <si>
    <t>Christopher Morgan</t>
  </si>
  <si>
    <t>The Culture of Toleration in Diverse Societies</t>
  </si>
  <si>
    <t>Catriona McKinnon-Dario Castiglione</t>
  </si>
  <si>
    <t>Political Concepts</t>
  </si>
  <si>
    <t>Richard Bellamy-Andrew Mason</t>
  </si>
  <si>
    <t>Republican Learning</t>
  </si>
  <si>
    <t>Justin Champion</t>
  </si>
  <si>
    <t>The End of Irish History?</t>
  </si>
  <si>
    <t>Colin Coulter-Steve Coleman</t>
  </si>
  <si>
    <t>More Than a Game</t>
  </si>
  <si>
    <t>Barry Atkins</t>
  </si>
  <si>
    <t>Aesthetics and Subjectivity</t>
  </si>
  <si>
    <t>Andrew Bowie</t>
  </si>
  <si>
    <t>Memory and Popular Film</t>
  </si>
  <si>
    <t>Paul Grainge</t>
  </si>
  <si>
    <t>The Politics Today Companion to West European Politics</t>
  </si>
  <si>
    <t>Geoffrey Roberts-Patricia Hogwood</t>
  </si>
  <si>
    <t>The New Aestheticism</t>
  </si>
  <si>
    <t>John J. Joughin-Simon Malpas</t>
  </si>
  <si>
    <t>Francis Bacon's New Atlantis</t>
  </si>
  <si>
    <t>Bronwen Price</t>
  </si>
  <si>
    <t>British Cinema of the 1950s</t>
  </si>
  <si>
    <t>Ian Mackillop-Neil Sinyard</t>
  </si>
  <si>
    <t>Market Relations and the Competitive Process</t>
  </si>
  <si>
    <t>Stan Metcalfe-Alan Warde</t>
  </si>
  <si>
    <t>Womenâ€™s Writing in Contemporary France</t>
  </si>
  <si>
    <t>Gill Rye-Michael Worton</t>
  </si>
  <si>
    <t>Judicial Tribunals in England and Europe, 1200â€“1700</t>
  </si>
  <si>
    <t>Maureen Mulholland</t>
  </si>
  <si>
    <t>Male Witches in Early Modern Europe</t>
  </si>
  <si>
    <t>Lara Apps-Andrew Gow</t>
  </si>
  <si>
    <t>After Whiteness</t>
  </si>
  <si>
    <t>Mike Hill</t>
  </si>
  <si>
    <t>Girlfighting</t>
  </si>
  <si>
    <t>Lyn Mikel Brown</t>
  </si>
  <si>
    <t>Heroic Efforts</t>
  </si>
  <si>
    <t>Jennifer Lois</t>
  </si>
  <si>
    <t>Globalisation Contested</t>
  </si>
  <si>
    <t>Louise Amoore</t>
  </si>
  <si>
    <t>Fragmenting Modernism</t>
  </si>
  <si>
    <t>Sara Haslam</t>
  </si>
  <si>
    <t>Truancy</t>
  </si>
  <si>
    <t>Ken Reid</t>
  </si>
  <si>
    <t>Three Nations, One Place</t>
  </si>
  <si>
    <t>Martha McCollough</t>
  </si>
  <si>
    <t>Tax Systems and Tax Reforms in New EU Member States</t>
  </si>
  <si>
    <t>Luigi Bernardi-Mark Chandler-Luca Gandullia</t>
  </si>
  <si>
    <t>Science</t>
  </si>
  <si>
    <t>Vanessa Kind-Keith Taber</t>
  </si>
  <si>
    <t>Jean-Baptiste Say and the Classical Canon in Economics</t>
  </si>
  <si>
    <t>Samuel Hollander</t>
  </si>
  <si>
    <t>Regional Monetary Policy</t>
  </si>
  <si>
    <t>Carlos Javier Rodriguez Fuentes</t>
  </si>
  <si>
    <t>The Philosophy of Desire in the Buddhist Pali Canon</t>
  </si>
  <si>
    <t>David Webster</t>
  </si>
  <si>
    <t>Labour Contracts and Labour Relations in Early Modern Central Japan</t>
  </si>
  <si>
    <t>Mary Louise Nagata</t>
  </si>
  <si>
    <t>Japan's China Policy</t>
  </si>
  <si>
    <t>Linus HagstrÃ¶m</t>
  </si>
  <si>
    <t>The Experiment in the History of Economics</t>
  </si>
  <si>
    <t>Philippe Fontaine-Robert Leonard</t>
  </si>
  <si>
    <t>Encyclopedia of Human Evolution and Prehistory</t>
  </si>
  <si>
    <t>Eric Delson-Ian Tattersall-John Van Couvering-Alison S. Brooks</t>
  </si>
  <si>
    <t>Connecting Policy and Practice</t>
  </si>
  <si>
    <t>Michael Kompf-Pam Denicolo</t>
  </si>
  <si>
    <t>The Changing Economic Geography of Globalization</t>
  </si>
  <si>
    <t>Giovanna Vertova</t>
  </si>
  <si>
    <t>Cariology in the 21st Century</t>
  </si>
  <si>
    <t>Nyvad, B.-ten Cate, J.M.-Robinson, C.</t>
  </si>
  <si>
    <t>Xenakis</t>
  </si>
  <si>
    <t>James Harley</t>
  </si>
  <si>
    <t>Understanding Japanese Savings</t>
  </si>
  <si>
    <t>Robert Dekle</t>
  </si>
  <si>
    <t>Testimony From the Nazi Camps</t>
  </si>
  <si>
    <t>Margaret Anne Hutton</t>
  </si>
  <si>
    <t>The Mechanics of Modernity in Europe and East Asia</t>
  </si>
  <si>
    <t>Erik Ringmar</t>
  </si>
  <si>
    <t>Skin Color and Identity Formation</t>
  </si>
  <si>
    <t>Edward Fergus</t>
  </si>
  <si>
    <t>Seductions of Place</t>
  </si>
  <si>
    <t>Carolyn Cartier-Alan A Lew</t>
  </si>
  <si>
    <t>Rural-Urban Interaction in the Developing World</t>
  </si>
  <si>
    <t>Kenny Lynch</t>
  </si>
  <si>
    <t>Rethinking Capitalist Development</t>
  </si>
  <si>
    <t>Tracy Mott-Nina Shapiro</t>
  </si>
  <si>
    <t>Planning for Crime Prevention</t>
  </si>
  <si>
    <t>Ted Kitchen-Richard H Schneider</t>
  </si>
  <si>
    <t>The Non-Western World</t>
  </si>
  <si>
    <t>Pradyumna P. Karan</t>
  </si>
  <si>
    <t>The New Economy in Transatlantic Perspective</t>
  </si>
  <si>
    <t>Kurt Huebner</t>
  </si>
  <si>
    <t>Monetary Policy and Unemployment</t>
  </si>
  <si>
    <t>Willi Semmler</t>
  </si>
  <si>
    <t>McCloskey's Rhetoric</t>
  </si>
  <si>
    <t>Benjamin Balak</t>
  </si>
  <si>
    <t>Managing Labour in Small Firms</t>
  </si>
  <si>
    <t>Susan Marlow-Dean Patton-Monder Ram</t>
  </si>
  <si>
    <t>Macroeconomic Policies and Poverty</t>
  </si>
  <si>
    <t>Ashoka Mody-Catherine Pattillo</t>
  </si>
  <si>
    <t>Labor Versus Empire</t>
  </si>
  <si>
    <t>Gilbert G. Gonzalez-Raul A. Fernandez-Vivian Price-David Smith-Linda Trinh VÃµ</t>
  </si>
  <si>
    <t>Kristeva and the Political</t>
  </si>
  <si>
    <t>Cecilia Sjoholm</t>
  </si>
  <si>
    <t>Islamic Area Studies with Geographical Information Systems</t>
  </si>
  <si>
    <t>Atsuyuki Okabe</t>
  </si>
  <si>
    <t>Institutional Change in Southeast Asia</t>
  </si>
  <si>
    <t>Fredrik SjÃ¶holm-JosÃ© Tongzon</t>
  </si>
  <si>
    <t>History and Political Economy</t>
  </si>
  <si>
    <t>Tony Aspromourgos-John Lodewijks</t>
  </si>
  <si>
    <t>Grammaticalization and Language Change in Chinese</t>
  </si>
  <si>
    <t>Xiu-Zhi Zoe Wu</t>
  </si>
  <si>
    <t>Good Governance in the Era of Global Neoliberalism</t>
  </si>
  <si>
    <t>Jolle Demmers-Alex E. FernÃ¡ndez Jilberto-Barbara Hogenboom</t>
  </si>
  <si>
    <t>The Constitution of Consciousness</t>
  </si>
  <si>
    <t>Wolfgang Huemer</t>
  </si>
  <si>
    <t>Britain's Imperial Cornerstone in China</t>
  </si>
  <si>
    <t>Donna Brunero</t>
  </si>
  <si>
    <t>Behavioural Approaches in Neuropsychological Rehabilitation</t>
  </si>
  <si>
    <t>Barbara A. Wilson-Camilla M. Herbert-Agnes Shiel</t>
  </si>
  <si>
    <t>Authoring the Self</t>
  </si>
  <si>
    <t>Scott Hess</t>
  </si>
  <si>
    <t>The Assassination of Jacques Lemaigre Dubreuil</t>
  </si>
  <si>
    <t>William A. Hoisington, Jr.</t>
  </si>
  <si>
    <t>Asian Politics in Development</t>
  </si>
  <si>
    <t>Robert Benewick-Marc Blecher-Sarah Cook</t>
  </si>
  <si>
    <t>Asian Anthropology</t>
  </si>
  <si>
    <t>Jan Van Bremen-Eyal Ben-Ari-Syed Farid Alatas</t>
  </si>
  <si>
    <t>Africa and the North</t>
  </si>
  <si>
    <t>Ulf Engel-Gorm Rye Olsen</t>
  </si>
  <si>
    <t>Pediatric and Adolescent Gynecology</t>
  </si>
  <si>
    <t>C. Sultan</t>
  </si>
  <si>
    <t>China's Business Reforms</t>
  </si>
  <si>
    <t>Russell Smyth-On Kit Tam-Malcolm Warner-Cherrie Jiuhua Zhu</t>
  </si>
  <si>
    <t>Scholars, Travellers and Trade</t>
  </si>
  <si>
    <t>R. B. Halbertsma</t>
  </si>
  <si>
    <t>Soil Erosion and Carbon Dynamics</t>
  </si>
  <si>
    <t>Eric J. Roose-Rattan Lal-Christian Feller-Bernard Barthes-B.A. Stewart</t>
  </si>
  <si>
    <t>Terrace Heroes</t>
  </si>
  <si>
    <t>Graham Kelly</t>
  </si>
  <si>
    <t>Power to Teach</t>
  </si>
  <si>
    <t>Wendy Robinson</t>
  </si>
  <si>
    <t>Phonological Augmentation in Prominent Positions</t>
  </si>
  <si>
    <t>Jennifer L. Smith</t>
  </si>
  <si>
    <t>The Second World War, Vol. 3</t>
  </si>
  <si>
    <t>Philip D. Grove-Mark J. Grove-Alastair Finlan</t>
  </si>
  <si>
    <t>Persian Documents</t>
  </si>
  <si>
    <t>Kondo Nobuaki</t>
  </si>
  <si>
    <t>Working in the Service Sector</t>
  </si>
  <si>
    <t>Gerhard Bosch-Steffen Lehndorff</t>
  </si>
  <si>
    <t>Japanese Electoral Politics</t>
  </si>
  <si>
    <t>Steven Reed</t>
  </si>
  <si>
    <t>Illustrated Manual of Pediatric Dermatology</t>
  </si>
  <si>
    <t>Susan Mallory-Alanna F. Bree-Peggy Chern</t>
  </si>
  <si>
    <t>Germany's Foreign Policy Towards Poland and the Czech Republic</t>
  </si>
  <si>
    <t>Karl Cordell-Stefan Wolff</t>
  </si>
  <si>
    <t>For the Common Good</t>
  </si>
  <si>
    <t>Michael Reisch</t>
  </si>
  <si>
    <t>The Colonizer Abroad</t>
  </si>
  <si>
    <t>Christopher McBride</t>
  </si>
  <si>
    <t>Arguing With Anthropology</t>
  </si>
  <si>
    <t>Karen Sykes</t>
  </si>
  <si>
    <t>Renegotiating the Welfare State</t>
  </si>
  <si>
    <t>Gerhard Lehmbruch-Frans van Waarden</t>
  </si>
  <si>
    <t>Africa in International Politics</t>
  </si>
  <si>
    <t>Ian Taylor-Paul Williams</t>
  </si>
  <si>
    <t>Decolonising the Caribbean</t>
  </si>
  <si>
    <t>Inge Klinkers-Gert Oostindie</t>
  </si>
  <si>
    <t>Amsterdam Human Capital</t>
  </si>
  <si>
    <t>Sako Musterd-Willem Salet</t>
  </si>
  <si>
    <t>Professional Values and Practice</t>
  </si>
  <si>
    <t>James Arthur-Jon Davison-Malcolm Lewis</t>
  </si>
  <si>
    <t>Men and the Classroom</t>
  </si>
  <si>
    <t>Sheelagh Drudy-Maeve Martin-John O'Flynn-Mairide Woods</t>
  </si>
  <si>
    <t>Meeting the Standards in Primary ICT</t>
  </si>
  <si>
    <t>Steve Higgins-Nick Packard</t>
  </si>
  <si>
    <t>In Your Face</t>
  </si>
  <si>
    <t>Inner City Kids</t>
  </si>
  <si>
    <t>Alice Mcintyre</t>
  </si>
  <si>
    <t>Bombs, Bugs, Drugs, and Thugs</t>
  </si>
  <si>
    <t>Loch K. Johnson</t>
  </si>
  <si>
    <t>Evidence Based Practice in Dentistry</t>
  </si>
  <si>
    <t>Behbehani, J.M.-Honkala, E.</t>
  </si>
  <si>
    <t>Remembrance of Pacific Pasts</t>
  </si>
  <si>
    <t>Robert Borofsky</t>
  </si>
  <si>
    <t>Watching Rape</t>
  </si>
  <si>
    <t>Sarah Projansky</t>
  </si>
  <si>
    <t>Nothing but the Truth</t>
  </si>
  <si>
    <t>LAW / Trial Practice</t>
  </si>
  <si>
    <t>Steven Lubet</t>
  </si>
  <si>
    <t>Prions</t>
  </si>
  <si>
    <t>Rabenau, H.F.-Cinatl, J.-Doerr, H.W.</t>
  </si>
  <si>
    <t>Advances in End-Stage Renal Diseases 2001</t>
  </si>
  <si>
    <t>Levin, N.W.-Ronco, C.</t>
  </si>
  <si>
    <t>Critical Race Narratives</t>
  </si>
  <si>
    <t>Carl Gutierrez-Jones</t>
  </si>
  <si>
    <t>Hair Matters</t>
  </si>
  <si>
    <t>Ingrid Banks</t>
  </si>
  <si>
    <t>Tunnelling</t>
  </si>
  <si>
    <t>Alan Muir Wood</t>
  </si>
  <si>
    <t>Conversations About Psychology and Sexual Orientation</t>
  </si>
  <si>
    <t>Janis S. Bohan-Glenda M. Russell</t>
  </si>
  <si>
    <t>A Republic of Men</t>
  </si>
  <si>
    <t>Mark E. Kann</t>
  </si>
  <si>
    <t>New Versions of Victims</t>
  </si>
  <si>
    <t>Sharon Lamb</t>
  </si>
  <si>
    <t>Murdering Masculinities</t>
  </si>
  <si>
    <t>Gregory Forter</t>
  </si>
  <si>
    <t>Flirting with Danger</t>
  </si>
  <si>
    <t>Lynn Phillips</t>
  </si>
  <si>
    <t>Voted Out</t>
  </si>
  <si>
    <t>Glenda M. Russell</t>
  </si>
  <si>
    <t>The Slave Soul of Russia</t>
  </si>
  <si>
    <t>Daniel Rancour-Laferriere</t>
  </si>
  <si>
    <t>Romantic Outlaws, Beloved Prisons</t>
  </si>
  <si>
    <t>Martha Grace Duncan</t>
  </si>
  <si>
    <t>Arrested Adulthood</t>
  </si>
  <si>
    <t>James E. Cote</t>
  </si>
  <si>
    <t>In Search of the Swan Maiden</t>
  </si>
  <si>
    <t>Barbara Fass Leavy</t>
  </si>
  <si>
    <t>Androids, Humanoids, and Other Folklore Monsters</t>
  </si>
  <si>
    <t>Per Schelde</t>
  </si>
  <si>
    <t>Indentations and Other Stories</t>
  </si>
  <si>
    <t>Joe Schall</t>
  </si>
  <si>
    <t>Can Unions Survive?</t>
  </si>
  <si>
    <t>Charles B. Craver</t>
  </si>
  <si>
    <t>Postmodern Legal Movements</t>
  </si>
  <si>
    <t>Gary Minda</t>
  </si>
  <si>
    <t>Seriatim</t>
  </si>
  <si>
    <t>Scott Douglas Gerber</t>
  </si>
  <si>
    <t>American Cool</t>
  </si>
  <si>
    <t>Peter N. Stearns</t>
  </si>
  <si>
    <t>Imagined Human Beings</t>
  </si>
  <si>
    <t>Bernard Jay Paris</t>
  </si>
  <si>
    <t>Bodies in Protest</t>
  </si>
  <si>
    <t>Steve Kroll-Smith-H. Hugh Floyd</t>
  </si>
  <si>
    <t>Manifesto of a Tenured Radical</t>
  </si>
  <si>
    <t>Cary Nelson</t>
  </si>
  <si>
    <t>Teaching What You're Not</t>
  </si>
  <si>
    <t>Katherine Mayberry</t>
  </si>
  <si>
    <t>Employment of English</t>
  </si>
  <si>
    <t>Michael BÃ©rubÃ©</t>
  </si>
  <si>
    <t>Bisexuality and the Challenge to Lesbian Politics</t>
  </si>
  <si>
    <t>Paula C Rust</t>
  </si>
  <si>
    <t>The Truth About Freud's Technique</t>
  </si>
  <si>
    <t>Michael Guy Thompson</t>
  </si>
  <si>
    <t>Transformation of Rage</t>
  </si>
  <si>
    <t>Peggy Fitzhugh Johnstone</t>
  </si>
  <si>
    <t>Culture Clash</t>
  </si>
  <si>
    <t>Steven Goldberg</t>
  </si>
  <si>
    <t>Everyday Courage</t>
  </si>
  <si>
    <t>Niobe Way</t>
  </si>
  <si>
    <t>Hybrid</t>
  </si>
  <si>
    <t>Ruth Colker</t>
  </si>
  <si>
    <t>American Law in the Age of Hypercapitalism</t>
  </si>
  <si>
    <t>Bird-Self Accumulated</t>
  </si>
  <si>
    <t>Don Judson</t>
  </si>
  <si>
    <t>Blacks in the Jewish Mind</t>
  </si>
  <si>
    <t>Seth Forman</t>
  </si>
  <si>
    <t>Clarence Thomas and the Tough Love Crowd</t>
  </si>
  <si>
    <t>POLITICAL SCIENCE / American Government / Judicial Branch</t>
  </si>
  <si>
    <t>Ronald Suresh Roberts</t>
  </si>
  <si>
    <t>Freedom to Differ</t>
  </si>
  <si>
    <t>Diane Helene Miller</t>
  </si>
  <si>
    <t>Japanese Lessons</t>
  </si>
  <si>
    <t>Gail R. Benjamin</t>
  </si>
  <si>
    <t>Vignettes From the Late Ming</t>
  </si>
  <si>
    <t>Ye, Yang</t>
  </si>
  <si>
    <t>Lessons in Being Chinese</t>
  </si>
  <si>
    <t>Mette Halskov Hansen</t>
  </si>
  <si>
    <t>The Chrysanthemum and the Eagle</t>
  </si>
  <si>
    <t>Ryuzo Sato</t>
  </si>
  <si>
    <t>Upon a Stone Altar</t>
  </si>
  <si>
    <t>David L. Hanlon</t>
  </si>
  <si>
    <t>Busting the Mob</t>
  </si>
  <si>
    <t>James B. Jacobs-Christopher Panarella-Jay Worthington</t>
  </si>
  <si>
    <t>Introduction to Supersymmetric Field Theory</t>
  </si>
  <si>
    <t>Sergio M. Kuzenko</t>
  </si>
  <si>
    <t>The World in Eleven Dimensions</t>
  </si>
  <si>
    <t>M.J Duff</t>
  </si>
  <si>
    <t>Electronic Literacies</t>
  </si>
  <si>
    <t>Mark Warschauer</t>
  </si>
  <si>
    <t>Negrophobia and Reasonable Racism</t>
  </si>
  <si>
    <t>Jody David Armour</t>
  </si>
  <si>
    <t>The Smart Culture</t>
  </si>
  <si>
    <t>Robert L. Hayman, Jr.</t>
  </si>
  <si>
    <t>Black Rage Confronts the Law</t>
  </si>
  <si>
    <t>Paul Harris</t>
  </si>
  <si>
    <t>To Be An American</t>
  </si>
  <si>
    <t>Bill Ong Hing</t>
  </si>
  <si>
    <t>Please Don't Wish Me a Merry Christmas</t>
  </si>
  <si>
    <t>Stephen M. Feldman</t>
  </si>
  <si>
    <t xml:space="preserve"> Publisher</t>
  </si>
  <si>
    <t>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</si>
</sst>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6935"/>
  <sheetViews>
    <sheetView tabSelected="1" workbookViewId="0">
      <selection activeCell="J8" sqref="J8"/>
    </sheetView>
  </sheetViews>
  <sheetFormatPr defaultColWidth="8.85546875" defaultRowHeight="15" x14ac:dyDescent="0.25"/>
  <cols>
    <col min="1" max="6" width="15.7109375" style="1" customWidth="1"/>
    <col min="13" max="16384" width="8.85546875" style="1"/>
  </cols>
  <sheetData>
    <row r="1" spans="1:12" x14ac:dyDescent="0.25">
      <c r="A1" s="4" t="s">
        <v>0</v>
      </c>
      <c r="B1" s="4" t="s">
        <v>1</v>
      </c>
      <c r="C1" s="4" t="s">
        <v>52422</v>
      </c>
      <c r="D1" s="4" t="s">
        <v>52423</v>
      </c>
      <c r="E1" s="4" t="s">
        <v>2</v>
      </c>
      <c r="F1" s="4" t="s">
        <v>3</v>
      </c>
      <c r="G1" s="1"/>
      <c r="H1" s="1"/>
      <c r="I1" s="1"/>
      <c r="J1" s="1"/>
      <c r="K1" s="1"/>
      <c r="L1" s="1"/>
    </row>
    <row r="2" spans="1:12" s="3" customFormat="1" ht="29.1" customHeight="1" x14ac:dyDescent="0.25">
      <c r="A2" s="2" t="s">
        <v>4</v>
      </c>
      <c r="B2" s="2" t="s">
        <v>7</v>
      </c>
      <c r="C2" s="2" t="s">
        <v>5</v>
      </c>
      <c r="D2" s="2" t="s">
        <v>6</v>
      </c>
      <c r="E2" s="2" t="str">
        <f>"9783031991547"</f>
        <v>9783031991547</v>
      </c>
      <c r="F2" s="2" t="str">
        <f>"9783031991554"</f>
        <v>9783031991554</v>
      </c>
    </row>
    <row r="3" spans="1:12" s="3" customFormat="1" ht="29.1" customHeight="1" x14ac:dyDescent="0.25">
      <c r="A3" s="2" t="s">
        <v>8</v>
      </c>
      <c r="B3" s="2" t="s">
        <v>10</v>
      </c>
      <c r="C3" s="2" t="s">
        <v>5</v>
      </c>
      <c r="D3" s="2" t="s">
        <v>9</v>
      </c>
      <c r="E3" s="2" t="str">
        <f>"9782384764730"</f>
        <v>9782384764730</v>
      </c>
      <c r="F3" s="2" t="str">
        <f>"9782384764723"</f>
        <v>9782384764723</v>
      </c>
    </row>
    <row r="4" spans="1:12" s="3" customFormat="1" ht="29.1" customHeight="1" x14ac:dyDescent="0.25">
      <c r="A4" s="2" t="s">
        <v>11</v>
      </c>
      <c r="B4" s="2" t="s">
        <v>13</v>
      </c>
      <c r="C4" s="2" t="s">
        <v>5</v>
      </c>
      <c r="D4" s="2" t="s">
        <v>12</v>
      </c>
      <c r="E4" s="2" t="str">
        <f>"9789819526352"</f>
        <v>9789819526352</v>
      </c>
      <c r="F4" s="2" t="str">
        <f>"9789819526369"</f>
        <v>9789819526369</v>
      </c>
    </row>
    <row r="5" spans="1:12" s="3" customFormat="1" ht="29.1" customHeight="1" x14ac:dyDescent="0.25">
      <c r="A5" s="2" t="s">
        <v>14</v>
      </c>
      <c r="B5" s="2" t="s">
        <v>16</v>
      </c>
      <c r="C5" s="2" t="s">
        <v>5</v>
      </c>
      <c r="D5" s="2" t="s">
        <v>15</v>
      </c>
      <c r="E5" s="2" t="str">
        <f>"9783031980671"</f>
        <v>9783031980671</v>
      </c>
      <c r="F5" s="2" t="str">
        <f>"9783031980688"</f>
        <v>9783031980688</v>
      </c>
    </row>
    <row r="6" spans="1:12" s="3" customFormat="1" ht="29.1" customHeight="1" x14ac:dyDescent="0.25">
      <c r="A6" s="2" t="s">
        <v>17</v>
      </c>
      <c r="B6" s="2" t="s">
        <v>18</v>
      </c>
      <c r="C6" s="2" t="s">
        <v>5</v>
      </c>
      <c r="D6" s="2" t="s">
        <v>6</v>
      </c>
      <c r="E6" s="2" t="str">
        <f>"9783031987571"</f>
        <v>9783031987571</v>
      </c>
      <c r="F6" s="2" t="str">
        <f>"9783031987588"</f>
        <v>9783031987588</v>
      </c>
    </row>
    <row r="7" spans="1:12" s="3" customFormat="1" ht="29.1" customHeight="1" x14ac:dyDescent="0.25">
      <c r="A7" s="2" t="s">
        <v>19</v>
      </c>
      <c r="B7" s="2" t="s">
        <v>22</v>
      </c>
      <c r="C7" s="2" t="s">
        <v>20</v>
      </c>
      <c r="D7" s="2" t="s">
        <v>21</v>
      </c>
      <c r="E7" s="2" t="str">
        <f>"9783763978885"</f>
        <v>9783763978885</v>
      </c>
      <c r="F7" s="2" t="str">
        <f>"9783763978892"</f>
        <v>9783763978892</v>
      </c>
    </row>
    <row r="8" spans="1:12" s="3" customFormat="1" ht="29.1" customHeight="1" x14ac:dyDescent="0.25">
      <c r="A8" s="2" t="s">
        <v>23</v>
      </c>
      <c r="B8" s="2" t="s">
        <v>25</v>
      </c>
      <c r="C8" s="2" t="s">
        <v>20</v>
      </c>
      <c r="D8" s="2" t="s">
        <v>24</v>
      </c>
      <c r="E8" s="2" t="str">
        <f>"9783763978946"</f>
        <v>9783763978946</v>
      </c>
      <c r="F8" s="2" t="str">
        <f>"9783763979110"</f>
        <v>9783763979110</v>
      </c>
    </row>
    <row r="9" spans="1:12" s="3" customFormat="1" ht="29.1" customHeight="1" x14ac:dyDescent="0.25">
      <c r="A9" s="2" t="s">
        <v>26</v>
      </c>
      <c r="B9" s="2" t="s">
        <v>27</v>
      </c>
      <c r="C9" s="2" t="s">
        <v>20</v>
      </c>
      <c r="D9" s="2" t="s">
        <v>9</v>
      </c>
      <c r="E9" s="2" t="str">
        <f>"9783763978779"</f>
        <v>9783763978779</v>
      </c>
      <c r="F9" s="2" t="str">
        <f>"9783763978786"</f>
        <v>9783763978786</v>
      </c>
    </row>
    <row r="10" spans="1:12" s="3" customFormat="1" ht="29.1" customHeight="1" x14ac:dyDescent="0.25">
      <c r="A10" s="2" t="s">
        <v>28</v>
      </c>
      <c r="B10" s="2" t="s">
        <v>31</v>
      </c>
      <c r="C10" s="2" t="s">
        <v>29</v>
      </c>
      <c r="D10" s="2" t="s">
        <v>30</v>
      </c>
      <c r="E10" s="2" t="str">
        <f>"9789004754164"</f>
        <v>9789004754164</v>
      </c>
      <c r="F10" s="2" t="str">
        <f>"9789004754171"</f>
        <v>9789004754171</v>
      </c>
    </row>
    <row r="11" spans="1:12" s="3" customFormat="1" ht="29.1" customHeight="1" x14ac:dyDescent="0.25">
      <c r="A11" s="2" t="s">
        <v>32</v>
      </c>
      <c r="B11" s="2" t="s">
        <v>34</v>
      </c>
      <c r="C11" s="2" t="s">
        <v>29</v>
      </c>
      <c r="D11" s="2" t="s">
        <v>33</v>
      </c>
      <c r="E11" s="2" t="str">
        <f>"9789004724433"</f>
        <v>9789004724433</v>
      </c>
      <c r="F11" s="2" t="str">
        <f>"9789004726543"</f>
        <v>9789004726543</v>
      </c>
    </row>
    <row r="12" spans="1:12" s="3" customFormat="1" ht="29.1" customHeight="1" x14ac:dyDescent="0.25">
      <c r="A12" s="2" t="s">
        <v>35</v>
      </c>
      <c r="B12" s="2" t="s">
        <v>38</v>
      </c>
      <c r="C12" s="2" t="s">
        <v>36</v>
      </c>
      <c r="D12" s="2" t="s">
        <v>37</v>
      </c>
      <c r="E12" s="2"/>
      <c r="F12" s="2" t="str">
        <f>"9781529245172"</f>
        <v>9781529245172</v>
      </c>
    </row>
    <row r="13" spans="1:12" s="3" customFormat="1" ht="29.1" customHeight="1" x14ac:dyDescent="0.25">
      <c r="A13" s="2" t="s">
        <v>39</v>
      </c>
      <c r="B13" s="2" t="s">
        <v>40</v>
      </c>
      <c r="C13" s="2" t="s">
        <v>5</v>
      </c>
      <c r="D13" s="2" t="s">
        <v>9</v>
      </c>
      <c r="E13" s="2" t="str">
        <f>"9782384764808"</f>
        <v>9782384764808</v>
      </c>
      <c r="F13" s="2" t="str">
        <f>"9782384764815"</f>
        <v>9782384764815</v>
      </c>
    </row>
    <row r="14" spans="1:12" s="3" customFormat="1" ht="29.1" customHeight="1" x14ac:dyDescent="0.25">
      <c r="A14" s="2" t="s">
        <v>41</v>
      </c>
      <c r="B14" s="2" t="s">
        <v>42</v>
      </c>
      <c r="C14" s="2" t="s">
        <v>5</v>
      </c>
      <c r="D14" s="2" t="s">
        <v>9</v>
      </c>
      <c r="E14" s="2" t="str">
        <f>"9782384764785"</f>
        <v>9782384764785</v>
      </c>
      <c r="F14" s="2" t="str">
        <f>"9782384764792"</f>
        <v>9782384764792</v>
      </c>
    </row>
    <row r="15" spans="1:12" s="3" customFormat="1" ht="29.1" customHeight="1" x14ac:dyDescent="0.25">
      <c r="A15" s="2" t="s">
        <v>43</v>
      </c>
      <c r="B15" s="2" t="s">
        <v>45</v>
      </c>
      <c r="C15" s="2" t="s">
        <v>5</v>
      </c>
      <c r="D15" s="2" t="s">
        <v>44</v>
      </c>
      <c r="E15" s="2" t="str">
        <f>"9789464638837"</f>
        <v>9789464638837</v>
      </c>
      <c r="F15" s="2" t="str">
        <f>"9789464638844"</f>
        <v>9789464638844</v>
      </c>
    </row>
    <row r="16" spans="1:12" s="3" customFormat="1" ht="29.1" customHeight="1" x14ac:dyDescent="0.25">
      <c r="A16" s="2" t="s">
        <v>46</v>
      </c>
      <c r="B16" s="2" t="s">
        <v>47</v>
      </c>
      <c r="C16" s="2" t="s">
        <v>5</v>
      </c>
      <c r="D16" s="2" t="s">
        <v>12</v>
      </c>
      <c r="E16" s="2" t="str">
        <f>"9789819689507"</f>
        <v>9789819689507</v>
      </c>
      <c r="F16" s="2" t="str">
        <f>"9789819689514"</f>
        <v>9789819689514</v>
      </c>
    </row>
    <row r="17" spans="1:6" s="3" customFormat="1" ht="29.1" customHeight="1" x14ac:dyDescent="0.25">
      <c r="A17" s="2" t="s">
        <v>48</v>
      </c>
      <c r="B17" s="2" t="s">
        <v>50</v>
      </c>
      <c r="C17" s="2" t="s">
        <v>5</v>
      </c>
      <c r="D17" s="2" t="s">
        <v>49</v>
      </c>
      <c r="E17" s="2" t="str">
        <f>"9789819527007"</f>
        <v>9789819527007</v>
      </c>
      <c r="F17" s="2" t="str">
        <f>"9789819527014"</f>
        <v>9789819527014</v>
      </c>
    </row>
    <row r="18" spans="1:6" s="3" customFormat="1" ht="29.1" customHeight="1" x14ac:dyDescent="0.25">
      <c r="A18" s="2" t="s">
        <v>51</v>
      </c>
      <c r="B18" s="2" t="s">
        <v>53</v>
      </c>
      <c r="C18" s="2" t="s">
        <v>5</v>
      </c>
      <c r="D18" s="2" t="s">
        <v>52</v>
      </c>
      <c r="E18" s="2" t="str">
        <f>"9783031994012"</f>
        <v>9783031994012</v>
      </c>
      <c r="F18" s="2" t="str">
        <f>"9783031994029"</f>
        <v>9783031994029</v>
      </c>
    </row>
    <row r="19" spans="1:6" s="3" customFormat="1" ht="29.1" customHeight="1" x14ac:dyDescent="0.25">
      <c r="A19" s="2" t="s">
        <v>54</v>
      </c>
      <c r="B19" s="2" t="s">
        <v>57</v>
      </c>
      <c r="C19" s="2" t="s">
        <v>55</v>
      </c>
      <c r="D19" s="2" t="s">
        <v>56</v>
      </c>
      <c r="E19" s="2" t="str">
        <f>"9781526189936"</f>
        <v>9781526189936</v>
      </c>
      <c r="F19" s="2" t="str">
        <f>"9781526189943"</f>
        <v>9781526189943</v>
      </c>
    </row>
    <row r="20" spans="1:6" s="3" customFormat="1" ht="29.1" customHeight="1" x14ac:dyDescent="0.25">
      <c r="A20" s="2" t="s">
        <v>58</v>
      </c>
      <c r="B20" s="2"/>
      <c r="C20" s="2" t="s">
        <v>59</v>
      </c>
      <c r="D20" s="2" t="s">
        <v>60</v>
      </c>
      <c r="E20" s="2"/>
      <c r="F20" s="2" t="str">
        <f>"9782759241033"</f>
        <v>9782759241033</v>
      </c>
    </row>
    <row r="21" spans="1:6" s="3" customFormat="1" ht="29.1" customHeight="1" x14ac:dyDescent="0.25">
      <c r="A21" s="2" t="s">
        <v>61</v>
      </c>
      <c r="B21" s="2" t="s">
        <v>64</v>
      </c>
      <c r="C21" s="2" t="s">
        <v>62</v>
      </c>
      <c r="D21" s="2" t="s">
        <v>63</v>
      </c>
      <c r="E21" s="2" t="str">
        <f>"9783428193325"</f>
        <v>9783428193325</v>
      </c>
      <c r="F21" s="2" t="str">
        <f>"9783428593323"</f>
        <v>9783428593323</v>
      </c>
    </row>
    <row r="22" spans="1:6" s="3" customFormat="1" ht="29.1" customHeight="1" x14ac:dyDescent="0.25">
      <c r="A22" s="2" t="s">
        <v>65</v>
      </c>
      <c r="B22" s="2" t="s">
        <v>67</v>
      </c>
      <c r="C22" s="2" t="s">
        <v>62</v>
      </c>
      <c r="D22" s="2" t="s">
        <v>66</v>
      </c>
      <c r="E22" s="2" t="str">
        <f>"9783428192830"</f>
        <v>9783428192830</v>
      </c>
      <c r="F22" s="2" t="str">
        <f>"9783428592838"</f>
        <v>9783428592838</v>
      </c>
    </row>
    <row r="23" spans="1:6" s="3" customFormat="1" ht="29.1" customHeight="1" x14ac:dyDescent="0.25">
      <c r="A23" s="2" t="s">
        <v>68</v>
      </c>
      <c r="B23" s="2" t="s">
        <v>70</v>
      </c>
      <c r="C23" s="2" t="s">
        <v>5</v>
      </c>
      <c r="D23" s="2" t="s">
        <v>69</v>
      </c>
      <c r="E23" s="2" t="str">
        <f>"9783031980633"</f>
        <v>9783031980633</v>
      </c>
      <c r="F23" s="2" t="str">
        <f>"9783031980640"</f>
        <v>9783031980640</v>
      </c>
    </row>
    <row r="24" spans="1:6" s="3" customFormat="1" ht="29.1" customHeight="1" x14ac:dyDescent="0.25">
      <c r="A24" s="2" t="s">
        <v>71</v>
      </c>
      <c r="B24" s="2" t="s">
        <v>73</v>
      </c>
      <c r="C24" s="2" t="s">
        <v>5</v>
      </c>
      <c r="D24" s="2" t="s">
        <v>72</v>
      </c>
      <c r="E24" s="2" t="str">
        <f>"9783032024312"</f>
        <v>9783032024312</v>
      </c>
      <c r="F24" s="2" t="str">
        <f>"9783032024329"</f>
        <v>9783032024329</v>
      </c>
    </row>
    <row r="25" spans="1:6" s="3" customFormat="1" ht="29.1" customHeight="1" x14ac:dyDescent="0.25">
      <c r="A25" s="2" t="s">
        <v>74</v>
      </c>
      <c r="B25" s="2" t="s">
        <v>76</v>
      </c>
      <c r="C25" s="2" t="s">
        <v>5</v>
      </c>
      <c r="D25" s="2" t="s">
        <v>75</v>
      </c>
      <c r="E25" s="2" t="str">
        <f>"9783032077264"</f>
        <v>9783032077264</v>
      </c>
      <c r="F25" s="2" t="str">
        <f>"9783032077271"</f>
        <v>9783032077271</v>
      </c>
    </row>
    <row r="26" spans="1:6" s="3" customFormat="1" ht="29.1" customHeight="1" x14ac:dyDescent="0.25">
      <c r="A26" s="2" t="s">
        <v>77</v>
      </c>
      <c r="B26" s="2" t="s">
        <v>79</v>
      </c>
      <c r="C26" s="2" t="s">
        <v>5</v>
      </c>
      <c r="D26" s="2" t="s">
        <v>78</v>
      </c>
      <c r="E26" s="2" t="str">
        <f>"9783032084415"</f>
        <v>9783032084415</v>
      </c>
      <c r="F26" s="2" t="str">
        <f>"9783032084422"</f>
        <v>9783032084422</v>
      </c>
    </row>
    <row r="27" spans="1:6" s="3" customFormat="1" ht="29.1" customHeight="1" x14ac:dyDescent="0.25">
      <c r="A27" s="2" t="s">
        <v>80</v>
      </c>
      <c r="B27" s="2" t="s">
        <v>82</v>
      </c>
      <c r="C27" s="2" t="s">
        <v>5</v>
      </c>
      <c r="D27" s="2" t="s">
        <v>81</v>
      </c>
      <c r="E27" s="2" t="str">
        <f>"9782384764907"</f>
        <v>9782384764907</v>
      </c>
      <c r="F27" s="2" t="str">
        <f>"9782384764914"</f>
        <v>9782384764914</v>
      </c>
    </row>
    <row r="28" spans="1:6" s="3" customFormat="1" ht="29.1" customHeight="1" x14ac:dyDescent="0.25">
      <c r="A28" s="2" t="s">
        <v>83</v>
      </c>
      <c r="B28" s="2" t="s">
        <v>84</v>
      </c>
      <c r="C28" s="2" t="s">
        <v>5</v>
      </c>
      <c r="D28" s="2" t="s">
        <v>9</v>
      </c>
      <c r="E28" s="2" t="str">
        <f>"9783031997129"</f>
        <v>9783031997129</v>
      </c>
      <c r="F28" s="2" t="str">
        <f>"9783031997136"</f>
        <v>9783031997136</v>
      </c>
    </row>
    <row r="29" spans="1:6" s="3" customFormat="1" ht="29.1" customHeight="1" x14ac:dyDescent="0.25">
      <c r="A29" s="2" t="s">
        <v>85</v>
      </c>
      <c r="B29" s="2" t="s">
        <v>87</v>
      </c>
      <c r="C29" s="2" t="s">
        <v>5</v>
      </c>
      <c r="D29" s="2" t="s">
        <v>86</v>
      </c>
      <c r="E29" s="2" t="str">
        <f>"9783031969058"</f>
        <v>9783031969058</v>
      </c>
      <c r="F29" s="2" t="str">
        <f>"9783031969065"</f>
        <v>9783031969065</v>
      </c>
    </row>
    <row r="30" spans="1:6" s="3" customFormat="1" ht="29.1" customHeight="1" x14ac:dyDescent="0.25">
      <c r="A30" s="2" t="s">
        <v>88</v>
      </c>
      <c r="B30" s="2" t="s">
        <v>90</v>
      </c>
      <c r="C30" s="2" t="s">
        <v>5</v>
      </c>
      <c r="D30" s="2" t="s">
        <v>89</v>
      </c>
      <c r="E30" s="2" t="str">
        <f>"9783031950742"</f>
        <v>9783031950742</v>
      </c>
      <c r="F30" s="2" t="str">
        <f>"9783031950759"</f>
        <v>9783031950759</v>
      </c>
    </row>
    <row r="31" spans="1:6" s="3" customFormat="1" ht="29.1" customHeight="1" x14ac:dyDescent="0.25">
      <c r="A31" s="2" t="s">
        <v>91</v>
      </c>
      <c r="B31" s="2" t="s">
        <v>93</v>
      </c>
      <c r="C31" s="2" t="s">
        <v>5</v>
      </c>
      <c r="D31" s="2" t="s">
        <v>92</v>
      </c>
      <c r="E31" s="2" t="str">
        <f>"9783032018960"</f>
        <v>9783032018960</v>
      </c>
      <c r="F31" s="2" t="str">
        <f>"9783032018977"</f>
        <v>9783032018977</v>
      </c>
    </row>
    <row r="32" spans="1:6" s="3" customFormat="1" ht="29.1" customHeight="1" x14ac:dyDescent="0.25">
      <c r="A32" s="2" t="s">
        <v>94</v>
      </c>
      <c r="B32" s="2" t="s">
        <v>96</v>
      </c>
      <c r="C32" s="2" t="s">
        <v>5</v>
      </c>
      <c r="D32" s="2" t="s">
        <v>95</v>
      </c>
      <c r="E32" s="2" t="str">
        <f>"9783658496548"</f>
        <v>9783658496548</v>
      </c>
      <c r="F32" s="2" t="str">
        <f>"9783658496555"</f>
        <v>9783658496555</v>
      </c>
    </row>
    <row r="33" spans="1:6" s="3" customFormat="1" ht="29.1" customHeight="1" x14ac:dyDescent="0.25">
      <c r="A33" s="2" t="s">
        <v>97</v>
      </c>
      <c r="B33" s="2" t="s">
        <v>99</v>
      </c>
      <c r="C33" s="2" t="s">
        <v>5</v>
      </c>
      <c r="D33" s="2" t="s">
        <v>98</v>
      </c>
      <c r="E33" s="2" t="str">
        <f>"9789464638974"</f>
        <v>9789464638974</v>
      </c>
      <c r="F33" s="2" t="str">
        <f>"9789464638981"</f>
        <v>9789464638981</v>
      </c>
    </row>
    <row r="34" spans="1:6" s="3" customFormat="1" ht="29.1" customHeight="1" x14ac:dyDescent="0.25">
      <c r="A34" s="2" t="s">
        <v>100</v>
      </c>
      <c r="B34" s="2" t="s">
        <v>102</v>
      </c>
      <c r="C34" s="2" t="s">
        <v>5</v>
      </c>
      <c r="D34" s="2" t="s">
        <v>101</v>
      </c>
      <c r="E34" s="2" t="str">
        <f>"9789464638899"</f>
        <v>9789464638899</v>
      </c>
      <c r="F34" s="2" t="str">
        <f>"9789464638905"</f>
        <v>9789464638905</v>
      </c>
    </row>
    <row r="35" spans="1:6" s="3" customFormat="1" ht="29.1" customHeight="1" x14ac:dyDescent="0.25">
      <c r="A35" s="2" t="s">
        <v>103</v>
      </c>
      <c r="B35" s="2" t="s">
        <v>105</v>
      </c>
      <c r="C35" s="2" t="s">
        <v>5</v>
      </c>
      <c r="D35" s="2" t="s">
        <v>104</v>
      </c>
      <c r="E35" s="2" t="str">
        <f>"9783658492748"</f>
        <v>9783658492748</v>
      </c>
      <c r="F35" s="2" t="str">
        <f>"9783658492755"</f>
        <v>9783658492755</v>
      </c>
    </row>
    <row r="36" spans="1:6" s="3" customFormat="1" ht="29.1" customHeight="1" x14ac:dyDescent="0.25">
      <c r="A36" s="2" t="s">
        <v>106</v>
      </c>
      <c r="B36" s="2" t="s">
        <v>108</v>
      </c>
      <c r="C36" s="2" t="s">
        <v>29</v>
      </c>
      <c r="D36" s="2" t="s">
        <v>107</v>
      </c>
      <c r="E36" s="2" t="str">
        <f>"9789004734210"</f>
        <v>9789004734210</v>
      </c>
      <c r="F36" s="2" t="str">
        <f>"9789004734227"</f>
        <v>9789004734227</v>
      </c>
    </row>
    <row r="37" spans="1:6" s="3" customFormat="1" ht="29.1" customHeight="1" x14ac:dyDescent="0.25">
      <c r="A37" s="2" t="s">
        <v>109</v>
      </c>
      <c r="B37" s="2" t="s">
        <v>111</v>
      </c>
      <c r="C37" s="2" t="s">
        <v>20</v>
      </c>
      <c r="D37" s="2" t="s">
        <v>110</v>
      </c>
      <c r="E37" s="2" t="str">
        <f>"9783763977383"</f>
        <v>9783763977383</v>
      </c>
      <c r="F37" s="2" t="str">
        <f>"9783763977390"</f>
        <v>9783763977390</v>
      </c>
    </row>
    <row r="38" spans="1:6" s="3" customFormat="1" ht="29.1" customHeight="1" x14ac:dyDescent="0.25">
      <c r="A38" s="2" t="s">
        <v>112</v>
      </c>
      <c r="B38" s="2" t="s">
        <v>114</v>
      </c>
      <c r="C38" s="2" t="s">
        <v>5</v>
      </c>
      <c r="D38" s="2" t="s">
        <v>113</v>
      </c>
      <c r="E38" s="2" t="str">
        <f>"9783032021991"</f>
        <v>9783032021991</v>
      </c>
      <c r="F38" s="2" t="str">
        <f>"9783032022004"</f>
        <v>9783032022004</v>
      </c>
    </row>
    <row r="39" spans="1:6" s="3" customFormat="1" ht="29.1" customHeight="1" x14ac:dyDescent="0.25">
      <c r="A39" s="2" t="s">
        <v>115</v>
      </c>
      <c r="B39" s="2" t="s">
        <v>116</v>
      </c>
      <c r="C39" s="2" t="s">
        <v>5</v>
      </c>
      <c r="D39" s="2" t="s">
        <v>92</v>
      </c>
      <c r="E39" s="2" t="str">
        <f>"9783658482954"</f>
        <v>9783658482954</v>
      </c>
      <c r="F39" s="2" t="str">
        <f>"9783658482961"</f>
        <v>9783658482961</v>
      </c>
    </row>
    <row r="40" spans="1:6" s="3" customFormat="1" ht="29.1" customHeight="1" x14ac:dyDescent="0.25">
      <c r="A40" s="2" t="s">
        <v>117</v>
      </c>
      <c r="B40" s="2" t="s">
        <v>119</v>
      </c>
      <c r="C40" s="2" t="s">
        <v>29</v>
      </c>
      <c r="D40" s="2" t="s">
        <v>118</v>
      </c>
      <c r="E40" s="2" t="str">
        <f>"9789004751217"</f>
        <v>9789004751217</v>
      </c>
      <c r="F40" s="2" t="str">
        <f>"9789004751262"</f>
        <v>9789004751262</v>
      </c>
    </row>
    <row r="41" spans="1:6" s="3" customFormat="1" ht="29.1" customHeight="1" x14ac:dyDescent="0.25">
      <c r="A41" s="2" t="s">
        <v>120</v>
      </c>
      <c r="B41" s="2" t="s">
        <v>122</v>
      </c>
      <c r="C41" s="2" t="s">
        <v>29</v>
      </c>
      <c r="D41" s="2" t="s">
        <v>121</v>
      </c>
      <c r="E41" s="2" t="str">
        <f>"9789004746817"</f>
        <v>9789004746817</v>
      </c>
      <c r="F41" s="2" t="str">
        <f>"9789004746930"</f>
        <v>9789004746930</v>
      </c>
    </row>
    <row r="42" spans="1:6" s="3" customFormat="1" ht="29.1" customHeight="1" x14ac:dyDescent="0.25">
      <c r="A42" s="2" t="s">
        <v>123</v>
      </c>
      <c r="B42" s="2" t="s">
        <v>126</v>
      </c>
      <c r="C42" s="2" t="s">
        <v>124</v>
      </c>
      <c r="D42" s="2" t="s">
        <v>125</v>
      </c>
      <c r="E42" s="2" t="str">
        <f>"9781032746746"</f>
        <v>9781032746746</v>
      </c>
      <c r="F42" s="2" t="str">
        <f>"9781003470366"</f>
        <v>9781003470366</v>
      </c>
    </row>
    <row r="43" spans="1:6" s="3" customFormat="1" ht="29.1" customHeight="1" x14ac:dyDescent="0.25">
      <c r="A43" s="2" t="s">
        <v>127</v>
      </c>
      <c r="B43" s="2" t="s">
        <v>129</v>
      </c>
      <c r="C43" s="2" t="s">
        <v>124</v>
      </c>
      <c r="D43" s="2" t="s">
        <v>128</v>
      </c>
      <c r="E43" s="2" t="str">
        <f>"9781032509419"</f>
        <v>9781032509419</v>
      </c>
      <c r="F43" s="2" t="str">
        <f>"9781003400370"</f>
        <v>9781003400370</v>
      </c>
    </row>
    <row r="44" spans="1:6" s="3" customFormat="1" ht="29.1" customHeight="1" x14ac:dyDescent="0.25">
      <c r="A44" s="2" t="s">
        <v>130</v>
      </c>
      <c r="B44" s="2" t="s">
        <v>133</v>
      </c>
      <c r="C44" s="2" t="s">
        <v>131</v>
      </c>
      <c r="D44" s="2" t="s">
        <v>132</v>
      </c>
      <c r="E44" s="2" t="str">
        <f>"9789027231505"</f>
        <v>9789027231505</v>
      </c>
      <c r="F44" s="2" t="str">
        <f>"9789027244307"</f>
        <v>9789027244307</v>
      </c>
    </row>
    <row r="45" spans="1:6" s="3" customFormat="1" ht="29.1" customHeight="1" x14ac:dyDescent="0.25">
      <c r="A45" s="2" t="s">
        <v>134</v>
      </c>
      <c r="B45" s="2" t="s">
        <v>136</v>
      </c>
      <c r="C45" s="2" t="s">
        <v>20</v>
      </c>
      <c r="D45" s="2" t="s">
        <v>135</v>
      </c>
      <c r="E45" s="2"/>
      <c r="F45" s="2" t="str">
        <f>"9783763979578"</f>
        <v>9783763979578</v>
      </c>
    </row>
    <row r="46" spans="1:6" s="3" customFormat="1" ht="29.1" customHeight="1" x14ac:dyDescent="0.25">
      <c r="A46" s="2" t="s">
        <v>137</v>
      </c>
      <c r="B46" s="2" t="s">
        <v>139</v>
      </c>
      <c r="C46" s="2" t="s">
        <v>124</v>
      </c>
      <c r="D46" s="2" t="s">
        <v>138</v>
      </c>
      <c r="E46" s="2" t="str">
        <f>"9781032995649"</f>
        <v>9781032995649</v>
      </c>
      <c r="F46" s="2" t="str">
        <f>"9781003604846"</f>
        <v>9781003604846</v>
      </c>
    </row>
    <row r="47" spans="1:6" s="3" customFormat="1" ht="29.1" customHeight="1" x14ac:dyDescent="0.25">
      <c r="A47" s="2" t="s">
        <v>140</v>
      </c>
      <c r="B47" s="2" t="s">
        <v>142</v>
      </c>
      <c r="C47" s="2" t="s">
        <v>5</v>
      </c>
      <c r="D47" s="2" t="s">
        <v>141</v>
      </c>
      <c r="E47" s="2" t="str">
        <f>"9789464638813"</f>
        <v>9789464638813</v>
      </c>
      <c r="F47" s="2" t="str">
        <f>"9789464638820"</f>
        <v>9789464638820</v>
      </c>
    </row>
    <row r="48" spans="1:6" s="3" customFormat="1" ht="29.1" customHeight="1" x14ac:dyDescent="0.25">
      <c r="A48" s="2" t="s">
        <v>143</v>
      </c>
      <c r="B48" s="2" t="s">
        <v>145</v>
      </c>
      <c r="C48" s="2" t="s">
        <v>5</v>
      </c>
      <c r="D48" s="2" t="s">
        <v>144</v>
      </c>
      <c r="E48" s="2" t="str">
        <f>"9783032095541"</f>
        <v>9783032095541</v>
      </c>
      <c r="F48" s="2" t="str">
        <f>"9783032095558"</f>
        <v>9783032095558</v>
      </c>
    </row>
    <row r="49" spans="1:6" s="3" customFormat="1" ht="29.1" customHeight="1" x14ac:dyDescent="0.25">
      <c r="A49" s="2" t="s">
        <v>146</v>
      </c>
      <c r="B49" s="2" t="s">
        <v>147</v>
      </c>
      <c r="C49" s="2" t="s">
        <v>5</v>
      </c>
      <c r="D49" s="2" t="s">
        <v>52</v>
      </c>
      <c r="E49" s="2" t="str">
        <f>"9783032111074"</f>
        <v>9783032111074</v>
      </c>
      <c r="F49" s="2" t="str">
        <f>"9783032111081"</f>
        <v>9783032111081</v>
      </c>
    </row>
    <row r="50" spans="1:6" s="3" customFormat="1" ht="29.1" customHeight="1" x14ac:dyDescent="0.25">
      <c r="A50" s="2" t="s">
        <v>148</v>
      </c>
      <c r="B50" s="2" t="s">
        <v>151</v>
      </c>
      <c r="C50" s="2" t="s">
        <v>149</v>
      </c>
      <c r="D50" s="2" t="s">
        <v>150</v>
      </c>
      <c r="E50" s="2" t="str">
        <f>"9781805117407"</f>
        <v>9781805117407</v>
      </c>
      <c r="F50" s="2" t="str">
        <f>"9781805117421"</f>
        <v>9781805117421</v>
      </c>
    </row>
    <row r="51" spans="1:6" s="3" customFormat="1" ht="29.1" customHeight="1" x14ac:dyDescent="0.25">
      <c r="A51" s="2" t="s">
        <v>152</v>
      </c>
      <c r="B51" s="2" t="s">
        <v>154</v>
      </c>
      <c r="C51" s="2" t="s">
        <v>149</v>
      </c>
      <c r="D51" s="2" t="s">
        <v>153</v>
      </c>
      <c r="E51" s="2" t="str">
        <f>"9781805116912"</f>
        <v>9781805116912</v>
      </c>
      <c r="F51" s="2" t="str">
        <f>"9781805116936"</f>
        <v>9781805116936</v>
      </c>
    </row>
    <row r="52" spans="1:6" s="3" customFormat="1" ht="29.1" customHeight="1" x14ac:dyDescent="0.25">
      <c r="A52" s="2" t="s">
        <v>155</v>
      </c>
      <c r="B52" s="2" t="s">
        <v>157</v>
      </c>
      <c r="C52" s="2" t="s">
        <v>149</v>
      </c>
      <c r="D52" s="2" t="s">
        <v>156</v>
      </c>
      <c r="E52" s="2" t="str">
        <f>"9781805115663"</f>
        <v>9781805115663</v>
      </c>
      <c r="F52" s="2" t="str">
        <f>"9781805115687"</f>
        <v>9781805115687</v>
      </c>
    </row>
    <row r="53" spans="1:6" s="3" customFormat="1" ht="29.1" customHeight="1" x14ac:dyDescent="0.25">
      <c r="A53" s="2" t="s">
        <v>158</v>
      </c>
      <c r="B53" s="2" t="s">
        <v>160</v>
      </c>
      <c r="C53" s="2" t="s">
        <v>149</v>
      </c>
      <c r="D53" s="2" t="s">
        <v>159</v>
      </c>
      <c r="E53" s="2" t="str">
        <f>"9782800419268"</f>
        <v>9782800419268</v>
      </c>
      <c r="F53" s="2" t="str">
        <f>"9782800419275"</f>
        <v>9782800419275</v>
      </c>
    </row>
    <row r="54" spans="1:6" s="3" customFormat="1" ht="29.1" customHeight="1" x14ac:dyDescent="0.25">
      <c r="A54" s="2" t="s">
        <v>161</v>
      </c>
      <c r="B54" s="2" t="s">
        <v>163</v>
      </c>
      <c r="C54" s="2" t="s">
        <v>149</v>
      </c>
      <c r="D54" s="2" t="s">
        <v>162</v>
      </c>
      <c r="E54" s="2" t="str">
        <f>"9781805114147"</f>
        <v>9781805114147</v>
      </c>
      <c r="F54" s="2" t="str">
        <f>"9781805114161"</f>
        <v>9781805114161</v>
      </c>
    </row>
    <row r="55" spans="1:6" s="3" customFormat="1" ht="29.1" customHeight="1" x14ac:dyDescent="0.25">
      <c r="A55" s="2" t="s">
        <v>164</v>
      </c>
      <c r="B55" s="2" t="s">
        <v>166</v>
      </c>
      <c r="C55" s="2" t="s">
        <v>5</v>
      </c>
      <c r="D55" s="2" t="s">
        <v>165</v>
      </c>
      <c r="E55" s="2" t="str">
        <f>"9783031996719"</f>
        <v>9783031996719</v>
      </c>
      <c r="F55" s="2" t="str">
        <f>"9783031996726"</f>
        <v>9783031996726</v>
      </c>
    </row>
    <row r="56" spans="1:6" s="3" customFormat="1" ht="29.1" customHeight="1" x14ac:dyDescent="0.25">
      <c r="A56" s="2" t="s">
        <v>167</v>
      </c>
      <c r="B56" s="2" t="s">
        <v>169</v>
      </c>
      <c r="C56" s="2" t="s">
        <v>5</v>
      </c>
      <c r="D56" s="2" t="s">
        <v>168</v>
      </c>
      <c r="E56" s="2" t="str">
        <f>"9783032055682"</f>
        <v>9783032055682</v>
      </c>
      <c r="F56" s="2" t="str">
        <f>"9783032055699"</f>
        <v>9783032055699</v>
      </c>
    </row>
    <row r="57" spans="1:6" s="3" customFormat="1" ht="29.1" customHeight="1" x14ac:dyDescent="0.25">
      <c r="A57" s="2" t="s">
        <v>170</v>
      </c>
      <c r="B57" s="2" t="s">
        <v>171</v>
      </c>
      <c r="C57" s="2" t="s">
        <v>5</v>
      </c>
      <c r="D57" s="2" t="s">
        <v>9</v>
      </c>
      <c r="E57" s="2" t="str">
        <f>"9782384764747"</f>
        <v>9782384764747</v>
      </c>
      <c r="F57" s="2" t="str">
        <f>"9782384764754"</f>
        <v>9782384764754</v>
      </c>
    </row>
    <row r="58" spans="1:6" s="3" customFormat="1" ht="29.1" customHeight="1" x14ac:dyDescent="0.25">
      <c r="A58" s="2" t="s">
        <v>172</v>
      </c>
      <c r="B58" s="2" t="s">
        <v>173</v>
      </c>
      <c r="C58" s="2" t="s">
        <v>5</v>
      </c>
      <c r="D58" s="2" t="s">
        <v>24</v>
      </c>
      <c r="E58" s="2" t="str">
        <f>"9783032037428"</f>
        <v>9783032037428</v>
      </c>
      <c r="F58" s="2" t="str">
        <f>"9783032037435"</f>
        <v>9783032037435</v>
      </c>
    </row>
    <row r="59" spans="1:6" s="3" customFormat="1" ht="29.1" customHeight="1" x14ac:dyDescent="0.25">
      <c r="A59" s="2" t="s">
        <v>174</v>
      </c>
      <c r="B59" s="2" t="s">
        <v>176</v>
      </c>
      <c r="C59" s="2" t="s">
        <v>131</v>
      </c>
      <c r="D59" s="2" t="s">
        <v>175</v>
      </c>
      <c r="E59" s="2" t="str">
        <f>"9789027228307"</f>
        <v>9789027228307</v>
      </c>
      <c r="F59" s="2" t="str">
        <f>"9789027244499"</f>
        <v>9789027244499</v>
      </c>
    </row>
    <row r="60" spans="1:6" s="3" customFormat="1" ht="29.1" customHeight="1" x14ac:dyDescent="0.25">
      <c r="A60" s="2" t="s">
        <v>177</v>
      </c>
      <c r="B60" s="2" t="s">
        <v>179</v>
      </c>
      <c r="C60" s="2" t="s">
        <v>62</v>
      </c>
      <c r="D60" s="2" t="s">
        <v>178</v>
      </c>
      <c r="E60" s="2" t="str">
        <f>"9783428196340"</f>
        <v>9783428196340</v>
      </c>
      <c r="F60" s="2" t="str">
        <f>"9783428596348"</f>
        <v>9783428596348</v>
      </c>
    </row>
    <row r="61" spans="1:6" s="3" customFormat="1" ht="29.1" customHeight="1" x14ac:dyDescent="0.25">
      <c r="A61" s="2" t="s">
        <v>180</v>
      </c>
      <c r="B61" s="2" t="s">
        <v>181</v>
      </c>
      <c r="C61" s="2" t="s">
        <v>5</v>
      </c>
      <c r="D61" s="2" t="s">
        <v>9</v>
      </c>
      <c r="E61" s="2" t="str">
        <f>"9782384764860"</f>
        <v>9782384764860</v>
      </c>
      <c r="F61" s="2" t="str">
        <f>"9782384764877"</f>
        <v>9782384764877</v>
      </c>
    </row>
    <row r="62" spans="1:6" s="3" customFormat="1" ht="29.1" customHeight="1" x14ac:dyDescent="0.25">
      <c r="A62" s="2" t="s">
        <v>182</v>
      </c>
      <c r="B62" s="2" t="s">
        <v>184</v>
      </c>
      <c r="C62" s="2" t="s">
        <v>5</v>
      </c>
      <c r="D62" s="2" t="s">
        <v>183</v>
      </c>
      <c r="E62" s="2" t="str">
        <f>"9782384764761"</f>
        <v>9782384764761</v>
      </c>
      <c r="F62" s="2" t="str">
        <f>"9782384764778"</f>
        <v>9782384764778</v>
      </c>
    </row>
    <row r="63" spans="1:6" s="3" customFormat="1" ht="29.1" customHeight="1" x14ac:dyDescent="0.25">
      <c r="A63" s="2" t="s">
        <v>185</v>
      </c>
      <c r="B63" s="2" t="s">
        <v>187</v>
      </c>
      <c r="C63" s="2" t="s">
        <v>5</v>
      </c>
      <c r="D63" s="2" t="s">
        <v>186</v>
      </c>
      <c r="E63" s="2" t="str">
        <f>"9789464638936"</f>
        <v>9789464638936</v>
      </c>
      <c r="F63" s="2" t="str">
        <f>"9789464638943"</f>
        <v>9789464638943</v>
      </c>
    </row>
    <row r="64" spans="1:6" s="3" customFormat="1" ht="29.1" customHeight="1" x14ac:dyDescent="0.25">
      <c r="A64" s="2" t="s">
        <v>188</v>
      </c>
      <c r="B64" s="2" t="s">
        <v>190</v>
      </c>
      <c r="C64" s="2" t="s">
        <v>5</v>
      </c>
      <c r="D64" s="2" t="s">
        <v>189</v>
      </c>
      <c r="E64" s="2" t="str">
        <f>"9783031992858"</f>
        <v>9783031992858</v>
      </c>
      <c r="F64" s="2" t="str">
        <f>"9783031992865"</f>
        <v>9783031992865</v>
      </c>
    </row>
    <row r="65" spans="1:6" s="3" customFormat="1" ht="29.1" customHeight="1" x14ac:dyDescent="0.25">
      <c r="A65" s="2" t="s">
        <v>191</v>
      </c>
      <c r="B65" s="2" t="s">
        <v>193</v>
      </c>
      <c r="C65" s="2" t="s">
        <v>5</v>
      </c>
      <c r="D65" s="2" t="s">
        <v>192</v>
      </c>
      <c r="E65" s="2" t="str">
        <f>"9783032020130"</f>
        <v>9783032020130</v>
      </c>
      <c r="F65" s="2" t="str">
        <f>"9783032020147"</f>
        <v>9783032020147</v>
      </c>
    </row>
    <row r="66" spans="1:6" s="3" customFormat="1" ht="29.1" customHeight="1" x14ac:dyDescent="0.25">
      <c r="A66" s="2" t="s">
        <v>194</v>
      </c>
      <c r="B66" s="2" t="s">
        <v>197</v>
      </c>
      <c r="C66" s="2" t="s">
        <v>195</v>
      </c>
      <c r="D66" s="2" t="s">
        <v>196</v>
      </c>
      <c r="E66" s="2" t="str">
        <f>"9783111631400"</f>
        <v>9783111631400</v>
      </c>
      <c r="F66" s="2" t="str">
        <f>"9783111632056"</f>
        <v>9783111632056</v>
      </c>
    </row>
    <row r="67" spans="1:6" s="3" customFormat="1" ht="29.1" customHeight="1" x14ac:dyDescent="0.25">
      <c r="A67" s="2" t="s">
        <v>198</v>
      </c>
      <c r="B67" s="2" t="s">
        <v>200</v>
      </c>
      <c r="C67" s="2" t="s">
        <v>195</v>
      </c>
      <c r="D67" s="2" t="s">
        <v>199</v>
      </c>
      <c r="E67" s="2" t="str">
        <f>"9783119145121"</f>
        <v>9783119145121</v>
      </c>
      <c r="F67" s="2" t="str">
        <f>"9783112215685"</f>
        <v>9783112215685</v>
      </c>
    </row>
    <row r="68" spans="1:6" s="3" customFormat="1" ht="29.1" customHeight="1" x14ac:dyDescent="0.25">
      <c r="A68" s="2" t="s">
        <v>201</v>
      </c>
      <c r="B68" s="2" t="s">
        <v>203</v>
      </c>
      <c r="C68" s="2" t="s">
        <v>195</v>
      </c>
      <c r="D68" s="2" t="s">
        <v>202</v>
      </c>
      <c r="E68" s="2" t="str">
        <f>"9783111704425"</f>
        <v>9783111704425</v>
      </c>
      <c r="F68" s="2" t="str">
        <f>"9783111706191"</f>
        <v>9783111706191</v>
      </c>
    </row>
    <row r="69" spans="1:6" s="3" customFormat="1" ht="29.1" customHeight="1" x14ac:dyDescent="0.25">
      <c r="A69" s="2" t="s">
        <v>204</v>
      </c>
      <c r="B69" s="2" t="s">
        <v>205</v>
      </c>
      <c r="C69" s="2" t="s">
        <v>195</v>
      </c>
      <c r="D69" s="2" t="s">
        <v>33</v>
      </c>
      <c r="E69" s="2" t="str">
        <f>"9783119144988"</f>
        <v>9783119144988</v>
      </c>
      <c r="F69" s="2" t="str">
        <f>"9783112215692"</f>
        <v>9783112215692</v>
      </c>
    </row>
    <row r="70" spans="1:6" s="3" customFormat="1" ht="29.1" customHeight="1" x14ac:dyDescent="0.25">
      <c r="A70" s="2" t="s">
        <v>206</v>
      </c>
      <c r="B70" s="2" t="s">
        <v>208</v>
      </c>
      <c r="C70" s="2" t="s">
        <v>195</v>
      </c>
      <c r="D70" s="2" t="s">
        <v>207</v>
      </c>
      <c r="E70" s="2" t="str">
        <f>"9783111575162"</f>
        <v>9783111575162</v>
      </c>
      <c r="F70" s="2" t="str">
        <f>"9783111575490"</f>
        <v>9783111575490</v>
      </c>
    </row>
    <row r="71" spans="1:6" s="3" customFormat="1" ht="29.1" customHeight="1" x14ac:dyDescent="0.25">
      <c r="A71" s="2" t="s">
        <v>209</v>
      </c>
      <c r="B71" s="2" t="s">
        <v>211</v>
      </c>
      <c r="C71" s="2" t="s">
        <v>195</v>
      </c>
      <c r="D71" s="2" t="s">
        <v>210</v>
      </c>
      <c r="E71" s="2" t="str">
        <f>"9783119145688"</f>
        <v>9783119145688</v>
      </c>
      <c r="F71" s="2" t="str">
        <f>"9783112213278"</f>
        <v>9783112213278</v>
      </c>
    </row>
    <row r="72" spans="1:6" s="3" customFormat="1" ht="29.1" customHeight="1" x14ac:dyDescent="0.25">
      <c r="A72" s="2" t="s">
        <v>212</v>
      </c>
      <c r="B72" s="2" t="s">
        <v>213</v>
      </c>
      <c r="C72" s="2" t="s">
        <v>195</v>
      </c>
      <c r="D72" s="2" t="s">
        <v>210</v>
      </c>
      <c r="E72" s="2" t="str">
        <f>"9783111346427"</f>
        <v>9783111346427</v>
      </c>
      <c r="F72" s="2" t="str">
        <f>"9783111494616"</f>
        <v>9783111494616</v>
      </c>
    </row>
    <row r="73" spans="1:6" s="3" customFormat="1" ht="29.1" customHeight="1" x14ac:dyDescent="0.25">
      <c r="A73" s="2" t="s">
        <v>214</v>
      </c>
      <c r="B73" s="2" t="s">
        <v>216</v>
      </c>
      <c r="C73" s="2" t="s">
        <v>195</v>
      </c>
      <c r="D73" s="2" t="s">
        <v>215</v>
      </c>
      <c r="E73" s="2" t="str">
        <f>"9783111694061"</f>
        <v>9783111694061</v>
      </c>
      <c r="F73" s="2" t="str">
        <f>"9783111704548"</f>
        <v>9783111704548</v>
      </c>
    </row>
    <row r="74" spans="1:6" s="3" customFormat="1" ht="29.1" customHeight="1" x14ac:dyDescent="0.25">
      <c r="A74" s="2" t="s">
        <v>217</v>
      </c>
      <c r="B74" s="2" t="s">
        <v>219</v>
      </c>
      <c r="C74" s="2" t="s">
        <v>195</v>
      </c>
      <c r="D74" s="2" t="s">
        <v>218</v>
      </c>
      <c r="E74" s="2" t="str">
        <f>"9783111136486"</f>
        <v>9783111136486</v>
      </c>
      <c r="F74" s="2" t="str">
        <f>"9783111137162"</f>
        <v>9783111137162</v>
      </c>
    </row>
    <row r="75" spans="1:6" s="3" customFormat="1" ht="29.1" customHeight="1" x14ac:dyDescent="0.25">
      <c r="A75" s="2" t="s">
        <v>220</v>
      </c>
      <c r="B75" s="2" t="s">
        <v>222</v>
      </c>
      <c r="C75" s="2" t="s">
        <v>195</v>
      </c>
      <c r="D75" s="2" t="s">
        <v>221</v>
      </c>
      <c r="E75" s="2" t="str">
        <f>"9783119145961"</f>
        <v>9783119145961</v>
      </c>
      <c r="F75" s="2" t="str">
        <f>"9783112212011"</f>
        <v>9783112212011</v>
      </c>
    </row>
    <row r="76" spans="1:6" s="3" customFormat="1" ht="29.1" customHeight="1" x14ac:dyDescent="0.25">
      <c r="A76" s="2" t="s">
        <v>223</v>
      </c>
      <c r="B76" s="2" t="s">
        <v>224</v>
      </c>
      <c r="C76" s="2" t="s">
        <v>195</v>
      </c>
      <c r="D76" s="2" t="s">
        <v>210</v>
      </c>
      <c r="E76" s="2" t="str">
        <f>"9783111625058"</f>
        <v>9783111625058</v>
      </c>
      <c r="F76" s="2" t="str">
        <f>"9783111662916"</f>
        <v>9783111662916</v>
      </c>
    </row>
    <row r="77" spans="1:6" s="3" customFormat="1" ht="29.1" customHeight="1" x14ac:dyDescent="0.25">
      <c r="A77" s="2" t="s">
        <v>225</v>
      </c>
      <c r="B77" s="2" t="s">
        <v>226</v>
      </c>
      <c r="C77" s="2" t="s">
        <v>195</v>
      </c>
      <c r="D77" s="2" t="s">
        <v>33</v>
      </c>
      <c r="E77" s="2" t="str">
        <f>"9783111655475"</f>
        <v>9783111655475</v>
      </c>
      <c r="F77" s="2" t="str">
        <f>"9783111656014"</f>
        <v>9783111656014</v>
      </c>
    </row>
    <row r="78" spans="1:6" s="3" customFormat="1" ht="29.1" customHeight="1" x14ac:dyDescent="0.25">
      <c r="A78" s="2" t="s">
        <v>227</v>
      </c>
      <c r="B78" s="2" t="s">
        <v>228</v>
      </c>
      <c r="C78" s="2" t="s">
        <v>195</v>
      </c>
      <c r="D78" s="2" t="s">
        <v>33</v>
      </c>
      <c r="E78" s="2" t="str">
        <f>"9783111623177"</f>
        <v>9783111623177</v>
      </c>
      <c r="F78" s="2" t="str">
        <f>"9783111623214"</f>
        <v>9783111623214</v>
      </c>
    </row>
    <row r="79" spans="1:6" s="3" customFormat="1" ht="29.1" customHeight="1" x14ac:dyDescent="0.25">
      <c r="A79" s="2" t="s">
        <v>229</v>
      </c>
      <c r="B79" s="2" t="s">
        <v>230</v>
      </c>
      <c r="C79" s="2" t="s">
        <v>195</v>
      </c>
      <c r="D79" s="2" t="s">
        <v>118</v>
      </c>
      <c r="E79" s="2" t="str">
        <f>"9783111179889"</f>
        <v>9783111179889</v>
      </c>
      <c r="F79" s="2" t="str">
        <f>"9783111181936"</f>
        <v>9783111181936</v>
      </c>
    </row>
    <row r="80" spans="1:6" s="3" customFormat="1" ht="29.1" customHeight="1" x14ac:dyDescent="0.25">
      <c r="A80" s="2" t="s">
        <v>231</v>
      </c>
      <c r="B80" s="2" t="s">
        <v>233</v>
      </c>
      <c r="C80" s="2" t="s">
        <v>5</v>
      </c>
      <c r="D80" s="2" t="s">
        <v>232</v>
      </c>
      <c r="E80" s="2" t="str">
        <f>"9783031972386"</f>
        <v>9783031972386</v>
      </c>
      <c r="F80" s="2" t="str">
        <f>"9783031972393"</f>
        <v>9783031972393</v>
      </c>
    </row>
    <row r="81" spans="1:6" s="3" customFormat="1" ht="29.1" customHeight="1" x14ac:dyDescent="0.25">
      <c r="A81" s="2" t="s">
        <v>234</v>
      </c>
      <c r="B81" s="2" t="s">
        <v>235</v>
      </c>
      <c r="C81" s="2" t="s">
        <v>20</v>
      </c>
      <c r="D81" s="2" t="s">
        <v>9</v>
      </c>
      <c r="E81" s="2" t="str">
        <f>"9783763972395"</f>
        <v>9783763972395</v>
      </c>
      <c r="F81" s="2" t="str">
        <f>"9783763973743"</f>
        <v>9783763973743</v>
      </c>
    </row>
    <row r="82" spans="1:6" s="3" customFormat="1" ht="29.1" customHeight="1" x14ac:dyDescent="0.25">
      <c r="A82" s="2" t="s">
        <v>236</v>
      </c>
      <c r="B82" s="2" t="s">
        <v>237</v>
      </c>
      <c r="C82" s="2" t="s">
        <v>20</v>
      </c>
      <c r="D82" s="2" t="s">
        <v>24</v>
      </c>
      <c r="E82" s="2" t="str">
        <f>"9783763977956"</f>
        <v>9783763977956</v>
      </c>
      <c r="F82" s="2" t="str">
        <f>"9783763977963"</f>
        <v>9783763977963</v>
      </c>
    </row>
    <row r="83" spans="1:6" s="3" customFormat="1" ht="29.1" customHeight="1" x14ac:dyDescent="0.25">
      <c r="A83" s="2" t="s">
        <v>238</v>
      </c>
      <c r="B83" s="2" t="s">
        <v>241</v>
      </c>
      <c r="C83" s="2" t="s">
        <v>239</v>
      </c>
      <c r="D83" s="2" t="s">
        <v>240</v>
      </c>
      <c r="E83" s="2" t="str">
        <f>"9780520413344"</f>
        <v>9780520413344</v>
      </c>
      <c r="F83" s="2" t="str">
        <f>"9780520413351"</f>
        <v>9780520413351</v>
      </c>
    </row>
    <row r="84" spans="1:6" s="3" customFormat="1" ht="29.1" customHeight="1" x14ac:dyDescent="0.25">
      <c r="A84" s="2" t="s">
        <v>242</v>
      </c>
      <c r="B84" s="2" t="s">
        <v>244</v>
      </c>
      <c r="C84" s="2" t="s">
        <v>29</v>
      </c>
      <c r="D84" s="2" t="s">
        <v>243</v>
      </c>
      <c r="E84" s="2" t="str">
        <f>"9783506798084"</f>
        <v>9783506798084</v>
      </c>
      <c r="F84" s="2" t="str">
        <f>"9783657798087"</f>
        <v>9783657798087</v>
      </c>
    </row>
    <row r="85" spans="1:6" s="3" customFormat="1" ht="29.1" customHeight="1" x14ac:dyDescent="0.25">
      <c r="A85" s="2" t="s">
        <v>245</v>
      </c>
      <c r="B85" s="2" t="s">
        <v>246</v>
      </c>
      <c r="C85" s="2" t="s">
        <v>29</v>
      </c>
      <c r="D85" s="2" t="s">
        <v>150</v>
      </c>
      <c r="E85" s="2" t="str">
        <f>"9783506797292"</f>
        <v>9783506797292</v>
      </c>
      <c r="F85" s="2" t="str">
        <f>"9783657797295"</f>
        <v>9783657797295</v>
      </c>
    </row>
    <row r="86" spans="1:6" s="3" customFormat="1" ht="29.1" customHeight="1" x14ac:dyDescent="0.25">
      <c r="A86" s="2" t="s">
        <v>247</v>
      </c>
      <c r="B86" s="2" t="s">
        <v>250</v>
      </c>
      <c r="C86" s="2" t="s">
        <v>248</v>
      </c>
      <c r="D86" s="2" t="s">
        <v>249</v>
      </c>
      <c r="E86" s="2" t="str">
        <f>"9783847431107"</f>
        <v>9783847431107</v>
      </c>
      <c r="F86" s="2" t="str">
        <f>"9783847432081"</f>
        <v>9783847432081</v>
      </c>
    </row>
    <row r="87" spans="1:6" s="3" customFormat="1" ht="29.1" customHeight="1" x14ac:dyDescent="0.25">
      <c r="A87" s="2" t="s">
        <v>251</v>
      </c>
      <c r="B87" s="2" t="s">
        <v>252</v>
      </c>
      <c r="C87" s="2" t="s">
        <v>248</v>
      </c>
      <c r="D87" s="2" t="s">
        <v>37</v>
      </c>
      <c r="E87" s="2" t="str">
        <f>"9783847431558"</f>
        <v>9783847431558</v>
      </c>
      <c r="F87" s="2" t="str">
        <f>"9783847432951"</f>
        <v>9783847432951</v>
      </c>
    </row>
    <row r="88" spans="1:6" s="3" customFormat="1" ht="29.1" customHeight="1" x14ac:dyDescent="0.25">
      <c r="A88" s="2" t="s">
        <v>253</v>
      </c>
      <c r="B88" s="2" t="s">
        <v>254</v>
      </c>
      <c r="C88" s="2" t="s">
        <v>248</v>
      </c>
      <c r="D88" s="2" t="s">
        <v>9</v>
      </c>
      <c r="E88" s="2" t="str">
        <f>"9783966651059"</f>
        <v>9783966651059</v>
      </c>
      <c r="F88" s="2" t="str">
        <f>"9783966658904"</f>
        <v>9783966658904</v>
      </c>
    </row>
    <row r="89" spans="1:6" s="3" customFormat="1" ht="29.1" customHeight="1" x14ac:dyDescent="0.25">
      <c r="A89" s="2" t="s">
        <v>255</v>
      </c>
      <c r="B89" s="2" t="s">
        <v>257</v>
      </c>
      <c r="C89" s="2" t="s">
        <v>248</v>
      </c>
      <c r="D89" s="2" t="s">
        <v>256</v>
      </c>
      <c r="E89" s="2" t="str">
        <f>"9783847431602"</f>
        <v>9783847431602</v>
      </c>
      <c r="F89" s="2" t="str">
        <f>"9783847432982"</f>
        <v>9783847432982</v>
      </c>
    </row>
    <row r="90" spans="1:6" s="3" customFormat="1" ht="29.1" customHeight="1" x14ac:dyDescent="0.25">
      <c r="A90" s="2" t="s">
        <v>255</v>
      </c>
      <c r="B90" s="2" t="s">
        <v>257</v>
      </c>
      <c r="C90" s="2" t="s">
        <v>248</v>
      </c>
      <c r="D90" s="2" t="s">
        <v>256</v>
      </c>
      <c r="E90" s="2" t="str">
        <f>"9783847431619"</f>
        <v>9783847431619</v>
      </c>
      <c r="F90" s="2" t="str">
        <f>"9783847432999"</f>
        <v>9783847432999</v>
      </c>
    </row>
    <row r="91" spans="1:6" s="3" customFormat="1" ht="29.1" customHeight="1" x14ac:dyDescent="0.25">
      <c r="A91" s="2" t="s">
        <v>258</v>
      </c>
      <c r="B91" s="2" t="s">
        <v>260</v>
      </c>
      <c r="C91" s="2" t="s">
        <v>248</v>
      </c>
      <c r="D91" s="2" t="s">
        <v>259</v>
      </c>
      <c r="E91" s="2" t="str">
        <f>"9783847431657"</f>
        <v>9783847431657</v>
      </c>
      <c r="F91" s="2" t="str">
        <f>"9783847433033"</f>
        <v>9783847433033</v>
      </c>
    </row>
    <row r="92" spans="1:6" s="3" customFormat="1" ht="29.1" customHeight="1" x14ac:dyDescent="0.25">
      <c r="A92" s="2" t="s">
        <v>261</v>
      </c>
      <c r="B92" s="2" t="s">
        <v>262</v>
      </c>
      <c r="C92" s="2" t="s">
        <v>248</v>
      </c>
      <c r="D92" s="2" t="s">
        <v>75</v>
      </c>
      <c r="E92" s="2" t="str">
        <f>"9783847431114"</f>
        <v>9783847431114</v>
      </c>
      <c r="F92" s="2" t="str">
        <f>"9783847432463"</f>
        <v>9783847432463</v>
      </c>
    </row>
    <row r="93" spans="1:6" s="3" customFormat="1" ht="29.1" customHeight="1" x14ac:dyDescent="0.25">
      <c r="A93" s="2" t="s">
        <v>263</v>
      </c>
      <c r="B93" s="2" t="s">
        <v>266</v>
      </c>
      <c r="C93" s="2" t="s">
        <v>264</v>
      </c>
      <c r="D93" s="2" t="s">
        <v>265</v>
      </c>
      <c r="E93" s="2" t="str">
        <f>"9781032847146"</f>
        <v>9781032847146</v>
      </c>
      <c r="F93" s="2" t="str">
        <f>"9781003515302"</f>
        <v>9781003515302</v>
      </c>
    </row>
    <row r="94" spans="1:6" s="3" customFormat="1" ht="29.1" customHeight="1" x14ac:dyDescent="0.25">
      <c r="A94" s="2" t="s">
        <v>267</v>
      </c>
      <c r="B94" s="2" t="s">
        <v>268</v>
      </c>
      <c r="C94" s="2" t="s">
        <v>124</v>
      </c>
      <c r="D94" s="2" t="s">
        <v>196</v>
      </c>
      <c r="E94" s="2" t="str">
        <f>"9781032458601"</f>
        <v>9781032458601</v>
      </c>
      <c r="F94" s="2" t="str">
        <f>"9781003379010"</f>
        <v>9781003379010</v>
      </c>
    </row>
    <row r="95" spans="1:6" s="3" customFormat="1" ht="29.1" customHeight="1" x14ac:dyDescent="0.25">
      <c r="A95" s="2" t="s">
        <v>269</v>
      </c>
      <c r="B95" s="2" t="s">
        <v>271</v>
      </c>
      <c r="C95" s="2" t="s">
        <v>124</v>
      </c>
      <c r="D95" s="2" t="s">
        <v>270</v>
      </c>
      <c r="E95" s="2" t="str">
        <f>"9781041043676"</f>
        <v>9781041043676</v>
      </c>
      <c r="F95" s="2" t="str">
        <f>"9781003628088"</f>
        <v>9781003628088</v>
      </c>
    </row>
    <row r="96" spans="1:6" s="3" customFormat="1" ht="29.1" customHeight="1" x14ac:dyDescent="0.25">
      <c r="A96" s="2" t="s">
        <v>272</v>
      </c>
      <c r="B96" s="2" t="s">
        <v>274</v>
      </c>
      <c r="C96" s="2" t="s">
        <v>124</v>
      </c>
      <c r="D96" s="2" t="s">
        <v>273</v>
      </c>
      <c r="E96" s="2" t="str">
        <f>"9789048564828"</f>
        <v>9789048564828</v>
      </c>
      <c r="F96" s="2" t="str">
        <f>"9781003698319"</f>
        <v>9781003698319</v>
      </c>
    </row>
    <row r="97" spans="1:6" s="3" customFormat="1" ht="29.1" customHeight="1" x14ac:dyDescent="0.25">
      <c r="A97" s="2" t="s">
        <v>275</v>
      </c>
      <c r="B97" s="2" t="s">
        <v>276</v>
      </c>
      <c r="C97" s="2" t="s">
        <v>124</v>
      </c>
      <c r="D97" s="2" t="s">
        <v>183</v>
      </c>
      <c r="E97" s="2" t="str">
        <f>"9781041084143"</f>
        <v>9781041084143</v>
      </c>
      <c r="F97" s="2" t="str">
        <f>"9781003650188"</f>
        <v>9781003650188</v>
      </c>
    </row>
    <row r="98" spans="1:6" s="3" customFormat="1" ht="29.1" customHeight="1" x14ac:dyDescent="0.25">
      <c r="A98" s="2" t="s">
        <v>277</v>
      </c>
      <c r="B98" s="2" t="s">
        <v>279</v>
      </c>
      <c r="C98" s="2" t="s">
        <v>124</v>
      </c>
      <c r="D98" s="2" t="s">
        <v>278</v>
      </c>
      <c r="E98" s="2" t="str">
        <f>"9781032986197"</f>
        <v>9781032986197</v>
      </c>
      <c r="F98" s="2" t="str">
        <f>"9781003600138"</f>
        <v>9781003600138</v>
      </c>
    </row>
    <row r="99" spans="1:6" s="3" customFormat="1" ht="29.1" customHeight="1" x14ac:dyDescent="0.25">
      <c r="A99" s="2" t="s">
        <v>280</v>
      </c>
      <c r="B99" s="2" t="s">
        <v>282</v>
      </c>
      <c r="C99" s="2" t="s">
        <v>5</v>
      </c>
      <c r="D99" s="2" t="s">
        <v>281</v>
      </c>
      <c r="E99" s="2" t="str">
        <f>"9783032066169"</f>
        <v>9783032066169</v>
      </c>
      <c r="F99" s="2" t="str">
        <f>"9783032066176"</f>
        <v>9783032066176</v>
      </c>
    </row>
    <row r="100" spans="1:6" s="3" customFormat="1" ht="29.1" customHeight="1" x14ac:dyDescent="0.25">
      <c r="A100" s="2" t="s">
        <v>283</v>
      </c>
      <c r="B100" s="2" t="s">
        <v>285</v>
      </c>
      <c r="C100" s="2" t="s">
        <v>5</v>
      </c>
      <c r="D100" s="2" t="s">
        <v>284</v>
      </c>
      <c r="E100" s="2" t="str">
        <f>"9783032061942"</f>
        <v>9783032061942</v>
      </c>
      <c r="F100" s="2" t="str">
        <f>"9783032061959"</f>
        <v>9783032061959</v>
      </c>
    </row>
    <row r="101" spans="1:6" s="3" customFormat="1" ht="29.1" customHeight="1" x14ac:dyDescent="0.25">
      <c r="A101" s="2" t="s">
        <v>286</v>
      </c>
      <c r="B101" s="2" t="s">
        <v>288</v>
      </c>
      <c r="C101" s="2" t="s">
        <v>36</v>
      </c>
      <c r="D101" s="2" t="s">
        <v>287</v>
      </c>
      <c r="E101" s="2"/>
      <c r="F101" s="2" t="str">
        <f>"9781529249965"</f>
        <v>9781529249965</v>
      </c>
    </row>
    <row r="102" spans="1:6" s="3" customFormat="1" ht="29.1" customHeight="1" x14ac:dyDescent="0.25">
      <c r="A102" s="2" t="s">
        <v>289</v>
      </c>
      <c r="B102" s="2" t="s">
        <v>290</v>
      </c>
      <c r="C102" s="2" t="s">
        <v>5</v>
      </c>
      <c r="D102" s="2" t="s">
        <v>141</v>
      </c>
      <c r="E102" s="2" t="str">
        <f>"9789464638950"</f>
        <v>9789464638950</v>
      </c>
      <c r="F102" s="2" t="str">
        <f>"9789464638967"</f>
        <v>9789464638967</v>
      </c>
    </row>
    <row r="103" spans="1:6" s="3" customFormat="1" ht="29.1" customHeight="1" x14ac:dyDescent="0.25">
      <c r="A103" s="2" t="s">
        <v>291</v>
      </c>
      <c r="B103" s="2" t="s">
        <v>292</v>
      </c>
      <c r="C103" s="2" t="s">
        <v>5</v>
      </c>
      <c r="D103" s="2" t="s">
        <v>186</v>
      </c>
      <c r="E103" s="2" t="str">
        <f>"9789464638851"</f>
        <v>9789464638851</v>
      </c>
      <c r="F103" s="2" t="str">
        <f>"9789464638868"</f>
        <v>9789464638868</v>
      </c>
    </row>
    <row r="104" spans="1:6" s="3" customFormat="1" ht="29.1" customHeight="1" x14ac:dyDescent="0.25">
      <c r="A104" s="2" t="s">
        <v>293</v>
      </c>
      <c r="B104" s="2" t="s">
        <v>295</v>
      </c>
      <c r="C104" s="2" t="s">
        <v>5</v>
      </c>
      <c r="D104" s="2" t="s">
        <v>294</v>
      </c>
      <c r="E104" s="2" t="str">
        <f>"9789819519866"</f>
        <v>9789819519866</v>
      </c>
      <c r="F104" s="2" t="str">
        <f>"9789819519873"</f>
        <v>9789819519873</v>
      </c>
    </row>
    <row r="105" spans="1:6" s="3" customFormat="1" ht="29.1" customHeight="1" x14ac:dyDescent="0.25">
      <c r="A105" s="2" t="s">
        <v>296</v>
      </c>
      <c r="B105" s="2" t="s">
        <v>298</v>
      </c>
      <c r="C105" s="2" t="s">
        <v>5</v>
      </c>
      <c r="D105" s="2" t="s">
        <v>297</v>
      </c>
      <c r="E105" s="2" t="str">
        <f>"9783032004260"</f>
        <v>9783032004260</v>
      </c>
      <c r="F105" s="2" t="str">
        <f>"9783032004277"</f>
        <v>9783032004277</v>
      </c>
    </row>
    <row r="106" spans="1:6" s="3" customFormat="1" ht="29.1" customHeight="1" x14ac:dyDescent="0.25">
      <c r="A106" s="2" t="s">
        <v>299</v>
      </c>
      <c r="B106" s="2" t="s">
        <v>300</v>
      </c>
      <c r="C106" s="2" t="s">
        <v>124</v>
      </c>
      <c r="D106" s="2" t="s">
        <v>186</v>
      </c>
      <c r="E106" s="2" t="str">
        <f>"9781041034360"</f>
        <v>9781041034360</v>
      </c>
      <c r="F106" s="2" t="str">
        <f>"9781003623854"</f>
        <v>9781003623854</v>
      </c>
    </row>
    <row r="107" spans="1:6" s="3" customFormat="1" ht="29.1" customHeight="1" x14ac:dyDescent="0.25">
      <c r="A107" s="2" t="s">
        <v>301</v>
      </c>
      <c r="B107" s="2" t="s">
        <v>303</v>
      </c>
      <c r="C107" s="2" t="s">
        <v>124</v>
      </c>
      <c r="D107" s="2" t="s">
        <v>302</v>
      </c>
      <c r="E107" s="2" t="str">
        <f>"9781032770932"</f>
        <v>9781032770932</v>
      </c>
      <c r="F107" s="2" t="str">
        <f>"9781003481201"</f>
        <v>9781003481201</v>
      </c>
    </row>
    <row r="108" spans="1:6" s="3" customFormat="1" ht="29.1" customHeight="1" x14ac:dyDescent="0.25">
      <c r="A108" s="2" t="s">
        <v>304</v>
      </c>
      <c r="B108" s="2" t="s">
        <v>306</v>
      </c>
      <c r="C108" s="2" t="s">
        <v>305</v>
      </c>
      <c r="D108" s="2"/>
      <c r="E108" s="2"/>
      <c r="F108" s="2" t="str">
        <f>"9786218438149"</f>
        <v>9786218438149</v>
      </c>
    </row>
    <row r="109" spans="1:6" s="3" customFormat="1" ht="29.1" customHeight="1" x14ac:dyDescent="0.25">
      <c r="A109" s="2" t="s">
        <v>307</v>
      </c>
      <c r="B109" s="2" t="s">
        <v>308</v>
      </c>
      <c r="C109" s="2" t="s">
        <v>36</v>
      </c>
      <c r="D109" s="2" t="s">
        <v>86</v>
      </c>
      <c r="E109" s="2"/>
      <c r="F109" s="2" t="str">
        <f>"9781529255850"</f>
        <v>9781529255850</v>
      </c>
    </row>
    <row r="110" spans="1:6" s="3" customFormat="1" ht="29.1" customHeight="1" x14ac:dyDescent="0.25">
      <c r="A110" s="2" t="s">
        <v>309</v>
      </c>
      <c r="B110" s="2" t="s">
        <v>311</v>
      </c>
      <c r="C110" s="2" t="s">
        <v>149</v>
      </c>
      <c r="D110" s="2" t="s">
        <v>310</v>
      </c>
      <c r="E110" s="2" t="str">
        <f>"9781805117179"</f>
        <v>9781805117179</v>
      </c>
      <c r="F110" s="2" t="str">
        <f>"9781805117193"</f>
        <v>9781805117193</v>
      </c>
    </row>
    <row r="111" spans="1:6" s="3" customFormat="1" ht="29.1" customHeight="1" x14ac:dyDescent="0.25">
      <c r="A111" s="2" t="s">
        <v>312</v>
      </c>
      <c r="B111" s="2" t="s">
        <v>314</v>
      </c>
      <c r="C111" s="2" t="s">
        <v>149</v>
      </c>
      <c r="D111" s="2" t="s">
        <v>313</v>
      </c>
      <c r="E111" s="2" t="str">
        <f>"9781805116226"</f>
        <v>9781805116226</v>
      </c>
      <c r="F111" s="2" t="str">
        <f>"9781805116233"</f>
        <v>9781805116233</v>
      </c>
    </row>
    <row r="112" spans="1:6" s="3" customFormat="1" ht="29.1" customHeight="1" x14ac:dyDescent="0.25">
      <c r="A112" s="2" t="s">
        <v>315</v>
      </c>
      <c r="B112" s="2" t="s">
        <v>318</v>
      </c>
      <c r="C112" s="2" t="s">
        <v>316</v>
      </c>
      <c r="D112" s="2" t="s">
        <v>317</v>
      </c>
      <c r="E112" s="2" t="str">
        <f>"9783036409689"</f>
        <v>9783036409689</v>
      </c>
      <c r="F112" s="2" t="str">
        <f>"9783036419688"</f>
        <v>9783036419688</v>
      </c>
    </row>
    <row r="113" spans="1:6" s="3" customFormat="1" ht="29.1" customHeight="1" x14ac:dyDescent="0.25">
      <c r="A113" s="2" t="s">
        <v>319</v>
      </c>
      <c r="B113" s="2" t="s">
        <v>13</v>
      </c>
      <c r="C113" s="2" t="s">
        <v>5</v>
      </c>
      <c r="D113" s="2" t="s">
        <v>12</v>
      </c>
      <c r="E113" s="2" t="str">
        <f>"9789819531776"</f>
        <v>9789819531776</v>
      </c>
      <c r="F113" s="2" t="str">
        <f>"9789819531783"</f>
        <v>9789819531783</v>
      </c>
    </row>
    <row r="114" spans="1:6" s="3" customFormat="1" ht="29.1" customHeight="1" x14ac:dyDescent="0.25">
      <c r="A114" s="2" t="s">
        <v>320</v>
      </c>
      <c r="B114" s="2" t="s">
        <v>322</v>
      </c>
      <c r="C114" s="2" t="s">
        <v>5</v>
      </c>
      <c r="D114" s="2" t="s">
        <v>321</v>
      </c>
      <c r="E114" s="2" t="str">
        <f>"9783658496760"</f>
        <v>9783658496760</v>
      </c>
      <c r="F114" s="2" t="str">
        <f>"9783658496777"</f>
        <v>9783658496777</v>
      </c>
    </row>
    <row r="115" spans="1:6" s="3" customFormat="1" ht="29.1" customHeight="1" x14ac:dyDescent="0.25">
      <c r="A115" s="2" t="s">
        <v>323</v>
      </c>
      <c r="B115" s="2" t="s">
        <v>325</v>
      </c>
      <c r="C115" s="2" t="s">
        <v>124</v>
      </c>
      <c r="D115" s="2" t="s">
        <v>324</v>
      </c>
      <c r="E115" s="2" t="str">
        <f>"9789463728096"</f>
        <v>9789463728096</v>
      </c>
      <c r="F115" s="2" t="str">
        <f>"9781003704102"</f>
        <v>9781003704102</v>
      </c>
    </row>
    <row r="116" spans="1:6" s="3" customFormat="1" ht="29.1" customHeight="1" x14ac:dyDescent="0.25">
      <c r="A116" s="2" t="s">
        <v>326</v>
      </c>
      <c r="B116" s="2" t="s">
        <v>329</v>
      </c>
      <c r="C116" s="2" t="s">
        <v>327</v>
      </c>
      <c r="D116" s="2" t="s">
        <v>328</v>
      </c>
      <c r="E116" s="2" t="str">
        <f>"9788383318165"</f>
        <v>9788383318165</v>
      </c>
      <c r="F116" s="2" t="str">
        <f>"9788383318172"</f>
        <v>9788383318172</v>
      </c>
    </row>
    <row r="117" spans="1:6" s="3" customFormat="1" ht="29.1" customHeight="1" x14ac:dyDescent="0.25">
      <c r="A117" s="2" t="s">
        <v>330</v>
      </c>
      <c r="B117" s="2" t="s">
        <v>332</v>
      </c>
      <c r="C117" s="2" t="s">
        <v>327</v>
      </c>
      <c r="D117" s="2" t="s">
        <v>331</v>
      </c>
      <c r="E117" s="2" t="str">
        <f>"9788383318080"</f>
        <v>9788383318080</v>
      </c>
      <c r="F117" s="2" t="str">
        <f>"9788383318097"</f>
        <v>9788383318097</v>
      </c>
    </row>
    <row r="118" spans="1:6" s="3" customFormat="1" ht="29.1" customHeight="1" x14ac:dyDescent="0.25">
      <c r="A118" s="2" t="s">
        <v>333</v>
      </c>
      <c r="B118" s="2" t="s">
        <v>335</v>
      </c>
      <c r="C118" s="2" t="s">
        <v>29</v>
      </c>
      <c r="D118" s="2" t="s">
        <v>334</v>
      </c>
      <c r="E118" s="2" t="str">
        <f>"9789004728547"</f>
        <v>9789004728547</v>
      </c>
      <c r="F118" s="2" t="str">
        <f>"9789004728561"</f>
        <v>9789004728561</v>
      </c>
    </row>
    <row r="119" spans="1:6" s="3" customFormat="1" ht="29.1" customHeight="1" x14ac:dyDescent="0.25">
      <c r="A119" s="2" t="s">
        <v>336</v>
      </c>
      <c r="B119" s="2" t="s">
        <v>337</v>
      </c>
      <c r="C119" s="2" t="s">
        <v>29</v>
      </c>
      <c r="D119" s="2" t="s">
        <v>33</v>
      </c>
      <c r="E119" s="2" t="str">
        <f>"9789004720688"</f>
        <v>9789004720688</v>
      </c>
      <c r="F119" s="2" t="str">
        <f>"9789004720695"</f>
        <v>9789004720695</v>
      </c>
    </row>
    <row r="120" spans="1:6" s="3" customFormat="1" ht="29.1" customHeight="1" x14ac:dyDescent="0.25">
      <c r="A120" s="2" t="s">
        <v>338</v>
      </c>
      <c r="B120" s="2" t="s">
        <v>340</v>
      </c>
      <c r="C120" s="2" t="s">
        <v>29</v>
      </c>
      <c r="D120" s="2" t="s">
        <v>339</v>
      </c>
      <c r="E120" s="2" t="str">
        <f>"9789004722057"</f>
        <v>9789004722057</v>
      </c>
      <c r="F120" s="2" t="str">
        <f>"9789004722064"</f>
        <v>9789004722064</v>
      </c>
    </row>
    <row r="121" spans="1:6" s="3" customFormat="1" ht="29.1" customHeight="1" x14ac:dyDescent="0.25">
      <c r="A121" s="2" t="s">
        <v>341</v>
      </c>
      <c r="B121" s="2" t="s">
        <v>343</v>
      </c>
      <c r="C121" s="2" t="s">
        <v>5</v>
      </c>
      <c r="D121" s="2" t="s">
        <v>342</v>
      </c>
      <c r="E121" s="2" t="str">
        <f>"9789464638578"</f>
        <v>9789464638578</v>
      </c>
      <c r="F121" s="2" t="str">
        <f>"9789464638585"</f>
        <v>9789464638585</v>
      </c>
    </row>
    <row r="122" spans="1:6" s="3" customFormat="1" ht="29.1" customHeight="1" x14ac:dyDescent="0.25">
      <c r="A122" s="2" t="s">
        <v>344</v>
      </c>
      <c r="B122" s="2" t="s">
        <v>345</v>
      </c>
      <c r="C122" s="2" t="s">
        <v>5</v>
      </c>
      <c r="D122" s="2" t="s">
        <v>141</v>
      </c>
      <c r="E122" s="2" t="str">
        <f>"9789464638714"</f>
        <v>9789464638714</v>
      </c>
      <c r="F122" s="2" t="str">
        <f>"9789464638721"</f>
        <v>9789464638721</v>
      </c>
    </row>
    <row r="123" spans="1:6" s="3" customFormat="1" ht="29.1" customHeight="1" x14ac:dyDescent="0.25">
      <c r="A123" s="2" t="s">
        <v>346</v>
      </c>
      <c r="B123" s="2" t="s">
        <v>348</v>
      </c>
      <c r="C123" s="2" t="s">
        <v>5</v>
      </c>
      <c r="D123" s="2" t="s">
        <v>347</v>
      </c>
      <c r="E123" s="2" t="str">
        <f>"9789819605224"</f>
        <v>9789819605224</v>
      </c>
      <c r="F123" s="2" t="str">
        <f>"9789819605231"</f>
        <v>9789819605231</v>
      </c>
    </row>
    <row r="124" spans="1:6" s="3" customFormat="1" ht="29.1" customHeight="1" x14ac:dyDescent="0.25">
      <c r="A124" s="2" t="s">
        <v>349</v>
      </c>
      <c r="B124" s="2" t="s">
        <v>351</v>
      </c>
      <c r="C124" s="2" t="s">
        <v>5</v>
      </c>
      <c r="D124" s="2" t="s">
        <v>350</v>
      </c>
      <c r="E124" s="2" t="str">
        <f>"9783031998935"</f>
        <v>9783031998935</v>
      </c>
      <c r="F124" s="2" t="str">
        <f>"9783031998942"</f>
        <v>9783031998942</v>
      </c>
    </row>
    <row r="125" spans="1:6" s="3" customFormat="1" ht="29.1" customHeight="1" x14ac:dyDescent="0.25">
      <c r="A125" s="2" t="s">
        <v>352</v>
      </c>
      <c r="B125" s="2" t="s">
        <v>354</v>
      </c>
      <c r="C125" s="2" t="s">
        <v>5</v>
      </c>
      <c r="D125" s="2" t="s">
        <v>353</v>
      </c>
      <c r="E125" s="2" t="str">
        <f>"9783031963711"</f>
        <v>9783031963711</v>
      </c>
      <c r="F125" s="2" t="str">
        <f>"9783031963728"</f>
        <v>9783031963728</v>
      </c>
    </row>
    <row r="126" spans="1:6" s="3" customFormat="1" ht="29.1" customHeight="1" x14ac:dyDescent="0.25">
      <c r="A126" s="2" t="s">
        <v>355</v>
      </c>
      <c r="B126" s="2" t="s">
        <v>356</v>
      </c>
      <c r="C126" s="2" t="s">
        <v>5</v>
      </c>
      <c r="D126" s="2" t="s">
        <v>165</v>
      </c>
      <c r="E126" s="2" t="str">
        <f>"9789819688609"</f>
        <v>9789819688609</v>
      </c>
      <c r="F126" s="2" t="str">
        <f>"9789819688616"</f>
        <v>9789819688616</v>
      </c>
    </row>
    <row r="127" spans="1:6" s="3" customFormat="1" ht="29.1" customHeight="1" x14ac:dyDescent="0.25">
      <c r="A127" s="2" t="s">
        <v>357</v>
      </c>
      <c r="B127" s="2" t="s">
        <v>358</v>
      </c>
      <c r="C127" s="2" t="s">
        <v>5</v>
      </c>
      <c r="D127" s="2" t="s">
        <v>12</v>
      </c>
      <c r="E127" s="2" t="str">
        <f>"9783031891700"</f>
        <v>9783031891700</v>
      </c>
      <c r="F127" s="2" t="str">
        <f>"9783031891717"</f>
        <v>9783031891717</v>
      </c>
    </row>
    <row r="128" spans="1:6" s="3" customFormat="1" ht="29.1" customHeight="1" x14ac:dyDescent="0.25">
      <c r="A128" s="2" t="s">
        <v>359</v>
      </c>
      <c r="B128" s="2" t="s">
        <v>360</v>
      </c>
      <c r="C128" s="2" t="s">
        <v>5</v>
      </c>
      <c r="D128" s="2" t="s">
        <v>186</v>
      </c>
      <c r="E128" s="2" t="str">
        <f>"9789464638738"</f>
        <v>9789464638738</v>
      </c>
      <c r="F128" s="2" t="str">
        <f>"9789464638745"</f>
        <v>9789464638745</v>
      </c>
    </row>
    <row r="129" spans="1:6" s="3" customFormat="1" ht="29.1" customHeight="1" x14ac:dyDescent="0.25">
      <c r="A129" s="2" t="s">
        <v>361</v>
      </c>
      <c r="B129" s="2" t="s">
        <v>362</v>
      </c>
      <c r="C129" s="2" t="s">
        <v>5</v>
      </c>
      <c r="D129" s="2" t="s">
        <v>353</v>
      </c>
      <c r="E129" s="2" t="str">
        <f>"9783031884627"</f>
        <v>9783031884627</v>
      </c>
      <c r="F129" s="2" t="str">
        <f>"9783031884634"</f>
        <v>9783031884634</v>
      </c>
    </row>
    <row r="130" spans="1:6" s="3" customFormat="1" ht="29.1" customHeight="1" x14ac:dyDescent="0.25">
      <c r="A130" s="2" t="s">
        <v>363</v>
      </c>
      <c r="B130" s="2" t="s">
        <v>365</v>
      </c>
      <c r="C130" s="2" t="s">
        <v>5</v>
      </c>
      <c r="D130" s="2" t="s">
        <v>364</v>
      </c>
      <c r="E130" s="2" t="str">
        <f>"9783032035769"</f>
        <v>9783032035769</v>
      </c>
      <c r="F130" s="2" t="str">
        <f>"9783032035776"</f>
        <v>9783032035776</v>
      </c>
    </row>
    <row r="131" spans="1:6" s="3" customFormat="1" ht="29.1" customHeight="1" x14ac:dyDescent="0.25">
      <c r="A131" s="2" t="s">
        <v>366</v>
      </c>
      <c r="B131" s="2" t="s">
        <v>368</v>
      </c>
      <c r="C131" s="2" t="s">
        <v>5</v>
      </c>
      <c r="D131" s="2" t="s">
        <v>367</v>
      </c>
      <c r="E131" s="2" t="str">
        <f>"9789819683826"</f>
        <v>9789819683826</v>
      </c>
      <c r="F131" s="2" t="str">
        <f>"9789819683833"</f>
        <v>9789819683833</v>
      </c>
    </row>
    <row r="132" spans="1:6" s="3" customFormat="1" ht="29.1" customHeight="1" x14ac:dyDescent="0.25">
      <c r="A132" s="2" t="s">
        <v>369</v>
      </c>
      <c r="B132" s="2" t="s">
        <v>371</v>
      </c>
      <c r="C132" s="2" t="s">
        <v>5</v>
      </c>
      <c r="D132" s="2" t="s">
        <v>370</v>
      </c>
      <c r="E132" s="2" t="str">
        <f>"9783032038326"</f>
        <v>9783032038326</v>
      </c>
      <c r="F132" s="2" t="str">
        <f>"9783032038333"</f>
        <v>9783032038333</v>
      </c>
    </row>
    <row r="133" spans="1:6" s="3" customFormat="1" ht="29.1" customHeight="1" x14ac:dyDescent="0.25">
      <c r="A133" s="2" t="s">
        <v>372</v>
      </c>
      <c r="B133" s="2" t="s">
        <v>374</v>
      </c>
      <c r="C133" s="2" t="s">
        <v>5</v>
      </c>
      <c r="D133" s="2" t="s">
        <v>373</v>
      </c>
      <c r="E133" s="2" t="str">
        <f>"9783031920752"</f>
        <v>9783031920752</v>
      </c>
      <c r="F133" s="2" t="str">
        <f>"9783031920769"</f>
        <v>9783031920769</v>
      </c>
    </row>
    <row r="134" spans="1:6" s="3" customFormat="1" ht="29.1" customHeight="1" x14ac:dyDescent="0.25">
      <c r="A134" s="2" t="s">
        <v>375</v>
      </c>
      <c r="B134" s="2" t="s">
        <v>376</v>
      </c>
      <c r="C134" s="2" t="s">
        <v>5</v>
      </c>
      <c r="D134" s="2" t="s">
        <v>78</v>
      </c>
      <c r="E134" s="2" t="str">
        <f>"9783032000019"</f>
        <v>9783032000019</v>
      </c>
      <c r="F134" s="2" t="str">
        <f>"9783032000026"</f>
        <v>9783032000026</v>
      </c>
    </row>
    <row r="135" spans="1:6" s="3" customFormat="1" ht="29.1" customHeight="1" x14ac:dyDescent="0.25">
      <c r="A135" s="2" t="s">
        <v>377</v>
      </c>
      <c r="B135" s="2" t="s">
        <v>379</v>
      </c>
      <c r="C135" s="2" t="s">
        <v>5</v>
      </c>
      <c r="D135" s="2" t="s">
        <v>378</v>
      </c>
      <c r="E135" s="2" t="str">
        <f>"9783032055002"</f>
        <v>9783032055002</v>
      </c>
      <c r="F135" s="2" t="str">
        <f>"9783032055019"</f>
        <v>9783032055019</v>
      </c>
    </row>
    <row r="136" spans="1:6" s="3" customFormat="1" ht="29.1" customHeight="1" x14ac:dyDescent="0.25">
      <c r="A136" s="2" t="s">
        <v>380</v>
      </c>
      <c r="B136" s="2" t="s">
        <v>382</v>
      </c>
      <c r="C136" s="2" t="s">
        <v>5</v>
      </c>
      <c r="D136" s="2" t="s">
        <v>381</v>
      </c>
      <c r="E136" s="2" t="str">
        <f>"9783032077912"</f>
        <v>9783032077912</v>
      </c>
      <c r="F136" s="2" t="str">
        <f>"9783032077929"</f>
        <v>9783032077929</v>
      </c>
    </row>
    <row r="137" spans="1:6" s="3" customFormat="1" ht="29.1" customHeight="1" x14ac:dyDescent="0.25">
      <c r="A137" s="2" t="s">
        <v>383</v>
      </c>
      <c r="B137" s="2" t="s">
        <v>385</v>
      </c>
      <c r="C137" s="2" t="s">
        <v>384</v>
      </c>
      <c r="D137" s="2"/>
      <c r="E137" s="2"/>
      <c r="F137" s="2" t="str">
        <f>"9781969700019"</f>
        <v>9781969700019</v>
      </c>
    </row>
    <row r="138" spans="1:6" s="3" customFormat="1" ht="29.1" customHeight="1" x14ac:dyDescent="0.25">
      <c r="A138" s="2" t="s">
        <v>386</v>
      </c>
      <c r="B138" s="2" t="s">
        <v>385</v>
      </c>
      <c r="C138" s="2" t="s">
        <v>384</v>
      </c>
      <c r="D138" s="2"/>
      <c r="E138" s="2"/>
      <c r="F138" s="2" t="str">
        <f>"9781969700002"</f>
        <v>9781969700002</v>
      </c>
    </row>
    <row r="139" spans="1:6" s="3" customFormat="1" ht="29.1" customHeight="1" x14ac:dyDescent="0.25">
      <c r="A139" s="2" t="s">
        <v>387</v>
      </c>
      <c r="B139" s="2" t="s">
        <v>389</v>
      </c>
      <c r="C139" s="2" t="s">
        <v>124</v>
      </c>
      <c r="D139" s="2" t="s">
        <v>388</v>
      </c>
      <c r="E139" s="2" t="str">
        <f>"9781041123101"</f>
        <v>9781041123101</v>
      </c>
      <c r="F139" s="2" t="str">
        <f>"9781003667803"</f>
        <v>9781003667803</v>
      </c>
    </row>
    <row r="140" spans="1:6" s="3" customFormat="1" ht="29.1" customHeight="1" x14ac:dyDescent="0.25">
      <c r="A140" s="2" t="s">
        <v>390</v>
      </c>
      <c r="B140" s="2" t="s">
        <v>392</v>
      </c>
      <c r="C140" s="2" t="s">
        <v>195</v>
      </c>
      <c r="D140" s="2" t="s">
        <v>391</v>
      </c>
      <c r="E140" s="2" t="str">
        <f>"9783119143615"</f>
        <v>9783119143615</v>
      </c>
      <c r="F140" s="2" t="str">
        <f>"9783112219515"</f>
        <v>9783112219515</v>
      </c>
    </row>
    <row r="141" spans="1:6" s="3" customFormat="1" ht="29.1" customHeight="1" x14ac:dyDescent="0.25">
      <c r="A141" s="2" t="s">
        <v>393</v>
      </c>
      <c r="B141" s="2" t="s">
        <v>394</v>
      </c>
      <c r="C141" s="2" t="s">
        <v>195</v>
      </c>
      <c r="D141" s="2" t="s">
        <v>210</v>
      </c>
      <c r="E141" s="2" t="str">
        <f>"9783111610047"</f>
        <v>9783111610047</v>
      </c>
      <c r="F141" s="2" t="str">
        <f>"9783111611358"</f>
        <v>9783111611358</v>
      </c>
    </row>
    <row r="142" spans="1:6" s="3" customFormat="1" ht="29.1" customHeight="1" x14ac:dyDescent="0.25">
      <c r="A142" s="2" t="s">
        <v>395</v>
      </c>
      <c r="B142" s="2" t="s">
        <v>396</v>
      </c>
      <c r="C142" s="2" t="s">
        <v>195</v>
      </c>
      <c r="D142" s="2" t="s">
        <v>210</v>
      </c>
      <c r="E142" s="2" t="str">
        <f>"9783119147163"</f>
        <v>9783119147163</v>
      </c>
      <c r="F142" s="2" t="str">
        <f>"9783112206881"</f>
        <v>9783112206881</v>
      </c>
    </row>
    <row r="143" spans="1:6" s="3" customFormat="1" ht="29.1" customHeight="1" x14ac:dyDescent="0.25">
      <c r="A143" s="2" t="s">
        <v>397</v>
      </c>
      <c r="B143" s="2" t="s">
        <v>398</v>
      </c>
      <c r="C143" s="2" t="s">
        <v>195</v>
      </c>
      <c r="D143" s="2" t="s">
        <v>210</v>
      </c>
      <c r="E143" s="2" t="str">
        <f>"9783119146517"</f>
        <v>9783119146517</v>
      </c>
      <c r="F143" s="2" t="str">
        <f>"9783112210079"</f>
        <v>9783112210079</v>
      </c>
    </row>
    <row r="144" spans="1:6" s="3" customFormat="1" ht="29.1" customHeight="1" x14ac:dyDescent="0.25">
      <c r="A144" s="2" t="s">
        <v>399</v>
      </c>
      <c r="B144" s="2" t="s">
        <v>400</v>
      </c>
      <c r="C144" s="2" t="s">
        <v>195</v>
      </c>
      <c r="D144" s="2" t="s">
        <v>107</v>
      </c>
      <c r="E144" s="2" t="str">
        <f>"9783111712147"</f>
        <v>9783111712147</v>
      </c>
      <c r="F144" s="2" t="str">
        <f>"9783112206423"</f>
        <v>9783112206423</v>
      </c>
    </row>
    <row r="145" spans="1:6" s="3" customFormat="1" ht="29.1" customHeight="1" x14ac:dyDescent="0.25">
      <c r="A145" s="2" t="s">
        <v>401</v>
      </c>
      <c r="B145" s="2" t="s">
        <v>403</v>
      </c>
      <c r="C145" s="2" t="s">
        <v>195</v>
      </c>
      <c r="D145" s="2" t="s">
        <v>402</v>
      </c>
      <c r="E145" s="2" t="str">
        <f>"9783111713113"</f>
        <v>9783111713113</v>
      </c>
      <c r="F145" s="2" t="str">
        <f>"9783111713649"</f>
        <v>9783111713649</v>
      </c>
    </row>
    <row r="146" spans="1:6" s="3" customFormat="1" ht="29.1" customHeight="1" x14ac:dyDescent="0.25">
      <c r="A146" s="2" t="s">
        <v>404</v>
      </c>
      <c r="B146" s="2" t="s">
        <v>406</v>
      </c>
      <c r="C146" s="2" t="s">
        <v>195</v>
      </c>
      <c r="D146" s="2" t="s">
        <v>405</v>
      </c>
      <c r="E146" s="2" t="str">
        <f>"9783119145497"</f>
        <v>9783119145497</v>
      </c>
      <c r="F146" s="2" t="str">
        <f>"9783112213070"</f>
        <v>9783112213070</v>
      </c>
    </row>
    <row r="147" spans="1:6" s="3" customFormat="1" ht="29.1" customHeight="1" x14ac:dyDescent="0.25">
      <c r="A147" s="2" t="s">
        <v>407</v>
      </c>
      <c r="B147" s="2" t="s">
        <v>409</v>
      </c>
      <c r="C147" s="2" t="s">
        <v>195</v>
      </c>
      <c r="D147" s="2" t="s">
        <v>408</v>
      </c>
      <c r="E147" s="2" t="str">
        <f>"9783111694146"</f>
        <v>9783111694146</v>
      </c>
      <c r="F147" s="2" t="str">
        <f>"9783111695754"</f>
        <v>9783111695754</v>
      </c>
    </row>
    <row r="148" spans="1:6" s="3" customFormat="1" ht="29.1" customHeight="1" x14ac:dyDescent="0.25">
      <c r="A148" s="2" t="s">
        <v>410</v>
      </c>
      <c r="B148" s="2" t="s">
        <v>411</v>
      </c>
      <c r="C148" s="2" t="s">
        <v>195</v>
      </c>
      <c r="D148" s="2" t="s">
        <v>210</v>
      </c>
      <c r="E148" s="2" t="str">
        <f>"9783119144452"</f>
        <v>9783119144452</v>
      </c>
      <c r="F148" s="2" t="str">
        <f>"9783112217764"</f>
        <v>9783112217764</v>
      </c>
    </row>
    <row r="149" spans="1:6" s="3" customFormat="1" ht="29.1" customHeight="1" x14ac:dyDescent="0.25">
      <c r="A149" s="2" t="s">
        <v>412</v>
      </c>
      <c r="B149" s="2" t="s">
        <v>414</v>
      </c>
      <c r="C149" s="2" t="s">
        <v>195</v>
      </c>
      <c r="D149" s="2" t="s">
        <v>413</v>
      </c>
      <c r="E149" s="2" t="str">
        <f>"9783111552897"</f>
        <v>9783111552897</v>
      </c>
      <c r="F149" s="2" t="str">
        <f>"9783111553498"</f>
        <v>9783111553498</v>
      </c>
    </row>
    <row r="150" spans="1:6" s="3" customFormat="1" ht="29.1" customHeight="1" x14ac:dyDescent="0.25">
      <c r="A150" s="2" t="s">
        <v>415</v>
      </c>
      <c r="B150" s="2" t="s">
        <v>416</v>
      </c>
      <c r="C150" s="2" t="s">
        <v>195</v>
      </c>
      <c r="D150" s="2" t="s">
        <v>75</v>
      </c>
      <c r="E150" s="2" t="str">
        <f>"9783119147521"</f>
        <v>9783119147521</v>
      </c>
      <c r="F150" s="2" t="str">
        <f>"9783112207321"</f>
        <v>9783112207321</v>
      </c>
    </row>
    <row r="151" spans="1:6" s="3" customFormat="1" ht="29.1" customHeight="1" x14ac:dyDescent="0.25">
      <c r="A151" s="2" t="s">
        <v>417</v>
      </c>
      <c r="B151" s="2" t="s">
        <v>418</v>
      </c>
      <c r="C151" s="2" t="s">
        <v>195</v>
      </c>
      <c r="D151" s="2" t="s">
        <v>402</v>
      </c>
      <c r="E151" s="2" t="str">
        <f>"9783111721125"</f>
        <v>9783111721125</v>
      </c>
      <c r="F151" s="2" t="str">
        <f>"9783111721729"</f>
        <v>9783111721729</v>
      </c>
    </row>
    <row r="152" spans="1:6" s="3" customFormat="1" ht="29.1" customHeight="1" x14ac:dyDescent="0.25">
      <c r="A152" s="2" t="s">
        <v>419</v>
      </c>
      <c r="B152" s="2" t="s">
        <v>420</v>
      </c>
      <c r="C152" s="2" t="s">
        <v>195</v>
      </c>
      <c r="D152" s="2" t="s">
        <v>150</v>
      </c>
      <c r="E152" s="2" t="str">
        <f>"9783119143875"</f>
        <v>9783119143875</v>
      </c>
      <c r="F152" s="2" t="str">
        <f>"9783112218907"</f>
        <v>9783112218907</v>
      </c>
    </row>
    <row r="153" spans="1:6" s="3" customFormat="1" ht="29.1" customHeight="1" x14ac:dyDescent="0.25">
      <c r="A153" s="2" t="s">
        <v>421</v>
      </c>
      <c r="B153" s="2" t="s">
        <v>422</v>
      </c>
      <c r="C153" s="2" t="s">
        <v>195</v>
      </c>
      <c r="D153" s="2" t="s">
        <v>33</v>
      </c>
      <c r="E153" s="2" t="str">
        <f>"9783111660196"</f>
        <v>9783111660196</v>
      </c>
      <c r="F153" s="2" t="str">
        <f>"9783111701462"</f>
        <v>9783111701462</v>
      </c>
    </row>
    <row r="154" spans="1:6" s="3" customFormat="1" ht="29.1" customHeight="1" x14ac:dyDescent="0.25">
      <c r="A154" s="2" t="s">
        <v>423</v>
      </c>
      <c r="B154" s="2" t="s">
        <v>424</v>
      </c>
      <c r="C154" s="2" t="s">
        <v>195</v>
      </c>
      <c r="D154" s="2" t="s">
        <v>118</v>
      </c>
      <c r="E154" s="2" t="str">
        <f>"9783119146357"</f>
        <v>9783119146357</v>
      </c>
      <c r="F154" s="2" t="str">
        <f>"9783112212295"</f>
        <v>9783112212295</v>
      </c>
    </row>
    <row r="155" spans="1:6" s="3" customFormat="1" ht="29.1" customHeight="1" x14ac:dyDescent="0.25">
      <c r="A155" s="2" t="s">
        <v>425</v>
      </c>
      <c r="B155" s="2" t="s">
        <v>426</v>
      </c>
      <c r="C155" s="2" t="s">
        <v>195</v>
      </c>
      <c r="D155" s="2" t="s">
        <v>215</v>
      </c>
      <c r="E155" s="2" t="str">
        <f>"9783111090375"</f>
        <v>9783111090375</v>
      </c>
      <c r="F155" s="2" t="str">
        <f>"9783111132808"</f>
        <v>9783111132808</v>
      </c>
    </row>
    <row r="156" spans="1:6" s="3" customFormat="1" ht="29.1" customHeight="1" x14ac:dyDescent="0.25">
      <c r="A156" s="2" t="s">
        <v>427</v>
      </c>
      <c r="B156" s="2" t="s">
        <v>429</v>
      </c>
      <c r="C156" s="2" t="s">
        <v>195</v>
      </c>
      <c r="D156" s="2" t="s">
        <v>428</v>
      </c>
      <c r="E156" s="2" t="str">
        <f>"9783119146609"</f>
        <v>9783119146609</v>
      </c>
      <c r="F156" s="2" t="str">
        <f>"9783112208229"</f>
        <v>9783112208229</v>
      </c>
    </row>
    <row r="157" spans="1:6" s="3" customFormat="1" ht="29.1" customHeight="1" x14ac:dyDescent="0.25">
      <c r="A157" s="2" t="s">
        <v>430</v>
      </c>
      <c r="B157" s="2" t="s">
        <v>432</v>
      </c>
      <c r="C157" s="2" t="s">
        <v>195</v>
      </c>
      <c r="D157" s="2" t="s">
        <v>431</v>
      </c>
      <c r="E157" s="2" t="str">
        <f>"9783111351360"</f>
        <v>9783111351360</v>
      </c>
      <c r="F157" s="2" t="str">
        <f>"9783111351650"</f>
        <v>9783111351650</v>
      </c>
    </row>
    <row r="158" spans="1:6" s="3" customFormat="1" ht="29.1" customHeight="1" x14ac:dyDescent="0.25">
      <c r="A158" s="2" t="s">
        <v>433</v>
      </c>
      <c r="B158" s="2" t="s">
        <v>434</v>
      </c>
      <c r="C158" s="2" t="s">
        <v>195</v>
      </c>
      <c r="D158" s="2" t="s">
        <v>196</v>
      </c>
      <c r="E158" s="2" t="str">
        <f>"9783119147873"</f>
        <v>9783119147873</v>
      </c>
      <c r="F158" s="2" t="str">
        <f>"9783112206027"</f>
        <v>9783112206027</v>
      </c>
    </row>
    <row r="159" spans="1:6" s="3" customFormat="1" ht="29.1" customHeight="1" x14ac:dyDescent="0.25">
      <c r="A159" s="2" t="s">
        <v>435</v>
      </c>
      <c r="B159" s="2" t="s">
        <v>437</v>
      </c>
      <c r="C159" s="2" t="s">
        <v>195</v>
      </c>
      <c r="D159" s="2" t="s">
        <v>436</v>
      </c>
      <c r="E159" s="2" t="str">
        <f>"9783111575360"</f>
        <v>9783111575360</v>
      </c>
      <c r="F159" s="2" t="str">
        <f>"9783111575452"</f>
        <v>9783111575452</v>
      </c>
    </row>
    <row r="160" spans="1:6" s="3" customFormat="1" ht="29.1" customHeight="1" x14ac:dyDescent="0.25">
      <c r="A160" s="2" t="s">
        <v>438</v>
      </c>
      <c r="B160" s="2" t="s">
        <v>439</v>
      </c>
      <c r="C160" s="2" t="s">
        <v>195</v>
      </c>
      <c r="D160" s="2" t="s">
        <v>118</v>
      </c>
      <c r="E160" s="2" t="str">
        <f>"9783111713960"</f>
        <v>9783111713960</v>
      </c>
      <c r="F160" s="2" t="str">
        <f>"9783111715407"</f>
        <v>9783111715407</v>
      </c>
    </row>
    <row r="161" spans="1:6" s="3" customFormat="1" ht="29.1" customHeight="1" x14ac:dyDescent="0.25">
      <c r="A161" s="2" t="s">
        <v>440</v>
      </c>
      <c r="B161" s="2" t="s">
        <v>442</v>
      </c>
      <c r="C161" s="2" t="s">
        <v>195</v>
      </c>
      <c r="D161" s="2" t="s">
        <v>441</v>
      </c>
      <c r="E161" s="2" t="str">
        <f>"9783111388946"</f>
        <v>9783111388946</v>
      </c>
      <c r="F161" s="2" t="str">
        <f>"9783111389325"</f>
        <v>9783111389325</v>
      </c>
    </row>
    <row r="162" spans="1:6" s="3" customFormat="1" ht="29.1" customHeight="1" x14ac:dyDescent="0.25">
      <c r="A162" s="2" t="s">
        <v>443</v>
      </c>
      <c r="B162" s="2" t="s">
        <v>444</v>
      </c>
      <c r="C162" s="2" t="s">
        <v>195</v>
      </c>
      <c r="D162" s="2" t="s">
        <v>33</v>
      </c>
      <c r="E162" s="2" t="str">
        <f>"9783111682730"</f>
        <v>9783111682730</v>
      </c>
      <c r="F162" s="2" t="str">
        <f>"9783111682983"</f>
        <v>9783111682983</v>
      </c>
    </row>
    <row r="163" spans="1:6" s="3" customFormat="1" ht="29.1" customHeight="1" x14ac:dyDescent="0.25">
      <c r="A163" s="2" t="s">
        <v>445</v>
      </c>
      <c r="B163" s="2" t="s">
        <v>447</v>
      </c>
      <c r="C163" s="2" t="s">
        <v>195</v>
      </c>
      <c r="D163" s="2" t="s">
        <v>446</v>
      </c>
      <c r="E163" s="2" t="str">
        <f>"9783119148429"</f>
        <v>9783119148429</v>
      </c>
      <c r="F163" s="2" t="str">
        <f>"9783112206676"</f>
        <v>9783112206676</v>
      </c>
    </row>
    <row r="164" spans="1:6" s="3" customFormat="1" ht="29.1" customHeight="1" x14ac:dyDescent="0.25">
      <c r="A164" s="2" t="s">
        <v>448</v>
      </c>
      <c r="B164" s="2" t="s">
        <v>450</v>
      </c>
      <c r="C164" s="2" t="s">
        <v>195</v>
      </c>
      <c r="D164" s="2" t="s">
        <v>449</v>
      </c>
      <c r="E164" s="2" t="str">
        <f>"9783119149273"</f>
        <v>9783119149273</v>
      </c>
      <c r="F164" s="2" t="str">
        <f>"9783111692029"</f>
        <v>9783111692029</v>
      </c>
    </row>
    <row r="165" spans="1:6" s="3" customFormat="1" ht="29.1" customHeight="1" x14ac:dyDescent="0.25">
      <c r="A165" s="2" t="s">
        <v>451</v>
      </c>
      <c r="B165" s="2" t="s">
        <v>452</v>
      </c>
      <c r="C165" s="2" t="s">
        <v>195</v>
      </c>
      <c r="D165" s="2" t="s">
        <v>118</v>
      </c>
      <c r="E165" s="2" t="str">
        <f>"9783111579900"</f>
        <v>9783111579900</v>
      </c>
      <c r="F165" s="2" t="str">
        <f>"9783111580319"</f>
        <v>9783111580319</v>
      </c>
    </row>
    <row r="166" spans="1:6" s="3" customFormat="1" ht="29.1" customHeight="1" x14ac:dyDescent="0.25">
      <c r="A166" s="2" t="s">
        <v>453</v>
      </c>
      <c r="B166" s="2" t="s">
        <v>455</v>
      </c>
      <c r="C166" s="2" t="s">
        <v>195</v>
      </c>
      <c r="D166" s="2" t="s">
        <v>454</v>
      </c>
      <c r="E166" s="2" t="str">
        <f>"9783111677644"</f>
        <v>9783111677644</v>
      </c>
      <c r="F166" s="2" t="str">
        <f>"9783111677811"</f>
        <v>9783111677811</v>
      </c>
    </row>
    <row r="167" spans="1:6" s="3" customFormat="1" ht="29.1" customHeight="1" x14ac:dyDescent="0.25">
      <c r="A167" s="2" t="s">
        <v>456</v>
      </c>
      <c r="B167" s="2" t="s">
        <v>457</v>
      </c>
      <c r="C167" s="2" t="s">
        <v>195</v>
      </c>
      <c r="D167" s="2" t="s">
        <v>221</v>
      </c>
      <c r="E167" s="2" t="str">
        <f>"9783111437682"</f>
        <v>9783111437682</v>
      </c>
      <c r="F167" s="2" t="str">
        <f>"9783111437859"</f>
        <v>9783111437859</v>
      </c>
    </row>
    <row r="168" spans="1:6" s="3" customFormat="1" ht="29.1" customHeight="1" x14ac:dyDescent="0.25">
      <c r="A168" s="2" t="s">
        <v>458</v>
      </c>
      <c r="B168" s="2" t="s">
        <v>460</v>
      </c>
      <c r="C168" s="2" t="s">
        <v>195</v>
      </c>
      <c r="D168" s="2" t="s">
        <v>459</v>
      </c>
      <c r="E168" s="2" t="str">
        <f>"9783111484648"</f>
        <v>9783111484648</v>
      </c>
      <c r="F168" s="2" t="str">
        <f>"9783111485102"</f>
        <v>9783111485102</v>
      </c>
    </row>
    <row r="169" spans="1:6" s="3" customFormat="1" ht="29.1" customHeight="1" x14ac:dyDescent="0.25">
      <c r="A169" s="2" t="s">
        <v>461</v>
      </c>
      <c r="B169" s="2" t="s">
        <v>463</v>
      </c>
      <c r="C169" s="2" t="s">
        <v>195</v>
      </c>
      <c r="D169" s="2" t="s">
        <v>462</v>
      </c>
      <c r="E169" s="2" t="str">
        <f>"9783111339184"</f>
        <v>9783111339184</v>
      </c>
      <c r="F169" s="2" t="str">
        <f>"9783111339269"</f>
        <v>9783111339269</v>
      </c>
    </row>
    <row r="170" spans="1:6" s="3" customFormat="1" ht="29.1" customHeight="1" x14ac:dyDescent="0.25">
      <c r="A170" s="2" t="s">
        <v>464</v>
      </c>
      <c r="B170" s="2" t="s">
        <v>466</v>
      </c>
      <c r="C170" s="2" t="s">
        <v>195</v>
      </c>
      <c r="D170" s="2" t="s">
        <v>465</v>
      </c>
      <c r="E170" s="2" t="str">
        <f>"9783110792133"</f>
        <v>9783110792133</v>
      </c>
      <c r="F170" s="2" t="str">
        <f>"9783110792287"</f>
        <v>9783110792287</v>
      </c>
    </row>
    <row r="171" spans="1:6" s="3" customFormat="1" ht="29.1" customHeight="1" x14ac:dyDescent="0.25">
      <c r="A171" s="2" t="s">
        <v>467</v>
      </c>
      <c r="B171" s="2" t="s">
        <v>469</v>
      </c>
      <c r="C171" s="2" t="s">
        <v>149</v>
      </c>
      <c r="D171" s="2" t="s">
        <v>468</v>
      </c>
      <c r="E171" s="2" t="str">
        <f>"9781685712846"</f>
        <v>9781685712846</v>
      </c>
      <c r="F171" s="2" t="str">
        <f>"9781685712853"</f>
        <v>9781685712853</v>
      </c>
    </row>
    <row r="172" spans="1:6" s="3" customFormat="1" ht="29.1" customHeight="1" x14ac:dyDescent="0.25">
      <c r="A172" s="2" t="s">
        <v>470</v>
      </c>
      <c r="B172" s="2" t="s">
        <v>471</v>
      </c>
      <c r="C172" s="2" t="s">
        <v>5</v>
      </c>
      <c r="D172" s="2" t="s">
        <v>78</v>
      </c>
      <c r="E172" s="2" t="str">
        <f>"9783032033369"</f>
        <v>9783032033369</v>
      </c>
      <c r="F172" s="2" t="str">
        <f>"9783032033376"</f>
        <v>9783032033376</v>
      </c>
    </row>
    <row r="173" spans="1:6" s="3" customFormat="1" ht="29.1" customHeight="1" x14ac:dyDescent="0.25">
      <c r="A173" s="2" t="s">
        <v>472</v>
      </c>
      <c r="B173" s="2" t="s">
        <v>473</v>
      </c>
      <c r="C173" s="2" t="s">
        <v>5</v>
      </c>
      <c r="D173" s="2" t="s">
        <v>350</v>
      </c>
      <c r="E173" s="2" t="str">
        <f>"9789819533312"</f>
        <v>9789819533312</v>
      </c>
      <c r="F173" s="2" t="str">
        <f>"9789819533329"</f>
        <v>9789819533329</v>
      </c>
    </row>
    <row r="174" spans="1:6" s="3" customFormat="1" ht="29.1" customHeight="1" x14ac:dyDescent="0.25">
      <c r="A174" s="2" t="s">
        <v>474</v>
      </c>
      <c r="B174" s="2" t="s">
        <v>475</v>
      </c>
      <c r="C174" s="2" t="s">
        <v>5</v>
      </c>
      <c r="D174" s="2" t="s">
        <v>342</v>
      </c>
      <c r="E174" s="2" t="str">
        <f>"9789464638653"</f>
        <v>9789464638653</v>
      </c>
      <c r="F174" s="2" t="str">
        <f>"9789464638660"</f>
        <v>9789464638660</v>
      </c>
    </row>
    <row r="175" spans="1:6" s="3" customFormat="1" ht="29.1" customHeight="1" x14ac:dyDescent="0.25">
      <c r="A175" s="2" t="s">
        <v>476</v>
      </c>
      <c r="B175" s="2" t="s">
        <v>142</v>
      </c>
      <c r="C175" s="2" t="s">
        <v>5</v>
      </c>
      <c r="D175" s="2" t="s">
        <v>477</v>
      </c>
      <c r="E175" s="2" t="str">
        <f>"9789464638776"</f>
        <v>9789464638776</v>
      </c>
      <c r="F175" s="2" t="str">
        <f>"9789464638783"</f>
        <v>9789464638783</v>
      </c>
    </row>
    <row r="176" spans="1:6" s="3" customFormat="1" ht="29.1" customHeight="1" x14ac:dyDescent="0.25">
      <c r="A176" s="2" t="s">
        <v>478</v>
      </c>
      <c r="B176" s="2" t="s">
        <v>480</v>
      </c>
      <c r="C176" s="2" t="s">
        <v>5</v>
      </c>
      <c r="D176" s="2" t="s">
        <v>479</v>
      </c>
      <c r="E176" s="2" t="str">
        <f>"9789464638790"</f>
        <v>9789464638790</v>
      </c>
      <c r="F176" s="2" t="str">
        <f>"9789464638806"</f>
        <v>9789464638806</v>
      </c>
    </row>
    <row r="177" spans="1:6" s="3" customFormat="1" ht="29.1" customHeight="1" x14ac:dyDescent="0.25">
      <c r="A177" s="2" t="s">
        <v>481</v>
      </c>
      <c r="B177" s="2" t="s">
        <v>482</v>
      </c>
      <c r="C177" s="2" t="s">
        <v>29</v>
      </c>
      <c r="D177" s="2" t="s">
        <v>9</v>
      </c>
      <c r="E177" s="2" t="str">
        <f>"9789004749764"</f>
        <v>9789004749764</v>
      </c>
      <c r="F177" s="2" t="str">
        <f>"9789004749771"</f>
        <v>9789004749771</v>
      </c>
    </row>
    <row r="178" spans="1:6" s="3" customFormat="1" ht="29.1" customHeight="1" x14ac:dyDescent="0.25">
      <c r="A178" s="2" t="s">
        <v>483</v>
      </c>
      <c r="B178" s="2" t="s">
        <v>485</v>
      </c>
      <c r="C178" s="2" t="s">
        <v>36</v>
      </c>
      <c r="D178" s="2" t="s">
        <v>484</v>
      </c>
      <c r="E178" s="2"/>
      <c r="F178" s="2" t="str">
        <f>"9781529245547"</f>
        <v>9781529245547</v>
      </c>
    </row>
    <row r="179" spans="1:6" s="3" customFormat="1" ht="29.1" customHeight="1" x14ac:dyDescent="0.25">
      <c r="A179" s="2" t="s">
        <v>486</v>
      </c>
      <c r="B179" s="2" t="s">
        <v>488</v>
      </c>
      <c r="C179" s="2" t="s">
        <v>5</v>
      </c>
      <c r="D179" s="2" t="s">
        <v>487</v>
      </c>
      <c r="E179" s="2" t="str">
        <f>"9783032057983"</f>
        <v>9783032057983</v>
      </c>
      <c r="F179" s="2" t="str">
        <f>"9783032057990"</f>
        <v>9783032057990</v>
      </c>
    </row>
    <row r="180" spans="1:6" s="3" customFormat="1" ht="29.1" customHeight="1" x14ac:dyDescent="0.25">
      <c r="A180" s="2" t="s">
        <v>489</v>
      </c>
      <c r="B180" s="2" t="s">
        <v>491</v>
      </c>
      <c r="C180" s="2" t="s">
        <v>5</v>
      </c>
      <c r="D180" s="2" t="s">
        <v>490</v>
      </c>
      <c r="E180" s="2" t="str">
        <f>"9783032021830"</f>
        <v>9783032021830</v>
      </c>
      <c r="F180" s="2" t="str">
        <f>"9783032021847"</f>
        <v>9783032021847</v>
      </c>
    </row>
    <row r="181" spans="1:6" s="3" customFormat="1" ht="29.1" customHeight="1" x14ac:dyDescent="0.25">
      <c r="A181" s="2" t="s">
        <v>492</v>
      </c>
      <c r="B181" s="2" t="s">
        <v>493</v>
      </c>
      <c r="C181" s="2" t="s">
        <v>5</v>
      </c>
      <c r="D181" s="2" t="s">
        <v>141</v>
      </c>
      <c r="E181" s="2" t="str">
        <f>"9783658491055"</f>
        <v>9783658491055</v>
      </c>
      <c r="F181" s="2" t="str">
        <f>"9783658491062"</f>
        <v>9783658491062</v>
      </c>
    </row>
    <row r="182" spans="1:6" s="3" customFormat="1" ht="29.1" customHeight="1" x14ac:dyDescent="0.25">
      <c r="A182" s="2" t="s">
        <v>494</v>
      </c>
      <c r="B182" s="2" t="s">
        <v>495</v>
      </c>
      <c r="C182" s="2" t="s">
        <v>5</v>
      </c>
      <c r="D182" s="2" t="s">
        <v>98</v>
      </c>
      <c r="E182" s="2" t="str">
        <f>"9783032032720"</f>
        <v>9783032032720</v>
      </c>
      <c r="F182" s="2" t="str">
        <f>"9783032032737"</f>
        <v>9783032032737</v>
      </c>
    </row>
    <row r="183" spans="1:6" s="3" customFormat="1" ht="29.1" customHeight="1" x14ac:dyDescent="0.25">
      <c r="A183" s="2" t="s">
        <v>496</v>
      </c>
      <c r="B183" s="2" t="s">
        <v>498</v>
      </c>
      <c r="C183" s="2" t="s">
        <v>29</v>
      </c>
      <c r="D183" s="2" t="s">
        <v>497</v>
      </c>
      <c r="E183" s="2" t="str">
        <f>"9789004722408"</f>
        <v>9789004722408</v>
      </c>
      <c r="F183" s="2" t="str">
        <f>"9789004722415"</f>
        <v>9789004722415</v>
      </c>
    </row>
    <row r="184" spans="1:6" s="3" customFormat="1" ht="29.1" customHeight="1" x14ac:dyDescent="0.25">
      <c r="A184" s="2" t="s">
        <v>499</v>
      </c>
      <c r="B184" s="2" t="s">
        <v>498</v>
      </c>
      <c r="C184" s="2" t="s">
        <v>29</v>
      </c>
      <c r="D184" s="2" t="s">
        <v>497</v>
      </c>
      <c r="E184" s="2" t="str">
        <f>"9789004693913"</f>
        <v>9789004693913</v>
      </c>
      <c r="F184" s="2" t="str">
        <f>"9789004715547"</f>
        <v>9789004715547</v>
      </c>
    </row>
    <row r="185" spans="1:6" s="3" customFormat="1" ht="29.1" customHeight="1" x14ac:dyDescent="0.25">
      <c r="A185" s="2" t="s">
        <v>500</v>
      </c>
      <c r="B185" s="2" t="s">
        <v>502</v>
      </c>
      <c r="C185" s="2" t="s">
        <v>36</v>
      </c>
      <c r="D185" s="2" t="s">
        <v>501</v>
      </c>
      <c r="E185" s="2"/>
      <c r="F185" s="2" t="str">
        <f>"9781529241570"</f>
        <v>9781529241570</v>
      </c>
    </row>
    <row r="186" spans="1:6" s="3" customFormat="1" ht="29.1" customHeight="1" x14ac:dyDescent="0.25">
      <c r="A186" s="2" t="s">
        <v>503</v>
      </c>
      <c r="B186" s="2" t="s">
        <v>505</v>
      </c>
      <c r="C186" s="2" t="s">
        <v>5</v>
      </c>
      <c r="D186" s="2" t="s">
        <v>504</v>
      </c>
      <c r="E186" s="2" t="str">
        <f>"9783032067463"</f>
        <v>9783032067463</v>
      </c>
      <c r="F186" s="2" t="str">
        <f>"9783032067470"</f>
        <v>9783032067470</v>
      </c>
    </row>
    <row r="187" spans="1:6" s="3" customFormat="1" ht="29.1" customHeight="1" x14ac:dyDescent="0.25">
      <c r="A187" s="2" t="s">
        <v>506</v>
      </c>
      <c r="B187" s="2" t="s">
        <v>507</v>
      </c>
      <c r="C187" s="2" t="s">
        <v>131</v>
      </c>
      <c r="D187" s="2" t="s">
        <v>132</v>
      </c>
      <c r="E187" s="2" t="str">
        <f>"9789027228604"</f>
        <v>9789027228604</v>
      </c>
      <c r="F187" s="2" t="str">
        <f>"9789027244352"</f>
        <v>9789027244352</v>
      </c>
    </row>
    <row r="188" spans="1:6" s="3" customFormat="1" ht="29.1" customHeight="1" x14ac:dyDescent="0.25">
      <c r="A188" s="2" t="s">
        <v>508</v>
      </c>
      <c r="B188" s="2" t="s">
        <v>510</v>
      </c>
      <c r="C188" s="2" t="s">
        <v>29</v>
      </c>
      <c r="D188" s="2" t="s">
        <v>509</v>
      </c>
      <c r="E188" s="2" t="str">
        <f>"9789004727007"</f>
        <v>9789004727007</v>
      </c>
      <c r="F188" s="2" t="str">
        <f>"9789004728011"</f>
        <v>9789004728011</v>
      </c>
    </row>
    <row r="189" spans="1:6" s="3" customFormat="1" ht="29.1" customHeight="1" x14ac:dyDescent="0.25">
      <c r="A189" s="2" t="s">
        <v>511</v>
      </c>
      <c r="B189" s="2" t="s">
        <v>513</v>
      </c>
      <c r="C189" s="2" t="s">
        <v>29</v>
      </c>
      <c r="D189" s="2" t="s">
        <v>512</v>
      </c>
      <c r="E189" s="2" t="str">
        <f>"9789004694415"</f>
        <v>9789004694415</v>
      </c>
      <c r="F189" s="2" t="str">
        <f>"9789004741973"</f>
        <v>9789004741973</v>
      </c>
    </row>
    <row r="190" spans="1:6" s="3" customFormat="1" ht="29.1" customHeight="1" x14ac:dyDescent="0.25">
      <c r="A190" s="2" t="s">
        <v>514</v>
      </c>
      <c r="B190" s="2" t="s">
        <v>516</v>
      </c>
      <c r="C190" s="2" t="s">
        <v>5</v>
      </c>
      <c r="D190" s="2" t="s">
        <v>515</v>
      </c>
      <c r="E190" s="2" t="str">
        <f>"9789819612178"</f>
        <v>9789819612178</v>
      </c>
      <c r="F190" s="2" t="str">
        <f>"9789819612185"</f>
        <v>9789819612185</v>
      </c>
    </row>
    <row r="191" spans="1:6" s="3" customFormat="1" ht="29.1" customHeight="1" x14ac:dyDescent="0.25">
      <c r="A191" s="2" t="s">
        <v>517</v>
      </c>
      <c r="B191" s="2" t="s">
        <v>518</v>
      </c>
      <c r="C191" s="2" t="s">
        <v>5</v>
      </c>
      <c r="D191" s="2" t="s">
        <v>281</v>
      </c>
      <c r="E191" s="2" t="str">
        <f>"9783032090393"</f>
        <v>9783032090393</v>
      </c>
      <c r="F191" s="2" t="str">
        <f>"9783032090409"</f>
        <v>9783032090409</v>
      </c>
    </row>
    <row r="192" spans="1:6" s="3" customFormat="1" ht="29.1" customHeight="1" x14ac:dyDescent="0.25">
      <c r="A192" s="2" t="s">
        <v>519</v>
      </c>
      <c r="B192" s="2" t="s">
        <v>520</v>
      </c>
      <c r="C192" s="2" t="s">
        <v>5</v>
      </c>
      <c r="D192" s="2" t="s">
        <v>52</v>
      </c>
      <c r="E192" s="2" t="str">
        <f>"9783032090072"</f>
        <v>9783032090072</v>
      </c>
      <c r="F192" s="2" t="str">
        <f>"9783032090089"</f>
        <v>9783032090089</v>
      </c>
    </row>
    <row r="193" spans="1:6" s="3" customFormat="1" ht="29.1" customHeight="1" x14ac:dyDescent="0.25">
      <c r="A193" s="2" t="s">
        <v>521</v>
      </c>
      <c r="B193" s="2" t="s">
        <v>523</v>
      </c>
      <c r="C193" s="2" t="s">
        <v>149</v>
      </c>
      <c r="D193" s="2" t="s">
        <v>522</v>
      </c>
      <c r="E193" s="2" t="str">
        <f>"9781685712822"</f>
        <v>9781685712822</v>
      </c>
      <c r="F193" s="2" t="str">
        <f>"9781685712839"</f>
        <v>9781685712839</v>
      </c>
    </row>
    <row r="194" spans="1:6" s="3" customFormat="1" ht="29.1" customHeight="1" x14ac:dyDescent="0.25">
      <c r="A194" s="2" t="s">
        <v>524</v>
      </c>
      <c r="B194" s="2" t="s">
        <v>526</v>
      </c>
      <c r="C194" s="2" t="s">
        <v>149</v>
      </c>
      <c r="D194" s="2" t="s">
        <v>525</v>
      </c>
      <c r="E194" s="2" t="str">
        <f>"9781805116431"</f>
        <v>9781805116431</v>
      </c>
      <c r="F194" s="2" t="str">
        <f>"9781805116455"</f>
        <v>9781805116455</v>
      </c>
    </row>
    <row r="195" spans="1:6" s="3" customFormat="1" ht="29.1" customHeight="1" x14ac:dyDescent="0.25">
      <c r="A195" s="2" t="s">
        <v>527</v>
      </c>
      <c r="B195" s="2" t="s">
        <v>529</v>
      </c>
      <c r="C195" s="2" t="s">
        <v>149</v>
      </c>
      <c r="D195" s="2" t="s">
        <v>528</v>
      </c>
      <c r="E195" s="2" t="str">
        <f>"9781805116073"</f>
        <v>9781805116073</v>
      </c>
      <c r="F195" s="2" t="str">
        <f>"9781805116097"</f>
        <v>9781805116097</v>
      </c>
    </row>
    <row r="196" spans="1:6" s="3" customFormat="1" ht="29.1" customHeight="1" x14ac:dyDescent="0.25">
      <c r="A196" s="2" t="s">
        <v>530</v>
      </c>
      <c r="B196" s="2" t="s">
        <v>531</v>
      </c>
      <c r="C196" s="2" t="s">
        <v>149</v>
      </c>
      <c r="D196" s="2" t="s">
        <v>459</v>
      </c>
      <c r="E196" s="2" t="str">
        <f>"9781805115977"</f>
        <v>9781805115977</v>
      </c>
      <c r="F196" s="2" t="str">
        <f>"9781805115991"</f>
        <v>9781805115991</v>
      </c>
    </row>
    <row r="197" spans="1:6" s="3" customFormat="1" ht="29.1" customHeight="1" x14ac:dyDescent="0.25">
      <c r="A197" s="2" t="s">
        <v>532</v>
      </c>
      <c r="B197" s="2" t="s">
        <v>533</v>
      </c>
      <c r="C197" s="2" t="s">
        <v>20</v>
      </c>
      <c r="D197" s="2" t="s">
        <v>183</v>
      </c>
      <c r="E197" s="2"/>
      <c r="F197" s="2" t="str">
        <f>"9783763978861"</f>
        <v>9783763978861</v>
      </c>
    </row>
    <row r="198" spans="1:6" s="3" customFormat="1" ht="29.1" customHeight="1" x14ac:dyDescent="0.25">
      <c r="A198" s="2" t="s">
        <v>534</v>
      </c>
      <c r="B198" s="2" t="s">
        <v>535</v>
      </c>
      <c r="C198" s="2" t="s">
        <v>5</v>
      </c>
      <c r="D198" s="2" t="s">
        <v>186</v>
      </c>
      <c r="E198" s="2" t="str">
        <f>"9789464638530"</f>
        <v>9789464638530</v>
      </c>
      <c r="F198" s="2" t="str">
        <f>"9789464638547"</f>
        <v>9789464638547</v>
      </c>
    </row>
    <row r="199" spans="1:6" s="3" customFormat="1" ht="29.1" customHeight="1" x14ac:dyDescent="0.25">
      <c r="A199" s="2" t="s">
        <v>536</v>
      </c>
      <c r="B199" s="2" t="s">
        <v>538</v>
      </c>
      <c r="C199" s="2" t="s">
        <v>5</v>
      </c>
      <c r="D199" s="2" t="s">
        <v>537</v>
      </c>
      <c r="E199" s="2" t="str">
        <f>"9783031803215"</f>
        <v>9783031803215</v>
      </c>
      <c r="F199" s="2" t="str">
        <f>"9783031803222"</f>
        <v>9783031803222</v>
      </c>
    </row>
    <row r="200" spans="1:6" s="3" customFormat="1" ht="29.1" customHeight="1" x14ac:dyDescent="0.25">
      <c r="A200" s="2" t="s">
        <v>539</v>
      </c>
      <c r="B200" s="2" t="s">
        <v>540</v>
      </c>
      <c r="C200" s="2" t="s">
        <v>5</v>
      </c>
      <c r="D200" s="2" t="s">
        <v>12</v>
      </c>
      <c r="E200" s="2" t="str">
        <f>"9783031974106"</f>
        <v>9783031974106</v>
      </c>
      <c r="F200" s="2" t="str">
        <f>"9783031974113"</f>
        <v>9783031974113</v>
      </c>
    </row>
    <row r="201" spans="1:6" s="3" customFormat="1" ht="29.1" customHeight="1" x14ac:dyDescent="0.25">
      <c r="A201" s="2" t="s">
        <v>541</v>
      </c>
      <c r="B201" s="2" t="s">
        <v>542</v>
      </c>
      <c r="C201" s="2" t="s">
        <v>5</v>
      </c>
      <c r="D201" s="2" t="s">
        <v>30</v>
      </c>
      <c r="E201" s="2" t="str">
        <f>"9783662718803"</f>
        <v>9783662718803</v>
      </c>
      <c r="F201" s="2" t="str">
        <f>"9783662718810"</f>
        <v>9783662718810</v>
      </c>
    </row>
    <row r="202" spans="1:6" s="3" customFormat="1" ht="29.1" customHeight="1" x14ac:dyDescent="0.25">
      <c r="A202" s="2" t="s">
        <v>543</v>
      </c>
      <c r="B202" s="2" t="s">
        <v>545</v>
      </c>
      <c r="C202" s="2" t="s">
        <v>5</v>
      </c>
      <c r="D202" s="2" t="s">
        <v>544</v>
      </c>
      <c r="E202" s="2" t="str">
        <f>"9783031982521"</f>
        <v>9783031982521</v>
      </c>
      <c r="F202" s="2" t="str">
        <f>"9783031982538"</f>
        <v>9783031982538</v>
      </c>
    </row>
    <row r="203" spans="1:6" s="3" customFormat="1" ht="29.1" customHeight="1" x14ac:dyDescent="0.25">
      <c r="A203" s="2" t="s">
        <v>546</v>
      </c>
      <c r="B203" s="2" t="s">
        <v>548</v>
      </c>
      <c r="C203" s="2" t="s">
        <v>5</v>
      </c>
      <c r="D203" s="2" t="s">
        <v>547</v>
      </c>
      <c r="E203" s="2" t="str">
        <f>"9789819514731"</f>
        <v>9789819514731</v>
      </c>
      <c r="F203" s="2" t="str">
        <f>"9789819514748"</f>
        <v>9789819514748</v>
      </c>
    </row>
    <row r="204" spans="1:6" s="3" customFormat="1" ht="29.1" customHeight="1" x14ac:dyDescent="0.25">
      <c r="A204" s="2" t="s">
        <v>549</v>
      </c>
      <c r="B204" s="2" t="s">
        <v>551</v>
      </c>
      <c r="C204" s="2" t="s">
        <v>5</v>
      </c>
      <c r="D204" s="2" t="s">
        <v>550</v>
      </c>
      <c r="E204" s="2" t="str">
        <f>"9783031953644"</f>
        <v>9783031953644</v>
      </c>
      <c r="F204" s="2" t="str">
        <f>"9783031953651"</f>
        <v>9783031953651</v>
      </c>
    </row>
    <row r="205" spans="1:6" s="3" customFormat="1" ht="29.1" customHeight="1" x14ac:dyDescent="0.25">
      <c r="A205" s="2" t="s">
        <v>552</v>
      </c>
      <c r="B205" s="2" t="s">
        <v>554</v>
      </c>
      <c r="C205" s="2" t="s">
        <v>5</v>
      </c>
      <c r="D205" s="2" t="s">
        <v>553</v>
      </c>
      <c r="E205" s="2" t="str">
        <f>"9783031881725"</f>
        <v>9783031881725</v>
      </c>
      <c r="F205" s="2" t="str">
        <f>"9783031881732"</f>
        <v>9783031881732</v>
      </c>
    </row>
    <row r="206" spans="1:6" s="3" customFormat="1" ht="29.1" customHeight="1" x14ac:dyDescent="0.25">
      <c r="A206" s="2" t="s">
        <v>555</v>
      </c>
      <c r="B206" s="2" t="s">
        <v>557</v>
      </c>
      <c r="C206" s="2" t="s">
        <v>556</v>
      </c>
      <c r="D206" s="2"/>
      <c r="E206" s="2" t="str">
        <f>"9783837679137"</f>
        <v>9783837679137</v>
      </c>
      <c r="F206" s="2" t="str">
        <f>"9783839431597"</f>
        <v>9783839431597</v>
      </c>
    </row>
    <row r="207" spans="1:6" s="3" customFormat="1" ht="29.1" customHeight="1" x14ac:dyDescent="0.25">
      <c r="A207" s="2" t="s">
        <v>558</v>
      </c>
      <c r="B207" s="2" t="s">
        <v>559</v>
      </c>
      <c r="C207" s="2" t="s">
        <v>556</v>
      </c>
      <c r="D207" s="2"/>
      <c r="E207" s="2" t="str">
        <f>"9783837677386"</f>
        <v>9783837677386</v>
      </c>
      <c r="F207" s="2" t="str">
        <f>"9783839403907"</f>
        <v>9783839403907</v>
      </c>
    </row>
    <row r="208" spans="1:6" s="3" customFormat="1" ht="29.1" customHeight="1" x14ac:dyDescent="0.25">
      <c r="A208" s="2" t="s">
        <v>560</v>
      </c>
      <c r="B208" s="2" t="s">
        <v>561</v>
      </c>
      <c r="C208" s="2" t="s">
        <v>556</v>
      </c>
      <c r="D208" s="2"/>
      <c r="E208" s="2" t="str">
        <f>"9783837671254"</f>
        <v>9783837671254</v>
      </c>
      <c r="F208" s="2" t="str">
        <f>"9783839471258"</f>
        <v>9783839471258</v>
      </c>
    </row>
    <row r="209" spans="1:6" s="3" customFormat="1" ht="29.1" customHeight="1" x14ac:dyDescent="0.25">
      <c r="A209" s="2" t="s">
        <v>562</v>
      </c>
      <c r="B209" s="2" t="s">
        <v>563</v>
      </c>
      <c r="C209" s="2" t="s">
        <v>556</v>
      </c>
      <c r="D209" s="2"/>
      <c r="E209" s="2" t="str">
        <f>"9783837662474"</f>
        <v>9783837662474</v>
      </c>
      <c r="F209" s="2" t="str">
        <f>"9783839462478"</f>
        <v>9783839462478</v>
      </c>
    </row>
    <row r="210" spans="1:6" s="3" customFormat="1" ht="29.1" customHeight="1" x14ac:dyDescent="0.25">
      <c r="A210" s="2" t="s">
        <v>564</v>
      </c>
      <c r="B210" s="2" t="s">
        <v>565</v>
      </c>
      <c r="C210" s="2" t="s">
        <v>556</v>
      </c>
      <c r="D210" s="2"/>
      <c r="E210" s="2" t="str">
        <f>"9783837679700"</f>
        <v>9783837679700</v>
      </c>
      <c r="F210" s="2" t="str">
        <f>"9783839443149"</f>
        <v>9783839443149</v>
      </c>
    </row>
    <row r="211" spans="1:6" s="3" customFormat="1" ht="29.1" customHeight="1" x14ac:dyDescent="0.25">
      <c r="A211" s="2" t="s">
        <v>567</v>
      </c>
      <c r="B211" s="2" t="s">
        <v>568</v>
      </c>
      <c r="C211" s="2" t="s">
        <v>556</v>
      </c>
      <c r="D211" s="2"/>
      <c r="E211" s="2" t="str">
        <f>"9783837679717"</f>
        <v>9783837679717</v>
      </c>
      <c r="F211" s="2" t="str">
        <f>"9783839443187"</f>
        <v>9783839443187</v>
      </c>
    </row>
    <row r="212" spans="1:6" s="3" customFormat="1" ht="29.1" customHeight="1" x14ac:dyDescent="0.25">
      <c r="A212" s="2" t="s">
        <v>569</v>
      </c>
      <c r="B212" s="2" t="s">
        <v>570</v>
      </c>
      <c r="C212" s="2" t="s">
        <v>556</v>
      </c>
      <c r="D212" s="2"/>
      <c r="E212" s="2" t="str">
        <f>"9783837652178"</f>
        <v>9783837652178</v>
      </c>
      <c r="F212" s="2" t="str">
        <f>"9783839400050"</f>
        <v>9783839400050</v>
      </c>
    </row>
    <row r="213" spans="1:6" s="3" customFormat="1" ht="29.1" customHeight="1" x14ac:dyDescent="0.25">
      <c r="A213" s="2" t="s">
        <v>571</v>
      </c>
      <c r="B213" s="2" t="s">
        <v>572</v>
      </c>
      <c r="C213" s="2" t="s">
        <v>556</v>
      </c>
      <c r="D213" s="2"/>
      <c r="E213" s="2" t="str">
        <f>"9783837657241"</f>
        <v>9783837657241</v>
      </c>
      <c r="F213" s="2" t="str">
        <f>"9783839457245"</f>
        <v>9783839457245</v>
      </c>
    </row>
    <row r="214" spans="1:6" s="3" customFormat="1" ht="29.1" customHeight="1" x14ac:dyDescent="0.25">
      <c r="A214" s="2" t="s">
        <v>573</v>
      </c>
      <c r="B214" s="2" t="s">
        <v>565</v>
      </c>
      <c r="C214" s="2" t="s">
        <v>556</v>
      </c>
      <c r="D214" s="2"/>
      <c r="E214" s="2" t="str">
        <f>"9783837679694"</f>
        <v>9783837679694</v>
      </c>
      <c r="F214" s="2" t="str">
        <f>"9783839442890"</f>
        <v>9783839442890</v>
      </c>
    </row>
    <row r="215" spans="1:6" s="3" customFormat="1" ht="29.1" customHeight="1" x14ac:dyDescent="0.25">
      <c r="A215" s="2" t="s">
        <v>574</v>
      </c>
      <c r="B215" s="2" t="s">
        <v>575</v>
      </c>
      <c r="C215" s="2" t="s">
        <v>556</v>
      </c>
      <c r="D215" s="2"/>
      <c r="E215" s="2" t="str">
        <f>"9783837679977"</f>
        <v>9783837679977</v>
      </c>
      <c r="F215" s="2" t="str">
        <f>"9783839448052"</f>
        <v>9783839448052</v>
      </c>
    </row>
    <row r="216" spans="1:6" s="3" customFormat="1" ht="29.1" customHeight="1" x14ac:dyDescent="0.25">
      <c r="A216" s="2" t="s">
        <v>576</v>
      </c>
      <c r="B216" s="2" t="s">
        <v>577</v>
      </c>
      <c r="C216" s="2" t="s">
        <v>556</v>
      </c>
      <c r="D216" s="2"/>
      <c r="E216" s="2" t="str">
        <f>"9783837667516"</f>
        <v>9783837667516</v>
      </c>
      <c r="F216" s="2" t="str">
        <f>"9783839467510"</f>
        <v>9783839467510</v>
      </c>
    </row>
    <row r="217" spans="1:6" s="3" customFormat="1" ht="29.1" customHeight="1" x14ac:dyDescent="0.25">
      <c r="A217" s="2" t="s">
        <v>578</v>
      </c>
      <c r="B217" s="2" t="s">
        <v>579</v>
      </c>
      <c r="C217" s="2" t="s">
        <v>556</v>
      </c>
      <c r="D217" s="2"/>
      <c r="E217" s="2" t="str">
        <f>"9783837676457"</f>
        <v>9783837676457</v>
      </c>
      <c r="F217" s="2" t="str">
        <f>"9783839476451"</f>
        <v>9783839476451</v>
      </c>
    </row>
    <row r="218" spans="1:6" s="3" customFormat="1" ht="29.1" customHeight="1" x14ac:dyDescent="0.25">
      <c r="A218" s="2" t="s">
        <v>580</v>
      </c>
      <c r="B218" s="2" t="s">
        <v>565</v>
      </c>
      <c r="C218" s="2" t="s">
        <v>556</v>
      </c>
      <c r="D218" s="2"/>
      <c r="E218" s="2" t="str">
        <f>"9783837679687"</f>
        <v>9783837679687</v>
      </c>
      <c r="F218" s="2" t="str">
        <f>"9783839442777"</f>
        <v>9783839442777</v>
      </c>
    </row>
    <row r="219" spans="1:6" s="3" customFormat="1" ht="29.1" customHeight="1" x14ac:dyDescent="0.25">
      <c r="A219" s="2" t="s">
        <v>581</v>
      </c>
      <c r="B219" s="2" t="s">
        <v>582</v>
      </c>
      <c r="C219" s="2" t="s">
        <v>556</v>
      </c>
      <c r="D219" s="2"/>
      <c r="E219" s="2" t="str">
        <f>"9783837679311"</f>
        <v>9783837679311</v>
      </c>
      <c r="F219" s="2" t="str">
        <f>"9783839435601"</f>
        <v>9783839435601</v>
      </c>
    </row>
    <row r="220" spans="1:6" s="3" customFormat="1" ht="29.1" customHeight="1" x14ac:dyDescent="0.25">
      <c r="A220" s="2" t="s">
        <v>584</v>
      </c>
      <c r="B220" s="2" t="s">
        <v>585</v>
      </c>
      <c r="C220" s="2" t="s">
        <v>556</v>
      </c>
      <c r="D220" s="2"/>
      <c r="E220" s="2" t="str">
        <f>"9783837676624"</f>
        <v>9783837676624</v>
      </c>
      <c r="F220" s="2" t="str">
        <f>"9783839476628"</f>
        <v>9783839476628</v>
      </c>
    </row>
    <row r="221" spans="1:6" s="3" customFormat="1" ht="29.1" customHeight="1" x14ac:dyDescent="0.25">
      <c r="A221" s="2" t="s">
        <v>586</v>
      </c>
      <c r="B221" s="2" t="s">
        <v>587</v>
      </c>
      <c r="C221" s="2" t="s">
        <v>556</v>
      </c>
      <c r="D221" s="2"/>
      <c r="E221" s="2" t="str">
        <f>"9783837678789"</f>
        <v>9783837678789</v>
      </c>
      <c r="F221" s="2" t="str">
        <f>"9783839417553"</f>
        <v>9783839417553</v>
      </c>
    </row>
    <row r="222" spans="1:6" s="3" customFormat="1" ht="29.1" customHeight="1" x14ac:dyDescent="0.25">
      <c r="A222" s="2" t="s">
        <v>588</v>
      </c>
      <c r="B222" s="2" t="s">
        <v>589</v>
      </c>
      <c r="C222" s="2" t="s">
        <v>556</v>
      </c>
      <c r="D222" s="2"/>
      <c r="E222" s="2" t="str">
        <f>"9783837676983"</f>
        <v>9783837676983</v>
      </c>
      <c r="F222" s="2" t="str">
        <f>"9783839476987"</f>
        <v>9783839476987</v>
      </c>
    </row>
    <row r="223" spans="1:6" s="3" customFormat="1" ht="29.1" customHeight="1" x14ac:dyDescent="0.25">
      <c r="A223" s="2" t="s">
        <v>590</v>
      </c>
      <c r="B223" s="2" t="s">
        <v>591</v>
      </c>
      <c r="C223" s="2" t="s">
        <v>556</v>
      </c>
      <c r="D223" s="2"/>
      <c r="E223" s="2" t="str">
        <f>"9783837676303"</f>
        <v>9783837676303</v>
      </c>
      <c r="F223" s="2" t="str">
        <f>"9783839476307"</f>
        <v>9783839476307</v>
      </c>
    </row>
    <row r="224" spans="1:6" s="3" customFormat="1" ht="29.1" customHeight="1" x14ac:dyDescent="0.25">
      <c r="A224" s="2" t="s">
        <v>592</v>
      </c>
      <c r="B224" s="2" t="s">
        <v>593</v>
      </c>
      <c r="C224" s="2" t="s">
        <v>62</v>
      </c>
      <c r="D224" s="2" t="s">
        <v>89</v>
      </c>
      <c r="E224" s="2" t="str">
        <f>"9783428196524"</f>
        <v>9783428196524</v>
      </c>
      <c r="F224" s="2" t="str">
        <f>"9783428596522"</f>
        <v>9783428596522</v>
      </c>
    </row>
    <row r="225" spans="1:6" s="3" customFormat="1" ht="29.1" customHeight="1" x14ac:dyDescent="0.25">
      <c r="A225" s="2" t="s">
        <v>594</v>
      </c>
      <c r="B225" s="2" t="s">
        <v>597</v>
      </c>
      <c r="C225" s="2" t="s">
        <v>595</v>
      </c>
      <c r="D225" s="2" t="s">
        <v>596</v>
      </c>
      <c r="E225" s="2" t="str">
        <f>"9781803747774"</f>
        <v>9781803747774</v>
      </c>
      <c r="F225" s="2" t="str">
        <f>"9781803747781"</f>
        <v>9781803747781</v>
      </c>
    </row>
    <row r="226" spans="1:6" s="3" customFormat="1" ht="29.1" customHeight="1" x14ac:dyDescent="0.25">
      <c r="A226" s="2" t="s">
        <v>598</v>
      </c>
      <c r="B226" s="2" t="s">
        <v>599</v>
      </c>
      <c r="C226" s="2" t="s">
        <v>595</v>
      </c>
      <c r="D226" s="2" t="s">
        <v>490</v>
      </c>
      <c r="E226" s="2" t="str">
        <f>"9783631900734"</f>
        <v>9783631900734</v>
      </c>
      <c r="F226" s="2" t="str">
        <f>"9783631900741"</f>
        <v>9783631900741</v>
      </c>
    </row>
    <row r="227" spans="1:6" s="3" customFormat="1" ht="29.1" customHeight="1" x14ac:dyDescent="0.25">
      <c r="A227" s="2" t="s">
        <v>600</v>
      </c>
      <c r="B227" s="2" t="s">
        <v>601</v>
      </c>
      <c r="C227" s="2" t="s">
        <v>29</v>
      </c>
      <c r="D227" s="2" t="s">
        <v>33</v>
      </c>
      <c r="E227" s="2" t="str">
        <f>"9783770568963"</f>
        <v>9783770568963</v>
      </c>
      <c r="F227" s="2" t="str">
        <f>"9783846768969"</f>
        <v>9783846768969</v>
      </c>
    </row>
    <row r="228" spans="1:6" s="3" customFormat="1" ht="29.1" customHeight="1" x14ac:dyDescent="0.25">
      <c r="A228" s="2" t="s">
        <v>602</v>
      </c>
      <c r="B228" s="2" t="s">
        <v>603</v>
      </c>
      <c r="C228" s="2" t="s">
        <v>29</v>
      </c>
      <c r="D228" s="2" t="s">
        <v>33</v>
      </c>
      <c r="E228" s="2" t="str">
        <f>"9783770568604"</f>
        <v>9783770568604</v>
      </c>
      <c r="F228" s="2" t="str">
        <f>"9783846768600"</f>
        <v>9783846768600</v>
      </c>
    </row>
    <row r="229" spans="1:6" s="3" customFormat="1" ht="29.1" customHeight="1" x14ac:dyDescent="0.25">
      <c r="A229" s="2" t="s">
        <v>604</v>
      </c>
      <c r="B229" s="2" t="s">
        <v>607</v>
      </c>
      <c r="C229" s="2" t="s">
        <v>605</v>
      </c>
      <c r="D229" s="2" t="s">
        <v>606</v>
      </c>
      <c r="E229" s="2" t="str">
        <f>"9789657838280"</f>
        <v>9789657838280</v>
      </c>
      <c r="F229" s="2" t="str">
        <f>"9789657838297"</f>
        <v>9789657838297</v>
      </c>
    </row>
    <row r="230" spans="1:6" s="3" customFormat="1" ht="29.1" customHeight="1" x14ac:dyDescent="0.25">
      <c r="A230" s="2" t="s">
        <v>608</v>
      </c>
      <c r="B230" s="2" t="s">
        <v>609</v>
      </c>
      <c r="C230" s="2" t="s">
        <v>605</v>
      </c>
      <c r="D230" s="2" t="s">
        <v>606</v>
      </c>
      <c r="E230" s="2" t="str">
        <f>"9789657838242"</f>
        <v>9789657838242</v>
      </c>
      <c r="F230" s="2" t="str">
        <f>"9789657838259"</f>
        <v>9789657838259</v>
      </c>
    </row>
    <row r="231" spans="1:6" s="3" customFormat="1" ht="29.1" customHeight="1" x14ac:dyDescent="0.25">
      <c r="A231" s="2" t="s">
        <v>610</v>
      </c>
      <c r="B231" s="2" t="s">
        <v>611</v>
      </c>
      <c r="C231" s="2" t="s">
        <v>29</v>
      </c>
      <c r="D231" s="2" t="s">
        <v>192</v>
      </c>
      <c r="E231" s="2" t="str">
        <f>"9789004712683"</f>
        <v>9789004712683</v>
      </c>
      <c r="F231" s="2" t="str">
        <f>"9789004712690"</f>
        <v>9789004712690</v>
      </c>
    </row>
    <row r="232" spans="1:6" s="3" customFormat="1" ht="29.1" customHeight="1" x14ac:dyDescent="0.25">
      <c r="A232" s="2" t="s">
        <v>612</v>
      </c>
      <c r="B232" s="2" t="s">
        <v>615</v>
      </c>
      <c r="C232" s="2" t="s">
        <v>613</v>
      </c>
      <c r="D232" s="2" t="s">
        <v>614</v>
      </c>
      <c r="E232" s="2" t="str">
        <f>"9798337325828"</f>
        <v>9798337325828</v>
      </c>
      <c r="F232" s="2" t="str">
        <f>"9798337325842"</f>
        <v>9798337325842</v>
      </c>
    </row>
    <row r="233" spans="1:6" s="3" customFormat="1" ht="29.1" customHeight="1" x14ac:dyDescent="0.25">
      <c r="A233" s="2" t="s">
        <v>616</v>
      </c>
      <c r="B233" s="2" t="s">
        <v>617</v>
      </c>
      <c r="C233" s="2" t="s">
        <v>124</v>
      </c>
      <c r="D233" s="2" t="s">
        <v>183</v>
      </c>
      <c r="E233" s="2" t="str">
        <f>"9781041093411"</f>
        <v>9781041093411</v>
      </c>
      <c r="F233" s="2" t="str">
        <f>"9781003649595"</f>
        <v>9781003649595</v>
      </c>
    </row>
    <row r="234" spans="1:6" s="3" customFormat="1" ht="29.1" customHeight="1" x14ac:dyDescent="0.25">
      <c r="A234" s="2" t="s">
        <v>618</v>
      </c>
      <c r="B234" s="2" t="s">
        <v>620</v>
      </c>
      <c r="C234" s="2" t="s">
        <v>124</v>
      </c>
      <c r="D234" s="2" t="s">
        <v>619</v>
      </c>
      <c r="E234" s="2" t="str">
        <f>"9781041139904"</f>
        <v>9781041139904</v>
      </c>
      <c r="F234" s="2" t="str">
        <f>"9781003674245"</f>
        <v>9781003674245</v>
      </c>
    </row>
    <row r="235" spans="1:6" s="3" customFormat="1" ht="29.1" customHeight="1" x14ac:dyDescent="0.25">
      <c r="A235" s="2" t="s">
        <v>621</v>
      </c>
      <c r="B235" s="2" t="s">
        <v>622</v>
      </c>
      <c r="C235" s="2" t="s">
        <v>124</v>
      </c>
      <c r="D235" s="2" t="s">
        <v>294</v>
      </c>
      <c r="E235" s="2" t="str">
        <f>"9781041113706"</f>
        <v>9781041113706</v>
      </c>
      <c r="F235" s="2" t="str">
        <f>"9781003660255"</f>
        <v>9781003660255</v>
      </c>
    </row>
    <row r="236" spans="1:6" s="3" customFormat="1" ht="29.1" customHeight="1" x14ac:dyDescent="0.25">
      <c r="A236" s="2" t="s">
        <v>623</v>
      </c>
      <c r="B236" s="2" t="s">
        <v>625</v>
      </c>
      <c r="C236" s="2" t="s">
        <v>624</v>
      </c>
      <c r="D236" s="2"/>
      <c r="E236" s="2" t="str">
        <f>"9789518589825"</f>
        <v>9789518589825</v>
      </c>
      <c r="F236" s="2" t="str">
        <f>"9789518589832"</f>
        <v>9789518589832</v>
      </c>
    </row>
    <row r="237" spans="1:6" s="3" customFormat="1" ht="29.1" customHeight="1" x14ac:dyDescent="0.25">
      <c r="A237" s="2" t="s">
        <v>626</v>
      </c>
      <c r="B237" s="2" t="s">
        <v>627</v>
      </c>
      <c r="C237" s="2" t="s">
        <v>624</v>
      </c>
      <c r="D237" s="2"/>
      <c r="E237" s="2" t="str">
        <f>"9789518589436"</f>
        <v>9789518589436</v>
      </c>
      <c r="F237" s="2" t="str">
        <f>"9789518589443"</f>
        <v>9789518589443</v>
      </c>
    </row>
    <row r="238" spans="1:6" s="3" customFormat="1" ht="29.1" customHeight="1" x14ac:dyDescent="0.25">
      <c r="A238" s="2" t="s">
        <v>628</v>
      </c>
      <c r="B238" s="2" t="s">
        <v>629</v>
      </c>
      <c r="C238" s="2" t="s">
        <v>624</v>
      </c>
      <c r="D238" s="2"/>
      <c r="E238" s="2" t="str">
        <f>"9789518589498"</f>
        <v>9789518589498</v>
      </c>
      <c r="F238" s="2" t="str">
        <f>"9789518589504"</f>
        <v>9789518589504</v>
      </c>
    </row>
    <row r="239" spans="1:6" s="3" customFormat="1" ht="29.1" customHeight="1" x14ac:dyDescent="0.25">
      <c r="A239" s="2" t="s">
        <v>630</v>
      </c>
      <c r="B239" s="2" t="s">
        <v>631</v>
      </c>
      <c r="C239" s="2" t="s">
        <v>5</v>
      </c>
      <c r="D239" s="2" t="s">
        <v>186</v>
      </c>
      <c r="E239" s="2" t="str">
        <f>"9789464638615"</f>
        <v>9789464638615</v>
      </c>
      <c r="F239" s="2" t="str">
        <f>"9789464638622"</f>
        <v>9789464638622</v>
      </c>
    </row>
    <row r="240" spans="1:6" s="3" customFormat="1" ht="29.1" customHeight="1" x14ac:dyDescent="0.25">
      <c r="A240" s="2" t="s">
        <v>632</v>
      </c>
      <c r="B240" s="2" t="s">
        <v>634</v>
      </c>
      <c r="C240" s="2" t="s">
        <v>5</v>
      </c>
      <c r="D240" s="2" t="s">
        <v>633</v>
      </c>
      <c r="E240" s="2" t="str">
        <f>"9789819509416"</f>
        <v>9789819509416</v>
      </c>
      <c r="F240" s="2" t="str">
        <f>"9789819509423"</f>
        <v>9789819509423</v>
      </c>
    </row>
    <row r="241" spans="1:6" s="3" customFormat="1" ht="29.1" customHeight="1" x14ac:dyDescent="0.25">
      <c r="A241" s="2" t="s">
        <v>635</v>
      </c>
      <c r="B241" s="2" t="s">
        <v>637</v>
      </c>
      <c r="C241" s="2" t="s">
        <v>124</v>
      </c>
      <c r="D241" s="2" t="s">
        <v>636</v>
      </c>
      <c r="E241" s="2" t="str">
        <f>"9781041083634"</f>
        <v>9781041083634</v>
      </c>
      <c r="F241" s="2" t="str">
        <f>"9781003645054"</f>
        <v>9781003645054</v>
      </c>
    </row>
    <row r="242" spans="1:6" s="3" customFormat="1" ht="29.1" customHeight="1" x14ac:dyDescent="0.25">
      <c r="A242" s="2" t="s">
        <v>638</v>
      </c>
      <c r="B242" s="2" t="s">
        <v>640</v>
      </c>
      <c r="C242" s="2" t="s">
        <v>124</v>
      </c>
      <c r="D242" s="2" t="s">
        <v>639</v>
      </c>
      <c r="E242" s="2" t="str">
        <f>"9781032722542"</f>
        <v>9781032722542</v>
      </c>
      <c r="F242" s="2" t="str">
        <f>"9781003672166"</f>
        <v>9781003672166</v>
      </c>
    </row>
    <row r="243" spans="1:6" s="3" customFormat="1" ht="29.1" customHeight="1" x14ac:dyDescent="0.25">
      <c r="A243" s="2" t="s">
        <v>641</v>
      </c>
      <c r="B243" s="2" t="s">
        <v>642</v>
      </c>
      <c r="C243" s="2" t="s">
        <v>124</v>
      </c>
      <c r="D243" s="2" t="s">
        <v>86</v>
      </c>
      <c r="E243" s="2" t="str">
        <f>"9781041155683"</f>
        <v>9781041155683</v>
      </c>
      <c r="F243" s="2" t="str">
        <f>"9781003682110"</f>
        <v>9781003682110</v>
      </c>
    </row>
    <row r="244" spans="1:6" s="3" customFormat="1" ht="29.1" customHeight="1" x14ac:dyDescent="0.25">
      <c r="A244" s="2" t="s">
        <v>643</v>
      </c>
      <c r="B244" s="2" t="s">
        <v>645</v>
      </c>
      <c r="C244" s="2" t="s">
        <v>644</v>
      </c>
      <c r="D244" s="2" t="s">
        <v>636</v>
      </c>
      <c r="E244" s="2"/>
      <c r="F244" s="2" t="str">
        <f>"9781478091653"</f>
        <v>9781478091653</v>
      </c>
    </row>
    <row r="245" spans="1:6" s="3" customFormat="1" ht="29.1" customHeight="1" x14ac:dyDescent="0.25">
      <c r="A245" s="2" t="s">
        <v>646</v>
      </c>
      <c r="B245" s="2" t="s">
        <v>648</v>
      </c>
      <c r="C245" s="2" t="s">
        <v>124</v>
      </c>
      <c r="D245" s="2" t="s">
        <v>647</v>
      </c>
      <c r="E245" s="2" t="str">
        <f>"9781032369143"</f>
        <v>9781032369143</v>
      </c>
      <c r="F245" s="2" t="str">
        <f>"9781003334453"</f>
        <v>9781003334453</v>
      </c>
    </row>
    <row r="246" spans="1:6" s="3" customFormat="1" ht="29.1" customHeight="1" x14ac:dyDescent="0.25">
      <c r="A246" s="2" t="s">
        <v>649</v>
      </c>
      <c r="B246" s="2" t="s">
        <v>651</v>
      </c>
      <c r="C246" s="2" t="s">
        <v>5</v>
      </c>
      <c r="D246" s="2" t="s">
        <v>650</v>
      </c>
      <c r="E246" s="2" t="str">
        <f>"9789464638752"</f>
        <v>9789464638752</v>
      </c>
      <c r="F246" s="2" t="str">
        <f>"9789464638769"</f>
        <v>9789464638769</v>
      </c>
    </row>
    <row r="247" spans="1:6" s="3" customFormat="1" ht="29.1" customHeight="1" x14ac:dyDescent="0.25">
      <c r="A247" s="2" t="s">
        <v>652</v>
      </c>
      <c r="B247" s="2" t="s">
        <v>654</v>
      </c>
      <c r="C247" s="2" t="s">
        <v>5</v>
      </c>
      <c r="D247" s="2" t="s">
        <v>653</v>
      </c>
      <c r="E247" s="2" t="str">
        <f>"9789819621156"</f>
        <v>9789819621156</v>
      </c>
      <c r="F247" s="2" t="str">
        <f>"9789819621163"</f>
        <v>9789819621163</v>
      </c>
    </row>
    <row r="248" spans="1:6" s="3" customFormat="1" ht="29.1" customHeight="1" x14ac:dyDescent="0.25">
      <c r="A248" s="2" t="s">
        <v>655</v>
      </c>
      <c r="B248" s="2"/>
      <c r="C248" s="2" t="s">
        <v>59</v>
      </c>
      <c r="D248" s="2" t="s">
        <v>656</v>
      </c>
      <c r="E248" s="2"/>
      <c r="F248" s="2" t="str">
        <f>"9782759241262"</f>
        <v>9782759241262</v>
      </c>
    </row>
    <row r="249" spans="1:6" s="3" customFormat="1" ht="29.1" customHeight="1" x14ac:dyDescent="0.25">
      <c r="A249" s="2" t="s">
        <v>657</v>
      </c>
      <c r="B249" s="2" t="s">
        <v>659</v>
      </c>
      <c r="C249" s="2" t="s">
        <v>29</v>
      </c>
      <c r="D249" s="2" t="s">
        <v>658</v>
      </c>
      <c r="E249" s="2" t="str">
        <f>"9783770569311"</f>
        <v>9783770569311</v>
      </c>
      <c r="F249" s="2" t="str">
        <f>"9783846769317"</f>
        <v>9783846769317</v>
      </c>
    </row>
    <row r="250" spans="1:6" s="3" customFormat="1" ht="29.1" customHeight="1" x14ac:dyDescent="0.25">
      <c r="A250" s="2" t="s">
        <v>660</v>
      </c>
      <c r="B250" s="2" t="s">
        <v>662</v>
      </c>
      <c r="C250" s="2" t="s">
        <v>29</v>
      </c>
      <c r="D250" s="2" t="s">
        <v>661</v>
      </c>
      <c r="E250" s="2" t="str">
        <f>"9783770569434"</f>
        <v>9783770569434</v>
      </c>
      <c r="F250" s="2" t="str">
        <f>"9783846769430"</f>
        <v>9783846769430</v>
      </c>
    </row>
    <row r="251" spans="1:6" s="3" customFormat="1" ht="29.1" customHeight="1" x14ac:dyDescent="0.25">
      <c r="A251" s="2" t="s">
        <v>663</v>
      </c>
      <c r="B251" s="2" t="s">
        <v>664</v>
      </c>
      <c r="C251" s="2" t="s">
        <v>20</v>
      </c>
      <c r="D251" s="2" t="s">
        <v>297</v>
      </c>
      <c r="E251" s="2" t="str">
        <f>"9783763979240"</f>
        <v>9783763979240</v>
      </c>
      <c r="F251" s="2" t="str">
        <f>"9783763979257"</f>
        <v>9783763979257</v>
      </c>
    </row>
    <row r="252" spans="1:6" s="3" customFormat="1" ht="29.1" customHeight="1" x14ac:dyDescent="0.25">
      <c r="A252" s="2" t="s">
        <v>665</v>
      </c>
      <c r="B252" s="2" t="s">
        <v>666</v>
      </c>
      <c r="C252" s="2" t="s">
        <v>5</v>
      </c>
      <c r="D252" s="2" t="s">
        <v>479</v>
      </c>
      <c r="E252" s="2" t="str">
        <f>"9789819527397"</f>
        <v>9789819527397</v>
      </c>
      <c r="F252" s="2" t="str">
        <f>"9789819527403"</f>
        <v>9789819527403</v>
      </c>
    </row>
    <row r="253" spans="1:6" s="3" customFormat="1" ht="29.1" customHeight="1" x14ac:dyDescent="0.25">
      <c r="A253" s="2" t="s">
        <v>667</v>
      </c>
      <c r="B253" s="2" t="s">
        <v>668</v>
      </c>
      <c r="C253" s="2" t="s">
        <v>5</v>
      </c>
      <c r="D253" s="2" t="s">
        <v>52</v>
      </c>
      <c r="E253" s="2" t="str">
        <f>"9789819510498"</f>
        <v>9789819510498</v>
      </c>
      <c r="F253" s="2" t="str">
        <f>"9789819510504"</f>
        <v>9789819510504</v>
      </c>
    </row>
    <row r="254" spans="1:6" s="3" customFormat="1" ht="29.1" customHeight="1" x14ac:dyDescent="0.25">
      <c r="A254" s="2" t="s">
        <v>669</v>
      </c>
      <c r="B254" s="2" t="s">
        <v>670</v>
      </c>
      <c r="C254" s="2" t="s">
        <v>29</v>
      </c>
      <c r="D254" s="2" t="s">
        <v>107</v>
      </c>
      <c r="E254" s="2" t="str">
        <f>"9789004740778"</f>
        <v>9789004740778</v>
      </c>
      <c r="F254" s="2" t="str">
        <f>"9789004740785"</f>
        <v>9789004740785</v>
      </c>
    </row>
    <row r="255" spans="1:6" s="3" customFormat="1" ht="29.1" customHeight="1" x14ac:dyDescent="0.25">
      <c r="A255" s="2" t="s">
        <v>671</v>
      </c>
      <c r="B255" s="2" t="s">
        <v>672</v>
      </c>
      <c r="C255" s="2" t="s">
        <v>36</v>
      </c>
      <c r="D255" s="2" t="s">
        <v>249</v>
      </c>
      <c r="E255" s="2"/>
      <c r="F255" s="2" t="str">
        <f>"9781447373506"</f>
        <v>9781447373506</v>
      </c>
    </row>
    <row r="256" spans="1:6" s="3" customFormat="1" ht="29.1" customHeight="1" x14ac:dyDescent="0.25">
      <c r="A256" s="2" t="s">
        <v>673</v>
      </c>
      <c r="B256" s="2" t="s">
        <v>675</v>
      </c>
      <c r="C256" s="2" t="s">
        <v>36</v>
      </c>
      <c r="D256" s="2" t="s">
        <v>674</v>
      </c>
      <c r="E256" s="2"/>
      <c r="F256" s="2" t="str">
        <f>"9781529240665"</f>
        <v>9781529240665</v>
      </c>
    </row>
    <row r="257" spans="1:6" s="3" customFormat="1" ht="29.1" customHeight="1" x14ac:dyDescent="0.25">
      <c r="A257" s="2" t="s">
        <v>676</v>
      </c>
      <c r="B257" s="2" t="s">
        <v>679</v>
      </c>
      <c r="C257" s="2" t="s">
        <v>677</v>
      </c>
      <c r="D257" s="2" t="s">
        <v>678</v>
      </c>
      <c r="E257" s="2"/>
      <c r="F257" s="2" t="str">
        <f>"9789465151632"</f>
        <v>9789465151632</v>
      </c>
    </row>
    <row r="258" spans="1:6" s="3" customFormat="1" ht="29.1" customHeight="1" x14ac:dyDescent="0.25">
      <c r="A258" s="2" t="s">
        <v>680</v>
      </c>
      <c r="B258" s="2" t="s">
        <v>683</v>
      </c>
      <c r="C258" s="2" t="s">
        <v>681</v>
      </c>
      <c r="D258" s="2" t="s">
        <v>682</v>
      </c>
      <c r="E258" s="2" t="str">
        <f>"9783775760850"</f>
        <v>9783775760850</v>
      </c>
      <c r="F258" s="2" t="str">
        <f>"9783775761109"</f>
        <v>9783775761109</v>
      </c>
    </row>
    <row r="259" spans="1:6" s="3" customFormat="1" ht="29.1" customHeight="1" x14ac:dyDescent="0.25">
      <c r="A259" s="2" t="s">
        <v>684</v>
      </c>
      <c r="B259" s="2" t="s">
        <v>685</v>
      </c>
      <c r="C259" s="2" t="s">
        <v>195</v>
      </c>
      <c r="D259" s="2" t="s">
        <v>210</v>
      </c>
      <c r="E259" s="2" t="str">
        <f>"9783111351421"</f>
        <v>9783111351421</v>
      </c>
      <c r="F259" s="2" t="str">
        <f>"9783111360874"</f>
        <v>9783111360874</v>
      </c>
    </row>
    <row r="260" spans="1:6" s="3" customFormat="1" ht="29.1" customHeight="1" x14ac:dyDescent="0.25">
      <c r="A260" s="2" t="s">
        <v>686</v>
      </c>
      <c r="B260" s="2"/>
      <c r="C260" s="2" t="s">
        <v>59</v>
      </c>
      <c r="D260" s="2" t="s">
        <v>687</v>
      </c>
      <c r="E260" s="2"/>
      <c r="F260" s="2" t="str">
        <f>"9782759241293"</f>
        <v>9782759241293</v>
      </c>
    </row>
    <row r="261" spans="1:6" s="3" customFormat="1" ht="29.1" customHeight="1" x14ac:dyDescent="0.25">
      <c r="A261" s="2" t="s">
        <v>688</v>
      </c>
      <c r="B261" s="2" t="s">
        <v>690</v>
      </c>
      <c r="C261" s="2" t="s">
        <v>124</v>
      </c>
      <c r="D261" s="2" t="s">
        <v>689</v>
      </c>
      <c r="E261" s="2" t="str">
        <f>"9781032893457"</f>
        <v>9781032893457</v>
      </c>
      <c r="F261" s="2" t="str">
        <f>"9781003542285"</f>
        <v>9781003542285</v>
      </c>
    </row>
    <row r="262" spans="1:6" s="3" customFormat="1" ht="29.1" customHeight="1" x14ac:dyDescent="0.25">
      <c r="A262" s="2" t="s">
        <v>691</v>
      </c>
      <c r="B262" s="2" t="s">
        <v>692</v>
      </c>
      <c r="C262" s="2" t="s">
        <v>124</v>
      </c>
      <c r="D262" s="2" t="s">
        <v>192</v>
      </c>
      <c r="E262" s="2" t="str">
        <f>"9781041094074"</f>
        <v>9781041094074</v>
      </c>
      <c r="F262" s="2" t="str">
        <f>"9781003650164"</f>
        <v>9781003650164</v>
      </c>
    </row>
    <row r="263" spans="1:6" s="3" customFormat="1" ht="29.1" customHeight="1" x14ac:dyDescent="0.25">
      <c r="A263" s="2" t="s">
        <v>693</v>
      </c>
      <c r="B263" s="2" t="s">
        <v>695</v>
      </c>
      <c r="C263" s="2" t="s">
        <v>124</v>
      </c>
      <c r="D263" s="2" t="s">
        <v>694</v>
      </c>
      <c r="E263" s="2" t="str">
        <f>"9781041119067"</f>
        <v>9781041119067</v>
      </c>
      <c r="F263" s="2" t="str">
        <f>"9781003662181"</f>
        <v>9781003662181</v>
      </c>
    </row>
    <row r="264" spans="1:6" s="3" customFormat="1" ht="29.1" customHeight="1" x14ac:dyDescent="0.25">
      <c r="A264" s="2" t="s">
        <v>696</v>
      </c>
      <c r="B264" s="2" t="s">
        <v>697</v>
      </c>
      <c r="C264" s="2" t="s">
        <v>29</v>
      </c>
      <c r="D264" s="2" t="s">
        <v>33</v>
      </c>
      <c r="E264" s="2" t="str">
        <f>"9783770569816"</f>
        <v>9783770569816</v>
      </c>
      <c r="F264" s="2" t="str">
        <f>"9783846769812"</f>
        <v>9783846769812</v>
      </c>
    </row>
    <row r="265" spans="1:6" s="3" customFormat="1" ht="29.1" customHeight="1" x14ac:dyDescent="0.25">
      <c r="A265" s="2" t="s">
        <v>698</v>
      </c>
      <c r="B265" s="2" t="s">
        <v>700</v>
      </c>
      <c r="C265" s="2" t="s">
        <v>29</v>
      </c>
      <c r="D265" s="2" t="s">
        <v>699</v>
      </c>
      <c r="E265" s="2" t="str">
        <f>"9783770569328"</f>
        <v>9783770569328</v>
      </c>
      <c r="F265" s="2" t="str">
        <f>"9783846769324"</f>
        <v>9783846769324</v>
      </c>
    </row>
    <row r="266" spans="1:6" s="3" customFormat="1" ht="29.1" customHeight="1" x14ac:dyDescent="0.25">
      <c r="A266" s="2" t="s">
        <v>701</v>
      </c>
      <c r="B266" s="2" t="s">
        <v>702</v>
      </c>
      <c r="C266" s="2" t="s">
        <v>5</v>
      </c>
      <c r="D266" s="2" t="s">
        <v>477</v>
      </c>
      <c r="E266" s="2" t="str">
        <f>"9789464638639"</f>
        <v>9789464638639</v>
      </c>
      <c r="F266" s="2" t="str">
        <f>"9789464638646"</f>
        <v>9789464638646</v>
      </c>
    </row>
    <row r="267" spans="1:6" s="3" customFormat="1" ht="29.1" customHeight="1" x14ac:dyDescent="0.25">
      <c r="A267" s="2" t="s">
        <v>703</v>
      </c>
      <c r="B267" s="2" t="s">
        <v>704</v>
      </c>
      <c r="C267" s="2" t="s">
        <v>5</v>
      </c>
      <c r="D267" s="2" t="s">
        <v>477</v>
      </c>
      <c r="E267" s="2" t="str">
        <f>"9789819521128"</f>
        <v>9789819521128</v>
      </c>
      <c r="F267" s="2" t="str">
        <f>"9789819521135"</f>
        <v>9789819521135</v>
      </c>
    </row>
    <row r="268" spans="1:6" s="3" customFormat="1" ht="29.1" customHeight="1" x14ac:dyDescent="0.25">
      <c r="A268" s="2" t="s">
        <v>705</v>
      </c>
      <c r="B268" s="2" t="s">
        <v>706</v>
      </c>
      <c r="C268" s="2" t="s">
        <v>5</v>
      </c>
      <c r="D268" s="2" t="s">
        <v>101</v>
      </c>
      <c r="E268" s="2" t="str">
        <f>"9789819689583"</f>
        <v>9789819689583</v>
      </c>
      <c r="F268" s="2" t="str">
        <f>"9789819689590"</f>
        <v>9789819689590</v>
      </c>
    </row>
    <row r="269" spans="1:6" s="3" customFormat="1" ht="29.1" customHeight="1" x14ac:dyDescent="0.25">
      <c r="A269" s="2" t="s">
        <v>707</v>
      </c>
      <c r="B269" s="2" t="s">
        <v>708</v>
      </c>
      <c r="C269" s="2" t="s">
        <v>5</v>
      </c>
      <c r="D269" s="2" t="s">
        <v>30</v>
      </c>
      <c r="E269" s="2" t="str">
        <f>"9783032026316"</f>
        <v>9783032026316</v>
      </c>
      <c r="F269" s="2" t="str">
        <f>"9783032026323"</f>
        <v>9783032026323</v>
      </c>
    </row>
    <row r="270" spans="1:6" s="3" customFormat="1" ht="29.1" customHeight="1" x14ac:dyDescent="0.25">
      <c r="A270" s="2" t="s">
        <v>709</v>
      </c>
      <c r="B270" s="2" t="s">
        <v>710</v>
      </c>
      <c r="C270" s="2" t="s">
        <v>5</v>
      </c>
      <c r="D270" s="2" t="s">
        <v>78</v>
      </c>
      <c r="E270" s="2" t="str">
        <f>"9783032004222"</f>
        <v>9783032004222</v>
      </c>
      <c r="F270" s="2" t="str">
        <f>"9783032004239"</f>
        <v>9783032004239</v>
      </c>
    </row>
    <row r="271" spans="1:6" s="3" customFormat="1" ht="29.1" customHeight="1" x14ac:dyDescent="0.25">
      <c r="A271" s="2" t="s">
        <v>711</v>
      </c>
      <c r="B271" s="2" t="s">
        <v>713</v>
      </c>
      <c r="C271" s="2" t="s">
        <v>5</v>
      </c>
      <c r="D271" s="2" t="s">
        <v>712</v>
      </c>
      <c r="E271" s="2" t="str">
        <f>"9789464638677"</f>
        <v>9789464638677</v>
      </c>
      <c r="F271" s="2" t="str">
        <f>"9789464638684"</f>
        <v>9789464638684</v>
      </c>
    </row>
    <row r="272" spans="1:6" s="3" customFormat="1" ht="29.1" customHeight="1" x14ac:dyDescent="0.25">
      <c r="A272" s="2" t="s">
        <v>714</v>
      </c>
      <c r="B272" s="2" t="s">
        <v>715</v>
      </c>
      <c r="C272" s="2" t="s">
        <v>5</v>
      </c>
      <c r="D272" s="2" t="s">
        <v>477</v>
      </c>
      <c r="E272" s="2" t="str">
        <f>"9789464638691"</f>
        <v>9789464638691</v>
      </c>
      <c r="F272" s="2" t="str">
        <f>"9789464638707"</f>
        <v>9789464638707</v>
      </c>
    </row>
    <row r="273" spans="1:6" s="3" customFormat="1" ht="29.1" customHeight="1" x14ac:dyDescent="0.25">
      <c r="A273" s="2" t="s">
        <v>716</v>
      </c>
      <c r="B273" s="2" t="s">
        <v>718</v>
      </c>
      <c r="C273" s="2" t="s">
        <v>5</v>
      </c>
      <c r="D273" s="2" t="s">
        <v>717</v>
      </c>
      <c r="E273" s="2" t="str">
        <f>"9789819531400"</f>
        <v>9789819531400</v>
      </c>
      <c r="F273" s="2" t="str">
        <f>"9789819531417"</f>
        <v>9789819531417</v>
      </c>
    </row>
    <row r="274" spans="1:6" s="3" customFormat="1" ht="29.1" customHeight="1" x14ac:dyDescent="0.25">
      <c r="A274" s="2" t="s">
        <v>719</v>
      </c>
      <c r="B274" s="2" t="s">
        <v>720</v>
      </c>
      <c r="C274" s="2" t="s">
        <v>5</v>
      </c>
      <c r="D274" s="2" t="s">
        <v>52</v>
      </c>
      <c r="E274" s="2" t="str">
        <f>"9783032083326"</f>
        <v>9783032083326</v>
      </c>
      <c r="F274" s="2" t="str">
        <f>"9783032083333"</f>
        <v>9783032083333</v>
      </c>
    </row>
    <row r="275" spans="1:6" s="3" customFormat="1" ht="29.1" customHeight="1" x14ac:dyDescent="0.25">
      <c r="A275" s="2" t="s">
        <v>721</v>
      </c>
      <c r="B275" s="2" t="s">
        <v>722</v>
      </c>
      <c r="C275" s="2" t="s">
        <v>5</v>
      </c>
      <c r="D275" s="2" t="s">
        <v>281</v>
      </c>
      <c r="E275" s="2" t="str">
        <f>"9783032028334"</f>
        <v>9783032028334</v>
      </c>
      <c r="F275" s="2" t="str">
        <f>"9783032028341"</f>
        <v>9783032028341</v>
      </c>
    </row>
    <row r="276" spans="1:6" s="3" customFormat="1" ht="29.1" customHeight="1" x14ac:dyDescent="0.25">
      <c r="A276" s="2" t="s">
        <v>723</v>
      </c>
      <c r="B276" s="2" t="s">
        <v>725</v>
      </c>
      <c r="C276" s="2" t="s">
        <v>5</v>
      </c>
      <c r="D276" s="2" t="s">
        <v>724</v>
      </c>
      <c r="E276" s="2" t="str">
        <f>"9789819697083"</f>
        <v>9789819697083</v>
      </c>
      <c r="F276" s="2" t="str">
        <f>"9789819697090"</f>
        <v>9789819697090</v>
      </c>
    </row>
    <row r="277" spans="1:6" s="3" customFormat="1" ht="29.1" customHeight="1" x14ac:dyDescent="0.25">
      <c r="A277" s="2" t="s">
        <v>726</v>
      </c>
      <c r="B277" s="2" t="s">
        <v>728</v>
      </c>
      <c r="C277" s="2" t="s">
        <v>5</v>
      </c>
      <c r="D277" s="2" t="s">
        <v>727</v>
      </c>
      <c r="E277" s="2" t="str">
        <f>"9783031994807"</f>
        <v>9783031994807</v>
      </c>
      <c r="F277" s="2" t="str">
        <f>"9783031994814"</f>
        <v>9783031994814</v>
      </c>
    </row>
    <row r="278" spans="1:6" s="3" customFormat="1" ht="29.1" customHeight="1" x14ac:dyDescent="0.25">
      <c r="A278" s="2" t="s">
        <v>729</v>
      </c>
      <c r="B278" s="2" t="s">
        <v>730</v>
      </c>
      <c r="C278" s="2" t="s">
        <v>5</v>
      </c>
      <c r="D278" s="2" t="s">
        <v>192</v>
      </c>
      <c r="E278" s="2" t="str">
        <f>"9783032033444"</f>
        <v>9783032033444</v>
      </c>
      <c r="F278" s="2" t="str">
        <f>"9783032033451"</f>
        <v>9783032033451</v>
      </c>
    </row>
    <row r="279" spans="1:6" s="3" customFormat="1" ht="29.1" customHeight="1" x14ac:dyDescent="0.25">
      <c r="A279" s="2" t="s">
        <v>731</v>
      </c>
      <c r="B279" s="2" t="s">
        <v>733</v>
      </c>
      <c r="C279" s="2" t="s">
        <v>732</v>
      </c>
      <c r="D279" s="2"/>
      <c r="E279" s="2" t="str">
        <f>"9781991270221"</f>
        <v>9781991270221</v>
      </c>
      <c r="F279" s="2" t="str">
        <f>"9781991269232"</f>
        <v>9781991269232</v>
      </c>
    </row>
    <row r="280" spans="1:6" s="3" customFormat="1" ht="29.1" customHeight="1" x14ac:dyDescent="0.25">
      <c r="A280" s="2" t="s">
        <v>734</v>
      </c>
      <c r="B280" s="2" t="s">
        <v>735</v>
      </c>
      <c r="C280" s="2" t="s">
        <v>732</v>
      </c>
      <c r="D280" s="2"/>
      <c r="E280" s="2" t="str">
        <f>"9781779953322"</f>
        <v>9781779953322</v>
      </c>
      <c r="F280" s="2" t="str">
        <f>"9781779953339"</f>
        <v>9781779953339</v>
      </c>
    </row>
    <row r="281" spans="1:6" s="3" customFormat="1" ht="29.1" customHeight="1" x14ac:dyDescent="0.25">
      <c r="A281" s="2" t="s">
        <v>736</v>
      </c>
      <c r="B281" s="2" t="s">
        <v>737</v>
      </c>
      <c r="C281" s="2" t="s">
        <v>732</v>
      </c>
      <c r="D281" s="2"/>
      <c r="E281" s="2" t="str">
        <f>"9781991269218"</f>
        <v>9781991269218</v>
      </c>
      <c r="F281" s="2" t="str">
        <f>"9781991269225"</f>
        <v>9781991269225</v>
      </c>
    </row>
    <row r="282" spans="1:6" s="3" customFormat="1" ht="29.1" customHeight="1" x14ac:dyDescent="0.25">
      <c r="A282" s="2" t="s">
        <v>738</v>
      </c>
      <c r="B282" s="2" t="s">
        <v>739</v>
      </c>
      <c r="C282" s="2" t="s">
        <v>732</v>
      </c>
      <c r="D282" s="2"/>
      <c r="E282" s="2" t="str">
        <f>"9781779953827"</f>
        <v>9781779953827</v>
      </c>
      <c r="F282" s="2" t="str">
        <f>"9781779953841"</f>
        <v>9781779953841</v>
      </c>
    </row>
    <row r="283" spans="1:6" s="3" customFormat="1" ht="29.1" customHeight="1" x14ac:dyDescent="0.25">
      <c r="A283" s="2" t="s">
        <v>740</v>
      </c>
      <c r="B283" s="2" t="s">
        <v>741</v>
      </c>
      <c r="C283" s="2" t="s">
        <v>732</v>
      </c>
      <c r="D283" s="2"/>
      <c r="E283" s="2" t="str">
        <f>"9781779953650"</f>
        <v>9781779953650</v>
      </c>
      <c r="F283" s="2" t="str">
        <f>"9781779953674"</f>
        <v>9781779953674</v>
      </c>
    </row>
    <row r="284" spans="1:6" s="3" customFormat="1" ht="29.1" customHeight="1" x14ac:dyDescent="0.25">
      <c r="A284" s="2" t="s">
        <v>742</v>
      </c>
      <c r="B284" s="2" t="s">
        <v>744</v>
      </c>
      <c r="C284" s="2" t="s">
        <v>124</v>
      </c>
      <c r="D284" s="2" t="s">
        <v>743</v>
      </c>
      <c r="E284" s="2" t="str">
        <f>"9789463721196"</f>
        <v>9789463721196</v>
      </c>
      <c r="F284" s="2" t="str">
        <f>"9781003694502"</f>
        <v>9781003694502</v>
      </c>
    </row>
    <row r="285" spans="1:6" s="3" customFormat="1" ht="29.1" customHeight="1" x14ac:dyDescent="0.25">
      <c r="A285" s="2" t="s">
        <v>745</v>
      </c>
      <c r="B285" s="2" t="s">
        <v>747</v>
      </c>
      <c r="C285" s="2" t="s">
        <v>746</v>
      </c>
      <c r="D285" s="2" t="s">
        <v>606</v>
      </c>
      <c r="E285" s="2" t="str">
        <f>"9781805830740"</f>
        <v>9781805830740</v>
      </c>
      <c r="F285" s="2" t="str">
        <f>"9781805830757"</f>
        <v>9781805830757</v>
      </c>
    </row>
    <row r="286" spans="1:6" s="3" customFormat="1" ht="29.1" customHeight="1" x14ac:dyDescent="0.25">
      <c r="A286" s="2" t="s">
        <v>748</v>
      </c>
      <c r="B286" s="2" t="s">
        <v>749</v>
      </c>
      <c r="C286" s="2" t="s">
        <v>746</v>
      </c>
      <c r="D286" s="2" t="s">
        <v>606</v>
      </c>
      <c r="E286" s="2" t="str">
        <f>"9781805830382"</f>
        <v>9781805830382</v>
      </c>
      <c r="F286" s="2" t="str">
        <f>"9781805830399"</f>
        <v>9781805830399</v>
      </c>
    </row>
    <row r="287" spans="1:6" s="3" customFormat="1" ht="29.1" customHeight="1" x14ac:dyDescent="0.25">
      <c r="A287" s="2" t="s">
        <v>750</v>
      </c>
      <c r="B287" s="2" t="s">
        <v>751</v>
      </c>
      <c r="C287" s="2" t="s">
        <v>746</v>
      </c>
      <c r="D287" s="2" t="s">
        <v>606</v>
      </c>
      <c r="E287" s="2" t="str">
        <f>"9781803278896"</f>
        <v>9781803278896</v>
      </c>
      <c r="F287" s="2" t="str">
        <f>"9781803278902"</f>
        <v>9781803278902</v>
      </c>
    </row>
    <row r="288" spans="1:6" s="3" customFormat="1" ht="29.1" customHeight="1" x14ac:dyDescent="0.25">
      <c r="A288" s="2" t="s">
        <v>752</v>
      </c>
      <c r="B288" s="2" t="s">
        <v>753</v>
      </c>
      <c r="C288" s="2" t="s">
        <v>124</v>
      </c>
      <c r="D288" s="2" t="s">
        <v>302</v>
      </c>
      <c r="E288" s="2" t="str">
        <f>"9781032962641"</f>
        <v>9781032962641</v>
      </c>
      <c r="F288" s="2" t="str">
        <f>"9781003589709"</f>
        <v>9781003589709</v>
      </c>
    </row>
    <row r="289" spans="1:6" s="3" customFormat="1" ht="29.1" customHeight="1" x14ac:dyDescent="0.25">
      <c r="A289" s="2" t="s">
        <v>754</v>
      </c>
      <c r="B289" s="2"/>
      <c r="C289" s="2" t="s">
        <v>59</v>
      </c>
      <c r="D289" s="2" t="s">
        <v>755</v>
      </c>
      <c r="E289" s="2"/>
      <c r="F289" s="2" t="str">
        <f>"9782759240661"</f>
        <v>9782759240661</v>
      </c>
    </row>
    <row r="290" spans="1:6" s="3" customFormat="1" ht="29.1" customHeight="1" x14ac:dyDescent="0.25">
      <c r="A290" s="2" t="s">
        <v>756</v>
      </c>
      <c r="B290" s="2" t="s">
        <v>759</v>
      </c>
      <c r="C290" s="2" t="s">
        <v>757</v>
      </c>
      <c r="D290" s="2" t="s">
        <v>758</v>
      </c>
      <c r="E290" s="2" t="str">
        <f>"9783038978749"</f>
        <v>9783038978749</v>
      </c>
      <c r="F290" s="2" t="str">
        <f>"9783038978756"</f>
        <v>9783038978756</v>
      </c>
    </row>
    <row r="291" spans="1:6" s="3" customFormat="1" ht="29.1" customHeight="1" x14ac:dyDescent="0.25">
      <c r="A291" s="2" t="s">
        <v>760</v>
      </c>
      <c r="B291" s="2" t="s">
        <v>762</v>
      </c>
      <c r="C291" s="2" t="s">
        <v>757</v>
      </c>
      <c r="D291" s="2" t="s">
        <v>761</v>
      </c>
      <c r="E291" s="2" t="str">
        <f>"9783725846160"</f>
        <v>9783725846160</v>
      </c>
      <c r="F291" s="2" t="str">
        <f>"9783725846153"</f>
        <v>9783725846153</v>
      </c>
    </row>
    <row r="292" spans="1:6" s="3" customFormat="1" ht="29.1" customHeight="1" x14ac:dyDescent="0.25">
      <c r="A292" s="2" t="s">
        <v>763</v>
      </c>
      <c r="B292" s="2" t="s">
        <v>765</v>
      </c>
      <c r="C292" s="2" t="s">
        <v>757</v>
      </c>
      <c r="D292" s="2" t="s">
        <v>764</v>
      </c>
      <c r="E292" s="2" t="str">
        <f>"9783725815241"</f>
        <v>9783725815241</v>
      </c>
      <c r="F292" s="2" t="str">
        <f>"9783725815234"</f>
        <v>9783725815234</v>
      </c>
    </row>
    <row r="293" spans="1:6" s="3" customFormat="1" ht="29.1" customHeight="1" x14ac:dyDescent="0.25">
      <c r="A293" s="2" t="s">
        <v>766</v>
      </c>
      <c r="B293" s="2" t="s">
        <v>768</v>
      </c>
      <c r="C293" s="2" t="s">
        <v>757</v>
      </c>
      <c r="D293" s="2" t="s">
        <v>767</v>
      </c>
      <c r="E293" s="2" t="str">
        <f>"9783725832705"</f>
        <v>9783725832705</v>
      </c>
      <c r="F293" s="2" t="str">
        <f>"9783725832699"</f>
        <v>9783725832699</v>
      </c>
    </row>
    <row r="294" spans="1:6" s="3" customFormat="1" ht="29.1" customHeight="1" x14ac:dyDescent="0.25">
      <c r="A294" s="2" t="s">
        <v>769</v>
      </c>
      <c r="B294" s="2" t="s">
        <v>771</v>
      </c>
      <c r="C294" s="2" t="s">
        <v>770</v>
      </c>
      <c r="D294" s="2"/>
      <c r="E294" s="2"/>
      <c r="F294" s="2" t="str">
        <f>"9788368394054"</f>
        <v>9788368394054</v>
      </c>
    </row>
    <row r="295" spans="1:6" s="3" customFormat="1" ht="29.1" customHeight="1" x14ac:dyDescent="0.25">
      <c r="A295" s="2" t="s">
        <v>772</v>
      </c>
      <c r="B295" s="2" t="s">
        <v>773</v>
      </c>
      <c r="C295" s="2" t="s">
        <v>770</v>
      </c>
      <c r="D295" s="2"/>
      <c r="E295" s="2"/>
      <c r="F295" s="2" t="str">
        <f>"9788368394320"</f>
        <v>9788368394320</v>
      </c>
    </row>
    <row r="296" spans="1:6" s="3" customFormat="1" ht="29.1" customHeight="1" x14ac:dyDescent="0.25">
      <c r="A296" s="2" t="s">
        <v>774</v>
      </c>
      <c r="B296" s="2" t="s">
        <v>775</v>
      </c>
      <c r="C296" s="2" t="s">
        <v>770</v>
      </c>
      <c r="D296" s="2"/>
      <c r="E296" s="2"/>
      <c r="F296" s="2" t="str">
        <f>"9788368394092"</f>
        <v>9788368394092</v>
      </c>
    </row>
    <row r="297" spans="1:6" s="3" customFormat="1" ht="29.1" customHeight="1" x14ac:dyDescent="0.25">
      <c r="A297" s="2" t="s">
        <v>776</v>
      </c>
      <c r="B297" s="2" t="s">
        <v>777</v>
      </c>
      <c r="C297" s="2" t="s">
        <v>770</v>
      </c>
      <c r="D297" s="2"/>
      <c r="E297" s="2"/>
      <c r="F297" s="2" t="str">
        <f>"9788368394030"</f>
        <v>9788368394030</v>
      </c>
    </row>
    <row r="298" spans="1:6" s="3" customFormat="1" ht="29.1" customHeight="1" x14ac:dyDescent="0.25">
      <c r="A298" s="2" t="s">
        <v>778</v>
      </c>
      <c r="B298" s="2" t="s">
        <v>779</v>
      </c>
      <c r="C298" s="2" t="s">
        <v>770</v>
      </c>
      <c r="D298" s="2"/>
      <c r="E298" s="2"/>
      <c r="F298" s="2" t="str">
        <f>"9788367899901"</f>
        <v>9788367899901</v>
      </c>
    </row>
    <row r="299" spans="1:6" s="3" customFormat="1" ht="29.1" customHeight="1" x14ac:dyDescent="0.25">
      <c r="A299" s="2" t="s">
        <v>780</v>
      </c>
      <c r="B299" s="2" t="s">
        <v>781</v>
      </c>
      <c r="C299" s="2" t="s">
        <v>770</v>
      </c>
      <c r="D299" s="2"/>
      <c r="E299" s="2"/>
      <c r="F299" s="2" t="str">
        <f>"9788367899888"</f>
        <v>9788367899888</v>
      </c>
    </row>
    <row r="300" spans="1:6" s="3" customFormat="1" ht="29.1" customHeight="1" x14ac:dyDescent="0.25">
      <c r="A300" s="2" t="s">
        <v>782</v>
      </c>
      <c r="B300" s="2" t="s">
        <v>783</v>
      </c>
      <c r="C300" s="2" t="s">
        <v>770</v>
      </c>
      <c r="D300" s="2"/>
      <c r="E300" s="2"/>
      <c r="F300" s="2" t="str">
        <f>"9788367899864"</f>
        <v>9788367899864</v>
      </c>
    </row>
    <row r="301" spans="1:6" s="3" customFormat="1" ht="29.1" customHeight="1" x14ac:dyDescent="0.25">
      <c r="A301" s="2" t="s">
        <v>784</v>
      </c>
      <c r="B301" s="2" t="s">
        <v>785</v>
      </c>
      <c r="C301" s="2" t="s">
        <v>770</v>
      </c>
      <c r="D301" s="2"/>
      <c r="E301" s="2"/>
      <c r="F301" s="2" t="str">
        <f>"9788367899802"</f>
        <v>9788367899802</v>
      </c>
    </row>
    <row r="302" spans="1:6" s="3" customFormat="1" ht="29.1" customHeight="1" x14ac:dyDescent="0.25">
      <c r="A302" s="2" t="s">
        <v>786</v>
      </c>
      <c r="B302" s="2" t="s">
        <v>787</v>
      </c>
      <c r="C302" s="2" t="s">
        <v>770</v>
      </c>
      <c r="D302" s="2"/>
      <c r="E302" s="2"/>
      <c r="F302" s="2" t="str">
        <f>"9788367899734"</f>
        <v>9788367899734</v>
      </c>
    </row>
    <row r="303" spans="1:6" s="3" customFormat="1" ht="29.1" customHeight="1" x14ac:dyDescent="0.25">
      <c r="A303" s="2" t="s">
        <v>788</v>
      </c>
      <c r="B303" s="2" t="s">
        <v>789</v>
      </c>
      <c r="C303" s="2" t="s">
        <v>595</v>
      </c>
      <c r="D303" s="2" t="s">
        <v>334</v>
      </c>
      <c r="E303" s="2" t="str">
        <f>"9783631912973"</f>
        <v>9783631912973</v>
      </c>
      <c r="F303" s="2" t="str">
        <f>"9783631912980"</f>
        <v>9783631912980</v>
      </c>
    </row>
    <row r="304" spans="1:6" s="3" customFormat="1" ht="29.1" customHeight="1" x14ac:dyDescent="0.25">
      <c r="A304" s="2" t="s">
        <v>790</v>
      </c>
      <c r="B304" s="2" t="s">
        <v>792</v>
      </c>
      <c r="C304" s="2" t="s">
        <v>36</v>
      </c>
      <c r="D304" s="2" t="s">
        <v>791</v>
      </c>
      <c r="E304" s="2"/>
      <c r="F304" s="2" t="str">
        <f>"9781529250046"</f>
        <v>9781529250046</v>
      </c>
    </row>
    <row r="305" spans="1:6" s="3" customFormat="1" ht="29.1" customHeight="1" x14ac:dyDescent="0.25">
      <c r="A305" s="2" t="s">
        <v>793</v>
      </c>
      <c r="B305" s="2" t="s">
        <v>794</v>
      </c>
      <c r="C305" s="2" t="s">
        <v>29</v>
      </c>
      <c r="D305" s="2" t="s">
        <v>210</v>
      </c>
      <c r="E305" s="2" t="str">
        <f>"9789004743649"</f>
        <v>9789004743649</v>
      </c>
      <c r="F305" s="2" t="str">
        <f>"9789004746077"</f>
        <v>9789004746077</v>
      </c>
    </row>
    <row r="306" spans="1:6" s="3" customFormat="1" ht="29.1" customHeight="1" x14ac:dyDescent="0.25">
      <c r="A306" s="2" t="s">
        <v>795</v>
      </c>
      <c r="B306" s="2" t="s">
        <v>796</v>
      </c>
      <c r="C306" s="2" t="s">
        <v>29</v>
      </c>
      <c r="D306" s="2" t="s">
        <v>9</v>
      </c>
      <c r="E306" s="2" t="str">
        <f>"9789004689084"</f>
        <v>9789004689084</v>
      </c>
      <c r="F306" s="2" t="str">
        <f>"9789004689121"</f>
        <v>9789004689121</v>
      </c>
    </row>
    <row r="307" spans="1:6" s="3" customFormat="1" ht="29.1" customHeight="1" x14ac:dyDescent="0.25">
      <c r="A307" s="2" t="s">
        <v>797</v>
      </c>
      <c r="B307" s="2" t="s">
        <v>798</v>
      </c>
      <c r="C307" s="2" t="s">
        <v>124</v>
      </c>
      <c r="D307" s="2" t="s">
        <v>270</v>
      </c>
      <c r="E307" s="2" t="str">
        <f>"9781032911410"</f>
        <v>9781032911410</v>
      </c>
      <c r="F307" s="2" t="str">
        <f>"9781003565765"</f>
        <v>9781003565765</v>
      </c>
    </row>
    <row r="308" spans="1:6" s="3" customFormat="1" ht="29.1" customHeight="1" x14ac:dyDescent="0.25">
      <c r="A308" s="2" t="s">
        <v>799</v>
      </c>
      <c r="B308" s="2" t="s">
        <v>800</v>
      </c>
      <c r="C308" s="2" t="s">
        <v>124</v>
      </c>
      <c r="D308" s="2" t="s">
        <v>9</v>
      </c>
      <c r="E308" s="2" t="str">
        <f>"9781032704449"</f>
        <v>9781032704449</v>
      </c>
      <c r="F308" s="2" t="str">
        <f>"9781032712024"</f>
        <v>9781032712024</v>
      </c>
    </row>
    <row r="309" spans="1:6" s="3" customFormat="1" ht="29.1" customHeight="1" x14ac:dyDescent="0.25">
      <c r="A309" s="2" t="s">
        <v>801</v>
      </c>
      <c r="B309" s="2" t="s">
        <v>802</v>
      </c>
      <c r="C309" s="2" t="s">
        <v>5</v>
      </c>
      <c r="D309" s="2" t="s">
        <v>712</v>
      </c>
      <c r="E309" s="2" t="str">
        <f>"9782384764693"</f>
        <v>9782384764693</v>
      </c>
      <c r="F309" s="2" t="str">
        <f>"9782384764709"</f>
        <v>9782384764709</v>
      </c>
    </row>
    <row r="310" spans="1:6" s="3" customFormat="1" ht="29.1" customHeight="1" x14ac:dyDescent="0.25">
      <c r="A310" s="2" t="s">
        <v>719</v>
      </c>
      <c r="B310" s="2" t="s">
        <v>720</v>
      </c>
      <c r="C310" s="2" t="s">
        <v>5</v>
      </c>
      <c r="D310" s="2" t="s">
        <v>52</v>
      </c>
      <c r="E310" s="2" t="str">
        <f>"9783032083234"</f>
        <v>9783032083234</v>
      </c>
      <c r="F310" s="2" t="str">
        <f>"9783032083241"</f>
        <v>9783032083241</v>
      </c>
    </row>
    <row r="311" spans="1:6" s="3" customFormat="1" ht="29.1" customHeight="1" x14ac:dyDescent="0.25">
      <c r="A311" s="2" t="s">
        <v>803</v>
      </c>
      <c r="B311" s="2" t="s">
        <v>804</v>
      </c>
      <c r="C311" s="2" t="s">
        <v>5</v>
      </c>
      <c r="D311" s="2" t="s">
        <v>86</v>
      </c>
      <c r="E311" s="2" t="str">
        <f>"9783658497910"</f>
        <v>9783658497910</v>
      </c>
      <c r="F311" s="2" t="str">
        <f>"9783658497927"</f>
        <v>9783658497927</v>
      </c>
    </row>
    <row r="312" spans="1:6" s="3" customFormat="1" ht="29.1" customHeight="1" x14ac:dyDescent="0.25">
      <c r="A312" s="2" t="s">
        <v>805</v>
      </c>
      <c r="B312" s="2" t="s">
        <v>807</v>
      </c>
      <c r="C312" s="2" t="s">
        <v>124</v>
      </c>
      <c r="D312" s="2" t="s">
        <v>806</v>
      </c>
      <c r="E312" s="2" t="str">
        <f>"9781032999937"</f>
        <v>9781032999937</v>
      </c>
      <c r="F312" s="2" t="str">
        <f>"9781003607076"</f>
        <v>9781003607076</v>
      </c>
    </row>
    <row r="313" spans="1:6" s="3" customFormat="1" ht="29.1" customHeight="1" x14ac:dyDescent="0.25">
      <c r="A313" s="2" t="s">
        <v>808</v>
      </c>
      <c r="B313" s="2" t="s">
        <v>809</v>
      </c>
      <c r="C313" s="2" t="s">
        <v>124</v>
      </c>
      <c r="D313" s="2" t="s">
        <v>441</v>
      </c>
      <c r="E313" s="2" t="str">
        <f>"9789048566372"</f>
        <v>9789048566372</v>
      </c>
      <c r="F313" s="2" t="str">
        <f>"9781003691662"</f>
        <v>9781003691662</v>
      </c>
    </row>
    <row r="314" spans="1:6" s="3" customFormat="1" ht="29.1" customHeight="1" x14ac:dyDescent="0.25">
      <c r="A314" s="2" t="s">
        <v>810</v>
      </c>
      <c r="B314" s="2" t="s">
        <v>811</v>
      </c>
      <c r="C314" s="2" t="s">
        <v>29</v>
      </c>
      <c r="D314" s="2" t="s">
        <v>183</v>
      </c>
      <c r="E314" s="2" t="str">
        <f>"9789004745407"</f>
        <v>9789004745407</v>
      </c>
      <c r="F314" s="2" t="str">
        <f>"9789004745414"</f>
        <v>9789004745414</v>
      </c>
    </row>
    <row r="315" spans="1:6" s="3" customFormat="1" ht="29.1" customHeight="1" x14ac:dyDescent="0.25">
      <c r="A315" s="2" t="s">
        <v>812</v>
      </c>
      <c r="B315" s="2" t="s">
        <v>814</v>
      </c>
      <c r="C315" s="2" t="s">
        <v>264</v>
      </c>
      <c r="D315" s="2" t="s">
        <v>813</v>
      </c>
      <c r="E315" s="2" t="str">
        <f>"9781041061427"</f>
        <v>9781041061427</v>
      </c>
      <c r="F315" s="2" t="str">
        <f>"9781003633976"</f>
        <v>9781003633976</v>
      </c>
    </row>
    <row r="316" spans="1:6" s="3" customFormat="1" ht="29.1" customHeight="1" x14ac:dyDescent="0.25">
      <c r="A316" s="2" t="s">
        <v>719</v>
      </c>
      <c r="B316" s="2" t="s">
        <v>720</v>
      </c>
      <c r="C316" s="2" t="s">
        <v>5</v>
      </c>
      <c r="D316" s="2" t="s">
        <v>52</v>
      </c>
      <c r="E316" s="2" t="str">
        <f>"9783032083296"</f>
        <v>9783032083296</v>
      </c>
      <c r="F316" s="2" t="str">
        <f>"9783032083302"</f>
        <v>9783032083302</v>
      </c>
    </row>
    <row r="317" spans="1:6" s="3" customFormat="1" ht="29.1" customHeight="1" x14ac:dyDescent="0.25">
      <c r="A317" s="2" t="s">
        <v>815</v>
      </c>
      <c r="B317" s="2" t="s">
        <v>816</v>
      </c>
      <c r="C317" s="2" t="s">
        <v>5</v>
      </c>
      <c r="D317" s="2" t="s">
        <v>674</v>
      </c>
      <c r="E317" s="2" t="str">
        <f>"9783031974267"</f>
        <v>9783031974267</v>
      </c>
      <c r="F317" s="2" t="str">
        <f>"9783031974274"</f>
        <v>9783031974274</v>
      </c>
    </row>
    <row r="318" spans="1:6" s="3" customFormat="1" ht="29.1" customHeight="1" x14ac:dyDescent="0.25">
      <c r="A318" s="2" t="s">
        <v>817</v>
      </c>
      <c r="B318" s="2" t="s">
        <v>819</v>
      </c>
      <c r="C318" s="2" t="s">
        <v>595</v>
      </c>
      <c r="D318" s="2" t="s">
        <v>818</v>
      </c>
      <c r="E318" s="2" t="str">
        <f>"9783034358729"</f>
        <v>9783034358729</v>
      </c>
      <c r="F318" s="2" t="str">
        <f>"9783034358736"</f>
        <v>9783034358736</v>
      </c>
    </row>
    <row r="319" spans="1:6" s="3" customFormat="1" ht="29.1" customHeight="1" x14ac:dyDescent="0.25">
      <c r="A319" s="2" t="s">
        <v>820</v>
      </c>
      <c r="B319" s="2" t="s">
        <v>822</v>
      </c>
      <c r="C319" s="2" t="s">
        <v>595</v>
      </c>
      <c r="D319" s="2" t="s">
        <v>821</v>
      </c>
      <c r="E319" s="2" t="str">
        <f>"9781803745503"</f>
        <v>9781803745503</v>
      </c>
      <c r="F319" s="2" t="str">
        <f>"9781803745510"</f>
        <v>9781803745510</v>
      </c>
    </row>
    <row r="320" spans="1:6" s="3" customFormat="1" ht="29.1" customHeight="1" x14ac:dyDescent="0.25">
      <c r="A320" s="2" t="s">
        <v>823</v>
      </c>
      <c r="B320" s="2" t="s">
        <v>824</v>
      </c>
      <c r="C320" s="2" t="s">
        <v>595</v>
      </c>
      <c r="D320" s="2" t="s">
        <v>189</v>
      </c>
      <c r="E320" s="2" t="str">
        <f>"9783631924488"</f>
        <v>9783631924488</v>
      </c>
      <c r="F320" s="2" t="str">
        <f>"9783631924495"</f>
        <v>9783631924495</v>
      </c>
    </row>
    <row r="321" spans="1:6" s="3" customFormat="1" ht="29.1" customHeight="1" x14ac:dyDescent="0.25">
      <c r="A321" s="2" t="s">
        <v>825</v>
      </c>
      <c r="B321" s="2" t="s">
        <v>826</v>
      </c>
      <c r="C321" s="2" t="s">
        <v>248</v>
      </c>
      <c r="D321" s="2" t="s">
        <v>21</v>
      </c>
      <c r="E321" s="2" t="str">
        <f>"9783847431329"</f>
        <v>9783847431329</v>
      </c>
      <c r="F321" s="2" t="str">
        <f>"9783847432678"</f>
        <v>9783847432678</v>
      </c>
    </row>
    <row r="322" spans="1:6" s="3" customFormat="1" ht="29.1" customHeight="1" x14ac:dyDescent="0.25">
      <c r="A322" s="2" t="s">
        <v>827</v>
      </c>
      <c r="B322" s="2" t="s">
        <v>828</v>
      </c>
      <c r="C322" s="2" t="s">
        <v>248</v>
      </c>
      <c r="D322" s="2" t="s">
        <v>24</v>
      </c>
      <c r="E322" s="2" t="str">
        <f>"9783847426950"</f>
        <v>9783847426950</v>
      </c>
      <c r="F322" s="2" t="str">
        <f>"9783847432913"</f>
        <v>9783847432913</v>
      </c>
    </row>
    <row r="323" spans="1:6" s="3" customFormat="1" ht="29.1" customHeight="1" x14ac:dyDescent="0.25">
      <c r="A323" s="2" t="s">
        <v>829</v>
      </c>
      <c r="B323" s="2" t="s">
        <v>830</v>
      </c>
      <c r="C323" s="2" t="s">
        <v>248</v>
      </c>
      <c r="D323" s="2" t="s">
        <v>37</v>
      </c>
      <c r="E323" s="2" t="str">
        <f>"9783847431169"</f>
        <v>9783847431169</v>
      </c>
      <c r="F323" s="2" t="str">
        <f>"9783847432517"</f>
        <v>9783847432517</v>
      </c>
    </row>
    <row r="324" spans="1:6" s="3" customFormat="1" ht="29.1" customHeight="1" x14ac:dyDescent="0.25">
      <c r="A324" s="2" t="s">
        <v>831</v>
      </c>
      <c r="B324" s="2" t="s">
        <v>832</v>
      </c>
      <c r="C324" s="2" t="s">
        <v>248</v>
      </c>
      <c r="D324" s="2" t="s">
        <v>249</v>
      </c>
      <c r="E324" s="2" t="str">
        <f>"9783847431732"</f>
        <v>9783847431732</v>
      </c>
      <c r="F324" s="2" t="str">
        <f>"9783847433125"</f>
        <v>9783847433125</v>
      </c>
    </row>
    <row r="325" spans="1:6" s="3" customFormat="1" ht="29.1" customHeight="1" x14ac:dyDescent="0.25">
      <c r="A325" s="2" t="s">
        <v>833</v>
      </c>
      <c r="B325" s="2" t="s">
        <v>834</v>
      </c>
      <c r="C325" s="2" t="s">
        <v>248</v>
      </c>
      <c r="D325" s="2" t="s">
        <v>249</v>
      </c>
      <c r="E325" s="2" t="str">
        <f>"9783966651080"</f>
        <v>9783966651080</v>
      </c>
      <c r="F325" s="2" t="str">
        <f>"9783966658874"</f>
        <v>9783966658874</v>
      </c>
    </row>
    <row r="326" spans="1:6" s="3" customFormat="1" ht="29.1" customHeight="1" x14ac:dyDescent="0.25">
      <c r="A326" s="2" t="s">
        <v>835</v>
      </c>
      <c r="B326" s="2" t="s">
        <v>837</v>
      </c>
      <c r="C326" s="2" t="s">
        <v>248</v>
      </c>
      <c r="D326" s="2" t="s">
        <v>836</v>
      </c>
      <c r="E326" s="2" t="str">
        <f>"9783966651004"</f>
        <v>9783966651004</v>
      </c>
      <c r="F326" s="2" t="str">
        <f>"9783966658959"</f>
        <v>9783966658959</v>
      </c>
    </row>
    <row r="327" spans="1:6" s="3" customFormat="1" ht="29.1" customHeight="1" x14ac:dyDescent="0.25">
      <c r="A327" s="2" t="s">
        <v>838</v>
      </c>
      <c r="B327" s="2" t="s">
        <v>839</v>
      </c>
      <c r="C327" s="2" t="s">
        <v>248</v>
      </c>
      <c r="D327" s="2" t="s">
        <v>249</v>
      </c>
      <c r="E327" s="2" t="str">
        <f>"9783847431572"</f>
        <v>9783847431572</v>
      </c>
      <c r="F327" s="2" t="str">
        <f>"9783847432975"</f>
        <v>9783847432975</v>
      </c>
    </row>
    <row r="328" spans="1:6" s="3" customFormat="1" ht="29.1" customHeight="1" x14ac:dyDescent="0.25">
      <c r="A328" s="2" t="s">
        <v>840</v>
      </c>
      <c r="B328" s="2" t="s">
        <v>842</v>
      </c>
      <c r="C328" s="2" t="s">
        <v>239</v>
      </c>
      <c r="D328" s="2" t="s">
        <v>841</v>
      </c>
      <c r="E328" s="2" t="str">
        <f>"9780520413832"</f>
        <v>9780520413832</v>
      </c>
      <c r="F328" s="2" t="str">
        <f>"9780520413849"</f>
        <v>9780520413849</v>
      </c>
    </row>
    <row r="329" spans="1:6" s="3" customFormat="1" ht="29.1" customHeight="1" x14ac:dyDescent="0.25">
      <c r="A329" s="2" t="s">
        <v>719</v>
      </c>
      <c r="B329" s="2" t="s">
        <v>720</v>
      </c>
      <c r="C329" s="2" t="s">
        <v>5</v>
      </c>
      <c r="D329" s="2" t="s">
        <v>52</v>
      </c>
      <c r="E329" s="2" t="str">
        <f>"9783032083166"</f>
        <v>9783032083166</v>
      </c>
      <c r="F329" s="2" t="str">
        <f>"9783032083173"</f>
        <v>9783032083173</v>
      </c>
    </row>
    <row r="330" spans="1:6" s="3" customFormat="1" ht="29.1" customHeight="1" x14ac:dyDescent="0.25">
      <c r="A330" s="2" t="s">
        <v>719</v>
      </c>
      <c r="B330" s="2" t="s">
        <v>720</v>
      </c>
      <c r="C330" s="2" t="s">
        <v>5</v>
      </c>
      <c r="D330" s="2" t="s">
        <v>52</v>
      </c>
      <c r="E330" s="2" t="str">
        <f>"9783032083265"</f>
        <v>9783032083265</v>
      </c>
      <c r="F330" s="2" t="str">
        <f>"9783032083272"</f>
        <v>9783032083272</v>
      </c>
    </row>
    <row r="331" spans="1:6" s="3" customFormat="1" ht="29.1" customHeight="1" x14ac:dyDescent="0.25">
      <c r="A331" s="2" t="s">
        <v>843</v>
      </c>
      <c r="B331" s="2" t="s">
        <v>844</v>
      </c>
      <c r="C331" s="2" t="s">
        <v>5</v>
      </c>
      <c r="D331" s="2" t="s">
        <v>192</v>
      </c>
      <c r="E331" s="2" t="str">
        <f>"9783032077943"</f>
        <v>9783032077943</v>
      </c>
      <c r="F331" s="2" t="str">
        <f>"9783032077950"</f>
        <v>9783032077950</v>
      </c>
    </row>
    <row r="332" spans="1:6" s="3" customFormat="1" ht="29.1" customHeight="1" x14ac:dyDescent="0.25">
      <c r="A332" s="2" t="s">
        <v>845</v>
      </c>
      <c r="B332" s="2" t="s">
        <v>846</v>
      </c>
      <c r="C332" s="2" t="s">
        <v>5</v>
      </c>
      <c r="D332" s="2" t="s">
        <v>284</v>
      </c>
      <c r="E332" s="2" t="str">
        <f>"9783032075734"</f>
        <v>9783032075734</v>
      </c>
      <c r="F332" s="2" t="str">
        <f>"9783032075741"</f>
        <v>9783032075741</v>
      </c>
    </row>
    <row r="333" spans="1:6" s="3" customFormat="1" ht="29.1" customHeight="1" x14ac:dyDescent="0.25">
      <c r="A333" s="2" t="s">
        <v>847</v>
      </c>
      <c r="B333" s="2" t="s">
        <v>848</v>
      </c>
      <c r="C333" s="2" t="s">
        <v>5</v>
      </c>
      <c r="D333" s="2" t="s">
        <v>487</v>
      </c>
      <c r="E333" s="2" t="str">
        <f>"9783032071316"</f>
        <v>9783032071316</v>
      </c>
      <c r="F333" s="2" t="str">
        <f>"9783032071323"</f>
        <v>9783032071323</v>
      </c>
    </row>
    <row r="334" spans="1:6" s="3" customFormat="1" ht="29.1" customHeight="1" x14ac:dyDescent="0.25">
      <c r="A334" s="2" t="s">
        <v>849</v>
      </c>
      <c r="B334" s="2" t="s">
        <v>851</v>
      </c>
      <c r="C334" s="2" t="s">
        <v>5</v>
      </c>
      <c r="D334" s="2" t="s">
        <v>850</v>
      </c>
      <c r="E334" s="2" t="str">
        <f>"9783031889325"</f>
        <v>9783031889325</v>
      </c>
      <c r="F334" s="2" t="str">
        <f>"9783031889332"</f>
        <v>9783031889332</v>
      </c>
    </row>
    <row r="335" spans="1:6" s="3" customFormat="1" ht="29.1" customHeight="1" x14ac:dyDescent="0.25">
      <c r="A335" s="2" t="s">
        <v>852</v>
      </c>
      <c r="B335" s="2" t="s">
        <v>853</v>
      </c>
      <c r="C335" s="2" t="s">
        <v>5</v>
      </c>
      <c r="D335" s="2" t="s">
        <v>9</v>
      </c>
      <c r="E335" s="2" t="str">
        <f>"9783658486020"</f>
        <v>9783658486020</v>
      </c>
      <c r="F335" s="2" t="str">
        <f>"9783658486037"</f>
        <v>9783658486037</v>
      </c>
    </row>
    <row r="336" spans="1:6" s="3" customFormat="1" ht="29.1" customHeight="1" x14ac:dyDescent="0.25">
      <c r="A336" s="2" t="s">
        <v>854</v>
      </c>
      <c r="B336" s="2" t="s">
        <v>856</v>
      </c>
      <c r="C336" s="2" t="s">
        <v>5</v>
      </c>
      <c r="D336" s="2" t="s">
        <v>855</v>
      </c>
      <c r="E336" s="2" t="str">
        <f>"9789819671267"</f>
        <v>9789819671267</v>
      </c>
      <c r="F336" s="2" t="str">
        <f>"9789819671274"</f>
        <v>9789819671274</v>
      </c>
    </row>
    <row r="337" spans="1:6" s="3" customFormat="1" ht="29.1" customHeight="1" x14ac:dyDescent="0.25">
      <c r="A337" s="2" t="s">
        <v>857</v>
      </c>
      <c r="B337" s="2" t="s">
        <v>859</v>
      </c>
      <c r="C337" s="2" t="s">
        <v>124</v>
      </c>
      <c r="D337" s="2" t="s">
        <v>858</v>
      </c>
      <c r="E337" s="2" t="str">
        <f>"9781032013893"</f>
        <v>9781032013893</v>
      </c>
      <c r="F337" s="2" t="str">
        <f>"9781003178439"</f>
        <v>9781003178439</v>
      </c>
    </row>
    <row r="338" spans="1:6" s="3" customFormat="1" ht="29.1" customHeight="1" x14ac:dyDescent="0.25">
      <c r="A338" s="2" t="s">
        <v>860</v>
      </c>
      <c r="B338" s="2" t="s">
        <v>861</v>
      </c>
      <c r="C338" s="2" t="s">
        <v>29</v>
      </c>
      <c r="D338" s="2" t="s">
        <v>459</v>
      </c>
      <c r="E338" s="2" t="str">
        <f>"9789004744530"</f>
        <v>9789004744530</v>
      </c>
      <c r="F338" s="2" t="str">
        <f>"9789004744547"</f>
        <v>9789004744547</v>
      </c>
    </row>
    <row r="339" spans="1:6" s="3" customFormat="1" ht="29.1" customHeight="1" x14ac:dyDescent="0.25">
      <c r="A339" s="2" t="s">
        <v>862</v>
      </c>
      <c r="B339" s="2" t="s">
        <v>864</v>
      </c>
      <c r="C339" s="2" t="s">
        <v>264</v>
      </c>
      <c r="D339" s="2" t="s">
        <v>863</v>
      </c>
      <c r="E339" s="2" t="str">
        <f>"9781032745220"</f>
        <v>9781032745220</v>
      </c>
      <c r="F339" s="2" t="str">
        <f>"9781003469643"</f>
        <v>9781003469643</v>
      </c>
    </row>
    <row r="340" spans="1:6" s="3" customFormat="1" ht="29.1" customHeight="1" x14ac:dyDescent="0.25">
      <c r="A340" s="2" t="s">
        <v>865</v>
      </c>
      <c r="B340" s="2" t="s">
        <v>866</v>
      </c>
      <c r="C340" s="2" t="s">
        <v>124</v>
      </c>
      <c r="D340" s="2" t="s">
        <v>9</v>
      </c>
      <c r="E340" s="2" t="str">
        <f>"9781041123286"</f>
        <v>9781041123286</v>
      </c>
      <c r="F340" s="2" t="str">
        <f>"9781003664222"</f>
        <v>9781003664222</v>
      </c>
    </row>
    <row r="341" spans="1:6" s="3" customFormat="1" ht="29.1" customHeight="1" x14ac:dyDescent="0.25">
      <c r="A341" s="2" t="s">
        <v>867</v>
      </c>
      <c r="B341" s="2" t="s">
        <v>869</v>
      </c>
      <c r="C341" s="2" t="s">
        <v>124</v>
      </c>
      <c r="D341" s="2" t="s">
        <v>868</v>
      </c>
      <c r="E341" s="2" t="str">
        <f>"9781032460666"</f>
        <v>9781032460666</v>
      </c>
      <c r="F341" s="2" t="str">
        <f>"9781003379935"</f>
        <v>9781003379935</v>
      </c>
    </row>
    <row r="342" spans="1:6" s="3" customFormat="1" ht="29.1" customHeight="1" x14ac:dyDescent="0.25">
      <c r="A342" s="2" t="s">
        <v>870</v>
      </c>
      <c r="B342" s="2" t="s">
        <v>872</v>
      </c>
      <c r="C342" s="2" t="s">
        <v>124</v>
      </c>
      <c r="D342" s="2" t="s">
        <v>871</v>
      </c>
      <c r="E342" s="2" t="str">
        <f>"9789048564514"</f>
        <v>9789048564514</v>
      </c>
      <c r="F342" s="2" t="str">
        <f>"9781003701040"</f>
        <v>9781003701040</v>
      </c>
    </row>
    <row r="343" spans="1:6" s="3" customFormat="1" ht="29.1" customHeight="1" x14ac:dyDescent="0.25">
      <c r="A343" s="2" t="s">
        <v>873</v>
      </c>
      <c r="B343" s="2" t="s">
        <v>874</v>
      </c>
      <c r="C343" s="2" t="s">
        <v>124</v>
      </c>
      <c r="D343" s="2" t="s">
        <v>402</v>
      </c>
      <c r="E343" s="2" t="str">
        <f>"9781032683676"</f>
        <v>9781032683676</v>
      </c>
      <c r="F343" s="2" t="str">
        <f>"9781032683713"</f>
        <v>9781032683713</v>
      </c>
    </row>
    <row r="344" spans="1:6" s="3" customFormat="1" ht="29.1" customHeight="1" x14ac:dyDescent="0.25">
      <c r="A344" s="2" t="s">
        <v>875</v>
      </c>
      <c r="B344" s="2" t="s">
        <v>877</v>
      </c>
      <c r="C344" s="2" t="s">
        <v>124</v>
      </c>
      <c r="D344" s="2" t="s">
        <v>876</v>
      </c>
      <c r="E344" s="2" t="str">
        <f>"9781041048671"</f>
        <v>9781041048671</v>
      </c>
      <c r="F344" s="2" t="str">
        <f>"9781003630357"</f>
        <v>9781003630357</v>
      </c>
    </row>
    <row r="345" spans="1:6" s="3" customFormat="1" ht="29.1" customHeight="1" x14ac:dyDescent="0.25">
      <c r="A345" s="2" t="s">
        <v>878</v>
      </c>
      <c r="B345" s="2" t="s">
        <v>880</v>
      </c>
      <c r="C345" s="2" t="s">
        <v>195</v>
      </c>
      <c r="D345" s="2" t="s">
        <v>879</v>
      </c>
      <c r="E345" s="2" t="str">
        <f>"9783111554549"</f>
        <v>9783111554549</v>
      </c>
      <c r="F345" s="2" t="str">
        <f>"9783111556253"</f>
        <v>9783111556253</v>
      </c>
    </row>
    <row r="346" spans="1:6" s="3" customFormat="1" ht="29.1" customHeight="1" x14ac:dyDescent="0.25">
      <c r="A346" s="2" t="s">
        <v>881</v>
      </c>
      <c r="B346" s="2" t="s">
        <v>883</v>
      </c>
      <c r="C346" s="2" t="s">
        <v>149</v>
      </c>
      <c r="D346" s="2" t="s">
        <v>882</v>
      </c>
      <c r="E346" s="2" t="str">
        <f>"9781805116639"</f>
        <v>9781805116639</v>
      </c>
      <c r="F346" s="2" t="str">
        <f>"9781805116653"</f>
        <v>9781805116653</v>
      </c>
    </row>
    <row r="347" spans="1:6" s="3" customFormat="1" ht="29.1" customHeight="1" x14ac:dyDescent="0.25">
      <c r="A347" s="2" t="s">
        <v>884</v>
      </c>
      <c r="B347" s="2" t="s">
        <v>887</v>
      </c>
      <c r="C347" s="2" t="s">
        <v>885</v>
      </c>
      <c r="D347" s="2" t="s">
        <v>886</v>
      </c>
      <c r="E347" s="2" t="str">
        <f>"9781487562298"</f>
        <v>9781487562298</v>
      </c>
      <c r="F347" s="2" t="str">
        <f>"9781487562328"</f>
        <v>9781487562328</v>
      </c>
    </row>
    <row r="348" spans="1:6" s="3" customFormat="1" ht="29.1" customHeight="1" x14ac:dyDescent="0.25">
      <c r="A348" s="2" t="s">
        <v>888</v>
      </c>
      <c r="B348" s="2" t="s">
        <v>890</v>
      </c>
      <c r="C348" s="2" t="s">
        <v>5</v>
      </c>
      <c r="D348" s="2" t="s">
        <v>889</v>
      </c>
      <c r="E348" s="2" t="str">
        <f>"9783032067623"</f>
        <v>9783032067623</v>
      </c>
      <c r="F348" s="2" t="str">
        <f>"9783032067630"</f>
        <v>9783032067630</v>
      </c>
    </row>
    <row r="349" spans="1:6" s="3" customFormat="1" ht="29.1" customHeight="1" x14ac:dyDescent="0.25">
      <c r="A349" s="2" t="s">
        <v>891</v>
      </c>
      <c r="B349" s="2" t="s">
        <v>892</v>
      </c>
      <c r="C349" s="2" t="s">
        <v>5</v>
      </c>
      <c r="D349" s="2" t="s">
        <v>350</v>
      </c>
      <c r="E349" s="2" t="str">
        <f>"9783032029867"</f>
        <v>9783032029867</v>
      </c>
      <c r="F349" s="2" t="str">
        <f>"9783032029874"</f>
        <v>9783032029874</v>
      </c>
    </row>
    <row r="350" spans="1:6" s="3" customFormat="1" ht="29.1" customHeight="1" x14ac:dyDescent="0.25">
      <c r="A350" s="2" t="s">
        <v>893</v>
      </c>
      <c r="B350" s="2" t="s">
        <v>895</v>
      </c>
      <c r="C350" s="2" t="s">
        <v>124</v>
      </c>
      <c r="D350" s="2" t="s">
        <v>894</v>
      </c>
      <c r="E350" s="2" t="str">
        <f>"9781032935058"</f>
        <v>9781032935058</v>
      </c>
      <c r="F350" s="2" t="str">
        <f>"9781003569992"</f>
        <v>9781003569992</v>
      </c>
    </row>
    <row r="351" spans="1:6" s="3" customFormat="1" ht="29.1" customHeight="1" x14ac:dyDescent="0.25">
      <c r="A351" s="2" t="s">
        <v>896</v>
      </c>
      <c r="B351" s="2" t="s">
        <v>898</v>
      </c>
      <c r="C351" s="2" t="s">
        <v>124</v>
      </c>
      <c r="D351" s="2" t="s">
        <v>897</v>
      </c>
      <c r="E351" s="2" t="str">
        <f>"9781032689418"</f>
        <v>9781032689418</v>
      </c>
      <c r="F351" s="2" t="str">
        <f>"9781032689432"</f>
        <v>9781032689432</v>
      </c>
    </row>
    <row r="352" spans="1:6" s="3" customFormat="1" ht="29.1" customHeight="1" x14ac:dyDescent="0.25">
      <c r="A352" s="2" t="s">
        <v>899</v>
      </c>
      <c r="B352" s="2" t="s">
        <v>901</v>
      </c>
      <c r="C352" s="2" t="s">
        <v>124</v>
      </c>
      <c r="D352" s="2" t="s">
        <v>900</v>
      </c>
      <c r="E352" s="2" t="str">
        <f>"9789463729376"</f>
        <v>9789463729376</v>
      </c>
      <c r="F352" s="2" t="str">
        <f>"9781003704799"</f>
        <v>9781003704799</v>
      </c>
    </row>
    <row r="353" spans="1:6" s="3" customFormat="1" ht="29.1" customHeight="1" x14ac:dyDescent="0.25">
      <c r="A353" s="2" t="s">
        <v>902</v>
      </c>
      <c r="B353" s="2" t="s">
        <v>904</v>
      </c>
      <c r="C353" s="2" t="s">
        <v>124</v>
      </c>
      <c r="D353" s="2" t="s">
        <v>903</v>
      </c>
      <c r="E353" s="2" t="str">
        <f>"9781041186854"</f>
        <v>9781041186854</v>
      </c>
      <c r="F353" s="2" t="str">
        <f>"9781003704690"</f>
        <v>9781003704690</v>
      </c>
    </row>
    <row r="354" spans="1:6" s="3" customFormat="1" ht="29.1" customHeight="1" x14ac:dyDescent="0.25">
      <c r="A354" s="2" t="s">
        <v>905</v>
      </c>
      <c r="B354" s="2" t="s">
        <v>907</v>
      </c>
      <c r="C354" s="2" t="s">
        <v>124</v>
      </c>
      <c r="D354" s="2" t="s">
        <v>906</v>
      </c>
      <c r="E354" s="2" t="str">
        <f>"9789048571062"</f>
        <v>9789048571062</v>
      </c>
      <c r="F354" s="2" t="str">
        <f>"9781003700432"</f>
        <v>9781003700432</v>
      </c>
    </row>
    <row r="355" spans="1:6" s="3" customFormat="1" ht="29.1" customHeight="1" x14ac:dyDescent="0.25">
      <c r="A355" s="2" t="s">
        <v>908</v>
      </c>
      <c r="B355" s="2" t="s">
        <v>909</v>
      </c>
      <c r="C355" s="2" t="s">
        <v>124</v>
      </c>
      <c r="D355" s="2" t="s">
        <v>525</v>
      </c>
      <c r="E355" s="2" t="str">
        <f>"9789048562558"</f>
        <v>9789048562558</v>
      </c>
      <c r="F355" s="2" t="str">
        <f>"9781003701231"</f>
        <v>9781003701231</v>
      </c>
    </row>
    <row r="356" spans="1:6" s="3" customFormat="1" ht="29.1" customHeight="1" x14ac:dyDescent="0.25">
      <c r="A356" s="2" t="s">
        <v>910</v>
      </c>
      <c r="B356" s="2" t="s">
        <v>911</v>
      </c>
      <c r="C356" s="2" t="s">
        <v>124</v>
      </c>
      <c r="D356" s="2" t="s">
        <v>175</v>
      </c>
      <c r="E356" s="2" t="str">
        <f>"9789048563753"</f>
        <v>9789048563753</v>
      </c>
      <c r="F356" s="2" t="str">
        <f>"9781003708582"</f>
        <v>9781003708582</v>
      </c>
    </row>
    <row r="357" spans="1:6" s="3" customFormat="1" ht="29.1" customHeight="1" x14ac:dyDescent="0.25">
      <c r="A357" s="2" t="s">
        <v>912</v>
      </c>
      <c r="B357" s="2" t="s">
        <v>914</v>
      </c>
      <c r="C357" s="2" t="s">
        <v>124</v>
      </c>
      <c r="D357" s="2" t="s">
        <v>913</v>
      </c>
      <c r="E357" s="2" t="str">
        <f>"9789048559572"</f>
        <v>9789048559572</v>
      </c>
      <c r="F357" s="2" t="str">
        <f>"9781003701859"</f>
        <v>9781003701859</v>
      </c>
    </row>
    <row r="358" spans="1:6" s="3" customFormat="1" ht="29.1" customHeight="1" x14ac:dyDescent="0.25">
      <c r="A358" s="2" t="s">
        <v>915</v>
      </c>
      <c r="B358" s="2" t="s">
        <v>917</v>
      </c>
      <c r="C358" s="2" t="s">
        <v>124</v>
      </c>
      <c r="D358" s="2" t="s">
        <v>916</v>
      </c>
      <c r="E358" s="2" t="str">
        <f>"9789463728577"</f>
        <v>9789463728577</v>
      </c>
      <c r="F358" s="2" t="str">
        <f>"9781003693482"</f>
        <v>9781003693482</v>
      </c>
    </row>
    <row r="359" spans="1:6" s="3" customFormat="1" ht="29.1" customHeight="1" x14ac:dyDescent="0.25">
      <c r="A359" s="2" t="s">
        <v>918</v>
      </c>
      <c r="B359" s="2" t="s">
        <v>920</v>
      </c>
      <c r="C359" s="2" t="s">
        <v>149</v>
      </c>
      <c r="D359" s="2" t="s">
        <v>919</v>
      </c>
      <c r="E359" s="2" t="str">
        <f>"9781805113348"</f>
        <v>9781805113348</v>
      </c>
      <c r="F359" s="2" t="str">
        <f>"9781805113362"</f>
        <v>9781805113362</v>
      </c>
    </row>
    <row r="360" spans="1:6" s="3" customFormat="1" ht="29.1" customHeight="1" x14ac:dyDescent="0.25">
      <c r="A360" s="2" t="s">
        <v>921</v>
      </c>
      <c r="B360" s="2" t="s">
        <v>923</v>
      </c>
      <c r="C360" s="2" t="s">
        <v>5</v>
      </c>
      <c r="D360" s="2" t="s">
        <v>922</v>
      </c>
      <c r="E360" s="2" t="str">
        <f>"9789819514861"</f>
        <v>9789819514861</v>
      </c>
      <c r="F360" s="2" t="str">
        <f>"9789819514878"</f>
        <v>9789819514878</v>
      </c>
    </row>
    <row r="361" spans="1:6" s="3" customFormat="1" ht="29.1" customHeight="1" x14ac:dyDescent="0.25">
      <c r="A361" s="2" t="s">
        <v>924</v>
      </c>
      <c r="B361" s="2" t="s">
        <v>925</v>
      </c>
      <c r="C361" s="2" t="s">
        <v>5</v>
      </c>
      <c r="D361" s="2" t="s">
        <v>6</v>
      </c>
      <c r="E361" s="2" t="str">
        <f>"9789819669240"</f>
        <v>9789819669240</v>
      </c>
      <c r="F361" s="2" t="str">
        <f>"9789819669257"</f>
        <v>9789819669257</v>
      </c>
    </row>
    <row r="362" spans="1:6" s="3" customFormat="1" ht="29.1" customHeight="1" x14ac:dyDescent="0.25">
      <c r="A362" s="2" t="s">
        <v>926</v>
      </c>
      <c r="B362" s="2" t="s">
        <v>928</v>
      </c>
      <c r="C362" s="2" t="s">
        <v>927</v>
      </c>
      <c r="D362" s="2" t="s">
        <v>342</v>
      </c>
      <c r="E362" s="2" t="str">
        <f>"9780472057733"</f>
        <v>9780472057733</v>
      </c>
      <c r="F362" s="2" t="str">
        <f>"9780472905324"</f>
        <v>9780472905324</v>
      </c>
    </row>
    <row r="363" spans="1:6" s="3" customFormat="1" ht="29.1" customHeight="1" x14ac:dyDescent="0.25">
      <c r="A363" s="2" t="s">
        <v>929</v>
      </c>
      <c r="B363" s="2" t="s">
        <v>931</v>
      </c>
      <c r="C363" s="2" t="s">
        <v>36</v>
      </c>
      <c r="D363" s="2" t="s">
        <v>930</v>
      </c>
      <c r="E363" s="2"/>
      <c r="F363" s="2" t="str">
        <f>"9781529243024"</f>
        <v>9781529243024</v>
      </c>
    </row>
    <row r="364" spans="1:6" s="3" customFormat="1" ht="29.1" customHeight="1" x14ac:dyDescent="0.25">
      <c r="A364" s="2" t="s">
        <v>932</v>
      </c>
      <c r="B364" s="2" t="s">
        <v>933</v>
      </c>
      <c r="C364" s="2" t="s">
        <v>29</v>
      </c>
      <c r="D364" s="2" t="s">
        <v>9</v>
      </c>
      <c r="E364" s="2" t="str">
        <f>"9789004738041"</f>
        <v>9789004738041</v>
      </c>
      <c r="F364" s="2" t="str">
        <f>"9789004738058"</f>
        <v>9789004738058</v>
      </c>
    </row>
    <row r="365" spans="1:6" s="3" customFormat="1" ht="29.1" customHeight="1" x14ac:dyDescent="0.25">
      <c r="A365" s="2" t="s">
        <v>934</v>
      </c>
      <c r="B365" s="2" t="s">
        <v>935</v>
      </c>
      <c r="C365" s="2" t="s">
        <v>29</v>
      </c>
      <c r="D365" s="2" t="s">
        <v>699</v>
      </c>
      <c r="E365" s="2" t="str">
        <f>"9789004725041"</f>
        <v>9789004725041</v>
      </c>
      <c r="F365" s="2" t="str">
        <f>"9789004725058"</f>
        <v>9789004725058</v>
      </c>
    </row>
    <row r="366" spans="1:6" s="3" customFormat="1" ht="29.1" customHeight="1" x14ac:dyDescent="0.25">
      <c r="A366" s="2" t="s">
        <v>936</v>
      </c>
      <c r="B366" s="2" t="s">
        <v>938</v>
      </c>
      <c r="C366" s="2" t="s">
        <v>29</v>
      </c>
      <c r="D366" s="2" t="s">
        <v>937</v>
      </c>
      <c r="E366" s="2" t="str">
        <f>"9789004734197"</f>
        <v>9789004734197</v>
      </c>
      <c r="F366" s="2" t="str">
        <f>"9789004734203"</f>
        <v>9789004734203</v>
      </c>
    </row>
    <row r="367" spans="1:6" s="3" customFormat="1" ht="29.1" customHeight="1" x14ac:dyDescent="0.25">
      <c r="A367" s="2" t="s">
        <v>939</v>
      </c>
      <c r="B367" s="2" t="s">
        <v>941</v>
      </c>
      <c r="C367" s="2" t="s">
        <v>940</v>
      </c>
      <c r="D367" s="2" t="s">
        <v>509</v>
      </c>
      <c r="E367" s="2" t="str">
        <f>"9786084868538"</f>
        <v>9786084868538</v>
      </c>
      <c r="F367" s="2" t="str">
        <f>"9786084868545"</f>
        <v>9786084868545</v>
      </c>
    </row>
    <row r="368" spans="1:6" s="3" customFormat="1" ht="29.1" customHeight="1" x14ac:dyDescent="0.25">
      <c r="A368" s="2" t="s">
        <v>942</v>
      </c>
      <c r="B368" s="2" t="s">
        <v>944</v>
      </c>
      <c r="C368" s="2" t="s">
        <v>55</v>
      </c>
      <c r="D368" s="2" t="s">
        <v>943</v>
      </c>
      <c r="E368" s="2" t="str">
        <f>"9789198557862"</f>
        <v>9789198557862</v>
      </c>
      <c r="F368" s="2" t="str">
        <f>"9789198557879"</f>
        <v>9789198557879</v>
      </c>
    </row>
    <row r="369" spans="1:6" s="3" customFormat="1" ht="29.1" customHeight="1" x14ac:dyDescent="0.25">
      <c r="A369" s="2" t="s">
        <v>945</v>
      </c>
      <c r="B369" s="2" t="s">
        <v>946</v>
      </c>
      <c r="C369" s="2" t="s">
        <v>124</v>
      </c>
      <c r="D369" s="2" t="s">
        <v>364</v>
      </c>
      <c r="E369" s="2" t="str">
        <f>"9781041123408"</f>
        <v>9781041123408</v>
      </c>
      <c r="F369" s="2" t="str">
        <f>"9781003664314"</f>
        <v>9781003664314</v>
      </c>
    </row>
    <row r="370" spans="1:6" s="3" customFormat="1" ht="29.1" customHeight="1" x14ac:dyDescent="0.25">
      <c r="A370" s="2" t="s">
        <v>947</v>
      </c>
      <c r="B370" s="2" t="s">
        <v>948</v>
      </c>
      <c r="C370" s="2" t="s">
        <v>556</v>
      </c>
      <c r="D370" s="2" t="s">
        <v>52</v>
      </c>
      <c r="E370" s="2" t="str">
        <f>"9783837679052"</f>
        <v>9783837679052</v>
      </c>
      <c r="F370" s="2" t="str">
        <f>"9783839430699"</f>
        <v>9783839430699</v>
      </c>
    </row>
    <row r="371" spans="1:6" s="3" customFormat="1" ht="29.1" customHeight="1" x14ac:dyDescent="0.25">
      <c r="A371" s="2" t="s">
        <v>949</v>
      </c>
      <c r="B371" s="2" t="s">
        <v>952</v>
      </c>
      <c r="C371" s="2" t="s">
        <v>950</v>
      </c>
      <c r="D371" s="2" t="s">
        <v>951</v>
      </c>
      <c r="E371" s="2"/>
      <c r="F371" s="2" t="str">
        <f>"9791370066246"</f>
        <v>9791370066246</v>
      </c>
    </row>
    <row r="372" spans="1:6" s="3" customFormat="1" ht="29.1" customHeight="1" x14ac:dyDescent="0.25">
      <c r="A372" s="2" t="s">
        <v>953</v>
      </c>
      <c r="B372" s="2" t="s">
        <v>954</v>
      </c>
      <c r="C372" s="2" t="s">
        <v>950</v>
      </c>
      <c r="D372" s="2" t="s">
        <v>52</v>
      </c>
      <c r="E372" s="2"/>
      <c r="F372" s="2" t="str">
        <f>"9791370060602"</f>
        <v>9791370060602</v>
      </c>
    </row>
    <row r="373" spans="1:6" s="3" customFormat="1" ht="29.1" customHeight="1" x14ac:dyDescent="0.25">
      <c r="A373" s="2" t="s">
        <v>955</v>
      </c>
      <c r="B373" s="2" t="s">
        <v>956</v>
      </c>
      <c r="C373" s="2" t="s">
        <v>950</v>
      </c>
      <c r="D373" s="2" t="s">
        <v>413</v>
      </c>
      <c r="E373" s="2"/>
      <c r="F373" s="2" t="str">
        <f>"9788410708310"</f>
        <v>9788410708310</v>
      </c>
    </row>
    <row r="374" spans="1:6" s="3" customFormat="1" ht="29.1" customHeight="1" x14ac:dyDescent="0.25">
      <c r="A374" s="2" t="s">
        <v>957</v>
      </c>
      <c r="B374" s="2" t="s">
        <v>958</v>
      </c>
      <c r="C374" s="2" t="s">
        <v>950</v>
      </c>
      <c r="D374" s="2" t="s">
        <v>75</v>
      </c>
      <c r="E374" s="2"/>
      <c r="F374" s="2" t="str">
        <f>"9791370066482"</f>
        <v>9791370066482</v>
      </c>
    </row>
    <row r="375" spans="1:6" s="3" customFormat="1" ht="29.1" customHeight="1" x14ac:dyDescent="0.25">
      <c r="A375" s="2" t="s">
        <v>959</v>
      </c>
      <c r="B375" s="2" t="s">
        <v>961</v>
      </c>
      <c r="C375" s="2" t="s">
        <v>950</v>
      </c>
      <c r="D375" s="2" t="s">
        <v>960</v>
      </c>
      <c r="E375" s="2"/>
      <c r="F375" s="2" t="str">
        <f>"9791370066284"</f>
        <v>9791370066284</v>
      </c>
    </row>
    <row r="376" spans="1:6" s="3" customFormat="1" ht="29.1" customHeight="1" x14ac:dyDescent="0.25">
      <c r="A376" s="2" t="s">
        <v>962</v>
      </c>
      <c r="B376" s="2" t="s">
        <v>963</v>
      </c>
      <c r="C376" s="2" t="s">
        <v>950</v>
      </c>
      <c r="D376" s="2" t="s">
        <v>694</v>
      </c>
      <c r="E376" s="2"/>
      <c r="F376" s="2" t="str">
        <f>"9791370066185"</f>
        <v>9791370066185</v>
      </c>
    </row>
    <row r="377" spans="1:6" s="3" customFormat="1" ht="29.1" customHeight="1" x14ac:dyDescent="0.25">
      <c r="A377" s="2" t="s">
        <v>964</v>
      </c>
      <c r="B377" s="2" t="s">
        <v>966</v>
      </c>
      <c r="C377" s="2" t="s">
        <v>950</v>
      </c>
      <c r="D377" s="2" t="s">
        <v>965</v>
      </c>
      <c r="E377" s="2"/>
      <c r="F377" s="2" t="str">
        <f>"9791370066178"</f>
        <v>9791370066178</v>
      </c>
    </row>
    <row r="378" spans="1:6" s="3" customFormat="1" ht="29.1" customHeight="1" x14ac:dyDescent="0.25">
      <c r="A378" s="2" t="s">
        <v>967</v>
      </c>
      <c r="B378" s="2" t="s">
        <v>969</v>
      </c>
      <c r="C378" s="2" t="s">
        <v>950</v>
      </c>
      <c r="D378" s="2" t="s">
        <v>968</v>
      </c>
      <c r="E378" s="2"/>
      <c r="F378" s="2" t="str">
        <f>"9791370066147"</f>
        <v>9791370066147</v>
      </c>
    </row>
    <row r="379" spans="1:6" s="3" customFormat="1" ht="29.1" customHeight="1" x14ac:dyDescent="0.25">
      <c r="A379" s="2" t="s">
        <v>970</v>
      </c>
      <c r="B379" s="2" t="s">
        <v>972</v>
      </c>
      <c r="C379" s="2" t="s">
        <v>950</v>
      </c>
      <c r="D379" s="2" t="s">
        <v>971</v>
      </c>
      <c r="E379" s="2"/>
      <c r="F379" s="2" t="str">
        <f>"9791370066130"</f>
        <v>9791370066130</v>
      </c>
    </row>
    <row r="380" spans="1:6" s="3" customFormat="1" ht="29.1" customHeight="1" x14ac:dyDescent="0.25">
      <c r="A380" s="2" t="s">
        <v>973</v>
      </c>
      <c r="B380" s="2" t="s">
        <v>974</v>
      </c>
      <c r="C380" s="2" t="s">
        <v>950</v>
      </c>
      <c r="D380" s="2" t="s">
        <v>98</v>
      </c>
      <c r="E380" s="2"/>
      <c r="F380" s="2" t="str">
        <f>"9791370066116"</f>
        <v>9791370066116</v>
      </c>
    </row>
    <row r="381" spans="1:6" s="3" customFormat="1" ht="29.1" customHeight="1" x14ac:dyDescent="0.25">
      <c r="A381" s="2" t="s">
        <v>975</v>
      </c>
      <c r="B381" s="2" t="s">
        <v>976</v>
      </c>
      <c r="C381" s="2" t="s">
        <v>950</v>
      </c>
      <c r="D381" s="2" t="s">
        <v>951</v>
      </c>
      <c r="E381" s="2"/>
      <c r="F381" s="2" t="str">
        <f>"9791370065836"</f>
        <v>9791370065836</v>
      </c>
    </row>
    <row r="382" spans="1:6" s="3" customFormat="1" ht="29.1" customHeight="1" x14ac:dyDescent="0.25">
      <c r="A382" s="2" t="s">
        <v>977</v>
      </c>
      <c r="B382" s="2" t="s">
        <v>979</v>
      </c>
      <c r="C382" s="2" t="s">
        <v>950</v>
      </c>
      <c r="D382" s="2" t="s">
        <v>978</v>
      </c>
      <c r="E382" s="2"/>
      <c r="F382" s="2" t="str">
        <f>"9791370065713"</f>
        <v>9791370065713</v>
      </c>
    </row>
    <row r="383" spans="1:6" s="3" customFormat="1" ht="29.1" customHeight="1" x14ac:dyDescent="0.25">
      <c r="A383" s="2" t="s">
        <v>980</v>
      </c>
      <c r="B383" s="2" t="s">
        <v>982</v>
      </c>
      <c r="C383" s="2" t="s">
        <v>950</v>
      </c>
      <c r="D383" s="2" t="s">
        <v>981</v>
      </c>
      <c r="E383" s="2"/>
      <c r="F383" s="2" t="str">
        <f>"9791370065591"</f>
        <v>9791370065591</v>
      </c>
    </row>
    <row r="384" spans="1:6" s="3" customFormat="1" ht="29.1" customHeight="1" x14ac:dyDescent="0.25">
      <c r="A384" s="2" t="s">
        <v>983</v>
      </c>
      <c r="B384" s="2" t="s">
        <v>985</v>
      </c>
      <c r="C384" s="2" t="s">
        <v>950</v>
      </c>
      <c r="D384" s="2" t="s">
        <v>984</v>
      </c>
      <c r="E384" s="2"/>
      <c r="F384" s="2" t="str">
        <f>"9791370065584"</f>
        <v>9791370065584</v>
      </c>
    </row>
    <row r="385" spans="1:6" s="3" customFormat="1" ht="29.1" customHeight="1" x14ac:dyDescent="0.25">
      <c r="A385" s="2" t="s">
        <v>986</v>
      </c>
      <c r="B385" s="2" t="s">
        <v>987</v>
      </c>
      <c r="C385" s="2" t="s">
        <v>950</v>
      </c>
      <c r="D385" s="2" t="s">
        <v>550</v>
      </c>
      <c r="E385" s="2"/>
      <c r="F385" s="2" t="str">
        <f>"9791370065560"</f>
        <v>9791370065560</v>
      </c>
    </row>
    <row r="386" spans="1:6" s="3" customFormat="1" ht="29.1" customHeight="1" x14ac:dyDescent="0.25">
      <c r="A386" s="2" t="s">
        <v>988</v>
      </c>
      <c r="B386" s="2" t="s">
        <v>989</v>
      </c>
      <c r="C386" s="2" t="s">
        <v>950</v>
      </c>
      <c r="D386" s="2" t="s">
        <v>984</v>
      </c>
      <c r="E386" s="2"/>
      <c r="F386" s="2" t="str">
        <f>"9791370065263"</f>
        <v>9791370065263</v>
      </c>
    </row>
    <row r="387" spans="1:6" s="3" customFormat="1" ht="29.1" customHeight="1" x14ac:dyDescent="0.25">
      <c r="A387" s="2" t="s">
        <v>990</v>
      </c>
      <c r="B387" s="2" t="s">
        <v>992</v>
      </c>
      <c r="C387" s="2" t="s">
        <v>950</v>
      </c>
      <c r="D387" s="2" t="s">
        <v>991</v>
      </c>
      <c r="E387" s="2"/>
      <c r="F387" s="2" t="str">
        <f>"9791370065256"</f>
        <v>9791370065256</v>
      </c>
    </row>
    <row r="388" spans="1:6" s="3" customFormat="1" ht="29.1" customHeight="1" x14ac:dyDescent="0.25">
      <c r="A388" s="2" t="s">
        <v>993</v>
      </c>
      <c r="B388" s="2" t="s">
        <v>994</v>
      </c>
      <c r="C388" s="2" t="s">
        <v>950</v>
      </c>
      <c r="D388" s="2" t="s">
        <v>553</v>
      </c>
      <c r="E388" s="2"/>
      <c r="F388" s="2" t="str">
        <f>"9791370065249"</f>
        <v>9791370065249</v>
      </c>
    </row>
    <row r="389" spans="1:6" s="3" customFormat="1" ht="29.1" customHeight="1" x14ac:dyDescent="0.25">
      <c r="A389" s="2" t="s">
        <v>995</v>
      </c>
      <c r="B389" s="2" t="s">
        <v>996</v>
      </c>
      <c r="C389" s="2" t="s">
        <v>950</v>
      </c>
      <c r="D389" s="2" t="s">
        <v>63</v>
      </c>
      <c r="E389" s="2"/>
      <c r="F389" s="2" t="str">
        <f>"9791370065201"</f>
        <v>9791370065201</v>
      </c>
    </row>
    <row r="390" spans="1:6" s="3" customFormat="1" ht="29.1" customHeight="1" x14ac:dyDescent="0.25">
      <c r="A390" s="2" t="s">
        <v>997</v>
      </c>
      <c r="B390" s="2" t="s">
        <v>999</v>
      </c>
      <c r="C390" s="2" t="s">
        <v>950</v>
      </c>
      <c r="D390" s="2" t="s">
        <v>998</v>
      </c>
      <c r="E390" s="2"/>
      <c r="F390" s="2" t="str">
        <f>"9791370065195"</f>
        <v>9791370065195</v>
      </c>
    </row>
    <row r="391" spans="1:6" s="3" customFormat="1" ht="29.1" customHeight="1" x14ac:dyDescent="0.25">
      <c r="A391" s="2" t="s">
        <v>1000</v>
      </c>
      <c r="B391" s="2" t="s">
        <v>1002</v>
      </c>
      <c r="C391" s="2" t="s">
        <v>950</v>
      </c>
      <c r="D391" s="2" t="s">
        <v>1001</v>
      </c>
      <c r="E391" s="2"/>
      <c r="F391" s="2" t="str">
        <f>"9791370065102"</f>
        <v>9791370065102</v>
      </c>
    </row>
    <row r="392" spans="1:6" s="3" customFormat="1" ht="29.1" customHeight="1" x14ac:dyDescent="0.25">
      <c r="A392" s="2" t="s">
        <v>1003</v>
      </c>
      <c r="B392" s="2" t="s">
        <v>1004</v>
      </c>
      <c r="C392" s="2" t="s">
        <v>950</v>
      </c>
      <c r="D392" s="2" t="s">
        <v>101</v>
      </c>
      <c r="E392" s="2"/>
      <c r="F392" s="2" t="str">
        <f>"9791370064952"</f>
        <v>9791370064952</v>
      </c>
    </row>
    <row r="393" spans="1:6" s="3" customFormat="1" ht="29.1" customHeight="1" x14ac:dyDescent="0.25">
      <c r="A393" s="2" t="s">
        <v>1005</v>
      </c>
      <c r="B393" s="2" t="s">
        <v>1006</v>
      </c>
      <c r="C393" s="2" t="s">
        <v>950</v>
      </c>
      <c r="D393" s="2" t="s">
        <v>550</v>
      </c>
      <c r="E393" s="2"/>
      <c r="F393" s="2" t="str">
        <f>"9791370064938"</f>
        <v>9791370064938</v>
      </c>
    </row>
    <row r="394" spans="1:6" s="3" customFormat="1" ht="29.1" customHeight="1" x14ac:dyDescent="0.25">
      <c r="A394" s="2" t="s">
        <v>1007</v>
      </c>
      <c r="B394" s="2" t="s">
        <v>1008</v>
      </c>
      <c r="C394" s="2" t="s">
        <v>950</v>
      </c>
      <c r="D394" s="2" t="s">
        <v>550</v>
      </c>
      <c r="E394" s="2"/>
      <c r="F394" s="2" t="str">
        <f>"9791370064921"</f>
        <v>9791370064921</v>
      </c>
    </row>
    <row r="395" spans="1:6" s="3" customFormat="1" ht="29.1" customHeight="1" x14ac:dyDescent="0.25">
      <c r="A395" s="2" t="s">
        <v>1009</v>
      </c>
      <c r="B395" s="2" t="s">
        <v>1011</v>
      </c>
      <c r="C395" s="2" t="s">
        <v>950</v>
      </c>
      <c r="D395" s="2" t="s">
        <v>1010</v>
      </c>
      <c r="E395" s="2"/>
      <c r="F395" s="2" t="str">
        <f>"9791370064808"</f>
        <v>9791370064808</v>
      </c>
    </row>
    <row r="396" spans="1:6" s="3" customFormat="1" ht="29.1" customHeight="1" x14ac:dyDescent="0.25">
      <c r="A396" s="2" t="s">
        <v>1012</v>
      </c>
      <c r="B396" s="2" t="s">
        <v>1014</v>
      </c>
      <c r="C396" s="2" t="s">
        <v>950</v>
      </c>
      <c r="D396" s="2" t="s">
        <v>1013</v>
      </c>
      <c r="E396" s="2"/>
      <c r="F396" s="2" t="str">
        <f>"9791370064747"</f>
        <v>9791370064747</v>
      </c>
    </row>
    <row r="397" spans="1:6" s="3" customFormat="1" ht="29.1" customHeight="1" x14ac:dyDescent="0.25">
      <c r="A397" s="2" t="s">
        <v>1015</v>
      </c>
      <c r="B397" s="2" t="s">
        <v>1016</v>
      </c>
      <c r="C397" s="2" t="s">
        <v>950</v>
      </c>
      <c r="D397" s="2" t="s">
        <v>249</v>
      </c>
      <c r="E397" s="2"/>
      <c r="F397" s="2" t="str">
        <f>"9791370064570"</f>
        <v>9791370064570</v>
      </c>
    </row>
    <row r="398" spans="1:6" s="3" customFormat="1" ht="29.1" customHeight="1" x14ac:dyDescent="0.25">
      <c r="A398" s="2" t="s">
        <v>1017</v>
      </c>
      <c r="B398" s="2" t="s">
        <v>1019</v>
      </c>
      <c r="C398" s="2" t="s">
        <v>950</v>
      </c>
      <c r="D398" s="2" t="s">
        <v>1018</v>
      </c>
      <c r="E398" s="2"/>
      <c r="F398" s="2" t="str">
        <f>"9791370064563"</f>
        <v>9791370064563</v>
      </c>
    </row>
    <row r="399" spans="1:6" s="3" customFormat="1" ht="29.1" customHeight="1" x14ac:dyDescent="0.25">
      <c r="A399" s="2" t="s">
        <v>1020</v>
      </c>
      <c r="B399" s="2" t="s">
        <v>1021</v>
      </c>
      <c r="C399" s="2" t="s">
        <v>950</v>
      </c>
      <c r="D399" s="2" t="s">
        <v>52</v>
      </c>
      <c r="E399" s="2"/>
      <c r="F399" s="2" t="str">
        <f>"9791370064501"</f>
        <v>9791370064501</v>
      </c>
    </row>
    <row r="400" spans="1:6" s="3" customFormat="1" ht="29.1" customHeight="1" x14ac:dyDescent="0.25">
      <c r="A400" s="2" t="s">
        <v>1022</v>
      </c>
      <c r="B400" s="2" t="s">
        <v>1023</v>
      </c>
      <c r="C400" s="2" t="s">
        <v>950</v>
      </c>
      <c r="D400" s="2" t="s">
        <v>12</v>
      </c>
      <c r="E400" s="2"/>
      <c r="F400" s="2" t="str">
        <f>"9791370063863"</f>
        <v>9791370063863</v>
      </c>
    </row>
    <row r="401" spans="1:6" s="3" customFormat="1" ht="29.1" customHeight="1" x14ac:dyDescent="0.25">
      <c r="A401" s="2" t="s">
        <v>1024</v>
      </c>
      <c r="B401" s="2" t="s">
        <v>1026</v>
      </c>
      <c r="C401" s="2" t="s">
        <v>950</v>
      </c>
      <c r="D401" s="2" t="s">
        <v>1025</v>
      </c>
      <c r="E401" s="2"/>
      <c r="F401" s="2" t="str">
        <f>"9791370063795"</f>
        <v>9791370063795</v>
      </c>
    </row>
    <row r="402" spans="1:6" s="3" customFormat="1" ht="29.1" customHeight="1" x14ac:dyDescent="0.25">
      <c r="A402" s="2" t="s">
        <v>1027</v>
      </c>
      <c r="B402" s="2" t="s">
        <v>1029</v>
      </c>
      <c r="C402" s="2" t="s">
        <v>950</v>
      </c>
      <c r="D402" s="2" t="s">
        <v>1028</v>
      </c>
      <c r="E402" s="2"/>
      <c r="F402" s="2" t="str">
        <f>"9791370063498"</f>
        <v>9791370063498</v>
      </c>
    </row>
    <row r="403" spans="1:6" s="3" customFormat="1" ht="29.1" customHeight="1" x14ac:dyDescent="0.25">
      <c r="A403" s="2" t="s">
        <v>1030</v>
      </c>
      <c r="B403" s="2" t="s">
        <v>1031</v>
      </c>
      <c r="C403" s="2" t="s">
        <v>950</v>
      </c>
      <c r="D403" s="2" t="s">
        <v>876</v>
      </c>
      <c r="E403" s="2"/>
      <c r="F403" s="2" t="str">
        <f>"9791370062804"</f>
        <v>9791370062804</v>
      </c>
    </row>
    <row r="404" spans="1:6" s="3" customFormat="1" ht="29.1" customHeight="1" x14ac:dyDescent="0.25">
      <c r="A404" s="2" t="s">
        <v>1032</v>
      </c>
      <c r="B404" s="2" t="s">
        <v>1033</v>
      </c>
      <c r="C404" s="2" t="s">
        <v>950</v>
      </c>
      <c r="D404" s="2" t="s">
        <v>52</v>
      </c>
      <c r="E404" s="2"/>
      <c r="F404" s="2" t="str">
        <f>"9791370062613"</f>
        <v>9791370062613</v>
      </c>
    </row>
    <row r="405" spans="1:6" s="3" customFormat="1" ht="29.1" customHeight="1" x14ac:dyDescent="0.25">
      <c r="A405" s="2" t="s">
        <v>1034</v>
      </c>
      <c r="B405" s="2" t="s">
        <v>1035</v>
      </c>
      <c r="C405" s="2" t="s">
        <v>950</v>
      </c>
      <c r="D405" s="2" t="s">
        <v>965</v>
      </c>
      <c r="E405" s="2"/>
      <c r="F405" s="2" t="str">
        <f>"9791370061715"</f>
        <v>9791370061715</v>
      </c>
    </row>
    <row r="406" spans="1:6" s="3" customFormat="1" ht="29.1" customHeight="1" x14ac:dyDescent="0.25">
      <c r="A406" s="2" t="s">
        <v>1036</v>
      </c>
      <c r="B406" s="2" t="s">
        <v>1035</v>
      </c>
      <c r="C406" s="2" t="s">
        <v>950</v>
      </c>
      <c r="D406" s="2" t="s">
        <v>965</v>
      </c>
      <c r="E406" s="2"/>
      <c r="F406" s="2" t="str">
        <f>"9791370061708"</f>
        <v>9791370061708</v>
      </c>
    </row>
    <row r="407" spans="1:6" s="3" customFormat="1" ht="29.1" customHeight="1" x14ac:dyDescent="0.25">
      <c r="A407" s="2" t="s">
        <v>1037</v>
      </c>
      <c r="B407" s="2" t="s">
        <v>1035</v>
      </c>
      <c r="C407" s="2" t="s">
        <v>950</v>
      </c>
      <c r="D407" s="2" t="s">
        <v>965</v>
      </c>
      <c r="E407" s="2"/>
      <c r="F407" s="2" t="str">
        <f>"9791370061692"</f>
        <v>9791370061692</v>
      </c>
    </row>
    <row r="408" spans="1:6" s="3" customFormat="1" ht="29.1" customHeight="1" x14ac:dyDescent="0.25">
      <c r="A408" s="2" t="s">
        <v>1038</v>
      </c>
      <c r="B408" s="2" t="s">
        <v>1039</v>
      </c>
      <c r="C408" s="2" t="s">
        <v>950</v>
      </c>
      <c r="D408" s="2" t="s">
        <v>712</v>
      </c>
      <c r="E408" s="2"/>
      <c r="F408" s="2" t="str">
        <f>"9791370061340"</f>
        <v>9791370061340</v>
      </c>
    </row>
    <row r="409" spans="1:6" s="3" customFormat="1" ht="29.1" customHeight="1" x14ac:dyDescent="0.25">
      <c r="A409" s="2" t="s">
        <v>1040</v>
      </c>
      <c r="B409" s="2" t="s">
        <v>1041</v>
      </c>
      <c r="C409" s="2" t="s">
        <v>950</v>
      </c>
      <c r="D409" s="2" t="s">
        <v>1018</v>
      </c>
      <c r="E409" s="2"/>
      <c r="F409" s="2" t="str">
        <f>"9791370060190"</f>
        <v>9791370060190</v>
      </c>
    </row>
    <row r="410" spans="1:6" s="3" customFormat="1" ht="29.1" customHeight="1" x14ac:dyDescent="0.25">
      <c r="A410" s="2" t="s">
        <v>1042</v>
      </c>
      <c r="B410" s="2" t="s">
        <v>1044</v>
      </c>
      <c r="C410" s="2" t="s">
        <v>950</v>
      </c>
      <c r="D410" s="2" t="s">
        <v>1043</v>
      </c>
      <c r="E410" s="2"/>
      <c r="F410" s="2" t="str">
        <f>"9791370060183"</f>
        <v>9791370060183</v>
      </c>
    </row>
    <row r="411" spans="1:6" s="3" customFormat="1" ht="29.1" customHeight="1" x14ac:dyDescent="0.25">
      <c r="A411" s="2" t="s">
        <v>1045</v>
      </c>
      <c r="B411" s="2" t="s">
        <v>1047</v>
      </c>
      <c r="C411" s="2" t="s">
        <v>950</v>
      </c>
      <c r="D411" s="2" t="s">
        <v>1046</v>
      </c>
      <c r="E411" s="2"/>
      <c r="F411" s="2" t="str">
        <f>"9791370060176"</f>
        <v>9791370060176</v>
      </c>
    </row>
    <row r="412" spans="1:6" s="3" customFormat="1" ht="29.1" customHeight="1" x14ac:dyDescent="0.25">
      <c r="A412" s="2" t="s">
        <v>1048</v>
      </c>
      <c r="B412" s="2" t="s">
        <v>1050</v>
      </c>
      <c r="C412" s="2" t="s">
        <v>950</v>
      </c>
      <c r="D412" s="2" t="s">
        <v>1049</v>
      </c>
      <c r="E412" s="2"/>
      <c r="F412" s="2" t="str">
        <f>"9791370060169"</f>
        <v>9791370060169</v>
      </c>
    </row>
    <row r="413" spans="1:6" s="3" customFormat="1" ht="29.1" customHeight="1" x14ac:dyDescent="0.25">
      <c r="A413" s="2" t="s">
        <v>1051</v>
      </c>
      <c r="B413" s="2" t="s">
        <v>1052</v>
      </c>
      <c r="C413" s="2" t="s">
        <v>950</v>
      </c>
      <c r="D413" s="2" t="s">
        <v>183</v>
      </c>
      <c r="E413" s="2"/>
      <c r="F413" s="2" t="str">
        <f>"9791370060152"</f>
        <v>9791370060152</v>
      </c>
    </row>
    <row r="414" spans="1:6" s="3" customFormat="1" ht="29.1" customHeight="1" x14ac:dyDescent="0.25">
      <c r="A414" s="2" t="s">
        <v>1053</v>
      </c>
      <c r="B414" s="2" t="s">
        <v>1054</v>
      </c>
      <c r="C414" s="2" t="s">
        <v>950</v>
      </c>
      <c r="D414" s="2" t="s">
        <v>550</v>
      </c>
      <c r="E414" s="2"/>
      <c r="F414" s="2" t="str">
        <f>"9788410709416"</f>
        <v>9788410709416</v>
      </c>
    </row>
    <row r="415" spans="1:6" s="3" customFormat="1" ht="29.1" customHeight="1" x14ac:dyDescent="0.25">
      <c r="A415" s="2" t="s">
        <v>1055</v>
      </c>
      <c r="B415" s="2" t="s">
        <v>1057</v>
      </c>
      <c r="C415" s="2" t="s">
        <v>950</v>
      </c>
      <c r="D415" s="2" t="s">
        <v>1056</v>
      </c>
      <c r="E415" s="2"/>
      <c r="F415" s="2" t="str">
        <f>"9788410708327"</f>
        <v>9788410708327</v>
      </c>
    </row>
    <row r="416" spans="1:6" s="3" customFormat="1" ht="29.1" customHeight="1" x14ac:dyDescent="0.25">
      <c r="A416" s="2" t="s">
        <v>1058</v>
      </c>
      <c r="B416" s="2" t="s">
        <v>1060</v>
      </c>
      <c r="C416" s="2" t="s">
        <v>316</v>
      </c>
      <c r="D416" s="2" t="s">
        <v>1059</v>
      </c>
      <c r="E416" s="2" t="str">
        <f>"9783036402642"</f>
        <v>9783036402642</v>
      </c>
      <c r="F416" s="2" t="str">
        <f>"9783036412641"</f>
        <v>9783036412641</v>
      </c>
    </row>
    <row r="417" spans="1:6" s="3" customFormat="1" ht="29.1" customHeight="1" x14ac:dyDescent="0.25">
      <c r="A417" s="2" t="s">
        <v>1061</v>
      </c>
      <c r="B417" s="2" t="s">
        <v>1063</v>
      </c>
      <c r="C417" s="2" t="s">
        <v>149</v>
      </c>
      <c r="D417" s="2" t="s">
        <v>1062</v>
      </c>
      <c r="E417" s="2" t="str">
        <f>"9781685712808"</f>
        <v>9781685712808</v>
      </c>
      <c r="F417" s="2" t="str">
        <f>"9781685712815"</f>
        <v>9781685712815</v>
      </c>
    </row>
    <row r="418" spans="1:6" s="3" customFormat="1" ht="29.1" customHeight="1" x14ac:dyDescent="0.25">
      <c r="A418" s="2" t="s">
        <v>1064</v>
      </c>
      <c r="B418" s="2" t="s">
        <v>1066</v>
      </c>
      <c r="C418" s="2" t="s">
        <v>5</v>
      </c>
      <c r="D418" s="2" t="s">
        <v>1065</v>
      </c>
      <c r="E418" s="2" t="str">
        <f>"9783031927157"</f>
        <v>9783031927157</v>
      </c>
      <c r="F418" s="2" t="str">
        <f>"9783031927164"</f>
        <v>9783031927164</v>
      </c>
    </row>
    <row r="419" spans="1:6" s="3" customFormat="1" ht="29.1" customHeight="1" x14ac:dyDescent="0.25">
      <c r="A419" s="2" t="s">
        <v>1067</v>
      </c>
      <c r="B419" s="2" t="s">
        <v>1068</v>
      </c>
      <c r="C419" s="2" t="s">
        <v>5</v>
      </c>
      <c r="D419" s="2" t="s">
        <v>1065</v>
      </c>
      <c r="E419" s="2" t="str">
        <f>"9783031905698"</f>
        <v>9783031905698</v>
      </c>
      <c r="F419" s="2" t="str">
        <f>"9783031905704"</f>
        <v>9783031905704</v>
      </c>
    </row>
    <row r="420" spans="1:6" s="3" customFormat="1" ht="29.1" customHeight="1" x14ac:dyDescent="0.25">
      <c r="A420" s="2" t="s">
        <v>1069</v>
      </c>
      <c r="B420" s="2" t="s">
        <v>1072</v>
      </c>
      <c r="C420" s="2" t="s">
        <v>1070</v>
      </c>
      <c r="D420" s="2" t="s">
        <v>1071</v>
      </c>
      <c r="E420" s="2"/>
      <c r="F420" s="2"/>
    </row>
    <row r="421" spans="1:6" s="3" customFormat="1" ht="29.1" customHeight="1" x14ac:dyDescent="0.25">
      <c r="A421" s="2" t="s">
        <v>1073</v>
      </c>
      <c r="B421" s="2" t="s">
        <v>1075</v>
      </c>
      <c r="C421" s="2" t="s">
        <v>124</v>
      </c>
      <c r="D421" s="2" t="s">
        <v>1074</v>
      </c>
      <c r="E421" s="2" t="str">
        <f>"9781041176879"</f>
        <v>9781041176879</v>
      </c>
      <c r="F421" s="2" t="str">
        <f>"9781003692423"</f>
        <v>9781003692423</v>
      </c>
    </row>
    <row r="422" spans="1:6" s="3" customFormat="1" ht="29.1" customHeight="1" x14ac:dyDescent="0.25">
      <c r="A422" s="2" t="s">
        <v>1076</v>
      </c>
      <c r="B422" s="2" t="s">
        <v>1078</v>
      </c>
      <c r="C422" s="2" t="s">
        <v>124</v>
      </c>
      <c r="D422" s="2" t="s">
        <v>1077</v>
      </c>
      <c r="E422" s="2" t="str">
        <f>"9781032908700"</f>
        <v>9781032908700</v>
      </c>
      <c r="F422" s="2" t="str">
        <f>"9781003563273"</f>
        <v>9781003563273</v>
      </c>
    </row>
    <row r="423" spans="1:6" s="3" customFormat="1" ht="29.1" customHeight="1" x14ac:dyDescent="0.25">
      <c r="A423" s="2" t="s">
        <v>1079</v>
      </c>
      <c r="B423" s="2" t="s">
        <v>1080</v>
      </c>
      <c r="C423" s="2" t="s">
        <v>124</v>
      </c>
      <c r="D423" s="2" t="s">
        <v>86</v>
      </c>
      <c r="E423" s="2" t="str">
        <f>"9781041188780"</f>
        <v>9781041188780</v>
      </c>
      <c r="F423" s="2" t="str">
        <f>"9781003707349"</f>
        <v>9781003707349</v>
      </c>
    </row>
    <row r="424" spans="1:6" s="3" customFormat="1" ht="29.1" customHeight="1" x14ac:dyDescent="0.25">
      <c r="A424" s="2" t="s">
        <v>1081</v>
      </c>
      <c r="B424" s="2" t="s">
        <v>1083</v>
      </c>
      <c r="C424" s="2" t="s">
        <v>124</v>
      </c>
      <c r="D424" s="2" t="s">
        <v>1082</v>
      </c>
      <c r="E424" s="2" t="str">
        <f>"9781041187950"</f>
        <v>9781041187950</v>
      </c>
      <c r="F424" s="2" t="str">
        <f>"9781003706243"</f>
        <v>9781003706243</v>
      </c>
    </row>
    <row r="425" spans="1:6" s="3" customFormat="1" ht="29.1" customHeight="1" x14ac:dyDescent="0.25">
      <c r="A425" s="2" t="s">
        <v>1084</v>
      </c>
      <c r="B425" s="2" t="s">
        <v>1085</v>
      </c>
      <c r="C425" s="2" t="s">
        <v>124</v>
      </c>
      <c r="D425" s="2" t="s">
        <v>441</v>
      </c>
      <c r="E425" s="2" t="str">
        <f>"9781041176626"</f>
        <v>9781041176626</v>
      </c>
      <c r="F425" s="2" t="str">
        <f>"9781003692126"</f>
        <v>9781003692126</v>
      </c>
    </row>
    <row r="426" spans="1:6" s="3" customFormat="1" ht="29.1" customHeight="1" x14ac:dyDescent="0.25">
      <c r="A426" s="2" t="s">
        <v>1086</v>
      </c>
      <c r="B426" s="2" t="s">
        <v>1087</v>
      </c>
      <c r="C426" s="2" t="s">
        <v>124</v>
      </c>
      <c r="D426" s="2" t="s">
        <v>614</v>
      </c>
      <c r="E426" s="2" t="str">
        <f>"9781041123668"</f>
        <v>9781041123668</v>
      </c>
      <c r="F426" s="2" t="str">
        <f>"9781003664406"</f>
        <v>9781003664406</v>
      </c>
    </row>
    <row r="427" spans="1:6" s="3" customFormat="1" ht="29.1" customHeight="1" x14ac:dyDescent="0.25">
      <c r="A427" s="2" t="s">
        <v>1088</v>
      </c>
      <c r="B427" s="2" t="s">
        <v>1090</v>
      </c>
      <c r="C427" s="2" t="s">
        <v>59</v>
      </c>
      <c r="D427" s="2" t="s">
        <v>1089</v>
      </c>
      <c r="E427" s="2"/>
      <c r="F427" s="2" t="str">
        <f>"9782759241545"</f>
        <v>9782759241545</v>
      </c>
    </row>
    <row r="428" spans="1:6" s="3" customFormat="1" ht="29.1" customHeight="1" x14ac:dyDescent="0.25">
      <c r="A428" s="2" t="s">
        <v>1091</v>
      </c>
      <c r="B428" s="2" t="s">
        <v>1092</v>
      </c>
      <c r="C428" s="2" t="s">
        <v>5</v>
      </c>
      <c r="D428" s="2" t="s">
        <v>52</v>
      </c>
      <c r="E428" s="2" t="str">
        <f>"9789464638516"</f>
        <v>9789464638516</v>
      </c>
      <c r="F428" s="2" t="str">
        <f>"9789464638523"</f>
        <v>9789464638523</v>
      </c>
    </row>
    <row r="429" spans="1:6" s="3" customFormat="1" ht="29.1" customHeight="1" x14ac:dyDescent="0.25">
      <c r="A429" s="2" t="s">
        <v>1093</v>
      </c>
      <c r="B429" s="2" t="s">
        <v>1095</v>
      </c>
      <c r="C429" s="2" t="s">
        <v>5</v>
      </c>
      <c r="D429" s="2" t="s">
        <v>1094</v>
      </c>
      <c r="E429" s="2" t="str">
        <f>"9783032056290"</f>
        <v>9783032056290</v>
      </c>
      <c r="F429" s="2" t="str">
        <f>"9783032056306"</f>
        <v>9783032056306</v>
      </c>
    </row>
    <row r="430" spans="1:6" s="3" customFormat="1" ht="29.1" customHeight="1" x14ac:dyDescent="0.25">
      <c r="A430" s="2" t="s">
        <v>888</v>
      </c>
      <c r="B430" s="2" t="s">
        <v>890</v>
      </c>
      <c r="C430" s="2" t="s">
        <v>5</v>
      </c>
      <c r="D430" s="2" t="s">
        <v>889</v>
      </c>
      <c r="E430" s="2" t="str">
        <f>"9783032047731"</f>
        <v>9783032047731</v>
      </c>
      <c r="F430" s="2" t="str">
        <f>"9783032047748"</f>
        <v>9783032047748</v>
      </c>
    </row>
    <row r="431" spans="1:6" s="3" customFormat="1" ht="29.1" customHeight="1" x14ac:dyDescent="0.25">
      <c r="A431" s="2" t="s">
        <v>1096</v>
      </c>
      <c r="B431" s="2" t="s">
        <v>1098</v>
      </c>
      <c r="C431" s="2" t="s">
        <v>5</v>
      </c>
      <c r="D431" s="2" t="s">
        <v>1097</v>
      </c>
      <c r="E431" s="2" t="str">
        <f>"9783031973963"</f>
        <v>9783031973963</v>
      </c>
      <c r="F431" s="2" t="str">
        <f>"9783031973970"</f>
        <v>9783031973970</v>
      </c>
    </row>
    <row r="432" spans="1:6" s="3" customFormat="1" ht="29.1" customHeight="1" x14ac:dyDescent="0.25">
      <c r="A432" s="2" t="s">
        <v>1099</v>
      </c>
      <c r="B432" s="2" t="s">
        <v>1100</v>
      </c>
      <c r="C432" s="2" t="s">
        <v>5</v>
      </c>
      <c r="D432" s="2" t="s">
        <v>92</v>
      </c>
      <c r="E432" s="2" t="str">
        <f>"9783032017680"</f>
        <v>9783032017680</v>
      </c>
      <c r="F432" s="2" t="str">
        <f>"9783032017697"</f>
        <v>9783032017697</v>
      </c>
    </row>
    <row r="433" spans="1:6" s="3" customFormat="1" ht="29.1" customHeight="1" x14ac:dyDescent="0.25">
      <c r="A433" s="2" t="s">
        <v>1101</v>
      </c>
      <c r="B433" s="2" t="s">
        <v>1102</v>
      </c>
      <c r="C433" s="2" t="s">
        <v>5</v>
      </c>
      <c r="D433" s="2" t="s">
        <v>509</v>
      </c>
      <c r="E433" s="2" t="str">
        <f>"9783031963063"</f>
        <v>9783031963063</v>
      </c>
      <c r="F433" s="2" t="str">
        <f>"9783031963070"</f>
        <v>9783031963070</v>
      </c>
    </row>
    <row r="434" spans="1:6" s="3" customFormat="1" ht="29.1" customHeight="1" x14ac:dyDescent="0.25">
      <c r="A434" s="2" t="s">
        <v>1103</v>
      </c>
      <c r="B434" s="2" t="s">
        <v>1105</v>
      </c>
      <c r="C434" s="2" t="s">
        <v>556</v>
      </c>
      <c r="D434" s="2" t="s">
        <v>1104</v>
      </c>
      <c r="E434" s="2" t="str">
        <f>"9783837678765"</f>
        <v>9783837678765</v>
      </c>
      <c r="F434" s="2" t="str">
        <f>"9783839424575"</f>
        <v>9783839424575</v>
      </c>
    </row>
    <row r="435" spans="1:6" s="3" customFormat="1" ht="29.1" customHeight="1" x14ac:dyDescent="0.25">
      <c r="A435" s="2" t="s">
        <v>1106</v>
      </c>
      <c r="B435" s="2" t="s">
        <v>1107</v>
      </c>
      <c r="C435" s="2" t="s">
        <v>556</v>
      </c>
      <c r="D435" s="2" t="s">
        <v>712</v>
      </c>
      <c r="E435" s="2" t="str">
        <f>"9783837678048"</f>
        <v>9783837678048</v>
      </c>
      <c r="F435" s="2" t="str">
        <f>"9783839411544"</f>
        <v>9783839411544</v>
      </c>
    </row>
    <row r="436" spans="1:6" s="3" customFormat="1" ht="29.1" customHeight="1" x14ac:dyDescent="0.25">
      <c r="A436" s="2" t="s">
        <v>1108</v>
      </c>
      <c r="B436" s="2" t="s">
        <v>1110</v>
      </c>
      <c r="C436" s="2" t="s">
        <v>556</v>
      </c>
      <c r="D436" s="2" t="s">
        <v>1109</v>
      </c>
      <c r="E436" s="2" t="str">
        <f>"9783837679540"</f>
        <v>9783837679540</v>
      </c>
      <c r="F436" s="2" t="str">
        <f>"9783839440285"</f>
        <v>9783839440285</v>
      </c>
    </row>
    <row r="437" spans="1:6" s="3" customFormat="1" ht="29.1" customHeight="1" x14ac:dyDescent="0.25">
      <c r="A437" s="2" t="s">
        <v>1111</v>
      </c>
      <c r="B437" s="2" t="s">
        <v>1113</v>
      </c>
      <c r="C437" s="2" t="s">
        <v>556</v>
      </c>
      <c r="D437" s="2" t="s">
        <v>1112</v>
      </c>
      <c r="E437" s="2"/>
      <c r="F437" s="2" t="str">
        <f>"9783839428016"</f>
        <v>9783839428016</v>
      </c>
    </row>
    <row r="438" spans="1:6" s="3" customFormat="1" ht="29.1" customHeight="1" x14ac:dyDescent="0.25">
      <c r="A438" s="2" t="s">
        <v>1114</v>
      </c>
      <c r="B438" s="2" t="s">
        <v>1115</v>
      </c>
      <c r="C438" s="2" t="s">
        <v>556</v>
      </c>
      <c r="D438" s="2" t="s">
        <v>490</v>
      </c>
      <c r="E438" s="2" t="str">
        <f>"9783837677812"</f>
        <v>9783837677812</v>
      </c>
      <c r="F438" s="2" t="str">
        <f>"9783839409114"</f>
        <v>9783839409114</v>
      </c>
    </row>
    <row r="439" spans="1:6" s="3" customFormat="1" ht="29.1" customHeight="1" x14ac:dyDescent="0.25">
      <c r="A439" s="2" t="s">
        <v>1116</v>
      </c>
      <c r="B439" s="2" t="s">
        <v>1117</v>
      </c>
      <c r="C439" s="2" t="s">
        <v>556</v>
      </c>
      <c r="D439" s="2" t="s">
        <v>841</v>
      </c>
      <c r="E439" s="2" t="str">
        <f>"9783837679571"</f>
        <v>9783837679571</v>
      </c>
      <c r="F439" s="2" t="str">
        <f>"9783839440636"</f>
        <v>9783839440636</v>
      </c>
    </row>
    <row r="440" spans="1:6" s="3" customFormat="1" ht="29.1" customHeight="1" x14ac:dyDescent="0.25">
      <c r="A440" s="2" t="s">
        <v>1118</v>
      </c>
      <c r="B440" s="2" t="s">
        <v>1119</v>
      </c>
      <c r="C440" s="2" t="s">
        <v>556</v>
      </c>
      <c r="D440" s="2" t="s">
        <v>324</v>
      </c>
      <c r="E440" s="2" t="str">
        <f>"9783837679328"</f>
        <v>9783837679328</v>
      </c>
      <c r="F440" s="2" t="str">
        <f>"9783839435700"</f>
        <v>9783839435700</v>
      </c>
    </row>
    <row r="441" spans="1:6" s="3" customFormat="1" ht="29.1" customHeight="1" x14ac:dyDescent="0.25">
      <c r="A441" s="2" t="s">
        <v>1120</v>
      </c>
      <c r="B441" s="2" t="s">
        <v>1122</v>
      </c>
      <c r="C441" s="2" t="s">
        <v>556</v>
      </c>
      <c r="D441" s="2" t="s">
        <v>1121</v>
      </c>
      <c r="E441" s="2" t="str">
        <f>"9783837678475"</f>
        <v>9783837678475</v>
      </c>
      <c r="F441" s="2" t="str">
        <f>"9783839417348"</f>
        <v>9783839417348</v>
      </c>
    </row>
    <row r="442" spans="1:6" s="3" customFormat="1" ht="29.1" customHeight="1" x14ac:dyDescent="0.25">
      <c r="A442" s="2" t="s">
        <v>1123</v>
      </c>
      <c r="B442" s="2" t="s">
        <v>1125</v>
      </c>
      <c r="C442" s="2" t="s">
        <v>556</v>
      </c>
      <c r="D442" s="2" t="s">
        <v>1124</v>
      </c>
      <c r="E442" s="2" t="str">
        <f>"9783837676990"</f>
        <v>9783837676990</v>
      </c>
      <c r="F442" s="2" t="str">
        <f>"9783839476994"</f>
        <v>9783839476994</v>
      </c>
    </row>
    <row r="443" spans="1:6" s="3" customFormat="1" ht="29.1" customHeight="1" x14ac:dyDescent="0.25">
      <c r="A443" s="2" t="s">
        <v>1126</v>
      </c>
      <c r="B443" s="2" t="s">
        <v>1128</v>
      </c>
      <c r="C443" s="2" t="s">
        <v>556</v>
      </c>
      <c r="D443" s="2" t="s">
        <v>1127</v>
      </c>
      <c r="E443" s="2" t="str">
        <f>"9783837679656"</f>
        <v>9783837679656</v>
      </c>
      <c r="F443" s="2" t="str">
        <f>"9783839441824"</f>
        <v>9783839441824</v>
      </c>
    </row>
    <row r="444" spans="1:6" s="3" customFormat="1" ht="29.1" customHeight="1" x14ac:dyDescent="0.25">
      <c r="A444" s="2" t="s">
        <v>1129</v>
      </c>
      <c r="B444" s="2" t="s">
        <v>1131</v>
      </c>
      <c r="C444" s="2" t="s">
        <v>556</v>
      </c>
      <c r="D444" s="2" t="s">
        <v>1130</v>
      </c>
      <c r="E444" s="2" t="str">
        <f>"9783837676877"</f>
        <v>9783837676877</v>
      </c>
      <c r="F444" s="2" t="str">
        <f>"9783839476871"</f>
        <v>9783839476871</v>
      </c>
    </row>
    <row r="445" spans="1:6" s="3" customFormat="1" ht="29.1" customHeight="1" x14ac:dyDescent="0.25">
      <c r="A445" s="2" t="s">
        <v>1132</v>
      </c>
      <c r="B445" s="2" t="s">
        <v>1134</v>
      </c>
      <c r="C445" s="2" t="s">
        <v>556</v>
      </c>
      <c r="D445" s="2" t="s">
        <v>1133</v>
      </c>
      <c r="E445" s="2" t="str">
        <f>"9783837677782"</f>
        <v>9783837677782</v>
      </c>
      <c r="F445" s="2" t="str">
        <f>"9783839408759"</f>
        <v>9783839408759</v>
      </c>
    </row>
    <row r="446" spans="1:6" s="3" customFormat="1" ht="29.1" customHeight="1" x14ac:dyDescent="0.25">
      <c r="A446" s="2" t="s">
        <v>1135</v>
      </c>
      <c r="B446" s="2" t="s">
        <v>1137</v>
      </c>
      <c r="C446" s="2" t="s">
        <v>556</v>
      </c>
      <c r="D446" s="2" t="s">
        <v>1136</v>
      </c>
      <c r="E446" s="2" t="str">
        <f>"9783837678710"</f>
        <v>9783837678710</v>
      </c>
      <c r="F446" s="2" t="str">
        <f>"9783839421772"</f>
        <v>9783839421772</v>
      </c>
    </row>
    <row r="447" spans="1:6" s="3" customFormat="1" ht="29.1" customHeight="1" x14ac:dyDescent="0.25">
      <c r="A447" s="2" t="s">
        <v>1138</v>
      </c>
      <c r="B447" s="2" t="s">
        <v>1139</v>
      </c>
      <c r="C447" s="2" t="s">
        <v>556</v>
      </c>
      <c r="D447" s="2" t="s">
        <v>446</v>
      </c>
      <c r="E447" s="2"/>
      <c r="F447" s="2" t="str">
        <f>"9783839431030"</f>
        <v>9783839431030</v>
      </c>
    </row>
    <row r="448" spans="1:6" s="3" customFormat="1" ht="29.1" customHeight="1" x14ac:dyDescent="0.25">
      <c r="A448" s="2" t="s">
        <v>1140</v>
      </c>
      <c r="B448" s="2" t="s">
        <v>1142</v>
      </c>
      <c r="C448" s="2" t="s">
        <v>556</v>
      </c>
      <c r="D448" s="2" t="s">
        <v>1141</v>
      </c>
      <c r="E448" s="2"/>
      <c r="F448" s="2" t="str">
        <f>"9783839425015"</f>
        <v>9783839425015</v>
      </c>
    </row>
    <row r="449" spans="1:6" s="3" customFormat="1" ht="29.1" customHeight="1" x14ac:dyDescent="0.25">
      <c r="A449" s="2" t="s">
        <v>1143</v>
      </c>
      <c r="B449" s="2" t="s">
        <v>1145</v>
      </c>
      <c r="C449" s="2" t="s">
        <v>556</v>
      </c>
      <c r="D449" s="2" t="s">
        <v>1144</v>
      </c>
      <c r="E449" s="2" t="str">
        <f>"9783837678239"</f>
        <v>9783837678239</v>
      </c>
      <c r="F449" s="2" t="str">
        <f>"9783839413555"</f>
        <v>9783839413555</v>
      </c>
    </row>
    <row r="450" spans="1:6" s="3" customFormat="1" ht="29.1" customHeight="1" x14ac:dyDescent="0.25">
      <c r="A450" s="2" t="s">
        <v>1146</v>
      </c>
      <c r="B450" s="2" t="s">
        <v>1148</v>
      </c>
      <c r="C450" s="2" t="s">
        <v>556</v>
      </c>
      <c r="D450" s="2" t="s">
        <v>1147</v>
      </c>
      <c r="E450" s="2" t="str">
        <f>"9783837667677"</f>
        <v>9783837667677</v>
      </c>
      <c r="F450" s="2" t="str">
        <f>"9783839400678"</f>
        <v>9783839400678</v>
      </c>
    </row>
    <row r="451" spans="1:6" s="3" customFormat="1" ht="29.1" customHeight="1" x14ac:dyDescent="0.25">
      <c r="A451" s="2" t="s">
        <v>1149</v>
      </c>
      <c r="B451" s="2" t="s">
        <v>1150</v>
      </c>
      <c r="C451" s="2" t="s">
        <v>556</v>
      </c>
      <c r="D451" s="2" t="s">
        <v>75</v>
      </c>
      <c r="E451" s="2" t="str">
        <f>"9783837677034"</f>
        <v>9783837677034</v>
      </c>
      <c r="F451" s="2" t="str">
        <f>"9783839477038"</f>
        <v>9783839477038</v>
      </c>
    </row>
    <row r="452" spans="1:6" s="3" customFormat="1" ht="29.1" customHeight="1" x14ac:dyDescent="0.25">
      <c r="A452" s="2" t="s">
        <v>1151</v>
      </c>
      <c r="B452" s="2" t="s">
        <v>1152</v>
      </c>
      <c r="C452" s="2" t="s">
        <v>556</v>
      </c>
      <c r="D452" s="2" t="s">
        <v>841</v>
      </c>
      <c r="E452" s="2" t="str">
        <f>"9783837676334"</f>
        <v>9783837676334</v>
      </c>
      <c r="F452" s="2" t="str">
        <f>"9783839476338"</f>
        <v>9783839476338</v>
      </c>
    </row>
    <row r="453" spans="1:6" s="3" customFormat="1" ht="29.1" customHeight="1" x14ac:dyDescent="0.25">
      <c r="A453" s="2" t="s">
        <v>1154</v>
      </c>
      <c r="B453" s="2" t="s">
        <v>1156</v>
      </c>
      <c r="C453" s="2" t="s">
        <v>556</v>
      </c>
      <c r="D453" s="2" t="s">
        <v>1155</v>
      </c>
      <c r="E453" s="2" t="str">
        <f>"9783837678727"</f>
        <v>9783837678727</v>
      </c>
      <c r="F453" s="2" t="str">
        <f>"9783839421819"</f>
        <v>9783839421819</v>
      </c>
    </row>
    <row r="454" spans="1:6" s="3" customFormat="1" ht="29.1" customHeight="1" x14ac:dyDescent="0.25">
      <c r="A454" s="2" t="s">
        <v>1157</v>
      </c>
      <c r="B454" s="2" t="s">
        <v>1158</v>
      </c>
      <c r="C454" s="2" t="s">
        <v>556</v>
      </c>
      <c r="D454" s="2" t="s">
        <v>446</v>
      </c>
      <c r="E454" s="2" t="str">
        <f>"9783837677461"</f>
        <v>9783837677461</v>
      </c>
      <c r="F454" s="2" t="str">
        <f>"9783839404799"</f>
        <v>9783839404799</v>
      </c>
    </row>
    <row r="455" spans="1:6" s="3" customFormat="1" ht="29.1" customHeight="1" x14ac:dyDescent="0.25">
      <c r="A455" s="2" t="s">
        <v>1159</v>
      </c>
      <c r="B455" s="2" t="s">
        <v>1160</v>
      </c>
      <c r="C455" s="2" t="s">
        <v>556</v>
      </c>
      <c r="D455" s="2" t="s">
        <v>553</v>
      </c>
      <c r="E455" s="2" t="str">
        <f>"9783837675832"</f>
        <v>9783837675832</v>
      </c>
      <c r="F455" s="2" t="str">
        <f>"9783839475836"</f>
        <v>9783839475836</v>
      </c>
    </row>
    <row r="456" spans="1:6" s="3" customFormat="1" ht="29.1" customHeight="1" x14ac:dyDescent="0.25">
      <c r="A456" s="2" t="s">
        <v>1161</v>
      </c>
      <c r="B456" s="2" t="s">
        <v>1163</v>
      </c>
      <c r="C456" s="2" t="s">
        <v>556</v>
      </c>
      <c r="D456" s="2" t="s">
        <v>1162</v>
      </c>
      <c r="E456" s="2" t="str">
        <f>"9783837678253"</f>
        <v>9783837678253</v>
      </c>
      <c r="F456" s="2" t="str">
        <f>"9783839413579"</f>
        <v>9783839413579</v>
      </c>
    </row>
    <row r="457" spans="1:6" s="3" customFormat="1" ht="29.1" customHeight="1" x14ac:dyDescent="0.25">
      <c r="A457" s="2" t="s">
        <v>1164</v>
      </c>
      <c r="B457" s="2" t="s">
        <v>1165</v>
      </c>
      <c r="C457" s="2" t="s">
        <v>556</v>
      </c>
      <c r="D457" s="2" t="s">
        <v>324</v>
      </c>
      <c r="E457" s="2" t="str">
        <f>"9783837677164"</f>
        <v>9783837677164</v>
      </c>
      <c r="F457" s="2" t="str">
        <f>"9783839401774"</f>
        <v>9783839401774</v>
      </c>
    </row>
    <row r="458" spans="1:6" s="3" customFormat="1" ht="29.1" customHeight="1" x14ac:dyDescent="0.25">
      <c r="A458" s="2" t="s">
        <v>1166</v>
      </c>
      <c r="B458" s="2" t="s">
        <v>1167</v>
      </c>
      <c r="C458" s="2" t="s">
        <v>556</v>
      </c>
      <c r="D458" s="2" t="s">
        <v>636</v>
      </c>
      <c r="E458" s="2" t="str">
        <f>"9783837658590"</f>
        <v>9783837658590</v>
      </c>
      <c r="F458" s="2" t="str">
        <f>"9783839458594"</f>
        <v>9783839458594</v>
      </c>
    </row>
    <row r="459" spans="1:6" s="3" customFormat="1" ht="29.1" customHeight="1" x14ac:dyDescent="0.25">
      <c r="A459" s="2" t="s">
        <v>1168</v>
      </c>
      <c r="B459" s="2" t="s">
        <v>1169</v>
      </c>
      <c r="C459" s="2" t="s">
        <v>556</v>
      </c>
      <c r="D459" s="2" t="s">
        <v>324</v>
      </c>
      <c r="E459" s="2" t="str">
        <f>"9783837677157"</f>
        <v>9783837677157</v>
      </c>
      <c r="F459" s="2" t="str">
        <f>"9783839401750"</f>
        <v>9783839401750</v>
      </c>
    </row>
    <row r="460" spans="1:6" s="3" customFormat="1" ht="29.1" customHeight="1" x14ac:dyDescent="0.25">
      <c r="A460" s="2" t="s">
        <v>1170</v>
      </c>
      <c r="B460" s="2" t="s">
        <v>1171</v>
      </c>
      <c r="C460" s="2" t="s">
        <v>20</v>
      </c>
      <c r="D460" s="2" t="s">
        <v>24</v>
      </c>
      <c r="E460" s="2" t="str">
        <f>"9783763979141"</f>
        <v>9783763979141</v>
      </c>
      <c r="F460" s="2" t="str">
        <f>"9783763979158"</f>
        <v>9783763979158</v>
      </c>
    </row>
    <row r="461" spans="1:6" s="3" customFormat="1" ht="29.1" customHeight="1" x14ac:dyDescent="0.25">
      <c r="A461" s="2" t="s">
        <v>1172</v>
      </c>
      <c r="B461" s="2" t="s">
        <v>1173</v>
      </c>
      <c r="C461" s="2" t="s">
        <v>20</v>
      </c>
      <c r="D461" s="2" t="s">
        <v>37</v>
      </c>
      <c r="E461" s="2" t="str">
        <f>"9783763978090"</f>
        <v>9783763978090</v>
      </c>
      <c r="F461" s="2" t="str">
        <f>"9783763978113"</f>
        <v>9783763978113</v>
      </c>
    </row>
    <row r="462" spans="1:6" s="3" customFormat="1" ht="29.1" customHeight="1" x14ac:dyDescent="0.25">
      <c r="A462" s="2" t="s">
        <v>1174</v>
      </c>
      <c r="B462" s="2" t="s">
        <v>1175</v>
      </c>
      <c r="C462" s="2" t="s">
        <v>940</v>
      </c>
      <c r="D462" s="2" t="s">
        <v>1155</v>
      </c>
      <c r="E462" s="2" t="str">
        <f>"9786084868606"</f>
        <v>9786084868606</v>
      </c>
      <c r="F462" s="2" t="str">
        <f>"9786084868590"</f>
        <v>9786084868590</v>
      </c>
    </row>
    <row r="463" spans="1:6" s="3" customFormat="1" ht="29.1" customHeight="1" x14ac:dyDescent="0.25">
      <c r="A463" s="2" t="s">
        <v>1176</v>
      </c>
      <c r="B463" s="2" t="s">
        <v>1178</v>
      </c>
      <c r="C463" s="2" t="s">
        <v>327</v>
      </c>
      <c r="D463" s="2" t="s">
        <v>1177</v>
      </c>
      <c r="E463" s="2" t="str">
        <f>"9788383318349"</f>
        <v>9788383318349</v>
      </c>
      <c r="F463" s="2" t="str">
        <f>"9788383318356"</f>
        <v>9788383318356</v>
      </c>
    </row>
    <row r="464" spans="1:6" s="3" customFormat="1" ht="29.1" customHeight="1" x14ac:dyDescent="0.25">
      <c r="A464" s="2" t="s">
        <v>1179</v>
      </c>
      <c r="B464" s="2" t="s">
        <v>1181</v>
      </c>
      <c r="C464" s="2" t="s">
        <v>124</v>
      </c>
      <c r="D464" s="2" t="s">
        <v>1180</v>
      </c>
      <c r="E464" s="2" t="str">
        <f>"9781041185253"</f>
        <v>9781041185253</v>
      </c>
      <c r="F464" s="2" t="str">
        <f>"9781003702702"</f>
        <v>9781003702702</v>
      </c>
    </row>
    <row r="465" spans="1:6" s="3" customFormat="1" ht="29.1" customHeight="1" x14ac:dyDescent="0.25">
      <c r="A465" s="2" t="s">
        <v>1182</v>
      </c>
      <c r="B465" s="2" t="s">
        <v>1184</v>
      </c>
      <c r="C465" s="2" t="s">
        <v>124</v>
      </c>
      <c r="D465" s="2" t="s">
        <v>1183</v>
      </c>
      <c r="E465" s="2" t="str">
        <f>"9781041180234"</f>
        <v>9781041180234</v>
      </c>
      <c r="F465" s="2" t="str">
        <f>"9781003696605"</f>
        <v>9781003696605</v>
      </c>
    </row>
    <row r="466" spans="1:6" s="3" customFormat="1" ht="29.1" customHeight="1" x14ac:dyDescent="0.25">
      <c r="A466" s="2" t="s">
        <v>1185</v>
      </c>
      <c r="B466" s="2" t="s">
        <v>1187</v>
      </c>
      <c r="C466" s="2" t="s">
        <v>124</v>
      </c>
      <c r="D466" s="2" t="s">
        <v>1186</v>
      </c>
      <c r="E466" s="2" t="str">
        <f>"9781041187356"</f>
        <v>9781041187356</v>
      </c>
      <c r="F466" s="2" t="str">
        <f>"9781003705420"</f>
        <v>9781003705420</v>
      </c>
    </row>
    <row r="467" spans="1:6" s="3" customFormat="1" ht="29.1" customHeight="1" x14ac:dyDescent="0.25">
      <c r="A467" s="2" t="s">
        <v>1188</v>
      </c>
      <c r="B467" s="2" t="s">
        <v>1190</v>
      </c>
      <c r="C467" s="2" t="s">
        <v>124</v>
      </c>
      <c r="D467" s="2" t="s">
        <v>1189</v>
      </c>
      <c r="E467" s="2" t="str">
        <f>"9781041185895"</f>
        <v>9781041185895</v>
      </c>
      <c r="F467" s="2" t="str">
        <f>"9781003703464"</f>
        <v>9781003703464</v>
      </c>
    </row>
    <row r="468" spans="1:6" s="3" customFormat="1" ht="29.1" customHeight="1" x14ac:dyDescent="0.25">
      <c r="A468" s="2" t="s">
        <v>1191</v>
      </c>
      <c r="B468" s="2" t="s">
        <v>1192</v>
      </c>
      <c r="C468" s="2" t="s">
        <v>305</v>
      </c>
      <c r="D468" s="2" t="s">
        <v>125</v>
      </c>
      <c r="E468" s="2"/>
      <c r="F468" s="2" t="str">
        <f>"9786218438132"</f>
        <v>9786218438132</v>
      </c>
    </row>
    <row r="469" spans="1:6" s="3" customFormat="1" ht="29.1" customHeight="1" x14ac:dyDescent="0.25">
      <c r="A469" s="2" t="s">
        <v>1193</v>
      </c>
      <c r="B469" s="2" t="s">
        <v>1194</v>
      </c>
      <c r="C469" s="2" t="s">
        <v>927</v>
      </c>
      <c r="D469" s="2" t="s">
        <v>297</v>
      </c>
      <c r="E469" s="2" t="str">
        <f>"9780472057511"</f>
        <v>9780472057511</v>
      </c>
      <c r="F469" s="2" t="str">
        <f>"9780472905089"</f>
        <v>9780472905089</v>
      </c>
    </row>
    <row r="470" spans="1:6" s="3" customFormat="1" ht="29.1" customHeight="1" x14ac:dyDescent="0.25">
      <c r="A470" s="2" t="s">
        <v>1195</v>
      </c>
      <c r="B470" s="2" t="s">
        <v>1196</v>
      </c>
      <c r="C470" s="2" t="s">
        <v>124</v>
      </c>
      <c r="D470" s="2" t="s">
        <v>249</v>
      </c>
      <c r="E470" s="2" t="str">
        <f>"9781041182627"</f>
        <v>9781041182627</v>
      </c>
      <c r="F470" s="2" t="str">
        <f>"9781003699491"</f>
        <v>9781003699491</v>
      </c>
    </row>
    <row r="471" spans="1:6" s="3" customFormat="1" ht="29.1" customHeight="1" x14ac:dyDescent="0.25">
      <c r="A471" s="2" t="s">
        <v>1197</v>
      </c>
      <c r="B471" s="2" t="s">
        <v>1199</v>
      </c>
      <c r="C471" s="2" t="s">
        <v>124</v>
      </c>
      <c r="D471" s="2" t="s">
        <v>1198</v>
      </c>
      <c r="E471" s="2" t="str">
        <f>"9781041187059"</f>
        <v>9781041187059</v>
      </c>
      <c r="F471" s="2" t="str">
        <f>"9781003704959"</f>
        <v>9781003704959</v>
      </c>
    </row>
    <row r="472" spans="1:6" s="3" customFormat="1" ht="29.1" customHeight="1" x14ac:dyDescent="0.25">
      <c r="A472" s="2" t="s">
        <v>1200</v>
      </c>
      <c r="B472" s="2" t="s">
        <v>1202</v>
      </c>
      <c r="C472" s="2" t="s">
        <v>124</v>
      </c>
      <c r="D472" s="2" t="s">
        <v>1201</v>
      </c>
      <c r="E472" s="2" t="str">
        <f>"9781041184546"</f>
        <v>9781041184546</v>
      </c>
      <c r="F472" s="2" t="str">
        <f>"9781003701781"</f>
        <v>9781003701781</v>
      </c>
    </row>
    <row r="473" spans="1:6" s="3" customFormat="1" ht="29.1" customHeight="1" x14ac:dyDescent="0.25">
      <c r="A473" s="2" t="s">
        <v>1203</v>
      </c>
      <c r="B473" s="2" t="s">
        <v>1204</v>
      </c>
      <c r="C473" s="2" t="s">
        <v>124</v>
      </c>
      <c r="D473" s="2" t="s">
        <v>413</v>
      </c>
      <c r="E473" s="2" t="str">
        <f>"9781041190288"</f>
        <v>9781041190288</v>
      </c>
      <c r="F473" s="2" t="str">
        <f>"9781003709114"</f>
        <v>9781003709114</v>
      </c>
    </row>
    <row r="474" spans="1:6" s="3" customFormat="1" ht="29.1" customHeight="1" x14ac:dyDescent="0.25">
      <c r="A474" s="2" t="s">
        <v>1205</v>
      </c>
      <c r="B474" s="2" t="s">
        <v>1207</v>
      </c>
      <c r="C474" s="2" t="s">
        <v>124</v>
      </c>
      <c r="D474" s="2" t="s">
        <v>1206</v>
      </c>
      <c r="E474" s="2" t="str">
        <f>"9781041182191"</f>
        <v>9781041182191</v>
      </c>
      <c r="F474" s="2" t="str">
        <f>"9781003698968"</f>
        <v>9781003698968</v>
      </c>
    </row>
    <row r="475" spans="1:6" s="3" customFormat="1" ht="29.1" customHeight="1" x14ac:dyDescent="0.25">
      <c r="A475" s="2" t="s">
        <v>1208</v>
      </c>
      <c r="B475" s="2" t="s">
        <v>1210</v>
      </c>
      <c r="C475" s="2" t="s">
        <v>124</v>
      </c>
      <c r="D475" s="2" t="s">
        <v>1209</v>
      </c>
      <c r="E475" s="2" t="str">
        <f>"9781041177074"</f>
        <v>9781041177074</v>
      </c>
      <c r="F475" s="2" t="str">
        <f>"9781003692676"</f>
        <v>9781003692676</v>
      </c>
    </row>
    <row r="476" spans="1:6" s="3" customFormat="1" ht="29.1" customHeight="1" x14ac:dyDescent="0.25">
      <c r="A476" s="2" t="s">
        <v>1211</v>
      </c>
      <c r="B476" s="2" t="s">
        <v>1212</v>
      </c>
      <c r="C476" s="2" t="s">
        <v>124</v>
      </c>
      <c r="D476" s="2" t="s">
        <v>906</v>
      </c>
      <c r="E476" s="2" t="str">
        <f>"9781041177425"</f>
        <v>9781041177425</v>
      </c>
      <c r="F476" s="2" t="str">
        <f>"9781003693062"</f>
        <v>9781003693062</v>
      </c>
    </row>
    <row r="477" spans="1:6" s="3" customFormat="1" ht="29.1" customHeight="1" x14ac:dyDescent="0.25">
      <c r="A477" s="2" t="s">
        <v>1213</v>
      </c>
      <c r="B477" s="2" t="s">
        <v>1215</v>
      </c>
      <c r="C477" s="2" t="s">
        <v>124</v>
      </c>
      <c r="D477" s="2" t="s">
        <v>1214</v>
      </c>
      <c r="E477" s="2" t="str">
        <f>"9781041179979"</f>
        <v>9781041179979</v>
      </c>
      <c r="F477" s="2" t="str">
        <f>"9781003696308"</f>
        <v>9781003696308</v>
      </c>
    </row>
    <row r="478" spans="1:6" s="3" customFormat="1" ht="29.1" customHeight="1" x14ac:dyDescent="0.25">
      <c r="A478" s="2" t="s">
        <v>1216</v>
      </c>
      <c r="B478" s="2" t="s">
        <v>1217</v>
      </c>
      <c r="C478" s="2" t="s">
        <v>124</v>
      </c>
      <c r="D478" s="2" t="s">
        <v>101</v>
      </c>
      <c r="E478" s="2" t="str">
        <f>"9781041184782"</f>
        <v>9781041184782</v>
      </c>
      <c r="F478" s="2" t="str">
        <f>"9781003702115"</f>
        <v>9781003702115</v>
      </c>
    </row>
    <row r="479" spans="1:6" s="3" customFormat="1" ht="29.1" customHeight="1" x14ac:dyDescent="0.25">
      <c r="A479" s="2" t="s">
        <v>1218</v>
      </c>
      <c r="B479" s="2" t="s">
        <v>1219</v>
      </c>
      <c r="C479" s="2" t="s">
        <v>124</v>
      </c>
      <c r="D479" s="2" t="s">
        <v>428</v>
      </c>
      <c r="E479" s="2" t="str">
        <f>"9781041188421"</f>
        <v>9781041188421</v>
      </c>
      <c r="F479" s="2" t="str">
        <f>"9781003706892"</f>
        <v>9781003706892</v>
      </c>
    </row>
    <row r="480" spans="1:6" s="3" customFormat="1" ht="29.1" customHeight="1" x14ac:dyDescent="0.25">
      <c r="A480" s="2" t="s">
        <v>1220</v>
      </c>
      <c r="B480" s="2" t="s">
        <v>1221</v>
      </c>
      <c r="C480" s="2" t="s">
        <v>124</v>
      </c>
      <c r="D480" s="2" t="s">
        <v>791</v>
      </c>
      <c r="E480" s="2" t="str">
        <f>"9781041190110"</f>
        <v>9781041190110</v>
      </c>
      <c r="F480" s="2" t="str">
        <f>"9781003708933"</f>
        <v>9781003708933</v>
      </c>
    </row>
    <row r="481" spans="1:6" s="3" customFormat="1" ht="29.1" customHeight="1" x14ac:dyDescent="0.25">
      <c r="A481" s="2" t="s">
        <v>1222</v>
      </c>
      <c r="B481" s="2" t="s">
        <v>1223</v>
      </c>
      <c r="C481" s="2" t="s">
        <v>124</v>
      </c>
      <c r="D481" s="2" t="s">
        <v>501</v>
      </c>
      <c r="E481" s="2" t="str">
        <f>"9781041180401"</f>
        <v>9781041180401</v>
      </c>
      <c r="F481" s="2" t="str">
        <f>"9781003696797"</f>
        <v>9781003696797</v>
      </c>
    </row>
    <row r="482" spans="1:6" s="3" customFormat="1" ht="29.1" customHeight="1" x14ac:dyDescent="0.25">
      <c r="A482" s="2" t="s">
        <v>1224</v>
      </c>
      <c r="B482" s="2" t="s">
        <v>1225</v>
      </c>
      <c r="C482" s="2" t="s">
        <v>124</v>
      </c>
      <c r="D482" s="2" t="s">
        <v>218</v>
      </c>
      <c r="E482" s="2" t="str">
        <f>"9789463728607"</f>
        <v>9789463728607</v>
      </c>
      <c r="F482" s="2" t="str">
        <f>"9781003707530"</f>
        <v>9781003707530</v>
      </c>
    </row>
    <row r="483" spans="1:6" s="3" customFormat="1" ht="29.1" customHeight="1" x14ac:dyDescent="0.25">
      <c r="A483" s="2" t="s">
        <v>902</v>
      </c>
      <c r="B483" s="2" t="s">
        <v>904</v>
      </c>
      <c r="C483" s="2" t="s">
        <v>124</v>
      </c>
      <c r="D483" s="2" t="s">
        <v>1226</v>
      </c>
      <c r="E483" s="2" t="str">
        <f>"9781041186793"</f>
        <v>9781041186793</v>
      </c>
      <c r="F483" s="2" t="str">
        <f>"9781003704638"</f>
        <v>9781003704638</v>
      </c>
    </row>
    <row r="484" spans="1:6" s="3" customFormat="1" ht="29.1" customHeight="1" x14ac:dyDescent="0.25">
      <c r="A484" s="2" t="s">
        <v>1227</v>
      </c>
      <c r="B484" s="2" t="s">
        <v>1229</v>
      </c>
      <c r="C484" s="2" t="s">
        <v>36</v>
      </c>
      <c r="D484" s="2" t="s">
        <v>1228</v>
      </c>
      <c r="E484" s="2"/>
      <c r="F484" s="2" t="str">
        <f>"9781447376255"</f>
        <v>9781447376255</v>
      </c>
    </row>
    <row r="485" spans="1:6" s="3" customFormat="1" ht="29.1" customHeight="1" x14ac:dyDescent="0.25">
      <c r="A485" s="2" t="s">
        <v>1230</v>
      </c>
      <c r="B485" s="2" t="s">
        <v>1231</v>
      </c>
      <c r="C485" s="2" t="s">
        <v>36</v>
      </c>
      <c r="D485" s="2" t="s">
        <v>249</v>
      </c>
      <c r="E485" s="2"/>
      <c r="F485" s="2" t="str">
        <f>"9781447376118"</f>
        <v>9781447376118</v>
      </c>
    </row>
    <row r="486" spans="1:6" s="3" customFormat="1" ht="29.1" customHeight="1" x14ac:dyDescent="0.25">
      <c r="A486" s="2" t="s">
        <v>1232</v>
      </c>
      <c r="B486" s="2" t="s">
        <v>1233</v>
      </c>
      <c r="C486" s="2" t="s">
        <v>36</v>
      </c>
      <c r="D486" s="2" t="s">
        <v>501</v>
      </c>
      <c r="E486" s="2"/>
      <c r="F486" s="2" t="str">
        <f>"9781529248050"</f>
        <v>9781529248050</v>
      </c>
    </row>
    <row r="487" spans="1:6" s="3" customFormat="1" ht="29.1" customHeight="1" x14ac:dyDescent="0.25">
      <c r="A487" s="2" t="s">
        <v>1234</v>
      </c>
      <c r="B487" s="2" t="s">
        <v>1223</v>
      </c>
      <c r="C487" s="2" t="s">
        <v>124</v>
      </c>
      <c r="D487" s="2" t="s">
        <v>1235</v>
      </c>
      <c r="E487" s="2" t="str">
        <f>"9789048564453"</f>
        <v>9789048564453</v>
      </c>
      <c r="F487" s="2" t="str">
        <f>"9781003704492"</f>
        <v>9781003704492</v>
      </c>
    </row>
    <row r="488" spans="1:6" s="3" customFormat="1" ht="29.1" customHeight="1" x14ac:dyDescent="0.25">
      <c r="A488" s="2" t="s">
        <v>1236</v>
      </c>
      <c r="B488" s="2" t="s">
        <v>1238</v>
      </c>
      <c r="C488" s="2" t="s">
        <v>124</v>
      </c>
      <c r="D488" s="2" t="s">
        <v>1237</v>
      </c>
      <c r="E488" s="2" t="str">
        <f>"9781041187769"</f>
        <v>9781041187769</v>
      </c>
      <c r="F488" s="2" t="str">
        <f>"9781003706007"</f>
        <v>9781003706007</v>
      </c>
    </row>
    <row r="489" spans="1:6" s="3" customFormat="1" ht="29.1" customHeight="1" x14ac:dyDescent="0.25">
      <c r="A489" s="2" t="s">
        <v>1239</v>
      </c>
      <c r="B489" s="2" t="s">
        <v>1241</v>
      </c>
      <c r="C489" s="2" t="s">
        <v>124</v>
      </c>
      <c r="D489" s="2" t="s">
        <v>1240</v>
      </c>
      <c r="E489" s="2" t="str">
        <f>"9789048560493"</f>
        <v>9789048560493</v>
      </c>
      <c r="F489" s="2" t="str">
        <f>"9781003705895"</f>
        <v>9781003705895</v>
      </c>
    </row>
    <row r="490" spans="1:6" s="3" customFormat="1" ht="29.1" customHeight="1" x14ac:dyDescent="0.25">
      <c r="A490" s="2" t="s">
        <v>1242</v>
      </c>
      <c r="B490" s="2" t="s">
        <v>1243</v>
      </c>
      <c r="C490" s="2" t="s">
        <v>124</v>
      </c>
      <c r="D490" s="2" t="s">
        <v>1082</v>
      </c>
      <c r="E490" s="2" t="str">
        <f>"9789048563791"</f>
        <v>9789048563791</v>
      </c>
      <c r="F490" s="2" t="str">
        <f>"9781003708766"</f>
        <v>9781003708766</v>
      </c>
    </row>
    <row r="491" spans="1:6" s="3" customFormat="1" ht="29.1" customHeight="1" x14ac:dyDescent="0.25">
      <c r="A491" s="2" t="s">
        <v>1244</v>
      </c>
      <c r="B491" s="2" t="s">
        <v>1246</v>
      </c>
      <c r="C491" s="2" t="s">
        <v>131</v>
      </c>
      <c r="D491" s="2" t="s">
        <v>1245</v>
      </c>
      <c r="E491" s="2" t="str">
        <f>"9789027219367"</f>
        <v>9789027219367</v>
      </c>
      <c r="F491" s="2" t="str">
        <f>"9789027245007"</f>
        <v>9789027245007</v>
      </c>
    </row>
    <row r="492" spans="1:6" s="3" customFormat="1" ht="29.1" customHeight="1" x14ac:dyDescent="0.25">
      <c r="A492" s="2" t="s">
        <v>1247</v>
      </c>
      <c r="B492" s="2" t="s">
        <v>1249</v>
      </c>
      <c r="C492" s="2" t="s">
        <v>131</v>
      </c>
      <c r="D492" s="2" t="s">
        <v>1248</v>
      </c>
      <c r="E492" s="2" t="str">
        <f>"9789027219930"</f>
        <v>9789027219930</v>
      </c>
      <c r="F492" s="2" t="str">
        <f>"9789027244925"</f>
        <v>9789027244925</v>
      </c>
    </row>
    <row r="493" spans="1:6" s="3" customFormat="1" ht="29.1" customHeight="1" x14ac:dyDescent="0.25">
      <c r="A493" s="2" t="s">
        <v>1250</v>
      </c>
      <c r="B493" s="2" t="s">
        <v>1251</v>
      </c>
      <c r="C493" s="2" t="s">
        <v>131</v>
      </c>
      <c r="D493" s="2" t="s">
        <v>175</v>
      </c>
      <c r="E493" s="2" t="str">
        <f>"9789027220127"</f>
        <v>9789027220127</v>
      </c>
      <c r="F493" s="2" t="str">
        <f>"9789027244888"</f>
        <v>9789027244888</v>
      </c>
    </row>
    <row r="494" spans="1:6" s="3" customFormat="1" ht="29.1" customHeight="1" x14ac:dyDescent="0.25">
      <c r="A494" s="2" t="s">
        <v>1252</v>
      </c>
      <c r="B494" s="2" t="s">
        <v>1254</v>
      </c>
      <c r="C494" s="2" t="s">
        <v>131</v>
      </c>
      <c r="D494" s="2" t="s">
        <v>1253</v>
      </c>
      <c r="E494" s="2" t="str">
        <f>"9789027220301"</f>
        <v>9789027220301</v>
      </c>
      <c r="F494" s="2" t="str">
        <f>"9789027244857"</f>
        <v>9789027244857</v>
      </c>
    </row>
    <row r="495" spans="1:6" s="3" customFormat="1" ht="29.1" customHeight="1" x14ac:dyDescent="0.25">
      <c r="A495" s="2" t="s">
        <v>1255</v>
      </c>
      <c r="B495" s="2" t="s">
        <v>1257</v>
      </c>
      <c r="C495" s="2" t="s">
        <v>131</v>
      </c>
      <c r="D495" s="2" t="s">
        <v>1256</v>
      </c>
      <c r="E495" s="2" t="str">
        <f>"9789027223449"</f>
        <v>9789027223449</v>
      </c>
      <c r="F495" s="2" t="str">
        <f>"9789027244741"</f>
        <v>9789027244741</v>
      </c>
    </row>
    <row r="496" spans="1:6" s="3" customFormat="1" ht="29.1" customHeight="1" x14ac:dyDescent="0.25">
      <c r="A496" s="2" t="s">
        <v>1258</v>
      </c>
      <c r="B496" s="2" t="s">
        <v>1260</v>
      </c>
      <c r="C496" s="2" t="s">
        <v>124</v>
      </c>
      <c r="D496" s="2" t="s">
        <v>1259</v>
      </c>
      <c r="E496" s="2" t="str">
        <f>"9789089646460"</f>
        <v>9789089646460</v>
      </c>
      <c r="F496" s="2" t="str">
        <f>"9781003694625"</f>
        <v>9781003694625</v>
      </c>
    </row>
    <row r="497" spans="1:6" s="3" customFormat="1" ht="29.1" customHeight="1" x14ac:dyDescent="0.25">
      <c r="A497" s="2" t="s">
        <v>1261</v>
      </c>
      <c r="B497" s="2" t="s">
        <v>1263</v>
      </c>
      <c r="C497" s="2" t="s">
        <v>5</v>
      </c>
      <c r="D497" s="2" t="s">
        <v>1262</v>
      </c>
      <c r="E497" s="2" t="str">
        <f>"9783032051509"</f>
        <v>9783032051509</v>
      </c>
      <c r="F497" s="2" t="str">
        <f>"9783032051516"</f>
        <v>9783032051516</v>
      </c>
    </row>
    <row r="498" spans="1:6" s="3" customFormat="1" ht="29.1" customHeight="1" x14ac:dyDescent="0.25">
      <c r="A498" s="2" t="s">
        <v>1264</v>
      </c>
      <c r="B498" s="2" t="s">
        <v>1266</v>
      </c>
      <c r="C498" s="2" t="s">
        <v>1070</v>
      </c>
      <c r="D498" s="2" t="s">
        <v>1265</v>
      </c>
      <c r="E498" s="2"/>
      <c r="F498" s="2" t="str">
        <f>"9783318073829"</f>
        <v>9783318073829</v>
      </c>
    </row>
    <row r="499" spans="1:6" s="3" customFormat="1" ht="29.1" customHeight="1" x14ac:dyDescent="0.25">
      <c r="A499" s="2" t="s">
        <v>1267</v>
      </c>
      <c r="B499" s="2" t="s">
        <v>1268</v>
      </c>
      <c r="C499" s="2" t="s">
        <v>1070</v>
      </c>
      <c r="D499" s="2" t="s">
        <v>1265</v>
      </c>
      <c r="E499" s="2"/>
      <c r="F499" s="2"/>
    </row>
    <row r="500" spans="1:6" s="3" customFormat="1" ht="29.1" customHeight="1" x14ac:dyDescent="0.25">
      <c r="A500" s="2" t="s">
        <v>1269</v>
      </c>
      <c r="B500" s="2" t="s">
        <v>1270</v>
      </c>
      <c r="C500" s="2" t="s">
        <v>1070</v>
      </c>
      <c r="D500" s="2" t="s">
        <v>1071</v>
      </c>
      <c r="E500" s="2"/>
      <c r="F500" s="2"/>
    </row>
    <row r="501" spans="1:6" s="3" customFormat="1" ht="29.1" customHeight="1" x14ac:dyDescent="0.25">
      <c r="A501" s="2" t="s">
        <v>1271</v>
      </c>
      <c r="B501" s="2" t="s">
        <v>1273</v>
      </c>
      <c r="C501" s="2" t="s">
        <v>1070</v>
      </c>
      <c r="D501" s="2" t="s">
        <v>1272</v>
      </c>
      <c r="E501" s="2"/>
      <c r="F501" s="2"/>
    </row>
    <row r="502" spans="1:6" s="3" customFormat="1" ht="29.1" customHeight="1" x14ac:dyDescent="0.25">
      <c r="A502" s="2" t="s">
        <v>1274</v>
      </c>
      <c r="B502" s="2" t="s">
        <v>1276</v>
      </c>
      <c r="C502" s="2" t="s">
        <v>1070</v>
      </c>
      <c r="D502" s="2" t="s">
        <v>1275</v>
      </c>
      <c r="E502" s="2"/>
      <c r="F502" s="2"/>
    </row>
    <row r="503" spans="1:6" s="3" customFormat="1" ht="29.1" customHeight="1" x14ac:dyDescent="0.25">
      <c r="A503" s="2" t="s">
        <v>1277</v>
      </c>
      <c r="B503" s="2" t="s">
        <v>1279</v>
      </c>
      <c r="C503" s="2" t="s">
        <v>1070</v>
      </c>
      <c r="D503" s="2" t="s">
        <v>1278</v>
      </c>
      <c r="E503" s="2"/>
      <c r="F503" s="2"/>
    </row>
    <row r="504" spans="1:6" s="3" customFormat="1" ht="29.1" customHeight="1" x14ac:dyDescent="0.25">
      <c r="A504" s="2" t="s">
        <v>1280</v>
      </c>
      <c r="B504" s="2" t="s">
        <v>1281</v>
      </c>
      <c r="C504" s="2" t="s">
        <v>1070</v>
      </c>
      <c r="D504" s="2" t="s">
        <v>1071</v>
      </c>
      <c r="E504" s="2"/>
      <c r="F504" s="2"/>
    </row>
    <row r="505" spans="1:6" s="3" customFormat="1" ht="29.1" customHeight="1" x14ac:dyDescent="0.25">
      <c r="A505" s="2" t="s">
        <v>1282</v>
      </c>
      <c r="B505" s="2" t="s">
        <v>1283</v>
      </c>
      <c r="C505" s="2" t="s">
        <v>1070</v>
      </c>
      <c r="D505" s="2" t="s">
        <v>101</v>
      </c>
      <c r="E505" s="2"/>
      <c r="F505" s="2"/>
    </row>
    <row r="506" spans="1:6" s="3" customFormat="1" ht="29.1" customHeight="1" x14ac:dyDescent="0.25">
      <c r="A506" s="2" t="s">
        <v>1284</v>
      </c>
      <c r="B506" s="2" t="s">
        <v>1286</v>
      </c>
      <c r="C506" s="2" t="s">
        <v>1070</v>
      </c>
      <c r="D506" s="2" t="s">
        <v>1285</v>
      </c>
      <c r="E506" s="2"/>
      <c r="F506" s="2"/>
    </row>
    <row r="507" spans="1:6" s="3" customFormat="1" ht="29.1" customHeight="1" x14ac:dyDescent="0.25">
      <c r="A507" s="2" t="s">
        <v>1287</v>
      </c>
      <c r="B507" s="2" t="s">
        <v>1288</v>
      </c>
      <c r="C507" s="2" t="s">
        <v>1070</v>
      </c>
      <c r="D507" s="2" t="s">
        <v>1265</v>
      </c>
      <c r="E507" s="2"/>
      <c r="F507" s="2"/>
    </row>
    <row r="508" spans="1:6" s="3" customFormat="1" ht="29.1" customHeight="1" x14ac:dyDescent="0.25">
      <c r="A508" s="2" t="s">
        <v>1289</v>
      </c>
      <c r="B508" s="2" t="s">
        <v>1290</v>
      </c>
      <c r="C508" s="2" t="s">
        <v>1070</v>
      </c>
      <c r="D508" s="2" t="s">
        <v>1275</v>
      </c>
      <c r="E508" s="2"/>
      <c r="F508" s="2"/>
    </row>
    <row r="509" spans="1:6" s="3" customFormat="1" ht="29.1" customHeight="1" x14ac:dyDescent="0.25">
      <c r="A509" s="2" t="s">
        <v>1291</v>
      </c>
      <c r="B509" s="2" t="s">
        <v>1293</v>
      </c>
      <c r="C509" s="2" t="s">
        <v>1070</v>
      </c>
      <c r="D509" s="2" t="s">
        <v>1292</v>
      </c>
      <c r="E509" s="2"/>
      <c r="F509" s="2"/>
    </row>
    <row r="510" spans="1:6" s="3" customFormat="1" ht="29.1" customHeight="1" x14ac:dyDescent="0.25">
      <c r="A510" s="2" t="s">
        <v>1294</v>
      </c>
      <c r="B510" s="2" t="s">
        <v>1295</v>
      </c>
      <c r="C510" s="2" t="s">
        <v>1070</v>
      </c>
      <c r="D510" s="2" t="s">
        <v>1071</v>
      </c>
      <c r="E510" s="2"/>
      <c r="F510" s="2"/>
    </row>
    <row r="511" spans="1:6" s="3" customFormat="1" ht="29.1" customHeight="1" x14ac:dyDescent="0.25">
      <c r="A511" s="2" t="s">
        <v>1296</v>
      </c>
      <c r="B511" s="2" t="s">
        <v>1297</v>
      </c>
      <c r="C511" s="2" t="s">
        <v>1070</v>
      </c>
      <c r="D511" s="2" t="s">
        <v>1275</v>
      </c>
      <c r="E511" s="2"/>
      <c r="F511" s="2"/>
    </row>
    <row r="512" spans="1:6" s="3" customFormat="1" ht="29.1" customHeight="1" x14ac:dyDescent="0.25">
      <c r="A512" s="2" t="s">
        <v>1298</v>
      </c>
      <c r="B512" s="2" t="s">
        <v>1300</v>
      </c>
      <c r="C512" s="2" t="s">
        <v>1070</v>
      </c>
      <c r="D512" s="2" t="s">
        <v>1299</v>
      </c>
      <c r="E512" s="2"/>
      <c r="F512" s="2"/>
    </row>
    <row r="513" spans="1:6" s="3" customFormat="1" ht="29.1" customHeight="1" x14ac:dyDescent="0.25">
      <c r="A513" s="2" t="s">
        <v>1301</v>
      </c>
      <c r="B513" s="2" t="s">
        <v>1302</v>
      </c>
      <c r="C513" s="2" t="s">
        <v>1070</v>
      </c>
      <c r="D513" s="2" t="s">
        <v>1275</v>
      </c>
      <c r="E513" s="2"/>
      <c r="F513" s="2"/>
    </row>
    <row r="514" spans="1:6" s="3" customFormat="1" ht="29.1" customHeight="1" x14ac:dyDescent="0.25">
      <c r="A514" s="2" t="s">
        <v>1303</v>
      </c>
      <c r="B514" s="2" t="s">
        <v>1304</v>
      </c>
      <c r="C514" s="2" t="s">
        <v>1070</v>
      </c>
      <c r="D514" s="2" t="s">
        <v>1285</v>
      </c>
      <c r="E514" s="2"/>
      <c r="F514" s="2"/>
    </row>
    <row r="515" spans="1:6" s="3" customFormat="1" ht="29.1" customHeight="1" x14ac:dyDescent="0.25">
      <c r="A515" s="2" t="s">
        <v>1305</v>
      </c>
      <c r="B515" s="2" t="s">
        <v>1306</v>
      </c>
      <c r="C515" s="2" t="s">
        <v>1070</v>
      </c>
      <c r="D515" s="2" t="s">
        <v>1272</v>
      </c>
      <c r="E515" s="2"/>
      <c r="F515" s="2"/>
    </row>
    <row r="516" spans="1:6" s="3" customFormat="1" ht="29.1" customHeight="1" x14ac:dyDescent="0.25">
      <c r="A516" s="2" t="s">
        <v>1307</v>
      </c>
      <c r="B516" s="2" t="s">
        <v>1308</v>
      </c>
      <c r="C516" s="2" t="s">
        <v>1070</v>
      </c>
      <c r="D516" s="2" t="s">
        <v>1071</v>
      </c>
      <c r="E516" s="2"/>
      <c r="F516" s="2"/>
    </row>
    <row r="517" spans="1:6" s="3" customFormat="1" ht="29.1" customHeight="1" x14ac:dyDescent="0.25">
      <c r="A517" s="2" t="s">
        <v>1309</v>
      </c>
      <c r="B517" s="2" t="s">
        <v>1311</v>
      </c>
      <c r="C517" s="2" t="s">
        <v>1070</v>
      </c>
      <c r="D517" s="2" t="s">
        <v>1310</v>
      </c>
      <c r="E517" s="2"/>
      <c r="F517" s="2"/>
    </row>
    <row r="518" spans="1:6" s="3" customFormat="1" ht="29.1" customHeight="1" x14ac:dyDescent="0.25">
      <c r="A518" s="2" t="s">
        <v>1312</v>
      </c>
      <c r="B518" s="2" t="s">
        <v>1314</v>
      </c>
      <c r="C518" s="2" t="s">
        <v>1070</v>
      </c>
      <c r="D518" s="2" t="s">
        <v>1313</v>
      </c>
      <c r="E518" s="2"/>
      <c r="F518" s="2"/>
    </row>
    <row r="519" spans="1:6" s="3" customFormat="1" ht="29.1" customHeight="1" x14ac:dyDescent="0.25">
      <c r="A519" s="2" t="s">
        <v>1315</v>
      </c>
      <c r="B519" s="2" t="s">
        <v>1316</v>
      </c>
      <c r="C519" s="2" t="s">
        <v>1070</v>
      </c>
      <c r="D519" s="2" t="s">
        <v>1275</v>
      </c>
      <c r="E519" s="2"/>
      <c r="F519" s="2"/>
    </row>
    <row r="520" spans="1:6" s="3" customFormat="1" ht="29.1" customHeight="1" x14ac:dyDescent="0.25">
      <c r="A520" s="2" t="s">
        <v>1317</v>
      </c>
      <c r="B520" s="2" t="s">
        <v>1318</v>
      </c>
      <c r="C520" s="2" t="s">
        <v>1070</v>
      </c>
      <c r="D520" s="2" t="s">
        <v>1310</v>
      </c>
      <c r="E520" s="2"/>
      <c r="F520" s="2"/>
    </row>
    <row r="521" spans="1:6" s="3" customFormat="1" ht="29.1" customHeight="1" x14ac:dyDescent="0.25">
      <c r="A521" s="2" t="s">
        <v>1319</v>
      </c>
      <c r="B521" s="2" t="s">
        <v>1320</v>
      </c>
      <c r="C521" s="2" t="s">
        <v>1070</v>
      </c>
      <c r="D521" s="2" t="s">
        <v>1265</v>
      </c>
      <c r="E521" s="2"/>
      <c r="F521" s="2"/>
    </row>
    <row r="522" spans="1:6" s="3" customFormat="1" ht="29.1" customHeight="1" x14ac:dyDescent="0.25">
      <c r="A522" s="2" t="s">
        <v>1321</v>
      </c>
      <c r="B522" s="2" t="s">
        <v>1322</v>
      </c>
      <c r="C522" s="2" t="s">
        <v>1070</v>
      </c>
      <c r="D522" s="2" t="s">
        <v>1278</v>
      </c>
      <c r="E522" s="2"/>
      <c r="F522" s="2"/>
    </row>
    <row r="523" spans="1:6" s="3" customFormat="1" ht="29.1" customHeight="1" x14ac:dyDescent="0.25">
      <c r="A523" s="2" t="s">
        <v>1323</v>
      </c>
      <c r="B523" s="2" t="s">
        <v>1324</v>
      </c>
      <c r="C523" s="2" t="s">
        <v>1070</v>
      </c>
      <c r="D523" s="2" t="s">
        <v>1299</v>
      </c>
      <c r="E523" s="2"/>
      <c r="F523" s="2"/>
    </row>
    <row r="524" spans="1:6" s="3" customFormat="1" ht="29.1" customHeight="1" x14ac:dyDescent="0.25">
      <c r="A524" s="2" t="s">
        <v>1325</v>
      </c>
      <c r="B524" s="2" t="s">
        <v>1326</v>
      </c>
      <c r="C524" s="2" t="s">
        <v>1070</v>
      </c>
      <c r="D524" s="2" t="s">
        <v>1272</v>
      </c>
      <c r="E524" s="2"/>
      <c r="F524" s="2"/>
    </row>
    <row r="525" spans="1:6" s="3" customFormat="1" ht="29.1" customHeight="1" x14ac:dyDescent="0.25">
      <c r="A525" s="2" t="s">
        <v>1327</v>
      </c>
      <c r="B525" s="2" t="s">
        <v>1328</v>
      </c>
      <c r="C525" s="2" t="s">
        <v>1070</v>
      </c>
      <c r="D525" s="2" t="s">
        <v>1265</v>
      </c>
      <c r="E525" s="2"/>
      <c r="F525" s="2"/>
    </row>
    <row r="526" spans="1:6" s="3" customFormat="1" ht="29.1" customHeight="1" x14ac:dyDescent="0.25">
      <c r="A526" s="2" t="s">
        <v>1329</v>
      </c>
      <c r="B526" s="2" t="s">
        <v>1330</v>
      </c>
      <c r="C526" s="2" t="s">
        <v>1070</v>
      </c>
      <c r="D526" s="2" t="s">
        <v>1272</v>
      </c>
      <c r="E526" s="2"/>
      <c r="F526" s="2"/>
    </row>
    <row r="527" spans="1:6" s="3" customFormat="1" ht="29.1" customHeight="1" x14ac:dyDescent="0.25">
      <c r="A527" s="2" t="s">
        <v>1331</v>
      </c>
      <c r="B527" s="2" t="s">
        <v>1332</v>
      </c>
      <c r="C527" s="2" t="s">
        <v>1070</v>
      </c>
      <c r="D527" s="2" t="s">
        <v>1265</v>
      </c>
      <c r="E527" s="2"/>
      <c r="F527" s="2"/>
    </row>
    <row r="528" spans="1:6" s="3" customFormat="1" ht="29.1" customHeight="1" x14ac:dyDescent="0.25">
      <c r="A528" s="2" t="s">
        <v>1333</v>
      </c>
      <c r="B528" s="2" t="s">
        <v>1334</v>
      </c>
      <c r="C528" s="2" t="s">
        <v>1070</v>
      </c>
      <c r="D528" s="2" t="s">
        <v>1071</v>
      </c>
      <c r="E528" s="2"/>
      <c r="F528" s="2"/>
    </row>
    <row r="529" spans="1:6" s="3" customFormat="1" ht="29.1" customHeight="1" x14ac:dyDescent="0.25">
      <c r="A529" s="2" t="s">
        <v>1335</v>
      </c>
      <c r="B529" s="2" t="s">
        <v>1337</v>
      </c>
      <c r="C529" s="2" t="s">
        <v>1070</v>
      </c>
      <c r="D529" s="2" t="s">
        <v>1336</v>
      </c>
      <c r="E529" s="2"/>
      <c r="F529" s="2"/>
    </row>
    <row r="530" spans="1:6" s="3" customFormat="1" ht="29.1" customHeight="1" x14ac:dyDescent="0.25">
      <c r="A530" s="2" t="s">
        <v>1338</v>
      </c>
      <c r="B530" s="2" t="s">
        <v>1339</v>
      </c>
      <c r="C530" s="2" t="s">
        <v>1070</v>
      </c>
      <c r="D530" s="2" t="s">
        <v>1272</v>
      </c>
      <c r="E530" s="2"/>
      <c r="F530" s="2"/>
    </row>
    <row r="531" spans="1:6" s="3" customFormat="1" ht="29.1" customHeight="1" x14ac:dyDescent="0.25">
      <c r="A531" s="2" t="s">
        <v>1340</v>
      </c>
      <c r="B531" s="2" t="s">
        <v>1341</v>
      </c>
      <c r="C531" s="2" t="s">
        <v>1070</v>
      </c>
      <c r="D531" s="2" t="s">
        <v>1272</v>
      </c>
      <c r="E531" s="2"/>
      <c r="F531" s="2"/>
    </row>
    <row r="532" spans="1:6" s="3" customFormat="1" ht="29.1" customHeight="1" x14ac:dyDescent="0.25">
      <c r="A532" s="2" t="s">
        <v>1342</v>
      </c>
      <c r="B532" s="2" t="s">
        <v>1343</v>
      </c>
      <c r="C532" s="2" t="s">
        <v>1070</v>
      </c>
      <c r="D532" s="2" t="s">
        <v>1071</v>
      </c>
      <c r="E532" s="2"/>
      <c r="F532" s="2"/>
    </row>
    <row r="533" spans="1:6" s="3" customFormat="1" ht="29.1" customHeight="1" x14ac:dyDescent="0.25">
      <c r="A533" s="2" t="s">
        <v>1344</v>
      </c>
      <c r="B533" s="2" t="s">
        <v>1345</v>
      </c>
      <c r="C533" s="2" t="s">
        <v>1070</v>
      </c>
      <c r="D533" s="2" t="s">
        <v>1272</v>
      </c>
      <c r="E533" s="2"/>
      <c r="F533" s="2"/>
    </row>
    <row r="534" spans="1:6" s="3" customFormat="1" ht="29.1" customHeight="1" x14ac:dyDescent="0.25">
      <c r="A534" s="2" t="s">
        <v>1346</v>
      </c>
      <c r="B534" s="2" t="s">
        <v>1347</v>
      </c>
      <c r="C534" s="2" t="s">
        <v>1070</v>
      </c>
      <c r="D534" s="2" t="s">
        <v>1310</v>
      </c>
      <c r="E534" s="2"/>
      <c r="F534" s="2"/>
    </row>
    <row r="535" spans="1:6" s="3" customFormat="1" ht="29.1" customHeight="1" x14ac:dyDescent="0.25">
      <c r="A535" s="2" t="s">
        <v>1348</v>
      </c>
      <c r="B535" s="2" t="s">
        <v>1349</v>
      </c>
      <c r="C535" s="2" t="s">
        <v>1070</v>
      </c>
      <c r="D535" s="2" t="s">
        <v>1265</v>
      </c>
      <c r="E535" s="2"/>
      <c r="F535" s="2"/>
    </row>
    <row r="536" spans="1:6" s="3" customFormat="1" ht="29.1" customHeight="1" x14ac:dyDescent="0.25">
      <c r="A536" s="2" t="s">
        <v>1350</v>
      </c>
      <c r="B536" s="2" t="s">
        <v>1351</v>
      </c>
      <c r="C536" s="2" t="s">
        <v>1070</v>
      </c>
      <c r="D536" s="2" t="s">
        <v>1265</v>
      </c>
      <c r="E536" s="2"/>
      <c r="F536" s="2"/>
    </row>
    <row r="537" spans="1:6" s="3" customFormat="1" ht="29.1" customHeight="1" x14ac:dyDescent="0.25">
      <c r="A537" s="2" t="s">
        <v>1352</v>
      </c>
      <c r="B537" s="2" t="s">
        <v>1353</v>
      </c>
      <c r="C537" s="2" t="s">
        <v>1070</v>
      </c>
      <c r="D537" s="2" t="s">
        <v>1265</v>
      </c>
      <c r="E537" s="2"/>
      <c r="F537" s="2"/>
    </row>
    <row r="538" spans="1:6" s="3" customFormat="1" ht="29.1" customHeight="1" x14ac:dyDescent="0.25">
      <c r="A538" s="2" t="s">
        <v>1354</v>
      </c>
      <c r="B538" s="2" t="s">
        <v>1355</v>
      </c>
      <c r="C538" s="2" t="s">
        <v>1070</v>
      </c>
      <c r="D538" s="2" t="s">
        <v>468</v>
      </c>
      <c r="E538" s="2"/>
      <c r="F538" s="2"/>
    </row>
    <row r="539" spans="1:6" s="3" customFormat="1" ht="29.1" customHeight="1" x14ac:dyDescent="0.25">
      <c r="A539" s="2" t="s">
        <v>1356</v>
      </c>
      <c r="B539" s="2" t="s">
        <v>1357</v>
      </c>
      <c r="C539" s="2" t="s">
        <v>1070</v>
      </c>
      <c r="D539" s="2" t="s">
        <v>1265</v>
      </c>
      <c r="E539" s="2"/>
      <c r="F539" s="2"/>
    </row>
    <row r="540" spans="1:6" s="3" customFormat="1" ht="29.1" customHeight="1" x14ac:dyDescent="0.25">
      <c r="A540" s="2" t="s">
        <v>1358</v>
      </c>
      <c r="B540" s="2" t="s">
        <v>1359</v>
      </c>
      <c r="C540" s="2" t="s">
        <v>1070</v>
      </c>
      <c r="D540" s="2" t="s">
        <v>1071</v>
      </c>
      <c r="E540" s="2"/>
      <c r="F540" s="2"/>
    </row>
    <row r="541" spans="1:6" s="3" customFormat="1" ht="29.1" customHeight="1" x14ac:dyDescent="0.25">
      <c r="A541" s="2" t="s">
        <v>1360</v>
      </c>
      <c r="B541" s="2" t="s">
        <v>1361</v>
      </c>
      <c r="C541" s="2" t="s">
        <v>1070</v>
      </c>
      <c r="D541" s="2" t="s">
        <v>1265</v>
      </c>
      <c r="E541" s="2"/>
      <c r="F541" s="2"/>
    </row>
    <row r="542" spans="1:6" s="3" customFormat="1" ht="29.1" customHeight="1" x14ac:dyDescent="0.25">
      <c r="A542" s="2" t="s">
        <v>1362</v>
      </c>
      <c r="B542" s="2" t="s">
        <v>1351</v>
      </c>
      <c r="C542" s="2" t="s">
        <v>1070</v>
      </c>
      <c r="D542" s="2" t="s">
        <v>1265</v>
      </c>
      <c r="E542" s="2"/>
      <c r="F542" s="2"/>
    </row>
    <row r="543" spans="1:6" s="3" customFormat="1" ht="29.1" customHeight="1" x14ac:dyDescent="0.25">
      <c r="A543" s="2" t="s">
        <v>1363</v>
      </c>
      <c r="B543" s="2" t="s">
        <v>1351</v>
      </c>
      <c r="C543" s="2" t="s">
        <v>1070</v>
      </c>
      <c r="D543" s="2" t="s">
        <v>1265</v>
      </c>
      <c r="E543" s="2"/>
      <c r="F543" s="2"/>
    </row>
    <row r="544" spans="1:6" s="3" customFormat="1" ht="29.1" customHeight="1" x14ac:dyDescent="0.25">
      <c r="A544" s="2" t="s">
        <v>1364</v>
      </c>
      <c r="B544" s="2" t="s">
        <v>1365</v>
      </c>
      <c r="C544" s="2" t="s">
        <v>1070</v>
      </c>
      <c r="D544" s="2" t="s">
        <v>1265</v>
      </c>
      <c r="E544" s="2"/>
      <c r="F544" s="2"/>
    </row>
    <row r="545" spans="1:6" s="3" customFormat="1" ht="29.1" customHeight="1" x14ac:dyDescent="0.25">
      <c r="A545" s="2" t="s">
        <v>1366</v>
      </c>
      <c r="B545" s="2" t="s">
        <v>1353</v>
      </c>
      <c r="C545" s="2" t="s">
        <v>1070</v>
      </c>
      <c r="D545" s="2" t="s">
        <v>1265</v>
      </c>
      <c r="E545" s="2"/>
      <c r="F545" s="2"/>
    </row>
    <row r="546" spans="1:6" s="3" customFormat="1" ht="29.1" customHeight="1" x14ac:dyDescent="0.25">
      <c r="A546" s="2" t="s">
        <v>1367</v>
      </c>
      <c r="B546" s="2" t="s">
        <v>1368</v>
      </c>
      <c r="C546" s="2" t="s">
        <v>1070</v>
      </c>
      <c r="D546" s="2" t="s">
        <v>1310</v>
      </c>
      <c r="E546" s="2"/>
      <c r="F546" s="2"/>
    </row>
    <row r="547" spans="1:6" s="3" customFormat="1" ht="29.1" customHeight="1" x14ac:dyDescent="0.25">
      <c r="A547" s="2" t="s">
        <v>1369</v>
      </c>
      <c r="B547" s="2" t="s">
        <v>1357</v>
      </c>
      <c r="C547" s="2" t="s">
        <v>1070</v>
      </c>
      <c r="D547" s="2" t="s">
        <v>1265</v>
      </c>
      <c r="E547" s="2"/>
      <c r="F547" s="2"/>
    </row>
    <row r="548" spans="1:6" s="3" customFormat="1" ht="29.1" customHeight="1" x14ac:dyDescent="0.25">
      <c r="A548" s="2" t="s">
        <v>1370</v>
      </c>
      <c r="B548" s="2" t="s">
        <v>1371</v>
      </c>
      <c r="C548" s="2" t="s">
        <v>1070</v>
      </c>
      <c r="D548" s="2" t="s">
        <v>1071</v>
      </c>
      <c r="E548" s="2"/>
      <c r="F548" s="2"/>
    </row>
    <row r="549" spans="1:6" s="3" customFormat="1" ht="29.1" customHeight="1" x14ac:dyDescent="0.25">
      <c r="A549" s="2" t="s">
        <v>1372</v>
      </c>
      <c r="B549" s="2" t="s">
        <v>1357</v>
      </c>
      <c r="C549" s="2" t="s">
        <v>1070</v>
      </c>
      <c r="D549" s="2" t="s">
        <v>1265</v>
      </c>
      <c r="E549" s="2"/>
      <c r="F549" s="2"/>
    </row>
    <row r="550" spans="1:6" s="3" customFormat="1" ht="29.1" customHeight="1" x14ac:dyDescent="0.25">
      <c r="A550" s="2" t="s">
        <v>1373</v>
      </c>
      <c r="B550" s="2"/>
      <c r="C550" s="2" t="s">
        <v>1070</v>
      </c>
      <c r="D550" s="2" t="s">
        <v>1265</v>
      </c>
      <c r="E550" s="2"/>
      <c r="F550" s="2"/>
    </row>
    <row r="551" spans="1:6" s="3" customFormat="1" ht="29.1" customHeight="1" x14ac:dyDescent="0.25">
      <c r="A551" s="2" t="s">
        <v>1374</v>
      </c>
      <c r="B551" s="2"/>
      <c r="C551" s="2" t="s">
        <v>1070</v>
      </c>
      <c r="D551" s="2" t="s">
        <v>1265</v>
      </c>
      <c r="E551" s="2"/>
      <c r="F551" s="2" t="str">
        <f>"9783318073614"</f>
        <v>9783318073614</v>
      </c>
    </row>
    <row r="552" spans="1:6" s="3" customFormat="1" ht="29.1" customHeight="1" x14ac:dyDescent="0.25">
      <c r="A552" s="2" t="s">
        <v>1375</v>
      </c>
      <c r="B552" s="2" t="s">
        <v>1376</v>
      </c>
      <c r="C552" s="2" t="s">
        <v>1070</v>
      </c>
      <c r="D552" s="2" t="s">
        <v>1265</v>
      </c>
      <c r="E552" s="2"/>
      <c r="F552" s="2"/>
    </row>
    <row r="553" spans="1:6" s="3" customFormat="1" ht="29.1" customHeight="1" x14ac:dyDescent="0.25">
      <c r="A553" s="2" t="s">
        <v>1377</v>
      </c>
      <c r="B553" s="2" t="s">
        <v>1378</v>
      </c>
      <c r="C553" s="2" t="s">
        <v>1070</v>
      </c>
      <c r="D553" s="2" t="s">
        <v>1272</v>
      </c>
      <c r="E553" s="2"/>
      <c r="F553" s="2"/>
    </row>
    <row r="554" spans="1:6" s="3" customFormat="1" ht="29.1" customHeight="1" x14ac:dyDescent="0.25">
      <c r="A554" s="2" t="s">
        <v>1379</v>
      </c>
      <c r="B554" s="2" t="s">
        <v>1276</v>
      </c>
      <c r="C554" s="2" t="s">
        <v>1070</v>
      </c>
      <c r="D554" s="2" t="s">
        <v>1275</v>
      </c>
      <c r="E554" s="2"/>
      <c r="F554" s="2"/>
    </row>
    <row r="555" spans="1:6" s="3" customFormat="1" ht="29.1" customHeight="1" x14ac:dyDescent="0.25">
      <c r="A555" s="2" t="s">
        <v>1380</v>
      </c>
      <c r="B555" s="2" t="s">
        <v>1381</v>
      </c>
      <c r="C555" s="2" t="s">
        <v>1070</v>
      </c>
      <c r="D555" s="2" t="s">
        <v>1265</v>
      </c>
      <c r="E555" s="2"/>
      <c r="F555" s="2"/>
    </row>
    <row r="556" spans="1:6" s="3" customFormat="1" ht="29.1" customHeight="1" x14ac:dyDescent="0.25">
      <c r="A556" s="2" t="s">
        <v>1280</v>
      </c>
      <c r="B556" s="2" t="s">
        <v>1382</v>
      </c>
      <c r="C556" s="2" t="s">
        <v>1070</v>
      </c>
      <c r="D556" s="2" t="s">
        <v>813</v>
      </c>
      <c r="E556" s="2"/>
      <c r="F556" s="2"/>
    </row>
    <row r="557" spans="1:6" s="3" customFormat="1" ht="29.1" customHeight="1" x14ac:dyDescent="0.25">
      <c r="A557" s="2" t="s">
        <v>1296</v>
      </c>
      <c r="B557" s="2" t="s">
        <v>1297</v>
      </c>
      <c r="C557" s="2" t="s">
        <v>1070</v>
      </c>
      <c r="D557" s="2" t="s">
        <v>1275</v>
      </c>
      <c r="E557" s="2"/>
      <c r="F557" s="2"/>
    </row>
    <row r="558" spans="1:6" s="3" customFormat="1" ht="29.1" customHeight="1" x14ac:dyDescent="0.25">
      <c r="A558" s="2" t="s">
        <v>1383</v>
      </c>
      <c r="B558" s="2" t="s">
        <v>1311</v>
      </c>
      <c r="C558" s="2" t="s">
        <v>1070</v>
      </c>
      <c r="D558" s="2" t="s">
        <v>1310</v>
      </c>
      <c r="E558" s="2"/>
      <c r="F558" s="2"/>
    </row>
    <row r="559" spans="1:6" s="3" customFormat="1" ht="29.1" customHeight="1" x14ac:dyDescent="0.25">
      <c r="A559" s="2" t="s">
        <v>1384</v>
      </c>
      <c r="B559" s="2" t="s">
        <v>1385</v>
      </c>
      <c r="C559" s="2" t="s">
        <v>1070</v>
      </c>
      <c r="D559" s="2" t="s">
        <v>1071</v>
      </c>
      <c r="E559" s="2"/>
      <c r="F559" s="2"/>
    </row>
    <row r="560" spans="1:6" s="3" customFormat="1" ht="29.1" customHeight="1" x14ac:dyDescent="0.25">
      <c r="A560" s="2" t="s">
        <v>1386</v>
      </c>
      <c r="B560" s="2" t="s">
        <v>1388</v>
      </c>
      <c r="C560" s="2" t="s">
        <v>1070</v>
      </c>
      <c r="D560" s="2" t="s">
        <v>1387</v>
      </c>
      <c r="E560" s="2"/>
      <c r="F560" s="2"/>
    </row>
    <row r="561" spans="1:6" s="3" customFormat="1" ht="29.1" customHeight="1" x14ac:dyDescent="0.25">
      <c r="A561" s="2" t="s">
        <v>1389</v>
      </c>
      <c r="B561" s="2" t="s">
        <v>1391</v>
      </c>
      <c r="C561" s="2" t="s">
        <v>124</v>
      </c>
      <c r="D561" s="2" t="s">
        <v>1390</v>
      </c>
      <c r="E561" s="2" t="str">
        <f>"9789462988163"</f>
        <v>9789462988163</v>
      </c>
      <c r="F561" s="2" t="str">
        <f>"9781003705871"</f>
        <v>9781003705871</v>
      </c>
    </row>
    <row r="562" spans="1:6" s="3" customFormat="1" ht="29.1" customHeight="1" x14ac:dyDescent="0.25">
      <c r="A562" s="2" t="s">
        <v>1392</v>
      </c>
      <c r="B562" s="2" t="s">
        <v>1394</v>
      </c>
      <c r="C562" s="2" t="s">
        <v>124</v>
      </c>
      <c r="D562" s="2" t="s">
        <v>1393</v>
      </c>
      <c r="E562" s="2" t="str">
        <f>"9781041185222"</f>
        <v>9781041185222</v>
      </c>
      <c r="F562" s="2" t="str">
        <f>"9781003702672"</f>
        <v>9781003702672</v>
      </c>
    </row>
    <row r="563" spans="1:6" s="3" customFormat="1" ht="29.1" customHeight="1" x14ac:dyDescent="0.25">
      <c r="A563" s="2" t="s">
        <v>1395</v>
      </c>
      <c r="B563" s="2" t="s">
        <v>1397</v>
      </c>
      <c r="C563" s="2" t="s">
        <v>124</v>
      </c>
      <c r="D563" s="2" t="s">
        <v>1396</v>
      </c>
      <c r="E563" s="2" t="str">
        <f>"9781041187240"</f>
        <v>9781041187240</v>
      </c>
      <c r="F563" s="2" t="str">
        <f>"9781003705239"</f>
        <v>9781003705239</v>
      </c>
    </row>
    <row r="564" spans="1:6" s="3" customFormat="1" ht="29.1" customHeight="1" x14ac:dyDescent="0.25">
      <c r="A564" s="2" t="s">
        <v>1398</v>
      </c>
      <c r="B564" s="2" t="s">
        <v>1399</v>
      </c>
      <c r="C564" s="2" t="s">
        <v>1070</v>
      </c>
      <c r="D564" s="2" t="s">
        <v>1265</v>
      </c>
      <c r="E564" s="2"/>
      <c r="F564" s="2"/>
    </row>
    <row r="565" spans="1:6" s="3" customFormat="1" ht="29.1" customHeight="1" x14ac:dyDescent="0.25">
      <c r="A565" s="2" t="s">
        <v>1400</v>
      </c>
      <c r="B565" s="2" t="s">
        <v>1288</v>
      </c>
      <c r="C565" s="2" t="s">
        <v>1070</v>
      </c>
      <c r="D565" s="2" t="s">
        <v>1265</v>
      </c>
      <c r="E565" s="2"/>
      <c r="F565" s="2"/>
    </row>
    <row r="566" spans="1:6" s="3" customFormat="1" ht="29.1" customHeight="1" x14ac:dyDescent="0.25">
      <c r="A566" s="2" t="s">
        <v>1401</v>
      </c>
      <c r="B566" s="2" t="s">
        <v>1403</v>
      </c>
      <c r="C566" s="2" t="s">
        <v>124</v>
      </c>
      <c r="D566" s="2" t="s">
        <v>1402</v>
      </c>
      <c r="E566" s="2" t="str">
        <f>"9789048562985"</f>
        <v>9789048562985</v>
      </c>
      <c r="F566" s="2" t="str">
        <f>"9781003709138"</f>
        <v>9781003709138</v>
      </c>
    </row>
    <row r="567" spans="1:6" s="3" customFormat="1" ht="29.1" customHeight="1" x14ac:dyDescent="0.25">
      <c r="A567" s="2" t="s">
        <v>1404</v>
      </c>
      <c r="B567" s="2" t="s">
        <v>1405</v>
      </c>
      <c r="C567" s="2" t="s">
        <v>124</v>
      </c>
      <c r="D567" s="2" t="s">
        <v>331</v>
      </c>
      <c r="E567" s="2" t="str">
        <f>"9789048568987"</f>
        <v>9789048568987</v>
      </c>
      <c r="F567" s="2" t="str">
        <f>"9781003698104"</f>
        <v>9781003698104</v>
      </c>
    </row>
    <row r="568" spans="1:6" s="3" customFormat="1" ht="29.1" customHeight="1" x14ac:dyDescent="0.25">
      <c r="A568" s="2" t="s">
        <v>1406</v>
      </c>
      <c r="B568" s="2" t="s">
        <v>1407</v>
      </c>
      <c r="C568" s="2" t="s">
        <v>124</v>
      </c>
      <c r="D568" s="2" t="s">
        <v>107</v>
      </c>
      <c r="E568" s="2" t="str">
        <f>"9789048566396"</f>
        <v>9789048566396</v>
      </c>
      <c r="F568" s="2" t="str">
        <f>"9781003707936"</f>
        <v>9781003707936</v>
      </c>
    </row>
    <row r="569" spans="1:6" s="3" customFormat="1" ht="29.1" customHeight="1" x14ac:dyDescent="0.25">
      <c r="A569" s="2" t="s">
        <v>1408</v>
      </c>
      <c r="B569" s="2" t="s">
        <v>1409</v>
      </c>
      <c r="C569" s="2" t="s">
        <v>124</v>
      </c>
      <c r="D569" s="2" t="s">
        <v>107</v>
      </c>
      <c r="E569" s="2" t="str">
        <f>"9789048563166"</f>
        <v>9789048563166</v>
      </c>
      <c r="F569" s="2" t="str">
        <f>"9781003708537"</f>
        <v>9781003708537</v>
      </c>
    </row>
    <row r="570" spans="1:6" s="3" customFormat="1" ht="29.1" customHeight="1" x14ac:dyDescent="0.25">
      <c r="A570" s="2" t="s">
        <v>1410</v>
      </c>
      <c r="B570" s="2" t="s">
        <v>1412</v>
      </c>
      <c r="C570" s="2" t="s">
        <v>124</v>
      </c>
      <c r="D570" s="2" t="s">
        <v>1411</v>
      </c>
      <c r="E570" s="2" t="str">
        <f>"9789048558742"</f>
        <v>9789048558742</v>
      </c>
      <c r="F570" s="2" t="str">
        <f>"9781003708940"</f>
        <v>9781003708940</v>
      </c>
    </row>
    <row r="571" spans="1:6" s="3" customFormat="1" ht="29.1" customHeight="1" x14ac:dyDescent="0.25">
      <c r="A571" s="2" t="s">
        <v>1413</v>
      </c>
      <c r="B571" s="2" t="s">
        <v>1414</v>
      </c>
      <c r="C571" s="2" t="s">
        <v>124</v>
      </c>
      <c r="D571" s="2" t="s">
        <v>509</v>
      </c>
      <c r="E571" s="2" t="str">
        <f>"9781041187547"</f>
        <v>9781041187547</v>
      </c>
      <c r="F571" s="2" t="str">
        <f>"9781003705673"</f>
        <v>9781003705673</v>
      </c>
    </row>
    <row r="572" spans="1:6" s="3" customFormat="1" ht="29.1" customHeight="1" x14ac:dyDescent="0.25">
      <c r="A572" s="2" t="s">
        <v>1415</v>
      </c>
      <c r="B572" s="2" t="s">
        <v>1417</v>
      </c>
      <c r="C572" s="2" t="s">
        <v>124</v>
      </c>
      <c r="D572" s="2" t="s">
        <v>1416</v>
      </c>
      <c r="E572" s="2" t="str">
        <f>"9781041181002"</f>
        <v>9781041181002</v>
      </c>
      <c r="F572" s="2" t="str">
        <f>"9781003697480"</f>
        <v>9781003697480</v>
      </c>
    </row>
    <row r="573" spans="1:6" s="3" customFormat="1" ht="29.1" customHeight="1" x14ac:dyDescent="0.25">
      <c r="A573" s="2" t="s">
        <v>1418</v>
      </c>
      <c r="B573" s="2" t="s">
        <v>1420</v>
      </c>
      <c r="C573" s="2" t="s">
        <v>124</v>
      </c>
      <c r="D573" s="2" t="s">
        <v>1419</v>
      </c>
      <c r="E573" s="2" t="str">
        <f>"9789048560394"</f>
        <v>9789048560394</v>
      </c>
      <c r="F573" s="2" t="str">
        <f>"9781003692799"</f>
        <v>9781003692799</v>
      </c>
    </row>
    <row r="574" spans="1:6" s="3" customFormat="1" ht="29.1" customHeight="1" x14ac:dyDescent="0.25">
      <c r="A574" s="2" t="s">
        <v>1421</v>
      </c>
      <c r="B574" s="2" t="s">
        <v>1423</v>
      </c>
      <c r="C574" s="2" t="s">
        <v>124</v>
      </c>
      <c r="D574" s="2" t="s">
        <v>1422</v>
      </c>
      <c r="E574" s="2" t="str">
        <f>"9789463728560"</f>
        <v>9789463728560</v>
      </c>
      <c r="F574" s="2" t="str">
        <f>"9781003702887"</f>
        <v>9781003702887</v>
      </c>
    </row>
    <row r="575" spans="1:6" s="3" customFormat="1" ht="29.1" customHeight="1" x14ac:dyDescent="0.25">
      <c r="A575" s="2" t="s">
        <v>1424</v>
      </c>
      <c r="B575" s="2" t="s">
        <v>1425</v>
      </c>
      <c r="C575" s="2" t="s">
        <v>124</v>
      </c>
      <c r="D575" s="2" t="s">
        <v>218</v>
      </c>
      <c r="E575" s="2" t="str">
        <f>"9781041175179"</f>
        <v>9781041175179</v>
      </c>
      <c r="F575" s="2" t="str">
        <f>"9781003690320"</f>
        <v>9781003690320</v>
      </c>
    </row>
    <row r="576" spans="1:6" s="3" customFormat="1" ht="29.1" customHeight="1" x14ac:dyDescent="0.25">
      <c r="A576" s="2" t="s">
        <v>1426</v>
      </c>
      <c r="B576" s="2" t="s">
        <v>1428</v>
      </c>
      <c r="C576" s="2" t="s">
        <v>124</v>
      </c>
      <c r="D576" s="2" t="s">
        <v>1427</v>
      </c>
      <c r="E576" s="2" t="str">
        <f>"9789463725668"</f>
        <v>9789463725668</v>
      </c>
      <c r="F576" s="2" t="str">
        <f>"9781003690504"</f>
        <v>9781003690504</v>
      </c>
    </row>
    <row r="577" spans="1:6" s="3" customFormat="1" ht="29.1" customHeight="1" x14ac:dyDescent="0.25">
      <c r="A577" s="2" t="s">
        <v>1429</v>
      </c>
      <c r="B577" s="2" t="s">
        <v>1430</v>
      </c>
      <c r="C577" s="2" t="s">
        <v>124</v>
      </c>
      <c r="D577" s="2" t="s">
        <v>462</v>
      </c>
      <c r="E577" s="2" t="str">
        <f>"9781041186243"</f>
        <v>9781041186243</v>
      </c>
      <c r="F577" s="2" t="str">
        <f>"9781003703884"</f>
        <v>9781003703884</v>
      </c>
    </row>
    <row r="578" spans="1:6" s="3" customFormat="1" ht="29.1" customHeight="1" x14ac:dyDescent="0.25">
      <c r="A578" s="2" t="s">
        <v>1431</v>
      </c>
      <c r="B578" s="2" t="s">
        <v>1433</v>
      </c>
      <c r="C578" s="2" t="s">
        <v>124</v>
      </c>
      <c r="D578" s="2" t="s">
        <v>1432</v>
      </c>
      <c r="E578" s="2" t="str">
        <f>"9789463722483"</f>
        <v>9789463722483</v>
      </c>
      <c r="F578" s="2" t="str">
        <f>"9781003705543"</f>
        <v>9781003705543</v>
      </c>
    </row>
    <row r="579" spans="1:6" s="3" customFormat="1" ht="29.1" customHeight="1" x14ac:dyDescent="0.25">
      <c r="A579" s="2" t="s">
        <v>1434</v>
      </c>
      <c r="B579" s="2" t="s">
        <v>1435</v>
      </c>
      <c r="C579" s="2" t="s">
        <v>124</v>
      </c>
      <c r="D579" s="2" t="s">
        <v>647</v>
      </c>
      <c r="E579" s="2" t="str">
        <f>"9781041178026"</f>
        <v>9781041178026</v>
      </c>
      <c r="F579" s="2" t="str">
        <f>"9781003693840"</f>
        <v>9781003693840</v>
      </c>
    </row>
    <row r="580" spans="1:6" s="3" customFormat="1" ht="29.1" customHeight="1" x14ac:dyDescent="0.25">
      <c r="A580" s="2" t="s">
        <v>1436</v>
      </c>
      <c r="B580" s="2" t="s">
        <v>1438</v>
      </c>
      <c r="C580" s="2" t="s">
        <v>124</v>
      </c>
      <c r="D580" s="2" t="s">
        <v>1437</v>
      </c>
      <c r="E580" s="2" t="str">
        <f>"9781041177043"</f>
        <v>9781041177043</v>
      </c>
      <c r="F580" s="2" t="str">
        <f>"9781003692645"</f>
        <v>9781003692645</v>
      </c>
    </row>
    <row r="581" spans="1:6" s="3" customFormat="1" ht="29.1" customHeight="1" x14ac:dyDescent="0.25">
      <c r="A581" s="2" t="s">
        <v>1439</v>
      </c>
      <c r="B581" s="2" t="s">
        <v>1440</v>
      </c>
      <c r="C581" s="2" t="s">
        <v>124</v>
      </c>
      <c r="D581" s="2" t="s">
        <v>647</v>
      </c>
      <c r="E581" s="2" t="str">
        <f>"9781041181156"</f>
        <v>9781041181156</v>
      </c>
      <c r="F581" s="2" t="str">
        <f>"9781003697657"</f>
        <v>9781003697657</v>
      </c>
    </row>
    <row r="582" spans="1:6" s="3" customFormat="1" ht="29.1" customHeight="1" x14ac:dyDescent="0.25">
      <c r="A582" s="2" t="s">
        <v>1441</v>
      </c>
      <c r="B582" s="2" t="s">
        <v>1443</v>
      </c>
      <c r="C582" s="2" t="s">
        <v>124</v>
      </c>
      <c r="D582" s="2" t="s">
        <v>1442</v>
      </c>
      <c r="E582" s="2" t="str">
        <f>"9781041178088"</f>
        <v>9781041178088</v>
      </c>
      <c r="F582" s="2" t="str">
        <f>"9781003693901"</f>
        <v>9781003693901</v>
      </c>
    </row>
    <row r="583" spans="1:6" s="3" customFormat="1" ht="29.1" customHeight="1" x14ac:dyDescent="0.25">
      <c r="A583" s="2" t="s">
        <v>1444</v>
      </c>
      <c r="B583" s="2" t="s">
        <v>1445</v>
      </c>
      <c r="C583" s="2" t="s">
        <v>124</v>
      </c>
      <c r="D583" s="2" t="s">
        <v>509</v>
      </c>
      <c r="E583" s="2" t="str">
        <f>"9781041178392"</f>
        <v>9781041178392</v>
      </c>
      <c r="F583" s="2" t="str">
        <f>"9781003694311"</f>
        <v>9781003694311</v>
      </c>
    </row>
    <row r="584" spans="1:6" s="3" customFormat="1" ht="29.1" customHeight="1" x14ac:dyDescent="0.25">
      <c r="A584" s="2" t="s">
        <v>1446</v>
      </c>
      <c r="B584" s="2" t="s">
        <v>1447</v>
      </c>
      <c r="C584" s="2" t="s">
        <v>124</v>
      </c>
      <c r="D584" s="2" t="s">
        <v>1127</v>
      </c>
      <c r="E584" s="2" t="str">
        <f>"9789463720991"</f>
        <v>9789463720991</v>
      </c>
      <c r="F584" s="2" t="str">
        <f>"9781003696551"</f>
        <v>9781003696551</v>
      </c>
    </row>
    <row r="585" spans="1:6" s="3" customFormat="1" ht="29.1" customHeight="1" x14ac:dyDescent="0.25">
      <c r="A585" s="2" t="s">
        <v>1448</v>
      </c>
      <c r="B585" s="2" t="s">
        <v>1450</v>
      </c>
      <c r="C585" s="2" t="s">
        <v>124</v>
      </c>
      <c r="D585" s="2" t="s">
        <v>1449</v>
      </c>
      <c r="E585" s="2" t="str">
        <f>"9781041177135"</f>
        <v>9781041177135</v>
      </c>
      <c r="F585" s="2" t="str">
        <f>"9781003692737"</f>
        <v>9781003692737</v>
      </c>
    </row>
    <row r="586" spans="1:6" s="3" customFormat="1" ht="29.1" customHeight="1" x14ac:dyDescent="0.25">
      <c r="A586" s="2" t="s">
        <v>1451</v>
      </c>
      <c r="B586" s="2" t="s">
        <v>1452</v>
      </c>
      <c r="C586" s="2" t="s">
        <v>124</v>
      </c>
      <c r="D586" s="2" t="s">
        <v>509</v>
      </c>
      <c r="E586" s="2" t="str">
        <f>"9781041184843"</f>
        <v>9781041184843</v>
      </c>
      <c r="F586" s="2" t="str">
        <f>"9781003702191"</f>
        <v>9781003702191</v>
      </c>
    </row>
    <row r="587" spans="1:6" s="3" customFormat="1" ht="29.1" customHeight="1" x14ac:dyDescent="0.25">
      <c r="A587" s="2" t="s">
        <v>1453</v>
      </c>
      <c r="B587" s="2" t="s">
        <v>1454</v>
      </c>
      <c r="C587" s="2" t="s">
        <v>124</v>
      </c>
      <c r="D587" s="2" t="s">
        <v>916</v>
      </c>
      <c r="E587" s="2" t="str">
        <f>"9781041182276"</f>
        <v>9781041182276</v>
      </c>
      <c r="F587" s="2" t="str">
        <f>"9781003699071"</f>
        <v>9781003699071</v>
      </c>
    </row>
    <row r="588" spans="1:6" s="3" customFormat="1" ht="29.1" customHeight="1" x14ac:dyDescent="0.25">
      <c r="A588" s="2" t="s">
        <v>1455</v>
      </c>
      <c r="B588" s="2" t="s">
        <v>1456</v>
      </c>
      <c r="C588" s="2" t="s">
        <v>124</v>
      </c>
      <c r="D588" s="2" t="s">
        <v>101</v>
      </c>
      <c r="E588" s="2" t="str">
        <f>"9781041176251"</f>
        <v>9781041176251</v>
      </c>
      <c r="F588" s="2" t="str">
        <f>"9781003691709"</f>
        <v>9781003691709</v>
      </c>
    </row>
    <row r="589" spans="1:6" s="3" customFormat="1" ht="29.1" customHeight="1" x14ac:dyDescent="0.25">
      <c r="A589" s="2" t="s">
        <v>1457</v>
      </c>
      <c r="B589" s="2" t="s">
        <v>1459</v>
      </c>
      <c r="C589" s="2" t="s">
        <v>124</v>
      </c>
      <c r="D589" s="2" t="s">
        <v>1458</v>
      </c>
      <c r="E589" s="2" t="str">
        <f>"9781041187141"</f>
        <v>9781041187141</v>
      </c>
      <c r="F589" s="2" t="str">
        <f>"9781003705109"</f>
        <v>9781003705109</v>
      </c>
    </row>
    <row r="590" spans="1:6" s="3" customFormat="1" ht="29.1" customHeight="1" x14ac:dyDescent="0.25">
      <c r="A590" s="2" t="s">
        <v>1460</v>
      </c>
      <c r="B590" s="2" t="s">
        <v>1461</v>
      </c>
      <c r="C590" s="2" t="s">
        <v>124</v>
      </c>
      <c r="D590" s="2" t="s">
        <v>916</v>
      </c>
      <c r="E590" s="2" t="str">
        <f>"9789463728799"</f>
        <v>9789463728799</v>
      </c>
      <c r="F590" s="2" t="str">
        <f>"9781003703839"</f>
        <v>9781003703839</v>
      </c>
    </row>
    <row r="591" spans="1:6" s="3" customFormat="1" ht="29.1" customHeight="1" x14ac:dyDescent="0.25">
      <c r="A591" s="2" t="s">
        <v>1462</v>
      </c>
      <c r="B591" s="2" t="s">
        <v>1464</v>
      </c>
      <c r="C591" s="2" t="s">
        <v>124</v>
      </c>
      <c r="D591" s="2" t="s">
        <v>1463</v>
      </c>
      <c r="E591" s="2" t="str">
        <f>"9781041182085"</f>
        <v>9781041182085</v>
      </c>
      <c r="F591" s="2" t="str">
        <f>"9781003698838"</f>
        <v>9781003698838</v>
      </c>
    </row>
    <row r="592" spans="1:6" s="3" customFormat="1" ht="29.1" customHeight="1" x14ac:dyDescent="0.25">
      <c r="A592" s="2" t="s">
        <v>1465</v>
      </c>
      <c r="B592" s="2" t="s">
        <v>1467</v>
      </c>
      <c r="C592" s="2" t="s">
        <v>124</v>
      </c>
      <c r="D592" s="2" t="s">
        <v>1466</v>
      </c>
      <c r="E592" s="2" t="str">
        <f>"9789048560837"</f>
        <v>9789048560837</v>
      </c>
      <c r="F592" s="2" t="str">
        <f>"9781003699712"</f>
        <v>9781003699712</v>
      </c>
    </row>
    <row r="593" spans="1:6" s="3" customFormat="1" ht="29.1" customHeight="1" x14ac:dyDescent="0.25">
      <c r="A593" s="2" t="s">
        <v>1468</v>
      </c>
      <c r="B593" s="2" t="s">
        <v>1469</v>
      </c>
      <c r="C593" s="2" t="s">
        <v>1070</v>
      </c>
      <c r="D593" s="2" t="s">
        <v>1265</v>
      </c>
      <c r="E593" s="2"/>
      <c r="F593" s="2"/>
    </row>
    <row r="594" spans="1:6" s="3" customFormat="1" ht="29.1" customHeight="1" x14ac:dyDescent="0.25">
      <c r="A594" s="2" t="s">
        <v>1470</v>
      </c>
      <c r="B594" s="2" t="s">
        <v>1472</v>
      </c>
      <c r="C594" s="2" t="s">
        <v>1070</v>
      </c>
      <c r="D594" s="2" t="s">
        <v>1471</v>
      </c>
      <c r="E594" s="2"/>
      <c r="F594" s="2"/>
    </row>
    <row r="595" spans="1:6" s="3" customFormat="1" ht="29.1" customHeight="1" x14ac:dyDescent="0.25">
      <c r="A595" s="2" t="s">
        <v>1473</v>
      </c>
      <c r="B595" s="2" t="s">
        <v>1474</v>
      </c>
      <c r="C595" s="2" t="s">
        <v>1070</v>
      </c>
      <c r="D595" s="2" t="s">
        <v>1265</v>
      </c>
      <c r="E595" s="2"/>
      <c r="F595" s="2"/>
    </row>
    <row r="596" spans="1:6" s="3" customFormat="1" ht="29.1" customHeight="1" x14ac:dyDescent="0.25">
      <c r="A596" s="2" t="s">
        <v>1475</v>
      </c>
      <c r="B596" s="2" t="s">
        <v>1476</v>
      </c>
      <c r="C596" s="2" t="s">
        <v>1070</v>
      </c>
      <c r="D596" s="2" t="s">
        <v>1265</v>
      </c>
      <c r="E596" s="2"/>
      <c r="F596" s="2"/>
    </row>
    <row r="597" spans="1:6" s="3" customFormat="1" ht="29.1" customHeight="1" x14ac:dyDescent="0.25">
      <c r="A597" s="2" t="s">
        <v>1477</v>
      </c>
      <c r="B597" s="2" t="s">
        <v>1478</v>
      </c>
      <c r="C597" s="2" t="s">
        <v>1070</v>
      </c>
      <c r="D597" s="2" t="s">
        <v>1285</v>
      </c>
      <c r="E597" s="2"/>
      <c r="F597" s="2"/>
    </row>
    <row r="598" spans="1:6" s="3" customFormat="1" ht="29.1" customHeight="1" x14ac:dyDescent="0.25">
      <c r="A598" s="2" t="s">
        <v>1479</v>
      </c>
      <c r="B598" s="2" t="s">
        <v>1480</v>
      </c>
      <c r="C598" s="2" t="s">
        <v>1070</v>
      </c>
      <c r="D598" s="2" t="s">
        <v>1071</v>
      </c>
      <c r="E598" s="2"/>
      <c r="F598" s="2"/>
    </row>
    <row r="599" spans="1:6" s="3" customFormat="1" ht="29.1" customHeight="1" x14ac:dyDescent="0.25">
      <c r="A599" s="2" t="s">
        <v>1481</v>
      </c>
      <c r="B599" s="2" t="s">
        <v>1482</v>
      </c>
      <c r="C599" s="2" t="s">
        <v>1070</v>
      </c>
      <c r="D599" s="2" t="s">
        <v>1071</v>
      </c>
      <c r="E599" s="2"/>
      <c r="F599" s="2"/>
    </row>
    <row r="600" spans="1:6" s="3" customFormat="1" ht="29.1" customHeight="1" x14ac:dyDescent="0.25">
      <c r="A600" s="2" t="s">
        <v>1483</v>
      </c>
      <c r="B600" s="2" t="s">
        <v>1484</v>
      </c>
      <c r="C600" s="2" t="s">
        <v>1070</v>
      </c>
      <c r="D600" s="2" t="s">
        <v>1071</v>
      </c>
      <c r="E600" s="2"/>
      <c r="F600" s="2"/>
    </row>
    <row r="601" spans="1:6" s="3" customFormat="1" ht="29.1" customHeight="1" x14ac:dyDescent="0.25">
      <c r="A601" s="2" t="s">
        <v>1485</v>
      </c>
      <c r="B601" s="2" t="s">
        <v>1486</v>
      </c>
      <c r="C601" s="2" t="s">
        <v>1070</v>
      </c>
      <c r="D601" s="2" t="s">
        <v>1387</v>
      </c>
      <c r="E601" s="2"/>
      <c r="F601" s="2"/>
    </row>
    <row r="602" spans="1:6" s="3" customFormat="1" ht="29.1" customHeight="1" x14ac:dyDescent="0.25">
      <c r="A602" s="2" t="s">
        <v>1487</v>
      </c>
      <c r="B602" s="2" t="s">
        <v>1488</v>
      </c>
      <c r="C602" s="2" t="s">
        <v>1070</v>
      </c>
      <c r="D602" s="2" t="s">
        <v>1272</v>
      </c>
      <c r="E602" s="2"/>
      <c r="F602" s="2"/>
    </row>
    <row r="603" spans="1:6" s="3" customFormat="1" ht="29.1" customHeight="1" x14ac:dyDescent="0.25">
      <c r="A603" s="2" t="s">
        <v>1489</v>
      </c>
      <c r="B603" s="2" t="s">
        <v>1490</v>
      </c>
      <c r="C603" s="2" t="s">
        <v>1070</v>
      </c>
      <c r="D603" s="2" t="s">
        <v>813</v>
      </c>
      <c r="E603" s="2"/>
      <c r="F603" s="2"/>
    </row>
    <row r="604" spans="1:6" s="3" customFormat="1" ht="29.1" customHeight="1" x14ac:dyDescent="0.25">
      <c r="A604" s="2" t="s">
        <v>1491</v>
      </c>
      <c r="B604" s="2" t="s">
        <v>1492</v>
      </c>
      <c r="C604" s="2" t="s">
        <v>1070</v>
      </c>
      <c r="D604" s="2" t="s">
        <v>1071</v>
      </c>
      <c r="E604" s="2"/>
      <c r="F604" s="2"/>
    </row>
    <row r="605" spans="1:6" s="3" customFormat="1" ht="29.1" customHeight="1" x14ac:dyDescent="0.25">
      <c r="A605" s="2" t="s">
        <v>1493</v>
      </c>
      <c r="B605" s="2" t="s">
        <v>1494</v>
      </c>
      <c r="C605" s="2" t="s">
        <v>1070</v>
      </c>
      <c r="D605" s="2" t="s">
        <v>1265</v>
      </c>
      <c r="E605" s="2"/>
      <c r="F605" s="2"/>
    </row>
    <row r="606" spans="1:6" s="3" customFormat="1" ht="29.1" customHeight="1" x14ac:dyDescent="0.25">
      <c r="A606" s="2" t="s">
        <v>1495</v>
      </c>
      <c r="B606" s="2" t="s">
        <v>1496</v>
      </c>
      <c r="C606" s="2" t="s">
        <v>1070</v>
      </c>
      <c r="D606" s="2" t="s">
        <v>1071</v>
      </c>
      <c r="E606" s="2"/>
      <c r="F606" s="2"/>
    </row>
    <row r="607" spans="1:6" s="3" customFormat="1" ht="29.1" customHeight="1" x14ac:dyDescent="0.25">
      <c r="A607" s="2" t="s">
        <v>1497</v>
      </c>
      <c r="B607" s="2" t="s">
        <v>1499</v>
      </c>
      <c r="C607" s="2" t="s">
        <v>1070</v>
      </c>
      <c r="D607" s="2" t="s">
        <v>1498</v>
      </c>
      <c r="E607" s="2"/>
      <c r="F607" s="2"/>
    </row>
    <row r="608" spans="1:6" s="3" customFormat="1" ht="29.1" customHeight="1" x14ac:dyDescent="0.25">
      <c r="A608" s="2" t="s">
        <v>1500</v>
      </c>
      <c r="B608" s="2" t="s">
        <v>1501</v>
      </c>
      <c r="C608" s="2" t="s">
        <v>1070</v>
      </c>
      <c r="D608" s="2" t="s">
        <v>813</v>
      </c>
      <c r="E608" s="2"/>
      <c r="F608" s="2"/>
    </row>
    <row r="609" spans="1:6" s="3" customFormat="1" ht="29.1" customHeight="1" x14ac:dyDescent="0.25">
      <c r="A609" s="2" t="s">
        <v>1502</v>
      </c>
      <c r="B609" s="2" t="s">
        <v>1503</v>
      </c>
      <c r="C609" s="2" t="s">
        <v>1070</v>
      </c>
      <c r="D609" s="2" t="s">
        <v>1265</v>
      </c>
      <c r="E609" s="2"/>
      <c r="F609" s="2"/>
    </row>
    <row r="610" spans="1:6" s="3" customFormat="1" ht="29.1" customHeight="1" x14ac:dyDescent="0.25">
      <c r="A610" s="2" t="s">
        <v>1504</v>
      </c>
      <c r="B610" s="2" t="s">
        <v>1505</v>
      </c>
      <c r="C610" s="2" t="s">
        <v>1070</v>
      </c>
      <c r="D610" s="2" t="s">
        <v>1313</v>
      </c>
      <c r="E610" s="2"/>
      <c r="F610" s="2"/>
    </row>
    <row r="611" spans="1:6" s="3" customFormat="1" ht="29.1" customHeight="1" x14ac:dyDescent="0.25">
      <c r="A611" s="2" t="s">
        <v>1506</v>
      </c>
      <c r="B611" s="2" t="s">
        <v>1507</v>
      </c>
      <c r="C611" s="2" t="s">
        <v>1070</v>
      </c>
      <c r="D611" s="2" t="s">
        <v>1275</v>
      </c>
      <c r="E611" s="2"/>
      <c r="F611" s="2"/>
    </row>
    <row r="612" spans="1:6" s="3" customFormat="1" ht="29.1" customHeight="1" x14ac:dyDescent="0.25">
      <c r="A612" s="2" t="s">
        <v>1508</v>
      </c>
      <c r="B612" s="2" t="s">
        <v>1509</v>
      </c>
      <c r="C612" s="2" t="s">
        <v>1070</v>
      </c>
      <c r="D612" s="2" t="s">
        <v>1299</v>
      </c>
      <c r="E612" s="2"/>
      <c r="F612" s="2"/>
    </row>
    <row r="613" spans="1:6" s="3" customFormat="1" ht="29.1" customHeight="1" x14ac:dyDescent="0.25">
      <c r="A613" s="2" t="s">
        <v>1510</v>
      </c>
      <c r="B613" s="2" t="s">
        <v>1511</v>
      </c>
      <c r="C613" s="2" t="s">
        <v>1070</v>
      </c>
      <c r="D613" s="2" t="s">
        <v>1272</v>
      </c>
      <c r="E613" s="2"/>
      <c r="F613" s="2"/>
    </row>
    <row r="614" spans="1:6" s="3" customFormat="1" ht="29.1" customHeight="1" x14ac:dyDescent="0.25">
      <c r="A614" s="2" t="s">
        <v>1512</v>
      </c>
      <c r="B614" s="2" t="s">
        <v>1505</v>
      </c>
      <c r="C614" s="2" t="s">
        <v>1070</v>
      </c>
      <c r="D614" s="2" t="s">
        <v>1313</v>
      </c>
      <c r="E614" s="2"/>
      <c r="F614" s="2"/>
    </row>
    <row r="615" spans="1:6" s="3" customFormat="1" ht="29.1" customHeight="1" x14ac:dyDescent="0.25">
      <c r="A615" s="2" t="s">
        <v>1513</v>
      </c>
      <c r="B615" s="2" t="s">
        <v>1514</v>
      </c>
      <c r="C615" s="2" t="s">
        <v>1070</v>
      </c>
      <c r="D615" s="2" t="s">
        <v>1071</v>
      </c>
      <c r="E615" s="2"/>
      <c r="F615" s="2"/>
    </row>
    <row r="616" spans="1:6" s="3" customFormat="1" ht="29.1" customHeight="1" x14ac:dyDescent="0.25">
      <c r="A616" s="2" t="s">
        <v>1515</v>
      </c>
      <c r="B616" s="2" t="s">
        <v>1516</v>
      </c>
      <c r="C616" s="2" t="s">
        <v>1070</v>
      </c>
      <c r="D616" s="2" t="s">
        <v>1265</v>
      </c>
      <c r="E616" s="2"/>
      <c r="F616" s="2"/>
    </row>
    <row r="617" spans="1:6" s="3" customFormat="1" ht="29.1" customHeight="1" x14ac:dyDescent="0.25">
      <c r="A617" s="2" t="s">
        <v>1517</v>
      </c>
      <c r="B617" s="2" t="s">
        <v>1518</v>
      </c>
      <c r="C617" s="2" t="s">
        <v>1070</v>
      </c>
      <c r="D617" s="2" t="s">
        <v>1265</v>
      </c>
      <c r="E617" s="2"/>
      <c r="F617" s="2"/>
    </row>
    <row r="618" spans="1:6" s="3" customFormat="1" ht="29.1" customHeight="1" x14ac:dyDescent="0.25">
      <c r="A618" s="2" t="s">
        <v>1519</v>
      </c>
      <c r="B618" s="2" t="s">
        <v>1520</v>
      </c>
      <c r="C618" s="2" t="s">
        <v>1070</v>
      </c>
      <c r="D618" s="2" t="s">
        <v>1313</v>
      </c>
      <c r="E618" s="2"/>
      <c r="F618" s="2"/>
    </row>
    <row r="619" spans="1:6" s="3" customFormat="1" ht="29.1" customHeight="1" x14ac:dyDescent="0.25">
      <c r="A619" s="2" t="s">
        <v>1521</v>
      </c>
      <c r="B619" s="2" t="s">
        <v>1522</v>
      </c>
      <c r="C619" s="2" t="s">
        <v>1070</v>
      </c>
      <c r="D619" s="2" t="s">
        <v>1071</v>
      </c>
      <c r="E619" s="2"/>
      <c r="F619" s="2"/>
    </row>
    <row r="620" spans="1:6" s="3" customFormat="1" ht="29.1" customHeight="1" x14ac:dyDescent="0.25">
      <c r="A620" s="2" t="s">
        <v>1523</v>
      </c>
      <c r="B620" s="2" t="s">
        <v>1524</v>
      </c>
      <c r="C620" s="2" t="s">
        <v>1070</v>
      </c>
      <c r="D620" s="2" t="s">
        <v>1265</v>
      </c>
      <c r="E620" s="2"/>
      <c r="F620" s="2"/>
    </row>
    <row r="621" spans="1:6" s="3" customFormat="1" ht="29.1" customHeight="1" x14ac:dyDescent="0.25">
      <c r="A621" s="2" t="s">
        <v>1525</v>
      </c>
      <c r="B621" s="2" t="s">
        <v>1526</v>
      </c>
      <c r="C621" s="2" t="s">
        <v>1070</v>
      </c>
      <c r="D621" s="2" t="s">
        <v>1265</v>
      </c>
      <c r="E621" s="2"/>
      <c r="F621" s="2"/>
    </row>
    <row r="622" spans="1:6" s="3" customFormat="1" ht="29.1" customHeight="1" x14ac:dyDescent="0.25">
      <c r="A622" s="2" t="s">
        <v>1527</v>
      </c>
      <c r="B622" s="2" t="s">
        <v>1528</v>
      </c>
      <c r="C622" s="2" t="s">
        <v>1070</v>
      </c>
      <c r="D622" s="2" t="s">
        <v>1272</v>
      </c>
      <c r="E622" s="2"/>
      <c r="F622" s="2"/>
    </row>
    <row r="623" spans="1:6" s="3" customFormat="1" ht="29.1" customHeight="1" x14ac:dyDescent="0.25">
      <c r="A623" s="2" t="s">
        <v>1529</v>
      </c>
      <c r="B623" s="2" t="s">
        <v>1531</v>
      </c>
      <c r="C623" s="2" t="s">
        <v>1070</v>
      </c>
      <c r="D623" s="2" t="s">
        <v>1530</v>
      </c>
      <c r="E623" s="2"/>
      <c r="F623" s="2"/>
    </row>
    <row r="624" spans="1:6" s="3" customFormat="1" ht="29.1" customHeight="1" x14ac:dyDescent="0.25">
      <c r="A624" s="2" t="s">
        <v>1532</v>
      </c>
      <c r="B624" s="2" t="s">
        <v>1533</v>
      </c>
      <c r="C624" s="2" t="s">
        <v>1070</v>
      </c>
      <c r="D624" s="2" t="s">
        <v>1265</v>
      </c>
      <c r="E624" s="2"/>
      <c r="F624" s="2"/>
    </row>
    <row r="625" spans="1:6" s="3" customFormat="1" ht="29.1" customHeight="1" x14ac:dyDescent="0.25">
      <c r="A625" s="2" t="s">
        <v>1473</v>
      </c>
      <c r="B625" s="2" t="s">
        <v>1474</v>
      </c>
      <c r="C625" s="2" t="s">
        <v>1070</v>
      </c>
      <c r="D625" s="2" t="s">
        <v>1265</v>
      </c>
      <c r="E625" s="2"/>
      <c r="F625" s="2"/>
    </row>
    <row r="626" spans="1:6" s="3" customFormat="1" ht="29.1" customHeight="1" x14ac:dyDescent="0.25">
      <c r="A626" s="2" t="s">
        <v>1534</v>
      </c>
      <c r="B626" s="2" t="s">
        <v>1474</v>
      </c>
      <c r="C626" s="2" t="s">
        <v>1070</v>
      </c>
      <c r="D626" s="2" t="s">
        <v>1265</v>
      </c>
      <c r="E626" s="2"/>
      <c r="F626" s="2"/>
    </row>
    <row r="627" spans="1:6" s="3" customFormat="1" ht="29.1" customHeight="1" x14ac:dyDescent="0.25">
      <c r="A627" s="2" t="s">
        <v>1535</v>
      </c>
      <c r="B627" s="2" t="s">
        <v>1474</v>
      </c>
      <c r="C627" s="2" t="s">
        <v>1070</v>
      </c>
      <c r="D627" s="2" t="s">
        <v>1265</v>
      </c>
      <c r="E627" s="2"/>
      <c r="F627" s="2"/>
    </row>
    <row r="628" spans="1:6" s="3" customFormat="1" ht="29.1" customHeight="1" x14ac:dyDescent="0.25">
      <c r="A628" s="2" t="s">
        <v>1536</v>
      </c>
      <c r="B628" s="2" t="s">
        <v>1537</v>
      </c>
      <c r="C628" s="2" t="s">
        <v>1070</v>
      </c>
      <c r="D628" s="2" t="s">
        <v>1265</v>
      </c>
      <c r="E628" s="2"/>
      <c r="F628" s="2"/>
    </row>
    <row r="629" spans="1:6" s="3" customFormat="1" ht="29.1" customHeight="1" x14ac:dyDescent="0.25">
      <c r="A629" s="2" t="s">
        <v>1538</v>
      </c>
      <c r="B629" s="2" t="s">
        <v>1539</v>
      </c>
      <c r="C629" s="2" t="s">
        <v>124</v>
      </c>
      <c r="D629" s="2" t="s">
        <v>916</v>
      </c>
      <c r="E629" s="2" t="str">
        <f>"9781041189428"</f>
        <v>9781041189428</v>
      </c>
      <c r="F629" s="2" t="str">
        <f>"9781003708155"</f>
        <v>9781003708155</v>
      </c>
    </row>
    <row r="630" spans="1:6" s="3" customFormat="1" ht="29.1" customHeight="1" x14ac:dyDescent="0.25">
      <c r="A630" s="2" t="s">
        <v>1540</v>
      </c>
      <c r="B630" s="2" t="s">
        <v>1542</v>
      </c>
      <c r="C630" s="2" t="s">
        <v>124</v>
      </c>
      <c r="D630" s="2" t="s">
        <v>1541</v>
      </c>
      <c r="E630" s="2" t="str">
        <f>"9781041185468"</f>
        <v>9781041185468</v>
      </c>
      <c r="F630" s="2" t="str">
        <f>"9781003702962"</f>
        <v>9781003702962</v>
      </c>
    </row>
    <row r="631" spans="1:6" s="3" customFormat="1" ht="29.1" customHeight="1" x14ac:dyDescent="0.25">
      <c r="A631" s="2" t="s">
        <v>1543</v>
      </c>
      <c r="B631" s="2" t="s">
        <v>1545</v>
      </c>
      <c r="C631" s="2" t="s">
        <v>124</v>
      </c>
      <c r="D631" s="2" t="s">
        <v>1544</v>
      </c>
      <c r="E631" s="2" t="str">
        <f>"9789462989153"</f>
        <v>9789462989153</v>
      </c>
      <c r="F631" s="2" t="str">
        <f>"9781003690474"</f>
        <v>9781003690474</v>
      </c>
    </row>
    <row r="632" spans="1:6" s="3" customFormat="1" ht="29.1" customHeight="1" x14ac:dyDescent="0.25">
      <c r="A632" s="2" t="s">
        <v>1546</v>
      </c>
      <c r="B632" s="2" t="s">
        <v>1547</v>
      </c>
      <c r="C632" s="2" t="s">
        <v>124</v>
      </c>
      <c r="D632" s="2" t="s">
        <v>606</v>
      </c>
      <c r="E632" s="2" t="str">
        <f>"9781041187226"</f>
        <v>9781041187226</v>
      </c>
      <c r="F632" s="2" t="str">
        <f>"9781003705192"</f>
        <v>9781003705192</v>
      </c>
    </row>
    <row r="633" spans="1:6" s="3" customFormat="1" ht="29.1" customHeight="1" x14ac:dyDescent="0.25">
      <c r="A633" s="2" t="s">
        <v>1548</v>
      </c>
      <c r="B633" s="2" t="s">
        <v>1549</v>
      </c>
      <c r="C633" s="2" t="s">
        <v>124</v>
      </c>
      <c r="D633" s="2" t="s">
        <v>1228</v>
      </c>
      <c r="E633" s="2" t="str">
        <f>"9781041186281"</f>
        <v>9781041186281</v>
      </c>
      <c r="F633" s="2" t="str">
        <f>"9781003703921"</f>
        <v>9781003703921</v>
      </c>
    </row>
    <row r="634" spans="1:6" s="3" customFormat="1" ht="29.1" customHeight="1" x14ac:dyDescent="0.25">
      <c r="A634" s="2" t="s">
        <v>1550</v>
      </c>
      <c r="B634" s="2" t="s">
        <v>1551</v>
      </c>
      <c r="C634" s="2" t="s">
        <v>124</v>
      </c>
      <c r="D634" s="2" t="s">
        <v>509</v>
      </c>
      <c r="E634" s="2" t="str">
        <f>"9781041187929"</f>
        <v>9781041187929</v>
      </c>
      <c r="F634" s="2" t="str">
        <f>"9781003706212"</f>
        <v>9781003706212</v>
      </c>
    </row>
    <row r="635" spans="1:6" s="3" customFormat="1" ht="29.1" customHeight="1" x14ac:dyDescent="0.25">
      <c r="A635" s="2" t="s">
        <v>1552</v>
      </c>
      <c r="B635" s="2" t="s">
        <v>1553</v>
      </c>
      <c r="C635" s="2" t="s">
        <v>124</v>
      </c>
      <c r="D635" s="2" t="s">
        <v>1442</v>
      </c>
      <c r="E635" s="2" t="str">
        <f>"9789048559978"</f>
        <v>9789048559978</v>
      </c>
      <c r="F635" s="2" t="str">
        <f>"9781003699064"</f>
        <v>9781003699064</v>
      </c>
    </row>
    <row r="636" spans="1:6" s="3" customFormat="1" ht="29.1" customHeight="1" x14ac:dyDescent="0.25">
      <c r="A636" s="2" t="s">
        <v>1554</v>
      </c>
      <c r="B636" s="2" t="s">
        <v>1555</v>
      </c>
      <c r="C636" s="2" t="s">
        <v>124</v>
      </c>
      <c r="D636" s="2" t="s">
        <v>1198</v>
      </c>
      <c r="E636" s="2" t="str">
        <f>"9789048561254"</f>
        <v>9789048561254</v>
      </c>
      <c r="F636" s="2" t="str">
        <f>"9781003690528"</f>
        <v>9781003690528</v>
      </c>
    </row>
    <row r="637" spans="1:6" s="3" customFormat="1" ht="29.1" customHeight="1" x14ac:dyDescent="0.25">
      <c r="A637" s="2" t="s">
        <v>1556</v>
      </c>
      <c r="B637" s="2" t="s">
        <v>1558</v>
      </c>
      <c r="C637" s="2" t="s">
        <v>124</v>
      </c>
      <c r="D637" s="2" t="s">
        <v>1557</v>
      </c>
      <c r="E637" s="2" t="str">
        <f>"9781041182641"</f>
        <v>9781041182641</v>
      </c>
      <c r="F637" s="2" t="str">
        <f>"9781003699514"</f>
        <v>9781003699514</v>
      </c>
    </row>
    <row r="638" spans="1:6" s="3" customFormat="1" ht="29.1" customHeight="1" x14ac:dyDescent="0.25">
      <c r="A638" s="2" t="s">
        <v>1559</v>
      </c>
      <c r="B638" s="2" t="s">
        <v>1561</v>
      </c>
      <c r="C638" s="2" t="s">
        <v>124</v>
      </c>
      <c r="D638" s="2" t="s">
        <v>1560</v>
      </c>
      <c r="E638" s="2" t="str">
        <f>"9789463722322"</f>
        <v>9789463722322</v>
      </c>
      <c r="F638" s="2" t="str">
        <f>"9781003691754"</f>
        <v>9781003691754</v>
      </c>
    </row>
    <row r="639" spans="1:6" s="3" customFormat="1" ht="29.1" customHeight="1" x14ac:dyDescent="0.25">
      <c r="A639" s="2" t="s">
        <v>1562</v>
      </c>
      <c r="B639" s="2" t="s">
        <v>1563</v>
      </c>
      <c r="C639" s="2" t="s">
        <v>124</v>
      </c>
      <c r="D639" s="2" t="s">
        <v>49</v>
      </c>
      <c r="E639" s="2" t="str">
        <f>"9781041177609"</f>
        <v>9781041177609</v>
      </c>
      <c r="F639" s="2" t="str">
        <f>"9781003693260"</f>
        <v>9781003693260</v>
      </c>
    </row>
    <row r="640" spans="1:6" s="3" customFormat="1" ht="29.1" customHeight="1" x14ac:dyDescent="0.25">
      <c r="A640" s="2" t="s">
        <v>1564</v>
      </c>
      <c r="B640" s="2" t="s">
        <v>1566</v>
      </c>
      <c r="C640" s="2" t="s">
        <v>124</v>
      </c>
      <c r="D640" s="2" t="s">
        <v>1565</v>
      </c>
      <c r="E640" s="2" t="str">
        <f>"9781041186731"</f>
        <v>9781041186731</v>
      </c>
      <c r="F640" s="2" t="str">
        <f>"9781003704553"</f>
        <v>9781003704553</v>
      </c>
    </row>
    <row r="641" spans="1:6" s="3" customFormat="1" ht="29.1" customHeight="1" x14ac:dyDescent="0.25">
      <c r="A641" s="2" t="s">
        <v>1567</v>
      </c>
      <c r="B641" s="2" t="s">
        <v>1568</v>
      </c>
      <c r="C641" s="2" t="s">
        <v>124</v>
      </c>
      <c r="D641" s="2" t="s">
        <v>186</v>
      </c>
      <c r="E641" s="2" t="str">
        <f>"9789462983519"</f>
        <v>9789462983519</v>
      </c>
      <c r="F641" s="2" t="str">
        <f>"9781003691372"</f>
        <v>9781003691372</v>
      </c>
    </row>
    <row r="642" spans="1:6" s="3" customFormat="1" ht="29.1" customHeight="1" x14ac:dyDescent="0.25">
      <c r="A642" s="2" t="s">
        <v>1569</v>
      </c>
      <c r="B642" s="2" t="s">
        <v>1570</v>
      </c>
      <c r="C642" s="2" t="s">
        <v>124</v>
      </c>
      <c r="D642" s="2" t="s">
        <v>509</v>
      </c>
      <c r="E642" s="2" t="str">
        <f>"9781041183952"</f>
        <v>9781041183952</v>
      </c>
      <c r="F642" s="2" t="str">
        <f>"9781003701132"</f>
        <v>9781003701132</v>
      </c>
    </row>
    <row r="643" spans="1:6" s="3" customFormat="1" ht="29.1" customHeight="1" x14ac:dyDescent="0.25">
      <c r="A643" s="2" t="s">
        <v>1571</v>
      </c>
      <c r="B643" s="2" t="s">
        <v>1572</v>
      </c>
      <c r="C643" s="2" t="s">
        <v>124</v>
      </c>
      <c r="D643" s="2" t="s">
        <v>69</v>
      </c>
      <c r="E643" s="2" t="str">
        <f>"9789463725576"</f>
        <v>9789463725576</v>
      </c>
      <c r="F643" s="2" t="str">
        <f>"9781003703624"</f>
        <v>9781003703624</v>
      </c>
    </row>
    <row r="644" spans="1:6" s="3" customFormat="1" ht="29.1" customHeight="1" x14ac:dyDescent="0.25">
      <c r="A644" s="2" t="s">
        <v>1573</v>
      </c>
      <c r="B644" s="2" t="s">
        <v>1574</v>
      </c>
      <c r="C644" s="2" t="s">
        <v>124</v>
      </c>
      <c r="D644" s="2" t="s">
        <v>1198</v>
      </c>
      <c r="E644" s="2" t="str">
        <f>"9789463728584"</f>
        <v>9789463728584</v>
      </c>
      <c r="F644" s="2" t="str">
        <f>"9781003691341"</f>
        <v>9781003691341</v>
      </c>
    </row>
    <row r="645" spans="1:6" s="3" customFormat="1" ht="29.1" customHeight="1" x14ac:dyDescent="0.25">
      <c r="A645" s="2" t="s">
        <v>1575</v>
      </c>
      <c r="B645" s="2" t="s">
        <v>1576</v>
      </c>
      <c r="C645" s="2" t="s">
        <v>124</v>
      </c>
      <c r="D645" s="2" t="s">
        <v>1198</v>
      </c>
      <c r="E645" s="2" t="str">
        <f>"9781041179436"</f>
        <v>9781041179436</v>
      </c>
      <c r="F645" s="2" t="str">
        <f>"9781003695653"</f>
        <v>9781003695653</v>
      </c>
    </row>
    <row r="646" spans="1:6" s="3" customFormat="1" ht="29.1" customHeight="1" x14ac:dyDescent="0.25">
      <c r="A646" s="2" t="s">
        <v>1577</v>
      </c>
      <c r="B646" s="2" t="s">
        <v>1579</v>
      </c>
      <c r="C646" s="2" t="s">
        <v>124</v>
      </c>
      <c r="D646" s="2" t="s">
        <v>1578</v>
      </c>
      <c r="E646" s="2" t="str">
        <f>"9781041189930"</f>
        <v>9781041189930</v>
      </c>
      <c r="F646" s="2" t="str">
        <f>"9781003708704"</f>
        <v>9781003708704</v>
      </c>
    </row>
    <row r="647" spans="1:6" s="3" customFormat="1" ht="29.1" customHeight="1" x14ac:dyDescent="0.25">
      <c r="A647" s="2" t="s">
        <v>1580</v>
      </c>
      <c r="B647" s="2" t="s">
        <v>1581</v>
      </c>
      <c r="C647" s="2" t="s">
        <v>124</v>
      </c>
      <c r="D647" s="2" t="s">
        <v>879</v>
      </c>
      <c r="E647" s="2" t="str">
        <f>"9781041181101"</f>
        <v>9781041181101</v>
      </c>
      <c r="F647" s="2" t="str">
        <f>"9781003697602"</f>
        <v>9781003697602</v>
      </c>
    </row>
    <row r="648" spans="1:6" s="3" customFormat="1" ht="29.1" customHeight="1" x14ac:dyDescent="0.25">
      <c r="A648" s="2" t="s">
        <v>1582</v>
      </c>
      <c r="B648" s="2" t="s">
        <v>1583</v>
      </c>
      <c r="C648" s="2" t="s">
        <v>124</v>
      </c>
      <c r="D648" s="2" t="s">
        <v>49</v>
      </c>
      <c r="E648" s="2" t="str">
        <f>"9781041189947"</f>
        <v>9781041189947</v>
      </c>
      <c r="F648" s="2" t="str">
        <f>"9781003708711"</f>
        <v>9781003708711</v>
      </c>
    </row>
    <row r="649" spans="1:6" s="3" customFormat="1" ht="29.1" customHeight="1" x14ac:dyDescent="0.25">
      <c r="A649" s="2" t="s">
        <v>1584</v>
      </c>
      <c r="B649" s="2" t="s">
        <v>1586</v>
      </c>
      <c r="C649" s="2" t="s">
        <v>124</v>
      </c>
      <c r="D649" s="2" t="s">
        <v>1585</v>
      </c>
      <c r="E649" s="2" t="str">
        <f>"9781041175452"</f>
        <v>9781041175452</v>
      </c>
      <c r="F649" s="2" t="str">
        <f>"9781003690672"</f>
        <v>9781003690672</v>
      </c>
    </row>
    <row r="650" spans="1:6" s="3" customFormat="1" ht="29.1" customHeight="1" x14ac:dyDescent="0.25">
      <c r="A650" s="2" t="s">
        <v>1587</v>
      </c>
      <c r="B650" s="2" t="s">
        <v>1589</v>
      </c>
      <c r="C650" s="2" t="s">
        <v>124</v>
      </c>
      <c r="D650" s="2" t="s">
        <v>1588</v>
      </c>
      <c r="E650" s="2" t="str">
        <f>"9789048570522"</f>
        <v>9789048570522</v>
      </c>
      <c r="F650" s="2" t="str">
        <f>"9781003705321"</f>
        <v>9781003705321</v>
      </c>
    </row>
    <row r="651" spans="1:6" s="3" customFormat="1" ht="29.1" customHeight="1" x14ac:dyDescent="0.25">
      <c r="A651" s="2" t="s">
        <v>1590</v>
      </c>
      <c r="B651" s="2" t="s">
        <v>1592</v>
      </c>
      <c r="C651" s="2" t="s">
        <v>124</v>
      </c>
      <c r="D651" s="2" t="s">
        <v>1591</v>
      </c>
      <c r="E651" s="2" t="str">
        <f>"9789463726832"</f>
        <v>9789463726832</v>
      </c>
      <c r="F651" s="2" t="str">
        <f>"9781003709213"</f>
        <v>9781003709213</v>
      </c>
    </row>
    <row r="652" spans="1:6" s="3" customFormat="1" ht="29.1" customHeight="1" x14ac:dyDescent="0.25">
      <c r="A652" s="2" t="s">
        <v>1593</v>
      </c>
      <c r="B652" s="2" t="s">
        <v>1594</v>
      </c>
      <c r="C652" s="2" t="s">
        <v>124</v>
      </c>
      <c r="D652" s="2" t="s">
        <v>1449</v>
      </c>
      <c r="E652" s="2" t="str">
        <f>"9781041177203"</f>
        <v>9781041177203</v>
      </c>
      <c r="F652" s="2" t="str">
        <f>"9781003692805"</f>
        <v>9781003692805</v>
      </c>
    </row>
    <row r="653" spans="1:6" s="3" customFormat="1" ht="29.1" customHeight="1" x14ac:dyDescent="0.25">
      <c r="A653" s="2" t="s">
        <v>1595</v>
      </c>
      <c r="B653" s="2" t="s">
        <v>1596</v>
      </c>
      <c r="C653" s="2" t="s">
        <v>124</v>
      </c>
      <c r="D653" s="2" t="s">
        <v>69</v>
      </c>
      <c r="E653" s="2" t="str">
        <f>"9781041176961"</f>
        <v>9781041176961</v>
      </c>
      <c r="F653" s="2" t="str">
        <f>"9781003692546"</f>
        <v>9781003692546</v>
      </c>
    </row>
    <row r="654" spans="1:6" s="3" customFormat="1" ht="29.1" customHeight="1" x14ac:dyDescent="0.25">
      <c r="A654" s="2" t="s">
        <v>1597</v>
      </c>
      <c r="B654" s="2" t="s">
        <v>1599</v>
      </c>
      <c r="C654" s="2" t="s">
        <v>124</v>
      </c>
      <c r="D654" s="2" t="s">
        <v>1598</v>
      </c>
      <c r="E654" s="2" t="str">
        <f>"9781041183228"</f>
        <v>9781041183228</v>
      </c>
      <c r="F654" s="2" t="str">
        <f>"9781003700227"</f>
        <v>9781003700227</v>
      </c>
    </row>
    <row r="655" spans="1:6" s="3" customFormat="1" ht="29.1" customHeight="1" x14ac:dyDescent="0.25">
      <c r="A655" s="2" t="s">
        <v>1600</v>
      </c>
      <c r="B655" s="2" t="s">
        <v>1601</v>
      </c>
      <c r="C655" s="2" t="s">
        <v>124</v>
      </c>
      <c r="D655" s="2" t="s">
        <v>107</v>
      </c>
      <c r="E655" s="2" t="str">
        <f>"9789048559855"</f>
        <v>9789048559855</v>
      </c>
      <c r="F655" s="2" t="str">
        <f>"9781003702993"</f>
        <v>9781003702993</v>
      </c>
    </row>
    <row r="656" spans="1:6" s="3" customFormat="1" ht="29.1" customHeight="1" x14ac:dyDescent="0.25">
      <c r="A656" s="2" t="s">
        <v>899</v>
      </c>
      <c r="B656" s="2" t="s">
        <v>1602</v>
      </c>
      <c r="C656" s="2" t="s">
        <v>124</v>
      </c>
      <c r="D656" s="2" t="s">
        <v>334</v>
      </c>
      <c r="E656" s="2" t="str">
        <f>"9781041186977"</f>
        <v>9781041186977</v>
      </c>
      <c r="F656" s="2" t="str">
        <f>"9781003704829"</f>
        <v>9781003704829</v>
      </c>
    </row>
    <row r="657" spans="1:6" s="3" customFormat="1" ht="29.1" customHeight="1" x14ac:dyDescent="0.25">
      <c r="A657" s="2" t="s">
        <v>1603</v>
      </c>
      <c r="B657" s="2" t="s">
        <v>1604</v>
      </c>
      <c r="C657" s="2" t="s">
        <v>124</v>
      </c>
      <c r="D657" s="2" t="s">
        <v>647</v>
      </c>
      <c r="E657" s="2" t="str">
        <f>"9789463720595"</f>
        <v>9789463720595</v>
      </c>
      <c r="F657" s="2" t="str">
        <f>"9781003697909"</f>
        <v>9781003697909</v>
      </c>
    </row>
    <row r="658" spans="1:6" s="3" customFormat="1" ht="29.1" customHeight="1" x14ac:dyDescent="0.25">
      <c r="A658" s="2" t="s">
        <v>1605</v>
      </c>
      <c r="B658" s="2" t="s">
        <v>1606</v>
      </c>
      <c r="C658" s="2" t="s">
        <v>124</v>
      </c>
      <c r="D658" s="2" t="s">
        <v>647</v>
      </c>
      <c r="E658" s="2" t="str">
        <f>"9789463726962"</f>
        <v>9789463726962</v>
      </c>
      <c r="F658" s="2" t="str">
        <f>"9781003701941"</f>
        <v>9781003701941</v>
      </c>
    </row>
    <row r="659" spans="1:6" s="3" customFormat="1" ht="29.1" customHeight="1" x14ac:dyDescent="0.25">
      <c r="A659" s="2" t="s">
        <v>1607</v>
      </c>
      <c r="B659" s="2" t="s">
        <v>1608</v>
      </c>
      <c r="C659" s="2" t="s">
        <v>124</v>
      </c>
      <c r="D659" s="2" t="s">
        <v>727</v>
      </c>
      <c r="E659" s="2" t="str">
        <f>"9781041176367"</f>
        <v>9781041176367</v>
      </c>
      <c r="F659" s="2" t="str">
        <f>"9781003691853"</f>
        <v>9781003691853</v>
      </c>
    </row>
    <row r="660" spans="1:6" s="3" customFormat="1" ht="29.1" customHeight="1" x14ac:dyDescent="0.25">
      <c r="A660" s="2" t="s">
        <v>1609</v>
      </c>
      <c r="B660" s="2" t="s">
        <v>1611</v>
      </c>
      <c r="C660" s="2" t="s">
        <v>124</v>
      </c>
      <c r="D660" s="2" t="s">
        <v>1610</v>
      </c>
      <c r="E660" s="2" t="str">
        <f>"9789463722902"</f>
        <v>9789463722902</v>
      </c>
      <c r="F660" s="2" t="str">
        <f>"9781003693697"</f>
        <v>9781003693697</v>
      </c>
    </row>
    <row r="661" spans="1:6" s="3" customFormat="1" ht="29.1" customHeight="1" x14ac:dyDescent="0.25">
      <c r="A661" s="2" t="s">
        <v>1612</v>
      </c>
      <c r="B661" s="2" t="s">
        <v>1613</v>
      </c>
      <c r="C661" s="2" t="s">
        <v>124</v>
      </c>
      <c r="D661" s="2" t="s">
        <v>196</v>
      </c>
      <c r="E661" s="2" t="str">
        <f>"9781041182177"</f>
        <v>9781041182177</v>
      </c>
      <c r="F661" s="2" t="str">
        <f>"9781003698944"</f>
        <v>9781003698944</v>
      </c>
    </row>
    <row r="662" spans="1:6" s="3" customFormat="1" ht="29.1" customHeight="1" x14ac:dyDescent="0.25">
      <c r="A662" s="2" t="s">
        <v>1614</v>
      </c>
      <c r="B662" s="2" t="s">
        <v>1615</v>
      </c>
      <c r="C662" s="2" t="s">
        <v>124</v>
      </c>
      <c r="D662" s="2" t="s">
        <v>906</v>
      </c>
      <c r="E662" s="2" t="str">
        <f>"9781041181781"</f>
        <v>9781041181781</v>
      </c>
      <c r="F662" s="2" t="str">
        <f>"9781003698494"</f>
        <v>9781003698494</v>
      </c>
    </row>
    <row r="663" spans="1:6" s="3" customFormat="1" ht="29.1" customHeight="1" x14ac:dyDescent="0.25">
      <c r="A663" s="2" t="s">
        <v>1616</v>
      </c>
      <c r="B663" s="2" t="s">
        <v>1618</v>
      </c>
      <c r="C663" s="2" t="s">
        <v>124</v>
      </c>
      <c r="D663" s="2" t="s">
        <v>1617</v>
      </c>
      <c r="E663" s="2" t="str">
        <f>"9789048559091"</f>
        <v>9789048559091</v>
      </c>
      <c r="F663" s="2" t="str">
        <f>"9781003701378"</f>
        <v>9781003701378</v>
      </c>
    </row>
    <row r="664" spans="1:6" s="3" customFormat="1" ht="29.1" customHeight="1" x14ac:dyDescent="0.25">
      <c r="A664" s="2" t="s">
        <v>1619</v>
      </c>
      <c r="B664" s="2" t="s">
        <v>1620</v>
      </c>
      <c r="C664" s="2" t="s">
        <v>124</v>
      </c>
      <c r="D664" s="2" t="s">
        <v>553</v>
      </c>
      <c r="E664" s="2" t="str">
        <f>"9781041177111"</f>
        <v>9781041177111</v>
      </c>
      <c r="F664" s="2" t="str">
        <f>"9781003692713"</f>
        <v>9781003692713</v>
      </c>
    </row>
    <row r="665" spans="1:6" s="3" customFormat="1" ht="29.1" customHeight="1" x14ac:dyDescent="0.25">
      <c r="A665" s="2" t="s">
        <v>1621</v>
      </c>
      <c r="B665" s="2" t="s">
        <v>1622</v>
      </c>
      <c r="C665" s="2" t="s">
        <v>124</v>
      </c>
      <c r="D665" s="2" t="s">
        <v>717</v>
      </c>
      <c r="E665" s="2" t="str">
        <f>"9781041178149"</f>
        <v>9781041178149</v>
      </c>
      <c r="F665" s="2" t="str">
        <f>"9781003693970"</f>
        <v>9781003693970</v>
      </c>
    </row>
    <row r="666" spans="1:6" s="3" customFormat="1" ht="29.1" customHeight="1" x14ac:dyDescent="0.25">
      <c r="A666" s="2" t="s">
        <v>1623</v>
      </c>
      <c r="B666" s="2" t="s">
        <v>1625</v>
      </c>
      <c r="C666" s="2" t="s">
        <v>124</v>
      </c>
      <c r="D666" s="2" t="s">
        <v>1624</v>
      </c>
      <c r="E666" s="2" t="str">
        <f>"9789048562633"</f>
        <v>9789048562633</v>
      </c>
      <c r="F666" s="2" t="str">
        <f>"9781003692041"</f>
        <v>9781003692041</v>
      </c>
    </row>
    <row r="667" spans="1:6" s="3" customFormat="1" ht="29.1" customHeight="1" x14ac:dyDescent="0.25">
      <c r="A667" s="2" t="s">
        <v>1626</v>
      </c>
      <c r="B667" s="2" t="s">
        <v>1628</v>
      </c>
      <c r="C667" s="2" t="s">
        <v>124</v>
      </c>
      <c r="D667" s="2" t="s">
        <v>1627</v>
      </c>
      <c r="E667" s="2" t="str">
        <f>"9781041178750"</f>
        <v>9781041178750</v>
      </c>
      <c r="F667" s="2" t="str">
        <f>"9781003694786"</f>
        <v>9781003694786</v>
      </c>
    </row>
    <row r="668" spans="1:6" s="3" customFormat="1" ht="29.1" customHeight="1" x14ac:dyDescent="0.25">
      <c r="A668" s="2" t="s">
        <v>1629</v>
      </c>
      <c r="B668" s="2" t="s">
        <v>1631</v>
      </c>
      <c r="C668" s="2" t="s">
        <v>124</v>
      </c>
      <c r="D668" s="2" t="s">
        <v>1630</v>
      </c>
      <c r="E668" s="2" t="str">
        <f>"9781041189381"</f>
        <v>9781041189381</v>
      </c>
      <c r="F668" s="2" t="str">
        <f>"9781003708117"</f>
        <v>9781003708117</v>
      </c>
    </row>
    <row r="669" spans="1:6" s="3" customFormat="1" ht="29.1" customHeight="1" x14ac:dyDescent="0.25">
      <c r="A669" s="2" t="s">
        <v>1632</v>
      </c>
      <c r="B669" s="2" t="s">
        <v>1633</v>
      </c>
      <c r="C669" s="2" t="s">
        <v>124</v>
      </c>
      <c r="D669" s="2" t="s">
        <v>1127</v>
      </c>
      <c r="E669" s="2" t="str">
        <f>"9781041185604"</f>
        <v>9781041185604</v>
      </c>
      <c r="F669" s="2" t="str">
        <f>"9781003703129"</f>
        <v>9781003703129</v>
      </c>
    </row>
    <row r="670" spans="1:6" s="3" customFormat="1" ht="29.1" customHeight="1" x14ac:dyDescent="0.25">
      <c r="A670" s="2" t="s">
        <v>1634</v>
      </c>
      <c r="B670" s="2" t="s">
        <v>1635</v>
      </c>
      <c r="C670" s="2" t="s">
        <v>124</v>
      </c>
      <c r="D670" s="2" t="s">
        <v>871</v>
      </c>
      <c r="E670" s="2" t="str">
        <f>"9781041177173"</f>
        <v>9781041177173</v>
      </c>
      <c r="F670" s="2" t="str">
        <f>"9781003692775"</f>
        <v>9781003692775</v>
      </c>
    </row>
    <row r="671" spans="1:6" s="3" customFormat="1" ht="29.1" customHeight="1" x14ac:dyDescent="0.25">
      <c r="A671" s="2" t="s">
        <v>1636</v>
      </c>
      <c r="B671" s="2" t="s">
        <v>1638</v>
      </c>
      <c r="C671" s="2" t="s">
        <v>124</v>
      </c>
      <c r="D671" s="2" t="s">
        <v>1637</v>
      </c>
      <c r="E671" s="2" t="str">
        <f>"9789048564415"</f>
        <v>9789048564415</v>
      </c>
      <c r="F671" s="2" t="str">
        <f>"9781003700180"</f>
        <v>9781003700180</v>
      </c>
    </row>
    <row r="672" spans="1:6" s="3" customFormat="1" ht="29.1" customHeight="1" x14ac:dyDescent="0.25">
      <c r="A672" s="2" t="s">
        <v>1639</v>
      </c>
      <c r="B672" s="2" t="s">
        <v>1640</v>
      </c>
      <c r="C672" s="2" t="s">
        <v>124</v>
      </c>
      <c r="D672" s="2" t="s">
        <v>202</v>
      </c>
      <c r="E672" s="2" t="str">
        <f>"9789089643179"</f>
        <v>9789089643179</v>
      </c>
      <c r="F672" s="2" t="str">
        <f>"9781003704515"</f>
        <v>9781003704515</v>
      </c>
    </row>
    <row r="673" spans="1:6" s="3" customFormat="1" ht="29.1" customHeight="1" x14ac:dyDescent="0.25">
      <c r="A673" s="2" t="s">
        <v>1641</v>
      </c>
      <c r="B673" s="2" t="s">
        <v>1642</v>
      </c>
      <c r="C673" s="2" t="s">
        <v>124</v>
      </c>
      <c r="D673" s="2" t="s">
        <v>528</v>
      </c>
      <c r="E673" s="2" t="str">
        <f>"9781041186168"</f>
        <v>9781041186168</v>
      </c>
      <c r="F673" s="2" t="str">
        <f>"9781003703792"</f>
        <v>9781003703792</v>
      </c>
    </row>
    <row r="674" spans="1:6" s="3" customFormat="1" ht="29.1" customHeight="1" x14ac:dyDescent="0.25">
      <c r="A674" s="2" t="s">
        <v>1643</v>
      </c>
      <c r="B674" s="2" t="s">
        <v>1644</v>
      </c>
      <c r="C674" s="2" t="s">
        <v>124</v>
      </c>
      <c r="D674" s="2" t="s">
        <v>1402</v>
      </c>
      <c r="E674" s="2" t="str">
        <f>"9781041182092"</f>
        <v>9781041182092</v>
      </c>
      <c r="F674" s="2" t="str">
        <f>"9781003698852"</f>
        <v>9781003698852</v>
      </c>
    </row>
    <row r="675" spans="1:6" s="3" customFormat="1" ht="29.1" customHeight="1" x14ac:dyDescent="0.25">
      <c r="A675" s="2" t="s">
        <v>1645</v>
      </c>
      <c r="B675" s="2" t="s">
        <v>1646</v>
      </c>
      <c r="C675" s="2" t="s">
        <v>124</v>
      </c>
      <c r="D675" s="2" t="s">
        <v>871</v>
      </c>
      <c r="E675" s="2" t="str">
        <f>"9781041175759"</f>
        <v>9781041175759</v>
      </c>
      <c r="F675" s="2" t="str">
        <f>"9781003691068"</f>
        <v>9781003691068</v>
      </c>
    </row>
    <row r="676" spans="1:6" s="3" customFormat="1" ht="29.1" customHeight="1" x14ac:dyDescent="0.25">
      <c r="A676" s="2" t="s">
        <v>1647</v>
      </c>
      <c r="B676" s="2" t="s">
        <v>1649</v>
      </c>
      <c r="C676" s="2" t="s">
        <v>124</v>
      </c>
      <c r="D676" s="2" t="s">
        <v>1648</v>
      </c>
      <c r="E676" s="2" t="str">
        <f>"9789463729000"</f>
        <v>9789463729000</v>
      </c>
      <c r="F676" s="2" t="str">
        <f>"9781003703341"</f>
        <v>9781003703341</v>
      </c>
    </row>
    <row r="677" spans="1:6" s="3" customFormat="1" ht="29.1" customHeight="1" x14ac:dyDescent="0.25">
      <c r="A677" s="2" t="s">
        <v>1650</v>
      </c>
      <c r="B677" s="2" t="s">
        <v>1652</v>
      </c>
      <c r="C677" s="2" t="s">
        <v>124</v>
      </c>
      <c r="D677" s="2" t="s">
        <v>1651</v>
      </c>
      <c r="E677" s="2" t="str">
        <f>"9781041178033"</f>
        <v>9781041178033</v>
      </c>
      <c r="F677" s="2" t="str">
        <f>"9781003693857"</f>
        <v>9781003693857</v>
      </c>
    </row>
    <row r="678" spans="1:6" s="3" customFormat="1" ht="29.1" customHeight="1" x14ac:dyDescent="0.25">
      <c r="A678" s="2" t="s">
        <v>1653</v>
      </c>
      <c r="B678" s="2" t="s">
        <v>1655</v>
      </c>
      <c r="C678" s="2" t="s">
        <v>124</v>
      </c>
      <c r="D678" s="2" t="s">
        <v>1654</v>
      </c>
      <c r="E678" s="2" t="str">
        <f>"9789463723879"</f>
        <v>9789463723879</v>
      </c>
      <c r="F678" s="2" t="str">
        <f>"9781003708193"</f>
        <v>9781003708193</v>
      </c>
    </row>
    <row r="679" spans="1:6" s="3" customFormat="1" ht="29.1" customHeight="1" x14ac:dyDescent="0.25">
      <c r="A679" s="2" t="s">
        <v>1656</v>
      </c>
      <c r="B679" s="2" t="s">
        <v>1657</v>
      </c>
      <c r="C679" s="2" t="s">
        <v>124</v>
      </c>
      <c r="D679" s="2" t="s">
        <v>743</v>
      </c>
      <c r="E679" s="2" t="str">
        <f>"9781041188797"</f>
        <v>9781041188797</v>
      </c>
      <c r="F679" s="2" t="str">
        <f>"9781003707356"</f>
        <v>9781003707356</v>
      </c>
    </row>
    <row r="680" spans="1:6" s="3" customFormat="1" ht="29.1" customHeight="1" x14ac:dyDescent="0.25">
      <c r="A680" s="2" t="s">
        <v>1658</v>
      </c>
      <c r="B680" s="2" t="s">
        <v>1659</v>
      </c>
      <c r="C680" s="2" t="s">
        <v>124</v>
      </c>
      <c r="D680" s="2" t="s">
        <v>1449</v>
      </c>
      <c r="E680" s="2" t="str">
        <f>"9789048561995"</f>
        <v>9789048561995</v>
      </c>
      <c r="F680" s="2" t="str">
        <f>"9781003697947"</f>
        <v>9781003697947</v>
      </c>
    </row>
    <row r="681" spans="1:6" s="3" customFormat="1" ht="29.1" customHeight="1" x14ac:dyDescent="0.25">
      <c r="A681" s="2" t="s">
        <v>1660</v>
      </c>
      <c r="B681" s="2" t="s">
        <v>1661</v>
      </c>
      <c r="C681" s="2" t="s">
        <v>124</v>
      </c>
      <c r="D681" s="2" t="s">
        <v>86</v>
      </c>
      <c r="E681" s="2" t="str">
        <f>"9781041182863"</f>
        <v>9781041182863</v>
      </c>
      <c r="F681" s="2" t="str">
        <f>"9781003699781"</f>
        <v>9781003699781</v>
      </c>
    </row>
    <row r="682" spans="1:6" s="3" customFormat="1" ht="29.1" customHeight="1" x14ac:dyDescent="0.25">
      <c r="A682" s="2" t="s">
        <v>1662</v>
      </c>
      <c r="B682" s="2" t="s">
        <v>1664</v>
      </c>
      <c r="C682" s="2" t="s">
        <v>124</v>
      </c>
      <c r="D682" s="2" t="s">
        <v>1663</v>
      </c>
      <c r="E682" s="2" t="str">
        <f>"9789463722285"</f>
        <v>9789463722285</v>
      </c>
      <c r="F682" s="2" t="str">
        <f>"9781003691303"</f>
        <v>9781003691303</v>
      </c>
    </row>
    <row r="683" spans="1:6" s="3" customFormat="1" ht="29.1" customHeight="1" x14ac:dyDescent="0.25">
      <c r="A683" s="2" t="s">
        <v>1665</v>
      </c>
      <c r="B683" s="2" t="s">
        <v>1667</v>
      </c>
      <c r="C683" s="2" t="s">
        <v>124</v>
      </c>
      <c r="D683" s="2" t="s">
        <v>1666</v>
      </c>
      <c r="E683" s="2" t="str">
        <f>"9781041176084"</f>
        <v>9781041176084</v>
      </c>
      <c r="F683" s="2" t="str">
        <f>"9781003691518"</f>
        <v>9781003691518</v>
      </c>
    </row>
    <row r="684" spans="1:6" s="3" customFormat="1" ht="29.1" customHeight="1" x14ac:dyDescent="0.25">
      <c r="A684" s="2" t="s">
        <v>1668</v>
      </c>
      <c r="B684" s="2" t="s">
        <v>1670</v>
      </c>
      <c r="C684" s="2" t="s">
        <v>124</v>
      </c>
      <c r="D684" s="2" t="s">
        <v>1669</v>
      </c>
      <c r="E684" s="2" t="str">
        <f>"9781041177883"</f>
        <v>9781041177883</v>
      </c>
      <c r="F684" s="2" t="str">
        <f>"9781003693628"</f>
        <v>9781003693628</v>
      </c>
    </row>
    <row r="685" spans="1:6" s="3" customFormat="1" ht="29.1" customHeight="1" x14ac:dyDescent="0.25">
      <c r="A685" s="2" t="s">
        <v>1671</v>
      </c>
      <c r="B685" s="2" t="s">
        <v>1672</v>
      </c>
      <c r="C685" s="2" t="s">
        <v>124</v>
      </c>
      <c r="D685" s="2" t="s">
        <v>49</v>
      </c>
      <c r="E685" s="2" t="str">
        <f>"9781041190097"</f>
        <v>9781041190097</v>
      </c>
      <c r="F685" s="2" t="str">
        <f>"9781003708902"</f>
        <v>9781003708902</v>
      </c>
    </row>
    <row r="686" spans="1:6" s="3" customFormat="1" ht="29.1" customHeight="1" x14ac:dyDescent="0.25">
      <c r="A686" s="2" t="s">
        <v>1673</v>
      </c>
      <c r="B686" s="2" t="s">
        <v>1674</v>
      </c>
      <c r="C686" s="2" t="s">
        <v>124</v>
      </c>
      <c r="D686" s="2" t="s">
        <v>1198</v>
      </c>
      <c r="E686" s="2" t="str">
        <f>"9781041185819"</f>
        <v>9781041185819</v>
      </c>
      <c r="F686" s="2" t="str">
        <f>"9781003703365"</f>
        <v>9781003703365</v>
      </c>
    </row>
    <row r="687" spans="1:6" s="3" customFormat="1" ht="29.1" customHeight="1" x14ac:dyDescent="0.25">
      <c r="A687" s="2" t="s">
        <v>1675</v>
      </c>
      <c r="B687" s="2" t="s">
        <v>1677</v>
      </c>
      <c r="C687" s="2" t="s">
        <v>124</v>
      </c>
      <c r="D687" s="2" t="s">
        <v>1676</v>
      </c>
      <c r="E687" s="2" t="str">
        <f>"9781041179498"</f>
        <v>9781041179498</v>
      </c>
      <c r="F687" s="2" t="str">
        <f>"9781003695745"</f>
        <v>9781003695745</v>
      </c>
    </row>
    <row r="688" spans="1:6" s="3" customFormat="1" ht="29.1" customHeight="1" x14ac:dyDescent="0.25">
      <c r="A688" s="2" t="s">
        <v>1678</v>
      </c>
      <c r="B688" s="2" t="s">
        <v>1680</v>
      </c>
      <c r="C688" s="2" t="s">
        <v>124</v>
      </c>
      <c r="D688" s="2" t="s">
        <v>1679</v>
      </c>
      <c r="E688" s="2" t="str">
        <f>"9781041175643"</f>
        <v>9781041175643</v>
      </c>
      <c r="F688" s="2" t="str">
        <f>"9781003690924"</f>
        <v>9781003690924</v>
      </c>
    </row>
    <row r="689" spans="1:6" s="3" customFormat="1" ht="29.1" customHeight="1" x14ac:dyDescent="0.25">
      <c r="A689" s="2" t="s">
        <v>1681</v>
      </c>
      <c r="B689" s="2" t="s">
        <v>1682</v>
      </c>
      <c r="C689" s="2" t="s">
        <v>124</v>
      </c>
      <c r="D689" s="2" t="s">
        <v>1183</v>
      </c>
      <c r="E689" s="2" t="str">
        <f>"9781041179399"</f>
        <v>9781041179399</v>
      </c>
      <c r="F689" s="2" t="str">
        <f>"9781003695592"</f>
        <v>9781003695592</v>
      </c>
    </row>
    <row r="690" spans="1:6" s="3" customFormat="1" ht="29.1" customHeight="1" x14ac:dyDescent="0.25">
      <c r="A690" s="2" t="s">
        <v>1683</v>
      </c>
      <c r="B690" s="2" t="s">
        <v>1684</v>
      </c>
      <c r="C690" s="2" t="s">
        <v>124</v>
      </c>
      <c r="D690" s="2" t="s">
        <v>965</v>
      </c>
      <c r="E690" s="2" t="str">
        <f>"9781041183761"</f>
        <v>9781041183761</v>
      </c>
      <c r="F690" s="2" t="str">
        <f>"9781003700890"</f>
        <v>9781003700890</v>
      </c>
    </row>
    <row r="691" spans="1:6" s="3" customFormat="1" ht="29.1" customHeight="1" x14ac:dyDescent="0.25">
      <c r="A691" s="2" t="s">
        <v>1685</v>
      </c>
      <c r="B691" s="2" t="s">
        <v>1686</v>
      </c>
      <c r="C691" s="2" t="s">
        <v>124</v>
      </c>
      <c r="D691" s="2" t="s">
        <v>1449</v>
      </c>
      <c r="E691" s="2" t="str">
        <f>"9781041179511"</f>
        <v>9781041179511</v>
      </c>
      <c r="F691" s="2" t="str">
        <f>"9781003695769"</f>
        <v>9781003695769</v>
      </c>
    </row>
    <row r="692" spans="1:6" s="3" customFormat="1" ht="29.1" customHeight="1" x14ac:dyDescent="0.25">
      <c r="A692" s="2" t="s">
        <v>1687</v>
      </c>
      <c r="B692" s="2" t="s">
        <v>1688</v>
      </c>
      <c r="C692" s="2" t="s">
        <v>124</v>
      </c>
      <c r="D692" s="2" t="s">
        <v>186</v>
      </c>
      <c r="E692" s="2" t="str">
        <f>"9781041176350"</f>
        <v>9781041176350</v>
      </c>
      <c r="F692" s="2" t="str">
        <f>"9781003691839"</f>
        <v>9781003691839</v>
      </c>
    </row>
    <row r="693" spans="1:6" s="3" customFormat="1" ht="29.1" customHeight="1" x14ac:dyDescent="0.25">
      <c r="A693" s="2" t="s">
        <v>1689</v>
      </c>
      <c r="B693" s="2" t="s">
        <v>1690</v>
      </c>
      <c r="C693" s="2" t="s">
        <v>124</v>
      </c>
      <c r="D693" s="2" t="s">
        <v>49</v>
      </c>
      <c r="E693" s="2" t="str">
        <f>"9781041179115"</f>
        <v>9781041179115</v>
      </c>
      <c r="F693" s="2" t="str">
        <f>"9781003695264"</f>
        <v>9781003695264</v>
      </c>
    </row>
    <row r="694" spans="1:6" s="3" customFormat="1" ht="29.1" customHeight="1" x14ac:dyDescent="0.25">
      <c r="A694" s="2" t="s">
        <v>1691</v>
      </c>
      <c r="B694" s="2" t="s">
        <v>1692</v>
      </c>
      <c r="C694" s="2" t="s">
        <v>124</v>
      </c>
      <c r="D694" s="2" t="s">
        <v>12</v>
      </c>
      <c r="E694" s="2" t="str">
        <f>"9789463728362"</f>
        <v>9789463728362</v>
      </c>
      <c r="F694" s="2" t="str">
        <f>"9781003696568"</f>
        <v>9781003696568</v>
      </c>
    </row>
    <row r="695" spans="1:6" s="3" customFormat="1" ht="29.1" customHeight="1" x14ac:dyDescent="0.25">
      <c r="A695" s="2" t="s">
        <v>1693</v>
      </c>
      <c r="B695" s="2" t="s">
        <v>1695</v>
      </c>
      <c r="C695" s="2" t="s">
        <v>124</v>
      </c>
      <c r="D695" s="2" t="s">
        <v>1694</v>
      </c>
      <c r="E695" s="2" t="str">
        <f>"9781041179221"</f>
        <v>9781041179221</v>
      </c>
      <c r="F695" s="2" t="str">
        <f>"9781003695417"</f>
        <v>9781003695417</v>
      </c>
    </row>
    <row r="696" spans="1:6" s="3" customFormat="1" ht="29.1" customHeight="1" x14ac:dyDescent="0.25">
      <c r="A696" s="2" t="s">
        <v>1696</v>
      </c>
      <c r="B696" s="2" t="s">
        <v>1698</v>
      </c>
      <c r="C696" s="2" t="s">
        <v>124</v>
      </c>
      <c r="D696" s="2" t="s">
        <v>1697</v>
      </c>
      <c r="E696" s="2" t="str">
        <f>"9789048560738"</f>
        <v>9789048560738</v>
      </c>
      <c r="F696" s="2" t="str">
        <f>"9781003697589"</f>
        <v>9781003697589</v>
      </c>
    </row>
    <row r="697" spans="1:6" s="3" customFormat="1" ht="29.1" customHeight="1" x14ac:dyDescent="0.25">
      <c r="A697" s="2" t="s">
        <v>1699</v>
      </c>
      <c r="B697" s="2" t="s">
        <v>1700</v>
      </c>
      <c r="C697" s="2" t="s">
        <v>1070</v>
      </c>
      <c r="D697" s="2" t="s">
        <v>1275</v>
      </c>
      <c r="E697" s="2"/>
      <c r="F697" s="2" t="str">
        <f>"9783318068115"</f>
        <v>9783318068115</v>
      </c>
    </row>
    <row r="698" spans="1:6" s="3" customFormat="1" ht="29.1" customHeight="1" x14ac:dyDescent="0.25">
      <c r="A698" s="2" t="s">
        <v>1701</v>
      </c>
      <c r="B698" s="2" t="s">
        <v>1702</v>
      </c>
      <c r="C698" s="2" t="s">
        <v>1070</v>
      </c>
      <c r="D698" s="2" t="s">
        <v>1265</v>
      </c>
      <c r="E698" s="2"/>
      <c r="F698" s="2"/>
    </row>
    <row r="699" spans="1:6" s="3" customFormat="1" ht="29.1" customHeight="1" x14ac:dyDescent="0.25">
      <c r="A699" s="2" t="s">
        <v>1703</v>
      </c>
      <c r="B699" s="2" t="s">
        <v>1704</v>
      </c>
      <c r="C699" s="2" t="s">
        <v>1070</v>
      </c>
      <c r="D699" s="2" t="s">
        <v>1272</v>
      </c>
      <c r="E699" s="2"/>
      <c r="F699" s="2" t="str">
        <f>"9783318066319"</f>
        <v>9783318066319</v>
      </c>
    </row>
    <row r="700" spans="1:6" s="3" customFormat="1" ht="29.1" customHeight="1" x14ac:dyDescent="0.25">
      <c r="A700" s="2" t="s">
        <v>1705</v>
      </c>
      <c r="B700" s="2" t="s">
        <v>1704</v>
      </c>
      <c r="C700" s="2" t="s">
        <v>1070</v>
      </c>
      <c r="D700" s="2" t="s">
        <v>1272</v>
      </c>
      <c r="E700" s="2"/>
      <c r="F700" s="2" t="str">
        <f>"9783318066159"</f>
        <v>9783318066159</v>
      </c>
    </row>
    <row r="701" spans="1:6" s="3" customFormat="1" ht="29.1" customHeight="1" x14ac:dyDescent="0.25">
      <c r="A701" s="2" t="s">
        <v>1706</v>
      </c>
      <c r="B701" s="2" t="s">
        <v>1708</v>
      </c>
      <c r="C701" s="2" t="s">
        <v>124</v>
      </c>
      <c r="D701" s="2" t="s">
        <v>1707</v>
      </c>
      <c r="E701" s="2" t="str">
        <f>"9789048563999"</f>
        <v>9789048563999</v>
      </c>
      <c r="F701" s="2" t="str">
        <f>"9781003705154"</f>
        <v>9781003705154</v>
      </c>
    </row>
    <row r="702" spans="1:6" s="3" customFormat="1" ht="29.1" customHeight="1" x14ac:dyDescent="0.25">
      <c r="A702" s="2" t="s">
        <v>1709</v>
      </c>
      <c r="B702" s="2" t="s">
        <v>1710</v>
      </c>
      <c r="C702" s="2" t="s">
        <v>124</v>
      </c>
      <c r="D702" s="2" t="s">
        <v>408</v>
      </c>
      <c r="E702" s="2" t="str">
        <f>"9781041179108"</f>
        <v>9781041179108</v>
      </c>
      <c r="F702" s="2" t="str">
        <f>"9781003695196"</f>
        <v>9781003695196</v>
      </c>
    </row>
    <row r="703" spans="1:6" s="3" customFormat="1" ht="29.1" customHeight="1" x14ac:dyDescent="0.25">
      <c r="A703" s="2" t="s">
        <v>1711</v>
      </c>
      <c r="B703" s="2" t="s">
        <v>1713</v>
      </c>
      <c r="C703" s="2" t="s">
        <v>124</v>
      </c>
      <c r="D703" s="2" t="s">
        <v>1712</v>
      </c>
      <c r="E703" s="2" t="str">
        <f>"9781041182696"</f>
        <v>9781041182696</v>
      </c>
      <c r="F703" s="2" t="str">
        <f>"9781003699576"</f>
        <v>9781003699576</v>
      </c>
    </row>
    <row r="704" spans="1:6" s="3" customFormat="1" ht="29.1" customHeight="1" x14ac:dyDescent="0.25">
      <c r="A704" s="2" t="s">
        <v>1714</v>
      </c>
      <c r="B704" s="2" t="s">
        <v>1715</v>
      </c>
      <c r="C704" s="2" t="s">
        <v>124</v>
      </c>
      <c r="D704" s="2" t="s">
        <v>1198</v>
      </c>
      <c r="E704" s="2" t="str">
        <f>"9781041186502"</f>
        <v>9781041186502</v>
      </c>
      <c r="F704" s="2" t="str">
        <f>"9781003704195"</f>
        <v>9781003704195</v>
      </c>
    </row>
    <row r="705" spans="1:6" s="3" customFormat="1" ht="29.1" customHeight="1" x14ac:dyDescent="0.25">
      <c r="A705" s="2" t="s">
        <v>1716</v>
      </c>
      <c r="B705" s="2" t="s">
        <v>1718</v>
      </c>
      <c r="C705" s="2" t="s">
        <v>124</v>
      </c>
      <c r="D705" s="2" t="s">
        <v>1717</v>
      </c>
      <c r="E705" s="2" t="str">
        <f>"9781041190585"</f>
        <v>9781041190585</v>
      </c>
      <c r="F705" s="2" t="str">
        <f>"9781003709459"</f>
        <v>9781003709459</v>
      </c>
    </row>
    <row r="706" spans="1:6" s="3" customFormat="1" ht="29.1" customHeight="1" x14ac:dyDescent="0.25">
      <c r="A706" s="2" t="s">
        <v>1719</v>
      </c>
      <c r="B706" s="2" t="s">
        <v>1720</v>
      </c>
      <c r="C706" s="2" t="s">
        <v>124</v>
      </c>
      <c r="D706" s="2" t="s">
        <v>69</v>
      </c>
      <c r="E706" s="2" t="str">
        <f>"9781041175698"</f>
        <v>9781041175698</v>
      </c>
      <c r="F706" s="2" t="str">
        <f>"9781003690993"</f>
        <v>9781003690993</v>
      </c>
    </row>
    <row r="707" spans="1:6" s="3" customFormat="1" ht="29.1" customHeight="1" x14ac:dyDescent="0.25">
      <c r="A707" s="2" t="s">
        <v>1721</v>
      </c>
      <c r="B707" s="2" t="s">
        <v>1723</v>
      </c>
      <c r="C707" s="2" t="s">
        <v>124</v>
      </c>
      <c r="D707" s="2" t="s">
        <v>1722</v>
      </c>
      <c r="E707" s="2" t="str">
        <f>"9781041177555"</f>
        <v>9781041177555</v>
      </c>
      <c r="F707" s="2" t="str">
        <f>"9781003693208"</f>
        <v>9781003693208</v>
      </c>
    </row>
    <row r="708" spans="1:6" s="3" customFormat="1" ht="29.1" customHeight="1" x14ac:dyDescent="0.25">
      <c r="A708" s="2" t="s">
        <v>1724</v>
      </c>
      <c r="B708" s="2" t="s">
        <v>1726</v>
      </c>
      <c r="C708" s="2" t="s">
        <v>124</v>
      </c>
      <c r="D708" s="2" t="s">
        <v>1725</v>
      </c>
      <c r="E708" s="2" t="str">
        <f>"9781041188919"</f>
        <v>9781041188919</v>
      </c>
      <c r="F708" s="2" t="str">
        <f>"9781003707479"</f>
        <v>9781003707479</v>
      </c>
    </row>
    <row r="709" spans="1:6" s="3" customFormat="1" ht="29.1" customHeight="1" x14ac:dyDescent="0.25">
      <c r="A709" s="2" t="s">
        <v>1727</v>
      </c>
      <c r="B709" s="2" t="s">
        <v>1728</v>
      </c>
      <c r="C709" s="2" t="s">
        <v>124</v>
      </c>
      <c r="D709" s="2" t="s">
        <v>210</v>
      </c>
      <c r="E709" s="2" t="str">
        <f>"9789048559534"</f>
        <v>9789048559534</v>
      </c>
      <c r="F709" s="2" t="str">
        <f>"9781003707738"</f>
        <v>9781003707738</v>
      </c>
    </row>
    <row r="710" spans="1:6" s="3" customFormat="1" ht="29.1" customHeight="1" x14ac:dyDescent="0.25">
      <c r="A710" s="2" t="s">
        <v>1729</v>
      </c>
      <c r="B710" s="2" t="s">
        <v>1604</v>
      </c>
      <c r="C710" s="2" t="s">
        <v>124</v>
      </c>
      <c r="D710" s="2" t="s">
        <v>647</v>
      </c>
      <c r="E710" s="2" t="str">
        <f>"9789048564071"</f>
        <v>9789048564071</v>
      </c>
      <c r="F710" s="2" t="str">
        <f>"9781003705987"</f>
        <v>9781003705987</v>
      </c>
    </row>
    <row r="711" spans="1:6" s="3" customFormat="1" ht="29.1" customHeight="1" x14ac:dyDescent="0.25">
      <c r="A711" s="2" t="s">
        <v>1730</v>
      </c>
      <c r="B711" s="2" t="s">
        <v>1731</v>
      </c>
      <c r="C711" s="2" t="s">
        <v>124</v>
      </c>
      <c r="D711" s="2" t="s">
        <v>658</v>
      </c>
      <c r="E711" s="2" t="str">
        <f>"9789462986565"</f>
        <v>9789462986565</v>
      </c>
      <c r="F711" s="2" t="str">
        <f>"9781003707820"</f>
        <v>9781003707820</v>
      </c>
    </row>
    <row r="712" spans="1:6" s="3" customFormat="1" ht="29.1" customHeight="1" x14ac:dyDescent="0.25">
      <c r="A712" s="2" t="s">
        <v>1732</v>
      </c>
      <c r="B712" s="2" t="s">
        <v>1734</v>
      </c>
      <c r="C712" s="2" t="s">
        <v>124</v>
      </c>
      <c r="D712" s="2" t="s">
        <v>1733</v>
      </c>
      <c r="E712" s="2" t="str">
        <f>"9789463720793"</f>
        <v>9789463720793</v>
      </c>
      <c r="F712" s="2" t="str">
        <f>"9781003692874"</f>
        <v>9781003692874</v>
      </c>
    </row>
    <row r="713" spans="1:6" s="3" customFormat="1" ht="29.1" customHeight="1" x14ac:dyDescent="0.25">
      <c r="A713" s="2" t="s">
        <v>1735</v>
      </c>
      <c r="B713" s="2" t="s">
        <v>1736</v>
      </c>
      <c r="C713" s="2" t="s">
        <v>124</v>
      </c>
      <c r="D713" s="2" t="s">
        <v>1449</v>
      </c>
      <c r="E713" s="2" t="str">
        <f>"9781041182764"</f>
        <v>9781041182764</v>
      </c>
      <c r="F713" s="2" t="str">
        <f>"9781003699651"</f>
        <v>9781003699651</v>
      </c>
    </row>
    <row r="714" spans="1:6" s="3" customFormat="1" ht="29.1" customHeight="1" x14ac:dyDescent="0.25">
      <c r="A714" s="2" t="s">
        <v>1737</v>
      </c>
      <c r="B714" s="2" t="s">
        <v>1739</v>
      </c>
      <c r="C714" s="2" t="s">
        <v>124</v>
      </c>
      <c r="D714" s="2" t="s">
        <v>1738</v>
      </c>
      <c r="E714" s="2" t="str">
        <f>"9789048566068"</f>
        <v>9789048566068</v>
      </c>
      <c r="F714" s="2" t="str">
        <f>"9781003695998"</f>
        <v>9781003695998</v>
      </c>
    </row>
    <row r="715" spans="1:6" s="3" customFormat="1" ht="29.1" customHeight="1" x14ac:dyDescent="0.25">
      <c r="A715" s="2" t="s">
        <v>1740</v>
      </c>
      <c r="B715" s="2" t="s">
        <v>1741</v>
      </c>
      <c r="C715" s="2" t="s">
        <v>124</v>
      </c>
      <c r="D715" s="2" t="s">
        <v>72</v>
      </c>
      <c r="E715" s="2" t="str">
        <f>"9781041183587"</f>
        <v>9781041183587</v>
      </c>
      <c r="F715" s="2" t="str">
        <f>"9781003700678"</f>
        <v>9781003700678</v>
      </c>
    </row>
    <row r="716" spans="1:6" s="3" customFormat="1" ht="29.1" customHeight="1" x14ac:dyDescent="0.25">
      <c r="A716" s="2" t="s">
        <v>899</v>
      </c>
      <c r="B716" s="2" t="s">
        <v>1742</v>
      </c>
      <c r="C716" s="2" t="s">
        <v>124</v>
      </c>
      <c r="D716" s="2" t="s">
        <v>900</v>
      </c>
      <c r="E716" s="2" t="str">
        <f>"9781041186922"</f>
        <v>9781041186922</v>
      </c>
      <c r="F716" s="2" t="str">
        <f>"9781003704775"</f>
        <v>9781003704775</v>
      </c>
    </row>
    <row r="717" spans="1:6" s="3" customFormat="1" ht="29.1" customHeight="1" x14ac:dyDescent="0.25">
      <c r="A717" s="2" t="s">
        <v>1743</v>
      </c>
      <c r="B717" s="2" t="s">
        <v>1744</v>
      </c>
      <c r="C717" s="2" t="s">
        <v>124</v>
      </c>
      <c r="D717" s="2" t="s">
        <v>818</v>
      </c>
      <c r="E717" s="2" t="str">
        <f>"9789463726498"</f>
        <v>9789463726498</v>
      </c>
      <c r="F717" s="2" t="str">
        <f>"9781003704065"</f>
        <v>9781003704065</v>
      </c>
    </row>
    <row r="718" spans="1:6" s="3" customFormat="1" ht="29.1" customHeight="1" x14ac:dyDescent="0.25">
      <c r="A718" s="2" t="s">
        <v>1745</v>
      </c>
      <c r="B718" s="2" t="s">
        <v>1746</v>
      </c>
      <c r="C718" s="2" t="s">
        <v>124</v>
      </c>
      <c r="D718" s="2" t="s">
        <v>1432</v>
      </c>
      <c r="E718" s="2" t="str">
        <f>"9781041176725"</f>
        <v>9781041176725</v>
      </c>
      <c r="F718" s="2" t="str">
        <f>"9781003692249"</f>
        <v>9781003692249</v>
      </c>
    </row>
    <row r="719" spans="1:6" s="3" customFormat="1" ht="29.1" customHeight="1" x14ac:dyDescent="0.25">
      <c r="A719" s="2" t="s">
        <v>1747</v>
      </c>
      <c r="B719" s="2" t="s">
        <v>1748</v>
      </c>
      <c r="C719" s="2" t="s">
        <v>124</v>
      </c>
      <c r="D719" s="2" t="s">
        <v>1198</v>
      </c>
      <c r="E719" s="2" t="str">
        <f>"9781041184904"</f>
        <v>9781041184904</v>
      </c>
      <c r="F719" s="2" t="str">
        <f>"9781003702283"</f>
        <v>9781003702283</v>
      </c>
    </row>
    <row r="720" spans="1:6" s="3" customFormat="1" ht="29.1" customHeight="1" x14ac:dyDescent="0.25">
      <c r="A720" s="2" t="s">
        <v>1749</v>
      </c>
      <c r="B720" s="2" t="s">
        <v>1750</v>
      </c>
      <c r="C720" s="2" t="s">
        <v>124</v>
      </c>
      <c r="D720" s="2" t="s">
        <v>210</v>
      </c>
      <c r="E720" s="2" t="str">
        <f>"9781041177951"</f>
        <v>9781041177951</v>
      </c>
      <c r="F720" s="2" t="str">
        <f>"9781003693727"</f>
        <v>9781003693727</v>
      </c>
    </row>
    <row r="721" spans="1:6" s="3" customFormat="1" ht="29.1" customHeight="1" x14ac:dyDescent="0.25">
      <c r="A721" s="2" t="s">
        <v>1751</v>
      </c>
      <c r="B721" s="2" t="s">
        <v>1753</v>
      </c>
      <c r="C721" s="2" t="s">
        <v>124</v>
      </c>
      <c r="D721" s="2" t="s">
        <v>1752</v>
      </c>
      <c r="E721" s="2" t="str">
        <f>"9781041190219"</f>
        <v>9781041190219</v>
      </c>
      <c r="F721" s="2" t="str">
        <f>"9781003709046"</f>
        <v>9781003709046</v>
      </c>
    </row>
    <row r="722" spans="1:6" s="3" customFormat="1" ht="29.1" customHeight="1" x14ac:dyDescent="0.25">
      <c r="A722" s="2" t="s">
        <v>1754</v>
      </c>
      <c r="B722" s="2" t="s">
        <v>1755</v>
      </c>
      <c r="C722" s="2" t="s">
        <v>124</v>
      </c>
      <c r="D722" s="2" t="s">
        <v>490</v>
      </c>
      <c r="E722" s="2" t="str">
        <f>"9781041188186"</f>
        <v>9781041188186</v>
      </c>
      <c r="F722" s="2" t="str">
        <f>"9781003706540"</f>
        <v>9781003706540</v>
      </c>
    </row>
    <row r="723" spans="1:6" s="3" customFormat="1" ht="29.1" customHeight="1" x14ac:dyDescent="0.25">
      <c r="A723" s="2" t="s">
        <v>1756</v>
      </c>
      <c r="B723" s="2" t="s">
        <v>1757</v>
      </c>
      <c r="C723" s="2" t="s">
        <v>124</v>
      </c>
      <c r="D723" s="2" t="s">
        <v>916</v>
      </c>
      <c r="E723" s="2" t="str">
        <f>"9781041177876"</f>
        <v>9781041177876</v>
      </c>
      <c r="F723" s="2" t="str">
        <f>"9781003693611"</f>
        <v>9781003693611</v>
      </c>
    </row>
    <row r="724" spans="1:6" s="3" customFormat="1" ht="29.1" customHeight="1" x14ac:dyDescent="0.25">
      <c r="A724" s="2" t="s">
        <v>1758</v>
      </c>
      <c r="B724" s="2" t="s">
        <v>1760</v>
      </c>
      <c r="C724" s="2" t="s">
        <v>124</v>
      </c>
      <c r="D724" s="2" t="s">
        <v>1759</v>
      </c>
      <c r="E724" s="2" t="str">
        <f>"9781041184102"</f>
        <v>9781041184102</v>
      </c>
      <c r="F724" s="2" t="str">
        <f>"9781003701309"</f>
        <v>9781003701309</v>
      </c>
    </row>
    <row r="725" spans="1:6" s="3" customFormat="1" ht="29.1" customHeight="1" x14ac:dyDescent="0.25">
      <c r="A725" s="2" t="s">
        <v>1761</v>
      </c>
      <c r="B725" s="2" t="s">
        <v>1762</v>
      </c>
      <c r="C725" s="2" t="s">
        <v>124</v>
      </c>
      <c r="D725" s="2" t="s">
        <v>965</v>
      </c>
      <c r="E725" s="2" t="str">
        <f>"9781041177579"</f>
        <v>9781041177579</v>
      </c>
      <c r="F725" s="2" t="str">
        <f>"9781003693222"</f>
        <v>9781003693222</v>
      </c>
    </row>
    <row r="726" spans="1:6" s="3" customFormat="1" ht="29.1" customHeight="1" x14ac:dyDescent="0.25">
      <c r="A726" s="2" t="s">
        <v>1763</v>
      </c>
      <c r="B726" s="2" t="s">
        <v>1764</v>
      </c>
      <c r="C726" s="2" t="s">
        <v>124</v>
      </c>
      <c r="D726" s="2" t="s">
        <v>509</v>
      </c>
      <c r="E726" s="2" t="str">
        <f>"9781041183662"</f>
        <v>9781041183662</v>
      </c>
      <c r="F726" s="2" t="str">
        <f>"9781003700760"</f>
        <v>9781003700760</v>
      </c>
    </row>
    <row r="727" spans="1:6" s="3" customFormat="1" ht="29.1" customHeight="1" x14ac:dyDescent="0.25">
      <c r="A727" s="2" t="s">
        <v>1765</v>
      </c>
      <c r="B727" s="2" t="s">
        <v>1766</v>
      </c>
      <c r="C727" s="2" t="s">
        <v>124</v>
      </c>
      <c r="D727" s="2" t="s">
        <v>78</v>
      </c>
      <c r="E727" s="2" t="str">
        <f>"9781041178316"</f>
        <v>9781041178316</v>
      </c>
      <c r="F727" s="2" t="str">
        <f>"9781003694182"</f>
        <v>9781003694182</v>
      </c>
    </row>
    <row r="728" spans="1:6" s="3" customFormat="1" ht="29.1" customHeight="1" x14ac:dyDescent="0.25">
      <c r="A728" s="2" t="s">
        <v>1767</v>
      </c>
      <c r="B728" s="2" t="s">
        <v>1769</v>
      </c>
      <c r="C728" s="2" t="s">
        <v>124</v>
      </c>
      <c r="D728" s="2" t="s">
        <v>1768</v>
      </c>
      <c r="E728" s="2" t="str">
        <f>"9789048560592"</f>
        <v>9789048560592</v>
      </c>
      <c r="F728" s="2" t="str">
        <f>"9781003692928"</f>
        <v>9781003692928</v>
      </c>
    </row>
    <row r="729" spans="1:6" s="3" customFormat="1" ht="29.1" customHeight="1" x14ac:dyDescent="0.25">
      <c r="A729" s="2" t="s">
        <v>1770</v>
      </c>
      <c r="B729" s="2" t="s">
        <v>1771</v>
      </c>
      <c r="C729" s="2" t="s">
        <v>124</v>
      </c>
      <c r="D729" s="2" t="s">
        <v>52</v>
      </c>
      <c r="E729" s="2" t="str">
        <f>"9789048562718"</f>
        <v>9789048562718</v>
      </c>
      <c r="F729" s="2" t="str">
        <f>"9781003696902"</f>
        <v>9781003696902</v>
      </c>
    </row>
    <row r="730" spans="1:6" s="3" customFormat="1" ht="29.1" customHeight="1" x14ac:dyDescent="0.25">
      <c r="A730" s="2" t="s">
        <v>1772</v>
      </c>
      <c r="B730" s="2" t="s">
        <v>1773</v>
      </c>
      <c r="C730" s="2" t="s">
        <v>124</v>
      </c>
      <c r="D730" s="2" t="s">
        <v>871</v>
      </c>
      <c r="E730" s="2" t="str">
        <f>"9781041182573"</f>
        <v>9781041182573</v>
      </c>
      <c r="F730" s="2" t="str">
        <f>"9781003699439"</f>
        <v>9781003699439</v>
      </c>
    </row>
    <row r="731" spans="1:6" s="3" customFormat="1" ht="29.1" customHeight="1" x14ac:dyDescent="0.25">
      <c r="A731" s="2" t="s">
        <v>1774</v>
      </c>
      <c r="B731" s="2" t="s">
        <v>1775</v>
      </c>
      <c r="C731" s="2" t="s">
        <v>124</v>
      </c>
      <c r="D731" s="2" t="s">
        <v>1127</v>
      </c>
      <c r="E731" s="2" t="str">
        <f>"9781041175308"</f>
        <v>9781041175308</v>
      </c>
      <c r="F731" s="2" t="str">
        <f>"9781003690498"</f>
        <v>9781003690498</v>
      </c>
    </row>
    <row r="732" spans="1:6" s="3" customFormat="1" ht="29.1" customHeight="1" x14ac:dyDescent="0.25">
      <c r="A732" s="2" t="s">
        <v>1776</v>
      </c>
      <c r="B732" s="2" t="s">
        <v>1777</v>
      </c>
      <c r="C732" s="2" t="s">
        <v>124</v>
      </c>
      <c r="D732" s="2" t="s">
        <v>207</v>
      </c>
      <c r="E732" s="2" t="str">
        <f>"9789463722889"</f>
        <v>9789463722889</v>
      </c>
      <c r="F732" s="2" t="str">
        <f>"9781003693543"</f>
        <v>9781003693543</v>
      </c>
    </row>
    <row r="733" spans="1:6" s="3" customFormat="1" ht="29.1" customHeight="1" x14ac:dyDescent="0.25">
      <c r="A733" s="2" t="s">
        <v>1778</v>
      </c>
      <c r="B733" s="2" t="s">
        <v>1779</v>
      </c>
      <c r="C733" s="2" t="s">
        <v>124</v>
      </c>
      <c r="D733" s="2" t="s">
        <v>1578</v>
      </c>
      <c r="E733" s="2" t="str">
        <f>"9781041177593"</f>
        <v>9781041177593</v>
      </c>
      <c r="F733" s="2" t="str">
        <f>"9781003693246"</f>
        <v>9781003693246</v>
      </c>
    </row>
    <row r="734" spans="1:6" s="3" customFormat="1" ht="29.1" customHeight="1" x14ac:dyDescent="0.25">
      <c r="A734" s="2" t="s">
        <v>1780</v>
      </c>
      <c r="B734" s="2" t="s">
        <v>1781</v>
      </c>
      <c r="C734" s="2" t="s">
        <v>124</v>
      </c>
      <c r="D734" s="2" t="s">
        <v>913</v>
      </c>
      <c r="E734" s="2" t="str">
        <f>"9781041178743"</f>
        <v>9781041178743</v>
      </c>
      <c r="F734" s="2" t="str">
        <f>"9781003694779"</f>
        <v>9781003694779</v>
      </c>
    </row>
    <row r="735" spans="1:6" s="3" customFormat="1" ht="29.1" customHeight="1" x14ac:dyDescent="0.25">
      <c r="A735" s="2" t="s">
        <v>1224</v>
      </c>
      <c r="B735" s="2" t="s">
        <v>1225</v>
      </c>
      <c r="C735" s="2" t="s">
        <v>124</v>
      </c>
      <c r="D735" s="2" t="s">
        <v>218</v>
      </c>
      <c r="E735" s="2" t="str">
        <f>"9789463728508"</f>
        <v>9789463728508</v>
      </c>
      <c r="F735" s="2" t="str">
        <f>"9781003707523"</f>
        <v>9781003707523</v>
      </c>
    </row>
    <row r="736" spans="1:6" s="3" customFormat="1" ht="29.1" customHeight="1" x14ac:dyDescent="0.25">
      <c r="A736" s="2" t="s">
        <v>1782</v>
      </c>
      <c r="B736" s="2" t="s">
        <v>1784</v>
      </c>
      <c r="C736" s="2" t="s">
        <v>124</v>
      </c>
      <c r="D736" s="2" t="s">
        <v>1783</v>
      </c>
      <c r="E736" s="2" t="str">
        <f>"9789463729796"</f>
        <v>9789463729796</v>
      </c>
      <c r="F736" s="2" t="str">
        <f>"9781003708476"</f>
        <v>9781003708476</v>
      </c>
    </row>
    <row r="737" spans="1:6" s="3" customFormat="1" ht="29.1" customHeight="1" x14ac:dyDescent="0.25">
      <c r="A737" s="2" t="s">
        <v>1785</v>
      </c>
      <c r="B737" s="2" t="s">
        <v>1786</v>
      </c>
      <c r="C737" s="2" t="s">
        <v>124</v>
      </c>
      <c r="D737" s="2" t="s">
        <v>218</v>
      </c>
      <c r="E737" s="2" t="str">
        <f>"9781041189350"</f>
        <v>9781041189350</v>
      </c>
      <c r="F737" s="2" t="str">
        <f>"9781003708070"</f>
        <v>9781003708070</v>
      </c>
    </row>
    <row r="738" spans="1:6" s="3" customFormat="1" ht="29.1" customHeight="1" x14ac:dyDescent="0.25">
      <c r="A738" s="2" t="s">
        <v>1787</v>
      </c>
      <c r="B738" s="2" t="s">
        <v>1788</v>
      </c>
      <c r="C738" s="2" t="s">
        <v>124</v>
      </c>
      <c r="D738" s="2" t="s">
        <v>107</v>
      </c>
      <c r="E738" s="2" t="str">
        <f>"9781041175193"</f>
        <v>9781041175193</v>
      </c>
      <c r="F738" s="2" t="str">
        <f>"9781003690344"</f>
        <v>9781003690344</v>
      </c>
    </row>
    <row r="739" spans="1:6" s="3" customFormat="1" ht="29.1" customHeight="1" x14ac:dyDescent="0.25">
      <c r="A739" s="2" t="s">
        <v>1789</v>
      </c>
      <c r="B739" s="2" t="s">
        <v>1791</v>
      </c>
      <c r="C739" s="2" t="s">
        <v>124</v>
      </c>
      <c r="D739" s="2" t="s">
        <v>1790</v>
      </c>
      <c r="E739" s="2" t="str">
        <f>"9789048562398"</f>
        <v>9789048562398</v>
      </c>
      <c r="F739" s="2" t="str">
        <f>"9781003691631"</f>
        <v>9781003691631</v>
      </c>
    </row>
    <row r="740" spans="1:6" s="3" customFormat="1" ht="29.1" customHeight="1" x14ac:dyDescent="0.25">
      <c r="A740" s="2" t="s">
        <v>1792</v>
      </c>
      <c r="B740" s="2" t="s">
        <v>1793</v>
      </c>
      <c r="C740" s="2" t="s">
        <v>124</v>
      </c>
      <c r="D740" s="2" t="s">
        <v>606</v>
      </c>
      <c r="E740" s="2" t="str">
        <f>"9789462980549"</f>
        <v>9789462980549</v>
      </c>
      <c r="F740" s="2" t="str">
        <f>"9781003697558"</f>
        <v>9781003697558</v>
      </c>
    </row>
    <row r="741" spans="1:6" s="3" customFormat="1" ht="29.1" customHeight="1" x14ac:dyDescent="0.25">
      <c r="A741" s="2" t="s">
        <v>1794</v>
      </c>
      <c r="B741" s="2" t="s">
        <v>1795</v>
      </c>
      <c r="C741" s="2" t="s">
        <v>124</v>
      </c>
      <c r="D741" s="2" t="s">
        <v>1463</v>
      </c>
      <c r="E741" s="2" t="str">
        <f>"9781041181910"</f>
        <v>9781041181910</v>
      </c>
      <c r="F741" s="2" t="str">
        <f>"9781003698647"</f>
        <v>9781003698647</v>
      </c>
    </row>
    <row r="742" spans="1:6" s="3" customFormat="1" ht="29.1" customHeight="1" x14ac:dyDescent="0.25">
      <c r="A742" s="2" t="s">
        <v>1796</v>
      </c>
      <c r="B742" s="2" t="s">
        <v>1797</v>
      </c>
      <c r="C742" s="2" t="s">
        <v>124</v>
      </c>
      <c r="D742" s="2" t="s">
        <v>78</v>
      </c>
      <c r="E742" s="2" t="str">
        <f>"9781041185673"</f>
        <v>9781041185673</v>
      </c>
      <c r="F742" s="2" t="str">
        <f>"9781003703198"</f>
        <v>9781003703198</v>
      </c>
    </row>
    <row r="743" spans="1:6" s="3" customFormat="1" ht="29.1" customHeight="1" x14ac:dyDescent="0.25">
      <c r="A743" s="2" t="s">
        <v>1798</v>
      </c>
      <c r="B743" s="2" t="s">
        <v>1799</v>
      </c>
      <c r="C743" s="2" t="s">
        <v>124</v>
      </c>
      <c r="D743" s="2" t="s">
        <v>441</v>
      </c>
      <c r="E743" s="2" t="str">
        <f>"9781041182948"</f>
        <v>9781041182948</v>
      </c>
      <c r="F743" s="2" t="str">
        <f>"9781003699873"</f>
        <v>9781003699873</v>
      </c>
    </row>
    <row r="744" spans="1:6" s="3" customFormat="1" ht="29.1" customHeight="1" x14ac:dyDescent="0.25">
      <c r="A744" s="2" t="s">
        <v>1800</v>
      </c>
      <c r="B744" s="2" t="s">
        <v>1802</v>
      </c>
      <c r="C744" s="2" t="s">
        <v>124</v>
      </c>
      <c r="D744" s="2" t="s">
        <v>1801</v>
      </c>
      <c r="E744" s="2" t="str">
        <f>"9789048565603"</f>
        <v>9789048565603</v>
      </c>
      <c r="F744" s="2" t="str">
        <f>"9781003693390"</f>
        <v>9781003693390</v>
      </c>
    </row>
    <row r="745" spans="1:6" s="3" customFormat="1" ht="29.1" customHeight="1" x14ac:dyDescent="0.25">
      <c r="A745" s="2" t="s">
        <v>902</v>
      </c>
      <c r="B745" s="2" t="s">
        <v>904</v>
      </c>
      <c r="C745" s="2" t="s">
        <v>124</v>
      </c>
      <c r="D745" s="2" t="s">
        <v>459</v>
      </c>
      <c r="E745" s="2" t="str">
        <f>"9781041186830"</f>
        <v>9781041186830</v>
      </c>
      <c r="F745" s="2" t="str">
        <f>"9781003704676"</f>
        <v>9781003704676</v>
      </c>
    </row>
    <row r="746" spans="1:6" s="3" customFormat="1" ht="29.1" customHeight="1" x14ac:dyDescent="0.25">
      <c r="A746" s="2" t="s">
        <v>1803</v>
      </c>
      <c r="B746" s="2" t="s">
        <v>1804</v>
      </c>
      <c r="C746" s="2" t="s">
        <v>124</v>
      </c>
      <c r="D746" s="2" t="s">
        <v>107</v>
      </c>
      <c r="E746" s="2" t="str">
        <f>"9781041178996"</f>
        <v>9781041178996</v>
      </c>
      <c r="F746" s="2" t="str">
        <f>"9781003695073"</f>
        <v>9781003695073</v>
      </c>
    </row>
    <row r="747" spans="1:6" s="3" customFormat="1" ht="29.1" customHeight="1" x14ac:dyDescent="0.25">
      <c r="A747" s="2" t="s">
        <v>1805</v>
      </c>
      <c r="B747" s="2" t="s">
        <v>1807</v>
      </c>
      <c r="C747" s="2" t="s">
        <v>124</v>
      </c>
      <c r="D747" s="2" t="s">
        <v>1806</v>
      </c>
      <c r="E747" s="2" t="str">
        <f>"9789089648433"</f>
        <v>9789089648433</v>
      </c>
      <c r="F747" s="2" t="str">
        <f>"9781003707097"</f>
        <v>9781003707097</v>
      </c>
    </row>
    <row r="748" spans="1:6" s="3" customFormat="1" ht="29.1" customHeight="1" x14ac:dyDescent="0.25">
      <c r="A748" s="2" t="s">
        <v>1808</v>
      </c>
      <c r="B748" s="2" t="s">
        <v>1810</v>
      </c>
      <c r="C748" s="2" t="s">
        <v>124</v>
      </c>
      <c r="D748" s="2" t="s">
        <v>1809</v>
      </c>
      <c r="E748" s="2" t="str">
        <f>"9781041181040"</f>
        <v>9781041181040</v>
      </c>
      <c r="F748" s="2" t="str">
        <f>"9781003697527"</f>
        <v>9781003697527</v>
      </c>
    </row>
    <row r="749" spans="1:6" s="3" customFormat="1" ht="29.1" customHeight="1" x14ac:dyDescent="0.25">
      <c r="A749" s="2" t="s">
        <v>1811</v>
      </c>
      <c r="B749" s="2" t="s">
        <v>1812</v>
      </c>
      <c r="C749" s="2" t="s">
        <v>124</v>
      </c>
      <c r="D749" s="2" t="s">
        <v>339</v>
      </c>
      <c r="E749" s="2" t="str">
        <f>"9781041184294"</f>
        <v>9781041184294</v>
      </c>
      <c r="F749" s="2" t="str">
        <f>"9781003701521"</f>
        <v>9781003701521</v>
      </c>
    </row>
    <row r="750" spans="1:6" s="3" customFormat="1" ht="29.1" customHeight="1" x14ac:dyDescent="0.25">
      <c r="A750" s="2" t="s">
        <v>1813</v>
      </c>
      <c r="B750" s="2" t="s">
        <v>1814</v>
      </c>
      <c r="C750" s="2" t="s">
        <v>124</v>
      </c>
      <c r="D750" s="2" t="s">
        <v>1259</v>
      </c>
      <c r="E750" s="2" t="str">
        <f>"9789085551225"</f>
        <v>9789085551225</v>
      </c>
      <c r="F750" s="2" t="str">
        <f>"9781003693604"</f>
        <v>9781003693604</v>
      </c>
    </row>
    <row r="751" spans="1:6" s="3" customFormat="1" ht="29.1" customHeight="1" x14ac:dyDescent="0.25">
      <c r="A751" s="2" t="s">
        <v>1815</v>
      </c>
      <c r="B751" s="2" t="s">
        <v>1817</v>
      </c>
      <c r="C751" s="2" t="s">
        <v>124</v>
      </c>
      <c r="D751" s="2" t="s">
        <v>1816</v>
      </c>
      <c r="E751" s="2" t="str">
        <f>"9789048563623"</f>
        <v>9789048563623</v>
      </c>
      <c r="F751" s="2" t="str">
        <f>"9781003708957"</f>
        <v>9781003708957</v>
      </c>
    </row>
    <row r="752" spans="1:6" s="3" customFormat="1" ht="29.1" customHeight="1" x14ac:dyDescent="0.25">
      <c r="A752" s="2" t="s">
        <v>1818</v>
      </c>
      <c r="B752" s="2" t="s">
        <v>1819</v>
      </c>
      <c r="C752" s="2" t="s">
        <v>124</v>
      </c>
      <c r="D752" s="2" t="s">
        <v>49</v>
      </c>
      <c r="E752" s="2" t="str">
        <f>"9781041182351"</f>
        <v>9781041182351</v>
      </c>
      <c r="F752" s="2" t="str">
        <f>"9781003699187"</f>
        <v>9781003699187</v>
      </c>
    </row>
    <row r="753" spans="1:6" s="3" customFormat="1" ht="29.1" customHeight="1" x14ac:dyDescent="0.25">
      <c r="A753" s="2" t="s">
        <v>1820</v>
      </c>
      <c r="B753" s="2" t="s">
        <v>1821</v>
      </c>
      <c r="C753" s="2" t="s">
        <v>124</v>
      </c>
      <c r="D753" s="2" t="s">
        <v>270</v>
      </c>
      <c r="E753" s="2" t="str">
        <f>"9781041176527"</f>
        <v>9781041176527</v>
      </c>
      <c r="F753" s="2" t="str">
        <f>"9781003692010"</f>
        <v>9781003692010</v>
      </c>
    </row>
    <row r="754" spans="1:6" s="3" customFormat="1" ht="29.1" customHeight="1" x14ac:dyDescent="0.25">
      <c r="A754" s="2" t="s">
        <v>1822</v>
      </c>
      <c r="B754" s="2" t="s">
        <v>1824</v>
      </c>
      <c r="C754" s="2" t="s">
        <v>124</v>
      </c>
      <c r="D754" s="2" t="s">
        <v>1823</v>
      </c>
      <c r="E754" s="2" t="str">
        <f>"9789048559794"</f>
        <v>9789048559794</v>
      </c>
      <c r="F754" s="2" t="str">
        <f>"9781003706229"</f>
        <v>9781003706229</v>
      </c>
    </row>
    <row r="755" spans="1:6" s="3" customFormat="1" ht="29.1" customHeight="1" x14ac:dyDescent="0.25">
      <c r="A755" s="2" t="s">
        <v>1825</v>
      </c>
      <c r="B755" s="2" t="s">
        <v>1826</v>
      </c>
      <c r="C755" s="2" t="s">
        <v>927</v>
      </c>
      <c r="D755" s="2" t="s">
        <v>33</v>
      </c>
      <c r="E755" s="2" t="str">
        <f>"9780472057764"</f>
        <v>9780472057764</v>
      </c>
      <c r="F755" s="2" t="str">
        <f>"9780472905355"</f>
        <v>9780472905355</v>
      </c>
    </row>
    <row r="756" spans="1:6" s="3" customFormat="1" ht="29.1" customHeight="1" x14ac:dyDescent="0.25">
      <c r="A756" s="2" t="s">
        <v>1827</v>
      </c>
      <c r="B756" s="2" t="s">
        <v>1828</v>
      </c>
      <c r="C756" s="2" t="s">
        <v>5</v>
      </c>
      <c r="D756" s="2" t="s">
        <v>863</v>
      </c>
      <c r="E756" s="2" t="str">
        <f>"9789464638486"</f>
        <v>9789464638486</v>
      </c>
      <c r="F756" s="2" t="str">
        <f>"9789464638493"</f>
        <v>9789464638493</v>
      </c>
    </row>
    <row r="757" spans="1:6" s="3" customFormat="1" ht="29.1" customHeight="1" x14ac:dyDescent="0.25">
      <c r="A757" s="2" t="s">
        <v>1829</v>
      </c>
      <c r="B757" s="2" t="s">
        <v>1830</v>
      </c>
      <c r="C757" s="2" t="s">
        <v>5</v>
      </c>
      <c r="D757" s="2" t="s">
        <v>49</v>
      </c>
      <c r="E757" s="2" t="str">
        <f>"9789819649938"</f>
        <v>9789819649938</v>
      </c>
      <c r="F757" s="2" t="str">
        <f>"9789819649945"</f>
        <v>9789819649945</v>
      </c>
    </row>
    <row r="758" spans="1:6" s="3" customFormat="1" ht="29.1" customHeight="1" x14ac:dyDescent="0.25">
      <c r="A758" s="2" t="s">
        <v>1831</v>
      </c>
      <c r="B758" s="2" t="s">
        <v>1832</v>
      </c>
      <c r="C758" s="2" t="s">
        <v>5</v>
      </c>
      <c r="D758" s="2" t="s">
        <v>81</v>
      </c>
      <c r="E758" s="2" t="str">
        <f>"9783658498900"</f>
        <v>9783658498900</v>
      </c>
      <c r="F758" s="2" t="str">
        <f>"9783658498917"</f>
        <v>9783658498917</v>
      </c>
    </row>
    <row r="759" spans="1:6" s="3" customFormat="1" ht="29.1" customHeight="1" x14ac:dyDescent="0.25">
      <c r="A759" s="2" t="s">
        <v>1833</v>
      </c>
      <c r="B759" s="2" t="s">
        <v>1834</v>
      </c>
      <c r="C759" s="2" t="s">
        <v>5</v>
      </c>
      <c r="D759" s="2" t="s">
        <v>1248</v>
      </c>
      <c r="E759" s="2" t="str">
        <f>"9783031953446"</f>
        <v>9783031953446</v>
      </c>
      <c r="F759" s="2" t="str">
        <f>"9783031953453"</f>
        <v>9783031953453</v>
      </c>
    </row>
    <row r="760" spans="1:6" s="3" customFormat="1" ht="29.1" customHeight="1" x14ac:dyDescent="0.25">
      <c r="A760" s="2" t="s">
        <v>1835</v>
      </c>
      <c r="B760" s="2" t="s">
        <v>1836</v>
      </c>
      <c r="C760" s="2" t="s">
        <v>5</v>
      </c>
      <c r="D760" s="2" t="s">
        <v>984</v>
      </c>
      <c r="E760" s="2" t="str">
        <f>"9789819693801"</f>
        <v>9789819693801</v>
      </c>
      <c r="F760" s="2" t="str">
        <f>"9789819693818"</f>
        <v>9789819693818</v>
      </c>
    </row>
    <row r="761" spans="1:6" s="3" customFormat="1" ht="29.1" customHeight="1" x14ac:dyDescent="0.25">
      <c r="A761" s="2" t="s">
        <v>1837</v>
      </c>
      <c r="B761" s="2" t="s">
        <v>1838</v>
      </c>
      <c r="C761" s="2" t="s">
        <v>5</v>
      </c>
      <c r="D761" s="2" t="s">
        <v>192</v>
      </c>
      <c r="E761" s="2" t="str">
        <f>"9783032024992"</f>
        <v>9783032024992</v>
      </c>
      <c r="F761" s="2" t="str">
        <f>"9783032025005"</f>
        <v>9783032025005</v>
      </c>
    </row>
    <row r="762" spans="1:6" s="3" customFormat="1" ht="29.1" customHeight="1" x14ac:dyDescent="0.25">
      <c r="A762" s="2" t="s">
        <v>1839</v>
      </c>
      <c r="B762" s="2" t="s">
        <v>1841</v>
      </c>
      <c r="C762" s="2" t="s">
        <v>5</v>
      </c>
      <c r="D762" s="2" t="s">
        <v>1840</v>
      </c>
      <c r="E762" s="2" t="str">
        <f>"9783658496470"</f>
        <v>9783658496470</v>
      </c>
      <c r="F762" s="2" t="str">
        <f>"9783658496487"</f>
        <v>9783658496487</v>
      </c>
    </row>
    <row r="763" spans="1:6" s="3" customFormat="1" ht="29.1" customHeight="1" x14ac:dyDescent="0.25">
      <c r="A763" s="2" t="s">
        <v>1842</v>
      </c>
      <c r="B763" s="2" t="s">
        <v>1843</v>
      </c>
      <c r="C763" s="2" t="s">
        <v>5</v>
      </c>
      <c r="D763" s="2" t="s">
        <v>712</v>
      </c>
      <c r="E763" s="2" t="str">
        <f>"9783658496258"</f>
        <v>9783658496258</v>
      </c>
      <c r="F763" s="2" t="str">
        <f>"9783658496265"</f>
        <v>9783658496265</v>
      </c>
    </row>
    <row r="764" spans="1:6" s="3" customFormat="1" ht="29.1" customHeight="1" x14ac:dyDescent="0.25">
      <c r="A764" s="2" t="s">
        <v>1844</v>
      </c>
      <c r="B764" s="2" t="s">
        <v>1846</v>
      </c>
      <c r="C764" s="2" t="s">
        <v>5</v>
      </c>
      <c r="D764" s="2" t="s">
        <v>1845</v>
      </c>
      <c r="E764" s="2" t="str">
        <f>"9783032059413"</f>
        <v>9783032059413</v>
      </c>
      <c r="F764" s="2" t="str">
        <f>"9783032059420"</f>
        <v>9783032059420</v>
      </c>
    </row>
    <row r="765" spans="1:6" s="3" customFormat="1" ht="29.1" customHeight="1" x14ac:dyDescent="0.25">
      <c r="A765" s="2" t="s">
        <v>1847</v>
      </c>
      <c r="B765" s="2" t="s">
        <v>1848</v>
      </c>
      <c r="C765" s="2" t="s">
        <v>5</v>
      </c>
      <c r="D765" s="2" t="s">
        <v>1209</v>
      </c>
      <c r="E765" s="2" t="str">
        <f>"9783662722251"</f>
        <v>9783662722251</v>
      </c>
      <c r="F765" s="2" t="str">
        <f>"9783662722268"</f>
        <v>9783662722268</v>
      </c>
    </row>
    <row r="766" spans="1:6" s="3" customFormat="1" ht="29.1" customHeight="1" x14ac:dyDescent="0.25">
      <c r="A766" s="2" t="s">
        <v>1849</v>
      </c>
      <c r="B766" s="2" t="s">
        <v>1850</v>
      </c>
      <c r="C766" s="2" t="s">
        <v>5</v>
      </c>
      <c r="D766" s="2" t="s">
        <v>183</v>
      </c>
      <c r="E766" s="2" t="str">
        <f>"9783658492700"</f>
        <v>9783658492700</v>
      </c>
      <c r="F766" s="2" t="str">
        <f>"9783658492717"</f>
        <v>9783658492717</v>
      </c>
    </row>
    <row r="767" spans="1:6" s="3" customFormat="1" ht="29.1" customHeight="1" x14ac:dyDescent="0.25">
      <c r="A767" s="2" t="s">
        <v>1851</v>
      </c>
      <c r="B767" s="2" t="s">
        <v>1852</v>
      </c>
      <c r="C767" s="2" t="s">
        <v>5</v>
      </c>
      <c r="D767" s="2" t="s">
        <v>1809</v>
      </c>
      <c r="E767" s="2" t="str">
        <f>"9783658489168"</f>
        <v>9783658489168</v>
      </c>
      <c r="F767" s="2" t="str">
        <f>"9783658489175"</f>
        <v>9783658489175</v>
      </c>
    </row>
    <row r="768" spans="1:6" s="3" customFormat="1" ht="29.1" customHeight="1" x14ac:dyDescent="0.25">
      <c r="A768" s="2" t="s">
        <v>1853</v>
      </c>
      <c r="B768" s="2" t="s">
        <v>1855</v>
      </c>
      <c r="C768" s="2" t="s">
        <v>5</v>
      </c>
      <c r="D768" s="2" t="s">
        <v>1854</v>
      </c>
      <c r="E768" s="2" t="str">
        <f>"9783658489113"</f>
        <v>9783658489113</v>
      </c>
      <c r="F768" s="2" t="str">
        <f>"9783658489120"</f>
        <v>9783658489120</v>
      </c>
    </row>
    <row r="769" spans="1:6" s="3" customFormat="1" ht="29.1" customHeight="1" x14ac:dyDescent="0.25">
      <c r="A769" s="2" t="s">
        <v>1856</v>
      </c>
      <c r="B769" s="2" t="s">
        <v>1857</v>
      </c>
      <c r="C769" s="2" t="s">
        <v>5</v>
      </c>
      <c r="D769" s="2" t="s">
        <v>101</v>
      </c>
      <c r="E769" s="2" t="str">
        <f>"9789819695089"</f>
        <v>9789819695089</v>
      </c>
      <c r="F769" s="2" t="str">
        <f>"9789819695096"</f>
        <v>9789819695096</v>
      </c>
    </row>
    <row r="770" spans="1:6" s="3" customFormat="1" ht="29.1" customHeight="1" x14ac:dyDescent="0.25">
      <c r="A770" s="2" t="s">
        <v>1858</v>
      </c>
      <c r="B770" s="2" t="s">
        <v>1859</v>
      </c>
      <c r="C770" s="2" t="s">
        <v>5</v>
      </c>
      <c r="D770" s="2" t="s">
        <v>249</v>
      </c>
      <c r="E770" s="2" t="str">
        <f>"9789819691036"</f>
        <v>9789819691036</v>
      </c>
      <c r="F770" s="2" t="str">
        <f>"9789819691043"</f>
        <v>9789819691043</v>
      </c>
    </row>
    <row r="771" spans="1:6" s="3" customFormat="1" ht="29.1" customHeight="1" x14ac:dyDescent="0.25">
      <c r="A771" s="2" t="s">
        <v>1860</v>
      </c>
      <c r="B771" s="2" t="s">
        <v>1862</v>
      </c>
      <c r="C771" s="2" t="s">
        <v>5</v>
      </c>
      <c r="D771" s="2" t="s">
        <v>1861</v>
      </c>
      <c r="E771" s="2" t="str">
        <f>"9783031940811"</f>
        <v>9783031940811</v>
      </c>
      <c r="F771" s="2" t="str">
        <f>"9783031940828"</f>
        <v>9783031940828</v>
      </c>
    </row>
    <row r="772" spans="1:6" s="3" customFormat="1" ht="29.1" customHeight="1" x14ac:dyDescent="0.25">
      <c r="A772" s="2" t="s">
        <v>1863</v>
      </c>
      <c r="B772" s="2" t="s">
        <v>1865</v>
      </c>
      <c r="C772" s="2" t="s">
        <v>5</v>
      </c>
      <c r="D772" s="2" t="s">
        <v>1864</v>
      </c>
      <c r="E772" s="2" t="str">
        <f>"9783031933646"</f>
        <v>9783031933646</v>
      </c>
      <c r="F772" s="2" t="str">
        <f>"9783031933653"</f>
        <v>9783031933653</v>
      </c>
    </row>
    <row r="773" spans="1:6" s="3" customFormat="1" ht="29.1" customHeight="1" x14ac:dyDescent="0.25">
      <c r="A773" s="2" t="s">
        <v>1866</v>
      </c>
      <c r="B773" s="2" t="s">
        <v>1868</v>
      </c>
      <c r="C773" s="2" t="s">
        <v>5</v>
      </c>
      <c r="D773" s="2" t="s">
        <v>1867</v>
      </c>
      <c r="E773" s="2" t="str">
        <f>"9783031932380"</f>
        <v>9783031932380</v>
      </c>
      <c r="F773" s="2" t="str">
        <f>"9783031932397"</f>
        <v>9783031932397</v>
      </c>
    </row>
    <row r="774" spans="1:6" s="3" customFormat="1" ht="29.1" customHeight="1" x14ac:dyDescent="0.25">
      <c r="A774" s="2" t="s">
        <v>1869</v>
      </c>
      <c r="B774" s="2" t="s">
        <v>1870</v>
      </c>
      <c r="C774" s="2" t="s">
        <v>5</v>
      </c>
      <c r="D774" s="2" t="s">
        <v>297</v>
      </c>
      <c r="E774" s="2" t="str">
        <f>"9783031955778"</f>
        <v>9783031955778</v>
      </c>
      <c r="F774" s="2" t="str">
        <f>"9783031955785"</f>
        <v>9783031955785</v>
      </c>
    </row>
    <row r="775" spans="1:6" s="3" customFormat="1" ht="29.1" customHeight="1" x14ac:dyDescent="0.25">
      <c r="A775" s="2" t="s">
        <v>1871</v>
      </c>
      <c r="B775" s="2" t="s">
        <v>1872</v>
      </c>
      <c r="C775" s="2" t="s">
        <v>5</v>
      </c>
      <c r="D775" s="2" t="s">
        <v>12</v>
      </c>
      <c r="E775" s="2" t="str">
        <f>"9789819668663"</f>
        <v>9789819668663</v>
      </c>
      <c r="F775" s="2" t="str">
        <f>"9789819668670"</f>
        <v>9789819668670</v>
      </c>
    </row>
    <row r="776" spans="1:6" s="3" customFormat="1" ht="29.1" customHeight="1" x14ac:dyDescent="0.25">
      <c r="A776" s="2" t="s">
        <v>1873</v>
      </c>
      <c r="B776" s="2" t="s">
        <v>1874</v>
      </c>
      <c r="C776" s="2" t="s">
        <v>5</v>
      </c>
      <c r="D776" s="2" t="s">
        <v>294</v>
      </c>
      <c r="E776" s="2" t="str">
        <f>"9783031835667"</f>
        <v>9783031835667</v>
      </c>
      <c r="F776" s="2" t="str">
        <f>"9783031835674"</f>
        <v>9783031835674</v>
      </c>
    </row>
    <row r="777" spans="1:6" s="3" customFormat="1" ht="29.1" customHeight="1" x14ac:dyDescent="0.25">
      <c r="A777" s="2" t="s">
        <v>1875</v>
      </c>
      <c r="B777" s="2" t="s">
        <v>1876</v>
      </c>
      <c r="C777" s="2" t="s">
        <v>5</v>
      </c>
      <c r="D777" s="2" t="s">
        <v>378</v>
      </c>
      <c r="E777" s="2" t="str">
        <f>"9783032056436"</f>
        <v>9783032056436</v>
      </c>
      <c r="F777" s="2" t="str">
        <f>"9783032056443"</f>
        <v>9783032056443</v>
      </c>
    </row>
    <row r="778" spans="1:6" s="3" customFormat="1" ht="29.1" customHeight="1" x14ac:dyDescent="0.25">
      <c r="A778" s="2" t="s">
        <v>1877</v>
      </c>
      <c r="B778" s="2" t="s">
        <v>1879</v>
      </c>
      <c r="C778" s="2" t="s">
        <v>5</v>
      </c>
      <c r="D778" s="2" t="s">
        <v>1878</v>
      </c>
      <c r="E778" s="2" t="str">
        <f>"9783031898358"</f>
        <v>9783031898358</v>
      </c>
      <c r="F778" s="2" t="str">
        <f>"9783031898365"</f>
        <v>9783031898365</v>
      </c>
    </row>
    <row r="779" spans="1:6" s="3" customFormat="1" ht="29.1" customHeight="1" x14ac:dyDescent="0.25">
      <c r="A779" s="2" t="s">
        <v>1880</v>
      </c>
      <c r="B779" s="2" t="s">
        <v>1881</v>
      </c>
      <c r="C779" s="2" t="s">
        <v>5</v>
      </c>
      <c r="D779" s="2" t="s">
        <v>270</v>
      </c>
      <c r="E779" s="2" t="str">
        <f>"9783658491963"</f>
        <v>9783658491963</v>
      </c>
      <c r="F779" s="2" t="str">
        <f>"9783658491970"</f>
        <v>9783658491970</v>
      </c>
    </row>
    <row r="780" spans="1:6" s="3" customFormat="1" ht="29.1" customHeight="1" x14ac:dyDescent="0.25">
      <c r="A780" s="2" t="s">
        <v>1882</v>
      </c>
      <c r="B780" s="2" t="s">
        <v>1884</v>
      </c>
      <c r="C780" s="2" t="s">
        <v>5</v>
      </c>
      <c r="D780" s="2" t="s">
        <v>1883</v>
      </c>
      <c r="E780" s="2" t="str">
        <f>"9783662710784"</f>
        <v>9783662710784</v>
      </c>
      <c r="F780" s="2" t="str">
        <f>"9783662710791"</f>
        <v>9783662710791</v>
      </c>
    </row>
    <row r="781" spans="1:6" s="3" customFormat="1" ht="29.1" customHeight="1" x14ac:dyDescent="0.25">
      <c r="A781" s="2" t="s">
        <v>1885</v>
      </c>
      <c r="B781" s="2" t="s">
        <v>1886</v>
      </c>
      <c r="C781" s="2" t="s">
        <v>5</v>
      </c>
      <c r="D781" s="2" t="s">
        <v>490</v>
      </c>
      <c r="E781" s="2" t="str">
        <f>"9783662718933"</f>
        <v>9783662718933</v>
      </c>
      <c r="F781" s="2" t="str">
        <f>"9783662718940"</f>
        <v>9783662718940</v>
      </c>
    </row>
    <row r="782" spans="1:6" s="3" customFormat="1" ht="29.1" customHeight="1" x14ac:dyDescent="0.25">
      <c r="A782" s="2" t="s">
        <v>1887</v>
      </c>
      <c r="B782" s="2" t="s">
        <v>1889</v>
      </c>
      <c r="C782" s="2" t="s">
        <v>5</v>
      </c>
      <c r="D782" s="2" t="s">
        <v>1888</v>
      </c>
      <c r="E782" s="2" t="str">
        <f>"9783031943775"</f>
        <v>9783031943775</v>
      </c>
      <c r="F782" s="2" t="str">
        <f>"9783031943782"</f>
        <v>9783031943782</v>
      </c>
    </row>
    <row r="783" spans="1:6" s="3" customFormat="1" ht="29.1" customHeight="1" x14ac:dyDescent="0.25">
      <c r="A783" s="2" t="s">
        <v>1890</v>
      </c>
      <c r="B783" s="2" t="s">
        <v>1891</v>
      </c>
      <c r="C783" s="2" t="s">
        <v>5</v>
      </c>
      <c r="D783" s="2" t="s">
        <v>168</v>
      </c>
      <c r="E783" s="2" t="str">
        <f>"9783032016881"</f>
        <v>9783032016881</v>
      </c>
      <c r="F783" s="2" t="str">
        <f>"9783032016898"</f>
        <v>9783032016898</v>
      </c>
    </row>
    <row r="784" spans="1:6" s="3" customFormat="1" ht="29.1" customHeight="1" x14ac:dyDescent="0.25">
      <c r="A784" s="2" t="s">
        <v>1892</v>
      </c>
      <c r="B784" s="2" t="s">
        <v>1893</v>
      </c>
      <c r="C784" s="2" t="s">
        <v>5</v>
      </c>
      <c r="D784" s="2" t="s">
        <v>183</v>
      </c>
      <c r="E784" s="2" t="str">
        <f>"9783658490003"</f>
        <v>9783658490003</v>
      </c>
      <c r="F784" s="2" t="str">
        <f>"9783658490010"</f>
        <v>9783658490010</v>
      </c>
    </row>
    <row r="785" spans="1:6" s="3" customFormat="1" ht="29.1" customHeight="1" x14ac:dyDescent="0.25">
      <c r="A785" s="2" t="s">
        <v>1894</v>
      </c>
      <c r="B785" s="2" t="s">
        <v>1896</v>
      </c>
      <c r="C785" s="2" t="s">
        <v>5</v>
      </c>
      <c r="D785" s="2" t="s">
        <v>1895</v>
      </c>
      <c r="E785" s="2" t="str">
        <f>"9783031987236"</f>
        <v>9783031987236</v>
      </c>
      <c r="F785" s="2" t="str">
        <f>"9783031987243"</f>
        <v>9783031987243</v>
      </c>
    </row>
    <row r="786" spans="1:6" s="3" customFormat="1" ht="29.1" customHeight="1" x14ac:dyDescent="0.25">
      <c r="A786" s="2" t="s">
        <v>1897</v>
      </c>
      <c r="B786" s="2" t="s">
        <v>1899</v>
      </c>
      <c r="C786" s="2" t="s">
        <v>5</v>
      </c>
      <c r="D786" s="2" t="s">
        <v>1898</v>
      </c>
      <c r="E786" s="2" t="str">
        <f>"9783031985799"</f>
        <v>9783031985799</v>
      </c>
      <c r="F786" s="2" t="str">
        <f>"9783031985805"</f>
        <v>9783031985805</v>
      </c>
    </row>
    <row r="787" spans="1:6" s="3" customFormat="1" ht="29.1" customHeight="1" x14ac:dyDescent="0.25">
      <c r="A787" s="2" t="s">
        <v>1900</v>
      </c>
      <c r="B787" s="2" t="s">
        <v>1901</v>
      </c>
      <c r="C787" s="2" t="s">
        <v>5</v>
      </c>
      <c r="D787" s="2" t="s">
        <v>550</v>
      </c>
      <c r="E787" s="2" t="str">
        <f>"9783032000552"</f>
        <v>9783032000552</v>
      </c>
      <c r="F787" s="2" t="str">
        <f>"9783032000569"</f>
        <v>9783032000569</v>
      </c>
    </row>
    <row r="788" spans="1:6" s="3" customFormat="1" ht="29.1" customHeight="1" x14ac:dyDescent="0.25">
      <c r="A788" s="2" t="s">
        <v>847</v>
      </c>
      <c r="B788" s="2" t="s">
        <v>848</v>
      </c>
      <c r="C788" s="2" t="s">
        <v>5</v>
      </c>
      <c r="D788" s="2" t="s">
        <v>1902</v>
      </c>
      <c r="E788" s="2" t="str">
        <f>"9783032013767"</f>
        <v>9783032013767</v>
      </c>
      <c r="F788" s="2" t="str">
        <f>"9783032013774"</f>
        <v>9783032013774</v>
      </c>
    </row>
    <row r="789" spans="1:6" s="3" customFormat="1" ht="29.1" customHeight="1" x14ac:dyDescent="0.25">
      <c r="A789" s="2" t="s">
        <v>1903</v>
      </c>
      <c r="B789" s="2" t="s">
        <v>1904</v>
      </c>
      <c r="C789" s="2" t="s">
        <v>5</v>
      </c>
      <c r="D789" s="2" t="s">
        <v>144</v>
      </c>
      <c r="E789" s="2" t="str">
        <f>"9789819693849"</f>
        <v>9789819693849</v>
      </c>
      <c r="F789" s="2" t="str">
        <f>"9789819693856"</f>
        <v>9789819693856</v>
      </c>
    </row>
    <row r="790" spans="1:6" s="3" customFormat="1" ht="29.1" customHeight="1" x14ac:dyDescent="0.25">
      <c r="A790" s="2" t="s">
        <v>1905</v>
      </c>
      <c r="B790" s="2" t="s">
        <v>1906</v>
      </c>
      <c r="C790" s="2" t="s">
        <v>5</v>
      </c>
      <c r="D790" s="2" t="s">
        <v>89</v>
      </c>
      <c r="E790" s="2" t="str">
        <f>"9783031977541"</f>
        <v>9783031977541</v>
      </c>
      <c r="F790" s="2" t="str">
        <f>"9783031977558"</f>
        <v>9783031977558</v>
      </c>
    </row>
    <row r="791" spans="1:6" s="3" customFormat="1" ht="29.1" customHeight="1" x14ac:dyDescent="0.25">
      <c r="A791" s="2" t="s">
        <v>1907</v>
      </c>
      <c r="B791" s="2" t="s">
        <v>1909</v>
      </c>
      <c r="C791" s="2" t="s">
        <v>5</v>
      </c>
      <c r="D791" s="2" t="s">
        <v>1908</v>
      </c>
      <c r="E791" s="2" t="str">
        <f>"9789819655298"</f>
        <v>9789819655298</v>
      </c>
      <c r="F791" s="2" t="str">
        <f>"9789819655274"</f>
        <v>9789819655274</v>
      </c>
    </row>
    <row r="792" spans="1:6" s="3" customFormat="1" ht="29.1" customHeight="1" x14ac:dyDescent="0.25">
      <c r="A792" s="2" t="s">
        <v>1910</v>
      </c>
      <c r="B792" s="2" t="s">
        <v>1911</v>
      </c>
      <c r="C792" s="2" t="s">
        <v>5</v>
      </c>
      <c r="D792" s="2" t="s">
        <v>650</v>
      </c>
      <c r="E792" s="2" t="str">
        <f>"9783658490218"</f>
        <v>9783658490218</v>
      </c>
      <c r="F792" s="2" t="str">
        <f>"9783658490225"</f>
        <v>9783658490225</v>
      </c>
    </row>
    <row r="793" spans="1:6" s="3" customFormat="1" ht="29.1" customHeight="1" x14ac:dyDescent="0.25">
      <c r="A793" s="2" t="s">
        <v>1912</v>
      </c>
      <c r="B793" s="2" t="s">
        <v>1914</v>
      </c>
      <c r="C793" s="2" t="s">
        <v>5</v>
      </c>
      <c r="D793" s="2" t="s">
        <v>1913</v>
      </c>
      <c r="E793" s="2" t="str">
        <f>"9783031958151"</f>
        <v>9783031958151</v>
      </c>
      <c r="F793" s="2" t="str">
        <f>"9783031958168"</f>
        <v>9783031958168</v>
      </c>
    </row>
    <row r="794" spans="1:6" s="3" customFormat="1" ht="29.1" customHeight="1" x14ac:dyDescent="0.25">
      <c r="A794" s="2" t="s">
        <v>1915</v>
      </c>
      <c r="B794" s="2" t="s">
        <v>1916</v>
      </c>
      <c r="C794" s="2" t="s">
        <v>5</v>
      </c>
      <c r="D794" s="2" t="s">
        <v>12</v>
      </c>
      <c r="E794" s="2" t="str">
        <f>"9789819679324"</f>
        <v>9789819679324</v>
      </c>
      <c r="F794" s="2" t="str">
        <f>"9789819679331"</f>
        <v>9789819679331</v>
      </c>
    </row>
    <row r="795" spans="1:6" s="3" customFormat="1" ht="29.1" customHeight="1" x14ac:dyDescent="0.25">
      <c r="A795" s="2" t="s">
        <v>1917</v>
      </c>
      <c r="B795" s="2" t="s">
        <v>1918</v>
      </c>
      <c r="C795" s="2" t="s">
        <v>5</v>
      </c>
      <c r="D795" s="2" t="s">
        <v>479</v>
      </c>
      <c r="E795" s="2" t="str">
        <f>"9783032015976"</f>
        <v>9783032015976</v>
      </c>
      <c r="F795" s="2" t="str">
        <f>"9783032015983"</f>
        <v>9783032015983</v>
      </c>
    </row>
    <row r="796" spans="1:6" s="3" customFormat="1" ht="29.1" customHeight="1" x14ac:dyDescent="0.25">
      <c r="A796" s="2" t="s">
        <v>1919</v>
      </c>
      <c r="B796" s="2" t="s">
        <v>1920</v>
      </c>
      <c r="C796" s="2" t="s">
        <v>5</v>
      </c>
      <c r="D796" s="2" t="s">
        <v>15</v>
      </c>
      <c r="E796" s="2" t="str">
        <f>"9783031886003"</f>
        <v>9783031886003</v>
      </c>
      <c r="F796" s="2" t="str">
        <f>"9783031886010"</f>
        <v>9783031886010</v>
      </c>
    </row>
    <row r="797" spans="1:6" s="3" customFormat="1" ht="29.1" customHeight="1" x14ac:dyDescent="0.25">
      <c r="A797" s="2" t="s">
        <v>1921</v>
      </c>
      <c r="B797" s="2" t="s">
        <v>1922</v>
      </c>
      <c r="C797" s="2" t="s">
        <v>5</v>
      </c>
      <c r="D797" s="2" t="s">
        <v>350</v>
      </c>
      <c r="E797" s="2" t="str">
        <f>"9783031956898"</f>
        <v>9783031956898</v>
      </c>
      <c r="F797" s="2" t="str">
        <f>"9783031956904"</f>
        <v>9783031956904</v>
      </c>
    </row>
    <row r="798" spans="1:6" s="3" customFormat="1" ht="29.1" customHeight="1" x14ac:dyDescent="0.25">
      <c r="A798" s="2" t="s">
        <v>1923</v>
      </c>
      <c r="B798" s="2" t="s">
        <v>1925</v>
      </c>
      <c r="C798" s="2" t="s">
        <v>5</v>
      </c>
      <c r="D798" s="2" t="s">
        <v>1924</v>
      </c>
      <c r="E798" s="2" t="str">
        <f>"9789819510160"</f>
        <v>9789819510160</v>
      </c>
      <c r="F798" s="2" t="str">
        <f>"9789819510177"</f>
        <v>9789819510177</v>
      </c>
    </row>
    <row r="799" spans="1:6" s="3" customFormat="1" ht="29.1" customHeight="1" x14ac:dyDescent="0.25">
      <c r="A799" s="2" t="s">
        <v>1926</v>
      </c>
      <c r="B799" s="2" t="s">
        <v>1928</v>
      </c>
      <c r="C799" s="2" t="s">
        <v>5</v>
      </c>
      <c r="D799" s="2" t="s">
        <v>1927</v>
      </c>
      <c r="E799" s="2" t="str">
        <f>"9783031996283"</f>
        <v>9783031996283</v>
      </c>
      <c r="F799" s="2" t="str">
        <f>"9783031996290"</f>
        <v>9783031996290</v>
      </c>
    </row>
    <row r="800" spans="1:6" s="3" customFormat="1" ht="29.1" customHeight="1" x14ac:dyDescent="0.25">
      <c r="A800" s="2" t="s">
        <v>1929</v>
      </c>
      <c r="B800" s="2" t="s">
        <v>1930</v>
      </c>
      <c r="C800" s="2" t="s">
        <v>5</v>
      </c>
      <c r="D800" s="2" t="s">
        <v>547</v>
      </c>
      <c r="E800" s="2" t="str">
        <f>"9783031981524"</f>
        <v>9783031981524</v>
      </c>
      <c r="F800" s="2" t="str">
        <f>"9783031981531"</f>
        <v>9783031981531</v>
      </c>
    </row>
    <row r="801" spans="1:6" s="3" customFormat="1" ht="29.1" customHeight="1" x14ac:dyDescent="0.25">
      <c r="A801" s="2" t="s">
        <v>1931</v>
      </c>
      <c r="B801" s="2" t="s">
        <v>1933</v>
      </c>
      <c r="C801" s="2" t="s">
        <v>5</v>
      </c>
      <c r="D801" s="2" t="s">
        <v>1932</v>
      </c>
      <c r="E801" s="2" t="str">
        <f>"9789819511204"</f>
        <v>9789819511204</v>
      </c>
      <c r="F801" s="2" t="str">
        <f>"9789819511211"</f>
        <v>9789819511211</v>
      </c>
    </row>
    <row r="802" spans="1:6" s="3" customFormat="1" ht="29.1" customHeight="1" x14ac:dyDescent="0.25">
      <c r="A802" s="2" t="s">
        <v>1934</v>
      </c>
      <c r="B802" s="2" t="s">
        <v>1936</v>
      </c>
      <c r="C802" s="2" t="s">
        <v>1935</v>
      </c>
      <c r="D802" s="2"/>
      <c r="E802" s="2" t="str">
        <f>"9789888900831"</f>
        <v>9789888900831</v>
      </c>
      <c r="F802" s="2" t="str">
        <f>"9789888900244"</f>
        <v>9789888900244</v>
      </c>
    </row>
    <row r="803" spans="1:6" s="3" customFormat="1" ht="29.1" customHeight="1" x14ac:dyDescent="0.25">
      <c r="A803" s="2" t="s">
        <v>1937</v>
      </c>
      <c r="B803" s="2" t="s">
        <v>1939</v>
      </c>
      <c r="C803" s="2" t="s">
        <v>305</v>
      </c>
      <c r="D803" s="2" t="s">
        <v>1938</v>
      </c>
      <c r="E803" s="2"/>
      <c r="F803" s="2" t="str">
        <f>"9786218438125"</f>
        <v>9786218438125</v>
      </c>
    </row>
    <row r="804" spans="1:6" s="3" customFormat="1" ht="29.1" customHeight="1" x14ac:dyDescent="0.25">
      <c r="A804" s="2" t="s">
        <v>1940</v>
      </c>
      <c r="B804" s="2" t="s">
        <v>1942</v>
      </c>
      <c r="C804" s="2" t="s">
        <v>149</v>
      </c>
      <c r="D804" s="2" t="s">
        <v>1941</v>
      </c>
      <c r="E804" s="2" t="str">
        <f>"9781951399504"</f>
        <v>9781951399504</v>
      </c>
      <c r="F804" s="2" t="str">
        <f>"9781951399474"</f>
        <v>9781951399474</v>
      </c>
    </row>
    <row r="805" spans="1:6" s="3" customFormat="1" ht="29.1" customHeight="1" x14ac:dyDescent="0.25">
      <c r="A805" s="2" t="s">
        <v>1943</v>
      </c>
      <c r="B805" s="2" t="s">
        <v>1945</v>
      </c>
      <c r="C805" s="2" t="s">
        <v>29</v>
      </c>
      <c r="D805" s="2" t="s">
        <v>1944</v>
      </c>
      <c r="E805" s="2" t="str">
        <f>"9783770569687"</f>
        <v>9783770569687</v>
      </c>
      <c r="F805" s="2" t="str">
        <f>"9783846769683"</f>
        <v>9783846769683</v>
      </c>
    </row>
    <row r="806" spans="1:6" s="3" customFormat="1" ht="29.1" customHeight="1" x14ac:dyDescent="0.25">
      <c r="A806" s="2" t="s">
        <v>1946</v>
      </c>
      <c r="B806" s="2" t="s">
        <v>1947</v>
      </c>
      <c r="C806" s="2" t="s">
        <v>29</v>
      </c>
      <c r="D806" s="2" t="s">
        <v>243</v>
      </c>
      <c r="E806" s="2" t="str">
        <f>"9783506797919"</f>
        <v>9783506797919</v>
      </c>
      <c r="F806" s="2" t="str">
        <f>"9783657797912"</f>
        <v>9783657797912</v>
      </c>
    </row>
    <row r="807" spans="1:6" s="3" customFormat="1" ht="29.1" customHeight="1" x14ac:dyDescent="0.25">
      <c r="A807" s="2" t="s">
        <v>1948</v>
      </c>
      <c r="B807" s="2" t="s">
        <v>1949</v>
      </c>
      <c r="C807" s="2" t="s">
        <v>36</v>
      </c>
      <c r="D807" s="2" t="s">
        <v>249</v>
      </c>
      <c r="E807" s="2"/>
      <c r="F807" s="2" t="str">
        <f>"9781447371496"</f>
        <v>9781447371496</v>
      </c>
    </row>
    <row r="808" spans="1:6" s="3" customFormat="1" ht="29.1" customHeight="1" x14ac:dyDescent="0.25">
      <c r="A808" s="2" t="s">
        <v>1950</v>
      </c>
      <c r="B808" s="2" t="s">
        <v>1951</v>
      </c>
      <c r="C808" s="2" t="s">
        <v>124</v>
      </c>
      <c r="D808" s="2" t="s">
        <v>1198</v>
      </c>
      <c r="E808" s="2" t="str">
        <f>"9789089647184"</f>
        <v>9789089647184</v>
      </c>
      <c r="F808" s="2" t="str">
        <f>"9789048524495"</f>
        <v>9789048524495</v>
      </c>
    </row>
    <row r="809" spans="1:6" s="3" customFormat="1" ht="29.1" customHeight="1" x14ac:dyDescent="0.25">
      <c r="A809" s="2" t="s">
        <v>1952</v>
      </c>
      <c r="B809" s="2" t="s">
        <v>1954</v>
      </c>
      <c r="C809" s="2" t="s">
        <v>1953</v>
      </c>
      <c r="D809" s="2" t="s">
        <v>727</v>
      </c>
      <c r="E809" s="2"/>
      <c r="F809" s="2" t="str">
        <f>"9798895306253"</f>
        <v>9798895306253</v>
      </c>
    </row>
    <row r="810" spans="1:6" s="3" customFormat="1" ht="29.1" customHeight="1" x14ac:dyDescent="0.25">
      <c r="A810" s="2" t="s">
        <v>1955</v>
      </c>
      <c r="B810" s="2" t="s">
        <v>1957</v>
      </c>
      <c r="C810" s="2" t="s">
        <v>1953</v>
      </c>
      <c r="D810" s="2" t="s">
        <v>1956</v>
      </c>
      <c r="E810" s="2"/>
      <c r="F810" s="2" t="str">
        <f>"9798895305829"</f>
        <v>9798895305829</v>
      </c>
    </row>
    <row r="811" spans="1:6" s="3" customFormat="1" ht="29.1" customHeight="1" x14ac:dyDescent="0.25">
      <c r="A811" s="2" t="s">
        <v>1958</v>
      </c>
      <c r="B811" s="2" t="s">
        <v>1960</v>
      </c>
      <c r="C811" s="2" t="s">
        <v>1953</v>
      </c>
      <c r="D811" s="2" t="s">
        <v>1959</v>
      </c>
      <c r="E811" s="2"/>
      <c r="F811" s="2" t="str">
        <f>"9798895305270"</f>
        <v>9798895305270</v>
      </c>
    </row>
    <row r="812" spans="1:6" s="3" customFormat="1" ht="29.1" customHeight="1" x14ac:dyDescent="0.25">
      <c r="A812" s="2" t="s">
        <v>1961</v>
      </c>
      <c r="B812" s="2" t="s">
        <v>1963</v>
      </c>
      <c r="C812" s="2" t="s">
        <v>1953</v>
      </c>
      <c r="D812" s="2" t="s">
        <v>1962</v>
      </c>
      <c r="E812" s="2"/>
      <c r="F812" s="2" t="str">
        <f>"9798895305478"</f>
        <v>9798895305478</v>
      </c>
    </row>
    <row r="813" spans="1:6" s="3" customFormat="1" ht="29.1" customHeight="1" x14ac:dyDescent="0.25">
      <c r="A813" s="2" t="s">
        <v>1964</v>
      </c>
      <c r="B813" s="2" t="s">
        <v>1965</v>
      </c>
      <c r="C813" s="2" t="s">
        <v>1953</v>
      </c>
      <c r="D813" s="2" t="s">
        <v>186</v>
      </c>
      <c r="E813" s="2"/>
      <c r="F813" s="2" t="str">
        <f>"9798895303696"</f>
        <v>9798895303696</v>
      </c>
    </row>
    <row r="814" spans="1:6" s="3" customFormat="1" ht="29.1" customHeight="1" x14ac:dyDescent="0.25">
      <c r="A814" s="2" t="s">
        <v>1966</v>
      </c>
      <c r="B814" s="2" t="s">
        <v>1967</v>
      </c>
      <c r="C814" s="2" t="s">
        <v>1953</v>
      </c>
      <c r="D814" s="2" t="s">
        <v>1245</v>
      </c>
      <c r="E814" s="2"/>
      <c r="F814" s="2" t="str">
        <f>"9798895301159"</f>
        <v>9798895301159</v>
      </c>
    </row>
    <row r="815" spans="1:6" s="3" customFormat="1" ht="29.1" customHeight="1" x14ac:dyDescent="0.25">
      <c r="A815" s="2" t="s">
        <v>1968</v>
      </c>
      <c r="B815" s="2" t="s">
        <v>1969</v>
      </c>
      <c r="C815" s="2" t="s">
        <v>5</v>
      </c>
      <c r="D815" s="2" t="s">
        <v>501</v>
      </c>
      <c r="E815" s="2" t="str">
        <f>"9789819502721"</f>
        <v>9789819502721</v>
      </c>
      <c r="F815" s="2" t="str">
        <f>"9789819502738"</f>
        <v>9789819502738</v>
      </c>
    </row>
    <row r="816" spans="1:6" s="3" customFormat="1" ht="29.1" customHeight="1" x14ac:dyDescent="0.25">
      <c r="A816" s="2" t="s">
        <v>1970</v>
      </c>
      <c r="B816" s="2" t="s">
        <v>1971</v>
      </c>
      <c r="C816" s="2" t="s">
        <v>124</v>
      </c>
      <c r="D816" s="2" t="s">
        <v>446</v>
      </c>
      <c r="E816" s="2" t="str">
        <f>"9781032649245"</f>
        <v>9781032649245</v>
      </c>
      <c r="F816" s="2" t="str">
        <f>"9781032649269"</f>
        <v>9781032649269</v>
      </c>
    </row>
    <row r="817" spans="1:6" s="3" customFormat="1" ht="29.1" customHeight="1" x14ac:dyDescent="0.25">
      <c r="A817" s="2" t="s">
        <v>1972</v>
      </c>
      <c r="B817" s="2" t="s">
        <v>1973</v>
      </c>
      <c r="C817" s="2" t="s">
        <v>5</v>
      </c>
      <c r="D817" s="2" t="s">
        <v>682</v>
      </c>
      <c r="E817" s="2" t="str">
        <f>"9782384764679"</f>
        <v>9782384764679</v>
      </c>
      <c r="F817" s="2" t="str">
        <f>"9782384764686"</f>
        <v>9782384764686</v>
      </c>
    </row>
    <row r="818" spans="1:6" s="3" customFormat="1" ht="29.1" customHeight="1" x14ac:dyDescent="0.25">
      <c r="A818" s="2" t="s">
        <v>1974</v>
      </c>
      <c r="B818" s="2" t="s">
        <v>1976</v>
      </c>
      <c r="C818" s="2" t="s">
        <v>29</v>
      </c>
      <c r="D818" s="2" t="s">
        <v>1975</v>
      </c>
      <c r="E818" s="2" t="str">
        <f>"9789004734333"</f>
        <v>9789004734333</v>
      </c>
      <c r="F818" s="2" t="str">
        <f>"9789004734364"</f>
        <v>9789004734364</v>
      </c>
    </row>
    <row r="819" spans="1:6" s="3" customFormat="1" ht="29.1" customHeight="1" x14ac:dyDescent="0.25">
      <c r="A819" s="2" t="s">
        <v>1977</v>
      </c>
      <c r="B819" s="2" t="s">
        <v>1978</v>
      </c>
      <c r="C819" s="2" t="s">
        <v>927</v>
      </c>
      <c r="D819" s="2" t="s">
        <v>210</v>
      </c>
      <c r="E819" s="2" t="str">
        <f>"9780472114788"</f>
        <v>9780472114788</v>
      </c>
      <c r="F819" s="2" t="str">
        <f>"9780472905676"</f>
        <v>9780472905676</v>
      </c>
    </row>
    <row r="820" spans="1:6" s="3" customFormat="1" ht="29.1" customHeight="1" x14ac:dyDescent="0.25">
      <c r="A820" s="2" t="s">
        <v>1979</v>
      </c>
      <c r="B820" s="2"/>
      <c r="C820" s="2" t="s">
        <v>195</v>
      </c>
      <c r="D820" s="2" t="s">
        <v>186</v>
      </c>
      <c r="E820" s="2"/>
      <c r="F820" s="2" t="str">
        <f>"9788367405836"</f>
        <v>9788367405836</v>
      </c>
    </row>
    <row r="821" spans="1:6" s="3" customFormat="1" ht="29.1" customHeight="1" x14ac:dyDescent="0.25">
      <c r="A821" s="2" t="s">
        <v>1980</v>
      </c>
      <c r="B821" s="2" t="s">
        <v>1981</v>
      </c>
      <c r="C821" s="2" t="s">
        <v>5</v>
      </c>
      <c r="D821" s="2" t="s">
        <v>52</v>
      </c>
      <c r="E821" s="2" t="str">
        <f>"9783032060846"</f>
        <v>9783032060846</v>
      </c>
      <c r="F821" s="2" t="str">
        <f>"9783032060853"</f>
        <v>9783032060853</v>
      </c>
    </row>
    <row r="822" spans="1:6" s="3" customFormat="1" ht="29.1" customHeight="1" x14ac:dyDescent="0.25">
      <c r="A822" s="2" t="s">
        <v>1982</v>
      </c>
      <c r="B822" s="2" t="s">
        <v>1983</v>
      </c>
      <c r="C822" s="2" t="s">
        <v>5</v>
      </c>
      <c r="D822" s="2" t="s">
        <v>347</v>
      </c>
      <c r="E822" s="2" t="str">
        <f>"9783032025647"</f>
        <v>9783032025647</v>
      </c>
      <c r="F822" s="2" t="str">
        <f>"9783032025654"</f>
        <v>9783032025654</v>
      </c>
    </row>
    <row r="823" spans="1:6" s="3" customFormat="1" ht="29.1" customHeight="1" x14ac:dyDescent="0.25">
      <c r="A823" s="2" t="s">
        <v>1984</v>
      </c>
      <c r="B823" s="2" t="s">
        <v>1986</v>
      </c>
      <c r="C823" s="2" t="s">
        <v>195</v>
      </c>
      <c r="D823" s="2" t="s">
        <v>1985</v>
      </c>
      <c r="E823" s="2" t="str">
        <f>"9783035628333"</f>
        <v>9783035628333</v>
      </c>
      <c r="F823" s="2" t="str">
        <f>"9783035628357"</f>
        <v>9783035628357</v>
      </c>
    </row>
    <row r="824" spans="1:6" s="3" customFormat="1" ht="29.1" customHeight="1" x14ac:dyDescent="0.25">
      <c r="A824" s="2" t="s">
        <v>1987</v>
      </c>
      <c r="B824" s="2" t="s">
        <v>1989</v>
      </c>
      <c r="C824" s="2" t="s">
        <v>595</v>
      </c>
      <c r="D824" s="2" t="s">
        <v>1988</v>
      </c>
      <c r="E824" s="2" t="str">
        <f>"9783631932872"</f>
        <v>9783631932872</v>
      </c>
      <c r="F824" s="2" t="str">
        <f>"9783631934241"</f>
        <v>9783631934241</v>
      </c>
    </row>
    <row r="825" spans="1:6" s="3" customFormat="1" ht="29.1" customHeight="1" x14ac:dyDescent="0.25">
      <c r="A825" s="2" t="s">
        <v>1990</v>
      </c>
      <c r="B825" s="2" t="s">
        <v>1991</v>
      </c>
      <c r="C825" s="2" t="s">
        <v>149</v>
      </c>
      <c r="D825" s="2" t="s">
        <v>183</v>
      </c>
      <c r="E825" s="2" t="str">
        <f>"9781912186969"</f>
        <v>9781912186969</v>
      </c>
      <c r="F825" s="2" t="str">
        <f>"9781912186976"</f>
        <v>9781912186976</v>
      </c>
    </row>
    <row r="826" spans="1:6" s="3" customFormat="1" ht="29.1" customHeight="1" x14ac:dyDescent="0.25">
      <c r="A826" s="2" t="s">
        <v>1992</v>
      </c>
      <c r="B826" s="2" t="s">
        <v>1994</v>
      </c>
      <c r="C826" s="2" t="s">
        <v>149</v>
      </c>
      <c r="D826" s="2" t="s">
        <v>1993</v>
      </c>
      <c r="E826" s="2" t="str">
        <f>"9781685712365"</f>
        <v>9781685712365</v>
      </c>
      <c r="F826" s="2" t="str">
        <f>"9781685712372"</f>
        <v>9781685712372</v>
      </c>
    </row>
    <row r="827" spans="1:6" s="3" customFormat="1" ht="29.1" customHeight="1" x14ac:dyDescent="0.25">
      <c r="A827" s="2" t="s">
        <v>1995</v>
      </c>
      <c r="B827" s="2" t="s">
        <v>1997</v>
      </c>
      <c r="C827" s="2" t="s">
        <v>149</v>
      </c>
      <c r="D827" s="2" t="s">
        <v>1996</v>
      </c>
      <c r="E827" s="2" t="str">
        <f>"9781805117148"</f>
        <v>9781805117148</v>
      </c>
      <c r="F827" s="2" t="str">
        <f>"9781805117162"</f>
        <v>9781805117162</v>
      </c>
    </row>
    <row r="828" spans="1:6" s="3" customFormat="1" ht="29.1" customHeight="1" x14ac:dyDescent="0.25">
      <c r="A828" s="2" t="s">
        <v>1998</v>
      </c>
      <c r="B828" s="2" t="s">
        <v>2000</v>
      </c>
      <c r="C828" s="2" t="s">
        <v>149</v>
      </c>
      <c r="D828" s="2" t="s">
        <v>1999</v>
      </c>
      <c r="E828" s="2" t="str">
        <f>"9781805116967"</f>
        <v>9781805116967</v>
      </c>
      <c r="F828" s="2" t="str">
        <f>"9781805116981"</f>
        <v>9781805116981</v>
      </c>
    </row>
    <row r="829" spans="1:6" s="3" customFormat="1" ht="29.1" customHeight="1" x14ac:dyDescent="0.25">
      <c r="A829" s="2" t="s">
        <v>2001</v>
      </c>
      <c r="B829" s="2" t="s">
        <v>2003</v>
      </c>
      <c r="C829" s="2" t="s">
        <v>149</v>
      </c>
      <c r="D829" s="2" t="s">
        <v>2002</v>
      </c>
      <c r="E829" s="2" t="str">
        <f>"9781805116028"</f>
        <v>9781805116028</v>
      </c>
      <c r="F829" s="2" t="str">
        <f>"9781805116042"</f>
        <v>9781805116042</v>
      </c>
    </row>
    <row r="830" spans="1:6" s="3" customFormat="1" ht="29.1" customHeight="1" x14ac:dyDescent="0.25">
      <c r="A830" s="2" t="s">
        <v>2004</v>
      </c>
      <c r="B830" s="2" t="s">
        <v>2006</v>
      </c>
      <c r="C830" s="2" t="s">
        <v>5</v>
      </c>
      <c r="D830" s="2" t="s">
        <v>2005</v>
      </c>
      <c r="E830" s="2" t="str">
        <f>"9789819682713"</f>
        <v>9789819682713</v>
      </c>
      <c r="F830" s="2" t="str">
        <f>"9789819682720"</f>
        <v>9789819682720</v>
      </c>
    </row>
    <row r="831" spans="1:6" s="3" customFormat="1" ht="29.1" customHeight="1" x14ac:dyDescent="0.25">
      <c r="A831" s="2" t="s">
        <v>2007</v>
      </c>
      <c r="B831" s="2" t="s">
        <v>2009</v>
      </c>
      <c r="C831" s="2" t="s">
        <v>264</v>
      </c>
      <c r="D831" s="2" t="s">
        <v>2008</v>
      </c>
      <c r="E831" s="2" t="str">
        <f>"9781032857138"</f>
        <v>9781032857138</v>
      </c>
      <c r="F831" s="2" t="str">
        <f>"9781003583691"</f>
        <v>9781003583691</v>
      </c>
    </row>
    <row r="832" spans="1:6" s="3" customFormat="1" ht="29.1" customHeight="1" x14ac:dyDescent="0.25">
      <c r="A832" s="2" t="s">
        <v>2010</v>
      </c>
      <c r="B832" s="2" t="s">
        <v>2011</v>
      </c>
      <c r="C832" s="2" t="s">
        <v>36</v>
      </c>
      <c r="D832" s="2" t="s">
        <v>183</v>
      </c>
      <c r="E832" s="2"/>
      <c r="F832" s="2" t="str">
        <f>"9781529246735"</f>
        <v>9781529246735</v>
      </c>
    </row>
    <row r="833" spans="1:6" s="3" customFormat="1" ht="29.1" customHeight="1" x14ac:dyDescent="0.25">
      <c r="A833" s="2" t="s">
        <v>2012</v>
      </c>
      <c r="B833" s="2" t="s">
        <v>2014</v>
      </c>
      <c r="C833" s="2" t="s">
        <v>124</v>
      </c>
      <c r="D833" s="2" t="s">
        <v>2013</v>
      </c>
      <c r="E833" s="2" t="str">
        <f>"9781032786704"</f>
        <v>9781032786704</v>
      </c>
      <c r="F833" s="2" t="str">
        <f>"9781003491637"</f>
        <v>9781003491637</v>
      </c>
    </row>
    <row r="834" spans="1:6" s="3" customFormat="1" ht="29.1" customHeight="1" x14ac:dyDescent="0.25">
      <c r="A834" s="2" t="s">
        <v>2015</v>
      </c>
      <c r="B834" s="2" t="s">
        <v>2017</v>
      </c>
      <c r="C834" s="2" t="s">
        <v>124</v>
      </c>
      <c r="D834" s="2" t="s">
        <v>2016</v>
      </c>
      <c r="E834" s="2" t="str">
        <f>"9781032964430"</f>
        <v>9781032964430</v>
      </c>
      <c r="F834" s="2" t="str">
        <f>"9781003589501"</f>
        <v>9781003589501</v>
      </c>
    </row>
    <row r="835" spans="1:6" s="3" customFormat="1" ht="29.1" customHeight="1" x14ac:dyDescent="0.25">
      <c r="A835" s="2" t="s">
        <v>2018</v>
      </c>
      <c r="B835" s="2" t="s">
        <v>2020</v>
      </c>
      <c r="C835" s="2" t="s">
        <v>29</v>
      </c>
      <c r="D835" s="2" t="s">
        <v>2019</v>
      </c>
      <c r="E835" s="2" t="str">
        <f>"9789004721357"</f>
        <v>9789004721357</v>
      </c>
      <c r="F835" s="2" t="str">
        <f>"9789004721364"</f>
        <v>9789004721364</v>
      </c>
    </row>
    <row r="836" spans="1:6" s="3" customFormat="1" ht="29.1" customHeight="1" x14ac:dyDescent="0.25">
      <c r="A836" s="2" t="s">
        <v>2021</v>
      </c>
      <c r="B836" s="2" t="s">
        <v>2022</v>
      </c>
      <c r="C836" s="2" t="s">
        <v>36</v>
      </c>
      <c r="D836" s="2" t="s">
        <v>1162</v>
      </c>
      <c r="E836" s="2"/>
      <c r="F836" s="2" t="str">
        <f>"9781529206852"</f>
        <v>9781529206852</v>
      </c>
    </row>
    <row r="837" spans="1:6" s="3" customFormat="1" ht="29.1" customHeight="1" x14ac:dyDescent="0.25">
      <c r="A837" s="2" t="s">
        <v>2023</v>
      </c>
      <c r="B837" s="2" t="s">
        <v>2024</v>
      </c>
      <c r="C837" s="2" t="s">
        <v>29</v>
      </c>
      <c r="D837" s="2" t="s">
        <v>210</v>
      </c>
      <c r="E837" s="2" t="str">
        <f>"9789004717336"</f>
        <v>9789004717336</v>
      </c>
      <c r="F837" s="2" t="str">
        <f>"9789004743878"</f>
        <v>9789004743878</v>
      </c>
    </row>
    <row r="838" spans="1:6" s="3" customFormat="1" ht="29.1" customHeight="1" x14ac:dyDescent="0.25">
      <c r="A838" s="2" t="s">
        <v>2025</v>
      </c>
      <c r="B838" s="2" t="s">
        <v>2026</v>
      </c>
      <c r="C838" s="2" t="s">
        <v>5</v>
      </c>
      <c r="D838" s="2" t="s">
        <v>606</v>
      </c>
      <c r="E838" s="2" t="str">
        <f>"9783031982378"</f>
        <v>9783031982378</v>
      </c>
      <c r="F838" s="2" t="str">
        <f>"9783031982385"</f>
        <v>9783031982385</v>
      </c>
    </row>
    <row r="839" spans="1:6" s="3" customFormat="1" ht="29.1" customHeight="1" x14ac:dyDescent="0.25">
      <c r="A839" s="2" t="s">
        <v>2027</v>
      </c>
      <c r="B839" s="2" t="s">
        <v>2028</v>
      </c>
      <c r="C839" s="2" t="s">
        <v>5</v>
      </c>
      <c r="D839" s="2" t="s">
        <v>44</v>
      </c>
      <c r="E839" s="2" t="str">
        <f>"9783032020970"</f>
        <v>9783032020970</v>
      </c>
      <c r="F839" s="2" t="str">
        <f>"9783032020987"</f>
        <v>9783032020987</v>
      </c>
    </row>
    <row r="840" spans="1:6" s="3" customFormat="1" ht="29.1" customHeight="1" x14ac:dyDescent="0.25">
      <c r="A840" s="2" t="s">
        <v>2029</v>
      </c>
      <c r="B840" s="2" t="s">
        <v>2031</v>
      </c>
      <c r="C840" s="2" t="s">
        <v>5</v>
      </c>
      <c r="D840" s="2" t="s">
        <v>2030</v>
      </c>
      <c r="E840" s="2" t="str">
        <f>"9789819629909"</f>
        <v>9789819629909</v>
      </c>
      <c r="F840" s="2" t="str">
        <f>"9789819629916"</f>
        <v>9789819629916</v>
      </c>
    </row>
    <row r="841" spans="1:6" s="3" customFormat="1" ht="29.1" customHeight="1" x14ac:dyDescent="0.25">
      <c r="A841" s="2" t="s">
        <v>2032</v>
      </c>
      <c r="B841" s="2" t="s">
        <v>2033</v>
      </c>
      <c r="C841" s="2" t="s">
        <v>624</v>
      </c>
      <c r="D841" s="2" t="s">
        <v>636</v>
      </c>
      <c r="E841" s="2" t="str">
        <f>"9789518589559"</f>
        <v>9789518589559</v>
      </c>
      <c r="F841" s="2" t="str">
        <f>"9789518589566"</f>
        <v>9789518589566</v>
      </c>
    </row>
    <row r="842" spans="1:6" s="3" customFormat="1" ht="29.1" customHeight="1" x14ac:dyDescent="0.25">
      <c r="A842" s="2" t="s">
        <v>2034</v>
      </c>
      <c r="B842" s="2" t="s">
        <v>2035</v>
      </c>
      <c r="C842" s="2" t="s">
        <v>624</v>
      </c>
      <c r="D842" s="2" t="s">
        <v>465</v>
      </c>
      <c r="E842" s="2" t="str">
        <f>"9789518589672"</f>
        <v>9789518589672</v>
      </c>
      <c r="F842" s="2" t="str">
        <f>"9789518589689"</f>
        <v>9789518589689</v>
      </c>
    </row>
    <row r="843" spans="1:6" s="3" customFormat="1" ht="29.1" customHeight="1" x14ac:dyDescent="0.25">
      <c r="A843" s="2" t="s">
        <v>2036</v>
      </c>
      <c r="B843" s="2" t="s">
        <v>2037</v>
      </c>
      <c r="C843" s="2" t="s">
        <v>624</v>
      </c>
      <c r="D843" s="2" t="s">
        <v>1162</v>
      </c>
      <c r="E843" s="2" t="str">
        <f>"9781951634506"</f>
        <v>9781951634506</v>
      </c>
      <c r="F843" s="2" t="str">
        <f>"9781951634520"</f>
        <v>9781951634520</v>
      </c>
    </row>
    <row r="844" spans="1:6" s="3" customFormat="1" ht="29.1" customHeight="1" x14ac:dyDescent="0.25">
      <c r="A844" s="2" t="s">
        <v>2038</v>
      </c>
      <c r="B844" s="2" t="s">
        <v>2039</v>
      </c>
      <c r="C844" s="2" t="s">
        <v>239</v>
      </c>
      <c r="D844" s="2" t="s">
        <v>1147</v>
      </c>
      <c r="E844" s="2" t="str">
        <f>"9780520409057"</f>
        <v>9780520409057</v>
      </c>
      <c r="F844" s="2" t="str">
        <f>"9780520409071"</f>
        <v>9780520409071</v>
      </c>
    </row>
    <row r="845" spans="1:6" s="3" customFormat="1" ht="29.1" customHeight="1" x14ac:dyDescent="0.25">
      <c r="A845" s="2" t="s">
        <v>2040</v>
      </c>
      <c r="B845" s="2" t="s">
        <v>2041</v>
      </c>
      <c r="C845" s="2" t="s">
        <v>5</v>
      </c>
      <c r="D845" s="2" t="s">
        <v>44</v>
      </c>
      <c r="E845" s="2" t="str">
        <f>"9789464638554"</f>
        <v>9789464638554</v>
      </c>
      <c r="F845" s="2" t="str">
        <f>"9789464638561"</f>
        <v>9789464638561</v>
      </c>
    </row>
    <row r="846" spans="1:6" s="3" customFormat="1" ht="29.1" customHeight="1" x14ac:dyDescent="0.25">
      <c r="A846" s="2" t="s">
        <v>2042</v>
      </c>
      <c r="B846" s="2" t="s">
        <v>2043</v>
      </c>
      <c r="C846" s="2" t="s">
        <v>5</v>
      </c>
      <c r="D846" s="2" t="s">
        <v>44</v>
      </c>
      <c r="E846" s="2" t="str">
        <f>"9789464638462"</f>
        <v>9789464638462</v>
      </c>
      <c r="F846" s="2" t="str">
        <f>"9789464638479"</f>
        <v>9789464638479</v>
      </c>
    </row>
    <row r="847" spans="1:6" s="3" customFormat="1" ht="29.1" customHeight="1" x14ac:dyDescent="0.25">
      <c r="A847" s="2" t="s">
        <v>2044</v>
      </c>
      <c r="B847" s="2" t="s">
        <v>2046</v>
      </c>
      <c r="C847" s="2" t="s">
        <v>248</v>
      </c>
      <c r="D847" s="2" t="s">
        <v>2045</v>
      </c>
      <c r="E847" s="2" t="str">
        <f>"9783847431466"</f>
        <v>9783847431466</v>
      </c>
      <c r="F847" s="2" t="str">
        <f>"9783847432838"</f>
        <v>9783847432838</v>
      </c>
    </row>
    <row r="848" spans="1:6" s="3" customFormat="1" ht="29.1" customHeight="1" x14ac:dyDescent="0.25">
      <c r="A848" s="2" t="s">
        <v>2047</v>
      </c>
      <c r="B848" s="2" t="s">
        <v>2049</v>
      </c>
      <c r="C848" s="2" t="s">
        <v>62</v>
      </c>
      <c r="D848" s="2" t="s">
        <v>2048</v>
      </c>
      <c r="E848" s="2" t="str">
        <f>"9783428195596"</f>
        <v>9783428195596</v>
      </c>
      <c r="F848" s="2" t="str">
        <f>"9783428595594"</f>
        <v>9783428595594</v>
      </c>
    </row>
    <row r="849" spans="1:6" s="3" customFormat="1" ht="29.1" customHeight="1" x14ac:dyDescent="0.25">
      <c r="A849" s="2" t="s">
        <v>2050</v>
      </c>
      <c r="B849" s="2" t="s">
        <v>1060</v>
      </c>
      <c r="C849" s="2" t="s">
        <v>316</v>
      </c>
      <c r="D849" s="2" t="s">
        <v>317</v>
      </c>
      <c r="E849" s="2" t="str">
        <f>"9783036409146"</f>
        <v>9783036409146</v>
      </c>
      <c r="F849" s="2" t="str">
        <f>"9783036419145"</f>
        <v>9783036419145</v>
      </c>
    </row>
    <row r="850" spans="1:6" s="3" customFormat="1" ht="29.1" customHeight="1" x14ac:dyDescent="0.25">
      <c r="A850" s="2" t="s">
        <v>2051</v>
      </c>
      <c r="B850" s="2" t="s">
        <v>1060</v>
      </c>
      <c r="C850" s="2" t="s">
        <v>316</v>
      </c>
      <c r="D850" s="2" t="s">
        <v>317</v>
      </c>
      <c r="E850" s="2" t="str">
        <f>"9783036409177"</f>
        <v>9783036409177</v>
      </c>
      <c r="F850" s="2" t="str">
        <f>"9783036419176"</f>
        <v>9783036419176</v>
      </c>
    </row>
    <row r="851" spans="1:6" s="3" customFormat="1" ht="29.1" customHeight="1" x14ac:dyDescent="0.25">
      <c r="A851" s="2" t="s">
        <v>2052</v>
      </c>
      <c r="B851" s="2" t="s">
        <v>1060</v>
      </c>
      <c r="C851" s="2" t="s">
        <v>316</v>
      </c>
      <c r="D851" s="2" t="s">
        <v>317</v>
      </c>
      <c r="E851" s="2" t="str">
        <f>"9783036409184"</f>
        <v>9783036409184</v>
      </c>
      <c r="F851" s="2" t="str">
        <f>"9783036419183"</f>
        <v>9783036419183</v>
      </c>
    </row>
    <row r="852" spans="1:6" s="3" customFormat="1" ht="29.1" customHeight="1" x14ac:dyDescent="0.25">
      <c r="A852" s="2" t="s">
        <v>2053</v>
      </c>
      <c r="B852" s="2" t="s">
        <v>1060</v>
      </c>
      <c r="C852" s="2" t="s">
        <v>316</v>
      </c>
      <c r="D852" s="2" t="s">
        <v>317</v>
      </c>
      <c r="E852" s="2" t="str">
        <f>"9783036409139"</f>
        <v>9783036409139</v>
      </c>
      <c r="F852" s="2" t="str">
        <f>"9783036419138"</f>
        <v>9783036419138</v>
      </c>
    </row>
    <row r="853" spans="1:6" s="3" customFormat="1" ht="29.1" customHeight="1" x14ac:dyDescent="0.25">
      <c r="A853" s="2" t="s">
        <v>2054</v>
      </c>
      <c r="B853" s="2" t="s">
        <v>1060</v>
      </c>
      <c r="C853" s="2" t="s">
        <v>316</v>
      </c>
      <c r="D853" s="2" t="s">
        <v>317</v>
      </c>
      <c r="E853" s="2" t="str">
        <f>"9783036409153"</f>
        <v>9783036409153</v>
      </c>
      <c r="F853" s="2" t="str">
        <f>"9783036419152"</f>
        <v>9783036419152</v>
      </c>
    </row>
    <row r="854" spans="1:6" s="3" customFormat="1" ht="29.1" customHeight="1" x14ac:dyDescent="0.25">
      <c r="A854" s="2" t="s">
        <v>2055</v>
      </c>
      <c r="B854" s="2" t="s">
        <v>1060</v>
      </c>
      <c r="C854" s="2" t="s">
        <v>316</v>
      </c>
      <c r="D854" s="2" t="s">
        <v>317</v>
      </c>
      <c r="E854" s="2" t="str">
        <f>"9783036409160"</f>
        <v>9783036409160</v>
      </c>
      <c r="F854" s="2" t="str">
        <f>"9783036419169"</f>
        <v>9783036419169</v>
      </c>
    </row>
    <row r="855" spans="1:6" s="3" customFormat="1" ht="29.1" customHeight="1" x14ac:dyDescent="0.25">
      <c r="A855" s="2" t="s">
        <v>2056</v>
      </c>
      <c r="B855" s="2" t="s">
        <v>1060</v>
      </c>
      <c r="C855" s="2" t="s">
        <v>316</v>
      </c>
      <c r="D855" s="2" t="s">
        <v>317</v>
      </c>
      <c r="E855" s="2" t="str">
        <f>"9783036409108"</f>
        <v>9783036409108</v>
      </c>
      <c r="F855" s="2" t="str">
        <f>"9783036419107"</f>
        <v>9783036419107</v>
      </c>
    </row>
    <row r="856" spans="1:6" s="3" customFormat="1" ht="29.1" customHeight="1" x14ac:dyDescent="0.25">
      <c r="A856" s="2" t="s">
        <v>2057</v>
      </c>
      <c r="B856" s="2" t="s">
        <v>1060</v>
      </c>
      <c r="C856" s="2" t="s">
        <v>316</v>
      </c>
      <c r="D856" s="2" t="s">
        <v>317</v>
      </c>
      <c r="E856" s="2" t="str">
        <f>"9783036409115"</f>
        <v>9783036409115</v>
      </c>
      <c r="F856" s="2" t="str">
        <f>"9783036419114"</f>
        <v>9783036419114</v>
      </c>
    </row>
    <row r="857" spans="1:6" s="3" customFormat="1" ht="29.1" customHeight="1" x14ac:dyDescent="0.25">
      <c r="A857" s="2" t="s">
        <v>2058</v>
      </c>
      <c r="B857" s="2" t="s">
        <v>1060</v>
      </c>
      <c r="C857" s="2" t="s">
        <v>316</v>
      </c>
      <c r="D857" s="2" t="s">
        <v>317</v>
      </c>
      <c r="E857" s="2" t="str">
        <f>"9783036409122"</f>
        <v>9783036409122</v>
      </c>
      <c r="F857" s="2" t="str">
        <f>"9783036419121"</f>
        <v>9783036419121</v>
      </c>
    </row>
    <row r="858" spans="1:6" s="3" customFormat="1" ht="29.1" customHeight="1" x14ac:dyDescent="0.25">
      <c r="A858" s="2" t="s">
        <v>2059</v>
      </c>
      <c r="B858" s="2" t="s">
        <v>2060</v>
      </c>
      <c r="C858" s="2" t="s">
        <v>5</v>
      </c>
      <c r="D858" s="2" t="s">
        <v>636</v>
      </c>
      <c r="E858" s="2" t="str">
        <f>"9782384764631"</f>
        <v>9782384764631</v>
      </c>
      <c r="F858" s="2" t="str">
        <f>"9782384764648"</f>
        <v>9782384764648</v>
      </c>
    </row>
    <row r="859" spans="1:6" s="3" customFormat="1" ht="29.1" customHeight="1" x14ac:dyDescent="0.25">
      <c r="A859" s="2" t="s">
        <v>2061</v>
      </c>
      <c r="B859" s="2" t="s">
        <v>2062</v>
      </c>
      <c r="C859" s="2" t="s">
        <v>5</v>
      </c>
      <c r="D859" s="2" t="s">
        <v>1864</v>
      </c>
      <c r="E859" s="2" t="str">
        <f>"9789819695911"</f>
        <v>9789819695911</v>
      </c>
      <c r="F859" s="2" t="str">
        <f>"9789819695928"</f>
        <v>9789819695928</v>
      </c>
    </row>
    <row r="860" spans="1:6" s="3" customFormat="1" ht="29.1" customHeight="1" x14ac:dyDescent="0.25">
      <c r="A860" s="2" t="s">
        <v>2063</v>
      </c>
      <c r="B860" s="2" t="s">
        <v>2064</v>
      </c>
      <c r="C860" s="2" t="s">
        <v>55</v>
      </c>
      <c r="D860" s="2" t="s">
        <v>501</v>
      </c>
      <c r="E860" s="2" t="str">
        <f>"9781526188021"</f>
        <v>9781526188021</v>
      </c>
      <c r="F860" s="2" t="str">
        <f>"9781526188038"</f>
        <v>9781526188038</v>
      </c>
    </row>
    <row r="861" spans="1:6" s="3" customFormat="1" ht="29.1" customHeight="1" x14ac:dyDescent="0.25">
      <c r="A861" s="2" t="s">
        <v>2065</v>
      </c>
      <c r="B861" s="2" t="s">
        <v>2066</v>
      </c>
      <c r="C861" s="2" t="s">
        <v>55</v>
      </c>
      <c r="D861" s="2" t="s">
        <v>636</v>
      </c>
      <c r="E861" s="2" t="str">
        <f>"9789198740523"</f>
        <v>9789198740523</v>
      </c>
      <c r="F861" s="2" t="str">
        <f>"9789198740509"</f>
        <v>9789198740509</v>
      </c>
    </row>
    <row r="862" spans="1:6" s="3" customFormat="1" ht="29.1" customHeight="1" x14ac:dyDescent="0.25">
      <c r="A862" s="2" t="s">
        <v>2067</v>
      </c>
      <c r="B862" s="2" t="s">
        <v>2068</v>
      </c>
      <c r="C862" s="2" t="s">
        <v>1070</v>
      </c>
      <c r="D862" s="2" t="s">
        <v>1265</v>
      </c>
      <c r="E862" s="2" t="str">
        <f>"9783318073751"</f>
        <v>9783318073751</v>
      </c>
      <c r="F862" s="2" t="str">
        <f>"9783318074291"</f>
        <v>9783318074291</v>
      </c>
    </row>
    <row r="863" spans="1:6" s="3" customFormat="1" ht="29.1" customHeight="1" x14ac:dyDescent="0.25">
      <c r="A863" s="2" t="s">
        <v>2069</v>
      </c>
      <c r="B863" s="2" t="s">
        <v>2070</v>
      </c>
      <c r="C863" s="2" t="s">
        <v>1070</v>
      </c>
      <c r="D863" s="2" t="s">
        <v>1265</v>
      </c>
      <c r="E863" s="2" t="str">
        <f>"9783318074130"</f>
        <v>9783318074130</v>
      </c>
      <c r="F863" s="2" t="str">
        <f>"9783318074697"</f>
        <v>9783318074697</v>
      </c>
    </row>
    <row r="864" spans="1:6" s="3" customFormat="1" ht="29.1" customHeight="1" x14ac:dyDescent="0.25">
      <c r="A864" s="2" t="s">
        <v>2071</v>
      </c>
      <c r="B864" s="2" t="s">
        <v>2070</v>
      </c>
      <c r="C864" s="2" t="s">
        <v>1070</v>
      </c>
      <c r="D864" s="2" t="s">
        <v>1265</v>
      </c>
      <c r="E864" s="2" t="str">
        <f>"9783318074659"</f>
        <v>9783318074659</v>
      </c>
      <c r="F864" s="2" t="str">
        <f>"9783318074666"</f>
        <v>9783318074666</v>
      </c>
    </row>
    <row r="865" spans="1:6" s="3" customFormat="1" ht="29.1" customHeight="1" x14ac:dyDescent="0.25">
      <c r="A865" s="2" t="s">
        <v>2072</v>
      </c>
      <c r="B865" s="2" t="s">
        <v>2070</v>
      </c>
      <c r="C865" s="2" t="s">
        <v>1070</v>
      </c>
      <c r="D865" s="2" t="s">
        <v>1265</v>
      </c>
      <c r="E865" s="2" t="str">
        <f>"9783318074536"</f>
        <v>9783318074536</v>
      </c>
      <c r="F865" s="2" t="str">
        <f>"9783318074543"</f>
        <v>9783318074543</v>
      </c>
    </row>
    <row r="866" spans="1:6" s="3" customFormat="1" ht="29.1" customHeight="1" x14ac:dyDescent="0.25">
      <c r="A866" s="2" t="s">
        <v>2073</v>
      </c>
      <c r="B866" s="2" t="s">
        <v>2074</v>
      </c>
      <c r="C866" s="2" t="s">
        <v>1070</v>
      </c>
      <c r="D866" s="2" t="s">
        <v>1265</v>
      </c>
      <c r="E866" s="2" t="str">
        <f>"9783318074444"</f>
        <v>9783318074444</v>
      </c>
      <c r="F866" s="2" t="str">
        <f>"9783318074451"</f>
        <v>9783318074451</v>
      </c>
    </row>
    <row r="867" spans="1:6" s="3" customFormat="1" ht="29.1" customHeight="1" x14ac:dyDescent="0.25">
      <c r="A867" s="2" t="s">
        <v>2075</v>
      </c>
      <c r="B867" s="2" t="s">
        <v>2074</v>
      </c>
      <c r="C867" s="2" t="s">
        <v>1070</v>
      </c>
      <c r="D867" s="2" t="s">
        <v>1265</v>
      </c>
      <c r="E867" s="2" t="str">
        <f>"9783318074123"</f>
        <v>9783318074123</v>
      </c>
      <c r="F867" s="2" t="str">
        <f>"9783318074482"</f>
        <v>9783318074482</v>
      </c>
    </row>
    <row r="868" spans="1:6" s="3" customFormat="1" ht="29.1" customHeight="1" x14ac:dyDescent="0.25">
      <c r="A868" s="2" t="s">
        <v>2076</v>
      </c>
      <c r="B868" s="2" t="s">
        <v>2074</v>
      </c>
      <c r="C868" s="2" t="s">
        <v>1070</v>
      </c>
      <c r="D868" s="2" t="s">
        <v>1265</v>
      </c>
      <c r="E868" s="2" t="str">
        <f>"9783318073737"</f>
        <v>9783318073737</v>
      </c>
      <c r="F868" s="2" t="str">
        <f>"9783318074420"</f>
        <v>9783318074420</v>
      </c>
    </row>
    <row r="869" spans="1:6" s="3" customFormat="1" ht="29.1" customHeight="1" x14ac:dyDescent="0.25">
      <c r="A869" s="2" t="s">
        <v>2077</v>
      </c>
      <c r="B869" s="2" t="s">
        <v>2074</v>
      </c>
      <c r="C869" s="2" t="s">
        <v>1070</v>
      </c>
      <c r="D869" s="2" t="s">
        <v>1265</v>
      </c>
      <c r="E869" s="2" t="str">
        <f>"9783318073720"</f>
        <v>9783318073720</v>
      </c>
      <c r="F869" s="2" t="str">
        <f>"9783318074406"</f>
        <v>9783318074406</v>
      </c>
    </row>
    <row r="870" spans="1:6" s="3" customFormat="1" ht="29.1" customHeight="1" x14ac:dyDescent="0.25">
      <c r="A870" s="2" t="s">
        <v>2078</v>
      </c>
      <c r="B870" s="2" t="s">
        <v>2074</v>
      </c>
      <c r="C870" s="2" t="s">
        <v>1070</v>
      </c>
      <c r="D870" s="2" t="s">
        <v>1265</v>
      </c>
      <c r="E870" s="2" t="str">
        <f>"9783318073713"</f>
        <v>9783318073713</v>
      </c>
      <c r="F870" s="2" t="str">
        <f>"9783318074352"</f>
        <v>9783318074352</v>
      </c>
    </row>
    <row r="871" spans="1:6" s="3" customFormat="1" ht="29.1" customHeight="1" x14ac:dyDescent="0.25">
      <c r="A871" s="2" t="s">
        <v>2079</v>
      </c>
      <c r="B871" s="2" t="s">
        <v>2074</v>
      </c>
      <c r="C871" s="2" t="s">
        <v>1070</v>
      </c>
      <c r="D871" s="2" t="s">
        <v>1265</v>
      </c>
      <c r="E871" s="2" t="str">
        <f>"9783318074116"</f>
        <v>9783318074116</v>
      </c>
      <c r="F871" s="2" t="str">
        <f>"9783318074338"</f>
        <v>9783318074338</v>
      </c>
    </row>
    <row r="872" spans="1:6" s="3" customFormat="1" ht="29.1" customHeight="1" x14ac:dyDescent="0.25">
      <c r="A872" s="2" t="s">
        <v>2080</v>
      </c>
      <c r="B872" s="2" t="s">
        <v>2081</v>
      </c>
      <c r="C872" s="2" t="s">
        <v>1070</v>
      </c>
      <c r="D872" s="2" t="s">
        <v>1071</v>
      </c>
      <c r="E872" s="2" t="str">
        <f>"9783318074154"</f>
        <v>9783318074154</v>
      </c>
      <c r="F872" s="2" t="str">
        <f>"9783318074871"</f>
        <v>9783318074871</v>
      </c>
    </row>
    <row r="873" spans="1:6" s="3" customFormat="1" ht="29.1" customHeight="1" x14ac:dyDescent="0.25">
      <c r="A873" s="2" t="s">
        <v>2082</v>
      </c>
      <c r="B873" s="2" t="s">
        <v>2084</v>
      </c>
      <c r="C873" s="2" t="s">
        <v>264</v>
      </c>
      <c r="D873" s="2" t="s">
        <v>2083</v>
      </c>
      <c r="E873" s="2" t="str">
        <f>"9781032692852"</f>
        <v>9781032692852</v>
      </c>
      <c r="F873" s="2" t="str">
        <f>"9781032695266"</f>
        <v>9781032695266</v>
      </c>
    </row>
    <row r="874" spans="1:6" s="3" customFormat="1" ht="29.1" customHeight="1" x14ac:dyDescent="0.25">
      <c r="A874" s="2" t="s">
        <v>2085</v>
      </c>
      <c r="B874" s="2" t="s">
        <v>2087</v>
      </c>
      <c r="C874" s="2" t="s">
        <v>124</v>
      </c>
      <c r="D874" s="2" t="s">
        <v>2086</v>
      </c>
      <c r="E874" s="2" t="str">
        <f>"9781032705590"</f>
        <v>9781032705590</v>
      </c>
      <c r="F874" s="2" t="str">
        <f>"9781032705613"</f>
        <v>9781032705613</v>
      </c>
    </row>
    <row r="875" spans="1:6" s="3" customFormat="1" ht="29.1" customHeight="1" x14ac:dyDescent="0.25">
      <c r="A875" s="2" t="s">
        <v>2088</v>
      </c>
      <c r="B875" s="2" t="s">
        <v>2089</v>
      </c>
      <c r="C875" s="2" t="s">
        <v>124</v>
      </c>
      <c r="D875" s="2" t="s">
        <v>249</v>
      </c>
      <c r="E875" s="2" t="str">
        <f>"9781041110415"</f>
        <v>9781041110415</v>
      </c>
      <c r="F875" s="2" t="str">
        <f>"9781003658009"</f>
        <v>9781003658009</v>
      </c>
    </row>
    <row r="876" spans="1:6" s="3" customFormat="1" ht="29.1" customHeight="1" x14ac:dyDescent="0.25">
      <c r="A876" s="2" t="s">
        <v>2090</v>
      </c>
      <c r="B876" s="2" t="s">
        <v>2091</v>
      </c>
      <c r="C876" s="2" t="s">
        <v>746</v>
      </c>
      <c r="D876" s="2" t="s">
        <v>606</v>
      </c>
      <c r="E876" s="2" t="str">
        <f>"9781805831037"</f>
        <v>9781805831037</v>
      </c>
      <c r="F876" s="2" t="str">
        <f>"9781805831044"</f>
        <v>9781805831044</v>
      </c>
    </row>
    <row r="877" spans="1:6" s="3" customFormat="1" ht="29.1" customHeight="1" x14ac:dyDescent="0.25">
      <c r="A877" s="2" t="s">
        <v>2092</v>
      </c>
      <c r="B877" s="2" t="s">
        <v>2093</v>
      </c>
      <c r="C877" s="2" t="s">
        <v>124</v>
      </c>
      <c r="D877" s="2" t="s">
        <v>858</v>
      </c>
      <c r="E877" s="2" t="str">
        <f>"9781032785639"</f>
        <v>9781032785639</v>
      </c>
      <c r="F877" s="2" t="str">
        <f>"9781003488507"</f>
        <v>9781003488507</v>
      </c>
    </row>
    <row r="878" spans="1:6" s="3" customFormat="1" ht="29.1" customHeight="1" x14ac:dyDescent="0.25">
      <c r="A878" s="2" t="s">
        <v>2094</v>
      </c>
      <c r="B878" s="2" t="s">
        <v>2095</v>
      </c>
      <c r="C878" s="2" t="s">
        <v>124</v>
      </c>
      <c r="D878" s="2" t="s">
        <v>413</v>
      </c>
      <c r="E878" s="2" t="str">
        <f>"9781032797335"</f>
        <v>9781032797335</v>
      </c>
      <c r="F878" s="2" t="str">
        <f>"9781003493938"</f>
        <v>9781003493938</v>
      </c>
    </row>
    <row r="879" spans="1:6" s="3" customFormat="1" ht="29.1" customHeight="1" x14ac:dyDescent="0.25">
      <c r="A879" s="2" t="s">
        <v>2096</v>
      </c>
      <c r="B879" s="2" t="s">
        <v>2097</v>
      </c>
      <c r="C879" s="2" t="s">
        <v>124</v>
      </c>
      <c r="D879" s="2" t="s">
        <v>1733</v>
      </c>
      <c r="E879" s="2" t="str">
        <f>"9781032738789"</f>
        <v>9781032738789</v>
      </c>
      <c r="F879" s="2" t="str">
        <f>"9781003466482"</f>
        <v>9781003466482</v>
      </c>
    </row>
    <row r="880" spans="1:6" s="3" customFormat="1" ht="29.1" customHeight="1" x14ac:dyDescent="0.25">
      <c r="A880" s="2" t="s">
        <v>1309</v>
      </c>
      <c r="B880" s="2" t="s">
        <v>2098</v>
      </c>
      <c r="C880" s="2" t="s">
        <v>1070</v>
      </c>
      <c r="D880" s="2" t="s">
        <v>1310</v>
      </c>
      <c r="E880" s="2" t="str">
        <f>"9783318074093"</f>
        <v>9783318074093</v>
      </c>
      <c r="F880" s="2" t="str">
        <f>"9783318074895"</f>
        <v>9783318074895</v>
      </c>
    </row>
    <row r="881" spans="1:6" s="3" customFormat="1" ht="29.1" customHeight="1" x14ac:dyDescent="0.25">
      <c r="A881" s="2" t="s">
        <v>2099</v>
      </c>
      <c r="B881" s="2" t="s">
        <v>2100</v>
      </c>
      <c r="C881" s="2" t="s">
        <v>59</v>
      </c>
      <c r="D881" s="2" t="s">
        <v>1924</v>
      </c>
      <c r="E881" s="2"/>
      <c r="F881" s="2" t="str">
        <f>"9782759241880"</f>
        <v>9782759241880</v>
      </c>
    </row>
    <row r="882" spans="1:6" s="3" customFormat="1" ht="29.1" customHeight="1" x14ac:dyDescent="0.25">
      <c r="A882" s="2" t="s">
        <v>2101</v>
      </c>
      <c r="B882" s="2" t="s">
        <v>2102</v>
      </c>
      <c r="C882" s="2" t="s">
        <v>124</v>
      </c>
      <c r="D882" s="2" t="s">
        <v>24</v>
      </c>
      <c r="E882" s="2" t="str">
        <f>"9781032888835"</f>
        <v>9781032888835</v>
      </c>
      <c r="F882" s="2" t="str">
        <f>"9781003540144"</f>
        <v>9781003540144</v>
      </c>
    </row>
    <row r="883" spans="1:6" s="3" customFormat="1" ht="29.1" customHeight="1" x14ac:dyDescent="0.25">
      <c r="A883" s="2" t="s">
        <v>2103</v>
      </c>
      <c r="B883" s="2" t="s">
        <v>2105</v>
      </c>
      <c r="C883" s="2" t="s">
        <v>384</v>
      </c>
      <c r="D883" s="2" t="s">
        <v>2104</v>
      </c>
      <c r="E883" s="2" t="str">
        <f>"9798991590297"</f>
        <v>9798991590297</v>
      </c>
      <c r="F883" s="2" t="str">
        <f>"9798991590280"</f>
        <v>9798991590280</v>
      </c>
    </row>
    <row r="884" spans="1:6" s="3" customFormat="1" ht="29.1" customHeight="1" x14ac:dyDescent="0.25">
      <c r="A884" s="2" t="s">
        <v>2106</v>
      </c>
      <c r="B884" s="2" t="s">
        <v>2107</v>
      </c>
      <c r="C884" s="2" t="s">
        <v>5</v>
      </c>
      <c r="D884" s="2" t="s">
        <v>141</v>
      </c>
      <c r="E884" s="2" t="str">
        <f>"9789464638448"</f>
        <v>9789464638448</v>
      </c>
      <c r="F884" s="2" t="str">
        <f>"9789464638455"</f>
        <v>9789464638455</v>
      </c>
    </row>
    <row r="885" spans="1:6" s="3" customFormat="1" ht="29.1" customHeight="1" x14ac:dyDescent="0.25">
      <c r="A885" s="2" t="s">
        <v>2108</v>
      </c>
      <c r="B885" s="2" t="s">
        <v>2109</v>
      </c>
      <c r="C885" s="2" t="s">
        <v>5</v>
      </c>
      <c r="D885" s="2" t="s">
        <v>44</v>
      </c>
      <c r="E885" s="2" t="str">
        <f>"9789464638400"</f>
        <v>9789464638400</v>
      </c>
      <c r="F885" s="2" t="str">
        <f>"9789464638417"</f>
        <v>9789464638417</v>
      </c>
    </row>
    <row r="886" spans="1:6" s="3" customFormat="1" ht="29.1" customHeight="1" x14ac:dyDescent="0.25">
      <c r="A886" s="2" t="s">
        <v>2110</v>
      </c>
      <c r="B886" s="2" t="s">
        <v>2111</v>
      </c>
      <c r="C886" s="2" t="s">
        <v>5</v>
      </c>
      <c r="D886" s="2" t="s">
        <v>141</v>
      </c>
      <c r="E886" s="2" t="str">
        <f>"9789464638424"</f>
        <v>9789464638424</v>
      </c>
      <c r="F886" s="2" t="str">
        <f>"9789464638431"</f>
        <v>9789464638431</v>
      </c>
    </row>
    <row r="887" spans="1:6" s="3" customFormat="1" ht="29.1" customHeight="1" x14ac:dyDescent="0.25">
      <c r="A887" s="2" t="s">
        <v>2112</v>
      </c>
      <c r="B887" s="2" t="s">
        <v>2113</v>
      </c>
      <c r="C887" s="2" t="s">
        <v>5</v>
      </c>
      <c r="D887" s="2" t="s">
        <v>186</v>
      </c>
      <c r="E887" s="2" t="str">
        <f>"9789464638387"</f>
        <v>9789464638387</v>
      </c>
      <c r="F887" s="2" t="str">
        <f>"9789464638394"</f>
        <v>9789464638394</v>
      </c>
    </row>
    <row r="888" spans="1:6" s="3" customFormat="1" ht="29.1" customHeight="1" x14ac:dyDescent="0.25">
      <c r="A888" s="2" t="s">
        <v>2114</v>
      </c>
      <c r="B888" s="2" t="s">
        <v>2115</v>
      </c>
      <c r="C888" s="2" t="s">
        <v>5</v>
      </c>
      <c r="D888" s="2" t="s">
        <v>141</v>
      </c>
      <c r="E888" s="2" t="str">
        <f>"9789464638349"</f>
        <v>9789464638349</v>
      </c>
      <c r="F888" s="2" t="str">
        <f>"9789464638356"</f>
        <v>9789464638356</v>
      </c>
    </row>
    <row r="889" spans="1:6" s="3" customFormat="1" ht="29.1" customHeight="1" x14ac:dyDescent="0.25">
      <c r="A889" s="2" t="s">
        <v>2116</v>
      </c>
      <c r="B889" s="2" t="s">
        <v>2117</v>
      </c>
      <c r="C889" s="2" t="s">
        <v>5</v>
      </c>
      <c r="D889" s="2" t="s">
        <v>501</v>
      </c>
      <c r="E889" s="2" t="str">
        <f>"9783032006479"</f>
        <v>9783032006479</v>
      </c>
      <c r="F889" s="2" t="str">
        <f>"9783032006486"</f>
        <v>9783032006486</v>
      </c>
    </row>
    <row r="890" spans="1:6" s="3" customFormat="1" ht="29.1" customHeight="1" x14ac:dyDescent="0.25">
      <c r="A890" s="2" t="s">
        <v>2118</v>
      </c>
      <c r="B890" s="2" t="s">
        <v>2119</v>
      </c>
      <c r="C890" s="2" t="s">
        <v>5</v>
      </c>
      <c r="D890" s="2" t="s">
        <v>9</v>
      </c>
      <c r="E890" s="2" t="str">
        <f>"9789819690282"</f>
        <v>9789819690282</v>
      </c>
      <c r="F890" s="2" t="str">
        <f>"9789819690299"</f>
        <v>9789819690299</v>
      </c>
    </row>
    <row r="891" spans="1:6" s="3" customFormat="1" ht="29.1" customHeight="1" x14ac:dyDescent="0.25">
      <c r="A891" s="2" t="s">
        <v>2120</v>
      </c>
      <c r="B891" s="2"/>
      <c r="C891" s="2" t="s">
        <v>149</v>
      </c>
      <c r="D891" s="2" t="s">
        <v>2121</v>
      </c>
      <c r="E891" s="2" t="str">
        <f>"9781805116738"</f>
        <v>9781805116738</v>
      </c>
      <c r="F891" s="2" t="str">
        <f>"9781805116752"</f>
        <v>9781805116752</v>
      </c>
    </row>
    <row r="892" spans="1:6" s="3" customFormat="1" ht="29.1" customHeight="1" x14ac:dyDescent="0.25">
      <c r="A892" s="2" t="s">
        <v>2122</v>
      </c>
      <c r="B892" s="2" t="s">
        <v>2123</v>
      </c>
      <c r="C892" s="2" t="s">
        <v>149</v>
      </c>
      <c r="D892" s="2" t="s">
        <v>636</v>
      </c>
      <c r="E892" s="2" t="str">
        <f>"9781805115250"</f>
        <v>9781805115250</v>
      </c>
      <c r="F892" s="2" t="str">
        <f>"9781805115274"</f>
        <v>9781805115274</v>
      </c>
    </row>
    <row r="893" spans="1:6" s="3" customFormat="1" ht="29.1" customHeight="1" x14ac:dyDescent="0.25">
      <c r="A893" s="2" t="s">
        <v>2124</v>
      </c>
      <c r="B893" s="2" t="s">
        <v>2125</v>
      </c>
      <c r="C893" s="2" t="s">
        <v>149</v>
      </c>
      <c r="D893" s="2" t="s">
        <v>1941</v>
      </c>
      <c r="E893" s="2" t="str">
        <f>"9781951399382"</f>
        <v>9781951399382</v>
      </c>
      <c r="F893" s="2" t="str">
        <f>"9781951399344"</f>
        <v>9781951399344</v>
      </c>
    </row>
    <row r="894" spans="1:6" s="3" customFormat="1" ht="29.1" customHeight="1" x14ac:dyDescent="0.25">
      <c r="A894" s="2" t="s">
        <v>2126</v>
      </c>
      <c r="B894" s="2" t="s">
        <v>2127</v>
      </c>
      <c r="C894" s="2" t="s">
        <v>149</v>
      </c>
      <c r="D894" s="2" t="s">
        <v>101</v>
      </c>
      <c r="E894" s="2" t="str">
        <f>"9781805116585"</f>
        <v>9781805116585</v>
      </c>
      <c r="F894" s="2" t="str">
        <f>"9781805116608"</f>
        <v>9781805116608</v>
      </c>
    </row>
    <row r="895" spans="1:6" s="3" customFormat="1" ht="29.1" customHeight="1" x14ac:dyDescent="0.25">
      <c r="A895" s="2" t="s">
        <v>2128</v>
      </c>
      <c r="B895" s="2" t="s">
        <v>2131</v>
      </c>
      <c r="C895" s="2" t="s">
        <v>2129</v>
      </c>
      <c r="D895" s="2" t="s">
        <v>2130</v>
      </c>
      <c r="E895" s="2" t="str">
        <f>"9798855803785"</f>
        <v>9798855803785</v>
      </c>
      <c r="F895" s="2" t="str">
        <f>"9798855803808"</f>
        <v>9798855803808</v>
      </c>
    </row>
    <row r="896" spans="1:6" s="3" customFormat="1" ht="29.1" customHeight="1" x14ac:dyDescent="0.25">
      <c r="A896" s="2" t="s">
        <v>2132</v>
      </c>
      <c r="B896" s="2" t="s">
        <v>2134</v>
      </c>
      <c r="C896" s="2" t="s">
        <v>2133</v>
      </c>
      <c r="D896" s="2" t="s">
        <v>192</v>
      </c>
      <c r="E896" s="2" t="str">
        <f>"9781760467036"</f>
        <v>9781760467036</v>
      </c>
      <c r="F896" s="2" t="str">
        <f>"9781760467043"</f>
        <v>9781760467043</v>
      </c>
    </row>
    <row r="897" spans="1:6" s="3" customFormat="1" ht="29.1" customHeight="1" x14ac:dyDescent="0.25">
      <c r="A897" s="2" t="s">
        <v>2135</v>
      </c>
      <c r="B897" s="2" t="s">
        <v>2137</v>
      </c>
      <c r="C897" s="2" t="s">
        <v>149</v>
      </c>
      <c r="D897" s="2" t="s">
        <v>2136</v>
      </c>
      <c r="E897" s="2" t="str">
        <f>"9781685712280"</f>
        <v>9781685712280</v>
      </c>
      <c r="F897" s="2" t="str">
        <f>"9781685712297"</f>
        <v>9781685712297</v>
      </c>
    </row>
    <row r="898" spans="1:6" s="3" customFormat="1" ht="29.1" customHeight="1" x14ac:dyDescent="0.25">
      <c r="A898" s="2" t="s">
        <v>2138</v>
      </c>
      <c r="B898" s="2" t="s">
        <v>2140</v>
      </c>
      <c r="C898" s="2" t="s">
        <v>36</v>
      </c>
      <c r="D898" s="2" t="s">
        <v>2139</v>
      </c>
      <c r="E898" s="2"/>
      <c r="F898" s="2" t="str">
        <f>"9781447375067"</f>
        <v>9781447375067</v>
      </c>
    </row>
    <row r="899" spans="1:6" s="3" customFormat="1" ht="29.1" customHeight="1" x14ac:dyDescent="0.25">
      <c r="A899" s="2" t="s">
        <v>2141</v>
      </c>
      <c r="B899" s="2" t="s">
        <v>2143</v>
      </c>
      <c r="C899" s="2" t="s">
        <v>36</v>
      </c>
      <c r="D899" s="2" t="s">
        <v>2142</v>
      </c>
      <c r="E899" s="2"/>
      <c r="F899" s="2" t="str">
        <f>"9781529222852"</f>
        <v>9781529222852</v>
      </c>
    </row>
    <row r="900" spans="1:6" s="3" customFormat="1" ht="29.1" customHeight="1" x14ac:dyDescent="0.25">
      <c r="A900" s="2" t="s">
        <v>2144</v>
      </c>
      <c r="B900" s="2" t="s">
        <v>2145</v>
      </c>
      <c r="C900" s="2" t="s">
        <v>605</v>
      </c>
      <c r="D900" s="2" t="s">
        <v>606</v>
      </c>
      <c r="E900" s="2" t="str">
        <f>"9789657838181"</f>
        <v>9789657838181</v>
      </c>
      <c r="F900" s="2" t="str">
        <f>"9789657838198"</f>
        <v>9789657838198</v>
      </c>
    </row>
    <row r="901" spans="1:6" s="3" customFormat="1" ht="29.1" customHeight="1" x14ac:dyDescent="0.25">
      <c r="A901" s="2" t="s">
        <v>2146</v>
      </c>
      <c r="B901" s="2" t="s">
        <v>2148</v>
      </c>
      <c r="C901" s="2" t="s">
        <v>327</v>
      </c>
      <c r="D901" s="2" t="s">
        <v>2147</v>
      </c>
      <c r="E901" s="2" t="str">
        <f>"9788382209020"</f>
        <v>9788382209020</v>
      </c>
      <c r="F901" s="2" t="str">
        <f>"9788382209013"</f>
        <v>9788382209013</v>
      </c>
    </row>
    <row r="902" spans="1:6" s="3" customFormat="1" ht="29.1" customHeight="1" x14ac:dyDescent="0.25">
      <c r="A902" s="2" t="s">
        <v>2149</v>
      </c>
      <c r="B902" s="2" t="s">
        <v>2151</v>
      </c>
      <c r="C902" s="2" t="s">
        <v>327</v>
      </c>
      <c r="D902" s="2" t="s">
        <v>2150</v>
      </c>
      <c r="E902" s="2" t="str">
        <f>"9788381429825"</f>
        <v>9788381429825</v>
      </c>
      <c r="F902" s="2" t="str">
        <f>"9788381429832"</f>
        <v>9788381429832</v>
      </c>
    </row>
    <row r="903" spans="1:6" s="3" customFormat="1" ht="29.1" customHeight="1" x14ac:dyDescent="0.25">
      <c r="A903" s="2" t="s">
        <v>2152</v>
      </c>
      <c r="B903" s="2" t="s">
        <v>2154</v>
      </c>
      <c r="C903" s="2" t="s">
        <v>62</v>
      </c>
      <c r="D903" s="2" t="s">
        <v>2153</v>
      </c>
      <c r="E903" s="2" t="str">
        <f>"9783428196142"</f>
        <v>9783428196142</v>
      </c>
      <c r="F903" s="2" t="str">
        <f>"9783428596140"</f>
        <v>9783428596140</v>
      </c>
    </row>
    <row r="904" spans="1:6" s="3" customFormat="1" ht="29.1" customHeight="1" x14ac:dyDescent="0.25">
      <c r="A904" s="2" t="s">
        <v>2155</v>
      </c>
      <c r="B904" s="2" t="s">
        <v>2156</v>
      </c>
      <c r="C904" s="2" t="s">
        <v>62</v>
      </c>
      <c r="D904" s="2" t="s">
        <v>63</v>
      </c>
      <c r="E904" s="2" t="str">
        <f>"9783428195541"</f>
        <v>9783428195541</v>
      </c>
      <c r="F904" s="2" t="str">
        <f>"9783428595549"</f>
        <v>9783428595549</v>
      </c>
    </row>
    <row r="905" spans="1:6" s="3" customFormat="1" ht="29.1" customHeight="1" x14ac:dyDescent="0.25">
      <c r="A905" s="2" t="s">
        <v>2157</v>
      </c>
      <c r="B905" s="2" t="s">
        <v>2158</v>
      </c>
      <c r="C905" s="2" t="s">
        <v>5</v>
      </c>
      <c r="D905" s="2" t="s">
        <v>487</v>
      </c>
      <c r="E905" s="2" t="str">
        <f>"9783032041661"</f>
        <v>9783032041661</v>
      </c>
      <c r="F905" s="2" t="str">
        <f>"9783032041678"</f>
        <v>9783032041678</v>
      </c>
    </row>
    <row r="906" spans="1:6" s="3" customFormat="1" ht="29.1" customHeight="1" x14ac:dyDescent="0.25">
      <c r="A906" s="2" t="s">
        <v>2159</v>
      </c>
      <c r="B906" s="2" t="s">
        <v>2160</v>
      </c>
      <c r="C906" s="2" t="s">
        <v>5</v>
      </c>
      <c r="D906" s="2" t="s">
        <v>9</v>
      </c>
      <c r="E906" s="2" t="str">
        <f>"9782384764655"</f>
        <v>9782384764655</v>
      </c>
      <c r="F906" s="2" t="str">
        <f>"9782384764662"</f>
        <v>9782384764662</v>
      </c>
    </row>
    <row r="907" spans="1:6" s="3" customFormat="1" ht="29.1" customHeight="1" x14ac:dyDescent="0.25">
      <c r="A907" s="2" t="s">
        <v>2161</v>
      </c>
      <c r="B907" s="2" t="s">
        <v>2162</v>
      </c>
      <c r="C907" s="2" t="s">
        <v>5</v>
      </c>
      <c r="D907" s="2" t="s">
        <v>1104</v>
      </c>
      <c r="E907" s="2" t="str">
        <f>"9783031992421"</f>
        <v>9783031992421</v>
      </c>
      <c r="F907" s="2" t="str">
        <f>"9783031992438"</f>
        <v>9783031992438</v>
      </c>
    </row>
    <row r="908" spans="1:6" s="3" customFormat="1" ht="29.1" customHeight="1" x14ac:dyDescent="0.25">
      <c r="A908" s="2" t="s">
        <v>2163</v>
      </c>
      <c r="B908" s="2" t="s">
        <v>2164</v>
      </c>
      <c r="C908" s="2" t="s">
        <v>195</v>
      </c>
      <c r="D908" s="2" t="s">
        <v>1112</v>
      </c>
      <c r="E908" s="2" t="str">
        <f>"9783119147361"</f>
        <v>9783119147361</v>
      </c>
      <c r="F908" s="2" t="str">
        <f>"9783112212110"</f>
        <v>9783112212110</v>
      </c>
    </row>
    <row r="909" spans="1:6" s="3" customFormat="1" ht="29.1" customHeight="1" x14ac:dyDescent="0.25">
      <c r="A909" s="2" t="s">
        <v>2165</v>
      </c>
      <c r="B909" s="2" t="s">
        <v>2166</v>
      </c>
      <c r="C909" s="2" t="s">
        <v>195</v>
      </c>
      <c r="D909" s="2" t="s">
        <v>1112</v>
      </c>
      <c r="E909" s="2" t="str">
        <f>"9783111681115"</f>
        <v>9783111681115</v>
      </c>
      <c r="F909" s="2" t="str">
        <f>"9783111681139"</f>
        <v>9783111681139</v>
      </c>
    </row>
    <row r="910" spans="1:6" s="3" customFormat="1" ht="29.1" customHeight="1" x14ac:dyDescent="0.25">
      <c r="A910" s="2" t="s">
        <v>2167</v>
      </c>
      <c r="B910" s="2" t="s">
        <v>2169</v>
      </c>
      <c r="C910" s="2" t="s">
        <v>195</v>
      </c>
      <c r="D910" s="2" t="s">
        <v>2168</v>
      </c>
      <c r="E910" s="2" t="str">
        <f>"9783111706603"</f>
        <v>9783111706603</v>
      </c>
      <c r="F910" s="2" t="str">
        <f>"9783111706719"</f>
        <v>9783111706719</v>
      </c>
    </row>
    <row r="911" spans="1:6" s="3" customFormat="1" ht="29.1" customHeight="1" x14ac:dyDescent="0.25">
      <c r="A911" s="2" t="s">
        <v>2170</v>
      </c>
      <c r="B911" s="2" t="s">
        <v>2171</v>
      </c>
      <c r="C911" s="2" t="s">
        <v>195</v>
      </c>
      <c r="D911" s="2" t="s">
        <v>446</v>
      </c>
      <c r="E911" s="2" t="str">
        <f>"9783111550152"</f>
        <v>9783111550152</v>
      </c>
      <c r="F911" s="2" t="str">
        <f>"9783111571416"</f>
        <v>9783111571416</v>
      </c>
    </row>
    <row r="912" spans="1:6" s="3" customFormat="1" ht="29.1" customHeight="1" x14ac:dyDescent="0.25">
      <c r="A912" s="2" t="s">
        <v>2172</v>
      </c>
      <c r="B912" s="2" t="s">
        <v>2173</v>
      </c>
      <c r="C912" s="2" t="s">
        <v>195</v>
      </c>
      <c r="D912" s="2" t="s">
        <v>218</v>
      </c>
      <c r="E912" s="2" t="str">
        <f>"9783110995725"</f>
        <v>9783110995725</v>
      </c>
      <c r="F912" s="2" t="str">
        <f>"9783110982152"</f>
        <v>9783110982152</v>
      </c>
    </row>
    <row r="913" spans="1:6" s="3" customFormat="1" ht="29.1" customHeight="1" x14ac:dyDescent="0.25">
      <c r="A913" s="2" t="s">
        <v>2174</v>
      </c>
      <c r="B913" s="2" t="s">
        <v>2176</v>
      </c>
      <c r="C913" s="2" t="s">
        <v>239</v>
      </c>
      <c r="D913" s="2" t="s">
        <v>2175</v>
      </c>
      <c r="E913" s="2" t="str">
        <f>"9780520423572"</f>
        <v>9780520423572</v>
      </c>
      <c r="F913" s="2" t="str">
        <f>"9780520423596"</f>
        <v>9780520423596</v>
      </c>
    </row>
    <row r="914" spans="1:6" s="3" customFormat="1" ht="29.1" customHeight="1" x14ac:dyDescent="0.25">
      <c r="A914" s="2" t="s">
        <v>2177</v>
      </c>
      <c r="B914" s="2" t="s">
        <v>2179</v>
      </c>
      <c r="C914" s="2" t="s">
        <v>20</v>
      </c>
      <c r="D914" s="2" t="s">
        <v>2178</v>
      </c>
      <c r="E914" s="2" t="str">
        <f>"9783763978120"</f>
        <v>9783763978120</v>
      </c>
      <c r="F914" s="2" t="str">
        <f>"9783763978137"</f>
        <v>9783763978137</v>
      </c>
    </row>
    <row r="915" spans="1:6" s="3" customFormat="1" ht="29.1" customHeight="1" x14ac:dyDescent="0.25">
      <c r="A915" s="2" t="s">
        <v>2180</v>
      </c>
      <c r="B915" s="2" t="s">
        <v>2181</v>
      </c>
      <c r="C915" s="2" t="s">
        <v>20</v>
      </c>
      <c r="D915" s="2" t="s">
        <v>596</v>
      </c>
      <c r="E915" s="2" t="str">
        <f>"9783763978328"</f>
        <v>9783763978328</v>
      </c>
      <c r="F915" s="2" t="str">
        <f>"9783763978335"</f>
        <v>9783763978335</v>
      </c>
    </row>
    <row r="916" spans="1:6" s="3" customFormat="1" ht="29.1" customHeight="1" x14ac:dyDescent="0.25">
      <c r="A916" s="2" t="s">
        <v>2182</v>
      </c>
      <c r="B916" s="2" t="s">
        <v>2184</v>
      </c>
      <c r="C916" s="2" t="s">
        <v>2183</v>
      </c>
      <c r="D916" s="2" t="s">
        <v>2002</v>
      </c>
      <c r="E916" s="2" t="str">
        <f>"9781802700398"</f>
        <v>9781802700398</v>
      </c>
      <c r="F916" s="2" t="str">
        <f>"9781802703764"</f>
        <v>9781802703764</v>
      </c>
    </row>
    <row r="917" spans="1:6" s="3" customFormat="1" ht="29.1" customHeight="1" x14ac:dyDescent="0.25">
      <c r="A917" s="2" t="s">
        <v>2185</v>
      </c>
      <c r="B917" s="2" t="s">
        <v>2186</v>
      </c>
      <c r="C917" s="2" t="s">
        <v>124</v>
      </c>
      <c r="D917" s="2" t="s">
        <v>281</v>
      </c>
      <c r="E917" s="2" t="str">
        <f>"9781032277486"</f>
        <v>9781032277486</v>
      </c>
      <c r="F917" s="2" t="str">
        <f>"9781003293903"</f>
        <v>9781003293903</v>
      </c>
    </row>
    <row r="918" spans="1:6" s="3" customFormat="1" ht="29.1" customHeight="1" x14ac:dyDescent="0.25">
      <c r="A918" s="2" t="s">
        <v>2187</v>
      </c>
      <c r="B918" s="2" t="s">
        <v>2189</v>
      </c>
      <c r="C918" s="2" t="s">
        <v>2188</v>
      </c>
      <c r="D918" s="2" t="s">
        <v>81</v>
      </c>
      <c r="E918" s="2" t="str">
        <f>"9788323244578"</f>
        <v>9788323244578</v>
      </c>
      <c r="F918" s="2" t="str">
        <f>"9788323244585"</f>
        <v>9788323244585</v>
      </c>
    </row>
    <row r="919" spans="1:6" s="3" customFormat="1" ht="29.1" customHeight="1" x14ac:dyDescent="0.25">
      <c r="A919" s="2" t="s">
        <v>2190</v>
      </c>
      <c r="B919" s="2" t="s">
        <v>2191</v>
      </c>
      <c r="C919" s="2" t="s">
        <v>239</v>
      </c>
      <c r="D919" s="2" t="s">
        <v>653</v>
      </c>
      <c r="E919" s="2" t="str">
        <f>"9780520416796"</f>
        <v>9780520416796</v>
      </c>
      <c r="F919" s="2" t="str">
        <f>"9780520416802"</f>
        <v>9780520416802</v>
      </c>
    </row>
    <row r="920" spans="1:6" s="3" customFormat="1" ht="29.1" customHeight="1" x14ac:dyDescent="0.25">
      <c r="A920" s="2" t="s">
        <v>2192</v>
      </c>
      <c r="B920" s="2" t="s">
        <v>2193</v>
      </c>
      <c r="C920" s="2" t="s">
        <v>239</v>
      </c>
      <c r="D920" s="2" t="s">
        <v>636</v>
      </c>
      <c r="E920" s="2" t="str">
        <f>"9780520409972"</f>
        <v>9780520409972</v>
      </c>
      <c r="F920" s="2" t="str">
        <f>"9780520409989"</f>
        <v>9780520409989</v>
      </c>
    </row>
    <row r="921" spans="1:6" s="3" customFormat="1" ht="29.1" customHeight="1" x14ac:dyDescent="0.25">
      <c r="A921" s="2" t="s">
        <v>2194</v>
      </c>
      <c r="B921" s="2" t="s">
        <v>2195</v>
      </c>
      <c r="C921" s="2" t="s">
        <v>5</v>
      </c>
      <c r="D921" s="2" t="s">
        <v>141</v>
      </c>
      <c r="E921" s="2" t="str">
        <f>"9789464638165"</f>
        <v>9789464638165</v>
      </c>
      <c r="F921" s="2" t="str">
        <f>"9789464638172"</f>
        <v>9789464638172</v>
      </c>
    </row>
    <row r="922" spans="1:6" s="3" customFormat="1" ht="29.1" customHeight="1" x14ac:dyDescent="0.25">
      <c r="A922" s="2" t="s">
        <v>2196</v>
      </c>
      <c r="B922" s="2" t="s">
        <v>2197</v>
      </c>
      <c r="C922" s="2" t="s">
        <v>264</v>
      </c>
      <c r="D922" s="2" t="s">
        <v>1959</v>
      </c>
      <c r="E922" s="2" t="str">
        <f>"9781041085478"</f>
        <v>9781041085478</v>
      </c>
      <c r="F922" s="2" t="str">
        <f>"9781003645917"</f>
        <v>9781003645917</v>
      </c>
    </row>
    <row r="923" spans="1:6" s="3" customFormat="1" ht="29.1" customHeight="1" x14ac:dyDescent="0.25">
      <c r="A923" s="2" t="s">
        <v>2196</v>
      </c>
      <c r="B923" s="2" t="s">
        <v>2197</v>
      </c>
      <c r="C923" s="2" t="s">
        <v>264</v>
      </c>
      <c r="D923" s="2" t="s">
        <v>1959</v>
      </c>
      <c r="E923" s="2" t="str">
        <f>"9781041085522"</f>
        <v>9781041085522</v>
      </c>
      <c r="F923" s="2" t="str">
        <f>"9781003645931"</f>
        <v>9781003645931</v>
      </c>
    </row>
    <row r="924" spans="1:6" s="3" customFormat="1" ht="29.1" customHeight="1" x14ac:dyDescent="0.25">
      <c r="A924" s="2" t="s">
        <v>2198</v>
      </c>
      <c r="B924" s="2" t="s">
        <v>2200</v>
      </c>
      <c r="C924" s="2" t="s">
        <v>124</v>
      </c>
      <c r="D924" s="2" t="s">
        <v>2199</v>
      </c>
      <c r="E924" s="2" t="str">
        <f>"9781032645179"</f>
        <v>9781032645179</v>
      </c>
      <c r="F924" s="2" t="str">
        <f>"9781032645209"</f>
        <v>9781032645209</v>
      </c>
    </row>
    <row r="925" spans="1:6" s="3" customFormat="1" ht="29.1" customHeight="1" x14ac:dyDescent="0.25">
      <c r="A925" s="2" t="s">
        <v>2201</v>
      </c>
      <c r="B925" s="2" t="s">
        <v>2202</v>
      </c>
      <c r="C925" s="2" t="s">
        <v>927</v>
      </c>
      <c r="D925" s="2" t="s">
        <v>1214</v>
      </c>
      <c r="E925" s="2" t="str">
        <f>"9780472039982"</f>
        <v>9780472039982</v>
      </c>
      <c r="F925" s="2" t="str">
        <f>"9780472905201"</f>
        <v>9780472905201</v>
      </c>
    </row>
    <row r="926" spans="1:6" s="3" customFormat="1" ht="29.1" customHeight="1" x14ac:dyDescent="0.25">
      <c r="A926" s="2" t="s">
        <v>2203</v>
      </c>
      <c r="B926" s="2" t="s">
        <v>2204</v>
      </c>
      <c r="C926" s="2" t="s">
        <v>927</v>
      </c>
      <c r="D926" s="2" t="s">
        <v>297</v>
      </c>
      <c r="E926" s="2" t="str">
        <f>"9780472057610"</f>
        <v>9780472057610</v>
      </c>
      <c r="F926" s="2" t="str">
        <f>"9780472905195"</f>
        <v>9780472905195</v>
      </c>
    </row>
    <row r="927" spans="1:6" s="3" customFormat="1" ht="29.1" customHeight="1" x14ac:dyDescent="0.25">
      <c r="A927" s="2" t="s">
        <v>2205</v>
      </c>
      <c r="B927" s="2" t="s">
        <v>2206</v>
      </c>
      <c r="C927" s="2" t="s">
        <v>927</v>
      </c>
      <c r="D927" s="2" t="s">
        <v>210</v>
      </c>
      <c r="E927" s="2" t="str">
        <f>"9780472057757"</f>
        <v>9780472057757</v>
      </c>
      <c r="F927" s="2" t="str">
        <f>"9780472905348"</f>
        <v>9780472905348</v>
      </c>
    </row>
    <row r="928" spans="1:6" s="3" customFormat="1" ht="29.1" customHeight="1" x14ac:dyDescent="0.25">
      <c r="A928" s="2" t="s">
        <v>2207</v>
      </c>
      <c r="B928" s="2" t="s">
        <v>2209</v>
      </c>
      <c r="C928" s="2" t="s">
        <v>927</v>
      </c>
      <c r="D928" s="2" t="s">
        <v>2208</v>
      </c>
      <c r="E928" s="2" t="str">
        <f>"9780472057665"</f>
        <v>9780472057665</v>
      </c>
      <c r="F928" s="2" t="str">
        <f>"9780472905256"</f>
        <v>9780472905256</v>
      </c>
    </row>
    <row r="929" spans="1:6" s="3" customFormat="1" ht="29.1" customHeight="1" x14ac:dyDescent="0.25">
      <c r="A929" s="2" t="s">
        <v>2210</v>
      </c>
      <c r="B929" s="2" t="s">
        <v>2211</v>
      </c>
      <c r="C929" s="2" t="s">
        <v>927</v>
      </c>
      <c r="D929" s="2" t="s">
        <v>2208</v>
      </c>
      <c r="E929" s="2" t="str">
        <f>"9780472057689"</f>
        <v>9780472057689</v>
      </c>
      <c r="F929" s="2" t="str">
        <f>"9780472905287"</f>
        <v>9780472905287</v>
      </c>
    </row>
    <row r="930" spans="1:6" s="3" customFormat="1" ht="29.1" customHeight="1" x14ac:dyDescent="0.25">
      <c r="A930" s="2" t="s">
        <v>2212</v>
      </c>
      <c r="B930" s="2" t="s">
        <v>2213</v>
      </c>
      <c r="C930" s="2" t="s">
        <v>927</v>
      </c>
      <c r="D930" s="2" t="s">
        <v>2208</v>
      </c>
      <c r="E930" s="2" t="str">
        <f>"9780472057719"</f>
        <v>9780472057719</v>
      </c>
      <c r="F930" s="2" t="str">
        <f>"9780472905300"</f>
        <v>9780472905300</v>
      </c>
    </row>
    <row r="931" spans="1:6" s="3" customFormat="1" ht="29.1" customHeight="1" x14ac:dyDescent="0.25">
      <c r="A931" s="2" t="s">
        <v>2214</v>
      </c>
      <c r="B931" s="2" t="s">
        <v>2215</v>
      </c>
      <c r="C931" s="2" t="s">
        <v>5</v>
      </c>
      <c r="D931" s="2" t="s">
        <v>9</v>
      </c>
      <c r="E931" s="2" t="str">
        <f>"9782384764617"</f>
        <v>9782384764617</v>
      </c>
      <c r="F931" s="2" t="str">
        <f>"9782384764624"</f>
        <v>9782384764624</v>
      </c>
    </row>
    <row r="932" spans="1:6" s="3" customFormat="1" ht="29.1" customHeight="1" x14ac:dyDescent="0.25">
      <c r="A932" s="2" t="s">
        <v>2216</v>
      </c>
      <c r="B932" s="2" t="s">
        <v>2218</v>
      </c>
      <c r="C932" s="2" t="s">
        <v>5</v>
      </c>
      <c r="D932" s="2" t="s">
        <v>2217</v>
      </c>
      <c r="E932" s="2" t="str">
        <f>"9783032050359"</f>
        <v>9783032050359</v>
      </c>
      <c r="F932" s="2" t="str">
        <f>"9783032050366"</f>
        <v>9783032050366</v>
      </c>
    </row>
    <row r="933" spans="1:6" s="3" customFormat="1" ht="29.1" customHeight="1" x14ac:dyDescent="0.25">
      <c r="A933" s="2" t="s">
        <v>2219</v>
      </c>
      <c r="B933" s="2" t="s">
        <v>2221</v>
      </c>
      <c r="C933" s="2" t="s">
        <v>124</v>
      </c>
      <c r="D933" s="2" t="s">
        <v>2220</v>
      </c>
      <c r="E933" s="2" t="str">
        <f>"9781032854939"</f>
        <v>9781032854939</v>
      </c>
      <c r="F933" s="2" t="str">
        <f>"9781003520849"</f>
        <v>9781003520849</v>
      </c>
    </row>
    <row r="934" spans="1:6" s="3" customFormat="1" ht="29.1" customHeight="1" x14ac:dyDescent="0.25">
      <c r="A934" s="2" t="s">
        <v>2222</v>
      </c>
      <c r="B934" s="2" t="s">
        <v>2223</v>
      </c>
      <c r="C934" s="2" t="s">
        <v>677</v>
      </c>
      <c r="D934" s="2" t="s">
        <v>218</v>
      </c>
      <c r="E934" s="2" t="str">
        <f>"9789465151502"</f>
        <v>9789465151502</v>
      </c>
      <c r="F934" s="2"/>
    </row>
    <row r="935" spans="1:6" s="3" customFormat="1" ht="29.1" customHeight="1" x14ac:dyDescent="0.25">
      <c r="A935" s="2" t="s">
        <v>2224</v>
      </c>
      <c r="B935" s="2" t="s">
        <v>2225</v>
      </c>
      <c r="C935" s="2" t="s">
        <v>677</v>
      </c>
      <c r="D935" s="2" t="s">
        <v>818</v>
      </c>
      <c r="E935" s="2" t="str">
        <f>"9789465151038"</f>
        <v>9789465151038</v>
      </c>
      <c r="F935" s="2"/>
    </row>
    <row r="936" spans="1:6" s="3" customFormat="1" ht="29.1" customHeight="1" x14ac:dyDescent="0.25">
      <c r="A936" s="2" t="s">
        <v>2226</v>
      </c>
      <c r="B936" s="2" t="s">
        <v>2228</v>
      </c>
      <c r="C936" s="2" t="s">
        <v>677</v>
      </c>
      <c r="D936" s="2" t="s">
        <v>2227</v>
      </c>
      <c r="E936" s="2" t="str">
        <f>"9789465150987"</f>
        <v>9789465150987</v>
      </c>
      <c r="F936" s="2"/>
    </row>
    <row r="937" spans="1:6" s="3" customFormat="1" ht="29.1" customHeight="1" x14ac:dyDescent="0.25">
      <c r="A937" s="2" t="s">
        <v>2229</v>
      </c>
      <c r="B937" s="2" t="s">
        <v>2230</v>
      </c>
      <c r="C937" s="2" t="s">
        <v>29</v>
      </c>
      <c r="D937" s="2" t="s">
        <v>479</v>
      </c>
      <c r="E937" s="2" t="str">
        <f>"9789004751156"</f>
        <v>9789004751156</v>
      </c>
      <c r="F937" s="2" t="str">
        <f>"9789004751163"</f>
        <v>9789004751163</v>
      </c>
    </row>
    <row r="938" spans="1:6" s="3" customFormat="1" ht="29.1" customHeight="1" x14ac:dyDescent="0.25">
      <c r="A938" s="2" t="s">
        <v>2231</v>
      </c>
      <c r="B938" s="2" t="s">
        <v>2232</v>
      </c>
      <c r="C938" s="2" t="s">
        <v>36</v>
      </c>
      <c r="D938" s="2" t="s">
        <v>998</v>
      </c>
      <c r="E938" s="2"/>
      <c r="F938" s="2" t="str">
        <f>"9781447376996"</f>
        <v>9781447376996</v>
      </c>
    </row>
    <row r="939" spans="1:6" s="3" customFormat="1" ht="29.1" customHeight="1" x14ac:dyDescent="0.25">
      <c r="A939" s="2" t="s">
        <v>2233</v>
      </c>
      <c r="B939" s="2" t="s">
        <v>2235</v>
      </c>
      <c r="C939" s="2" t="s">
        <v>36</v>
      </c>
      <c r="D939" s="2" t="s">
        <v>2234</v>
      </c>
      <c r="E939" s="2"/>
      <c r="F939" s="2" t="str">
        <f>"9781529255799"</f>
        <v>9781529255799</v>
      </c>
    </row>
    <row r="940" spans="1:6" s="3" customFormat="1" ht="29.1" customHeight="1" x14ac:dyDescent="0.25">
      <c r="A940" s="2" t="s">
        <v>2236</v>
      </c>
      <c r="B940" s="2" t="s">
        <v>2238</v>
      </c>
      <c r="C940" s="2" t="s">
        <v>5</v>
      </c>
      <c r="D940" s="2" t="s">
        <v>2237</v>
      </c>
      <c r="E940" s="2" t="str">
        <f>"9789464638066"</f>
        <v>9789464638066</v>
      </c>
      <c r="F940" s="2" t="str">
        <f>"9789464638073"</f>
        <v>9789464638073</v>
      </c>
    </row>
    <row r="941" spans="1:6" s="3" customFormat="1" ht="29.1" customHeight="1" x14ac:dyDescent="0.25">
      <c r="A941" s="2" t="s">
        <v>2239</v>
      </c>
      <c r="B941" s="2" t="s">
        <v>2240</v>
      </c>
      <c r="C941" s="2" t="s">
        <v>29</v>
      </c>
      <c r="D941" s="2" t="s">
        <v>192</v>
      </c>
      <c r="E941" s="2" t="str">
        <f>"9789004710290"</f>
        <v>9789004710290</v>
      </c>
      <c r="F941" s="2" t="str">
        <f>"9789004710306"</f>
        <v>9789004710306</v>
      </c>
    </row>
    <row r="942" spans="1:6" s="3" customFormat="1" ht="29.1" customHeight="1" x14ac:dyDescent="0.25">
      <c r="A942" s="2" t="s">
        <v>2241</v>
      </c>
      <c r="B942" s="2" t="s">
        <v>2244</v>
      </c>
      <c r="C942" s="2" t="s">
        <v>2242</v>
      </c>
      <c r="D942" s="2" t="s">
        <v>2243</v>
      </c>
      <c r="E942" s="2" t="str">
        <f>"9788024466620"</f>
        <v>9788024466620</v>
      </c>
      <c r="F942" s="2" t="str">
        <f>"9788024466637"</f>
        <v>9788024466637</v>
      </c>
    </row>
    <row r="943" spans="1:6" s="3" customFormat="1" ht="29.1" customHeight="1" x14ac:dyDescent="0.25">
      <c r="A943" s="2" t="s">
        <v>2245</v>
      </c>
      <c r="B943" s="2" t="s">
        <v>2246</v>
      </c>
      <c r="C943" s="2" t="s">
        <v>36</v>
      </c>
      <c r="D943" s="2" t="s">
        <v>249</v>
      </c>
      <c r="E943" s="2"/>
      <c r="F943" s="2" t="str">
        <f>"9781447374909"</f>
        <v>9781447374909</v>
      </c>
    </row>
    <row r="944" spans="1:6" s="3" customFormat="1" ht="29.1" customHeight="1" x14ac:dyDescent="0.25">
      <c r="A944" s="2" t="s">
        <v>2247</v>
      </c>
      <c r="B944" s="2" t="s">
        <v>2249</v>
      </c>
      <c r="C944" s="2" t="s">
        <v>2248</v>
      </c>
      <c r="D944" s="2" t="s">
        <v>636</v>
      </c>
      <c r="E944" s="2"/>
      <c r="F944" s="2" t="str">
        <f>"9781968794071"</f>
        <v>9781968794071</v>
      </c>
    </row>
    <row r="945" spans="1:6" s="3" customFormat="1" ht="29.1" customHeight="1" x14ac:dyDescent="0.25">
      <c r="A945" s="2" t="s">
        <v>2250</v>
      </c>
      <c r="B945" s="2" t="s">
        <v>2251</v>
      </c>
      <c r="C945" s="2" t="s">
        <v>2248</v>
      </c>
      <c r="D945" s="2" t="s">
        <v>755</v>
      </c>
      <c r="E945" s="2"/>
      <c r="F945" s="2" t="str">
        <f>"9781968794064"</f>
        <v>9781968794064</v>
      </c>
    </row>
    <row r="946" spans="1:6" s="3" customFormat="1" ht="29.1" customHeight="1" x14ac:dyDescent="0.25">
      <c r="A946" s="2" t="s">
        <v>2252</v>
      </c>
      <c r="B946" s="2" t="s">
        <v>2253</v>
      </c>
      <c r="C946" s="2" t="s">
        <v>2248</v>
      </c>
      <c r="D946" s="2" t="s">
        <v>1256</v>
      </c>
      <c r="E946" s="2"/>
      <c r="F946" s="2" t="str">
        <f>"9781968794033"</f>
        <v>9781968794033</v>
      </c>
    </row>
    <row r="947" spans="1:6" s="3" customFormat="1" ht="29.1" customHeight="1" x14ac:dyDescent="0.25">
      <c r="A947" s="2" t="s">
        <v>2254</v>
      </c>
      <c r="B947" s="2" t="s">
        <v>2256</v>
      </c>
      <c r="C947" s="2" t="s">
        <v>2248</v>
      </c>
      <c r="D947" s="2" t="s">
        <v>2255</v>
      </c>
      <c r="E947" s="2"/>
      <c r="F947" s="2" t="str">
        <f>"9781968794095"</f>
        <v>9781968794095</v>
      </c>
    </row>
    <row r="948" spans="1:6" s="3" customFormat="1" ht="29.1" customHeight="1" x14ac:dyDescent="0.25">
      <c r="A948" s="2" t="s">
        <v>2257</v>
      </c>
      <c r="B948" s="2" t="s">
        <v>2258</v>
      </c>
      <c r="C948" s="2" t="s">
        <v>2248</v>
      </c>
      <c r="D948" s="2" t="s">
        <v>52</v>
      </c>
      <c r="E948" s="2"/>
      <c r="F948" s="2" t="str">
        <f>"9781968794088"</f>
        <v>9781968794088</v>
      </c>
    </row>
    <row r="949" spans="1:6" s="3" customFormat="1" ht="29.1" customHeight="1" x14ac:dyDescent="0.25">
      <c r="A949" s="2" t="s">
        <v>2259</v>
      </c>
      <c r="B949" s="2" t="s">
        <v>2261</v>
      </c>
      <c r="C949" s="2" t="s">
        <v>2248</v>
      </c>
      <c r="D949" s="2" t="s">
        <v>2260</v>
      </c>
      <c r="E949" s="2"/>
      <c r="F949" s="2" t="str">
        <f>"9781968794040"</f>
        <v>9781968794040</v>
      </c>
    </row>
    <row r="950" spans="1:6" s="3" customFormat="1" ht="29.1" customHeight="1" x14ac:dyDescent="0.25">
      <c r="A950" s="2" t="s">
        <v>2262</v>
      </c>
      <c r="B950" s="2" t="s">
        <v>2264</v>
      </c>
      <c r="C950" s="2" t="s">
        <v>2248</v>
      </c>
      <c r="D950" s="2" t="s">
        <v>2263</v>
      </c>
      <c r="E950" s="2"/>
      <c r="F950" s="2" t="str">
        <f>"9781968794057"</f>
        <v>9781968794057</v>
      </c>
    </row>
    <row r="951" spans="1:6" s="3" customFormat="1" ht="29.1" customHeight="1" x14ac:dyDescent="0.25">
      <c r="A951" s="2" t="s">
        <v>2265</v>
      </c>
      <c r="B951" s="2" t="s">
        <v>2267</v>
      </c>
      <c r="C951" s="2" t="s">
        <v>305</v>
      </c>
      <c r="D951" s="2" t="s">
        <v>2266</v>
      </c>
      <c r="E951" s="2"/>
      <c r="F951" s="2" t="str">
        <f>"9786218438101"</f>
        <v>9786218438101</v>
      </c>
    </row>
    <row r="952" spans="1:6" s="3" customFormat="1" ht="29.1" customHeight="1" x14ac:dyDescent="0.25">
      <c r="A952" s="2" t="s">
        <v>2268</v>
      </c>
      <c r="B952" s="2" t="s">
        <v>2269</v>
      </c>
      <c r="C952" s="2" t="s">
        <v>927</v>
      </c>
      <c r="D952" s="2" t="s">
        <v>297</v>
      </c>
      <c r="E952" s="2"/>
      <c r="F952" s="2"/>
    </row>
    <row r="953" spans="1:6" s="3" customFormat="1" ht="29.1" customHeight="1" x14ac:dyDescent="0.25">
      <c r="A953" s="2" t="s">
        <v>2270</v>
      </c>
      <c r="B953" s="2" t="s">
        <v>2272</v>
      </c>
      <c r="C953" s="2" t="s">
        <v>305</v>
      </c>
      <c r="D953" s="2" t="s">
        <v>2271</v>
      </c>
      <c r="E953" s="2"/>
      <c r="F953" s="2" t="str">
        <f>"9786218438118"</f>
        <v>9786218438118</v>
      </c>
    </row>
    <row r="954" spans="1:6" s="3" customFormat="1" ht="29.1" customHeight="1" x14ac:dyDescent="0.25">
      <c r="A954" s="2" t="s">
        <v>2273</v>
      </c>
      <c r="B954" s="2" t="s">
        <v>2275</v>
      </c>
      <c r="C954" s="2" t="s">
        <v>62</v>
      </c>
      <c r="D954" s="2" t="s">
        <v>2274</v>
      </c>
      <c r="E954" s="2" t="str">
        <f>"9783428194315"</f>
        <v>9783428194315</v>
      </c>
      <c r="F954" s="2" t="str">
        <f>"9783428594313"</f>
        <v>9783428594313</v>
      </c>
    </row>
    <row r="955" spans="1:6" s="3" customFormat="1" ht="29.1" customHeight="1" x14ac:dyDescent="0.25">
      <c r="A955" s="2" t="s">
        <v>2276</v>
      </c>
      <c r="B955" s="2" t="s">
        <v>2277</v>
      </c>
      <c r="C955" s="2" t="s">
        <v>195</v>
      </c>
      <c r="D955" s="2" t="s">
        <v>462</v>
      </c>
      <c r="E955" s="2" t="str">
        <f>"9783119145435"</f>
        <v>9783119145435</v>
      </c>
      <c r="F955" s="2" t="str">
        <f>"9783112213186"</f>
        <v>9783112213186</v>
      </c>
    </row>
    <row r="956" spans="1:6" s="3" customFormat="1" ht="29.1" customHeight="1" x14ac:dyDescent="0.25">
      <c r="A956" s="2" t="s">
        <v>2278</v>
      </c>
      <c r="B956" s="2" t="s">
        <v>2279</v>
      </c>
      <c r="C956" s="2" t="s">
        <v>195</v>
      </c>
      <c r="D956" s="2" t="s">
        <v>413</v>
      </c>
      <c r="E956" s="2" t="str">
        <f>"9783111573830"</f>
        <v>9783111573830</v>
      </c>
      <c r="F956" s="2" t="str">
        <f>"9783111574332"</f>
        <v>9783111574332</v>
      </c>
    </row>
    <row r="957" spans="1:6" s="3" customFormat="1" ht="29.1" customHeight="1" x14ac:dyDescent="0.25">
      <c r="A957" s="2" t="s">
        <v>2280</v>
      </c>
      <c r="B957" s="2" t="s">
        <v>2281</v>
      </c>
      <c r="C957" s="2" t="s">
        <v>195</v>
      </c>
      <c r="D957" s="2" t="s">
        <v>33</v>
      </c>
      <c r="E957" s="2" t="str">
        <f>"9783111480954"</f>
        <v>9783111480954</v>
      </c>
      <c r="F957" s="2" t="str">
        <f>"9783111481579"</f>
        <v>9783111481579</v>
      </c>
    </row>
    <row r="958" spans="1:6" s="3" customFormat="1" ht="29.1" customHeight="1" x14ac:dyDescent="0.25">
      <c r="A958" s="2" t="s">
        <v>2282</v>
      </c>
      <c r="B958" s="2" t="s">
        <v>2283</v>
      </c>
      <c r="C958" s="2" t="s">
        <v>195</v>
      </c>
      <c r="D958" s="2" t="s">
        <v>297</v>
      </c>
      <c r="E958" s="2" t="str">
        <f>"9783111610962"</f>
        <v>9783111610962</v>
      </c>
      <c r="F958" s="2" t="str">
        <f>"9783111611167"</f>
        <v>9783111611167</v>
      </c>
    </row>
    <row r="959" spans="1:6" s="3" customFormat="1" ht="29.1" customHeight="1" x14ac:dyDescent="0.25">
      <c r="A959" s="2" t="s">
        <v>2284</v>
      </c>
      <c r="B959" s="2" t="s">
        <v>2285</v>
      </c>
      <c r="C959" s="2" t="s">
        <v>29</v>
      </c>
      <c r="D959" s="2" t="s">
        <v>324</v>
      </c>
      <c r="E959" s="2" t="str">
        <f>"9783506797889"</f>
        <v>9783506797889</v>
      </c>
      <c r="F959" s="2" t="str">
        <f>"9783657797882"</f>
        <v>9783657797882</v>
      </c>
    </row>
    <row r="960" spans="1:6" s="3" customFormat="1" ht="29.1" customHeight="1" x14ac:dyDescent="0.25">
      <c r="A960" s="2" t="s">
        <v>2286</v>
      </c>
      <c r="B960" s="2" t="s">
        <v>2287</v>
      </c>
      <c r="C960" s="2" t="s">
        <v>124</v>
      </c>
      <c r="D960" s="2" t="s">
        <v>553</v>
      </c>
      <c r="E960" s="2" t="str">
        <f>"9781032916484"</f>
        <v>9781032916484</v>
      </c>
      <c r="F960" s="2" t="str">
        <f>"9781003564348"</f>
        <v>9781003564348</v>
      </c>
    </row>
    <row r="961" spans="1:6" s="3" customFormat="1" ht="29.1" customHeight="1" x14ac:dyDescent="0.25">
      <c r="A961" s="2" t="s">
        <v>2288</v>
      </c>
      <c r="B961" s="2" t="s">
        <v>2289</v>
      </c>
      <c r="C961" s="2" t="s">
        <v>124</v>
      </c>
      <c r="D961" s="2" t="s">
        <v>192</v>
      </c>
      <c r="E961" s="2" t="str">
        <f>"9781032673844"</f>
        <v>9781032673844</v>
      </c>
      <c r="F961" s="2" t="str">
        <f>"9781032684635"</f>
        <v>9781032684635</v>
      </c>
    </row>
    <row r="962" spans="1:6" s="3" customFormat="1" ht="29.1" customHeight="1" x14ac:dyDescent="0.25">
      <c r="A962" s="2" t="s">
        <v>2290</v>
      </c>
      <c r="B962" s="2" t="s">
        <v>2292</v>
      </c>
      <c r="C962" s="2" t="s">
        <v>316</v>
      </c>
      <c r="D962" s="2" t="s">
        <v>2291</v>
      </c>
      <c r="E962" s="2" t="str">
        <f>"9783036408897"</f>
        <v>9783036408897</v>
      </c>
      <c r="F962" s="2" t="str">
        <f>"9783036418896"</f>
        <v>9783036418896</v>
      </c>
    </row>
    <row r="963" spans="1:6" s="3" customFormat="1" ht="29.1" customHeight="1" x14ac:dyDescent="0.25">
      <c r="A963" s="2" t="s">
        <v>2293</v>
      </c>
      <c r="B963" s="2" t="s">
        <v>2294</v>
      </c>
      <c r="C963" s="2" t="s">
        <v>316</v>
      </c>
      <c r="D963" s="2" t="s">
        <v>317</v>
      </c>
      <c r="E963" s="2" t="str">
        <f>"9783036408903"</f>
        <v>9783036408903</v>
      </c>
      <c r="F963" s="2" t="str">
        <f>"9783036418902"</f>
        <v>9783036418902</v>
      </c>
    </row>
    <row r="964" spans="1:6" s="3" customFormat="1" ht="29.1" customHeight="1" x14ac:dyDescent="0.25">
      <c r="A964" s="2" t="s">
        <v>2295</v>
      </c>
      <c r="B964" s="2" t="s">
        <v>1060</v>
      </c>
      <c r="C964" s="2" t="s">
        <v>316</v>
      </c>
      <c r="D964" s="2" t="s">
        <v>317</v>
      </c>
      <c r="E964" s="2" t="str">
        <f>"9783036407616"</f>
        <v>9783036407616</v>
      </c>
      <c r="F964" s="2" t="str">
        <f>"9783036417615"</f>
        <v>9783036417615</v>
      </c>
    </row>
    <row r="965" spans="1:6" s="3" customFormat="1" ht="29.1" customHeight="1" x14ac:dyDescent="0.25">
      <c r="A965" s="2" t="s">
        <v>2296</v>
      </c>
      <c r="B965" s="2" t="s">
        <v>2297</v>
      </c>
      <c r="C965" s="2" t="s">
        <v>20</v>
      </c>
      <c r="D965" s="2" t="s">
        <v>553</v>
      </c>
      <c r="E965" s="2" t="str">
        <f>"9783763978199"</f>
        <v>9783763978199</v>
      </c>
      <c r="F965" s="2" t="str">
        <f>"9783763978205"</f>
        <v>9783763978205</v>
      </c>
    </row>
    <row r="966" spans="1:6" s="3" customFormat="1" ht="29.1" customHeight="1" x14ac:dyDescent="0.25">
      <c r="A966" s="2" t="s">
        <v>2298</v>
      </c>
      <c r="B966" s="2" t="s">
        <v>2299</v>
      </c>
      <c r="C966" s="2" t="s">
        <v>20</v>
      </c>
      <c r="D966" s="2" t="s">
        <v>596</v>
      </c>
      <c r="E966" s="2" t="str">
        <f>"9783763978366"</f>
        <v>9783763978366</v>
      </c>
      <c r="F966" s="2" t="str">
        <f>"9783763978373"</f>
        <v>9783763978373</v>
      </c>
    </row>
    <row r="967" spans="1:6" s="3" customFormat="1" ht="29.1" customHeight="1" x14ac:dyDescent="0.25">
      <c r="A967" s="2" t="s">
        <v>2300</v>
      </c>
      <c r="B967" s="2" t="s">
        <v>2301</v>
      </c>
      <c r="C967" s="2" t="s">
        <v>20</v>
      </c>
      <c r="D967" s="2" t="s">
        <v>553</v>
      </c>
      <c r="E967" s="2" t="str">
        <f>"9783763978281"</f>
        <v>9783763978281</v>
      </c>
      <c r="F967" s="2" t="str">
        <f>"9783763978298"</f>
        <v>9783763978298</v>
      </c>
    </row>
    <row r="968" spans="1:6" s="3" customFormat="1" ht="29.1" customHeight="1" x14ac:dyDescent="0.25">
      <c r="A968" s="2" t="s">
        <v>2302</v>
      </c>
      <c r="B968" s="2" t="s">
        <v>2303</v>
      </c>
      <c r="C968" s="2" t="s">
        <v>29</v>
      </c>
      <c r="D968" s="2" t="s">
        <v>210</v>
      </c>
      <c r="E968" s="2" t="str">
        <f>"9789004515642"</f>
        <v>9789004515642</v>
      </c>
      <c r="F968" s="2" t="str">
        <f>"9789004495944"</f>
        <v>9789004495944</v>
      </c>
    </row>
    <row r="969" spans="1:6" s="3" customFormat="1" ht="29.1" customHeight="1" x14ac:dyDescent="0.25">
      <c r="A969" s="2" t="s">
        <v>2304</v>
      </c>
      <c r="B969" s="2" t="s">
        <v>2305</v>
      </c>
      <c r="C969" s="2" t="s">
        <v>124</v>
      </c>
      <c r="D969" s="2" t="s">
        <v>712</v>
      </c>
      <c r="E969" s="2" t="str">
        <f>"9781032978949"</f>
        <v>9781032978949</v>
      </c>
      <c r="F969" s="2" t="str">
        <f>"9781003595991"</f>
        <v>9781003595991</v>
      </c>
    </row>
    <row r="970" spans="1:6" s="3" customFormat="1" ht="29.1" customHeight="1" x14ac:dyDescent="0.25">
      <c r="A970" s="2" t="s">
        <v>2306</v>
      </c>
      <c r="B970" s="2" t="s">
        <v>2308</v>
      </c>
      <c r="C970" s="2" t="s">
        <v>927</v>
      </c>
      <c r="D970" s="2" t="s">
        <v>2307</v>
      </c>
      <c r="E970" s="2" t="str">
        <f>"9780472039913"</f>
        <v>9780472039913</v>
      </c>
      <c r="F970" s="2" t="str">
        <f>"9780472905409"</f>
        <v>9780472905409</v>
      </c>
    </row>
    <row r="971" spans="1:6" s="3" customFormat="1" ht="29.1" customHeight="1" x14ac:dyDescent="0.25">
      <c r="A971" s="2" t="s">
        <v>2309</v>
      </c>
      <c r="B971" s="2" t="s">
        <v>2310</v>
      </c>
      <c r="C971" s="2" t="s">
        <v>5</v>
      </c>
      <c r="D971" s="2" t="s">
        <v>402</v>
      </c>
      <c r="E971" s="2" t="str">
        <f>"9783662704233"</f>
        <v>9783662704233</v>
      </c>
      <c r="F971" s="2" t="str">
        <f>"9783662704240"</f>
        <v>9783662704240</v>
      </c>
    </row>
    <row r="972" spans="1:6" s="3" customFormat="1" ht="29.1" customHeight="1" x14ac:dyDescent="0.25">
      <c r="A972" s="2" t="s">
        <v>2311</v>
      </c>
      <c r="B972" s="2" t="s">
        <v>2312</v>
      </c>
      <c r="C972" s="2" t="s">
        <v>384</v>
      </c>
      <c r="D972" s="2" t="s">
        <v>52</v>
      </c>
      <c r="E972" s="2"/>
      <c r="F972" s="2" t="str">
        <f>"9798991590273"</f>
        <v>9798991590273</v>
      </c>
    </row>
    <row r="973" spans="1:6" s="3" customFormat="1" ht="29.1" customHeight="1" x14ac:dyDescent="0.25">
      <c r="A973" s="2" t="s">
        <v>888</v>
      </c>
      <c r="B973" s="2" t="s">
        <v>890</v>
      </c>
      <c r="C973" s="2" t="s">
        <v>5</v>
      </c>
      <c r="D973" s="2" t="s">
        <v>889</v>
      </c>
      <c r="E973" s="2" t="str">
        <f>"9783031889738"</f>
        <v>9783031889738</v>
      </c>
      <c r="F973" s="2" t="str">
        <f>"9783031889745"</f>
        <v>9783031889745</v>
      </c>
    </row>
    <row r="974" spans="1:6" s="3" customFormat="1" ht="29.1" customHeight="1" x14ac:dyDescent="0.25">
      <c r="A974" s="2" t="s">
        <v>2313</v>
      </c>
      <c r="B974" s="2" t="s">
        <v>2314</v>
      </c>
      <c r="C974" s="2" t="s">
        <v>5</v>
      </c>
      <c r="D974" s="2" t="s">
        <v>98</v>
      </c>
      <c r="E974" s="2" t="str">
        <f>"9783031919947"</f>
        <v>9783031919947</v>
      </c>
      <c r="F974" s="2" t="str">
        <f>"9783031919954"</f>
        <v>9783031919954</v>
      </c>
    </row>
    <row r="975" spans="1:6" s="3" customFormat="1" ht="29.1" customHeight="1" x14ac:dyDescent="0.25">
      <c r="A975" s="2" t="s">
        <v>2315</v>
      </c>
      <c r="B975" s="2" t="s">
        <v>2317</v>
      </c>
      <c r="C975" s="2" t="s">
        <v>2316</v>
      </c>
      <c r="D975" s="2" t="s">
        <v>490</v>
      </c>
      <c r="E975" s="2"/>
      <c r="F975" s="2" t="str">
        <f>"9789952859652"</f>
        <v>9789952859652</v>
      </c>
    </row>
    <row r="976" spans="1:6" s="3" customFormat="1" ht="29.1" customHeight="1" x14ac:dyDescent="0.25">
      <c r="A976" s="2" t="s">
        <v>2318</v>
      </c>
      <c r="B976" s="2" t="s">
        <v>2319</v>
      </c>
      <c r="C976" s="2" t="s">
        <v>2316</v>
      </c>
      <c r="D976" s="2" t="s">
        <v>490</v>
      </c>
      <c r="E976" s="2"/>
      <c r="F976" s="2" t="str">
        <f>"9789952859645"</f>
        <v>9789952859645</v>
      </c>
    </row>
    <row r="977" spans="1:6" s="3" customFormat="1" ht="29.1" customHeight="1" x14ac:dyDescent="0.25">
      <c r="A977" s="2" t="s">
        <v>2320</v>
      </c>
      <c r="B977" s="2" t="s">
        <v>2321</v>
      </c>
      <c r="C977" s="2" t="s">
        <v>2316</v>
      </c>
      <c r="D977" s="2" t="s">
        <v>284</v>
      </c>
      <c r="E977" s="2"/>
      <c r="F977" s="2" t="str">
        <f>"9789952859638"</f>
        <v>9789952859638</v>
      </c>
    </row>
    <row r="978" spans="1:6" s="3" customFormat="1" ht="29.1" customHeight="1" x14ac:dyDescent="0.25">
      <c r="A978" s="2" t="s">
        <v>2322</v>
      </c>
      <c r="B978" s="2" t="s">
        <v>2324</v>
      </c>
      <c r="C978" s="2" t="s">
        <v>2316</v>
      </c>
      <c r="D978" s="2" t="s">
        <v>2323</v>
      </c>
      <c r="E978" s="2"/>
      <c r="F978" s="2" t="str">
        <f>"9789952859621"</f>
        <v>9789952859621</v>
      </c>
    </row>
    <row r="979" spans="1:6" s="3" customFormat="1" ht="29.1" customHeight="1" x14ac:dyDescent="0.25">
      <c r="A979" s="2" t="s">
        <v>2325</v>
      </c>
      <c r="B979" s="2" t="s">
        <v>2327</v>
      </c>
      <c r="C979" s="2" t="s">
        <v>2316</v>
      </c>
      <c r="D979" s="2" t="s">
        <v>2326</v>
      </c>
      <c r="E979" s="2"/>
      <c r="F979" s="2" t="str">
        <f>"9789952859614"</f>
        <v>9789952859614</v>
      </c>
    </row>
    <row r="980" spans="1:6" s="3" customFormat="1" ht="29.1" customHeight="1" x14ac:dyDescent="0.25">
      <c r="A980" s="2" t="s">
        <v>2328</v>
      </c>
      <c r="B980" s="2" t="s">
        <v>2330</v>
      </c>
      <c r="C980" s="2" t="s">
        <v>2316</v>
      </c>
      <c r="D980" s="2" t="s">
        <v>2329</v>
      </c>
      <c r="E980" s="2"/>
      <c r="F980" s="2" t="str">
        <f>"9789952859607"</f>
        <v>9789952859607</v>
      </c>
    </row>
    <row r="981" spans="1:6" s="3" customFormat="1" ht="29.1" customHeight="1" x14ac:dyDescent="0.25">
      <c r="A981" s="2" t="s">
        <v>2331</v>
      </c>
      <c r="B981" s="2" t="s">
        <v>627</v>
      </c>
      <c r="C981" s="2" t="s">
        <v>624</v>
      </c>
      <c r="D981" s="2" t="s">
        <v>2332</v>
      </c>
      <c r="E981" s="2" t="str">
        <f>"9789189936225"</f>
        <v>9789189936225</v>
      </c>
      <c r="F981" s="2" t="str">
        <f>"9789189936232"</f>
        <v>9789189936232</v>
      </c>
    </row>
    <row r="982" spans="1:6" s="3" customFormat="1" ht="29.1" customHeight="1" x14ac:dyDescent="0.25">
      <c r="A982" s="2" t="s">
        <v>2333</v>
      </c>
      <c r="B982" s="2" t="s">
        <v>2334</v>
      </c>
      <c r="C982" s="2" t="s">
        <v>59</v>
      </c>
      <c r="D982" s="2" t="s">
        <v>1097</v>
      </c>
      <c r="E982" s="2"/>
      <c r="F982" s="2" t="str">
        <f>"9782759240784"</f>
        <v>9782759240784</v>
      </c>
    </row>
    <row r="983" spans="1:6" s="3" customFormat="1" ht="29.1" customHeight="1" x14ac:dyDescent="0.25">
      <c r="A983" s="2" t="s">
        <v>2335</v>
      </c>
      <c r="B983" s="2" t="s">
        <v>2337</v>
      </c>
      <c r="C983" s="2" t="s">
        <v>36</v>
      </c>
      <c r="D983" s="2" t="s">
        <v>2336</v>
      </c>
      <c r="E983" s="2"/>
      <c r="F983" s="2" t="str">
        <f>"9781529232691"</f>
        <v>9781529232691</v>
      </c>
    </row>
    <row r="984" spans="1:6" s="3" customFormat="1" ht="29.1" customHeight="1" x14ac:dyDescent="0.25">
      <c r="A984" s="2" t="s">
        <v>2338</v>
      </c>
      <c r="B984" s="2" t="s">
        <v>2339</v>
      </c>
      <c r="C984" s="2" t="s">
        <v>36</v>
      </c>
      <c r="D984" s="2" t="s">
        <v>249</v>
      </c>
      <c r="E984" s="2"/>
      <c r="F984" s="2" t="str">
        <f>"9781447376057"</f>
        <v>9781447376057</v>
      </c>
    </row>
    <row r="985" spans="1:6" s="3" customFormat="1" ht="29.1" customHeight="1" x14ac:dyDescent="0.25">
      <c r="A985" s="2" t="s">
        <v>2340</v>
      </c>
      <c r="B985" s="2" t="s">
        <v>2342</v>
      </c>
      <c r="C985" s="2" t="s">
        <v>5</v>
      </c>
      <c r="D985" s="2" t="s">
        <v>2341</v>
      </c>
      <c r="E985" s="2" t="str">
        <f>"9783031923210"</f>
        <v>9783031923210</v>
      </c>
      <c r="F985" s="2" t="str">
        <f>"9783031923227"</f>
        <v>9783031923227</v>
      </c>
    </row>
    <row r="986" spans="1:6" s="3" customFormat="1" ht="29.1" customHeight="1" x14ac:dyDescent="0.25">
      <c r="A986" s="2" t="s">
        <v>2343</v>
      </c>
      <c r="B986" s="2" t="s">
        <v>2344</v>
      </c>
      <c r="C986" s="2" t="s">
        <v>5</v>
      </c>
      <c r="D986" s="2" t="s">
        <v>606</v>
      </c>
      <c r="E986" s="2" t="str">
        <f>"9789819771264"</f>
        <v>9789819771264</v>
      </c>
      <c r="F986" s="2" t="str">
        <f>"9789819771271"</f>
        <v>9789819771271</v>
      </c>
    </row>
    <row r="987" spans="1:6" s="3" customFormat="1" ht="29.1" customHeight="1" x14ac:dyDescent="0.25">
      <c r="A987" s="2" t="s">
        <v>2345</v>
      </c>
      <c r="B987" s="2" t="s">
        <v>2346</v>
      </c>
      <c r="C987" s="2" t="s">
        <v>5</v>
      </c>
      <c r="D987" s="2" t="s">
        <v>501</v>
      </c>
      <c r="E987" s="2" t="str">
        <f>"9789819693139"</f>
        <v>9789819693139</v>
      </c>
      <c r="F987" s="2" t="str">
        <f>"9789819693146"</f>
        <v>9789819693146</v>
      </c>
    </row>
    <row r="988" spans="1:6" s="3" customFormat="1" ht="29.1" customHeight="1" x14ac:dyDescent="0.25">
      <c r="A988" s="2" t="s">
        <v>2347</v>
      </c>
      <c r="B988" s="2" t="s">
        <v>2348</v>
      </c>
      <c r="C988" s="2" t="s">
        <v>5</v>
      </c>
      <c r="D988" s="2" t="s">
        <v>33</v>
      </c>
      <c r="E988" s="2" t="str">
        <f>"9783662712306"</f>
        <v>9783662712306</v>
      </c>
      <c r="F988" s="2" t="str">
        <f>"9783662712313"</f>
        <v>9783662712313</v>
      </c>
    </row>
    <row r="989" spans="1:6" s="3" customFormat="1" ht="29.1" customHeight="1" x14ac:dyDescent="0.25">
      <c r="A989" s="2" t="s">
        <v>2349</v>
      </c>
      <c r="B989" s="2" t="s">
        <v>2350</v>
      </c>
      <c r="C989" s="2" t="s">
        <v>5</v>
      </c>
      <c r="D989" s="2" t="s">
        <v>183</v>
      </c>
      <c r="E989" s="2" t="str">
        <f>"9783031894503"</f>
        <v>9783031894503</v>
      </c>
      <c r="F989" s="2" t="str">
        <f>"9783031894510"</f>
        <v>9783031894510</v>
      </c>
    </row>
    <row r="990" spans="1:6" s="3" customFormat="1" ht="29.1" customHeight="1" x14ac:dyDescent="0.25">
      <c r="A990" s="2" t="s">
        <v>2351</v>
      </c>
      <c r="B990" s="2" t="s">
        <v>2352</v>
      </c>
      <c r="C990" s="2" t="s">
        <v>5</v>
      </c>
      <c r="D990" s="2" t="s">
        <v>509</v>
      </c>
      <c r="E990" s="2" t="str">
        <f>"9783031691799"</f>
        <v>9783031691799</v>
      </c>
      <c r="F990" s="2" t="str">
        <f>"9783031691805"</f>
        <v>9783031691805</v>
      </c>
    </row>
    <row r="991" spans="1:6" s="3" customFormat="1" ht="29.1" customHeight="1" x14ac:dyDescent="0.25">
      <c r="A991" s="2" t="s">
        <v>2353</v>
      </c>
      <c r="B991" s="2" t="s">
        <v>2354</v>
      </c>
      <c r="C991" s="2" t="s">
        <v>195</v>
      </c>
      <c r="D991" s="2" t="s">
        <v>183</v>
      </c>
      <c r="E991" s="2" t="str">
        <f>"9783111350974"</f>
        <v>9783111350974</v>
      </c>
      <c r="F991" s="2" t="str">
        <f>"9783111352657"</f>
        <v>9783111352657</v>
      </c>
    </row>
    <row r="992" spans="1:6" s="3" customFormat="1" ht="29.1" customHeight="1" x14ac:dyDescent="0.25">
      <c r="A992" s="2" t="s">
        <v>2355</v>
      </c>
      <c r="B992" s="2" t="s">
        <v>2357</v>
      </c>
      <c r="C992" s="2" t="s">
        <v>5</v>
      </c>
      <c r="D992" s="2" t="s">
        <v>2356</v>
      </c>
      <c r="E992" s="2" t="str">
        <f>"9783031901539"</f>
        <v>9783031901539</v>
      </c>
      <c r="F992" s="2" t="str">
        <f>"9783031901546"</f>
        <v>9783031901546</v>
      </c>
    </row>
    <row r="993" spans="1:6" s="3" customFormat="1" ht="29.1" customHeight="1" x14ac:dyDescent="0.25">
      <c r="A993" s="2" t="s">
        <v>2358</v>
      </c>
      <c r="B993" s="2" t="s">
        <v>2359</v>
      </c>
      <c r="C993" s="2" t="s">
        <v>248</v>
      </c>
      <c r="D993" s="2" t="s">
        <v>9</v>
      </c>
      <c r="E993" s="2" t="str">
        <f>"9783847431459"</f>
        <v>9783847431459</v>
      </c>
      <c r="F993" s="2" t="str">
        <f>"9783847432821"</f>
        <v>9783847432821</v>
      </c>
    </row>
    <row r="994" spans="1:6" s="3" customFormat="1" ht="29.1" customHeight="1" x14ac:dyDescent="0.25">
      <c r="A994" s="2" t="s">
        <v>2360</v>
      </c>
      <c r="B994" s="2" t="s">
        <v>2362</v>
      </c>
      <c r="C994" s="2" t="s">
        <v>248</v>
      </c>
      <c r="D994" s="2" t="s">
        <v>2361</v>
      </c>
      <c r="E994" s="2" t="str">
        <f>"9783966651097"</f>
        <v>9783966651097</v>
      </c>
      <c r="F994" s="2" t="str">
        <f>"9783966658867"</f>
        <v>9783966658867</v>
      </c>
    </row>
    <row r="995" spans="1:6" s="3" customFormat="1" ht="29.1" customHeight="1" x14ac:dyDescent="0.25">
      <c r="A995" s="2" t="s">
        <v>2363</v>
      </c>
      <c r="B995" s="2" t="s">
        <v>2364</v>
      </c>
      <c r="C995" s="2" t="s">
        <v>195</v>
      </c>
      <c r="D995" s="2" t="s">
        <v>1245</v>
      </c>
      <c r="E995" s="2" t="str">
        <f>"9783111034034"</f>
        <v>9783111034034</v>
      </c>
      <c r="F995" s="2" t="str">
        <f>"9783111034225"</f>
        <v>9783111034225</v>
      </c>
    </row>
    <row r="996" spans="1:6" s="3" customFormat="1" ht="29.1" customHeight="1" x14ac:dyDescent="0.25">
      <c r="A996" s="2" t="s">
        <v>2365</v>
      </c>
      <c r="B996" s="2" t="s">
        <v>2366</v>
      </c>
      <c r="C996" s="2" t="s">
        <v>195</v>
      </c>
      <c r="D996" s="2" t="s">
        <v>210</v>
      </c>
      <c r="E996" s="2" t="str">
        <f>"9783111636603"</f>
        <v>9783111636603</v>
      </c>
      <c r="F996" s="2" t="str">
        <f>"9783111636726"</f>
        <v>9783111636726</v>
      </c>
    </row>
    <row r="997" spans="1:6" s="3" customFormat="1" ht="29.1" customHeight="1" x14ac:dyDescent="0.25">
      <c r="A997" s="2" t="s">
        <v>2367</v>
      </c>
      <c r="B997" s="2" t="s">
        <v>2368</v>
      </c>
      <c r="C997" s="2" t="s">
        <v>195</v>
      </c>
      <c r="D997" s="2" t="s">
        <v>210</v>
      </c>
      <c r="E997" s="2" t="str">
        <f>"9783111622316"</f>
        <v>9783111622316</v>
      </c>
      <c r="F997" s="2" t="str">
        <f>"9783111622767"</f>
        <v>9783111622767</v>
      </c>
    </row>
    <row r="998" spans="1:6" s="3" customFormat="1" ht="29.1" customHeight="1" x14ac:dyDescent="0.25">
      <c r="A998" s="2" t="s">
        <v>2369</v>
      </c>
      <c r="B998" s="2" t="s">
        <v>2370</v>
      </c>
      <c r="C998" s="2" t="s">
        <v>195</v>
      </c>
      <c r="D998" s="2" t="s">
        <v>118</v>
      </c>
      <c r="E998" s="2" t="str">
        <f>"9783111706658"</f>
        <v>9783111706658</v>
      </c>
      <c r="F998" s="2" t="str">
        <f>"9783111706740"</f>
        <v>9783111706740</v>
      </c>
    </row>
    <row r="999" spans="1:6" s="3" customFormat="1" ht="29.1" customHeight="1" x14ac:dyDescent="0.25">
      <c r="A999" s="2" t="s">
        <v>2371</v>
      </c>
      <c r="B999" s="2" t="s">
        <v>2372</v>
      </c>
      <c r="C999" s="2" t="s">
        <v>195</v>
      </c>
      <c r="D999" s="2" t="s">
        <v>441</v>
      </c>
      <c r="E999" s="2" t="str">
        <f>"9783111652894"</f>
        <v>9783111652894</v>
      </c>
      <c r="F999" s="2" t="str">
        <f>"9783111654133"</f>
        <v>9783111654133</v>
      </c>
    </row>
    <row r="1000" spans="1:6" s="3" customFormat="1" ht="29.1" customHeight="1" x14ac:dyDescent="0.25">
      <c r="A1000" s="2" t="s">
        <v>2373</v>
      </c>
      <c r="B1000" s="2" t="s">
        <v>2374</v>
      </c>
      <c r="C1000" s="2" t="s">
        <v>195</v>
      </c>
      <c r="D1000" s="2" t="s">
        <v>431</v>
      </c>
      <c r="E1000" s="2" t="str">
        <f>"9783111335704"</f>
        <v>9783111335704</v>
      </c>
      <c r="F1000" s="2" t="str">
        <f>"9783111336466"</f>
        <v>9783111336466</v>
      </c>
    </row>
    <row r="1001" spans="1:6" s="3" customFormat="1" ht="29.1" customHeight="1" x14ac:dyDescent="0.25">
      <c r="A1001" s="2" t="s">
        <v>2375</v>
      </c>
      <c r="B1001" s="2" t="s">
        <v>2376</v>
      </c>
      <c r="C1001" s="2" t="s">
        <v>124</v>
      </c>
      <c r="D1001" s="2" t="s">
        <v>712</v>
      </c>
      <c r="E1001" s="2" t="str">
        <f>"9781041148456"</f>
        <v>9781041148456</v>
      </c>
      <c r="F1001" s="2" t="str">
        <f>"9781003676423"</f>
        <v>9781003676423</v>
      </c>
    </row>
    <row r="1002" spans="1:6" s="3" customFormat="1" ht="29.1" customHeight="1" x14ac:dyDescent="0.25">
      <c r="A1002" s="2" t="s">
        <v>2377</v>
      </c>
      <c r="B1002" s="2" t="s">
        <v>2378</v>
      </c>
      <c r="C1002" s="2" t="s">
        <v>5</v>
      </c>
      <c r="D1002" s="2" t="s">
        <v>9</v>
      </c>
      <c r="E1002" s="2" t="str">
        <f>"9782384764594"</f>
        <v>9782384764594</v>
      </c>
      <c r="F1002" s="2" t="str">
        <f>"9782384764600"</f>
        <v>9782384764600</v>
      </c>
    </row>
    <row r="1003" spans="1:6" s="3" customFormat="1" ht="29.1" customHeight="1" x14ac:dyDescent="0.25">
      <c r="A1003" s="2" t="s">
        <v>2379</v>
      </c>
      <c r="B1003" s="2" t="s">
        <v>2380</v>
      </c>
      <c r="C1003" s="2" t="s">
        <v>5</v>
      </c>
      <c r="D1003" s="2" t="s">
        <v>342</v>
      </c>
      <c r="E1003" s="2" t="str">
        <f>"9789464638226"</f>
        <v>9789464638226</v>
      </c>
      <c r="F1003" s="2" t="str">
        <f>"9789464638233"</f>
        <v>9789464638233</v>
      </c>
    </row>
    <row r="1004" spans="1:6" s="3" customFormat="1" ht="29.1" customHeight="1" x14ac:dyDescent="0.25">
      <c r="A1004" s="2" t="s">
        <v>2381</v>
      </c>
      <c r="B1004" s="2" t="s">
        <v>2382</v>
      </c>
      <c r="C1004" s="2" t="s">
        <v>5</v>
      </c>
      <c r="D1004" s="2" t="s">
        <v>650</v>
      </c>
      <c r="E1004" s="2" t="str">
        <f>"9789464638202"</f>
        <v>9789464638202</v>
      </c>
      <c r="F1004" s="2" t="str">
        <f>"9789464638219"</f>
        <v>9789464638219</v>
      </c>
    </row>
    <row r="1005" spans="1:6" s="3" customFormat="1" ht="29.1" customHeight="1" x14ac:dyDescent="0.25">
      <c r="A1005" s="2" t="s">
        <v>2383</v>
      </c>
      <c r="B1005" s="2"/>
      <c r="C1005" s="2" t="s">
        <v>5</v>
      </c>
      <c r="D1005" s="2" t="s">
        <v>113</v>
      </c>
      <c r="E1005" s="2" t="str">
        <f>"9783662718377"</f>
        <v>9783662718377</v>
      </c>
      <c r="F1005" s="2" t="str">
        <f>"9783662718384"</f>
        <v>9783662718384</v>
      </c>
    </row>
    <row r="1006" spans="1:6" s="3" customFormat="1" ht="29.1" customHeight="1" x14ac:dyDescent="0.25">
      <c r="A1006" s="2" t="s">
        <v>2384</v>
      </c>
      <c r="B1006" s="2" t="s">
        <v>2385</v>
      </c>
      <c r="C1006" s="2" t="s">
        <v>5</v>
      </c>
      <c r="D1006" s="2" t="s">
        <v>428</v>
      </c>
      <c r="E1006" s="2" t="str">
        <f>"9783031817656"</f>
        <v>9783031817656</v>
      </c>
      <c r="F1006" s="2" t="str">
        <f>"9783031817663"</f>
        <v>9783031817663</v>
      </c>
    </row>
    <row r="1007" spans="1:6" s="3" customFormat="1" ht="29.1" customHeight="1" x14ac:dyDescent="0.25">
      <c r="A1007" s="2" t="s">
        <v>2386</v>
      </c>
      <c r="B1007" s="2" t="s">
        <v>2387</v>
      </c>
      <c r="C1007" s="2" t="s">
        <v>5</v>
      </c>
      <c r="D1007" s="2" t="s">
        <v>78</v>
      </c>
      <c r="E1007" s="2" t="str">
        <f>"9783032033529"</f>
        <v>9783032033529</v>
      </c>
      <c r="F1007" s="2" t="str">
        <f>"9783032033536"</f>
        <v>9783032033536</v>
      </c>
    </row>
    <row r="1008" spans="1:6" s="3" customFormat="1" ht="29.1" customHeight="1" x14ac:dyDescent="0.25">
      <c r="A1008" s="2" t="s">
        <v>2388</v>
      </c>
      <c r="B1008" s="2" t="s">
        <v>2389</v>
      </c>
      <c r="C1008" s="2" t="s">
        <v>5</v>
      </c>
      <c r="D1008" s="2" t="s">
        <v>650</v>
      </c>
      <c r="E1008" s="2" t="str">
        <f>"9783031845048"</f>
        <v>9783031845048</v>
      </c>
      <c r="F1008" s="2" t="str">
        <f>"9783031845055"</f>
        <v>9783031845055</v>
      </c>
    </row>
    <row r="1009" spans="1:6" s="3" customFormat="1" ht="29.1" customHeight="1" x14ac:dyDescent="0.25">
      <c r="A1009" s="2" t="s">
        <v>2390</v>
      </c>
      <c r="B1009" s="2" t="s">
        <v>2392</v>
      </c>
      <c r="C1009" s="2" t="s">
        <v>5</v>
      </c>
      <c r="D1009" s="2" t="s">
        <v>2391</v>
      </c>
      <c r="E1009" s="2" t="str">
        <f>"9783031819612"</f>
        <v>9783031819612</v>
      </c>
      <c r="F1009" s="2" t="str">
        <f>"9783031819629"</f>
        <v>9783031819629</v>
      </c>
    </row>
    <row r="1010" spans="1:6" s="3" customFormat="1" ht="29.1" customHeight="1" x14ac:dyDescent="0.25">
      <c r="A1010" s="2" t="s">
        <v>2393</v>
      </c>
      <c r="B1010" s="2" t="s">
        <v>2394</v>
      </c>
      <c r="C1010" s="2" t="s">
        <v>5</v>
      </c>
      <c r="D1010" s="2" t="s">
        <v>44</v>
      </c>
      <c r="E1010" s="2" t="str">
        <f>"9789819682362"</f>
        <v>9789819682362</v>
      </c>
      <c r="F1010" s="2" t="str">
        <f>"9789819682379"</f>
        <v>9789819682379</v>
      </c>
    </row>
    <row r="1011" spans="1:6" s="3" customFormat="1" ht="29.1" customHeight="1" x14ac:dyDescent="0.25">
      <c r="A1011" s="2" t="s">
        <v>2395</v>
      </c>
      <c r="B1011" s="2" t="s">
        <v>2396</v>
      </c>
      <c r="C1011" s="2" t="s">
        <v>5</v>
      </c>
      <c r="D1011" s="2" t="s">
        <v>1927</v>
      </c>
      <c r="E1011" s="2" t="str">
        <f>"9783658488178"</f>
        <v>9783658488178</v>
      </c>
      <c r="F1011" s="2" t="str">
        <f>"9783658488185"</f>
        <v>9783658488185</v>
      </c>
    </row>
    <row r="1012" spans="1:6" s="3" customFormat="1" ht="29.1" customHeight="1" x14ac:dyDescent="0.25">
      <c r="A1012" s="2" t="s">
        <v>2397</v>
      </c>
      <c r="B1012" s="2" t="s">
        <v>2398</v>
      </c>
      <c r="C1012" s="2" t="s">
        <v>5</v>
      </c>
      <c r="D1012" s="2" t="s">
        <v>78</v>
      </c>
      <c r="E1012" s="2" t="str">
        <f>"9783032012746"</f>
        <v>9783032012746</v>
      </c>
      <c r="F1012" s="2" t="str">
        <f>"9783032012753"</f>
        <v>9783032012753</v>
      </c>
    </row>
    <row r="1013" spans="1:6" s="3" customFormat="1" ht="29.1" customHeight="1" x14ac:dyDescent="0.25">
      <c r="A1013" s="2" t="s">
        <v>2399</v>
      </c>
      <c r="B1013" s="2" t="s">
        <v>2400</v>
      </c>
      <c r="C1013" s="2" t="s">
        <v>5</v>
      </c>
      <c r="D1013" s="2" t="s">
        <v>2336</v>
      </c>
      <c r="E1013" s="2" t="str">
        <f>"9783658493158"</f>
        <v>9783658493158</v>
      </c>
      <c r="F1013" s="2" t="str">
        <f>"9783658493165"</f>
        <v>9783658493165</v>
      </c>
    </row>
    <row r="1014" spans="1:6" s="3" customFormat="1" ht="29.1" customHeight="1" x14ac:dyDescent="0.25">
      <c r="A1014" s="2" t="s">
        <v>2401</v>
      </c>
      <c r="B1014" s="2" t="s">
        <v>2402</v>
      </c>
      <c r="C1014" s="2" t="s">
        <v>5</v>
      </c>
      <c r="D1014" s="2" t="s">
        <v>2237</v>
      </c>
      <c r="E1014" s="2" t="str">
        <f>"9789464638301"</f>
        <v>9789464638301</v>
      </c>
      <c r="F1014" s="2" t="str">
        <f>"9789464638318"</f>
        <v>9789464638318</v>
      </c>
    </row>
    <row r="1015" spans="1:6" s="3" customFormat="1" ht="29.1" customHeight="1" x14ac:dyDescent="0.25">
      <c r="A1015" s="2" t="s">
        <v>2403</v>
      </c>
      <c r="B1015" s="2" t="s">
        <v>2405</v>
      </c>
      <c r="C1015" s="2" t="s">
        <v>5</v>
      </c>
      <c r="D1015" s="2" t="s">
        <v>2404</v>
      </c>
      <c r="E1015" s="2" t="str">
        <f>"9783658491031"</f>
        <v>9783658491031</v>
      </c>
      <c r="F1015" s="2" t="str">
        <f>"9783658491048"</f>
        <v>9783658491048</v>
      </c>
    </row>
    <row r="1016" spans="1:6" s="3" customFormat="1" ht="29.1" customHeight="1" x14ac:dyDescent="0.25">
      <c r="A1016" s="2" t="s">
        <v>2406</v>
      </c>
      <c r="B1016" s="2" t="s">
        <v>2407</v>
      </c>
      <c r="C1016" s="2" t="s">
        <v>5</v>
      </c>
      <c r="D1016" s="2" t="s">
        <v>12</v>
      </c>
      <c r="E1016" s="2" t="str">
        <f>"9783031943577"</f>
        <v>9783031943577</v>
      </c>
      <c r="F1016" s="2" t="str">
        <f>"9783031943584"</f>
        <v>9783031943584</v>
      </c>
    </row>
    <row r="1017" spans="1:6" s="3" customFormat="1" ht="29.1" customHeight="1" x14ac:dyDescent="0.25">
      <c r="A1017" s="2" t="s">
        <v>2408</v>
      </c>
      <c r="B1017" s="2" t="s">
        <v>2409</v>
      </c>
      <c r="C1017" s="2" t="s">
        <v>5</v>
      </c>
      <c r="D1017" s="2" t="s">
        <v>689</v>
      </c>
      <c r="E1017" s="2" t="str">
        <f>"9783032044495"</f>
        <v>9783032044495</v>
      </c>
      <c r="F1017" s="2" t="str">
        <f>"9783032044501"</f>
        <v>9783032044501</v>
      </c>
    </row>
    <row r="1018" spans="1:6" s="3" customFormat="1" ht="29.1" customHeight="1" x14ac:dyDescent="0.25">
      <c r="A1018" s="2" t="s">
        <v>2410</v>
      </c>
      <c r="B1018" s="2" t="s">
        <v>2412</v>
      </c>
      <c r="C1018" s="2" t="s">
        <v>124</v>
      </c>
      <c r="D1018" s="2" t="s">
        <v>2411</v>
      </c>
      <c r="E1018" s="2" t="str">
        <f>"9781032952482"</f>
        <v>9781032952482</v>
      </c>
      <c r="F1018" s="2" t="str">
        <f>"9781003584056"</f>
        <v>9781003584056</v>
      </c>
    </row>
    <row r="1019" spans="1:6" s="3" customFormat="1" ht="29.1" customHeight="1" x14ac:dyDescent="0.25">
      <c r="A1019" s="2" t="s">
        <v>2413</v>
      </c>
      <c r="B1019" s="2" t="s">
        <v>2414</v>
      </c>
      <c r="C1019" s="2" t="s">
        <v>124</v>
      </c>
      <c r="D1019" s="2" t="s">
        <v>2168</v>
      </c>
      <c r="E1019" s="2" t="str">
        <f>"9781041098713"</f>
        <v>9781041098713</v>
      </c>
      <c r="F1019" s="2" t="str">
        <f>"9781003652243"</f>
        <v>9781003652243</v>
      </c>
    </row>
    <row r="1020" spans="1:6" s="3" customFormat="1" ht="29.1" customHeight="1" x14ac:dyDescent="0.25">
      <c r="A1020" s="2" t="s">
        <v>2415</v>
      </c>
      <c r="B1020" s="2" t="s">
        <v>2416</v>
      </c>
      <c r="C1020" s="2" t="s">
        <v>124</v>
      </c>
      <c r="D1020" s="2" t="s">
        <v>712</v>
      </c>
      <c r="E1020" s="2" t="str">
        <f>"9781041024651"</f>
        <v>9781041024651</v>
      </c>
      <c r="F1020" s="2" t="str">
        <f>"9781003619369"</f>
        <v>9781003619369</v>
      </c>
    </row>
    <row r="1021" spans="1:6" s="3" customFormat="1" ht="29.1" customHeight="1" x14ac:dyDescent="0.25">
      <c r="A1021" s="2" t="s">
        <v>2417</v>
      </c>
      <c r="B1021" s="2" t="s">
        <v>2418</v>
      </c>
      <c r="C1021" s="2" t="s">
        <v>732</v>
      </c>
      <c r="D1021" s="2" t="s">
        <v>37</v>
      </c>
      <c r="E1021" s="2" t="str">
        <f>"9781991269188"</f>
        <v>9781991269188</v>
      </c>
      <c r="F1021" s="2" t="str">
        <f>"9781991270184"</f>
        <v>9781991270184</v>
      </c>
    </row>
    <row r="1022" spans="1:6" s="3" customFormat="1" ht="29.1" customHeight="1" x14ac:dyDescent="0.25">
      <c r="A1022" s="2" t="s">
        <v>2419</v>
      </c>
      <c r="B1022" s="2" t="s">
        <v>2420</v>
      </c>
      <c r="C1022" s="2" t="s">
        <v>732</v>
      </c>
      <c r="D1022" s="2" t="s">
        <v>278</v>
      </c>
      <c r="E1022" s="2" t="str">
        <f>"9781779953506"</f>
        <v>9781779953506</v>
      </c>
      <c r="F1022" s="2" t="str">
        <f>"9781779953513"</f>
        <v>9781779953513</v>
      </c>
    </row>
    <row r="1023" spans="1:6" s="3" customFormat="1" ht="29.1" customHeight="1" x14ac:dyDescent="0.25">
      <c r="A1023" s="2" t="s">
        <v>2421</v>
      </c>
      <c r="B1023" s="2" t="s">
        <v>2422</v>
      </c>
      <c r="C1023" s="2" t="s">
        <v>732</v>
      </c>
      <c r="D1023" s="2" t="s">
        <v>694</v>
      </c>
      <c r="E1023" s="2" t="str">
        <f>"9781779953612"</f>
        <v>9781779953612</v>
      </c>
      <c r="F1023" s="2" t="str">
        <f>"9781779953636"</f>
        <v>9781779953636</v>
      </c>
    </row>
    <row r="1024" spans="1:6" s="3" customFormat="1" ht="29.1" customHeight="1" x14ac:dyDescent="0.25">
      <c r="A1024" s="2" t="s">
        <v>2423</v>
      </c>
      <c r="B1024" s="2" t="s">
        <v>2424</v>
      </c>
      <c r="C1024" s="2" t="s">
        <v>732</v>
      </c>
      <c r="D1024" s="2" t="s">
        <v>92</v>
      </c>
      <c r="E1024" s="2" t="str">
        <f>"9781779953698"</f>
        <v>9781779953698</v>
      </c>
      <c r="F1024" s="2" t="str">
        <f>"9781779953711"</f>
        <v>9781779953711</v>
      </c>
    </row>
    <row r="1025" spans="1:6" s="3" customFormat="1" ht="29.1" customHeight="1" x14ac:dyDescent="0.25">
      <c r="A1025" s="2" t="s">
        <v>2425</v>
      </c>
      <c r="B1025" s="2" t="s">
        <v>2426</v>
      </c>
      <c r="C1025" s="2" t="s">
        <v>732</v>
      </c>
      <c r="D1025" s="2" t="s">
        <v>1162</v>
      </c>
      <c r="E1025" s="2" t="str">
        <f>"9781990982217"</f>
        <v>9781990982217</v>
      </c>
      <c r="F1025" s="2" t="str">
        <f>"9781990982248"</f>
        <v>9781990982248</v>
      </c>
    </row>
    <row r="1026" spans="1:6" s="3" customFormat="1" ht="29.1" customHeight="1" x14ac:dyDescent="0.25">
      <c r="A1026" s="2" t="s">
        <v>2427</v>
      </c>
      <c r="B1026" s="2" t="s">
        <v>2429</v>
      </c>
      <c r="C1026" s="2" t="s">
        <v>732</v>
      </c>
      <c r="D1026" s="2" t="s">
        <v>2428</v>
      </c>
      <c r="E1026" s="2" t="str">
        <f>"9781779953476"</f>
        <v>9781779953476</v>
      </c>
      <c r="F1026" s="2" t="str">
        <f>"9781779953483"</f>
        <v>9781779953483</v>
      </c>
    </row>
    <row r="1027" spans="1:6" s="3" customFormat="1" ht="29.1" customHeight="1" x14ac:dyDescent="0.25">
      <c r="A1027" s="2" t="s">
        <v>2430</v>
      </c>
      <c r="B1027" s="2" t="s">
        <v>2431</v>
      </c>
      <c r="C1027" s="2" t="s">
        <v>55</v>
      </c>
      <c r="D1027" s="2" t="s">
        <v>1046</v>
      </c>
      <c r="E1027" s="2" t="str">
        <f>"9781526180995"</f>
        <v>9781526180995</v>
      </c>
      <c r="F1027" s="2" t="str">
        <f>"9781526180988"</f>
        <v>9781526180988</v>
      </c>
    </row>
    <row r="1028" spans="1:6" s="3" customFormat="1" ht="29.1" customHeight="1" x14ac:dyDescent="0.25">
      <c r="A1028" s="2" t="s">
        <v>2432</v>
      </c>
      <c r="B1028" s="2"/>
      <c r="C1028" s="2" t="s">
        <v>59</v>
      </c>
      <c r="D1028" s="2" t="s">
        <v>2433</v>
      </c>
      <c r="E1028" s="2"/>
      <c r="F1028" s="2" t="str">
        <f>"9782759240999"</f>
        <v>9782759240999</v>
      </c>
    </row>
    <row r="1029" spans="1:6" s="3" customFormat="1" ht="29.1" customHeight="1" x14ac:dyDescent="0.25">
      <c r="A1029" s="2" t="s">
        <v>2434</v>
      </c>
      <c r="B1029" s="2" t="s">
        <v>2436</v>
      </c>
      <c r="C1029" s="2" t="s">
        <v>264</v>
      </c>
      <c r="D1029" s="2" t="s">
        <v>2435</v>
      </c>
      <c r="E1029" s="2" t="str">
        <f>"9781032959122"</f>
        <v>9781032959122</v>
      </c>
      <c r="F1029" s="2" t="str">
        <f>"9781003587149"</f>
        <v>9781003587149</v>
      </c>
    </row>
    <row r="1030" spans="1:6" s="3" customFormat="1" ht="29.1" customHeight="1" x14ac:dyDescent="0.25">
      <c r="A1030" s="2" t="s">
        <v>2437</v>
      </c>
      <c r="B1030" s="2" t="s">
        <v>2438</v>
      </c>
      <c r="C1030" s="2" t="s">
        <v>5</v>
      </c>
      <c r="D1030" s="2" t="s">
        <v>249</v>
      </c>
      <c r="E1030" s="2" t="str">
        <f>"9789464638189"</f>
        <v>9789464638189</v>
      </c>
      <c r="F1030" s="2" t="str">
        <f>"9789464638196"</f>
        <v>9789464638196</v>
      </c>
    </row>
    <row r="1031" spans="1:6" s="3" customFormat="1" ht="29.1" customHeight="1" x14ac:dyDescent="0.25">
      <c r="A1031" s="2" t="s">
        <v>2439</v>
      </c>
      <c r="B1031" s="2" t="s">
        <v>2440</v>
      </c>
      <c r="C1031" s="2" t="s">
        <v>5</v>
      </c>
      <c r="D1031" s="2" t="s">
        <v>636</v>
      </c>
      <c r="E1031" s="2" t="str">
        <f>"9782384764570"</f>
        <v>9782384764570</v>
      </c>
      <c r="F1031" s="2" t="str">
        <f>"9782384764587"</f>
        <v>9782384764587</v>
      </c>
    </row>
    <row r="1032" spans="1:6" s="3" customFormat="1" ht="29.1" customHeight="1" x14ac:dyDescent="0.25">
      <c r="A1032" s="2" t="s">
        <v>2441</v>
      </c>
      <c r="B1032" s="2" t="s">
        <v>2442</v>
      </c>
      <c r="C1032" s="2" t="s">
        <v>5</v>
      </c>
      <c r="D1032" s="2" t="s">
        <v>297</v>
      </c>
      <c r="E1032" s="2" t="str">
        <f>"9783031954368"</f>
        <v>9783031954368</v>
      </c>
      <c r="F1032" s="2" t="str">
        <f>"9783031954375"</f>
        <v>9783031954375</v>
      </c>
    </row>
    <row r="1033" spans="1:6" s="3" customFormat="1" ht="29.1" customHeight="1" x14ac:dyDescent="0.25">
      <c r="A1033" s="2" t="s">
        <v>2443</v>
      </c>
      <c r="B1033" s="2" t="s">
        <v>2444</v>
      </c>
      <c r="C1033" s="2" t="s">
        <v>5</v>
      </c>
      <c r="D1033" s="2" t="s">
        <v>81</v>
      </c>
      <c r="E1033" s="2" t="str">
        <f>"9783031997082"</f>
        <v>9783031997082</v>
      </c>
      <c r="F1033" s="2" t="str">
        <f>"9783031997099"</f>
        <v>9783031997099</v>
      </c>
    </row>
    <row r="1034" spans="1:6" s="3" customFormat="1" ht="29.1" customHeight="1" x14ac:dyDescent="0.25">
      <c r="A1034" s="2" t="s">
        <v>2445</v>
      </c>
      <c r="B1034" s="2" t="s">
        <v>2446</v>
      </c>
      <c r="C1034" s="2" t="s">
        <v>5</v>
      </c>
      <c r="D1034" s="2" t="s">
        <v>553</v>
      </c>
      <c r="E1034" s="2" t="str">
        <f>"9783031895012"</f>
        <v>9783031895012</v>
      </c>
      <c r="F1034" s="2" t="str">
        <f>"9783031895029"</f>
        <v>9783031895029</v>
      </c>
    </row>
    <row r="1035" spans="1:6" s="3" customFormat="1" ht="29.1" customHeight="1" x14ac:dyDescent="0.25">
      <c r="A1035" s="2" t="s">
        <v>2447</v>
      </c>
      <c r="B1035" s="2" t="s">
        <v>2448</v>
      </c>
      <c r="C1035" s="2" t="s">
        <v>5</v>
      </c>
      <c r="D1035" s="2" t="s">
        <v>1959</v>
      </c>
      <c r="E1035" s="2" t="str">
        <f>"9789464638288"</f>
        <v>9789464638288</v>
      </c>
      <c r="F1035" s="2" t="str">
        <f>"9789464638295"</f>
        <v>9789464638295</v>
      </c>
    </row>
    <row r="1036" spans="1:6" s="3" customFormat="1" ht="29.1" customHeight="1" x14ac:dyDescent="0.25">
      <c r="A1036" s="2" t="s">
        <v>2449</v>
      </c>
      <c r="B1036" s="2" t="s">
        <v>2450</v>
      </c>
      <c r="C1036" s="2" t="s">
        <v>5</v>
      </c>
      <c r="D1036" s="2" t="s">
        <v>727</v>
      </c>
      <c r="E1036" s="2" t="str">
        <f>"9789464638325"</f>
        <v>9789464638325</v>
      </c>
      <c r="F1036" s="2" t="str">
        <f>"9789464638332"</f>
        <v>9789464638332</v>
      </c>
    </row>
    <row r="1037" spans="1:6" s="3" customFormat="1" ht="29.1" customHeight="1" x14ac:dyDescent="0.25">
      <c r="A1037" s="2" t="s">
        <v>2451</v>
      </c>
      <c r="B1037" s="2" t="s">
        <v>2452</v>
      </c>
      <c r="C1037" s="2" t="s">
        <v>5</v>
      </c>
      <c r="D1037" s="2" t="s">
        <v>183</v>
      </c>
      <c r="E1037" s="2" t="str">
        <f>"9789819505906"</f>
        <v>9789819505906</v>
      </c>
      <c r="F1037" s="2" t="str">
        <f>"9789819505913"</f>
        <v>9789819505913</v>
      </c>
    </row>
    <row r="1038" spans="1:6" s="3" customFormat="1" ht="29.1" customHeight="1" x14ac:dyDescent="0.25">
      <c r="A1038" s="2" t="s">
        <v>2453</v>
      </c>
      <c r="B1038" s="2" t="s">
        <v>2454</v>
      </c>
      <c r="C1038" s="2" t="s">
        <v>5</v>
      </c>
      <c r="D1038" s="2" t="s">
        <v>501</v>
      </c>
      <c r="E1038" s="2" t="str">
        <f>"9783031818608"</f>
        <v>9783031818608</v>
      </c>
      <c r="F1038" s="2" t="str">
        <f>"9783031818615"</f>
        <v>9783031818615</v>
      </c>
    </row>
    <row r="1039" spans="1:6" s="3" customFormat="1" ht="29.1" customHeight="1" x14ac:dyDescent="0.25">
      <c r="A1039" s="2" t="s">
        <v>2455</v>
      </c>
      <c r="B1039" s="2" t="s">
        <v>2456</v>
      </c>
      <c r="C1039" s="2" t="s">
        <v>5</v>
      </c>
      <c r="D1039" s="2" t="s">
        <v>1927</v>
      </c>
      <c r="E1039" s="2" t="str">
        <f>"9783658486730"</f>
        <v>9783658486730</v>
      </c>
      <c r="F1039" s="2" t="str">
        <f>"9783658486747"</f>
        <v>9783658486747</v>
      </c>
    </row>
    <row r="1040" spans="1:6" s="3" customFormat="1" ht="29.1" customHeight="1" x14ac:dyDescent="0.25">
      <c r="A1040" s="2" t="s">
        <v>2457</v>
      </c>
      <c r="B1040" s="2" t="s">
        <v>2459</v>
      </c>
      <c r="C1040" s="2" t="s">
        <v>5</v>
      </c>
      <c r="D1040" s="2" t="s">
        <v>2458</v>
      </c>
      <c r="E1040" s="2" t="str">
        <f>"9783032000217"</f>
        <v>9783032000217</v>
      </c>
      <c r="F1040" s="2" t="str">
        <f>"9783032000224"</f>
        <v>9783032000224</v>
      </c>
    </row>
    <row r="1041" spans="1:6" s="3" customFormat="1" ht="29.1" customHeight="1" x14ac:dyDescent="0.25">
      <c r="A1041" s="2" t="s">
        <v>2460</v>
      </c>
      <c r="B1041" s="2" t="s">
        <v>2463</v>
      </c>
      <c r="C1041" s="2" t="s">
        <v>2461</v>
      </c>
      <c r="D1041" s="2" t="s">
        <v>2462</v>
      </c>
      <c r="E1041" s="2"/>
      <c r="F1041" s="2" t="str">
        <f>"9786289681222"</f>
        <v>9786289681222</v>
      </c>
    </row>
    <row r="1042" spans="1:6" s="3" customFormat="1" ht="29.1" customHeight="1" x14ac:dyDescent="0.25">
      <c r="A1042" s="2" t="s">
        <v>2464</v>
      </c>
      <c r="B1042" s="2" t="s">
        <v>2465</v>
      </c>
      <c r="C1042" s="2" t="s">
        <v>2461</v>
      </c>
      <c r="D1042" s="2" t="s">
        <v>56</v>
      </c>
      <c r="E1042" s="2"/>
      <c r="F1042" s="2" t="str">
        <f>"9786289681246"</f>
        <v>9786289681246</v>
      </c>
    </row>
    <row r="1043" spans="1:6" s="3" customFormat="1" ht="29.1" customHeight="1" x14ac:dyDescent="0.25">
      <c r="A1043" s="2" t="s">
        <v>2466</v>
      </c>
      <c r="B1043" s="2" t="s">
        <v>2467</v>
      </c>
      <c r="C1043" s="2" t="s">
        <v>927</v>
      </c>
      <c r="D1043" s="2" t="s">
        <v>682</v>
      </c>
      <c r="E1043" s="2" t="str">
        <f>"9781915445100"</f>
        <v>9781915445100</v>
      </c>
      <c r="F1043" s="2" t="str">
        <f>"9781915445087"</f>
        <v>9781915445087</v>
      </c>
    </row>
    <row r="1044" spans="1:6" s="3" customFormat="1" ht="29.1" customHeight="1" x14ac:dyDescent="0.25">
      <c r="A1044" s="2" t="s">
        <v>2468</v>
      </c>
      <c r="B1044" s="2" t="s">
        <v>2469</v>
      </c>
      <c r="C1044" s="2" t="s">
        <v>29</v>
      </c>
      <c r="D1044" s="2" t="s">
        <v>509</v>
      </c>
      <c r="E1044" s="2" t="str">
        <f>"9789004735132"</f>
        <v>9789004735132</v>
      </c>
      <c r="F1044" s="2" t="str">
        <f>"9789004735149"</f>
        <v>9789004735149</v>
      </c>
    </row>
    <row r="1045" spans="1:6" s="3" customFormat="1" ht="29.1" customHeight="1" x14ac:dyDescent="0.25">
      <c r="A1045" s="2" t="s">
        <v>2470</v>
      </c>
      <c r="B1045" s="2" t="s">
        <v>2471</v>
      </c>
      <c r="C1045" s="2" t="s">
        <v>5</v>
      </c>
      <c r="D1045" s="2" t="s">
        <v>2271</v>
      </c>
      <c r="E1045" s="2" t="str">
        <f>"9783658493660"</f>
        <v>9783658493660</v>
      </c>
      <c r="F1045" s="2" t="str">
        <f>"9783658493677"</f>
        <v>9783658493677</v>
      </c>
    </row>
    <row r="1046" spans="1:6" s="3" customFormat="1" ht="29.1" customHeight="1" x14ac:dyDescent="0.25">
      <c r="A1046" s="2" t="s">
        <v>2472</v>
      </c>
      <c r="B1046" s="2" t="s">
        <v>2473</v>
      </c>
      <c r="C1046" s="2" t="s">
        <v>5</v>
      </c>
      <c r="D1046" s="2" t="s">
        <v>2336</v>
      </c>
      <c r="E1046" s="2" t="str">
        <f>"9783658490065"</f>
        <v>9783658490065</v>
      </c>
      <c r="F1046" s="2" t="str">
        <f>"9783658490072"</f>
        <v>9783658490072</v>
      </c>
    </row>
    <row r="1047" spans="1:6" s="3" customFormat="1" ht="29.1" customHeight="1" x14ac:dyDescent="0.25">
      <c r="A1047" s="2" t="s">
        <v>2474</v>
      </c>
      <c r="B1047" s="2" t="s">
        <v>2476</v>
      </c>
      <c r="C1047" s="2" t="s">
        <v>5</v>
      </c>
      <c r="D1047" s="2" t="s">
        <v>2475</v>
      </c>
      <c r="E1047" s="2" t="str">
        <f>"9783031916144"</f>
        <v>9783031916144</v>
      </c>
      <c r="F1047" s="2" t="str">
        <f>"9783031916151"</f>
        <v>9783031916151</v>
      </c>
    </row>
    <row r="1048" spans="1:6" s="3" customFormat="1" ht="29.1" customHeight="1" x14ac:dyDescent="0.25">
      <c r="A1048" s="2" t="s">
        <v>2477</v>
      </c>
      <c r="B1048" s="2" t="s">
        <v>2478</v>
      </c>
      <c r="C1048" s="2" t="s">
        <v>5</v>
      </c>
      <c r="D1048" s="2" t="s">
        <v>378</v>
      </c>
      <c r="E1048" s="2" t="str">
        <f>"9783031981180"</f>
        <v>9783031981180</v>
      </c>
      <c r="F1048" s="2" t="str">
        <f>"9783031981197"</f>
        <v>9783031981197</v>
      </c>
    </row>
    <row r="1049" spans="1:6" s="3" customFormat="1" ht="29.1" customHeight="1" x14ac:dyDescent="0.25">
      <c r="A1049" s="2" t="s">
        <v>2479</v>
      </c>
      <c r="B1049" s="2" t="s">
        <v>2480</v>
      </c>
      <c r="C1049" s="2" t="s">
        <v>5</v>
      </c>
      <c r="D1049" s="2" t="s">
        <v>183</v>
      </c>
      <c r="E1049" s="2" t="str">
        <f>"9782384764556"</f>
        <v>9782384764556</v>
      </c>
      <c r="F1049" s="2" t="str">
        <f>"9782384764563"</f>
        <v>9782384764563</v>
      </c>
    </row>
    <row r="1050" spans="1:6" s="3" customFormat="1" ht="29.1" customHeight="1" x14ac:dyDescent="0.25">
      <c r="A1050" s="2" t="s">
        <v>2481</v>
      </c>
      <c r="B1050" s="2" t="s">
        <v>2482</v>
      </c>
      <c r="C1050" s="2" t="s">
        <v>195</v>
      </c>
      <c r="D1050" s="2" t="s">
        <v>132</v>
      </c>
      <c r="E1050" s="2" t="str">
        <f>"9783111496344"</f>
        <v>9783111496344</v>
      </c>
      <c r="F1050" s="2" t="str">
        <f>"9783111496436"</f>
        <v>9783111496436</v>
      </c>
    </row>
    <row r="1051" spans="1:6" s="3" customFormat="1" ht="29.1" customHeight="1" x14ac:dyDescent="0.25">
      <c r="A1051" s="2" t="s">
        <v>2483</v>
      </c>
      <c r="B1051" s="2" t="s">
        <v>2484</v>
      </c>
      <c r="C1051" s="2" t="s">
        <v>5</v>
      </c>
      <c r="D1051" s="2" t="s">
        <v>12</v>
      </c>
      <c r="E1051" s="2" t="str">
        <f>"9783031828683"</f>
        <v>9783031828683</v>
      </c>
      <c r="F1051" s="2" t="str">
        <f>"9783031828690"</f>
        <v>9783031828690</v>
      </c>
    </row>
    <row r="1052" spans="1:6" s="3" customFormat="1" ht="29.1" customHeight="1" x14ac:dyDescent="0.25">
      <c r="A1052" s="2" t="s">
        <v>2485</v>
      </c>
      <c r="B1052" s="2" t="s">
        <v>2486</v>
      </c>
      <c r="C1052" s="2" t="s">
        <v>195</v>
      </c>
      <c r="D1052" s="2" t="s">
        <v>879</v>
      </c>
      <c r="E1052" s="2" t="str">
        <f>"9783111619477"</f>
        <v>9783111619477</v>
      </c>
      <c r="F1052" s="2" t="str">
        <f>"9783111620015"</f>
        <v>9783111620015</v>
      </c>
    </row>
    <row r="1053" spans="1:6" s="3" customFormat="1" ht="29.1" customHeight="1" x14ac:dyDescent="0.25">
      <c r="A1053" s="2" t="s">
        <v>2487</v>
      </c>
      <c r="B1053" s="2" t="s">
        <v>2489</v>
      </c>
      <c r="C1053" s="2" t="s">
        <v>195</v>
      </c>
      <c r="D1053" s="2" t="s">
        <v>2488</v>
      </c>
      <c r="E1053" s="2" t="str">
        <f>"9783111661353"</f>
        <v>9783111661353</v>
      </c>
      <c r="F1053" s="2" t="str">
        <f>"9783111661513"</f>
        <v>9783111661513</v>
      </c>
    </row>
    <row r="1054" spans="1:6" s="3" customFormat="1" ht="29.1" customHeight="1" x14ac:dyDescent="0.25">
      <c r="A1054" s="2" t="s">
        <v>2490</v>
      </c>
      <c r="B1054" s="2" t="s">
        <v>2492</v>
      </c>
      <c r="C1054" s="2" t="s">
        <v>195</v>
      </c>
      <c r="D1054" s="2" t="s">
        <v>2491</v>
      </c>
      <c r="E1054" s="2" t="str">
        <f>"9783119149624"</f>
        <v>9783119149624</v>
      </c>
      <c r="F1054" s="2" t="str">
        <f>"9783111632650"</f>
        <v>9783111632650</v>
      </c>
    </row>
    <row r="1055" spans="1:6" s="3" customFormat="1" ht="29.1" customHeight="1" x14ac:dyDescent="0.25">
      <c r="A1055" s="2" t="s">
        <v>2493</v>
      </c>
      <c r="B1055" s="2" t="s">
        <v>2494</v>
      </c>
      <c r="C1055" s="2" t="s">
        <v>195</v>
      </c>
      <c r="D1055" s="2" t="s">
        <v>1733</v>
      </c>
      <c r="E1055" s="2" t="str">
        <f>"9783111635842"</f>
        <v>9783111635842</v>
      </c>
      <c r="F1055" s="2" t="str">
        <f>"9783111636177"</f>
        <v>9783111636177</v>
      </c>
    </row>
    <row r="1056" spans="1:6" s="3" customFormat="1" ht="29.1" customHeight="1" x14ac:dyDescent="0.25">
      <c r="A1056" s="2" t="s">
        <v>2495</v>
      </c>
      <c r="B1056" s="2" t="s">
        <v>2497</v>
      </c>
      <c r="C1056" s="2" t="s">
        <v>195</v>
      </c>
      <c r="D1056" s="2" t="s">
        <v>2496</v>
      </c>
      <c r="E1056" s="2" t="str">
        <f>"9783111577135"</f>
        <v>9783111577135</v>
      </c>
      <c r="F1056" s="2" t="str">
        <f>"9783111577234"</f>
        <v>9783111577234</v>
      </c>
    </row>
    <row r="1057" spans="1:6" s="3" customFormat="1" ht="29.1" customHeight="1" x14ac:dyDescent="0.25">
      <c r="A1057" s="2" t="s">
        <v>2498</v>
      </c>
      <c r="B1057" s="2" t="s">
        <v>2499</v>
      </c>
      <c r="C1057" s="2" t="s">
        <v>195</v>
      </c>
      <c r="D1057" s="2" t="s">
        <v>462</v>
      </c>
      <c r="E1057" s="2" t="str">
        <f>"9783119147217"</f>
        <v>9783119147217</v>
      </c>
      <c r="F1057" s="2" t="str">
        <f>"9783112206782"</f>
        <v>9783112206782</v>
      </c>
    </row>
    <row r="1058" spans="1:6" s="3" customFormat="1" ht="29.1" customHeight="1" x14ac:dyDescent="0.25">
      <c r="A1058" s="2" t="s">
        <v>2500</v>
      </c>
      <c r="B1058" s="2" t="s">
        <v>2501</v>
      </c>
      <c r="C1058" s="2" t="s">
        <v>195</v>
      </c>
      <c r="D1058" s="2" t="s">
        <v>210</v>
      </c>
      <c r="E1058" s="2" t="str">
        <f>"9783111618883"</f>
        <v>9783111618883</v>
      </c>
      <c r="F1058" s="2" t="str">
        <f>"9783111619187"</f>
        <v>9783111619187</v>
      </c>
    </row>
    <row r="1059" spans="1:6" s="3" customFormat="1" ht="29.1" customHeight="1" x14ac:dyDescent="0.25">
      <c r="A1059" s="2" t="s">
        <v>2502</v>
      </c>
      <c r="B1059" s="2" t="s">
        <v>2503</v>
      </c>
      <c r="C1059" s="2" t="s">
        <v>195</v>
      </c>
      <c r="D1059" s="2" t="s">
        <v>118</v>
      </c>
      <c r="E1059" s="2" t="str">
        <f>"9783111624051"</f>
        <v>9783111624051</v>
      </c>
      <c r="F1059" s="2" t="str">
        <f>"9783111636115"</f>
        <v>9783111636115</v>
      </c>
    </row>
    <row r="1060" spans="1:6" s="3" customFormat="1" ht="29.1" customHeight="1" x14ac:dyDescent="0.25">
      <c r="A1060" s="2" t="s">
        <v>2504</v>
      </c>
      <c r="B1060" s="2" t="s">
        <v>2506</v>
      </c>
      <c r="C1060" s="2" t="s">
        <v>195</v>
      </c>
      <c r="D1060" s="2" t="s">
        <v>2505</v>
      </c>
      <c r="E1060" s="2" t="str">
        <f>"9783111341545"</f>
        <v>9783111341545</v>
      </c>
      <c r="F1060" s="2" t="str">
        <f>"9783111341729"</f>
        <v>9783111341729</v>
      </c>
    </row>
    <row r="1061" spans="1:6" s="3" customFormat="1" ht="29.1" customHeight="1" x14ac:dyDescent="0.25">
      <c r="A1061" s="2" t="s">
        <v>2507</v>
      </c>
      <c r="B1061" s="2" t="s">
        <v>2508</v>
      </c>
      <c r="C1061" s="2" t="s">
        <v>195</v>
      </c>
      <c r="D1061" s="2" t="s">
        <v>436</v>
      </c>
      <c r="E1061" s="2" t="str">
        <f>"9783111210254"</f>
        <v>9783111210254</v>
      </c>
      <c r="F1061" s="2" t="str">
        <f>"9783111210902"</f>
        <v>9783111210902</v>
      </c>
    </row>
    <row r="1062" spans="1:6" s="3" customFormat="1" ht="29.1" customHeight="1" x14ac:dyDescent="0.25">
      <c r="A1062" s="2" t="s">
        <v>2509</v>
      </c>
      <c r="B1062" s="2" t="s">
        <v>2511</v>
      </c>
      <c r="C1062" s="2" t="s">
        <v>195</v>
      </c>
      <c r="D1062" s="2" t="s">
        <v>2510</v>
      </c>
      <c r="E1062" s="2" t="str">
        <f>"9783111124551"</f>
        <v>9783111124551</v>
      </c>
      <c r="F1062" s="2" t="str">
        <f>"9783111128412"</f>
        <v>9783111128412</v>
      </c>
    </row>
    <row r="1063" spans="1:6" s="3" customFormat="1" ht="29.1" customHeight="1" x14ac:dyDescent="0.25">
      <c r="A1063" s="2" t="s">
        <v>2512</v>
      </c>
      <c r="B1063" s="2" t="s">
        <v>2514</v>
      </c>
      <c r="C1063" s="2" t="s">
        <v>124</v>
      </c>
      <c r="D1063" s="2" t="s">
        <v>2513</v>
      </c>
      <c r="E1063" s="2" t="str">
        <f>"9781032854397"</f>
        <v>9781032854397</v>
      </c>
      <c r="F1063" s="2" t="str">
        <f>"9781003531210"</f>
        <v>9781003531210</v>
      </c>
    </row>
    <row r="1064" spans="1:6" s="3" customFormat="1" ht="29.1" customHeight="1" x14ac:dyDescent="0.25">
      <c r="A1064" s="2" t="s">
        <v>2515</v>
      </c>
      <c r="B1064" s="2" t="s">
        <v>2518</v>
      </c>
      <c r="C1064" s="2" t="s">
        <v>2516</v>
      </c>
      <c r="D1064" s="2" t="s">
        <v>2517</v>
      </c>
      <c r="E1064" s="2"/>
      <c r="F1064" s="2" t="str">
        <f>"9788021095953"</f>
        <v>9788021095953</v>
      </c>
    </row>
    <row r="1065" spans="1:6" s="3" customFormat="1" ht="29.1" customHeight="1" x14ac:dyDescent="0.25">
      <c r="A1065" s="2" t="s">
        <v>2519</v>
      </c>
      <c r="B1065" s="2" t="s">
        <v>2520</v>
      </c>
      <c r="C1065" s="2" t="s">
        <v>2516</v>
      </c>
      <c r="D1065" s="2" t="s">
        <v>2517</v>
      </c>
      <c r="E1065" s="2"/>
      <c r="F1065" s="2" t="str">
        <f>"9788021096202"</f>
        <v>9788021096202</v>
      </c>
    </row>
    <row r="1066" spans="1:6" s="3" customFormat="1" ht="29.1" customHeight="1" x14ac:dyDescent="0.25">
      <c r="A1066" s="2" t="s">
        <v>2521</v>
      </c>
      <c r="B1066" s="2" t="s">
        <v>2522</v>
      </c>
      <c r="C1066" s="2" t="s">
        <v>2516</v>
      </c>
      <c r="D1066" s="2" t="s">
        <v>813</v>
      </c>
      <c r="E1066" s="2"/>
      <c r="F1066" s="2" t="str">
        <f>"9788028007195"</f>
        <v>9788028007195</v>
      </c>
    </row>
    <row r="1067" spans="1:6" s="3" customFormat="1" ht="29.1" customHeight="1" x14ac:dyDescent="0.25">
      <c r="A1067" s="2" t="s">
        <v>2521</v>
      </c>
      <c r="B1067" s="2" t="s">
        <v>2523</v>
      </c>
      <c r="C1067" s="2" t="s">
        <v>2516</v>
      </c>
      <c r="D1067" s="2" t="s">
        <v>813</v>
      </c>
      <c r="E1067" s="2"/>
      <c r="F1067" s="2" t="str">
        <f>"9788028007188"</f>
        <v>9788028007188</v>
      </c>
    </row>
    <row r="1068" spans="1:6" s="3" customFormat="1" ht="29.1" customHeight="1" x14ac:dyDescent="0.25">
      <c r="A1068" s="2" t="s">
        <v>2521</v>
      </c>
      <c r="B1068" s="2" t="s">
        <v>2524</v>
      </c>
      <c r="C1068" s="2" t="s">
        <v>2516</v>
      </c>
      <c r="D1068" s="2" t="s">
        <v>813</v>
      </c>
      <c r="E1068" s="2"/>
      <c r="F1068" s="2" t="str">
        <f>"9788028006365"</f>
        <v>9788028006365</v>
      </c>
    </row>
    <row r="1069" spans="1:6" s="3" customFormat="1" ht="29.1" customHeight="1" x14ac:dyDescent="0.25">
      <c r="A1069" s="2" t="s">
        <v>2521</v>
      </c>
      <c r="B1069" s="2" t="s">
        <v>2525</v>
      </c>
      <c r="C1069" s="2" t="s">
        <v>2516</v>
      </c>
      <c r="D1069" s="2" t="s">
        <v>813</v>
      </c>
      <c r="E1069" s="2"/>
      <c r="F1069" s="2" t="str">
        <f>"9788028006358"</f>
        <v>9788028006358</v>
      </c>
    </row>
    <row r="1070" spans="1:6" s="3" customFormat="1" ht="29.1" customHeight="1" x14ac:dyDescent="0.25">
      <c r="A1070" s="2" t="s">
        <v>2526</v>
      </c>
      <c r="B1070" s="2" t="s">
        <v>2518</v>
      </c>
      <c r="C1070" s="2" t="s">
        <v>2516</v>
      </c>
      <c r="D1070" s="2" t="s">
        <v>2517</v>
      </c>
      <c r="E1070" s="2"/>
      <c r="F1070" s="2" t="str">
        <f>"9788021096783"</f>
        <v>9788021096783</v>
      </c>
    </row>
    <row r="1071" spans="1:6" s="3" customFormat="1" ht="29.1" customHeight="1" x14ac:dyDescent="0.25">
      <c r="A1071" s="2" t="s">
        <v>2527</v>
      </c>
      <c r="B1071" s="2" t="s">
        <v>2529</v>
      </c>
      <c r="C1071" s="2" t="s">
        <v>2516</v>
      </c>
      <c r="D1071" s="2" t="s">
        <v>2528</v>
      </c>
      <c r="E1071" s="2"/>
      <c r="F1071" s="2" t="str">
        <f>"9788021096752"</f>
        <v>9788021096752</v>
      </c>
    </row>
    <row r="1072" spans="1:6" s="3" customFormat="1" ht="29.1" customHeight="1" x14ac:dyDescent="0.25">
      <c r="A1072" s="2" t="s">
        <v>2530</v>
      </c>
      <c r="B1072" s="2" t="s">
        <v>2532</v>
      </c>
      <c r="C1072" s="2" t="s">
        <v>2516</v>
      </c>
      <c r="D1072" s="2" t="s">
        <v>2531</v>
      </c>
      <c r="E1072" s="2"/>
      <c r="F1072" s="2" t="str">
        <f>"9788021096745"</f>
        <v>9788021096745</v>
      </c>
    </row>
    <row r="1073" spans="1:6" s="3" customFormat="1" ht="29.1" customHeight="1" x14ac:dyDescent="0.25">
      <c r="A1073" s="2" t="s">
        <v>2533</v>
      </c>
      <c r="B1073" s="2" t="s">
        <v>2534</v>
      </c>
      <c r="C1073" s="2" t="s">
        <v>2516</v>
      </c>
      <c r="D1073" s="2" t="s">
        <v>2517</v>
      </c>
      <c r="E1073" s="2"/>
      <c r="F1073" s="2" t="str">
        <f>"9788021096431"</f>
        <v>9788021096431</v>
      </c>
    </row>
    <row r="1074" spans="1:6" s="3" customFormat="1" ht="29.1" customHeight="1" x14ac:dyDescent="0.25">
      <c r="A1074" s="2" t="s">
        <v>2535</v>
      </c>
      <c r="B1074" s="2" t="s">
        <v>2536</v>
      </c>
      <c r="C1074" s="2" t="s">
        <v>2516</v>
      </c>
      <c r="D1074" s="2" t="s">
        <v>2517</v>
      </c>
      <c r="E1074" s="2"/>
      <c r="F1074" s="2" t="str">
        <f>"9788021095991"</f>
        <v>9788021095991</v>
      </c>
    </row>
    <row r="1075" spans="1:6" s="3" customFormat="1" ht="29.1" customHeight="1" x14ac:dyDescent="0.25">
      <c r="A1075" s="2" t="s">
        <v>2537</v>
      </c>
      <c r="B1075" s="2" t="s">
        <v>2538</v>
      </c>
      <c r="C1075" s="2" t="s">
        <v>2516</v>
      </c>
      <c r="D1075" s="2" t="s">
        <v>2517</v>
      </c>
      <c r="E1075" s="2"/>
      <c r="F1075" s="2" t="str">
        <f>"9788021095922"</f>
        <v>9788021095922</v>
      </c>
    </row>
    <row r="1076" spans="1:6" s="3" customFormat="1" ht="29.1" customHeight="1" x14ac:dyDescent="0.25">
      <c r="A1076" s="2" t="s">
        <v>2539</v>
      </c>
      <c r="B1076" s="2" t="s">
        <v>2540</v>
      </c>
      <c r="C1076" s="2" t="s">
        <v>2516</v>
      </c>
      <c r="D1076" s="2" t="s">
        <v>2517</v>
      </c>
      <c r="E1076" s="2"/>
      <c r="F1076" s="2" t="str">
        <f>"9788021095908"</f>
        <v>9788021095908</v>
      </c>
    </row>
    <row r="1077" spans="1:6" s="3" customFormat="1" ht="29.1" customHeight="1" x14ac:dyDescent="0.25">
      <c r="A1077" s="2" t="s">
        <v>2541</v>
      </c>
      <c r="B1077" s="2" t="s">
        <v>2543</v>
      </c>
      <c r="C1077" s="2" t="s">
        <v>2516</v>
      </c>
      <c r="D1077" s="2" t="s">
        <v>2542</v>
      </c>
      <c r="E1077" s="2"/>
      <c r="F1077" s="2" t="str">
        <f>"9788028007171"</f>
        <v>9788028007171</v>
      </c>
    </row>
    <row r="1078" spans="1:6" s="3" customFormat="1" ht="29.1" customHeight="1" x14ac:dyDescent="0.25">
      <c r="A1078" s="2" t="s">
        <v>2544</v>
      </c>
      <c r="B1078" s="2" t="s">
        <v>2546</v>
      </c>
      <c r="C1078" s="2" t="s">
        <v>2516</v>
      </c>
      <c r="D1078" s="2" t="s">
        <v>2545</v>
      </c>
      <c r="E1078" s="2"/>
      <c r="F1078" s="2" t="str">
        <f>"9788028006730"</f>
        <v>9788028006730</v>
      </c>
    </row>
    <row r="1079" spans="1:6" s="3" customFormat="1" ht="29.1" customHeight="1" x14ac:dyDescent="0.25">
      <c r="A1079" s="2" t="s">
        <v>2547</v>
      </c>
      <c r="B1079" s="2" t="s">
        <v>2549</v>
      </c>
      <c r="C1079" s="2" t="s">
        <v>2516</v>
      </c>
      <c r="D1079" s="2" t="s">
        <v>2548</v>
      </c>
      <c r="E1079" s="2"/>
      <c r="F1079" s="2" t="str">
        <f>"9788028006624"</f>
        <v>9788028006624</v>
      </c>
    </row>
    <row r="1080" spans="1:6" s="3" customFormat="1" ht="29.1" customHeight="1" x14ac:dyDescent="0.25">
      <c r="A1080" s="2" t="s">
        <v>2550</v>
      </c>
      <c r="B1080" s="2" t="s">
        <v>2552</v>
      </c>
      <c r="C1080" s="2" t="s">
        <v>2516</v>
      </c>
      <c r="D1080" s="2" t="s">
        <v>2551</v>
      </c>
      <c r="E1080" s="2"/>
      <c r="F1080" s="2" t="str">
        <f>"9788028006617"</f>
        <v>9788028006617</v>
      </c>
    </row>
    <row r="1081" spans="1:6" s="3" customFormat="1" ht="29.1" customHeight="1" x14ac:dyDescent="0.25">
      <c r="A1081" s="2" t="s">
        <v>2553</v>
      </c>
      <c r="B1081" s="2" t="s">
        <v>2555</v>
      </c>
      <c r="C1081" s="2" t="s">
        <v>2516</v>
      </c>
      <c r="D1081" s="2" t="s">
        <v>2554</v>
      </c>
      <c r="E1081" s="2"/>
      <c r="F1081" s="2" t="str">
        <f>"9788028006600"</f>
        <v>9788028006600</v>
      </c>
    </row>
    <row r="1082" spans="1:6" s="3" customFormat="1" ht="29.1" customHeight="1" x14ac:dyDescent="0.25">
      <c r="A1082" s="2" t="s">
        <v>2556</v>
      </c>
      <c r="B1082" s="2" t="s">
        <v>2557</v>
      </c>
      <c r="C1082" s="2" t="s">
        <v>2516</v>
      </c>
      <c r="D1082" s="2" t="s">
        <v>2048</v>
      </c>
      <c r="E1082" s="2"/>
      <c r="F1082" s="2" t="str">
        <f>"9788028006532"</f>
        <v>9788028006532</v>
      </c>
    </row>
    <row r="1083" spans="1:6" s="3" customFormat="1" ht="29.1" customHeight="1" x14ac:dyDescent="0.25">
      <c r="A1083" s="2" t="s">
        <v>2558</v>
      </c>
      <c r="B1083" s="2" t="s">
        <v>2560</v>
      </c>
      <c r="C1083" s="2" t="s">
        <v>2516</v>
      </c>
      <c r="D1083" s="2" t="s">
        <v>2559</v>
      </c>
      <c r="E1083" s="2"/>
      <c r="F1083" s="2" t="str">
        <f>"9788028006440"</f>
        <v>9788028006440</v>
      </c>
    </row>
    <row r="1084" spans="1:6" s="3" customFormat="1" ht="29.1" customHeight="1" x14ac:dyDescent="0.25">
      <c r="A1084" s="2" t="s">
        <v>2561</v>
      </c>
      <c r="B1084" s="2" t="s">
        <v>2563</v>
      </c>
      <c r="C1084" s="2" t="s">
        <v>2516</v>
      </c>
      <c r="D1084" s="2" t="s">
        <v>2562</v>
      </c>
      <c r="E1084" s="2"/>
      <c r="F1084" s="2" t="str">
        <f>"9788028006334"</f>
        <v>9788028006334</v>
      </c>
    </row>
    <row r="1085" spans="1:6" s="3" customFormat="1" ht="29.1" customHeight="1" x14ac:dyDescent="0.25">
      <c r="A1085" s="2" t="s">
        <v>2564</v>
      </c>
      <c r="B1085" s="2" t="s">
        <v>2565</v>
      </c>
      <c r="C1085" s="2" t="s">
        <v>2516</v>
      </c>
      <c r="D1085" s="2" t="s">
        <v>1864</v>
      </c>
      <c r="E1085" s="2" t="str">
        <f>"9788021097414"</f>
        <v>9788021097414</v>
      </c>
      <c r="F1085" s="2" t="str">
        <f>"9788021097421"</f>
        <v>9788021097421</v>
      </c>
    </row>
    <row r="1086" spans="1:6" s="3" customFormat="1" ht="29.1" customHeight="1" x14ac:dyDescent="0.25">
      <c r="A1086" s="2" t="s">
        <v>2566</v>
      </c>
      <c r="B1086" s="2" t="s">
        <v>2568</v>
      </c>
      <c r="C1086" s="2" t="s">
        <v>2516</v>
      </c>
      <c r="D1086" s="2" t="s">
        <v>2567</v>
      </c>
      <c r="E1086" s="2" t="str">
        <f>"9788021096479"</f>
        <v>9788021096479</v>
      </c>
      <c r="F1086" s="2" t="str">
        <f>"9788021096486"</f>
        <v>9788021096486</v>
      </c>
    </row>
    <row r="1087" spans="1:6" s="3" customFormat="1" ht="29.1" customHeight="1" x14ac:dyDescent="0.25">
      <c r="A1087" s="2" t="s">
        <v>2569</v>
      </c>
      <c r="B1087" s="2" t="s">
        <v>2570</v>
      </c>
      <c r="C1087" s="2" t="s">
        <v>2516</v>
      </c>
      <c r="D1087" s="2" t="s">
        <v>1630</v>
      </c>
      <c r="E1087" s="2" t="str">
        <f>"9788021093829"</f>
        <v>9788021093829</v>
      </c>
      <c r="F1087" s="2" t="str">
        <f>"9788021096059"</f>
        <v>9788021096059</v>
      </c>
    </row>
    <row r="1088" spans="1:6" s="3" customFormat="1" ht="29.1" customHeight="1" x14ac:dyDescent="0.25">
      <c r="A1088" s="2" t="s">
        <v>2571</v>
      </c>
      <c r="B1088" s="2" t="s">
        <v>2572</v>
      </c>
      <c r="C1088" s="2" t="s">
        <v>2516</v>
      </c>
      <c r="D1088" s="2" t="s">
        <v>2391</v>
      </c>
      <c r="E1088" s="2"/>
      <c r="F1088" s="2" t="str">
        <f>"9788021095939"</f>
        <v>9788021095939</v>
      </c>
    </row>
    <row r="1089" spans="1:6" s="3" customFormat="1" ht="29.1" customHeight="1" x14ac:dyDescent="0.25">
      <c r="A1089" s="2" t="s">
        <v>2573</v>
      </c>
      <c r="B1089" s="2" t="s">
        <v>2574</v>
      </c>
      <c r="C1089" s="2" t="s">
        <v>2516</v>
      </c>
      <c r="D1089" s="2" t="s">
        <v>1121</v>
      </c>
      <c r="E1089" s="2"/>
      <c r="F1089" s="2" t="str">
        <f>"9788021094857"</f>
        <v>9788021094857</v>
      </c>
    </row>
    <row r="1090" spans="1:6" s="3" customFormat="1" ht="29.1" customHeight="1" x14ac:dyDescent="0.25">
      <c r="A1090" s="2" t="s">
        <v>2575</v>
      </c>
      <c r="B1090" s="2" t="s">
        <v>2576</v>
      </c>
      <c r="C1090" s="2" t="s">
        <v>2516</v>
      </c>
      <c r="D1090" s="2" t="s">
        <v>855</v>
      </c>
      <c r="E1090" s="2"/>
      <c r="F1090" s="2" t="str">
        <f>"9788021093959"</f>
        <v>9788021093959</v>
      </c>
    </row>
    <row r="1091" spans="1:6" s="3" customFormat="1" ht="29.1" customHeight="1" x14ac:dyDescent="0.25">
      <c r="A1091" s="2" t="s">
        <v>2577</v>
      </c>
      <c r="B1091" s="2" t="s">
        <v>2579</v>
      </c>
      <c r="C1091" s="2" t="s">
        <v>2516</v>
      </c>
      <c r="D1091" s="2" t="s">
        <v>2578</v>
      </c>
      <c r="E1091" s="2" t="str">
        <f>"9788021093645"</f>
        <v>9788021093645</v>
      </c>
      <c r="F1091" s="2" t="str">
        <f>"9788021093652"</f>
        <v>9788021093652</v>
      </c>
    </row>
    <row r="1092" spans="1:6" s="3" customFormat="1" ht="29.1" customHeight="1" x14ac:dyDescent="0.25">
      <c r="A1092" s="2" t="s">
        <v>2580</v>
      </c>
      <c r="B1092" s="2" t="s">
        <v>2581</v>
      </c>
      <c r="C1092" s="2" t="s">
        <v>2516</v>
      </c>
      <c r="D1092" s="2" t="s">
        <v>2578</v>
      </c>
      <c r="E1092" s="2"/>
      <c r="F1092" s="2" t="str">
        <f>"9788021094840"</f>
        <v>9788021094840</v>
      </c>
    </row>
    <row r="1093" spans="1:6" s="3" customFormat="1" ht="29.1" customHeight="1" x14ac:dyDescent="0.25">
      <c r="A1093" s="2" t="s">
        <v>2582</v>
      </c>
      <c r="B1093" s="2" t="s">
        <v>2583</v>
      </c>
      <c r="C1093" s="2" t="s">
        <v>2516</v>
      </c>
      <c r="D1093" s="2" t="s">
        <v>1097</v>
      </c>
      <c r="E1093" s="2"/>
      <c r="F1093" s="2" t="str">
        <f>"9788021096110"</f>
        <v>9788021096110</v>
      </c>
    </row>
    <row r="1094" spans="1:6" s="3" customFormat="1" ht="29.1" customHeight="1" x14ac:dyDescent="0.25">
      <c r="A1094" s="2" t="s">
        <v>2584</v>
      </c>
      <c r="B1094" s="2" t="s">
        <v>2585</v>
      </c>
      <c r="C1094" s="2" t="s">
        <v>36</v>
      </c>
      <c r="D1094" s="2" t="s">
        <v>1104</v>
      </c>
      <c r="E1094" s="2"/>
      <c r="F1094" s="2" t="str">
        <f>"9781529246919"</f>
        <v>9781529246919</v>
      </c>
    </row>
    <row r="1095" spans="1:6" s="3" customFormat="1" ht="29.1" customHeight="1" x14ac:dyDescent="0.25">
      <c r="A1095" s="2" t="s">
        <v>2586</v>
      </c>
      <c r="B1095" s="2" t="s">
        <v>2588</v>
      </c>
      <c r="C1095" s="2" t="s">
        <v>36</v>
      </c>
      <c r="D1095" s="2" t="s">
        <v>2587</v>
      </c>
      <c r="E1095" s="2" t="str">
        <f>"9781529238167"</f>
        <v>9781529238167</v>
      </c>
      <c r="F1095" s="2" t="str">
        <f>"9781529238181"</f>
        <v>9781529238181</v>
      </c>
    </row>
    <row r="1096" spans="1:6" s="3" customFormat="1" ht="29.1" customHeight="1" x14ac:dyDescent="0.25">
      <c r="A1096" s="2" t="s">
        <v>2589</v>
      </c>
      <c r="B1096" s="2" t="s">
        <v>2591</v>
      </c>
      <c r="C1096" s="2" t="s">
        <v>2516</v>
      </c>
      <c r="D1096" s="2" t="s">
        <v>2590</v>
      </c>
      <c r="E1096" s="2"/>
      <c r="F1096" s="2" t="str">
        <f>"9788021098824"</f>
        <v>9788021098824</v>
      </c>
    </row>
    <row r="1097" spans="1:6" s="3" customFormat="1" ht="29.1" customHeight="1" x14ac:dyDescent="0.25">
      <c r="A1097" s="2" t="s">
        <v>2592</v>
      </c>
      <c r="B1097" s="2" t="s">
        <v>2594</v>
      </c>
      <c r="C1097" s="2" t="s">
        <v>2516</v>
      </c>
      <c r="D1097" s="2" t="s">
        <v>2593</v>
      </c>
      <c r="E1097" s="2" t="str">
        <f>"9788028007225"</f>
        <v>9788028007225</v>
      </c>
      <c r="F1097" s="2" t="str">
        <f>"9788028007232"</f>
        <v>9788028007232</v>
      </c>
    </row>
    <row r="1098" spans="1:6" s="3" customFormat="1" ht="29.1" customHeight="1" x14ac:dyDescent="0.25">
      <c r="A1098" s="2" t="s">
        <v>2595</v>
      </c>
      <c r="B1098" s="2" t="s">
        <v>2594</v>
      </c>
      <c r="C1098" s="2" t="s">
        <v>2516</v>
      </c>
      <c r="D1098" s="2" t="s">
        <v>2593</v>
      </c>
      <c r="E1098" s="2" t="str">
        <f>"9788028007201"</f>
        <v>9788028007201</v>
      </c>
      <c r="F1098" s="2" t="str">
        <f>"9788028007218"</f>
        <v>9788028007218</v>
      </c>
    </row>
    <row r="1099" spans="1:6" s="3" customFormat="1" ht="29.1" customHeight="1" x14ac:dyDescent="0.25">
      <c r="A1099" s="2" t="s">
        <v>2596</v>
      </c>
      <c r="B1099" s="2" t="s">
        <v>2597</v>
      </c>
      <c r="C1099" s="2" t="s">
        <v>2516</v>
      </c>
      <c r="D1099" s="2" t="s">
        <v>1010</v>
      </c>
      <c r="E1099" s="2" t="str">
        <f>"9788021048331"</f>
        <v>9788021048331</v>
      </c>
      <c r="F1099" s="2" t="str">
        <f>"9788028007027"</f>
        <v>9788028007027</v>
      </c>
    </row>
    <row r="1100" spans="1:6" s="3" customFormat="1" ht="29.1" customHeight="1" x14ac:dyDescent="0.25">
      <c r="A1100" s="2" t="s">
        <v>2598</v>
      </c>
      <c r="B1100" s="2" t="s">
        <v>2600</v>
      </c>
      <c r="C1100" s="2" t="s">
        <v>2516</v>
      </c>
      <c r="D1100" s="2" t="s">
        <v>2599</v>
      </c>
      <c r="E1100" s="2"/>
      <c r="F1100" s="2" t="str">
        <f>"9788028006952"</f>
        <v>9788028006952</v>
      </c>
    </row>
    <row r="1101" spans="1:6" s="3" customFormat="1" ht="29.1" customHeight="1" x14ac:dyDescent="0.25">
      <c r="A1101" s="2" t="s">
        <v>2601</v>
      </c>
      <c r="B1101" s="2" t="s">
        <v>2603</v>
      </c>
      <c r="C1101" s="2" t="s">
        <v>2516</v>
      </c>
      <c r="D1101" s="2" t="s">
        <v>2602</v>
      </c>
      <c r="E1101" s="2"/>
      <c r="F1101" s="2" t="str">
        <f>"9788028006945"</f>
        <v>9788028006945</v>
      </c>
    </row>
    <row r="1102" spans="1:6" s="3" customFormat="1" ht="29.1" customHeight="1" x14ac:dyDescent="0.25">
      <c r="A1102" s="2" t="s">
        <v>2604</v>
      </c>
      <c r="B1102" s="2" t="s">
        <v>2606</v>
      </c>
      <c r="C1102" s="2" t="s">
        <v>2516</v>
      </c>
      <c r="D1102" s="2" t="s">
        <v>2605</v>
      </c>
      <c r="E1102" s="2"/>
      <c r="F1102" s="2" t="str">
        <f>"9788028006853"</f>
        <v>9788028006853</v>
      </c>
    </row>
    <row r="1103" spans="1:6" s="3" customFormat="1" ht="29.1" customHeight="1" x14ac:dyDescent="0.25">
      <c r="A1103" s="2" t="s">
        <v>2607</v>
      </c>
      <c r="B1103" s="2" t="s">
        <v>2608</v>
      </c>
      <c r="C1103" s="2" t="s">
        <v>2516</v>
      </c>
      <c r="D1103" s="2" t="s">
        <v>1806</v>
      </c>
      <c r="E1103" s="2" t="str">
        <f>"9788028006839"</f>
        <v>9788028006839</v>
      </c>
      <c r="F1103" s="2" t="str">
        <f>"9788028006846"</f>
        <v>9788028006846</v>
      </c>
    </row>
    <row r="1104" spans="1:6" s="3" customFormat="1" ht="29.1" customHeight="1" x14ac:dyDescent="0.25">
      <c r="A1104" s="2" t="s">
        <v>2609</v>
      </c>
      <c r="B1104" s="2" t="s">
        <v>2610</v>
      </c>
      <c r="C1104" s="2" t="s">
        <v>2516</v>
      </c>
      <c r="D1104" s="2" t="s">
        <v>1278</v>
      </c>
      <c r="E1104" s="2" t="str">
        <f>"9788028006686"</f>
        <v>9788028006686</v>
      </c>
      <c r="F1104" s="2" t="str">
        <f>"9788028006693"</f>
        <v>9788028006693</v>
      </c>
    </row>
    <row r="1105" spans="1:6" s="3" customFormat="1" ht="29.1" customHeight="1" x14ac:dyDescent="0.25">
      <c r="A1105" s="2" t="s">
        <v>2611</v>
      </c>
      <c r="B1105" s="2" t="s">
        <v>2612</v>
      </c>
      <c r="C1105" s="2" t="s">
        <v>2516</v>
      </c>
      <c r="D1105" s="2" t="s">
        <v>606</v>
      </c>
      <c r="E1105" s="2"/>
      <c r="F1105" s="2" t="str">
        <f>"9788028006631"</f>
        <v>9788028006631</v>
      </c>
    </row>
    <row r="1106" spans="1:6" s="3" customFormat="1" ht="29.1" customHeight="1" x14ac:dyDescent="0.25">
      <c r="A1106" s="2" t="s">
        <v>2613</v>
      </c>
      <c r="B1106" s="2" t="s">
        <v>2614</v>
      </c>
      <c r="C1106" s="2" t="s">
        <v>2516</v>
      </c>
      <c r="D1106" s="2" t="s">
        <v>60</v>
      </c>
      <c r="E1106" s="2"/>
      <c r="F1106" s="2" t="str">
        <f>"9788028006525"</f>
        <v>9788028006525</v>
      </c>
    </row>
    <row r="1107" spans="1:6" s="3" customFormat="1" ht="29.1" customHeight="1" x14ac:dyDescent="0.25">
      <c r="A1107" s="2" t="s">
        <v>2615</v>
      </c>
      <c r="B1107" s="2" t="s">
        <v>2616</v>
      </c>
      <c r="C1107" s="2" t="s">
        <v>2516</v>
      </c>
      <c r="D1107" s="2" t="s">
        <v>509</v>
      </c>
      <c r="E1107" s="2"/>
      <c r="F1107" s="2" t="str">
        <f>"9788028006518"</f>
        <v>9788028006518</v>
      </c>
    </row>
    <row r="1108" spans="1:6" s="3" customFormat="1" ht="29.1" customHeight="1" x14ac:dyDescent="0.25">
      <c r="A1108" s="2" t="s">
        <v>2617</v>
      </c>
      <c r="B1108" s="2" t="s">
        <v>2618</v>
      </c>
      <c r="C1108" s="2" t="s">
        <v>2516</v>
      </c>
      <c r="D1108" s="2" t="s">
        <v>981</v>
      </c>
      <c r="E1108" s="2" t="str">
        <f>"9788028006457"</f>
        <v>9788028006457</v>
      </c>
      <c r="F1108" s="2" t="str">
        <f>"9788028006464"</f>
        <v>9788028006464</v>
      </c>
    </row>
    <row r="1109" spans="1:6" s="3" customFormat="1" ht="29.1" customHeight="1" x14ac:dyDescent="0.25">
      <c r="A1109" s="2" t="s">
        <v>2619</v>
      </c>
      <c r="B1109" s="2" t="s">
        <v>2620</v>
      </c>
      <c r="C1109" s="2" t="s">
        <v>2516</v>
      </c>
      <c r="D1109" s="2" t="s">
        <v>334</v>
      </c>
      <c r="E1109" s="2"/>
      <c r="F1109" s="2" t="str">
        <f>"9788028006389"</f>
        <v>9788028006389</v>
      </c>
    </row>
    <row r="1110" spans="1:6" s="3" customFormat="1" ht="29.1" customHeight="1" x14ac:dyDescent="0.25">
      <c r="A1110" s="2" t="s">
        <v>2621</v>
      </c>
      <c r="B1110" s="2" t="s">
        <v>2622</v>
      </c>
      <c r="C1110" s="2" t="s">
        <v>2516</v>
      </c>
      <c r="D1110" s="2" t="s">
        <v>63</v>
      </c>
      <c r="E1110" s="2" t="str">
        <f>"9788028006273"</f>
        <v>9788028006273</v>
      </c>
      <c r="F1110" s="2" t="str">
        <f>"9788028006280"</f>
        <v>9788028006280</v>
      </c>
    </row>
    <row r="1111" spans="1:6" s="3" customFormat="1" ht="29.1" customHeight="1" x14ac:dyDescent="0.25">
      <c r="A1111" s="2" t="s">
        <v>2623</v>
      </c>
      <c r="B1111" s="2" t="s">
        <v>2625</v>
      </c>
      <c r="C1111" s="2" t="s">
        <v>2516</v>
      </c>
      <c r="D1111" s="2" t="s">
        <v>2624</v>
      </c>
      <c r="E1111" s="2"/>
      <c r="F1111" s="2" t="str">
        <f>"9788028006242"</f>
        <v>9788028006242</v>
      </c>
    </row>
    <row r="1112" spans="1:6" s="3" customFormat="1" ht="29.1" customHeight="1" x14ac:dyDescent="0.25">
      <c r="A1112" s="2" t="s">
        <v>2626</v>
      </c>
      <c r="B1112" s="2" t="s">
        <v>2627</v>
      </c>
      <c r="C1112" s="2" t="s">
        <v>2516</v>
      </c>
      <c r="D1112" s="2" t="s">
        <v>509</v>
      </c>
      <c r="E1112" s="2"/>
      <c r="F1112" s="2" t="str">
        <f>"9788028006150"</f>
        <v>9788028006150</v>
      </c>
    </row>
    <row r="1113" spans="1:6" s="3" customFormat="1" ht="29.1" customHeight="1" x14ac:dyDescent="0.25">
      <c r="A1113" s="2" t="s">
        <v>2628</v>
      </c>
      <c r="B1113" s="2" t="s">
        <v>2629</v>
      </c>
      <c r="C1113" s="2" t="s">
        <v>2516</v>
      </c>
      <c r="D1113" s="2" t="s">
        <v>9</v>
      </c>
      <c r="E1113" s="2"/>
      <c r="F1113" s="2" t="str">
        <f>"9788028006143"</f>
        <v>9788028006143</v>
      </c>
    </row>
    <row r="1114" spans="1:6" s="3" customFormat="1" ht="29.1" customHeight="1" x14ac:dyDescent="0.25">
      <c r="A1114" s="2" t="s">
        <v>2630</v>
      </c>
      <c r="B1114" s="2" t="s">
        <v>2632</v>
      </c>
      <c r="C1114" s="2" t="s">
        <v>2516</v>
      </c>
      <c r="D1114" s="2" t="s">
        <v>2631</v>
      </c>
      <c r="E1114" s="2" t="str">
        <f>"9788028006105"</f>
        <v>9788028006105</v>
      </c>
      <c r="F1114" s="2" t="str">
        <f>"9788028006112"</f>
        <v>9788028006112</v>
      </c>
    </row>
    <row r="1115" spans="1:6" s="3" customFormat="1" ht="29.1" customHeight="1" x14ac:dyDescent="0.25">
      <c r="A1115" s="2" t="s">
        <v>2633</v>
      </c>
      <c r="B1115" s="2" t="s">
        <v>2634</v>
      </c>
      <c r="C1115" s="2" t="s">
        <v>2516</v>
      </c>
      <c r="D1115" s="2" t="s">
        <v>256</v>
      </c>
      <c r="E1115" s="2"/>
      <c r="F1115" s="2" t="str">
        <f>"9788028006099"</f>
        <v>9788028006099</v>
      </c>
    </row>
    <row r="1116" spans="1:6" s="3" customFormat="1" ht="29.1" customHeight="1" x14ac:dyDescent="0.25">
      <c r="A1116" s="2" t="s">
        <v>2635</v>
      </c>
      <c r="B1116" s="2" t="s">
        <v>2636</v>
      </c>
      <c r="C1116" s="2" t="s">
        <v>2516</v>
      </c>
      <c r="D1116" s="2" t="s">
        <v>334</v>
      </c>
      <c r="E1116" s="2" t="str">
        <f>"9788028005962"</f>
        <v>9788028005962</v>
      </c>
      <c r="F1116" s="2" t="str">
        <f>"9788028005979"</f>
        <v>9788028005979</v>
      </c>
    </row>
    <row r="1117" spans="1:6" s="3" customFormat="1" ht="29.1" customHeight="1" x14ac:dyDescent="0.25">
      <c r="A1117" s="2" t="s">
        <v>2637</v>
      </c>
      <c r="B1117" s="2" t="s">
        <v>2638</v>
      </c>
      <c r="C1117" s="2" t="s">
        <v>2516</v>
      </c>
      <c r="D1117" s="2" t="s">
        <v>981</v>
      </c>
      <c r="E1117" s="2"/>
      <c r="F1117" s="2" t="str">
        <f>"9788028005955"</f>
        <v>9788028005955</v>
      </c>
    </row>
    <row r="1118" spans="1:6" s="3" customFormat="1" ht="29.1" customHeight="1" x14ac:dyDescent="0.25">
      <c r="A1118" s="2" t="s">
        <v>2639</v>
      </c>
      <c r="B1118" s="2" t="s">
        <v>2640</v>
      </c>
      <c r="C1118" s="2" t="s">
        <v>2516</v>
      </c>
      <c r="D1118" s="2" t="s">
        <v>813</v>
      </c>
      <c r="E1118" s="2"/>
      <c r="F1118" s="2" t="str">
        <f>"9788028005917"</f>
        <v>9788028005917</v>
      </c>
    </row>
    <row r="1119" spans="1:6" s="3" customFormat="1" ht="29.1" customHeight="1" x14ac:dyDescent="0.25">
      <c r="A1119" s="2" t="s">
        <v>2641</v>
      </c>
      <c r="B1119" s="2" t="s">
        <v>2642</v>
      </c>
      <c r="C1119" s="2" t="s">
        <v>2516</v>
      </c>
      <c r="D1119" s="2" t="s">
        <v>1292</v>
      </c>
      <c r="E1119" s="2"/>
      <c r="F1119" s="2" t="str">
        <f>"9788028005863"</f>
        <v>9788028005863</v>
      </c>
    </row>
    <row r="1120" spans="1:6" s="3" customFormat="1" ht="29.1" customHeight="1" x14ac:dyDescent="0.25">
      <c r="A1120" s="2" t="s">
        <v>2643</v>
      </c>
      <c r="B1120" s="2" t="s">
        <v>2644</v>
      </c>
      <c r="C1120" s="2" t="s">
        <v>2516</v>
      </c>
      <c r="D1120" s="2" t="s">
        <v>1018</v>
      </c>
      <c r="E1120" s="2"/>
      <c r="F1120" s="2" t="str">
        <f>"9788028005856"</f>
        <v>9788028005856</v>
      </c>
    </row>
    <row r="1121" spans="1:6" s="3" customFormat="1" ht="29.1" customHeight="1" x14ac:dyDescent="0.25">
      <c r="A1121" s="2" t="s">
        <v>2645</v>
      </c>
      <c r="B1121" s="2" t="s">
        <v>2646</v>
      </c>
      <c r="C1121" s="2" t="s">
        <v>2516</v>
      </c>
      <c r="D1121" s="2" t="s">
        <v>334</v>
      </c>
      <c r="E1121" s="2"/>
      <c r="F1121" s="2" t="str">
        <f>"9788028005795"</f>
        <v>9788028005795</v>
      </c>
    </row>
    <row r="1122" spans="1:6" s="3" customFormat="1" ht="29.1" customHeight="1" x14ac:dyDescent="0.25">
      <c r="A1122" s="2" t="s">
        <v>2647</v>
      </c>
      <c r="B1122" s="2" t="s">
        <v>2649</v>
      </c>
      <c r="C1122" s="2" t="s">
        <v>2516</v>
      </c>
      <c r="D1122" s="2" t="s">
        <v>2648</v>
      </c>
      <c r="E1122" s="2" t="str">
        <f>"9788028005696"</f>
        <v>9788028005696</v>
      </c>
      <c r="F1122" s="2" t="str">
        <f>"9788028005702"</f>
        <v>9788028005702</v>
      </c>
    </row>
    <row r="1123" spans="1:6" s="3" customFormat="1" ht="29.1" customHeight="1" x14ac:dyDescent="0.25">
      <c r="A1123" s="2" t="s">
        <v>2650</v>
      </c>
      <c r="B1123" s="2" t="s">
        <v>2651</v>
      </c>
      <c r="C1123" s="2" t="s">
        <v>2516</v>
      </c>
      <c r="D1123" s="2" t="s">
        <v>606</v>
      </c>
      <c r="E1123" s="2" t="str">
        <f>"9788028005634"</f>
        <v>9788028005634</v>
      </c>
      <c r="F1123" s="2" t="str">
        <f>"9788028005641"</f>
        <v>9788028005641</v>
      </c>
    </row>
    <row r="1124" spans="1:6" s="3" customFormat="1" ht="29.1" customHeight="1" x14ac:dyDescent="0.25">
      <c r="A1124" s="2" t="s">
        <v>2652</v>
      </c>
      <c r="B1124" s="2" t="s">
        <v>2653</v>
      </c>
      <c r="C1124" s="2" t="s">
        <v>2516</v>
      </c>
      <c r="D1124" s="2" t="s">
        <v>2307</v>
      </c>
      <c r="E1124" s="2"/>
      <c r="F1124" s="2" t="str">
        <f>"9788028005627"</f>
        <v>9788028005627</v>
      </c>
    </row>
    <row r="1125" spans="1:6" s="3" customFormat="1" ht="29.1" customHeight="1" x14ac:dyDescent="0.25">
      <c r="A1125" s="2" t="s">
        <v>2654</v>
      </c>
      <c r="B1125" s="2" t="s">
        <v>2656</v>
      </c>
      <c r="C1125" s="2" t="s">
        <v>2516</v>
      </c>
      <c r="D1125" s="2" t="s">
        <v>2655</v>
      </c>
      <c r="E1125" s="2"/>
      <c r="F1125" s="2" t="str">
        <f>"9788028005597"</f>
        <v>9788028005597</v>
      </c>
    </row>
    <row r="1126" spans="1:6" s="3" customFormat="1" ht="29.1" customHeight="1" x14ac:dyDescent="0.25">
      <c r="A1126" s="2" t="s">
        <v>2657</v>
      </c>
      <c r="B1126" s="2" t="s">
        <v>2658</v>
      </c>
      <c r="C1126" s="2" t="s">
        <v>2516</v>
      </c>
      <c r="D1126" s="2" t="s">
        <v>1867</v>
      </c>
      <c r="E1126" s="2" t="str">
        <f>"9788028005450"</f>
        <v>9788028005450</v>
      </c>
      <c r="F1126" s="2" t="str">
        <f>"9788028005467"</f>
        <v>9788028005467</v>
      </c>
    </row>
    <row r="1127" spans="1:6" s="3" customFormat="1" ht="29.1" customHeight="1" x14ac:dyDescent="0.25">
      <c r="A1127" s="2" t="s">
        <v>2659</v>
      </c>
      <c r="B1127" s="2" t="s">
        <v>2660</v>
      </c>
      <c r="C1127" s="2" t="s">
        <v>2516</v>
      </c>
      <c r="D1127" s="2" t="s">
        <v>682</v>
      </c>
      <c r="E1127" s="2" t="str">
        <f>"9788028005436"</f>
        <v>9788028005436</v>
      </c>
      <c r="F1127" s="2" t="str">
        <f>"9788028005443"</f>
        <v>9788028005443</v>
      </c>
    </row>
    <row r="1128" spans="1:6" s="3" customFormat="1" ht="29.1" customHeight="1" x14ac:dyDescent="0.25">
      <c r="A1128" s="2" t="s">
        <v>2661</v>
      </c>
      <c r="B1128" s="2" t="s">
        <v>2662</v>
      </c>
      <c r="C1128" s="2" t="s">
        <v>2516</v>
      </c>
      <c r="D1128" s="2" t="s">
        <v>2237</v>
      </c>
      <c r="E1128" s="2"/>
      <c r="F1128" s="2" t="str">
        <f>"9788028005429"</f>
        <v>9788028005429</v>
      </c>
    </row>
    <row r="1129" spans="1:6" s="3" customFormat="1" ht="29.1" customHeight="1" x14ac:dyDescent="0.25">
      <c r="A1129" s="2" t="s">
        <v>2663</v>
      </c>
      <c r="B1129" s="2" t="s">
        <v>2665</v>
      </c>
      <c r="C1129" s="2" t="s">
        <v>2516</v>
      </c>
      <c r="D1129" s="2" t="s">
        <v>2664</v>
      </c>
      <c r="E1129" s="2" t="str">
        <f>"9788028005351"</f>
        <v>9788028005351</v>
      </c>
      <c r="F1129" s="2" t="str">
        <f>"9788028005368"</f>
        <v>9788028005368</v>
      </c>
    </row>
    <row r="1130" spans="1:6" s="3" customFormat="1" ht="29.1" customHeight="1" x14ac:dyDescent="0.25">
      <c r="A1130" s="2" t="s">
        <v>2666</v>
      </c>
      <c r="B1130" s="2" t="s">
        <v>2667</v>
      </c>
      <c r="C1130" s="2" t="s">
        <v>2516</v>
      </c>
      <c r="D1130" s="2" t="s">
        <v>2307</v>
      </c>
      <c r="E1130" s="2" t="str">
        <f>"9788028005337"</f>
        <v>9788028005337</v>
      </c>
      <c r="F1130" s="2" t="str">
        <f>"9788028005344"</f>
        <v>9788028005344</v>
      </c>
    </row>
    <row r="1131" spans="1:6" s="3" customFormat="1" ht="29.1" customHeight="1" x14ac:dyDescent="0.25">
      <c r="A1131" s="2" t="s">
        <v>2668</v>
      </c>
      <c r="B1131" s="2" t="s">
        <v>2669</v>
      </c>
      <c r="C1131" s="2" t="s">
        <v>2516</v>
      </c>
      <c r="D1131" s="2" t="s">
        <v>2086</v>
      </c>
      <c r="E1131" s="2" t="str">
        <f>"9788021059740"</f>
        <v>9788021059740</v>
      </c>
      <c r="F1131" s="2" t="str">
        <f>"9788028005191"</f>
        <v>9788028005191</v>
      </c>
    </row>
    <row r="1132" spans="1:6" s="3" customFormat="1" ht="29.1" customHeight="1" x14ac:dyDescent="0.25">
      <c r="A1132" s="2" t="s">
        <v>2670</v>
      </c>
      <c r="B1132" s="2" t="s">
        <v>2672</v>
      </c>
      <c r="C1132" s="2" t="s">
        <v>2516</v>
      </c>
      <c r="D1132" s="2" t="s">
        <v>2671</v>
      </c>
      <c r="E1132" s="2" t="str">
        <f>"9788028005054"</f>
        <v>9788028005054</v>
      </c>
      <c r="F1132" s="2" t="str">
        <f>"9788028005061"</f>
        <v>9788028005061</v>
      </c>
    </row>
    <row r="1133" spans="1:6" s="3" customFormat="1" ht="29.1" customHeight="1" x14ac:dyDescent="0.25">
      <c r="A1133" s="2" t="s">
        <v>2673</v>
      </c>
      <c r="B1133" s="2" t="s">
        <v>2674</v>
      </c>
      <c r="C1133" s="2" t="s">
        <v>2516</v>
      </c>
      <c r="D1133" s="2" t="s">
        <v>596</v>
      </c>
      <c r="E1133" s="2"/>
      <c r="F1133" s="2" t="str">
        <f>"9788028005009"</f>
        <v>9788028005009</v>
      </c>
    </row>
    <row r="1134" spans="1:6" s="3" customFormat="1" ht="29.1" customHeight="1" x14ac:dyDescent="0.25">
      <c r="A1134" s="2" t="s">
        <v>2675</v>
      </c>
      <c r="B1134" s="2" t="s">
        <v>2676</v>
      </c>
      <c r="C1134" s="2" t="s">
        <v>2516</v>
      </c>
      <c r="D1134" s="2" t="s">
        <v>2648</v>
      </c>
      <c r="E1134" s="2" t="str">
        <f>"9788028004965"</f>
        <v>9788028004965</v>
      </c>
      <c r="F1134" s="2" t="str">
        <f>"9788028004972"</f>
        <v>9788028004972</v>
      </c>
    </row>
    <row r="1135" spans="1:6" s="3" customFormat="1" ht="29.1" customHeight="1" x14ac:dyDescent="0.25">
      <c r="A1135" s="2" t="s">
        <v>2677</v>
      </c>
      <c r="B1135" s="2" t="s">
        <v>2678</v>
      </c>
      <c r="C1135" s="2" t="s">
        <v>2516</v>
      </c>
      <c r="D1135" s="2" t="s">
        <v>465</v>
      </c>
      <c r="E1135" s="2" t="str">
        <f>"9788028004910"</f>
        <v>9788028004910</v>
      </c>
      <c r="F1135" s="2" t="str">
        <f>"9788028004927"</f>
        <v>9788028004927</v>
      </c>
    </row>
    <row r="1136" spans="1:6" s="3" customFormat="1" ht="29.1" customHeight="1" x14ac:dyDescent="0.25">
      <c r="A1136" s="2" t="s">
        <v>2679</v>
      </c>
      <c r="B1136" s="2" t="s">
        <v>2681</v>
      </c>
      <c r="C1136" s="2" t="s">
        <v>2516</v>
      </c>
      <c r="D1136" s="2" t="s">
        <v>2680</v>
      </c>
      <c r="E1136" s="2" t="str">
        <f>"9788028004781"</f>
        <v>9788028004781</v>
      </c>
      <c r="F1136" s="2" t="str">
        <f>"9788028004798"</f>
        <v>9788028004798</v>
      </c>
    </row>
    <row r="1137" spans="1:6" s="3" customFormat="1" ht="29.1" customHeight="1" x14ac:dyDescent="0.25">
      <c r="A1137" s="2" t="s">
        <v>2682</v>
      </c>
      <c r="B1137" s="2" t="s">
        <v>2681</v>
      </c>
      <c r="C1137" s="2" t="s">
        <v>2516</v>
      </c>
      <c r="D1137" s="2" t="s">
        <v>2680</v>
      </c>
      <c r="E1137" s="2" t="str">
        <f>"9788028004767"</f>
        <v>9788028004767</v>
      </c>
      <c r="F1137" s="2" t="str">
        <f>"9788028004774"</f>
        <v>9788028004774</v>
      </c>
    </row>
    <row r="1138" spans="1:6" s="3" customFormat="1" ht="29.1" customHeight="1" x14ac:dyDescent="0.25">
      <c r="A1138" s="2" t="s">
        <v>2683</v>
      </c>
      <c r="B1138" s="2" t="s">
        <v>2684</v>
      </c>
      <c r="C1138" s="2" t="s">
        <v>2516</v>
      </c>
      <c r="D1138" s="2" t="s">
        <v>2139</v>
      </c>
      <c r="E1138" s="2"/>
      <c r="F1138" s="2" t="str">
        <f>"9788028004750"</f>
        <v>9788028004750</v>
      </c>
    </row>
    <row r="1139" spans="1:6" s="3" customFormat="1" ht="29.1" customHeight="1" x14ac:dyDescent="0.25">
      <c r="A1139" s="2" t="s">
        <v>2685</v>
      </c>
      <c r="B1139" s="2" t="s">
        <v>2686</v>
      </c>
      <c r="C1139" s="2" t="s">
        <v>2516</v>
      </c>
      <c r="D1139" s="2" t="s">
        <v>1141</v>
      </c>
      <c r="E1139" s="2"/>
      <c r="F1139" s="2" t="str">
        <f>"9788028004729"</f>
        <v>9788028004729</v>
      </c>
    </row>
    <row r="1140" spans="1:6" s="3" customFormat="1" ht="29.1" customHeight="1" x14ac:dyDescent="0.25">
      <c r="A1140" s="2" t="s">
        <v>2687</v>
      </c>
      <c r="B1140" s="2" t="s">
        <v>2688</v>
      </c>
      <c r="C1140" s="2" t="s">
        <v>2516</v>
      </c>
      <c r="D1140" s="2" t="s">
        <v>1867</v>
      </c>
      <c r="E1140" s="2"/>
      <c r="F1140" s="2" t="str">
        <f>"9788028004569"</f>
        <v>9788028004569</v>
      </c>
    </row>
    <row r="1141" spans="1:6" s="3" customFormat="1" ht="29.1" customHeight="1" x14ac:dyDescent="0.25">
      <c r="A1141" s="2" t="s">
        <v>2689</v>
      </c>
      <c r="B1141" s="2" t="s">
        <v>2690</v>
      </c>
      <c r="C1141" s="2" t="s">
        <v>2516</v>
      </c>
      <c r="D1141" s="2" t="s">
        <v>2139</v>
      </c>
      <c r="E1141" s="2"/>
      <c r="F1141" s="2" t="str">
        <f>"9788028004552"</f>
        <v>9788028004552</v>
      </c>
    </row>
    <row r="1142" spans="1:6" s="3" customFormat="1" ht="29.1" customHeight="1" x14ac:dyDescent="0.25">
      <c r="A1142" s="2" t="s">
        <v>2691</v>
      </c>
      <c r="B1142" s="2" t="s">
        <v>2693</v>
      </c>
      <c r="C1142" s="2" t="s">
        <v>2516</v>
      </c>
      <c r="D1142" s="2" t="s">
        <v>2692</v>
      </c>
      <c r="E1142" s="2"/>
      <c r="F1142" s="2" t="str">
        <f>"9788028004538"</f>
        <v>9788028004538</v>
      </c>
    </row>
    <row r="1143" spans="1:6" s="3" customFormat="1" ht="29.1" customHeight="1" x14ac:dyDescent="0.25">
      <c r="A1143" s="2" t="s">
        <v>2694</v>
      </c>
      <c r="B1143" s="2" t="s">
        <v>2695</v>
      </c>
      <c r="C1143" s="2" t="s">
        <v>2516</v>
      </c>
      <c r="D1143" s="2" t="s">
        <v>1669</v>
      </c>
      <c r="E1143" s="2"/>
      <c r="F1143" s="2" t="str">
        <f>"9788028004439"</f>
        <v>9788028004439</v>
      </c>
    </row>
    <row r="1144" spans="1:6" s="3" customFormat="1" ht="29.1" customHeight="1" x14ac:dyDescent="0.25">
      <c r="A1144" s="2" t="s">
        <v>2696</v>
      </c>
      <c r="B1144" s="2" t="s">
        <v>2698</v>
      </c>
      <c r="C1144" s="2" t="s">
        <v>2516</v>
      </c>
      <c r="D1144" s="2" t="s">
        <v>2697</v>
      </c>
      <c r="E1144" s="2" t="str">
        <f>"9788028004385"</f>
        <v>9788028004385</v>
      </c>
      <c r="F1144" s="2" t="str">
        <f>"9788028004392"</f>
        <v>9788028004392</v>
      </c>
    </row>
    <row r="1145" spans="1:6" s="3" customFormat="1" ht="29.1" customHeight="1" x14ac:dyDescent="0.25">
      <c r="A1145" s="2" t="s">
        <v>2699</v>
      </c>
      <c r="B1145" s="2" t="s">
        <v>2700</v>
      </c>
      <c r="C1145" s="2" t="s">
        <v>2516</v>
      </c>
      <c r="D1145" s="2" t="s">
        <v>334</v>
      </c>
      <c r="E1145" s="2"/>
      <c r="F1145" s="2" t="str">
        <f>"9788028004361"</f>
        <v>9788028004361</v>
      </c>
    </row>
    <row r="1146" spans="1:6" s="3" customFormat="1" ht="29.1" customHeight="1" x14ac:dyDescent="0.25">
      <c r="A1146" s="2" t="s">
        <v>2701</v>
      </c>
      <c r="B1146" s="2" t="s">
        <v>2703</v>
      </c>
      <c r="C1146" s="2" t="s">
        <v>2516</v>
      </c>
      <c r="D1146" s="2" t="s">
        <v>2702</v>
      </c>
      <c r="E1146" s="2"/>
      <c r="F1146" s="2" t="str">
        <f>"9788028004354"</f>
        <v>9788028004354</v>
      </c>
    </row>
    <row r="1147" spans="1:6" s="3" customFormat="1" ht="29.1" customHeight="1" x14ac:dyDescent="0.25">
      <c r="A1147" s="2" t="s">
        <v>2704</v>
      </c>
      <c r="B1147" s="2" t="s">
        <v>2705</v>
      </c>
      <c r="C1147" s="2" t="s">
        <v>2516</v>
      </c>
      <c r="D1147" s="2" t="s">
        <v>12</v>
      </c>
      <c r="E1147" s="2"/>
      <c r="F1147" s="2" t="str">
        <f>"9788028004224"</f>
        <v>9788028004224</v>
      </c>
    </row>
    <row r="1148" spans="1:6" s="3" customFormat="1" ht="29.1" customHeight="1" x14ac:dyDescent="0.25">
      <c r="A1148" s="2" t="s">
        <v>2706</v>
      </c>
      <c r="B1148" s="2" t="s">
        <v>2707</v>
      </c>
      <c r="C1148" s="2" t="s">
        <v>2516</v>
      </c>
      <c r="D1148" s="2" t="s">
        <v>1416</v>
      </c>
      <c r="E1148" s="2" t="str">
        <f>"9788028004149"</f>
        <v>9788028004149</v>
      </c>
      <c r="F1148" s="2" t="str">
        <f>"9788028004156"</f>
        <v>9788028004156</v>
      </c>
    </row>
    <row r="1149" spans="1:6" s="3" customFormat="1" ht="29.1" customHeight="1" x14ac:dyDescent="0.25">
      <c r="A1149" s="2" t="s">
        <v>2708</v>
      </c>
      <c r="B1149" s="2" t="s">
        <v>2709</v>
      </c>
      <c r="C1149" s="2" t="s">
        <v>2516</v>
      </c>
      <c r="D1149" s="2" t="s">
        <v>1198</v>
      </c>
      <c r="E1149" s="2"/>
      <c r="F1149" s="2" t="str">
        <f>"9788028004088"</f>
        <v>9788028004088</v>
      </c>
    </row>
    <row r="1150" spans="1:6" s="3" customFormat="1" ht="29.1" customHeight="1" x14ac:dyDescent="0.25">
      <c r="A1150" s="2" t="s">
        <v>2710</v>
      </c>
      <c r="B1150" s="2" t="s">
        <v>2711</v>
      </c>
      <c r="C1150" s="2" t="s">
        <v>2516</v>
      </c>
      <c r="D1150" s="2" t="s">
        <v>2593</v>
      </c>
      <c r="E1150" s="2"/>
      <c r="F1150" s="2" t="str">
        <f>"9788028004019"</f>
        <v>9788028004019</v>
      </c>
    </row>
    <row r="1151" spans="1:6" s="3" customFormat="1" ht="29.1" customHeight="1" x14ac:dyDescent="0.25">
      <c r="A1151" s="2" t="s">
        <v>2712</v>
      </c>
      <c r="B1151" s="2" t="s">
        <v>2714</v>
      </c>
      <c r="C1151" s="2" t="s">
        <v>2516</v>
      </c>
      <c r="D1151" s="2" t="s">
        <v>2713</v>
      </c>
      <c r="E1151" s="2" t="str">
        <f>"9788028003999"</f>
        <v>9788028003999</v>
      </c>
      <c r="F1151" s="2" t="str">
        <f>"9788028004002"</f>
        <v>9788028004002</v>
      </c>
    </row>
    <row r="1152" spans="1:6" s="3" customFormat="1" ht="29.1" customHeight="1" x14ac:dyDescent="0.25">
      <c r="A1152" s="2" t="s">
        <v>2715</v>
      </c>
      <c r="B1152" s="2" t="s">
        <v>2716</v>
      </c>
      <c r="C1152" s="2" t="s">
        <v>2516</v>
      </c>
      <c r="D1152" s="2" t="s">
        <v>544</v>
      </c>
      <c r="E1152" s="2" t="str">
        <f>"9788028003876"</f>
        <v>9788028003876</v>
      </c>
      <c r="F1152" s="2" t="str">
        <f>"9788028003883"</f>
        <v>9788028003883</v>
      </c>
    </row>
    <row r="1153" spans="1:6" s="3" customFormat="1" ht="29.1" customHeight="1" x14ac:dyDescent="0.25">
      <c r="A1153" s="2" t="s">
        <v>2717</v>
      </c>
      <c r="B1153" s="2" t="s">
        <v>2719</v>
      </c>
      <c r="C1153" s="2" t="s">
        <v>2516</v>
      </c>
      <c r="D1153" s="2" t="s">
        <v>2718</v>
      </c>
      <c r="E1153" s="2" t="str">
        <f>"9788028003739"</f>
        <v>9788028003739</v>
      </c>
      <c r="F1153" s="2" t="str">
        <f>"9788028003746"</f>
        <v>9788028003746</v>
      </c>
    </row>
    <row r="1154" spans="1:6" s="3" customFormat="1" ht="29.1" customHeight="1" x14ac:dyDescent="0.25">
      <c r="A1154" s="2" t="s">
        <v>2720</v>
      </c>
      <c r="B1154" s="2" t="s">
        <v>2721</v>
      </c>
      <c r="C1154" s="2" t="s">
        <v>2516</v>
      </c>
      <c r="D1154" s="2" t="s">
        <v>1864</v>
      </c>
      <c r="E1154" s="2" t="str">
        <f>"9788028003609"</f>
        <v>9788028003609</v>
      </c>
      <c r="F1154" s="2" t="str">
        <f>"9788028003616"</f>
        <v>9788028003616</v>
      </c>
    </row>
    <row r="1155" spans="1:6" s="3" customFormat="1" ht="29.1" customHeight="1" x14ac:dyDescent="0.25">
      <c r="A1155" s="2" t="s">
        <v>2722</v>
      </c>
      <c r="B1155" s="2" t="s">
        <v>2723</v>
      </c>
      <c r="C1155" s="2" t="s">
        <v>2516</v>
      </c>
      <c r="D1155" s="2" t="s">
        <v>981</v>
      </c>
      <c r="E1155" s="2"/>
      <c r="F1155" s="2" t="str">
        <f>"9788028003524"</f>
        <v>9788028003524</v>
      </c>
    </row>
    <row r="1156" spans="1:6" s="3" customFormat="1" ht="29.1" customHeight="1" x14ac:dyDescent="0.25">
      <c r="A1156" s="2" t="s">
        <v>2724</v>
      </c>
      <c r="B1156" s="2" t="s">
        <v>2725</v>
      </c>
      <c r="C1156" s="2" t="s">
        <v>2516</v>
      </c>
      <c r="D1156" s="2" t="s">
        <v>596</v>
      </c>
      <c r="E1156" s="2"/>
      <c r="F1156" s="2" t="str">
        <f>"9788028003500"</f>
        <v>9788028003500</v>
      </c>
    </row>
    <row r="1157" spans="1:6" s="3" customFormat="1" ht="29.1" customHeight="1" x14ac:dyDescent="0.25">
      <c r="A1157" s="2" t="s">
        <v>2726</v>
      </c>
      <c r="B1157" s="2" t="s">
        <v>2728</v>
      </c>
      <c r="C1157" s="2" t="s">
        <v>2516</v>
      </c>
      <c r="D1157" s="2" t="s">
        <v>2727</v>
      </c>
      <c r="E1157" s="2"/>
      <c r="F1157" s="2" t="str">
        <f>"9788028003456"</f>
        <v>9788028003456</v>
      </c>
    </row>
    <row r="1158" spans="1:6" s="3" customFormat="1" ht="29.1" customHeight="1" x14ac:dyDescent="0.25">
      <c r="A1158" s="2" t="s">
        <v>2729</v>
      </c>
      <c r="B1158" s="2" t="s">
        <v>2730</v>
      </c>
      <c r="C1158" s="2" t="s">
        <v>2516</v>
      </c>
      <c r="D1158" s="2" t="s">
        <v>2578</v>
      </c>
      <c r="E1158" s="2"/>
      <c r="F1158" s="2" t="str">
        <f>"9788028003418"</f>
        <v>9788028003418</v>
      </c>
    </row>
    <row r="1159" spans="1:6" s="3" customFormat="1" ht="29.1" customHeight="1" x14ac:dyDescent="0.25">
      <c r="A1159" s="2" t="s">
        <v>2731</v>
      </c>
      <c r="B1159" s="2" t="s">
        <v>2732</v>
      </c>
      <c r="C1159" s="2" t="s">
        <v>2516</v>
      </c>
      <c r="D1159" s="2" t="s">
        <v>2648</v>
      </c>
      <c r="E1159" s="2" t="str">
        <f>"9788028003340"</f>
        <v>9788028003340</v>
      </c>
      <c r="F1159" s="2" t="str">
        <f>"9788028003357"</f>
        <v>9788028003357</v>
      </c>
    </row>
    <row r="1160" spans="1:6" s="3" customFormat="1" ht="29.1" customHeight="1" x14ac:dyDescent="0.25">
      <c r="A1160" s="2" t="s">
        <v>2733</v>
      </c>
      <c r="B1160" s="2" t="s">
        <v>2734</v>
      </c>
      <c r="C1160" s="2" t="s">
        <v>2516</v>
      </c>
      <c r="D1160" s="2" t="s">
        <v>1867</v>
      </c>
      <c r="E1160" s="2" t="str">
        <f>"9788028003210"</f>
        <v>9788028003210</v>
      </c>
      <c r="F1160" s="2" t="str">
        <f>"9788028003227"</f>
        <v>9788028003227</v>
      </c>
    </row>
    <row r="1161" spans="1:6" s="3" customFormat="1" ht="29.1" customHeight="1" x14ac:dyDescent="0.25">
      <c r="A1161" s="2" t="s">
        <v>2735</v>
      </c>
      <c r="B1161" s="2" t="s">
        <v>2736</v>
      </c>
      <c r="C1161" s="2" t="s">
        <v>2516</v>
      </c>
      <c r="D1161" s="2" t="s">
        <v>1867</v>
      </c>
      <c r="E1161" s="2" t="str">
        <f>"9788028003197"</f>
        <v>9788028003197</v>
      </c>
      <c r="F1161" s="2" t="str">
        <f>"9788028003203"</f>
        <v>9788028003203</v>
      </c>
    </row>
    <row r="1162" spans="1:6" s="3" customFormat="1" ht="29.1" customHeight="1" x14ac:dyDescent="0.25">
      <c r="A1162" s="2" t="s">
        <v>2737</v>
      </c>
      <c r="B1162" s="2" t="s">
        <v>2738</v>
      </c>
      <c r="C1162" s="2" t="s">
        <v>2516</v>
      </c>
      <c r="D1162" s="2" t="s">
        <v>1256</v>
      </c>
      <c r="E1162" s="2"/>
      <c r="F1162" s="2" t="str">
        <f>"9788028003166"</f>
        <v>9788028003166</v>
      </c>
    </row>
    <row r="1163" spans="1:6" s="3" customFormat="1" ht="29.1" customHeight="1" x14ac:dyDescent="0.25">
      <c r="A1163" s="2" t="s">
        <v>2739</v>
      </c>
      <c r="B1163" s="2" t="s">
        <v>2740</v>
      </c>
      <c r="C1163" s="2" t="s">
        <v>2516</v>
      </c>
      <c r="D1163" s="2" t="s">
        <v>2307</v>
      </c>
      <c r="E1163" s="2" t="str">
        <f>"9788028003098"</f>
        <v>9788028003098</v>
      </c>
      <c r="F1163" s="2" t="str">
        <f>"9788028003104"</f>
        <v>9788028003104</v>
      </c>
    </row>
    <row r="1164" spans="1:6" s="3" customFormat="1" ht="29.1" customHeight="1" x14ac:dyDescent="0.25">
      <c r="A1164" s="2" t="s">
        <v>2741</v>
      </c>
      <c r="B1164" s="2" t="s">
        <v>2743</v>
      </c>
      <c r="C1164" s="2" t="s">
        <v>2516</v>
      </c>
      <c r="D1164" s="2" t="s">
        <v>2742</v>
      </c>
      <c r="E1164" s="2" t="str">
        <f>"9788028003029"</f>
        <v>9788028003029</v>
      </c>
      <c r="F1164" s="2" t="str">
        <f>"9788028003036"</f>
        <v>9788028003036</v>
      </c>
    </row>
    <row r="1165" spans="1:6" s="3" customFormat="1" ht="29.1" customHeight="1" x14ac:dyDescent="0.25">
      <c r="A1165" s="2" t="s">
        <v>2744</v>
      </c>
      <c r="B1165" s="2" t="s">
        <v>2725</v>
      </c>
      <c r="C1165" s="2" t="s">
        <v>2516</v>
      </c>
      <c r="D1165" s="2" t="s">
        <v>1588</v>
      </c>
      <c r="E1165" s="2" t="str">
        <f>"9788028002794"</f>
        <v>9788028002794</v>
      </c>
      <c r="F1165" s="2" t="str">
        <f>"9788028002800"</f>
        <v>9788028002800</v>
      </c>
    </row>
    <row r="1166" spans="1:6" s="3" customFormat="1" ht="29.1" customHeight="1" x14ac:dyDescent="0.25">
      <c r="A1166" s="2" t="s">
        <v>2745</v>
      </c>
      <c r="B1166" s="2" t="s">
        <v>2747</v>
      </c>
      <c r="C1166" s="2" t="s">
        <v>2516</v>
      </c>
      <c r="D1166" s="2" t="s">
        <v>2746</v>
      </c>
      <c r="E1166" s="2"/>
      <c r="F1166" s="2" t="str">
        <f>"9788028002725"</f>
        <v>9788028002725</v>
      </c>
    </row>
    <row r="1167" spans="1:6" s="3" customFormat="1" ht="29.1" customHeight="1" x14ac:dyDescent="0.25">
      <c r="A1167" s="2" t="s">
        <v>2748</v>
      </c>
      <c r="B1167" s="2" t="s">
        <v>2750</v>
      </c>
      <c r="C1167" s="2" t="s">
        <v>2516</v>
      </c>
      <c r="D1167" s="2" t="s">
        <v>2749</v>
      </c>
      <c r="E1167" s="2"/>
      <c r="F1167" s="2" t="str">
        <f>"9788028002718"</f>
        <v>9788028002718</v>
      </c>
    </row>
    <row r="1168" spans="1:6" s="3" customFormat="1" ht="29.1" customHeight="1" x14ac:dyDescent="0.25">
      <c r="A1168" s="2" t="s">
        <v>2751</v>
      </c>
      <c r="B1168" s="2" t="s">
        <v>2753</v>
      </c>
      <c r="C1168" s="2" t="s">
        <v>2516</v>
      </c>
      <c r="D1168" s="2" t="s">
        <v>2752</v>
      </c>
      <c r="E1168" s="2"/>
      <c r="F1168" s="2" t="str">
        <f>"9788028002701"</f>
        <v>9788028002701</v>
      </c>
    </row>
    <row r="1169" spans="1:6" s="3" customFormat="1" ht="29.1" customHeight="1" x14ac:dyDescent="0.25">
      <c r="A1169" s="2" t="s">
        <v>2754</v>
      </c>
      <c r="B1169" s="2" t="s">
        <v>2755</v>
      </c>
      <c r="C1169" s="2" t="s">
        <v>2516</v>
      </c>
      <c r="D1169" s="2" t="s">
        <v>606</v>
      </c>
      <c r="E1169" s="2" t="str">
        <f>"9788028002688"</f>
        <v>9788028002688</v>
      </c>
      <c r="F1169" s="2" t="str">
        <f>"9788028002695"</f>
        <v>9788028002695</v>
      </c>
    </row>
    <row r="1170" spans="1:6" s="3" customFormat="1" ht="29.1" customHeight="1" x14ac:dyDescent="0.25">
      <c r="A1170" s="2" t="s">
        <v>2756</v>
      </c>
      <c r="B1170" s="2" t="s">
        <v>2757</v>
      </c>
      <c r="C1170" s="2" t="s">
        <v>2516</v>
      </c>
      <c r="D1170" s="2" t="s">
        <v>2648</v>
      </c>
      <c r="E1170" s="2" t="str">
        <f>"9788028002664"</f>
        <v>9788028002664</v>
      </c>
      <c r="F1170" s="2" t="str">
        <f>"9788028002671"</f>
        <v>9788028002671</v>
      </c>
    </row>
    <row r="1171" spans="1:6" s="3" customFormat="1" ht="29.1" customHeight="1" x14ac:dyDescent="0.25">
      <c r="A1171" s="2" t="s">
        <v>2758</v>
      </c>
      <c r="B1171" s="2" t="s">
        <v>2759</v>
      </c>
      <c r="C1171" s="2" t="s">
        <v>2516</v>
      </c>
      <c r="D1171" s="2" t="s">
        <v>98</v>
      </c>
      <c r="E1171" s="2"/>
      <c r="F1171" s="2" t="str">
        <f>"9788028002657"</f>
        <v>9788028002657</v>
      </c>
    </row>
    <row r="1172" spans="1:6" s="3" customFormat="1" ht="29.1" customHeight="1" x14ac:dyDescent="0.25">
      <c r="A1172" s="2" t="s">
        <v>2760</v>
      </c>
      <c r="B1172" s="2" t="s">
        <v>2762</v>
      </c>
      <c r="C1172" s="2" t="s">
        <v>2516</v>
      </c>
      <c r="D1172" s="2" t="s">
        <v>2761</v>
      </c>
      <c r="E1172" s="2" t="str">
        <f>"9788028002565"</f>
        <v>9788028002565</v>
      </c>
      <c r="F1172" s="2" t="str">
        <f>"9788028002572"</f>
        <v>9788028002572</v>
      </c>
    </row>
    <row r="1173" spans="1:6" s="3" customFormat="1" ht="29.1" customHeight="1" x14ac:dyDescent="0.25">
      <c r="A1173" s="2" t="s">
        <v>2763</v>
      </c>
      <c r="B1173" s="2" t="s">
        <v>2764</v>
      </c>
      <c r="C1173" s="2" t="s">
        <v>2516</v>
      </c>
      <c r="D1173" s="2" t="s">
        <v>596</v>
      </c>
      <c r="E1173" s="2" t="str">
        <f>"9788028002534"</f>
        <v>9788028002534</v>
      </c>
      <c r="F1173" s="2" t="str">
        <f>"9788028002541"</f>
        <v>9788028002541</v>
      </c>
    </row>
    <row r="1174" spans="1:6" s="3" customFormat="1" ht="29.1" customHeight="1" x14ac:dyDescent="0.25">
      <c r="A1174" s="2" t="s">
        <v>2765</v>
      </c>
      <c r="B1174" s="2" t="s">
        <v>2766</v>
      </c>
      <c r="C1174" s="2" t="s">
        <v>2516</v>
      </c>
      <c r="D1174" s="2" t="s">
        <v>791</v>
      </c>
      <c r="E1174" s="2"/>
      <c r="F1174" s="2" t="str">
        <f>"9788028002503"</f>
        <v>9788028002503</v>
      </c>
    </row>
    <row r="1175" spans="1:6" s="3" customFormat="1" ht="29.1" customHeight="1" x14ac:dyDescent="0.25">
      <c r="A1175" s="2" t="s">
        <v>2767</v>
      </c>
      <c r="B1175" s="2" t="s">
        <v>2768</v>
      </c>
      <c r="C1175" s="2" t="s">
        <v>2516</v>
      </c>
      <c r="D1175" s="2" t="s">
        <v>596</v>
      </c>
      <c r="E1175" s="2" t="str">
        <f>"9788028002404"</f>
        <v>9788028002404</v>
      </c>
      <c r="F1175" s="2" t="str">
        <f>"9788028002411"</f>
        <v>9788028002411</v>
      </c>
    </row>
    <row r="1176" spans="1:6" s="3" customFormat="1" ht="29.1" customHeight="1" x14ac:dyDescent="0.25">
      <c r="A1176" s="2" t="s">
        <v>2769</v>
      </c>
      <c r="B1176" s="2" t="s">
        <v>2771</v>
      </c>
      <c r="C1176" s="2" t="s">
        <v>2516</v>
      </c>
      <c r="D1176" s="2" t="s">
        <v>2770</v>
      </c>
      <c r="E1176" s="2" t="str">
        <f>"9788028000820"</f>
        <v>9788028000820</v>
      </c>
      <c r="F1176" s="2" t="str">
        <f>"9788028002398"</f>
        <v>9788028002398</v>
      </c>
    </row>
    <row r="1177" spans="1:6" s="3" customFormat="1" ht="29.1" customHeight="1" x14ac:dyDescent="0.25">
      <c r="A1177" s="2" t="s">
        <v>2772</v>
      </c>
      <c r="B1177" s="2" t="s">
        <v>2774</v>
      </c>
      <c r="C1177" s="2" t="s">
        <v>2516</v>
      </c>
      <c r="D1177" s="2" t="s">
        <v>2773</v>
      </c>
      <c r="E1177" s="2" t="str">
        <f>"9788028002374"</f>
        <v>9788028002374</v>
      </c>
      <c r="F1177" s="2" t="str">
        <f>"9788028002381"</f>
        <v>9788028002381</v>
      </c>
    </row>
    <row r="1178" spans="1:6" s="3" customFormat="1" ht="29.1" customHeight="1" x14ac:dyDescent="0.25">
      <c r="A1178" s="2" t="s">
        <v>2775</v>
      </c>
      <c r="B1178" s="2" t="s">
        <v>2777</v>
      </c>
      <c r="C1178" s="2" t="s">
        <v>2516</v>
      </c>
      <c r="D1178" s="2" t="s">
        <v>2776</v>
      </c>
      <c r="E1178" s="2" t="str">
        <f>"9788028002350"</f>
        <v>9788028002350</v>
      </c>
      <c r="F1178" s="2" t="str">
        <f>"9788028002367"</f>
        <v>9788028002367</v>
      </c>
    </row>
    <row r="1179" spans="1:6" s="3" customFormat="1" ht="29.1" customHeight="1" x14ac:dyDescent="0.25">
      <c r="A1179" s="2" t="s">
        <v>2778</v>
      </c>
      <c r="B1179" s="2" t="s">
        <v>2779</v>
      </c>
      <c r="C1179" s="2" t="s">
        <v>2516</v>
      </c>
      <c r="D1179" s="2" t="s">
        <v>836</v>
      </c>
      <c r="E1179" s="2" t="str">
        <f>"9788028002336"</f>
        <v>9788028002336</v>
      </c>
      <c r="F1179" s="2" t="str">
        <f>"9788028002343"</f>
        <v>9788028002343</v>
      </c>
    </row>
    <row r="1180" spans="1:6" s="3" customFormat="1" ht="29.1" customHeight="1" x14ac:dyDescent="0.25">
      <c r="A1180" s="2" t="s">
        <v>2780</v>
      </c>
      <c r="B1180" s="2" t="s">
        <v>2782</v>
      </c>
      <c r="C1180" s="2" t="s">
        <v>2516</v>
      </c>
      <c r="D1180" s="2" t="s">
        <v>2781</v>
      </c>
      <c r="E1180" s="2"/>
      <c r="F1180" s="2" t="str">
        <f>"9788028002251"</f>
        <v>9788028002251</v>
      </c>
    </row>
    <row r="1181" spans="1:6" s="3" customFormat="1" ht="29.1" customHeight="1" x14ac:dyDescent="0.25">
      <c r="A1181" s="2" t="s">
        <v>2783</v>
      </c>
      <c r="B1181" s="2" t="s">
        <v>2784</v>
      </c>
      <c r="C1181" s="2" t="s">
        <v>2516</v>
      </c>
      <c r="D1181" s="2" t="s">
        <v>836</v>
      </c>
      <c r="E1181" s="2" t="str">
        <f>"9788028002237"</f>
        <v>9788028002237</v>
      </c>
      <c r="F1181" s="2" t="str">
        <f>"9788028002244"</f>
        <v>9788028002244</v>
      </c>
    </row>
    <row r="1182" spans="1:6" s="3" customFormat="1" ht="29.1" customHeight="1" x14ac:dyDescent="0.25">
      <c r="A1182" s="2" t="s">
        <v>2785</v>
      </c>
      <c r="B1182" s="2" t="s">
        <v>2786</v>
      </c>
      <c r="C1182" s="2" t="s">
        <v>2516</v>
      </c>
      <c r="D1182" s="2" t="s">
        <v>596</v>
      </c>
      <c r="E1182" s="2" t="str">
        <f>"9788028002213"</f>
        <v>9788028002213</v>
      </c>
      <c r="F1182" s="2" t="str">
        <f>"9788028002220"</f>
        <v>9788028002220</v>
      </c>
    </row>
    <row r="1183" spans="1:6" s="3" customFormat="1" ht="29.1" customHeight="1" x14ac:dyDescent="0.25">
      <c r="A1183" s="2" t="s">
        <v>2787</v>
      </c>
      <c r="B1183" s="2" t="s">
        <v>2788</v>
      </c>
      <c r="C1183" s="2" t="s">
        <v>2516</v>
      </c>
      <c r="D1183" s="2" t="s">
        <v>596</v>
      </c>
      <c r="E1183" s="2" t="str">
        <f>"9788028002190"</f>
        <v>9788028002190</v>
      </c>
      <c r="F1183" s="2" t="str">
        <f>"9788028002206"</f>
        <v>9788028002206</v>
      </c>
    </row>
    <row r="1184" spans="1:6" s="3" customFormat="1" ht="29.1" customHeight="1" x14ac:dyDescent="0.25">
      <c r="A1184" s="2" t="s">
        <v>2789</v>
      </c>
      <c r="B1184" s="2" t="s">
        <v>2790</v>
      </c>
      <c r="C1184" s="2" t="s">
        <v>2516</v>
      </c>
      <c r="D1184" s="2" t="s">
        <v>459</v>
      </c>
      <c r="E1184" s="2" t="str">
        <f>"9788028002114"</f>
        <v>9788028002114</v>
      </c>
      <c r="F1184" s="2" t="str">
        <f>"9788028002121"</f>
        <v>9788028002121</v>
      </c>
    </row>
    <row r="1185" spans="1:6" s="3" customFormat="1" ht="29.1" customHeight="1" x14ac:dyDescent="0.25">
      <c r="A1185" s="2" t="s">
        <v>2791</v>
      </c>
      <c r="B1185" s="2" t="s">
        <v>2792</v>
      </c>
      <c r="C1185" s="2" t="s">
        <v>2516</v>
      </c>
      <c r="D1185" s="2" t="s">
        <v>1927</v>
      </c>
      <c r="E1185" s="2" t="str">
        <f>"9788028002060"</f>
        <v>9788028002060</v>
      </c>
      <c r="F1185" s="2" t="str">
        <f>"9788028002077"</f>
        <v>9788028002077</v>
      </c>
    </row>
    <row r="1186" spans="1:6" s="3" customFormat="1" ht="29.1" customHeight="1" x14ac:dyDescent="0.25">
      <c r="A1186" s="2" t="s">
        <v>2793</v>
      </c>
      <c r="B1186" s="2" t="s">
        <v>2794</v>
      </c>
      <c r="C1186" s="2" t="s">
        <v>2516</v>
      </c>
      <c r="D1186" s="2" t="s">
        <v>2655</v>
      </c>
      <c r="E1186" s="2"/>
      <c r="F1186" s="2" t="str">
        <f>"9788028001933"</f>
        <v>9788028001933</v>
      </c>
    </row>
    <row r="1187" spans="1:6" s="3" customFormat="1" ht="29.1" customHeight="1" x14ac:dyDescent="0.25">
      <c r="A1187" s="2" t="s">
        <v>2795</v>
      </c>
      <c r="B1187" s="2" t="s">
        <v>2796</v>
      </c>
      <c r="C1187" s="2" t="s">
        <v>2516</v>
      </c>
      <c r="D1187" s="2" t="s">
        <v>981</v>
      </c>
      <c r="E1187" s="2" t="str">
        <f>"9788028001780"</f>
        <v>9788028001780</v>
      </c>
      <c r="F1187" s="2" t="str">
        <f>"9788028001797"</f>
        <v>9788028001797</v>
      </c>
    </row>
    <row r="1188" spans="1:6" s="3" customFormat="1" ht="29.1" customHeight="1" x14ac:dyDescent="0.25">
      <c r="A1188" s="2" t="s">
        <v>2797</v>
      </c>
      <c r="B1188" s="2" t="s">
        <v>2799</v>
      </c>
      <c r="C1188" s="2" t="s">
        <v>2516</v>
      </c>
      <c r="D1188" s="2" t="s">
        <v>2798</v>
      </c>
      <c r="E1188" s="2" t="str">
        <f>"9788028001766"</f>
        <v>9788028001766</v>
      </c>
      <c r="F1188" s="2" t="str">
        <f>"9788028001773"</f>
        <v>9788028001773</v>
      </c>
    </row>
    <row r="1189" spans="1:6" s="3" customFormat="1" ht="29.1" customHeight="1" x14ac:dyDescent="0.25">
      <c r="A1189" s="2" t="s">
        <v>2800</v>
      </c>
      <c r="B1189" s="2" t="s">
        <v>2801</v>
      </c>
      <c r="C1189" s="2" t="s">
        <v>2516</v>
      </c>
      <c r="D1189" s="2" t="s">
        <v>2593</v>
      </c>
      <c r="E1189" s="2"/>
      <c r="F1189" s="2" t="str">
        <f>"9788028001742"</f>
        <v>9788028001742</v>
      </c>
    </row>
    <row r="1190" spans="1:6" s="3" customFormat="1" ht="29.1" customHeight="1" x14ac:dyDescent="0.25">
      <c r="A1190" s="2" t="s">
        <v>2802</v>
      </c>
      <c r="B1190" s="2" t="s">
        <v>2803</v>
      </c>
      <c r="C1190" s="2" t="s">
        <v>2516</v>
      </c>
      <c r="D1190" s="2" t="s">
        <v>1630</v>
      </c>
      <c r="E1190" s="2" t="str">
        <f>"9788028001681"</f>
        <v>9788028001681</v>
      </c>
      <c r="F1190" s="2" t="str">
        <f>"9788028001698"</f>
        <v>9788028001698</v>
      </c>
    </row>
    <row r="1191" spans="1:6" s="3" customFormat="1" ht="29.1" customHeight="1" x14ac:dyDescent="0.25">
      <c r="A1191" s="2" t="s">
        <v>2804</v>
      </c>
      <c r="B1191" s="2" t="s">
        <v>2597</v>
      </c>
      <c r="C1191" s="2" t="s">
        <v>2516</v>
      </c>
      <c r="D1191" s="2" t="s">
        <v>2805</v>
      </c>
      <c r="E1191" s="2" t="str">
        <f>"9788028001643"</f>
        <v>9788028001643</v>
      </c>
      <c r="F1191" s="2" t="str">
        <f>"9788028001650"</f>
        <v>9788028001650</v>
      </c>
    </row>
    <row r="1192" spans="1:6" s="3" customFormat="1" ht="29.1" customHeight="1" x14ac:dyDescent="0.25">
      <c r="A1192" s="2" t="s">
        <v>2806</v>
      </c>
      <c r="B1192" s="2" t="s">
        <v>2662</v>
      </c>
      <c r="C1192" s="2" t="s">
        <v>2516</v>
      </c>
      <c r="D1192" s="2" t="s">
        <v>2237</v>
      </c>
      <c r="E1192" s="2"/>
      <c r="F1192" s="2" t="str">
        <f>"9788028001636"</f>
        <v>9788028001636</v>
      </c>
    </row>
    <row r="1193" spans="1:6" s="3" customFormat="1" ht="29.1" customHeight="1" x14ac:dyDescent="0.25">
      <c r="A1193" s="2" t="s">
        <v>2807</v>
      </c>
      <c r="B1193" s="2" t="s">
        <v>2808</v>
      </c>
      <c r="C1193" s="2" t="s">
        <v>2516</v>
      </c>
      <c r="D1193" s="2" t="s">
        <v>2517</v>
      </c>
      <c r="E1193" s="2"/>
      <c r="F1193" s="2" t="str">
        <f>"9788028001414"</f>
        <v>9788028001414</v>
      </c>
    </row>
    <row r="1194" spans="1:6" s="3" customFormat="1" ht="29.1" customHeight="1" x14ac:dyDescent="0.25">
      <c r="A1194" s="2" t="s">
        <v>2809</v>
      </c>
      <c r="B1194" s="2" t="s">
        <v>2811</v>
      </c>
      <c r="C1194" s="2" t="s">
        <v>2516</v>
      </c>
      <c r="D1194" s="2" t="s">
        <v>2810</v>
      </c>
      <c r="E1194" s="2" t="str">
        <f>"9788028001384"</f>
        <v>9788028001384</v>
      </c>
      <c r="F1194" s="2" t="str">
        <f>"9788028001391"</f>
        <v>9788028001391</v>
      </c>
    </row>
    <row r="1195" spans="1:6" s="3" customFormat="1" ht="29.1" customHeight="1" x14ac:dyDescent="0.25">
      <c r="A1195" s="2" t="s">
        <v>2812</v>
      </c>
      <c r="B1195" s="2" t="s">
        <v>2813</v>
      </c>
      <c r="C1195" s="2" t="s">
        <v>2516</v>
      </c>
      <c r="D1195" s="2" t="s">
        <v>2752</v>
      </c>
      <c r="E1195" s="2" t="str">
        <f>"9788028001247"</f>
        <v>9788028001247</v>
      </c>
      <c r="F1195" s="2" t="str">
        <f>"9788028001254"</f>
        <v>9788028001254</v>
      </c>
    </row>
    <row r="1196" spans="1:6" s="3" customFormat="1" ht="29.1" customHeight="1" x14ac:dyDescent="0.25">
      <c r="A1196" s="2" t="s">
        <v>2814</v>
      </c>
      <c r="B1196" s="2" t="s">
        <v>2815</v>
      </c>
      <c r="C1196" s="2" t="s">
        <v>2516</v>
      </c>
      <c r="D1196" s="2" t="s">
        <v>459</v>
      </c>
      <c r="E1196" s="2"/>
      <c r="F1196" s="2" t="str">
        <f>"9788028001230"</f>
        <v>9788028001230</v>
      </c>
    </row>
    <row r="1197" spans="1:6" s="3" customFormat="1" ht="29.1" customHeight="1" x14ac:dyDescent="0.25">
      <c r="A1197" s="2" t="s">
        <v>2816</v>
      </c>
      <c r="B1197" s="2" t="s">
        <v>2817</v>
      </c>
      <c r="C1197" s="2" t="s">
        <v>2516</v>
      </c>
      <c r="D1197" s="2" t="s">
        <v>596</v>
      </c>
      <c r="E1197" s="2" t="str">
        <f>"9788028001186"</f>
        <v>9788028001186</v>
      </c>
      <c r="F1197" s="2" t="str">
        <f>"9788028001193"</f>
        <v>9788028001193</v>
      </c>
    </row>
    <row r="1198" spans="1:6" s="3" customFormat="1" ht="29.1" customHeight="1" x14ac:dyDescent="0.25">
      <c r="A1198" s="2" t="s">
        <v>2818</v>
      </c>
      <c r="B1198" s="2" t="s">
        <v>2820</v>
      </c>
      <c r="C1198" s="2" t="s">
        <v>2516</v>
      </c>
      <c r="D1198" s="2" t="s">
        <v>2819</v>
      </c>
      <c r="E1198" s="2"/>
      <c r="F1198" s="2" t="str">
        <f>"9788028001179"</f>
        <v>9788028001179</v>
      </c>
    </row>
    <row r="1199" spans="1:6" s="3" customFormat="1" ht="29.1" customHeight="1" x14ac:dyDescent="0.25">
      <c r="A1199" s="2" t="s">
        <v>2821</v>
      </c>
      <c r="B1199" s="2" t="s">
        <v>2823</v>
      </c>
      <c r="C1199" s="2" t="s">
        <v>2516</v>
      </c>
      <c r="D1199" s="2" t="s">
        <v>2822</v>
      </c>
      <c r="E1199" s="2"/>
      <c r="F1199" s="2" t="str">
        <f>"9788028001094"</f>
        <v>9788028001094</v>
      </c>
    </row>
    <row r="1200" spans="1:6" s="3" customFormat="1" ht="29.1" customHeight="1" x14ac:dyDescent="0.25">
      <c r="A1200" s="2" t="s">
        <v>2824</v>
      </c>
      <c r="B1200" s="2" t="s">
        <v>2826</v>
      </c>
      <c r="C1200" s="2" t="s">
        <v>2516</v>
      </c>
      <c r="D1200" s="2" t="s">
        <v>2825</v>
      </c>
      <c r="E1200" s="2"/>
      <c r="F1200" s="2" t="str">
        <f>"9788028001070"</f>
        <v>9788028001070</v>
      </c>
    </row>
    <row r="1201" spans="1:6" s="3" customFormat="1" ht="29.1" customHeight="1" x14ac:dyDescent="0.25">
      <c r="A1201" s="2" t="s">
        <v>2827</v>
      </c>
      <c r="B1201" s="2" t="s">
        <v>2828</v>
      </c>
      <c r="C1201" s="2" t="s">
        <v>2516</v>
      </c>
      <c r="D1201" s="2" t="s">
        <v>183</v>
      </c>
      <c r="E1201" s="2" t="str">
        <f>"9788028003784"</f>
        <v>9788028003784</v>
      </c>
      <c r="F1201" s="2" t="str">
        <f>"9788028001032"</f>
        <v>9788028001032</v>
      </c>
    </row>
    <row r="1202" spans="1:6" s="3" customFormat="1" ht="29.1" customHeight="1" x14ac:dyDescent="0.25">
      <c r="A1202" s="2" t="s">
        <v>2829</v>
      </c>
      <c r="B1202" s="2" t="s">
        <v>2830</v>
      </c>
      <c r="C1202" s="2" t="s">
        <v>2516</v>
      </c>
      <c r="D1202" s="2" t="s">
        <v>256</v>
      </c>
      <c r="E1202" s="2" t="str">
        <f>"9788028001001"</f>
        <v>9788028001001</v>
      </c>
      <c r="F1202" s="2" t="str">
        <f>"9788028001018"</f>
        <v>9788028001018</v>
      </c>
    </row>
    <row r="1203" spans="1:6" s="3" customFormat="1" ht="29.1" customHeight="1" x14ac:dyDescent="0.25">
      <c r="A1203" s="2" t="s">
        <v>2831</v>
      </c>
      <c r="B1203" s="2" t="s">
        <v>2832</v>
      </c>
      <c r="C1203" s="2" t="s">
        <v>2516</v>
      </c>
      <c r="D1203" s="2" t="s">
        <v>183</v>
      </c>
      <c r="E1203" s="2"/>
      <c r="F1203" s="2" t="str">
        <f>"9788028000837"</f>
        <v>9788028000837</v>
      </c>
    </row>
    <row r="1204" spans="1:6" s="3" customFormat="1" ht="29.1" customHeight="1" x14ac:dyDescent="0.25">
      <c r="A1204" s="2" t="s">
        <v>2833</v>
      </c>
      <c r="B1204" s="2" t="s">
        <v>2835</v>
      </c>
      <c r="C1204" s="2" t="s">
        <v>2516</v>
      </c>
      <c r="D1204" s="2" t="s">
        <v>2834</v>
      </c>
      <c r="E1204" s="2" t="str">
        <f>"9788028000806"</f>
        <v>9788028000806</v>
      </c>
      <c r="F1204" s="2" t="str">
        <f>"9788028000813"</f>
        <v>9788028000813</v>
      </c>
    </row>
    <row r="1205" spans="1:6" s="3" customFormat="1" ht="29.1" customHeight="1" x14ac:dyDescent="0.25">
      <c r="A1205" s="2" t="s">
        <v>2836</v>
      </c>
      <c r="B1205" s="2" t="s">
        <v>2837</v>
      </c>
      <c r="C1205" s="2" t="s">
        <v>2516</v>
      </c>
      <c r="D1205" s="2" t="s">
        <v>1927</v>
      </c>
      <c r="E1205" s="2" t="str">
        <f>"9788021057326"</f>
        <v>9788021057326</v>
      </c>
      <c r="F1205" s="2" t="str">
        <f>"9788028000790"</f>
        <v>9788028000790</v>
      </c>
    </row>
    <row r="1206" spans="1:6" s="3" customFormat="1" ht="29.1" customHeight="1" x14ac:dyDescent="0.25">
      <c r="A1206" s="2" t="s">
        <v>2838</v>
      </c>
      <c r="B1206" s="2" t="s">
        <v>2839</v>
      </c>
      <c r="C1206" s="2" t="s">
        <v>2516</v>
      </c>
      <c r="D1206" s="2" t="s">
        <v>2692</v>
      </c>
      <c r="E1206" s="2"/>
      <c r="F1206" s="2" t="str">
        <f>"9788028000745"</f>
        <v>9788028000745</v>
      </c>
    </row>
    <row r="1207" spans="1:6" s="3" customFormat="1" ht="29.1" customHeight="1" x14ac:dyDescent="0.25">
      <c r="A1207" s="2" t="s">
        <v>2840</v>
      </c>
      <c r="B1207" s="2" t="s">
        <v>2841</v>
      </c>
      <c r="C1207" s="2" t="s">
        <v>2516</v>
      </c>
      <c r="D1207" s="2" t="s">
        <v>1806</v>
      </c>
      <c r="E1207" s="2"/>
      <c r="F1207" s="2" t="str">
        <f>"9788028000684"</f>
        <v>9788028000684</v>
      </c>
    </row>
    <row r="1208" spans="1:6" s="3" customFormat="1" ht="29.1" customHeight="1" x14ac:dyDescent="0.25">
      <c r="A1208" s="2" t="s">
        <v>2842</v>
      </c>
      <c r="B1208" s="2" t="s">
        <v>2843</v>
      </c>
      <c r="C1208" s="2" t="s">
        <v>2516</v>
      </c>
      <c r="D1208" s="2" t="s">
        <v>1867</v>
      </c>
      <c r="E1208" s="2"/>
      <c r="F1208" s="2" t="str">
        <f>"9788028000615"</f>
        <v>9788028000615</v>
      </c>
    </row>
    <row r="1209" spans="1:6" s="3" customFormat="1" ht="29.1" customHeight="1" x14ac:dyDescent="0.25">
      <c r="A1209" s="2" t="s">
        <v>2844</v>
      </c>
      <c r="B1209" s="2" t="s">
        <v>2845</v>
      </c>
      <c r="C1209" s="2" t="s">
        <v>2516</v>
      </c>
      <c r="D1209" s="2" t="s">
        <v>1390</v>
      </c>
      <c r="E1209" s="2" t="str">
        <f>"9788028000578"</f>
        <v>9788028000578</v>
      </c>
      <c r="F1209" s="2" t="str">
        <f>"9788028000585"</f>
        <v>9788028000585</v>
      </c>
    </row>
    <row r="1210" spans="1:6" s="3" customFormat="1" ht="29.1" customHeight="1" x14ac:dyDescent="0.25">
      <c r="A1210" s="2" t="s">
        <v>2846</v>
      </c>
      <c r="B1210" s="2" t="s">
        <v>2847</v>
      </c>
      <c r="C1210" s="2" t="s">
        <v>2516</v>
      </c>
      <c r="D1210" s="2" t="s">
        <v>2307</v>
      </c>
      <c r="E1210" s="2" t="str">
        <f>"9788028000547"</f>
        <v>9788028000547</v>
      </c>
      <c r="F1210" s="2" t="str">
        <f>"9788028000554"</f>
        <v>9788028000554</v>
      </c>
    </row>
    <row r="1211" spans="1:6" s="3" customFormat="1" ht="29.1" customHeight="1" x14ac:dyDescent="0.25">
      <c r="A1211" s="2" t="s">
        <v>2848</v>
      </c>
      <c r="B1211" s="2" t="s">
        <v>2849</v>
      </c>
      <c r="C1211" s="2" t="s">
        <v>2516</v>
      </c>
      <c r="D1211" s="2" t="s">
        <v>2178</v>
      </c>
      <c r="E1211" s="2" t="str">
        <f>"9788028000295"</f>
        <v>9788028000295</v>
      </c>
      <c r="F1211" s="2" t="str">
        <f>"9788028000301"</f>
        <v>9788028000301</v>
      </c>
    </row>
    <row r="1212" spans="1:6" s="3" customFormat="1" ht="29.1" customHeight="1" x14ac:dyDescent="0.25">
      <c r="A1212" s="2" t="s">
        <v>2850</v>
      </c>
      <c r="B1212" s="2" t="s">
        <v>2852</v>
      </c>
      <c r="C1212" s="2" t="s">
        <v>2516</v>
      </c>
      <c r="D1212" s="2" t="s">
        <v>2851</v>
      </c>
      <c r="E1212" s="2"/>
      <c r="F1212" s="2" t="str">
        <f>"9788028000288"</f>
        <v>9788028000288</v>
      </c>
    </row>
    <row r="1213" spans="1:6" s="3" customFormat="1" ht="29.1" customHeight="1" x14ac:dyDescent="0.25">
      <c r="A1213" s="2" t="s">
        <v>2853</v>
      </c>
      <c r="B1213" s="2" t="s">
        <v>2854</v>
      </c>
      <c r="C1213" s="2" t="s">
        <v>2516</v>
      </c>
      <c r="D1213" s="2" t="s">
        <v>135</v>
      </c>
      <c r="E1213" s="2"/>
      <c r="F1213" s="2" t="str">
        <f>"9788028000189"</f>
        <v>9788028000189</v>
      </c>
    </row>
    <row r="1214" spans="1:6" s="3" customFormat="1" ht="29.1" customHeight="1" x14ac:dyDescent="0.25">
      <c r="A1214" s="2" t="s">
        <v>2855</v>
      </c>
      <c r="B1214" s="2" t="s">
        <v>2856</v>
      </c>
      <c r="C1214" s="2" t="s">
        <v>2516</v>
      </c>
      <c r="D1214" s="2" t="s">
        <v>107</v>
      </c>
      <c r="E1214" s="2" t="str">
        <f>"9788028000158"</f>
        <v>9788028000158</v>
      </c>
      <c r="F1214" s="2" t="str">
        <f>"9788028000165"</f>
        <v>9788028000165</v>
      </c>
    </row>
    <row r="1215" spans="1:6" s="3" customFormat="1" ht="29.1" customHeight="1" x14ac:dyDescent="0.25">
      <c r="A1215" s="2" t="s">
        <v>2857</v>
      </c>
      <c r="B1215" s="2" t="s">
        <v>2723</v>
      </c>
      <c r="C1215" s="2" t="s">
        <v>2516</v>
      </c>
      <c r="D1215" s="2" t="s">
        <v>1867</v>
      </c>
      <c r="E1215" s="2" t="str">
        <f>"9788028000103"</f>
        <v>9788028000103</v>
      </c>
      <c r="F1215" s="2" t="str">
        <f>"9788028000110"</f>
        <v>9788028000110</v>
      </c>
    </row>
    <row r="1216" spans="1:6" s="3" customFormat="1" ht="29.1" customHeight="1" x14ac:dyDescent="0.25">
      <c r="A1216" s="2" t="s">
        <v>2858</v>
      </c>
      <c r="B1216" s="2" t="s">
        <v>2859</v>
      </c>
      <c r="C1216" s="2" t="s">
        <v>2516</v>
      </c>
      <c r="D1216" s="2" t="s">
        <v>596</v>
      </c>
      <c r="E1216" s="2" t="str">
        <f>"9788028000073"</f>
        <v>9788028000073</v>
      </c>
      <c r="F1216" s="2" t="str">
        <f>"9788028000080"</f>
        <v>9788028000080</v>
      </c>
    </row>
    <row r="1217" spans="1:6" s="3" customFormat="1" ht="29.1" customHeight="1" x14ac:dyDescent="0.25">
      <c r="A1217" s="2" t="s">
        <v>2860</v>
      </c>
      <c r="B1217" s="2" t="s">
        <v>2862</v>
      </c>
      <c r="C1217" s="2" t="s">
        <v>2516</v>
      </c>
      <c r="D1217" s="2" t="s">
        <v>2861</v>
      </c>
      <c r="E1217" s="2"/>
      <c r="F1217" s="2" t="str">
        <f>"9788021099982"</f>
        <v>9788021099982</v>
      </c>
    </row>
    <row r="1218" spans="1:6" s="3" customFormat="1" ht="29.1" customHeight="1" x14ac:dyDescent="0.25">
      <c r="A1218" s="2" t="s">
        <v>2863</v>
      </c>
      <c r="B1218" s="2" t="s">
        <v>2864</v>
      </c>
      <c r="C1218" s="2" t="s">
        <v>2516</v>
      </c>
      <c r="D1218" s="2" t="s">
        <v>33</v>
      </c>
      <c r="E1218" s="2"/>
      <c r="F1218" s="2" t="str">
        <f>"9788021099975"</f>
        <v>9788021099975</v>
      </c>
    </row>
    <row r="1219" spans="1:6" s="3" customFormat="1" ht="29.1" customHeight="1" x14ac:dyDescent="0.25">
      <c r="A1219" s="2" t="s">
        <v>2865</v>
      </c>
      <c r="B1219" s="2" t="s">
        <v>2866</v>
      </c>
      <c r="C1219" s="2" t="s">
        <v>2516</v>
      </c>
      <c r="D1219" s="2" t="s">
        <v>2517</v>
      </c>
      <c r="E1219" s="2" t="str">
        <f>"9788021099944"</f>
        <v>9788021099944</v>
      </c>
      <c r="F1219" s="2" t="str">
        <f>"9788021099951"</f>
        <v>9788021099951</v>
      </c>
    </row>
    <row r="1220" spans="1:6" s="3" customFormat="1" ht="29.1" customHeight="1" x14ac:dyDescent="0.25">
      <c r="A1220" s="2" t="s">
        <v>2867</v>
      </c>
      <c r="B1220" s="2" t="s">
        <v>2868</v>
      </c>
      <c r="C1220" s="2" t="s">
        <v>2516</v>
      </c>
      <c r="D1220" s="2" t="s">
        <v>183</v>
      </c>
      <c r="E1220" s="2" t="str">
        <f>"9788021099913"</f>
        <v>9788021099913</v>
      </c>
      <c r="F1220" s="2" t="str">
        <f>"9788021099920"</f>
        <v>9788021099920</v>
      </c>
    </row>
    <row r="1221" spans="1:6" s="3" customFormat="1" ht="29.1" customHeight="1" x14ac:dyDescent="0.25">
      <c r="A1221" s="2" t="s">
        <v>2869</v>
      </c>
      <c r="B1221" s="2" t="s">
        <v>2871</v>
      </c>
      <c r="C1221" s="2" t="s">
        <v>2516</v>
      </c>
      <c r="D1221" s="2" t="s">
        <v>2870</v>
      </c>
      <c r="E1221" s="2" t="str">
        <f>"9788021099821"</f>
        <v>9788021099821</v>
      </c>
      <c r="F1221" s="2" t="str">
        <f>"9788021099838"</f>
        <v>9788021099838</v>
      </c>
    </row>
    <row r="1222" spans="1:6" s="3" customFormat="1" ht="29.1" customHeight="1" x14ac:dyDescent="0.25">
      <c r="A1222" s="2" t="s">
        <v>2872</v>
      </c>
      <c r="B1222" s="2" t="s">
        <v>2873</v>
      </c>
      <c r="C1222" s="2" t="s">
        <v>2516</v>
      </c>
      <c r="D1222" s="2" t="s">
        <v>553</v>
      </c>
      <c r="E1222" s="2" t="str">
        <f>"9788021099739"</f>
        <v>9788021099739</v>
      </c>
      <c r="F1222" s="2" t="str">
        <f>"9788021099746"</f>
        <v>9788021099746</v>
      </c>
    </row>
    <row r="1223" spans="1:6" s="3" customFormat="1" ht="29.1" customHeight="1" x14ac:dyDescent="0.25">
      <c r="A1223" s="2" t="s">
        <v>2874</v>
      </c>
      <c r="B1223" s="2" t="s">
        <v>2875</v>
      </c>
      <c r="C1223" s="2" t="s">
        <v>2516</v>
      </c>
      <c r="D1223" s="2" t="s">
        <v>2776</v>
      </c>
      <c r="E1223" s="2" t="str">
        <f>"9788021099562"</f>
        <v>9788021099562</v>
      </c>
      <c r="F1223" s="2" t="str">
        <f>"9788021099579"</f>
        <v>9788021099579</v>
      </c>
    </row>
    <row r="1224" spans="1:6" s="3" customFormat="1" ht="29.1" customHeight="1" x14ac:dyDescent="0.25">
      <c r="A1224" s="2" t="s">
        <v>2876</v>
      </c>
      <c r="B1224" s="2" t="s">
        <v>2878</v>
      </c>
      <c r="C1224" s="2" t="s">
        <v>2516</v>
      </c>
      <c r="D1224" s="2" t="s">
        <v>2877</v>
      </c>
      <c r="E1224" s="2" t="str">
        <f>"9788021099494"</f>
        <v>9788021099494</v>
      </c>
      <c r="F1224" s="2" t="str">
        <f>"9788021099500"</f>
        <v>9788021099500</v>
      </c>
    </row>
    <row r="1225" spans="1:6" s="3" customFormat="1" ht="29.1" customHeight="1" x14ac:dyDescent="0.25">
      <c r="A1225" s="2" t="s">
        <v>2879</v>
      </c>
      <c r="B1225" s="2" t="s">
        <v>2881</v>
      </c>
      <c r="C1225" s="2" t="s">
        <v>2516</v>
      </c>
      <c r="D1225" s="2" t="s">
        <v>2880</v>
      </c>
      <c r="E1225" s="2" t="str">
        <f>"9788021099456"</f>
        <v>9788021099456</v>
      </c>
      <c r="F1225" s="2" t="str">
        <f>"9788021099463"</f>
        <v>9788021099463</v>
      </c>
    </row>
    <row r="1226" spans="1:6" s="3" customFormat="1" ht="29.1" customHeight="1" x14ac:dyDescent="0.25">
      <c r="A1226" s="2" t="s">
        <v>2882</v>
      </c>
      <c r="B1226" s="2" t="s">
        <v>2884</v>
      </c>
      <c r="C1226" s="2" t="s">
        <v>2516</v>
      </c>
      <c r="D1226" s="2" t="s">
        <v>2883</v>
      </c>
      <c r="E1226" s="2" t="str">
        <f>"9788021099395"</f>
        <v>9788021099395</v>
      </c>
      <c r="F1226" s="2" t="str">
        <f>"9788021099401"</f>
        <v>9788021099401</v>
      </c>
    </row>
    <row r="1227" spans="1:6" s="3" customFormat="1" ht="29.1" customHeight="1" x14ac:dyDescent="0.25">
      <c r="A1227" s="2" t="s">
        <v>2885</v>
      </c>
      <c r="B1227" s="2" t="s">
        <v>2886</v>
      </c>
      <c r="C1227" s="2" t="s">
        <v>2516</v>
      </c>
      <c r="D1227" s="2" t="s">
        <v>2749</v>
      </c>
      <c r="E1227" s="2"/>
      <c r="F1227" s="2" t="str">
        <f>"9788021099302"</f>
        <v>9788021099302</v>
      </c>
    </row>
    <row r="1228" spans="1:6" s="3" customFormat="1" ht="29.1" customHeight="1" x14ac:dyDescent="0.25">
      <c r="A1228" s="2" t="s">
        <v>2887</v>
      </c>
      <c r="B1228" s="2" t="s">
        <v>2888</v>
      </c>
      <c r="C1228" s="2" t="s">
        <v>2516</v>
      </c>
      <c r="D1228" s="2" t="s">
        <v>459</v>
      </c>
      <c r="E1228" s="2"/>
      <c r="F1228" s="2" t="str">
        <f>"9788021099272"</f>
        <v>9788021099272</v>
      </c>
    </row>
    <row r="1229" spans="1:6" s="3" customFormat="1" ht="29.1" customHeight="1" x14ac:dyDescent="0.25">
      <c r="A1229" s="2" t="s">
        <v>2889</v>
      </c>
      <c r="B1229" s="2" t="s">
        <v>2890</v>
      </c>
      <c r="C1229" s="2" t="s">
        <v>2516</v>
      </c>
      <c r="D1229" s="2" t="s">
        <v>606</v>
      </c>
      <c r="E1229" s="2"/>
      <c r="F1229" s="2" t="str">
        <f>"9788021099203"</f>
        <v>9788021099203</v>
      </c>
    </row>
    <row r="1230" spans="1:6" s="3" customFormat="1" ht="29.1" customHeight="1" x14ac:dyDescent="0.25">
      <c r="A1230" s="2" t="s">
        <v>2891</v>
      </c>
      <c r="B1230" s="2" t="s">
        <v>2859</v>
      </c>
      <c r="C1230" s="2" t="s">
        <v>2516</v>
      </c>
      <c r="D1230" s="2" t="s">
        <v>596</v>
      </c>
      <c r="E1230" s="2" t="str">
        <f>"9788021099166"</f>
        <v>9788021099166</v>
      </c>
      <c r="F1230" s="2" t="str">
        <f>"9788021099173"</f>
        <v>9788021099173</v>
      </c>
    </row>
    <row r="1231" spans="1:6" s="3" customFormat="1" ht="29.1" customHeight="1" x14ac:dyDescent="0.25">
      <c r="A1231" s="2" t="s">
        <v>2892</v>
      </c>
      <c r="B1231" s="2" t="s">
        <v>2893</v>
      </c>
      <c r="C1231" s="2" t="s">
        <v>2516</v>
      </c>
      <c r="D1231" s="2" t="s">
        <v>24</v>
      </c>
      <c r="E1231" s="2" t="str">
        <f>"9788021099135"</f>
        <v>9788021099135</v>
      </c>
      <c r="F1231" s="2" t="str">
        <f>"9788021099142"</f>
        <v>9788021099142</v>
      </c>
    </row>
    <row r="1232" spans="1:6" s="3" customFormat="1" ht="29.1" customHeight="1" x14ac:dyDescent="0.25">
      <c r="A1232" s="2" t="s">
        <v>2894</v>
      </c>
      <c r="B1232" s="2" t="s">
        <v>2895</v>
      </c>
      <c r="C1232" s="2" t="s">
        <v>2516</v>
      </c>
      <c r="D1232" s="2" t="s">
        <v>606</v>
      </c>
      <c r="E1232" s="2"/>
      <c r="F1232" s="2" t="str">
        <f>"9788021099111"</f>
        <v>9788021099111</v>
      </c>
    </row>
    <row r="1233" spans="1:6" s="3" customFormat="1" ht="29.1" customHeight="1" x14ac:dyDescent="0.25">
      <c r="A1233" s="2" t="s">
        <v>2896</v>
      </c>
      <c r="B1233" s="2" t="s">
        <v>2897</v>
      </c>
      <c r="C1233" s="2" t="s">
        <v>2516</v>
      </c>
      <c r="D1233" s="2" t="s">
        <v>1127</v>
      </c>
      <c r="E1233" s="2" t="str">
        <f>"9788021099098"</f>
        <v>9788021099098</v>
      </c>
      <c r="F1233" s="2" t="str">
        <f>"9788021099104"</f>
        <v>9788021099104</v>
      </c>
    </row>
    <row r="1234" spans="1:6" s="3" customFormat="1" ht="29.1" customHeight="1" x14ac:dyDescent="0.25">
      <c r="A1234" s="2" t="s">
        <v>2898</v>
      </c>
      <c r="B1234" s="2" t="s">
        <v>2900</v>
      </c>
      <c r="C1234" s="2" t="s">
        <v>2516</v>
      </c>
      <c r="D1234" s="2" t="s">
        <v>2899</v>
      </c>
      <c r="E1234" s="2"/>
      <c r="F1234" s="2" t="str">
        <f>"9788021099067"</f>
        <v>9788021099067</v>
      </c>
    </row>
    <row r="1235" spans="1:6" s="3" customFormat="1" ht="29.1" customHeight="1" x14ac:dyDescent="0.25">
      <c r="A1235" s="2" t="s">
        <v>2901</v>
      </c>
      <c r="B1235" s="2" t="s">
        <v>2903</v>
      </c>
      <c r="C1235" s="2" t="s">
        <v>2516</v>
      </c>
      <c r="D1235" s="2" t="s">
        <v>2902</v>
      </c>
      <c r="E1235" s="2"/>
      <c r="F1235" s="2" t="str">
        <f>"9788021099050"</f>
        <v>9788021099050</v>
      </c>
    </row>
    <row r="1236" spans="1:6" s="3" customFormat="1" ht="29.1" customHeight="1" x14ac:dyDescent="0.25">
      <c r="A1236" s="2" t="s">
        <v>2904</v>
      </c>
      <c r="B1236" s="2" t="s">
        <v>2905</v>
      </c>
      <c r="C1236" s="2" t="s">
        <v>2516</v>
      </c>
      <c r="D1236" s="2" t="s">
        <v>2713</v>
      </c>
      <c r="E1236" s="2" t="str">
        <f>"9788021099029"</f>
        <v>9788021099029</v>
      </c>
      <c r="F1236" s="2" t="str">
        <f>"9788021099036"</f>
        <v>9788021099036</v>
      </c>
    </row>
    <row r="1237" spans="1:6" s="3" customFormat="1" ht="29.1" customHeight="1" x14ac:dyDescent="0.25">
      <c r="A1237" s="2" t="s">
        <v>2906</v>
      </c>
      <c r="B1237" s="2" t="s">
        <v>2907</v>
      </c>
      <c r="C1237" s="2" t="s">
        <v>2516</v>
      </c>
      <c r="D1237" s="2" t="s">
        <v>2671</v>
      </c>
      <c r="E1237" s="2"/>
      <c r="F1237" s="2" t="str">
        <f>"9788021099012"</f>
        <v>9788021099012</v>
      </c>
    </row>
    <row r="1238" spans="1:6" s="3" customFormat="1" ht="29.1" customHeight="1" x14ac:dyDescent="0.25">
      <c r="A1238" s="2" t="s">
        <v>2908</v>
      </c>
      <c r="B1238" s="2" t="s">
        <v>2909</v>
      </c>
      <c r="C1238" s="2" t="s">
        <v>2516</v>
      </c>
      <c r="D1238" s="2" t="s">
        <v>619</v>
      </c>
      <c r="E1238" s="2"/>
      <c r="F1238" s="2" t="str">
        <f>"9788021098961"</f>
        <v>9788021098961</v>
      </c>
    </row>
    <row r="1239" spans="1:6" s="3" customFormat="1" ht="29.1" customHeight="1" x14ac:dyDescent="0.25">
      <c r="A1239" s="2" t="s">
        <v>2910</v>
      </c>
      <c r="B1239" s="2" t="s">
        <v>2911</v>
      </c>
      <c r="C1239" s="2" t="s">
        <v>2516</v>
      </c>
      <c r="D1239" s="2" t="s">
        <v>981</v>
      </c>
      <c r="E1239" s="2"/>
      <c r="F1239" s="2" t="str">
        <f>"9788021098763"</f>
        <v>9788021098763</v>
      </c>
    </row>
    <row r="1240" spans="1:6" s="3" customFormat="1" ht="29.1" customHeight="1" x14ac:dyDescent="0.25">
      <c r="A1240" s="2" t="s">
        <v>2912</v>
      </c>
      <c r="B1240" s="2" t="s">
        <v>2913</v>
      </c>
      <c r="C1240" s="2" t="s">
        <v>2516</v>
      </c>
      <c r="D1240" s="2" t="s">
        <v>2655</v>
      </c>
      <c r="E1240" s="2"/>
      <c r="F1240" s="2" t="str">
        <f>"9788021098701"</f>
        <v>9788021098701</v>
      </c>
    </row>
    <row r="1241" spans="1:6" s="3" customFormat="1" ht="29.1" customHeight="1" x14ac:dyDescent="0.25">
      <c r="A1241" s="2" t="s">
        <v>2914</v>
      </c>
      <c r="B1241" s="2" t="s">
        <v>2915</v>
      </c>
      <c r="C1241" s="2" t="s">
        <v>2516</v>
      </c>
      <c r="D1241" s="2" t="s">
        <v>2130</v>
      </c>
      <c r="E1241" s="2" t="str">
        <f>"9788021098640"</f>
        <v>9788021098640</v>
      </c>
      <c r="F1241" s="2" t="str">
        <f>"9788021098657"</f>
        <v>9788021098657</v>
      </c>
    </row>
    <row r="1242" spans="1:6" s="3" customFormat="1" ht="29.1" customHeight="1" x14ac:dyDescent="0.25">
      <c r="A1242" s="2" t="s">
        <v>2916</v>
      </c>
      <c r="B1242" s="2" t="s">
        <v>2918</v>
      </c>
      <c r="C1242" s="2" t="s">
        <v>2516</v>
      </c>
      <c r="D1242" s="2" t="s">
        <v>2917</v>
      </c>
      <c r="E1242" s="2"/>
      <c r="F1242" s="2" t="str">
        <f>"9788021098565"</f>
        <v>9788021098565</v>
      </c>
    </row>
    <row r="1243" spans="1:6" s="3" customFormat="1" ht="29.1" customHeight="1" x14ac:dyDescent="0.25">
      <c r="A1243" s="2" t="s">
        <v>2919</v>
      </c>
      <c r="B1243" s="2" t="s">
        <v>2920</v>
      </c>
      <c r="C1243" s="2" t="s">
        <v>2516</v>
      </c>
      <c r="D1243" s="2" t="s">
        <v>2517</v>
      </c>
      <c r="E1243" s="2"/>
      <c r="F1243" s="2" t="str">
        <f>"9788021098558"</f>
        <v>9788021098558</v>
      </c>
    </row>
    <row r="1244" spans="1:6" s="3" customFormat="1" ht="29.1" customHeight="1" x14ac:dyDescent="0.25">
      <c r="A1244" s="2" t="s">
        <v>2921</v>
      </c>
      <c r="B1244" s="2" t="s">
        <v>2922</v>
      </c>
      <c r="C1244" s="2" t="s">
        <v>2516</v>
      </c>
      <c r="D1244" s="2" t="s">
        <v>2517</v>
      </c>
      <c r="E1244" s="2"/>
      <c r="F1244" s="2" t="str">
        <f>"9788021098459"</f>
        <v>9788021098459</v>
      </c>
    </row>
    <row r="1245" spans="1:6" s="3" customFormat="1" ht="29.1" customHeight="1" x14ac:dyDescent="0.25">
      <c r="A1245" s="2" t="s">
        <v>2923</v>
      </c>
      <c r="B1245" s="2" t="s">
        <v>2534</v>
      </c>
      <c r="C1245" s="2" t="s">
        <v>2516</v>
      </c>
      <c r="D1245" s="2" t="s">
        <v>2531</v>
      </c>
      <c r="E1245" s="2"/>
      <c r="F1245" s="2" t="str">
        <f>"9788021098411"</f>
        <v>9788021098411</v>
      </c>
    </row>
    <row r="1246" spans="1:6" s="3" customFormat="1" ht="29.1" customHeight="1" x14ac:dyDescent="0.25">
      <c r="A1246" s="2" t="s">
        <v>2924</v>
      </c>
      <c r="B1246" s="2" t="s">
        <v>2925</v>
      </c>
      <c r="C1246" s="2" t="s">
        <v>2516</v>
      </c>
      <c r="D1246" s="2" t="s">
        <v>135</v>
      </c>
      <c r="E1246" s="2"/>
      <c r="F1246" s="2" t="str">
        <f>"9788021098404"</f>
        <v>9788021098404</v>
      </c>
    </row>
    <row r="1247" spans="1:6" s="3" customFormat="1" ht="29.1" customHeight="1" x14ac:dyDescent="0.25">
      <c r="A1247" s="2" t="s">
        <v>2926</v>
      </c>
      <c r="B1247" s="2" t="s">
        <v>2925</v>
      </c>
      <c r="C1247" s="2" t="s">
        <v>2516</v>
      </c>
      <c r="D1247" s="2" t="s">
        <v>135</v>
      </c>
      <c r="E1247" s="2" t="str">
        <f>"9788021098381"</f>
        <v>9788021098381</v>
      </c>
      <c r="F1247" s="2" t="str">
        <f>"9788021098398"</f>
        <v>9788021098398</v>
      </c>
    </row>
    <row r="1248" spans="1:6" s="3" customFormat="1" ht="29.1" customHeight="1" x14ac:dyDescent="0.25">
      <c r="A1248" s="2" t="s">
        <v>2927</v>
      </c>
      <c r="B1248" s="2" t="s">
        <v>2928</v>
      </c>
      <c r="C1248" s="2" t="s">
        <v>2516</v>
      </c>
      <c r="D1248" s="2" t="s">
        <v>135</v>
      </c>
      <c r="E1248" s="2"/>
      <c r="F1248" s="2" t="str">
        <f>"9788021098343"</f>
        <v>9788021098343</v>
      </c>
    </row>
    <row r="1249" spans="1:6" s="3" customFormat="1" ht="29.1" customHeight="1" x14ac:dyDescent="0.25">
      <c r="A1249" s="2" t="s">
        <v>2929</v>
      </c>
      <c r="B1249" s="2" t="s">
        <v>2930</v>
      </c>
      <c r="C1249" s="2" t="s">
        <v>2516</v>
      </c>
      <c r="D1249" s="2" t="s">
        <v>2752</v>
      </c>
      <c r="E1249" s="2" t="str">
        <f>"9788021095854"</f>
        <v>9788021095854</v>
      </c>
      <c r="F1249" s="2" t="str">
        <f>"9788021098312"</f>
        <v>9788021098312</v>
      </c>
    </row>
    <row r="1250" spans="1:6" s="3" customFormat="1" ht="29.1" customHeight="1" x14ac:dyDescent="0.25">
      <c r="A1250" s="2" t="s">
        <v>2931</v>
      </c>
      <c r="B1250" s="2" t="s">
        <v>2932</v>
      </c>
      <c r="C1250" s="2" t="s">
        <v>2516</v>
      </c>
      <c r="D1250" s="2" t="s">
        <v>2752</v>
      </c>
      <c r="E1250" s="2" t="str">
        <f>"9788021095847"</f>
        <v>9788021095847</v>
      </c>
      <c r="F1250" s="2" t="str">
        <f>"9788021098305"</f>
        <v>9788021098305</v>
      </c>
    </row>
    <row r="1251" spans="1:6" s="3" customFormat="1" ht="29.1" customHeight="1" x14ac:dyDescent="0.25">
      <c r="A1251" s="2" t="s">
        <v>2933</v>
      </c>
      <c r="B1251" s="2" t="s">
        <v>2935</v>
      </c>
      <c r="C1251" s="2" t="s">
        <v>2516</v>
      </c>
      <c r="D1251" s="2" t="s">
        <v>2934</v>
      </c>
      <c r="E1251" s="2" t="str">
        <f>"9788021098282"</f>
        <v>9788021098282</v>
      </c>
      <c r="F1251" s="2" t="str">
        <f>"9788021098299"</f>
        <v>9788021098299</v>
      </c>
    </row>
    <row r="1252" spans="1:6" s="3" customFormat="1" ht="29.1" customHeight="1" x14ac:dyDescent="0.25">
      <c r="A1252" s="2" t="s">
        <v>2936</v>
      </c>
      <c r="B1252" s="2" t="s">
        <v>2937</v>
      </c>
      <c r="C1252" s="2" t="s">
        <v>2516</v>
      </c>
      <c r="D1252" s="2" t="s">
        <v>2307</v>
      </c>
      <c r="E1252" s="2" t="str">
        <f>"9788021098213"</f>
        <v>9788021098213</v>
      </c>
      <c r="F1252" s="2" t="str">
        <f>"9788021098220"</f>
        <v>9788021098220</v>
      </c>
    </row>
    <row r="1253" spans="1:6" s="3" customFormat="1" ht="29.1" customHeight="1" x14ac:dyDescent="0.25">
      <c r="A1253" s="2" t="s">
        <v>2938</v>
      </c>
      <c r="B1253" s="2" t="s">
        <v>2939</v>
      </c>
      <c r="C1253" s="2" t="s">
        <v>2516</v>
      </c>
      <c r="D1253" s="2" t="s">
        <v>596</v>
      </c>
      <c r="E1253" s="2" t="str">
        <f>"9788021098091"</f>
        <v>9788021098091</v>
      </c>
      <c r="F1253" s="2" t="str">
        <f>"9788021098107"</f>
        <v>9788021098107</v>
      </c>
    </row>
    <row r="1254" spans="1:6" s="3" customFormat="1" ht="29.1" customHeight="1" x14ac:dyDescent="0.25">
      <c r="A1254" s="2" t="s">
        <v>2940</v>
      </c>
      <c r="B1254" s="2" t="s">
        <v>2941</v>
      </c>
      <c r="C1254" s="2" t="s">
        <v>2516</v>
      </c>
      <c r="D1254" s="2" t="s">
        <v>2578</v>
      </c>
      <c r="E1254" s="2" t="str">
        <f>"9788021098022"</f>
        <v>9788021098022</v>
      </c>
      <c r="F1254" s="2" t="str">
        <f>"9788021098039"</f>
        <v>9788021098039</v>
      </c>
    </row>
    <row r="1255" spans="1:6" s="3" customFormat="1" ht="29.1" customHeight="1" x14ac:dyDescent="0.25">
      <c r="A1255" s="2" t="s">
        <v>2942</v>
      </c>
      <c r="B1255" s="2" t="s">
        <v>2944</v>
      </c>
      <c r="C1255" s="2" t="s">
        <v>2516</v>
      </c>
      <c r="D1255" s="2" t="s">
        <v>2943</v>
      </c>
      <c r="E1255" s="2" t="str">
        <f>"9788021097988"</f>
        <v>9788021097988</v>
      </c>
      <c r="F1255" s="2" t="str">
        <f>"9788021097995"</f>
        <v>9788021097995</v>
      </c>
    </row>
    <row r="1256" spans="1:6" s="3" customFormat="1" ht="29.1" customHeight="1" x14ac:dyDescent="0.25">
      <c r="A1256" s="2" t="s">
        <v>2945</v>
      </c>
      <c r="B1256" s="2" t="s">
        <v>2662</v>
      </c>
      <c r="C1256" s="2" t="s">
        <v>2516</v>
      </c>
      <c r="D1256" s="2" t="s">
        <v>2237</v>
      </c>
      <c r="E1256" s="2"/>
      <c r="F1256" s="2" t="str">
        <f>"9788021097889"</f>
        <v>9788021097889</v>
      </c>
    </row>
    <row r="1257" spans="1:6" s="3" customFormat="1" ht="29.1" customHeight="1" x14ac:dyDescent="0.25">
      <c r="A1257" s="2" t="s">
        <v>2946</v>
      </c>
      <c r="B1257" s="2" t="s">
        <v>2947</v>
      </c>
      <c r="C1257" s="2" t="s">
        <v>2516</v>
      </c>
      <c r="D1257" s="2" t="s">
        <v>2819</v>
      </c>
      <c r="E1257" s="2"/>
      <c r="F1257" s="2" t="str">
        <f>"9788021097872"</f>
        <v>9788021097872</v>
      </c>
    </row>
    <row r="1258" spans="1:6" s="3" customFormat="1" ht="29.1" customHeight="1" x14ac:dyDescent="0.25">
      <c r="A1258" s="2" t="s">
        <v>2948</v>
      </c>
      <c r="B1258" s="2" t="s">
        <v>2949</v>
      </c>
      <c r="C1258" s="2" t="s">
        <v>2516</v>
      </c>
      <c r="D1258" s="2" t="s">
        <v>1256</v>
      </c>
      <c r="E1258" s="2"/>
      <c r="F1258" s="2" t="str">
        <f>"9788021097810"</f>
        <v>9788021097810</v>
      </c>
    </row>
    <row r="1259" spans="1:6" s="3" customFormat="1" ht="29.1" customHeight="1" x14ac:dyDescent="0.25">
      <c r="A1259" s="2" t="s">
        <v>2950</v>
      </c>
      <c r="B1259" s="2" t="s">
        <v>2951</v>
      </c>
      <c r="C1259" s="2" t="s">
        <v>2516</v>
      </c>
      <c r="D1259" s="2" t="s">
        <v>12</v>
      </c>
      <c r="E1259" s="2"/>
      <c r="F1259" s="2" t="str">
        <f>"9788021097698"</f>
        <v>9788021097698</v>
      </c>
    </row>
    <row r="1260" spans="1:6" s="3" customFormat="1" ht="29.1" customHeight="1" x14ac:dyDescent="0.25">
      <c r="A1260" s="2" t="s">
        <v>2952</v>
      </c>
      <c r="B1260" s="2" t="s">
        <v>2953</v>
      </c>
      <c r="C1260" s="2" t="s">
        <v>2516</v>
      </c>
      <c r="D1260" s="2" t="s">
        <v>1248</v>
      </c>
      <c r="E1260" s="2" t="str">
        <f>"9788021097667"</f>
        <v>9788021097667</v>
      </c>
      <c r="F1260" s="2" t="str">
        <f>"9788021097674"</f>
        <v>9788021097674</v>
      </c>
    </row>
    <row r="1261" spans="1:6" s="3" customFormat="1" ht="29.1" customHeight="1" x14ac:dyDescent="0.25">
      <c r="A1261" s="2" t="s">
        <v>2954</v>
      </c>
      <c r="B1261" s="2" t="s">
        <v>2955</v>
      </c>
      <c r="C1261" s="2" t="s">
        <v>2516</v>
      </c>
      <c r="D1261" s="2" t="s">
        <v>1416</v>
      </c>
      <c r="E1261" s="2" t="str">
        <f>"9788021097629"</f>
        <v>9788021097629</v>
      </c>
      <c r="F1261" s="2" t="str">
        <f>"9788021097636"</f>
        <v>9788021097636</v>
      </c>
    </row>
    <row r="1262" spans="1:6" s="3" customFormat="1" ht="29.1" customHeight="1" x14ac:dyDescent="0.25">
      <c r="A1262" s="2" t="s">
        <v>2956</v>
      </c>
      <c r="B1262" s="2" t="s">
        <v>2958</v>
      </c>
      <c r="C1262" s="2" t="s">
        <v>2516</v>
      </c>
      <c r="D1262" s="2" t="s">
        <v>2957</v>
      </c>
      <c r="E1262" s="2" t="str">
        <f>"9788021097605"</f>
        <v>9788021097605</v>
      </c>
      <c r="F1262" s="2" t="str">
        <f>"9788021097612"</f>
        <v>9788021097612</v>
      </c>
    </row>
    <row r="1263" spans="1:6" s="3" customFormat="1" ht="29.1" customHeight="1" x14ac:dyDescent="0.25">
      <c r="A1263" s="2" t="s">
        <v>2959</v>
      </c>
      <c r="B1263" s="2" t="s">
        <v>2960</v>
      </c>
      <c r="C1263" s="2" t="s">
        <v>2516</v>
      </c>
      <c r="D1263" s="2" t="s">
        <v>758</v>
      </c>
      <c r="E1263" s="2" t="str">
        <f>"9788021097575"</f>
        <v>9788021097575</v>
      </c>
      <c r="F1263" s="2" t="str">
        <f>"9788021097582"</f>
        <v>9788021097582</v>
      </c>
    </row>
    <row r="1264" spans="1:6" s="3" customFormat="1" ht="29.1" customHeight="1" x14ac:dyDescent="0.25">
      <c r="A1264" s="2" t="s">
        <v>2961</v>
      </c>
      <c r="B1264" s="2" t="s">
        <v>2963</v>
      </c>
      <c r="C1264" s="2" t="s">
        <v>2516</v>
      </c>
      <c r="D1264" s="2" t="s">
        <v>2962</v>
      </c>
      <c r="E1264" s="2" t="str">
        <f>"9788021097537"</f>
        <v>9788021097537</v>
      </c>
      <c r="F1264" s="2" t="str">
        <f>"9788021097544"</f>
        <v>9788021097544</v>
      </c>
    </row>
    <row r="1265" spans="1:6" s="3" customFormat="1" ht="29.1" customHeight="1" x14ac:dyDescent="0.25">
      <c r="A1265" s="2" t="s">
        <v>2964</v>
      </c>
      <c r="B1265" s="2" t="s">
        <v>2966</v>
      </c>
      <c r="C1265" s="2" t="s">
        <v>2516</v>
      </c>
      <c r="D1265" s="2" t="s">
        <v>2965</v>
      </c>
      <c r="E1265" s="2" t="str">
        <f>"9788021097452"</f>
        <v>9788021097452</v>
      </c>
      <c r="F1265" s="2" t="str">
        <f>"9788021097469"</f>
        <v>9788021097469</v>
      </c>
    </row>
    <row r="1266" spans="1:6" s="3" customFormat="1" ht="29.1" customHeight="1" x14ac:dyDescent="0.25">
      <c r="A1266" s="2" t="s">
        <v>2967</v>
      </c>
      <c r="B1266" s="2" t="s">
        <v>2969</v>
      </c>
      <c r="C1266" s="2" t="s">
        <v>2516</v>
      </c>
      <c r="D1266" s="2" t="s">
        <v>2968</v>
      </c>
      <c r="E1266" s="2" t="str">
        <f>"9788021097438"</f>
        <v>9788021097438</v>
      </c>
      <c r="F1266" s="2" t="str">
        <f>"9788021097445"</f>
        <v>9788021097445</v>
      </c>
    </row>
    <row r="1267" spans="1:6" s="3" customFormat="1" ht="29.1" customHeight="1" x14ac:dyDescent="0.25">
      <c r="A1267" s="2" t="s">
        <v>2970</v>
      </c>
      <c r="B1267" s="2" t="s">
        <v>2971</v>
      </c>
      <c r="C1267" s="2" t="s">
        <v>2516</v>
      </c>
      <c r="D1267" s="2" t="s">
        <v>302</v>
      </c>
      <c r="E1267" s="2" t="str">
        <f>"9788021097490"</f>
        <v>9788021097490</v>
      </c>
      <c r="F1267" s="2" t="str">
        <f>"9788021097308"</f>
        <v>9788021097308</v>
      </c>
    </row>
    <row r="1268" spans="1:6" s="3" customFormat="1" ht="29.1" customHeight="1" x14ac:dyDescent="0.25">
      <c r="A1268" s="2" t="s">
        <v>2972</v>
      </c>
      <c r="B1268" s="2" t="s">
        <v>2973</v>
      </c>
      <c r="C1268" s="2" t="s">
        <v>2516</v>
      </c>
      <c r="D1268" s="2" t="s">
        <v>606</v>
      </c>
      <c r="E1268" s="2" t="str">
        <f>"9788021097087"</f>
        <v>9788021097087</v>
      </c>
      <c r="F1268" s="2" t="str">
        <f>"9788021097117"</f>
        <v>9788021097117</v>
      </c>
    </row>
    <row r="1269" spans="1:6" s="3" customFormat="1" ht="29.1" customHeight="1" x14ac:dyDescent="0.25">
      <c r="A1269" s="2" t="s">
        <v>2974</v>
      </c>
      <c r="B1269" s="2" t="s">
        <v>2976</v>
      </c>
      <c r="C1269" s="2" t="s">
        <v>2516</v>
      </c>
      <c r="D1269" s="2" t="s">
        <v>2975</v>
      </c>
      <c r="E1269" s="2" t="str">
        <f>"9788021097032"</f>
        <v>9788021097032</v>
      </c>
      <c r="F1269" s="2" t="str">
        <f>"9788021097049"</f>
        <v>9788021097049</v>
      </c>
    </row>
    <row r="1270" spans="1:6" s="3" customFormat="1" ht="29.1" customHeight="1" x14ac:dyDescent="0.25">
      <c r="A1270" s="2" t="s">
        <v>2977</v>
      </c>
      <c r="B1270" s="2" t="s">
        <v>2978</v>
      </c>
      <c r="C1270" s="2" t="s">
        <v>2516</v>
      </c>
      <c r="D1270" s="2" t="s">
        <v>353</v>
      </c>
      <c r="E1270" s="2" t="str">
        <f>"9788021096936"</f>
        <v>9788021096936</v>
      </c>
      <c r="F1270" s="2" t="str">
        <f>"9788021096943"</f>
        <v>9788021096943</v>
      </c>
    </row>
    <row r="1271" spans="1:6" s="3" customFormat="1" ht="29.1" customHeight="1" x14ac:dyDescent="0.25">
      <c r="A1271" s="2" t="s">
        <v>2979</v>
      </c>
      <c r="B1271" s="2" t="s">
        <v>2981</v>
      </c>
      <c r="C1271" s="2" t="s">
        <v>2516</v>
      </c>
      <c r="D1271" s="2" t="s">
        <v>2980</v>
      </c>
      <c r="E1271" s="2" t="str">
        <f>"9788021096660"</f>
        <v>9788021096660</v>
      </c>
      <c r="F1271" s="2" t="str">
        <f>"9788021096929"</f>
        <v>9788021096929</v>
      </c>
    </row>
    <row r="1272" spans="1:6" s="3" customFormat="1" ht="29.1" customHeight="1" x14ac:dyDescent="0.25">
      <c r="A1272" s="2" t="s">
        <v>2982</v>
      </c>
      <c r="B1272" s="2" t="s">
        <v>2983</v>
      </c>
      <c r="C1272" s="2" t="s">
        <v>2516</v>
      </c>
      <c r="D1272" s="2" t="s">
        <v>334</v>
      </c>
      <c r="E1272" s="2"/>
      <c r="F1272" s="2" t="str">
        <f>"9788021096905"</f>
        <v>9788021096905</v>
      </c>
    </row>
    <row r="1273" spans="1:6" s="3" customFormat="1" ht="29.1" customHeight="1" x14ac:dyDescent="0.25">
      <c r="A1273" s="2" t="s">
        <v>2984</v>
      </c>
      <c r="B1273" s="2" t="s">
        <v>2986</v>
      </c>
      <c r="C1273" s="2" t="s">
        <v>2516</v>
      </c>
      <c r="D1273" s="2" t="s">
        <v>2985</v>
      </c>
      <c r="E1273" s="2" t="str">
        <f>"9788021096875"</f>
        <v>9788021096875</v>
      </c>
      <c r="F1273" s="2" t="str">
        <f>"9788021096882"</f>
        <v>9788021096882</v>
      </c>
    </row>
    <row r="1274" spans="1:6" s="3" customFormat="1" ht="29.1" customHeight="1" x14ac:dyDescent="0.25">
      <c r="A1274" s="2" t="s">
        <v>2987</v>
      </c>
      <c r="B1274" s="2" t="s">
        <v>2989</v>
      </c>
      <c r="C1274" s="2" t="s">
        <v>2516</v>
      </c>
      <c r="D1274" s="2" t="s">
        <v>2988</v>
      </c>
      <c r="E1274" s="2" t="str">
        <f>"9788021096820"</f>
        <v>9788021096820</v>
      </c>
      <c r="F1274" s="2" t="str">
        <f>"9788021096837"</f>
        <v>9788021096837</v>
      </c>
    </row>
    <row r="1275" spans="1:6" s="3" customFormat="1" ht="29.1" customHeight="1" x14ac:dyDescent="0.25">
      <c r="A1275" s="2" t="s">
        <v>2990</v>
      </c>
      <c r="B1275" s="2" t="s">
        <v>2992</v>
      </c>
      <c r="C1275" s="2" t="s">
        <v>2516</v>
      </c>
      <c r="D1275" s="2" t="s">
        <v>2991</v>
      </c>
      <c r="E1275" s="2" t="str">
        <f>"9788021084537"</f>
        <v>9788021084537</v>
      </c>
      <c r="F1275" s="2" t="str">
        <f>"9788021096714"</f>
        <v>9788021096714</v>
      </c>
    </row>
    <row r="1276" spans="1:6" s="3" customFormat="1" ht="29.1" customHeight="1" x14ac:dyDescent="0.25">
      <c r="A1276" s="2" t="s">
        <v>2993</v>
      </c>
      <c r="B1276" s="2" t="s">
        <v>2995</v>
      </c>
      <c r="C1276" s="2" t="s">
        <v>2516</v>
      </c>
      <c r="D1276" s="2" t="s">
        <v>2994</v>
      </c>
      <c r="E1276" s="2"/>
      <c r="F1276" s="2" t="str">
        <f>"9788021096592"</f>
        <v>9788021096592</v>
      </c>
    </row>
    <row r="1277" spans="1:6" s="3" customFormat="1" ht="29.1" customHeight="1" x14ac:dyDescent="0.25">
      <c r="A1277" s="2" t="s">
        <v>2996</v>
      </c>
      <c r="B1277" s="2" t="s">
        <v>2997</v>
      </c>
      <c r="C1277" s="2" t="s">
        <v>2516</v>
      </c>
      <c r="D1277" s="2" t="s">
        <v>2599</v>
      </c>
      <c r="E1277" s="2" t="str">
        <f>"9788021096516"</f>
        <v>9788021096516</v>
      </c>
      <c r="F1277" s="2" t="str">
        <f>"9788021096523"</f>
        <v>9788021096523</v>
      </c>
    </row>
    <row r="1278" spans="1:6" s="3" customFormat="1" ht="29.1" customHeight="1" x14ac:dyDescent="0.25">
      <c r="A1278" s="2" t="s">
        <v>2998</v>
      </c>
      <c r="B1278" s="2" t="s">
        <v>2999</v>
      </c>
      <c r="C1278" s="2" t="s">
        <v>2516</v>
      </c>
      <c r="D1278" s="2" t="s">
        <v>2593</v>
      </c>
      <c r="E1278" s="2"/>
      <c r="F1278" s="2" t="str">
        <f>"9788021096417"</f>
        <v>9788021096417</v>
      </c>
    </row>
    <row r="1279" spans="1:6" s="3" customFormat="1" ht="29.1" customHeight="1" x14ac:dyDescent="0.25">
      <c r="A1279" s="2" t="s">
        <v>3000</v>
      </c>
      <c r="B1279" s="2" t="s">
        <v>3002</v>
      </c>
      <c r="C1279" s="2" t="s">
        <v>2516</v>
      </c>
      <c r="D1279" s="2" t="s">
        <v>3001</v>
      </c>
      <c r="E1279" s="2" t="str">
        <f>"9788021096394"</f>
        <v>9788021096394</v>
      </c>
      <c r="F1279" s="2" t="str">
        <f>"9788021096400"</f>
        <v>9788021096400</v>
      </c>
    </row>
    <row r="1280" spans="1:6" s="3" customFormat="1" ht="29.1" customHeight="1" x14ac:dyDescent="0.25">
      <c r="A1280" s="2" t="s">
        <v>3003</v>
      </c>
      <c r="B1280" s="2" t="s">
        <v>3004</v>
      </c>
      <c r="C1280" s="2" t="s">
        <v>2516</v>
      </c>
      <c r="D1280" s="2" t="s">
        <v>916</v>
      </c>
      <c r="E1280" s="2"/>
      <c r="F1280" s="2" t="str">
        <f>"9788021096325"</f>
        <v>9788021096325</v>
      </c>
    </row>
    <row r="1281" spans="1:6" s="3" customFormat="1" ht="29.1" customHeight="1" x14ac:dyDescent="0.25">
      <c r="A1281" s="2" t="s">
        <v>3005</v>
      </c>
      <c r="B1281" s="2" t="s">
        <v>3006</v>
      </c>
      <c r="C1281" s="2" t="s">
        <v>2516</v>
      </c>
      <c r="D1281" s="2" t="s">
        <v>2702</v>
      </c>
      <c r="E1281" s="2"/>
      <c r="F1281" s="2" t="str">
        <f>"9788021096318"</f>
        <v>9788021096318</v>
      </c>
    </row>
    <row r="1282" spans="1:6" s="3" customFormat="1" ht="29.1" customHeight="1" x14ac:dyDescent="0.25">
      <c r="A1282" s="2" t="s">
        <v>3007</v>
      </c>
      <c r="B1282" s="2" t="s">
        <v>3008</v>
      </c>
      <c r="C1282" s="2" t="s">
        <v>2516</v>
      </c>
      <c r="D1282" s="2" t="s">
        <v>353</v>
      </c>
      <c r="E1282" s="2" t="str">
        <f>"9788021096264"</f>
        <v>9788021096264</v>
      </c>
      <c r="F1282" s="2" t="str">
        <f>"9788021096271"</f>
        <v>9788021096271</v>
      </c>
    </row>
    <row r="1283" spans="1:6" s="3" customFormat="1" ht="29.1" customHeight="1" x14ac:dyDescent="0.25">
      <c r="A1283" s="2" t="s">
        <v>3009</v>
      </c>
      <c r="B1283" s="2" t="s">
        <v>3010</v>
      </c>
      <c r="C1283" s="2" t="s">
        <v>2516</v>
      </c>
      <c r="D1283" s="2" t="s">
        <v>1927</v>
      </c>
      <c r="E1283" s="2" t="str">
        <f>"9788021096240"</f>
        <v>9788021096240</v>
      </c>
      <c r="F1283" s="2" t="str">
        <f>"9788021096257"</f>
        <v>9788021096257</v>
      </c>
    </row>
    <row r="1284" spans="1:6" s="3" customFormat="1" ht="29.1" customHeight="1" x14ac:dyDescent="0.25">
      <c r="A1284" s="2" t="s">
        <v>3011</v>
      </c>
      <c r="B1284" s="2" t="s">
        <v>3012</v>
      </c>
      <c r="C1284" s="2" t="s">
        <v>2516</v>
      </c>
      <c r="D1284" s="2" t="s">
        <v>1864</v>
      </c>
      <c r="E1284" s="2" t="str">
        <f>"9788021065031"</f>
        <v>9788021065031</v>
      </c>
      <c r="F1284" s="2" t="str">
        <f>"9788021095946"</f>
        <v>9788021095946</v>
      </c>
    </row>
    <row r="1285" spans="1:6" s="3" customFormat="1" ht="29.1" customHeight="1" x14ac:dyDescent="0.25">
      <c r="A1285" s="2" t="s">
        <v>3013</v>
      </c>
      <c r="B1285" s="2" t="s">
        <v>3014</v>
      </c>
      <c r="C1285" s="2" t="s">
        <v>2516</v>
      </c>
      <c r="D1285" s="2" t="s">
        <v>2260</v>
      </c>
      <c r="E1285" s="2" t="str">
        <f>"9788021095892"</f>
        <v>9788021095892</v>
      </c>
      <c r="F1285" s="2" t="str">
        <f>"9788021095915"</f>
        <v>9788021095915</v>
      </c>
    </row>
    <row r="1286" spans="1:6" s="3" customFormat="1" ht="29.1" customHeight="1" x14ac:dyDescent="0.25">
      <c r="A1286" s="2" t="s">
        <v>3015</v>
      </c>
      <c r="B1286" s="2" t="s">
        <v>3017</v>
      </c>
      <c r="C1286" s="2" t="s">
        <v>2516</v>
      </c>
      <c r="D1286" s="2" t="s">
        <v>3016</v>
      </c>
      <c r="E1286" s="2" t="str">
        <f>"9788021095816"</f>
        <v>9788021095816</v>
      </c>
      <c r="F1286" s="2" t="str">
        <f>"9788021095823"</f>
        <v>9788021095823</v>
      </c>
    </row>
    <row r="1287" spans="1:6" s="3" customFormat="1" ht="29.1" customHeight="1" x14ac:dyDescent="0.25">
      <c r="A1287" s="2" t="s">
        <v>3018</v>
      </c>
      <c r="B1287" s="2" t="s">
        <v>3020</v>
      </c>
      <c r="C1287" s="2" t="s">
        <v>2516</v>
      </c>
      <c r="D1287" s="2" t="s">
        <v>3019</v>
      </c>
      <c r="E1287" s="2" t="str">
        <f>"9788021064881"</f>
        <v>9788021064881</v>
      </c>
      <c r="F1287" s="2" t="str">
        <f>"9788021095779"</f>
        <v>9788021095779</v>
      </c>
    </row>
    <row r="1288" spans="1:6" s="3" customFormat="1" ht="29.1" customHeight="1" x14ac:dyDescent="0.25">
      <c r="A1288" s="2" t="s">
        <v>3021</v>
      </c>
      <c r="B1288" s="2" t="s">
        <v>3022</v>
      </c>
      <c r="C1288" s="2" t="s">
        <v>2516</v>
      </c>
      <c r="D1288" s="2" t="s">
        <v>490</v>
      </c>
      <c r="E1288" s="2" t="str">
        <f>"9788021066755"</f>
        <v>9788021066755</v>
      </c>
      <c r="F1288" s="2" t="str">
        <f>"9788021095731"</f>
        <v>9788021095731</v>
      </c>
    </row>
    <row r="1289" spans="1:6" s="3" customFormat="1" ht="29.1" customHeight="1" x14ac:dyDescent="0.25">
      <c r="A1289" s="2" t="s">
        <v>3023</v>
      </c>
      <c r="B1289" s="2" t="s">
        <v>3024</v>
      </c>
      <c r="C1289" s="2" t="s">
        <v>2516</v>
      </c>
      <c r="D1289" s="2" t="s">
        <v>2713</v>
      </c>
      <c r="E1289" s="2" t="str">
        <f>"9788021091085"</f>
        <v>9788021091085</v>
      </c>
      <c r="F1289" s="2" t="str">
        <f>"9788021095724"</f>
        <v>9788021095724</v>
      </c>
    </row>
    <row r="1290" spans="1:6" s="3" customFormat="1" ht="29.1" customHeight="1" x14ac:dyDescent="0.25">
      <c r="A1290" s="2" t="s">
        <v>3025</v>
      </c>
      <c r="B1290" s="2" t="s">
        <v>3026</v>
      </c>
      <c r="C1290" s="2" t="s">
        <v>2516</v>
      </c>
      <c r="D1290" s="2" t="s">
        <v>2776</v>
      </c>
      <c r="E1290" s="2" t="str">
        <f>"9788021095663"</f>
        <v>9788021095663</v>
      </c>
      <c r="F1290" s="2" t="str">
        <f>"9788021095670"</f>
        <v>9788021095670</v>
      </c>
    </row>
    <row r="1291" spans="1:6" s="3" customFormat="1" ht="29.1" customHeight="1" x14ac:dyDescent="0.25">
      <c r="A1291" s="2" t="s">
        <v>3027</v>
      </c>
      <c r="B1291" s="2" t="s">
        <v>3029</v>
      </c>
      <c r="C1291" s="2" t="s">
        <v>2516</v>
      </c>
      <c r="D1291" s="2" t="s">
        <v>3028</v>
      </c>
      <c r="E1291" s="2"/>
      <c r="F1291" s="2" t="str">
        <f>"9788021095632"</f>
        <v>9788021095632</v>
      </c>
    </row>
    <row r="1292" spans="1:6" s="3" customFormat="1" ht="29.1" customHeight="1" x14ac:dyDescent="0.25">
      <c r="A1292" s="2" t="s">
        <v>3030</v>
      </c>
      <c r="B1292" s="2" t="s">
        <v>3031</v>
      </c>
      <c r="C1292" s="2" t="s">
        <v>2516</v>
      </c>
      <c r="D1292" s="2" t="s">
        <v>836</v>
      </c>
      <c r="E1292" s="2"/>
      <c r="F1292" s="2" t="str">
        <f>"9788021095564"</f>
        <v>9788021095564</v>
      </c>
    </row>
    <row r="1293" spans="1:6" s="3" customFormat="1" ht="29.1" customHeight="1" x14ac:dyDescent="0.25">
      <c r="A1293" s="2" t="s">
        <v>3032</v>
      </c>
      <c r="B1293" s="2" t="s">
        <v>3034</v>
      </c>
      <c r="C1293" s="2" t="s">
        <v>2516</v>
      </c>
      <c r="D1293" s="2" t="s">
        <v>3033</v>
      </c>
      <c r="E1293" s="2" t="str">
        <f>"9788021095519"</f>
        <v>9788021095519</v>
      </c>
      <c r="F1293" s="2" t="str">
        <f>"9788021095526"</f>
        <v>9788021095526</v>
      </c>
    </row>
    <row r="1294" spans="1:6" s="3" customFormat="1" ht="29.1" customHeight="1" x14ac:dyDescent="0.25">
      <c r="A1294" s="2" t="s">
        <v>3035</v>
      </c>
      <c r="B1294" s="2" t="s">
        <v>3036</v>
      </c>
      <c r="C1294" s="2" t="s">
        <v>2516</v>
      </c>
      <c r="D1294" s="2" t="s">
        <v>3028</v>
      </c>
      <c r="E1294" s="2"/>
      <c r="F1294" s="2" t="str">
        <f>"9788021095502"</f>
        <v>9788021095502</v>
      </c>
    </row>
    <row r="1295" spans="1:6" s="3" customFormat="1" ht="29.1" customHeight="1" x14ac:dyDescent="0.25">
      <c r="A1295" s="2" t="s">
        <v>3037</v>
      </c>
      <c r="B1295" s="2" t="s">
        <v>3038</v>
      </c>
      <c r="C1295" s="2" t="s">
        <v>2516</v>
      </c>
      <c r="D1295" s="2" t="s">
        <v>2307</v>
      </c>
      <c r="E1295" s="2" t="str">
        <f>"9788021095465"</f>
        <v>9788021095465</v>
      </c>
      <c r="F1295" s="2" t="str">
        <f>"9788021095472"</f>
        <v>9788021095472</v>
      </c>
    </row>
    <row r="1296" spans="1:6" s="3" customFormat="1" ht="29.1" customHeight="1" x14ac:dyDescent="0.25">
      <c r="A1296" s="2" t="s">
        <v>3039</v>
      </c>
      <c r="B1296" s="2" t="s">
        <v>3041</v>
      </c>
      <c r="C1296" s="2" t="s">
        <v>2516</v>
      </c>
      <c r="D1296" s="2" t="s">
        <v>3040</v>
      </c>
      <c r="E1296" s="2"/>
      <c r="F1296" s="2" t="str">
        <f>"9788021095427"</f>
        <v>9788021095427</v>
      </c>
    </row>
    <row r="1297" spans="1:6" s="3" customFormat="1" ht="29.1" customHeight="1" x14ac:dyDescent="0.25">
      <c r="A1297" s="2" t="s">
        <v>3042</v>
      </c>
      <c r="B1297" s="2" t="s">
        <v>3044</v>
      </c>
      <c r="C1297" s="2" t="s">
        <v>2516</v>
      </c>
      <c r="D1297" s="2" t="s">
        <v>3043</v>
      </c>
      <c r="E1297" s="2" t="str">
        <f>"9788021095403"</f>
        <v>9788021095403</v>
      </c>
      <c r="F1297" s="2" t="str">
        <f>"9788021095410"</f>
        <v>9788021095410</v>
      </c>
    </row>
    <row r="1298" spans="1:6" s="3" customFormat="1" ht="29.1" customHeight="1" x14ac:dyDescent="0.25">
      <c r="A1298" s="2" t="s">
        <v>3045</v>
      </c>
      <c r="B1298" s="2" t="s">
        <v>3046</v>
      </c>
      <c r="C1298" s="2" t="s">
        <v>2516</v>
      </c>
      <c r="D1298" s="2" t="s">
        <v>943</v>
      </c>
      <c r="E1298" s="2" t="str">
        <f>"9788021095359"</f>
        <v>9788021095359</v>
      </c>
      <c r="F1298" s="2" t="str">
        <f>"9788021095366"</f>
        <v>9788021095366</v>
      </c>
    </row>
    <row r="1299" spans="1:6" s="3" customFormat="1" ht="29.1" customHeight="1" x14ac:dyDescent="0.25">
      <c r="A1299" s="2" t="s">
        <v>3047</v>
      </c>
      <c r="B1299" s="2" t="s">
        <v>3048</v>
      </c>
      <c r="C1299" s="2" t="s">
        <v>2516</v>
      </c>
      <c r="D1299" s="2" t="s">
        <v>836</v>
      </c>
      <c r="E1299" s="2"/>
      <c r="F1299" s="2" t="str">
        <f>"9788021095274"</f>
        <v>9788021095274</v>
      </c>
    </row>
    <row r="1300" spans="1:6" s="3" customFormat="1" ht="29.1" customHeight="1" x14ac:dyDescent="0.25">
      <c r="A1300" s="2" t="s">
        <v>3049</v>
      </c>
      <c r="B1300" s="2" t="s">
        <v>3050</v>
      </c>
      <c r="C1300" s="2" t="s">
        <v>2516</v>
      </c>
      <c r="D1300" s="2" t="s">
        <v>353</v>
      </c>
      <c r="E1300" s="2" t="str">
        <f>"9788021095212"</f>
        <v>9788021095212</v>
      </c>
      <c r="F1300" s="2" t="str">
        <f>"9788021095229"</f>
        <v>9788021095229</v>
      </c>
    </row>
    <row r="1301" spans="1:6" s="3" customFormat="1" ht="29.1" customHeight="1" x14ac:dyDescent="0.25">
      <c r="A1301" s="2" t="s">
        <v>2898</v>
      </c>
      <c r="B1301" s="2" t="s">
        <v>2900</v>
      </c>
      <c r="C1301" s="2" t="s">
        <v>2516</v>
      </c>
      <c r="D1301" s="2" t="s">
        <v>2899</v>
      </c>
      <c r="E1301" s="2"/>
      <c r="F1301" s="2" t="str">
        <f>"9788021095014"</f>
        <v>9788021095014</v>
      </c>
    </row>
    <row r="1302" spans="1:6" s="3" customFormat="1" ht="29.1" customHeight="1" x14ac:dyDescent="0.25">
      <c r="A1302" s="2" t="s">
        <v>3051</v>
      </c>
      <c r="B1302" s="2" t="s">
        <v>3053</v>
      </c>
      <c r="C1302" s="2" t="s">
        <v>2516</v>
      </c>
      <c r="D1302" s="2" t="s">
        <v>3052</v>
      </c>
      <c r="E1302" s="2"/>
      <c r="F1302" s="2" t="str">
        <f>"9788021094888"</f>
        <v>9788021094888</v>
      </c>
    </row>
    <row r="1303" spans="1:6" s="3" customFormat="1" ht="29.1" customHeight="1" x14ac:dyDescent="0.25">
      <c r="A1303" s="2" t="s">
        <v>3054</v>
      </c>
      <c r="B1303" s="2" t="s">
        <v>3056</v>
      </c>
      <c r="C1303" s="2" t="s">
        <v>2516</v>
      </c>
      <c r="D1303" s="2" t="s">
        <v>3055</v>
      </c>
      <c r="E1303" s="2" t="str">
        <f>"9788021094864"</f>
        <v>9788021094864</v>
      </c>
      <c r="F1303" s="2" t="str">
        <f>"9788021094871"</f>
        <v>9788021094871</v>
      </c>
    </row>
    <row r="1304" spans="1:6" s="3" customFormat="1" ht="29.1" customHeight="1" x14ac:dyDescent="0.25">
      <c r="A1304" s="2" t="s">
        <v>3057</v>
      </c>
      <c r="B1304" s="2" t="s">
        <v>2849</v>
      </c>
      <c r="C1304" s="2" t="s">
        <v>2516</v>
      </c>
      <c r="D1304" s="2" t="s">
        <v>2178</v>
      </c>
      <c r="E1304" s="2" t="str">
        <f>"9788021094819"</f>
        <v>9788021094819</v>
      </c>
      <c r="F1304" s="2" t="str">
        <f>"9788021094826"</f>
        <v>9788021094826</v>
      </c>
    </row>
    <row r="1305" spans="1:6" s="3" customFormat="1" ht="29.1" customHeight="1" x14ac:dyDescent="0.25">
      <c r="A1305" s="2" t="s">
        <v>3058</v>
      </c>
      <c r="B1305" s="2" t="s">
        <v>3060</v>
      </c>
      <c r="C1305" s="2" t="s">
        <v>2516</v>
      </c>
      <c r="D1305" s="2" t="s">
        <v>3059</v>
      </c>
      <c r="E1305" s="2" t="str">
        <f>"9788021094796"</f>
        <v>9788021094796</v>
      </c>
      <c r="F1305" s="2" t="str">
        <f>"9788021094802"</f>
        <v>9788021094802</v>
      </c>
    </row>
    <row r="1306" spans="1:6" s="3" customFormat="1" ht="29.1" customHeight="1" x14ac:dyDescent="0.25">
      <c r="A1306" s="2" t="s">
        <v>3061</v>
      </c>
      <c r="B1306" s="2" t="s">
        <v>3063</v>
      </c>
      <c r="C1306" s="2" t="s">
        <v>2516</v>
      </c>
      <c r="D1306" s="2" t="s">
        <v>3062</v>
      </c>
      <c r="E1306" s="2" t="str">
        <f>"9788021094611"</f>
        <v>9788021094611</v>
      </c>
      <c r="F1306" s="2" t="str">
        <f>"9788021094628"</f>
        <v>9788021094628</v>
      </c>
    </row>
    <row r="1307" spans="1:6" s="3" customFormat="1" ht="29.1" customHeight="1" x14ac:dyDescent="0.25">
      <c r="A1307" s="2" t="s">
        <v>3064</v>
      </c>
      <c r="B1307" s="2" t="s">
        <v>3065</v>
      </c>
      <c r="C1307" s="2" t="s">
        <v>2516</v>
      </c>
      <c r="D1307" s="2" t="s">
        <v>2965</v>
      </c>
      <c r="E1307" s="2" t="str">
        <f>"9788021094390"</f>
        <v>9788021094390</v>
      </c>
      <c r="F1307" s="2" t="str">
        <f>"9788021094406"</f>
        <v>9788021094406</v>
      </c>
    </row>
    <row r="1308" spans="1:6" s="3" customFormat="1" ht="29.1" customHeight="1" x14ac:dyDescent="0.25">
      <c r="A1308" s="2" t="s">
        <v>3066</v>
      </c>
      <c r="B1308" s="2" t="s">
        <v>3067</v>
      </c>
      <c r="C1308" s="2" t="s">
        <v>2516</v>
      </c>
      <c r="D1308" s="2" t="s">
        <v>135</v>
      </c>
      <c r="E1308" s="2"/>
      <c r="F1308" s="2" t="str">
        <f>"9788021094352"</f>
        <v>9788021094352</v>
      </c>
    </row>
    <row r="1309" spans="1:6" s="3" customFormat="1" ht="29.1" customHeight="1" x14ac:dyDescent="0.25">
      <c r="A1309" s="2" t="s">
        <v>3068</v>
      </c>
      <c r="B1309" s="2" t="s">
        <v>3069</v>
      </c>
      <c r="C1309" s="2" t="s">
        <v>2516</v>
      </c>
      <c r="D1309" s="2" t="s">
        <v>764</v>
      </c>
      <c r="E1309" s="2"/>
      <c r="F1309" s="2" t="str">
        <f>"9788021094307"</f>
        <v>9788021094307</v>
      </c>
    </row>
    <row r="1310" spans="1:6" s="3" customFormat="1" ht="29.1" customHeight="1" x14ac:dyDescent="0.25">
      <c r="A1310" s="2" t="s">
        <v>3070</v>
      </c>
      <c r="B1310" s="2" t="s">
        <v>3071</v>
      </c>
      <c r="C1310" s="2" t="s">
        <v>2516</v>
      </c>
      <c r="D1310" s="2" t="s">
        <v>2810</v>
      </c>
      <c r="E1310" s="2"/>
      <c r="F1310" s="2" t="str">
        <f>"9788021094246"</f>
        <v>9788021094246</v>
      </c>
    </row>
    <row r="1311" spans="1:6" s="3" customFormat="1" ht="29.1" customHeight="1" x14ac:dyDescent="0.25">
      <c r="A1311" s="2" t="s">
        <v>3072</v>
      </c>
      <c r="B1311" s="2" t="s">
        <v>3073</v>
      </c>
      <c r="C1311" s="2" t="s">
        <v>2516</v>
      </c>
      <c r="D1311" s="2" t="s">
        <v>490</v>
      </c>
      <c r="E1311" s="2" t="str">
        <f>"9788021093775"</f>
        <v>9788021093775</v>
      </c>
      <c r="F1311" s="2" t="str">
        <f>"9788021093782"</f>
        <v>9788021093782</v>
      </c>
    </row>
    <row r="1312" spans="1:6" s="3" customFormat="1" ht="29.1" customHeight="1" x14ac:dyDescent="0.25">
      <c r="A1312" s="2" t="s">
        <v>3074</v>
      </c>
      <c r="B1312" s="2" t="s">
        <v>3075</v>
      </c>
      <c r="C1312" s="2" t="s">
        <v>2516</v>
      </c>
      <c r="D1312" s="2" t="s">
        <v>2517</v>
      </c>
      <c r="E1312" s="2"/>
      <c r="F1312" s="2" t="str">
        <f>"9788021093461"</f>
        <v>9788021093461</v>
      </c>
    </row>
    <row r="1313" spans="1:6" s="3" customFormat="1" ht="29.1" customHeight="1" x14ac:dyDescent="0.25">
      <c r="A1313" s="2" t="s">
        <v>3076</v>
      </c>
      <c r="B1313" s="2" t="s">
        <v>3075</v>
      </c>
      <c r="C1313" s="2" t="s">
        <v>2516</v>
      </c>
      <c r="D1313" s="2" t="s">
        <v>2517</v>
      </c>
      <c r="E1313" s="2"/>
      <c r="F1313" s="2" t="str">
        <f>"9788021093454"</f>
        <v>9788021093454</v>
      </c>
    </row>
    <row r="1314" spans="1:6" s="3" customFormat="1" ht="29.1" customHeight="1" x14ac:dyDescent="0.25">
      <c r="A1314" s="2" t="s">
        <v>3077</v>
      </c>
      <c r="B1314" s="2" t="s">
        <v>3078</v>
      </c>
      <c r="C1314" s="2" t="s">
        <v>2516</v>
      </c>
      <c r="D1314" s="2" t="s">
        <v>596</v>
      </c>
      <c r="E1314" s="2" t="str">
        <f>"9788021092747"</f>
        <v>9788021092747</v>
      </c>
      <c r="F1314" s="2" t="str">
        <f>"9788021092754"</f>
        <v>9788021092754</v>
      </c>
    </row>
    <row r="1315" spans="1:6" s="3" customFormat="1" ht="29.1" customHeight="1" x14ac:dyDescent="0.25">
      <c r="A1315" s="2" t="s">
        <v>3079</v>
      </c>
      <c r="B1315" s="2" t="s">
        <v>3080</v>
      </c>
      <c r="C1315" s="2" t="s">
        <v>2516</v>
      </c>
      <c r="D1315" s="2" t="s">
        <v>2962</v>
      </c>
      <c r="E1315" s="2" t="str">
        <f>"9788021092280"</f>
        <v>9788021092280</v>
      </c>
      <c r="F1315" s="2" t="str">
        <f>"9788021092297"</f>
        <v>9788021092297</v>
      </c>
    </row>
    <row r="1316" spans="1:6" s="3" customFormat="1" ht="29.1" customHeight="1" x14ac:dyDescent="0.25">
      <c r="A1316" s="2" t="s">
        <v>3081</v>
      </c>
      <c r="B1316" s="2" t="s">
        <v>3082</v>
      </c>
      <c r="C1316" s="2" t="s">
        <v>2516</v>
      </c>
      <c r="D1316" s="2" t="s">
        <v>162</v>
      </c>
      <c r="E1316" s="2" t="str">
        <f>"9788021091412"</f>
        <v>9788021091412</v>
      </c>
      <c r="F1316" s="2" t="str">
        <f>"9788021091429"</f>
        <v>9788021091429</v>
      </c>
    </row>
    <row r="1317" spans="1:6" s="3" customFormat="1" ht="29.1" customHeight="1" x14ac:dyDescent="0.25">
      <c r="A1317" s="2" t="s">
        <v>3083</v>
      </c>
      <c r="B1317" s="2" t="s">
        <v>3084</v>
      </c>
      <c r="C1317" s="2" t="s">
        <v>2516</v>
      </c>
      <c r="D1317" s="2" t="s">
        <v>1752</v>
      </c>
      <c r="E1317" s="2" t="str">
        <f>"9788021089952"</f>
        <v>9788021089952</v>
      </c>
      <c r="F1317" s="2" t="str">
        <f>"9788021089969"</f>
        <v>9788021089969</v>
      </c>
    </row>
    <row r="1318" spans="1:6" s="3" customFormat="1" ht="29.1" customHeight="1" x14ac:dyDescent="0.25">
      <c r="A1318" s="2" t="s">
        <v>3085</v>
      </c>
      <c r="B1318" s="2" t="s">
        <v>3087</v>
      </c>
      <c r="C1318" s="2" t="s">
        <v>2516</v>
      </c>
      <c r="D1318" s="2" t="s">
        <v>3086</v>
      </c>
      <c r="E1318" s="2"/>
      <c r="F1318" s="2" t="str">
        <f>"9788021089174"</f>
        <v>9788021089174</v>
      </c>
    </row>
    <row r="1319" spans="1:6" s="3" customFormat="1" ht="29.1" customHeight="1" x14ac:dyDescent="0.25">
      <c r="A1319" s="2" t="s">
        <v>3088</v>
      </c>
      <c r="B1319" s="2" t="s">
        <v>3089</v>
      </c>
      <c r="C1319" s="2" t="s">
        <v>2516</v>
      </c>
      <c r="D1319" s="2" t="s">
        <v>2975</v>
      </c>
      <c r="E1319" s="2" t="str">
        <f>"9788021088924"</f>
        <v>9788021088924</v>
      </c>
      <c r="F1319" s="2" t="str">
        <f>"9788021088931"</f>
        <v>9788021088931</v>
      </c>
    </row>
    <row r="1320" spans="1:6" s="3" customFormat="1" ht="29.1" customHeight="1" x14ac:dyDescent="0.25">
      <c r="A1320" s="2" t="s">
        <v>3090</v>
      </c>
      <c r="B1320" s="2" t="s">
        <v>2886</v>
      </c>
      <c r="C1320" s="2" t="s">
        <v>2516</v>
      </c>
      <c r="D1320" s="2" t="s">
        <v>2749</v>
      </c>
      <c r="E1320" s="2" t="str">
        <f>"9788021086739"</f>
        <v>9788021086739</v>
      </c>
      <c r="F1320" s="2" t="str">
        <f>"9788021086746"</f>
        <v>9788021086746</v>
      </c>
    </row>
    <row r="1321" spans="1:6" s="3" customFormat="1" ht="29.1" customHeight="1" x14ac:dyDescent="0.25">
      <c r="A1321" s="2" t="s">
        <v>3091</v>
      </c>
      <c r="B1321" s="2" t="s">
        <v>3093</v>
      </c>
      <c r="C1321" s="2" t="s">
        <v>2516</v>
      </c>
      <c r="D1321" s="2" t="s">
        <v>3092</v>
      </c>
      <c r="E1321" s="2" t="str">
        <f>"9788021086425"</f>
        <v>9788021086425</v>
      </c>
      <c r="F1321" s="2" t="str">
        <f>"9788021086432"</f>
        <v>9788021086432</v>
      </c>
    </row>
    <row r="1322" spans="1:6" s="3" customFormat="1" ht="29.1" customHeight="1" x14ac:dyDescent="0.25">
      <c r="A1322" s="2" t="s">
        <v>3094</v>
      </c>
      <c r="B1322" s="2" t="s">
        <v>3096</v>
      </c>
      <c r="C1322" s="2" t="s">
        <v>2516</v>
      </c>
      <c r="D1322" s="2" t="s">
        <v>3095</v>
      </c>
      <c r="E1322" s="2" t="str">
        <f>"9788021086340"</f>
        <v>9788021086340</v>
      </c>
      <c r="F1322" s="2" t="str">
        <f>"9788021086357"</f>
        <v>9788021086357</v>
      </c>
    </row>
    <row r="1323" spans="1:6" s="3" customFormat="1" ht="29.1" customHeight="1" x14ac:dyDescent="0.25">
      <c r="A1323" s="2" t="s">
        <v>3097</v>
      </c>
      <c r="B1323" s="2" t="s">
        <v>3099</v>
      </c>
      <c r="C1323" s="2" t="s">
        <v>2516</v>
      </c>
      <c r="D1323" s="2" t="s">
        <v>3098</v>
      </c>
      <c r="E1323" s="2" t="str">
        <f>"9788021086265"</f>
        <v>9788021086265</v>
      </c>
      <c r="F1323" s="2" t="str">
        <f>"9788021086319"</f>
        <v>9788021086319</v>
      </c>
    </row>
    <row r="1324" spans="1:6" s="3" customFormat="1" ht="29.1" customHeight="1" x14ac:dyDescent="0.25">
      <c r="A1324" s="2" t="s">
        <v>3100</v>
      </c>
      <c r="B1324" s="2" t="s">
        <v>3101</v>
      </c>
      <c r="C1324" s="2" t="s">
        <v>2516</v>
      </c>
      <c r="D1324" s="2" t="s">
        <v>2178</v>
      </c>
      <c r="E1324" s="2" t="str">
        <f>"9788021085688"</f>
        <v>9788021085688</v>
      </c>
      <c r="F1324" s="2" t="str">
        <f>"9788021085695"</f>
        <v>9788021085695</v>
      </c>
    </row>
    <row r="1325" spans="1:6" s="3" customFormat="1" ht="29.1" customHeight="1" x14ac:dyDescent="0.25">
      <c r="A1325" s="2" t="s">
        <v>3102</v>
      </c>
      <c r="B1325" s="2" t="s">
        <v>3103</v>
      </c>
      <c r="C1325" s="2" t="s">
        <v>2516</v>
      </c>
      <c r="D1325" s="2" t="s">
        <v>459</v>
      </c>
      <c r="E1325" s="2" t="str">
        <f>"9788021081031"</f>
        <v>9788021081031</v>
      </c>
      <c r="F1325" s="2" t="str">
        <f>"9788021085633"</f>
        <v>9788021085633</v>
      </c>
    </row>
    <row r="1326" spans="1:6" s="3" customFormat="1" ht="29.1" customHeight="1" x14ac:dyDescent="0.25">
      <c r="A1326" s="2" t="s">
        <v>3104</v>
      </c>
      <c r="B1326" s="2" t="s">
        <v>3106</v>
      </c>
      <c r="C1326" s="2" t="s">
        <v>2516</v>
      </c>
      <c r="D1326" s="2" t="s">
        <v>3105</v>
      </c>
      <c r="E1326" s="2"/>
      <c r="F1326" s="2" t="str">
        <f>"9788021084698"</f>
        <v>9788021084698</v>
      </c>
    </row>
    <row r="1327" spans="1:6" s="3" customFormat="1" ht="29.1" customHeight="1" x14ac:dyDescent="0.25">
      <c r="A1327" s="2" t="s">
        <v>3107</v>
      </c>
      <c r="B1327" s="2" t="s">
        <v>3108</v>
      </c>
      <c r="C1327" s="2" t="s">
        <v>2516</v>
      </c>
      <c r="D1327" s="2" t="s">
        <v>1018</v>
      </c>
      <c r="E1327" s="2"/>
      <c r="F1327" s="2" t="str">
        <f>"9788021082878"</f>
        <v>9788021082878</v>
      </c>
    </row>
    <row r="1328" spans="1:6" s="3" customFormat="1" ht="29.1" customHeight="1" x14ac:dyDescent="0.25">
      <c r="A1328" s="2" t="s">
        <v>3109</v>
      </c>
      <c r="B1328" s="2" t="s">
        <v>3110</v>
      </c>
      <c r="C1328" s="2" t="s">
        <v>2516</v>
      </c>
      <c r="D1328" s="2" t="s">
        <v>1018</v>
      </c>
      <c r="E1328" s="2"/>
      <c r="F1328" s="2" t="str">
        <f>"9788021082854"</f>
        <v>9788021082854</v>
      </c>
    </row>
    <row r="1329" spans="1:6" s="3" customFormat="1" ht="29.1" customHeight="1" x14ac:dyDescent="0.25">
      <c r="A1329" s="2" t="s">
        <v>3111</v>
      </c>
      <c r="B1329" s="2" t="s">
        <v>3113</v>
      </c>
      <c r="C1329" s="2" t="s">
        <v>2516</v>
      </c>
      <c r="D1329" s="2" t="s">
        <v>3112</v>
      </c>
      <c r="E1329" s="2"/>
      <c r="F1329" s="2" t="str">
        <f>"9788021080942"</f>
        <v>9788021080942</v>
      </c>
    </row>
    <row r="1330" spans="1:6" s="3" customFormat="1" ht="29.1" customHeight="1" x14ac:dyDescent="0.25">
      <c r="A1330" s="2" t="s">
        <v>3114</v>
      </c>
      <c r="B1330" s="2" t="s">
        <v>3115</v>
      </c>
      <c r="C1330" s="2" t="s">
        <v>2516</v>
      </c>
      <c r="D1330" s="2" t="s">
        <v>836</v>
      </c>
      <c r="E1330" s="2"/>
      <c r="F1330" s="2" t="str">
        <f>"9788021079823"</f>
        <v>9788021079823</v>
      </c>
    </row>
    <row r="1331" spans="1:6" s="3" customFormat="1" ht="29.1" customHeight="1" x14ac:dyDescent="0.25">
      <c r="A1331" s="2" t="s">
        <v>3116</v>
      </c>
      <c r="B1331" s="2" t="s">
        <v>3117</v>
      </c>
      <c r="C1331" s="2" t="s">
        <v>2516</v>
      </c>
      <c r="D1331" s="2" t="s">
        <v>2517</v>
      </c>
      <c r="E1331" s="2"/>
      <c r="F1331" s="2" t="str">
        <f>"9788021066434"</f>
        <v>9788021066434</v>
      </c>
    </row>
    <row r="1332" spans="1:6" s="3" customFormat="1" ht="29.1" customHeight="1" x14ac:dyDescent="0.25">
      <c r="A1332" s="2" t="s">
        <v>3118</v>
      </c>
      <c r="B1332" s="2" t="s">
        <v>2662</v>
      </c>
      <c r="C1332" s="2" t="s">
        <v>2516</v>
      </c>
      <c r="D1332" s="2" t="s">
        <v>2237</v>
      </c>
      <c r="E1332" s="2"/>
      <c r="F1332" s="2" t="str">
        <f>"9788021063136"</f>
        <v>9788021063136</v>
      </c>
    </row>
    <row r="1333" spans="1:6" s="3" customFormat="1" ht="29.1" customHeight="1" x14ac:dyDescent="0.25">
      <c r="A1333" s="2" t="s">
        <v>3119</v>
      </c>
      <c r="B1333" s="2" t="s">
        <v>3120</v>
      </c>
      <c r="C1333" s="2" t="s">
        <v>2516</v>
      </c>
      <c r="D1333" s="2" t="s">
        <v>135</v>
      </c>
      <c r="E1333" s="2"/>
      <c r="F1333" s="2" t="str">
        <f>"9788021059368"</f>
        <v>9788021059368</v>
      </c>
    </row>
    <row r="1334" spans="1:6" s="3" customFormat="1" ht="29.1" customHeight="1" x14ac:dyDescent="0.25">
      <c r="A1334" s="2" t="s">
        <v>3121</v>
      </c>
      <c r="B1334" s="2" t="s">
        <v>3122</v>
      </c>
      <c r="C1334" s="2" t="s">
        <v>2516</v>
      </c>
      <c r="D1334" s="2" t="s">
        <v>2517</v>
      </c>
      <c r="E1334" s="2"/>
      <c r="F1334" s="2" t="str">
        <f>"9788021055780"</f>
        <v>9788021055780</v>
      </c>
    </row>
    <row r="1335" spans="1:6" s="3" customFormat="1" ht="29.1" customHeight="1" x14ac:dyDescent="0.25">
      <c r="A1335" s="2" t="s">
        <v>3123</v>
      </c>
      <c r="B1335" s="2" t="s">
        <v>3124</v>
      </c>
      <c r="C1335" s="2" t="s">
        <v>5</v>
      </c>
      <c r="D1335" s="2" t="s">
        <v>186</v>
      </c>
      <c r="E1335" s="2" t="str">
        <f>"9789464638264"</f>
        <v>9789464638264</v>
      </c>
      <c r="F1335" s="2" t="str">
        <f>"9789464638271"</f>
        <v>9789464638271</v>
      </c>
    </row>
    <row r="1336" spans="1:6" s="3" customFormat="1" ht="29.1" customHeight="1" x14ac:dyDescent="0.25">
      <c r="A1336" s="2" t="s">
        <v>3125</v>
      </c>
      <c r="B1336" s="2" t="s">
        <v>3126</v>
      </c>
      <c r="C1336" s="2" t="s">
        <v>5</v>
      </c>
      <c r="D1336" s="2" t="s">
        <v>454</v>
      </c>
      <c r="E1336" s="2" t="str">
        <f>"9789464638240"</f>
        <v>9789464638240</v>
      </c>
      <c r="F1336" s="2" t="str">
        <f>"9789464638257"</f>
        <v>9789464638257</v>
      </c>
    </row>
    <row r="1337" spans="1:6" s="3" customFormat="1" ht="29.1" customHeight="1" x14ac:dyDescent="0.25">
      <c r="A1337" s="2" t="s">
        <v>3127</v>
      </c>
      <c r="B1337" s="2" t="s">
        <v>3128</v>
      </c>
      <c r="C1337" s="2" t="s">
        <v>746</v>
      </c>
      <c r="D1337" s="2" t="s">
        <v>606</v>
      </c>
      <c r="E1337" s="2" t="str">
        <f>"9781803279459"</f>
        <v>9781803279459</v>
      </c>
      <c r="F1337" s="2" t="str">
        <f>"9781803279466"</f>
        <v>9781803279466</v>
      </c>
    </row>
    <row r="1338" spans="1:6" s="3" customFormat="1" ht="29.1" customHeight="1" x14ac:dyDescent="0.25">
      <c r="A1338" s="2" t="s">
        <v>3129</v>
      </c>
      <c r="B1338" s="2" t="s">
        <v>3131</v>
      </c>
      <c r="C1338" s="2" t="s">
        <v>746</v>
      </c>
      <c r="D1338" s="2" t="s">
        <v>3130</v>
      </c>
      <c r="E1338" s="2" t="str">
        <f>"9781805830801"</f>
        <v>9781805830801</v>
      </c>
      <c r="F1338" s="2" t="str">
        <f>"9781805830818"</f>
        <v>9781805830818</v>
      </c>
    </row>
    <row r="1339" spans="1:6" s="3" customFormat="1" ht="29.1" customHeight="1" x14ac:dyDescent="0.25">
      <c r="A1339" s="2" t="s">
        <v>3132</v>
      </c>
      <c r="B1339" s="2" t="s">
        <v>3133</v>
      </c>
      <c r="C1339" s="2" t="s">
        <v>746</v>
      </c>
      <c r="D1339" s="2" t="s">
        <v>606</v>
      </c>
      <c r="E1339" s="2" t="str">
        <f>"9781805831051"</f>
        <v>9781805831051</v>
      </c>
      <c r="F1339" s="2" t="str">
        <f>"9781805831068"</f>
        <v>9781805831068</v>
      </c>
    </row>
    <row r="1340" spans="1:6" s="3" customFormat="1" ht="29.1" customHeight="1" x14ac:dyDescent="0.25">
      <c r="A1340" s="2" t="s">
        <v>3134</v>
      </c>
      <c r="B1340" s="2" t="s">
        <v>3135</v>
      </c>
      <c r="C1340" s="2" t="s">
        <v>746</v>
      </c>
      <c r="D1340" s="2" t="s">
        <v>606</v>
      </c>
      <c r="E1340" s="2" t="str">
        <f>"9781805830061"</f>
        <v>9781805830061</v>
      </c>
      <c r="F1340" s="2" t="str">
        <f>"9781805830078"</f>
        <v>9781805830078</v>
      </c>
    </row>
    <row r="1341" spans="1:6" s="3" customFormat="1" ht="29.1" customHeight="1" x14ac:dyDescent="0.25">
      <c r="A1341" s="2" t="s">
        <v>3136</v>
      </c>
      <c r="B1341" s="2" t="s">
        <v>3137</v>
      </c>
      <c r="C1341" s="2" t="s">
        <v>746</v>
      </c>
      <c r="D1341" s="2" t="s">
        <v>606</v>
      </c>
      <c r="E1341" s="2" t="str">
        <f>"9781803278636"</f>
        <v>9781803278636</v>
      </c>
      <c r="F1341" s="2" t="str">
        <f>"9781803278643"</f>
        <v>9781803278643</v>
      </c>
    </row>
    <row r="1342" spans="1:6" s="3" customFormat="1" ht="29.1" customHeight="1" x14ac:dyDescent="0.25">
      <c r="A1342" s="2" t="s">
        <v>3138</v>
      </c>
      <c r="B1342" s="2" t="s">
        <v>3140</v>
      </c>
      <c r="C1342" s="2" t="s">
        <v>59</v>
      </c>
      <c r="D1342" s="2" t="s">
        <v>3139</v>
      </c>
      <c r="E1342" s="2"/>
      <c r="F1342" s="2" t="str">
        <f>"9782759241446"</f>
        <v>9782759241446</v>
      </c>
    </row>
    <row r="1343" spans="1:6" s="3" customFormat="1" ht="29.1" customHeight="1" x14ac:dyDescent="0.25">
      <c r="A1343" s="2" t="s">
        <v>3141</v>
      </c>
      <c r="B1343" s="2" t="s">
        <v>3142</v>
      </c>
      <c r="C1343" s="2" t="s">
        <v>624</v>
      </c>
      <c r="D1343" s="2" t="s">
        <v>3043</v>
      </c>
      <c r="E1343" s="2" t="str">
        <f>"9781906113308"</f>
        <v>9781906113308</v>
      </c>
      <c r="F1343" s="2" t="str">
        <f>"9781906113285"</f>
        <v>9781906113285</v>
      </c>
    </row>
    <row r="1344" spans="1:6" s="3" customFormat="1" ht="29.1" customHeight="1" x14ac:dyDescent="0.25">
      <c r="A1344" s="2" t="s">
        <v>3143</v>
      </c>
      <c r="B1344" s="2" t="s">
        <v>3145</v>
      </c>
      <c r="C1344" s="2" t="s">
        <v>624</v>
      </c>
      <c r="D1344" s="2" t="s">
        <v>3144</v>
      </c>
      <c r="E1344" s="2" t="str">
        <f>"9781906113216"</f>
        <v>9781906113216</v>
      </c>
      <c r="F1344" s="2" t="str">
        <f>"9781906113186"</f>
        <v>9781906113186</v>
      </c>
    </row>
    <row r="1345" spans="1:6" s="3" customFormat="1" ht="29.1" customHeight="1" x14ac:dyDescent="0.25">
      <c r="A1345" s="2" t="s">
        <v>3146</v>
      </c>
      <c r="B1345" s="2" t="s">
        <v>3147</v>
      </c>
      <c r="C1345" s="2" t="s">
        <v>624</v>
      </c>
      <c r="D1345" s="2" t="s">
        <v>175</v>
      </c>
      <c r="E1345" s="2" t="str">
        <f>"9789176352717"</f>
        <v>9789176352717</v>
      </c>
      <c r="F1345" s="2" t="str">
        <f>"9789176352724"</f>
        <v>9789176352724</v>
      </c>
    </row>
    <row r="1346" spans="1:6" s="3" customFormat="1" ht="29.1" customHeight="1" x14ac:dyDescent="0.25">
      <c r="A1346" s="2" t="s">
        <v>3148</v>
      </c>
      <c r="B1346" s="2" t="s">
        <v>3150</v>
      </c>
      <c r="C1346" s="2" t="s">
        <v>624</v>
      </c>
      <c r="D1346" s="2" t="s">
        <v>3149</v>
      </c>
      <c r="E1346" s="2" t="str">
        <f>"9789518589375"</f>
        <v>9789518589375</v>
      </c>
      <c r="F1346" s="2" t="str">
        <f>"9789518589382"</f>
        <v>9789518589382</v>
      </c>
    </row>
    <row r="1347" spans="1:6" s="3" customFormat="1" ht="29.1" customHeight="1" x14ac:dyDescent="0.25">
      <c r="A1347" s="2" t="s">
        <v>3151</v>
      </c>
      <c r="B1347" s="2" t="s">
        <v>3152</v>
      </c>
      <c r="C1347" s="2" t="s">
        <v>624</v>
      </c>
      <c r="D1347" s="2" t="s">
        <v>2834</v>
      </c>
      <c r="E1347" s="2" t="str">
        <f>"9789518589610"</f>
        <v>9789518589610</v>
      </c>
      <c r="F1347" s="2" t="str">
        <f>"9789518589627"</f>
        <v>9789518589627</v>
      </c>
    </row>
    <row r="1348" spans="1:6" s="3" customFormat="1" ht="29.1" customHeight="1" x14ac:dyDescent="0.25">
      <c r="A1348" s="2" t="s">
        <v>3153</v>
      </c>
      <c r="B1348" s="2" t="s">
        <v>3156</v>
      </c>
      <c r="C1348" s="2" t="s">
        <v>3154</v>
      </c>
      <c r="D1348" s="2" t="s">
        <v>3155</v>
      </c>
      <c r="E1348" s="2" t="str">
        <f>"9789523691278"</f>
        <v>9789523691278</v>
      </c>
      <c r="F1348" s="2" t="str">
        <f>"9789523691285"</f>
        <v>9789523691285</v>
      </c>
    </row>
    <row r="1349" spans="1:6" s="3" customFormat="1" ht="29.1" customHeight="1" x14ac:dyDescent="0.25">
      <c r="A1349" s="2" t="s">
        <v>3157</v>
      </c>
      <c r="B1349" s="2" t="s">
        <v>3159</v>
      </c>
      <c r="C1349" s="2" t="s">
        <v>149</v>
      </c>
      <c r="D1349" s="2" t="s">
        <v>3158</v>
      </c>
      <c r="E1349" s="2" t="str">
        <f>"9781805116370"</f>
        <v>9781805116370</v>
      </c>
      <c r="F1349" s="2" t="str">
        <f>"9781805116394"</f>
        <v>9781805116394</v>
      </c>
    </row>
    <row r="1350" spans="1:6" s="3" customFormat="1" ht="29.1" customHeight="1" x14ac:dyDescent="0.25">
      <c r="A1350" s="2" t="s">
        <v>3160</v>
      </c>
      <c r="B1350" s="2" t="s">
        <v>3162</v>
      </c>
      <c r="C1350" s="2" t="s">
        <v>149</v>
      </c>
      <c r="D1350" s="2" t="s">
        <v>3161</v>
      </c>
      <c r="E1350" s="2" t="str">
        <f>"9781685712723"</f>
        <v>9781685712723</v>
      </c>
      <c r="F1350" s="2" t="str">
        <f>"9781685712730"</f>
        <v>9781685712730</v>
      </c>
    </row>
    <row r="1351" spans="1:6" s="3" customFormat="1" ht="29.1" customHeight="1" x14ac:dyDescent="0.25">
      <c r="A1351" s="2" t="s">
        <v>3163</v>
      </c>
      <c r="B1351" s="2" t="s">
        <v>3164</v>
      </c>
      <c r="C1351" s="2" t="s">
        <v>124</v>
      </c>
      <c r="D1351" s="2" t="s">
        <v>894</v>
      </c>
      <c r="E1351" s="2" t="str">
        <f>"9781032884424"</f>
        <v>9781032884424</v>
      </c>
      <c r="F1351" s="2" t="str">
        <f>"9781003540656"</f>
        <v>9781003540656</v>
      </c>
    </row>
    <row r="1352" spans="1:6" s="3" customFormat="1" ht="29.1" customHeight="1" x14ac:dyDescent="0.25">
      <c r="A1352" s="2" t="s">
        <v>3165</v>
      </c>
      <c r="B1352" s="2" t="s">
        <v>3167</v>
      </c>
      <c r="C1352" s="2" t="s">
        <v>29</v>
      </c>
      <c r="D1352" s="2" t="s">
        <v>3166</v>
      </c>
      <c r="E1352" s="2" t="str">
        <f>"9783770568987"</f>
        <v>9783770568987</v>
      </c>
      <c r="F1352" s="2" t="str">
        <f>"9783846768983"</f>
        <v>9783846768983</v>
      </c>
    </row>
    <row r="1353" spans="1:6" s="3" customFormat="1" ht="29.1" customHeight="1" x14ac:dyDescent="0.25">
      <c r="A1353" s="2" t="s">
        <v>3168</v>
      </c>
      <c r="B1353" s="2" t="s">
        <v>3170</v>
      </c>
      <c r="C1353" s="2" t="s">
        <v>3169</v>
      </c>
      <c r="D1353" s="2" t="s">
        <v>1598</v>
      </c>
      <c r="E1353" s="2" t="str">
        <f>"9781648250484"</f>
        <v>9781648250484</v>
      </c>
      <c r="F1353" s="2" t="str">
        <f>"9781805433323"</f>
        <v>9781805433323</v>
      </c>
    </row>
    <row r="1354" spans="1:6" s="3" customFormat="1" ht="29.1" customHeight="1" x14ac:dyDescent="0.25">
      <c r="A1354" s="2" t="s">
        <v>3171</v>
      </c>
      <c r="B1354" s="2" t="s">
        <v>3173</v>
      </c>
      <c r="C1354" s="2" t="s">
        <v>5</v>
      </c>
      <c r="D1354" s="2" t="s">
        <v>3172</v>
      </c>
      <c r="E1354" s="2" t="str">
        <f>"9783031937972"</f>
        <v>9783031937972</v>
      </c>
      <c r="F1354" s="2" t="str">
        <f>"9783031937989"</f>
        <v>9783031937989</v>
      </c>
    </row>
    <row r="1355" spans="1:6" s="3" customFormat="1" ht="29.1" customHeight="1" x14ac:dyDescent="0.25">
      <c r="A1355" s="2" t="s">
        <v>3174</v>
      </c>
      <c r="B1355" s="2" t="s">
        <v>3175</v>
      </c>
      <c r="C1355" s="2" t="s">
        <v>2133</v>
      </c>
      <c r="D1355" s="2" t="s">
        <v>1432</v>
      </c>
      <c r="E1355" s="2" t="str">
        <f>"9781760466978"</f>
        <v>9781760466978</v>
      </c>
      <c r="F1355" s="2" t="str">
        <f>"9781760466985"</f>
        <v>9781760466985</v>
      </c>
    </row>
    <row r="1356" spans="1:6" s="3" customFormat="1" ht="29.1" customHeight="1" x14ac:dyDescent="0.25">
      <c r="A1356" s="2" t="s">
        <v>3176</v>
      </c>
      <c r="B1356" s="2" t="s">
        <v>3178</v>
      </c>
      <c r="C1356" s="2" t="s">
        <v>3177</v>
      </c>
      <c r="D1356" s="2" t="s">
        <v>107</v>
      </c>
      <c r="E1356" s="2" t="str">
        <f>"9782503615370"</f>
        <v>9782503615370</v>
      </c>
      <c r="F1356" s="2" t="str">
        <f>"9782503615387"</f>
        <v>9782503615387</v>
      </c>
    </row>
    <row r="1357" spans="1:6" s="3" customFormat="1" ht="29.1" customHeight="1" x14ac:dyDescent="0.25">
      <c r="A1357" s="2" t="s">
        <v>3179</v>
      </c>
      <c r="B1357" s="2" t="s">
        <v>3180</v>
      </c>
      <c r="C1357" s="2" t="s">
        <v>3177</v>
      </c>
      <c r="D1357" s="2" t="s">
        <v>462</v>
      </c>
      <c r="E1357" s="2" t="str">
        <f>"9782503608877"</f>
        <v>9782503608877</v>
      </c>
      <c r="F1357" s="2" t="str">
        <f>"9782503608884"</f>
        <v>9782503608884</v>
      </c>
    </row>
    <row r="1358" spans="1:6" s="3" customFormat="1" ht="29.1" customHeight="1" x14ac:dyDescent="0.25">
      <c r="A1358" s="2" t="s">
        <v>3181</v>
      </c>
      <c r="B1358" s="2" t="s">
        <v>3183</v>
      </c>
      <c r="C1358" s="2" t="s">
        <v>3177</v>
      </c>
      <c r="D1358" s="2" t="s">
        <v>3182</v>
      </c>
      <c r="E1358" s="2" t="str">
        <f>"9782503602929"</f>
        <v>9782503602929</v>
      </c>
      <c r="F1358" s="2" t="str">
        <f>"9782503602936"</f>
        <v>9782503602936</v>
      </c>
    </row>
    <row r="1359" spans="1:6" s="3" customFormat="1" ht="29.1" customHeight="1" x14ac:dyDescent="0.25">
      <c r="A1359" s="2" t="s">
        <v>3184</v>
      </c>
      <c r="B1359" s="2" t="s">
        <v>3186</v>
      </c>
      <c r="C1359" s="2" t="s">
        <v>3177</v>
      </c>
      <c r="D1359" s="2" t="s">
        <v>3185</v>
      </c>
      <c r="E1359" s="2" t="str">
        <f>"9782503613338"</f>
        <v>9782503613338</v>
      </c>
      <c r="F1359" s="2" t="str">
        <f>"9782503613345"</f>
        <v>9782503613345</v>
      </c>
    </row>
    <row r="1360" spans="1:6" s="3" customFormat="1" ht="29.1" customHeight="1" x14ac:dyDescent="0.25">
      <c r="A1360" s="2" t="s">
        <v>3187</v>
      </c>
      <c r="B1360" s="2" t="s">
        <v>3188</v>
      </c>
      <c r="C1360" s="2" t="s">
        <v>3177</v>
      </c>
      <c r="D1360" s="2" t="s">
        <v>196</v>
      </c>
      <c r="E1360" s="2" t="str">
        <f>"9782503581590"</f>
        <v>9782503581590</v>
      </c>
      <c r="F1360" s="2" t="str">
        <f>"9782503581606"</f>
        <v>9782503581606</v>
      </c>
    </row>
    <row r="1361" spans="1:6" s="3" customFormat="1" ht="29.1" customHeight="1" x14ac:dyDescent="0.25">
      <c r="A1361" s="2" t="s">
        <v>3189</v>
      </c>
      <c r="B1361" s="2" t="s">
        <v>3190</v>
      </c>
      <c r="C1361" s="2" t="s">
        <v>3177</v>
      </c>
      <c r="D1361" s="2" t="s">
        <v>107</v>
      </c>
      <c r="E1361" s="2" t="str">
        <f>"9782503605296"</f>
        <v>9782503605296</v>
      </c>
      <c r="F1361" s="2" t="str">
        <f>"9782503605302"</f>
        <v>9782503605302</v>
      </c>
    </row>
    <row r="1362" spans="1:6" s="3" customFormat="1" ht="29.1" customHeight="1" x14ac:dyDescent="0.25">
      <c r="A1362" s="2" t="s">
        <v>3191</v>
      </c>
      <c r="B1362" s="2" t="s">
        <v>3192</v>
      </c>
      <c r="C1362" s="2" t="s">
        <v>3177</v>
      </c>
      <c r="D1362" s="2" t="s">
        <v>196</v>
      </c>
      <c r="E1362" s="2" t="str">
        <f>"9782503612348"</f>
        <v>9782503612348</v>
      </c>
      <c r="F1362" s="2" t="str">
        <f>"9782503612355"</f>
        <v>9782503612355</v>
      </c>
    </row>
    <row r="1363" spans="1:6" s="3" customFormat="1" ht="29.1" customHeight="1" x14ac:dyDescent="0.25">
      <c r="A1363" s="2" t="s">
        <v>3193</v>
      </c>
      <c r="B1363" s="2" t="s">
        <v>3194</v>
      </c>
      <c r="C1363" s="2" t="s">
        <v>3177</v>
      </c>
      <c r="D1363" s="2" t="s">
        <v>107</v>
      </c>
      <c r="E1363" s="2" t="str">
        <f>"9782503610924"</f>
        <v>9782503610924</v>
      </c>
      <c r="F1363" s="2" t="str">
        <f>"9782503610931"</f>
        <v>9782503610931</v>
      </c>
    </row>
    <row r="1364" spans="1:6" s="3" customFormat="1" ht="29.1" customHeight="1" x14ac:dyDescent="0.25">
      <c r="A1364" s="2" t="s">
        <v>3195</v>
      </c>
      <c r="B1364" s="2" t="s">
        <v>3196</v>
      </c>
      <c r="C1364" s="2" t="s">
        <v>5</v>
      </c>
      <c r="D1364" s="2" t="s">
        <v>791</v>
      </c>
      <c r="E1364" s="2" t="str">
        <f>"9783031817533"</f>
        <v>9783031817533</v>
      </c>
      <c r="F1364" s="2" t="str">
        <f>"9783031817540"</f>
        <v>9783031817540</v>
      </c>
    </row>
    <row r="1365" spans="1:6" s="3" customFormat="1" ht="29.1" customHeight="1" x14ac:dyDescent="0.25">
      <c r="A1365" s="2" t="s">
        <v>3197</v>
      </c>
      <c r="B1365" s="2" t="s">
        <v>3199</v>
      </c>
      <c r="C1365" s="2" t="s">
        <v>5</v>
      </c>
      <c r="D1365" s="2" t="s">
        <v>3198</v>
      </c>
      <c r="E1365" s="2" t="str">
        <f>"9783031883682"</f>
        <v>9783031883682</v>
      </c>
      <c r="F1365" s="2" t="str">
        <f>"9783031883699"</f>
        <v>9783031883699</v>
      </c>
    </row>
    <row r="1366" spans="1:6" s="3" customFormat="1" ht="29.1" customHeight="1" x14ac:dyDescent="0.25">
      <c r="A1366" s="2" t="s">
        <v>3200</v>
      </c>
      <c r="B1366" s="2" t="s">
        <v>3201</v>
      </c>
      <c r="C1366" s="2" t="s">
        <v>556</v>
      </c>
      <c r="D1366" s="2" t="s">
        <v>674</v>
      </c>
      <c r="E1366" s="2" t="str">
        <f>"9783837676129"</f>
        <v>9783837676129</v>
      </c>
      <c r="F1366" s="2" t="str">
        <f>"9783839476123"</f>
        <v>9783839476123</v>
      </c>
    </row>
    <row r="1367" spans="1:6" s="3" customFormat="1" ht="29.1" customHeight="1" x14ac:dyDescent="0.25">
      <c r="A1367" s="2" t="s">
        <v>3202</v>
      </c>
      <c r="B1367" s="2" t="s">
        <v>3204</v>
      </c>
      <c r="C1367" s="2" t="s">
        <v>556</v>
      </c>
      <c r="D1367" s="2" t="s">
        <v>3203</v>
      </c>
      <c r="E1367" s="2" t="str">
        <f>"9783837677263"</f>
        <v>9783837677263</v>
      </c>
      <c r="F1367" s="2" t="str">
        <f>"9783839402726"</f>
        <v>9783839402726</v>
      </c>
    </row>
    <row r="1368" spans="1:6" s="3" customFormat="1" ht="29.1" customHeight="1" x14ac:dyDescent="0.25">
      <c r="A1368" s="2" t="s">
        <v>3205</v>
      </c>
      <c r="B1368" s="2" t="s">
        <v>3206</v>
      </c>
      <c r="C1368" s="2" t="s">
        <v>556</v>
      </c>
      <c r="D1368" s="2" t="s">
        <v>52</v>
      </c>
      <c r="E1368" s="2" t="str">
        <f>"9783837677522"</f>
        <v>9783837677522</v>
      </c>
      <c r="F1368" s="2" t="str">
        <f>"9783732800056"</f>
        <v>9783732800056</v>
      </c>
    </row>
    <row r="1369" spans="1:6" s="3" customFormat="1" ht="29.1" customHeight="1" x14ac:dyDescent="0.25">
      <c r="A1369" s="2" t="s">
        <v>3207</v>
      </c>
      <c r="B1369" s="2" t="s">
        <v>3208</v>
      </c>
      <c r="C1369" s="2" t="s">
        <v>556</v>
      </c>
      <c r="D1369" s="2" t="s">
        <v>183</v>
      </c>
      <c r="E1369" s="2" t="str">
        <f>"9783837677102"</f>
        <v>9783837677102</v>
      </c>
      <c r="F1369" s="2" t="str">
        <f>"9783732800032"</f>
        <v>9783732800032</v>
      </c>
    </row>
    <row r="1370" spans="1:6" s="3" customFormat="1" ht="29.1" customHeight="1" x14ac:dyDescent="0.25">
      <c r="A1370" s="2" t="s">
        <v>3209</v>
      </c>
      <c r="B1370" s="2" t="s">
        <v>3210</v>
      </c>
      <c r="C1370" s="2" t="s">
        <v>556</v>
      </c>
      <c r="D1370" s="2" t="s">
        <v>159</v>
      </c>
      <c r="E1370" s="2" t="str">
        <f>"9783837670875"</f>
        <v>9783837670875</v>
      </c>
      <c r="F1370" s="2" t="str">
        <f>"9783839470879"</f>
        <v>9783839470879</v>
      </c>
    </row>
    <row r="1371" spans="1:6" s="3" customFormat="1" ht="29.1" customHeight="1" x14ac:dyDescent="0.25">
      <c r="A1371" s="2" t="s">
        <v>3211</v>
      </c>
      <c r="B1371" s="2" t="s">
        <v>3212</v>
      </c>
      <c r="C1371" s="2" t="s">
        <v>556</v>
      </c>
      <c r="D1371" s="2" t="s">
        <v>636</v>
      </c>
      <c r="E1371" s="2" t="str">
        <f>"9783837676297"</f>
        <v>9783837676297</v>
      </c>
      <c r="F1371" s="2" t="str">
        <f>"9783839476291"</f>
        <v>9783839476291</v>
      </c>
    </row>
    <row r="1372" spans="1:6" s="3" customFormat="1" ht="29.1" customHeight="1" x14ac:dyDescent="0.25">
      <c r="A1372" s="2" t="s">
        <v>3213</v>
      </c>
      <c r="B1372" s="2" t="s">
        <v>3215</v>
      </c>
      <c r="C1372" s="2" t="s">
        <v>556</v>
      </c>
      <c r="D1372" s="2" t="s">
        <v>3214</v>
      </c>
      <c r="E1372" s="2" t="str">
        <f>"9783837677508"</f>
        <v>9783837677508</v>
      </c>
      <c r="F1372" s="2" t="str">
        <f>"9783839405390"</f>
        <v>9783839405390</v>
      </c>
    </row>
    <row r="1373" spans="1:6" s="3" customFormat="1" ht="29.1" customHeight="1" x14ac:dyDescent="0.25">
      <c r="A1373" s="2" t="s">
        <v>3216</v>
      </c>
      <c r="B1373" s="2" t="s">
        <v>3217</v>
      </c>
      <c r="C1373" s="2" t="s">
        <v>556</v>
      </c>
      <c r="D1373" s="2" t="s">
        <v>636</v>
      </c>
      <c r="E1373" s="2" t="str">
        <f>"9783837678000"</f>
        <v>9783837678000</v>
      </c>
      <c r="F1373" s="2" t="str">
        <f>"9783839410714"</f>
        <v>9783839410714</v>
      </c>
    </row>
    <row r="1374" spans="1:6" s="3" customFormat="1" ht="29.1" customHeight="1" x14ac:dyDescent="0.25">
      <c r="A1374" s="2" t="s">
        <v>3218</v>
      </c>
      <c r="B1374" s="2" t="s">
        <v>3219</v>
      </c>
      <c r="C1374" s="2" t="s">
        <v>556</v>
      </c>
      <c r="D1374" s="2" t="s">
        <v>501</v>
      </c>
      <c r="E1374" s="2" t="str">
        <f>"9783837674521"</f>
        <v>9783837674521</v>
      </c>
      <c r="F1374" s="2" t="str">
        <f>"9783839424452"</f>
        <v>9783839424452</v>
      </c>
    </row>
    <row r="1375" spans="1:6" s="3" customFormat="1" ht="29.1" customHeight="1" x14ac:dyDescent="0.25">
      <c r="A1375" s="2" t="s">
        <v>3220</v>
      </c>
      <c r="B1375" s="2" t="s">
        <v>3222</v>
      </c>
      <c r="C1375" s="2" t="s">
        <v>556</v>
      </c>
      <c r="D1375" s="2" t="s">
        <v>3221</v>
      </c>
      <c r="E1375" s="2" t="str">
        <f>"9783837679403"</f>
        <v>9783837679403</v>
      </c>
      <c r="F1375" s="2" t="str">
        <f>"9783839400869"</f>
        <v>9783839400869</v>
      </c>
    </row>
    <row r="1376" spans="1:6" s="3" customFormat="1" ht="29.1" customHeight="1" x14ac:dyDescent="0.25">
      <c r="A1376" s="2" t="s">
        <v>3223</v>
      </c>
      <c r="B1376" s="2" t="s">
        <v>3225</v>
      </c>
      <c r="C1376" s="2" t="s">
        <v>556</v>
      </c>
      <c r="D1376" s="2" t="s">
        <v>3224</v>
      </c>
      <c r="E1376" s="2" t="str">
        <f>"9783837674170"</f>
        <v>9783837674170</v>
      </c>
      <c r="F1376" s="2" t="str">
        <f>"9783839474174"</f>
        <v>9783839474174</v>
      </c>
    </row>
    <row r="1377" spans="1:6" s="3" customFormat="1" ht="29.1" customHeight="1" x14ac:dyDescent="0.25">
      <c r="A1377" s="2" t="s">
        <v>3226</v>
      </c>
      <c r="B1377" s="2" t="s">
        <v>3227</v>
      </c>
      <c r="C1377" s="2" t="s">
        <v>556</v>
      </c>
      <c r="D1377" s="2" t="s">
        <v>1598</v>
      </c>
      <c r="E1377" s="2" t="str">
        <f>"9783837667257"</f>
        <v>9783837667257</v>
      </c>
      <c r="F1377" s="2" t="str">
        <f>"9783839467251"</f>
        <v>9783839467251</v>
      </c>
    </row>
    <row r="1378" spans="1:6" s="3" customFormat="1" ht="29.1" customHeight="1" x14ac:dyDescent="0.25">
      <c r="A1378" s="2" t="s">
        <v>3228</v>
      </c>
      <c r="B1378" s="2" t="s">
        <v>3229</v>
      </c>
      <c r="C1378" s="2" t="s">
        <v>556</v>
      </c>
      <c r="D1378" s="2" t="s">
        <v>78</v>
      </c>
      <c r="E1378" s="2" t="str">
        <f>"9783837677959"</f>
        <v>9783837677959</v>
      </c>
      <c r="F1378" s="2" t="str">
        <f>"9783839410264"</f>
        <v>9783839410264</v>
      </c>
    </row>
    <row r="1379" spans="1:6" s="3" customFormat="1" ht="29.1" customHeight="1" x14ac:dyDescent="0.25">
      <c r="A1379" s="2" t="s">
        <v>3230</v>
      </c>
      <c r="B1379" s="2" t="s">
        <v>3231</v>
      </c>
      <c r="C1379" s="2" t="s">
        <v>556</v>
      </c>
      <c r="D1379" s="2" t="s">
        <v>2587</v>
      </c>
      <c r="E1379" s="2"/>
      <c r="F1379" s="2" t="str">
        <f>"9783839401552"</f>
        <v>9783839401552</v>
      </c>
    </row>
    <row r="1380" spans="1:6" s="3" customFormat="1" ht="29.1" customHeight="1" x14ac:dyDescent="0.25">
      <c r="A1380" s="2" t="s">
        <v>3232</v>
      </c>
      <c r="B1380" s="2" t="s">
        <v>3233</v>
      </c>
      <c r="C1380" s="2" t="s">
        <v>556</v>
      </c>
      <c r="D1380" s="2" t="s">
        <v>183</v>
      </c>
      <c r="E1380" s="2" t="str">
        <f>"9783837667455"</f>
        <v>9783837667455</v>
      </c>
      <c r="F1380" s="2" t="str">
        <f>"9783839467459"</f>
        <v>9783839467459</v>
      </c>
    </row>
    <row r="1381" spans="1:6" s="3" customFormat="1" ht="29.1" customHeight="1" x14ac:dyDescent="0.25">
      <c r="A1381" s="2" t="s">
        <v>3234</v>
      </c>
      <c r="B1381" s="2" t="s">
        <v>3235</v>
      </c>
      <c r="C1381" s="2" t="s">
        <v>556</v>
      </c>
      <c r="D1381" s="2" t="s">
        <v>1189</v>
      </c>
      <c r="E1381" s="2" t="str">
        <f>"9783837677249"</f>
        <v>9783837677249</v>
      </c>
      <c r="F1381" s="2" t="str">
        <f>"9783839402696"</f>
        <v>9783839402696</v>
      </c>
    </row>
    <row r="1382" spans="1:6" s="3" customFormat="1" ht="29.1" customHeight="1" x14ac:dyDescent="0.25">
      <c r="A1382" s="2" t="s">
        <v>3236</v>
      </c>
      <c r="B1382" s="2" t="s">
        <v>3237</v>
      </c>
      <c r="C1382" s="2" t="s">
        <v>556</v>
      </c>
      <c r="D1382" s="2" t="s">
        <v>446</v>
      </c>
      <c r="E1382" s="2" t="str">
        <f>"9783837678246"</f>
        <v>9783837678246</v>
      </c>
      <c r="F1382" s="2" t="str">
        <f>"9783839410752"</f>
        <v>9783839410752</v>
      </c>
    </row>
    <row r="1383" spans="1:6" s="3" customFormat="1" ht="29.1" customHeight="1" x14ac:dyDescent="0.25">
      <c r="A1383" s="2" t="s">
        <v>3238</v>
      </c>
      <c r="B1383" s="2" t="s">
        <v>3239</v>
      </c>
      <c r="C1383" s="2" t="s">
        <v>556</v>
      </c>
      <c r="D1383" s="2" t="s">
        <v>1694</v>
      </c>
      <c r="E1383" s="2" t="str">
        <f>"9783837678901"</f>
        <v>9783837678901</v>
      </c>
      <c r="F1383" s="2" t="str">
        <f>"9783839427996"</f>
        <v>9783839427996</v>
      </c>
    </row>
    <row r="1384" spans="1:6" s="3" customFormat="1" ht="29.1" customHeight="1" x14ac:dyDescent="0.25">
      <c r="A1384" s="2" t="s">
        <v>3240</v>
      </c>
      <c r="B1384" s="2" t="s">
        <v>3241</v>
      </c>
      <c r="C1384" s="2" t="s">
        <v>556</v>
      </c>
      <c r="D1384" s="2" t="s">
        <v>509</v>
      </c>
      <c r="E1384" s="2" t="str">
        <f>"9783837670837"</f>
        <v>9783837670837</v>
      </c>
      <c r="F1384" s="2" t="str">
        <f>"9783839470831"</f>
        <v>9783839470831</v>
      </c>
    </row>
    <row r="1385" spans="1:6" s="3" customFormat="1" ht="29.1" customHeight="1" x14ac:dyDescent="0.25">
      <c r="A1385" s="2" t="s">
        <v>3242</v>
      </c>
      <c r="B1385" s="2" t="s">
        <v>3243</v>
      </c>
      <c r="C1385" s="2" t="s">
        <v>556</v>
      </c>
      <c r="D1385" s="2" t="s">
        <v>2587</v>
      </c>
      <c r="E1385" s="2" t="str">
        <f>"9783837673180"</f>
        <v>9783837673180</v>
      </c>
      <c r="F1385" s="2" t="str">
        <f>"9783839473184"</f>
        <v>9783839473184</v>
      </c>
    </row>
    <row r="1386" spans="1:6" s="3" customFormat="1" ht="29.1" customHeight="1" x14ac:dyDescent="0.25">
      <c r="A1386" s="2" t="s">
        <v>3244</v>
      </c>
      <c r="B1386" s="2" t="s">
        <v>3246</v>
      </c>
      <c r="C1386" s="2" t="s">
        <v>556</v>
      </c>
      <c r="D1386" s="2" t="s">
        <v>3245</v>
      </c>
      <c r="E1386" s="2" t="str">
        <f>"9783837672718"</f>
        <v>9783837672718</v>
      </c>
      <c r="F1386" s="2" t="str">
        <f>"9783839472712"</f>
        <v>9783839472712</v>
      </c>
    </row>
    <row r="1387" spans="1:6" s="3" customFormat="1" ht="29.1" customHeight="1" x14ac:dyDescent="0.25">
      <c r="A1387" s="2" t="s">
        <v>3247</v>
      </c>
      <c r="B1387" s="2" t="s">
        <v>3249</v>
      </c>
      <c r="C1387" s="2" t="s">
        <v>3248</v>
      </c>
      <c r="D1387" s="2" t="s">
        <v>682</v>
      </c>
      <c r="E1387" s="2" t="str">
        <f>"9781644533635"</f>
        <v>9781644533635</v>
      </c>
      <c r="F1387" s="2" t="str">
        <f>"9781644533666"</f>
        <v>9781644533666</v>
      </c>
    </row>
    <row r="1388" spans="1:6" s="3" customFormat="1" ht="29.1" customHeight="1" x14ac:dyDescent="0.25">
      <c r="A1388" s="2" t="s">
        <v>3250</v>
      </c>
      <c r="B1388" s="2" t="s">
        <v>3251</v>
      </c>
      <c r="C1388" s="2" t="s">
        <v>149</v>
      </c>
      <c r="D1388" s="2" t="s">
        <v>1240</v>
      </c>
      <c r="E1388" s="2" t="str">
        <f>"9781805115564"</f>
        <v>9781805115564</v>
      </c>
      <c r="F1388" s="2" t="str">
        <f>"9781805115588"</f>
        <v>9781805115588</v>
      </c>
    </row>
    <row r="1389" spans="1:6" s="3" customFormat="1" ht="29.1" customHeight="1" x14ac:dyDescent="0.25">
      <c r="A1389" s="2" t="s">
        <v>3252</v>
      </c>
      <c r="B1389" s="2" t="s">
        <v>3254</v>
      </c>
      <c r="C1389" s="2" t="s">
        <v>36</v>
      </c>
      <c r="D1389" s="2" t="s">
        <v>3253</v>
      </c>
      <c r="E1389" s="2"/>
      <c r="F1389" s="2" t="str">
        <f>"9781529236897"</f>
        <v>9781529236897</v>
      </c>
    </row>
    <row r="1390" spans="1:6" s="3" customFormat="1" ht="29.1" customHeight="1" x14ac:dyDescent="0.25">
      <c r="A1390" s="2" t="s">
        <v>3255</v>
      </c>
      <c r="B1390" s="2" t="s">
        <v>3256</v>
      </c>
      <c r="C1390" s="2" t="s">
        <v>927</v>
      </c>
      <c r="D1390" s="2" t="s">
        <v>297</v>
      </c>
      <c r="E1390" s="2" t="str">
        <f>"9780472057641"</f>
        <v>9780472057641</v>
      </c>
      <c r="F1390" s="2" t="str">
        <f>"9780472905232"</f>
        <v>9780472905232</v>
      </c>
    </row>
    <row r="1391" spans="1:6" s="3" customFormat="1" ht="29.1" customHeight="1" x14ac:dyDescent="0.25">
      <c r="A1391" s="2" t="s">
        <v>3257</v>
      </c>
      <c r="B1391" s="2" t="s">
        <v>3258</v>
      </c>
      <c r="C1391" s="2" t="s">
        <v>927</v>
      </c>
      <c r="D1391" s="2" t="s">
        <v>270</v>
      </c>
      <c r="E1391" s="2" t="str">
        <f>"9780472057696"</f>
        <v>9780472057696</v>
      </c>
      <c r="F1391" s="2" t="str">
        <f>"9780472905294"</f>
        <v>9780472905294</v>
      </c>
    </row>
    <row r="1392" spans="1:6" s="3" customFormat="1" ht="29.1" customHeight="1" x14ac:dyDescent="0.25">
      <c r="A1392" s="2" t="s">
        <v>3259</v>
      </c>
      <c r="B1392" s="2" t="s">
        <v>3260</v>
      </c>
      <c r="C1392" s="2" t="s">
        <v>927</v>
      </c>
      <c r="D1392" s="2" t="s">
        <v>297</v>
      </c>
      <c r="E1392" s="2" t="str">
        <f>"9780472057597"</f>
        <v>9780472057597</v>
      </c>
      <c r="F1392" s="2" t="str">
        <f>"9780472905171"</f>
        <v>9780472905171</v>
      </c>
    </row>
    <row r="1393" spans="1:6" s="3" customFormat="1" ht="29.1" customHeight="1" x14ac:dyDescent="0.25">
      <c r="A1393" s="2" t="s">
        <v>3261</v>
      </c>
      <c r="B1393" s="2" t="s">
        <v>3262</v>
      </c>
      <c r="C1393" s="2" t="s">
        <v>927</v>
      </c>
      <c r="D1393" s="2" t="s">
        <v>270</v>
      </c>
      <c r="E1393" s="2" t="str">
        <f>"9780472057474"</f>
        <v>9780472057474</v>
      </c>
      <c r="F1393" s="2" t="str">
        <f>"9780472905065"</f>
        <v>9780472905065</v>
      </c>
    </row>
    <row r="1394" spans="1:6" s="3" customFormat="1" ht="29.1" customHeight="1" x14ac:dyDescent="0.25">
      <c r="A1394" s="2" t="s">
        <v>3263</v>
      </c>
      <c r="B1394" s="2" t="s">
        <v>3264</v>
      </c>
      <c r="C1394" s="2" t="s">
        <v>927</v>
      </c>
      <c r="D1394" s="2" t="s">
        <v>270</v>
      </c>
      <c r="E1394" s="2" t="str">
        <f>"9780472057801"</f>
        <v>9780472057801</v>
      </c>
      <c r="F1394" s="2" t="str">
        <f>"9780472905386"</f>
        <v>9780472905386</v>
      </c>
    </row>
    <row r="1395" spans="1:6" s="3" customFormat="1" ht="29.1" customHeight="1" x14ac:dyDescent="0.25">
      <c r="A1395" s="2" t="s">
        <v>3265</v>
      </c>
      <c r="B1395" s="2" t="s">
        <v>3266</v>
      </c>
      <c r="C1395" s="2" t="s">
        <v>5</v>
      </c>
      <c r="D1395" s="2" t="s">
        <v>9</v>
      </c>
      <c r="E1395" s="2" t="str">
        <f>"9782384764532"</f>
        <v>9782384764532</v>
      </c>
      <c r="F1395" s="2" t="str">
        <f>"9782384764549"</f>
        <v>9782384764549</v>
      </c>
    </row>
    <row r="1396" spans="1:6" s="3" customFormat="1" ht="29.1" customHeight="1" x14ac:dyDescent="0.25">
      <c r="A1396" s="2" t="s">
        <v>3267</v>
      </c>
      <c r="B1396" s="2" t="s">
        <v>3268</v>
      </c>
      <c r="C1396" s="2" t="s">
        <v>29</v>
      </c>
      <c r="D1396" s="2" t="s">
        <v>192</v>
      </c>
      <c r="E1396" s="2" t="str">
        <f>"9789004708426"</f>
        <v>9789004708426</v>
      </c>
      <c r="F1396" s="2" t="str">
        <f>"9789004708433"</f>
        <v>9789004708433</v>
      </c>
    </row>
    <row r="1397" spans="1:6" s="3" customFormat="1" ht="29.1" customHeight="1" x14ac:dyDescent="0.25">
      <c r="A1397" s="2" t="s">
        <v>3269</v>
      </c>
      <c r="B1397" s="2" t="s">
        <v>3271</v>
      </c>
      <c r="C1397" s="2" t="s">
        <v>29</v>
      </c>
      <c r="D1397" s="2" t="s">
        <v>3270</v>
      </c>
      <c r="E1397" s="2" t="str">
        <f>"9789004738768"</f>
        <v>9789004738768</v>
      </c>
      <c r="F1397" s="2" t="str">
        <f>"9789004738799"</f>
        <v>9789004738799</v>
      </c>
    </row>
    <row r="1398" spans="1:6" s="3" customFormat="1" ht="29.1" customHeight="1" x14ac:dyDescent="0.25">
      <c r="A1398" s="2" t="s">
        <v>3272</v>
      </c>
      <c r="B1398" s="2" t="s">
        <v>3273</v>
      </c>
      <c r="C1398" s="2" t="s">
        <v>195</v>
      </c>
      <c r="D1398" s="2" t="s">
        <v>436</v>
      </c>
      <c r="E1398" s="2" t="str">
        <f>"9783111246215"</f>
        <v>9783111246215</v>
      </c>
      <c r="F1398" s="2" t="str">
        <f>"9783111268132"</f>
        <v>9783111268132</v>
      </c>
    </row>
    <row r="1399" spans="1:6" s="3" customFormat="1" ht="29.1" customHeight="1" x14ac:dyDescent="0.25">
      <c r="A1399" s="2" t="s">
        <v>3274</v>
      </c>
      <c r="B1399" s="2" t="s">
        <v>3275</v>
      </c>
      <c r="C1399" s="2" t="s">
        <v>195</v>
      </c>
      <c r="D1399" s="2" t="s">
        <v>2713</v>
      </c>
      <c r="E1399" s="2" t="str">
        <f>"9783111690841"</f>
        <v>9783111690841</v>
      </c>
      <c r="F1399" s="2" t="str">
        <f>"9783111692067"</f>
        <v>9783111692067</v>
      </c>
    </row>
    <row r="1400" spans="1:6" s="3" customFormat="1" ht="29.1" customHeight="1" x14ac:dyDescent="0.25">
      <c r="A1400" s="2" t="s">
        <v>3276</v>
      </c>
      <c r="B1400" s="2" t="s">
        <v>3277</v>
      </c>
      <c r="C1400" s="2" t="s">
        <v>124</v>
      </c>
      <c r="D1400" s="2" t="s">
        <v>1189</v>
      </c>
      <c r="E1400" s="2" t="str">
        <f>"9781032740331"</f>
        <v>9781032740331</v>
      </c>
      <c r="F1400" s="2" t="str">
        <f>"9781003467342"</f>
        <v>9781003467342</v>
      </c>
    </row>
    <row r="1401" spans="1:6" s="3" customFormat="1" ht="29.1" customHeight="1" x14ac:dyDescent="0.25">
      <c r="A1401" s="2" t="s">
        <v>3278</v>
      </c>
      <c r="B1401" s="2" t="s">
        <v>3279</v>
      </c>
      <c r="C1401" s="2" t="s">
        <v>124</v>
      </c>
      <c r="D1401" s="2" t="s">
        <v>402</v>
      </c>
      <c r="E1401" s="2" t="str">
        <f>"9781032760063"</f>
        <v>9781032760063</v>
      </c>
      <c r="F1401" s="2" t="str">
        <f>"9781003476580"</f>
        <v>9781003476580</v>
      </c>
    </row>
    <row r="1402" spans="1:6" s="3" customFormat="1" ht="29.1" customHeight="1" x14ac:dyDescent="0.25">
      <c r="A1402" s="2" t="s">
        <v>3280</v>
      </c>
      <c r="B1402" s="2" t="s">
        <v>3282</v>
      </c>
      <c r="C1402" s="2" t="s">
        <v>124</v>
      </c>
      <c r="D1402" s="2" t="s">
        <v>3281</v>
      </c>
      <c r="E1402" s="2" t="str">
        <f>"9781032981994"</f>
        <v>9781032981994</v>
      </c>
      <c r="F1402" s="2" t="str">
        <f>"9781003611790"</f>
        <v>9781003611790</v>
      </c>
    </row>
    <row r="1403" spans="1:6" s="3" customFormat="1" ht="29.1" customHeight="1" x14ac:dyDescent="0.25">
      <c r="A1403" s="2" t="s">
        <v>3283</v>
      </c>
      <c r="B1403" s="2" t="s">
        <v>3284</v>
      </c>
      <c r="C1403" s="2" t="s">
        <v>124</v>
      </c>
      <c r="D1403" s="2" t="s">
        <v>189</v>
      </c>
      <c r="E1403" s="2" t="str">
        <f>"9781032858449"</f>
        <v>9781032858449</v>
      </c>
      <c r="F1403" s="2" t="str">
        <f>"9781003520160"</f>
        <v>9781003520160</v>
      </c>
    </row>
    <row r="1404" spans="1:6" s="3" customFormat="1" ht="29.1" customHeight="1" x14ac:dyDescent="0.25">
      <c r="A1404" s="2" t="s">
        <v>3285</v>
      </c>
      <c r="B1404" s="2" t="s">
        <v>3286</v>
      </c>
      <c r="C1404" s="2" t="s">
        <v>124</v>
      </c>
      <c r="D1404" s="2" t="s">
        <v>522</v>
      </c>
      <c r="E1404" s="2" t="str">
        <f>"9781032846743"</f>
        <v>9781032846743</v>
      </c>
      <c r="F1404" s="2" t="str">
        <f>"9781003514404"</f>
        <v>9781003514404</v>
      </c>
    </row>
    <row r="1405" spans="1:6" s="3" customFormat="1" ht="29.1" customHeight="1" x14ac:dyDescent="0.25">
      <c r="A1405" s="2" t="s">
        <v>3287</v>
      </c>
      <c r="B1405" s="2" t="s">
        <v>3288</v>
      </c>
      <c r="C1405" s="2" t="s">
        <v>124</v>
      </c>
      <c r="D1405" s="2" t="s">
        <v>2433</v>
      </c>
      <c r="E1405" s="2" t="str">
        <f>"9781032590295"</f>
        <v>9781032590295</v>
      </c>
      <c r="F1405" s="2" t="str">
        <f>"9781003461005"</f>
        <v>9781003461005</v>
      </c>
    </row>
    <row r="1406" spans="1:6" s="3" customFormat="1" ht="29.1" customHeight="1" x14ac:dyDescent="0.25">
      <c r="A1406" s="2" t="s">
        <v>3289</v>
      </c>
      <c r="B1406" s="2" t="s">
        <v>3290</v>
      </c>
      <c r="C1406" s="2" t="s">
        <v>124</v>
      </c>
      <c r="D1406" s="2" t="s">
        <v>101</v>
      </c>
      <c r="E1406" s="2" t="str">
        <f>"9781032746920"</f>
        <v>9781032746920</v>
      </c>
      <c r="F1406" s="2" t="str">
        <f>"9781003473763"</f>
        <v>9781003473763</v>
      </c>
    </row>
    <row r="1407" spans="1:6" s="3" customFormat="1" ht="29.1" customHeight="1" x14ac:dyDescent="0.25">
      <c r="A1407" s="2" t="s">
        <v>3291</v>
      </c>
      <c r="B1407" s="2" t="s">
        <v>3292</v>
      </c>
      <c r="C1407" s="2" t="s">
        <v>5</v>
      </c>
      <c r="D1407" s="2" t="s">
        <v>186</v>
      </c>
      <c r="E1407" s="2" t="str">
        <f>"9789464638103"</f>
        <v>9789464638103</v>
      </c>
      <c r="F1407" s="2" t="str">
        <f>"9789464638110"</f>
        <v>9789464638110</v>
      </c>
    </row>
    <row r="1408" spans="1:6" s="3" customFormat="1" ht="29.1" customHeight="1" x14ac:dyDescent="0.25">
      <c r="A1408" s="2" t="s">
        <v>3293</v>
      </c>
      <c r="B1408" s="2" t="s">
        <v>3294</v>
      </c>
      <c r="C1408" s="2" t="s">
        <v>5</v>
      </c>
      <c r="D1408" s="2" t="s">
        <v>674</v>
      </c>
      <c r="E1408" s="2" t="str">
        <f>"9789819680450"</f>
        <v>9789819680450</v>
      </c>
      <c r="F1408" s="2" t="str">
        <f>"9789819680467"</f>
        <v>9789819680467</v>
      </c>
    </row>
    <row r="1409" spans="1:6" s="3" customFormat="1" ht="29.1" customHeight="1" x14ac:dyDescent="0.25">
      <c r="A1409" s="2" t="s">
        <v>3295</v>
      </c>
      <c r="B1409" s="2" t="s">
        <v>3296</v>
      </c>
      <c r="C1409" s="2" t="s">
        <v>5</v>
      </c>
      <c r="D1409" s="2" t="s">
        <v>1253</v>
      </c>
      <c r="E1409" s="2" t="str">
        <f>"9783662714294"</f>
        <v>9783662714294</v>
      </c>
      <c r="F1409" s="2" t="str">
        <f>"9783662714300"</f>
        <v>9783662714300</v>
      </c>
    </row>
    <row r="1410" spans="1:6" s="3" customFormat="1" ht="29.1" customHeight="1" x14ac:dyDescent="0.25">
      <c r="A1410" s="2" t="s">
        <v>3297</v>
      </c>
      <c r="B1410" s="2" t="s">
        <v>3298</v>
      </c>
      <c r="C1410" s="2" t="s">
        <v>5</v>
      </c>
      <c r="D1410" s="2" t="s">
        <v>78</v>
      </c>
      <c r="E1410" s="2" t="str">
        <f>"9783031979804"</f>
        <v>9783031979804</v>
      </c>
      <c r="F1410" s="2" t="str">
        <f>"9783031979811"</f>
        <v>9783031979811</v>
      </c>
    </row>
    <row r="1411" spans="1:6" s="3" customFormat="1" ht="29.1" customHeight="1" x14ac:dyDescent="0.25">
      <c r="A1411" s="2" t="s">
        <v>3299</v>
      </c>
      <c r="B1411" s="2" t="s">
        <v>3300</v>
      </c>
      <c r="C1411" s="2" t="s">
        <v>1070</v>
      </c>
      <c r="D1411" s="2" t="s">
        <v>1272</v>
      </c>
      <c r="E1411" s="2" t="str">
        <f>"9783318073706"</f>
        <v>9783318073706</v>
      </c>
      <c r="F1411" s="2" t="str">
        <f>"9783318074789"</f>
        <v>9783318074789</v>
      </c>
    </row>
    <row r="1412" spans="1:6" s="3" customFormat="1" ht="29.1" customHeight="1" x14ac:dyDescent="0.25">
      <c r="A1412" s="2" t="s">
        <v>3301</v>
      </c>
      <c r="B1412" s="2" t="s">
        <v>3302</v>
      </c>
      <c r="C1412" s="2" t="s">
        <v>124</v>
      </c>
      <c r="D1412" s="2" t="s">
        <v>162</v>
      </c>
      <c r="E1412" s="2" t="str">
        <f>"9781032879741"</f>
        <v>9781032879741</v>
      </c>
      <c r="F1412" s="2" t="str">
        <f>"9781003535676"</f>
        <v>9781003535676</v>
      </c>
    </row>
    <row r="1413" spans="1:6" s="3" customFormat="1" ht="29.1" customHeight="1" x14ac:dyDescent="0.25">
      <c r="A1413" s="2" t="s">
        <v>3303</v>
      </c>
      <c r="B1413" s="2" t="s">
        <v>3305</v>
      </c>
      <c r="C1413" s="2" t="s">
        <v>5</v>
      </c>
      <c r="D1413" s="2" t="s">
        <v>3304</v>
      </c>
      <c r="E1413" s="2" t="str">
        <f>"9789819694853"</f>
        <v>9789819694853</v>
      </c>
      <c r="F1413" s="2" t="str">
        <f>"9789819694860"</f>
        <v>9789819694860</v>
      </c>
    </row>
    <row r="1414" spans="1:6" s="3" customFormat="1" ht="29.1" customHeight="1" x14ac:dyDescent="0.25">
      <c r="A1414" s="2" t="s">
        <v>3306</v>
      </c>
      <c r="B1414" s="2" t="s">
        <v>3307</v>
      </c>
      <c r="C1414" s="2" t="s">
        <v>5</v>
      </c>
      <c r="D1414" s="2" t="s">
        <v>75</v>
      </c>
      <c r="E1414" s="2" t="str">
        <f>"9783031835360"</f>
        <v>9783031835360</v>
      </c>
      <c r="F1414" s="2" t="str">
        <f>"9783031835377"</f>
        <v>9783031835377</v>
      </c>
    </row>
    <row r="1415" spans="1:6" s="3" customFormat="1" ht="29.1" customHeight="1" x14ac:dyDescent="0.25">
      <c r="A1415" s="2" t="s">
        <v>3308</v>
      </c>
      <c r="B1415" s="2" t="s">
        <v>3309</v>
      </c>
      <c r="C1415" s="2" t="s">
        <v>5</v>
      </c>
      <c r="D1415" s="2" t="s">
        <v>1189</v>
      </c>
      <c r="E1415" s="2" t="str">
        <f>"9789819678655"</f>
        <v>9789819678655</v>
      </c>
      <c r="F1415" s="2" t="str">
        <f>"9789819678662"</f>
        <v>9789819678662</v>
      </c>
    </row>
    <row r="1416" spans="1:6" s="3" customFormat="1" ht="29.1" customHeight="1" x14ac:dyDescent="0.25">
      <c r="A1416" s="2" t="s">
        <v>3310</v>
      </c>
      <c r="B1416" s="2" t="s">
        <v>3311</v>
      </c>
      <c r="C1416" s="2" t="s">
        <v>2133</v>
      </c>
      <c r="D1416" s="2" t="s">
        <v>858</v>
      </c>
      <c r="E1416" s="2" t="str">
        <f>"9781760467012"</f>
        <v>9781760467012</v>
      </c>
      <c r="F1416" s="2" t="str">
        <f>"9781760467029"</f>
        <v>9781760467029</v>
      </c>
    </row>
    <row r="1417" spans="1:6" s="3" customFormat="1" ht="29.1" customHeight="1" x14ac:dyDescent="0.25">
      <c r="A1417" s="2" t="s">
        <v>3312</v>
      </c>
      <c r="B1417" s="2" t="s">
        <v>3313</v>
      </c>
      <c r="C1417" s="2" t="s">
        <v>149</v>
      </c>
      <c r="D1417" s="2" t="s">
        <v>405</v>
      </c>
      <c r="E1417" s="2" t="str">
        <f>"9781685712761"</f>
        <v>9781685712761</v>
      </c>
      <c r="F1417" s="2" t="str">
        <f>"9781685712778"</f>
        <v>9781685712778</v>
      </c>
    </row>
    <row r="1418" spans="1:6" s="3" customFormat="1" ht="29.1" customHeight="1" x14ac:dyDescent="0.25">
      <c r="A1418" s="2" t="s">
        <v>3314</v>
      </c>
      <c r="B1418" s="2" t="s">
        <v>3315</v>
      </c>
      <c r="C1418" s="2" t="s">
        <v>5</v>
      </c>
      <c r="D1418" s="2" t="s">
        <v>682</v>
      </c>
      <c r="E1418" s="2" t="str">
        <f>"9789464638141"</f>
        <v>9789464638141</v>
      </c>
      <c r="F1418" s="2" t="str">
        <f>"9789464638158"</f>
        <v>9789464638158</v>
      </c>
    </row>
    <row r="1419" spans="1:6" s="3" customFormat="1" ht="29.1" customHeight="1" x14ac:dyDescent="0.25">
      <c r="A1419" s="2" t="s">
        <v>3316</v>
      </c>
      <c r="B1419" s="2" t="s">
        <v>3317</v>
      </c>
      <c r="C1419" s="2" t="s">
        <v>5</v>
      </c>
      <c r="D1419" s="2" t="s">
        <v>544</v>
      </c>
      <c r="E1419" s="2" t="str">
        <f>"9789464638127"</f>
        <v>9789464638127</v>
      </c>
      <c r="F1419" s="2" t="str">
        <f>"9789464638134"</f>
        <v>9789464638134</v>
      </c>
    </row>
    <row r="1420" spans="1:6" s="3" customFormat="1" ht="29.1" customHeight="1" x14ac:dyDescent="0.25">
      <c r="A1420" s="2" t="s">
        <v>3318</v>
      </c>
      <c r="B1420" s="2" t="s">
        <v>3320</v>
      </c>
      <c r="C1420" s="2" t="s">
        <v>5</v>
      </c>
      <c r="D1420" s="2" t="s">
        <v>3319</v>
      </c>
      <c r="E1420" s="2" t="str">
        <f>"9783031938702"</f>
        <v>9783031938702</v>
      </c>
      <c r="F1420" s="2" t="str">
        <f>"9783031938719"</f>
        <v>9783031938719</v>
      </c>
    </row>
    <row r="1421" spans="1:6" s="3" customFormat="1" ht="29.1" customHeight="1" x14ac:dyDescent="0.25">
      <c r="A1421" s="2" t="s">
        <v>3321</v>
      </c>
      <c r="B1421" s="2" t="s">
        <v>3322</v>
      </c>
      <c r="C1421" s="2" t="s">
        <v>3248</v>
      </c>
      <c r="D1421" s="2" t="s">
        <v>297</v>
      </c>
      <c r="E1421" s="2" t="str">
        <f>"9781978836983"</f>
        <v>9781978836983</v>
      </c>
      <c r="F1421" s="2" t="str">
        <f>"9781978837010"</f>
        <v>9781978837010</v>
      </c>
    </row>
    <row r="1422" spans="1:6" s="3" customFormat="1" ht="29.1" customHeight="1" x14ac:dyDescent="0.25">
      <c r="A1422" s="2" t="s">
        <v>3323</v>
      </c>
      <c r="B1422" s="2" t="s">
        <v>3324</v>
      </c>
      <c r="C1422" s="2" t="s">
        <v>927</v>
      </c>
      <c r="D1422" s="2" t="s">
        <v>402</v>
      </c>
      <c r="E1422" s="2" t="str">
        <f>"9780472057672"</f>
        <v>9780472057672</v>
      </c>
      <c r="F1422" s="2" t="str">
        <f>"9780472905270"</f>
        <v>9780472905270</v>
      </c>
    </row>
    <row r="1423" spans="1:6" s="3" customFormat="1" ht="29.1" customHeight="1" x14ac:dyDescent="0.25">
      <c r="A1423" s="2" t="s">
        <v>3325</v>
      </c>
      <c r="B1423" s="2" t="s">
        <v>3326</v>
      </c>
      <c r="C1423" s="2" t="s">
        <v>29</v>
      </c>
      <c r="D1423" s="2" t="s">
        <v>405</v>
      </c>
      <c r="E1423" s="2" t="str">
        <f>"9783770569762"</f>
        <v>9783770569762</v>
      </c>
      <c r="F1423" s="2" t="str">
        <f>"9783846769768"</f>
        <v>9783846769768</v>
      </c>
    </row>
    <row r="1424" spans="1:6" s="3" customFormat="1" ht="29.1" customHeight="1" x14ac:dyDescent="0.25">
      <c r="A1424" s="2" t="s">
        <v>3327</v>
      </c>
      <c r="B1424" s="2" t="s">
        <v>3329</v>
      </c>
      <c r="C1424" s="2" t="s">
        <v>29</v>
      </c>
      <c r="D1424" s="2" t="s">
        <v>3328</v>
      </c>
      <c r="E1424" s="2" t="str">
        <f>"9789004739116"</f>
        <v>9789004739116</v>
      </c>
      <c r="F1424" s="2" t="str">
        <f>"9789004743229"</f>
        <v>9789004743229</v>
      </c>
    </row>
    <row r="1425" spans="1:6" s="3" customFormat="1" ht="29.1" customHeight="1" x14ac:dyDescent="0.25">
      <c r="A1425" s="2" t="s">
        <v>3330</v>
      </c>
      <c r="B1425" s="2" t="s">
        <v>3331</v>
      </c>
      <c r="C1425" s="2" t="s">
        <v>29</v>
      </c>
      <c r="D1425" s="2" t="s">
        <v>459</v>
      </c>
      <c r="E1425" s="2" t="str">
        <f>"9789004737129"</f>
        <v>9789004737129</v>
      </c>
      <c r="F1425" s="2" t="str">
        <f>"9789004737136"</f>
        <v>9789004737136</v>
      </c>
    </row>
    <row r="1426" spans="1:6" s="3" customFormat="1" ht="29.1" customHeight="1" x14ac:dyDescent="0.25">
      <c r="A1426" s="2" t="s">
        <v>3332</v>
      </c>
      <c r="B1426" s="2" t="s">
        <v>3333</v>
      </c>
      <c r="C1426" s="2" t="s">
        <v>124</v>
      </c>
      <c r="D1426" s="2" t="s">
        <v>484</v>
      </c>
      <c r="E1426" s="2" t="str">
        <f>"9781041004011"</f>
        <v>9781041004011</v>
      </c>
      <c r="F1426" s="2" t="str">
        <f>"9781003609667"</f>
        <v>9781003609667</v>
      </c>
    </row>
    <row r="1427" spans="1:6" s="3" customFormat="1" ht="29.1" customHeight="1" x14ac:dyDescent="0.25">
      <c r="A1427" s="2" t="s">
        <v>3334</v>
      </c>
      <c r="B1427" s="2" t="s">
        <v>3335</v>
      </c>
      <c r="C1427" s="2" t="s">
        <v>3248</v>
      </c>
      <c r="D1427" s="2" t="s">
        <v>297</v>
      </c>
      <c r="E1427" s="2" t="str">
        <f>"9781978839779"</f>
        <v>9781978839779</v>
      </c>
      <c r="F1427" s="2" t="str">
        <f>"9781978839793"</f>
        <v>9781978839793</v>
      </c>
    </row>
    <row r="1428" spans="1:6" s="3" customFormat="1" ht="29.1" customHeight="1" x14ac:dyDescent="0.25">
      <c r="A1428" s="2" t="s">
        <v>3336</v>
      </c>
      <c r="B1428" s="2" t="s">
        <v>3337</v>
      </c>
      <c r="C1428" s="2" t="s">
        <v>3248</v>
      </c>
      <c r="D1428" s="2" t="s">
        <v>9</v>
      </c>
      <c r="E1428" s="2" t="str">
        <f>"9781978828827"</f>
        <v>9781978828827</v>
      </c>
      <c r="F1428" s="2" t="str">
        <f>"9781978828841"</f>
        <v>9781978828841</v>
      </c>
    </row>
    <row r="1429" spans="1:6" s="3" customFormat="1" ht="29.1" customHeight="1" x14ac:dyDescent="0.25">
      <c r="A1429" s="2" t="s">
        <v>3338</v>
      </c>
      <c r="B1429" s="2" t="s">
        <v>3339</v>
      </c>
      <c r="C1429" s="2" t="s">
        <v>3248</v>
      </c>
      <c r="D1429" s="2" t="s">
        <v>33</v>
      </c>
      <c r="E1429" s="2" t="str">
        <f>"9781644533482"</f>
        <v>9781644533482</v>
      </c>
      <c r="F1429" s="2" t="str">
        <f>"9781644533505"</f>
        <v>9781644533505</v>
      </c>
    </row>
    <row r="1430" spans="1:6" s="3" customFormat="1" ht="29.1" customHeight="1" x14ac:dyDescent="0.25">
      <c r="A1430" s="2" t="s">
        <v>3340</v>
      </c>
      <c r="B1430" s="2" t="s">
        <v>3341</v>
      </c>
      <c r="C1430" s="2" t="s">
        <v>195</v>
      </c>
      <c r="D1430" s="2" t="s">
        <v>465</v>
      </c>
      <c r="E1430" s="2" t="str">
        <f>"9783111354170"</f>
        <v>9783111354170</v>
      </c>
      <c r="F1430" s="2" t="str">
        <f>"9783111354651"</f>
        <v>9783111354651</v>
      </c>
    </row>
    <row r="1431" spans="1:6" s="3" customFormat="1" ht="29.1" customHeight="1" x14ac:dyDescent="0.25">
      <c r="A1431" s="2" t="s">
        <v>3342</v>
      </c>
      <c r="B1431" s="2" t="s">
        <v>3343</v>
      </c>
      <c r="C1431" s="2" t="s">
        <v>195</v>
      </c>
      <c r="D1431" s="2" t="s">
        <v>446</v>
      </c>
      <c r="E1431" s="2" t="str">
        <f>"9783119147064"</f>
        <v>9783119147064</v>
      </c>
      <c r="F1431" s="2" t="str">
        <f>"9783112210093"</f>
        <v>9783112210093</v>
      </c>
    </row>
    <row r="1432" spans="1:6" s="3" customFormat="1" ht="29.1" customHeight="1" x14ac:dyDescent="0.25">
      <c r="A1432" s="2" t="s">
        <v>3344</v>
      </c>
      <c r="B1432" s="2" t="s">
        <v>3346</v>
      </c>
      <c r="C1432" s="2" t="s">
        <v>195</v>
      </c>
      <c r="D1432" s="2" t="s">
        <v>3345</v>
      </c>
      <c r="E1432" s="2" t="str">
        <f>"9783119145671"</f>
        <v>9783119145671</v>
      </c>
      <c r="F1432" s="2" t="str">
        <f>"9783112212066"</f>
        <v>9783112212066</v>
      </c>
    </row>
    <row r="1433" spans="1:6" s="3" customFormat="1" ht="29.1" customHeight="1" x14ac:dyDescent="0.25">
      <c r="A1433" s="2" t="s">
        <v>3347</v>
      </c>
      <c r="B1433" s="2" t="s">
        <v>3348</v>
      </c>
      <c r="C1433" s="2" t="s">
        <v>195</v>
      </c>
      <c r="D1433" s="2" t="s">
        <v>1956</v>
      </c>
      <c r="E1433" s="2" t="str">
        <f>"9783111616179"</f>
        <v>9783111616179</v>
      </c>
      <c r="F1433" s="2" t="str">
        <f>"9783111625911"</f>
        <v>9783111625911</v>
      </c>
    </row>
    <row r="1434" spans="1:6" s="3" customFormat="1" ht="29.1" customHeight="1" x14ac:dyDescent="0.25">
      <c r="A1434" s="2" t="s">
        <v>3349</v>
      </c>
      <c r="B1434" s="2" t="s">
        <v>3350</v>
      </c>
      <c r="C1434" s="2" t="s">
        <v>195</v>
      </c>
      <c r="D1434" s="2" t="s">
        <v>3345</v>
      </c>
      <c r="E1434" s="2" t="str">
        <f>"9783110767544"</f>
        <v>9783110767544</v>
      </c>
      <c r="F1434" s="2" t="str">
        <f>"9783110767582"</f>
        <v>9783110767582</v>
      </c>
    </row>
    <row r="1435" spans="1:6" s="3" customFormat="1" ht="29.1" customHeight="1" x14ac:dyDescent="0.25">
      <c r="A1435" s="2" t="s">
        <v>3351</v>
      </c>
      <c r="B1435" s="2" t="s">
        <v>3352</v>
      </c>
      <c r="C1435" s="2" t="s">
        <v>5</v>
      </c>
      <c r="D1435" s="2" t="s">
        <v>141</v>
      </c>
      <c r="E1435" s="2" t="str">
        <f>"9789464638080"</f>
        <v>9789464638080</v>
      </c>
      <c r="F1435" s="2" t="str">
        <f>"9789464638097"</f>
        <v>9789464638097</v>
      </c>
    </row>
    <row r="1436" spans="1:6" s="3" customFormat="1" ht="29.1" customHeight="1" x14ac:dyDescent="0.25">
      <c r="A1436" s="2" t="s">
        <v>3353</v>
      </c>
      <c r="B1436" s="2" t="s">
        <v>3355</v>
      </c>
      <c r="C1436" s="2" t="s">
        <v>5</v>
      </c>
      <c r="D1436" s="2" t="s">
        <v>3354</v>
      </c>
      <c r="E1436" s="2" t="str">
        <f>"9789819691159"</f>
        <v>9789819691159</v>
      </c>
      <c r="F1436" s="2" t="str">
        <f>"9789819691166"</f>
        <v>9789819691166</v>
      </c>
    </row>
    <row r="1437" spans="1:6" s="3" customFormat="1" ht="29.1" customHeight="1" x14ac:dyDescent="0.25">
      <c r="A1437" s="2" t="s">
        <v>3356</v>
      </c>
      <c r="B1437" s="2" t="s">
        <v>3357</v>
      </c>
      <c r="C1437" s="2" t="s">
        <v>5</v>
      </c>
      <c r="D1437" s="2" t="s">
        <v>2391</v>
      </c>
      <c r="E1437" s="2" t="str">
        <f>"9789464637984"</f>
        <v>9789464637984</v>
      </c>
      <c r="F1437" s="2" t="str">
        <f>"9789464637991"</f>
        <v>9789464637991</v>
      </c>
    </row>
    <row r="1438" spans="1:6" s="3" customFormat="1" ht="29.1" customHeight="1" x14ac:dyDescent="0.25">
      <c r="A1438" s="2" t="s">
        <v>3358</v>
      </c>
      <c r="B1438" s="2" t="s">
        <v>3359</v>
      </c>
      <c r="C1438" s="2" t="s">
        <v>5</v>
      </c>
      <c r="D1438" s="2" t="s">
        <v>284</v>
      </c>
      <c r="E1438" s="2" t="str">
        <f>"9783031784316"</f>
        <v>9783031784316</v>
      </c>
      <c r="F1438" s="2" t="str">
        <f>"9783031784323"</f>
        <v>9783031784323</v>
      </c>
    </row>
    <row r="1439" spans="1:6" s="3" customFormat="1" ht="29.1" customHeight="1" x14ac:dyDescent="0.25">
      <c r="A1439" s="2" t="s">
        <v>3360</v>
      </c>
      <c r="B1439" s="2" t="s">
        <v>3361</v>
      </c>
      <c r="C1439" s="2" t="s">
        <v>2183</v>
      </c>
      <c r="D1439" s="2" t="s">
        <v>107</v>
      </c>
      <c r="E1439" s="2" t="str">
        <f>"9781641894081"</f>
        <v>9781641894081</v>
      </c>
      <c r="F1439" s="2" t="str">
        <f>"9781802703603"</f>
        <v>9781802703603</v>
      </c>
    </row>
    <row r="1440" spans="1:6" s="3" customFormat="1" ht="29.1" customHeight="1" x14ac:dyDescent="0.25">
      <c r="A1440" s="2" t="s">
        <v>3362</v>
      </c>
      <c r="B1440" s="2" t="s">
        <v>3363</v>
      </c>
      <c r="C1440" s="2" t="s">
        <v>556</v>
      </c>
      <c r="D1440" s="2" t="s">
        <v>446</v>
      </c>
      <c r="E1440" s="2" t="str">
        <f>"9783837677454"</f>
        <v>9783837677454</v>
      </c>
      <c r="F1440" s="2" t="str">
        <f>"9783839400791"</f>
        <v>9783839400791</v>
      </c>
    </row>
    <row r="1441" spans="1:6" s="3" customFormat="1" ht="29.1" customHeight="1" x14ac:dyDescent="0.25">
      <c r="A1441" s="2" t="s">
        <v>3364</v>
      </c>
      <c r="B1441" s="2" t="s">
        <v>3365</v>
      </c>
      <c r="C1441" s="2" t="s">
        <v>556</v>
      </c>
      <c r="D1441" s="2" t="s">
        <v>1895</v>
      </c>
      <c r="E1441" s="2" t="str">
        <f>"9783837675214"</f>
        <v>9783837675214</v>
      </c>
      <c r="F1441" s="2" t="str">
        <f>"9783839475218"</f>
        <v>9783839475218</v>
      </c>
    </row>
    <row r="1442" spans="1:6" s="3" customFormat="1" ht="29.1" customHeight="1" x14ac:dyDescent="0.25">
      <c r="A1442" s="2" t="s">
        <v>3366</v>
      </c>
      <c r="B1442" s="2" t="s">
        <v>3367</v>
      </c>
      <c r="C1442" s="2" t="s">
        <v>556</v>
      </c>
      <c r="D1442" s="2" t="s">
        <v>328</v>
      </c>
      <c r="E1442" s="2" t="str">
        <f>"9783837679106"</f>
        <v>9783837679106</v>
      </c>
      <c r="F1442" s="2" t="str">
        <f>"9783839431290"</f>
        <v>9783839431290</v>
      </c>
    </row>
    <row r="1443" spans="1:6" s="3" customFormat="1" ht="29.1" customHeight="1" x14ac:dyDescent="0.25">
      <c r="A1443" s="2" t="s">
        <v>3368</v>
      </c>
      <c r="B1443" s="2" t="s">
        <v>3369</v>
      </c>
      <c r="C1443" s="2" t="s">
        <v>556</v>
      </c>
      <c r="D1443" s="2" t="s">
        <v>446</v>
      </c>
      <c r="E1443" s="2" t="str">
        <f>"9783837677027"</f>
        <v>9783837677027</v>
      </c>
      <c r="F1443" s="2" t="str">
        <f>"9783839477021"</f>
        <v>9783839477021</v>
      </c>
    </row>
    <row r="1444" spans="1:6" s="3" customFormat="1" ht="29.1" customHeight="1" x14ac:dyDescent="0.25">
      <c r="A1444" s="2" t="s">
        <v>3370</v>
      </c>
      <c r="B1444" s="2" t="s">
        <v>3371</v>
      </c>
      <c r="C1444" s="2" t="s">
        <v>556</v>
      </c>
      <c r="D1444" s="2" t="s">
        <v>446</v>
      </c>
      <c r="E1444" s="2" t="str">
        <f>"9783837675481"</f>
        <v>9783837675481</v>
      </c>
      <c r="F1444" s="2" t="str">
        <f>"9783839475485"</f>
        <v>9783839475485</v>
      </c>
    </row>
    <row r="1445" spans="1:6" s="3" customFormat="1" ht="29.1" customHeight="1" x14ac:dyDescent="0.25">
      <c r="A1445" s="2" t="s">
        <v>3372</v>
      </c>
      <c r="B1445" s="2" t="s">
        <v>3373</v>
      </c>
      <c r="C1445" s="2" t="s">
        <v>556</v>
      </c>
      <c r="D1445" s="2" t="s">
        <v>37</v>
      </c>
      <c r="E1445" s="2" t="str">
        <f>"9783837674682"</f>
        <v>9783837674682</v>
      </c>
      <c r="F1445" s="2" t="str">
        <f>"9783839474686"</f>
        <v>9783839474686</v>
      </c>
    </row>
    <row r="1446" spans="1:6" s="3" customFormat="1" ht="29.1" customHeight="1" x14ac:dyDescent="0.25">
      <c r="A1446" s="2" t="s">
        <v>3374</v>
      </c>
      <c r="B1446" s="2" t="s">
        <v>3375</v>
      </c>
      <c r="C1446" s="2" t="s">
        <v>556</v>
      </c>
      <c r="D1446" s="2" t="s">
        <v>1127</v>
      </c>
      <c r="E1446" s="2" t="str">
        <f>"9783837675313"</f>
        <v>9783837675313</v>
      </c>
      <c r="F1446" s="2" t="str">
        <f>"9783839475317"</f>
        <v>9783839475317</v>
      </c>
    </row>
    <row r="1447" spans="1:6" s="3" customFormat="1" ht="29.1" customHeight="1" x14ac:dyDescent="0.25">
      <c r="A1447" s="2" t="s">
        <v>3376</v>
      </c>
      <c r="B1447" s="2" t="s">
        <v>3377</v>
      </c>
      <c r="C1447" s="2" t="s">
        <v>556</v>
      </c>
      <c r="D1447" s="2" t="s">
        <v>78</v>
      </c>
      <c r="E1447" s="2" t="str">
        <f>"9783837677416"</f>
        <v>9783837677416</v>
      </c>
      <c r="F1447" s="2" t="str">
        <f>"9783839404393"</f>
        <v>9783839404393</v>
      </c>
    </row>
    <row r="1448" spans="1:6" s="3" customFormat="1" ht="29.1" customHeight="1" x14ac:dyDescent="0.25">
      <c r="A1448" s="2" t="s">
        <v>3378</v>
      </c>
      <c r="B1448" s="2" t="s">
        <v>3380</v>
      </c>
      <c r="C1448" s="2" t="s">
        <v>556</v>
      </c>
      <c r="D1448" s="2" t="s">
        <v>3379</v>
      </c>
      <c r="E1448" s="2" t="str">
        <f>"9783837677836"</f>
        <v>9783837677836</v>
      </c>
      <c r="F1448" s="2" t="str">
        <f>"9783839409275"</f>
        <v>9783839409275</v>
      </c>
    </row>
    <row r="1449" spans="1:6" s="3" customFormat="1" ht="29.1" customHeight="1" x14ac:dyDescent="0.25">
      <c r="A1449" s="2" t="s">
        <v>3381</v>
      </c>
      <c r="B1449" s="2" t="s">
        <v>3382</v>
      </c>
      <c r="C1449" s="2" t="s">
        <v>556</v>
      </c>
      <c r="D1449" s="2" t="s">
        <v>2587</v>
      </c>
      <c r="E1449" s="2" t="str">
        <f>"9783837676174"</f>
        <v>9783837676174</v>
      </c>
      <c r="F1449" s="2" t="str">
        <f>"9783839476178"</f>
        <v>9783839476178</v>
      </c>
    </row>
    <row r="1450" spans="1:6" s="3" customFormat="1" ht="29.1" customHeight="1" x14ac:dyDescent="0.25">
      <c r="A1450" s="2" t="s">
        <v>3383</v>
      </c>
      <c r="B1450" s="2" t="s">
        <v>3384</v>
      </c>
      <c r="C1450" s="2" t="s">
        <v>556</v>
      </c>
      <c r="D1450" s="2" t="s">
        <v>1162</v>
      </c>
      <c r="E1450" s="2" t="str">
        <f>"9783837671827"</f>
        <v>9783837671827</v>
      </c>
      <c r="F1450" s="2" t="str">
        <f>"9783839471821"</f>
        <v>9783839471821</v>
      </c>
    </row>
    <row r="1451" spans="1:6" s="3" customFormat="1" ht="29.1" customHeight="1" x14ac:dyDescent="0.25">
      <c r="A1451" s="2" t="s">
        <v>3385</v>
      </c>
      <c r="B1451" s="2" t="s">
        <v>3386</v>
      </c>
      <c r="C1451" s="2" t="s">
        <v>556</v>
      </c>
      <c r="D1451" s="2" t="s">
        <v>78</v>
      </c>
      <c r="E1451" s="2" t="str">
        <f>"9783837673166"</f>
        <v>9783837673166</v>
      </c>
      <c r="F1451" s="2" t="str">
        <f>"9783839401279"</f>
        <v>9783839401279</v>
      </c>
    </row>
    <row r="1452" spans="1:6" s="3" customFormat="1" ht="29.1" customHeight="1" x14ac:dyDescent="0.25">
      <c r="A1452" s="2" t="s">
        <v>3387</v>
      </c>
      <c r="B1452" s="2" t="s">
        <v>3388</v>
      </c>
      <c r="C1452" s="2" t="s">
        <v>556</v>
      </c>
      <c r="D1452" s="2" t="s">
        <v>1201</v>
      </c>
      <c r="E1452" s="2" t="str">
        <f>"9783837661699"</f>
        <v>9783837661699</v>
      </c>
      <c r="F1452" s="2" t="str">
        <f>"9783839461693"</f>
        <v>9783839461693</v>
      </c>
    </row>
    <row r="1453" spans="1:6" s="3" customFormat="1" ht="29.1" customHeight="1" x14ac:dyDescent="0.25">
      <c r="A1453" s="2" t="s">
        <v>3389</v>
      </c>
      <c r="B1453" s="2" t="s">
        <v>3390</v>
      </c>
      <c r="C1453" s="2" t="s">
        <v>556</v>
      </c>
      <c r="D1453" s="2" t="s">
        <v>699</v>
      </c>
      <c r="E1453" s="2" t="str">
        <f>"9783837677232"</f>
        <v>9783837677232</v>
      </c>
      <c r="F1453" s="2" t="str">
        <f>"9783839402443"</f>
        <v>9783839402443</v>
      </c>
    </row>
    <row r="1454" spans="1:6" s="3" customFormat="1" ht="29.1" customHeight="1" x14ac:dyDescent="0.25">
      <c r="A1454" s="2" t="s">
        <v>3391</v>
      </c>
      <c r="B1454" s="2" t="s">
        <v>3392</v>
      </c>
      <c r="C1454" s="2" t="s">
        <v>556</v>
      </c>
      <c r="D1454" s="2" t="s">
        <v>202</v>
      </c>
      <c r="E1454" s="2" t="str">
        <f>"9783837678109"</f>
        <v>9783837678109</v>
      </c>
      <c r="F1454" s="2" t="str">
        <f>"9783839412398"</f>
        <v>9783839412398</v>
      </c>
    </row>
    <row r="1455" spans="1:6" s="3" customFormat="1" ht="29.1" customHeight="1" x14ac:dyDescent="0.25">
      <c r="A1455" s="2" t="s">
        <v>3393</v>
      </c>
      <c r="B1455" s="2" t="s">
        <v>3395</v>
      </c>
      <c r="C1455" s="2" t="s">
        <v>248</v>
      </c>
      <c r="D1455" s="2" t="s">
        <v>3394</v>
      </c>
      <c r="E1455" s="2" t="str">
        <f>"9783966651028"</f>
        <v>9783966651028</v>
      </c>
      <c r="F1455" s="2" t="str">
        <f>"9783966658911"</f>
        <v>9783966658911</v>
      </c>
    </row>
    <row r="1456" spans="1:6" s="3" customFormat="1" ht="29.1" customHeight="1" x14ac:dyDescent="0.25">
      <c r="A1456" s="2" t="s">
        <v>3396</v>
      </c>
      <c r="B1456" s="2" t="s">
        <v>3397</v>
      </c>
      <c r="C1456" s="2" t="s">
        <v>5</v>
      </c>
      <c r="D1456" s="2" t="s">
        <v>232</v>
      </c>
      <c r="E1456" s="2" t="str">
        <f>"9783031979729"</f>
        <v>9783031979729</v>
      </c>
      <c r="F1456" s="2" t="str">
        <f>"9783031979736"</f>
        <v>9783031979736</v>
      </c>
    </row>
    <row r="1457" spans="1:6" s="3" customFormat="1" ht="29.1" customHeight="1" x14ac:dyDescent="0.25">
      <c r="A1457" s="2" t="s">
        <v>3398</v>
      </c>
      <c r="B1457" s="2" t="s">
        <v>3399</v>
      </c>
      <c r="C1457" s="2" t="s">
        <v>5</v>
      </c>
      <c r="D1457" s="2" t="s">
        <v>606</v>
      </c>
      <c r="E1457" s="2" t="str">
        <f>"9783031853470"</f>
        <v>9783031853470</v>
      </c>
      <c r="F1457" s="2" t="str">
        <f>"9783031853487"</f>
        <v>9783031853487</v>
      </c>
    </row>
    <row r="1458" spans="1:6" s="3" customFormat="1" ht="29.1" customHeight="1" x14ac:dyDescent="0.25">
      <c r="A1458" s="2" t="s">
        <v>3400</v>
      </c>
      <c r="B1458" s="2" t="s">
        <v>3401</v>
      </c>
      <c r="C1458" s="2" t="s">
        <v>149</v>
      </c>
      <c r="D1458" s="2" t="s">
        <v>2016</v>
      </c>
      <c r="E1458" s="2" t="str">
        <f>"9781067253530"</f>
        <v>9781067253530</v>
      </c>
      <c r="F1458" s="2" t="str">
        <f>"9781067253547"</f>
        <v>9781067253547</v>
      </c>
    </row>
    <row r="1459" spans="1:6" s="3" customFormat="1" ht="29.1" customHeight="1" x14ac:dyDescent="0.25">
      <c r="A1459" s="2" t="s">
        <v>3402</v>
      </c>
      <c r="B1459" s="2" t="s">
        <v>3403</v>
      </c>
      <c r="C1459" s="2" t="s">
        <v>5</v>
      </c>
      <c r="D1459" s="2" t="s">
        <v>52</v>
      </c>
      <c r="E1459" s="2" t="str">
        <f>"9789464638042"</f>
        <v>9789464638042</v>
      </c>
      <c r="F1459" s="2" t="str">
        <f>"9789464638059"</f>
        <v>9789464638059</v>
      </c>
    </row>
    <row r="1460" spans="1:6" s="3" customFormat="1" ht="29.1" customHeight="1" x14ac:dyDescent="0.25">
      <c r="A1460" s="2" t="s">
        <v>3404</v>
      </c>
      <c r="B1460" s="2" t="s">
        <v>3405</v>
      </c>
      <c r="C1460" s="2" t="s">
        <v>5</v>
      </c>
      <c r="D1460" s="2" t="s">
        <v>92</v>
      </c>
      <c r="E1460" s="2" t="str">
        <f>"9789464637908"</f>
        <v>9789464637908</v>
      </c>
      <c r="F1460" s="2" t="str">
        <f>"9789464637915"</f>
        <v>9789464637915</v>
      </c>
    </row>
    <row r="1461" spans="1:6" s="3" customFormat="1" ht="29.1" customHeight="1" x14ac:dyDescent="0.25">
      <c r="A1461" s="2" t="s">
        <v>3406</v>
      </c>
      <c r="B1461" s="2" t="s">
        <v>3408</v>
      </c>
      <c r="C1461" s="2" t="s">
        <v>5</v>
      </c>
      <c r="D1461" s="2" t="s">
        <v>3407</v>
      </c>
      <c r="E1461" s="2" t="str">
        <f>"9783658492632"</f>
        <v>9783658492632</v>
      </c>
      <c r="F1461" s="2" t="str">
        <f>"9783658492649"</f>
        <v>9783658492649</v>
      </c>
    </row>
    <row r="1462" spans="1:6" s="3" customFormat="1" ht="29.1" customHeight="1" x14ac:dyDescent="0.25">
      <c r="A1462" s="2" t="s">
        <v>3409</v>
      </c>
      <c r="B1462" s="2" t="s">
        <v>3410</v>
      </c>
      <c r="C1462" s="2" t="s">
        <v>5</v>
      </c>
      <c r="D1462" s="2" t="s">
        <v>674</v>
      </c>
      <c r="E1462" s="2" t="str">
        <f>"9783031933387"</f>
        <v>9783031933387</v>
      </c>
      <c r="F1462" s="2" t="str">
        <f>"9783031933394"</f>
        <v>9783031933394</v>
      </c>
    </row>
    <row r="1463" spans="1:6" s="3" customFormat="1" ht="29.1" customHeight="1" x14ac:dyDescent="0.25">
      <c r="A1463" s="2" t="s">
        <v>3411</v>
      </c>
      <c r="B1463" s="2" t="s">
        <v>3412</v>
      </c>
      <c r="C1463" s="2" t="s">
        <v>5</v>
      </c>
      <c r="D1463" s="2" t="s">
        <v>12</v>
      </c>
      <c r="E1463" s="2" t="str">
        <f>"9783031843662"</f>
        <v>9783031843662</v>
      </c>
      <c r="F1463" s="2" t="str">
        <f>"9783031843679"</f>
        <v>9783031843679</v>
      </c>
    </row>
    <row r="1464" spans="1:6" s="3" customFormat="1" ht="29.1" customHeight="1" x14ac:dyDescent="0.25">
      <c r="A1464" s="2" t="s">
        <v>3413</v>
      </c>
      <c r="B1464" s="2" t="s">
        <v>3414</v>
      </c>
      <c r="C1464" s="2" t="s">
        <v>5</v>
      </c>
      <c r="D1464" s="2" t="s">
        <v>78</v>
      </c>
      <c r="E1464" s="2" t="str">
        <f>"9783031951466"</f>
        <v>9783031951466</v>
      </c>
      <c r="F1464" s="2" t="str">
        <f>"9783031951473"</f>
        <v>9783031951473</v>
      </c>
    </row>
    <row r="1465" spans="1:6" s="3" customFormat="1" ht="29.1" customHeight="1" x14ac:dyDescent="0.25">
      <c r="A1465" s="2" t="s">
        <v>3415</v>
      </c>
      <c r="B1465" s="2" t="s">
        <v>3414</v>
      </c>
      <c r="C1465" s="2" t="s">
        <v>5</v>
      </c>
      <c r="D1465" s="2" t="s">
        <v>78</v>
      </c>
      <c r="E1465" s="2" t="str">
        <f>"9783031951503"</f>
        <v>9783031951503</v>
      </c>
      <c r="F1465" s="2" t="str">
        <f>"9783031951510"</f>
        <v>9783031951510</v>
      </c>
    </row>
    <row r="1466" spans="1:6" s="3" customFormat="1" ht="29.1" customHeight="1" x14ac:dyDescent="0.25">
      <c r="A1466" s="2" t="s">
        <v>3416</v>
      </c>
      <c r="B1466" s="2" t="s">
        <v>3417</v>
      </c>
      <c r="C1466" s="2" t="s">
        <v>149</v>
      </c>
      <c r="D1466" s="2" t="s">
        <v>636</v>
      </c>
      <c r="E1466" s="2" t="str">
        <f>"9781912729340"</f>
        <v>9781912729340</v>
      </c>
      <c r="F1466" s="2" t="str">
        <f>"9781912729326"</f>
        <v>9781912729326</v>
      </c>
    </row>
    <row r="1467" spans="1:6" s="3" customFormat="1" ht="29.1" customHeight="1" x14ac:dyDescent="0.25">
      <c r="A1467" s="2" t="s">
        <v>3418</v>
      </c>
      <c r="B1467" s="2" t="s">
        <v>3419</v>
      </c>
      <c r="C1467" s="2" t="s">
        <v>149</v>
      </c>
      <c r="D1467" s="2" t="s">
        <v>1141</v>
      </c>
      <c r="E1467" s="2" t="str">
        <f>"9781805116325"</f>
        <v>9781805116325</v>
      </c>
      <c r="F1467" s="2" t="str">
        <f>"9781805116349"</f>
        <v>9781805116349</v>
      </c>
    </row>
    <row r="1468" spans="1:6" s="3" customFormat="1" ht="29.1" customHeight="1" x14ac:dyDescent="0.25">
      <c r="A1468" s="2" t="s">
        <v>3420</v>
      </c>
      <c r="B1468" s="2" t="s">
        <v>3421</v>
      </c>
      <c r="C1468" s="2" t="s">
        <v>264</v>
      </c>
      <c r="D1468" s="2" t="s">
        <v>12</v>
      </c>
      <c r="E1468" s="2" t="str">
        <f>"9781032812540"</f>
        <v>9781032812540</v>
      </c>
      <c r="F1468" s="2" t="str">
        <f>"9781003508588"</f>
        <v>9781003508588</v>
      </c>
    </row>
    <row r="1469" spans="1:6" s="3" customFormat="1" ht="29.1" customHeight="1" x14ac:dyDescent="0.25">
      <c r="A1469" s="2" t="s">
        <v>3422</v>
      </c>
      <c r="B1469" s="2" t="s">
        <v>3424</v>
      </c>
      <c r="C1469" s="2" t="s">
        <v>5</v>
      </c>
      <c r="D1469" s="2" t="s">
        <v>3423</v>
      </c>
      <c r="E1469" s="2" t="str">
        <f>"9783031920240"</f>
        <v>9783031920240</v>
      </c>
      <c r="F1469" s="2" t="str">
        <f>"9783031920257"</f>
        <v>9783031920257</v>
      </c>
    </row>
    <row r="1470" spans="1:6" s="3" customFormat="1" ht="29.1" customHeight="1" x14ac:dyDescent="0.25">
      <c r="A1470" s="2" t="s">
        <v>3425</v>
      </c>
      <c r="B1470" s="2" t="s">
        <v>3426</v>
      </c>
      <c r="C1470" s="2" t="s">
        <v>5</v>
      </c>
      <c r="D1470" s="2" t="s">
        <v>1189</v>
      </c>
      <c r="E1470" s="2" t="str">
        <f>"9789819656288"</f>
        <v>9789819656288</v>
      </c>
      <c r="F1470" s="2" t="str">
        <f>"9789819656295"</f>
        <v>9789819656295</v>
      </c>
    </row>
    <row r="1471" spans="1:6" s="3" customFormat="1" ht="29.1" customHeight="1" x14ac:dyDescent="0.25">
      <c r="A1471" s="2" t="s">
        <v>3427</v>
      </c>
      <c r="B1471" s="2" t="s">
        <v>3428</v>
      </c>
      <c r="C1471" s="2" t="s">
        <v>62</v>
      </c>
      <c r="D1471" s="2" t="s">
        <v>1104</v>
      </c>
      <c r="E1471" s="2" t="str">
        <f>"9783428192052"</f>
        <v>9783428192052</v>
      </c>
      <c r="F1471" s="2" t="str">
        <f>"9783428592050"</f>
        <v>9783428592050</v>
      </c>
    </row>
    <row r="1472" spans="1:6" s="3" customFormat="1" ht="29.1" customHeight="1" x14ac:dyDescent="0.25">
      <c r="A1472" s="2" t="s">
        <v>3429</v>
      </c>
      <c r="B1472" s="2" t="s">
        <v>3431</v>
      </c>
      <c r="C1472" s="2" t="s">
        <v>264</v>
      </c>
      <c r="D1472" s="2" t="s">
        <v>3430</v>
      </c>
      <c r="E1472" s="2" t="str">
        <f>"9781032867854"</f>
        <v>9781032867854</v>
      </c>
      <c r="F1472" s="2" t="str">
        <f>"9781003530787"</f>
        <v>9781003530787</v>
      </c>
    </row>
    <row r="1473" spans="1:6" s="3" customFormat="1" ht="29.1" customHeight="1" x14ac:dyDescent="0.25">
      <c r="A1473" s="2" t="s">
        <v>3432</v>
      </c>
      <c r="B1473" s="2" t="s">
        <v>3433</v>
      </c>
      <c r="C1473" s="2" t="s">
        <v>264</v>
      </c>
      <c r="D1473" s="2" t="s">
        <v>44</v>
      </c>
      <c r="E1473" s="2" t="str">
        <f>"9780367343064"</f>
        <v>9780367343064</v>
      </c>
      <c r="F1473" s="2" t="str">
        <f>"9780429324925"</f>
        <v>9780429324925</v>
      </c>
    </row>
    <row r="1474" spans="1:6" s="3" customFormat="1" ht="29.1" customHeight="1" x14ac:dyDescent="0.25">
      <c r="A1474" s="2" t="s">
        <v>3434</v>
      </c>
      <c r="B1474" s="2" t="s">
        <v>3435</v>
      </c>
      <c r="C1474" s="2" t="s">
        <v>124</v>
      </c>
      <c r="D1474" s="2" t="s">
        <v>168</v>
      </c>
      <c r="E1474" s="2" t="str">
        <f>"9781032696911"</f>
        <v>9781032696911</v>
      </c>
      <c r="F1474" s="2" t="str">
        <f>"9781003423294"</f>
        <v>9781003423294</v>
      </c>
    </row>
    <row r="1475" spans="1:6" s="3" customFormat="1" ht="29.1" customHeight="1" x14ac:dyDescent="0.25">
      <c r="A1475" s="2" t="s">
        <v>3436</v>
      </c>
      <c r="B1475" s="2" t="s">
        <v>3437</v>
      </c>
      <c r="C1475" s="2" t="s">
        <v>124</v>
      </c>
      <c r="D1475" s="2" t="s">
        <v>1189</v>
      </c>
      <c r="E1475" s="2" t="str">
        <f>"9781041018728"</f>
        <v>9781041018728</v>
      </c>
      <c r="F1475" s="2" t="str">
        <f>"9781003616733"</f>
        <v>9781003616733</v>
      </c>
    </row>
    <row r="1476" spans="1:6" s="3" customFormat="1" ht="29.1" customHeight="1" x14ac:dyDescent="0.25">
      <c r="A1476" s="2" t="s">
        <v>3438</v>
      </c>
      <c r="B1476" s="2" t="s">
        <v>3439</v>
      </c>
      <c r="C1476" s="2" t="s">
        <v>124</v>
      </c>
      <c r="D1476" s="2" t="s">
        <v>2016</v>
      </c>
      <c r="E1476" s="2" t="str">
        <f>"9781032848662"</f>
        <v>9781032848662</v>
      </c>
      <c r="F1476" s="2" t="str">
        <f>"9781003515401"</f>
        <v>9781003515401</v>
      </c>
    </row>
    <row r="1477" spans="1:6" s="3" customFormat="1" ht="29.1" customHeight="1" x14ac:dyDescent="0.25">
      <c r="A1477" s="2" t="s">
        <v>3440</v>
      </c>
      <c r="B1477" s="2" t="s">
        <v>3441</v>
      </c>
      <c r="C1477" s="2" t="s">
        <v>124</v>
      </c>
      <c r="D1477" s="2" t="s">
        <v>1809</v>
      </c>
      <c r="E1477" s="2" t="str">
        <f>"9781032229867"</f>
        <v>9781032229867</v>
      </c>
      <c r="F1477" s="2" t="str">
        <f>"9781003275084"</f>
        <v>9781003275084</v>
      </c>
    </row>
    <row r="1478" spans="1:6" s="3" customFormat="1" ht="29.1" customHeight="1" x14ac:dyDescent="0.25">
      <c r="A1478" s="2" t="s">
        <v>3442</v>
      </c>
      <c r="B1478" s="2" t="s">
        <v>3443</v>
      </c>
      <c r="C1478" s="2" t="s">
        <v>124</v>
      </c>
      <c r="D1478" s="2" t="s">
        <v>183</v>
      </c>
      <c r="E1478" s="2" t="str">
        <f>"9781032868165"</f>
        <v>9781032868165</v>
      </c>
      <c r="F1478" s="2" t="str">
        <f>"9781003542810"</f>
        <v>9781003542810</v>
      </c>
    </row>
    <row r="1479" spans="1:6" s="3" customFormat="1" ht="29.1" customHeight="1" x14ac:dyDescent="0.25">
      <c r="A1479" s="2" t="s">
        <v>3444</v>
      </c>
      <c r="B1479" s="2" t="s">
        <v>3446</v>
      </c>
      <c r="C1479" s="2" t="s">
        <v>29</v>
      </c>
      <c r="D1479" s="2" t="s">
        <v>3445</v>
      </c>
      <c r="E1479" s="2" t="str">
        <f>"9789004731882"</f>
        <v>9789004731882</v>
      </c>
      <c r="F1479" s="2" t="str">
        <f>"9789004731899"</f>
        <v>9789004731899</v>
      </c>
    </row>
    <row r="1480" spans="1:6" s="3" customFormat="1" ht="29.1" customHeight="1" x14ac:dyDescent="0.25">
      <c r="A1480" s="2" t="s">
        <v>3447</v>
      </c>
      <c r="B1480" s="2" t="s">
        <v>3448</v>
      </c>
      <c r="C1480" s="2" t="s">
        <v>29</v>
      </c>
      <c r="D1480" s="2" t="s">
        <v>324</v>
      </c>
      <c r="E1480" s="2" t="str">
        <f>"9783506797957"</f>
        <v>9783506797957</v>
      </c>
      <c r="F1480" s="2" t="str">
        <f>"9783657797950"</f>
        <v>9783657797950</v>
      </c>
    </row>
    <row r="1481" spans="1:6" s="3" customFormat="1" ht="29.1" customHeight="1" x14ac:dyDescent="0.25">
      <c r="A1481" s="2" t="s">
        <v>3449</v>
      </c>
      <c r="B1481" s="2" t="s">
        <v>3450</v>
      </c>
      <c r="C1481" s="2" t="s">
        <v>29</v>
      </c>
      <c r="D1481" s="2" t="s">
        <v>183</v>
      </c>
      <c r="E1481" s="2" t="str">
        <f>"9783770565733"</f>
        <v>9783770565733</v>
      </c>
      <c r="F1481" s="2" t="str">
        <f>"9783846765739"</f>
        <v>9783846765739</v>
      </c>
    </row>
    <row r="1482" spans="1:6" s="3" customFormat="1" ht="29.1" customHeight="1" x14ac:dyDescent="0.25">
      <c r="A1482" s="2" t="s">
        <v>3451</v>
      </c>
      <c r="B1482" s="2" t="s">
        <v>3452</v>
      </c>
      <c r="C1482" s="2" t="s">
        <v>29</v>
      </c>
      <c r="D1482" s="2" t="s">
        <v>1077</v>
      </c>
      <c r="E1482" s="2" t="str">
        <f>"9783770554140"</f>
        <v>9783770554140</v>
      </c>
      <c r="F1482" s="2" t="str">
        <f>"9783846700150"</f>
        <v>9783846700150</v>
      </c>
    </row>
    <row r="1483" spans="1:6" s="3" customFormat="1" ht="29.1" customHeight="1" x14ac:dyDescent="0.25">
      <c r="A1483" s="2" t="s">
        <v>3453</v>
      </c>
      <c r="B1483" s="2" t="s">
        <v>3454</v>
      </c>
      <c r="C1483" s="2" t="s">
        <v>195</v>
      </c>
      <c r="D1483" s="2" t="s">
        <v>202</v>
      </c>
      <c r="E1483" s="2" t="str">
        <f>"9783111675466"</f>
        <v>9783111675466</v>
      </c>
      <c r="F1483" s="2" t="str">
        <f>"9783111675893"</f>
        <v>9783111675893</v>
      </c>
    </row>
    <row r="1484" spans="1:6" s="3" customFormat="1" ht="29.1" customHeight="1" x14ac:dyDescent="0.25">
      <c r="A1484" s="2" t="s">
        <v>3455</v>
      </c>
      <c r="B1484" s="2" t="s">
        <v>3456</v>
      </c>
      <c r="C1484" s="2" t="s">
        <v>195</v>
      </c>
      <c r="D1484" s="2" t="s">
        <v>879</v>
      </c>
      <c r="E1484" s="2" t="str">
        <f>"9783111446493"</f>
        <v>9783111446493</v>
      </c>
      <c r="F1484" s="2" t="str">
        <f>"9783111446721"</f>
        <v>9783111446721</v>
      </c>
    </row>
    <row r="1485" spans="1:6" s="3" customFormat="1" ht="29.1" customHeight="1" x14ac:dyDescent="0.25">
      <c r="A1485" s="2" t="s">
        <v>3457</v>
      </c>
      <c r="B1485" s="2" t="s">
        <v>3458</v>
      </c>
      <c r="C1485" s="2" t="s">
        <v>195</v>
      </c>
      <c r="D1485" s="2" t="s">
        <v>465</v>
      </c>
      <c r="E1485" s="2" t="str">
        <f>"9783111700762"</f>
        <v>9783111700762</v>
      </c>
      <c r="F1485" s="2" t="str">
        <f>"9783111701141"</f>
        <v>9783111701141</v>
      </c>
    </row>
    <row r="1486" spans="1:6" s="3" customFormat="1" ht="29.1" customHeight="1" x14ac:dyDescent="0.25">
      <c r="A1486" s="2" t="s">
        <v>3459</v>
      </c>
      <c r="B1486" s="2" t="s">
        <v>3460</v>
      </c>
      <c r="C1486" s="2" t="s">
        <v>195</v>
      </c>
      <c r="D1486" s="2" t="s">
        <v>81</v>
      </c>
      <c r="E1486" s="2" t="str">
        <f>"9783111714196"</f>
        <v>9783111714196</v>
      </c>
      <c r="F1486" s="2" t="str">
        <f>"9783111714301"</f>
        <v>9783111714301</v>
      </c>
    </row>
    <row r="1487" spans="1:6" s="3" customFormat="1" ht="29.1" customHeight="1" x14ac:dyDescent="0.25">
      <c r="A1487" s="2" t="s">
        <v>3461</v>
      </c>
      <c r="B1487" s="2" t="s">
        <v>3462</v>
      </c>
      <c r="C1487" s="2" t="s">
        <v>195</v>
      </c>
      <c r="D1487" s="2" t="s">
        <v>2713</v>
      </c>
      <c r="E1487" s="2" t="str">
        <f>"9783111624020"</f>
        <v>9783111624020</v>
      </c>
      <c r="F1487" s="2" t="str">
        <f>"9783111624297"</f>
        <v>9783111624297</v>
      </c>
    </row>
    <row r="1488" spans="1:6" s="3" customFormat="1" ht="29.1" customHeight="1" x14ac:dyDescent="0.25">
      <c r="A1488" s="2" t="s">
        <v>3463</v>
      </c>
      <c r="B1488" s="2" t="s">
        <v>3464</v>
      </c>
      <c r="C1488" s="2" t="s">
        <v>195</v>
      </c>
      <c r="D1488" s="2" t="s">
        <v>210</v>
      </c>
      <c r="E1488" s="2" t="str">
        <f>"9783111540085"</f>
        <v>9783111540085</v>
      </c>
      <c r="F1488" s="2" t="str">
        <f>"9783111662954"</f>
        <v>9783111662954</v>
      </c>
    </row>
    <row r="1489" spans="1:6" s="3" customFormat="1" ht="29.1" customHeight="1" x14ac:dyDescent="0.25">
      <c r="A1489" s="2" t="s">
        <v>3465</v>
      </c>
      <c r="B1489" s="2" t="s">
        <v>3466</v>
      </c>
      <c r="C1489" s="2" t="s">
        <v>195</v>
      </c>
      <c r="D1489" s="2" t="s">
        <v>210</v>
      </c>
      <c r="E1489" s="2" t="str">
        <f>"9783111314426"</f>
        <v>9783111314426</v>
      </c>
      <c r="F1489" s="2" t="str">
        <f>"9783111675930"</f>
        <v>9783111675930</v>
      </c>
    </row>
    <row r="1490" spans="1:6" s="3" customFormat="1" ht="29.1" customHeight="1" x14ac:dyDescent="0.25">
      <c r="A1490" s="2" t="s">
        <v>3467</v>
      </c>
      <c r="B1490" s="2" t="s">
        <v>3469</v>
      </c>
      <c r="C1490" s="2" t="s">
        <v>195</v>
      </c>
      <c r="D1490" s="2" t="s">
        <v>3468</v>
      </c>
      <c r="E1490" s="2" t="str">
        <f>"9783111630960"</f>
        <v>9783111630960</v>
      </c>
      <c r="F1490" s="2" t="str">
        <f>"9783111631493"</f>
        <v>9783111631493</v>
      </c>
    </row>
    <row r="1491" spans="1:6" s="3" customFormat="1" ht="29.1" customHeight="1" x14ac:dyDescent="0.25">
      <c r="A1491" s="2" t="s">
        <v>3470</v>
      </c>
      <c r="B1491" s="2" t="s">
        <v>3471</v>
      </c>
      <c r="C1491" s="2" t="s">
        <v>195</v>
      </c>
      <c r="D1491" s="2" t="s">
        <v>33</v>
      </c>
      <c r="E1491" s="2" t="str">
        <f>"9783111388953"</f>
        <v>9783111388953</v>
      </c>
      <c r="F1491" s="2" t="str">
        <f>"9783111389165"</f>
        <v>9783111389165</v>
      </c>
    </row>
    <row r="1492" spans="1:6" s="3" customFormat="1" ht="29.1" customHeight="1" x14ac:dyDescent="0.25">
      <c r="A1492" s="2" t="s">
        <v>3472</v>
      </c>
      <c r="B1492" s="2" t="s">
        <v>3473</v>
      </c>
      <c r="C1492" s="2" t="s">
        <v>195</v>
      </c>
      <c r="D1492" s="2" t="s">
        <v>1768</v>
      </c>
      <c r="E1492" s="2" t="str">
        <f>"9783110782790"</f>
        <v>9783110782790</v>
      </c>
      <c r="F1492" s="2" t="str">
        <f>"9783110782844"</f>
        <v>9783110782844</v>
      </c>
    </row>
    <row r="1493" spans="1:6" s="3" customFormat="1" ht="29.1" customHeight="1" x14ac:dyDescent="0.25">
      <c r="A1493" s="2" t="s">
        <v>3474</v>
      </c>
      <c r="B1493" s="2" t="s">
        <v>3475</v>
      </c>
      <c r="C1493" s="2" t="s">
        <v>195</v>
      </c>
      <c r="D1493" s="2" t="s">
        <v>446</v>
      </c>
      <c r="E1493" s="2" t="str">
        <f>"9783110738698"</f>
        <v>9783110738698</v>
      </c>
      <c r="F1493" s="2" t="str">
        <f>"9783110734355"</f>
        <v>9783110734355</v>
      </c>
    </row>
    <row r="1494" spans="1:6" s="3" customFormat="1" ht="29.1" customHeight="1" x14ac:dyDescent="0.25">
      <c r="A1494" s="2" t="s">
        <v>3476</v>
      </c>
      <c r="B1494" s="2" t="s">
        <v>3477</v>
      </c>
      <c r="C1494" s="2" t="s">
        <v>5</v>
      </c>
      <c r="D1494" s="2" t="s">
        <v>9</v>
      </c>
      <c r="E1494" s="2" t="str">
        <f>"9789464638028"</f>
        <v>9789464638028</v>
      </c>
      <c r="F1494" s="2" t="str">
        <f>"9789464638035"</f>
        <v>9789464638035</v>
      </c>
    </row>
    <row r="1495" spans="1:6" s="3" customFormat="1" ht="29.1" customHeight="1" x14ac:dyDescent="0.25">
      <c r="A1495" s="2" t="s">
        <v>3478</v>
      </c>
      <c r="B1495" s="2" t="s">
        <v>3479</v>
      </c>
      <c r="C1495" s="2" t="s">
        <v>5</v>
      </c>
      <c r="D1495" s="2" t="s">
        <v>15</v>
      </c>
      <c r="E1495" s="2" t="str">
        <f>"9783031975097"</f>
        <v>9783031975097</v>
      </c>
      <c r="F1495" s="2" t="str">
        <f>"9783031975103"</f>
        <v>9783031975103</v>
      </c>
    </row>
    <row r="1496" spans="1:6" s="3" customFormat="1" ht="29.1" customHeight="1" x14ac:dyDescent="0.25">
      <c r="A1496" s="2" t="s">
        <v>3480</v>
      </c>
      <c r="B1496" s="2" t="s">
        <v>3481</v>
      </c>
      <c r="C1496" s="2" t="s">
        <v>5</v>
      </c>
      <c r="D1496" s="2" t="s">
        <v>9</v>
      </c>
      <c r="E1496" s="2" t="str">
        <f>"9783658489526"</f>
        <v>9783658489526</v>
      </c>
      <c r="F1496" s="2" t="str">
        <f>"9783658489533"</f>
        <v>9783658489533</v>
      </c>
    </row>
    <row r="1497" spans="1:6" s="3" customFormat="1" ht="29.1" customHeight="1" x14ac:dyDescent="0.25">
      <c r="A1497" s="2" t="s">
        <v>3482</v>
      </c>
      <c r="B1497" s="2" t="s">
        <v>3483</v>
      </c>
      <c r="C1497" s="2" t="s">
        <v>5</v>
      </c>
      <c r="D1497" s="2" t="s">
        <v>72</v>
      </c>
      <c r="E1497" s="2" t="str">
        <f>"9783031916519"</f>
        <v>9783031916519</v>
      </c>
      <c r="F1497" s="2" t="str">
        <f>"9783031916526"</f>
        <v>9783031916526</v>
      </c>
    </row>
    <row r="1498" spans="1:6" s="3" customFormat="1" ht="29.1" customHeight="1" x14ac:dyDescent="0.25">
      <c r="A1498" s="2" t="s">
        <v>3484</v>
      </c>
      <c r="B1498" s="2" t="s">
        <v>3485</v>
      </c>
      <c r="C1498" s="2" t="s">
        <v>5</v>
      </c>
      <c r="D1498" s="2" t="s">
        <v>712</v>
      </c>
      <c r="E1498" s="2" t="str">
        <f>"9783031871313"</f>
        <v>9783031871313</v>
      </c>
      <c r="F1498" s="2" t="str">
        <f>"9783031871320"</f>
        <v>9783031871320</v>
      </c>
    </row>
    <row r="1499" spans="1:6" s="3" customFormat="1" ht="29.1" customHeight="1" x14ac:dyDescent="0.25">
      <c r="A1499" s="2" t="s">
        <v>3486</v>
      </c>
      <c r="B1499" s="2" t="s">
        <v>3487</v>
      </c>
      <c r="C1499" s="2" t="s">
        <v>5</v>
      </c>
      <c r="D1499" s="2" t="s">
        <v>270</v>
      </c>
      <c r="E1499" s="2" t="str">
        <f>"9783031859625"</f>
        <v>9783031859625</v>
      </c>
      <c r="F1499" s="2" t="str">
        <f>"9783031859632"</f>
        <v>9783031859632</v>
      </c>
    </row>
    <row r="1500" spans="1:6" s="3" customFormat="1" ht="29.1" customHeight="1" x14ac:dyDescent="0.25">
      <c r="A1500" s="2" t="s">
        <v>3488</v>
      </c>
      <c r="B1500" s="2" t="s">
        <v>3490</v>
      </c>
      <c r="C1500" s="2" t="s">
        <v>5</v>
      </c>
      <c r="D1500" s="2" t="s">
        <v>3489</v>
      </c>
      <c r="E1500" s="2" t="str">
        <f>"9783658482107"</f>
        <v>9783658482107</v>
      </c>
      <c r="F1500" s="2" t="str">
        <f>"9783658482114"</f>
        <v>9783658482114</v>
      </c>
    </row>
    <row r="1501" spans="1:6" s="3" customFormat="1" ht="29.1" customHeight="1" x14ac:dyDescent="0.25">
      <c r="A1501" s="2" t="s">
        <v>3491</v>
      </c>
      <c r="B1501" s="2" t="s">
        <v>3492</v>
      </c>
      <c r="C1501" s="2" t="s">
        <v>5</v>
      </c>
      <c r="D1501" s="2" t="s">
        <v>3062</v>
      </c>
      <c r="E1501" s="2" t="str">
        <f>"9783031945649"</f>
        <v>9783031945649</v>
      </c>
      <c r="F1501" s="2" t="str">
        <f>"9783031945656"</f>
        <v>9783031945656</v>
      </c>
    </row>
    <row r="1502" spans="1:6" s="3" customFormat="1" ht="29.1" customHeight="1" x14ac:dyDescent="0.25">
      <c r="A1502" s="2" t="s">
        <v>3493</v>
      </c>
      <c r="B1502" s="2" t="s">
        <v>3494</v>
      </c>
      <c r="C1502" s="2" t="s">
        <v>5</v>
      </c>
      <c r="D1502" s="2" t="s">
        <v>98</v>
      </c>
      <c r="E1502" s="2" t="str">
        <f>"9783031957345"</f>
        <v>9783031957345</v>
      </c>
      <c r="F1502" s="2" t="str">
        <f>"9783031957352"</f>
        <v>9783031957352</v>
      </c>
    </row>
    <row r="1503" spans="1:6" s="3" customFormat="1" ht="29.1" customHeight="1" x14ac:dyDescent="0.25">
      <c r="A1503" s="2" t="s">
        <v>3495</v>
      </c>
      <c r="B1503" s="2" t="s">
        <v>3496</v>
      </c>
      <c r="C1503" s="2" t="s">
        <v>29</v>
      </c>
      <c r="D1503" s="2" t="s">
        <v>522</v>
      </c>
      <c r="E1503" s="2" t="str">
        <f>"9789004472570"</f>
        <v>9789004472570</v>
      </c>
      <c r="F1503" s="2" t="str">
        <f>"9789004508699"</f>
        <v>9789004508699</v>
      </c>
    </row>
    <row r="1504" spans="1:6" s="3" customFormat="1" ht="29.1" customHeight="1" x14ac:dyDescent="0.25">
      <c r="A1504" s="2" t="s">
        <v>3497</v>
      </c>
      <c r="B1504" s="2" t="s">
        <v>3498</v>
      </c>
      <c r="C1504" s="2" t="s">
        <v>746</v>
      </c>
      <c r="D1504" s="2" t="s">
        <v>606</v>
      </c>
      <c r="E1504" s="2" t="str">
        <f>"9781805830948"</f>
        <v>9781805830948</v>
      </c>
      <c r="F1504" s="2" t="str">
        <f>"9781805830955"</f>
        <v>9781805830955</v>
      </c>
    </row>
    <row r="1505" spans="1:6" s="3" customFormat="1" ht="29.1" customHeight="1" x14ac:dyDescent="0.25">
      <c r="A1505" s="2" t="s">
        <v>3499</v>
      </c>
      <c r="B1505" s="2" t="s">
        <v>3500</v>
      </c>
      <c r="C1505" s="2" t="s">
        <v>5</v>
      </c>
      <c r="D1505" s="2" t="s">
        <v>9</v>
      </c>
      <c r="E1505" s="2" t="str">
        <f>"9782384764518"</f>
        <v>9782384764518</v>
      </c>
      <c r="F1505" s="2" t="str">
        <f>"9782384764525"</f>
        <v>9782384764525</v>
      </c>
    </row>
    <row r="1506" spans="1:6" s="3" customFormat="1" ht="29.1" customHeight="1" x14ac:dyDescent="0.25">
      <c r="A1506" s="2" t="s">
        <v>3501</v>
      </c>
      <c r="B1506" s="2" t="s">
        <v>3502</v>
      </c>
      <c r="C1506" s="2" t="s">
        <v>5</v>
      </c>
      <c r="D1506" s="2" t="s">
        <v>141</v>
      </c>
      <c r="E1506" s="2" t="str">
        <f>"9789464638004"</f>
        <v>9789464638004</v>
      </c>
      <c r="F1506" s="2" t="str">
        <f>"9789464638011"</f>
        <v>9789464638011</v>
      </c>
    </row>
    <row r="1507" spans="1:6" s="3" customFormat="1" ht="29.1" customHeight="1" x14ac:dyDescent="0.25">
      <c r="A1507" s="2" t="s">
        <v>3503</v>
      </c>
      <c r="B1507" s="2" t="s">
        <v>3504</v>
      </c>
      <c r="C1507" s="2" t="s">
        <v>5</v>
      </c>
      <c r="D1507" s="2" t="s">
        <v>3304</v>
      </c>
      <c r="E1507" s="2" t="str">
        <f>"9783031988929"</f>
        <v>9783031988929</v>
      </c>
      <c r="F1507" s="2" t="str">
        <f>"9783031988936"</f>
        <v>9783031988936</v>
      </c>
    </row>
    <row r="1508" spans="1:6" s="3" customFormat="1" ht="29.1" customHeight="1" x14ac:dyDescent="0.25">
      <c r="A1508" s="2" t="s">
        <v>3505</v>
      </c>
      <c r="B1508" s="2" t="s">
        <v>3507</v>
      </c>
      <c r="C1508" s="2" t="s">
        <v>2516</v>
      </c>
      <c r="D1508" s="2" t="s">
        <v>3506</v>
      </c>
      <c r="E1508" s="2" t="str">
        <f>"9788028003302"</f>
        <v>9788028003302</v>
      </c>
      <c r="F1508" s="2" t="str">
        <f>"9788028003319"</f>
        <v>9788028003319</v>
      </c>
    </row>
    <row r="1509" spans="1:6" s="3" customFormat="1" ht="29.1" customHeight="1" x14ac:dyDescent="0.25">
      <c r="A1509" s="2" t="s">
        <v>3508</v>
      </c>
      <c r="B1509" s="2" t="s">
        <v>3509</v>
      </c>
      <c r="C1509" s="2" t="s">
        <v>2516</v>
      </c>
      <c r="D1509" s="2" t="s">
        <v>2590</v>
      </c>
      <c r="E1509" s="2"/>
      <c r="F1509" s="2" t="str">
        <f>"9788028003142"</f>
        <v>9788028003142</v>
      </c>
    </row>
    <row r="1510" spans="1:6" s="3" customFormat="1" ht="29.1" customHeight="1" x14ac:dyDescent="0.25">
      <c r="A1510" s="2" t="s">
        <v>3510</v>
      </c>
      <c r="B1510" s="2" t="s">
        <v>3511</v>
      </c>
      <c r="C1510" s="2" t="s">
        <v>2516</v>
      </c>
      <c r="D1510" s="2" t="s">
        <v>2805</v>
      </c>
      <c r="E1510" s="2"/>
      <c r="F1510" s="2" t="str">
        <f>"9788028000769"</f>
        <v>9788028000769</v>
      </c>
    </row>
    <row r="1511" spans="1:6" s="3" customFormat="1" ht="29.1" customHeight="1" x14ac:dyDescent="0.25">
      <c r="A1511" s="2" t="s">
        <v>3512</v>
      </c>
      <c r="B1511" s="2" t="s">
        <v>3514</v>
      </c>
      <c r="C1511" s="2" t="s">
        <v>3513</v>
      </c>
      <c r="D1511" s="2" t="s">
        <v>313</v>
      </c>
      <c r="E1511" s="2" t="str">
        <f>"9788382112610"</f>
        <v>9788382112610</v>
      </c>
      <c r="F1511" s="2" t="str">
        <f>"9788382112627"</f>
        <v>9788382112627</v>
      </c>
    </row>
    <row r="1512" spans="1:6" s="3" customFormat="1" ht="29.1" customHeight="1" x14ac:dyDescent="0.25">
      <c r="A1512" s="2" t="s">
        <v>3515</v>
      </c>
      <c r="B1512" s="2" t="s">
        <v>3517</v>
      </c>
      <c r="C1512" s="2" t="s">
        <v>3513</v>
      </c>
      <c r="D1512" s="2" t="s">
        <v>3516</v>
      </c>
      <c r="E1512" s="2" t="str">
        <f>"9788382112634"</f>
        <v>9788382112634</v>
      </c>
      <c r="F1512" s="2" t="str">
        <f>"9788382112641"</f>
        <v>9788382112641</v>
      </c>
    </row>
    <row r="1513" spans="1:6" s="3" customFormat="1" ht="29.1" customHeight="1" x14ac:dyDescent="0.25">
      <c r="A1513" s="2" t="s">
        <v>3518</v>
      </c>
      <c r="B1513" s="2" t="s">
        <v>3519</v>
      </c>
      <c r="C1513" s="2" t="s">
        <v>5</v>
      </c>
      <c r="D1513" s="2" t="s">
        <v>141</v>
      </c>
      <c r="E1513" s="2" t="str">
        <f>"9789464637571"</f>
        <v>9789464637571</v>
      </c>
      <c r="F1513" s="2" t="str">
        <f>"9789464637588"</f>
        <v>9789464637588</v>
      </c>
    </row>
    <row r="1514" spans="1:6" s="3" customFormat="1" ht="29.1" customHeight="1" x14ac:dyDescent="0.25">
      <c r="A1514" s="2" t="s">
        <v>3520</v>
      </c>
      <c r="B1514" s="2" t="s">
        <v>3521</v>
      </c>
      <c r="C1514" s="2" t="s">
        <v>5</v>
      </c>
      <c r="D1514" s="2" t="s">
        <v>52</v>
      </c>
      <c r="E1514" s="2" t="str">
        <f>"9783031999833"</f>
        <v>9783031999833</v>
      </c>
      <c r="F1514" s="2" t="str">
        <f>"9783031999840"</f>
        <v>9783031999840</v>
      </c>
    </row>
    <row r="1515" spans="1:6" s="3" customFormat="1" ht="29.1" customHeight="1" x14ac:dyDescent="0.25">
      <c r="A1515" s="2" t="s">
        <v>3522</v>
      </c>
      <c r="B1515" s="2" t="s">
        <v>3524</v>
      </c>
      <c r="C1515" s="2" t="s">
        <v>149</v>
      </c>
      <c r="D1515" s="2" t="s">
        <v>3523</v>
      </c>
      <c r="E1515" s="2" t="str">
        <f>"9781800642485"</f>
        <v>9781800642485</v>
      </c>
      <c r="F1515" s="2" t="str">
        <f>"9781800642508"</f>
        <v>9781800642508</v>
      </c>
    </row>
    <row r="1516" spans="1:6" s="3" customFormat="1" ht="29.1" customHeight="1" x14ac:dyDescent="0.25">
      <c r="A1516" s="2" t="s">
        <v>3525</v>
      </c>
      <c r="B1516" s="2" t="s">
        <v>3526</v>
      </c>
      <c r="C1516" s="2" t="s">
        <v>5</v>
      </c>
      <c r="D1516" s="2" t="s">
        <v>183</v>
      </c>
      <c r="E1516" s="2" t="str">
        <f>"9789819683567"</f>
        <v>9789819683567</v>
      </c>
      <c r="F1516" s="2" t="str">
        <f>"9789819683574"</f>
        <v>9789819683574</v>
      </c>
    </row>
    <row r="1517" spans="1:6" s="3" customFormat="1" ht="29.1" customHeight="1" x14ac:dyDescent="0.25">
      <c r="A1517" s="2" t="s">
        <v>3527</v>
      </c>
      <c r="B1517" s="2" t="s">
        <v>3528</v>
      </c>
      <c r="C1517" s="2" t="s">
        <v>5</v>
      </c>
      <c r="D1517" s="2" t="s">
        <v>1944</v>
      </c>
      <c r="E1517" s="2" t="str">
        <f>"9783662715307"</f>
        <v>9783662715307</v>
      </c>
      <c r="F1517" s="2" t="str">
        <f>"9783662715314"</f>
        <v>9783662715314</v>
      </c>
    </row>
    <row r="1518" spans="1:6" s="3" customFormat="1" ht="29.1" customHeight="1" x14ac:dyDescent="0.25">
      <c r="A1518" s="2" t="s">
        <v>3529</v>
      </c>
      <c r="B1518" s="2" t="s">
        <v>3530</v>
      </c>
      <c r="C1518" s="2" t="s">
        <v>5</v>
      </c>
      <c r="D1518" s="2" t="s">
        <v>98</v>
      </c>
      <c r="E1518" s="2" t="str">
        <f>"9783031934353"</f>
        <v>9783031934353</v>
      </c>
      <c r="F1518" s="2" t="str">
        <f>"9783031934360"</f>
        <v>9783031934360</v>
      </c>
    </row>
    <row r="1519" spans="1:6" s="3" customFormat="1" ht="29.1" customHeight="1" x14ac:dyDescent="0.25">
      <c r="A1519" s="2" t="s">
        <v>3531</v>
      </c>
      <c r="B1519" s="2" t="s">
        <v>3532</v>
      </c>
      <c r="C1519" s="2" t="s">
        <v>20</v>
      </c>
      <c r="D1519" s="2" t="s">
        <v>553</v>
      </c>
      <c r="E1519" s="2" t="str">
        <f>"9783763978793"</f>
        <v>9783763978793</v>
      </c>
      <c r="F1519" s="2" t="str">
        <f>"9783763978809"</f>
        <v>9783763978809</v>
      </c>
    </row>
    <row r="1520" spans="1:6" s="3" customFormat="1" ht="29.1" customHeight="1" x14ac:dyDescent="0.25">
      <c r="A1520" s="2" t="s">
        <v>3533</v>
      </c>
      <c r="B1520" s="2" t="s">
        <v>3534</v>
      </c>
      <c r="C1520" s="2" t="s">
        <v>2133</v>
      </c>
      <c r="D1520" s="2" t="s">
        <v>2005</v>
      </c>
      <c r="E1520" s="2" t="str">
        <f>"9781760466992"</f>
        <v>9781760466992</v>
      </c>
      <c r="F1520" s="2" t="str">
        <f>"9781760467005"</f>
        <v>9781760467005</v>
      </c>
    </row>
    <row r="1521" spans="1:6" s="3" customFormat="1" ht="29.1" customHeight="1" x14ac:dyDescent="0.25">
      <c r="A1521" s="2" t="s">
        <v>3535</v>
      </c>
      <c r="B1521" s="2" t="s">
        <v>3537</v>
      </c>
      <c r="C1521" s="2" t="s">
        <v>149</v>
      </c>
      <c r="D1521" s="2" t="s">
        <v>3536</v>
      </c>
      <c r="E1521" s="2" t="str">
        <f>"9781805116486"</f>
        <v>9781805116486</v>
      </c>
      <c r="F1521" s="2" t="str">
        <f>"9781805116509"</f>
        <v>9781805116509</v>
      </c>
    </row>
    <row r="1522" spans="1:6" s="3" customFormat="1" ht="29.1" customHeight="1" x14ac:dyDescent="0.25">
      <c r="A1522" s="2" t="s">
        <v>3538</v>
      </c>
      <c r="B1522" s="2" t="s">
        <v>3539</v>
      </c>
      <c r="C1522" s="2" t="s">
        <v>149</v>
      </c>
      <c r="D1522" s="2" t="s">
        <v>743</v>
      </c>
      <c r="E1522" s="2" t="str">
        <f>"9781685712006"</f>
        <v>9781685712006</v>
      </c>
      <c r="F1522" s="2" t="str">
        <f>"9781685712013"</f>
        <v>9781685712013</v>
      </c>
    </row>
    <row r="1523" spans="1:6" s="3" customFormat="1" ht="29.1" customHeight="1" x14ac:dyDescent="0.25">
      <c r="A1523" s="2" t="s">
        <v>3540</v>
      </c>
      <c r="B1523" s="2" t="s">
        <v>3541</v>
      </c>
      <c r="C1523" s="2" t="s">
        <v>5</v>
      </c>
      <c r="D1523" s="2" t="s">
        <v>2307</v>
      </c>
      <c r="E1523" s="2" t="str">
        <f>"9782384764372"</f>
        <v>9782384764372</v>
      </c>
      <c r="F1523" s="2" t="str">
        <f>"9782384764389"</f>
        <v>9782384764389</v>
      </c>
    </row>
    <row r="1524" spans="1:6" s="3" customFormat="1" ht="29.1" customHeight="1" x14ac:dyDescent="0.25">
      <c r="A1524" s="2" t="s">
        <v>3542</v>
      </c>
      <c r="B1524" s="2" t="s">
        <v>3543</v>
      </c>
      <c r="C1524" s="2" t="s">
        <v>5</v>
      </c>
      <c r="D1524" s="2" t="s">
        <v>2008</v>
      </c>
      <c r="E1524" s="2" t="str">
        <f>"9789464637854"</f>
        <v>9789464637854</v>
      </c>
      <c r="F1524" s="2" t="str">
        <f>"9789464637847"</f>
        <v>9789464637847</v>
      </c>
    </row>
    <row r="1525" spans="1:6" s="3" customFormat="1" ht="29.1" customHeight="1" x14ac:dyDescent="0.25">
      <c r="A1525" s="2" t="s">
        <v>3544</v>
      </c>
      <c r="B1525" s="2" t="s">
        <v>3545</v>
      </c>
      <c r="C1525" s="2" t="s">
        <v>5</v>
      </c>
      <c r="D1525" s="2" t="s">
        <v>1109</v>
      </c>
      <c r="E1525" s="2" t="str">
        <f>"9783031855344"</f>
        <v>9783031855344</v>
      </c>
      <c r="F1525" s="2" t="str">
        <f>"9783031855351"</f>
        <v>9783031855351</v>
      </c>
    </row>
    <row r="1526" spans="1:6" s="3" customFormat="1" ht="29.1" customHeight="1" x14ac:dyDescent="0.25">
      <c r="A1526" s="2" t="s">
        <v>3546</v>
      </c>
      <c r="B1526" s="2" t="s">
        <v>3547</v>
      </c>
      <c r="C1526" s="2" t="s">
        <v>29</v>
      </c>
      <c r="D1526" s="2" t="s">
        <v>33</v>
      </c>
      <c r="E1526" s="2" t="str">
        <f>"9789004736825"</f>
        <v>9789004736825</v>
      </c>
      <c r="F1526" s="2" t="str">
        <f>"9789004736887"</f>
        <v>9789004736887</v>
      </c>
    </row>
    <row r="1527" spans="1:6" s="3" customFormat="1" ht="29.1" customHeight="1" x14ac:dyDescent="0.25">
      <c r="A1527" s="2" t="s">
        <v>3548</v>
      </c>
      <c r="B1527" s="2" t="s">
        <v>3549</v>
      </c>
      <c r="C1527" s="2" t="s">
        <v>5</v>
      </c>
      <c r="D1527" s="2" t="s">
        <v>297</v>
      </c>
      <c r="E1527" s="2" t="str">
        <f>"9782384764471"</f>
        <v>9782384764471</v>
      </c>
      <c r="F1527" s="2" t="str">
        <f>"9782384764488"</f>
        <v>9782384764488</v>
      </c>
    </row>
    <row r="1528" spans="1:6" s="3" customFormat="1" ht="29.1" customHeight="1" x14ac:dyDescent="0.25">
      <c r="A1528" s="2" t="s">
        <v>3550</v>
      </c>
      <c r="B1528" s="2" t="s">
        <v>3551</v>
      </c>
      <c r="C1528" s="2" t="s">
        <v>5</v>
      </c>
      <c r="D1528" s="2" t="s">
        <v>44</v>
      </c>
      <c r="E1528" s="2" t="str">
        <f>"9789464637922"</f>
        <v>9789464637922</v>
      </c>
      <c r="F1528" s="2" t="str">
        <f>"9789464637939"</f>
        <v>9789464637939</v>
      </c>
    </row>
    <row r="1529" spans="1:6" s="3" customFormat="1" ht="29.1" customHeight="1" x14ac:dyDescent="0.25">
      <c r="A1529" s="2" t="s">
        <v>3552</v>
      </c>
      <c r="B1529" s="2" t="s">
        <v>3554</v>
      </c>
      <c r="C1529" s="2" t="s">
        <v>5</v>
      </c>
      <c r="D1529" s="2" t="s">
        <v>3553</v>
      </c>
      <c r="E1529" s="2" t="str">
        <f>"9783031961915"</f>
        <v>9783031961915</v>
      </c>
      <c r="F1529" s="2" t="str">
        <f>"9783031961922"</f>
        <v>9783031961922</v>
      </c>
    </row>
    <row r="1530" spans="1:6" s="3" customFormat="1" ht="29.1" customHeight="1" x14ac:dyDescent="0.25">
      <c r="A1530" s="2" t="s">
        <v>3555</v>
      </c>
      <c r="B1530" s="2" t="s">
        <v>3556</v>
      </c>
      <c r="C1530" s="2" t="s">
        <v>5</v>
      </c>
      <c r="D1530" s="2" t="s">
        <v>504</v>
      </c>
      <c r="E1530" s="2" t="str">
        <f>"9783031883644"</f>
        <v>9783031883644</v>
      </c>
      <c r="F1530" s="2" t="str">
        <f>"9783031883651"</f>
        <v>9783031883651</v>
      </c>
    </row>
    <row r="1531" spans="1:6" s="3" customFormat="1" ht="29.1" customHeight="1" x14ac:dyDescent="0.25">
      <c r="A1531" s="2" t="s">
        <v>3557</v>
      </c>
      <c r="B1531" s="2" t="s">
        <v>3558</v>
      </c>
      <c r="C1531" s="2" t="s">
        <v>5</v>
      </c>
      <c r="D1531" s="2" t="s">
        <v>9</v>
      </c>
      <c r="E1531" s="2" t="str">
        <f>"9782384764495"</f>
        <v>9782384764495</v>
      </c>
      <c r="F1531" s="2" t="str">
        <f>"9782384764501"</f>
        <v>9782384764501</v>
      </c>
    </row>
    <row r="1532" spans="1:6" s="3" customFormat="1" ht="29.1" customHeight="1" x14ac:dyDescent="0.25">
      <c r="A1532" s="2" t="s">
        <v>3559</v>
      </c>
      <c r="B1532" s="2" t="s">
        <v>3560</v>
      </c>
      <c r="C1532" s="2" t="s">
        <v>239</v>
      </c>
      <c r="D1532" s="2" t="s">
        <v>636</v>
      </c>
      <c r="E1532" s="2" t="str">
        <f>"9780520421219"</f>
        <v>9780520421219</v>
      </c>
      <c r="F1532" s="2" t="str">
        <f>"9780520421226"</f>
        <v>9780520421226</v>
      </c>
    </row>
    <row r="1533" spans="1:6" s="3" customFormat="1" ht="29.1" customHeight="1" x14ac:dyDescent="0.25">
      <c r="A1533" s="2" t="s">
        <v>3561</v>
      </c>
      <c r="B1533" s="2" t="s">
        <v>3562</v>
      </c>
      <c r="C1533" s="2" t="s">
        <v>239</v>
      </c>
      <c r="D1533" s="2" t="s">
        <v>818</v>
      </c>
      <c r="E1533" s="2" t="str">
        <f>"9780520417328"</f>
        <v>9780520417328</v>
      </c>
      <c r="F1533" s="2" t="str">
        <f>"9780520417342"</f>
        <v>9780520417342</v>
      </c>
    </row>
    <row r="1534" spans="1:6" s="3" customFormat="1" ht="29.1" customHeight="1" x14ac:dyDescent="0.25">
      <c r="A1534" s="2" t="s">
        <v>3563</v>
      </c>
      <c r="B1534" s="2" t="s">
        <v>3565</v>
      </c>
      <c r="C1534" s="2" t="s">
        <v>5</v>
      </c>
      <c r="D1534" s="2" t="s">
        <v>3564</v>
      </c>
      <c r="E1534" s="2" t="str">
        <f>"9783031940934"</f>
        <v>9783031940934</v>
      </c>
      <c r="F1534" s="2" t="str">
        <f>"9783031940941"</f>
        <v>9783031940941</v>
      </c>
    </row>
    <row r="1535" spans="1:6" s="3" customFormat="1" ht="29.1" customHeight="1" x14ac:dyDescent="0.25">
      <c r="A1535" s="2" t="s">
        <v>3566</v>
      </c>
      <c r="B1535" s="2" t="s">
        <v>3568</v>
      </c>
      <c r="C1535" s="2" t="s">
        <v>29</v>
      </c>
      <c r="D1535" s="2" t="s">
        <v>3567</v>
      </c>
      <c r="E1535" s="2" t="str">
        <f>"9789004697034"</f>
        <v>9789004697034</v>
      </c>
      <c r="F1535" s="2" t="str">
        <f>"9789004697041"</f>
        <v>9789004697041</v>
      </c>
    </row>
    <row r="1536" spans="1:6" s="3" customFormat="1" ht="29.1" customHeight="1" x14ac:dyDescent="0.25">
      <c r="A1536" s="2" t="s">
        <v>3569</v>
      </c>
      <c r="B1536" s="2" t="s">
        <v>3571</v>
      </c>
      <c r="C1536" s="2" t="s">
        <v>29</v>
      </c>
      <c r="D1536" s="2" t="s">
        <v>3570</v>
      </c>
      <c r="E1536" s="2" t="str">
        <f>"9783506797940"</f>
        <v>9783506797940</v>
      </c>
      <c r="F1536" s="2" t="str">
        <f>"9783657797943"</f>
        <v>9783657797943</v>
      </c>
    </row>
    <row r="1537" spans="1:6" s="3" customFormat="1" ht="29.1" customHeight="1" x14ac:dyDescent="0.25">
      <c r="A1537" s="2" t="s">
        <v>3572</v>
      </c>
      <c r="B1537" s="2" t="s">
        <v>3573</v>
      </c>
      <c r="C1537" s="2" t="s">
        <v>605</v>
      </c>
      <c r="D1537" s="2" t="s">
        <v>606</v>
      </c>
      <c r="E1537" s="2" t="str">
        <f>"9789657838099"</f>
        <v>9789657838099</v>
      </c>
      <c r="F1537" s="2" t="str">
        <f>"9789657838105"</f>
        <v>9789657838105</v>
      </c>
    </row>
    <row r="1538" spans="1:6" s="3" customFormat="1" ht="29.1" customHeight="1" x14ac:dyDescent="0.25">
      <c r="A1538" s="2" t="s">
        <v>3574</v>
      </c>
      <c r="B1538" s="2" t="s">
        <v>3575</v>
      </c>
      <c r="C1538" s="2" t="s">
        <v>2183</v>
      </c>
      <c r="D1538" s="2" t="s">
        <v>1801</v>
      </c>
      <c r="E1538" s="2" t="str">
        <f>"9781802700947"</f>
        <v>9781802700947</v>
      </c>
      <c r="F1538" s="2" t="str">
        <f>"9781802703481"</f>
        <v>9781802703481</v>
      </c>
    </row>
    <row r="1539" spans="1:6" s="3" customFormat="1" ht="29.1" customHeight="1" x14ac:dyDescent="0.25">
      <c r="A1539" s="2" t="s">
        <v>3576</v>
      </c>
      <c r="B1539" s="2" t="s">
        <v>3577</v>
      </c>
      <c r="C1539" s="2" t="s">
        <v>264</v>
      </c>
      <c r="D1539" s="2" t="s">
        <v>44</v>
      </c>
      <c r="E1539" s="2" t="str">
        <f>"9781032976051"</f>
        <v>9781032976051</v>
      </c>
      <c r="F1539" s="2" t="str">
        <f>"9781003595120"</f>
        <v>9781003595120</v>
      </c>
    </row>
    <row r="1540" spans="1:6" s="3" customFormat="1" ht="29.1" customHeight="1" x14ac:dyDescent="0.25">
      <c r="A1540" s="2" t="s">
        <v>3578</v>
      </c>
      <c r="B1540" s="2" t="s">
        <v>3579</v>
      </c>
      <c r="C1540" s="2" t="s">
        <v>264</v>
      </c>
      <c r="D1540" s="2" t="s">
        <v>12</v>
      </c>
      <c r="E1540" s="2" t="str">
        <f>"9781032870144"</f>
        <v>9781032870144</v>
      </c>
      <c r="F1540" s="2" t="str">
        <f>"9781003530466"</f>
        <v>9781003530466</v>
      </c>
    </row>
    <row r="1541" spans="1:6" s="3" customFormat="1" ht="29.1" customHeight="1" x14ac:dyDescent="0.25">
      <c r="A1541" s="2" t="s">
        <v>3580</v>
      </c>
      <c r="B1541" s="2" t="s">
        <v>3582</v>
      </c>
      <c r="C1541" s="2" t="s">
        <v>124</v>
      </c>
      <c r="D1541" s="2" t="s">
        <v>3581</v>
      </c>
      <c r="E1541" s="2" t="str">
        <f>"9781032619927"</f>
        <v>9781032619927</v>
      </c>
      <c r="F1541" s="2" t="str">
        <f>"9781032634487"</f>
        <v>9781032634487</v>
      </c>
    </row>
    <row r="1542" spans="1:6" s="3" customFormat="1" ht="29.1" customHeight="1" x14ac:dyDescent="0.25">
      <c r="A1542" s="2" t="s">
        <v>3583</v>
      </c>
      <c r="B1542" s="2" t="s">
        <v>3584</v>
      </c>
      <c r="C1542" s="2" t="s">
        <v>124</v>
      </c>
      <c r="D1542" s="2" t="s">
        <v>9</v>
      </c>
      <c r="E1542" s="2" t="str">
        <f>"9781041032717"</f>
        <v>9781041032717</v>
      </c>
      <c r="F1542" s="2" t="str">
        <f>"9781003623137"</f>
        <v>9781003623137</v>
      </c>
    </row>
    <row r="1543" spans="1:6" s="3" customFormat="1" ht="29.1" customHeight="1" x14ac:dyDescent="0.25">
      <c r="A1543" s="2" t="s">
        <v>3585</v>
      </c>
      <c r="B1543" s="2" t="s">
        <v>3586</v>
      </c>
      <c r="C1543" s="2" t="s">
        <v>124</v>
      </c>
      <c r="D1543" s="2" t="s">
        <v>3407</v>
      </c>
      <c r="E1543" s="2" t="str">
        <f>"9781032769271"</f>
        <v>9781032769271</v>
      </c>
      <c r="F1543" s="2" t="str">
        <f>"9781003480440"</f>
        <v>9781003480440</v>
      </c>
    </row>
    <row r="1544" spans="1:6" s="3" customFormat="1" ht="29.1" customHeight="1" x14ac:dyDescent="0.25">
      <c r="A1544" s="2" t="s">
        <v>3587</v>
      </c>
      <c r="B1544" s="2" t="s">
        <v>3589</v>
      </c>
      <c r="C1544" s="2" t="s">
        <v>124</v>
      </c>
      <c r="D1544" s="2" t="s">
        <v>3588</v>
      </c>
      <c r="E1544" s="2" t="str">
        <f>"9781032915586"</f>
        <v>9781032915586</v>
      </c>
      <c r="F1544" s="2" t="str">
        <f>"9781003564089"</f>
        <v>9781003564089</v>
      </c>
    </row>
    <row r="1545" spans="1:6" s="3" customFormat="1" ht="29.1" customHeight="1" x14ac:dyDescent="0.25">
      <c r="A1545" s="2" t="s">
        <v>3590</v>
      </c>
      <c r="B1545" s="2" t="s">
        <v>3589</v>
      </c>
      <c r="C1545" s="2" t="s">
        <v>124</v>
      </c>
      <c r="D1545" s="2" t="s">
        <v>3588</v>
      </c>
      <c r="E1545" s="2" t="str">
        <f>"9781032346212"</f>
        <v>9781032346212</v>
      </c>
      <c r="F1545" s="2" t="str">
        <f>"9781003325727"</f>
        <v>9781003325727</v>
      </c>
    </row>
    <row r="1546" spans="1:6" s="3" customFormat="1" ht="29.1" customHeight="1" x14ac:dyDescent="0.25">
      <c r="A1546" s="2" t="s">
        <v>3591</v>
      </c>
      <c r="B1546" s="2" t="s">
        <v>3592</v>
      </c>
      <c r="C1546" s="2" t="s">
        <v>20</v>
      </c>
      <c r="D1546" s="2" t="s">
        <v>9</v>
      </c>
      <c r="E1546" s="2" t="str">
        <f>"9783763977772"</f>
        <v>9783763977772</v>
      </c>
      <c r="F1546" s="2" t="str">
        <f>"9783763977789"</f>
        <v>9783763977789</v>
      </c>
    </row>
    <row r="1547" spans="1:6" s="3" customFormat="1" ht="29.1" customHeight="1" x14ac:dyDescent="0.25">
      <c r="A1547" s="2" t="s">
        <v>3593</v>
      </c>
      <c r="B1547" s="2" t="s">
        <v>3594</v>
      </c>
      <c r="C1547" s="2" t="s">
        <v>20</v>
      </c>
      <c r="D1547" s="2" t="s">
        <v>24</v>
      </c>
      <c r="E1547" s="2" t="str">
        <f>"9783763966417"</f>
        <v>9783763966417</v>
      </c>
      <c r="F1547" s="2" t="str">
        <f>"9783763966424"</f>
        <v>9783763966424</v>
      </c>
    </row>
    <row r="1548" spans="1:6" s="3" customFormat="1" ht="29.1" customHeight="1" x14ac:dyDescent="0.25">
      <c r="A1548" s="2" t="s">
        <v>3595</v>
      </c>
      <c r="B1548" s="2" t="s">
        <v>3596</v>
      </c>
      <c r="C1548" s="2" t="s">
        <v>20</v>
      </c>
      <c r="D1548" s="2" t="s">
        <v>24</v>
      </c>
      <c r="E1548" s="2" t="str">
        <f>"9783763966134"</f>
        <v>9783763966134</v>
      </c>
      <c r="F1548" s="2" t="str">
        <f>"9783763967186"</f>
        <v>9783763967186</v>
      </c>
    </row>
    <row r="1549" spans="1:6" s="3" customFormat="1" ht="29.1" customHeight="1" x14ac:dyDescent="0.25">
      <c r="A1549" s="2" t="s">
        <v>3597</v>
      </c>
      <c r="B1549" s="2" t="s">
        <v>3599</v>
      </c>
      <c r="C1549" s="2" t="s">
        <v>885</v>
      </c>
      <c r="D1549" s="2" t="s">
        <v>3598</v>
      </c>
      <c r="E1549" s="2" t="str">
        <f>"9781487554705"</f>
        <v>9781487554705</v>
      </c>
      <c r="F1549" s="2" t="str">
        <f>"9781487554712"</f>
        <v>9781487554712</v>
      </c>
    </row>
    <row r="1550" spans="1:6" s="3" customFormat="1" ht="29.1" customHeight="1" x14ac:dyDescent="0.25">
      <c r="A1550" s="2" t="s">
        <v>3600</v>
      </c>
      <c r="B1550" s="2" t="s">
        <v>3601</v>
      </c>
      <c r="C1550" s="2" t="s">
        <v>885</v>
      </c>
      <c r="D1550" s="2" t="s">
        <v>528</v>
      </c>
      <c r="E1550" s="2" t="str">
        <f>"9781487507916"</f>
        <v>9781487507916</v>
      </c>
      <c r="F1550" s="2" t="str">
        <f>"9781487537203"</f>
        <v>9781487537203</v>
      </c>
    </row>
    <row r="1551" spans="1:6" s="3" customFormat="1" ht="29.1" customHeight="1" x14ac:dyDescent="0.25">
      <c r="A1551" s="2" t="s">
        <v>3602</v>
      </c>
      <c r="B1551" s="2" t="s">
        <v>3603</v>
      </c>
      <c r="C1551" s="2" t="s">
        <v>20</v>
      </c>
      <c r="D1551" s="2" t="s">
        <v>9</v>
      </c>
      <c r="E1551" s="2" t="str">
        <f>"9783763978564"</f>
        <v>9783763978564</v>
      </c>
      <c r="F1551" s="2" t="str">
        <f>"9783763978830"</f>
        <v>9783763978830</v>
      </c>
    </row>
    <row r="1552" spans="1:6" s="3" customFormat="1" ht="29.1" customHeight="1" x14ac:dyDescent="0.25">
      <c r="A1552" s="2" t="s">
        <v>3604</v>
      </c>
      <c r="B1552" s="2" t="s">
        <v>3605</v>
      </c>
      <c r="C1552" s="2" t="s">
        <v>20</v>
      </c>
      <c r="D1552" s="2" t="s">
        <v>553</v>
      </c>
      <c r="E1552" s="2" t="str">
        <f>"9783763978618"</f>
        <v>9783763978618</v>
      </c>
      <c r="F1552" s="2" t="str">
        <f>"9783763978625"</f>
        <v>9783763978625</v>
      </c>
    </row>
    <row r="1553" spans="1:6" s="3" customFormat="1" ht="29.1" customHeight="1" x14ac:dyDescent="0.25">
      <c r="A1553" s="2" t="s">
        <v>3606</v>
      </c>
      <c r="B1553" s="2" t="s">
        <v>3608</v>
      </c>
      <c r="C1553" s="2" t="s">
        <v>20</v>
      </c>
      <c r="D1553" s="2" t="s">
        <v>3607</v>
      </c>
      <c r="E1553" s="2" t="str">
        <f>"9783763976416"</f>
        <v>9783763976416</v>
      </c>
      <c r="F1553" s="2" t="str">
        <f>"9783763976423"</f>
        <v>9783763976423</v>
      </c>
    </row>
    <row r="1554" spans="1:6" s="3" customFormat="1" ht="29.1" customHeight="1" x14ac:dyDescent="0.25">
      <c r="A1554" s="2" t="s">
        <v>3609</v>
      </c>
      <c r="B1554" s="2" t="s">
        <v>3610</v>
      </c>
      <c r="C1554" s="2" t="s">
        <v>20</v>
      </c>
      <c r="D1554" s="2" t="s">
        <v>9</v>
      </c>
      <c r="E1554" s="2" t="str">
        <f>"9783763976720"</f>
        <v>9783763976720</v>
      </c>
      <c r="F1554" s="2" t="str">
        <f>"9783763977109"</f>
        <v>9783763977109</v>
      </c>
    </row>
    <row r="1555" spans="1:6" s="3" customFormat="1" ht="29.1" customHeight="1" x14ac:dyDescent="0.25">
      <c r="A1555" s="2" t="s">
        <v>3611</v>
      </c>
      <c r="B1555" s="2" t="s">
        <v>3612</v>
      </c>
      <c r="C1555" s="2" t="s">
        <v>746</v>
      </c>
      <c r="D1555" s="2" t="s">
        <v>606</v>
      </c>
      <c r="E1555" s="2" t="str">
        <f>"9781805830849"</f>
        <v>9781805830849</v>
      </c>
      <c r="F1555" s="2" t="str">
        <f>"9781805830856"</f>
        <v>9781805830856</v>
      </c>
    </row>
    <row r="1556" spans="1:6" s="3" customFormat="1" ht="29.1" customHeight="1" x14ac:dyDescent="0.25">
      <c r="A1556" s="2" t="s">
        <v>3613</v>
      </c>
      <c r="B1556" s="2" t="s">
        <v>3614</v>
      </c>
      <c r="C1556" s="2" t="s">
        <v>29</v>
      </c>
      <c r="D1556" s="2" t="s">
        <v>78</v>
      </c>
      <c r="E1556" s="2" t="str">
        <f>"9789004714922"</f>
        <v>9789004714922</v>
      </c>
      <c r="F1556" s="2" t="str">
        <f>"9789004714939"</f>
        <v>9789004714939</v>
      </c>
    </row>
    <row r="1557" spans="1:6" s="3" customFormat="1" ht="29.1" customHeight="1" x14ac:dyDescent="0.25">
      <c r="A1557" s="2" t="s">
        <v>3615</v>
      </c>
      <c r="B1557" s="2" t="s">
        <v>3616</v>
      </c>
      <c r="C1557" s="2" t="s">
        <v>5</v>
      </c>
      <c r="D1557" s="2" t="s">
        <v>3221</v>
      </c>
      <c r="E1557" s="2" t="str">
        <f>"9783031867408"</f>
        <v>9783031867408</v>
      </c>
      <c r="F1557" s="2" t="str">
        <f>"9783031867415"</f>
        <v>9783031867415</v>
      </c>
    </row>
    <row r="1558" spans="1:6" s="3" customFormat="1" ht="29.1" customHeight="1" x14ac:dyDescent="0.25">
      <c r="A1558" s="2" t="s">
        <v>3617</v>
      </c>
      <c r="B1558" s="2" t="s">
        <v>3618</v>
      </c>
      <c r="C1558" s="2" t="s">
        <v>124</v>
      </c>
      <c r="D1558" s="2" t="s">
        <v>287</v>
      </c>
      <c r="E1558" s="2" t="str">
        <f>"9781041033738"</f>
        <v>9781041033738</v>
      </c>
      <c r="F1558" s="2" t="str">
        <f>"9781003623564"</f>
        <v>9781003623564</v>
      </c>
    </row>
    <row r="1559" spans="1:6" s="3" customFormat="1" ht="29.1" customHeight="1" x14ac:dyDescent="0.25">
      <c r="A1559" s="2" t="s">
        <v>3619</v>
      </c>
      <c r="B1559" s="2" t="s">
        <v>3620</v>
      </c>
      <c r="C1559" s="2" t="s">
        <v>2242</v>
      </c>
      <c r="D1559" s="2" t="s">
        <v>764</v>
      </c>
      <c r="E1559" s="2"/>
      <c r="F1559" s="2" t="str">
        <f>"9788024466460"</f>
        <v>9788024466460</v>
      </c>
    </row>
    <row r="1560" spans="1:6" s="3" customFormat="1" ht="29.1" customHeight="1" x14ac:dyDescent="0.25">
      <c r="A1560" s="2" t="s">
        <v>3621</v>
      </c>
      <c r="B1560" s="2" t="s">
        <v>3620</v>
      </c>
      <c r="C1560" s="2" t="s">
        <v>2242</v>
      </c>
      <c r="D1560" s="2" t="s">
        <v>764</v>
      </c>
      <c r="E1560" s="2"/>
      <c r="F1560" s="2" t="str">
        <f>"9788024466286"</f>
        <v>9788024466286</v>
      </c>
    </row>
    <row r="1561" spans="1:6" s="3" customFormat="1" ht="29.1" customHeight="1" x14ac:dyDescent="0.25">
      <c r="A1561" s="2" t="s">
        <v>3622</v>
      </c>
      <c r="B1561" s="2" t="s">
        <v>3623</v>
      </c>
      <c r="C1561" s="2" t="s">
        <v>2188</v>
      </c>
      <c r="D1561" s="2" t="s">
        <v>186</v>
      </c>
      <c r="E1561" s="2" t="str">
        <f>"9788323244530"</f>
        <v>9788323244530</v>
      </c>
      <c r="F1561" s="2" t="str">
        <f>"9788323244547"</f>
        <v>9788323244547</v>
      </c>
    </row>
    <row r="1562" spans="1:6" s="3" customFormat="1" ht="29.1" customHeight="1" x14ac:dyDescent="0.25">
      <c r="A1562" s="2" t="s">
        <v>3624</v>
      </c>
      <c r="B1562" s="2" t="s">
        <v>3625</v>
      </c>
      <c r="C1562" s="2" t="s">
        <v>36</v>
      </c>
      <c r="D1562" s="2" t="s">
        <v>882</v>
      </c>
      <c r="E1562" s="2"/>
      <c r="F1562" s="2" t="str">
        <f>"9781529244892"</f>
        <v>9781529244892</v>
      </c>
    </row>
    <row r="1563" spans="1:6" s="3" customFormat="1" ht="29.1" customHeight="1" x14ac:dyDescent="0.25">
      <c r="A1563" s="2" t="s">
        <v>3626</v>
      </c>
      <c r="B1563" s="2" t="s">
        <v>3627</v>
      </c>
      <c r="C1563" s="2" t="s">
        <v>5</v>
      </c>
      <c r="D1563" s="2" t="s">
        <v>141</v>
      </c>
      <c r="E1563" s="2" t="str">
        <f>"9789464637946"</f>
        <v>9789464637946</v>
      </c>
      <c r="F1563" s="2" t="str">
        <f>"9789464637953"</f>
        <v>9789464637953</v>
      </c>
    </row>
    <row r="1564" spans="1:6" s="3" customFormat="1" ht="29.1" customHeight="1" x14ac:dyDescent="0.25">
      <c r="A1564" s="2" t="s">
        <v>3628</v>
      </c>
      <c r="B1564" s="2" t="s">
        <v>3629</v>
      </c>
      <c r="C1564" s="2" t="s">
        <v>5</v>
      </c>
      <c r="D1564" s="2" t="s">
        <v>2168</v>
      </c>
      <c r="E1564" s="2" t="str">
        <f>"9783031735486"</f>
        <v>9783031735486</v>
      </c>
      <c r="F1564" s="2" t="str">
        <f>"9783031735493"</f>
        <v>9783031735493</v>
      </c>
    </row>
    <row r="1565" spans="1:6" s="3" customFormat="1" ht="29.1" customHeight="1" x14ac:dyDescent="0.25">
      <c r="A1565" s="2" t="s">
        <v>3630</v>
      </c>
      <c r="B1565" s="2" t="s">
        <v>3631</v>
      </c>
      <c r="C1565" s="2" t="s">
        <v>5</v>
      </c>
      <c r="D1565" s="2" t="s">
        <v>75</v>
      </c>
      <c r="E1565" s="2" t="str">
        <f>"9783031876929"</f>
        <v>9783031876929</v>
      </c>
      <c r="F1565" s="2" t="str">
        <f>"9783031876936"</f>
        <v>9783031876936</v>
      </c>
    </row>
    <row r="1566" spans="1:6" s="3" customFormat="1" ht="29.1" customHeight="1" x14ac:dyDescent="0.25">
      <c r="A1566" s="2" t="s">
        <v>3632</v>
      </c>
      <c r="B1566" s="2" t="s">
        <v>3634</v>
      </c>
      <c r="C1566" s="2" t="s">
        <v>5</v>
      </c>
      <c r="D1566" s="2" t="s">
        <v>3633</v>
      </c>
      <c r="E1566" s="2" t="str">
        <f>"9783031895678"</f>
        <v>9783031895678</v>
      </c>
      <c r="F1566" s="2" t="str">
        <f>"9783031895685"</f>
        <v>9783031895685</v>
      </c>
    </row>
    <row r="1567" spans="1:6" s="3" customFormat="1" ht="29.1" customHeight="1" x14ac:dyDescent="0.25">
      <c r="A1567" s="2" t="s">
        <v>3635</v>
      </c>
      <c r="B1567" s="2" t="s">
        <v>3636</v>
      </c>
      <c r="C1567" s="2" t="s">
        <v>5</v>
      </c>
      <c r="D1567" s="2" t="s">
        <v>2336</v>
      </c>
      <c r="E1567" s="2" t="str">
        <f>"9783658487416"</f>
        <v>9783658487416</v>
      </c>
      <c r="F1567" s="2" t="str">
        <f>"9783658487423"</f>
        <v>9783658487423</v>
      </c>
    </row>
    <row r="1568" spans="1:6" s="3" customFormat="1" ht="29.1" customHeight="1" x14ac:dyDescent="0.25">
      <c r="A1568" s="2" t="s">
        <v>3637</v>
      </c>
      <c r="B1568" s="2" t="s">
        <v>3638</v>
      </c>
      <c r="C1568" s="2" t="s">
        <v>55</v>
      </c>
      <c r="D1568" s="2" t="s">
        <v>218</v>
      </c>
      <c r="E1568" s="2" t="str">
        <f>"9781526140128"</f>
        <v>9781526140128</v>
      </c>
      <c r="F1568" s="2" t="str">
        <f>"9781526140135"</f>
        <v>9781526140135</v>
      </c>
    </row>
    <row r="1569" spans="1:6" s="3" customFormat="1" ht="29.1" customHeight="1" x14ac:dyDescent="0.25">
      <c r="A1569" s="2" t="s">
        <v>3639</v>
      </c>
      <c r="B1569" s="2" t="s">
        <v>3640</v>
      </c>
      <c r="C1569" s="2" t="s">
        <v>55</v>
      </c>
      <c r="D1569" s="2" t="s">
        <v>3185</v>
      </c>
      <c r="E1569" s="2" t="str">
        <f>"9781526178381"</f>
        <v>9781526178381</v>
      </c>
      <c r="F1569" s="2" t="str">
        <f>"9781526178374"</f>
        <v>9781526178374</v>
      </c>
    </row>
    <row r="1570" spans="1:6" s="3" customFormat="1" ht="29.1" customHeight="1" x14ac:dyDescent="0.25">
      <c r="A1570" s="2" t="s">
        <v>3641</v>
      </c>
      <c r="B1570" s="2" t="s">
        <v>3642</v>
      </c>
      <c r="C1570" s="2" t="s">
        <v>55</v>
      </c>
      <c r="D1570" s="2" t="s">
        <v>3185</v>
      </c>
      <c r="E1570" s="2" t="str">
        <f>"9781526168511"</f>
        <v>9781526168511</v>
      </c>
      <c r="F1570" s="2" t="str">
        <f>"9781526168504"</f>
        <v>9781526168504</v>
      </c>
    </row>
    <row r="1571" spans="1:6" s="3" customFormat="1" ht="29.1" customHeight="1" x14ac:dyDescent="0.25">
      <c r="A1571" s="2" t="s">
        <v>3643</v>
      </c>
      <c r="B1571" s="2" t="s">
        <v>3644</v>
      </c>
      <c r="C1571" s="2" t="s">
        <v>29</v>
      </c>
      <c r="D1571" s="2" t="s">
        <v>218</v>
      </c>
      <c r="E1571" s="2" t="str">
        <f>"9783506793829"</f>
        <v>9783506793829</v>
      </c>
      <c r="F1571" s="2" t="str">
        <f>"9783657793822"</f>
        <v>9783657793822</v>
      </c>
    </row>
    <row r="1572" spans="1:6" s="3" customFormat="1" ht="29.1" customHeight="1" x14ac:dyDescent="0.25">
      <c r="A1572" s="2" t="s">
        <v>3645</v>
      </c>
      <c r="B1572" s="2" t="s">
        <v>3646</v>
      </c>
      <c r="C1572" s="2" t="s">
        <v>2248</v>
      </c>
      <c r="D1572" s="2" t="s">
        <v>2045</v>
      </c>
      <c r="E1572" s="2"/>
      <c r="F1572" s="2" t="str">
        <f>"9781968794026"</f>
        <v>9781968794026</v>
      </c>
    </row>
    <row r="1573" spans="1:6" s="3" customFormat="1" ht="29.1" customHeight="1" x14ac:dyDescent="0.25">
      <c r="A1573" s="2" t="s">
        <v>3647</v>
      </c>
      <c r="B1573" s="2" t="s">
        <v>3648</v>
      </c>
      <c r="C1573" s="2" t="s">
        <v>2248</v>
      </c>
      <c r="D1573" s="2" t="s">
        <v>755</v>
      </c>
      <c r="E1573" s="2"/>
      <c r="F1573" s="2" t="str">
        <f>"9781968794019"</f>
        <v>9781968794019</v>
      </c>
    </row>
    <row r="1574" spans="1:6" s="3" customFormat="1" ht="29.1" customHeight="1" x14ac:dyDescent="0.25">
      <c r="A1574" s="2" t="s">
        <v>3649</v>
      </c>
      <c r="B1574" s="2" t="s">
        <v>3651</v>
      </c>
      <c r="C1574" s="2" t="s">
        <v>2248</v>
      </c>
      <c r="D1574" s="2" t="s">
        <v>3650</v>
      </c>
      <c r="E1574" s="2"/>
      <c r="F1574" s="2" t="str">
        <f>"9781968794002"</f>
        <v>9781968794002</v>
      </c>
    </row>
    <row r="1575" spans="1:6" s="3" customFormat="1" ht="29.1" customHeight="1" x14ac:dyDescent="0.25">
      <c r="A1575" s="2" t="s">
        <v>3652</v>
      </c>
      <c r="B1575" s="2" t="s">
        <v>3654</v>
      </c>
      <c r="C1575" s="2" t="s">
        <v>2248</v>
      </c>
      <c r="D1575" s="2" t="s">
        <v>3653</v>
      </c>
      <c r="E1575" s="2"/>
      <c r="F1575" s="2" t="str">
        <f>"9798992048261"</f>
        <v>9798992048261</v>
      </c>
    </row>
    <row r="1576" spans="1:6" s="3" customFormat="1" ht="29.1" customHeight="1" x14ac:dyDescent="0.25">
      <c r="A1576" s="2" t="s">
        <v>3655</v>
      </c>
      <c r="B1576" s="2" t="s">
        <v>3657</v>
      </c>
      <c r="C1576" s="2" t="s">
        <v>2248</v>
      </c>
      <c r="D1576" s="2" t="s">
        <v>3656</v>
      </c>
      <c r="E1576" s="2"/>
      <c r="F1576" s="2" t="str">
        <f>"9798992048278"</f>
        <v>9798992048278</v>
      </c>
    </row>
    <row r="1577" spans="1:6" s="3" customFormat="1" ht="29.1" customHeight="1" x14ac:dyDescent="0.25">
      <c r="A1577" s="2" t="s">
        <v>3658</v>
      </c>
      <c r="B1577" s="2" t="s">
        <v>3659</v>
      </c>
      <c r="C1577" s="2" t="s">
        <v>2248</v>
      </c>
      <c r="D1577" s="2" t="s">
        <v>951</v>
      </c>
      <c r="E1577" s="2"/>
      <c r="F1577" s="2" t="str">
        <f>"9798992048292"</f>
        <v>9798992048292</v>
      </c>
    </row>
    <row r="1578" spans="1:6" s="3" customFormat="1" ht="29.1" customHeight="1" x14ac:dyDescent="0.25">
      <c r="A1578" s="2" t="s">
        <v>3660</v>
      </c>
      <c r="B1578" s="2" t="s">
        <v>3662</v>
      </c>
      <c r="C1578" s="2" t="s">
        <v>2248</v>
      </c>
      <c r="D1578" s="2" t="s">
        <v>3661</v>
      </c>
      <c r="E1578" s="2"/>
      <c r="F1578" s="2" t="str">
        <f>"9798992048216"</f>
        <v>9798992048216</v>
      </c>
    </row>
    <row r="1579" spans="1:6" s="3" customFormat="1" ht="29.1" customHeight="1" x14ac:dyDescent="0.25">
      <c r="A1579" s="2" t="s">
        <v>3663</v>
      </c>
      <c r="B1579" s="2" t="s">
        <v>3664</v>
      </c>
      <c r="C1579" s="2" t="s">
        <v>2248</v>
      </c>
      <c r="D1579" s="2" t="s">
        <v>2749</v>
      </c>
      <c r="E1579" s="2"/>
      <c r="F1579" s="2" t="str">
        <f>"9798992048223"</f>
        <v>9798992048223</v>
      </c>
    </row>
    <row r="1580" spans="1:6" s="3" customFormat="1" ht="29.1" customHeight="1" x14ac:dyDescent="0.25">
      <c r="A1580" s="2" t="s">
        <v>3665</v>
      </c>
      <c r="B1580" s="2" t="s">
        <v>3666</v>
      </c>
      <c r="C1580" s="2" t="s">
        <v>2248</v>
      </c>
      <c r="D1580" s="2" t="s">
        <v>951</v>
      </c>
      <c r="E1580" s="2"/>
      <c r="F1580" s="2" t="str">
        <f>"9798992048230"</f>
        <v>9798992048230</v>
      </c>
    </row>
    <row r="1581" spans="1:6" s="3" customFormat="1" ht="29.1" customHeight="1" x14ac:dyDescent="0.25">
      <c r="A1581" s="2" t="s">
        <v>3667</v>
      </c>
      <c r="B1581" s="2" t="s">
        <v>3668</v>
      </c>
      <c r="C1581" s="2" t="s">
        <v>2248</v>
      </c>
      <c r="D1581" s="2" t="s">
        <v>15</v>
      </c>
      <c r="E1581" s="2"/>
      <c r="F1581" s="2" t="str">
        <f>"9798992048254"</f>
        <v>9798992048254</v>
      </c>
    </row>
    <row r="1582" spans="1:6" s="3" customFormat="1" ht="29.1" customHeight="1" x14ac:dyDescent="0.25">
      <c r="A1582" s="2" t="s">
        <v>3669</v>
      </c>
      <c r="B1582" s="2" t="s">
        <v>3671</v>
      </c>
      <c r="C1582" s="2" t="s">
        <v>2248</v>
      </c>
      <c r="D1582" s="2" t="s">
        <v>3670</v>
      </c>
      <c r="E1582" s="2"/>
      <c r="F1582" s="2" t="str">
        <f>"9798992048247"</f>
        <v>9798992048247</v>
      </c>
    </row>
    <row r="1583" spans="1:6" s="3" customFormat="1" ht="29.1" customHeight="1" x14ac:dyDescent="0.25">
      <c r="A1583" s="2" t="s">
        <v>3672</v>
      </c>
      <c r="B1583" s="2" t="s">
        <v>3673</v>
      </c>
      <c r="C1583" s="2" t="s">
        <v>2248</v>
      </c>
      <c r="D1583" s="2" t="s">
        <v>1013</v>
      </c>
      <c r="E1583" s="2"/>
      <c r="F1583" s="2" t="str">
        <f>"9798992048285"</f>
        <v>9798992048285</v>
      </c>
    </row>
    <row r="1584" spans="1:6" s="3" customFormat="1" ht="29.1" customHeight="1" x14ac:dyDescent="0.25">
      <c r="A1584" s="2" t="s">
        <v>3674</v>
      </c>
      <c r="B1584" s="2" t="s">
        <v>3675</v>
      </c>
      <c r="C1584" s="2" t="s">
        <v>2248</v>
      </c>
      <c r="D1584" s="2" t="s">
        <v>1927</v>
      </c>
      <c r="E1584" s="2"/>
      <c r="F1584" s="2" t="str">
        <f>"9798218490157"</f>
        <v>9798218490157</v>
      </c>
    </row>
    <row r="1585" spans="1:6" s="3" customFormat="1" ht="29.1" customHeight="1" x14ac:dyDescent="0.25">
      <c r="A1585" s="2" t="s">
        <v>3676</v>
      </c>
      <c r="B1585" s="2" t="s">
        <v>3677</v>
      </c>
      <c r="C1585" s="2" t="s">
        <v>2248</v>
      </c>
      <c r="D1585" s="2" t="s">
        <v>2776</v>
      </c>
      <c r="E1585" s="2"/>
      <c r="F1585" s="2" t="str">
        <f>"9798218496364"</f>
        <v>9798218496364</v>
      </c>
    </row>
    <row r="1586" spans="1:6" s="3" customFormat="1" ht="29.1" customHeight="1" x14ac:dyDescent="0.25">
      <c r="A1586" s="2" t="s">
        <v>3678</v>
      </c>
      <c r="B1586" s="2" t="s">
        <v>3679</v>
      </c>
      <c r="C1586" s="2" t="s">
        <v>2248</v>
      </c>
      <c r="D1586" s="2" t="s">
        <v>2260</v>
      </c>
      <c r="E1586" s="2"/>
      <c r="F1586" s="2" t="str">
        <f>"9798991699020"</f>
        <v>9798991699020</v>
      </c>
    </row>
    <row r="1587" spans="1:6" s="3" customFormat="1" ht="29.1" customHeight="1" x14ac:dyDescent="0.25">
      <c r="A1587" s="2" t="s">
        <v>3680</v>
      </c>
      <c r="B1587" s="2" t="s">
        <v>3681</v>
      </c>
      <c r="C1587" s="2" t="s">
        <v>2248</v>
      </c>
      <c r="D1587" s="2" t="s">
        <v>1256</v>
      </c>
      <c r="E1587" s="2"/>
      <c r="F1587" s="2" t="str">
        <f>"9798991699006"</f>
        <v>9798991699006</v>
      </c>
    </row>
    <row r="1588" spans="1:6" s="3" customFormat="1" ht="29.1" customHeight="1" x14ac:dyDescent="0.25">
      <c r="A1588" s="2" t="s">
        <v>3682</v>
      </c>
      <c r="B1588" s="2" t="s">
        <v>3683</v>
      </c>
      <c r="C1588" s="2" t="s">
        <v>2248</v>
      </c>
      <c r="D1588" s="2" t="s">
        <v>1256</v>
      </c>
      <c r="E1588" s="2"/>
      <c r="F1588" s="2" t="str">
        <f>"9798991699013"</f>
        <v>9798991699013</v>
      </c>
    </row>
    <row r="1589" spans="1:6" s="3" customFormat="1" ht="29.1" customHeight="1" x14ac:dyDescent="0.25">
      <c r="A1589" s="2" t="s">
        <v>3684</v>
      </c>
      <c r="B1589" s="2" t="s">
        <v>3685</v>
      </c>
      <c r="C1589" s="2" t="s">
        <v>2248</v>
      </c>
      <c r="D1589" s="2" t="s">
        <v>1256</v>
      </c>
      <c r="E1589" s="2"/>
      <c r="F1589" s="2" t="str">
        <f>"9798991699068"</f>
        <v>9798991699068</v>
      </c>
    </row>
    <row r="1590" spans="1:6" s="3" customFormat="1" ht="29.1" customHeight="1" x14ac:dyDescent="0.25">
      <c r="A1590" s="2" t="s">
        <v>3686</v>
      </c>
      <c r="B1590" s="2" t="s">
        <v>3687</v>
      </c>
      <c r="C1590" s="2" t="s">
        <v>2248</v>
      </c>
      <c r="D1590" s="2" t="s">
        <v>1256</v>
      </c>
      <c r="E1590" s="2"/>
      <c r="F1590" s="2" t="str">
        <f>"9798991699044"</f>
        <v>9798991699044</v>
      </c>
    </row>
    <row r="1591" spans="1:6" s="3" customFormat="1" ht="29.1" customHeight="1" x14ac:dyDescent="0.25">
      <c r="A1591" s="2" t="s">
        <v>3688</v>
      </c>
      <c r="B1591" s="2" t="s">
        <v>3689</v>
      </c>
      <c r="C1591" s="2" t="s">
        <v>2248</v>
      </c>
      <c r="D1591" s="2" t="s">
        <v>1256</v>
      </c>
      <c r="E1591" s="2"/>
      <c r="F1591" s="2" t="str">
        <f>"9798991699037"</f>
        <v>9798991699037</v>
      </c>
    </row>
    <row r="1592" spans="1:6" s="3" customFormat="1" ht="29.1" customHeight="1" x14ac:dyDescent="0.25">
      <c r="A1592" s="2" t="s">
        <v>3690</v>
      </c>
      <c r="B1592" s="2" t="s">
        <v>3691</v>
      </c>
      <c r="C1592" s="2" t="s">
        <v>2248</v>
      </c>
      <c r="D1592" s="2" t="s">
        <v>1256</v>
      </c>
      <c r="E1592" s="2"/>
      <c r="F1592" s="2" t="str">
        <f>"9798991699051"</f>
        <v>9798991699051</v>
      </c>
    </row>
    <row r="1593" spans="1:6" s="3" customFormat="1" ht="29.1" customHeight="1" x14ac:dyDescent="0.25">
      <c r="A1593" s="2" t="s">
        <v>3692</v>
      </c>
      <c r="B1593" s="2" t="s">
        <v>3694</v>
      </c>
      <c r="C1593" s="2" t="s">
        <v>2248</v>
      </c>
      <c r="D1593" s="2" t="s">
        <v>3693</v>
      </c>
      <c r="E1593" s="2"/>
      <c r="F1593" s="2" t="str">
        <f>"9798991699075"</f>
        <v>9798991699075</v>
      </c>
    </row>
    <row r="1594" spans="1:6" s="3" customFormat="1" ht="29.1" customHeight="1" x14ac:dyDescent="0.25">
      <c r="A1594" s="2" t="s">
        <v>3695</v>
      </c>
      <c r="B1594" s="2" t="s">
        <v>3671</v>
      </c>
      <c r="C1594" s="2" t="s">
        <v>2248</v>
      </c>
      <c r="D1594" s="2" t="s">
        <v>3670</v>
      </c>
      <c r="E1594" s="2"/>
      <c r="F1594" s="2" t="str">
        <f>"9798991699082"</f>
        <v>9798991699082</v>
      </c>
    </row>
    <row r="1595" spans="1:6" s="3" customFormat="1" ht="29.1" customHeight="1" x14ac:dyDescent="0.25">
      <c r="A1595" s="2" t="s">
        <v>3696</v>
      </c>
      <c r="B1595" s="2" t="s">
        <v>3697</v>
      </c>
      <c r="C1595" s="2" t="s">
        <v>2248</v>
      </c>
      <c r="D1595" s="2" t="s">
        <v>92</v>
      </c>
      <c r="E1595" s="2"/>
      <c r="F1595" s="2" t="str">
        <f>"9798992048209"</f>
        <v>9798992048209</v>
      </c>
    </row>
    <row r="1596" spans="1:6" s="3" customFormat="1" ht="29.1" customHeight="1" x14ac:dyDescent="0.25">
      <c r="A1596" s="2" t="s">
        <v>3698</v>
      </c>
      <c r="B1596" s="2" t="s">
        <v>3699</v>
      </c>
      <c r="C1596" s="2" t="s">
        <v>2248</v>
      </c>
      <c r="D1596" s="2" t="s">
        <v>2902</v>
      </c>
      <c r="E1596" s="2"/>
      <c r="F1596" s="2" t="str">
        <f>"9798991699099"</f>
        <v>9798991699099</v>
      </c>
    </row>
    <row r="1597" spans="1:6" s="3" customFormat="1" ht="29.1" customHeight="1" x14ac:dyDescent="0.25">
      <c r="A1597" s="2" t="s">
        <v>3700</v>
      </c>
      <c r="B1597" s="2" t="s">
        <v>3701</v>
      </c>
      <c r="C1597" s="2" t="s">
        <v>124</v>
      </c>
      <c r="D1597" s="2" t="s">
        <v>189</v>
      </c>
      <c r="E1597" s="2" t="str">
        <f>"9781041071068"</f>
        <v>9781041071068</v>
      </c>
      <c r="F1597" s="2" t="str">
        <f>"9781003638858"</f>
        <v>9781003638858</v>
      </c>
    </row>
    <row r="1598" spans="1:6" s="3" customFormat="1" ht="29.1" customHeight="1" x14ac:dyDescent="0.25">
      <c r="A1598" s="2" t="s">
        <v>3702</v>
      </c>
      <c r="B1598" s="2" t="s">
        <v>3703</v>
      </c>
      <c r="C1598" s="2" t="s">
        <v>124</v>
      </c>
      <c r="D1598" s="2" t="s">
        <v>2513</v>
      </c>
      <c r="E1598" s="2" t="str">
        <f>"9781032951829"</f>
        <v>9781032951829</v>
      </c>
      <c r="F1598" s="2" t="str">
        <f>"9781003583585"</f>
        <v>9781003583585</v>
      </c>
    </row>
    <row r="1599" spans="1:6" s="3" customFormat="1" ht="29.1" customHeight="1" x14ac:dyDescent="0.25">
      <c r="A1599" s="2" t="s">
        <v>3704</v>
      </c>
      <c r="B1599" s="2" t="s">
        <v>3705</v>
      </c>
      <c r="C1599" s="2" t="s">
        <v>927</v>
      </c>
      <c r="D1599" s="2" t="s">
        <v>297</v>
      </c>
      <c r="E1599" s="2" t="str">
        <f>"9780472057603"</f>
        <v>9780472057603</v>
      </c>
      <c r="F1599" s="2" t="str">
        <f>"9780472905188"</f>
        <v>9780472905188</v>
      </c>
    </row>
    <row r="1600" spans="1:6" s="3" customFormat="1" ht="29.1" customHeight="1" x14ac:dyDescent="0.25">
      <c r="A1600" s="2" t="s">
        <v>3706</v>
      </c>
      <c r="B1600" s="2" t="s">
        <v>3707</v>
      </c>
      <c r="C1600" s="2" t="s">
        <v>5</v>
      </c>
      <c r="D1600" s="2" t="s">
        <v>52</v>
      </c>
      <c r="E1600" s="2" t="str">
        <f>"9783031986840"</f>
        <v>9783031986840</v>
      </c>
      <c r="F1600" s="2" t="str">
        <f>"9783031986857"</f>
        <v>9783031986857</v>
      </c>
    </row>
    <row r="1601" spans="1:6" s="3" customFormat="1" ht="29.1" customHeight="1" x14ac:dyDescent="0.25">
      <c r="A1601" s="2" t="s">
        <v>3706</v>
      </c>
      <c r="B1601" s="2" t="s">
        <v>3707</v>
      </c>
      <c r="C1601" s="2" t="s">
        <v>5</v>
      </c>
      <c r="D1601" s="2" t="s">
        <v>52</v>
      </c>
      <c r="E1601" s="2" t="str">
        <f>"9783031986819"</f>
        <v>9783031986819</v>
      </c>
      <c r="F1601" s="2" t="str">
        <f>"9783031986826"</f>
        <v>9783031986826</v>
      </c>
    </row>
    <row r="1602" spans="1:6" s="3" customFormat="1" ht="29.1" customHeight="1" x14ac:dyDescent="0.25">
      <c r="A1602" s="2" t="s">
        <v>3708</v>
      </c>
      <c r="B1602" s="2" t="s">
        <v>3709</v>
      </c>
      <c r="C1602" s="2" t="s">
        <v>5</v>
      </c>
      <c r="D1602" s="2" t="s">
        <v>1432</v>
      </c>
      <c r="E1602" s="2" t="str">
        <f>"9789819659401"</f>
        <v>9789819659401</v>
      </c>
      <c r="F1602" s="2" t="str">
        <f>"9789819659418"</f>
        <v>9789819659418</v>
      </c>
    </row>
    <row r="1603" spans="1:6" s="3" customFormat="1" ht="29.1" customHeight="1" x14ac:dyDescent="0.25">
      <c r="A1603" s="2" t="s">
        <v>3710</v>
      </c>
      <c r="B1603" s="2" t="s">
        <v>3711</v>
      </c>
      <c r="C1603" s="2" t="s">
        <v>5</v>
      </c>
      <c r="D1603" s="2" t="s">
        <v>52</v>
      </c>
      <c r="E1603" s="2" t="str">
        <f>"9783031875717"</f>
        <v>9783031875717</v>
      </c>
      <c r="F1603" s="2" t="str">
        <f>"9783031875724"</f>
        <v>9783031875724</v>
      </c>
    </row>
    <row r="1604" spans="1:6" s="3" customFormat="1" ht="29.1" customHeight="1" x14ac:dyDescent="0.25">
      <c r="A1604" s="2" t="s">
        <v>3712</v>
      </c>
      <c r="B1604" s="2" t="s">
        <v>3714</v>
      </c>
      <c r="C1604" s="2" t="s">
        <v>149</v>
      </c>
      <c r="D1604" s="2" t="s">
        <v>3713</v>
      </c>
      <c r="E1604" s="2" t="str">
        <f>"9781805110705"</f>
        <v>9781805110705</v>
      </c>
      <c r="F1604" s="2" t="str">
        <f>"9781805110729"</f>
        <v>9781805110729</v>
      </c>
    </row>
    <row r="1605" spans="1:6" s="3" customFormat="1" ht="29.1" customHeight="1" x14ac:dyDescent="0.25">
      <c r="A1605" s="2" t="s">
        <v>3715</v>
      </c>
      <c r="B1605" s="2" t="s">
        <v>3716</v>
      </c>
      <c r="C1605" s="2" t="s">
        <v>5</v>
      </c>
      <c r="D1605" s="2" t="s">
        <v>863</v>
      </c>
      <c r="E1605" s="2" t="str">
        <f>"9789464637960"</f>
        <v>9789464637960</v>
      </c>
      <c r="F1605" s="2" t="str">
        <f>"9789464637977"</f>
        <v>9789464637977</v>
      </c>
    </row>
    <row r="1606" spans="1:6" s="3" customFormat="1" ht="29.1" customHeight="1" x14ac:dyDescent="0.25">
      <c r="A1606" s="2" t="s">
        <v>3717</v>
      </c>
      <c r="B1606" s="2" t="s">
        <v>3718</v>
      </c>
      <c r="C1606" s="2" t="s">
        <v>5</v>
      </c>
      <c r="D1606" s="2" t="s">
        <v>81</v>
      </c>
      <c r="E1606" s="2" t="str">
        <f>"9782384764457"</f>
        <v>9782384764457</v>
      </c>
      <c r="F1606" s="2" t="str">
        <f>"9782384764464"</f>
        <v>9782384764464</v>
      </c>
    </row>
    <row r="1607" spans="1:6" s="3" customFormat="1" ht="29.1" customHeight="1" x14ac:dyDescent="0.25">
      <c r="A1607" s="2" t="s">
        <v>3706</v>
      </c>
      <c r="B1607" s="2" t="s">
        <v>3707</v>
      </c>
      <c r="C1607" s="2" t="s">
        <v>5</v>
      </c>
      <c r="D1607" s="2" t="s">
        <v>52</v>
      </c>
      <c r="E1607" s="2" t="str">
        <f>"9783031986789"</f>
        <v>9783031986789</v>
      </c>
      <c r="F1607" s="2" t="str">
        <f>"9783031986796"</f>
        <v>9783031986796</v>
      </c>
    </row>
    <row r="1608" spans="1:6" s="3" customFormat="1" ht="29.1" customHeight="1" x14ac:dyDescent="0.25">
      <c r="A1608" s="2" t="s">
        <v>3706</v>
      </c>
      <c r="B1608" s="2" t="s">
        <v>3707</v>
      </c>
      <c r="C1608" s="2" t="s">
        <v>5</v>
      </c>
      <c r="D1608" s="2" t="s">
        <v>52</v>
      </c>
      <c r="E1608" s="2" t="str">
        <f>"9783031986673"</f>
        <v>9783031986673</v>
      </c>
      <c r="F1608" s="2" t="str">
        <f>"9783031986680"</f>
        <v>9783031986680</v>
      </c>
    </row>
    <row r="1609" spans="1:6" s="3" customFormat="1" ht="29.1" customHeight="1" x14ac:dyDescent="0.25">
      <c r="A1609" s="2" t="s">
        <v>3719</v>
      </c>
      <c r="B1609" s="2" t="s">
        <v>3720</v>
      </c>
      <c r="C1609" s="2" t="s">
        <v>149</v>
      </c>
      <c r="D1609" s="2" t="s">
        <v>402</v>
      </c>
      <c r="E1609" s="2" t="str">
        <f>"9789636461539"</f>
        <v>9789636461539</v>
      </c>
      <c r="F1609" s="2" t="str">
        <f>"9789636463496"</f>
        <v>9789636463496</v>
      </c>
    </row>
    <row r="1610" spans="1:6" s="3" customFormat="1" ht="29.1" customHeight="1" x14ac:dyDescent="0.25">
      <c r="A1610" s="2" t="s">
        <v>3721</v>
      </c>
      <c r="B1610" s="2" t="s">
        <v>3723</v>
      </c>
      <c r="C1610" s="2" t="s">
        <v>149</v>
      </c>
      <c r="D1610" s="2" t="s">
        <v>3722</v>
      </c>
      <c r="E1610" s="2" t="str">
        <f>"9781805115489"</f>
        <v>9781805115489</v>
      </c>
      <c r="F1610" s="2" t="str">
        <f>"9781805115502"</f>
        <v>9781805115502</v>
      </c>
    </row>
    <row r="1611" spans="1:6" s="3" customFormat="1" ht="29.1" customHeight="1" x14ac:dyDescent="0.25">
      <c r="A1611" s="2" t="s">
        <v>3724</v>
      </c>
      <c r="B1611" s="2" t="s">
        <v>3726</v>
      </c>
      <c r="C1611" s="2" t="s">
        <v>3725</v>
      </c>
      <c r="D1611" s="2" t="s">
        <v>459</v>
      </c>
      <c r="E1611" s="2"/>
      <c r="F1611" s="2" t="str">
        <f>"9783961105069"</f>
        <v>9783961105069</v>
      </c>
    </row>
    <row r="1612" spans="1:6" s="3" customFormat="1" ht="29.1" customHeight="1" x14ac:dyDescent="0.25">
      <c r="A1612" s="2" t="s">
        <v>3727</v>
      </c>
      <c r="B1612" s="2" t="s">
        <v>3728</v>
      </c>
      <c r="C1612" s="2" t="s">
        <v>3725</v>
      </c>
      <c r="D1612" s="2" t="s">
        <v>459</v>
      </c>
      <c r="E1612" s="2"/>
      <c r="F1612" s="2" t="str">
        <f>"9783961104826"</f>
        <v>9783961104826</v>
      </c>
    </row>
    <row r="1613" spans="1:6" s="3" customFormat="1" ht="29.1" customHeight="1" x14ac:dyDescent="0.25">
      <c r="A1613" s="2" t="s">
        <v>3729</v>
      </c>
      <c r="B1613" s="2" t="s">
        <v>3730</v>
      </c>
      <c r="C1613" s="2" t="s">
        <v>3725</v>
      </c>
      <c r="D1613" s="2" t="s">
        <v>459</v>
      </c>
      <c r="E1613" s="2"/>
      <c r="F1613" s="2" t="str">
        <f>"9783961105168"</f>
        <v>9783961105168</v>
      </c>
    </row>
    <row r="1614" spans="1:6" s="3" customFormat="1" ht="29.1" customHeight="1" x14ac:dyDescent="0.25">
      <c r="A1614" s="2" t="s">
        <v>3731</v>
      </c>
      <c r="B1614" s="2" t="s">
        <v>3732</v>
      </c>
      <c r="C1614" s="2" t="s">
        <v>3725</v>
      </c>
      <c r="D1614" s="2" t="s">
        <v>459</v>
      </c>
      <c r="E1614" s="2"/>
      <c r="F1614" s="2" t="str">
        <f>"9783961105267"</f>
        <v>9783961105267</v>
      </c>
    </row>
    <row r="1615" spans="1:6" s="3" customFormat="1" ht="29.1" customHeight="1" x14ac:dyDescent="0.25">
      <c r="A1615" s="2" t="s">
        <v>3733</v>
      </c>
      <c r="B1615" s="2" t="s">
        <v>3734</v>
      </c>
      <c r="C1615" s="2" t="s">
        <v>3725</v>
      </c>
      <c r="D1615" s="2" t="s">
        <v>459</v>
      </c>
      <c r="E1615" s="2"/>
      <c r="F1615" s="2" t="str">
        <f>"9783961105151"</f>
        <v>9783961105151</v>
      </c>
    </row>
    <row r="1616" spans="1:6" s="3" customFormat="1" ht="29.1" customHeight="1" x14ac:dyDescent="0.25">
      <c r="A1616" s="2" t="s">
        <v>3735</v>
      </c>
      <c r="B1616" s="2" t="s">
        <v>3736</v>
      </c>
      <c r="C1616" s="2" t="s">
        <v>3725</v>
      </c>
      <c r="D1616" s="2" t="s">
        <v>459</v>
      </c>
      <c r="E1616" s="2"/>
      <c r="F1616" s="2" t="str">
        <f>"9783961105076"</f>
        <v>9783961105076</v>
      </c>
    </row>
    <row r="1617" spans="1:6" s="3" customFormat="1" ht="29.1" customHeight="1" x14ac:dyDescent="0.25">
      <c r="A1617" s="2" t="s">
        <v>3737</v>
      </c>
      <c r="B1617" s="2" t="s">
        <v>3738</v>
      </c>
      <c r="C1617" s="2" t="s">
        <v>3725</v>
      </c>
      <c r="D1617" s="2" t="s">
        <v>459</v>
      </c>
      <c r="E1617" s="2"/>
      <c r="F1617" s="2" t="str">
        <f>"9783961104949"</f>
        <v>9783961104949</v>
      </c>
    </row>
    <row r="1618" spans="1:6" s="3" customFormat="1" ht="29.1" customHeight="1" x14ac:dyDescent="0.25">
      <c r="A1618" s="2" t="s">
        <v>3739</v>
      </c>
      <c r="B1618" s="2" t="s">
        <v>3740</v>
      </c>
      <c r="C1618" s="2" t="s">
        <v>3725</v>
      </c>
      <c r="D1618" s="2" t="s">
        <v>459</v>
      </c>
      <c r="E1618" s="2"/>
      <c r="F1618" s="2" t="str">
        <f>"9783961104864"</f>
        <v>9783961104864</v>
      </c>
    </row>
    <row r="1619" spans="1:6" s="3" customFormat="1" ht="29.1" customHeight="1" x14ac:dyDescent="0.25">
      <c r="A1619" s="2" t="s">
        <v>3741</v>
      </c>
      <c r="B1619" s="2" t="s">
        <v>3742</v>
      </c>
      <c r="C1619" s="2" t="s">
        <v>3725</v>
      </c>
      <c r="D1619" s="2" t="s">
        <v>459</v>
      </c>
      <c r="E1619" s="2"/>
      <c r="F1619" s="2" t="str">
        <f>"9783961104970"</f>
        <v>9783961104970</v>
      </c>
    </row>
    <row r="1620" spans="1:6" s="3" customFormat="1" ht="29.1" customHeight="1" x14ac:dyDescent="0.25">
      <c r="A1620" s="2" t="s">
        <v>3743</v>
      </c>
      <c r="B1620" s="2" t="s">
        <v>3744</v>
      </c>
      <c r="C1620" s="2" t="s">
        <v>3725</v>
      </c>
      <c r="D1620" s="2" t="s">
        <v>459</v>
      </c>
      <c r="E1620" s="2"/>
      <c r="F1620" s="2" t="str">
        <f>"9783961105144"</f>
        <v>9783961105144</v>
      </c>
    </row>
    <row r="1621" spans="1:6" s="3" customFormat="1" ht="29.1" customHeight="1" x14ac:dyDescent="0.25">
      <c r="A1621" s="2" t="s">
        <v>3745</v>
      </c>
      <c r="B1621" s="2" t="s">
        <v>3746</v>
      </c>
      <c r="C1621" s="2" t="s">
        <v>3725</v>
      </c>
      <c r="D1621" s="2" t="s">
        <v>459</v>
      </c>
      <c r="E1621" s="2"/>
      <c r="F1621" s="2" t="str">
        <f>"9783961105052"</f>
        <v>9783961105052</v>
      </c>
    </row>
    <row r="1622" spans="1:6" s="3" customFormat="1" ht="29.1" customHeight="1" x14ac:dyDescent="0.25">
      <c r="A1622" s="2" t="s">
        <v>3747</v>
      </c>
      <c r="B1622" s="2" t="s">
        <v>3748</v>
      </c>
      <c r="C1622" s="2" t="s">
        <v>3725</v>
      </c>
      <c r="D1622" s="2" t="s">
        <v>459</v>
      </c>
      <c r="E1622" s="2"/>
      <c r="F1622" s="2" t="str">
        <f>"9783961105120"</f>
        <v>9783961105120</v>
      </c>
    </row>
    <row r="1623" spans="1:6" s="3" customFormat="1" ht="29.1" customHeight="1" x14ac:dyDescent="0.25">
      <c r="A1623" s="2" t="s">
        <v>3749</v>
      </c>
      <c r="B1623" s="2" t="s">
        <v>3750</v>
      </c>
      <c r="C1623" s="2" t="s">
        <v>3725</v>
      </c>
      <c r="D1623" s="2" t="s">
        <v>459</v>
      </c>
      <c r="E1623" s="2"/>
      <c r="F1623" s="2" t="str">
        <f>"9783961105083"</f>
        <v>9783961105083</v>
      </c>
    </row>
    <row r="1624" spans="1:6" s="3" customFormat="1" ht="29.1" customHeight="1" x14ac:dyDescent="0.25">
      <c r="A1624" s="2" t="s">
        <v>3751</v>
      </c>
      <c r="B1624" s="2" t="s">
        <v>3752</v>
      </c>
      <c r="C1624" s="2" t="s">
        <v>3725</v>
      </c>
      <c r="D1624" s="2" t="s">
        <v>459</v>
      </c>
      <c r="E1624" s="2"/>
      <c r="F1624" s="2" t="str">
        <f>"9783961104932"</f>
        <v>9783961104932</v>
      </c>
    </row>
    <row r="1625" spans="1:6" s="3" customFormat="1" ht="29.1" customHeight="1" x14ac:dyDescent="0.25">
      <c r="A1625" s="2" t="s">
        <v>3753</v>
      </c>
      <c r="B1625" s="2" t="s">
        <v>3754</v>
      </c>
      <c r="C1625" s="2" t="s">
        <v>3725</v>
      </c>
      <c r="D1625" s="2" t="s">
        <v>459</v>
      </c>
      <c r="E1625" s="2"/>
      <c r="F1625" s="2" t="str">
        <f>"9783961104819"</f>
        <v>9783961104819</v>
      </c>
    </row>
    <row r="1626" spans="1:6" s="3" customFormat="1" ht="29.1" customHeight="1" x14ac:dyDescent="0.25">
      <c r="A1626" s="2" t="s">
        <v>3755</v>
      </c>
      <c r="B1626" s="2" t="s">
        <v>3756</v>
      </c>
      <c r="C1626" s="2" t="s">
        <v>3725</v>
      </c>
      <c r="D1626" s="2" t="s">
        <v>459</v>
      </c>
      <c r="E1626" s="2"/>
      <c r="F1626" s="2" t="str">
        <f>"9783961104994"</f>
        <v>9783961104994</v>
      </c>
    </row>
    <row r="1627" spans="1:6" s="3" customFormat="1" ht="29.1" customHeight="1" x14ac:dyDescent="0.25">
      <c r="A1627" s="2" t="s">
        <v>3757</v>
      </c>
      <c r="B1627" s="2" t="s">
        <v>3758</v>
      </c>
      <c r="C1627" s="2" t="s">
        <v>3725</v>
      </c>
      <c r="D1627" s="2" t="s">
        <v>459</v>
      </c>
      <c r="E1627" s="2"/>
      <c r="F1627" s="2" t="str">
        <f>"9783961104857"</f>
        <v>9783961104857</v>
      </c>
    </row>
    <row r="1628" spans="1:6" s="3" customFormat="1" ht="29.1" customHeight="1" x14ac:dyDescent="0.25">
      <c r="A1628" s="2" t="s">
        <v>3759</v>
      </c>
      <c r="B1628" s="2" t="s">
        <v>3760</v>
      </c>
      <c r="C1628" s="2" t="s">
        <v>3725</v>
      </c>
      <c r="D1628" s="2" t="s">
        <v>459</v>
      </c>
      <c r="E1628" s="2"/>
      <c r="F1628" s="2" t="str">
        <f>"9783961104871"</f>
        <v>9783961104871</v>
      </c>
    </row>
    <row r="1629" spans="1:6" s="3" customFormat="1" ht="29.1" customHeight="1" x14ac:dyDescent="0.25">
      <c r="A1629" s="2" t="s">
        <v>3761</v>
      </c>
      <c r="B1629" s="2" t="s">
        <v>3762</v>
      </c>
      <c r="C1629" s="2" t="s">
        <v>3725</v>
      </c>
      <c r="D1629" s="2" t="s">
        <v>459</v>
      </c>
      <c r="E1629" s="2"/>
      <c r="F1629" s="2" t="str">
        <f>"9783961105106"</f>
        <v>9783961105106</v>
      </c>
    </row>
    <row r="1630" spans="1:6" s="3" customFormat="1" ht="29.1" customHeight="1" x14ac:dyDescent="0.25">
      <c r="A1630" s="2" t="s">
        <v>3763</v>
      </c>
      <c r="B1630" s="2" t="s">
        <v>3764</v>
      </c>
      <c r="C1630" s="2" t="s">
        <v>3725</v>
      </c>
      <c r="D1630" s="2" t="s">
        <v>459</v>
      </c>
      <c r="E1630" s="2"/>
      <c r="F1630" s="2" t="str">
        <f>"9783961105038"</f>
        <v>9783961105038</v>
      </c>
    </row>
    <row r="1631" spans="1:6" s="3" customFormat="1" ht="29.1" customHeight="1" x14ac:dyDescent="0.25">
      <c r="A1631" s="2" t="s">
        <v>3765</v>
      </c>
      <c r="B1631" s="2" t="s">
        <v>3766</v>
      </c>
      <c r="C1631" s="2" t="s">
        <v>3725</v>
      </c>
      <c r="D1631" s="2" t="s">
        <v>459</v>
      </c>
      <c r="E1631" s="2"/>
      <c r="F1631" s="2" t="str">
        <f>"9783961104802"</f>
        <v>9783961104802</v>
      </c>
    </row>
    <row r="1632" spans="1:6" s="3" customFormat="1" ht="29.1" customHeight="1" x14ac:dyDescent="0.25">
      <c r="A1632" s="2" t="s">
        <v>3767</v>
      </c>
      <c r="B1632" s="2" t="s">
        <v>3768</v>
      </c>
      <c r="C1632" s="2" t="s">
        <v>3725</v>
      </c>
      <c r="D1632" s="2" t="s">
        <v>459</v>
      </c>
      <c r="E1632" s="2"/>
      <c r="F1632" s="2" t="str">
        <f>"9783961104918"</f>
        <v>9783961104918</v>
      </c>
    </row>
    <row r="1633" spans="1:6" s="3" customFormat="1" ht="29.1" customHeight="1" x14ac:dyDescent="0.25">
      <c r="A1633" s="2" t="s">
        <v>3769</v>
      </c>
      <c r="B1633" s="2" t="s">
        <v>3770</v>
      </c>
      <c r="C1633" s="2" t="s">
        <v>3725</v>
      </c>
      <c r="D1633" s="2" t="s">
        <v>459</v>
      </c>
      <c r="E1633" s="2"/>
      <c r="F1633" s="2" t="str">
        <f>"9783961104710"</f>
        <v>9783961104710</v>
      </c>
    </row>
    <row r="1634" spans="1:6" s="3" customFormat="1" ht="29.1" customHeight="1" x14ac:dyDescent="0.25">
      <c r="A1634" s="2" t="s">
        <v>3771</v>
      </c>
      <c r="B1634" s="2" t="s">
        <v>3772</v>
      </c>
      <c r="C1634" s="2" t="s">
        <v>3725</v>
      </c>
      <c r="D1634" s="2" t="s">
        <v>459</v>
      </c>
      <c r="E1634" s="2"/>
      <c r="F1634" s="2" t="str">
        <f>"9783961104833"</f>
        <v>9783961104833</v>
      </c>
    </row>
    <row r="1635" spans="1:6" s="3" customFormat="1" ht="29.1" customHeight="1" x14ac:dyDescent="0.25">
      <c r="A1635" s="2" t="s">
        <v>3773</v>
      </c>
      <c r="B1635" s="2" t="s">
        <v>3774</v>
      </c>
      <c r="C1635" s="2" t="s">
        <v>3725</v>
      </c>
      <c r="D1635" s="2" t="s">
        <v>459</v>
      </c>
      <c r="E1635" s="2"/>
      <c r="F1635" s="2" t="str">
        <f>"9783961105021"</f>
        <v>9783961105021</v>
      </c>
    </row>
    <row r="1636" spans="1:6" s="3" customFormat="1" ht="29.1" customHeight="1" x14ac:dyDescent="0.25">
      <c r="A1636" s="2" t="s">
        <v>3775</v>
      </c>
      <c r="B1636" s="2" t="s">
        <v>3776</v>
      </c>
      <c r="C1636" s="2" t="s">
        <v>3725</v>
      </c>
      <c r="D1636" s="2" t="s">
        <v>459</v>
      </c>
      <c r="E1636" s="2"/>
      <c r="F1636" s="2" t="str">
        <f>"9783961104956"</f>
        <v>9783961104956</v>
      </c>
    </row>
    <row r="1637" spans="1:6" s="3" customFormat="1" ht="29.1" customHeight="1" x14ac:dyDescent="0.25">
      <c r="A1637" s="2" t="s">
        <v>3777</v>
      </c>
      <c r="B1637" s="2" t="s">
        <v>3778</v>
      </c>
      <c r="C1637" s="2" t="s">
        <v>3725</v>
      </c>
      <c r="D1637" s="2" t="s">
        <v>459</v>
      </c>
      <c r="E1637" s="2"/>
      <c r="F1637" s="2" t="str">
        <f>"9783961104796"</f>
        <v>9783961104796</v>
      </c>
    </row>
    <row r="1638" spans="1:6" s="3" customFormat="1" ht="29.1" customHeight="1" x14ac:dyDescent="0.25">
      <c r="A1638" s="2" t="s">
        <v>3779</v>
      </c>
      <c r="B1638" s="2" t="s">
        <v>3780</v>
      </c>
      <c r="C1638" s="2" t="s">
        <v>3725</v>
      </c>
      <c r="D1638" s="2" t="s">
        <v>459</v>
      </c>
      <c r="E1638" s="2"/>
      <c r="F1638" s="2" t="str">
        <f>"9783961104765"</f>
        <v>9783961104765</v>
      </c>
    </row>
    <row r="1639" spans="1:6" s="3" customFormat="1" ht="29.1" customHeight="1" x14ac:dyDescent="0.25">
      <c r="A1639" s="2" t="s">
        <v>3781</v>
      </c>
      <c r="B1639" s="2" t="s">
        <v>3782</v>
      </c>
      <c r="C1639" s="2" t="s">
        <v>3725</v>
      </c>
      <c r="D1639" s="2" t="s">
        <v>459</v>
      </c>
      <c r="E1639" s="2"/>
      <c r="F1639" s="2" t="str">
        <f>"9783961104758"</f>
        <v>9783961104758</v>
      </c>
    </row>
    <row r="1640" spans="1:6" s="3" customFormat="1" ht="29.1" customHeight="1" x14ac:dyDescent="0.25">
      <c r="A1640" s="2" t="s">
        <v>3783</v>
      </c>
      <c r="B1640" s="2" t="s">
        <v>3784</v>
      </c>
      <c r="C1640" s="2" t="s">
        <v>3725</v>
      </c>
      <c r="D1640" s="2" t="s">
        <v>459</v>
      </c>
      <c r="E1640" s="2"/>
      <c r="F1640" s="2" t="str">
        <f>"9783961104734"</f>
        <v>9783961104734</v>
      </c>
    </row>
    <row r="1641" spans="1:6" s="3" customFormat="1" ht="29.1" customHeight="1" x14ac:dyDescent="0.25">
      <c r="A1641" s="2" t="s">
        <v>3785</v>
      </c>
      <c r="B1641" s="2" t="s">
        <v>3786</v>
      </c>
      <c r="C1641" s="2" t="s">
        <v>3725</v>
      </c>
      <c r="D1641" s="2" t="s">
        <v>459</v>
      </c>
      <c r="E1641" s="2"/>
      <c r="F1641" s="2" t="str">
        <f>"9783961104963"</f>
        <v>9783961104963</v>
      </c>
    </row>
    <row r="1642" spans="1:6" s="3" customFormat="1" ht="29.1" customHeight="1" x14ac:dyDescent="0.25">
      <c r="A1642" s="2" t="s">
        <v>3787</v>
      </c>
      <c r="B1642" s="2" t="s">
        <v>3788</v>
      </c>
      <c r="C1642" s="2" t="s">
        <v>3725</v>
      </c>
      <c r="D1642" s="2" t="s">
        <v>459</v>
      </c>
      <c r="E1642" s="2"/>
      <c r="F1642" s="2" t="str">
        <f>"9783961104680"</f>
        <v>9783961104680</v>
      </c>
    </row>
    <row r="1643" spans="1:6" s="3" customFormat="1" ht="29.1" customHeight="1" x14ac:dyDescent="0.25">
      <c r="A1643" s="2" t="s">
        <v>3789</v>
      </c>
      <c r="B1643" s="2" t="s">
        <v>3790</v>
      </c>
      <c r="C1643" s="2" t="s">
        <v>3725</v>
      </c>
      <c r="D1643" s="2" t="s">
        <v>459</v>
      </c>
      <c r="E1643" s="2"/>
      <c r="F1643" s="2" t="str">
        <f>"9783961104987"</f>
        <v>9783961104987</v>
      </c>
    </row>
    <row r="1644" spans="1:6" s="3" customFormat="1" ht="29.1" customHeight="1" x14ac:dyDescent="0.25">
      <c r="A1644" s="2" t="s">
        <v>3791</v>
      </c>
      <c r="B1644" s="2" t="s">
        <v>3792</v>
      </c>
      <c r="C1644" s="2" t="s">
        <v>3725</v>
      </c>
      <c r="D1644" s="2" t="s">
        <v>459</v>
      </c>
      <c r="E1644" s="2"/>
      <c r="F1644" s="2" t="str">
        <f>"9783961104741"</f>
        <v>9783961104741</v>
      </c>
    </row>
    <row r="1645" spans="1:6" s="3" customFormat="1" ht="29.1" customHeight="1" x14ac:dyDescent="0.25">
      <c r="A1645" s="2" t="s">
        <v>3793</v>
      </c>
      <c r="B1645" s="2" t="s">
        <v>3794</v>
      </c>
      <c r="C1645" s="2" t="s">
        <v>3725</v>
      </c>
      <c r="D1645" s="2" t="s">
        <v>459</v>
      </c>
      <c r="E1645" s="2"/>
      <c r="F1645" s="2" t="str">
        <f>"9783961104901"</f>
        <v>9783961104901</v>
      </c>
    </row>
    <row r="1646" spans="1:6" s="3" customFormat="1" ht="29.1" customHeight="1" x14ac:dyDescent="0.25">
      <c r="A1646" s="2" t="s">
        <v>3795</v>
      </c>
      <c r="B1646" s="2" t="s">
        <v>3796</v>
      </c>
      <c r="C1646" s="2" t="s">
        <v>3725</v>
      </c>
      <c r="D1646" s="2" t="s">
        <v>459</v>
      </c>
      <c r="E1646" s="2"/>
      <c r="F1646" s="2" t="str">
        <f>"9783961105045"</f>
        <v>9783961105045</v>
      </c>
    </row>
    <row r="1647" spans="1:6" s="3" customFormat="1" ht="29.1" customHeight="1" x14ac:dyDescent="0.25">
      <c r="A1647" s="2" t="s">
        <v>3797</v>
      </c>
      <c r="B1647" s="2" t="s">
        <v>3798</v>
      </c>
      <c r="C1647" s="2" t="s">
        <v>3725</v>
      </c>
      <c r="D1647" s="2" t="s">
        <v>459</v>
      </c>
      <c r="E1647" s="2"/>
      <c r="F1647" s="2" t="str">
        <f>"9783961104840"</f>
        <v>9783961104840</v>
      </c>
    </row>
    <row r="1648" spans="1:6" s="3" customFormat="1" ht="29.1" customHeight="1" x14ac:dyDescent="0.25">
      <c r="A1648" s="2" t="s">
        <v>3799</v>
      </c>
      <c r="B1648" s="2" t="s">
        <v>3800</v>
      </c>
      <c r="C1648" s="2" t="s">
        <v>3725</v>
      </c>
      <c r="D1648" s="2" t="s">
        <v>459</v>
      </c>
      <c r="E1648" s="2"/>
      <c r="F1648" s="2" t="str">
        <f>"9783961104925"</f>
        <v>9783961104925</v>
      </c>
    </row>
    <row r="1649" spans="1:6" s="3" customFormat="1" ht="29.1" customHeight="1" x14ac:dyDescent="0.25">
      <c r="A1649" s="2" t="s">
        <v>3801</v>
      </c>
      <c r="B1649" s="2" t="s">
        <v>3802</v>
      </c>
      <c r="C1649" s="2" t="s">
        <v>3725</v>
      </c>
      <c r="D1649" s="2" t="s">
        <v>459</v>
      </c>
      <c r="E1649" s="2"/>
      <c r="F1649" s="2" t="str">
        <f>"9783961104789"</f>
        <v>9783961104789</v>
      </c>
    </row>
    <row r="1650" spans="1:6" s="3" customFormat="1" ht="29.1" customHeight="1" x14ac:dyDescent="0.25">
      <c r="A1650" s="2" t="s">
        <v>3803</v>
      </c>
      <c r="B1650" s="2" t="s">
        <v>3804</v>
      </c>
      <c r="C1650" s="2" t="s">
        <v>3725</v>
      </c>
      <c r="D1650" s="2" t="s">
        <v>459</v>
      </c>
      <c r="E1650" s="2"/>
      <c r="F1650" s="2" t="str">
        <f>"9783961104895"</f>
        <v>9783961104895</v>
      </c>
    </row>
    <row r="1651" spans="1:6" s="3" customFormat="1" ht="29.1" customHeight="1" x14ac:dyDescent="0.25">
      <c r="A1651" s="2" t="s">
        <v>3805</v>
      </c>
      <c r="B1651" s="2" t="s">
        <v>3806</v>
      </c>
      <c r="C1651" s="2" t="s">
        <v>3725</v>
      </c>
      <c r="D1651" s="2" t="s">
        <v>459</v>
      </c>
      <c r="E1651" s="2"/>
      <c r="F1651" s="2" t="str">
        <f>"9783961104772"</f>
        <v>9783961104772</v>
      </c>
    </row>
    <row r="1652" spans="1:6" s="3" customFormat="1" ht="29.1" customHeight="1" x14ac:dyDescent="0.25">
      <c r="A1652" s="2" t="s">
        <v>3807</v>
      </c>
      <c r="B1652" s="2" t="s">
        <v>3808</v>
      </c>
      <c r="C1652" s="2" t="s">
        <v>3725</v>
      </c>
      <c r="D1652" s="2" t="s">
        <v>459</v>
      </c>
      <c r="E1652" s="2"/>
      <c r="F1652" s="2" t="str">
        <f>"9783961104888"</f>
        <v>9783961104888</v>
      </c>
    </row>
    <row r="1653" spans="1:6" s="3" customFormat="1" ht="29.1" customHeight="1" x14ac:dyDescent="0.25">
      <c r="A1653" s="2" t="s">
        <v>3809</v>
      </c>
      <c r="B1653" s="2" t="s">
        <v>3810</v>
      </c>
      <c r="C1653" s="2" t="s">
        <v>3725</v>
      </c>
      <c r="D1653" s="2" t="s">
        <v>459</v>
      </c>
      <c r="E1653" s="2"/>
      <c r="F1653" s="2" t="str">
        <f>"9783961103171"</f>
        <v>9783961103171</v>
      </c>
    </row>
    <row r="1654" spans="1:6" s="3" customFormat="1" ht="29.1" customHeight="1" x14ac:dyDescent="0.25">
      <c r="A1654" s="2" t="s">
        <v>3811</v>
      </c>
      <c r="B1654" s="2" t="s">
        <v>3812</v>
      </c>
      <c r="C1654" s="2" t="s">
        <v>3725</v>
      </c>
      <c r="D1654" s="2" t="s">
        <v>459</v>
      </c>
      <c r="E1654" s="2"/>
      <c r="F1654" s="2" t="str">
        <f>"9783961104376"</f>
        <v>9783961104376</v>
      </c>
    </row>
    <row r="1655" spans="1:6" s="3" customFormat="1" ht="29.1" customHeight="1" x14ac:dyDescent="0.25">
      <c r="A1655" s="2" t="s">
        <v>3813</v>
      </c>
      <c r="B1655" s="2" t="s">
        <v>3815</v>
      </c>
      <c r="C1655" s="2" t="s">
        <v>5</v>
      </c>
      <c r="D1655" s="2" t="s">
        <v>3814</v>
      </c>
      <c r="E1655" s="2" t="str">
        <f>"9783031855634"</f>
        <v>9783031855634</v>
      </c>
      <c r="F1655" s="2" t="str">
        <f>"9783031855641"</f>
        <v>9783031855641</v>
      </c>
    </row>
    <row r="1656" spans="1:6" s="3" customFormat="1" ht="29.1" customHeight="1" x14ac:dyDescent="0.25">
      <c r="A1656" s="2" t="s">
        <v>3816</v>
      </c>
      <c r="B1656" s="2" t="s">
        <v>3818</v>
      </c>
      <c r="C1656" s="2" t="s">
        <v>5</v>
      </c>
      <c r="D1656" s="2" t="s">
        <v>3817</v>
      </c>
      <c r="E1656" s="2" t="str">
        <f>"9789819677443"</f>
        <v>9789819677443</v>
      </c>
      <c r="F1656" s="2" t="str">
        <f>"9789819677450"</f>
        <v>9789819677450</v>
      </c>
    </row>
    <row r="1657" spans="1:6" s="3" customFormat="1" ht="29.1" customHeight="1" x14ac:dyDescent="0.25">
      <c r="A1657" s="2" t="s">
        <v>3819</v>
      </c>
      <c r="B1657" s="2" t="s">
        <v>3820</v>
      </c>
      <c r="C1657" s="2" t="s">
        <v>5</v>
      </c>
      <c r="D1657" s="2" t="s">
        <v>1806</v>
      </c>
      <c r="E1657" s="2" t="str">
        <f>"9789819671663"</f>
        <v>9789819671663</v>
      </c>
      <c r="F1657" s="2" t="str">
        <f>"9789819671670"</f>
        <v>9789819671670</v>
      </c>
    </row>
    <row r="1658" spans="1:6" s="3" customFormat="1" ht="29.1" customHeight="1" x14ac:dyDescent="0.25">
      <c r="A1658" s="2" t="s">
        <v>3821</v>
      </c>
      <c r="B1658" s="2" t="s">
        <v>3822</v>
      </c>
      <c r="C1658" s="2" t="s">
        <v>5</v>
      </c>
      <c r="D1658" s="2" t="s">
        <v>3304</v>
      </c>
      <c r="E1658" s="2" t="str">
        <f>"9789819653416"</f>
        <v>9789819653416</v>
      </c>
      <c r="F1658" s="2" t="str">
        <f>"9789819653423"</f>
        <v>9789819653423</v>
      </c>
    </row>
    <row r="1659" spans="1:6" s="3" customFormat="1" ht="29.1" customHeight="1" x14ac:dyDescent="0.25">
      <c r="A1659" s="2" t="s">
        <v>3823</v>
      </c>
      <c r="B1659" s="2" t="s">
        <v>3825</v>
      </c>
      <c r="C1659" s="2" t="s">
        <v>5</v>
      </c>
      <c r="D1659" s="2" t="s">
        <v>3824</v>
      </c>
      <c r="E1659" s="2" t="str">
        <f>"9783031891175"</f>
        <v>9783031891175</v>
      </c>
      <c r="F1659" s="2" t="str">
        <f>"9783031891182"</f>
        <v>9783031891182</v>
      </c>
    </row>
    <row r="1660" spans="1:6" s="3" customFormat="1" ht="29.1" customHeight="1" x14ac:dyDescent="0.25">
      <c r="A1660" s="2" t="s">
        <v>3826</v>
      </c>
      <c r="B1660" s="2" t="s">
        <v>3827</v>
      </c>
      <c r="C1660" s="2" t="s">
        <v>5</v>
      </c>
      <c r="D1660" s="2" t="s">
        <v>9</v>
      </c>
      <c r="E1660" s="2" t="str">
        <f>"9783031778797"</f>
        <v>9783031778797</v>
      </c>
      <c r="F1660" s="2" t="str">
        <f>"9783031778803"</f>
        <v>9783031778803</v>
      </c>
    </row>
    <row r="1661" spans="1:6" s="3" customFormat="1" ht="29.1" customHeight="1" x14ac:dyDescent="0.25">
      <c r="A1661" s="2" t="s">
        <v>3828</v>
      </c>
      <c r="B1661" s="2" t="s">
        <v>3829</v>
      </c>
      <c r="C1661" s="2" t="s">
        <v>5</v>
      </c>
      <c r="D1661" s="2" t="s">
        <v>12</v>
      </c>
      <c r="E1661" s="2" t="str">
        <f>"9783662697771"</f>
        <v>9783662697771</v>
      </c>
      <c r="F1661" s="2" t="str">
        <f>"9783662697788"</f>
        <v>9783662697788</v>
      </c>
    </row>
    <row r="1662" spans="1:6" s="3" customFormat="1" ht="29.1" customHeight="1" x14ac:dyDescent="0.25">
      <c r="A1662" s="2" t="s">
        <v>3830</v>
      </c>
      <c r="B1662" s="2" t="s">
        <v>3831</v>
      </c>
      <c r="C1662" s="2" t="s">
        <v>5</v>
      </c>
      <c r="D1662" s="2" t="s">
        <v>218</v>
      </c>
      <c r="E1662" s="2" t="str">
        <f>"9783031854057"</f>
        <v>9783031854057</v>
      </c>
      <c r="F1662" s="2" t="str">
        <f>"9783031854064"</f>
        <v>9783031854064</v>
      </c>
    </row>
    <row r="1663" spans="1:6" s="3" customFormat="1" ht="29.1" customHeight="1" x14ac:dyDescent="0.25">
      <c r="A1663" s="2" t="s">
        <v>3832</v>
      </c>
      <c r="B1663" s="2" t="s">
        <v>3833</v>
      </c>
      <c r="C1663" s="2" t="s">
        <v>5</v>
      </c>
      <c r="D1663" s="2" t="s">
        <v>537</v>
      </c>
      <c r="E1663" s="2" t="str">
        <f>"9783662716991"</f>
        <v>9783662716991</v>
      </c>
      <c r="F1663" s="2" t="str">
        <f>"9783662717004"</f>
        <v>9783662717004</v>
      </c>
    </row>
    <row r="1664" spans="1:6" s="3" customFormat="1" ht="29.1" customHeight="1" x14ac:dyDescent="0.25">
      <c r="A1664" s="2" t="s">
        <v>3834</v>
      </c>
      <c r="B1664" s="2" t="s">
        <v>3835</v>
      </c>
      <c r="C1664" s="2" t="s">
        <v>264</v>
      </c>
      <c r="D1664" s="2" t="s">
        <v>44</v>
      </c>
      <c r="E1664" s="2" t="str">
        <f>"9781032197234"</f>
        <v>9781032197234</v>
      </c>
      <c r="F1664" s="2" t="str">
        <f>"9781003260585"</f>
        <v>9781003260585</v>
      </c>
    </row>
    <row r="1665" spans="1:6" s="3" customFormat="1" ht="29.1" customHeight="1" x14ac:dyDescent="0.25">
      <c r="A1665" s="2" t="s">
        <v>3836</v>
      </c>
      <c r="B1665" s="2" t="s">
        <v>3837</v>
      </c>
      <c r="C1665" s="2" t="s">
        <v>124</v>
      </c>
      <c r="D1665" s="2" t="s">
        <v>674</v>
      </c>
      <c r="E1665" s="2" t="str">
        <f>"9781032998305"</f>
        <v>9781032998305</v>
      </c>
      <c r="F1665" s="2" t="str">
        <f>"9781003606192"</f>
        <v>9781003606192</v>
      </c>
    </row>
    <row r="1666" spans="1:6" s="3" customFormat="1" ht="29.1" customHeight="1" x14ac:dyDescent="0.25">
      <c r="A1666" s="2" t="s">
        <v>3838</v>
      </c>
      <c r="B1666" s="2" t="s">
        <v>3840</v>
      </c>
      <c r="C1666" s="2" t="s">
        <v>124</v>
      </c>
      <c r="D1666" s="2" t="s">
        <v>3839</v>
      </c>
      <c r="E1666" s="2" t="str">
        <f>"9781032944487"</f>
        <v>9781032944487</v>
      </c>
      <c r="F1666" s="2" t="str">
        <f>"9781003570806"</f>
        <v>9781003570806</v>
      </c>
    </row>
    <row r="1667" spans="1:6" s="3" customFormat="1" ht="29.1" customHeight="1" x14ac:dyDescent="0.25">
      <c r="A1667" s="2" t="s">
        <v>3841</v>
      </c>
      <c r="B1667" s="2" t="s">
        <v>3842</v>
      </c>
      <c r="C1667" s="2" t="s">
        <v>124</v>
      </c>
      <c r="D1667" s="2" t="s">
        <v>270</v>
      </c>
      <c r="E1667" s="2" t="str">
        <f>"9781032710631"</f>
        <v>9781032710631</v>
      </c>
      <c r="F1667" s="2" t="str">
        <f>"9781003466109"</f>
        <v>9781003466109</v>
      </c>
    </row>
    <row r="1668" spans="1:6" s="3" customFormat="1" ht="29.1" customHeight="1" x14ac:dyDescent="0.25">
      <c r="A1668" s="2" t="s">
        <v>3843</v>
      </c>
      <c r="B1668" s="2" t="s">
        <v>3844</v>
      </c>
      <c r="C1668" s="2" t="s">
        <v>36</v>
      </c>
      <c r="D1668" s="2" t="s">
        <v>15</v>
      </c>
      <c r="E1668" s="2"/>
      <c r="F1668" s="2" t="str">
        <f>"9781529247145"</f>
        <v>9781529247145</v>
      </c>
    </row>
    <row r="1669" spans="1:6" s="3" customFormat="1" ht="29.1" customHeight="1" x14ac:dyDescent="0.25">
      <c r="A1669" s="2" t="s">
        <v>3845</v>
      </c>
      <c r="B1669" s="2" t="s">
        <v>3846</v>
      </c>
      <c r="C1669" s="2" t="s">
        <v>29</v>
      </c>
      <c r="D1669" s="2" t="s">
        <v>3130</v>
      </c>
      <c r="E1669" s="2" t="str">
        <f>"9789004720893"</f>
        <v>9789004720893</v>
      </c>
      <c r="F1669" s="2" t="str">
        <f>"9789004720909"</f>
        <v>9789004720909</v>
      </c>
    </row>
    <row r="1670" spans="1:6" s="3" customFormat="1" ht="29.1" customHeight="1" x14ac:dyDescent="0.25">
      <c r="A1670" s="2" t="s">
        <v>3847</v>
      </c>
      <c r="B1670" s="2" t="s">
        <v>3848</v>
      </c>
      <c r="C1670" s="2" t="s">
        <v>927</v>
      </c>
      <c r="D1670" s="2" t="s">
        <v>2208</v>
      </c>
      <c r="E1670" s="2" t="str">
        <f>"9780472057627"</f>
        <v>9780472057627</v>
      </c>
      <c r="F1670" s="2" t="str">
        <f>"9780472905218"</f>
        <v>9780472905218</v>
      </c>
    </row>
    <row r="1671" spans="1:6" s="3" customFormat="1" ht="29.1" customHeight="1" x14ac:dyDescent="0.25">
      <c r="A1671" s="2" t="s">
        <v>3849</v>
      </c>
      <c r="B1671" s="2" t="s">
        <v>3850</v>
      </c>
      <c r="C1671" s="2" t="s">
        <v>927</v>
      </c>
      <c r="D1671" s="2" t="s">
        <v>297</v>
      </c>
      <c r="E1671" s="2" t="str">
        <f>"9780472057634"</f>
        <v>9780472057634</v>
      </c>
      <c r="F1671" s="2" t="str">
        <f>"9780472905225"</f>
        <v>9780472905225</v>
      </c>
    </row>
    <row r="1672" spans="1:6" s="3" customFormat="1" ht="29.1" customHeight="1" x14ac:dyDescent="0.25">
      <c r="A1672" s="2" t="s">
        <v>3851</v>
      </c>
      <c r="B1672" s="2" t="s">
        <v>3853</v>
      </c>
      <c r="C1672" s="2" t="s">
        <v>927</v>
      </c>
      <c r="D1672" s="2" t="s">
        <v>3852</v>
      </c>
      <c r="E1672" s="2" t="str">
        <f>"9780472133628"</f>
        <v>9780472133628</v>
      </c>
      <c r="F1672" s="2" t="str">
        <f>"9780472905263"</f>
        <v>9780472905263</v>
      </c>
    </row>
    <row r="1673" spans="1:6" s="3" customFormat="1" ht="29.1" customHeight="1" x14ac:dyDescent="0.25">
      <c r="A1673" s="2" t="s">
        <v>3854</v>
      </c>
      <c r="B1673" s="2" t="s">
        <v>3855</v>
      </c>
      <c r="C1673" s="2" t="s">
        <v>927</v>
      </c>
      <c r="D1673" s="2" t="s">
        <v>270</v>
      </c>
      <c r="E1673" s="2" t="str">
        <f>"9780472057658"</f>
        <v>9780472057658</v>
      </c>
      <c r="F1673" s="2" t="str">
        <f>"9780472905249"</f>
        <v>9780472905249</v>
      </c>
    </row>
    <row r="1674" spans="1:6" s="3" customFormat="1" ht="29.1" customHeight="1" x14ac:dyDescent="0.25">
      <c r="A1674" s="2" t="s">
        <v>3856</v>
      </c>
      <c r="B1674" s="2" t="s">
        <v>3857</v>
      </c>
      <c r="C1674" s="2" t="s">
        <v>927</v>
      </c>
      <c r="D1674" s="2" t="s">
        <v>297</v>
      </c>
      <c r="E1674" s="2" t="str">
        <f>"9780472057726"</f>
        <v>9780472057726</v>
      </c>
      <c r="F1674" s="2" t="str">
        <f>"9780472905317"</f>
        <v>9780472905317</v>
      </c>
    </row>
    <row r="1675" spans="1:6" s="3" customFormat="1" ht="29.1" customHeight="1" x14ac:dyDescent="0.25">
      <c r="A1675" s="2" t="s">
        <v>3858</v>
      </c>
      <c r="B1675" s="2" t="s">
        <v>3859</v>
      </c>
      <c r="C1675" s="2" t="s">
        <v>927</v>
      </c>
      <c r="D1675" s="2" t="s">
        <v>210</v>
      </c>
      <c r="E1675" s="2" t="str">
        <f>"9780472133611"</f>
        <v>9780472133611</v>
      </c>
      <c r="F1675" s="2" t="str">
        <f>"9780472905164"</f>
        <v>9780472905164</v>
      </c>
    </row>
    <row r="1676" spans="1:6" s="3" customFormat="1" ht="29.1" customHeight="1" x14ac:dyDescent="0.25">
      <c r="A1676" s="2" t="s">
        <v>3860</v>
      </c>
      <c r="B1676" s="2" t="s">
        <v>3862</v>
      </c>
      <c r="C1676" s="2" t="s">
        <v>624</v>
      </c>
      <c r="D1676" s="2" t="s">
        <v>3861</v>
      </c>
      <c r="E1676" s="2"/>
      <c r="F1676" s="2" t="str">
        <f>"9789176352762"</f>
        <v>9789176352762</v>
      </c>
    </row>
    <row r="1677" spans="1:6" s="3" customFormat="1" ht="29.1" customHeight="1" x14ac:dyDescent="0.25">
      <c r="A1677" s="2" t="s">
        <v>3863</v>
      </c>
      <c r="B1677" s="2" t="s">
        <v>3864</v>
      </c>
      <c r="C1677" s="2" t="s">
        <v>624</v>
      </c>
      <c r="D1677" s="2" t="s">
        <v>135</v>
      </c>
      <c r="E1677" s="2" t="str">
        <f>"9789176352670"</f>
        <v>9789176352670</v>
      </c>
      <c r="F1677" s="2" t="str">
        <f>"9789176352687"</f>
        <v>9789176352687</v>
      </c>
    </row>
    <row r="1678" spans="1:6" s="3" customFormat="1" ht="29.1" customHeight="1" x14ac:dyDescent="0.25">
      <c r="A1678" s="2" t="s">
        <v>3865</v>
      </c>
      <c r="B1678" s="2" t="s">
        <v>3866</v>
      </c>
      <c r="C1678" s="2" t="s">
        <v>624</v>
      </c>
      <c r="D1678" s="2" t="s">
        <v>215</v>
      </c>
      <c r="E1678" s="2"/>
      <c r="F1678" s="2" t="str">
        <f>"9789518589412"</f>
        <v>9789518589412</v>
      </c>
    </row>
    <row r="1679" spans="1:6" s="3" customFormat="1" ht="29.1" customHeight="1" x14ac:dyDescent="0.25">
      <c r="A1679" s="2" t="s">
        <v>3867</v>
      </c>
      <c r="B1679" s="2" t="s">
        <v>3868</v>
      </c>
      <c r="C1679" s="2" t="s">
        <v>624</v>
      </c>
      <c r="D1679" s="2" t="s">
        <v>2332</v>
      </c>
      <c r="E1679" s="2"/>
      <c r="F1679" s="2" t="str">
        <f>"9789518589474"</f>
        <v>9789518589474</v>
      </c>
    </row>
    <row r="1680" spans="1:6" s="3" customFormat="1" ht="29.1" customHeight="1" x14ac:dyDescent="0.25">
      <c r="A1680" s="2" t="s">
        <v>3869</v>
      </c>
      <c r="B1680" s="2" t="s">
        <v>3870</v>
      </c>
      <c r="C1680" s="2" t="s">
        <v>149</v>
      </c>
      <c r="D1680" s="2" t="s">
        <v>98</v>
      </c>
      <c r="E1680" s="2" t="str">
        <f>"9781911712381"</f>
        <v>9781911712381</v>
      </c>
      <c r="F1680" s="2" t="str">
        <f>"9781911712398"</f>
        <v>9781911712398</v>
      </c>
    </row>
    <row r="1681" spans="1:6" s="3" customFormat="1" ht="29.1" customHeight="1" x14ac:dyDescent="0.25">
      <c r="A1681" s="2" t="s">
        <v>3871</v>
      </c>
      <c r="B1681" s="2" t="s">
        <v>3872</v>
      </c>
      <c r="C1681" s="2" t="s">
        <v>149</v>
      </c>
      <c r="D1681" s="2" t="s">
        <v>841</v>
      </c>
      <c r="E1681" s="2" t="str">
        <f>"9781911712343"</f>
        <v>9781911712343</v>
      </c>
      <c r="F1681" s="2" t="str">
        <f>"9781911712350"</f>
        <v>9781911712350</v>
      </c>
    </row>
    <row r="1682" spans="1:6" s="3" customFormat="1" ht="29.1" customHeight="1" x14ac:dyDescent="0.25">
      <c r="A1682" s="2" t="s">
        <v>3873</v>
      </c>
      <c r="B1682" s="2" t="s">
        <v>3874</v>
      </c>
      <c r="C1682" s="2" t="s">
        <v>624</v>
      </c>
      <c r="D1682" s="2" t="s">
        <v>162</v>
      </c>
      <c r="E1682" s="2" t="str">
        <f>"9781951634490"</f>
        <v>9781951634490</v>
      </c>
      <c r="F1682" s="2" t="str">
        <f>"9781951634469"</f>
        <v>9781951634469</v>
      </c>
    </row>
    <row r="1683" spans="1:6" s="3" customFormat="1" ht="29.1" customHeight="1" x14ac:dyDescent="0.25">
      <c r="A1683" s="2" t="s">
        <v>3875</v>
      </c>
      <c r="B1683" s="2" t="s">
        <v>3876</v>
      </c>
      <c r="C1683" s="2" t="s">
        <v>624</v>
      </c>
      <c r="D1683" s="2" t="s">
        <v>215</v>
      </c>
      <c r="E1683" s="2" t="str">
        <f>"9781951634544"</f>
        <v>9781951634544</v>
      </c>
      <c r="F1683" s="2" t="str">
        <f>"9781951634551"</f>
        <v>9781951634551</v>
      </c>
    </row>
    <row r="1684" spans="1:6" s="3" customFormat="1" ht="29.1" customHeight="1" x14ac:dyDescent="0.25">
      <c r="A1684" s="2" t="s">
        <v>3877</v>
      </c>
      <c r="B1684" s="2" t="s">
        <v>3879</v>
      </c>
      <c r="C1684" s="2" t="s">
        <v>624</v>
      </c>
      <c r="D1684" s="2" t="s">
        <v>3878</v>
      </c>
      <c r="E1684" s="2"/>
      <c r="F1684" s="2" t="str">
        <f>"9789189936201"</f>
        <v>9789189936201</v>
      </c>
    </row>
    <row r="1685" spans="1:6" s="3" customFormat="1" ht="29.1" customHeight="1" x14ac:dyDescent="0.25">
      <c r="A1685" s="2" t="s">
        <v>3880</v>
      </c>
      <c r="B1685" s="2" t="s">
        <v>3881</v>
      </c>
      <c r="C1685" s="2" t="s">
        <v>3154</v>
      </c>
      <c r="D1685" s="2" t="s">
        <v>78</v>
      </c>
      <c r="E1685" s="2" t="str">
        <f>"9789523691308"</f>
        <v>9789523691308</v>
      </c>
      <c r="F1685" s="2" t="str">
        <f>"9789523691315"</f>
        <v>9789523691315</v>
      </c>
    </row>
    <row r="1686" spans="1:6" s="3" customFormat="1" ht="29.1" customHeight="1" x14ac:dyDescent="0.25">
      <c r="A1686" s="2" t="s">
        <v>3882</v>
      </c>
      <c r="B1686" s="2" t="s">
        <v>3883</v>
      </c>
      <c r="C1686" s="2" t="s">
        <v>124</v>
      </c>
      <c r="D1686" s="2" t="s">
        <v>2587</v>
      </c>
      <c r="E1686" s="2" t="str">
        <f>"9781032841694"</f>
        <v>9781032841694</v>
      </c>
      <c r="F1686" s="2" t="str">
        <f>"9781003519560"</f>
        <v>9781003519560</v>
      </c>
    </row>
    <row r="1687" spans="1:6" s="3" customFormat="1" ht="29.1" customHeight="1" x14ac:dyDescent="0.25">
      <c r="A1687" s="2" t="s">
        <v>3884</v>
      </c>
      <c r="B1687" s="2" t="s">
        <v>3885</v>
      </c>
      <c r="C1687" s="2" t="s">
        <v>124</v>
      </c>
      <c r="D1687" s="2" t="s">
        <v>189</v>
      </c>
      <c r="E1687" s="2" t="str">
        <f>"9781032975184"</f>
        <v>9781032975184</v>
      </c>
      <c r="F1687" s="2" t="str">
        <f>"9781003594130"</f>
        <v>9781003594130</v>
      </c>
    </row>
    <row r="1688" spans="1:6" s="3" customFormat="1" ht="29.1" customHeight="1" x14ac:dyDescent="0.25">
      <c r="A1688" s="2" t="s">
        <v>3886</v>
      </c>
      <c r="B1688" s="2" t="s">
        <v>3887</v>
      </c>
      <c r="C1688" s="2" t="s">
        <v>29</v>
      </c>
      <c r="D1688" s="2" t="s">
        <v>509</v>
      </c>
      <c r="E1688" s="2" t="str">
        <f>"9789004451490"</f>
        <v>9789004451490</v>
      </c>
      <c r="F1688" s="2" t="str">
        <f>"9789004510210"</f>
        <v>9789004510210</v>
      </c>
    </row>
    <row r="1689" spans="1:6" s="3" customFormat="1" ht="29.1" customHeight="1" x14ac:dyDescent="0.25">
      <c r="A1689" s="2" t="s">
        <v>3888</v>
      </c>
      <c r="B1689" s="2" t="s">
        <v>3890</v>
      </c>
      <c r="C1689" s="2" t="s">
        <v>29</v>
      </c>
      <c r="D1689" s="2" t="s">
        <v>3889</v>
      </c>
      <c r="E1689" s="2" t="str">
        <f>"9789004543638"</f>
        <v>9789004543638</v>
      </c>
      <c r="F1689" s="2" t="str">
        <f>"9789004543645"</f>
        <v>9789004543645</v>
      </c>
    </row>
    <row r="1690" spans="1:6" s="3" customFormat="1" ht="29.1" customHeight="1" x14ac:dyDescent="0.25">
      <c r="A1690" s="2" t="s">
        <v>3891</v>
      </c>
      <c r="B1690" s="2" t="s">
        <v>3892</v>
      </c>
      <c r="C1690" s="2" t="s">
        <v>5</v>
      </c>
      <c r="D1690" s="2" t="s">
        <v>52</v>
      </c>
      <c r="E1690" s="2" t="str">
        <f>"9789464637861"</f>
        <v>9789464637861</v>
      </c>
      <c r="F1690" s="2" t="str">
        <f>"9789464637878"</f>
        <v>9789464637878</v>
      </c>
    </row>
    <row r="1691" spans="1:6" s="3" customFormat="1" ht="29.1" customHeight="1" x14ac:dyDescent="0.25">
      <c r="A1691" s="2" t="s">
        <v>3893</v>
      </c>
      <c r="B1691" s="2" t="s">
        <v>3894</v>
      </c>
      <c r="C1691" s="2" t="s">
        <v>29</v>
      </c>
      <c r="D1691" s="2" t="s">
        <v>192</v>
      </c>
      <c r="E1691" s="2" t="str">
        <f>"9789004347816"</f>
        <v>9789004347816</v>
      </c>
      <c r="F1691" s="2" t="str">
        <f>"9789004347823"</f>
        <v>9789004347823</v>
      </c>
    </row>
    <row r="1692" spans="1:6" s="3" customFormat="1" ht="29.1" customHeight="1" x14ac:dyDescent="0.25">
      <c r="A1692" s="2" t="s">
        <v>3895</v>
      </c>
      <c r="B1692" s="2" t="s">
        <v>3896</v>
      </c>
      <c r="C1692" s="2" t="s">
        <v>29</v>
      </c>
      <c r="D1692" s="2" t="s">
        <v>118</v>
      </c>
      <c r="E1692" s="2" t="str">
        <f>"9789004516434"</f>
        <v>9789004516434</v>
      </c>
      <c r="F1692" s="2" t="str">
        <f>"9789004516441"</f>
        <v>9789004516441</v>
      </c>
    </row>
    <row r="1693" spans="1:6" s="3" customFormat="1" ht="29.1" customHeight="1" x14ac:dyDescent="0.25">
      <c r="A1693" s="2" t="s">
        <v>3897</v>
      </c>
      <c r="B1693" s="2" t="s">
        <v>3898</v>
      </c>
      <c r="C1693" s="2" t="s">
        <v>29</v>
      </c>
      <c r="D1693" s="2" t="s">
        <v>606</v>
      </c>
      <c r="E1693" s="2" t="str">
        <f>"9789004540682"</f>
        <v>9789004540682</v>
      </c>
      <c r="F1693" s="2" t="str">
        <f>"9789004540699"</f>
        <v>9789004540699</v>
      </c>
    </row>
    <row r="1694" spans="1:6" s="3" customFormat="1" ht="29.1" customHeight="1" x14ac:dyDescent="0.25">
      <c r="A1694" s="2" t="s">
        <v>3899</v>
      </c>
      <c r="B1694" s="2" t="s">
        <v>3900</v>
      </c>
      <c r="C1694" s="2" t="s">
        <v>29</v>
      </c>
      <c r="D1694" s="2" t="s">
        <v>192</v>
      </c>
      <c r="E1694" s="2" t="str">
        <f>"9789004504974"</f>
        <v>9789004504974</v>
      </c>
      <c r="F1694" s="2" t="str">
        <f>"9789004504967"</f>
        <v>9789004504967</v>
      </c>
    </row>
    <row r="1695" spans="1:6" s="3" customFormat="1" ht="29.1" customHeight="1" x14ac:dyDescent="0.25">
      <c r="A1695" s="2" t="s">
        <v>3901</v>
      </c>
      <c r="B1695" s="2" t="s">
        <v>3902</v>
      </c>
      <c r="C1695" s="2" t="s">
        <v>29</v>
      </c>
      <c r="D1695" s="2" t="s">
        <v>192</v>
      </c>
      <c r="E1695" s="2" t="str">
        <f>"9789004509337"</f>
        <v>9789004509337</v>
      </c>
      <c r="F1695" s="2" t="str">
        <f>"9789004509344"</f>
        <v>9789004509344</v>
      </c>
    </row>
    <row r="1696" spans="1:6" s="3" customFormat="1" ht="29.1" customHeight="1" x14ac:dyDescent="0.25">
      <c r="A1696" s="2" t="s">
        <v>3903</v>
      </c>
      <c r="B1696" s="2" t="s">
        <v>3904</v>
      </c>
      <c r="C1696" s="2" t="s">
        <v>29</v>
      </c>
      <c r="D1696" s="2" t="s">
        <v>402</v>
      </c>
      <c r="E1696" s="2" t="str">
        <f>"9789004532991"</f>
        <v>9789004532991</v>
      </c>
      <c r="F1696" s="2" t="str">
        <f>"9789004533004"</f>
        <v>9789004533004</v>
      </c>
    </row>
    <row r="1697" spans="1:6" s="3" customFormat="1" ht="29.1" customHeight="1" x14ac:dyDescent="0.25">
      <c r="A1697" s="2" t="s">
        <v>3905</v>
      </c>
      <c r="B1697" s="2" t="s">
        <v>3906</v>
      </c>
      <c r="C1697" s="2" t="s">
        <v>29</v>
      </c>
      <c r="D1697" s="2" t="s">
        <v>1432</v>
      </c>
      <c r="E1697" s="2" t="str">
        <f>"9789004534223"</f>
        <v>9789004534223</v>
      </c>
      <c r="F1697" s="2" t="str">
        <f>"9789004536371"</f>
        <v>9789004536371</v>
      </c>
    </row>
    <row r="1698" spans="1:6" s="3" customFormat="1" ht="29.1" customHeight="1" x14ac:dyDescent="0.25">
      <c r="A1698" s="2" t="s">
        <v>3907</v>
      </c>
      <c r="B1698" s="2" t="s">
        <v>3908</v>
      </c>
      <c r="C1698" s="2" t="s">
        <v>29</v>
      </c>
      <c r="D1698" s="2" t="s">
        <v>1432</v>
      </c>
      <c r="E1698" s="2" t="str">
        <f>"9789004527393"</f>
        <v>9789004527393</v>
      </c>
      <c r="F1698" s="2" t="str">
        <f>"9789004527607"</f>
        <v>9789004527607</v>
      </c>
    </row>
    <row r="1699" spans="1:6" s="3" customFormat="1" ht="29.1" customHeight="1" x14ac:dyDescent="0.25">
      <c r="A1699" s="2" t="s">
        <v>3909</v>
      </c>
      <c r="B1699" s="2" t="s">
        <v>3911</v>
      </c>
      <c r="C1699" s="2" t="s">
        <v>29</v>
      </c>
      <c r="D1699" s="2" t="s">
        <v>3910</v>
      </c>
      <c r="E1699" s="2" t="str">
        <f>"9789004464667"</f>
        <v>9789004464667</v>
      </c>
      <c r="F1699" s="2" t="str">
        <f>"9789004527256"</f>
        <v>9789004527256</v>
      </c>
    </row>
    <row r="1700" spans="1:6" s="3" customFormat="1" ht="29.1" customHeight="1" x14ac:dyDescent="0.25">
      <c r="A1700" s="2" t="s">
        <v>3912</v>
      </c>
      <c r="B1700" s="2" t="s">
        <v>3913</v>
      </c>
      <c r="C1700" s="2" t="s">
        <v>29</v>
      </c>
      <c r="D1700" s="2" t="s">
        <v>408</v>
      </c>
      <c r="E1700" s="2" t="str">
        <f>"9789004392496"</f>
        <v>9789004392496</v>
      </c>
      <c r="F1700" s="2" t="str">
        <f>"9789004515413"</f>
        <v>9789004515413</v>
      </c>
    </row>
    <row r="1701" spans="1:6" s="3" customFormat="1" ht="29.1" customHeight="1" x14ac:dyDescent="0.25">
      <c r="A1701" s="2" t="s">
        <v>888</v>
      </c>
      <c r="B1701" s="2" t="s">
        <v>890</v>
      </c>
      <c r="C1701" s="2" t="s">
        <v>5</v>
      </c>
      <c r="D1701" s="2" t="s">
        <v>889</v>
      </c>
      <c r="E1701" s="2" t="str">
        <f>"9783031952838"</f>
        <v>9783031952838</v>
      </c>
      <c r="F1701" s="2" t="str">
        <f>"9783031952845"</f>
        <v>9783031952845</v>
      </c>
    </row>
    <row r="1702" spans="1:6" s="3" customFormat="1" ht="29.1" customHeight="1" x14ac:dyDescent="0.25">
      <c r="A1702" s="2" t="s">
        <v>3914</v>
      </c>
      <c r="B1702" s="2" t="s">
        <v>3915</v>
      </c>
      <c r="C1702" s="2" t="s">
        <v>29</v>
      </c>
      <c r="D1702" s="2" t="s">
        <v>509</v>
      </c>
      <c r="E1702" s="2" t="str">
        <f>"9789004101197"</f>
        <v>9789004101197</v>
      </c>
      <c r="F1702" s="2" t="str">
        <f>"9789004625747"</f>
        <v>9789004625747</v>
      </c>
    </row>
    <row r="1703" spans="1:6" s="3" customFormat="1" ht="29.1" customHeight="1" x14ac:dyDescent="0.25">
      <c r="A1703" s="2" t="s">
        <v>3916</v>
      </c>
      <c r="B1703" s="2" t="s">
        <v>3917</v>
      </c>
      <c r="C1703" s="2" t="s">
        <v>149</v>
      </c>
      <c r="D1703" s="2" t="s">
        <v>1630</v>
      </c>
      <c r="E1703" s="2" t="str">
        <f>"9781912186983"</f>
        <v>9781912186983</v>
      </c>
      <c r="F1703" s="2" t="str">
        <f>"9781912186990"</f>
        <v>9781912186990</v>
      </c>
    </row>
    <row r="1704" spans="1:6" s="3" customFormat="1" ht="29.1" customHeight="1" x14ac:dyDescent="0.25">
      <c r="A1704" s="2" t="s">
        <v>3918</v>
      </c>
      <c r="B1704" s="2" t="s">
        <v>3919</v>
      </c>
      <c r="C1704" s="2" t="s">
        <v>29</v>
      </c>
      <c r="D1704" s="2" t="s">
        <v>215</v>
      </c>
      <c r="E1704" s="2" t="str">
        <f>"9783770566914"</f>
        <v>9783770566914</v>
      </c>
      <c r="F1704" s="2" t="str">
        <f>"9783846766910"</f>
        <v>9783846766910</v>
      </c>
    </row>
    <row r="1705" spans="1:6" s="3" customFormat="1" ht="29.1" customHeight="1" x14ac:dyDescent="0.25">
      <c r="A1705" s="2" t="s">
        <v>3920</v>
      </c>
      <c r="B1705" s="2" t="s">
        <v>3921</v>
      </c>
      <c r="C1705" s="2" t="s">
        <v>950</v>
      </c>
      <c r="D1705" s="2" t="s">
        <v>836</v>
      </c>
      <c r="E1705" s="2"/>
      <c r="F1705" s="2" t="str">
        <f>"9791370063528"</f>
        <v>9791370063528</v>
      </c>
    </row>
    <row r="1706" spans="1:6" s="3" customFormat="1" ht="29.1" customHeight="1" x14ac:dyDescent="0.25">
      <c r="A1706" s="2" t="s">
        <v>3922</v>
      </c>
      <c r="B1706" s="2" t="s">
        <v>3923</v>
      </c>
      <c r="C1706" s="2" t="s">
        <v>950</v>
      </c>
      <c r="D1706" s="2" t="s">
        <v>2671</v>
      </c>
      <c r="E1706" s="2"/>
      <c r="F1706" s="2" t="str">
        <f>"9791370064730"</f>
        <v>9791370064730</v>
      </c>
    </row>
    <row r="1707" spans="1:6" s="3" customFormat="1" ht="29.1" customHeight="1" x14ac:dyDescent="0.25">
      <c r="A1707" s="2" t="s">
        <v>3924</v>
      </c>
      <c r="B1707" s="2" t="s">
        <v>3925</v>
      </c>
      <c r="C1707" s="2" t="s">
        <v>950</v>
      </c>
      <c r="D1707" s="2" t="s">
        <v>836</v>
      </c>
      <c r="E1707" s="2"/>
      <c r="F1707" s="2" t="str">
        <f>"9791370063184"</f>
        <v>9791370063184</v>
      </c>
    </row>
    <row r="1708" spans="1:6" s="3" customFormat="1" ht="29.1" customHeight="1" x14ac:dyDescent="0.25">
      <c r="A1708" s="2" t="s">
        <v>3926</v>
      </c>
      <c r="B1708" s="2" t="s">
        <v>3927</v>
      </c>
      <c r="C1708" s="2" t="s">
        <v>950</v>
      </c>
      <c r="D1708" s="2" t="s">
        <v>52</v>
      </c>
      <c r="E1708" s="2"/>
      <c r="F1708" s="2" t="str">
        <f>"9791370063092"</f>
        <v>9791370063092</v>
      </c>
    </row>
    <row r="1709" spans="1:6" s="3" customFormat="1" ht="29.1" customHeight="1" x14ac:dyDescent="0.25">
      <c r="A1709" s="2" t="s">
        <v>3928</v>
      </c>
      <c r="B1709" s="2" t="s">
        <v>3929</v>
      </c>
      <c r="C1709" s="2" t="s">
        <v>950</v>
      </c>
      <c r="D1709" s="2" t="s">
        <v>550</v>
      </c>
      <c r="E1709" s="2"/>
      <c r="F1709" s="2" t="str">
        <f>"9788410706958"</f>
        <v>9788410706958</v>
      </c>
    </row>
    <row r="1710" spans="1:6" s="3" customFormat="1" ht="29.1" customHeight="1" x14ac:dyDescent="0.25">
      <c r="A1710" s="2" t="s">
        <v>3930</v>
      </c>
      <c r="B1710" s="2" t="s">
        <v>3931</v>
      </c>
      <c r="C1710" s="2" t="s">
        <v>950</v>
      </c>
      <c r="D1710" s="2" t="s">
        <v>2048</v>
      </c>
      <c r="E1710" s="2"/>
      <c r="F1710" s="2" t="str">
        <f>"9791370064655"</f>
        <v>9791370064655</v>
      </c>
    </row>
    <row r="1711" spans="1:6" s="3" customFormat="1" ht="29.1" customHeight="1" x14ac:dyDescent="0.25">
      <c r="A1711" s="2" t="s">
        <v>3932</v>
      </c>
      <c r="B1711" s="2" t="s">
        <v>3933</v>
      </c>
      <c r="C1711" s="2" t="s">
        <v>950</v>
      </c>
      <c r="D1711" s="2" t="s">
        <v>2271</v>
      </c>
      <c r="E1711" s="2"/>
      <c r="F1711" s="2" t="str">
        <f>"9791370064648"</f>
        <v>9791370064648</v>
      </c>
    </row>
    <row r="1712" spans="1:6" s="3" customFormat="1" ht="29.1" customHeight="1" x14ac:dyDescent="0.25">
      <c r="A1712" s="2" t="s">
        <v>3934</v>
      </c>
      <c r="B1712" s="2" t="s">
        <v>3935</v>
      </c>
      <c r="C1712" s="2" t="s">
        <v>950</v>
      </c>
      <c r="D1712" s="2" t="s">
        <v>550</v>
      </c>
      <c r="E1712" s="2"/>
      <c r="F1712" s="2" t="str">
        <f>"9791370064532"</f>
        <v>9791370064532</v>
      </c>
    </row>
    <row r="1713" spans="1:6" s="3" customFormat="1" ht="29.1" customHeight="1" x14ac:dyDescent="0.25">
      <c r="A1713" s="2" t="s">
        <v>3936</v>
      </c>
      <c r="B1713" s="2" t="s">
        <v>3937</v>
      </c>
      <c r="C1713" s="2" t="s">
        <v>950</v>
      </c>
      <c r="D1713" s="2" t="s">
        <v>606</v>
      </c>
      <c r="E1713" s="2"/>
      <c r="F1713" s="2" t="str">
        <f>"9791370064167"</f>
        <v>9791370064167</v>
      </c>
    </row>
    <row r="1714" spans="1:6" s="3" customFormat="1" ht="29.1" customHeight="1" x14ac:dyDescent="0.25">
      <c r="A1714" s="2" t="s">
        <v>3938</v>
      </c>
      <c r="B1714" s="2" t="s">
        <v>3939</v>
      </c>
      <c r="C1714" s="2" t="s">
        <v>950</v>
      </c>
      <c r="D1714" s="2" t="s">
        <v>1155</v>
      </c>
      <c r="E1714" s="2"/>
      <c r="F1714" s="2" t="str">
        <f>"9791370063931"</f>
        <v>9791370063931</v>
      </c>
    </row>
    <row r="1715" spans="1:6" s="3" customFormat="1" ht="29.1" customHeight="1" x14ac:dyDescent="0.25">
      <c r="A1715" s="2" t="s">
        <v>3940</v>
      </c>
      <c r="B1715" s="2" t="s">
        <v>3941</v>
      </c>
      <c r="C1715" s="2" t="s">
        <v>950</v>
      </c>
      <c r="D1715" s="2" t="s">
        <v>2551</v>
      </c>
      <c r="E1715" s="2"/>
      <c r="F1715" s="2" t="str">
        <f>"9791370063818"</f>
        <v>9791370063818</v>
      </c>
    </row>
    <row r="1716" spans="1:6" s="3" customFormat="1" ht="29.1" customHeight="1" x14ac:dyDescent="0.25">
      <c r="A1716" s="2" t="s">
        <v>3942</v>
      </c>
      <c r="B1716" s="2" t="s">
        <v>3944</v>
      </c>
      <c r="C1716" s="2" t="s">
        <v>950</v>
      </c>
      <c r="D1716" s="2" t="s">
        <v>3943</v>
      </c>
      <c r="E1716" s="2"/>
      <c r="F1716" s="2" t="str">
        <f>"9791370063801"</f>
        <v>9791370063801</v>
      </c>
    </row>
    <row r="1717" spans="1:6" s="3" customFormat="1" ht="29.1" customHeight="1" x14ac:dyDescent="0.25">
      <c r="A1717" s="2" t="s">
        <v>3945</v>
      </c>
      <c r="B1717" s="2" t="s">
        <v>3946</v>
      </c>
      <c r="C1717" s="2" t="s">
        <v>950</v>
      </c>
      <c r="D1717" s="2" t="s">
        <v>2776</v>
      </c>
      <c r="E1717" s="2"/>
      <c r="F1717" s="2" t="str">
        <f>"9791370063740"</f>
        <v>9791370063740</v>
      </c>
    </row>
    <row r="1718" spans="1:6" s="3" customFormat="1" ht="29.1" customHeight="1" x14ac:dyDescent="0.25">
      <c r="A1718" s="2" t="s">
        <v>3947</v>
      </c>
      <c r="B1718" s="2" t="s">
        <v>3948</v>
      </c>
      <c r="C1718" s="2" t="s">
        <v>950</v>
      </c>
      <c r="D1718" s="2" t="s">
        <v>951</v>
      </c>
      <c r="E1718" s="2"/>
      <c r="F1718" s="2" t="str">
        <f>"9791370063702"</f>
        <v>9791370063702</v>
      </c>
    </row>
    <row r="1719" spans="1:6" s="3" customFormat="1" ht="29.1" customHeight="1" x14ac:dyDescent="0.25">
      <c r="A1719" s="2" t="s">
        <v>3949</v>
      </c>
      <c r="B1719" s="2" t="s">
        <v>3950</v>
      </c>
      <c r="C1719" s="2" t="s">
        <v>950</v>
      </c>
      <c r="D1719" s="2" t="s">
        <v>2391</v>
      </c>
      <c r="E1719" s="2"/>
      <c r="F1719" s="2" t="str">
        <f>"9791370063689"</f>
        <v>9791370063689</v>
      </c>
    </row>
    <row r="1720" spans="1:6" s="3" customFormat="1" ht="29.1" customHeight="1" x14ac:dyDescent="0.25">
      <c r="A1720" s="2" t="s">
        <v>3951</v>
      </c>
      <c r="B1720" s="2" t="s">
        <v>3952</v>
      </c>
      <c r="C1720" s="2" t="s">
        <v>950</v>
      </c>
      <c r="D1720" s="2" t="s">
        <v>951</v>
      </c>
      <c r="E1720" s="2"/>
      <c r="F1720" s="2" t="str">
        <f>"9791370063641"</f>
        <v>9791370063641</v>
      </c>
    </row>
    <row r="1721" spans="1:6" s="3" customFormat="1" ht="29.1" customHeight="1" x14ac:dyDescent="0.25">
      <c r="A1721" s="2" t="s">
        <v>3953</v>
      </c>
      <c r="B1721" s="2" t="s">
        <v>3954</v>
      </c>
      <c r="C1721" s="2" t="s">
        <v>950</v>
      </c>
      <c r="D1721" s="2" t="s">
        <v>2391</v>
      </c>
      <c r="E1721" s="2"/>
      <c r="F1721" s="2" t="str">
        <f>"9791370063504"</f>
        <v>9791370063504</v>
      </c>
    </row>
    <row r="1722" spans="1:6" s="3" customFormat="1" ht="29.1" customHeight="1" x14ac:dyDescent="0.25">
      <c r="A1722" s="2" t="s">
        <v>3955</v>
      </c>
      <c r="B1722" s="2" t="s">
        <v>3956</v>
      </c>
      <c r="C1722" s="2" t="s">
        <v>950</v>
      </c>
      <c r="D1722" s="2" t="s">
        <v>550</v>
      </c>
      <c r="E1722" s="2"/>
      <c r="F1722" s="2" t="str">
        <f>"9791370063429"</f>
        <v>9791370063429</v>
      </c>
    </row>
    <row r="1723" spans="1:6" s="3" customFormat="1" ht="29.1" customHeight="1" x14ac:dyDescent="0.25">
      <c r="A1723" s="2" t="s">
        <v>3957</v>
      </c>
      <c r="B1723" s="2" t="s">
        <v>3959</v>
      </c>
      <c r="C1723" s="2" t="s">
        <v>950</v>
      </c>
      <c r="D1723" s="2" t="s">
        <v>3958</v>
      </c>
      <c r="E1723" s="2"/>
      <c r="F1723" s="2" t="str">
        <f>"9791370063382"</f>
        <v>9791370063382</v>
      </c>
    </row>
    <row r="1724" spans="1:6" s="3" customFormat="1" ht="29.1" customHeight="1" x14ac:dyDescent="0.25">
      <c r="A1724" s="2" t="s">
        <v>3960</v>
      </c>
      <c r="B1724" s="2" t="s">
        <v>3961</v>
      </c>
      <c r="C1724" s="2" t="s">
        <v>950</v>
      </c>
      <c r="D1724" s="2" t="s">
        <v>836</v>
      </c>
      <c r="E1724" s="2"/>
      <c r="F1724" s="2" t="str">
        <f>"9791370063306"</f>
        <v>9791370063306</v>
      </c>
    </row>
    <row r="1725" spans="1:6" s="3" customFormat="1" ht="29.1" customHeight="1" x14ac:dyDescent="0.25">
      <c r="A1725" s="2" t="s">
        <v>3962</v>
      </c>
      <c r="B1725" s="2" t="s">
        <v>3964</v>
      </c>
      <c r="C1725" s="2" t="s">
        <v>950</v>
      </c>
      <c r="D1725" s="2" t="s">
        <v>3963</v>
      </c>
      <c r="E1725" s="2"/>
      <c r="F1725" s="2" t="str">
        <f>"9791370063252"</f>
        <v>9791370063252</v>
      </c>
    </row>
    <row r="1726" spans="1:6" s="3" customFormat="1" ht="29.1" customHeight="1" x14ac:dyDescent="0.25">
      <c r="A1726" s="2" t="s">
        <v>3965</v>
      </c>
      <c r="B1726" s="2" t="s">
        <v>3967</v>
      </c>
      <c r="C1726" s="2" t="s">
        <v>950</v>
      </c>
      <c r="D1726" s="2" t="s">
        <v>3966</v>
      </c>
      <c r="E1726" s="2"/>
      <c r="F1726" s="2" t="str">
        <f>"9791370063238"</f>
        <v>9791370063238</v>
      </c>
    </row>
    <row r="1727" spans="1:6" s="3" customFormat="1" ht="29.1" customHeight="1" x14ac:dyDescent="0.25">
      <c r="A1727" s="2" t="s">
        <v>3968</v>
      </c>
      <c r="B1727" s="2" t="s">
        <v>3970</v>
      </c>
      <c r="C1727" s="2" t="s">
        <v>950</v>
      </c>
      <c r="D1727" s="2" t="s">
        <v>3969</v>
      </c>
      <c r="E1727" s="2"/>
      <c r="F1727" s="2" t="str">
        <f>"9791370063122"</f>
        <v>9791370063122</v>
      </c>
    </row>
    <row r="1728" spans="1:6" s="3" customFormat="1" ht="29.1" customHeight="1" x14ac:dyDescent="0.25">
      <c r="A1728" s="2" t="s">
        <v>3971</v>
      </c>
      <c r="B1728" s="2" t="s">
        <v>3972</v>
      </c>
      <c r="C1728" s="2" t="s">
        <v>950</v>
      </c>
      <c r="D1728" s="2" t="s">
        <v>2260</v>
      </c>
      <c r="E1728" s="2"/>
      <c r="F1728" s="2" t="str">
        <f>"9791370063115"</f>
        <v>9791370063115</v>
      </c>
    </row>
    <row r="1729" spans="1:6" s="3" customFormat="1" ht="29.1" customHeight="1" x14ac:dyDescent="0.25">
      <c r="A1729" s="2" t="s">
        <v>3973</v>
      </c>
      <c r="B1729" s="2" t="s">
        <v>3974</v>
      </c>
      <c r="C1729" s="2" t="s">
        <v>950</v>
      </c>
      <c r="D1729" s="2" t="s">
        <v>490</v>
      </c>
      <c r="E1729" s="2"/>
      <c r="F1729" s="2" t="str">
        <f>"9791370062910"</f>
        <v>9791370062910</v>
      </c>
    </row>
    <row r="1730" spans="1:6" s="3" customFormat="1" ht="29.1" customHeight="1" x14ac:dyDescent="0.25">
      <c r="A1730" s="2" t="s">
        <v>3975</v>
      </c>
      <c r="B1730" s="2" t="s">
        <v>3976</v>
      </c>
      <c r="C1730" s="2" t="s">
        <v>950</v>
      </c>
      <c r="D1730" s="2" t="s">
        <v>951</v>
      </c>
      <c r="E1730" s="2"/>
      <c r="F1730" s="2" t="str">
        <f>"9791370062903"</f>
        <v>9791370062903</v>
      </c>
    </row>
    <row r="1731" spans="1:6" s="3" customFormat="1" ht="29.1" customHeight="1" x14ac:dyDescent="0.25">
      <c r="A1731" s="2" t="s">
        <v>3977</v>
      </c>
      <c r="B1731" s="2" t="s">
        <v>3978</v>
      </c>
      <c r="C1731" s="2" t="s">
        <v>950</v>
      </c>
      <c r="D1731" s="2" t="s">
        <v>951</v>
      </c>
      <c r="E1731" s="2"/>
      <c r="F1731" s="2" t="str">
        <f>"9791370062859"</f>
        <v>9791370062859</v>
      </c>
    </row>
    <row r="1732" spans="1:6" s="3" customFormat="1" ht="29.1" customHeight="1" x14ac:dyDescent="0.25">
      <c r="A1732" s="2" t="s">
        <v>3979</v>
      </c>
      <c r="B1732" s="2" t="s">
        <v>3980</v>
      </c>
      <c r="C1732" s="2" t="s">
        <v>950</v>
      </c>
      <c r="D1732" s="2" t="s">
        <v>3656</v>
      </c>
      <c r="E1732" s="2"/>
      <c r="F1732" s="2" t="str">
        <f>"9791370062835"</f>
        <v>9791370062835</v>
      </c>
    </row>
    <row r="1733" spans="1:6" s="3" customFormat="1" ht="29.1" customHeight="1" x14ac:dyDescent="0.25">
      <c r="A1733" s="2" t="s">
        <v>3981</v>
      </c>
      <c r="B1733" s="2" t="s">
        <v>3983</v>
      </c>
      <c r="C1733" s="2" t="s">
        <v>950</v>
      </c>
      <c r="D1733" s="2" t="s">
        <v>3982</v>
      </c>
      <c r="E1733" s="2"/>
      <c r="F1733" s="2" t="str">
        <f>"9791370062729"</f>
        <v>9791370062729</v>
      </c>
    </row>
    <row r="1734" spans="1:6" s="3" customFormat="1" ht="29.1" customHeight="1" x14ac:dyDescent="0.25">
      <c r="A1734" s="2" t="s">
        <v>3984</v>
      </c>
      <c r="B1734" s="2" t="s">
        <v>3985</v>
      </c>
      <c r="C1734" s="2" t="s">
        <v>950</v>
      </c>
      <c r="D1734" s="2" t="s">
        <v>951</v>
      </c>
      <c r="E1734" s="2"/>
      <c r="F1734" s="2" t="str">
        <f>"9791370062699"</f>
        <v>9791370062699</v>
      </c>
    </row>
    <row r="1735" spans="1:6" s="3" customFormat="1" ht="29.1" customHeight="1" x14ac:dyDescent="0.25">
      <c r="A1735" s="2" t="s">
        <v>3986</v>
      </c>
      <c r="B1735" s="2" t="s">
        <v>3987</v>
      </c>
      <c r="C1735" s="2" t="s">
        <v>950</v>
      </c>
      <c r="D1735" s="2" t="s">
        <v>1082</v>
      </c>
      <c r="E1735" s="2"/>
      <c r="F1735" s="2" t="str">
        <f>"9791370062637"</f>
        <v>9791370062637</v>
      </c>
    </row>
    <row r="1736" spans="1:6" s="3" customFormat="1" ht="29.1" customHeight="1" x14ac:dyDescent="0.25">
      <c r="A1736" s="2" t="s">
        <v>3988</v>
      </c>
      <c r="B1736" s="2" t="s">
        <v>3989</v>
      </c>
      <c r="C1736" s="2" t="s">
        <v>950</v>
      </c>
      <c r="D1736" s="2" t="s">
        <v>490</v>
      </c>
      <c r="E1736" s="2"/>
      <c r="F1736" s="2" t="str">
        <f>"9791370062569"</f>
        <v>9791370062569</v>
      </c>
    </row>
    <row r="1737" spans="1:6" s="3" customFormat="1" ht="29.1" customHeight="1" x14ac:dyDescent="0.25">
      <c r="A1737" s="2" t="s">
        <v>3990</v>
      </c>
      <c r="B1737" s="2" t="s">
        <v>3991</v>
      </c>
      <c r="C1737" s="2" t="s">
        <v>950</v>
      </c>
      <c r="D1737" s="2" t="s">
        <v>984</v>
      </c>
      <c r="E1737" s="2"/>
      <c r="F1737" s="2" t="str">
        <f>"9791370062255"</f>
        <v>9791370062255</v>
      </c>
    </row>
    <row r="1738" spans="1:6" s="3" customFormat="1" ht="29.1" customHeight="1" x14ac:dyDescent="0.25">
      <c r="A1738" s="2" t="s">
        <v>3992</v>
      </c>
      <c r="B1738" s="2" t="s">
        <v>3994</v>
      </c>
      <c r="C1738" s="2" t="s">
        <v>950</v>
      </c>
      <c r="D1738" s="2" t="s">
        <v>3993</v>
      </c>
      <c r="E1738" s="2"/>
      <c r="F1738" s="2" t="str">
        <f>"9791370062248"</f>
        <v>9791370062248</v>
      </c>
    </row>
    <row r="1739" spans="1:6" s="3" customFormat="1" ht="29.1" customHeight="1" x14ac:dyDescent="0.25">
      <c r="A1739" s="2" t="s">
        <v>3995</v>
      </c>
      <c r="B1739" s="2" t="s">
        <v>3996</v>
      </c>
      <c r="C1739" s="2" t="s">
        <v>950</v>
      </c>
      <c r="D1739" s="2" t="s">
        <v>951</v>
      </c>
      <c r="E1739" s="2"/>
      <c r="F1739" s="2" t="str">
        <f>"9791370061821"</f>
        <v>9791370061821</v>
      </c>
    </row>
    <row r="1740" spans="1:6" s="3" customFormat="1" ht="29.1" customHeight="1" x14ac:dyDescent="0.25">
      <c r="A1740" s="2" t="s">
        <v>3997</v>
      </c>
      <c r="B1740" s="2" t="s">
        <v>3998</v>
      </c>
      <c r="C1740" s="2" t="s">
        <v>950</v>
      </c>
      <c r="D1740" s="2" t="s">
        <v>3966</v>
      </c>
      <c r="E1740" s="2"/>
      <c r="F1740" s="2" t="str">
        <f>"9791370061265"</f>
        <v>9791370061265</v>
      </c>
    </row>
    <row r="1741" spans="1:6" s="3" customFormat="1" ht="29.1" customHeight="1" x14ac:dyDescent="0.25">
      <c r="A1741" s="2" t="s">
        <v>3999</v>
      </c>
      <c r="B1741" s="2" t="s">
        <v>4000</v>
      </c>
      <c r="C1741" s="2" t="s">
        <v>950</v>
      </c>
      <c r="D1741" s="2" t="s">
        <v>3969</v>
      </c>
      <c r="E1741" s="2"/>
      <c r="F1741" s="2" t="str">
        <f>"9791370061135"</f>
        <v>9791370061135</v>
      </c>
    </row>
    <row r="1742" spans="1:6" s="3" customFormat="1" ht="29.1" customHeight="1" x14ac:dyDescent="0.25">
      <c r="A1742" s="2" t="s">
        <v>4001</v>
      </c>
      <c r="B1742" s="2" t="s">
        <v>4003</v>
      </c>
      <c r="C1742" s="2" t="s">
        <v>950</v>
      </c>
      <c r="D1742" s="2" t="s">
        <v>4002</v>
      </c>
      <c r="E1742" s="2"/>
      <c r="F1742" s="2" t="str">
        <f>"9791370060763"</f>
        <v>9791370060763</v>
      </c>
    </row>
    <row r="1743" spans="1:6" s="3" customFormat="1" ht="29.1" customHeight="1" x14ac:dyDescent="0.25">
      <c r="A1743" s="2" t="s">
        <v>4004</v>
      </c>
      <c r="B1743" s="2" t="s">
        <v>4005</v>
      </c>
      <c r="C1743" s="2" t="s">
        <v>950</v>
      </c>
      <c r="D1743" s="2" t="s">
        <v>37</v>
      </c>
      <c r="E1743" s="2"/>
      <c r="F1743" s="2" t="str">
        <f>"9791370060251"</f>
        <v>9791370060251</v>
      </c>
    </row>
    <row r="1744" spans="1:6" s="3" customFormat="1" ht="29.1" customHeight="1" x14ac:dyDescent="0.25">
      <c r="A1744" s="2" t="s">
        <v>4006</v>
      </c>
      <c r="B1744" s="2" t="s">
        <v>4007</v>
      </c>
      <c r="C1744" s="2" t="s">
        <v>950</v>
      </c>
      <c r="D1744" s="2" t="s">
        <v>52</v>
      </c>
      <c r="E1744" s="2"/>
      <c r="F1744" s="2" t="str">
        <f>"9791370060237"</f>
        <v>9791370060237</v>
      </c>
    </row>
    <row r="1745" spans="1:6" s="3" customFormat="1" ht="29.1" customHeight="1" x14ac:dyDescent="0.25">
      <c r="A1745" s="2" t="s">
        <v>4008</v>
      </c>
      <c r="B1745" s="2" t="s">
        <v>4009</v>
      </c>
      <c r="C1745" s="2" t="s">
        <v>950</v>
      </c>
      <c r="D1745" s="2" t="s">
        <v>1155</v>
      </c>
      <c r="E1745" s="2"/>
      <c r="F1745" s="2" t="str">
        <f>"9791370060220"</f>
        <v>9791370060220</v>
      </c>
    </row>
    <row r="1746" spans="1:6" s="3" customFormat="1" ht="29.1" customHeight="1" x14ac:dyDescent="0.25">
      <c r="A1746" s="2" t="s">
        <v>4010</v>
      </c>
      <c r="B1746" s="2" t="s">
        <v>4011</v>
      </c>
      <c r="C1746" s="2" t="s">
        <v>950</v>
      </c>
      <c r="D1746" s="2" t="s">
        <v>791</v>
      </c>
      <c r="E1746" s="2"/>
      <c r="F1746" s="2" t="str">
        <f>"9791370060206"</f>
        <v>9791370060206</v>
      </c>
    </row>
    <row r="1747" spans="1:6" s="3" customFormat="1" ht="29.1" customHeight="1" x14ac:dyDescent="0.25">
      <c r="A1747" s="2" t="s">
        <v>4012</v>
      </c>
      <c r="B1747" s="2" t="s">
        <v>4014</v>
      </c>
      <c r="C1747" s="2" t="s">
        <v>950</v>
      </c>
      <c r="D1747" s="2" t="s">
        <v>4013</v>
      </c>
      <c r="E1747" s="2"/>
      <c r="F1747" s="2" t="str">
        <f>"9791370060145"</f>
        <v>9791370060145</v>
      </c>
    </row>
    <row r="1748" spans="1:6" s="3" customFormat="1" ht="29.1" customHeight="1" x14ac:dyDescent="0.25">
      <c r="A1748" s="2" t="s">
        <v>4015</v>
      </c>
      <c r="B1748" s="2" t="s">
        <v>4017</v>
      </c>
      <c r="C1748" s="2" t="s">
        <v>950</v>
      </c>
      <c r="D1748" s="2" t="s">
        <v>4016</v>
      </c>
      <c r="E1748" s="2"/>
      <c r="F1748" s="2" t="str">
        <f>"9788413776262"</f>
        <v>9788413776262</v>
      </c>
    </row>
    <row r="1749" spans="1:6" s="3" customFormat="1" ht="29.1" customHeight="1" x14ac:dyDescent="0.25">
      <c r="A1749" s="2" t="s">
        <v>4018</v>
      </c>
      <c r="B1749" s="2" t="s">
        <v>4020</v>
      </c>
      <c r="C1749" s="2" t="s">
        <v>950</v>
      </c>
      <c r="D1749" s="2" t="s">
        <v>4019</v>
      </c>
      <c r="E1749" s="2"/>
      <c r="F1749" s="2" t="str">
        <f>"9788410708570"</f>
        <v>9788410708570</v>
      </c>
    </row>
    <row r="1750" spans="1:6" s="3" customFormat="1" ht="29.1" customHeight="1" x14ac:dyDescent="0.25">
      <c r="A1750" s="2" t="s">
        <v>4021</v>
      </c>
      <c r="B1750" s="2" t="s">
        <v>4022</v>
      </c>
      <c r="C1750" s="2" t="s">
        <v>950</v>
      </c>
      <c r="D1750" s="2" t="s">
        <v>37</v>
      </c>
      <c r="E1750" s="2"/>
      <c r="F1750" s="2" t="str">
        <f>"9788410708303"</f>
        <v>9788410708303</v>
      </c>
    </row>
    <row r="1751" spans="1:6" s="3" customFormat="1" ht="29.1" customHeight="1" x14ac:dyDescent="0.25">
      <c r="A1751" s="2" t="s">
        <v>4023</v>
      </c>
      <c r="B1751" s="2" t="s">
        <v>4024</v>
      </c>
      <c r="C1751" s="2" t="s">
        <v>950</v>
      </c>
      <c r="D1751" s="2" t="s">
        <v>951</v>
      </c>
      <c r="E1751" s="2"/>
      <c r="F1751" s="2" t="str">
        <f>"9788410708297"</f>
        <v>9788410708297</v>
      </c>
    </row>
    <row r="1752" spans="1:6" s="3" customFormat="1" ht="29.1" customHeight="1" x14ac:dyDescent="0.25">
      <c r="A1752" s="2" t="s">
        <v>4025</v>
      </c>
      <c r="B1752" s="2" t="s">
        <v>4026</v>
      </c>
      <c r="C1752" s="2" t="s">
        <v>950</v>
      </c>
      <c r="D1752" s="2" t="s">
        <v>490</v>
      </c>
      <c r="E1752" s="2"/>
      <c r="F1752" s="2" t="str">
        <f>"9788410708280"</f>
        <v>9788410708280</v>
      </c>
    </row>
    <row r="1753" spans="1:6" s="3" customFormat="1" ht="29.1" customHeight="1" x14ac:dyDescent="0.25">
      <c r="A1753" s="2" t="s">
        <v>4027</v>
      </c>
      <c r="B1753" s="2" t="s">
        <v>4028</v>
      </c>
      <c r="C1753" s="2" t="s">
        <v>950</v>
      </c>
      <c r="D1753" s="2" t="s">
        <v>951</v>
      </c>
      <c r="E1753" s="2"/>
      <c r="F1753" s="2" t="str">
        <f>"9788410708273"</f>
        <v>9788410708273</v>
      </c>
    </row>
    <row r="1754" spans="1:6" s="3" customFormat="1" ht="29.1" customHeight="1" x14ac:dyDescent="0.25">
      <c r="A1754" s="2" t="s">
        <v>4029</v>
      </c>
      <c r="B1754" s="2" t="s">
        <v>4031</v>
      </c>
      <c r="C1754" s="2" t="s">
        <v>950</v>
      </c>
      <c r="D1754" s="2" t="s">
        <v>4030</v>
      </c>
      <c r="E1754" s="2"/>
      <c r="F1754" s="2" t="str">
        <f>"9788410708266"</f>
        <v>9788410708266</v>
      </c>
    </row>
    <row r="1755" spans="1:6" s="3" customFormat="1" ht="29.1" customHeight="1" x14ac:dyDescent="0.25">
      <c r="A1755" s="2" t="s">
        <v>4032</v>
      </c>
      <c r="B1755" s="2" t="s">
        <v>4033</v>
      </c>
      <c r="C1755" s="2" t="s">
        <v>950</v>
      </c>
      <c r="D1755" s="2" t="s">
        <v>818</v>
      </c>
      <c r="E1755" s="2"/>
      <c r="F1755" s="2" t="str">
        <f>"9788410708259"</f>
        <v>9788410708259</v>
      </c>
    </row>
    <row r="1756" spans="1:6" s="3" customFormat="1" ht="29.1" customHeight="1" x14ac:dyDescent="0.25">
      <c r="A1756" s="2" t="s">
        <v>4034</v>
      </c>
      <c r="B1756" s="2" t="s">
        <v>4035</v>
      </c>
      <c r="C1756" s="2" t="s">
        <v>950</v>
      </c>
      <c r="D1756" s="2" t="s">
        <v>1155</v>
      </c>
      <c r="E1756" s="2"/>
      <c r="F1756" s="2" t="str">
        <f>"9788410708242"</f>
        <v>9788410708242</v>
      </c>
    </row>
    <row r="1757" spans="1:6" s="3" customFormat="1" ht="29.1" customHeight="1" x14ac:dyDescent="0.25">
      <c r="A1757" s="2" t="s">
        <v>4036</v>
      </c>
      <c r="B1757" s="2" t="s">
        <v>4037</v>
      </c>
      <c r="C1757" s="2" t="s">
        <v>950</v>
      </c>
      <c r="D1757" s="2" t="s">
        <v>2752</v>
      </c>
      <c r="E1757" s="2"/>
      <c r="F1757" s="2" t="str">
        <f>"9788410706989"</f>
        <v>9788410706989</v>
      </c>
    </row>
    <row r="1758" spans="1:6" s="3" customFormat="1" ht="29.1" customHeight="1" x14ac:dyDescent="0.25">
      <c r="A1758" s="2" t="s">
        <v>4038</v>
      </c>
      <c r="B1758" s="2" t="s">
        <v>4039</v>
      </c>
      <c r="C1758" s="2" t="s">
        <v>950</v>
      </c>
      <c r="D1758" s="2" t="s">
        <v>52</v>
      </c>
      <c r="E1758" s="2"/>
      <c r="F1758" s="2" t="str">
        <f>"9788410706972"</f>
        <v>9788410706972</v>
      </c>
    </row>
    <row r="1759" spans="1:6" s="3" customFormat="1" ht="29.1" customHeight="1" x14ac:dyDescent="0.25">
      <c r="A1759" s="2" t="s">
        <v>4040</v>
      </c>
      <c r="B1759" s="2" t="s">
        <v>4041</v>
      </c>
      <c r="C1759" s="2" t="s">
        <v>950</v>
      </c>
      <c r="D1759" s="2" t="s">
        <v>110</v>
      </c>
      <c r="E1759" s="2"/>
      <c r="F1759" s="2" t="str">
        <f>"9788410706965"</f>
        <v>9788410706965</v>
      </c>
    </row>
    <row r="1760" spans="1:6" s="3" customFormat="1" ht="29.1" customHeight="1" x14ac:dyDescent="0.25">
      <c r="A1760" s="2" t="s">
        <v>4042</v>
      </c>
      <c r="B1760" s="2" t="s">
        <v>4043</v>
      </c>
      <c r="C1760" s="2" t="s">
        <v>124</v>
      </c>
      <c r="D1760" s="2" t="s">
        <v>712</v>
      </c>
      <c r="E1760" s="2" t="str">
        <f>"9781032863559"</f>
        <v>9781032863559</v>
      </c>
      <c r="F1760" s="2" t="str">
        <f>"9781003527169"</f>
        <v>9781003527169</v>
      </c>
    </row>
    <row r="1761" spans="1:6" s="3" customFormat="1" ht="29.1" customHeight="1" x14ac:dyDescent="0.25">
      <c r="A1761" s="2" t="s">
        <v>4044</v>
      </c>
      <c r="B1761" s="2" t="s">
        <v>4046</v>
      </c>
      <c r="C1761" s="2" t="s">
        <v>124</v>
      </c>
      <c r="D1761" s="2" t="s">
        <v>4045</v>
      </c>
      <c r="E1761" s="2" t="str">
        <f>"9781041065517"</f>
        <v>9781041065517</v>
      </c>
      <c r="F1761" s="2" t="str">
        <f>"9781003640615"</f>
        <v>9781003640615</v>
      </c>
    </row>
    <row r="1762" spans="1:6" s="3" customFormat="1" ht="29.1" customHeight="1" x14ac:dyDescent="0.25">
      <c r="A1762" s="2" t="s">
        <v>4047</v>
      </c>
      <c r="B1762" s="2" t="s">
        <v>4049</v>
      </c>
      <c r="C1762" s="2" t="s">
        <v>124</v>
      </c>
      <c r="D1762" s="2" t="s">
        <v>4048</v>
      </c>
      <c r="E1762" s="2" t="str">
        <f>"9781032945538"</f>
        <v>9781032945538</v>
      </c>
      <c r="F1762" s="2" t="str">
        <f>"9781003571384"</f>
        <v>9781003571384</v>
      </c>
    </row>
    <row r="1763" spans="1:6" s="3" customFormat="1" ht="29.1" customHeight="1" x14ac:dyDescent="0.25">
      <c r="A1763" s="2" t="s">
        <v>4050</v>
      </c>
      <c r="B1763" s="2" t="s">
        <v>4051</v>
      </c>
      <c r="C1763" s="2" t="s">
        <v>5</v>
      </c>
      <c r="D1763" s="2" t="s">
        <v>515</v>
      </c>
      <c r="E1763" s="2" t="str">
        <f>"9789464637885"</f>
        <v>9789464637885</v>
      </c>
      <c r="F1763" s="2" t="str">
        <f>"9789464637892"</f>
        <v>9789464637892</v>
      </c>
    </row>
    <row r="1764" spans="1:6" s="3" customFormat="1" ht="29.1" customHeight="1" x14ac:dyDescent="0.25">
      <c r="A1764" s="2" t="s">
        <v>4052</v>
      </c>
      <c r="B1764" s="2" t="s">
        <v>4053</v>
      </c>
      <c r="C1764" s="2" t="s">
        <v>5</v>
      </c>
      <c r="D1764" s="2" t="s">
        <v>331</v>
      </c>
      <c r="E1764" s="2" t="str">
        <f>"9783658458386"</f>
        <v>9783658458386</v>
      </c>
      <c r="F1764" s="2" t="str">
        <f>"9783658458393"</f>
        <v>9783658458393</v>
      </c>
    </row>
    <row r="1765" spans="1:6" s="3" customFormat="1" ht="29.1" customHeight="1" x14ac:dyDescent="0.25">
      <c r="A1765" s="2" t="s">
        <v>4054</v>
      </c>
      <c r="B1765" s="2" t="s">
        <v>4055</v>
      </c>
      <c r="C1765" s="2" t="s">
        <v>5</v>
      </c>
      <c r="D1765" s="2" t="s">
        <v>2880</v>
      </c>
      <c r="E1765" s="2" t="str">
        <f>"9783031923524"</f>
        <v>9783031923524</v>
      </c>
      <c r="F1765" s="2" t="str">
        <f>"9783031923531"</f>
        <v>9783031923531</v>
      </c>
    </row>
    <row r="1766" spans="1:6" s="3" customFormat="1" ht="29.1" customHeight="1" x14ac:dyDescent="0.25">
      <c r="A1766" s="2" t="s">
        <v>4056</v>
      </c>
      <c r="B1766" s="2" t="s">
        <v>4057</v>
      </c>
      <c r="C1766" s="2" t="s">
        <v>5</v>
      </c>
      <c r="D1766" s="2" t="s">
        <v>52</v>
      </c>
      <c r="E1766" s="2" t="str">
        <f>"9783031946868"</f>
        <v>9783031946868</v>
      </c>
      <c r="F1766" s="2" t="str">
        <f>"9783031946875"</f>
        <v>9783031946875</v>
      </c>
    </row>
    <row r="1767" spans="1:6" s="3" customFormat="1" ht="29.1" customHeight="1" x14ac:dyDescent="0.25">
      <c r="A1767" s="2" t="s">
        <v>4058</v>
      </c>
      <c r="B1767" s="2" t="s">
        <v>4060</v>
      </c>
      <c r="C1767" s="2" t="s">
        <v>2133</v>
      </c>
      <c r="D1767" s="2" t="s">
        <v>4059</v>
      </c>
      <c r="E1767" s="2" t="str">
        <f>"9781760466930"</f>
        <v>9781760466930</v>
      </c>
      <c r="F1767" s="2" t="str">
        <f>"9781760466947"</f>
        <v>9781760466947</v>
      </c>
    </row>
    <row r="1768" spans="1:6" s="3" customFormat="1" ht="29.1" customHeight="1" x14ac:dyDescent="0.25">
      <c r="A1768" s="2" t="s">
        <v>4061</v>
      </c>
      <c r="B1768" s="2" t="s">
        <v>4062</v>
      </c>
      <c r="C1768" s="2" t="s">
        <v>29</v>
      </c>
      <c r="D1768" s="2" t="s">
        <v>378</v>
      </c>
      <c r="E1768" s="2" t="str">
        <f>"9789086863709"</f>
        <v>9789086863709</v>
      </c>
      <c r="F1768" s="2" t="str">
        <f>"9789086869220"</f>
        <v>9789086869220</v>
      </c>
    </row>
    <row r="1769" spans="1:6" s="3" customFormat="1" ht="29.1" customHeight="1" x14ac:dyDescent="0.25">
      <c r="A1769" s="2" t="s">
        <v>4063</v>
      </c>
      <c r="B1769" s="2" t="s">
        <v>4065</v>
      </c>
      <c r="C1769" s="2" t="s">
        <v>29</v>
      </c>
      <c r="D1769" s="2" t="s">
        <v>4064</v>
      </c>
      <c r="E1769" s="2" t="str">
        <f>"9783506791214"</f>
        <v>9783506791214</v>
      </c>
      <c r="F1769" s="2" t="str">
        <f>"9783657791217"</f>
        <v>9783657791217</v>
      </c>
    </row>
    <row r="1770" spans="1:6" s="3" customFormat="1" ht="29.1" customHeight="1" x14ac:dyDescent="0.25">
      <c r="A1770" s="2" t="s">
        <v>4066</v>
      </c>
      <c r="B1770" s="2" t="s">
        <v>4067</v>
      </c>
      <c r="C1770" s="2" t="s">
        <v>29</v>
      </c>
      <c r="D1770" s="2" t="s">
        <v>192</v>
      </c>
      <c r="E1770" s="2" t="str">
        <f>"9789004730564"</f>
        <v>9789004730564</v>
      </c>
      <c r="F1770" s="2" t="str">
        <f>"9789004730571"</f>
        <v>9789004730571</v>
      </c>
    </row>
    <row r="1771" spans="1:6" s="3" customFormat="1" ht="29.1" customHeight="1" x14ac:dyDescent="0.25">
      <c r="A1771" s="2" t="s">
        <v>4068</v>
      </c>
      <c r="B1771" s="2" t="s">
        <v>4069</v>
      </c>
      <c r="C1771" s="2" t="s">
        <v>29</v>
      </c>
      <c r="D1771" s="2" t="s">
        <v>501</v>
      </c>
      <c r="E1771" s="2" t="str">
        <f>"9789004522763"</f>
        <v>9789004522763</v>
      </c>
      <c r="F1771" s="2" t="str">
        <f>"9789004522770"</f>
        <v>9789004522770</v>
      </c>
    </row>
    <row r="1772" spans="1:6" s="3" customFormat="1" ht="29.1" customHeight="1" x14ac:dyDescent="0.25">
      <c r="A1772" s="2" t="s">
        <v>4070</v>
      </c>
      <c r="B1772" s="2" t="s">
        <v>4072</v>
      </c>
      <c r="C1772" s="2" t="s">
        <v>29</v>
      </c>
      <c r="D1772" s="2" t="s">
        <v>4071</v>
      </c>
      <c r="E1772" s="2" t="str">
        <f>"9789004517479"</f>
        <v>9789004517479</v>
      </c>
      <c r="F1772" s="2" t="str">
        <f>"9789004523791"</f>
        <v>9789004523791</v>
      </c>
    </row>
    <row r="1773" spans="1:6" s="3" customFormat="1" ht="29.1" customHeight="1" x14ac:dyDescent="0.25">
      <c r="A1773" s="2" t="s">
        <v>4073</v>
      </c>
      <c r="B1773" s="2" t="s">
        <v>2014</v>
      </c>
      <c r="C1773" s="2" t="s">
        <v>29</v>
      </c>
      <c r="D1773" s="2" t="s">
        <v>512</v>
      </c>
      <c r="E1773" s="2" t="str">
        <f>"9789004520875"</f>
        <v>9789004520875</v>
      </c>
      <c r="F1773" s="2" t="str">
        <f>"9789004523821"</f>
        <v>9789004523821</v>
      </c>
    </row>
    <row r="1774" spans="1:6" s="3" customFormat="1" ht="29.1" customHeight="1" x14ac:dyDescent="0.25">
      <c r="A1774" s="2" t="s">
        <v>4074</v>
      </c>
      <c r="B1774" s="2" t="s">
        <v>4075</v>
      </c>
      <c r="C1774" s="2" t="s">
        <v>29</v>
      </c>
      <c r="D1774" s="2" t="s">
        <v>512</v>
      </c>
      <c r="E1774" s="2" t="str">
        <f>"9789004506107"</f>
        <v>9789004506107</v>
      </c>
      <c r="F1774" s="2" t="str">
        <f>"9789004506114"</f>
        <v>9789004506114</v>
      </c>
    </row>
    <row r="1775" spans="1:6" s="3" customFormat="1" ht="29.1" customHeight="1" x14ac:dyDescent="0.25">
      <c r="A1775" s="2" t="s">
        <v>4076</v>
      </c>
      <c r="B1775" s="2" t="s">
        <v>4075</v>
      </c>
      <c r="C1775" s="2" t="s">
        <v>29</v>
      </c>
      <c r="D1775" s="2" t="s">
        <v>512</v>
      </c>
      <c r="E1775" s="2" t="str">
        <f>"9789004506084"</f>
        <v>9789004506084</v>
      </c>
      <c r="F1775" s="2" t="str">
        <f>"9789004506091"</f>
        <v>9789004506091</v>
      </c>
    </row>
    <row r="1776" spans="1:6" s="3" customFormat="1" ht="29.1" customHeight="1" x14ac:dyDescent="0.25">
      <c r="A1776" s="2" t="s">
        <v>4077</v>
      </c>
      <c r="B1776" s="2" t="s">
        <v>4078</v>
      </c>
      <c r="C1776" s="2" t="s">
        <v>29</v>
      </c>
      <c r="D1776" s="2" t="s">
        <v>512</v>
      </c>
      <c r="E1776" s="2" t="str">
        <f>"9789004506060"</f>
        <v>9789004506060</v>
      </c>
      <c r="F1776" s="2" t="str">
        <f>"9789004506077"</f>
        <v>9789004506077</v>
      </c>
    </row>
    <row r="1777" spans="1:6" s="3" customFormat="1" ht="29.1" customHeight="1" x14ac:dyDescent="0.25">
      <c r="A1777" s="2" t="s">
        <v>4079</v>
      </c>
      <c r="B1777" s="2" t="s">
        <v>4080</v>
      </c>
      <c r="C1777" s="2" t="s">
        <v>29</v>
      </c>
      <c r="D1777" s="2" t="s">
        <v>3523</v>
      </c>
      <c r="E1777" s="2" t="str">
        <f>"9789004498464"</f>
        <v>9789004498464</v>
      </c>
      <c r="F1777" s="2" t="str">
        <f>"9789004498471"</f>
        <v>9789004498471</v>
      </c>
    </row>
    <row r="1778" spans="1:6" s="3" customFormat="1" ht="29.1" customHeight="1" x14ac:dyDescent="0.25">
      <c r="A1778" s="2" t="s">
        <v>4081</v>
      </c>
      <c r="B1778" s="2" t="s">
        <v>4082</v>
      </c>
      <c r="C1778" s="2" t="s">
        <v>29</v>
      </c>
      <c r="D1778" s="2" t="s">
        <v>118</v>
      </c>
      <c r="E1778" s="2" t="str">
        <f>"9789004500143"</f>
        <v>9789004500143</v>
      </c>
      <c r="F1778" s="2" t="str">
        <f>"9789004500433"</f>
        <v>9789004500433</v>
      </c>
    </row>
    <row r="1779" spans="1:6" s="3" customFormat="1" ht="29.1" customHeight="1" x14ac:dyDescent="0.25">
      <c r="A1779" s="2" t="s">
        <v>4083</v>
      </c>
      <c r="B1779" s="2" t="s">
        <v>4084</v>
      </c>
      <c r="C1779" s="2" t="s">
        <v>29</v>
      </c>
      <c r="D1779" s="2" t="s">
        <v>1432</v>
      </c>
      <c r="E1779" s="2" t="str">
        <f>"9789004382701"</f>
        <v>9789004382701</v>
      </c>
      <c r="F1779" s="2" t="str">
        <f>"9789004498235"</f>
        <v>9789004498235</v>
      </c>
    </row>
    <row r="1780" spans="1:6" s="3" customFormat="1" ht="29.1" customHeight="1" x14ac:dyDescent="0.25">
      <c r="A1780" s="2" t="s">
        <v>4085</v>
      </c>
      <c r="B1780" s="2" t="s">
        <v>4086</v>
      </c>
      <c r="C1780" s="2" t="s">
        <v>29</v>
      </c>
      <c r="D1780" s="2" t="s">
        <v>490</v>
      </c>
      <c r="E1780" s="2" t="str">
        <f>"9789004471801"</f>
        <v>9789004471801</v>
      </c>
      <c r="F1780" s="2" t="str">
        <f>"9789004471818"</f>
        <v>9789004471818</v>
      </c>
    </row>
    <row r="1781" spans="1:6" s="3" customFormat="1" ht="29.1" customHeight="1" x14ac:dyDescent="0.25">
      <c r="A1781" s="2" t="s">
        <v>4087</v>
      </c>
      <c r="B1781" s="2" t="s">
        <v>4088</v>
      </c>
      <c r="C1781" s="2" t="s">
        <v>239</v>
      </c>
      <c r="D1781" s="2" t="s">
        <v>636</v>
      </c>
      <c r="E1781" s="2" t="str">
        <f>"9780520413399"</f>
        <v>9780520413399</v>
      </c>
      <c r="F1781" s="2" t="str">
        <f>"9780520413412"</f>
        <v>9780520413412</v>
      </c>
    </row>
    <row r="1782" spans="1:6" s="3" customFormat="1" ht="29.1" customHeight="1" x14ac:dyDescent="0.25">
      <c r="A1782" s="2" t="s">
        <v>4089</v>
      </c>
      <c r="B1782" s="2" t="s">
        <v>4090</v>
      </c>
      <c r="C1782" s="2" t="s">
        <v>36</v>
      </c>
      <c r="D1782" s="2" t="s">
        <v>78</v>
      </c>
      <c r="E1782" s="2"/>
      <c r="F1782" s="2" t="str">
        <f>"9781529234527"</f>
        <v>9781529234527</v>
      </c>
    </row>
    <row r="1783" spans="1:6" s="3" customFormat="1" ht="29.1" customHeight="1" x14ac:dyDescent="0.25">
      <c r="A1783" s="2" t="s">
        <v>4091</v>
      </c>
      <c r="B1783" s="2" t="s">
        <v>4093</v>
      </c>
      <c r="C1783" s="2" t="s">
        <v>5</v>
      </c>
      <c r="D1783" s="2" t="s">
        <v>4092</v>
      </c>
      <c r="E1783" s="2" t="str">
        <f>"9783031936036"</f>
        <v>9783031936036</v>
      </c>
      <c r="F1783" s="2" t="str">
        <f>"9783031936043"</f>
        <v>9783031936043</v>
      </c>
    </row>
    <row r="1784" spans="1:6" s="3" customFormat="1" ht="29.1" customHeight="1" x14ac:dyDescent="0.25">
      <c r="A1784" s="2" t="s">
        <v>4094</v>
      </c>
      <c r="B1784" s="2" t="s">
        <v>4095</v>
      </c>
      <c r="C1784" s="2" t="s">
        <v>5</v>
      </c>
      <c r="D1784" s="2" t="s">
        <v>3354</v>
      </c>
      <c r="E1784" s="2" t="str">
        <f>"9783662709962"</f>
        <v>9783662709962</v>
      </c>
      <c r="F1784" s="2" t="str">
        <f>"9783662709979"</f>
        <v>9783662709979</v>
      </c>
    </row>
    <row r="1785" spans="1:6" s="3" customFormat="1" ht="29.1" customHeight="1" x14ac:dyDescent="0.25">
      <c r="A1785" s="2" t="s">
        <v>4096</v>
      </c>
      <c r="B1785" s="2" t="s">
        <v>4097</v>
      </c>
      <c r="C1785" s="2" t="s">
        <v>5</v>
      </c>
      <c r="D1785" s="2" t="s">
        <v>431</v>
      </c>
      <c r="E1785" s="2" t="str">
        <f>"9783031937521"</f>
        <v>9783031937521</v>
      </c>
      <c r="F1785" s="2" t="str">
        <f>"9783031937538"</f>
        <v>9783031937538</v>
      </c>
    </row>
    <row r="1786" spans="1:6" s="3" customFormat="1" ht="29.1" customHeight="1" x14ac:dyDescent="0.25">
      <c r="A1786" s="2" t="s">
        <v>4098</v>
      </c>
      <c r="B1786" s="2" t="s">
        <v>4099</v>
      </c>
      <c r="C1786" s="2" t="s">
        <v>5</v>
      </c>
      <c r="D1786" s="2" t="s">
        <v>183</v>
      </c>
      <c r="E1786" s="2" t="str">
        <f>"9783658487294"</f>
        <v>9783658487294</v>
      </c>
      <c r="F1786" s="2" t="str">
        <f>"9783658487300"</f>
        <v>9783658487300</v>
      </c>
    </row>
    <row r="1787" spans="1:6" s="3" customFormat="1" ht="29.1" customHeight="1" x14ac:dyDescent="0.25">
      <c r="A1787" s="2" t="s">
        <v>4100</v>
      </c>
      <c r="B1787" s="2" t="s">
        <v>4101</v>
      </c>
      <c r="C1787" s="2" t="s">
        <v>5</v>
      </c>
      <c r="D1787" s="2" t="s">
        <v>12</v>
      </c>
      <c r="E1787" s="2" t="str">
        <f>"9783031855412"</f>
        <v>9783031855412</v>
      </c>
      <c r="F1787" s="2" t="str">
        <f>"9783031855429"</f>
        <v>9783031855429</v>
      </c>
    </row>
    <row r="1788" spans="1:6" s="3" customFormat="1" ht="29.1" customHeight="1" x14ac:dyDescent="0.25">
      <c r="A1788" s="2" t="s">
        <v>1468</v>
      </c>
      <c r="B1788" s="2" t="s">
        <v>4102</v>
      </c>
      <c r="C1788" s="2" t="s">
        <v>1070</v>
      </c>
      <c r="D1788" s="2" t="s">
        <v>1265</v>
      </c>
      <c r="E1788" s="2" t="str">
        <f>"9783318073645"</f>
        <v>9783318073645</v>
      </c>
      <c r="F1788" s="2" t="str">
        <f>"9783318074246"</f>
        <v>9783318074246</v>
      </c>
    </row>
    <row r="1789" spans="1:6" s="3" customFormat="1" ht="29.1" customHeight="1" x14ac:dyDescent="0.25">
      <c r="A1789" s="2" t="s">
        <v>4103</v>
      </c>
      <c r="B1789" s="2" t="s">
        <v>4105</v>
      </c>
      <c r="C1789" s="2" t="s">
        <v>4104</v>
      </c>
      <c r="D1789" s="2" t="s">
        <v>107</v>
      </c>
      <c r="E1789" s="2" t="str">
        <f>"9781836245919"</f>
        <v>9781836245919</v>
      </c>
      <c r="F1789" s="2" t="str">
        <f>"9781836249481"</f>
        <v>9781836249481</v>
      </c>
    </row>
    <row r="1790" spans="1:6" s="3" customFormat="1" ht="29.1" customHeight="1" x14ac:dyDescent="0.25">
      <c r="A1790" s="2" t="s">
        <v>4106</v>
      </c>
      <c r="B1790" s="2" t="s">
        <v>4108</v>
      </c>
      <c r="C1790" s="2" t="s">
        <v>4104</v>
      </c>
      <c r="D1790" s="2" t="s">
        <v>4107</v>
      </c>
      <c r="E1790" s="2" t="str">
        <f>"9781836245742"</f>
        <v>9781836245742</v>
      </c>
      <c r="F1790" s="2" t="str">
        <f>"9781836249689"</f>
        <v>9781836249689</v>
      </c>
    </row>
    <row r="1791" spans="1:6" s="3" customFormat="1" ht="29.1" customHeight="1" x14ac:dyDescent="0.25">
      <c r="A1791" s="2" t="s">
        <v>4109</v>
      </c>
      <c r="B1791" s="2" t="s">
        <v>4110</v>
      </c>
      <c r="C1791" s="2" t="s">
        <v>4104</v>
      </c>
      <c r="D1791" s="2" t="s">
        <v>324</v>
      </c>
      <c r="E1791" s="2" t="str">
        <f>"9780197267493"</f>
        <v>9780197267493</v>
      </c>
      <c r="F1791" s="2" t="str">
        <f>"9780198890027"</f>
        <v>9780198890027</v>
      </c>
    </row>
    <row r="1792" spans="1:6" s="3" customFormat="1" ht="29.1" customHeight="1" x14ac:dyDescent="0.25">
      <c r="A1792" s="2" t="s">
        <v>4111</v>
      </c>
      <c r="B1792" s="2" t="s">
        <v>4112</v>
      </c>
      <c r="C1792" s="2" t="s">
        <v>4104</v>
      </c>
      <c r="D1792" s="2" t="s">
        <v>699</v>
      </c>
      <c r="E1792" s="2" t="str">
        <f>"9781836245643"</f>
        <v>9781836245643</v>
      </c>
      <c r="F1792" s="2" t="str">
        <f>"9781836249252"</f>
        <v>9781836249252</v>
      </c>
    </row>
    <row r="1793" spans="1:6" s="3" customFormat="1" ht="29.1" customHeight="1" x14ac:dyDescent="0.25">
      <c r="A1793" s="2" t="s">
        <v>4113</v>
      </c>
      <c r="B1793" s="2" t="s">
        <v>4115</v>
      </c>
      <c r="C1793" s="2" t="s">
        <v>4104</v>
      </c>
      <c r="D1793" s="2" t="s">
        <v>4114</v>
      </c>
      <c r="E1793" s="2" t="str">
        <f>"9780197267677"</f>
        <v>9780197267677</v>
      </c>
      <c r="F1793" s="2" t="str">
        <f>"9780198931591"</f>
        <v>9780198931591</v>
      </c>
    </row>
    <row r="1794" spans="1:6" s="3" customFormat="1" ht="29.1" customHeight="1" x14ac:dyDescent="0.25">
      <c r="A1794" s="2" t="s">
        <v>4116</v>
      </c>
      <c r="B1794" s="2" t="s">
        <v>4118</v>
      </c>
      <c r="C1794" s="2" t="s">
        <v>4104</v>
      </c>
      <c r="D1794" s="2" t="s">
        <v>4117</v>
      </c>
      <c r="E1794" s="2" t="str">
        <f>"9780197267462"</f>
        <v>9780197267462</v>
      </c>
      <c r="F1794" s="2" t="str">
        <f>"9780198890461"</f>
        <v>9780198890461</v>
      </c>
    </row>
    <row r="1795" spans="1:6" s="3" customFormat="1" ht="29.1" customHeight="1" x14ac:dyDescent="0.25">
      <c r="A1795" s="2" t="s">
        <v>4119</v>
      </c>
      <c r="B1795" s="2" t="s">
        <v>4120</v>
      </c>
      <c r="C1795" s="2" t="s">
        <v>4104</v>
      </c>
      <c r="D1795" s="2" t="s">
        <v>965</v>
      </c>
      <c r="E1795" s="2" t="str">
        <f>"9781836245667"</f>
        <v>9781836245667</v>
      </c>
      <c r="F1795" s="2" t="str">
        <f>"9781836249498"</f>
        <v>9781836249498</v>
      </c>
    </row>
    <row r="1796" spans="1:6" s="3" customFormat="1" ht="29.1" customHeight="1" x14ac:dyDescent="0.25">
      <c r="A1796" s="2" t="s">
        <v>4121</v>
      </c>
      <c r="B1796" s="2" t="s">
        <v>4122</v>
      </c>
      <c r="C1796" s="2" t="s">
        <v>4104</v>
      </c>
      <c r="D1796" s="2" t="s">
        <v>1253</v>
      </c>
      <c r="E1796" s="2" t="str">
        <f>"9780197267554"</f>
        <v>9780197267554</v>
      </c>
      <c r="F1796" s="2" t="str">
        <f>"9780198906759"</f>
        <v>9780198906759</v>
      </c>
    </row>
    <row r="1797" spans="1:6" s="3" customFormat="1" ht="29.1" customHeight="1" x14ac:dyDescent="0.25">
      <c r="A1797" s="2" t="s">
        <v>4123</v>
      </c>
      <c r="B1797" s="2" t="s">
        <v>4124</v>
      </c>
      <c r="C1797" s="2" t="s">
        <v>4104</v>
      </c>
      <c r="D1797" s="2" t="s">
        <v>107</v>
      </c>
      <c r="E1797" s="2" t="str">
        <f>"9781836245681"</f>
        <v>9781836245681</v>
      </c>
      <c r="F1797" s="2" t="str">
        <f>"9781836249528"</f>
        <v>9781836249528</v>
      </c>
    </row>
    <row r="1798" spans="1:6" s="3" customFormat="1" ht="29.1" customHeight="1" x14ac:dyDescent="0.25">
      <c r="A1798" s="2" t="s">
        <v>4125</v>
      </c>
      <c r="B1798" s="2" t="s">
        <v>4126</v>
      </c>
      <c r="C1798" s="2" t="s">
        <v>4104</v>
      </c>
      <c r="D1798" s="2" t="s">
        <v>2153</v>
      </c>
      <c r="E1798" s="2" t="str">
        <f>"9780197267875"</f>
        <v>9780197267875</v>
      </c>
      <c r="F1798" s="2" t="str">
        <f>"9780198971542"</f>
        <v>9780198971542</v>
      </c>
    </row>
    <row r="1799" spans="1:6" s="3" customFormat="1" ht="29.1" customHeight="1" x14ac:dyDescent="0.25">
      <c r="A1799" s="2" t="s">
        <v>4127</v>
      </c>
      <c r="B1799" s="2" t="s">
        <v>4128</v>
      </c>
      <c r="C1799" s="2" t="s">
        <v>4104</v>
      </c>
      <c r="D1799" s="2" t="s">
        <v>636</v>
      </c>
      <c r="E1799" s="2" t="str">
        <f>"9780197267486"</f>
        <v>9780197267486</v>
      </c>
      <c r="F1799" s="2" t="str">
        <f>"9780198890010"</f>
        <v>9780198890010</v>
      </c>
    </row>
    <row r="1800" spans="1:6" s="3" customFormat="1" ht="29.1" customHeight="1" x14ac:dyDescent="0.25">
      <c r="A1800" s="2" t="s">
        <v>4129</v>
      </c>
      <c r="B1800" s="2" t="s">
        <v>4131</v>
      </c>
      <c r="C1800" s="2" t="s">
        <v>4104</v>
      </c>
      <c r="D1800" s="2" t="s">
        <v>4130</v>
      </c>
      <c r="E1800" s="2" t="str">
        <f>"9780197267769"</f>
        <v>9780197267769</v>
      </c>
      <c r="F1800" s="2" t="str">
        <f>"9780198932239"</f>
        <v>9780198932239</v>
      </c>
    </row>
    <row r="1801" spans="1:6" s="3" customFormat="1" ht="29.1" customHeight="1" x14ac:dyDescent="0.25">
      <c r="A1801" s="2" t="s">
        <v>4132</v>
      </c>
      <c r="B1801" s="2" t="s">
        <v>4134</v>
      </c>
      <c r="C1801" s="2" t="s">
        <v>4104</v>
      </c>
      <c r="D1801" s="2" t="s">
        <v>4133</v>
      </c>
      <c r="E1801" s="2" t="str">
        <f>"9781836245902"</f>
        <v>9781836245902</v>
      </c>
      <c r="F1801" s="2" t="str">
        <f>"9781836249467"</f>
        <v>9781836249467</v>
      </c>
    </row>
    <row r="1802" spans="1:6" s="3" customFormat="1" ht="29.1" customHeight="1" x14ac:dyDescent="0.25">
      <c r="A1802" s="2" t="s">
        <v>4135</v>
      </c>
      <c r="B1802" s="2" t="s">
        <v>4136</v>
      </c>
      <c r="C1802" s="2" t="s">
        <v>4104</v>
      </c>
      <c r="D1802" s="2" t="s">
        <v>606</v>
      </c>
      <c r="E1802" s="2" t="str">
        <f>"9780197267653"</f>
        <v>9780197267653</v>
      </c>
      <c r="F1802" s="2" t="str">
        <f>"9780198924876"</f>
        <v>9780198924876</v>
      </c>
    </row>
    <row r="1803" spans="1:6" s="3" customFormat="1" ht="29.1" customHeight="1" x14ac:dyDescent="0.25">
      <c r="A1803" s="2" t="s">
        <v>4137</v>
      </c>
      <c r="B1803" s="2" t="s">
        <v>4139</v>
      </c>
      <c r="C1803" s="2" t="s">
        <v>5</v>
      </c>
      <c r="D1803" s="2" t="s">
        <v>4138</v>
      </c>
      <c r="E1803" s="2" t="str">
        <f>"9783031955358"</f>
        <v>9783031955358</v>
      </c>
      <c r="F1803" s="2" t="str">
        <f>"9783031955365"</f>
        <v>9783031955365</v>
      </c>
    </row>
    <row r="1804" spans="1:6" s="3" customFormat="1" ht="29.1" customHeight="1" x14ac:dyDescent="0.25">
      <c r="A1804" s="2" t="s">
        <v>4140</v>
      </c>
      <c r="B1804" s="2" t="s">
        <v>4141</v>
      </c>
      <c r="C1804" s="2" t="s">
        <v>5</v>
      </c>
      <c r="D1804" s="2" t="s">
        <v>1895</v>
      </c>
      <c r="E1804" s="2" t="str">
        <f>"9789819656653"</f>
        <v>9789819656653</v>
      </c>
      <c r="F1804" s="2" t="str">
        <f>"9789819656660"</f>
        <v>9789819656660</v>
      </c>
    </row>
    <row r="1805" spans="1:6" s="3" customFormat="1" ht="29.1" customHeight="1" x14ac:dyDescent="0.25">
      <c r="A1805" s="2" t="s">
        <v>4142</v>
      </c>
      <c r="B1805" s="2" t="s">
        <v>4143</v>
      </c>
      <c r="C1805" s="2" t="s">
        <v>5</v>
      </c>
      <c r="D1805" s="2" t="s">
        <v>724</v>
      </c>
      <c r="E1805" s="2" t="str">
        <f>"9783031827891"</f>
        <v>9783031827891</v>
      </c>
      <c r="F1805" s="2" t="str">
        <f>"9783031827907"</f>
        <v>9783031827907</v>
      </c>
    </row>
    <row r="1806" spans="1:6" s="3" customFormat="1" ht="29.1" customHeight="1" x14ac:dyDescent="0.25">
      <c r="A1806" s="2" t="s">
        <v>4144</v>
      </c>
      <c r="B1806" s="2" t="s">
        <v>4145</v>
      </c>
      <c r="C1806" s="2" t="s">
        <v>248</v>
      </c>
      <c r="D1806" s="2" t="s">
        <v>249</v>
      </c>
      <c r="E1806" s="2" t="str">
        <f>"9783847431626"</f>
        <v>9783847431626</v>
      </c>
      <c r="F1806" s="2" t="str">
        <f>"9783847433002"</f>
        <v>9783847433002</v>
      </c>
    </row>
    <row r="1807" spans="1:6" s="3" customFormat="1" ht="29.1" customHeight="1" x14ac:dyDescent="0.25">
      <c r="A1807" s="2" t="s">
        <v>4146</v>
      </c>
      <c r="B1807" s="2" t="s">
        <v>4147</v>
      </c>
      <c r="C1807" s="2" t="s">
        <v>248</v>
      </c>
      <c r="D1807" s="2" t="s">
        <v>836</v>
      </c>
      <c r="E1807" s="2" t="str">
        <f>"9783847431220"</f>
        <v>9783847431220</v>
      </c>
      <c r="F1807" s="2" t="str">
        <f>"9783847432579"</f>
        <v>9783847432579</v>
      </c>
    </row>
    <row r="1808" spans="1:6" s="3" customFormat="1" ht="29.1" customHeight="1" x14ac:dyDescent="0.25">
      <c r="A1808" s="2" t="s">
        <v>4148</v>
      </c>
      <c r="B1808" s="2" t="s">
        <v>4149</v>
      </c>
      <c r="C1808" s="2" t="s">
        <v>248</v>
      </c>
      <c r="D1808" s="2" t="s">
        <v>24</v>
      </c>
      <c r="E1808" s="2" t="str">
        <f>"9783966650953"</f>
        <v>9783966650953</v>
      </c>
      <c r="F1808" s="2" t="str">
        <f>"9783966659000"</f>
        <v>9783966659000</v>
      </c>
    </row>
    <row r="1809" spans="1:6" s="3" customFormat="1" ht="29.1" customHeight="1" x14ac:dyDescent="0.25">
      <c r="A1809" s="2" t="s">
        <v>4150</v>
      </c>
      <c r="B1809" s="2" t="s">
        <v>4151</v>
      </c>
      <c r="C1809" s="2" t="s">
        <v>248</v>
      </c>
      <c r="D1809" s="2" t="s">
        <v>24</v>
      </c>
      <c r="E1809" s="2" t="str">
        <f>"9783847430834"</f>
        <v>9783847430834</v>
      </c>
      <c r="F1809" s="2" t="str">
        <f>"9783847432173"</f>
        <v>9783847432173</v>
      </c>
    </row>
    <row r="1810" spans="1:6" s="3" customFormat="1" ht="29.1" customHeight="1" x14ac:dyDescent="0.25">
      <c r="A1810" s="2" t="s">
        <v>4152</v>
      </c>
      <c r="B1810" s="2" t="s">
        <v>4153</v>
      </c>
      <c r="C1810" s="2" t="s">
        <v>248</v>
      </c>
      <c r="D1810" s="2" t="s">
        <v>553</v>
      </c>
      <c r="E1810" s="2" t="str">
        <f>"9783966651011"</f>
        <v>9783966651011</v>
      </c>
      <c r="F1810" s="2" t="str">
        <f>"9783966658942"</f>
        <v>9783966658942</v>
      </c>
    </row>
    <row r="1811" spans="1:6" s="3" customFormat="1" ht="29.1" customHeight="1" x14ac:dyDescent="0.25">
      <c r="A1811" s="2" t="s">
        <v>4154</v>
      </c>
      <c r="B1811" s="2" t="s">
        <v>4156</v>
      </c>
      <c r="C1811" s="2" t="s">
        <v>195</v>
      </c>
      <c r="D1811" s="2" t="s">
        <v>4155</v>
      </c>
      <c r="E1811" s="2" t="str">
        <f>"9783110336931"</f>
        <v>9783110336931</v>
      </c>
      <c r="F1811" s="2" t="str">
        <f>"9783111698922"</f>
        <v>9783111698922</v>
      </c>
    </row>
    <row r="1812" spans="1:6" s="3" customFormat="1" ht="29.1" customHeight="1" x14ac:dyDescent="0.25">
      <c r="A1812" s="2" t="s">
        <v>4157</v>
      </c>
      <c r="B1812" s="2" t="s">
        <v>4158</v>
      </c>
      <c r="C1812" s="2" t="s">
        <v>29</v>
      </c>
      <c r="D1812" s="2" t="s">
        <v>497</v>
      </c>
      <c r="E1812" s="2" t="str">
        <f>"9789004729018"</f>
        <v>9789004729018</v>
      </c>
      <c r="F1812" s="2" t="str">
        <f>"9789004743366"</f>
        <v>9789004743366</v>
      </c>
    </row>
    <row r="1813" spans="1:6" s="3" customFormat="1" ht="29.1" customHeight="1" x14ac:dyDescent="0.25">
      <c r="A1813" s="2" t="s">
        <v>4159</v>
      </c>
      <c r="B1813" s="2" t="s">
        <v>4161</v>
      </c>
      <c r="C1813" s="2" t="s">
        <v>29</v>
      </c>
      <c r="D1813" s="2" t="s">
        <v>4160</v>
      </c>
      <c r="E1813" s="2" t="str">
        <f>"9789004701137"</f>
        <v>9789004701137</v>
      </c>
      <c r="F1813" s="2" t="str">
        <f>"9789004701144"</f>
        <v>9789004701144</v>
      </c>
    </row>
    <row r="1814" spans="1:6" s="3" customFormat="1" ht="29.1" customHeight="1" x14ac:dyDescent="0.25">
      <c r="A1814" s="2" t="s">
        <v>4162</v>
      </c>
      <c r="B1814" s="2" t="s">
        <v>4164</v>
      </c>
      <c r="C1814" s="2" t="s">
        <v>264</v>
      </c>
      <c r="D1814" s="2" t="s">
        <v>4163</v>
      </c>
      <c r="E1814" s="2" t="str">
        <f>"9781041035978"</f>
        <v>9781041035978</v>
      </c>
      <c r="F1814" s="2" t="str">
        <f>"9781003624424"</f>
        <v>9781003624424</v>
      </c>
    </row>
    <row r="1815" spans="1:6" s="3" customFormat="1" ht="29.1" customHeight="1" x14ac:dyDescent="0.25">
      <c r="A1815" s="2" t="s">
        <v>4165</v>
      </c>
      <c r="B1815" s="2" t="s">
        <v>4166</v>
      </c>
      <c r="C1815" s="2" t="s">
        <v>264</v>
      </c>
      <c r="D1815" s="2" t="s">
        <v>402</v>
      </c>
      <c r="E1815" s="2" t="str">
        <f>"9781041104162"</f>
        <v>9781041104162</v>
      </c>
      <c r="F1815" s="2" t="str">
        <f>"9781003654940"</f>
        <v>9781003654940</v>
      </c>
    </row>
    <row r="1816" spans="1:6" s="3" customFormat="1" ht="29.1" customHeight="1" x14ac:dyDescent="0.25">
      <c r="A1816" s="2" t="s">
        <v>4167</v>
      </c>
      <c r="B1816" s="2" t="s">
        <v>4168</v>
      </c>
      <c r="C1816" s="2" t="s">
        <v>124</v>
      </c>
      <c r="D1816" s="2" t="s">
        <v>1127</v>
      </c>
      <c r="E1816" s="2" t="str">
        <f>"9781032914602"</f>
        <v>9781032914602</v>
      </c>
      <c r="F1816" s="2" t="str">
        <f>"9781003619208"</f>
        <v>9781003619208</v>
      </c>
    </row>
    <row r="1817" spans="1:6" s="3" customFormat="1" ht="29.1" customHeight="1" x14ac:dyDescent="0.25">
      <c r="A1817" s="2" t="s">
        <v>4169</v>
      </c>
      <c r="B1817" s="2" t="s">
        <v>4170</v>
      </c>
      <c r="C1817" s="2" t="s">
        <v>36</v>
      </c>
      <c r="D1817" s="2" t="s">
        <v>855</v>
      </c>
      <c r="E1817" s="2"/>
      <c r="F1817" s="2" t="str">
        <f>"9781447372448"</f>
        <v>9781447372448</v>
      </c>
    </row>
    <row r="1818" spans="1:6" s="3" customFormat="1" ht="29.1" customHeight="1" x14ac:dyDescent="0.25">
      <c r="A1818" s="2" t="s">
        <v>4171</v>
      </c>
      <c r="B1818" s="2" t="s">
        <v>4173</v>
      </c>
      <c r="C1818" s="2" t="s">
        <v>5</v>
      </c>
      <c r="D1818" s="2" t="s">
        <v>4172</v>
      </c>
      <c r="E1818" s="2" t="str">
        <f>"9783031877322"</f>
        <v>9783031877322</v>
      </c>
      <c r="F1818" s="2" t="str">
        <f>"9783031877339"</f>
        <v>9783031877339</v>
      </c>
    </row>
    <row r="1819" spans="1:6" s="3" customFormat="1" ht="29.1" customHeight="1" x14ac:dyDescent="0.25">
      <c r="A1819" s="2" t="s">
        <v>4174</v>
      </c>
      <c r="B1819" s="2" t="s">
        <v>4175</v>
      </c>
      <c r="C1819" s="2" t="s">
        <v>5</v>
      </c>
      <c r="D1819" s="2" t="s">
        <v>606</v>
      </c>
      <c r="E1819" s="2" t="str">
        <f>"9783031694608"</f>
        <v>9783031694608</v>
      </c>
      <c r="F1819" s="2" t="str">
        <f>"9783031694615"</f>
        <v>9783031694615</v>
      </c>
    </row>
    <row r="1820" spans="1:6" s="3" customFormat="1" ht="29.1" customHeight="1" x14ac:dyDescent="0.25">
      <c r="A1820" s="2" t="s">
        <v>4165</v>
      </c>
      <c r="B1820" s="2" t="s">
        <v>4166</v>
      </c>
      <c r="C1820" s="2" t="s">
        <v>264</v>
      </c>
      <c r="D1820" s="2" t="s">
        <v>402</v>
      </c>
      <c r="E1820" s="2" t="str">
        <f>"9781041084716"</f>
        <v>9781041084716</v>
      </c>
      <c r="F1820" s="2" t="str">
        <f>"9781003645542"</f>
        <v>9781003645542</v>
      </c>
    </row>
    <row r="1821" spans="1:6" s="3" customFormat="1" ht="29.1" customHeight="1" x14ac:dyDescent="0.25">
      <c r="A1821" s="2" t="s">
        <v>4176</v>
      </c>
      <c r="B1821" s="2" t="s">
        <v>4178</v>
      </c>
      <c r="C1821" s="2" t="s">
        <v>124</v>
      </c>
      <c r="D1821" s="2" t="s">
        <v>4177</v>
      </c>
      <c r="E1821" s="2" t="str">
        <f>"9781032944050"</f>
        <v>9781032944050</v>
      </c>
      <c r="F1821" s="2" t="str">
        <f>"9781003570653"</f>
        <v>9781003570653</v>
      </c>
    </row>
    <row r="1822" spans="1:6" s="3" customFormat="1" ht="29.1" customHeight="1" x14ac:dyDescent="0.25">
      <c r="A1822" s="2" t="s">
        <v>4179</v>
      </c>
      <c r="B1822" s="2" t="s">
        <v>4181</v>
      </c>
      <c r="C1822" s="2" t="s">
        <v>124</v>
      </c>
      <c r="D1822" s="2" t="s">
        <v>4180</v>
      </c>
      <c r="E1822" s="2" t="str">
        <f>"9781032373775"</f>
        <v>9781032373775</v>
      </c>
      <c r="F1822" s="2" t="str">
        <f>"9781003336709"</f>
        <v>9781003336709</v>
      </c>
    </row>
    <row r="1823" spans="1:6" s="3" customFormat="1" ht="29.1" customHeight="1" x14ac:dyDescent="0.25">
      <c r="A1823" s="2" t="s">
        <v>4182</v>
      </c>
      <c r="B1823" s="2" t="s">
        <v>4183</v>
      </c>
      <c r="C1823" s="2" t="s">
        <v>29</v>
      </c>
      <c r="D1823" s="2" t="s">
        <v>3270</v>
      </c>
      <c r="E1823" s="2" t="str">
        <f>"9789004733893"</f>
        <v>9789004733893</v>
      </c>
      <c r="F1823" s="2" t="str">
        <f>"9789004736917"</f>
        <v>9789004736917</v>
      </c>
    </row>
    <row r="1824" spans="1:6" s="3" customFormat="1" ht="29.1" customHeight="1" x14ac:dyDescent="0.25">
      <c r="A1824" s="2" t="s">
        <v>4184</v>
      </c>
      <c r="B1824" s="2" t="s">
        <v>4186</v>
      </c>
      <c r="C1824" s="2" t="s">
        <v>746</v>
      </c>
      <c r="D1824" s="2" t="s">
        <v>4185</v>
      </c>
      <c r="E1824" s="2" t="str">
        <f>"9781803279916"</f>
        <v>9781803279916</v>
      </c>
      <c r="F1824" s="2" t="str">
        <f>"9781803279923"</f>
        <v>9781803279923</v>
      </c>
    </row>
    <row r="1825" spans="1:6" s="3" customFormat="1" ht="29.1" customHeight="1" x14ac:dyDescent="0.25">
      <c r="A1825" s="2" t="s">
        <v>4187</v>
      </c>
      <c r="B1825" s="2" t="s">
        <v>4188</v>
      </c>
      <c r="C1825" s="2" t="s">
        <v>746</v>
      </c>
      <c r="D1825" s="2" t="s">
        <v>606</v>
      </c>
      <c r="E1825" s="2" t="str">
        <f>"9781803279893"</f>
        <v>9781803279893</v>
      </c>
      <c r="F1825" s="2" t="str">
        <f>"9781803279909"</f>
        <v>9781803279909</v>
      </c>
    </row>
    <row r="1826" spans="1:6" s="3" customFormat="1" ht="29.1" customHeight="1" x14ac:dyDescent="0.25">
      <c r="A1826" s="2" t="s">
        <v>4189</v>
      </c>
      <c r="B1826" s="2" t="s">
        <v>4191</v>
      </c>
      <c r="C1826" s="2" t="s">
        <v>5</v>
      </c>
      <c r="D1826" s="2" t="s">
        <v>4190</v>
      </c>
      <c r="E1826" s="2" t="str">
        <f>"9783031824104"</f>
        <v>9783031824104</v>
      </c>
      <c r="F1826" s="2" t="str">
        <f>"9783031824111"</f>
        <v>9783031824111</v>
      </c>
    </row>
    <row r="1827" spans="1:6" s="3" customFormat="1" ht="29.1" customHeight="1" x14ac:dyDescent="0.25">
      <c r="A1827" s="2" t="s">
        <v>4192</v>
      </c>
      <c r="B1827" s="2" t="s">
        <v>4193</v>
      </c>
      <c r="C1827" s="2" t="s">
        <v>613</v>
      </c>
      <c r="D1827" s="2" t="s">
        <v>550</v>
      </c>
      <c r="E1827" s="2" t="str">
        <f>"9798369308806"</f>
        <v>9798369308806</v>
      </c>
      <c r="F1827" s="2" t="str">
        <f>"9798369308813"</f>
        <v>9798369308813</v>
      </c>
    </row>
    <row r="1828" spans="1:6" s="3" customFormat="1" ht="29.1" customHeight="1" x14ac:dyDescent="0.25">
      <c r="A1828" s="2" t="s">
        <v>4194</v>
      </c>
      <c r="B1828" s="2" t="s">
        <v>4195</v>
      </c>
      <c r="C1828" s="2" t="s">
        <v>124</v>
      </c>
      <c r="D1828" s="2" t="s">
        <v>9</v>
      </c>
      <c r="E1828" s="2" t="str">
        <f>"9781032692104"</f>
        <v>9781032692104</v>
      </c>
      <c r="F1828" s="2" t="str">
        <f>"9781032702995"</f>
        <v>9781032702995</v>
      </c>
    </row>
    <row r="1829" spans="1:6" s="3" customFormat="1" ht="29.1" customHeight="1" x14ac:dyDescent="0.25">
      <c r="A1829" s="2" t="s">
        <v>4196</v>
      </c>
      <c r="B1829" s="2" t="s">
        <v>4199</v>
      </c>
      <c r="C1829" s="2" t="s">
        <v>4197</v>
      </c>
      <c r="D1829" s="2" t="s">
        <v>4198</v>
      </c>
      <c r="E1829" s="2" t="str">
        <f>"9783985470952"</f>
        <v>9783985470952</v>
      </c>
      <c r="F1829" s="2" t="str">
        <f>"9783985475957"</f>
        <v>9783985475957</v>
      </c>
    </row>
    <row r="1830" spans="1:6" s="3" customFormat="1" ht="29.1" customHeight="1" x14ac:dyDescent="0.25">
      <c r="A1830" s="2" t="s">
        <v>4200</v>
      </c>
      <c r="B1830" s="2" t="s">
        <v>4202</v>
      </c>
      <c r="C1830" s="2" t="s">
        <v>4197</v>
      </c>
      <c r="D1830" s="2" t="s">
        <v>4201</v>
      </c>
      <c r="E1830" s="2" t="str">
        <f>"9783985470907"</f>
        <v>9783985470907</v>
      </c>
      <c r="F1830" s="2" t="str">
        <f>"9783985475902"</f>
        <v>9783985475902</v>
      </c>
    </row>
    <row r="1831" spans="1:6" s="3" customFormat="1" ht="29.1" customHeight="1" x14ac:dyDescent="0.25">
      <c r="A1831" s="2" t="s">
        <v>4203</v>
      </c>
      <c r="B1831" s="2" t="s">
        <v>4206</v>
      </c>
      <c r="C1831" s="2" t="s">
        <v>4204</v>
      </c>
      <c r="D1831" s="2" t="s">
        <v>4205</v>
      </c>
      <c r="E1831" s="2" t="str">
        <f>"9788410262799"</f>
        <v>9788410262799</v>
      </c>
      <c r="F1831" s="2" t="str">
        <f>"9788410262805"</f>
        <v>9788410262805</v>
      </c>
    </row>
    <row r="1832" spans="1:6" s="3" customFormat="1" ht="29.1" customHeight="1" x14ac:dyDescent="0.25">
      <c r="A1832" s="2" t="s">
        <v>4207</v>
      </c>
      <c r="B1832" s="2" t="s">
        <v>4208</v>
      </c>
      <c r="C1832" s="2" t="s">
        <v>4204</v>
      </c>
      <c r="D1832" s="2" t="s">
        <v>1001</v>
      </c>
      <c r="E1832" s="2" t="str">
        <f>"9788410262850"</f>
        <v>9788410262850</v>
      </c>
      <c r="F1832" s="2" t="str">
        <f>"9788410262867"</f>
        <v>9788410262867</v>
      </c>
    </row>
    <row r="1833" spans="1:6" s="3" customFormat="1" ht="29.1" customHeight="1" x14ac:dyDescent="0.25">
      <c r="A1833" s="2" t="s">
        <v>4209</v>
      </c>
      <c r="B1833" s="2" t="s">
        <v>4206</v>
      </c>
      <c r="C1833" s="2" t="s">
        <v>4204</v>
      </c>
      <c r="D1833" s="2" t="s">
        <v>4210</v>
      </c>
      <c r="E1833" s="2" t="str">
        <f>"9788410262836"</f>
        <v>9788410262836</v>
      </c>
      <c r="F1833" s="2" t="str">
        <f>"9788410262843"</f>
        <v>9788410262843</v>
      </c>
    </row>
    <row r="1834" spans="1:6" s="3" customFormat="1" ht="29.1" customHeight="1" x14ac:dyDescent="0.25">
      <c r="A1834" s="2" t="s">
        <v>4211</v>
      </c>
      <c r="B1834" s="2" t="s">
        <v>4212</v>
      </c>
      <c r="C1834" s="2" t="s">
        <v>4204</v>
      </c>
      <c r="D1834" s="2" t="s">
        <v>52</v>
      </c>
      <c r="E1834" s="2" t="str">
        <f>"9788410262768"</f>
        <v>9788410262768</v>
      </c>
      <c r="F1834" s="2" t="str">
        <f>"9788410262775"</f>
        <v>9788410262775</v>
      </c>
    </row>
    <row r="1835" spans="1:6" s="3" customFormat="1" ht="29.1" customHeight="1" x14ac:dyDescent="0.25">
      <c r="A1835" s="2" t="s">
        <v>4213</v>
      </c>
      <c r="B1835" s="2" t="s">
        <v>4215</v>
      </c>
      <c r="C1835" s="2" t="s">
        <v>940</v>
      </c>
      <c r="D1835" s="2" t="s">
        <v>4214</v>
      </c>
      <c r="E1835" s="2"/>
      <c r="F1835" s="2" t="str">
        <f>"9786084868453"</f>
        <v>9786084868453</v>
      </c>
    </row>
    <row r="1836" spans="1:6" s="3" customFormat="1" ht="29.1" customHeight="1" x14ac:dyDescent="0.25">
      <c r="A1836" s="2" t="s">
        <v>4216</v>
      </c>
      <c r="B1836" s="2" t="s">
        <v>4217</v>
      </c>
      <c r="C1836" s="2" t="s">
        <v>36</v>
      </c>
      <c r="D1836" s="2" t="s">
        <v>2462</v>
      </c>
      <c r="E1836" s="2"/>
      <c r="F1836" s="2" t="str">
        <f>"9781447353652"</f>
        <v>9781447353652</v>
      </c>
    </row>
    <row r="1837" spans="1:6" s="3" customFormat="1" ht="29.1" customHeight="1" x14ac:dyDescent="0.25">
      <c r="A1837" s="2" t="s">
        <v>4218</v>
      </c>
      <c r="B1837" s="2" t="s">
        <v>4219</v>
      </c>
      <c r="C1837" s="2" t="s">
        <v>36</v>
      </c>
      <c r="D1837" s="2" t="s">
        <v>2341</v>
      </c>
      <c r="E1837" s="2"/>
      <c r="F1837" s="2" t="str">
        <f>"9781447375036"</f>
        <v>9781447375036</v>
      </c>
    </row>
    <row r="1838" spans="1:6" s="3" customFormat="1" ht="29.1" customHeight="1" x14ac:dyDescent="0.25">
      <c r="A1838" s="2" t="s">
        <v>4220</v>
      </c>
      <c r="B1838" s="2" t="s">
        <v>4221</v>
      </c>
      <c r="C1838" s="2" t="s">
        <v>36</v>
      </c>
      <c r="D1838" s="2" t="s">
        <v>2139</v>
      </c>
      <c r="E1838" s="2"/>
      <c r="F1838" s="2" t="str">
        <f>"9781447365228"</f>
        <v>9781447365228</v>
      </c>
    </row>
    <row r="1839" spans="1:6" s="3" customFormat="1" ht="29.1" customHeight="1" x14ac:dyDescent="0.25">
      <c r="A1839" s="2" t="s">
        <v>4222</v>
      </c>
      <c r="B1839" s="2" t="s">
        <v>4223</v>
      </c>
      <c r="C1839" s="2" t="s">
        <v>36</v>
      </c>
      <c r="D1839" s="2" t="s">
        <v>2433</v>
      </c>
      <c r="E1839" s="2"/>
      <c r="F1839" s="2" t="str">
        <f>"9781529245417"</f>
        <v>9781529245417</v>
      </c>
    </row>
    <row r="1840" spans="1:6" s="3" customFormat="1" ht="29.1" customHeight="1" x14ac:dyDescent="0.25">
      <c r="A1840" s="2" t="s">
        <v>4224</v>
      </c>
      <c r="B1840" s="2" t="s">
        <v>4225</v>
      </c>
      <c r="C1840" s="2" t="s">
        <v>5</v>
      </c>
      <c r="D1840" s="2" t="s">
        <v>2307</v>
      </c>
      <c r="E1840" s="2" t="str">
        <f>"9782384764433"</f>
        <v>9782384764433</v>
      </c>
      <c r="F1840" s="2" t="str">
        <f>"9782384764440"</f>
        <v>9782384764440</v>
      </c>
    </row>
    <row r="1841" spans="1:6" s="3" customFormat="1" ht="29.1" customHeight="1" x14ac:dyDescent="0.25">
      <c r="A1841" s="2" t="s">
        <v>4226</v>
      </c>
      <c r="B1841" s="2" t="s">
        <v>4227</v>
      </c>
      <c r="C1841" s="2" t="s">
        <v>5</v>
      </c>
      <c r="D1841" s="2" t="s">
        <v>9</v>
      </c>
      <c r="E1841" s="2" t="str">
        <f>"9782384764396"</f>
        <v>9782384764396</v>
      </c>
      <c r="F1841" s="2" t="str">
        <f>"9782384764402"</f>
        <v>9782384764402</v>
      </c>
    </row>
    <row r="1842" spans="1:6" s="3" customFormat="1" ht="29.1" customHeight="1" x14ac:dyDescent="0.25">
      <c r="A1842" s="2" t="s">
        <v>4228</v>
      </c>
      <c r="B1842" s="2" t="s">
        <v>4230</v>
      </c>
      <c r="C1842" s="2" t="s">
        <v>5</v>
      </c>
      <c r="D1842" s="2" t="s">
        <v>4229</v>
      </c>
      <c r="E1842" s="2" t="str">
        <f>"9783031898433"</f>
        <v>9783031898433</v>
      </c>
      <c r="F1842" s="2" t="str">
        <f>"9783031898440"</f>
        <v>9783031898440</v>
      </c>
    </row>
    <row r="1843" spans="1:6" s="3" customFormat="1" ht="29.1" customHeight="1" x14ac:dyDescent="0.25">
      <c r="A1843" s="2" t="s">
        <v>4231</v>
      </c>
      <c r="B1843" s="2" t="s">
        <v>4232</v>
      </c>
      <c r="C1843" s="2" t="s">
        <v>5</v>
      </c>
      <c r="D1843" s="2" t="s">
        <v>183</v>
      </c>
      <c r="E1843" s="2" t="str">
        <f>"9783658480554"</f>
        <v>9783658480554</v>
      </c>
      <c r="F1843" s="2" t="str">
        <f>"9783658480561"</f>
        <v>9783658480561</v>
      </c>
    </row>
    <row r="1844" spans="1:6" s="3" customFormat="1" ht="29.1" customHeight="1" x14ac:dyDescent="0.25">
      <c r="A1844" s="2" t="s">
        <v>4233</v>
      </c>
      <c r="B1844" s="2" t="s">
        <v>4234</v>
      </c>
      <c r="C1844" s="2" t="s">
        <v>5</v>
      </c>
      <c r="D1844" s="2" t="s">
        <v>378</v>
      </c>
      <c r="E1844" s="2" t="str">
        <f>"9783031882128"</f>
        <v>9783031882128</v>
      </c>
      <c r="F1844" s="2" t="str">
        <f>"9783031882135"</f>
        <v>9783031882135</v>
      </c>
    </row>
    <row r="1845" spans="1:6" s="3" customFormat="1" ht="29.1" customHeight="1" x14ac:dyDescent="0.25">
      <c r="A1845" s="2" t="s">
        <v>4235</v>
      </c>
      <c r="B1845" s="2" t="s">
        <v>4236</v>
      </c>
      <c r="C1845" s="2" t="s">
        <v>5</v>
      </c>
      <c r="D1845" s="2" t="s">
        <v>44</v>
      </c>
      <c r="E1845" s="2" t="str">
        <f>"9789819682034"</f>
        <v>9789819682034</v>
      </c>
      <c r="F1845" s="2" t="str">
        <f>"9789819682041"</f>
        <v>9789819682041</v>
      </c>
    </row>
    <row r="1846" spans="1:6" s="3" customFormat="1" ht="29.1" customHeight="1" x14ac:dyDescent="0.25">
      <c r="A1846" s="2" t="s">
        <v>4237</v>
      </c>
      <c r="B1846" s="2" t="s">
        <v>4239</v>
      </c>
      <c r="C1846" s="2" t="s">
        <v>124</v>
      </c>
      <c r="D1846" s="2" t="s">
        <v>4238</v>
      </c>
      <c r="E1846" s="2" t="str">
        <f>"9781032845937"</f>
        <v>9781032845937</v>
      </c>
      <c r="F1846" s="2" t="str">
        <f>"9781003527268"</f>
        <v>9781003527268</v>
      </c>
    </row>
    <row r="1847" spans="1:6" s="3" customFormat="1" ht="29.1" customHeight="1" x14ac:dyDescent="0.25">
      <c r="A1847" s="2" t="s">
        <v>4240</v>
      </c>
      <c r="B1847" s="2" t="s">
        <v>4242</v>
      </c>
      <c r="C1847" s="2" t="s">
        <v>55</v>
      </c>
      <c r="D1847" s="2" t="s">
        <v>4241</v>
      </c>
      <c r="E1847" s="2" t="str">
        <f>"9781526157232"</f>
        <v>9781526157232</v>
      </c>
      <c r="F1847" s="2" t="str">
        <f>"9781526157225"</f>
        <v>9781526157225</v>
      </c>
    </row>
    <row r="1848" spans="1:6" s="3" customFormat="1" ht="29.1" customHeight="1" x14ac:dyDescent="0.25">
      <c r="A1848" s="2" t="s">
        <v>4243</v>
      </c>
      <c r="B1848" s="2" t="s">
        <v>4245</v>
      </c>
      <c r="C1848" s="2" t="s">
        <v>55</v>
      </c>
      <c r="D1848" s="2" t="s">
        <v>4244</v>
      </c>
      <c r="E1848" s="2" t="str">
        <f>"9781526183477"</f>
        <v>9781526183477</v>
      </c>
      <c r="F1848" s="2" t="str">
        <f>"9781526183460"</f>
        <v>9781526183460</v>
      </c>
    </row>
    <row r="1849" spans="1:6" s="3" customFormat="1" ht="29.1" customHeight="1" x14ac:dyDescent="0.25">
      <c r="A1849" s="2" t="s">
        <v>4246</v>
      </c>
      <c r="B1849" s="2" t="s">
        <v>4247</v>
      </c>
      <c r="C1849" s="2" t="s">
        <v>2188</v>
      </c>
      <c r="D1849" s="2" t="s">
        <v>9</v>
      </c>
      <c r="E1849" s="2" t="str">
        <f>"9788323244592"</f>
        <v>9788323244592</v>
      </c>
      <c r="F1849" s="2" t="str">
        <f>"9788323244608"</f>
        <v>9788323244608</v>
      </c>
    </row>
    <row r="1850" spans="1:6" s="3" customFormat="1" ht="29.1" customHeight="1" x14ac:dyDescent="0.25">
      <c r="A1850" s="2" t="s">
        <v>4248</v>
      </c>
      <c r="B1850" s="2" t="s">
        <v>4249</v>
      </c>
      <c r="C1850" s="2" t="s">
        <v>2188</v>
      </c>
      <c r="D1850" s="2" t="s">
        <v>210</v>
      </c>
      <c r="E1850" s="2" t="str">
        <f>"9788323244172"</f>
        <v>9788323244172</v>
      </c>
      <c r="F1850" s="2" t="str">
        <f>"9788323244189"</f>
        <v>9788323244189</v>
      </c>
    </row>
    <row r="1851" spans="1:6" s="3" customFormat="1" ht="29.1" customHeight="1" x14ac:dyDescent="0.25">
      <c r="A1851" s="2" t="s">
        <v>4250</v>
      </c>
      <c r="B1851" s="2" t="s">
        <v>4251</v>
      </c>
      <c r="C1851" s="2" t="s">
        <v>5</v>
      </c>
      <c r="D1851" s="2" t="s">
        <v>89</v>
      </c>
      <c r="E1851" s="2" t="str">
        <f>"9783031840210"</f>
        <v>9783031840210</v>
      </c>
      <c r="F1851" s="2" t="str">
        <f>"9783031840227"</f>
        <v>9783031840227</v>
      </c>
    </row>
    <row r="1852" spans="1:6" s="3" customFormat="1" ht="29.1" customHeight="1" x14ac:dyDescent="0.25">
      <c r="A1852" s="2" t="s">
        <v>4252</v>
      </c>
      <c r="B1852" s="2" t="s">
        <v>4254</v>
      </c>
      <c r="C1852" s="2" t="s">
        <v>5</v>
      </c>
      <c r="D1852" s="2" t="s">
        <v>4253</v>
      </c>
      <c r="E1852" s="2" t="str">
        <f>"9783031971662"</f>
        <v>9783031971662</v>
      </c>
      <c r="F1852" s="2" t="str">
        <f>"9783031971679"</f>
        <v>9783031971679</v>
      </c>
    </row>
    <row r="1853" spans="1:6" s="3" customFormat="1" ht="29.1" customHeight="1" x14ac:dyDescent="0.25">
      <c r="A1853" s="2" t="s">
        <v>4255</v>
      </c>
      <c r="B1853" s="2" t="s">
        <v>4256</v>
      </c>
      <c r="C1853" s="2" t="s">
        <v>264</v>
      </c>
      <c r="D1853" s="2" t="s">
        <v>1959</v>
      </c>
      <c r="E1853" s="2" t="str">
        <f>"9781041068242"</f>
        <v>9781041068242</v>
      </c>
      <c r="F1853" s="2" t="str">
        <f>"9781003637349"</f>
        <v>9781003637349</v>
      </c>
    </row>
    <row r="1854" spans="1:6" s="3" customFormat="1" ht="29.1" customHeight="1" x14ac:dyDescent="0.25">
      <c r="A1854" s="2" t="s">
        <v>4257</v>
      </c>
      <c r="B1854" s="2" t="s">
        <v>4258</v>
      </c>
      <c r="C1854" s="2" t="s">
        <v>5</v>
      </c>
      <c r="D1854" s="2" t="s">
        <v>334</v>
      </c>
      <c r="E1854" s="2" t="str">
        <f>"9783031690303"</f>
        <v>9783031690303</v>
      </c>
      <c r="F1854" s="2" t="str">
        <f>"9783031690310"</f>
        <v>9783031690310</v>
      </c>
    </row>
    <row r="1855" spans="1:6" s="3" customFormat="1" ht="29.1" customHeight="1" x14ac:dyDescent="0.25">
      <c r="A1855" s="2" t="s">
        <v>4259</v>
      </c>
      <c r="B1855" s="2" t="s">
        <v>4260</v>
      </c>
      <c r="C1855" s="2" t="s">
        <v>5</v>
      </c>
      <c r="D1855" s="2" t="s">
        <v>650</v>
      </c>
      <c r="E1855" s="2" t="str">
        <f>"9789464637670"</f>
        <v>9789464637670</v>
      </c>
      <c r="F1855" s="2" t="str">
        <f>"9789464637687"</f>
        <v>9789464637687</v>
      </c>
    </row>
    <row r="1856" spans="1:6" s="3" customFormat="1" ht="29.1" customHeight="1" x14ac:dyDescent="0.25">
      <c r="A1856" s="2" t="s">
        <v>4261</v>
      </c>
      <c r="B1856" s="2" t="s">
        <v>4263</v>
      </c>
      <c r="C1856" s="2" t="s">
        <v>5</v>
      </c>
      <c r="D1856" s="2" t="s">
        <v>4262</v>
      </c>
      <c r="E1856" s="2" t="str">
        <f>"9789819791194"</f>
        <v>9789819791194</v>
      </c>
      <c r="F1856" s="2" t="str">
        <f>"9789819791200"</f>
        <v>9789819791200</v>
      </c>
    </row>
    <row r="1857" spans="1:6" s="3" customFormat="1" ht="29.1" customHeight="1" x14ac:dyDescent="0.25">
      <c r="A1857" s="2" t="s">
        <v>4264</v>
      </c>
      <c r="B1857" s="2" t="s">
        <v>4265</v>
      </c>
      <c r="C1857" s="2" t="s">
        <v>927</v>
      </c>
      <c r="D1857" s="2" t="s">
        <v>297</v>
      </c>
      <c r="E1857" s="2" t="str">
        <f>"9780472057566"</f>
        <v>9780472057566</v>
      </c>
      <c r="F1857" s="2" t="str">
        <f>"9780472905126"</f>
        <v>9780472905126</v>
      </c>
    </row>
    <row r="1858" spans="1:6" s="3" customFormat="1" ht="29.1" customHeight="1" x14ac:dyDescent="0.25">
      <c r="A1858" s="2" t="s">
        <v>4266</v>
      </c>
      <c r="B1858" s="2" t="s">
        <v>4267</v>
      </c>
      <c r="C1858" s="2" t="s">
        <v>927</v>
      </c>
      <c r="D1858" s="2" t="s">
        <v>297</v>
      </c>
      <c r="E1858" s="2" t="str">
        <f>"9780472057580"</f>
        <v>9780472057580</v>
      </c>
      <c r="F1858" s="2" t="str">
        <f>"9780472905140"</f>
        <v>9780472905140</v>
      </c>
    </row>
    <row r="1859" spans="1:6" s="3" customFormat="1" ht="29.1" customHeight="1" x14ac:dyDescent="0.25">
      <c r="A1859" s="2" t="s">
        <v>4268</v>
      </c>
      <c r="B1859" s="2" t="s">
        <v>4271</v>
      </c>
      <c r="C1859" s="2" t="s">
        <v>4269</v>
      </c>
      <c r="D1859" s="2" t="s">
        <v>4270</v>
      </c>
      <c r="E1859" s="2"/>
      <c r="F1859" s="2" t="str">
        <f>"9786256276277"</f>
        <v>9786256276277</v>
      </c>
    </row>
    <row r="1860" spans="1:6" s="3" customFormat="1" ht="29.1" customHeight="1" x14ac:dyDescent="0.25">
      <c r="A1860" s="2" t="s">
        <v>4272</v>
      </c>
      <c r="B1860" s="2" t="s">
        <v>4274</v>
      </c>
      <c r="C1860" s="2" t="s">
        <v>195</v>
      </c>
      <c r="D1860" s="2" t="s">
        <v>4273</v>
      </c>
      <c r="E1860" s="2" t="str">
        <f>"9783111001630"</f>
        <v>9783111001630</v>
      </c>
      <c r="F1860" s="2" t="str">
        <f>"9783111001647"</f>
        <v>9783111001647</v>
      </c>
    </row>
    <row r="1861" spans="1:6" s="3" customFormat="1" ht="29.1" customHeight="1" x14ac:dyDescent="0.25">
      <c r="A1861" s="2" t="s">
        <v>4276</v>
      </c>
      <c r="B1861" s="2" t="s">
        <v>4277</v>
      </c>
      <c r="C1861" s="2" t="s">
        <v>29</v>
      </c>
      <c r="D1861" s="2" t="s">
        <v>462</v>
      </c>
      <c r="E1861" s="2" t="str">
        <f>"9789004731288"</f>
        <v>9789004731288</v>
      </c>
      <c r="F1861" s="2" t="str">
        <f>"9789004731301"</f>
        <v>9789004731301</v>
      </c>
    </row>
    <row r="1862" spans="1:6" s="3" customFormat="1" ht="29.1" customHeight="1" x14ac:dyDescent="0.25">
      <c r="A1862" s="2" t="s">
        <v>4278</v>
      </c>
      <c r="B1862" s="2" t="s">
        <v>4279</v>
      </c>
      <c r="C1862" s="2" t="s">
        <v>29</v>
      </c>
      <c r="D1862" s="2" t="s">
        <v>9</v>
      </c>
      <c r="E1862" s="2" t="str">
        <f>"9789004737938"</f>
        <v>9789004737938</v>
      </c>
      <c r="F1862" s="2" t="str">
        <f>"9789004737945"</f>
        <v>9789004737945</v>
      </c>
    </row>
    <row r="1863" spans="1:6" s="3" customFormat="1" ht="29.1" customHeight="1" x14ac:dyDescent="0.25">
      <c r="A1863" s="2" t="s">
        <v>4280</v>
      </c>
      <c r="B1863" s="2" t="s">
        <v>4281</v>
      </c>
      <c r="C1863" s="2" t="s">
        <v>29</v>
      </c>
      <c r="D1863" s="2" t="s">
        <v>183</v>
      </c>
      <c r="E1863" s="2" t="str">
        <f>"9789004731936"</f>
        <v>9789004731936</v>
      </c>
      <c r="F1863" s="2" t="str">
        <f>"9789004731943"</f>
        <v>9789004731943</v>
      </c>
    </row>
    <row r="1864" spans="1:6" s="3" customFormat="1" ht="29.1" customHeight="1" x14ac:dyDescent="0.25">
      <c r="A1864" s="2" t="s">
        <v>4282</v>
      </c>
      <c r="B1864" s="2" t="s">
        <v>4284</v>
      </c>
      <c r="C1864" s="2" t="s">
        <v>124</v>
      </c>
      <c r="D1864" s="2" t="s">
        <v>4283</v>
      </c>
      <c r="E1864" s="2" t="str">
        <f>"9781041032953"</f>
        <v>9781041032953</v>
      </c>
      <c r="F1864" s="2" t="str">
        <f>"9781003623229"</f>
        <v>9781003623229</v>
      </c>
    </row>
    <row r="1865" spans="1:6" s="3" customFormat="1" ht="29.1" customHeight="1" x14ac:dyDescent="0.25">
      <c r="A1865" s="2" t="s">
        <v>4285</v>
      </c>
      <c r="B1865" s="2" t="s">
        <v>4286</v>
      </c>
      <c r="C1865" s="2" t="s">
        <v>124</v>
      </c>
      <c r="D1865" s="2" t="s">
        <v>758</v>
      </c>
      <c r="E1865" s="2" t="str">
        <f>"9781032645247"</f>
        <v>9781032645247</v>
      </c>
      <c r="F1865" s="2" t="str">
        <f>"9781032650159"</f>
        <v>9781032650159</v>
      </c>
    </row>
    <row r="1866" spans="1:6" s="3" customFormat="1" ht="29.1" customHeight="1" x14ac:dyDescent="0.25">
      <c r="A1866" s="2" t="s">
        <v>4287</v>
      </c>
      <c r="B1866" s="2" t="s">
        <v>4289</v>
      </c>
      <c r="C1866" s="2" t="s">
        <v>4269</v>
      </c>
      <c r="D1866" s="2" t="s">
        <v>4288</v>
      </c>
      <c r="E1866" s="2"/>
      <c r="F1866" s="2" t="str">
        <f>"9786256276284"</f>
        <v>9786256276284</v>
      </c>
    </row>
    <row r="1867" spans="1:6" s="3" customFormat="1" ht="29.1" customHeight="1" x14ac:dyDescent="0.25">
      <c r="A1867" s="2" t="s">
        <v>4290</v>
      </c>
      <c r="B1867" s="2" t="s">
        <v>4292</v>
      </c>
      <c r="C1867" s="2" t="s">
        <v>149</v>
      </c>
      <c r="D1867" s="2" t="s">
        <v>4291</v>
      </c>
      <c r="E1867" s="2" t="str">
        <f>"9781805116271"</f>
        <v>9781805116271</v>
      </c>
      <c r="F1867" s="2" t="str">
        <f>"9781805116295"</f>
        <v>9781805116295</v>
      </c>
    </row>
    <row r="1868" spans="1:6" s="3" customFormat="1" ht="29.1" customHeight="1" x14ac:dyDescent="0.25">
      <c r="A1868" s="2" t="s">
        <v>4293</v>
      </c>
      <c r="B1868" s="2" t="s">
        <v>4295</v>
      </c>
      <c r="C1868" s="2" t="s">
        <v>36</v>
      </c>
      <c r="D1868" s="2" t="s">
        <v>4294</v>
      </c>
      <c r="E1868" s="2" t="str">
        <f>"9781447366522"</f>
        <v>9781447366522</v>
      </c>
      <c r="F1868" s="2" t="str">
        <f>"9781447366546"</f>
        <v>9781447366546</v>
      </c>
    </row>
    <row r="1869" spans="1:6" s="3" customFormat="1" ht="29.1" customHeight="1" x14ac:dyDescent="0.25">
      <c r="A1869" s="2" t="s">
        <v>4296</v>
      </c>
      <c r="B1869" s="2" t="s">
        <v>4297</v>
      </c>
      <c r="C1869" s="2" t="s">
        <v>36</v>
      </c>
      <c r="D1869" s="2" t="s">
        <v>4002</v>
      </c>
      <c r="E1869" s="2"/>
      <c r="F1869" s="2" t="str">
        <f>"9781529232912"</f>
        <v>9781529232912</v>
      </c>
    </row>
    <row r="1870" spans="1:6" s="3" customFormat="1" ht="29.1" customHeight="1" x14ac:dyDescent="0.25">
      <c r="A1870" s="2" t="s">
        <v>4298</v>
      </c>
      <c r="B1870" s="2" t="s">
        <v>4299</v>
      </c>
      <c r="C1870" s="2" t="s">
        <v>5</v>
      </c>
      <c r="D1870" s="2" t="s">
        <v>44</v>
      </c>
      <c r="E1870" s="2" t="str">
        <f>"9789464637816"</f>
        <v>9789464637816</v>
      </c>
      <c r="F1870" s="2" t="str">
        <f>"9789464637823"</f>
        <v>9789464637823</v>
      </c>
    </row>
    <row r="1871" spans="1:6" s="3" customFormat="1" ht="29.1" customHeight="1" x14ac:dyDescent="0.25">
      <c r="A1871" s="2" t="s">
        <v>4300</v>
      </c>
      <c r="B1871" s="2" t="s">
        <v>4301</v>
      </c>
      <c r="C1871" s="2" t="s">
        <v>5</v>
      </c>
      <c r="D1871" s="2" t="s">
        <v>30</v>
      </c>
      <c r="E1871" s="2" t="str">
        <f>"9783031857232"</f>
        <v>9783031857232</v>
      </c>
      <c r="F1871" s="2" t="str">
        <f>"9783031857249"</f>
        <v>9783031857249</v>
      </c>
    </row>
    <row r="1872" spans="1:6" s="3" customFormat="1" ht="29.1" customHeight="1" x14ac:dyDescent="0.25">
      <c r="A1872" s="2" t="s">
        <v>4302</v>
      </c>
      <c r="B1872" s="2" t="s">
        <v>4303</v>
      </c>
      <c r="C1872" s="2" t="s">
        <v>746</v>
      </c>
      <c r="D1872" s="2" t="s">
        <v>3130</v>
      </c>
      <c r="E1872" s="2" t="str">
        <f>"9781803278254"</f>
        <v>9781803278254</v>
      </c>
      <c r="F1872" s="2" t="str">
        <f>"9781803278261"</f>
        <v>9781803278261</v>
      </c>
    </row>
    <row r="1873" spans="1:6" s="3" customFormat="1" ht="29.1" customHeight="1" x14ac:dyDescent="0.25">
      <c r="A1873" s="2" t="s">
        <v>4304</v>
      </c>
      <c r="B1873" s="2" t="s">
        <v>4305</v>
      </c>
      <c r="C1873" s="2" t="s">
        <v>746</v>
      </c>
      <c r="D1873" s="2" t="s">
        <v>913</v>
      </c>
      <c r="E1873" s="2" t="str">
        <f>"9781803279756"</f>
        <v>9781803279756</v>
      </c>
      <c r="F1873" s="2" t="str">
        <f>"9781803279763"</f>
        <v>9781803279763</v>
      </c>
    </row>
    <row r="1874" spans="1:6" s="3" customFormat="1" ht="29.1" customHeight="1" x14ac:dyDescent="0.25">
      <c r="A1874" s="2" t="s">
        <v>4306</v>
      </c>
      <c r="B1874" s="2" t="s">
        <v>4308</v>
      </c>
      <c r="C1874" s="2" t="s">
        <v>746</v>
      </c>
      <c r="D1874" s="2" t="s">
        <v>4307</v>
      </c>
      <c r="E1874" s="2" t="str">
        <f>"9781805830726"</f>
        <v>9781805830726</v>
      </c>
      <c r="F1874" s="2" t="str">
        <f>"9781805830733"</f>
        <v>9781805830733</v>
      </c>
    </row>
    <row r="1875" spans="1:6" s="3" customFormat="1" ht="29.1" customHeight="1" x14ac:dyDescent="0.25">
      <c r="A1875" s="2" t="s">
        <v>4309</v>
      </c>
      <c r="B1875" s="2" t="s">
        <v>4310</v>
      </c>
      <c r="C1875" s="2" t="s">
        <v>149</v>
      </c>
      <c r="D1875" s="2" t="s">
        <v>553</v>
      </c>
      <c r="E1875" s="2" t="str">
        <f>"9781805115717"</f>
        <v>9781805115717</v>
      </c>
      <c r="F1875" s="2" t="str">
        <f>"9781805115731"</f>
        <v>9781805115731</v>
      </c>
    </row>
    <row r="1876" spans="1:6" s="3" customFormat="1" ht="29.1" customHeight="1" x14ac:dyDescent="0.25">
      <c r="A1876" s="2" t="s">
        <v>4311</v>
      </c>
      <c r="B1876" s="2" t="s">
        <v>4312</v>
      </c>
      <c r="C1876" s="2" t="s">
        <v>149</v>
      </c>
      <c r="D1876" s="2" t="s">
        <v>1262</v>
      </c>
      <c r="E1876" s="2" t="str">
        <f>"9781805115434"</f>
        <v>9781805115434</v>
      </c>
      <c r="F1876" s="2" t="str">
        <f>"9781805115458"</f>
        <v>9781805115458</v>
      </c>
    </row>
    <row r="1877" spans="1:6" s="3" customFormat="1" ht="29.1" customHeight="1" x14ac:dyDescent="0.25">
      <c r="A1877" s="2" t="s">
        <v>4313</v>
      </c>
      <c r="B1877" s="2" t="s">
        <v>4314</v>
      </c>
      <c r="C1877" s="2" t="s">
        <v>149</v>
      </c>
      <c r="D1877" s="2" t="s">
        <v>1198</v>
      </c>
      <c r="E1877" s="2" t="str">
        <f>"9781685711924"</f>
        <v>9781685711924</v>
      </c>
      <c r="F1877" s="2" t="str">
        <f>"9781685711931"</f>
        <v>9781685711931</v>
      </c>
    </row>
    <row r="1878" spans="1:6" s="3" customFormat="1" ht="29.1" customHeight="1" x14ac:dyDescent="0.25">
      <c r="A1878" s="2" t="s">
        <v>58</v>
      </c>
      <c r="B1878" s="2"/>
      <c r="C1878" s="2" t="s">
        <v>59</v>
      </c>
      <c r="D1878" s="2" t="s">
        <v>60</v>
      </c>
      <c r="E1878" s="2"/>
      <c r="F1878" s="2" t="str">
        <f>"9782759241026"</f>
        <v>9782759241026</v>
      </c>
    </row>
    <row r="1879" spans="1:6" s="3" customFormat="1" ht="29.1" customHeight="1" x14ac:dyDescent="0.25">
      <c r="A1879" s="2" t="s">
        <v>4315</v>
      </c>
      <c r="B1879" s="2"/>
      <c r="C1879" s="2" t="s">
        <v>59</v>
      </c>
      <c r="D1879" s="2" t="s">
        <v>2361</v>
      </c>
      <c r="E1879" s="2"/>
      <c r="F1879" s="2" t="str">
        <f>"9782759240272"</f>
        <v>9782759240272</v>
      </c>
    </row>
    <row r="1880" spans="1:6" s="3" customFormat="1" ht="29.1" customHeight="1" x14ac:dyDescent="0.25">
      <c r="A1880" s="2" t="s">
        <v>4316</v>
      </c>
      <c r="B1880" s="2" t="s">
        <v>4317</v>
      </c>
      <c r="C1880" s="2" t="s">
        <v>124</v>
      </c>
      <c r="D1880" s="2" t="s">
        <v>509</v>
      </c>
      <c r="E1880" s="2" t="str">
        <f>"9781032894331"</f>
        <v>9781032894331</v>
      </c>
      <c r="F1880" s="2" t="str">
        <f>"9781003542841"</f>
        <v>9781003542841</v>
      </c>
    </row>
    <row r="1881" spans="1:6" s="3" customFormat="1" ht="29.1" customHeight="1" x14ac:dyDescent="0.25">
      <c r="A1881" s="2" t="s">
        <v>4318</v>
      </c>
      <c r="B1881" s="2" t="s">
        <v>3627</v>
      </c>
      <c r="C1881" s="2" t="s">
        <v>5</v>
      </c>
      <c r="D1881" s="2" t="s">
        <v>270</v>
      </c>
      <c r="E1881" s="2" t="str">
        <f>"9782384764419"</f>
        <v>9782384764419</v>
      </c>
      <c r="F1881" s="2" t="str">
        <f>"9782384764426"</f>
        <v>9782384764426</v>
      </c>
    </row>
    <row r="1882" spans="1:6" s="3" customFormat="1" ht="29.1" customHeight="1" x14ac:dyDescent="0.25">
      <c r="A1882" s="2" t="s">
        <v>4319</v>
      </c>
      <c r="B1882" s="2" t="s">
        <v>4320</v>
      </c>
      <c r="C1882" s="2" t="s">
        <v>5</v>
      </c>
      <c r="D1882" s="2" t="s">
        <v>490</v>
      </c>
      <c r="E1882" s="2" t="str">
        <f>"9789464637755"</f>
        <v>9789464637755</v>
      </c>
      <c r="F1882" s="2" t="str">
        <f>"9789464637762"</f>
        <v>9789464637762</v>
      </c>
    </row>
    <row r="1883" spans="1:6" s="3" customFormat="1" ht="29.1" customHeight="1" x14ac:dyDescent="0.25">
      <c r="A1883" s="2" t="s">
        <v>4321</v>
      </c>
      <c r="B1883" s="2" t="s">
        <v>4322</v>
      </c>
      <c r="C1883" s="2" t="s">
        <v>5</v>
      </c>
      <c r="D1883" s="2" t="s">
        <v>44</v>
      </c>
      <c r="E1883" s="2" t="str">
        <f>"9789464637793"</f>
        <v>9789464637793</v>
      </c>
      <c r="F1883" s="2" t="str">
        <f>"9789464637809"</f>
        <v>9789464637809</v>
      </c>
    </row>
    <row r="1884" spans="1:6" s="3" customFormat="1" ht="29.1" customHeight="1" x14ac:dyDescent="0.25">
      <c r="A1884" s="2" t="s">
        <v>4323</v>
      </c>
      <c r="B1884" s="2" t="s">
        <v>4324</v>
      </c>
      <c r="C1884" s="2" t="s">
        <v>5</v>
      </c>
      <c r="D1884" s="2" t="s">
        <v>9</v>
      </c>
      <c r="E1884" s="2" t="str">
        <f>"9782384764334"</f>
        <v>9782384764334</v>
      </c>
      <c r="F1884" s="2" t="str">
        <f>"9782384764341"</f>
        <v>9782384764341</v>
      </c>
    </row>
    <row r="1885" spans="1:6" s="3" customFormat="1" ht="29.1" customHeight="1" x14ac:dyDescent="0.25">
      <c r="A1885" s="2" t="s">
        <v>4325</v>
      </c>
      <c r="B1885" s="2" t="s">
        <v>360</v>
      </c>
      <c r="C1885" s="2" t="s">
        <v>5</v>
      </c>
      <c r="D1885" s="2" t="s">
        <v>141</v>
      </c>
      <c r="E1885" s="2" t="str">
        <f>"9789464637472"</f>
        <v>9789464637472</v>
      </c>
      <c r="F1885" s="2" t="str">
        <f>"9789464637489"</f>
        <v>9789464637489</v>
      </c>
    </row>
    <row r="1886" spans="1:6" s="3" customFormat="1" ht="29.1" customHeight="1" x14ac:dyDescent="0.25">
      <c r="A1886" s="2" t="s">
        <v>4326</v>
      </c>
      <c r="B1886" s="2" t="s">
        <v>4327</v>
      </c>
      <c r="C1886" s="2" t="s">
        <v>5</v>
      </c>
      <c r="D1886" s="2" t="s">
        <v>347</v>
      </c>
      <c r="E1886" s="2" t="str">
        <f>"9789464637595"</f>
        <v>9789464637595</v>
      </c>
      <c r="F1886" s="2" t="str">
        <f>"9789464637601"</f>
        <v>9789464637601</v>
      </c>
    </row>
    <row r="1887" spans="1:6" s="3" customFormat="1" ht="29.1" customHeight="1" x14ac:dyDescent="0.25">
      <c r="A1887" s="2" t="s">
        <v>4328</v>
      </c>
      <c r="B1887" s="2" t="s">
        <v>4329</v>
      </c>
      <c r="C1887" s="2" t="s">
        <v>5</v>
      </c>
      <c r="D1887" s="2" t="s">
        <v>141</v>
      </c>
      <c r="E1887" s="2" t="str">
        <f>"9789464637779"</f>
        <v>9789464637779</v>
      </c>
      <c r="F1887" s="2" t="str">
        <f>"9789464637786"</f>
        <v>9789464637786</v>
      </c>
    </row>
    <row r="1888" spans="1:6" s="3" customFormat="1" ht="29.1" customHeight="1" x14ac:dyDescent="0.25">
      <c r="A1888" s="2" t="s">
        <v>4330</v>
      </c>
      <c r="B1888" s="2" t="s">
        <v>4331</v>
      </c>
      <c r="C1888" s="2" t="s">
        <v>5</v>
      </c>
      <c r="D1888" s="2" t="s">
        <v>431</v>
      </c>
      <c r="E1888" s="2" t="str">
        <f>"9783662704820"</f>
        <v>9783662704820</v>
      </c>
      <c r="F1888" s="2" t="str">
        <f>"9783662704837"</f>
        <v>9783662704837</v>
      </c>
    </row>
    <row r="1889" spans="1:6" s="3" customFormat="1" ht="29.1" customHeight="1" x14ac:dyDescent="0.25">
      <c r="A1889" s="2" t="s">
        <v>4332</v>
      </c>
      <c r="B1889" s="2" t="s">
        <v>4333</v>
      </c>
      <c r="C1889" s="2" t="s">
        <v>5</v>
      </c>
      <c r="D1889" s="2" t="s">
        <v>2178</v>
      </c>
      <c r="E1889" s="2" t="str">
        <f>"9789819633951"</f>
        <v>9789819633951</v>
      </c>
      <c r="F1889" s="2" t="str">
        <f>"9789819633968"</f>
        <v>9789819633968</v>
      </c>
    </row>
    <row r="1890" spans="1:6" s="3" customFormat="1" ht="29.1" customHeight="1" x14ac:dyDescent="0.25">
      <c r="A1890" s="2" t="s">
        <v>4334</v>
      </c>
      <c r="B1890" s="2" t="s">
        <v>4335</v>
      </c>
      <c r="C1890" s="2" t="s">
        <v>5</v>
      </c>
      <c r="D1890" s="2" t="s">
        <v>302</v>
      </c>
      <c r="E1890" s="2" t="str">
        <f>"9783031939679"</f>
        <v>9783031939679</v>
      </c>
      <c r="F1890" s="2" t="str">
        <f>"9783031939686"</f>
        <v>9783031939686</v>
      </c>
    </row>
    <row r="1891" spans="1:6" s="3" customFormat="1" ht="29.1" customHeight="1" x14ac:dyDescent="0.25">
      <c r="A1891" s="2" t="s">
        <v>4336</v>
      </c>
      <c r="B1891" s="2" t="s">
        <v>4337</v>
      </c>
      <c r="C1891" s="2" t="s">
        <v>5</v>
      </c>
      <c r="D1891" s="2" t="s">
        <v>547</v>
      </c>
      <c r="E1891" s="2" t="str">
        <f>"9783031770210"</f>
        <v>9783031770210</v>
      </c>
      <c r="F1891" s="2" t="str">
        <f>"9783031770227"</f>
        <v>9783031770227</v>
      </c>
    </row>
    <row r="1892" spans="1:6" s="3" customFormat="1" ht="29.1" customHeight="1" x14ac:dyDescent="0.25">
      <c r="A1892" s="2" t="s">
        <v>4338</v>
      </c>
      <c r="B1892" s="2" t="s">
        <v>4339</v>
      </c>
      <c r="C1892" s="2" t="s">
        <v>264</v>
      </c>
      <c r="D1892" s="2" t="s">
        <v>650</v>
      </c>
      <c r="E1892" s="2" t="str">
        <f>"9781032274966"</f>
        <v>9781032274966</v>
      </c>
      <c r="F1892" s="2" t="str">
        <f>"9781003293071"</f>
        <v>9781003293071</v>
      </c>
    </row>
    <row r="1893" spans="1:6" s="3" customFormat="1" ht="29.1" customHeight="1" x14ac:dyDescent="0.25">
      <c r="A1893" s="2" t="s">
        <v>4340</v>
      </c>
      <c r="B1893" s="2" t="s">
        <v>4342</v>
      </c>
      <c r="C1893" s="2" t="s">
        <v>264</v>
      </c>
      <c r="D1893" s="2" t="s">
        <v>4341</v>
      </c>
      <c r="E1893" s="2" t="str">
        <f>"9781041111399"</f>
        <v>9781041111399</v>
      </c>
      <c r="F1893" s="2" t="str">
        <f>"9781003658641"</f>
        <v>9781003658641</v>
      </c>
    </row>
    <row r="1894" spans="1:6" s="3" customFormat="1" ht="29.1" customHeight="1" x14ac:dyDescent="0.25">
      <c r="A1894" s="2" t="s">
        <v>4343</v>
      </c>
      <c r="B1894" s="2" t="s">
        <v>4344</v>
      </c>
      <c r="C1894" s="2" t="s">
        <v>5</v>
      </c>
      <c r="D1894" s="2" t="s">
        <v>3086</v>
      </c>
      <c r="E1894" s="2" t="str">
        <f>"9789819784134"</f>
        <v>9789819784134</v>
      </c>
      <c r="F1894" s="2" t="str">
        <f>"9789819784141"</f>
        <v>9789819784141</v>
      </c>
    </row>
    <row r="1895" spans="1:6" s="3" customFormat="1" ht="29.1" customHeight="1" x14ac:dyDescent="0.25">
      <c r="A1895" s="2" t="s">
        <v>4345</v>
      </c>
      <c r="B1895" s="2" t="s">
        <v>4346</v>
      </c>
      <c r="C1895" s="2" t="s">
        <v>5</v>
      </c>
      <c r="D1895" s="2" t="s">
        <v>689</v>
      </c>
      <c r="E1895" s="2" t="str">
        <f>"9789819625314"</f>
        <v>9789819625314</v>
      </c>
      <c r="F1895" s="2" t="str">
        <f>"9789819625321"</f>
        <v>9789819625321</v>
      </c>
    </row>
    <row r="1896" spans="1:6" s="3" customFormat="1" ht="29.1" customHeight="1" x14ac:dyDescent="0.25">
      <c r="A1896" s="2" t="s">
        <v>4347</v>
      </c>
      <c r="B1896" s="2" t="s">
        <v>4348</v>
      </c>
      <c r="C1896" s="2" t="s">
        <v>5</v>
      </c>
      <c r="D1896" s="2" t="s">
        <v>302</v>
      </c>
      <c r="E1896" s="2" t="str">
        <f>"9783031893377"</f>
        <v>9783031893377</v>
      </c>
      <c r="F1896" s="2" t="str">
        <f>"9783031893384"</f>
        <v>9783031893384</v>
      </c>
    </row>
    <row r="1897" spans="1:6" s="3" customFormat="1" ht="29.1" customHeight="1" x14ac:dyDescent="0.25">
      <c r="A1897" s="2" t="s">
        <v>4349</v>
      </c>
      <c r="B1897" s="2" t="s">
        <v>4350</v>
      </c>
      <c r="C1897" s="2" t="s">
        <v>124</v>
      </c>
      <c r="D1897" s="2" t="s">
        <v>858</v>
      </c>
      <c r="E1897" s="2" t="str">
        <f>"9781041026327"</f>
        <v>9781041026327</v>
      </c>
      <c r="F1897" s="2" t="str">
        <f>"9781003620297"</f>
        <v>9781003620297</v>
      </c>
    </row>
    <row r="1898" spans="1:6" s="3" customFormat="1" ht="29.1" customHeight="1" x14ac:dyDescent="0.25">
      <c r="A1898" s="2" t="s">
        <v>4351</v>
      </c>
      <c r="B1898" s="2" t="s">
        <v>4352</v>
      </c>
      <c r="C1898" s="2" t="s">
        <v>5</v>
      </c>
      <c r="D1898" s="2" t="s">
        <v>3304</v>
      </c>
      <c r="E1898" s="2" t="str">
        <f>"9789819677375"</f>
        <v>9789819677375</v>
      </c>
      <c r="F1898" s="2" t="str">
        <f>"9789819677382"</f>
        <v>9789819677382</v>
      </c>
    </row>
    <row r="1899" spans="1:6" s="3" customFormat="1" ht="29.1" customHeight="1" x14ac:dyDescent="0.25">
      <c r="A1899" s="2" t="s">
        <v>4353</v>
      </c>
      <c r="B1899" s="2" t="s">
        <v>4354</v>
      </c>
      <c r="C1899" s="2" t="s">
        <v>5</v>
      </c>
      <c r="D1899" s="2" t="s">
        <v>2168</v>
      </c>
      <c r="E1899" s="2" t="str">
        <f>"9783031886744"</f>
        <v>9783031886744</v>
      </c>
      <c r="F1899" s="2" t="str">
        <f>"9783031886751"</f>
        <v>9783031886751</v>
      </c>
    </row>
    <row r="1900" spans="1:6" s="3" customFormat="1" ht="29.1" customHeight="1" x14ac:dyDescent="0.25">
      <c r="A1900" s="2" t="s">
        <v>4355</v>
      </c>
      <c r="B1900" s="2" t="s">
        <v>4356</v>
      </c>
      <c r="C1900" s="2" t="s">
        <v>5</v>
      </c>
      <c r="D1900" s="2" t="s">
        <v>24</v>
      </c>
      <c r="E1900" s="2" t="str">
        <f>"9783031871351"</f>
        <v>9783031871351</v>
      </c>
      <c r="F1900" s="2" t="str">
        <f>"9783031871368"</f>
        <v>9783031871368</v>
      </c>
    </row>
    <row r="1901" spans="1:6" s="3" customFormat="1" ht="29.1" customHeight="1" x14ac:dyDescent="0.25">
      <c r="A1901" s="2" t="s">
        <v>4357</v>
      </c>
      <c r="B1901" s="2" t="s">
        <v>4358</v>
      </c>
      <c r="C1901" s="2" t="s">
        <v>5</v>
      </c>
      <c r="D1901" s="2" t="s">
        <v>459</v>
      </c>
      <c r="E1901" s="2" t="str">
        <f>"9783662707111"</f>
        <v>9783662707111</v>
      </c>
      <c r="F1901" s="2" t="str">
        <f>"9783662707128"</f>
        <v>9783662707128</v>
      </c>
    </row>
    <row r="1902" spans="1:6" s="3" customFormat="1" ht="29.1" customHeight="1" x14ac:dyDescent="0.25">
      <c r="A1902" s="2" t="s">
        <v>4359</v>
      </c>
      <c r="B1902" s="2" t="s">
        <v>4360</v>
      </c>
      <c r="C1902" s="2" t="s">
        <v>5</v>
      </c>
      <c r="D1902" s="2" t="s">
        <v>1463</v>
      </c>
      <c r="E1902" s="2" t="str">
        <f>"9783031902314"</f>
        <v>9783031902314</v>
      </c>
      <c r="F1902" s="2" t="str">
        <f>"9783031902321"</f>
        <v>9783031902321</v>
      </c>
    </row>
    <row r="1903" spans="1:6" s="3" customFormat="1" ht="29.1" customHeight="1" x14ac:dyDescent="0.25">
      <c r="A1903" s="2" t="s">
        <v>4361</v>
      </c>
      <c r="B1903" s="2" t="s">
        <v>4362</v>
      </c>
      <c r="C1903" s="2" t="s">
        <v>5</v>
      </c>
      <c r="D1903" s="2" t="s">
        <v>37</v>
      </c>
      <c r="E1903" s="2" t="str">
        <f>"9789819658749"</f>
        <v>9789819658749</v>
      </c>
      <c r="F1903" s="2" t="str">
        <f>"9789819658756"</f>
        <v>9789819658756</v>
      </c>
    </row>
    <row r="1904" spans="1:6" s="3" customFormat="1" ht="29.1" customHeight="1" x14ac:dyDescent="0.25">
      <c r="A1904" s="2" t="s">
        <v>4363</v>
      </c>
      <c r="B1904" s="2" t="s">
        <v>4364</v>
      </c>
      <c r="C1904" s="2" t="s">
        <v>5</v>
      </c>
      <c r="D1904" s="2" t="s">
        <v>52</v>
      </c>
      <c r="E1904" s="2" t="str">
        <f>"9783031841576"</f>
        <v>9783031841576</v>
      </c>
      <c r="F1904" s="2" t="str">
        <f>"9783031841583"</f>
        <v>9783031841583</v>
      </c>
    </row>
    <row r="1905" spans="1:6" s="3" customFormat="1" ht="29.1" customHeight="1" x14ac:dyDescent="0.25">
      <c r="A1905" s="2" t="s">
        <v>4365</v>
      </c>
      <c r="B1905" s="2" t="s">
        <v>4366</v>
      </c>
      <c r="C1905" s="2" t="s">
        <v>5</v>
      </c>
      <c r="D1905" s="2" t="s">
        <v>650</v>
      </c>
      <c r="E1905" s="2" t="str">
        <f>"9783031866043"</f>
        <v>9783031866043</v>
      </c>
      <c r="F1905" s="2" t="str">
        <f>"9783031866050"</f>
        <v>9783031866050</v>
      </c>
    </row>
    <row r="1906" spans="1:6" s="3" customFormat="1" ht="29.1" customHeight="1" x14ac:dyDescent="0.25">
      <c r="A1906" s="2" t="s">
        <v>4367</v>
      </c>
      <c r="B1906" s="2" t="s">
        <v>4369</v>
      </c>
      <c r="C1906" s="2" t="s">
        <v>5</v>
      </c>
      <c r="D1906" s="2" t="s">
        <v>4368</v>
      </c>
      <c r="E1906" s="2" t="str">
        <f>"9783031911668"</f>
        <v>9783031911668</v>
      </c>
      <c r="F1906" s="2" t="str">
        <f>"9783031911675"</f>
        <v>9783031911675</v>
      </c>
    </row>
    <row r="1907" spans="1:6" s="3" customFormat="1" ht="29.1" customHeight="1" x14ac:dyDescent="0.25">
      <c r="A1907" s="2" t="s">
        <v>4370</v>
      </c>
      <c r="B1907" s="2" t="s">
        <v>3575</v>
      </c>
      <c r="C1907" s="2" t="s">
        <v>2183</v>
      </c>
      <c r="D1907" s="2" t="s">
        <v>1801</v>
      </c>
      <c r="E1907" s="2" t="str">
        <f>"9781641891455"</f>
        <v>9781641891455</v>
      </c>
      <c r="F1907" s="2" t="str">
        <f>"9781641894616"</f>
        <v>9781641894616</v>
      </c>
    </row>
    <row r="1908" spans="1:6" s="3" customFormat="1" ht="29.1" customHeight="1" x14ac:dyDescent="0.25">
      <c r="A1908" s="2" t="s">
        <v>4371</v>
      </c>
      <c r="B1908" s="2" t="s">
        <v>4372</v>
      </c>
      <c r="C1908" s="2" t="s">
        <v>5</v>
      </c>
      <c r="D1908" s="2" t="s">
        <v>183</v>
      </c>
      <c r="E1908" s="2" t="str">
        <f>"9782384764358"</f>
        <v>9782384764358</v>
      </c>
      <c r="F1908" s="2" t="str">
        <f>"9782384764365"</f>
        <v>9782384764365</v>
      </c>
    </row>
    <row r="1909" spans="1:6" s="3" customFormat="1" ht="29.1" customHeight="1" x14ac:dyDescent="0.25">
      <c r="A1909" s="2" t="s">
        <v>4373</v>
      </c>
      <c r="B1909" s="2" t="s">
        <v>4374</v>
      </c>
      <c r="C1909" s="2" t="s">
        <v>5</v>
      </c>
      <c r="D1909" s="2" t="s">
        <v>650</v>
      </c>
      <c r="E1909" s="2" t="str">
        <f>"9789464637717"</f>
        <v>9789464637717</v>
      </c>
      <c r="F1909" s="2" t="str">
        <f>"9789464637724"</f>
        <v>9789464637724</v>
      </c>
    </row>
    <row r="1910" spans="1:6" s="3" customFormat="1" ht="29.1" customHeight="1" x14ac:dyDescent="0.25">
      <c r="A1910" s="2" t="s">
        <v>4375</v>
      </c>
      <c r="B1910" s="2" t="s">
        <v>4376</v>
      </c>
      <c r="C1910" s="2" t="s">
        <v>5</v>
      </c>
      <c r="D1910" s="2" t="s">
        <v>2902</v>
      </c>
      <c r="E1910" s="2" t="str">
        <f>"9783031960444"</f>
        <v>9783031960444</v>
      </c>
      <c r="F1910" s="2" t="str">
        <f>"9783031960451"</f>
        <v>9783031960451</v>
      </c>
    </row>
    <row r="1911" spans="1:6" s="3" customFormat="1" ht="29.1" customHeight="1" x14ac:dyDescent="0.25">
      <c r="A1911" s="2" t="s">
        <v>4377</v>
      </c>
      <c r="B1911" s="2" t="s">
        <v>4378</v>
      </c>
      <c r="C1911" s="2" t="s">
        <v>264</v>
      </c>
      <c r="D1911" s="2" t="s">
        <v>3817</v>
      </c>
      <c r="E1911" s="2" t="str">
        <f>"9781041050469"</f>
        <v>9781041050469</v>
      </c>
      <c r="F1911" s="2" t="str">
        <f>"9781003631125"</f>
        <v>9781003631125</v>
      </c>
    </row>
    <row r="1912" spans="1:6" s="3" customFormat="1" ht="29.1" customHeight="1" x14ac:dyDescent="0.25">
      <c r="A1912" s="2" t="s">
        <v>4379</v>
      </c>
      <c r="B1912" s="2" t="s">
        <v>4380</v>
      </c>
      <c r="C1912" s="2" t="s">
        <v>595</v>
      </c>
      <c r="D1912" s="2" t="s">
        <v>313</v>
      </c>
      <c r="E1912" s="2" t="str">
        <f>"9783631924327"</f>
        <v>9783631924327</v>
      </c>
      <c r="F1912" s="2" t="str">
        <f>"9783631924914"</f>
        <v>9783631924914</v>
      </c>
    </row>
    <row r="1913" spans="1:6" s="3" customFormat="1" ht="29.1" customHeight="1" x14ac:dyDescent="0.25">
      <c r="A1913" s="2" t="s">
        <v>4381</v>
      </c>
      <c r="B1913" s="2" t="s">
        <v>4382</v>
      </c>
      <c r="C1913" s="2" t="s">
        <v>55</v>
      </c>
      <c r="D1913" s="2" t="s">
        <v>78</v>
      </c>
      <c r="E1913" s="2" t="str">
        <f>"9781526177681"</f>
        <v>9781526177681</v>
      </c>
      <c r="F1913" s="2" t="str">
        <f>"9781526177674"</f>
        <v>9781526177674</v>
      </c>
    </row>
    <row r="1914" spans="1:6" s="3" customFormat="1" ht="29.1" customHeight="1" x14ac:dyDescent="0.25">
      <c r="A1914" s="2" t="s">
        <v>4383</v>
      </c>
      <c r="B1914" s="2" t="s">
        <v>4384</v>
      </c>
      <c r="C1914" s="2" t="s">
        <v>55</v>
      </c>
      <c r="D1914" s="2" t="s">
        <v>1189</v>
      </c>
      <c r="E1914" s="2" t="str">
        <f>"9781526166418"</f>
        <v>9781526166418</v>
      </c>
      <c r="F1914" s="2" t="str">
        <f>"9781526166401"</f>
        <v>9781526166401</v>
      </c>
    </row>
    <row r="1915" spans="1:6" s="3" customFormat="1" ht="29.1" customHeight="1" x14ac:dyDescent="0.25">
      <c r="A1915" s="2" t="s">
        <v>4385</v>
      </c>
      <c r="B1915" s="2" t="s">
        <v>4387</v>
      </c>
      <c r="C1915" s="2" t="s">
        <v>55</v>
      </c>
      <c r="D1915" s="2" t="s">
        <v>4386</v>
      </c>
      <c r="E1915" s="2" t="str">
        <f>"9781526167750"</f>
        <v>9781526167750</v>
      </c>
      <c r="F1915" s="2" t="str">
        <f>"9781526167743"</f>
        <v>9781526167743</v>
      </c>
    </row>
    <row r="1916" spans="1:6" s="3" customFormat="1" ht="29.1" customHeight="1" x14ac:dyDescent="0.25">
      <c r="A1916" s="2" t="s">
        <v>4388</v>
      </c>
      <c r="B1916" s="2" t="s">
        <v>4389</v>
      </c>
      <c r="C1916" s="2" t="s">
        <v>595</v>
      </c>
      <c r="D1916" s="2" t="s">
        <v>596</v>
      </c>
      <c r="E1916" s="2"/>
      <c r="F1916" s="2" t="str">
        <f>"9783631922354"</f>
        <v>9783631922354</v>
      </c>
    </row>
    <row r="1917" spans="1:6" s="3" customFormat="1" ht="29.1" customHeight="1" x14ac:dyDescent="0.25">
      <c r="A1917" s="2" t="s">
        <v>4390</v>
      </c>
      <c r="B1917" s="2" t="s">
        <v>4391</v>
      </c>
      <c r="C1917" s="2" t="s">
        <v>62</v>
      </c>
      <c r="D1917" s="2" t="s">
        <v>218</v>
      </c>
      <c r="E1917" s="2"/>
      <c r="F1917" s="2" t="str">
        <f>"9783944870533"</f>
        <v>9783944870533</v>
      </c>
    </row>
    <row r="1918" spans="1:6" s="3" customFormat="1" ht="29.1" customHeight="1" x14ac:dyDescent="0.25">
      <c r="A1918" s="2" t="s">
        <v>4392</v>
      </c>
      <c r="B1918" s="2" t="s">
        <v>4393</v>
      </c>
      <c r="C1918" s="2" t="s">
        <v>62</v>
      </c>
      <c r="D1918" s="2" t="s">
        <v>1565</v>
      </c>
      <c r="E1918" s="2" t="str">
        <f>"9783938400708"</f>
        <v>9783938400708</v>
      </c>
      <c r="F1918" s="2" t="str">
        <f>"9783944870335"</f>
        <v>9783944870335</v>
      </c>
    </row>
    <row r="1919" spans="1:6" s="3" customFormat="1" ht="29.1" customHeight="1" x14ac:dyDescent="0.25">
      <c r="A1919" s="2" t="s">
        <v>4394</v>
      </c>
      <c r="B1919" s="2" t="s">
        <v>4395</v>
      </c>
      <c r="C1919" s="2" t="s">
        <v>62</v>
      </c>
      <c r="D1919" s="2" t="s">
        <v>210</v>
      </c>
      <c r="E1919" s="2" t="str">
        <f>"9783938400920"</f>
        <v>9783938400920</v>
      </c>
      <c r="F1919" s="2" t="str">
        <f>"9783944870243"</f>
        <v>9783944870243</v>
      </c>
    </row>
    <row r="1920" spans="1:6" s="3" customFormat="1" ht="29.1" customHeight="1" x14ac:dyDescent="0.25">
      <c r="A1920" s="2" t="s">
        <v>4396</v>
      </c>
      <c r="B1920" s="2" t="s">
        <v>4397</v>
      </c>
      <c r="C1920" s="2" t="s">
        <v>62</v>
      </c>
      <c r="D1920" s="2" t="s">
        <v>210</v>
      </c>
      <c r="E1920" s="2"/>
      <c r="F1920" s="2" t="str">
        <f>"9783944870212"</f>
        <v>9783944870212</v>
      </c>
    </row>
    <row r="1921" spans="1:6" s="3" customFormat="1" ht="29.1" customHeight="1" x14ac:dyDescent="0.25">
      <c r="A1921" s="2" t="s">
        <v>4398</v>
      </c>
      <c r="B1921" s="2" t="s">
        <v>4399</v>
      </c>
      <c r="C1921" s="2" t="s">
        <v>62</v>
      </c>
      <c r="D1921" s="2" t="s">
        <v>210</v>
      </c>
      <c r="E1921" s="2"/>
      <c r="F1921" s="2" t="str">
        <f>"9783944870182"</f>
        <v>9783944870182</v>
      </c>
    </row>
    <row r="1922" spans="1:6" s="3" customFormat="1" ht="29.1" customHeight="1" x14ac:dyDescent="0.25">
      <c r="A1922" s="2" t="s">
        <v>4400</v>
      </c>
      <c r="B1922" s="2" t="s">
        <v>4401</v>
      </c>
      <c r="C1922" s="2" t="s">
        <v>62</v>
      </c>
      <c r="D1922" s="2" t="s">
        <v>210</v>
      </c>
      <c r="E1922" s="2"/>
      <c r="F1922" s="2" t="str">
        <f>"9783886404360"</f>
        <v>9783886404360</v>
      </c>
    </row>
    <row r="1923" spans="1:6" s="3" customFormat="1" ht="29.1" customHeight="1" x14ac:dyDescent="0.25">
      <c r="A1923" s="2" t="s">
        <v>4402</v>
      </c>
      <c r="B1923" s="2" t="s">
        <v>4403</v>
      </c>
      <c r="C1923" s="2" t="s">
        <v>62</v>
      </c>
      <c r="D1923" s="2" t="s">
        <v>509</v>
      </c>
      <c r="E1923" s="2"/>
      <c r="F1923" s="2" t="str">
        <f>"9783886404353"</f>
        <v>9783886404353</v>
      </c>
    </row>
    <row r="1924" spans="1:6" s="3" customFormat="1" ht="29.1" customHeight="1" x14ac:dyDescent="0.25">
      <c r="A1924" s="2" t="s">
        <v>4404</v>
      </c>
      <c r="B1924" s="2" t="s">
        <v>4405</v>
      </c>
      <c r="C1924" s="2" t="s">
        <v>62</v>
      </c>
      <c r="D1924" s="2" t="s">
        <v>509</v>
      </c>
      <c r="E1924" s="2" t="str">
        <f>"9783944870724"</f>
        <v>9783944870724</v>
      </c>
      <c r="F1924" s="2" t="str">
        <f>"9783886404346"</f>
        <v>9783886404346</v>
      </c>
    </row>
    <row r="1925" spans="1:6" s="3" customFormat="1" ht="29.1" customHeight="1" x14ac:dyDescent="0.25">
      <c r="A1925" s="2" t="s">
        <v>4406</v>
      </c>
      <c r="B1925" s="2" t="s">
        <v>4407</v>
      </c>
      <c r="C1925" s="2" t="s">
        <v>62</v>
      </c>
      <c r="D1925" s="2" t="s">
        <v>509</v>
      </c>
      <c r="E1925" s="2"/>
      <c r="F1925" s="2" t="str">
        <f>"9783886404339"</f>
        <v>9783886404339</v>
      </c>
    </row>
    <row r="1926" spans="1:6" s="3" customFormat="1" ht="29.1" customHeight="1" x14ac:dyDescent="0.25">
      <c r="A1926" s="2" t="s">
        <v>4408</v>
      </c>
      <c r="B1926" s="2" t="s">
        <v>4409</v>
      </c>
      <c r="C1926" s="2" t="s">
        <v>62</v>
      </c>
      <c r="D1926" s="2" t="s">
        <v>509</v>
      </c>
      <c r="E1926" s="2"/>
      <c r="F1926" s="2" t="str">
        <f>"9783886404322"</f>
        <v>9783886404322</v>
      </c>
    </row>
    <row r="1927" spans="1:6" s="3" customFormat="1" ht="29.1" customHeight="1" x14ac:dyDescent="0.25">
      <c r="A1927" s="2" t="s">
        <v>4410</v>
      </c>
      <c r="B1927" s="2" t="s">
        <v>4411</v>
      </c>
      <c r="C1927" s="2" t="s">
        <v>62</v>
      </c>
      <c r="D1927" s="2" t="s">
        <v>218</v>
      </c>
      <c r="E1927" s="2" t="str">
        <f>"9783944870656"</f>
        <v>9783944870656</v>
      </c>
      <c r="F1927" s="2" t="str">
        <f>"9783886404315"</f>
        <v>9783886404315</v>
      </c>
    </row>
    <row r="1928" spans="1:6" s="3" customFormat="1" ht="29.1" customHeight="1" x14ac:dyDescent="0.25">
      <c r="A1928" s="2" t="s">
        <v>4412</v>
      </c>
      <c r="B1928" s="2" t="s">
        <v>4413</v>
      </c>
      <c r="C1928" s="2" t="s">
        <v>62</v>
      </c>
      <c r="D1928" s="2" t="s">
        <v>210</v>
      </c>
      <c r="E1928" s="2"/>
      <c r="F1928" s="2" t="str">
        <f>"9783886404308"</f>
        <v>9783886404308</v>
      </c>
    </row>
    <row r="1929" spans="1:6" s="3" customFormat="1" ht="29.1" customHeight="1" x14ac:dyDescent="0.25">
      <c r="A1929" s="2" t="s">
        <v>4414</v>
      </c>
      <c r="B1929" s="2" t="s">
        <v>4416</v>
      </c>
      <c r="C1929" s="2" t="s">
        <v>62</v>
      </c>
      <c r="D1929" s="2" t="s">
        <v>4415</v>
      </c>
      <c r="E1929" s="2"/>
      <c r="F1929" s="2" t="str">
        <f>"9783886404292"</f>
        <v>9783886404292</v>
      </c>
    </row>
    <row r="1930" spans="1:6" s="3" customFormat="1" ht="29.1" customHeight="1" x14ac:dyDescent="0.25">
      <c r="A1930" s="2" t="s">
        <v>4417</v>
      </c>
      <c r="B1930" s="2" t="s">
        <v>4418</v>
      </c>
      <c r="C1930" s="2" t="s">
        <v>62</v>
      </c>
      <c r="D1930" s="2" t="s">
        <v>218</v>
      </c>
      <c r="E1930" s="2"/>
      <c r="F1930" s="2" t="str">
        <f>"9783886404285"</f>
        <v>9783886404285</v>
      </c>
    </row>
    <row r="1931" spans="1:6" s="3" customFormat="1" ht="29.1" customHeight="1" x14ac:dyDescent="0.25">
      <c r="A1931" s="2" t="s">
        <v>4419</v>
      </c>
      <c r="B1931" s="2" t="s">
        <v>4420</v>
      </c>
      <c r="C1931" s="2" t="s">
        <v>62</v>
      </c>
      <c r="D1931" s="2" t="s">
        <v>218</v>
      </c>
      <c r="E1931" s="2" t="str">
        <f>"9783944870380"</f>
        <v>9783944870380</v>
      </c>
      <c r="F1931" s="2" t="str">
        <f>"9783886404278"</f>
        <v>9783886404278</v>
      </c>
    </row>
    <row r="1932" spans="1:6" s="3" customFormat="1" ht="29.1" customHeight="1" x14ac:dyDescent="0.25">
      <c r="A1932" s="2" t="s">
        <v>4421</v>
      </c>
      <c r="B1932" s="2" t="s">
        <v>4423</v>
      </c>
      <c r="C1932" s="2" t="s">
        <v>62</v>
      </c>
      <c r="D1932" s="2" t="s">
        <v>4422</v>
      </c>
      <c r="E1932" s="2"/>
      <c r="F1932" s="2" t="str">
        <f>"9783886404261"</f>
        <v>9783886404261</v>
      </c>
    </row>
    <row r="1933" spans="1:6" s="3" customFormat="1" ht="29.1" customHeight="1" x14ac:dyDescent="0.25">
      <c r="A1933" s="2" t="s">
        <v>4424</v>
      </c>
      <c r="B1933" s="2" t="s">
        <v>4425</v>
      </c>
      <c r="C1933" s="2" t="s">
        <v>62</v>
      </c>
      <c r="D1933" s="2" t="s">
        <v>210</v>
      </c>
      <c r="E1933" s="2"/>
      <c r="F1933" s="2" t="str">
        <f>"9783886404254"</f>
        <v>9783886404254</v>
      </c>
    </row>
    <row r="1934" spans="1:6" s="3" customFormat="1" ht="29.1" customHeight="1" x14ac:dyDescent="0.25">
      <c r="A1934" s="2" t="s">
        <v>4426</v>
      </c>
      <c r="B1934" s="2" t="s">
        <v>4427</v>
      </c>
      <c r="C1934" s="2" t="s">
        <v>62</v>
      </c>
      <c r="D1934" s="2" t="s">
        <v>210</v>
      </c>
      <c r="E1934" s="2"/>
      <c r="F1934" s="2" t="str">
        <f>"9783886404247"</f>
        <v>9783886404247</v>
      </c>
    </row>
    <row r="1935" spans="1:6" s="3" customFormat="1" ht="29.1" customHeight="1" x14ac:dyDescent="0.25">
      <c r="A1935" s="2" t="s">
        <v>4428</v>
      </c>
      <c r="B1935" s="2" t="s">
        <v>4416</v>
      </c>
      <c r="C1935" s="2" t="s">
        <v>62</v>
      </c>
      <c r="D1935" s="2" t="s">
        <v>4429</v>
      </c>
      <c r="E1935" s="2"/>
      <c r="F1935" s="2" t="str">
        <f>"9783886404230"</f>
        <v>9783886404230</v>
      </c>
    </row>
    <row r="1936" spans="1:6" s="3" customFormat="1" ht="29.1" customHeight="1" x14ac:dyDescent="0.25">
      <c r="A1936" s="2" t="s">
        <v>4430</v>
      </c>
      <c r="B1936" s="2" t="s">
        <v>4431</v>
      </c>
      <c r="C1936" s="2" t="s">
        <v>62</v>
      </c>
      <c r="D1936" s="2" t="s">
        <v>218</v>
      </c>
      <c r="E1936" s="2"/>
      <c r="F1936" s="2" t="str">
        <f>"9783886404223"</f>
        <v>9783886404223</v>
      </c>
    </row>
    <row r="1937" spans="1:6" s="3" customFormat="1" ht="29.1" customHeight="1" x14ac:dyDescent="0.25">
      <c r="A1937" s="2" t="s">
        <v>4432</v>
      </c>
      <c r="B1937" s="2" t="s">
        <v>4433</v>
      </c>
      <c r="C1937" s="2" t="s">
        <v>62</v>
      </c>
      <c r="D1937" s="2" t="s">
        <v>509</v>
      </c>
      <c r="E1937" s="2"/>
      <c r="F1937" s="2" t="str">
        <f>"9783886404216"</f>
        <v>9783886404216</v>
      </c>
    </row>
    <row r="1938" spans="1:6" s="3" customFormat="1" ht="29.1" customHeight="1" x14ac:dyDescent="0.25">
      <c r="A1938" s="2" t="s">
        <v>4434</v>
      </c>
      <c r="B1938" s="2" t="s">
        <v>4435</v>
      </c>
      <c r="C1938" s="2" t="s">
        <v>62</v>
      </c>
      <c r="D1938" s="2" t="s">
        <v>210</v>
      </c>
      <c r="E1938" s="2"/>
      <c r="F1938" s="2" t="str">
        <f>"9783886404209"</f>
        <v>9783886404209</v>
      </c>
    </row>
    <row r="1939" spans="1:6" s="3" customFormat="1" ht="29.1" customHeight="1" x14ac:dyDescent="0.25">
      <c r="A1939" s="2" t="s">
        <v>4436</v>
      </c>
      <c r="B1939" s="2" t="s">
        <v>4437</v>
      </c>
      <c r="C1939" s="2" t="s">
        <v>62</v>
      </c>
      <c r="D1939" s="2" t="s">
        <v>4429</v>
      </c>
      <c r="E1939" s="2"/>
      <c r="F1939" s="2" t="str">
        <f>"9783886404193"</f>
        <v>9783886404193</v>
      </c>
    </row>
    <row r="1940" spans="1:6" s="3" customFormat="1" ht="29.1" customHeight="1" x14ac:dyDescent="0.25">
      <c r="A1940" s="2" t="s">
        <v>4438</v>
      </c>
      <c r="B1940" s="2" t="s">
        <v>4439</v>
      </c>
      <c r="C1940" s="2" t="s">
        <v>62</v>
      </c>
      <c r="D1940" s="2" t="s">
        <v>509</v>
      </c>
      <c r="E1940" s="2"/>
      <c r="F1940" s="2" t="str">
        <f>"9783886404186"</f>
        <v>9783886404186</v>
      </c>
    </row>
    <row r="1941" spans="1:6" s="3" customFormat="1" ht="29.1" customHeight="1" x14ac:dyDescent="0.25">
      <c r="A1941" s="2" t="s">
        <v>4440</v>
      </c>
      <c r="B1941" s="2" t="s">
        <v>4441</v>
      </c>
      <c r="C1941" s="2" t="s">
        <v>62</v>
      </c>
      <c r="D1941" s="2" t="s">
        <v>210</v>
      </c>
      <c r="E1941" s="2"/>
      <c r="F1941" s="2" t="str">
        <f>"9783886404179"</f>
        <v>9783886404179</v>
      </c>
    </row>
    <row r="1942" spans="1:6" s="3" customFormat="1" ht="29.1" customHeight="1" x14ac:dyDescent="0.25">
      <c r="A1942" s="2" t="s">
        <v>4442</v>
      </c>
      <c r="B1942" s="2" t="s">
        <v>4443</v>
      </c>
      <c r="C1942" s="2" t="s">
        <v>62</v>
      </c>
      <c r="D1942" s="2" t="s">
        <v>66</v>
      </c>
      <c r="E1942" s="2"/>
      <c r="F1942" s="2" t="str">
        <f>"9783886404162"</f>
        <v>9783886404162</v>
      </c>
    </row>
    <row r="1943" spans="1:6" s="3" customFormat="1" ht="29.1" customHeight="1" x14ac:dyDescent="0.25">
      <c r="A1943" s="2" t="s">
        <v>4444</v>
      </c>
      <c r="B1943" s="2" t="s">
        <v>4445</v>
      </c>
      <c r="C1943" s="2" t="s">
        <v>62</v>
      </c>
      <c r="D1943" s="2" t="s">
        <v>66</v>
      </c>
      <c r="E1943" s="2"/>
      <c r="F1943" s="2" t="str">
        <f>"9783886404155"</f>
        <v>9783886404155</v>
      </c>
    </row>
    <row r="1944" spans="1:6" s="3" customFormat="1" ht="29.1" customHeight="1" x14ac:dyDescent="0.25">
      <c r="A1944" s="2" t="s">
        <v>4446</v>
      </c>
      <c r="B1944" s="2" t="s">
        <v>4448</v>
      </c>
      <c r="C1944" s="2" t="s">
        <v>62</v>
      </c>
      <c r="D1944" s="2" t="s">
        <v>4447</v>
      </c>
      <c r="E1944" s="2" t="str">
        <f>"9783938400159"</f>
        <v>9783938400159</v>
      </c>
      <c r="F1944" s="2" t="str">
        <f>"9783886404148"</f>
        <v>9783886404148</v>
      </c>
    </row>
    <row r="1945" spans="1:6" s="3" customFormat="1" ht="29.1" customHeight="1" x14ac:dyDescent="0.25">
      <c r="A1945" s="2" t="s">
        <v>4449</v>
      </c>
      <c r="B1945" s="2" t="s">
        <v>4450</v>
      </c>
      <c r="C1945" s="2" t="s">
        <v>62</v>
      </c>
      <c r="D1945" s="2" t="s">
        <v>509</v>
      </c>
      <c r="E1945" s="2" t="str">
        <f>"9783938400081"</f>
        <v>9783938400081</v>
      </c>
      <c r="F1945" s="2" t="str">
        <f>"9783886404131"</f>
        <v>9783886404131</v>
      </c>
    </row>
    <row r="1946" spans="1:6" s="3" customFormat="1" ht="29.1" customHeight="1" x14ac:dyDescent="0.25">
      <c r="A1946" s="2" t="s">
        <v>4451</v>
      </c>
      <c r="B1946" s="2" t="s">
        <v>4452</v>
      </c>
      <c r="C1946" s="2" t="s">
        <v>62</v>
      </c>
      <c r="D1946" s="2" t="s">
        <v>210</v>
      </c>
      <c r="E1946" s="2"/>
      <c r="F1946" s="2" t="str">
        <f>"9783886404124"</f>
        <v>9783886404124</v>
      </c>
    </row>
    <row r="1947" spans="1:6" s="3" customFormat="1" ht="29.1" customHeight="1" x14ac:dyDescent="0.25">
      <c r="A1947" s="2" t="s">
        <v>4453</v>
      </c>
      <c r="B1947" s="2" t="s">
        <v>4454</v>
      </c>
      <c r="C1947" s="2" t="s">
        <v>62</v>
      </c>
      <c r="D1947" s="2" t="s">
        <v>4064</v>
      </c>
      <c r="E1947" s="2" t="str">
        <f>"9783938400029"</f>
        <v>9783938400029</v>
      </c>
      <c r="F1947" s="2" t="str">
        <f>"9783886404117"</f>
        <v>9783886404117</v>
      </c>
    </row>
    <row r="1948" spans="1:6" s="3" customFormat="1" ht="29.1" customHeight="1" x14ac:dyDescent="0.25">
      <c r="A1948" s="2" t="s">
        <v>4455</v>
      </c>
      <c r="B1948" s="2" t="s">
        <v>4456</v>
      </c>
      <c r="C1948" s="2" t="s">
        <v>62</v>
      </c>
      <c r="D1948" s="2" t="s">
        <v>210</v>
      </c>
      <c r="E1948" s="2" t="str">
        <f>"9783929759846"</f>
        <v>9783929759846</v>
      </c>
      <c r="F1948" s="2" t="str">
        <f>"9783886404100"</f>
        <v>9783886404100</v>
      </c>
    </row>
    <row r="1949" spans="1:6" s="3" customFormat="1" ht="29.1" customHeight="1" x14ac:dyDescent="0.25">
      <c r="A1949" s="2" t="s">
        <v>4457</v>
      </c>
      <c r="B1949" s="2" t="s">
        <v>4458</v>
      </c>
      <c r="C1949" s="2" t="s">
        <v>62</v>
      </c>
      <c r="D1949" s="2" t="s">
        <v>509</v>
      </c>
      <c r="E1949" s="2"/>
      <c r="F1949" s="2" t="str">
        <f>"9783886404094"</f>
        <v>9783886404094</v>
      </c>
    </row>
    <row r="1950" spans="1:6" s="3" customFormat="1" ht="29.1" customHeight="1" x14ac:dyDescent="0.25">
      <c r="A1950" s="2" t="s">
        <v>4459</v>
      </c>
      <c r="B1950" s="2" t="s">
        <v>4460</v>
      </c>
      <c r="C1950" s="2" t="s">
        <v>62</v>
      </c>
      <c r="D1950" s="2" t="s">
        <v>210</v>
      </c>
      <c r="E1950" s="2"/>
      <c r="F1950" s="2" t="str">
        <f>"9783886404087"</f>
        <v>9783886404087</v>
      </c>
    </row>
    <row r="1951" spans="1:6" s="3" customFormat="1" ht="29.1" customHeight="1" x14ac:dyDescent="0.25">
      <c r="A1951" s="2" t="s">
        <v>4461</v>
      </c>
      <c r="B1951" s="2" t="s">
        <v>4462</v>
      </c>
      <c r="C1951" s="2" t="s">
        <v>62</v>
      </c>
      <c r="D1951" s="2" t="s">
        <v>66</v>
      </c>
      <c r="E1951" s="2"/>
      <c r="F1951" s="2" t="str">
        <f>"9783886404070"</f>
        <v>9783886404070</v>
      </c>
    </row>
    <row r="1952" spans="1:6" s="3" customFormat="1" ht="29.1" customHeight="1" x14ac:dyDescent="0.25">
      <c r="A1952" s="2" t="s">
        <v>4463</v>
      </c>
      <c r="B1952" s="2" t="s">
        <v>4464</v>
      </c>
      <c r="C1952" s="2" t="s">
        <v>62</v>
      </c>
      <c r="D1952" s="2" t="s">
        <v>509</v>
      </c>
      <c r="E1952" s="2"/>
      <c r="F1952" s="2" t="str">
        <f>"9783886404063"</f>
        <v>9783886404063</v>
      </c>
    </row>
    <row r="1953" spans="1:6" s="3" customFormat="1" ht="29.1" customHeight="1" x14ac:dyDescent="0.25">
      <c r="A1953" s="2" t="s">
        <v>4465</v>
      </c>
      <c r="B1953" s="2" t="s">
        <v>4467</v>
      </c>
      <c r="C1953" s="2" t="s">
        <v>62</v>
      </c>
      <c r="D1953" s="2" t="s">
        <v>4466</v>
      </c>
      <c r="E1953" s="2"/>
      <c r="F1953" s="2" t="str">
        <f>"9783886404056"</f>
        <v>9783886404056</v>
      </c>
    </row>
    <row r="1954" spans="1:6" s="3" customFormat="1" ht="29.1" customHeight="1" x14ac:dyDescent="0.25">
      <c r="A1954" s="2" t="s">
        <v>4468</v>
      </c>
      <c r="B1954" s="2" t="s">
        <v>4469</v>
      </c>
      <c r="C1954" s="2" t="s">
        <v>62</v>
      </c>
      <c r="D1954" s="2" t="s">
        <v>509</v>
      </c>
      <c r="E1954" s="2"/>
      <c r="F1954" s="2" t="str">
        <f>"9783886404049"</f>
        <v>9783886404049</v>
      </c>
    </row>
    <row r="1955" spans="1:6" s="3" customFormat="1" ht="29.1" customHeight="1" x14ac:dyDescent="0.25">
      <c r="A1955" s="2" t="s">
        <v>4470</v>
      </c>
      <c r="B1955" s="2" t="s">
        <v>4471</v>
      </c>
      <c r="C1955" s="2" t="s">
        <v>62</v>
      </c>
      <c r="D1955" s="2" t="s">
        <v>509</v>
      </c>
      <c r="E1955" s="2" t="str">
        <f>"9783929759457"</f>
        <v>9783929759457</v>
      </c>
      <c r="F1955" s="2" t="str">
        <f>"9783886404032"</f>
        <v>9783886404032</v>
      </c>
    </row>
    <row r="1956" spans="1:6" s="3" customFormat="1" ht="29.1" customHeight="1" x14ac:dyDescent="0.25">
      <c r="A1956" s="2" t="s">
        <v>4472</v>
      </c>
      <c r="B1956" s="2" t="s">
        <v>4473</v>
      </c>
      <c r="C1956" s="2" t="s">
        <v>62</v>
      </c>
      <c r="D1956" s="2" t="s">
        <v>509</v>
      </c>
      <c r="E1956" s="2"/>
      <c r="F1956" s="2" t="str">
        <f>"9783886404025"</f>
        <v>9783886404025</v>
      </c>
    </row>
    <row r="1957" spans="1:6" s="3" customFormat="1" ht="29.1" customHeight="1" x14ac:dyDescent="0.25">
      <c r="A1957" s="2" t="s">
        <v>4474</v>
      </c>
      <c r="B1957" s="2" t="s">
        <v>4475</v>
      </c>
      <c r="C1957" s="2" t="s">
        <v>62</v>
      </c>
      <c r="D1957" s="2" t="s">
        <v>210</v>
      </c>
      <c r="E1957" s="2"/>
      <c r="F1957" s="2" t="str">
        <f>"9783886404018"</f>
        <v>9783886404018</v>
      </c>
    </row>
    <row r="1958" spans="1:6" s="3" customFormat="1" ht="29.1" customHeight="1" x14ac:dyDescent="0.25">
      <c r="A1958" s="2" t="s">
        <v>4476</v>
      </c>
      <c r="B1958" s="2" t="s">
        <v>4477</v>
      </c>
      <c r="C1958" s="2" t="s">
        <v>62</v>
      </c>
      <c r="D1958" s="2" t="s">
        <v>509</v>
      </c>
      <c r="E1958" s="2"/>
      <c r="F1958" s="2" t="str">
        <f>"9783886404001"</f>
        <v>9783886404001</v>
      </c>
    </row>
    <row r="1959" spans="1:6" s="3" customFormat="1" ht="29.1" customHeight="1" x14ac:dyDescent="0.25">
      <c r="A1959" s="2" t="s">
        <v>4478</v>
      </c>
      <c r="B1959" s="2" t="s">
        <v>4479</v>
      </c>
      <c r="C1959" s="2" t="s">
        <v>239</v>
      </c>
      <c r="D1959" s="2" t="s">
        <v>930</v>
      </c>
      <c r="E1959" s="2" t="str">
        <f>"9780520401501"</f>
        <v>9780520401501</v>
      </c>
      <c r="F1959" s="2" t="str">
        <f>"9780520401518"</f>
        <v>9780520401518</v>
      </c>
    </row>
    <row r="1960" spans="1:6" s="3" customFormat="1" ht="29.1" customHeight="1" x14ac:dyDescent="0.25">
      <c r="A1960" s="2" t="s">
        <v>4480</v>
      </c>
      <c r="B1960" s="2" t="s">
        <v>4481</v>
      </c>
      <c r="C1960" s="2" t="s">
        <v>149</v>
      </c>
      <c r="D1960" s="2" t="s">
        <v>52</v>
      </c>
      <c r="E1960" s="2"/>
      <c r="F1960" s="2" t="str">
        <f>"9789915973210"</f>
        <v>9789915973210</v>
      </c>
    </row>
    <row r="1961" spans="1:6" s="3" customFormat="1" ht="29.1" customHeight="1" x14ac:dyDescent="0.25">
      <c r="A1961" s="2" t="s">
        <v>4482</v>
      </c>
      <c r="B1961" s="2" t="s">
        <v>4483</v>
      </c>
      <c r="C1961" s="2" t="s">
        <v>149</v>
      </c>
      <c r="D1961" s="2" t="s">
        <v>297</v>
      </c>
      <c r="E1961" s="2"/>
      <c r="F1961" s="2" t="str">
        <f>"9789915973203"</f>
        <v>9789915973203</v>
      </c>
    </row>
    <row r="1962" spans="1:6" s="3" customFormat="1" ht="29.1" customHeight="1" x14ac:dyDescent="0.25">
      <c r="A1962" s="2" t="s">
        <v>4484</v>
      </c>
      <c r="B1962" s="2" t="s">
        <v>4485</v>
      </c>
      <c r="C1962" s="2" t="s">
        <v>149</v>
      </c>
      <c r="D1962" s="2" t="s">
        <v>232</v>
      </c>
      <c r="E1962" s="2"/>
      <c r="F1962" s="2" t="str">
        <f>"9789915970660"</f>
        <v>9789915970660</v>
      </c>
    </row>
    <row r="1963" spans="1:6" s="3" customFormat="1" ht="29.1" customHeight="1" x14ac:dyDescent="0.25">
      <c r="A1963" s="2" t="s">
        <v>4486</v>
      </c>
      <c r="B1963" s="2" t="s">
        <v>4487</v>
      </c>
      <c r="C1963" s="2" t="s">
        <v>149</v>
      </c>
      <c r="D1963" s="2" t="s">
        <v>52</v>
      </c>
      <c r="E1963" s="2"/>
      <c r="F1963" s="2" t="str">
        <f>"9789915970653"</f>
        <v>9789915970653</v>
      </c>
    </row>
    <row r="1964" spans="1:6" s="3" customFormat="1" ht="29.1" customHeight="1" x14ac:dyDescent="0.25">
      <c r="A1964" s="2" t="s">
        <v>4488</v>
      </c>
      <c r="B1964" s="2" t="s">
        <v>4489</v>
      </c>
      <c r="C1964" s="2" t="s">
        <v>149</v>
      </c>
      <c r="D1964" s="2" t="s">
        <v>52</v>
      </c>
      <c r="E1964" s="2"/>
      <c r="F1964" s="2" t="str">
        <f>"9789915970646"</f>
        <v>9789915970646</v>
      </c>
    </row>
    <row r="1965" spans="1:6" s="3" customFormat="1" ht="29.1" customHeight="1" x14ac:dyDescent="0.25">
      <c r="A1965" s="2" t="s">
        <v>4490</v>
      </c>
      <c r="B1965" s="2" t="s">
        <v>4491</v>
      </c>
      <c r="C1965" s="2" t="s">
        <v>149</v>
      </c>
      <c r="D1965" s="2" t="s">
        <v>2752</v>
      </c>
      <c r="E1965" s="2"/>
      <c r="F1965" s="2" t="str">
        <f>"9789915968230"</f>
        <v>9789915968230</v>
      </c>
    </row>
    <row r="1966" spans="1:6" s="3" customFormat="1" ht="29.1" customHeight="1" x14ac:dyDescent="0.25">
      <c r="A1966" s="2" t="s">
        <v>4492</v>
      </c>
      <c r="B1966" s="2" t="s">
        <v>4494</v>
      </c>
      <c r="C1966" s="2" t="s">
        <v>149</v>
      </c>
      <c r="D1966" s="2" t="s">
        <v>4493</v>
      </c>
      <c r="E1966" s="2"/>
      <c r="F1966" s="2" t="str">
        <f>"9789915698120"</f>
        <v>9789915698120</v>
      </c>
    </row>
    <row r="1967" spans="1:6" s="3" customFormat="1" ht="29.1" customHeight="1" x14ac:dyDescent="0.25">
      <c r="A1967" s="2" t="s">
        <v>4495</v>
      </c>
      <c r="B1967" s="2" t="s">
        <v>4496</v>
      </c>
      <c r="C1967" s="2" t="s">
        <v>149</v>
      </c>
      <c r="D1967" s="2" t="s">
        <v>504</v>
      </c>
      <c r="E1967" s="2"/>
      <c r="F1967" s="2" t="str">
        <f>"9789915698076"</f>
        <v>9789915698076</v>
      </c>
    </row>
    <row r="1968" spans="1:6" s="3" customFormat="1" ht="29.1" customHeight="1" x14ac:dyDescent="0.25">
      <c r="A1968" s="2" t="s">
        <v>4497</v>
      </c>
      <c r="B1968" s="2" t="s">
        <v>4498</v>
      </c>
      <c r="C1968" s="2" t="s">
        <v>149</v>
      </c>
      <c r="D1968" s="2" t="s">
        <v>1390</v>
      </c>
      <c r="E1968" s="2"/>
      <c r="F1968" s="2" t="str">
        <f>"9789915698014"</f>
        <v>9789915698014</v>
      </c>
    </row>
    <row r="1969" spans="1:6" s="3" customFormat="1" ht="29.1" customHeight="1" x14ac:dyDescent="0.25">
      <c r="A1969" s="2" t="s">
        <v>4499</v>
      </c>
      <c r="B1969" s="2" t="s">
        <v>4501</v>
      </c>
      <c r="C1969" s="2" t="s">
        <v>5</v>
      </c>
      <c r="D1969" s="2" t="s">
        <v>4500</v>
      </c>
      <c r="E1969" s="2" t="str">
        <f>"9789464637533"</f>
        <v>9789464637533</v>
      </c>
      <c r="F1969" s="2" t="str">
        <f>"9789464637540"</f>
        <v>9789464637540</v>
      </c>
    </row>
    <row r="1970" spans="1:6" s="3" customFormat="1" ht="29.1" customHeight="1" x14ac:dyDescent="0.25">
      <c r="A1970" s="2" t="s">
        <v>4502</v>
      </c>
      <c r="B1970" s="2" t="s">
        <v>4503</v>
      </c>
      <c r="C1970" s="2" t="s">
        <v>29</v>
      </c>
      <c r="D1970" s="2" t="s">
        <v>3166</v>
      </c>
      <c r="E1970" s="2" t="str">
        <f>"9789004723368"</f>
        <v>9789004723368</v>
      </c>
      <c r="F1970" s="2" t="str">
        <f>"9789004737518"</f>
        <v>9789004737518</v>
      </c>
    </row>
    <row r="1971" spans="1:6" s="3" customFormat="1" ht="29.1" customHeight="1" x14ac:dyDescent="0.25">
      <c r="A1971" s="2" t="s">
        <v>4504</v>
      </c>
      <c r="B1971" s="2" t="s">
        <v>4505</v>
      </c>
      <c r="C1971" s="2" t="s">
        <v>124</v>
      </c>
      <c r="D1971" s="2" t="s">
        <v>9</v>
      </c>
      <c r="E1971" s="2" t="str">
        <f>"9781032948744"</f>
        <v>9781032948744</v>
      </c>
      <c r="F1971" s="2" t="str">
        <f>"9781003582137"</f>
        <v>9781003582137</v>
      </c>
    </row>
    <row r="1972" spans="1:6" s="3" customFormat="1" ht="29.1" customHeight="1" x14ac:dyDescent="0.25">
      <c r="A1972" s="2" t="s">
        <v>4506</v>
      </c>
      <c r="B1972" s="2" t="s">
        <v>4507</v>
      </c>
      <c r="C1972" s="2" t="s">
        <v>5</v>
      </c>
      <c r="D1972" s="2" t="s">
        <v>682</v>
      </c>
      <c r="E1972" s="2" t="str">
        <f>"9782384764198"</f>
        <v>9782384764198</v>
      </c>
      <c r="F1972" s="2" t="str">
        <f>"9782384764204"</f>
        <v>9782384764204</v>
      </c>
    </row>
    <row r="1973" spans="1:6" s="3" customFormat="1" ht="29.1" customHeight="1" x14ac:dyDescent="0.25">
      <c r="A1973" s="2" t="s">
        <v>4508</v>
      </c>
      <c r="B1973" s="2" t="s">
        <v>4509</v>
      </c>
      <c r="C1973" s="2" t="s">
        <v>5</v>
      </c>
      <c r="D1973" s="2" t="s">
        <v>186</v>
      </c>
      <c r="E1973" s="2" t="str">
        <f>"9789464637694"</f>
        <v>9789464637694</v>
      </c>
      <c r="F1973" s="2" t="str">
        <f>"9789464637700"</f>
        <v>9789464637700</v>
      </c>
    </row>
    <row r="1974" spans="1:6" s="3" customFormat="1" ht="29.1" customHeight="1" x14ac:dyDescent="0.25">
      <c r="A1974" s="2" t="s">
        <v>4510</v>
      </c>
      <c r="B1974" s="2" t="s">
        <v>4511</v>
      </c>
      <c r="C1974" s="2" t="s">
        <v>5</v>
      </c>
      <c r="D1974" s="2" t="s">
        <v>2237</v>
      </c>
      <c r="E1974" s="2" t="str">
        <f>"9789464637731"</f>
        <v>9789464637731</v>
      </c>
      <c r="F1974" s="2" t="str">
        <f>"9789464637748"</f>
        <v>9789464637748</v>
      </c>
    </row>
    <row r="1975" spans="1:6" s="3" customFormat="1" ht="29.1" customHeight="1" x14ac:dyDescent="0.25">
      <c r="A1975" s="2" t="s">
        <v>4512</v>
      </c>
      <c r="B1975" s="2" t="s">
        <v>4513</v>
      </c>
      <c r="C1975" s="2" t="s">
        <v>5</v>
      </c>
      <c r="D1975" s="2" t="s">
        <v>3198</v>
      </c>
      <c r="E1975" s="2" t="str">
        <f>"9783031938900"</f>
        <v>9783031938900</v>
      </c>
      <c r="F1975" s="2" t="str">
        <f>"9783031938917"</f>
        <v>9783031938917</v>
      </c>
    </row>
    <row r="1976" spans="1:6" s="3" customFormat="1" ht="29.1" customHeight="1" x14ac:dyDescent="0.25">
      <c r="A1976" s="2" t="s">
        <v>4514</v>
      </c>
      <c r="B1976" s="2" t="s">
        <v>4515</v>
      </c>
      <c r="C1976" s="2" t="s">
        <v>29</v>
      </c>
      <c r="D1976" s="2" t="s">
        <v>210</v>
      </c>
      <c r="E1976" s="2" t="str">
        <f>"9789004729414"</f>
        <v>9789004729414</v>
      </c>
      <c r="F1976" s="2" t="str">
        <f>"9789004730878"</f>
        <v>9789004730878</v>
      </c>
    </row>
    <row r="1977" spans="1:6" s="3" customFormat="1" ht="29.1" customHeight="1" x14ac:dyDescent="0.25">
      <c r="A1977" s="2" t="s">
        <v>4516</v>
      </c>
      <c r="B1977" s="2" t="s">
        <v>4518</v>
      </c>
      <c r="C1977" s="2" t="s">
        <v>29</v>
      </c>
      <c r="D1977" s="2" t="s">
        <v>4517</v>
      </c>
      <c r="E1977" s="2" t="str">
        <f>"9789004724273"</f>
        <v>9789004724273</v>
      </c>
      <c r="F1977" s="2" t="str">
        <f>"9789004724280"</f>
        <v>9789004724280</v>
      </c>
    </row>
    <row r="1978" spans="1:6" s="3" customFormat="1" ht="29.1" customHeight="1" x14ac:dyDescent="0.25">
      <c r="A1978" s="2" t="s">
        <v>4519</v>
      </c>
      <c r="B1978" s="2" t="s">
        <v>4520</v>
      </c>
      <c r="C1978" s="2" t="s">
        <v>149</v>
      </c>
      <c r="D1978" s="2" t="s">
        <v>636</v>
      </c>
      <c r="E1978" s="2" t="str">
        <f>"9781912186938"</f>
        <v>9781912186938</v>
      </c>
      <c r="F1978" s="2" t="str">
        <f>"9781912186945"</f>
        <v>9781912186945</v>
      </c>
    </row>
    <row r="1979" spans="1:6" s="3" customFormat="1" ht="29.1" customHeight="1" x14ac:dyDescent="0.25">
      <c r="A1979" s="2" t="s">
        <v>4521</v>
      </c>
      <c r="B1979" s="2" t="s">
        <v>4523</v>
      </c>
      <c r="C1979" s="2" t="s">
        <v>149</v>
      </c>
      <c r="D1979" s="2" t="s">
        <v>4522</v>
      </c>
      <c r="E1979" s="2" t="str">
        <f>"9781805116684"</f>
        <v>9781805116684</v>
      </c>
      <c r="F1979" s="2" t="str">
        <f>"9781805116707"</f>
        <v>9781805116707</v>
      </c>
    </row>
    <row r="1980" spans="1:6" s="3" customFormat="1" ht="29.1" customHeight="1" x14ac:dyDescent="0.25">
      <c r="A1980" s="2" t="s">
        <v>4524</v>
      </c>
      <c r="B1980" s="2" t="s">
        <v>4525</v>
      </c>
      <c r="C1980" s="2" t="s">
        <v>36</v>
      </c>
      <c r="D1980" s="2" t="s">
        <v>183</v>
      </c>
      <c r="E1980" s="2"/>
      <c r="F1980" s="2" t="str">
        <f>"9781447374756"</f>
        <v>9781447374756</v>
      </c>
    </row>
    <row r="1981" spans="1:6" s="3" customFormat="1" ht="29.1" customHeight="1" x14ac:dyDescent="0.25">
      <c r="A1981" s="2" t="s">
        <v>4526</v>
      </c>
      <c r="B1981" s="2" t="s">
        <v>4527</v>
      </c>
      <c r="C1981" s="2" t="s">
        <v>29</v>
      </c>
      <c r="D1981" s="2" t="s">
        <v>183</v>
      </c>
      <c r="E1981" s="2" t="str">
        <f>"9789004549890"</f>
        <v>9789004549890</v>
      </c>
      <c r="F1981" s="2" t="str">
        <f>"9789004549906"</f>
        <v>9789004549906</v>
      </c>
    </row>
    <row r="1982" spans="1:6" s="3" customFormat="1" ht="29.1" customHeight="1" x14ac:dyDescent="0.25">
      <c r="A1982" s="2" t="s">
        <v>4528</v>
      </c>
      <c r="B1982" s="2" t="s">
        <v>4529</v>
      </c>
      <c r="C1982" s="2" t="s">
        <v>5</v>
      </c>
      <c r="D1982" s="2" t="s">
        <v>1259</v>
      </c>
      <c r="E1982" s="2" t="str">
        <f>"9789819653096"</f>
        <v>9789819653096</v>
      </c>
      <c r="F1982" s="2" t="str">
        <f>"9789819653102"</f>
        <v>9789819653102</v>
      </c>
    </row>
    <row r="1983" spans="1:6" s="3" customFormat="1" ht="29.1" customHeight="1" x14ac:dyDescent="0.25">
      <c r="A1983" s="2" t="s">
        <v>4530</v>
      </c>
      <c r="B1983" s="2" t="s">
        <v>4531</v>
      </c>
      <c r="C1983" s="2" t="s">
        <v>5</v>
      </c>
      <c r="D1983" s="2" t="s">
        <v>2005</v>
      </c>
      <c r="E1983" s="2" t="str">
        <f>"9783031776526"</f>
        <v>9783031776526</v>
      </c>
      <c r="F1983" s="2" t="str">
        <f>"9783031776533"</f>
        <v>9783031776533</v>
      </c>
    </row>
    <row r="1984" spans="1:6" s="3" customFormat="1" ht="29.1" customHeight="1" x14ac:dyDescent="0.25">
      <c r="A1984" s="2" t="s">
        <v>4532</v>
      </c>
      <c r="B1984" s="2" t="s">
        <v>4533</v>
      </c>
      <c r="C1984" s="2" t="s">
        <v>5</v>
      </c>
      <c r="D1984" s="2" t="s">
        <v>52</v>
      </c>
      <c r="E1984" s="2" t="str">
        <f>"9789464637397"</f>
        <v>9789464637397</v>
      </c>
      <c r="F1984" s="2" t="str">
        <f>"9789464637403"</f>
        <v>9789464637403</v>
      </c>
    </row>
    <row r="1985" spans="1:6" s="3" customFormat="1" ht="29.1" customHeight="1" x14ac:dyDescent="0.25">
      <c r="A1985" s="2" t="s">
        <v>4534</v>
      </c>
      <c r="B1985" s="2" t="s">
        <v>4535</v>
      </c>
      <c r="C1985" s="2" t="s">
        <v>5</v>
      </c>
      <c r="D1985" s="2" t="s">
        <v>724</v>
      </c>
      <c r="E1985" s="2" t="str">
        <f>"9783031872891"</f>
        <v>9783031872891</v>
      </c>
      <c r="F1985" s="2" t="str">
        <f>"9783031872907"</f>
        <v>9783031872907</v>
      </c>
    </row>
    <row r="1986" spans="1:6" s="3" customFormat="1" ht="29.1" customHeight="1" x14ac:dyDescent="0.25">
      <c r="A1986" s="2" t="s">
        <v>4536</v>
      </c>
      <c r="B1986" s="2" t="s">
        <v>4537</v>
      </c>
      <c r="C1986" s="2" t="s">
        <v>5</v>
      </c>
      <c r="D1986" s="2" t="s">
        <v>183</v>
      </c>
      <c r="E1986" s="2" t="str">
        <f>"9783658473143"</f>
        <v>9783658473143</v>
      </c>
      <c r="F1986" s="2" t="str">
        <f>"9783658473150"</f>
        <v>9783658473150</v>
      </c>
    </row>
    <row r="1987" spans="1:6" s="3" customFormat="1" ht="29.1" customHeight="1" x14ac:dyDescent="0.25">
      <c r="A1987" s="2" t="s">
        <v>4538</v>
      </c>
      <c r="B1987" s="2" t="s">
        <v>4539</v>
      </c>
      <c r="C1987" s="2" t="s">
        <v>20</v>
      </c>
      <c r="D1987" s="2" t="s">
        <v>1133</v>
      </c>
      <c r="E1987" s="2" t="str">
        <f>"9783763976393"</f>
        <v>9783763976393</v>
      </c>
      <c r="F1987" s="2" t="str">
        <f>"9783763976409"</f>
        <v>9783763976409</v>
      </c>
    </row>
    <row r="1988" spans="1:6" s="3" customFormat="1" ht="29.1" customHeight="1" x14ac:dyDescent="0.25">
      <c r="A1988" s="2" t="s">
        <v>4540</v>
      </c>
      <c r="B1988" s="2" t="s">
        <v>4541</v>
      </c>
      <c r="C1988" s="2" t="s">
        <v>5</v>
      </c>
      <c r="D1988" s="2" t="s">
        <v>294</v>
      </c>
      <c r="E1988" s="2" t="str">
        <f>"9789464637656"</f>
        <v>9789464637656</v>
      </c>
      <c r="F1988" s="2" t="str">
        <f>"9789464637663"</f>
        <v>9789464637663</v>
      </c>
    </row>
    <row r="1989" spans="1:6" s="3" customFormat="1" ht="29.1" customHeight="1" x14ac:dyDescent="0.25">
      <c r="A1989" s="2" t="s">
        <v>4542</v>
      </c>
      <c r="B1989" s="2" t="s">
        <v>4544</v>
      </c>
      <c r="C1989" s="2" t="s">
        <v>5</v>
      </c>
      <c r="D1989" s="2" t="s">
        <v>4543</v>
      </c>
      <c r="E1989" s="2" t="str">
        <f>"9781137596338"</f>
        <v>9781137596338</v>
      </c>
      <c r="F1989" s="2" t="str">
        <f>"9781137596345"</f>
        <v>9781137596345</v>
      </c>
    </row>
    <row r="1990" spans="1:6" s="3" customFormat="1" ht="29.1" customHeight="1" x14ac:dyDescent="0.25">
      <c r="A1990" s="2" t="s">
        <v>4545</v>
      </c>
      <c r="B1990" s="2" t="s">
        <v>4546</v>
      </c>
      <c r="C1990" s="2" t="s">
        <v>5</v>
      </c>
      <c r="D1990" s="2" t="s">
        <v>636</v>
      </c>
      <c r="E1990" s="2" t="str">
        <f>"9783031856549"</f>
        <v>9783031856549</v>
      </c>
      <c r="F1990" s="2" t="str">
        <f>"9783031856556"</f>
        <v>9783031856556</v>
      </c>
    </row>
    <row r="1991" spans="1:6" s="3" customFormat="1" ht="29.1" customHeight="1" x14ac:dyDescent="0.25">
      <c r="A1991" s="2" t="s">
        <v>4547</v>
      </c>
      <c r="B1991" s="2" t="s">
        <v>4548</v>
      </c>
      <c r="C1991" s="2" t="s">
        <v>5</v>
      </c>
      <c r="D1991" s="2" t="s">
        <v>69</v>
      </c>
      <c r="E1991" s="2" t="str">
        <f>"9783031885891"</f>
        <v>9783031885891</v>
      </c>
      <c r="F1991" s="2" t="str">
        <f>"9783031885907"</f>
        <v>9783031885907</v>
      </c>
    </row>
    <row r="1992" spans="1:6" s="3" customFormat="1" ht="29.1" customHeight="1" x14ac:dyDescent="0.25">
      <c r="A1992" s="2" t="s">
        <v>4549</v>
      </c>
      <c r="B1992" s="2" t="s">
        <v>4550</v>
      </c>
      <c r="C1992" s="2" t="s">
        <v>5</v>
      </c>
      <c r="D1992" s="2" t="s">
        <v>98</v>
      </c>
      <c r="E1992" s="2" t="str">
        <f>"9783658487058"</f>
        <v>9783658487058</v>
      </c>
      <c r="F1992" s="2" t="str">
        <f>"9783658487065"</f>
        <v>9783658487065</v>
      </c>
    </row>
    <row r="1993" spans="1:6" s="3" customFormat="1" ht="29.1" customHeight="1" x14ac:dyDescent="0.25">
      <c r="A1993" s="2" t="s">
        <v>4551</v>
      </c>
      <c r="B1993" s="2" t="s">
        <v>4553</v>
      </c>
      <c r="C1993" s="2" t="s">
        <v>55</v>
      </c>
      <c r="D1993" s="2" t="s">
        <v>4552</v>
      </c>
      <c r="E1993" s="2" t="str">
        <f>"9781526179470"</f>
        <v>9781526179470</v>
      </c>
      <c r="F1993" s="2" t="str">
        <f>"9781526179463"</f>
        <v>9781526179463</v>
      </c>
    </row>
    <row r="1994" spans="1:6" s="3" customFormat="1" ht="29.1" customHeight="1" x14ac:dyDescent="0.25">
      <c r="A1994" s="2" t="s">
        <v>4554</v>
      </c>
      <c r="B1994" s="2" t="s">
        <v>4555</v>
      </c>
      <c r="C1994" s="2" t="s">
        <v>149</v>
      </c>
      <c r="D1994" s="2" t="s">
        <v>75</v>
      </c>
      <c r="E1994" s="2" t="str">
        <f>"9781805114482"</f>
        <v>9781805114482</v>
      </c>
      <c r="F1994" s="2" t="str">
        <f>"9781805114505"</f>
        <v>9781805114505</v>
      </c>
    </row>
    <row r="1995" spans="1:6" s="3" customFormat="1" ht="29.1" customHeight="1" x14ac:dyDescent="0.25">
      <c r="A1995" s="2" t="s">
        <v>4556</v>
      </c>
      <c r="B1995" s="2" t="s">
        <v>4557</v>
      </c>
      <c r="C1995" s="2" t="s">
        <v>5</v>
      </c>
      <c r="D1995" s="2" t="s">
        <v>650</v>
      </c>
      <c r="E1995" s="2" t="str">
        <f>"9789464637632"</f>
        <v>9789464637632</v>
      </c>
      <c r="F1995" s="2" t="str">
        <f>"9789464637649"</f>
        <v>9789464637649</v>
      </c>
    </row>
    <row r="1996" spans="1:6" s="3" customFormat="1" ht="29.1" customHeight="1" x14ac:dyDescent="0.25">
      <c r="A1996" s="2" t="s">
        <v>4558</v>
      </c>
      <c r="B1996" s="2" t="s">
        <v>4559</v>
      </c>
      <c r="C1996" s="2" t="s">
        <v>36</v>
      </c>
      <c r="D1996" s="2" t="s">
        <v>72</v>
      </c>
      <c r="E1996" s="2"/>
      <c r="F1996" s="2" t="str">
        <f>"9781447377245"</f>
        <v>9781447377245</v>
      </c>
    </row>
    <row r="1997" spans="1:6" s="3" customFormat="1" ht="29.1" customHeight="1" x14ac:dyDescent="0.25">
      <c r="A1997" s="2" t="s">
        <v>4560</v>
      </c>
      <c r="B1997" s="2" t="s">
        <v>4562</v>
      </c>
      <c r="C1997" s="2" t="s">
        <v>36</v>
      </c>
      <c r="D1997" s="2" t="s">
        <v>4561</v>
      </c>
      <c r="E1997" s="2" t="str">
        <f>"9781529242768"</f>
        <v>9781529242768</v>
      </c>
      <c r="F1997" s="2" t="str">
        <f>"9781529242782"</f>
        <v>9781529242782</v>
      </c>
    </row>
    <row r="1998" spans="1:6" s="3" customFormat="1" ht="29.1" customHeight="1" x14ac:dyDescent="0.25">
      <c r="A1998" s="2" t="s">
        <v>4563</v>
      </c>
      <c r="B1998" s="2" t="s">
        <v>4564</v>
      </c>
      <c r="C1998" s="2" t="s">
        <v>5</v>
      </c>
      <c r="D1998" s="2" t="s">
        <v>52</v>
      </c>
      <c r="E1998" s="2" t="str">
        <f>"9789464637373"</f>
        <v>9789464637373</v>
      </c>
      <c r="F1998" s="2" t="str">
        <f>"9789464637380"</f>
        <v>9789464637380</v>
      </c>
    </row>
    <row r="1999" spans="1:6" s="3" customFormat="1" ht="29.1" customHeight="1" x14ac:dyDescent="0.25">
      <c r="A1999" s="2" t="s">
        <v>4565</v>
      </c>
      <c r="B1999" s="2" t="s">
        <v>4566</v>
      </c>
      <c r="C1999" s="2" t="s">
        <v>124</v>
      </c>
      <c r="D1999" s="2" t="s">
        <v>712</v>
      </c>
      <c r="E1999" s="2" t="str">
        <f>"9781032882949"</f>
        <v>9781032882949</v>
      </c>
      <c r="F1999" s="2" t="str">
        <f>"9781003538592"</f>
        <v>9781003538592</v>
      </c>
    </row>
    <row r="2000" spans="1:6" s="3" customFormat="1" ht="29.1" customHeight="1" x14ac:dyDescent="0.25">
      <c r="A2000" s="2" t="s">
        <v>4567</v>
      </c>
      <c r="B2000" s="2" t="s">
        <v>4568</v>
      </c>
      <c r="C2000" s="2" t="s">
        <v>239</v>
      </c>
      <c r="D2000" s="2" t="s">
        <v>512</v>
      </c>
      <c r="E2000" s="2" t="str">
        <f>"9780520413320"</f>
        <v>9780520413320</v>
      </c>
      <c r="F2000" s="2" t="str">
        <f>"9780520413337"</f>
        <v>9780520413337</v>
      </c>
    </row>
    <row r="2001" spans="1:6" s="3" customFormat="1" ht="29.1" customHeight="1" x14ac:dyDescent="0.25">
      <c r="A2001" s="2" t="s">
        <v>4569</v>
      </c>
      <c r="B2001" s="2" t="s">
        <v>4570</v>
      </c>
      <c r="C2001" s="2" t="s">
        <v>5</v>
      </c>
      <c r="D2001" s="2" t="s">
        <v>297</v>
      </c>
      <c r="E2001" s="2" t="str">
        <f>"9782384764310"</f>
        <v>9782384764310</v>
      </c>
      <c r="F2001" s="2" t="str">
        <f>"9782384764327"</f>
        <v>9782384764327</v>
      </c>
    </row>
    <row r="2002" spans="1:6" s="3" customFormat="1" ht="29.1" customHeight="1" x14ac:dyDescent="0.25">
      <c r="A2002" s="2" t="s">
        <v>4571</v>
      </c>
      <c r="B2002" s="2" t="s">
        <v>4572</v>
      </c>
      <c r="C2002" s="2" t="s">
        <v>5</v>
      </c>
      <c r="D2002" s="2" t="s">
        <v>2307</v>
      </c>
      <c r="E2002" s="2" t="str">
        <f>"9782384764297"</f>
        <v>9782384764297</v>
      </c>
      <c r="F2002" s="2" t="str">
        <f>"9782384764303"</f>
        <v>9782384764303</v>
      </c>
    </row>
    <row r="2003" spans="1:6" s="3" customFormat="1" ht="29.1" customHeight="1" x14ac:dyDescent="0.25">
      <c r="A2003" s="2" t="s">
        <v>4573</v>
      </c>
      <c r="B2003" s="2" t="s">
        <v>4574</v>
      </c>
      <c r="C2003" s="2" t="s">
        <v>5</v>
      </c>
      <c r="D2003" s="2" t="s">
        <v>78</v>
      </c>
      <c r="E2003" s="2" t="str">
        <f>"9783031915536"</f>
        <v>9783031915536</v>
      </c>
      <c r="F2003" s="2" t="str">
        <f>"9783031915543"</f>
        <v>9783031915543</v>
      </c>
    </row>
    <row r="2004" spans="1:6" s="3" customFormat="1" ht="29.1" customHeight="1" x14ac:dyDescent="0.25">
      <c r="A2004" s="2" t="s">
        <v>4575</v>
      </c>
      <c r="B2004" s="2" t="s">
        <v>4576</v>
      </c>
      <c r="C2004" s="2" t="s">
        <v>5</v>
      </c>
      <c r="D2004" s="2" t="s">
        <v>1913</v>
      </c>
      <c r="E2004" s="2" t="str">
        <f>"9783031870040"</f>
        <v>9783031870040</v>
      </c>
      <c r="F2004" s="2" t="str">
        <f>"9783031870057"</f>
        <v>9783031870057</v>
      </c>
    </row>
    <row r="2005" spans="1:6" s="3" customFormat="1" ht="29.1" customHeight="1" x14ac:dyDescent="0.25">
      <c r="A2005" s="2" t="s">
        <v>4577</v>
      </c>
      <c r="B2005" s="2" t="s">
        <v>4578</v>
      </c>
      <c r="C2005" s="2" t="s">
        <v>556</v>
      </c>
      <c r="D2005" s="2" t="s">
        <v>1895</v>
      </c>
      <c r="E2005" s="2" t="str">
        <f>"9783837669398"</f>
        <v>9783837669398</v>
      </c>
      <c r="F2005" s="2" t="str">
        <f>"9783839423851"</f>
        <v>9783839423851</v>
      </c>
    </row>
    <row r="2006" spans="1:6" s="3" customFormat="1" ht="29.1" customHeight="1" x14ac:dyDescent="0.25">
      <c r="A2006" s="2" t="s">
        <v>4579</v>
      </c>
      <c r="B2006" s="2" t="s">
        <v>4580</v>
      </c>
      <c r="C2006" s="2" t="s">
        <v>556</v>
      </c>
      <c r="D2006" s="2" t="s">
        <v>150</v>
      </c>
      <c r="E2006" s="2" t="str">
        <f>"9783837676723"</f>
        <v>9783837676723</v>
      </c>
      <c r="F2006" s="2" t="str">
        <f>"9783839476727"</f>
        <v>9783839476727</v>
      </c>
    </row>
    <row r="2007" spans="1:6" s="3" customFormat="1" ht="29.1" customHeight="1" x14ac:dyDescent="0.25">
      <c r="A2007" s="2" t="s">
        <v>4581</v>
      </c>
      <c r="B2007" s="2" t="s">
        <v>4583</v>
      </c>
      <c r="C2007" s="2" t="s">
        <v>556</v>
      </c>
      <c r="D2007" s="2" t="s">
        <v>4582</v>
      </c>
      <c r="E2007" s="2" t="str">
        <f>"9783837678017"</f>
        <v>9783837678017</v>
      </c>
      <c r="F2007" s="2" t="str">
        <f>"9783839410875"</f>
        <v>9783839410875</v>
      </c>
    </row>
    <row r="2008" spans="1:6" s="3" customFormat="1" ht="29.1" customHeight="1" x14ac:dyDescent="0.25">
      <c r="A2008" s="2" t="s">
        <v>4584</v>
      </c>
      <c r="B2008" s="2" t="s">
        <v>4585</v>
      </c>
      <c r="C2008" s="2" t="s">
        <v>556</v>
      </c>
      <c r="D2008" s="2" t="s">
        <v>92</v>
      </c>
      <c r="E2008" s="2" t="str">
        <f>"9783837675023"</f>
        <v>9783837675023</v>
      </c>
      <c r="F2008" s="2" t="str">
        <f>"9783839401385"</f>
        <v>9783839401385</v>
      </c>
    </row>
    <row r="2009" spans="1:6" s="3" customFormat="1" ht="29.1" customHeight="1" x14ac:dyDescent="0.25">
      <c r="A2009" s="2" t="s">
        <v>4586</v>
      </c>
      <c r="B2009" s="2" t="s">
        <v>4587</v>
      </c>
      <c r="C2009" s="2" t="s">
        <v>556</v>
      </c>
      <c r="D2009" s="2" t="s">
        <v>78</v>
      </c>
      <c r="E2009" s="2" t="str">
        <f>"9783837674651"</f>
        <v>9783837674651</v>
      </c>
      <c r="F2009" s="2" t="str">
        <f>"9783839474655"</f>
        <v>9783839474655</v>
      </c>
    </row>
    <row r="2010" spans="1:6" s="3" customFormat="1" ht="29.1" customHeight="1" x14ac:dyDescent="0.25">
      <c r="A2010" s="2" t="s">
        <v>4588</v>
      </c>
      <c r="B2010" s="2" t="s">
        <v>4589</v>
      </c>
      <c r="C2010" s="2" t="s">
        <v>556</v>
      </c>
      <c r="D2010" s="2" t="s">
        <v>1717</v>
      </c>
      <c r="E2010" s="2" t="str">
        <f>"9783837676020"</f>
        <v>9783837676020</v>
      </c>
      <c r="F2010" s="2" t="str">
        <f>"9783839476024"</f>
        <v>9783839476024</v>
      </c>
    </row>
    <row r="2011" spans="1:6" s="3" customFormat="1" ht="29.1" customHeight="1" x14ac:dyDescent="0.25">
      <c r="A2011" s="2" t="s">
        <v>4590</v>
      </c>
      <c r="B2011" s="2" t="s">
        <v>4591</v>
      </c>
      <c r="C2011" s="2" t="s">
        <v>556</v>
      </c>
      <c r="D2011" s="2" t="s">
        <v>2462</v>
      </c>
      <c r="E2011" s="2" t="str">
        <f>"9783837669336"</f>
        <v>9783837669336</v>
      </c>
      <c r="F2011" s="2" t="str">
        <f>"9783839400807"</f>
        <v>9783839400807</v>
      </c>
    </row>
    <row r="2012" spans="1:6" s="3" customFormat="1" ht="29.1" customHeight="1" x14ac:dyDescent="0.25">
      <c r="A2012" s="2" t="s">
        <v>4592</v>
      </c>
      <c r="B2012" s="2" t="s">
        <v>4593</v>
      </c>
      <c r="C2012" s="2" t="s">
        <v>556</v>
      </c>
      <c r="D2012" s="2" t="s">
        <v>1043</v>
      </c>
      <c r="E2012" s="2" t="str">
        <f>"9783837678154"</f>
        <v>9783837678154</v>
      </c>
      <c r="F2012" s="2" t="str">
        <f>"9783839412916"</f>
        <v>9783839412916</v>
      </c>
    </row>
    <row r="2013" spans="1:6" s="3" customFormat="1" ht="29.1" customHeight="1" x14ac:dyDescent="0.25">
      <c r="A2013" s="2" t="s">
        <v>4594</v>
      </c>
      <c r="B2013" s="2" t="s">
        <v>4596</v>
      </c>
      <c r="C2013" s="2" t="s">
        <v>556</v>
      </c>
      <c r="D2013" s="2" t="s">
        <v>4595</v>
      </c>
      <c r="E2013" s="2" t="str">
        <f>"9783837663099"</f>
        <v>9783837663099</v>
      </c>
      <c r="F2013" s="2" t="str">
        <f>"9783839400418"</f>
        <v>9783839400418</v>
      </c>
    </row>
    <row r="2014" spans="1:6" s="3" customFormat="1" ht="29.1" customHeight="1" x14ac:dyDescent="0.25">
      <c r="A2014" s="2" t="s">
        <v>4597</v>
      </c>
      <c r="B2014" s="2" t="s">
        <v>4598</v>
      </c>
      <c r="C2014" s="2" t="s">
        <v>556</v>
      </c>
      <c r="D2014" s="2" t="s">
        <v>78</v>
      </c>
      <c r="E2014" s="2" t="str">
        <f>"9783837669237"</f>
        <v>9783837669237</v>
      </c>
      <c r="F2014" s="2" t="str">
        <f>"9783839400722"</f>
        <v>9783839400722</v>
      </c>
    </row>
    <row r="2015" spans="1:6" s="3" customFormat="1" ht="29.1" customHeight="1" x14ac:dyDescent="0.25">
      <c r="A2015" s="2" t="s">
        <v>4599</v>
      </c>
      <c r="B2015" s="2" t="s">
        <v>4600</v>
      </c>
      <c r="C2015" s="2" t="s">
        <v>556</v>
      </c>
      <c r="D2015" s="2" t="s">
        <v>78</v>
      </c>
      <c r="E2015" s="2" t="str">
        <f>"9783837676976"</f>
        <v>9783837676976</v>
      </c>
      <c r="F2015" s="2" t="str">
        <f>"9783839476970"</f>
        <v>9783839476970</v>
      </c>
    </row>
    <row r="2016" spans="1:6" s="3" customFormat="1" ht="29.1" customHeight="1" x14ac:dyDescent="0.25">
      <c r="A2016" s="2" t="s">
        <v>4601</v>
      </c>
      <c r="B2016" s="2" t="s">
        <v>4602</v>
      </c>
      <c r="C2016" s="2" t="s">
        <v>556</v>
      </c>
      <c r="D2016" s="2" t="s">
        <v>791</v>
      </c>
      <c r="E2016" s="2" t="str">
        <f>"9783837675078"</f>
        <v>9783837675078</v>
      </c>
      <c r="F2016" s="2" t="str">
        <f>"9783839475072"</f>
        <v>9783839475072</v>
      </c>
    </row>
    <row r="2017" spans="1:6" s="3" customFormat="1" ht="29.1" customHeight="1" x14ac:dyDescent="0.25">
      <c r="A2017" s="2" t="s">
        <v>4603</v>
      </c>
      <c r="B2017" s="2" t="s">
        <v>4604</v>
      </c>
      <c r="C2017" s="2" t="s">
        <v>556</v>
      </c>
      <c r="D2017" s="2" t="s">
        <v>2168</v>
      </c>
      <c r="E2017" s="2" t="str">
        <f>"9783837680645"</f>
        <v>9783837680645</v>
      </c>
      <c r="F2017" s="2" t="str">
        <f>"9783839480649"</f>
        <v>9783839480649</v>
      </c>
    </row>
    <row r="2018" spans="1:6" s="3" customFormat="1" ht="29.1" customHeight="1" x14ac:dyDescent="0.25">
      <c r="A2018" s="2" t="s">
        <v>4605</v>
      </c>
      <c r="B2018" s="2" t="s">
        <v>4606</v>
      </c>
      <c r="C2018" s="2" t="s">
        <v>556</v>
      </c>
      <c r="D2018" s="2" t="s">
        <v>699</v>
      </c>
      <c r="E2018" s="2" t="str">
        <f>"9783837675146"</f>
        <v>9783837675146</v>
      </c>
      <c r="F2018" s="2" t="str">
        <f>"9783839475140"</f>
        <v>9783839475140</v>
      </c>
    </row>
    <row r="2019" spans="1:6" s="3" customFormat="1" ht="29.1" customHeight="1" x14ac:dyDescent="0.25">
      <c r="A2019" s="2" t="s">
        <v>4607</v>
      </c>
      <c r="B2019" s="2" t="s">
        <v>4608</v>
      </c>
      <c r="C2019" s="2" t="s">
        <v>556</v>
      </c>
      <c r="D2019" s="2" t="s">
        <v>37</v>
      </c>
      <c r="E2019" s="2" t="str">
        <f>"9783837678208"</f>
        <v>9783837678208</v>
      </c>
      <c r="F2019" s="2" t="str">
        <f>"9783839413128"</f>
        <v>9783839413128</v>
      </c>
    </row>
    <row r="2020" spans="1:6" s="3" customFormat="1" ht="29.1" customHeight="1" x14ac:dyDescent="0.25">
      <c r="A2020" s="2" t="s">
        <v>4609</v>
      </c>
      <c r="B2020" s="2" t="s">
        <v>4610</v>
      </c>
      <c r="C2020" s="2" t="s">
        <v>556</v>
      </c>
      <c r="D2020" s="2" t="s">
        <v>1189</v>
      </c>
      <c r="E2020" s="2" t="str">
        <f>"9783837677652"</f>
        <v>9783837677652</v>
      </c>
      <c r="F2020" s="2" t="str">
        <f>"9783839407066"</f>
        <v>9783839407066</v>
      </c>
    </row>
    <row r="2021" spans="1:6" s="3" customFormat="1" ht="29.1" customHeight="1" x14ac:dyDescent="0.25">
      <c r="A2021" s="2" t="s">
        <v>4611</v>
      </c>
      <c r="B2021" s="2" t="s">
        <v>4613</v>
      </c>
      <c r="C2021" s="2" t="s">
        <v>556</v>
      </c>
      <c r="D2021" s="2" t="s">
        <v>4612</v>
      </c>
      <c r="E2021" s="2" t="str">
        <f>"9783837677300"</f>
        <v>9783837677300</v>
      </c>
      <c r="F2021" s="2" t="str">
        <f>"9783839403150"</f>
        <v>9783839403150</v>
      </c>
    </row>
    <row r="2022" spans="1:6" s="3" customFormat="1" ht="29.1" customHeight="1" x14ac:dyDescent="0.25">
      <c r="A2022" s="2" t="s">
        <v>4614</v>
      </c>
      <c r="B2022" s="2" t="s">
        <v>4615</v>
      </c>
      <c r="C2022" s="2" t="s">
        <v>556</v>
      </c>
      <c r="D2022" s="2" t="s">
        <v>647</v>
      </c>
      <c r="E2022" s="2" t="str">
        <f>"9783837668834"</f>
        <v>9783837668834</v>
      </c>
      <c r="F2022" s="2" t="str">
        <f>"9783839468838"</f>
        <v>9783839468838</v>
      </c>
    </row>
    <row r="2023" spans="1:6" s="3" customFormat="1" ht="29.1" customHeight="1" x14ac:dyDescent="0.25">
      <c r="A2023" s="2" t="s">
        <v>4616</v>
      </c>
      <c r="B2023" s="2" t="s">
        <v>4617</v>
      </c>
      <c r="C2023" s="2" t="s">
        <v>195</v>
      </c>
      <c r="D2023" s="2" t="s">
        <v>3130</v>
      </c>
      <c r="E2023" s="2" t="str">
        <f>"9783111710655"</f>
        <v>9783111710655</v>
      </c>
      <c r="F2023" s="2" t="str">
        <f>"9783111727653"</f>
        <v>9783111727653</v>
      </c>
    </row>
    <row r="2024" spans="1:6" s="3" customFormat="1" ht="29.1" customHeight="1" x14ac:dyDescent="0.25">
      <c r="A2024" s="2" t="s">
        <v>4618</v>
      </c>
      <c r="B2024" s="2" t="s">
        <v>4620</v>
      </c>
      <c r="C2024" s="2" t="s">
        <v>195</v>
      </c>
      <c r="D2024" s="2" t="s">
        <v>4619</v>
      </c>
      <c r="E2024" s="2" t="str">
        <f>"9783111321769"</f>
        <v>9783111321769</v>
      </c>
      <c r="F2024" s="2" t="str">
        <f>"9783111321905"</f>
        <v>9783111321905</v>
      </c>
    </row>
    <row r="2025" spans="1:6" s="3" customFormat="1" ht="29.1" customHeight="1" x14ac:dyDescent="0.25">
      <c r="A2025" s="2" t="s">
        <v>4621</v>
      </c>
      <c r="B2025" s="2" t="s">
        <v>4622</v>
      </c>
      <c r="C2025" s="2" t="s">
        <v>29</v>
      </c>
      <c r="D2025" s="2" t="s">
        <v>479</v>
      </c>
      <c r="E2025" s="2" t="str">
        <f>"9789004725225"</f>
        <v>9789004725225</v>
      </c>
      <c r="F2025" s="2" t="str">
        <f>"9789004725232"</f>
        <v>9789004725232</v>
      </c>
    </row>
    <row r="2026" spans="1:6" s="3" customFormat="1" ht="29.1" customHeight="1" x14ac:dyDescent="0.25">
      <c r="A2026" s="2" t="s">
        <v>4623</v>
      </c>
      <c r="B2026" s="2" t="s">
        <v>4624</v>
      </c>
      <c r="C2026" s="2" t="s">
        <v>29</v>
      </c>
      <c r="D2026" s="2" t="s">
        <v>879</v>
      </c>
      <c r="E2026" s="2" t="str">
        <f>"9789004726963"</f>
        <v>9789004726963</v>
      </c>
      <c r="F2026" s="2" t="str">
        <f>"9789004726970"</f>
        <v>9789004726970</v>
      </c>
    </row>
    <row r="2027" spans="1:6" s="3" customFormat="1" ht="29.1" customHeight="1" x14ac:dyDescent="0.25">
      <c r="A2027" s="2" t="s">
        <v>4625</v>
      </c>
      <c r="B2027" s="2" t="s">
        <v>4626</v>
      </c>
      <c r="C2027" s="2" t="s">
        <v>2183</v>
      </c>
      <c r="D2027" s="2" t="s">
        <v>107</v>
      </c>
      <c r="E2027" s="2" t="str">
        <f>"9781802700275"</f>
        <v>9781802700275</v>
      </c>
      <c r="F2027" s="2" t="str">
        <f>"9781802703399"</f>
        <v>9781802703399</v>
      </c>
    </row>
    <row r="2028" spans="1:6" s="3" customFormat="1" ht="29.1" customHeight="1" x14ac:dyDescent="0.25">
      <c r="A2028" s="2" t="s">
        <v>4627</v>
      </c>
      <c r="B2028" s="2" t="s">
        <v>4628</v>
      </c>
      <c r="C2028" s="2" t="s">
        <v>29</v>
      </c>
      <c r="D2028" s="2" t="s">
        <v>408</v>
      </c>
      <c r="E2028" s="2" t="str">
        <f>"9789004706392"</f>
        <v>9789004706392</v>
      </c>
      <c r="F2028" s="2" t="str">
        <f>"9789004726550"</f>
        <v>9789004726550</v>
      </c>
    </row>
    <row r="2029" spans="1:6" s="3" customFormat="1" ht="29.1" customHeight="1" x14ac:dyDescent="0.25">
      <c r="A2029" s="2" t="s">
        <v>4629</v>
      </c>
      <c r="B2029" s="2" t="s">
        <v>4630</v>
      </c>
      <c r="C2029" s="2" t="s">
        <v>29</v>
      </c>
      <c r="D2029" s="2" t="s">
        <v>4002</v>
      </c>
      <c r="E2029" s="2" t="str">
        <f>"9789004730601"</f>
        <v>9789004730601</v>
      </c>
      <c r="F2029" s="2" t="str">
        <f>"9789004730618"</f>
        <v>9789004730618</v>
      </c>
    </row>
    <row r="2030" spans="1:6" s="3" customFormat="1" ht="29.1" customHeight="1" x14ac:dyDescent="0.25">
      <c r="A2030" s="2" t="s">
        <v>4631</v>
      </c>
      <c r="B2030" s="2" t="s">
        <v>4632</v>
      </c>
      <c r="C2030" s="2" t="s">
        <v>29</v>
      </c>
      <c r="D2030" s="2" t="s">
        <v>9</v>
      </c>
      <c r="E2030" s="2" t="str">
        <f>"9789004731578"</f>
        <v>9789004731578</v>
      </c>
      <c r="F2030" s="2" t="str">
        <f>"9789004731585"</f>
        <v>9789004731585</v>
      </c>
    </row>
    <row r="2031" spans="1:6" s="3" customFormat="1" ht="29.1" customHeight="1" x14ac:dyDescent="0.25">
      <c r="A2031" s="2" t="s">
        <v>4633</v>
      </c>
      <c r="B2031" s="2" t="s">
        <v>4635</v>
      </c>
      <c r="C2031" s="2" t="s">
        <v>4104</v>
      </c>
      <c r="D2031" s="2" t="s">
        <v>4634</v>
      </c>
      <c r="E2031" s="2" t="str">
        <f>"9781846317088"</f>
        <v>9781846317088</v>
      </c>
      <c r="F2031" s="2" t="str">
        <f>"9781789624199"</f>
        <v>9781789624199</v>
      </c>
    </row>
    <row r="2032" spans="1:6" s="3" customFormat="1" ht="29.1" customHeight="1" x14ac:dyDescent="0.25">
      <c r="A2032" s="2" t="s">
        <v>4636</v>
      </c>
      <c r="B2032" s="2" t="s">
        <v>4637</v>
      </c>
      <c r="C2032" s="2" t="s">
        <v>4104</v>
      </c>
      <c r="D2032" s="2" t="s">
        <v>3993</v>
      </c>
      <c r="E2032" s="2" t="str">
        <f>"9781835537268"</f>
        <v>9781835537268</v>
      </c>
      <c r="F2032" s="2" t="str">
        <f>"9781835537275"</f>
        <v>9781835537275</v>
      </c>
    </row>
    <row r="2033" spans="1:6" s="3" customFormat="1" ht="29.1" customHeight="1" x14ac:dyDescent="0.25">
      <c r="A2033" s="2" t="s">
        <v>4638</v>
      </c>
      <c r="B2033" s="2" t="s">
        <v>4640</v>
      </c>
      <c r="C2033" s="2" t="s">
        <v>4104</v>
      </c>
      <c r="D2033" s="2" t="s">
        <v>4639</v>
      </c>
      <c r="E2033" s="2" t="str">
        <f>"9781837644414"</f>
        <v>9781837644414</v>
      </c>
      <c r="F2033" s="2" t="str">
        <f>"9781835532409"</f>
        <v>9781835532409</v>
      </c>
    </row>
    <row r="2034" spans="1:6" s="3" customFormat="1" ht="29.1" customHeight="1" x14ac:dyDescent="0.25">
      <c r="A2034" s="2" t="s">
        <v>4641</v>
      </c>
      <c r="B2034" s="2" t="s">
        <v>4642</v>
      </c>
      <c r="C2034" s="2" t="s">
        <v>36</v>
      </c>
      <c r="D2034" s="2" t="s">
        <v>125</v>
      </c>
      <c r="E2034" s="2"/>
      <c r="F2034" s="2" t="str">
        <f>"9781529237542"</f>
        <v>9781529237542</v>
      </c>
    </row>
    <row r="2035" spans="1:6" s="3" customFormat="1" ht="29.1" customHeight="1" x14ac:dyDescent="0.25">
      <c r="A2035" s="2" t="s">
        <v>4643</v>
      </c>
      <c r="B2035" s="2" t="s">
        <v>4644</v>
      </c>
      <c r="C2035" s="2" t="s">
        <v>36</v>
      </c>
      <c r="D2035" s="2" t="s">
        <v>4561</v>
      </c>
      <c r="E2035" s="2"/>
      <c r="F2035" s="2" t="str">
        <f>"9781529231977"</f>
        <v>9781529231977</v>
      </c>
    </row>
    <row r="2036" spans="1:6" s="3" customFormat="1" ht="29.1" customHeight="1" x14ac:dyDescent="0.25">
      <c r="A2036" s="2" t="s">
        <v>4645</v>
      </c>
      <c r="B2036" s="2" t="s">
        <v>4646</v>
      </c>
      <c r="C2036" s="2" t="s">
        <v>5</v>
      </c>
      <c r="D2036" s="2" t="s">
        <v>537</v>
      </c>
      <c r="E2036" s="2" t="str">
        <f>"9782384764075"</f>
        <v>9782384764075</v>
      </c>
      <c r="F2036" s="2" t="str">
        <f>"9782384764082"</f>
        <v>9782384764082</v>
      </c>
    </row>
    <row r="2037" spans="1:6" s="3" customFormat="1" ht="29.1" customHeight="1" x14ac:dyDescent="0.25">
      <c r="A2037" s="2" t="s">
        <v>4647</v>
      </c>
      <c r="B2037" s="2" t="s">
        <v>4648</v>
      </c>
      <c r="C2037" s="2" t="s">
        <v>746</v>
      </c>
      <c r="D2037" s="2" t="s">
        <v>606</v>
      </c>
      <c r="E2037" s="2" t="str">
        <f>"9781803279534"</f>
        <v>9781803279534</v>
      </c>
      <c r="F2037" s="2" t="str">
        <f>"9781803279541"</f>
        <v>9781803279541</v>
      </c>
    </row>
    <row r="2038" spans="1:6" s="3" customFormat="1" ht="29.1" customHeight="1" x14ac:dyDescent="0.25">
      <c r="A2038" s="2" t="s">
        <v>4649</v>
      </c>
      <c r="B2038" s="2" t="s">
        <v>4650</v>
      </c>
      <c r="C2038" s="2" t="s">
        <v>5</v>
      </c>
      <c r="D2038" s="2" t="s">
        <v>2139</v>
      </c>
      <c r="E2038" s="2" t="str">
        <f>"9783658480042"</f>
        <v>9783658480042</v>
      </c>
      <c r="F2038" s="2" t="str">
        <f>"9783658480059"</f>
        <v>9783658480059</v>
      </c>
    </row>
    <row r="2039" spans="1:6" s="3" customFormat="1" ht="29.1" customHeight="1" x14ac:dyDescent="0.25">
      <c r="A2039" s="2" t="s">
        <v>4651</v>
      </c>
      <c r="B2039" s="2" t="s">
        <v>4652</v>
      </c>
      <c r="C2039" s="2" t="s">
        <v>5</v>
      </c>
      <c r="D2039" s="2" t="s">
        <v>321</v>
      </c>
      <c r="E2039" s="2" t="str">
        <f>"9783031888304"</f>
        <v>9783031888304</v>
      </c>
      <c r="F2039" s="2" t="str">
        <f>"9783031888311"</f>
        <v>9783031888311</v>
      </c>
    </row>
    <row r="2040" spans="1:6" s="3" customFormat="1" ht="29.1" customHeight="1" x14ac:dyDescent="0.25">
      <c r="A2040" s="2" t="s">
        <v>4653</v>
      </c>
      <c r="B2040" s="2" t="s">
        <v>4655</v>
      </c>
      <c r="C2040" s="2" t="s">
        <v>124</v>
      </c>
      <c r="D2040" s="2" t="s">
        <v>4654</v>
      </c>
      <c r="E2040" s="2" t="str">
        <f>"9781032619842"</f>
        <v>9781032619842</v>
      </c>
      <c r="F2040" s="2" t="str">
        <f>"9781032619910"</f>
        <v>9781032619910</v>
      </c>
    </row>
    <row r="2041" spans="1:6" s="3" customFormat="1" ht="29.1" customHeight="1" x14ac:dyDescent="0.25">
      <c r="A2041" s="2" t="s">
        <v>4656</v>
      </c>
      <c r="B2041" s="2" t="s">
        <v>4658</v>
      </c>
      <c r="C2041" s="2" t="s">
        <v>149</v>
      </c>
      <c r="D2041" s="2" t="s">
        <v>4657</v>
      </c>
      <c r="E2041" s="2" t="str">
        <f>"9781685712785"</f>
        <v>9781685712785</v>
      </c>
      <c r="F2041" s="2" t="str">
        <f>"9781685712792"</f>
        <v>9781685712792</v>
      </c>
    </row>
    <row r="2042" spans="1:6" s="3" customFormat="1" ht="29.1" customHeight="1" x14ac:dyDescent="0.25">
      <c r="A2042" s="2" t="s">
        <v>4659</v>
      </c>
      <c r="B2042" s="2" t="s">
        <v>4660</v>
      </c>
      <c r="C2042" s="2" t="s">
        <v>149</v>
      </c>
      <c r="D2042" s="2" t="s">
        <v>1198</v>
      </c>
      <c r="E2042" s="2" t="str">
        <f>"9781685711825"</f>
        <v>9781685711825</v>
      </c>
      <c r="F2042" s="2" t="str">
        <f>"9781685711832"</f>
        <v>9781685711832</v>
      </c>
    </row>
    <row r="2043" spans="1:6" s="3" customFormat="1" ht="29.1" customHeight="1" x14ac:dyDescent="0.25">
      <c r="A2043" s="2" t="s">
        <v>4661</v>
      </c>
      <c r="B2043" s="2" t="s">
        <v>4662</v>
      </c>
      <c r="C2043" s="2" t="s">
        <v>29</v>
      </c>
      <c r="D2043" s="2" t="s">
        <v>879</v>
      </c>
      <c r="E2043" s="2" t="str">
        <f>"9789004724020"</f>
        <v>9789004724020</v>
      </c>
      <c r="F2043" s="2" t="str">
        <f>"9789004724037"</f>
        <v>9789004724037</v>
      </c>
    </row>
    <row r="2044" spans="1:6" s="3" customFormat="1" ht="29.1" customHeight="1" x14ac:dyDescent="0.25">
      <c r="A2044" s="2" t="s">
        <v>4663</v>
      </c>
      <c r="B2044" s="2" t="s">
        <v>4664</v>
      </c>
      <c r="C2044" s="2" t="s">
        <v>2133</v>
      </c>
      <c r="D2044" s="2" t="s">
        <v>501</v>
      </c>
      <c r="E2044" s="2" t="str">
        <f>"9781760466893"</f>
        <v>9781760466893</v>
      </c>
      <c r="F2044" s="2" t="str">
        <f>"9781760466909"</f>
        <v>9781760466909</v>
      </c>
    </row>
    <row r="2045" spans="1:6" s="3" customFormat="1" ht="29.1" customHeight="1" x14ac:dyDescent="0.25">
      <c r="A2045" s="2" t="s">
        <v>4665</v>
      </c>
      <c r="B2045" s="2" t="s">
        <v>4666</v>
      </c>
      <c r="C2045" s="2" t="s">
        <v>595</v>
      </c>
      <c r="D2045" s="2" t="s">
        <v>459</v>
      </c>
      <c r="E2045" s="2" t="str">
        <f>"9783631933503"</f>
        <v>9783631933503</v>
      </c>
      <c r="F2045" s="2" t="str">
        <f>"9783631933510"</f>
        <v>9783631933510</v>
      </c>
    </row>
    <row r="2046" spans="1:6" s="3" customFormat="1" ht="29.1" customHeight="1" x14ac:dyDescent="0.25">
      <c r="A2046" s="2" t="s">
        <v>4667</v>
      </c>
      <c r="B2046" s="2" t="s">
        <v>4668</v>
      </c>
      <c r="C2046" s="2" t="s">
        <v>124</v>
      </c>
      <c r="D2046" s="2" t="s">
        <v>281</v>
      </c>
      <c r="E2046" s="2" t="str">
        <f>"9781032769288"</f>
        <v>9781032769288</v>
      </c>
      <c r="F2046" s="2" t="str">
        <f>"9781003480426"</f>
        <v>9781003480426</v>
      </c>
    </row>
    <row r="2047" spans="1:6" s="3" customFormat="1" ht="29.1" customHeight="1" x14ac:dyDescent="0.25">
      <c r="A2047" s="2" t="s">
        <v>4669</v>
      </c>
      <c r="B2047" s="2" t="s">
        <v>4671</v>
      </c>
      <c r="C2047" s="2" t="s">
        <v>124</v>
      </c>
      <c r="D2047" s="2" t="s">
        <v>4670</v>
      </c>
      <c r="E2047" s="2" t="str">
        <f>"9781032957876"</f>
        <v>9781032957876</v>
      </c>
      <c r="F2047" s="2" t="str">
        <f>"9781003586593"</f>
        <v>9781003586593</v>
      </c>
    </row>
    <row r="2048" spans="1:6" s="3" customFormat="1" ht="29.1" customHeight="1" x14ac:dyDescent="0.25">
      <c r="A2048" s="2" t="s">
        <v>4672</v>
      </c>
      <c r="B2048" s="2" t="s">
        <v>4674</v>
      </c>
      <c r="C2048" s="2" t="s">
        <v>124</v>
      </c>
      <c r="D2048" s="2" t="s">
        <v>4673</v>
      </c>
      <c r="E2048" s="2" t="str">
        <f>"9781032974767"</f>
        <v>9781032974767</v>
      </c>
      <c r="F2048" s="2" t="str">
        <f>"9781003596196"</f>
        <v>9781003596196</v>
      </c>
    </row>
    <row r="2049" spans="1:6" s="3" customFormat="1" ht="29.1" customHeight="1" x14ac:dyDescent="0.25">
      <c r="A2049" s="2" t="s">
        <v>4675</v>
      </c>
      <c r="B2049" s="2" t="s">
        <v>4676</v>
      </c>
      <c r="C2049" s="2" t="s">
        <v>5</v>
      </c>
      <c r="D2049" s="2" t="s">
        <v>553</v>
      </c>
      <c r="E2049" s="2" t="str">
        <f>"9783031896415"</f>
        <v>9783031896415</v>
      </c>
      <c r="F2049" s="2" t="str">
        <f>"9783031896422"</f>
        <v>9783031896422</v>
      </c>
    </row>
    <row r="2050" spans="1:6" s="3" customFormat="1" ht="29.1" customHeight="1" x14ac:dyDescent="0.25">
      <c r="A2050" s="2" t="s">
        <v>4677</v>
      </c>
      <c r="B2050" s="2" t="s">
        <v>4679</v>
      </c>
      <c r="C2050" s="2" t="s">
        <v>29</v>
      </c>
      <c r="D2050" s="2" t="s">
        <v>4678</v>
      </c>
      <c r="E2050" s="2" t="str">
        <f>"9783506797124"</f>
        <v>9783506797124</v>
      </c>
      <c r="F2050" s="2" t="str">
        <f>"9783657797127"</f>
        <v>9783657797127</v>
      </c>
    </row>
    <row r="2051" spans="1:6" s="3" customFormat="1" ht="29.1" customHeight="1" x14ac:dyDescent="0.25">
      <c r="A2051" s="2" t="s">
        <v>4680</v>
      </c>
      <c r="B2051" s="2" t="s">
        <v>4681</v>
      </c>
      <c r="C2051" s="2" t="s">
        <v>5</v>
      </c>
      <c r="D2051" s="2" t="s">
        <v>689</v>
      </c>
      <c r="E2051" s="2" t="str">
        <f>"9783031933608"</f>
        <v>9783031933608</v>
      </c>
      <c r="F2051" s="2" t="str">
        <f>"9783031933615"</f>
        <v>9783031933615</v>
      </c>
    </row>
    <row r="2052" spans="1:6" s="3" customFormat="1" ht="29.1" customHeight="1" x14ac:dyDescent="0.25">
      <c r="A2052" s="2" t="s">
        <v>4682</v>
      </c>
      <c r="B2052" s="2" t="s">
        <v>4683</v>
      </c>
      <c r="C2052" s="2" t="s">
        <v>305</v>
      </c>
      <c r="D2052" s="2" t="s">
        <v>512</v>
      </c>
      <c r="E2052" s="2"/>
      <c r="F2052" s="2" t="str">
        <f>"9786218438095"</f>
        <v>9786218438095</v>
      </c>
    </row>
    <row r="2053" spans="1:6" s="3" customFormat="1" ht="29.1" customHeight="1" x14ac:dyDescent="0.25">
      <c r="A2053" s="2" t="s">
        <v>4684</v>
      </c>
      <c r="B2053" s="2" t="s">
        <v>4685</v>
      </c>
      <c r="C2053" s="2" t="s">
        <v>124</v>
      </c>
      <c r="D2053" s="2" t="s">
        <v>818</v>
      </c>
      <c r="E2053" s="2" t="str">
        <f>"9781138315334"</f>
        <v>9781138315334</v>
      </c>
      <c r="F2053" s="2" t="str">
        <f>"9780429456398"</f>
        <v>9780429456398</v>
      </c>
    </row>
    <row r="2054" spans="1:6" s="3" customFormat="1" ht="29.1" customHeight="1" x14ac:dyDescent="0.25">
      <c r="A2054" s="2" t="s">
        <v>4686</v>
      </c>
      <c r="B2054" s="2" t="s">
        <v>4687</v>
      </c>
      <c r="C2054" s="2" t="s">
        <v>36</v>
      </c>
      <c r="D2054" s="2" t="s">
        <v>876</v>
      </c>
      <c r="E2054" s="2"/>
      <c r="F2054" s="2" t="str">
        <f>"9781529248944"</f>
        <v>9781529248944</v>
      </c>
    </row>
    <row r="2055" spans="1:6" s="3" customFormat="1" ht="29.1" customHeight="1" x14ac:dyDescent="0.25">
      <c r="A2055" s="2" t="s">
        <v>4688</v>
      </c>
      <c r="B2055" s="2"/>
      <c r="C2055" s="2" t="s">
        <v>59</v>
      </c>
      <c r="D2055" s="2" t="s">
        <v>547</v>
      </c>
      <c r="E2055" s="2"/>
      <c r="F2055" s="2" t="str">
        <f>"9782759240098"</f>
        <v>9782759240098</v>
      </c>
    </row>
    <row r="2056" spans="1:6" s="3" customFormat="1" ht="29.1" customHeight="1" x14ac:dyDescent="0.25">
      <c r="A2056" s="2" t="s">
        <v>4689</v>
      </c>
      <c r="B2056" s="2" t="s">
        <v>4690</v>
      </c>
      <c r="C2056" s="2" t="s">
        <v>248</v>
      </c>
      <c r="D2056" s="2" t="s">
        <v>249</v>
      </c>
      <c r="E2056" s="2" t="str">
        <f>"9783966650991"</f>
        <v>9783966650991</v>
      </c>
      <c r="F2056" s="2" t="str">
        <f>"9783966658966"</f>
        <v>9783966658966</v>
      </c>
    </row>
    <row r="2057" spans="1:6" s="3" customFormat="1" ht="29.1" customHeight="1" x14ac:dyDescent="0.25">
      <c r="A2057" s="2" t="s">
        <v>4691</v>
      </c>
      <c r="B2057" s="2" t="s">
        <v>4692</v>
      </c>
      <c r="C2057" s="2" t="s">
        <v>248</v>
      </c>
      <c r="D2057" s="2" t="s">
        <v>249</v>
      </c>
      <c r="E2057" s="2" t="str">
        <f>"9783847430964"</f>
        <v>9783847430964</v>
      </c>
      <c r="F2057" s="2" t="str">
        <f>"9783847432289"</f>
        <v>9783847432289</v>
      </c>
    </row>
    <row r="2058" spans="1:6" s="3" customFormat="1" ht="29.1" customHeight="1" x14ac:dyDescent="0.25">
      <c r="A2058" s="2" t="s">
        <v>4693</v>
      </c>
      <c r="B2058" s="2" t="s">
        <v>4694</v>
      </c>
      <c r="C2058" s="2" t="s">
        <v>248</v>
      </c>
      <c r="D2058" s="2" t="s">
        <v>249</v>
      </c>
      <c r="E2058" s="2" t="str">
        <f>"9783847431350"</f>
        <v>9783847431350</v>
      </c>
      <c r="F2058" s="2" t="str">
        <f>"9783847432708"</f>
        <v>9783847432708</v>
      </c>
    </row>
    <row r="2059" spans="1:6" s="3" customFormat="1" ht="29.1" customHeight="1" x14ac:dyDescent="0.25">
      <c r="A2059" s="2" t="s">
        <v>4695</v>
      </c>
      <c r="B2059" s="2" t="s">
        <v>4696</v>
      </c>
      <c r="C2059" s="2" t="s">
        <v>248</v>
      </c>
      <c r="D2059" s="2" t="s">
        <v>2752</v>
      </c>
      <c r="E2059" s="2" t="str">
        <f>"9783847431688"</f>
        <v>9783847431688</v>
      </c>
      <c r="F2059" s="2" t="str">
        <f>"9783847433064"</f>
        <v>9783847433064</v>
      </c>
    </row>
    <row r="2060" spans="1:6" s="3" customFormat="1" ht="29.1" customHeight="1" x14ac:dyDescent="0.25">
      <c r="A2060" s="2" t="s">
        <v>4697</v>
      </c>
      <c r="B2060" s="2" t="s">
        <v>4698</v>
      </c>
      <c r="C2060" s="2" t="s">
        <v>248</v>
      </c>
      <c r="D2060" s="2" t="s">
        <v>836</v>
      </c>
      <c r="E2060" s="2" t="str">
        <f>"9783847430988"</f>
        <v>9783847430988</v>
      </c>
      <c r="F2060" s="2" t="str">
        <f>"9783847432333"</f>
        <v>9783847432333</v>
      </c>
    </row>
    <row r="2061" spans="1:6" s="3" customFormat="1" ht="29.1" customHeight="1" x14ac:dyDescent="0.25">
      <c r="A2061" s="2" t="s">
        <v>4699</v>
      </c>
      <c r="B2061" s="2" t="s">
        <v>4701</v>
      </c>
      <c r="C2061" s="2" t="s">
        <v>29</v>
      </c>
      <c r="D2061" s="2" t="s">
        <v>4700</v>
      </c>
      <c r="E2061" s="2" t="str">
        <f>"9789004705784"</f>
        <v>9789004705784</v>
      </c>
      <c r="F2061" s="2" t="str">
        <f>"9789004705791"</f>
        <v>9789004705791</v>
      </c>
    </row>
    <row r="2062" spans="1:6" s="3" customFormat="1" ht="29.1" customHeight="1" x14ac:dyDescent="0.25">
      <c r="A2062" s="2" t="s">
        <v>4702</v>
      </c>
      <c r="B2062" s="2" t="s">
        <v>4703</v>
      </c>
      <c r="C2062" s="2" t="s">
        <v>29</v>
      </c>
      <c r="D2062" s="2" t="s">
        <v>3166</v>
      </c>
      <c r="E2062" s="2" t="str">
        <f>"9789004723382"</f>
        <v>9789004723382</v>
      </c>
      <c r="F2062" s="2" t="str">
        <f>"9789004737563"</f>
        <v>9789004737563</v>
      </c>
    </row>
    <row r="2063" spans="1:6" s="3" customFormat="1" ht="29.1" customHeight="1" x14ac:dyDescent="0.25">
      <c r="A2063" s="2" t="s">
        <v>4704</v>
      </c>
      <c r="B2063" s="2" t="s">
        <v>4705</v>
      </c>
      <c r="C2063" s="2" t="s">
        <v>5</v>
      </c>
      <c r="D2063" s="2" t="s">
        <v>9</v>
      </c>
      <c r="E2063" s="2" t="str">
        <f>"9782384764235"</f>
        <v>9782384764235</v>
      </c>
      <c r="F2063" s="2" t="str">
        <f>"9782384764242"</f>
        <v>9782384764242</v>
      </c>
    </row>
    <row r="2064" spans="1:6" s="3" customFormat="1" ht="29.1" customHeight="1" x14ac:dyDescent="0.25">
      <c r="A2064" s="2" t="s">
        <v>4706</v>
      </c>
      <c r="B2064" s="2" t="s">
        <v>4707</v>
      </c>
      <c r="C2064" s="2" t="s">
        <v>5</v>
      </c>
      <c r="D2064" s="2" t="s">
        <v>52</v>
      </c>
      <c r="E2064" s="2" t="str">
        <f>"9789464637618"</f>
        <v>9789464637618</v>
      </c>
      <c r="F2064" s="2" t="str">
        <f>"9789464637625"</f>
        <v>9789464637625</v>
      </c>
    </row>
    <row r="2065" spans="1:6" s="3" customFormat="1" ht="29.1" customHeight="1" x14ac:dyDescent="0.25">
      <c r="A2065" s="2" t="s">
        <v>4708</v>
      </c>
      <c r="B2065" s="2" t="s">
        <v>4709</v>
      </c>
      <c r="C2065" s="2" t="s">
        <v>5</v>
      </c>
      <c r="D2065" s="2" t="s">
        <v>9</v>
      </c>
      <c r="E2065" s="2" t="str">
        <f>"9789464637496"</f>
        <v>9789464637496</v>
      </c>
      <c r="F2065" s="2" t="str">
        <f>"9789464637502"</f>
        <v>9789464637502</v>
      </c>
    </row>
    <row r="2066" spans="1:6" s="3" customFormat="1" ht="29.1" customHeight="1" x14ac:dyDescent="0.25">
      <c r="A2066" s="2" t="s">
        <v>4710</v>
      </c>
      <c r="B2066" s="2" t="s">
        <v>4711</v>
      </c>
      <c r="C2066" s="2" t="s">
        <v>5</v>
      </c>
      <c r="D2066" s="2" t="s">
        <v>689</v>
      </c>
      <c r="E2066" s="2" t="str">
        <f>"9782384764150"</f>
        <v>9782384764150</v>
      </c>
      <c r="F2066" s="2" t="str">
        <f>"9782384764167"</f>
        <v>9782384764167</v>
      </c>
    </row>
    <row r="2067" spans="1:6" s="3" customFormat="1" ht="29.1" customHeight="1" x14ac:dyDescent="0.25">
      <c r="A2067" s="2" t="s">
        <v>4712</v>
      </c>
      <c r="B2067" s="2" t="s">
        <v>4714</v>
      </c>
      <c r="C2067" s="2" t="s">
        <v>5</v>
      </c>
      <c r="D2067" s="2" t="s">
        <v>4713</v>
      </c>
      <c r="E2067" s="2" t="str">
        <f>"9783031929045"</f>
        <v>9783031929045</v>
      </c>
      <c r="F2067" s="2" t="str">
        <f>"9783031929052"</f>
        <v>9783031929052</v>
      </c>
    </row>
    <row r="2068" spans="1:6" s="3" customFormat="1" ht="29.1" customHeight="1" x14ac:dyDescent="0.25">
      <c r="A2068" s="2" t="s">
        <v>4715</v>
      </c>
      <c r="B2068" s="2" t="s">
        <v>4716</v>
      </c>
      <c r="C2068" s="2" t="s">
        <v>5</v>
      </c>
      <c r="D2068" s="2" t="s">
        <v>294</v>
      </c>
      <c r="E2068" s="2" t="str">
        <f>"9783031855535"</f>
        <v>9783031855535</v>
      </c>
      <c r="F2068" s="2" t="str">
        <f>"9783031855542"</f>
        <v>9783031855542</v>
      </c>
    </row>
    <row r="2069" spans="1:6" s="3" customFormat="1" ht="29.1" customHeight="1" x14ac:dyDescent="0.25">
      <c r="A2069" s="2" t="s">
        <v>4717</v>
      </c>
      <c r="B2069" s="2" t="s">
        <v>4718</v>
      </c>
      <c r="C2069" s="2" t="s">
        <v>5</v>
      </c>
      <c r="D2069" s="2" t="s">
        <v>144</v>
      </c>
      <c r="E2069" s="2" t="str">
        <f>"9789819635955"</f>
        <v>9789819635955</v>
      </c>
      <c r="F2069" s="2" t="str">
        <f>"9789819635962"</f>
        <v>9789819635962</v>
      </c>
    </row>
    <row r="2070" spans="1:6" s="3" customFormat="1" ht="29.1" customHeight="1" x14ac:dyDescent="0.25">
      <c r="A2070" s="2" t="s">
        <v>4719</v>
      </c>
      <c r="B2070" s="2" t="s">
        <v>4721</v>
      </c>
      <c r="C2070" s="2" t="s">
        <v>927</v>
      </c>
      <c r="D2070" s="2" t="s">
        <v>4720</v>
      </c>
      <c r="E2070" s="2" t="str">
        <f>"9781915445810"</f>
        <v>9781915445810</v>
      </c>
      <c r="F2070" s="2" t="str">
        <f>"9781915445827"</f>
        <v>9781915445827</v>
      </c>
    </row>
    <row r="2071" spans="1:6" s="3" customFormat="1" ht="29.1" customHeight="1" x14ac:dyDescent="0.25">
      <c r="A2071" s="2" t="s">
        <v>4722</v>
      </c>
      <c r="B2071" s="2" t="s">
        <v>4723</v>
      </c>
      <c r="C2071" s="2" t="s">
        <v>36</v>
      </c>
      <c r="D2071" s="2" t="s">
        <v>2361</v>
      </c>
      <c r="E2071" s="2"/>
      <c r="F2071" s="2" t="str">
        <f>"9781529235838"</f>
        <v>9781529235838</v>
      </c>
    </row>
    <row r="2072" spans="1:6" s="3" customFormat="1" ht="29.1" customHeight="1" x14ac:dyDescent="0.25">
      <c r="A2072" s="2" t="s">
        <v>4724</v>
      </c>
      <c r="B2072" s="2" t="s">
        <v>4725</v>
      </c>
      <c r="C2072" s="2" t="s">
        <v>746</v>
      </c>
      <c r="D2072" s="2" t="s">
        <v>606</v>
      </c>
      <c r="E2072" s="2" t="str">
        <f>"9781803279558"</f>
        <v>9781803279558</v>
      </c>
      <c r="F2072" s="2" t="str">
        <f>"9781803279565"</f>
        <v>9781803279565</v>
      </c>
    </row>
    <row r="2073" spans="1:6" s="3" customFormat="1" ht="29.1" customHeight="1" x14ac:dyDescent="0.25">
      <c r="A2073" s="2" t="s">
        <v>4726</v>
      </c>
      <c r="B2073" s="2" t="s">
        <v>4727</v>
      </c>
      <c r="C2073" s="2" t="s">
        <v>5</v>
      </c>
      <c r="D2073" s="2" t="s">
        <v>44</v>
      </c>
      <c r="E2073" s="2" t="str">
        <f>"9789464637250"</f>
        <v>9789464637250</v>
      </c>
      <c r="F2073" s="2" t="str">
        <f>"9789464637267"</f>
        <v>9789464637267</v>
      </c>
    </row>
    <row r="2074" spans="1:6" s="3" customFormat="1" ht="29.1" customHeight="1" x14ac:dyDescent="0.25">
      <c r="A2074" s="2" t="s">
        <v>4728</v>
      </c>
      <c r="B2074" s="2" t="s">
        <v>4729</v>
      </c>
      <c r="C2074" s="2" t="s">
        <v>5</v>
      </c>
      <c r="D2074" s="2" t="s">
        <v>378</v>
      </c>
      <c r="E2074" s="2" t="str">
        <f>"9783031948329"</f>
        <v>9783031948329</v>
      </c>
      <c r="F2074" s="2" t="str">
        <f>"9783031948336"</f>
        <v>9783031948336</v>
      </c>
    </row>
    <row r="2075" spans="1:6" s="3" customFormat="1" ht="29.1" customHeight="1" x14ac:dyDescent="0.25">
      <c r="A2075" s="2" t="s">
        <v>4730</v>
      </c>
      <c r="B2075" s="2" t="s">
        <v>4731</v>
      </c>
      <c r="C2075" s="2" t="s">
        <v>5</v>
      </c>
      <c r="D2075" s="2" t="s">
        <v>2329</v>
      </c>
      <c r="E2075" s="2" t="str">
        <f>"9783658481742"</f>
        <v>9783658481742</v>
      </c>
      <c r="F2075" s="2" t="str">
        <f>"9783658481759"</f>
        <v>9783658481759</v>
      </c>
    </row>
    <row r="2076" spans="1:6" s="3" customFormat="1" ht="29.1" customHeight="1" x14ac:dyDescent="0.25">
      <c r="A2076" s="2" t="s">
        <v>4732</v>
      </c>
      <c r="B2076" s="2" t="s">
        <v>4733</v>
      </c>
      <c r="C2076" s="2" t="s">
        <v>29</v>
      </c>
      <c r="D2076" s="2" t="s">
        <v>1393</v>
      </c>
      <c r="E2076" s="2" t="str">
        <f>"9783506798121"</f>
        <v>9783506798121</v>
      </c>
      <c r="F2076" s="2" t="str">
        <f>"9783657798124"</f>
        <v>9783657798124</v>
      </c>
    </row>
    <row r="2077" spans="1:6" s="3" customFormat="1" ht="29.1" customHeight="1" x14ac:dyDescent="0.25">
      <c r="A2077" s="2" t="s">
        <v>4734</v>
      </c>
      <c r="B2077" s="2" t="s">
        <v>4735</v>
      </c>
      <c r="C2077" s="2" t="s">
        <v>29</v>
      </c>
      <c r="D2077" s="2" t="s">
        <v>210</v>
      </c>
      <c r="E2077" s="2" t="str">
        <f>"9789004729407"</f>
        <v>9789004729407</v>
      </c>
      <c r="F2077" s="2" t="str">
        <f>"9789004730885"</f>
        <v>9789004730885</v>
      </c>
    </row>
    <row r="2078" spans="1:6" s="3" customFormat="1" ht="29.1" customHeight="1" x14ac:dyDescent="0.25">
      <c r="A2078" s="2" t="s">
        <v>4736</v>
      </c>
      <c r="B2078" s="2" t="s">
        <v>4737</v>
      </c>
      <c r="C2078" s="2" t="s">
        <v>2188</v>
      </c>
      <c r="D2078" s="2" t="s">
        <v>81</v>
      </c>
      <c r="E2078" s="2"/>
      <c r="F2078" s="2" t="str">
        <f>"9788323244387"</f>
        <v>9788323244387</v>
      </c>
    </row>
    <row r="2079" spans="1:6" s="3" customFormat="1" ht="29.1" customHeight="1" x14ac:dyDescent="0.25">
      <c r="A2079" s="2" t="s">
        <v>4738</v>
      </c>
      <c r="B2079" s="2" t="s">
        <v>4740</v>
      </c>
      <c r="C2079" s="2" t="s">
        <v>2188</v>
      </c>
      <c r="D2079" s="2" t="s">
        <v>4739</v>
      </c>
      <c r="E2079" s="2" t="str">
        <f>"9788323242444"</f>
        <v>9788323242444</v>
      </c>
      <c r="F2079" s="2" t="str">
        <f>"9788323242451"</f>
        <v>9788323242451</v>
      </c>
    </row>
    <row r="2080" spans="1:6" s="3" customFormat="1" ht="29.1" customHeight="1" x14ac:dyDescent="0.25">
      <c r="A2080" s="2" t="s">
        <v>4741</v>
      </c>
      <c r="B2080" s="2" t="s">
        <v>4743</v>
      </c>
      <c r="C2080" s="2" t="s">
        <v>2133</v>
      </c>
      <c r="D2080" s="2" t="s">
        <v>4742</v>
      </c>
      <c r="E2080" s="2" t="str">
        <f>"9781760466831"</f>
        <v>9781760466831</v>
      </c>
      <c r="F2080" s="2" t="str">
        <f>"9781760466848"</f>
        <v>9781760466848</v>
      </c>
    </row>
    <row r="2081" spans="1:6" s="3" customFormat="1" ht="29.1" customHeight="1" x14ac:dyDescent="0.25">
      <c r="A2081" s="2" t="s">
        <v>4744</v>
      </c>
      <c r="B2081" s="2" t="s">
        <v>4745</v>
      </c>
      <c r="C2081" s="2" t="s">
        <v>2133</v>
      </c>
      <c r="D2081" s="2" t="s">
        <v>3221</v>
      </c>
      <c r="E2081" s="2" t="str">
        <f>"9781760466954"</f>
        <v>9781760466954</v>
      </c>
      <c r="F2081" s="2" t="str">
        <f>"9781760466961"</f>
        <v>9781760466961</v>
      </c>
    </row>
    <row r="2082" spans="1:6" s="3" customFormat="1" ht="29.1" customHeight="1" x14ac:dyDescent="0.25">
      <c r="A2082" s="2" t="s">
        <v>4746</v>
      </c>
      <c r="B2082" s="2" t="s">
        <v>4747</v>
      </c>
      <c r="C2082" s="2" t="s">
        <v>927</v>
      </c>
      <c r="D2082" s="2" t="s">
        <v>270</v>
      </c>
      <c r="E2082" s="2" t="str">
        <f>"9781915445773"</f>
        <v>9781915445773</v>
      </c>
      <c r="F2082" s="2" t="str">
        <f>"9781915445797"</f>
        <v>9781915445797</v>
      </c>
    </row>
    <row r="2083" spans="1:6" s="3" customFormat="1" ht="29.1" customHeight="1" x14ac:dyDescent="0.25">
      <c r="A2083" s="2" t="s">
        <v>4748</v>
      </c>
      <c r="B2083" s="2"/>
      <c r="C2083" s="2" t="s">
        <v>2183</v>
      </c>
      <c r="D2083" s="2" t="s">
        <v>3166</v>
      </c>
      <c r="E2083" s="2" t="str">
        <f>"9781802700428"</f>
        <v>9781802700428</v>
      </c>
      <c r="F2083" s="2" t="str">
        <f>"9781802703290"</f>
        <v>9781802703290</v>
      </c>
    </row>
    <row r="2084" spans="1:6" s="3" customFormat="1" ht="29.1" customHeight="1" x14ac:dyDescent="0.25">
      <c r="A2084" s="2" t="s">
        <v>4749</v>
      </c>
      <c r="B2084" s="2" t="s">
        <v>4750</v>
      </c>
      <c r="C2084" s="2" t="s">
        <v>2183</v>
      </c>
      <c r="D2084" s="2" t="s">
        <v>3166</v>
      </c>
      <c r="E2084" s="2" t="str">
        <f>"9781802702446"</f>
        <v>9781802702446</v>
      </c>
      <c r="F2084" s="2" t="str">
        <f>"9781802703115"</f>
        <v>9781802703115</v>
      </c>
    </row>
    <row r="2085" spans="1:6" s="3" customFormat="1" ht="29.1" customHeight="1" x14ac:dyDescent="0.25">
      <c r="A2085" s="2" t="s">
        <v>4751</v>
      </c>
      <c r="B2085" s="2" t="s">
        <v>4752</v>
      </c>
      <c r="C2085" s="2" t="s">
        <v>239</v>
      </c>
      <c r="D2085" s="2" t="s">
        <v>462</v>
      </c>
      <c r="E2085" s="2" t="str">
        <f>"9780520387225"</f>
        <v>9780520387225</v>
      </c>
      <c r="F2085" s="2" t="str">
        <f>"9780520387232"</f>
        <v>9780520387232</v>
      </c>
    </row>
    <row r="2086" spans="1:6" s="3" customFormat="1" ht="29.1" customHeight="1" x14ac:dyDescent="0.25">
      <c r="A2086" s="2" t="s">
        <v>4753</v>
      </c>
      <c r="B2086" s="2" t="s">
        <v>4755</v>
      </c>
      <c r="C2086" s="2" t="s">
        <v>239</v>
      </c>
      <c r="D2086" s="2" t="s">
        <v>4754</v>
      </c>
      <c r="E2086" s="2" t="str">
        <f>"9780520398795"</f>
        <v>9780520398795</v>
      </c>
      <c r="F2086" s="2" t="str">
        <f>"9780520398801"</f>
        <v>9780520398801</v>
      </c>
    </row>
    <row r="2087" spans="1:6" s="3" customFormat="1" ht="29.1" customHeight="1" x14ac:dyDescent="0.25">
      <c r="A2087" s="2" t="s">
        <v>4756</v>
      </c>
      <c r="B2087" s="2" t="s">
        <v>4757</v>
      </c>
      <c r="C2087" s="2" t="s">
        <v>5</v>
      </c>
      <c r="D2087" s="2" t="s">
        <v>9</v>
      </c>
      <c r="E2087" s="2" t="str">
        <f>"9782384764211"</f>
        <v>9782384764211</v>
      </c>
      <c r="F2087" s="2" t="str">
        <f>"9782384764228"</f>
        <v>9782384764228</v>
      </c>
    </row>
    <row r="2088" spans="1:6" s="3" customFormat="1" ht="29.1" customHeight="1" x14ac:dyDescent="0.25">
      <c r="A2088" s="2" t="s">
        <v>4758</v>
      </c>
      <c r="B2088" s="2"/>
      <c r="C2088" s="2" t="s">
        <v>5</v>
      </c>
      <c r="D2088" s="2" t="s">
        <v>12</v>
      </c>
      <c r="E2088" s="2" t="str">
        <f>"9783031730740"</f>
        <v>9783031730740</v>
      </c>
      <c r="F2088" s="2" t="str">
        <f>"9783031730757"</f>
        <v>9783031730757</v>
      </c>
    </row>
    <row r="2089" spans="1:6" s="3" customFormat="1" ht="29.1" customHeight="1" x14ac:dyDescent="0.25">
      <c r="A2089" s="2" t="s">
        <v>4759</v>
      </c>
      <c r="B2089" s="2" t="s">
        <v>4760</v>
      </c>
      <c r="C2089" s="2" t="s">
        <v>5</v>
      </c>
      <c r="D2089" s="2" t="s">
        <v>2877</v>
      </c>
      <c r="E2089" s="2" t="str">
        <f>"9783031880018"</f>
        <v>9783031880018</v>
      </c>
      <c r="F2089" s="2" t="str">
        <f>"9783031880025"</f>
        <v>9783031880025</v>
      </c>
    </row>
    <row r="2090" spans="1:6" s="3" customFormat="1" ht="29.1" customHeight="1" x14ac:dyDescent="0.25">
      <c r="A2090" s="2" t="s">
        <v>4761</v>
      </c>
      <c r="B2090" s="2" t="s">
        <v>4762</v>
      </c>
      <c r="C2090" s="2" t="s">
        <v>5</v>
      </c>
      <c r="D2090" s="2" t="s">
        <v>3379</v>
      </c>
      <c r="E2090" s="2" t="str">
        <f>"9783031947285"</f>
        <v>9783031947285</v>
      </c>
      <c r="F2090" s="2" t="str">
        <f>"9783031947292"</f>
        <v>9783031947292</v>
      </c>
    </row>
    <row r="2091" spans="1:6" s="3" customFormat="1" ht="29.1" customHeight="1" x14ac:dyDescent="0.25">
      <c r="A2091" s="2" t="s">
        <v>4763</v>
      </c>
      <c r="B2091" s="2" t="s">
        <v>4764</v>
      </c>
      <c r="C2091" s="2" t="s">
        <v>29</v>
      </c>
      <c r="D2091" s="2" t="s">
        <v>509</v>
      </c>
      <c r="E2091" s="2" t="str">
        <f>"9789004728233"</f>
        <v>9789004728233</v>
      </c>
      <c r="F2091" s="2" t="str">
        <f>"9789004728257"</f>
        <v>9789004728257</v>
      </c>
    </row>
    <row r="2092" spans="1:6" s="3" customFormat="1" ht="29.1" customHeight="1" x14ac:dyDescent="0.25">
      <c r="A2092" s="2" t="s">
        <v>4765</v>
      </c>
      <c r="B2092" s="2" t="s">
        <v>4766</v>
      </c>
      <c r="C2092" s="2" t="s">
        <v>927</v>
      </c>
      <c r="D2092" s="2" t="s">
        <v>270</v>
      </c>
      <c r="E2092" s="2" t="str">
        <f>"9780472057467"</f>
        <v>9780472057467</v>
      </c>
      <c r="F2092" s="2" t="str">
        <f>"9780472905058"</f>
        <v>9780472905058</v>
      </c>
    </row>
    <row r="2093" spans="1:6" s="3" customFormat="1" ht="29.1" customHeight="1" x14ac:dyDescent="0.25">
      <c r="A2093" s="2" t="s">
        <v>4767</v>
      </c>
      <c r="B2093" s="2" t="s">
        <v>4768</v>
      </c>
      <c r="C2093" s="2" t="s">
        <v>927</v>
      </c>
      <c r="D2093" s="2" t="s">
        <v>270</v>
      </c>
      <c r="E2093" s="2" t="str">
        <f>"9780472057740"</f>
        <v>9780472057740</v>
      </c>
      <c r="F2093" s="2" t="str">
        <f>"9780472905331"</f>
        <v>9780472905331</v>
      </c>
    </row>
    <row r="2094" spans="1:6" s="3" customFormat="1" ht="29.1" customHeight="1" x14ac:dyDescent="0.25">
      <c r="A2094" s="2" t="s">
        <v>4769</v>
      </c>
      <c r="B2094" s="2" t="s">
        <v>4770</v>
      </c>
      <c r="C2094" s="2" t="s">
        <v>2188</v>
      </c>
      <c r="D2094" s="2" t="s">
        <v>334</v>
      </c>
      <c r="E2094" s="2" t="str">
        <f>"9788323243557"</f>
        <v>9788323243557</v>
      </c>
      <c r="F2094" s="2" t="str">
        <f>"9788323243564"</f>
        <v>9788323243564</v>
      </c>
    </row>
    <row r="2095" spans="1:6" s="3" customFormat="1" ht="29.1" customHeight="1" x14ac:dyDescent="0.25">
      <c r="A2095" s="2" t="s">
        <v>4771</v>
      </c>
      <c r="B2095" s="2" t="s">
        <v>4772</v>
      </c>
      <c r="C2095" s="2" t="s">
        <v>2188</v>
      </c>
      <c r="D2095" s="2" t="s">
        <v>249</v>
      </c>
      <c r="E2095" s="2" t="str">
        <f>"9788323243717"</f>
        <v>9788323243717</v>
      </c>
      <c r="F2095" s="2" t="str">
        <f>"9788323243724"</f>
        <v>9788323243724</v>
      </c>
    </row>
    <row r="2096" spans="1:6" s="3" customFormat="1" ht="29.1" customHeight="1" x14ac:dyDescent="0.25">
      <c r="A2096" s="2" t="s">
        <v>4773</v>
      </c>
      <c r="B2096" s="2" t="s">
        <v>4774</v>
      </c>
      <c r="C2096" s="2" t="s">
        <v>124</v>
      </c>
      <c r="D2096" s="2" t="s">
        <v>694</v>
      </c>
      <c r="E2096" s="2" t="str">
        <f>"9781041000686"</f>
        <v>9781041000686</v>
      </c>
      <c r="F2096" s="2" t="str">
        <f>"9781003608035"</f>
        <v>9781003608035</v>
      </c>
    </row>
    <row r="2097" spans="1:6" s="3" customFormat="1" ht="29.1" customHeight="1" x14ac:dyDescent="0.25">
      <c r="A2097" s="2" t="s">
        <v>4775</v>
      </c>
      <c r="B2097" s="2" t="s">
        <v>4777</v>
      </c>
      <c r="C2097" s="2" t="s">
        <v>124</v>
      </c>
      <c r="D2097" s="2" t="s">
        <v>4776</v>
      </c>
      <c r="E2097" s="2" t="str">
        <f>"9781032802053"</f>
        <v>9781032802053</v>
      </c>
      <c r="F2097" s="2" t="str">
        <f>"9781003495970"</f>
        <v>9781003495970</v>
      </c>
    </row>
    <row r="2098" spans="1:6" s="3" customFormat="1" ht="29.1" customHeight="1" x14ac:dyDescent="0.25">
      <c r="A2098" s="2" t="s">
        <v>4778</v>
      </c>
      <c r="B2098" s="2" t="s">
        <v>4779</v>
      </c>
      <c r="C2098" s="2" t="s">
        <v>124</v>
      </c>
      <c r="D2098" s="2" t="s">
        <v>4210</v>
      </c>
      <c r="E2098" s="2" t="str">
        <f>"9781032489025"</f>
        <v>9781032489025</v>
      </c>
      <c r="F2098" s="2" t="str">
        <f>"9781003391333"</f>
        <v>9781003391333</v>
      </c>
    </row>
    <row r="2099" spans="1:6" s="3" customFormat="1" ht="29.1" customHeight="1" x14ac:dyDescent="0.25">
      <c r="A2099" s="2" t="s">
        <v>4780</v>
      </c>
      <c r="B2099" s="2" t="s">
        <v>4781</v>
      </c>
      <c r="C2099" s="2" t="s">
        <v>124</v>
      </c>
      <c r="D2099" s="2" t="s">
        <v>168</v>
      </c>
      <c r="E2099" s="2" t="str">
        <f>"9781032722863"</f>
        <v>9781032722863</v>
      </c>
      <c r="F2099" s="2" t="str">
        <f>"9781003470632"</f>
        <v>9781003470632</v>
      </c>
    </row>
    <row r="2100" spans="1:6" s="3" customFormat="1" ht="29.1" customHeight="1" x14ac:dyDescent="0.25">
      <c r="A2100" s="2" t="s">
        <v>4782</v>
      </c>
      <c r="B2100" s="2" t="s">
        <v>4784</v>
      </c>
      <c r="C2100" s="2" t="s">
        <v>124</v>
      </c>
      <c r="D2100" s="2" t="s">
        <v>4783</v>
      </c>
      <c r="E2100" s="2" t="str">
        <f>"9781041020226"</f>
        <v>9781041020226</v>
      </c>
      <c r="F2100" s="2" t="str">
        <f>"9781003617396"</f>
        <v>9781003617396</v>
      </c>
    </row>
    <row r="2101" spans="1:6" s="3" customFormat="1" ht="29.1" customHeight="1" x14ac:dyDescent="0.25">
      <c r="A2101" s="2" t="s">
        <v>4785</v>
      </c>
      <c r="B2101" s="2" t="s">
        <v>4786</v>
      </c>
      <c r="C2101" s="2" t="s">
        <v>124</v>
      </c>
      <c r="D2101" s="2" t="s">
        <v>3958</v>
      </c>
      <c r="E2101" s="2" t="str">
        <f>"9781041019947"</f>
        <v>9781041019947</v>
      </c>
      <c r="F2101" s="2" t="str">
        <f>"9781003625391"</f>
        <v>9781003625391</v>
      </c>
    </row>
    <row r="2102" spans="1:6" s="3" customFormat="1" ht="29.1" customHeight="1" x14ac:dyDescent="0.25">
      <c r="A2102" s="2" t="s">
        <v>4787</v>
      </c>
      <c r="B2102" s="2" t="s">
        <v>4790</v>
      </c>
      <c r="C2102" s="2" t="s">
        <v>4788</v>
      </c>
      <c r="D2102" s="2" t="s">
        <v>4789</v>
      </c>
      <c r="E2102" s="2"/>
      <c r="F2102" s="2" t="str">
        <f>"9781474433327"</f>
        <v>9781474433327</v>
      </c>
    </row>
    <row r="2103" spans="1:6" s="3" customFormat="1" ht="29.1" customHeight="1" x14ac:dyDescent="0.25">
      <c r="A2103" s="2" t="s">
        <v>4791</v>
      </c>
      <c r="B2103" s="2" t="s">
        <v>4793</v>
      </c>
      <c r="C2103" s="2" t="s">
        <v>239</v>
      </c>
      <c r="D2103" s="2" t="s">
        <v>4792</v>
      </c>
      <c r="E2103" s="2" t="str">
        <f>"9780520389342"</f>
        <v>9780520389342</v>
      </c>
      <c r="F2103" s="2" t="str">
        <f>"9780520389359"</f>
        <v>9780520389359</v>
      </c>
    </row>
    <row r="2104" spans="1:6" s="3" customFormat="1" ht="29.1" customHeight="1" x14ac:dyDescent="0.25">
      <c r="A2104" s="2" t="s">
        <v>4794</v>
      </c>
      <c r="B2104" s="2" t="s">
        <v>4795</v>
      </c>
      <c r="C2104" s="2" t="s">
        <v>927</v>
      </c>
      <c r="D2104" s="2" t="s">
        <v>297</v>
      </c>
      <c r="E2104" s="2" t="str">
        <f>"9781915445056"</f>
        <v>9781915445056</v>
      </c>
      <c r="F2104" s="2" t="str">
        <f>"9781915445032"</f>
        <v>9781915445032</v>
      </c>
    </row>
    <row r="2105" spans="1:6" s="3" customFormat="1" ht="29.1" customHeight="1" x14ac:dyDescent="0.25">
      <c r="A2105" s="2" t="s">
        <v>4796</v>
      </c>
      <c r="B2105" s="2" t="s">
        <v>4797</v>
      </c>
      <c r="C2105" s="2" t="s">
        <v>927</v>
      </c>
      <c r="D2105" s="2" t="s">
        <v>297</v>
      </c>
      <c r="E2105" s="2" t="str">
        <f>"9781911534723"</f>
        <v>9781911534723</v>
      </c>
      <c r="F2105" s="2" t="str">
        <f>"9781911534747"</f>
        <v>9781911534747</v>
      </c>
    </row>
    <row r="2106" spans="1:6" s="3" customFormat="1" ht="29.1" customHeight="1" x14ac:dyDescent="0.25">
      <c r="A2106" s="2" t="s">
        <v>4798</v>
      </c>
      <c r="B2106" s="2" t="s">
        <v>4799</v>
      </c>
      <c r="C2106" s="2" t="s">
        <v>927</v>
      </c>
      <c r="D2106" s="2" t="s">
        <v>81</v>
      </c>
      <c r="E2106" s="2" t="str">
        <f>"9781914386367"</f>
        <v>9781914386367</v>
      </c>
      <c r="F2106" s="2" t="str">
        <f>"9781914386381"</f>
        <v>9781914386381</v>
      </c>
    </row>
    <row r="2107" spans="1:6" s="3" customFormat="1" ht="29.1" customHeight="1" x14ac:dyDescent="0.25">
      <c r="A2107" s="2" t="s">
        <v>4800</v>
      </c>
      <c r="B2107" s="2" t="s">
        <v>4801</v>
      </c>
      <c r="C2107" s="2" t="s">
        <v>927</v>
      </c>
      <c r="D2107" s="2" t="s">
        <v>297</v>
      </c>
      <c r="E2107" s="2" t="str">
        <f>"9781914386251"</f>
        <v>9781914386251</v>
      </c>
      <c r="F2107" s="2" t="str">
        <f>"9781914386275"</f>
        <v>9781914386275</v>
      </c>
    </row>
    <row r="2108" spans="1:6" s="3" customFormat="1" ht="29.1" customHeight="1" x14ac:dyDescent="0.25">
      <c r="A2108" s="2" t="s">
        <v>4802</v>
      </c>
      <c r="B2108" s="2" t="s">
        <v>4803</v>
      </c>
      <c r="C2108" s="2" t="s">
        <v>927</v>
      </c>
      <c r="D2108" s="2" t="s">
        <v>270</v>
      </c>
      <c r="E2108" s="2"/>
      <c r="F2108" s="2" t="str">
        <f>"9781914386060"</f>
        <v>9781914386060</v>
      </c>
    </row>
    <row r="2109" spans="1:6" s="3" customFormat="1" ht="29.1" customHeight="1" x14ac:dyDescent="0.25">
      <c r="A2109" s="2" t="s">
        <v>4804</v>
      </c>
      <c r="B2109" s="2" t="s">
        <v>4805</v>
      </c>
      <c r="C2109" s="2" t="s">
        <v>927</v>
      </c>
      <c r="D2109" s="2" t="s">
        <v>270</v>
      </c>
      <c r="E2109" s="2" t="str">
        <f>"9781914386176"</f>
        <v>9781914386176</v>
      </c>
      <c r="F2109" s="2" t="str">
        <f>"9781914386190"</f>
        <v>9781914386190</v>
      </c>
    </row>
    <row r="2110" spans="1:6" s="3" customFormat="1" ht="29.1" customHeight="1" x14ac:dyDescent="0.25">
      <c r="A2110" s="2" t="s">
        <v>4806</v>
      </c>
      <c r="B2110" s="2" t="s">
        <v>4807</v>
      </c>
      <c r="C2110" s="2" t="s">
        <v>927</v>
      </c>
      <c r="D2110" s="2" t="s">
        <v>297</v>
      </c>
      <c r="E2110" s="2"/>
      <c r="F2110" s="2" t="str">
        <f>"9781911534839"</f>
        <v>9781911534839</v>
      </c>
    </row>
    <row r="2111" spans="1:6" s="3" customFormat="1" ht="29.1" customHeight="1" x14ac:dyDescent="0.25">
      <c r="A2111" s="2" t="s">
        <v>4808</v>
      </c>
      <c r="B2111" s="2" t="s">
        <v>4809</v>
      </c>
      <c r="C2111" s="2" t="s">
        <v>927</v>
      </c>
      <c r="D2111" s="2" t="s">
        <v>339</v>
      </c>
      <c r="E2111" s="2" t="str">
        <f>"9781914386008"</f>
        <v>9781914386008</v>
      </c>
      <c r="F2111" s="2" t="str">
        <f>"9781914386022"</f>
        <v>9781914386022</v>
      </c>
    </row>
    <row r="2112" spans="1:6" s="3" customFormat="1" ht="29.1" customHeight="1" x14ac:dyDescent="0.25">
      <c r="A2112" s="2" t="s">
        <v>4810</v>
      </c>
      <c r="B2112" s="2" t="s">
        <v>4811</v>
      </c>
      <c r="C2112" s="2" t="s">
        <v>927</v>
      </c>
      <c r="D2112" s="2" t="s">
        <v>297</v>
      </c>
      <c r="E2112" s="2"/>
      <c r="F2112" s="2" t="str">
        <f>"9781912656929"</f>
        <v>9781912656929</v>
      </c>
    </row>
    <row r="2113" spans="1:6" s="3" customFormat="1" ht="29.1" customHeight="1" x14ac:dyDescent="0.25">
      <c r="A2113" s="2" t="s">
        <v>4812</v>
      </c>
      <c r="B2113" s="2" t="s">
        <v>4813</v>
      </c>
      <c r="C2113" s="2" t="s">
        <v>927</v>
      </c>
      <c r="D2113" s="2" t="s">
        <v>270</v>
      </c>
      <c r="E2113" s="2"/>
      <c r="F2113" s="2" t="str">
        <f>"9781914386305"</f>
        <v>9781914386305</v>
      </c>
    </row>
    <row r="2114" spans="1:6" s="3" customFormat="1" ht="29.1" customHeight="1" x14ac:dyDescent="0.25">
      <c r="A2114" s="2" t="s">
        <v>4814</v>
      </c>
      <c r="B2114" s="2" t="s">
        <v>4815</v>
      </c>
      <c r="C2114" s="2" t="s">
        <v>927</v>
      </c>
      <c r="D2114" s="2" t="s">
        <v>270</v>
      </c>
      <c r="E2114" s="2" t="str">
        <f>"9781915445360"</f>
        <v>9781915445360</v>
      </c>
      <c r="F2114" s="2" t="str">
        <f>"9781915445384"</f>
        <v>9781915445384</v>
      </c>
    </row>
    <row r="2115" spans="1:6" s="3" customFormat="1" ht="29.1" customHeight="1" x14ac:dyDescent="0.25">
      <c r="A2115" s="2" t="s">
        <v>4816</v>
      </c>
      <c r="B2115" s="2" t="s">
        <v>4817</v>
      </c>
      <c r="C2115" s="2" t="s">
        <v>927</v>
      </c>
      <c r="D2115" s="2" t="s">
        <v>297</v>
      </c>
      <c r="E2115" s="2" t="str">
        <f>"9781915445407"</f>
        <v>9781915445407</v>
      </c>
      <c r="F2115" s="2" t="str">
        <f>"9781915445421"</f>
        <v>9781915445421</v>
      </c>
    </row>
    <row r="2116" spans="1:6" s="3" customFormat="1" ht="29.1" customHeight="1" x14ac:dyDescent="0.25">
      <c r="A2116" s="2" t="s">
        <v>4818</v>
      </c>
      <c r="B2116" s="2" t="s">
        <v>4819</v>
      </c>
      <c r="C2116" s="2" t="s">
        <v>927</v>
      </c>
      <c r="D2116" s="2" t="s">
        <v>297</v>
      </c>
      <c r="E2116" s="2" t="str">
        <f>"9781914386169"</f>
        <v>9781914386169</v>
      </c>
      <c r="F2116" s="2" t="str">
        <f>"9781914386145"</f>
        <v>9781914386145</v>
      </c>
    </row>
    <row r="2117" spans="1:6" s="3" customFormat="1" ht="29.1" customHeight="1" x14ac:dyDescent="0.25">
      <c r="A2117" s="2" t="s">
        <v>4820</v>
      </c>
      <c r="B2117" s="2" t="s">
        <v>4821</v>
      </c>
      <c r="C2117" s="2" t="s">
        <v>927</v>
      </c>
      <c r="D2117" s="2" t="s">
        <v>81</v>
      </c>
      <c r="E2117" s="2" t="str">
        <f>"9781911534327"</f>
        <v>9781911534327</v>
      </c>
      <c r="F2117" s="2" t="str">
        <f>"9781911534341"</f>
        <v>9781911534341</v>
      </c>
    </row>
    <row r="2118" spans="1:6" s="3" customFormat="1" ht="29.1" customHeight="1" x14ac:dyDescent="0.25">
      <c r="A2118" s="2" t="s">
        <v>4822</v>
      </c>
      <c r="B2118" s="2" t="s">
        <v>4823</v>
      </c>
      <c r="C2118" s="2" t="s">
        <v>927</v>
      </c>
      <c r="D2118" s="2" t="s">
        <v>297</v>
      </c>
      <c r="E2118" s="2" t="str">
        <f>"9781915445483"</f>
        <v>9781915445483</v>
      </c>
      <c r="F2118" s="2" t="str">
        <f>"9781915445506"</f>
        <v>9781915445506</v>
      </c>
    </row>
    <row r="2119" spans="1:6" s="3" customFormat="1" ht="29.1" customHeight="1" x14ac:dyDescent="0.25">
      <c r="A2119" s="2" t="s">
        <v>4824</v>
      </c>
      <c r="B2119" s="2" t="s">
        <v>4747</v>
      </c>
      <c r="C2119" s="2" t="s">
        <v>927</v>
      </c>
      <c r="D2119" s="2" t="s">
        <v>270</v>
      </c>
      <c r="E2119" s="2" t="str">
        <f>"9781911534938"</f>
        <v>9781911534938</v>
      </c>
      <c r="F2119" s="2" t="str">
        <f>"9781911534952"</f>
        <v>9781911534952</v>
      </c>
    </row>
    <row r="2120" spans="1:6" s="3" customFormat="1" ht="29.1" customHeight="1" x14ac:dyDescent="0.25">
      <c r="A2120" s="2" t="s">
        <v>4825</v>
      </c>
      <c r="B2120" s="2" t="s">
        <v>4826</v>
      </c>
      <c r="C2120" s="2" t="s">
        <v>927</v>
      </c>
      <c r="D2120" s="2" t="s">
        <v>270</v>
      </c>
      <c r="E2120" s="2" t="str">
        <f>"9781915445254"</f>
        <v>9781915445254</v>
      </c>
      <c r="F2120" s="2" t="str">
        <f>"9781915445230"</f>
        <v>9781915445230</v>
      </c>
    </row>
    <row r="2121" spans="1:6" s="3" customFormat="1" ht="29.1" customHeight="1" x14ac:dyDescent="0.25">
      <c r="A2121" s="2" t="s">
        <v>4827</v>
      </c>
      <c r="B2121" s="2" t="s">
        <v>4828</v>
      </c>
      <c r="C2121" s="2" t="s">
        <v>927</v>
      </c>
      <c r="D2121" s="2" t="s">
        <v>297</v>
      </c>
      <c r="E2121" s="2" t="str">
        <f>"9781911534440"</f>
        <v>9781911534440</v>
      </c>
      <c r="F2121" s="2" t="str">
        <f>"9781911534464"</f>
        <v>9781911534464</v>
      </c>
    </row>
    <row r="2122" spans="1:6" s="3" customFormat="1" ht="29.1" customHeight="1" x14ac:dyDescent="0.25">
      <c r="A2122" s="2" t="s">
        <v>4829</v>
      </c>
      <c r="B2122" s="2" t="s">
        <v>4830</v>
      </c>
      <c r="C2122" s="2" t="s">
        <v>927</v>
      </c>
      <c r="D2122" s="2" t="s">
        <v>297</v>
      </c>
      <c r="E2122" s="2" t="str">
        <f>"9781915445209"</f>
        <v>9781915445209</v>
      </c>
      <c r="F2122" s="2" t="str">
        <f>"9781915445186"</f>
        <v>9781915445186</v>
      </c>
    </row>
    <row r="2123" spans="1:6" s="3" customFormat="1" ht="29.1" customHeight="1" x14ac:dyDescent="0.25">
      <c r="A2123" s="2" t="s">
        <v>4831</v>
      </c>
      <c r="B2123" s="2" t="s">
        <v>4832</v>
      </c>
      <c r="C2123" s="2" t="s">
        <v>927</v>
      </c>
      <c r="D2123" s="2" t="s">
        <v>81</v>
      </c>
      <c r="E2123" s="2" t="str">
        <f>"9781914386404"</f>
        <v>9781914386404</v>
      </c>
      <c r="F2123" s="2" t="str">
        <f>"9781914386428"</f>
        <v>9781914386428</v>
      </c>
    </row>
    <row r="2124" spans="1:6" s="3" customFormat="1" ht="29.1" customHeight="1" x14ac:dyDescent="0.25">
      <c r="A2124" s="2" t="s">
        <v>4833</v>
      </c>
      <c r="B2124" s="2" t="s">
        <v>4834</v>
      </c>
      <c r="C2124" s="2" t="s">
        <v>927</v>
      </c>
      <c r="D2124" s="2" t="s">
        <v>9</v>
      </c>
      <c r="E2124" s="2" t="str">
        <f>"9781911534686"</f>
        <v>9781911534686</v>
      </c>
      <c r="F2124" s="2" t="str">
        <f>"9781911534662"</f>
        <v>9781911534662</v>
      </c>
    </row>
    <row r="2125" spans="1:6" s="3" customFormat="1" ht="29.1" customHeight="1" x14ac:dyDescent="0.25">
      <c r="A2125" s="2" t="s">
        <v>4835</v>
      </c>
      <c r="B2125" s="2" t="s">
        <v>4836</v>
      </c>
      <c r="C2125" s="2" t="s">
        <v>927</v>
      </c>
      <c r="D2125" s="2" t="s">
        <v>297</v>
      </c>
      <c r="E2125" s="2" t="str">
        <f>"9781914386329"</f>
        <v>9781914386329</v>
      </c>
      <c r="F2125" s="2" t="str">
        <f>"9781914386336"</f>
        <v>9781914386336</v>
      </c>
    </row>
    <row r="2126" spans="1:6" s="3" customFormat="1" ht="29.1" customHeight="1" x14ac:dyDescent="0.25">
      <c r="A2126" s="2" t="s">
        <v>4837</v>
      </c>
      <c r="B2126" s="2" t="s">
        <v>4838</v>
      </c>
      <c r="C2126" s="2" t="s">
        <v>927</v>
      </c>
      <c r="D2126" s="2" t="s">
        <v>9</v>
      </c>
      <c r="E2126" s="2" t="str">
        <f>"9781912656561"</f>
        <v>9781912656561</v>
      </c>
      <c r="F2126" s="2" t="str">
        <f>"9781912656585"</f>
        <v>9781912656585</v>
      </c>
    </row>
    <row r="2127" spans="1:6" s="3" customFormat="1" ht="29.1" customHeight="1" x14ac:dyDescent="0.25">
      <c r="A2127" s="2" t="s">
        <v>4839</v>
      </c>
      <c r="B2127" s="2" t="s">
        <v>4840</v>
      </c>
      <c r="C2127" s="2" t="s">
        <v>927</v>
      </c>
      <c r="D2127" s="2" t="s">
        <v>334</v>
      </c>
      <c r="E2127" s="2" t="str">
        <f>"9781914386114"</f>
        <v>9781914386114</v>
      </c>
      <c r="F2127" s="2" t="str">
        <f>"9781914386091"</f>
        <v>9781914386091</v>
      </c>
    </row>
    <row r="2128" spans="1:6" s="3" customFormat="1" ht="29.1" customHeight="1" x14ac:dyDescent="0.25">
      <c r="A2128" s="2" t="s">
        <v>4841</v>
      </c>
      <c r="B2128" s="2" t="s">
        <v>4799</v>
      </c>
      <c r="C2128" s="2" t="s">
        <v>927</v>
      </c>
      <c r="D2128" s="2" t="s">
        <v>81</v>
      </c>
      <c r="E2128" s="2" t="str">
        <f>"9781915445155"</f>
        <v>9781915445155</v>
      </c>
      <c r="F2128" s="2" t="str">
        <f>"9781915445131"</f>
        <v>9781915445131</v>
      </c>
    </row>
    <row r="2129" spans="1:6" s="3" customFormat="1" ht="29.1" customHeight="1" x14ac:dyDescent="0.25">
      <c r="A2129" s="2" t="s">
        <v>4842</v>
      </c>
      <c r="B2129" s="2" t="s">
        <v>4843</v>
      </c>
      <c r="C2129" s="2" t="s">
        <v>927</v>
      </c>
      <c r="D2129" s="2" t="s">
        <v>297</v>
      </c>
      <c r="E2129" s="2" t="str">
        <f>"9781914386442"</f>
        <v>9781914386442</v>
      </c>
      <c r="F2129" s="2" t="str">
        <f>"9781914386466"</f>
        <v>9781914386466</v>
      </c>
    </row>
    <row r="2130" spans="1:6" s="3" customFormat="1" ht="29.1" customHeight="1" x14ac:dyDescent="0.25">
      <c r="A2130" s="2" t="s">
        <v>4844</v>
      </c>
      <c r="B2130" s="2" t="s">
        <v>4845</v>
      </c>
      <c r="C2130" s="2" t="s">
        <v>927</v>
      </c>
      <c r="D2130" s="2" t="s">
        <v>297</v>
      </c>
      <c r="E2130" s="2" t="str">
        <f>"9781915445643"</f>
        <v>9781915445643</v>
      </c>
      <c r="F2130" s="2" t="str">
        <f>"9781915445667"</f>
        <v>9781915445667</v>
      </c>
    </row>
    <row r="2131" spans="1:6" s="3" customFormat="1" ht="29.1" customHeight="1" x14ac:dyDescent="0.25">
      <c r="A2131" s="2" t="s">
        <v>4846</v>
      </c>
      <c r="B2131" s="2" t="s">
        <v>4847</v>
      </c>
      <c r="C2131" s="2" t="s">
        <v>927</v>
      </c>
      <c r="D2131" s="2" t="s">
        <v>270</v>
      </c>
      <c r="E2131" s="2" t="str">
        <f>"9781911534402"</f>
        <v>9781911534402</v>
      </c>
      <c r="F2131" s="2" t="str">
        <f>"9781911534426"</f>
        <v>9781911534426</v>
      </c>
    </row>
    <row r="2132" spans="1:6" s="3" customFormat="1" ht="29.1" customHeight="1" x14ac:dyDescent="0.25">
      <c r="A2132" s="2" t="s">
        <v>4848</v>
      </c>
      <c r="B2132" s="2" t="s">
        <v>4849</v>
      </c>
      <c r="C2132" s="2" t="s">
        <v>927</v>
      </c>
      <c r="D2132" s="2" t="s">
        <v>270</v>
      </c>
      <c r="E2132" s="2" t="str">
        <f>"9781915445445"</f>
        <v>9781915445445</v>
      </c>
      <c r="F2132" s="2" t="str">
        <f>"9781915445469"</f>
        <v>9781915445469</v>
      </c>
    </row>
    <row r="2133" spans="1:6" s="3" customFormat="1" ht="29.1" customHeight="1" x14ac:dyDescent="0.25">
      <c r="A2133" s="2" t="s">
        <v>4850</v>
      </c>
      <c r="B2133" s="2" t="s">
        <v>4851</v>
      </c>
      <c r="C2133" s="2" t="s">
        <v>927</v>
      </c>
      <c r="D2133" s="2" t="s">
        <v>297</v>
      </c>
      <c r="E2133" s="2" t="str">
        <f>"9781915445605"</f>
        <v>9781915445605</v>
      </c>
      <c r="F2133" s="2" t="str">
        <f>"9781915445629"</f>
        <v>9781915445629</v>
      </c>
    </row>
    <row r="2134" spans="1:6" s="3" customFormat="1" ht="29.1" customHeight="1" x14ac:dyDescent="0.25">
      <c r="A2134" s="2" t="s">
        <v>4852</v>
      </c>
      <c r="B2134" s="2" t="s">
        <v>4853</v>
      </c>
      <c r="C2134" s="2" t="s">
        <v>927</v>
      </c>
      <c r="D2134" s="2" t="s">
        <v>270</v>
      </c>
      <c r="E2134" s="2" t="str">
        <f>"9781915445568"</f>
        <v>9781915445568</v>
      </c>
      <c r="F2134" s="2" t="str">
        <f>"9781915445582"</f>
        <v>9781915445582</v>
      </c>
    </row>
    <row r="2135" spans="1:6" s="3" customFormat="1" ht="29.1" customHeight="1" x14ac:dyDescent="0.25">
      <c r="A2135" s="2" t="s">
        <v>4854</v>
      </c>
      <c r="B2135" s="2" t="s">
        <v>4809</v>
      </c>
      <c r="C2135" s="2" t="s">
        <v>927</v>
      </c>
      <c r="D2135" s="2" t="s">
        <v>339</v>
      </c>
      <c r="E2135" s="2" t="str">
        <f>"9781915445308"</f>
        <v>9781915445308</v>
      </c>
      <c r="F2135" s="2" t="str">
        <f>"9781915445322"</f>
        <v>9781915445322</v>
      </c>
    </row>
    <row r="2136" spans="1:6" s="3" customFormat="1" ht="29.1" customHeight="1" x14ac:dyDescent="0.25">
      <c r="A2136" s="2" t="s">
        <v>4855</v>
      </c>
      <c r="B2136" s="2" t="s">
        <v>4856</v>
      </c>
      <c r="C2136" s="2" t="s">
        <v>927</v>
      </c>
      <c r="D2136" s="2" t="s">
        <v>81</v>
      </c>
      <c r="E2136" s="2" t="str">
        <f>"9781912656301"</f>
        <v>9781912656301</v>
      </c>
      <c r="F2136" s="2" t="str">
        <f>"9781912656325"</f>
        <v>9781912656325</v>
      </c>
    </row>
    <row r="2137" spans="1:6" s="3" customFormat="1" ht="29.1" customHeight="1" x14ac:dyDescent="0.25">
      <c r="A2137" s="2" t="s">
        <v>4857</v>
      </c>
      <c r="B2137" s="2" t="s">
        <v>4858</v>
      </c>
      <c r="C2137" s="2" t="s">
        <v>927</v>
      </c>
      <c r="D2137" s="2" t="s">
        <v>81</v>
      </c>
      <c r="E2137" s="2" t="str">
        <f>"9781912656875"</f>
        <v>9781912656875</v>
      </c>
      <c r="F2137" s="2" t="str">
        <f>"9781912656899"</f>
        <v>9781912656899</v>
      </c>
    </row>
    <row r="2138" spans="1:6" s="3" customFormat="1" ht="29.1" customHeight="1" x14ac:dyDescent="0.25">
      <c r="A2138" s="2" t="s">
        <v>4859</v>
      </c>
      <c r="B2138" s="2" t="s">
        <v>4860</v>
      </c>
      <c r="C2138" s="2" t="s">
        <v>927</v>
      </c>
      <c r="D2138" s="2" t="s">
        <v>270</v>
      </c>
      <c r="E2138" s="2" t="str">
        <f>"9781912656943"</f>
        <v>9781912656943</v>
      </c>
      <c r="F2138" s="2" t="str">
        <f>"9781912656967"</f>
        <v>9781912656967</v>
      </c>
    </row>
    <row r="2139" spans="1:6" s="3" customFormat="1" ht="29.1" customHeight="1" x14ac:dyDescent="0.25">
      <c r="A2139" s="2" t="s">
        <v>4861</v>
      </c>
      <c r="B2139" s="2" t="s">
        <v>4830</v>
      </c>
      <c r="C2139" s="2" t="s">
        <v>927</v>
      </c>
      <c r="D2139" s="2" t="s">
        <v>297</v>
      </c>
      <c r="E2139" s="2" t="str">
        <f>"9781914386213"</f>
        <v>9781914386213</v>
      </c>
      <c r="F2139" s="2" t="str">
        <f>"9781914386237"</f>
        <v>9781914386237</v>
      </c>
    </row>
    <row r="2140" spans="1:6" s="3" customFormat="1" ht="29.1" customHeight="1" x14ac:dyDescent="0.25">
      <c r="A2140" s="2" t="s">
        <v>4862</v>
      </c>
      <c r="B2140" s="2" t="s">
        <v>4863</v>
      </c>
      <c r="C2140" s="2" t="s">
        <v>4104</v>
      </c>
      <c r="D2140" s="2" t="s">
        <v>4639</v>
      </c>
      <c r="E2140" s="2" t="str">
        <f>"9781786941572"</f>
        <v>9781786941572</v>
      </c>
      <c r="F2140" s="2" t="str">
        <f>"9781786949530"</f>
        <v>9781786949530</v>
      </c>
    </row>
    <row r="2141" spans="1:6" s="3" customFormat="1" ht="29.1" customHeight="1" x14ac:dyDescent="0.25">
      <c r="A2141" s="2" t="s">
        <v>4864</v>
      </c>
      <c r="B2141" s="2"/>
      <c r="C2141" s="2" t="s">
        <v>59</v>
      </c>
      <c r="D2141" s="2" t="s">
        <v>755</v>
      </c>
      <c r="E2141" s="2"/>
      <c r="F2141" s="2" t="str">
        <f>"9782759240456"</f>
        <v>9782759240456</v>
      </c>
    </row>
    <row r="2142" spans="1:6" s="3" customFormat="1" ht="29.1" customHeight="1" x14ac:dyDescent="0.25">
      <c r="A2142" s="2" t="s">
        <v>4865</v>
      </c>
      <c r="B2142" s="2" t="s">
        <v>4866</v>
      </c>
      <c r="C2142" s="2" t="s">
        <v>5</v>
      </c>
      <c r="D2142" s="2" t="s">
        <v>3943</v>
      </c>
      <c r="E2142" s="2" t="str">
        <f>"9783658484125"</f>
        <v>9783658484125</v>
      </c>
      <c r="F2142" s="2" t="str">
        <f>"9783658484132"</f>
        <v>9783658484132</v>
      </c>
    </row>
    <row r="2143" spans="1:6" s="3" customFormat="1" ht="29.1" customHeight="1" x14ac:dyDescent="0.25">
      <c r="A2143" s="2" t="s">
        <v>4867</v>
      </c>
      <c r="B2143" s="2" t="s">
        <v>4869</v>
      </c>
      <c r="C2143" s="2" t="s">
        <v>29</v>
      </c>
      <c r="D2143" s="2" t="s">
        <v>4868</v>
      </c>
      <c r="E2143" s="2" t="str">
        <f>"9783770569403"</f>
        <v>9783770569403</v>
      </c>
      <c r="F2143" s="2" t="str">
        <f>"9783846769409"</f>
        <v>9783846769409</v>
      </c>
    </row>
    <row r="2144" spans="1:6" s="3" customFormat="1" ht="29.1" customHeight="1" x14ac:dyDescent="0.25">
      <c r="A2144" s="2" t="s">
        <v>4870</v>
      </c>
      <c r="B2144" s="2" t="s">
        <v>4871</v>
      </c>
      <c r="C2144" s="2" t="s">
        <v>29</v>
      </c>
      <c r="D2144" s="2" t="s">
        <v>658</v>
      </c>
      <c r="E2144" s="2" t="str">
        <f>"9783770569359"</f>
        <v>9783770569359</v>
      </c>
      <c r="F2144" s="2" t="str">
        <f>"9783846769355"</f>
        <v>9783846769355</v>
      </c>
    </row>
    <row r="2145" spans="1:6" s="3" customFormat="1" ht="29.1" customHeight="1" x14ac:dyDescent="0.25">
      <c r="A2145" s="2" t="s">
        <v>4872</v>
      </c>
      <c r="B2145" s="2" t="s">
        <v>4873</v>
      </c>
      <c r="C2145" s="2" t="s">
        <v>149</v>
      </c>
      <c r="D2145" s="2" t="s">
        <v>9</v>
      </c>
      <c r="E2145" s="2"/>
      <c r="F2145" s="2"/>
    </row>
    <row r="2146" spans="1:6" s="3" customFormat="1" ht="29.1" customHeight="1" x14ac:dyDescent="0.25">
      <c r="A2146" s="2" t="s">
        <v>4874</v>
      </c>
      <c r="B2146" s="2" t="s">
        <v>4875</v>
      </c>
      <c r="C2146" s="2" t="s">
        <v>149</v>
      </c>
      <c r="D2146" s="2" t="s">
        <v>459</v>
      </c>
      <c r="E2146" s="2"/>
      <c r="F2146" s="2"/>
    </row>
    <row r="2147" spans="1:6" s="3" customFormat="1" ht="29.1" customHeight="1" x14ac:dyDescent="0.25">
      <c r="A2147" s="2" t="s">
        <v>4876</v>
      </c>
      <c r="B2147" s="2" t="s">
        <v>4877</v>
      </c>
      <c r="C2147" s="2" t="s">
        <v>149</v>
      </c>
      <c r="D2147" s="2" t="s">
        <v>33</v>
      </c>
      <c r="E2147" s="2"/>
      <c r="F2147" s="2"/>
    </row>
    <row r="2148" spans="1:6" s="3" customFormat="1" ht="29.1" customHeight="1" x14ac:dyDescent="0.25">
      <c r="A2148" s="2" t="s">
        <v>4878</v>
      </c>
      <c r="B2148" s="2" t="s">
        <v>4879</v>
      </c>
      <c r="C2148" s="2" t="s">
        <v>149</v>
      </c>
      <c r="D2148" s="2" t="s">
        <v>210</v>
      </c>
      <c r="E2148" s="2"/>
      <c r="F2148" s="2"/>
    </row>
    <row r="2149" spans="1:6" s="3" customFormat="1" ht="29.1" customHeight="1" x14ac:dyDescent="0.25">
      <c r="A2149" s="2" t="s">
        <v>4880</v>
      </c>
      <c r="B2149" s="2" t="s">
        <v>4881</v>
      </c>
      <c r="C2149" s="2" t="s">
        <v>149</v>
      </c>
      <c r="D2149" s="2" t="s">
        <v>868</v>
      </c>
      <c r="E2149" s="2"/>
      <c r="F2149" s="2" t="str">
        <f>"9789636462918"</f>
        <v>9789636462918</v>
      </c>
    </row>
    <row r="2150" spans="1:6" s="3" customFormat="1" ht="29.1" customHeight="1" x14ac:dyDescent="0.25">
      <c r="A2150" s="2" t="s">
        <v>4882</v>
      </c>
      <c r="B2150" s="2" t="s">
        <v>4883</v>
      </c>
      <c r="C2150" s="2" t="s">
        <v>149</v>
      </c>
      <c r="D2150" s="2" t="s">
        <v>33</v>
      </c>
      <c r="E2150" s="2"/>
      <c r="F2150" s="2"/>
    </row>
    <row r="2151" spans="1:6" s="3" customFormat="1" ht="29.1" customHeight="1" x14ac:dyDescent="0.25">
      <c r="A2151" s="2" t="s">
        <v>4884</v>
      </c>
      <c r="B2151" s="2" t="s">
        <v>4885</v>
      </c>
      <c r="C2151" s="2" t="s">
        <v>149</v>
      </c>
      <c r="D2151" s="2" t="s">
        <v>33</v>
      </c>
      <c r="E2151" s="2"/>
      <c r="F2151" s="2"/>
    </row>
    <row r="2152" spans="1:6" s="3" customFormat="1" ht="29.1" customHeight="1" x14ac:dyDescent="0.25">
      <c r="A2152" s="2" t="s">
        <v>4886</v>
      </c>
      <c r="B2152" s="2" t="s">
        <v>4887</v>
      </c>
      <c r="C2152" s="2" t="s">
        <v>149</v>
      </c>
      <c r="D2152" s="2" t="s">
        <v>9</v>
      </c>
      <c r="E2152" s="2"/>
      <c r="F2152" s="2"/>
    </row>
    <row r="2153" spans="1:6" s="3" customFormat="1" ht="29.1" customHeight="1" x14ac:dyDescent="0.25">
      <c r="A2153" s="2" t="s">
        <v>4888</v>
      </c>
      <c r="B2153" s="2" t="s">
        <v>4889</v>
      </c>
      <c r="C2153" s="2" t="s">
        <v>5</v>
      </c>
      <c r="D2153" s="2" t="s">
        <v>636</v>
      </c>
      <c r="E2153" s="2" t="str">
        <f>"9782384764174"</f>
        <v>9782384764174</v>
      </c>
      <c r="F2153" s="2" t="str">
        <f>"9782384764181"</f>
        <v>9782384764181</v>
      </c>
    </row>
    <row r="2154" spans="1:6" s="3" customFormat="1" ht="29.1" customHeight="1" x14ac:dyDescent="0.25">
      <c r="A2154" s="2" t="s">
        <v>4890</v>
      </c>
      <c r="B2154" s="2" t="s">
        <v>4891</v>
      </c>
      <c r="C2154" s="2" t="s">
        <v>5</v>
      </c>
      <c r="D2154" s="2" t="s">
        <v>1959</v>
      </c>
      <c r="E2154" s="2" t="str">
        <f>"9789464637311"</f>
        <v>9789464637311</v>
      </c>
      <c r="F2154" s="2" t="str">
        <f>"9789464637328"</f>
        <v>9789464637328</v>
      </c>
    </row>
    <row r="2155" spans="1:6" s="3" customFormat="1" ht="29.1" customHeight="1" x14ac:dyDescent="0.25">
      <c r="A2155" s="2" t="s">
        <v>4892</v>
      </c>
      <c r="B2155" s="2" t="s">
        <v>4893</v>
      </c>
      <c r="C2155" s="2" t="s">
        <v>5</v>
      </c>
      <c r="D2155" s="2" t="s">
        <v>141</v>
      </c>
      <c r="E2155" s="2" t="str">
        <f>"9789464637519"</f>
        <v>9789464637519</v>
      </c>
      <c r="F2155" s="2" t="str">
        <f>"9789464637526"</f>
        <v>9789464637526</v>
      </c>
    </row>
    <row r="2156" spans="1:6" s="3" customFormat="1" ht="29.1" customHeight="1" x14ac:dyDescent="0.25">
      <c r="A2156" s="2" t="s">
        <v>4894</v>
      </c>
      <c r="B2156" s="2" t="s">
        <v>4895</v>
      </c>
      <c r="C2156" s="2" t="s">
        <v>5</v>
      </c>
      <c r="D2156" s="2" t="s">
        <v>81</v>
      </c>
      <c r="E2156" s="2" t="str">
        <f>"9782384764259"</f>
        <v>9782384764259</v>
      </c>
      <c r="F2156" s="2" t="str">
        <f>"9782384764266"</f>
        <v>9782384764266</v>
      </c>
    </row>
    <row r="2157" spans="1:6" s="3" customFormat="1" ht="29.1" customHeight="1" x14ac:dyDescent="0.25">
      <c r="A2157" s="2" t="s">
        <v>4896</v>
      </c>
      <c r="B2157" s="2" t="s">
        <v>4897</v>
      </c>
      <c r="C2157" s="2" t="s">
        <v>885</v>
      </c>
      <c r="D2157" s="2" t="s">
        <v>81</v>
      </c>
      <c r="E2157" s="2" t="str">
        <f>"9781552216712"</f>
        <v>9781552216712</v>
      </c>
      <c r="F2157" s="2" t="str">
        <f>"9781487517205"</f>
        <v>9781487517205</v>
      </c>
    </row>
    <row r="2158" spans="1:6" s="3" customFormat="1" ht="29.1" customHeight="1" x14ac:dyDescent="0.25">
      <c r="A2158" s="2" t="s">
        <v>4898</v>
      </c>
      <c r="B2158" s="2" t="s">
        <v>4900</v>
      </c>
      <c r="C2158" s="2" t="s">
        <v>149</v>
      </c>
      <c r="D2158" s="2" t="s">
        <v>4899</v>
      </c>
      <c r="E2158" s="2"/>
      <c r="F2158" s="2" t="str">
        <f>"9789636463175"</f>
        <v>9789636463175</v>
      </c>
    </row>
    <row r="2159" spans="1:6" s="3" customFormat="1" ht="29.1" customHeight="1" x14ac:dyDescent="0.25">
      <c r="A2159" s="2" t="s">
        <v>4901</v>
      </c>
      <c r="B2159" s="2" t="s">
        <v>4902</v>
      </c>
      <c r="C2159" s="2" t="s">
        <v>149</v>
      </c>
      <c r="D2159" s="2" t="s">
        <v>218</v>
      </c>
      <c r="E2159" s="2" t="str">
        <f>"9789632360553"</f>
        <v>9789632360553</v>
      </c>
      <c r="F2159" s="2" t="str">
        <f>"9789636462796"</f>
        <v>9789636462796</v>
      </c>
    </row>
    <row r="2160" spans="1:6" s="3" customFormat="1" ht="29.1" customHeight="1" x14ac:dyDescent="0.25">
      <c r="A2160" s="2" t="s">
        <v>4903</v>
      </c>
      <c r="B2160" s="2" t="s">
        <v>4904</v>
      </c>
      <c r="C2160" s="2" t="s">
        <v>149</v>
      </c>
      <c r="D2160" s="2" t="s">
        <v>210</v>
      </c>
      <c r="E2160" s="2" t="str">
        <f>"9789634145462"</f>
        <v>9789634145462</v>
      </c>
      <c r="F2160" s="2" t="str">
        <f>"9789636463168"</f>
        <v>9789636463168</v>
      </c>
    </row>
    <row r="2161" spans="1:6" s="3" customFormat="1" ht="29.1" customHeight="1" x14ac:dyDescent="0.25">
      <c r="A2161" s="2" t="s">
        <v>4905</v>
      </c>
      <c r="B2161" s="2" t="s">
        <v>4906</v>
      </c>
      <c r="C2161" s="2" t="s">
        <v>149</v>
      </c>
      <c r="D2161" s="2" t="s">
        <v>33</v>
      </c>
      <c r="E2161" s="2" t="str">
        <f>"9789634149651"</f>
        <v>9789634149651</v>
      </c>
      <c r="F2161" s="2" t="str">
        <f>"9789636463151"</f>
        <v>9789636463151</v>
      </c>
    </row>
    <row r="2162" spans="1:6" s="3" customFormat="1" ht="29.1" customHeight="1" x14ac:dyDescent="0.25">
      <c r="A2162" s="2" t="s">
        <v>4907</v>
      </c>
      <c r="B2162" s="2" t="s">
        <v>4909</v>
      </c>
      <c r="C2162" s="2" t="s">
        <v>149</v>
      </c>
      <c r="D2162" s="2" t="s">
        <v>4908</v>
      </c>
      <c r="E2162" s="2" t="str">
        <f>"9789634147091"</f>
        <v>9789634147091</v>
      </c>
      <c r="F2162" s="2" t="str">
        <f>"9789636462789"</f>
        <v>9789636462789</v>
      </c>
    </row>
    <row r="2163" spans="1:6" s="3" customFormat="1" ht="29.1" customHeight="1" x14ac:dyDescent="0.25">
      <c r="A2163" s="2" t="s">
        <v>4910</v>
      </c>
      <c r="B2163" s="2" t="s">
        <v>4911</v>
      </c>
      <c r="C2163" s="2" t="s">
        <v>149</v>
      </c>
      <c r="D2163" s="2" t="s">
        <v>81</v>
      </c>
      <c r="E2163" s="2" t="str">
        <f>"9789634147855"</f>
        <v>9789634147855</v>
      </c>
      <c r="F2163" s="2" t="str">
        <f>"9789636462772"</f>
        <v>9789636462772</v>
      </c>
    </row>
    <row r="2164" spans="1:6" s="3" customFormat="1" ht="29.1" customHeight="1" x14ac:dyDescent="0.25">
      <c r="A2164" s="2" t="s">
        <v>4912</v>
      </c>
      <c r="B2164" s="2" t="s">
        <v>4913</v>
      </c>
      <c r="C2164" s="2" t="s">
        <v>149</v>
      </c>
      <c r="D2164" s="2" t="s">
        <v>81</v>
      </c>
      <c r="E2164" s="2" t="str">
        <f>"9789634148074"</f>
        <v>9789634148074</v>
      </c>
      <c r="F2164" s="2" t="str">
        <f>"9789636462765"</f>
        <v>9789636462765</v>
      </c>
    </row>
    <row r="2165" spans="1:6" s="3" customFormat="1" ht="29.1" customHeight="1" x14ac:dyDescent="0.25">
      <c r="A2165" s="2" t="s">
        <v>4914</v>
      </c>
      <c r="B2165" s="2" t="s">
        <v>4915</v>
      </c>
      <c r="C2165" s="2" t="s">
        <v>149</v>
      </c>
      <c r="D2165" s="2" t="s">
        <v>232</v>
      </c>
      <c r="E2165" s="2"/>
      <c r="F2165" s="2" t="str">
        <f>"9789915970677"</f>
        <v>9789915970677</v>
      </c>
    </row>
    <row r="2166" spans="1:6" s="3" customFormat="1" ht="29.1" customHeight="1" x14ac:dyDescent="0.25">
      <c r="A2166" s="2" t="s">
        <v>4916</v>
      </c>
      <c r="B2166" s="2" t="s">
        <v>4917</v>
      </c>
      <c r="C2166" s="2" t="s">
        <v>149</v>
      </c>
      <c r="D2166" s="2" t="s">
        <v>118</v>
      </c>
      <c r="E2166" s="2" t="str">
        <f>"9789636460822"</f>
        <v>9789636460822</v>
      </c>
      <c r="F2166" s="2" t="str">
        <f>"9789636463441"</f>
        <v>9789636463441</v>
      </c>
    </row>
    <row r="2167" spans="1:6" s="3" customFormat="1" ht="29.1" customHeight="1" x14ac:dyDescent="0.25">
      <c r="A2167" s="2" t="s">
        <v>4918</v>
      </c>
      <c r="B2167" s="2" t="s">
        <v>4920</v>
      </c>
      <c r="C2167" s="2" t="s">
        <v>149</v>
      </c>
      <c r="D2167" s="2" t="s">
        <v>4919</v>
      </c>
      <c r="E2167" s="2"/>
      <c r="F2167" s="2" t="str">
        <f>"9789636463434"</f>
        <v>9789636463434</v>
      </c>
    </row>
    <row r="2168" spans="1:6" s="3" customFormat="1" ht="29.1" customHeight="1" x14ac:dyDescent="0.25">
      <c r="A2168" s="2" t="s">
        <v>4921</v>
      </c>
      <c r="B2168" s="2" t="s">
        <v>4922</v>
      </c>
      <c r="C2168" s="2" t="s">
        <v>149</v>
      </c>
      <c r="D2168" s="2" t="s">
        <v>818</v>
      </c>
      <c r="E2168" s="2" t="str">
        <f>"9789634148142"</f>
        <v>9789634148142</v>
      </c>
      <c r="F2168" s="2" t="str">
        <f>"9789636463427"</f>
        <v>9789636463427</v>
      </c>
    </row>
    <row r="2169" spans="1:6" s="3" customFormat="1" ht="29.1" customHeight="1" x14ac:dyDescent="0.25">
      <c r="A2169" s="2" t="s">
        <v>4923</v>
      </c>
      <c r="B2169" s="2" t="s">
        <v>4924</v>
      </c>
      <c r="C2169" s="2" t="s">
        <v>149</v>
      </c>
      <c r="D2169" s="2" t="s">
        <v>818</v>
      </c>
      <c r="E2169" s="2" t="str">
        <f>"9789634148852"</f>
        <v>9789634148852</v>
      </c>
      <c r="F2169" s="2" t="str">
        <f>"9789636463410"</f>
        <v>9789636463410</v>
      </c>
    </row>
    <row r="2170" spans="1:6" s="3" customFormat="1" ht="29.1" customHeight="1" x14ac:dyDescent="0.25">
      <c r="A2170" s="2" t="s">
        <v>4925</v>
      </c>
      <c r="B2170" s="2" t="s">
        <v>4926</v>
      </c>
      <c r="C2170" s="2" t="s">
        <v>149</v>
      </c>
      <c r="D2170" s="2" t="s">
        <v>33</v>
      </c>
      <c r="E2170" s="2" t="str">
        <f>"9789634149477"</f>
        <v>9789634149477</v>
      </c>
      <c r="F2170" s="2" t="str">
        <f>"9789636463397"</f>
        <v>9789636463397</v>
      </c>
    </row>
    <row r="2171" spans="1:6" s="3" customFormat="1" ht="29.1" customHeight="1" x14ac:dyDescent="0.25">
      <c r="A2171" s="2" t="s">
        <v>4927</v>
      </c>
      <c r="B2171" s="2" t="s">
        <v>4928</v>
      </c>
      <c r="C2171" s="2" t="s">
        <v>149</v>
      </c>
      <c r="D2171" s="2" t="s">
        <v>33</v>
      </c>
      <c r="E2171" s="2" t="str">
        <f>"9789636460907"</f>
        <v>9789636460907</v>
      </c>
      <c r="F2171" s="2" t="str">
        <f>"9789636463373"</f>
        <v>9789636463373</v>
      </c>
    </row>
    <row r="2172" spans="1:6" s="3" customFormat="1" ht="29.1" customHeight="1" x14ac:dyDescent="0.25">
      <c r="A2172" s="2" t="s">
        <v>4929</v>
      </c>
      <c r="B2172" s="2" t="s">
        <v>4930</v>
      </c>
      <c r="C2172" s="2" t="s">
        <v>149</v>
      </c>
      <c r="D2172" s="2" t="s">
        <v>33</v>
      </c>
      <c r="E2172" s="2"/>
      <c r="F2172" s="2" t="str">
        <f>"9789636463366"</f>
        <v>9789636463366</v>
      </c>
    </row>
    <row r="2173" spans="1:6" s="3" customFormat="1" ht="29.1" customHeight="1" x14ac:dyDescent="0.25">
      <c r="A2173" s="2" t="s">
        <v>4931</v>
      </c>
      <c r="B2173" s="2" t="s">
        <v>4932</v>
      </c>
      <c r="C2173" s="2" t="s">
        <v>149</v>
      </c>
      <c r="D2173" s="2" t="s">
        <v>459</v>
      </c>
      <c r="E2173" s="2" t="str">
        <f>"9789636460686"</f>
        <v>9789636460686</v>
      </c>
      <c r="F2173" s="2" t="str">
        <f>"9789636463359"</f>
        <v>9789636463359</v>
      </c>
    </row>
    <row r="2174" spans="1:6" s="3" customFormat="1" ht="29.1" customHeight="1" x14ac:dyDescent="0.25">
      <c r="A2174" s="2" t="s">
        <v>4933</v>
      </c>
      <c r="B2174" s="2" t="s">
        <v>4934</v>
      </c>
      <c r="C2174" s="2" t="s">
        <v>149</v>
      </c>
      <c r="D2174" s="2" t="s">
        <v>459</v>
      </c>
      <c r="E2174" s="2"/>
      <c r="F2174" s="2" t="str">
        <f>"9789636463342"</f>
        <v>9789636463342</v>
      </c>
    </row>
    <row r="2175" spans="1:6" s="3" customFormat="1" ht="29.1" customHeight="1" x14ac:dyDescent="0.25">
      <c r="A2175" s="2" t="s">
        <v>4935</v>
      </c>
      <c r="B2175" s="2" t="s">
        <v>4936</v>
      </c>
      <c r="C2175" s="2" t="s">
        <v>149</v>
      </c>
      <c r="D2175" s="2" t="s">
        <v>689</v>
      </c>
      <c r="E2175" s="2" t="str">
        <f>"9782343256306"</f>
        <v>9782343256306</v>
      </c>
      <c r="F2175" s="2" t="str">
        <f>"9789636463298"</f>
        <v>9789636463298</v>
      </c>
    </row>
    <row r="2176" spans="1:6" s="3" customFormat="1" ht="29.1" customHeight="1" x14ac:dyDescent="0.25">
      <c r="A2176" s="2" t="s">
        <v>4937</v>
      </c>
      <c r="B2176" s="2" t="s">
        <v>4938</v>
      </c>
      <c r="C2176" s="2" t="s">
        <v>149</v>
      </c>
      <c r="D2176" s="2" t="s">
        <v>408</v>
      </c>
      <c r="E2176" s="2" t="str">
        <f>"9789636460280"</f>
        <v>9789636460280</v>
      </c>
      <c r="F2176" s="2" t="str">
        <f>"9789636463281"</f>
        <v>9789636463281</v>
      </c>
    </row>
    <row r="2177" spans="1:6" s="3" customFormat="1" ht="29.1" customHeight="1" x14ac:dyDescent="0.25">
      <c r="A2177" s="2" t="s">
        <v>4939</v>
      </c>
      <c r="B2177" s="2" t="s">
        <v>4941</v>
      </c>
      <c r="C2177" s="2" t="s">
        <v>149</v>
      </c>
      <c r="D2177" s="2" t="s">
        <v>4940</v>
      </c>
      <c r="E2177" s="2"/>
      <c r="F2177" s="2" t="str">
        <f>"9789636463274"</f>
        <v>9789636463274</v>
      </c>
    </row>
    <row r="2178" spans="1:6" s="3" customFormat="1" ht="29.1" customHeight="1" x14ac:dyDescent="0.25">
      <c r="A2178" s="2" t="s">
        <v>4942</v>
      </c>
      <c r="B2178" s="2" t="s">
        <v>4943</v>
      </c>
      <c r="C2178" s="2" t="s">
        <v>149</v>
      </c>
      <c r="D2178" s="2" t="s">
        <v>1867</v>
      </c>
      <c r="E2178" s="2" t="str">
        <f>"9789636460068"</f>
        <v>9789636460068</v>
      </c>
      <c r="F2178" s="2" t="str">
        <f>"9789636463250"</f>
        <v>9789636463250</v>
      </c>
    </row>
    <row r="2179" spans="1:6" s="3" customFormat="1" ht="29.1" customHeight="1" x14ac:dyDescent="0.25">
      <c r="A2179" s="2" t="s">
        <v>4944</v>
      </c>
      <c r="B2179" s="2" t="s">
        <v>4945</v>
      </c>
      <c r="C2179" s="2" t="s">
        <v>149</v>
      </c>
      <c r="D2179" s="2" t="s">
        <v>339</v>
      </c>
      <c r="E2179" s="2"/>
      <c r="F2179" s="2" t="str">
        <f>"9789636463243"</f>
        <v>9789636463243</v>
      </c>
    </row>
    <row r="2180" spans="1:6" s="3" customFormat="1" ht="29.1" customHeight="1" x14ac:dyDescent="0.25">
      <c r="A2180" s="2" t="s">
        <v>4946</v>
      </c>
      <c r="B2180" s="2" t="s">
        <v>4947</v>
      </c>
      <c r="C2180" s="2" t="s">
        <v>149</v>
      </c>
      <c r="D2180" s="2" t="s">
        <v>37</v>
      </c>
      <c r="E2180" s="2" t="str">
        <f>"9789636460310"</f>
        <v>9789636460310</v>
      </c>
      <c r="F2180" s="2" t="str">
        <f>"9789636463236"</f>
        <v>9789636463236</v>
      </c>
    </row>
    <row r="2181" spans="1:6" s="3" customFormat="1" ht="29.1" customHeight="1" x14ac:dyDescent="0.25">
      <c r="A2181" s="2" t="s">
        <v>4948</v>
      </c>
      <c r="B2181" s="2" t="s">
        <v>4949</v>
      </c>
      <c r="C2181" s="2" t="s">
        <v>149</v>
      </c>
      <c r="D2181" s="2" t="s">
        <v>408</v>
      </c>
      <c r="E2181" s="2"/>
      <c r="F2181" s="2" t="str">
        <f>"9789636463229"</f>
        <v>9789636463229</v>
      </c>
    </row>
    <row r="2182" spans="1:6" s="3" customFormat="1" ht="29.1" customHeight="1" x14ac:dyDescent="0.25">
      <c r="A2182" s="2" t="s">
        <v>4950</v>
      </c>
      <c r="B2182" s="2" t="s">
        <v>4951</v>
      </c>
      <c r="C2182" s="2" t="s">
        <v>149</v>
      </c>
      <c r="D2182" s="2" t="s">
        <v>33</v>
      </c>
      <c r="E2182" s="2" t="str">
        <f>"9789634148890"</f>
        <v>9789634148890</v>
      </c>
      <c r="F2182" s="2" t="str">
        <f>"9789636463205"</f>
        <v>9789636463205</v>
      </c>
    </row>
    <row r="2183" spans="1:6" s="3" customFormat="1" ht="29.1" customHeight="1" x14ac:dyDescent="0.25">
      <c r="A2183" s="2" t="s">
        <v>4952</v>
      </c>
      <c r="B2183" s="2" t="s">
        <v>4953</v>
      </c>
      <c r="C2183" s="2" t="s">
        <v>149</v>
      </c>
      <c r="D2183" s="2" t="s">
        <v>297</v>
      </c>
      <c r="E2183" s="2" t="str">
        <f>"9782140277306"</f>
        <v>9782140277306</v>
      </c>
      <c r="F2183" s="2" t="str">
        <f>"9789636463137"</f>
        <v>9789636463137</v>
      </c>
    </row>
    <row r="2184" spans="1:6" s="3" customFormat="1" ht="29.1" customHeight="1" x14ac:dyDescent="0.25">
      <c r="A2184" s="2" t="s">
        <v>4954</v>
      </c>
      <c r="B2184" s="2" t="s">
        <v>4955</v>
      </c>
      <c r="C2184" s="2" t="s">
        <v>149</v>
      </c>
      <c r="D2184" s="2" t="s">
        <v>528</v>
      </c>
      <c r="E2184" s="2"/>
      <c r="F2184" s="2" t="str">
        <f>"9789636463090"</f>
        <v>9789636463090</v>
      </c>
    </row>
    <row r="2185" spans="1:6" s="3" customFormat="1" ht="29.1" customHeight="1" x14ac:dyDescent="0.25">
      <c r="A2185" s="2" t="s">
        <v>4956</v>
      </c>
      <c r="B2185" s="2" t="s">
        <v>4957</v>
      </c>
      <c r="C2185" s="2" t="s">
        <v>149</v>
      </c>
      <c r="D2185" s="2" t="s">
        <v>183</v>
      </c>
      <c r="E2185" s="2" t="str">
        <f>"9789634149347"</f>
        <v>9789634149347</v>
      </c>
      <c r="F2185" s="2" t="str">
        <f>"9789636463083"</f>
        <v>9789636463083</v>
      </c>
    </row>
    <row r="2186" spans="1:6" s="3" customFormat="1" ht="29.1" customHeight="1" x14ac:dyDescent="0.25">
      <c r="A2186" s="2" t="s">
        <v>4958</v>
      </c>
      <c r="B2186" s="2" t="s">
        <v>4959</v>
      </c>
      <c r="C2186" s="2" t="s">
        <v>149</v>
      </c>
      <c r="D2186" s="2" t="s">
        <v>841</v>
      </c>
      <c r="E2186" s="2" t="str">
        <f>"9789634149392"</f>
        <v>9789634149392</v>
      </c>
      <c r="F2186" s="2" t="str">
        <f>"9789636463038"</f>
        <v>9789636463038</v>
      </c>
    </row>
    <row r="2187" spans="1:6" s="3" customFormat="1" ht="29.1" customHeight="1" x14ac:dyDescent="0.25">
      <c r="A2187" s="2" t="s">
        <v>4960</v>
      </c>
      <c r="B2187" s="2" t="s">
        <v>4961</v>
      </c>
      <c r="C2187" s="2" t="s">
        <v>149</v>
      </c>
      <c r="D2187" s="2" t="s">
        <v>118</v>
      </c>
      <c r="E2187" s="2" t="str">
        <f>"9789634149576"</f>
        <v>9789634149576</v>
      </c>
      <c r="F2187" s="2" t="str">
        <f>"9789636463021"</f>
        <v>9789636463021</v>
      </c>
    </row>
    <row r="2188" spans="1:6" s="3" customFormat="1" ht="29.1" customHeight="1" x14ac:dyDescent="0.25">
      <c r="A2188" s="2" t="s">
        <v>4962</v>
      </c>
      <c r="B2188" s="2" t="s">
        <v>4963</v>
      </c>
      <c r="C2188" s="2" t="s">
        <v>149</v>
      </c>
      <c r="D2188" s="2" t="s">
        <v>547</v>
      </c>
      <c r="E2188" s="2"/>
      <c r="F2188" s="2" t="str">
        <f>"9789636462994"</f>
        <v>9789636462994</v>
      </c>
    </row>
    <row r="2189" spans="1:6" s="3" customFormat="1" ht="29.1" customHeight="1" x14ac:dyDescent="0.25">
      <c r="A2189" s="2" t="s">
        <v>4964</v>
      </c>
      <c r="B2189" s="2" t="s">
        <v>4965</v>
      </c>
      <c r="C2189" s="2" t="s">
        <v>149</v>
      </c>
      <c r="D2189" s="2" t="s">
        <v>405</v>
      </c>
      <c r="E2189" s="2" t="str">
        <f>"9789634143123"</f>
        <v>9789634143123</v>
      </c>
      <c r="F2189" s="2" t="str">
        <f>"9789636462963"</f>
        <v>9789636462963</v>
      </c>
    </row>
    <row r="2190" spans="1:6" s="3" customFormat="1" ht="29.1" customHeight="1" x14ac:dyDescent="0.25">
      <c r="A2190" s="2" t="s">
        <v>4966</v>
      </c>
      <c r="B2190" s="2" t="s">
        <v>4900</v>
      </c>
      <c r="C2190" s="2" t="s">
        <v>149</v>
      </c>
      <c r="D2190" s="2" t="s">
        <v>868</v>
      </c>
      <c r="E2190" s="2" t="str">
        <f>"9789634149248"</f>
        <v>9789634149248</v>
      </c>
      <c r="F2190" s="2" t="str">
        <f>"9789636462949"</f>
        <v>9789636462949</v>
      </c>
    </row>
    <row r="2191" spans="1:6" s="3" customFormat="1" ht="29.1" customHeight="1" x14ac:dyDescent="0.25">
      <c r="A2191" s="2" t="s">
        <v>4967</v>
      </c>
      <c r="B2191" s="2" t="s">
        <v>4881</v>
      </c>
      <c r="C2191" s="2" t="s">
        <v>149</v>
      </c>
      <c r="D2191" s="2" t="s">
        <v>868</v>
      </c>
      <c r="E2191" s="2" t="str">
        <f>"9789634149156"</f>
        <v>9789634149156</v>
      </c>
      <c r="F2191" s="2" t="str">
        <f>"9789636462925"</f>
        <v>9789636462925</v>
      </c>
    </row>
    <row r="2192" spans="1:6" s="3" customFormat="1" ht="29.1" customHeight="1" x14ac:dyDescent="0.25">
      <c r="A2192" s="2" t="s">
        <v>4968</v>
      </c>
      <c r="B2192" s="2" t="s">
        <v>4969</v>
      </c>
      <c r="C2192" s="2" t="s">
        <v>149</v>
      </c>
      <c r="D2192" s="2" t="s">
        <v>33</v>
      </c>
      <c r="E2192" s="2"/>
      <c r="F2192" s="2" t="str">
        <f>"9789636462901"</f>
        <v>9789636462901</v>
      </c>
    </row>
    <row r="2193" spans="1:6" s="3" customFormat="1" ht="29.1" customHeight="1" x14ac:dyDescent="0.25">
      <c r="A2193" s="2" t="s">
        <v>4970</v>
      </c>
      <c r="B2193" s="2" t="s">
        <v>4971</v>
      </c>
      <c r="C2193" s="2" t="s">
        <v>149</v>
      </c>
      <c r="D2193" s="2" t="s">
        <v>537</v>
      </c>
      <c r="E2193" s="2" t="str">
        <f>"9789634146322"</f>
        <v>9789634146322</v>
      </c>
      <c r="F2193" s="2" t="str">
        <f>"9789636462871"</f>
        <v>9789636462871</v>
      </c>
    </row>
    <row r="2194" spans="1:6" s="3" customFormat="1" ht="29.1" customHeight="1" x14ac:dyDescent="0.25">
      <c r="A2194" s="2" t="s">
        <v>4972</v>
      </c>
      <c r="B2194" s="2" t="s">
        <v>4930</v>
      </c>
      <c r="C2194" s="2" t="s">
        <v>149</v>
      </c>
      <c r="D2194" s="2" t="s">
        <v>196</v>
      </c>
      <c r="E2194" s="2" t="str">
        <f>"9789634149071"</f>
        <v>9789634149071</v>
      </c>
      <c r="F2194" s="2" t="str">
        <f>"9789636462840"</f>
        <v>9789636462840</v>
      </c>
    </row>
    <row r="2195" spans="1:6" s="3" customFormat="1" ht="29.1" customHeight="1" x14ac:dyDescent="0.25">
      <c r="A2195" s="2" t="s">
        <v>4973</v>
      </c>
      <c r="B2195" s="2" t="s">
        <v>4974</v>
      </c>
      <c r="C2195" s="2" t="s">
        <v>149</v>
      </c>
      <c r="D2195" s="2" t="s">
        <v>841</v>
      </c>
      <c r="E2195" s="2" t="str">
        <f>"9789634149231"</f>
        <v>9789634149231</v>
      </c>
      <c r="F2195" s="2" t="str">
        <f>"9789636462833"</f>
        <v>9789636462833</v>
      </c>
    </row>
    <row r="2196" spans="1:6" s="3" customFormat="1" ht="29.1" customHeight="1" x14ac:dyDescent="0.25">
      <c r="A2196" s="2" t="s">
        <v>4975</v>
      </c>
      <c r="B2196" s="2" t="s">
        <v>4976</v>
      </c>
      <c r="C2196" s="2" t="s">
        <v>149</v>
      </c>
      <c r="D2196" s="2" t="s">
        <v>297</v>
      </c>
      <c r="E2196" s="2" t="str">
        <f>"9789634145653"</f>
        <v>9789634145653</v>
      </c>
      <c r="F2196" s="2" t="str">
        <f>"9789636462826"</f>
        <v>9789636462826</v>
      </c>
    </row>
    <row r="2197" spans="1:6" s="3" customFormat="1" ht="29.1" customHeight="1" x14ac:dyDescent="0.25">
      <c r="A2197" s="2" t="s">
        <v>4977</v>
      </c>
      <c r="B2197" s="2" t="s">
        <v>4978</v>
      </c>
      <c r="C2197" s="2" t="s">
        <v>149</v>
      </c>
      <c r="D2197" s="2" t="s">
        <v>183</v>
      </c>
      <c r="E2197" s="2" t="str">
        <f>"9789634148876"</f>
        <v>9789634148876</v>
      </c>
      <c r="F2197" s="2" t="str">
        <f>"9789636462819"</f>
        <v>9789636462819</v>
      </c>
    </row>
    <row r="2198" spans="1:6" s="3" customFormat="1" ht="29.1" customHeight="1" x14ac:dyDescent="0.25">
      <c r="A2198" s="2" t="s">
        <v>4979</v>
      </c>
      <c r="B2198" s="2" t="s">
        <v>4980</v>
      </c>
      <c r="C2198" s="2" t="s">
        <v>149</v>
      </c>
      <c r="D2198" s="2" t="s">
        <v>459</v>
      </c>
      <c r="E2198" s="2" t="str">
        <f>"9789634146360"</f>
        <v>9789634146360</v>
      </c>
      <c r="F2198" s="2" t="str">
        <f>"9789636462802"</f>
        <v>9789636462802</v>
      </c>
    </row>
    <row r="2199" spans="1:6" s="3" customFormat="1" ht="29.1" customHeight="1" x14ac:dyDescent="0.25">
      <c r="A2199" s="2" t="s">
        <v>4981</v>
      </c>
      <c r="B2199" s="2" t="s">
        <v>4982</v>
      </c>
      <c r="C2199" s="2" t="s">
        <v>149</v>
      </c>
      <c r="D2199" s="2" t="s">
        <v>553</v>
      </c>
      <c r="E2199" s="2" t="str">
        <f>"9789634145875"</f>
        <v>9789634145875</v>
      </c>
      <c r="F2199" s="2" t="str">
        <f>"9789636462758"</f>
        <v>9789636462758</v>
      </c>
    </row>
    <row r="2200" spans="1:6" s="3" customFormat="1" ht="29.1" customHeight="1" x14ac:dyDescent="0.25">
      <c r="A2200" s="2" t="s">
        <v>4983</v>
      </c>
      <c r="B2200" s="2" t="s">
        <v>4984</v>
      </c>
      <c r="C2200" s="2" t="s">
        <v>149</v>
      </c>
      <c r="D2200" s="2" t="s">
        <v>868</v>
      </c>
      <c r="E2200" s="2" t="str">
        <f>"9789634147060"</f>
        <v>9789634147060</v>
      </c>
      <c r="F2200" s="2" t="str">
        <f>"9789636462741"</f>
        <v>9789636462741</v>
      </c>
    </row>
    <row r="2201" spans="1:6" s="3" customFormat="1" ht="29.1" customHeight="1" x14ac:dyDescent="0.25">
      <c r="A2201" s="2" t="s">
        <v>4985</v>
      </c>
      <c r="B2201" s="2" t="s">
        <v>4986</v>
      </c>
      <c r="C2201" s="2" t="s">
        <v>149</v>
      </c>
      <c r="D2201" s="2" t="s">
        <v>497</v>
      </c>
      <c r="E2201" s="2" t="str">
        <f>"9789634142706"</f>
        <v>9789634142706</v>
      </c>
      <c r="F2201" s="2" t="str">
        <f>"9789636462734"</f>
        <v>9789636462734</v>
      </c>
    </row>
    <row r="2202" spans="1:6" s="3" customFormat="1" ht="29.1" customHeight="1" x14ac:dyDescent="0.25">
      <c r="A2202" s="2" t="s">
        <v>4985</v>
      </c>
      <c r="B2202" s="2" t="s">
        <v>4987</v>
      </c>
      <c r="C2202" s="2" t="s">
        <v>149</v>
      </c>
      <c r="D2202" s="2" t="s">
        <v>497</v>
      </c>
      <c r="E2202" s="2" t="str">
        <f>"9789634142713"</f>
        <v>9789634142713</v>
      </c>
      <c r="F2202" s="2" t="str">
        <f>"9789636462727"</f>
        <v>9789636462727</v>
      </c>
    </row>
    <row r="2203" spans="1:6" s="3" customFormat="1" ht="29.1" customHeight="1" x14ac:dyDescent="0.25">
      <c r="A2203" s="2" t="s">
        <v>4985</v>
      </c>
      <c r="B2203" s="2" t="s">
        <v>4987</v>
      </c>
      <c r="C2203" s="2" t="s">
        <v>149</v>
      </c>
      <c r="D2203" s="2" t="s">
        <v>497</v>
      </c>
      <c r="E2203" s="2" t="str">
        <f>"9789634142737"</f>
        <v>9789634142737</v>
      </c>
      <c r="F2203" s="2" t="str">
        <f>"9789636462710"</f>
        <v>9789636462710</v>
      </c>
    </row>
    <row r="2204" spans="1:6" s="3" customFormat="1" ht="29.1" customHeight="1" x14ac:dyDescent="0.25">
      <c r="A2204" s="2" t="s">
        <v>4985</v>
      </c>
      <c r="B2204" s="2" t="s">
        <v>4987</v>
      </c>
      <c r="C2204" s="2" t="s">
        <v>149</v>
      </c>
      <c r="D2204" s="2" t="s">
        <v>497</v>
      </c>
      <c r="E2204" s="2" t="str">
        <f>"9789634142720"</f>
        <v>9789634142720</v>
      </c>
      <c r="F2204" s="2" t="str">
        <f>"9789636462703"</f>
        <v>9789636462703</v>
      </c>
    </row>
    <row r="2205" spans="1:6" s="3" customFormat="1" ht="29.1" customHeight="1" x14ac:dyDescent="0.25">
      <c r="A2205" s="2" t="s">
        <v>4988</v>
      </c>
      <c r="B2205" s="2" t="s">
        <v>4989</v>
      </c>
      <c r="C2205" s="2" t="s">
        <v>149</v>
      </c>
      <c r="D2205" s="2" t="s">
        <v>9</v>
      </c>
      <c r="E2205" s="2" t="str">
        <f>"9789634147909"</f>
        <v>9789634147909</v>
      </c>
      <c r="F2205" s="2" t="str">
        <f>"9789636462697"</f>
        <v>9789636462697</v>
      </c>
    </row>
    <row r="2206" spans="1:6" s="3" customFormat="1" ht="29.1" customHeight="1" x14ac:dyDescent="0.25">
      <c r="A2206" s="2" t="s">
        <v>4990</v>
      </c>
      <c r="B2206" s="2" t="s">
        <v>4991</v>
      </c>
      <c r="C2206" s="2" t="s">
        <v>149</v>
      </c>
      <c r="D2206" s="2" t="s">
        <v>459</v>
      </c>
      <c r="E2206" s="2" t="str">
        <f>"9789639808935"</f>
        <v>9789639808935</v>
      </c>
      <c r="F2206" s="2" t="str">
        <f>"9789636462680"</f>
        <v>9789636462680</v>
      </c>
    </row>
    <row r="2207" spans="1:6" s="3" customFormat="1" ht="29.1" customHeight="1" x14ac:dyDescent="0.25">
      <c r="A2207" s="2" t="s">
        <v>4992</v>
      </c>
      <c r="B2207" s="2" t="s">
        <v>4993</v>
      </c>
      <c r="C2207" s="2" t="s">
        <v>149</v>
      </c>
      <c r="D2207" s="2" t="s">
        <v>218</v>
      </c>
      <c r="E2207" s="2" t="str">
        <f>"9789634147978"</f>
        <v>9789634147978</v>
      </c>
      <c r="F2207" s="2" t="str">
        <f>"9789636462673"</f>
        <v>9789636462673</v>
      </c>
    </row>
    <row r="2208" spans="1:6" s="3" customFormat="1" ht="29.1" customHeight="1" x14ac:dyDescent="0.25">
      <c r="A2208" s="2" t="s">
        <v>4994</v>
      </c>
      <c r="B2208" s="2" t="s">
        <v>4995</v>
      </c>
      <c r="C2208" s="2" t="s">
        <v>149</v>
      </c>
      <c r="D2208" s="2" t="s">
        <v>4940</v>
      </c>
      <c r="E2208" s="2" t="str">
        <f>"9789634146568"</f>
        <v>9789634146568</v>
      </c>
      <c r="F2208" s="2" t="str">
        <f>"9789636462666"</f>
        <v>9789636462666</v>
      </c>
    </row>
    <row r="2209" spans="1:6" s="3" customFormat="1" ht="29.1" customHeight="1" x14ac:dyDescent="0.25">
      <c r="A2209" s="2" t="s">
        <v>4996</v>
      </c>
      <c r="B2209" s="2" t="s">
        <v>4997</v>
      </c>
      <c r="C2209" s="2" t="s">
        <v>149</v>
      </c>
      <c r="D2209" s="2" t="s">
        <v>459</v>
      </c>
      <c r="E2209" s="2" t="str">
        <f>"9789634146346"</f>
        <v>9789634146346</v>
      </c>
      <c r="F2209" s="2" t="str">
        <f>"9789636462642"</f>
        <v>9789636462642</v>
      </c>
    </row>
    <row r="2210" spans="1:6" s="3" customFormat="1" ht="29.1" customHeight="1" x14ac:dyDescent="0.25">
      <c r="A2210" s="2" t="s">
        <v>4998</v>
      </c>
      <c r="B2210" s="2" t="s">
        <v>4999</v>
      </c>
      <c r="C2210" s="2" t="s">
        <v>149</v>
      </c>
      <c r="D2210" s="2" t="s">
        <v>868</v>
      </c>
      <c r="E2210" s="2" t="str">
        <f>"9789634146704"</f>
        <v>9789634146704</v>
      </c>
      <c r="F2210" s="2" t="str">
        <f>"9789636462635"</f>
        <v>9789636462635</v>
      </c>
    </row>
    <row r="2211" spans="1:6" s="3" customFormat="1" ht="29.1" customHeight="1" x14ac:dyDescent="0.25">
      <c r="A2211" s="2" t="s">
        <v>5000</v>
      </c>
      <c r="B2211" s="2" t="s">
        <v>5001</v>
      </c>
      <c r="C2211" s="2" t="s">
        <v>149</v>
      </c>
      <c r="D2211" s="2" t="s">
        <v>339</v>
      </c>
      <c r="E2211" s="2" t="str">
        <f>"9789634147725"</f>
        <v>9789634147725</v>
      </c>
      <c r="F2211" s="2" t="str">
        <f>"9789636462611"</f>
        <v>9789636462611</v>
      </c>
    </row>
    <row r="2212" spans="1:6" s="3" customFormat="1" ht="29.1" customHeight="1" x14ac:dyDescent="0.25">
      <c r="A2212" s="2" t="s">
        <v>5002</v>
      </c>
      <c r="B2212" s="2" t="s">
        <v>5003</v>
      </c>
      <c r="C2212" s="2" t="s">
        <v>149</v>
      </c>
      <c r="D2212" s="2" t="s">
        <v>868</v>
      </c>
      <c r="E2212" s="2" t="str">
        <f>"9789634141655"</f>
        <v>9789634141655</v>
      </c>
      <c r="F2212" s="2" t="str">
        <f>"9789636462604"</f>
        <v>9789636462604</v>
      </c>
    </row>
    <row r="2213" spans="1:6" s="3" customFormat="1" ht="29.1" customHeight="1" x14ac:dyDescent="0.25">
      <c r="A2213" s="2" t="s">
        <v>5004</v>
      </c>
      <c r="B2213" s="2" t="s">
        <v>5005</v>
      </c>
      <c r="C2213" s="2" t="s">
        <v>149</v>
      </c>
      <c r="D2213" s="2" t="s">
        <v>868</v>
      </c>
      <c r="E2213" s="2" t="str">
        <f>"9789634143789"</f>
        <v>9789634143789</v>
      </c>
      <c r="F2213" s="2" t="str">
        <f>"9789636462598"</f>
        <v>9789636462598</v>
      </c>
    </row>
    <row r="2214" spans="1:6" s="3" customFormat="1" ht="29.1" customHeight="1" x14ac:dyDescent="0.25">
      <c r="A2214" s="2" t="s">
        <v>5006</v>
      </c>
      <c r="B2214" s="2" t="s">
        <v>4887</v>
      </c>
      <c r="C2214" s="2" t="s">
        <v>149</v>
      </c>
      <c r="D2214" s="2" t="s">
        <v>9</v>
      </c>
      <c r="E2214" s="2" t="str">
        <f>"9789634147183"</f>
        <v>9789634147183</v>
      </c>
      <c r="F2214" s="2" t="str">
        <f>"9789636462581"</f>
        <v>9789636462581</v>
      </c>
    </row>
    <row r="2215" spans="1:6" s="3" customFormat="1" ht="29.1" customHeight="1" x14ac:dyDescent="0.25">
      <c r="A2215" s="2" t="s">
        <v>5007</v>
      </c>
      <c r="B2215" s="2" t="s">
        <v>5008</v>
      </c>
      <c r="C2215" s="2" t="s">
        <v>149</v>
      </c>
      <c r="D2215" s="2" t="s">
        <v>1240</v>
      </c>
      <c r="E2215" s="2" t="str">
        <f>"9789634148739"</f>
        <v>9789634148739</v>
      </c>
      <c r="F2215" s="2" t="str">
        <f>"9789636462567"</f>
        <v>9789636462567</v>
      </c>
    </row>
    <row r="2216" spans="1:6" s="3" customFormat="1" ht="29.1" customHeight="1" x14ac:dyDescent="0.25">
      <c r="A2216" s="2" t="s">
        <v>5009</v>
      </c>
      <c r="B2216" s="2" t="s">
        <v>5010</v>
      </c>
      <c r="C2216" s="2" t="s">
        <v>149</v>
      </c>
      <c r="D2216" s="2" t="s">
        <v>4940</v>
      </c>
      <c r="E2216" s="2" t="str">
        <f>"9789634142591"</f>
        <v>9789634142591</v>
      </c>
      <c r="F2216" s="2" t="str">
        <f>"9789636462550"</f>
        <v>9789636462550</v>
      </c>
    </row>
    <row r="2217" spans="1:6" s="3" customFormat="1" ht="29.1" customHeight="1" x14ac:dyDescent="0.25">
      <c r="A2217" s="2" t="s">
        <v>5011</v>
      </c>
      <c r="B2217" s="2" t="s">
        <v>5013</v>
      </c>
      <c r="C2217" s="2" t="s">
        <v>149</v>
      </c>
      <c r="D2217" s="2" t="s">
        <v>5012</v>
      </c>
      <c r="E2217" s="2" t="str">
        <f>"9789634148715"</f>
        <v>9789634148715</v>
      </c>
      <c r="F2217" s="2" t="str">
        <f>"9789636462536"</f>
        <v>9789636462536</v>
      </c>
    </row>
    <row r="2218" spans="1:6" s="3" customFormat="1" ht="29.1" customHeight="1" x14ac:dyDescent="0.25">
      <c r="A2218" s="2" t="s">
        <v>5014</v>
      </c>
      <c r="B2218" s="2" t="s">
        <v>5015</v>
      </c>
      <c r="C2218" s="2" t="s">
        <v>29</v>
      </c>
      <c r="D2218" s="2" t="s">
        <v>210</v>
      </c>
      <c r="E2218" s="2" t="str">
        <f>"9789004719941"</f>
        <v>9789004719941</v>
      </c>
      <c r="F2218" s="2" t="str">
        <f>"9789004719958"</f>
        <v>9789004719958</v>
      </c>
    </row>
    <row r="2219" spans="1:6" s="3" customFormat="1" ht="29.1" customHeight="1" x14ac:dyDescent="0.25">
      <c r="A2219" s="2" t="s">
        <v>5016</v>
      </c>
      <c r="B2219" s="2" t="s">
        <v>5017</v>
      </c>
      <c r="C2219" s="2" t="s">
        <v>124</v>
      </c>
      <c r="D2219" s="2" t="s">
        <v>168</v>
      </c>
      <c r="E2219" s="2" t="str">
        <f>"9781032827612"</f>
        <v>9781032827612</v>
      </c>
      <c r="F2219" s="2" t="str">
        <f>"9781003510284"</f>
        <v>9781003510284</v>
      </c>
    </row>
    <row r="2220" spans="1:6" s="3" customFormat="1" ht="29.1" customHeight="1" x14ac:dyDescent="0.25">
      <c r="A2220" s="2" t="s">
        <v>5018</v>
      </c>
      <c r="B2220" s="2" t="s">
        <v>5019</v>
      </c>
      <c r="C2220" s="2" t="s">
        <v>124</v>
      </c>
      <c r="D2220" s="2" t="s">
        <v>353</v>
      </c>
      <c r="E2220" s="2" t="str">
        <f>"9781032528076"</f>
        <v>9781032528076</v>
      </c>
      <c r="F2220" s="2" t="str">
        <f>"9781003408505"</f>
        <v>9781003408505</v>
      </c>
    </row>
    <row r="2221" spans="1:6" s="3" customFormat="1" ht="29.1" customHeight="1" x14ac:dyDescent="0.25">
      <c r="A2221" s="2" t="s">
        <v>5020</v>
      </c>
      <c r="B2221" s="2" t="s">
        <v>5022</v>
      </c>
      <c r="C2221" s="2" t="s">
        <v>149</v>
      </c>
      <c r="D2221" s="2" t="s">
        <v>5021</v>
      </c>
      <c r="E2221" s="2" t="str">
        <f>"9781805115052"</f>
        <v>9781805115052</v>
      </c>
      <c r="F2221" s="2" t="str">
        <f>"9781805115076"</f>
        <v>9781805115076</v>
      </c>
    </row>
    <row r="2222" spans="1:6" s="3" customFormat="1" ht="29.1" customHeight="1" x14ac:dyDescent="0.25">
      <c r="A2222" s="2" t="s">
        <v>5023</v>
      </c>
      <c r="B2222" s="2" t="s">
        <v>5024</v>
      </c>
      <c r="C2222" s="2" t="s">
        <v>3177</v>
      </c>
      <c r="D2222" s="2" t="s">
        <v>606</v>
      </c>
      <c r="E2222" s="2" t="str">
        <f>"9782503614939"</f>
        <v>9782503614939</v>
      </c>
      <c r="F2222" s="2" t="str">
        <f>"9782503614946"</f>
        <v>9782503614946</v>
      </c>
    </row>
    <row r="2223" spans="1:6" s="3" customFormat="1" ht="29.1" customHeight="1" x14ac:dyDescent="0.25">
      <c r="A2223" s="2" t="s">
        <v>5025</v>
      </c>
      <c r="B2223" s="2" t="s">
        <v>5026</v>
      </c>
      <c r="C2223" s="2" t="s">
        <v>3177</v>
      </c>
      <c r="D2223" s="2" t="s">
        <v>606</v>
      </c>
      <c r="E2223" s="2" t="str">
        <f>"9782503612447"</f>
        <v>9782503612447</v>
      </c>
      <c r="F2223" s="2" t="str">
        <f>"9782503612454"</f>
        <v>9782503612454</v>
      </c>
    </row>
    <row r="2224" spans="1:6" s="3" customFormat="1" ht="29.1" customHeight="1" x14ac:dyDescent="0.25">
      <c r="A2224" s="2" t="s">
        <v>5027</v>
      </c>
      <c r="B2224" s="2" t="s">
        <v>5028</v>
      </c>
      <c r="C2224" s="2" t="s">
        <v>3177</v>
      </c>
      <c r="D2224" s="2" t="s">
        <v>606</v>
      </c>
      <c r="E2224" s="2" t="str">
        <f>"9782503612188"</f>
        <v>9782503612188</v>
      </c>
      <c r="F2224" s="2" t="str">
        <f>"9782503612195"</f>
        <v>9782503612195</v>
      </c>
    </row>
    <row r="2225" spans="1:6" s="3" customFormat="1" ht="29.1" customHeight="1" x14ac:dyDescent="0.25">
      <c r="A2225" s="2" t="s">
        <v>5029</v>
      </c>
      <c r="B2225" s="2" t="s">
        <v>5030</v>
      </c>
      <c r="C2225" s="2" t="s">
        <v>3177</v>
      </c>
      <c r="D2225" s="2" t="s">
        <v>221</v>
      </c>
      <c r="E2225" s="2" t="str">
        <f>"9782503614281"</f>
        <v>9782503614281</v>
      </c>
      <c r="F2225" s="2" t="str">
        <f>"9782503614298"</f>
        <v>9782503614298</v>
      </c>
    </row>
    <row r="2226" spans="1:6" s="3" customFormat="1" ht="29.1" customHeight="1" x14ac:dyDescent="0.25">
      <c r="A2226" s="2" t="s">
        <v>5031</v>
      </c>
      <c r="B2226" s="2" t="s">
        <v>5033</v>
      </c>
      <c r="C2226" s="2" t="s">
        <v>3177</v>
      </c>
      <c r="D2226" s="2" t="s">
        <v>5032</v>
      </c>
      <c r="E2226" s="2" t="str">
        <f>"9782503606279"</f>
        <v>9782503606279</v>
      </c>
      <c r="F2226" s="2" t="str">
        <f>"9782503612546"</f>
        <v>9782503612546</v>
      </c>
    </row>
    <row r="2227" spans="1:6" s="3" customFormat="1" ht="29.1" customHeight="1" x14ac:dyDescent="0.25">
      <c r="A2227" s="2" t="s">
        <v>5034</v>
      </c>
      <c r="B2227" s="2" t="s">
        <v>5035</v>
      </c>
      <c r="C2227" s="2" t="s">
        <v>3177</v>
      </c>
      <c r="D2227" s="2" t="s">
        <v>107</v>
      </c>
      <c r="E2227" s="2" t="str">
        <f>"9788028005832"</f>
        <v>9788028005832</v>
      </c>
      <c r="F2227" s="2" t="str">
        <f>"9788028005849"</f>
        <v>9788028005849</v>
      </c>
    </row>
    <row r="2228" spans="1:6" s="3" customFormat="1" ht="29.1" customHeight="1" x14ac:dyDescent="0.25">
      <c r="A2228" s="2" t="s">
        <v>5036</v>
      </c>
      <c r="B2228" s="2" t="s">
        <v>5038</v>
      </c>
      <c r="C2228" s="2" t="s">
        <v>3177</v>
      </c>
      <c r="D2228" s="2" t="s">
        <v>5037</v>
      </c>
      <c r="E2228" s="2" t="str">
        <f>"9782503593364"</f>
        <v>9782503593364</v>
      </c>
      <c r="F2228" s="2" t="str">
        <f>"9782503593371"</f>
        <v>9782503593371</v>
      </c>
    </row>
    <row r="2229" spans="1:6" s="3" customFormat="1" ht="29.1" customHeight="1" x14ac:dyDescent="0.25">
      <c r="A2229" s="2" t="s">
        <v>5039</v>
      </c>
      <c r="B2229" s="2" t="s">
        <v>5040</v>
      </c>
      <c r="C2229" s="2" t="s">
        <v>5</v>
      </c>
      <c r="D2229" s="2" t="s">
        <v>3304</v>
      </c>
      <c r="E2229" s="2" t="str">
        <f>"9789819654383"</f>
        <v>9789819654383</v>
      </c>
      <c r="F2229" s="2" t="str">
        <f>"9789819654390"</f>
        <v>9789819654390</v>
      </c>
    </row>
    <row r="2230" spans="1:6" s="3" customFormat="1" ht="29.1" customHeight="1" x14ac:dyDescent="0.25">
      <c r="A2230" s="2" t="s">
        <v>5041</v>
      </c>
      <c r="B2230" s="2" t="s">
        <v>5042</v>
      </c>
      <c r="C2230" s="2" t="s">
        <v>5</v>
      </c>
      <c r="D2230" s="2" t="s">
        <v>331</v>
      </c>
      <c r="E2230" s="2" t="str">
        <f>"9783658477974"</f>
        <v>9783658477974</v>
      </c>
      <c r="F2230" s="2" t="str">
        <f>"9783658477981"</f>
        <v>9783658477981</v>
      </c>
    </row>
    <row r="2231" spans="1:6" s="3" customFormat="1" ht="29.1" customHeight="1" x14ac:dyDescent="0.25">
      <c r="A2231" s="2" t="s">
        <v>5043</v>
      </c>
      <c r="B2231" s="2" t="s">
        <v>5044</v>
      </c>
      <c r="C2231" s="2" t="s">
        <v>149</v>
      </c>
      <c r="D2231" s="2" t="s">
        <v>1127</v>
      </c>
      <c r="E2231" s="2" t="str">
        <f>"9781805115618"</f>
        <v>9781805115618</v>
      </c>
      <c r="F2231" s="2" t="str">
        <f>"9781805115632"</f>
        <v>9781805115632</v>
      </c>
    </row>
    <row r="2232" spans="1:6" s="3" customFormat="1" ht="29.1" customHeight="1" x14ac:dyDescent="0.25">
      <c r="A2232" s="2" t="s">
        <v>5045</v>
      </c>
      <c r="B2232" s="2" t="s">
        <v>5046</v>
      </c>
      <c r="C2232" s="2" t="s">
        <v>29</v>
      </c>
      <c r="D2232" s="2" t="s">
        <v>459</v>
      </c>
      <c r="E2232" s="2" t="str">
        <f>"9789004729698"</f>
        <v>9789004729698</v>
      </c>
      <c r="F2232" s="2" t="str">
        <f>"9789004729704"</f>
        <v>9789004729704</v>
      </c>
    </row>
    <row r="2233" spans="1:6" s="3" customFormat="1" ht="29.1" customHeight="1" x14ac:dyDescent="0.25">
      <c r="A2233" s="2" t="s">
        <v>5047</v>
      </c>
      <c r="B2233" s="2" t="s">
        <v>5048</v>
      </c>
      <c r="C2233" s="2" t="s">
        <v>29</v>
      </c>
      <c r="D2233" s="2" t="s">
        <v>3270</v>
      </c>
      <c r="E2233" s="2" t="str">
        <f>"9789004726598"</f>
        <v>9789004726598</v>
      </c>
      <c r="F2233" s="2" t="str">
        <f>"9789004734180"</f>
        <v>9789004734180</v>
      </c>
    </row>
    <row r="2234" spans="1:6" s="3" customFormat="1" ht="29.1" customHeight="1" x14ac:dyDescent="0.25">
      <c r="A2234" s="2" t="s">
        <v>5049</v>
      </c>
      <c r="B2234" s="2" t="s">
        <v>5051</v>
      </c>
      <c r="C2234" s="2" t="s">
        <v>5050</v>
      </c>
      <c r="D2234" s="2" t="s">
        <v>636</v>
      </c>
      <c r="E2234" s="2" t="str">
        <f>"9780824898885"</f>
        <v>9780824898885</v>
      </c>
      <c r="F2234" s="2" t="str">
        <f>"9780824898755"</f>
        <v>9780824898755</v>
      </c>
    </row>
    <row r="2235" spans="1:6" s="3" customFormat="1" ht="29.1" customHeight="1" x14ac:dyDescent="0.25">
      <c r="A2235" s="2" t="s">
        <v>5052</v>
      </c>
      <c r="B2235" s="2" t="s">
        <v>5053</v>
      </c>
      <c r="C2235" s="2" t="s">
        <v>5050</v>
      </c>
      <c r="D2235" s="2" t="s">
        <v>636</v>
      </c>
      <c r="E2235" s="2"/>
      <c r="F2235" s="2" t="str">
        <f>"9798880701834"</f>
        <v>9798880701834</v>
      </c>
    </row>
    <row r="2236" spans="1:6" s="3" customFormat="1" ht="29.1" customHeight="1" x14ac:dyDescent="0.25">
      <c r="A2236" s="2" t="s">
        <v>5054</v>
      </c>
      <c r="B2236" s="2" t="s">
        <v>5055</v>
      </c>
      <c r="C2236" s="2" t="s">
        <v>5</v>
      </c>
      <c r="D2236" s="2" t="s">
        <v>52</v>
      </c>
      <c r="E2236" s="2" t="str">
        <f>"9789819645114"</f>
        <v>9789819645114</v>
      </c>
      <c r="F2236" s="2" t="str">
        <f>"9789819645121"</f>
        <v>9789819645121</v>
      </c>
    </row>
    <row r="2237" spans="1:6" s="3" customFormat="1" ht="29.1" customHeight="1" x14ac:dyDescent="0.25">
      <c r="A2237" s="2" t="s">
        <v>5056</v>
      </c>
      <c r="B2237" s="2" t="s">
        <v>5057</v>
      </c>
      <c r="C2237" s="2" t="s">
        <v>5</v>
      </c>
      <c r="D2237" s="2" t="s">
        <v>183</v>
      </c>
      <c r="E2237" s="2" t="str">
        <f>"9783031862083"</f>
        <v>9783031862083</v>
      </c>
      <c r="F2237" s="2" t="str">
        <f>"9783031862090"</f>
        <v>9783031862090</v>
      </c>
    </row>
    <row r="2238" spans="1:6" s="3" customFormat="1" ht="29.1" customHeight="1" x14ac:dyDescent="0.25">
      <c r="A2238" s="2" t="s">
        <v>5058</v>
      </c>
      <c r="B2238" s="2" t="s">
        <v>5061</v>
      </c>
      <c r="C2238" s="2" t="s">
        <v>5059</v>
      </c>
      <c r="D2238" s="2" t="s">
        <v>5060</v>
      </c>
      <c r="E2238" s="2" t="str">
        <f>"9781743329269"</f>
        <v>9781743329269</v>
      </c>
      <c r="F2238" s="2" t="str">
        <f>"9781743329276"</f>
        <v>9781743329276</v>
      </c>
    </row>
    <row r="2239" spans="1:6" s="3" customFormat="1" ht="29.1" customHeight="1" x14ac:dyDescent="0.25">
      <c r="A2239" s="2" t="s">
        <v>5062</v>
      </c>
      <c r="B2239" s="2" t="s">
        <v>5063</v>
      </c>
      <c r="C2239" s="2" t="s">
        <v>5</v>
      </c>
      <c r="D2239" s="2" t="s">
        <v>897</v>
      </c>
      <c r="E2239" s="2" t="str">
        <f>"9783031865237"</f>
        <v>9783031865237</v>
      </c>
      <c r="F2239" s="2" t="str">
        <f>"9783031865244"</f>
        <v>9783031865244</v>
      </c>
    </row>
    <row r="2240" spans="1:6" s="3" customFormat="1" ht="29.1" customHeight="1" x14ac:dyDescent="0.25">
      <c r="A2240" s="2" t="s">
        <v>5064</v>
      </c>
      <c r="B2240" s="2" t="s">
        <v>5065</v>
      </c>
      <c r="C2240" s="2" t="s">
        <v>5</v>
      </c>
      <c r="D2240" s="2" t="s">
        <v>183</v>
      </c>
      <c r="E2240" s="2" t="str">
        <f>"9783031825620"</f>
        <v>9783031825620</v>
      </c>
      <c r="F2240" s="2" t="str">
        <f>"9783031825637"</f>
        <v>9783031825637</v>
      </c>
    </row>
    <row r="2241" spans="1:6" s="3" customFormat="1" ht="29.1" customHeight="1" x14ac:dyDescent="0.25">
      <c r="A2241" s="2" t="s">
        <v>5066</v>
      </c>
      <c r="B2241" s="2" t="s">
        <v>5067</v>
      </c>
      <c r="C2241" s="2" t="s">
        <v>20</v>
      </c>
      <c r="D2241" s="2" t="s">
        <v>24</v>
      </c>
      <c r="E2241" s="2"/>
      <c r="F2241" s="2" t="str">
        <f>"9783763965892"</f>
        <v>9783763965892</v>
      </c>
    </row>
    <row r="2242" spans="1:6" s="3" customFormat="1" ht="29.1" customHeight="1" x14ac:dyDescent="0.25">
      <c r="A2242" s="2" t="s">
        <v>5068</v>
      </c>
      <c r="B2242" s="2" t="s">
        <v>5069</v>
      </c>
      <c r="C2242" s="2" t="s">
        <v>20</v>
      </c>
      <c r="D2242" s="2" t="s">
        <v>9</v>
      </c>
      <c r="E2242" s="2"/>
      <c r="F2242" s="2" t="str">
        <f>"9783763978694"</f>
        <v>9783763978694</v>
      </c>
    </row>
    <row r="2243" spans="1:6" s="3" customFormat="1" ht="29.1" customHeight="1" x14ac:dyDescent="0.25">
      <c r="A2243" s="2" t="s">
        <v>5070</v>
      </c>
      <c r="B2243" s="2" t="s">
        <v>5069</v>
      </c>
      <c r="C2243" s="2" t="s">
        <v>20</v>
      </c>
      <c r="D2243" s="2" t="s">
        <v>9</v>
      </c>
      <c r="E2243" s="2"/>
      <c r="F2243" s="2" t="str">
        <f>"9783763978687"</f>
        <v>9783763978687</v>
      </c>
    </row>
    <row r="2244" spans="1:6" s="3" customFormat="1" ht="29.1" customHeight="1" x14ac:dyDescent="0.25">
      <c r="A2244" s="2" t="s">
        <v>5071</v>
      </c>
      <c r="B2244" s="2" t="s">
        <v>5072</v>
      </c>
      <c r="C2244" s="2" t="s">
        <v>20</v>
      </c>
      <c r="D2244" s="2" t="s">
        <v>981</v>
      </c>
      <c r="E2244" s="2" t="str">
        <f>"9783763977758"</f>
        <v>9783763977758</v>
      </c>
      <c r="F2244" s="2" t="str">
        <f>"9783763977765"</f>
        <v>9783763977765</v>
      </c>
    </row>
    <row r="2245" spans="1:6" s="3" customFormat="1" ht="29.1" customHeight="1" x14ac:dyDescent="0.25">
      <c r="A2245" s="2" t="s">
        <v>5073</v>
      </c>
      <c r="B2245" s="2" t="s">
        <v>5074</v>
      </c>
      <c r="C2245" s="2" t="s">
        <v>20</v>
      </c>
      <c r="D2245" s="2" t="s">
        <v>9</v>
      </c>
      <c r="E2245" s="2" t="str">
        <f>"9783763961320"</f>
        <v>9783763961320</v>
      </c>
      <c r="F2245" s="2" t="str">
        <f>"9783763969838"</f>
        <v>9783763969838</v>
      </c>
    </row>
    <row r="2246" spans="1:6" s="3" customFormat="1" ht="29.1" customHeight="1" x14ac:dyDescent="0.25">
      <c r="A2246" s="2" t="s">
        <v>5075</v>
      </c>
      <c r="B2246" s="2" t="s">
        <v>5076</v>
      </c>
      <c r="C2246" s="2" t="s">
        <v>20</v>
      </c>
      <c r="D2246" s="2" t="s">
        <v>2260</v>
      </c>
      <c r="E2246" s="2" t="str">
        <f>"9783763976379"</f>
        <v>9783763976379</v>
      </c>
      <c r="F2246" s="2" t="str">
        <f>"9783763976386"</f>
        <v>9783763976386</v>
      </c>
    </row>
    <row r="2247" spans="1:6" s="3" customFormat="1" ht="29.1" customHeight="1" x14ac:dyDescent="0.25">
      <c r="A2247" s="2" t="s">
        <v>5077</v>
      </c>
      <c r="B2247" s="2" t="s">
        <v>5078</v>
      </c>
      <c r="C2247" s="2" t="s">
        <v>20</v>
      </c>
      <c r="D2247" s="2" t="s">
        <v>9</v>
      </c>
      <c r="E2247" s="2" t="str">
        <f>"9783763978342"</f>
        <v>9783763978342</v>
      </c>
      <c r="F2247" s="2" t="str">
        <f>"9783763978359"</f>
        <v>9783763978359</v>
      </c>
    </row>
    <row r="2248" spans="1:6" s="3" customFormat="1" ht="29.1" customHeight="1" x14ac:dyDescent="0.25">
      <c r="A2248" s="2" t="s">
        <v>5079</v>
      </c>
      <c r="B2248" s="2" t="s">
        <v>5080</v>
      </c>
      <c r="C2248" s="2" t="s">
        <v>20</v>
      </c>
      <c r="D2248" s="2" t="s">
        <v>24</v>
      </c>
      <c r="E2248" s="2" t="str">
        <f>"9783763962105"</f>
        <v>9783763962105</v>
      </c>
      <c r="F2248" s="2" t="str">
        <f>"9783763958368"</f>
        <v>9783763958368</v>
      </c>
    </row>
    <row r="2249" spans="1:6" s="3" customFormat="1" ht="29.1" customHeight="1" x14ac:dyDescent="0.25">
      <c r="A2249" s="2" t="s">
        <v>5081</v>
      </c>
      <c r="B2249" s="2" t="s">
        <v>5082</v>
      </c>
      <c r="C2249" s="2" t="s">
        <v>732</v>
      </c>
      <c r="D2249" s="2" t="s">
        <v>2433</v>
      </c>
      <c r="E2249" s="2" t="str">
        <f>"9781779953537"</f>
        <v>9781779953537</v>
      </c>
      <c r="F2249" s="2" t="str">
        <f>"9781779953544"</f>
        <v>9781779953544</v>
      </c>
    </row>
    <row r="2250" spans="1:6" s="3" customFormat="1" ht="29.1" customHeight="1" x14ac:dyDescent="0.25">
      <c r="A2250" s="2" t="s">
        <v>5083</v>
      </c>
      <c r="B2250" s="2" t="s">
        <v>5084</v>
      </c>
      <c r="C2250" s="2" t="s">
        <v>327</v>
      </c>
      <c r="D2250" s="2" t="s">
        <v>2005</v>
      </c>
      <c r="E2250" s="2"/>
      <c r="F2250" s="2" t="str">
        <f>"9788383317038"</f>
        <v>9788383317038</v>
      </c>
    </row>
    <row r="2251" spans="1:6" s="3" customFormat="1" ht="29.1" customHeight="1" x14ac:dyDescent="0.25">
      <c r="A2251" s="2" t="s">
        <v>5085</v>
      </c>
      <c r="B2251" s="2" t="s">
        <v>5086</v>
      </c>
      <c r="C2251" s="2" t="s">
        <v>327</v>
      </c>
      <c r="D2251" s="2" t="s">
        <v>98</v>
      </c>
      <c r="E2251" s="2" t="str">
        <f>"9788383317144"</f>
        <v>9788383317144</v>
      </c>
      <c r="F2251" s="2" t="str">
        <f>"9788383317151"</f>
        <v>9788383317151</v>
      </c>
    </row>
    <row r="2252" spans="1:6" s="3" customFormat="1" ht="29.1" customHeight="1" x14ac:dyDescent="0.25">
      <c r="A2252" s="2" t="s">
        <v>5087</v>
      </c>
      <c r="B2252" s="2" t="s">
        <v>5088</v>
      </c>
      <c r="C2252" s="2" t="s">
        <v>927</v>
      </c>
      <c r="D2252" s="2" t="s">
        <v>210</v>
      </c>
      <c r="E2252" s="2" t="str">
        <f>"9780472057573"</f>
        <v>9780472057573</v>
      </c>
      <c r="F2252" s="2" t="str">
        <f>"9780472905133"</f>
        <v>9780472905133</v>
      </c>
    </row>
    <row r="2253" spans="1:6" s="3" customFormat="1" ht="29.1" customHeight="1" x14ac:dyDescent="0.25">
      <c r="A2253" s="2" t="s">
        <v>5089</v>
      </c>
      <c r="B2253" s="2" t="s">
        <v>5090</v>
      </c>
      <c r="C2253" s="2" t="s">
        <v>5</v>
      </c>
      <c r="D2253" s="2" t="s">
        <v>1627</v>
      </c>
      <c r="E2253" s="2" t="str">
        <f>"9789819651313"</f>
        <v>9789819651313</v>
      </c>
      <c r="F2253" s="2" t="str">
        <f>"9789819651320"</f>
        <v>9789819651320</v>
      </c>
    </row>
    <row r="2254" spans="1:6" s="3" customFormat="1" ht="29.1" customHeight="1" x14ac:dyDescent="0.25">
      <c r="A2254" s="2" t="s">
        <v>5091</v>
      </c>
      <c r="B2254" s="2" t="s">
        <v>5093</v>
      </c>
      <c r="C2254" s="2" t="s">
        <v>5</v>
      </c>
      <c r="D2254" s="2" t="s">
        <v>5092</v>
      </c>
      <c r="E2254" s="2" t="str">
        <f>"9783658477240"</f>
        <v>9783658477240</v>
      </c>
      <c r="F2254" s="2" t="str">
        <f>"9783658477257"</f>
        <v>9783658477257</v>
      </c>
    </row>
    <row r="2255" spans="1:6" s="3" customFormat="1" ht="29.1" customHeight="1" x14ac:dyDescent="0.25">
      <c r="A2255" s="2" t="s">
        <v>5094</v>
      </c>
      <c r="B2255" s="2" t="s">
        <v>5095</v>
      </c>
      <c r="C2255" s="2" t="s">
        <v>5</v>
      </c>
      <c r="D2255" s="2" t="s">
        <v>302</v>
      </c>
      <c r="E2255" s="2" t="str">
        <f>"9789819747290"</f>
        <v>9789819747290</v>
      </c>
      <c r="F2255" s="2" t="str">
        <f>"9789819747306"</f>
        <v>9789819747306</v>
      </c>
    </row>
    <row r="2256" spans="1:6" s="3" customFormat="1" ht="29.1" customHeight="1" x14ac:dyDescent="0.25">
      <c r="A2256" s="2" t="s">
        <v>5096</v>
      </c>
      <c r="B2256" s="2" t="s">
        <v>5097</v>
      </c>
      <c r="C2256" s="2" t="s">
        <v>5</v>
      </c>
      <c r="D2256" s="2" t="s">
        <v>9</v>
      </c>
      <c r="E2256" s="2" t="str">
        <f>"9782384764273"</f>
        <v>9782384764273</v>
      </c>
      <c r="F2256" s="2" t="str">
        <f>"9782384764280"</f>
        <v>9782384764280</v>
      </c>
    </row>
    <row r="2257" spans="1:6" s="3" customFormat="1" ht="29.1" customHeight="1" x14ac:dyDescent="0.25">
      <c r="A2257" s="2" t="s">
        <v>5098</v>
      </c>
      <c r="B2257" s="2" t="s">
        <v>5100</v>
      </c>
      <c r="C2257" s="2" t="s">
        <v>5</v>
      </c>
      <c r="D2257" s="2" t="s">
        <v>5099</v>
      </c>
      <c r="E2257" s="2" t="str">
        <f>"9789464637410"</f>
        <v>9789464637410</v>
      </c>
      <c r="F2257" s="2" t="str">
        <f>"9789464637427"</f>
        <v>9789464637427</v>
      </c>
    </row>
    <row r="2258" spans="1:6" s="3" customFormat="1" ht="29.1" customHeight="1" x14ac:dyDescent="0.25">
      <c r="A2258" s="2" t="s">
        <v>5101</v>
      </c>
      <c r="B2258" s="2" t="s">
        <v>5102</v>
      </c>
      <c r="C2258" s="2" t="s">
        <v>124</v>
      </c>
      <c r="D2258" s="2" t="s">
        <v>402</v>
      </c>
      <c r="E2258" s="2" t="str">
        <f>"9781032341255"</f>
        <v>9781032341255</v>
      </c>
      <c r="F2258" s="2" t="str">
        <f>"9781003324164"</f>
        <v>9781003324164</v>
      </c>
    </row>
    <row r="2259" spans="1:6" s="3" customFormat="1" ht="29.1" customHeight="1" x14ac:dyDescent="0.25">
      <c r="A2259" s="2" t="s">
        <v>5103</v>
      </c>
      <c r="B2259" s="2" t="s">
        <v>5105</v>
      </c>
      <c r="C2259" s="2" t="s">
        <v>29</v>
      </c>
      <c r="D2259" s="2" t="s">
        <v>5104</v>
      </c>
      <c r="E2259" s="2" t="str">
        <f>"9789004733152"</f>
        <v>9789004733152</v>
      </c>
      <c r="F2259" s="2" t="str">
        <f>"9789004733169"</f>
        <v>9789004733169</v>
      </c>
    </row>
    <row r="2260" spans="1:6" s="3" customFormat="1" ht="29.1" customHeight="1" x14ac:dyDescent="0.25">
      <c r="A2260" s="2" t="s">
        <v>5106</v>
      </c>
      <c r="B2260" s="2" t="s">
        <v>5107</v>
      </c>
      <c r="C2260" s="2" t="s">
        <v>5</v>
      </c>
      <c r="D2260" s="2" t="s">
        <v>9</v>
      </c>
      <c r="E2260" s="2" t="str">
        <f>"9783031890475"</f>
        <v>9783031890475</v>
      </c>
      <c r="F2260" s="2" t="str">
        <f>"9783031890451"</f>
        <v>9783031890451</v>
      </c>
    </row>
    <row r="2261" spans="1:6" s="3" customFormat="1" ht="29.1" customHeight="1" x14ac:dyDescent="0.25">
      <c r="A2261" s="2" t="s">
        <v>5108</v>
      </c>
      <c r="B2261" s="2" t="s">
        <v>5109</v>
      </c>
      <c r="C2261" s="2" t="s">
        <v>5</v>
      </c>
      <c r="D2261" s="2" t="s">
        <v>297</v>
      </c>
      <c r="E2261" s="2" t="str">
        <f>"9783658463274"</f>
        <v>9783658463274</v>
      </c>
      <c r="F2261" s="2" t="str">
        <f>"9783658463281"</f>
        <v>9783658463281</v>
      </c>
    </row>
    <row r="2262" spans="1:6" s="3" customFormat="1" ht="29.1" customHeight="1" x14ac:dyDescent="0.25">
      <c r="A2262" s="2" t="s">
        <v>5110</v>
      </c>
      <c r="B2262" s="2" t="s">
        <v>5111</v>
      </c>
      <c r="C2262" s="2" t="s">
        <v>5</v>
      </c>
      <c r="D2262" s="2" t="s">
        <v>2271</v>
      </c>
      <c r="E2262" s="2" t="str">
        <f>"9783031869419"</f>
        <v>9783031869419</v>
      </c>
      <c r="F2262" s="2" t="str">
        <f>"9783031869426"</f>
        <v>9783031869426</v>
      </c>
    </row>
    <row r="2263" spans="1:6" s="3" customFormat="1" ht="29.1" customHeight="1" x14ac:dyDescent="0.25">
      <c r="A2263" s="2" t="s">
        <v>5112</v>
      </c>
      <c r="B2263" s="2" t="s">
        <v>5113</v>
      </c>
      <c r="C2263" s="2" t="s">
        <v>5</v>
      </c>
      <c r="D2263" s="2" t="s">
        <v>270</v>
      </c>
      <c r="E2263" s="2" t="str">
        <f>"9783658480103"</f>
        <v>9783658480103</v>
      </c>
      <c r="F2263" s="2" t="str">
        <f>"9783658480110"</f>
        <v>9783658480110</v>
      </c>
    </row>
    <row r="2264" spans="1:6" s="3" customFormat="1" ht="29.1" customHeight="1" x14ac:dyDescent="0.25">
      <c r="A2264" s="2" t="s">
        <v>5114</v>
      </c>
      <c r="B2264" s="2" t="s">
        <v>5116</v>
      </c>
      <c r="C2264" s="2" t="s">
        <v>5</v>
      </c>
      <c r="D2264" s="2" t="s">
        <v>5115</v>
      </c>
      <c r="E2264" s="2" t="str">
        <f>"9783658477073"</f>
        <v>9783658477073</v>
      </c>
      <c r="F2264" s="2" t="str">
        <f>"9783658477080"</f>
        <v>9783658477080</v>
      </c>
    </row>
    <row r="2265" spans="1:6" s="3" customFormat="1" ht="29.1" customHeight="1" x14ac:dyDescent="0.25">
      <c r="A2265" s="2" t="s">
        <v>5117</v>
      </c>
      <c r="B2265" s="2" t="s">
        <v>5119</v>
      </c>
      <c r="C2265" s="2" t="s">
        <v>5</v>
      </c>
      <c r="D2265" s="2" t="s">
        <v>5118</v>
      </c>
      <c r="E2265" s="2" t="str">
        <f>"9783031693076"</f>
        <v>9783031693076</v>
      </c>
      <c r="F2265" s="2" t="str">
        <f>"9783031693083"</f>
        <v>9783031693083</v>
      </c>
    </row>
    <row r="2266" spans="1:6" s="3" customFormat="1" ht="29.1" customHeight="1" x14ac:dyDescent="0.25">
      <c r="A2266" s="2" t="s">
        <v>5120</v>
      </c>
      <c r="B2266" s="2" t="s">
        <v>5121</v>
      </c>
      <c r="C2266" s="2" t="s">
        <v>5</v>
      </c>
      <c r="D2266" s="2" t="s">
        <v>636</v>
      </c>
      <c r="E2266" s="2" t="str">
        <f>"9783662702413"</f>
        <v>9783662702413</v>
      </c>
      <c r="F2266" s="2" t="str">
        <f>"9783662702420"</f>
        <v>9783662702420</v>
      </c>
    </row>
    <row r="2267" spans="1:6" s="3" customFormat="1" ht="29.1" customHeight="1" x14ac:dyDescent="0.25">
      <c r="A2267" s="2" t="s">
        <v>5122</v>
      </c>
      <c r="B2267" s="2" t="s">
        <v>5123</v>
      </c>
      <c r="C2267" s="2" t="s">
        <v>624</v>
      </c>
      <c r="D2267" s="2" t="s">
        <v>916</v>
      </c>
      <c r="E2267" s="2"/>
      <c r="F2267" s="2" t="str">
        <f>"9789188661012"</f>
        <v>9789188661012</v>
      </c>
    </row>
    <row r="2268" spans="1:6" s="3" customFormat="1" ht="29.1" customHeight="1" x14ac:dyDescent="0.25">
      <c r="A2268" s="2" t="s">
        <v>5124</v>
      </c>
      <c r="B2268" s="2" t="s">
        <v>5125</v>
      </c>
      <c r="C2268" s="2" t="s">
        <v>624</v>
      </c>
      <c r="D2268" s="2" t="s">
        <v>636</v>
      </c>
      <c r="E2268" s="2"/>
      <c r="F2268" s="2" t="str">
        <f>"9789522228369"</f>
        <v>9789522228369</v>
      </c>
    </row>
    <row r="2269" spans="1:6" s="3" customFormat="1" ht="29.1" customHeight="1" x14ac:dyDescent="0.25">
      <c r="A2269" s="2" t="s">
        <v>5126</v>
      </c>
      <c r="B2269" s="2" t="s">
        <v>5128</v>
      </c>
      <c r="C2269" s="2" t="s">
        <v>624</v>
      </c>
      <c r="D2269" s="2" t="s">
        <v>5127</v>
      </c>
      <c r="E2269" s="2"/>
      <c r="F2269" s="2" t="str">
        <f>"9789518581591"</f>
        <v>9789518581591</v>
      </c>
    </row>
    <row r="2270" spans="1:6" s="3" customFormat="1" ht="29.1" customHeight="1" x14ac:dyDescent="0.25">
      <c r="A2270" s="2" t="s">
        <v>5129</v>
      </c>
      <c r="B2270" s="2" t="s">
        <v>5130</v>
      </c>
      <c r="C2270" s="2" t="s">
        <v>624</v>
      </c>
      <c r="D2270" s="2" t="s">
        <v>3149</v>
      </c>
      <c r="E2270" s="2"/>
      <c r="F2270" s="2" t="str">
        <f>"9789522229526"</f>
        <v>9789522229526</v>
      </c>
    </row>
    <row r="2271" spans="1:6" s="3" customFormat="1" ht="29.1" customHeight="1" x14ac:dyDescent="0.25">
      <c r="A2271" s="2" t="s">
        <v>5131</v>
      </c>
      <c r="B2271" s="2" t="s">
        <v>5132</v>
      </c>
      <c r="C2271" s="2" t="s">
        <v>624</v>
      </c>
      <c r="D2271" s="2" t="s">
        <v>4030</v>
      </c>
      <c r="E2271" s="2"/>
      <c r="F2271" s="2" t="str">
        <f>"9780987236999"</f>
        <v>9780987236999</v>
      </c>
    </row>
    <row r="2272" spans="1:6" s="3" customFormat="1" ht="29.1" customHeight="1" x14ac:dyDescent="0.25">
      <c r="A2272" s="2" t="s">
        <v>5133</v>
      </c>
      <c r="B2272" s="2" t="s">
        <v>5134</v>
      </c>
      <c r="C2272" s="2" t="s">
        <v>624</v>
      </c>
      <c r="D2272" s="2" t="s">
        <v>207</v>
      </c>
      <c r="E2272" s="2"/>
      <c r="F2272" s="2" t="str">
        <f>"9780987236920"</f>
        <v>9780987236920</v>
      </c>
    </row>
    <row r="2273" spans="1:6" s="3" customFormat="1" ht="29.1" customHeight="1" x14ac:dyDescent="0.25">
      <c r="A2273" s="2" t="s">
        <v>5135</v>
      </c>
      <c r="B2273" s="2" t="s">
        <v>5136</v>
      </c>
      <c r="C2273" s="2" t="s">
        <v>624</v>
      </c>
      <c r="D2273" s="2" t="s">
        <v>818</v>
      </c>
      <c r="E2273" s="2"/>
      <c r="F2273" s="2" t="str">
        <f>"9780987236913"</f>
        <v>9780987236913</v>
      </c>
    </row>
    <row r="2274" spans="1:6" s="3" customFormat="1" ht="29.1" customHeight="1" x14ac:dyDescent="0.25">
      <c r="A2274" s="2" t="s">
        <v>5137</v>
      </c>
      <c r="B2274" s="2" t="s">
        <v>5138</v>
      </c>
      <c r="C2274" s="2" t="s">
        <v>624</v>
      </c>
      <c r="D2274" s="2" t="s">
        <v>75</v>
      </c>
      <c r="E2274" s="2"/>
      <c r="F2274" s="2" t="str">
        <f>"9789170313318"</f>
        <v>9789170313318</v>
      </c>
    </row>
    <row r="2275" spans="1:6" s="3" customFormat="1" ht="29.1" customHeight="1" x14ac:dyDescent="0.25">
      <c r="A2275" s="2" t="s">
        <v>5139</v>
      </c>
      <c r="B2275" s="2" t="s">
        <v>5140</v>
      </c>
      <c r="C2275" s="2" t="s">
        <v>624</v>
      </c>
      <c r="D2275" s="2" t="s">
        <v>727</v>
      </c>
      <c r="E2275" s="2"/>
      <c r="F2275" s="2" t="str">
        <f>"9781957213873"</f>
        <v>9781957213873</v>
      </c>
    </row>
    <row r="2276" spans="1:6" s="3" customFormat="1" ht="29.1" customHeight="1" x14ac:dyDescent="0.25">
      <c r="A2276" s="2" t="s">
        <v>5141</v>
      </c>
      <c r="B2276" s="2" t="s">
        <v>5142</v>
      </c>
      <c r="C2276" s="2" t="s">
        <v>624</v>
      </c>
      <c r="D2276" s="2" t="s">
        <v>3214</v>
      </c>
      <c r="E2276" s="2"/>
      <c r="F2276" s="2" t="str">
        <f>"9789198912821"</f>
        <v>9789198912821</v>
      </c>
    </row>
    <row r="2277" spans="1:6" s="3" customFormat="1" ht="29.1" customHeight="1" x14ac:dyDescent="0.25">
      <c r="A2277" s="2" t="s">
        <v>5143</v>
      </c>
      <c r="B2277" s="2" t="s">
        <v>5145</v>
      </c>
      <c r="C2277" s="2" t="s">
        <v>624</v>
      </c>
      <c r="D2277" s="2" t="s">
        <v>5144</v>
      </c>
      <c r="E2277" s="2"/>
      <c r="F2277" s="2" t="str">
        <f>"9789189244115"</f>
        <v>9789189244115</v>
      </c>
    </row>
    <row r="2278" spans="1:6" s="3" customFormat="1" ht="29.1" customHeight="1" x14ac:dyDescent="0.25">
      <c r="A2278" s="2" t="s">
        <v>5146</v>
      </c>
      <c r="B2278" s="2" t="s">
        <v>5147</v>
      </c>
      <c r="C2278" s="2" t="s">
        <v>624</v>
      </c>
      <c r="D2278" s="2" t="s">
        <v>1944</v>
      </c>
      <c r="E2278" s="2"/>
      <c r="F2278" s="2" t="str">
        <f>"9780988517066"</f>
        <v>9780988517066</v>
      </c>
    </row>
    <row r="2279" spans="1:6" s="3" customFormat="1" ht="29.1" customHeight="1" x14ac:dyDescent="0.25">
      <c r="A2279" s="2" t="s">
        <v>5148</v>
      </c>
      <c r="B2279" s="2" t="s">
        <v>5149</v>
      </c>
      <c r="C2279" s="2" t="s">
        <v>624</v>
      </c>
      <c r="D2279" s="2" t="s">
        <v>75</v>
      </c>
      <c r="E2279" s="2"/>
      <c r="F2279" s="2" t="str">
        <f>"9789170313165"</f>
        <v>9789170313165</v>
      </c>
    </row>
    <row r="2280" spans="1:6" s="3" customFormat="1" ht="29.1" customHeight="1" x14ac:dyDescent="0.25">
      <c r="A2280" s="2" t="s">
        <v>5150</v>
      </c>
      <c r="B2280" s="2" t="s">
        <v>5152</v>
      </c>
      <c r="C2280" s="2" t="s">
        <v>624</v>
      </c>
      <c r="D2280" s="2" t="s">
        <v>5151</v>
      </c>
      <c r="E2280" s="2"/>
      <c r="F2280" s="2" t="str">
        <f>"9789177750024"</f>
        <v>9789177750024</v>
      </c>
    </row>
    <row r="2281" spans="1:6" s="3" customFormat="1" ht="29.1" customHeight="1" x14ac:dyDescent="0.25">
      <c r="A2281" s="2" t="s">
        <v>5153</v>
      </c>
      <c r="B2281" s="2" t="s">
        <v>5154</v>
      </c>
      <c r="C2281" s="2" t="s">
        <v>624</v>
      </c>
      <c r="D2281" s="2" t="s">
        <v>72</v>
      </c>
      <c r="E2281" s="2" t="str">
        <f>"9780996383851"</f>
        <v>9780996383851</v>
      </c>
      <c r="F2281" s="2" t="str">
        <f>"9780996383837"</f>
        <v>9780996383837</v>
      </c>
    </row>
    <row r="2282" spans="1:6" s="3" customFormat="1" ht="29.1" customHeight="1" x14ac:dyDescent="0.25">
      <c r="A2282" s="2" t="s">
        <v>5155</v>
      </c>
      <c r="B2282" s="2" t="s">
        <v>5156</v>
      </c>
      <c r="C2282" s="2" t="s">
        <v>624</v>
      </c>
      <c r="D2282" s="2" t="s">
        <v>183</v>
      </c>
      <c r="E2282" s="2" t="str">
        <f>"9781949373387"</f>
        <v>9781949373387</v>
      </c>
      <c r="F2282" s="2" t="str">
        <f>"9781949373394"</f>
        <v>9781949373394</v>
      </c>
    </row>
    <row r="2283" spans="1:6" s="3" customFormat="1" ht="29.1" customHeight="1" x14ac:dyDescent="0.25">
      <c r="A2283" s="2" t="s">
        <v>5157</v>
      </c>
      <c r="B2283" s="2" t="s">
        <v>5159</v>
      </c>
      <c r="C2283" s="2" t="s">
        <v>624</v>
      </c>
      <c r="D2283" s="2" t="s">
        <v>5158</v>
      </c>
      <c r="E2283" s="2" t="str">
        <f>"9789176350430"</f>
        <v>9789176350430</v>
      </c>
      <c r="F2283" s="2" t="str">
        <f>"9789176350409"</f>
        <v>9789176350409</v>
      </c>
    </row>
    <row r="2284" spans="1:6" s="3" customFormat="1" ht="29.1" customHeight="1" x14ac:dyDescent="0.25">
      <c r="A2284" s="2" t="s">
        <v>5160</v>
      </c>
      <c r="B2284" s="2" t="s">
        <v>5161</v>
      </c>
      <c r="C2284" s="2" t="s">
        <v>624</v>
      </c>
      <c r="D2284" s="2" t="s">
        <v>868</v>
      </c>
      <c r="E2284" s="2" t="str">
        <f>"9789174450606"</f>
        <v>9789174450606</v>
      </c>
      <c r="F2284" s="2" t="str">
        <f>"9789174451092"</f>
        <v>9789174451092</v>
      </c>
    </row>
    <row r="2285" spans="1:6" s="3" customFormat="1" ht="29.1" customHeight="1" x14ac:dyDescent="0.25">
      <c r="A2285" s="2" t="s">
        <v>5162</v>
      </c>
      <c r="B2285" s="2" t="s">
        <v>5163</v>
      </c>
      <c r="C2285" s="2" t="s">
        <v>624</v>
      </c>
      <c r="D2285" s="2" t="s">
        <v>215</v>
      </c>
      <c r="E2285" s="2" t="str">
        <f>"9789189593060"</f>
        <v>9789189593060</v>
      </c>
      <c r="F2285" s="2" t="str">
        <f>"9789189593077"</f>
        <v>9789189593077</v>
      </c>
    </row>
    <row r="2286" spans="1:6" s="3" customFormat="1" ht="29.1" customHeight="1" x14ac:dyDescent="0.25">
      <c r="A2286" s="2" t="s">
        <v>5164</v>
      </c>
      <c r="B2286" s="2" t="s">
        <v>5165</v>
      </c>
      <c r="C2286" s="2" t="s">
        <v>624</v>
      </c>
      <c r="D2286" s="2" t="s">
        <v>183</v>
      </c>
      <c r="E2286" s="2" t="str">
        <f>"9789178673308"</f>
        <v>9789178673308</v>
      </c>
      <c r="F2286" s="2" t="str">
        <f>"9789178673315"</f>
        <v>9789178673315</v>
      </c>
    </row>
    <row r="2287" spans="1:6" s="3" customFormat="1" ht="29.1" customHeight="1" x14ac:dyDescent="0.25">
      <c r="A2287" s="2" t="s">
        <v>5166</v>
      </c>
      <c r="B2287" s="2" t="s">
        <v>5168</v>
      </c>
      <c r="C2287" s="2" t="s">
        <v>624</v>
      </c>
      <c r="D2287" s="2" t="s">
        <v>5167</v>
      </c>
      <c r="E2287" s="2"/>
      <c r="F2287" s="2" t="str">
        <f>"9789358113136"</f>
        <v>9789358113136</v>
      </c>
    </row>
    <row r="2288" spans="1:6" s="3" customFormat="1" ht="29.1" customHeight="1" x14ac:dyDescent="0.25">
      <c r="A2288" s="2" t="s">
        <v>5169</v>
      </c>
      <c r="B2288" s="2" t="s">
        <v>5170</v>
      </c>
      <c r="C2288" s="2" t="s">
        <v>624</v>
      </c>
      <c r="D2288" s="2" t="s">
        <v>256</v>
      </c>
      <c r="E2288" s="2" t="str">
        <f>"9781914481642"</f>
        <v>9781914481642</v>
      </c>
      <c r="F2288" s="2" t="str">
        <f>"9781914481659"</f>
        <v>9781914481659</v>
      </c>
    </row>
    <row r="2289" spans="1:6" s="3" customFormat="1" ht="29.1" customHeight="1" x14ac:dyDescent="0.25">
      <c r="A2289" s="2" t="s">
        <v>5171</v>
      </c>
      <c r="B2289" s="2" t="s">
        <v>5172</v>
      </c>
      <c r="C2289" s="2" t="s">
        <v>624</v>
      </c>
      <c r="D2289" s="2" t="s">
        <v>2776</v>
      </c>
      <c r="E2289" s="2" t="str">
        <f>"9781914481604"</f>
        <v>9781914481604</v>
      </c>
      <c r="F2289" s="2" t="str">
        <f>"9781914481611"</f>
        <v>9781914481611</v>
      </c>
    </row>
    <row r="2290" spans="1:6" s="3" customFormat="1" ht="29.1" customHeight="1" x14ac:dyDescent="0.25">
      <c r="A2290" s="2" t="s">
        <v>5173</v>
      </c>
      <c r="B2290" s="2" t="s">
        <v>5174</v>
      </c>
      <c r="C2290" s="2" t="s">
        <v>624</v>
      </c>
      <c r="D2290" s="2" t="s">
        <v>647</v>
      </c>
      <c r="E2290" s="2" t="str">
        <f>"9781914481321"</f>
        <v>9781914481321</v>
      </c>
      <c r="F2290" s="2" t="str">
        <f>"9781914481338"</f>
        <v>9781914481338</v>
      </c>
    </row>
    <row r="2291" spans="1:6" s="3" customFormat="1" ht="29.1" customHeight="1" x14ac:dyDescent="0.25">
      <c r="A2291" s="2" t="s">
        <v>5175</v>
      </c>
      <c r="B2291" s="2" t="s">
        <v>5176</v>
      </c>
      <c r="C2291" s="2" t="s">
        <v>624</v>
      </c>
      <c r="D2291" s="2" t="s">
        <v>2019</v>
      </c>
      <c r="E2291" s="2" t="str">
        <f>"9781914481246"</f>
        <v>9781914481246</v>
      </c>
      <c r="F2291" s="2" t="str">
        <f>"9781914481253"</f>
        <v>9781914481253</v>
      </c>
    </row>
    <row r="2292" spans="1:6" s="3" customFormat="1" ht="29.1" customHeight="1" x14ac:dyDescent="0.25">
      <c r="A2292" s="2" t="s">
        <v>5177</v>
      </c>
      <c r="B2292" s="2" t="s">
        <v>5179</v>
      </c>
      <c r="C2292" s="2" t="s">
        <v>624</v>
      </c>
      <c r="D2292" s="2" t="s">
        <v>5178</v>
      </c>
      <c r="E2292" s="2" t="str">
        <f>"9781911529569"</f>
        <v>9781911529569</v>
      </c>
      <c r="F2292" s="2" t="str">
        <f>"9781911529576"</f>
        <v>9781911529576</v>
      </c>
    </row>
    <row r="2293" spans="1:6" s="3" customFormat="1" ht="29.1" customHeight="1" x14ac:dyDescent="0.25">
      <c r="A2293" s="2" t="s">
        <v>5180</v>
      </c>
      <c r="B2293" s="2" t="s">
        <v>5181</v>
      </c>
      <c r="C2293" s="2" t="s">
        <v>624</v>
      </c>
      <c r="D2293" s="2" t="s">
        <v>490</v>
      </c>
      <c r="E2293" s="2" t="str">
        <f>"9781914481086"</f>
        <v>9781914481086</v>
      </c>
      <c r="F2293" s="2" t="str">
        <f>"9781914481093"</f>
        <v>9781914481093</v>
      </c>
    </row>
    <row r="2294" spans="1:6" s="3" customFormat="1" ht="29.1" customHeight="1" x14ac:dyDescent="0.25">
      <c r="A2294" s="2" t="s">
        <v>5182</v>
      </c>
      <c r="B2294" s="2" t="s">
        <v>5183</v>
      </c>
      <c r="C2294" s="2" t="s">
        <v>624</v>
      </c>
      <c r="D2294" s="2" t="s">
        <v>270</v>
      </c>
      <c r="E2294" s="2" t="str">
        <f>"9781914481048"</f>
        <v>9781914481048</v>
      </c>
      <c r="F2294" s="2" t="str">
        <f>"9781914481055"</f>
        <v>9781914481055</v>
      </c>
    </row>
    <row r="2295" spans="1:6" s="3" customFormat="1" ht="29.1" customHeight="1" x14ac:dyDescent="0.25">
      <c r="A2295" s="2" t="s">
        <v>5184</v>
      </c>
      <c r="B2295" s="2" t="s">
        <v>5185</v>
      </c>
      <c r="C2295" s="2" t="s">
        <v>624</v>
      </c>
      <c r="D2295" s="2" t="s">
        <v>210</v>
      </c>
      <c r="E2295" s="2" t="str">
        <f>"9781914481000"</f>
        <v>9781914481000</v>
      </c>
      <c r="F2295" s="2" t="str">
        <f>"9781914481017"</f>
        <v>9781914481017</v>
      </c>
    </row>
    <row r="2296" spans="1:6" s="3" customFormat="1" ht="29.1" customHeight="1" x14ac:dyDescent="0.25">
      <c r="A2296" s="2" t="s">
        <v>5186</v>
      </c>
      <c r="B2296" s="2" t="s">
        <v>5187</v>
      </c>
      <c r="C2296" s="2" t="s">
        <v>624</v>
      </c>
      <c r="D2296" s="2" t="s">
        <v>1422</v>
      </c>
      <c r="E2296" s="2" t="str">
        <f>"9781911529606"</f>
        <v>9781911529606</v>
      </c>
      <c r="F2296" s="2" t="str">
        <f>"9781911529613"</f>
        <v>9781911529613</v>
      </c>
    </row>
    <row r="2297" spans="1:6" s="3" customFormat="1" ht="29.1" customHeight="1" x14ac:dyDescent="0.25">
      <c r="A2297" s="2" t="s">
        <v>5188</v>
      </c>
      <c r="B2297" s="2" t="s">
        <v>5189</v>
      </c>
      <c r="C2297" s="2" t="s">
        <v>624</v>
      </c>
      <c r="D2297" s="2" t="s">
        <v>606</v>
      </c>
      <c r="E2297" s="2" t="str">
        <f>"9781911529842"</f>
        <v>9781911529842</v>
      </c>
      <c r="F2297" s="2" t="str">
        <f>"9781911529859"</f>
        <v>9781911529859</v>
      </c>
    </row>
    <row r="2298" spans="1:6" s="3" customFormat="1" ht="29.1" customHeight="1" x14ac:dyDescent="0.25">
      <c r="A2298" s="2" t="s">
        <v>5190</v>
      </c>
      <c r="B2298" s="2" t="s">
        <v>5191</v>
      </c>
      <c r="C2298" s="2" t="s">
        <v>624</v>
      </c>
      <c r="D2298" s="2" t="s">
        <v>550</v>
      </c>
      <c r="E2298" s="2" t="str">
        <f>"9781911529804"</f>
        <v>9781911529804</v>
      </c>
      <c r="F2298" s="2" t="str">
        <f>"9781911529811"</f>
        <v>9781911529811</v>
      </c>
    </row>
    <row r="2299" spans="1:6" s="3" customFormat="1" ht="29.1" customHeight="1" x14ac:dyDescent="0.25">
      <c r="A2299" s="2" t="s">
        <v>5192</v>
      </c>
      <c r="B2299" s="2" t="s">
        <v>5193</v>
      </c>
      <c r="C2299" s="2" t="s">
        <v>624</v>
      </c>
      <c r="D2299" s="2" t="s">
        <v>89</v>
      </c>
      <c r="E2299" s="2" t="str">
        <f>"9781911529682"</f>
        <v>9781911529682</v>
      </c>
      <c r="F2299" s="2" t="str">
        <f>"9781911529699"</f>
        <v>9781911529699</v>
      </c>
    </row>
    <row r="2300" spans="1:6" s="3" customFormat="1" ht="29.1" customHeight="1" x14ac:dyDescent="0.25">
      <c r="A2300" s="2" t="s">
        <v>5194</v>
      </c>
      <c r="B2300" s="2" t="s">
        <v>5195</v>
      </c>
      <c r="C2300" s="2" t="s">
        <v>624</v>
      </c>
      <c r="D2300" s="2" t="s">
        <v>4030</v>
      </c>
      <c r="E2300" s="2" t="str">
        <f>"9781911529644"</f>
        <v>9781911529644</v>
      </c>
      <c r="F2300" s="2" t="str">
        <f>"9781911529651"</f>
        <v>9781911529651</v>
      </c>
    </row>
    <row r="2301" spans="1:6" s="3" customFormat="1" ht="29.1" customHeight="1" x14ac:dyDescent="0.25">
      <c r="A2301" s="2" t="s">
        <v>5196</v>
      </c>
      <c r="B2301" s="2" t="s">
        <v>5197</v>
      </c>
      <c r="C2301" s="2" t="s">
        <v>624</v>
      </c>
      <c r="D2301" s="2" t="s">
        <v>302</v>
      </c>
      <c r="E2301" s="2" t="str">
        <f>"9781911529484"</f>
        <v>9781911529484</v>
      </c>
      <c r="F2301" s="2" t="str">
        <f>"9781911529491"</f>
        <v>9781911529491</v>
      </c>
    </row>
    <row r="2302" spans="1:6" s="3" customFormat="1" ht="29.1" customHeight="1" x14ac:dyDescent="0.25">
      <c r="A2302" s="2" t="s">
        <v>5198</v>
      </c>
      <c r="B2302" s="2" t="s">
        <v>5200</v>
      </c>
      <c r="C2302" s="2" t="s">
        <v>624</v>
      </c>
      <c r="D2302" s="2" t="s">
        <v>5199</v>
      </c>
      <c r="E2302" s="2" t="str">
        <f>"9781911529521"</f>
        <v>9781911529521</v>
      </c>
      <c r="F2302" s="2" t="str">
        <f>"9781911529538"</f>
        <v>9781911529538</v>
      </c>
    </row>
    <row r="2303" spans="1:6" s="3" customFormat="1" ht="29.1" customHeight="1" x14ac:dyDescent="0.25">
      <c r="A2303" s="2" t="s">
        <v>5201</v>
      </c>
      <c r="B2303" s="2" t="s">
        <v>5202</v>
      </c>
      <c r="C2303" s="2" t="s">
        <v>624</v>
      </c>
      <c r="D2303" s="2" t="s">
        <v>3523</v>
      </c>
      <c r="E2303" s="2" t="str">
        <f>"9781911529248"</f>
        <v>9781911529248</v>
      </c>
      <c r="F2303" s="2" t="str">
        <f>"9781911529255"</f>
        <v>9781911529255</v>
      </c>
    </row>
    <row r="2304" spans="1:6" s="3" customFormat="1" ht="29.1" customHeight="1" x14ac:dyDescent="0.25">
      <c r="A2304" s="2" t="s">
        <v>5203</v>
      </c>
      <c r="B2304" s="2" t="s">
        <v>5205</v>
      </c>
      <c r="C2304" s="2" t="s">
        <v>624</v>
      </c>
      <c r="D2304" s="2" t="s">
        <v>5204</v>
      </c>
      <c r="E2304" s="2" t="str">
        <f>"9781911529163"</f>
        <v>9781911529163</v>
      </c>
      <c r="F2304" s="2" t="str">
        <f>"9781911529170"</f>
        <v>9781911529170</v>
      </c>
    </row>
    <row r="2305" spans="1:6" s="3" customFormat="1" ht="29.1" customHeight="1" x14ac:dyDescent="0.25">
      <c r="A2305" s="2" t="s">
        <v>5206</v>
      </c>
      <c r="B2305" s="2" t="s">
        <v>5207</v>
      </c>
      <c r="C2305" s="2" t="s">
        <v>624</v>
      </c>
      <c r="D2305" s="2" t="s">
        <v>378</v>
      </c>
      <c r="E2305" s="2" t="str">
        <f>"9781911529088"</f>
        <v>9781911529088</v>
      </c>
      <c r="F2305" s="2" t="str">
        <f>"9781911529095"</f>
        <v>9781911529095</v>
      </c>
    </row>
    <row r="2306" spans="1:6" s="3" customFormat="1" ht="29.1" customHeight="1" x14ac:dyDescent="0.25">
      <c r="A2306" s="2" t="s">
        <v>5208</v>
      </c>
      <c r="B2306" s="2" t="s">
        <v>5209</v>
      </c>
      <c r="C2306" s="2" t="s">
        <v>624</v>
      </c>
      <c r="D2306" s="2" t="s">
        <v>1768</v>
      </c>
      <c r="E2306" s="2" t="str">
        <f>"9781911529002"</f>
        <v>9781911529002</v>
      </c>
      <c r="F2306" s="2" t="str">
        <f>"9781911529019"</f>
        <v>9781911529019</v>
      </c>
    </row>
    <row r="2307" spans="1:6" s="3" customFormat="1" ht="29.1" customHeight="1" x14ac:dyDescent="0.25">
      <c r="A2307" s="2" t="s">
        <v>5210</v>
      </c>
      <c r="B2307" s="2" t="s">
        <v>5211</v>
      </c>
      <c r="C2307" s="2" t="s">
        <v>624</v>
      </c>
      <c r="D2307" s="2" t="s">
        <v>1617</v>
      </c>
      <c r="E2307" s="2" t="str">
        <f>"9781909188884"</f>
        <v>9781909188884</v>
      </c>
      <c r="F2307" s="2" t="str">
        <f>"9781909188891"</f>
        <v>9781909188891</v>
      </c>
    </row>
    <row r="2308" spans="1:6" s="3" customFormat="1" ht="29.1" customHeight="1" x14ac:dyDescent="0.25">
      <c r="A2308" s="2" t="s">
        <v>5212</v>
      </c>
      <c r="B2308" s="2" t="s">
        <v>5214</v>
      </c>
      <c r="C2308" s="2" t="s">
        <v>624</v>
      </c>
      <c r="D2308" s="2" t="s">
        <v>5213</v>
      </c>
      <c r="E2308" s="2" t="str">
        <f>"9781909188792"</f>
        <v>9781909188792</v>
      </c>
      <c r="F2308" s="2" t="str">
        <f>"9781909188808"</f>
        <v>9781909188808</v>
      </c>
    </row>
    <row r="2309" spans="1:6" s="3" customFormat="1" ht="29.1" customHeight="1" x14ac:dyDescent="0.25">
      <c r="A2309" s="2" t="s">
        <v>5215</v>
      </c>
      <c r="B2309" s="2" t="s">
        <v>5217</v>
      </c>
      <c r="C2309" s="2" t="s">
        <v>624</v>
      </c>
      <c r="D2309" s="2" t="s">
        <v>5216</v>
      </c>
      <c r="E2309" s="2" t="str">
        <f>"9781909188754"</f>
        <v>9781909188754</v>
      </c>
      <c r="F2309" s="2" t="str">
        <f>"9781909188761"</f>
        <v>9781909188761</v>
      </c>
    </row>
    <row r="2310" spans="1:6" s="3" customFormat="1" ht="29.1" customHeight="1" x14ac:dyDescent="0.25">
      <c r="A2310" s="2" t="s">
        <v>5218</v>
      </c>
      <c r="B2310" s="2" t="s">
        <v>5219</v>
      </c>
      <c r="C2310" s="2" t="s">
        <v>624</v>
      </c>
      <c r="D2310" s="2" t="s">
        <v>4172</v>
      </c>
      <c r="E2310" s="2" t="str">
        <f>"9781909188716"</f>
        <v>9781909188716</v>
      </c>
      <c r="F2310" s="2" t="str">
        <f>"9781909188723"</f>
        <v>9781909188723</v>
      </c>
    </row>
    <row r="2311" spans="1:6" s="3" customFormat="1" ht="29.1" customHeight="1" x14ac:dyDescent="0.25">
      <c r="A2311" s="2" t="s">
        <v>5220</v>
      </c>
      <c r="B2311" s="2" t="s">
        <v>5219</v>
      </c>
      <c r="C2311" s="2" t="s">
        <v>624</v>
      </c>
      <c r="D2311" s="2" t="s">
        <v>189</v>
      </c>
      <c r="E2311" s="2" t="str">
        <f>"9781909188679"</f>
        <v>9781909188679</v>
      </c>
      <c r="F2311" s="2" t="str">
        <f>"9781909188686"</f>
        <v>9781909188686</v>
      </c>
    </row>
    <row r="2312" spans="1:6" s="3" customFormat="1" ht="29.1" customHeight="1" x14ac:dyDescent="0.25">
      <c r="A2312" s="2" t="s">
        <v>5221</v>
      </c>
      <c r="B2312" s="2" t="s">
        <v>5222</v>
      </c>
      <c r="C2312" s="2" t="s">
        <v>624</v>
      </c>
      <c r="D2312" s="2" t="s">
        <v>596</v>
      </c>
      <c r="E2312" s="2" t="str">
        <f>"9781909188464"</f>
        <v>9781909188464</v>
      </c>
      <c r="F2312" s="2" t="str">
        <f>"9781909188471"</f>
        <v>9781909188471</v>
      </c>
    </row>
    <row r="2313" spans="1:6" s="3" customFormat="1" ht="29.1" customHeight="1" x14ac:dyDescent="0.25">
      <c r="A2313" s="2" t="s">
        <v>5223</v>
      </c>
      <c r="B2313" s="2" t="s">
        <v>5224</v>
      </c>
      <c r="C2313" s="2" t="s">
        <v>624</v>
      </c>
      <c r="D2313" s="2" t="s">
        <v>1013</v>
      </c>
      <c r="E2313" s="2" t="str">
        <f>"9781909188532"</f>
        <v>9781909188532</v>
      </c>
      <c r="F2313" s="2" t="str">
        <f>"9781909188549"</f>
        <v>9781909188549</v>
      </c>
    </row>
    <row r="2314" spans="1:6" s="3" customFormat="1" ht="29.1" customHeight="1" x14ac:dyDescent="0.25">
      <c r="A2314" s="2" t="s">
        <v>5225</v>
      </c>
      <c r="B2314" s="2" t="s">
        <v>5226</v>
      </c>
      <c r="C2314" s="2" t="s">
        <v>624</v>
      </c>
      <c r="D2314" s="2" t="s">
        <v>2587</v>
      </c>
      <c r="E2314" s="2" t="str">
        <f>"9781909188426"</f>
        <v>9781909188426</v>
      </c>
      <c r="F2314" s="2" t="str">
        <f>"9781909188433"</f>
        <v>9781909188433</v>
      </c>
    </row>
    <row r="2315" spans="1:6" s="3" customFormat="1" ht="29.1" customHeight="1" x14ac:dyDescent="0.25">
      <c r="A2315" s="2" t="s">
        <v>5227</v>
      </c>
      <c r="B2315" s="2" t="s">
        <v>5229</v>
      </c>
      <c r="C2315" s="2" t="s">
        <v>624</v>
      </c>
      <c r="D2315" s="2" t="s">
        <v>5228</v>
      </c>
      <c r="E2315" s="2" t="str">
        <f>"9781909188303"</f>
        <v>9781909188303</v>
      </c>
      <c r="F2315" s="2" t="str">
        <f>"9781909188310"</f>
        <v>9781909188310</v>
      </c>
    </row>
    <row r="2316" spans="1:6" s="3" customFormat="1" ht="29.1" customHeight="1" x14ac:dyDescent="0.25">
      <c r="A2316" s="2" t="s">
        <v>5230</v>
      </c>
      <c r="B2316" s="2" t="s">
        <v>5232</v>
      </c>
      <c r="C2316" s="2" t="s">
        <v>624</v>
      </c>
      <c r="D2316" s="2" t="s">
        <v>5231</v>
      </c>
      <c r="E2316" s="2" t="str">
        <f>"9781909188372"</f>
        <v>9781909188372</v>
      </c>
      <c r="F2316" s="2" t="str">
        <f>"9781909188389"</f>
        <v>9781909188389</v>
      </c>
    </row>
    <row r="2317" spans="1:6" s="3" customFormat="1" ht="29.1" customHeight="1" x14ac:dyDescent="0.25">
      <c r="A2317" s="2" t="s">
        <v>5233</v>
      </c>
      <c r="B2317" s="2" t="s">
        <v>5235</v>
      </c>
      <c r="C2317" s="2" t="s">
        <v>624</v>
      </c>
      <c r="D2317" s="2" t="s">
        <v>5234</v>
      </c>
      <c r="E2317" s="2" t="str">
        <f>"9781909188242"</f>
        <v>9781909188242</v>
      </c>
      <c r="F2317" s="2" t="str">
        <f>"9781909188259"</f>
        <v>9781909188259</v>
      </c>
    </row>
    <row r="2318" spans="1:6" s="3" customFormat="1" ht="29.1" customHeight="1" x14ac:dyDescent="0.25">
      <c r="A2318" s="2" t="s">
        <v>5236</v>
      </c>
      <c r="B2318" s="2" t="s">
        <v>5237</v>
      </c>
      <c r="C2318" s="2" t="s">
        <v>624</v>
      </c>
      <c r="D2318" s="2" t="s">
        <v>44</v>
      </c>
      <c r="E2318" s="2" t="str">
        <f>"9781909188181"</f>
        <v>9781909188181</v>
      </c>
      <c r="F2318" s="2" t="str">
        <f>"9781909188198"</f>
        <v>9781909188198</v>
      </c>
    </row>
    <row r="2319" spans="1:6" s="3" customFormat="1" ht="29.1" customHeight="1" x14ac:dyDescent="0.25">
      <c r="A2319" s="2" t="s">
        <v>5238</v>
      </c>
      <c r="B2319" s="2" t="s">
        <v>5240</v>
      </c>
      <c r="C2319" s="2" t="s">
        <v>624</v>
      </c>
      <c r="D2319" s="2" t="s">
        <v>5239</v>
      </c>
      <c r="E2319" s="2" t="str">
        <f>"9781909188150"</f>
        <v>9781909188150</v>
      </c>
      <c r="F2319" s="2" t="str">
        <f>"9781909188167"</f>
        <v>9781909188167</v>
      </c>
    </row>
    <row r="2320" spans="1:6" s="3" customFormat="1" ht="29.1" customHeight="1" x14ac:dyDescent="0.25">
      <c r="A2320" s="2" t="s">
        <v>5241</v>
      </c>
      <c r="B2320" s="2" t="s">
        <v>5242</v>
      </c>
      <c r="C2320" s="2" t="s">
        <v>624</v>
      </c>
      <c r="D2320" s="2" t="s">
        <v>5228</v>
      </c>
      <c r="E2320" s="2"/>
      <c r="F2320" s="2" t="str">
        <f>"9780648124245"</f>
        <v>9780648124245</v>
      </c>
    </row>
    <row r="2321" spans="1:6" s="3" customFormat="1" ht="29.1" customHeight="1" x14ac:dyDescent="0.25">
      <c r="A2321" s="2" t="s">
        <v>5243</v>
      </c>
      <c r="B2321" s="2" t="s">
        <v>5244</v>
      </c>
      <c r="C2321" s="2" t="s">
        <v>624</v>
      </c>
      <c r="D2321" s="2" t="s">
        <v>3536</v>
      </c>
      <c r="E2321" s="2"/>
      <c r="F2321" s="2" t="str">
        <f>"9781923373051"</f>
        <v>9781923373051</v>
      </c>
    </row>
    <row r="2322" spans="1:6" s="3" customFormat="1" ht="29.1" customHeight="1" x14ac:dyDescent="0.25">
      <c r="A2322" s="2" t="s">
        <v>5245</v>
      </c>
      <c r="B2322" s="2" t="s">
        <v>5246</v>
      </c>
      <c r="C2322" s="2" t="s">
        <v>624</v>
      </c>
      <c r="D2322" s="2" t="s">
        <v>2752</v>
      </c>
      <c r="E2322" s="2" t="str">
        <f>"9781923373020"</f>
        <v>9781923373020</v>
      </c>
      <c r="F2322" s="2" t="str">
        <f>"9781923373037"</f>
        <v>9781923373037</v>
      </c>
    </row>
    <row r="2323" spans="1:6" s="3" customFormat="1" ht="29.1" customHeight="1" x14ac:dyDescent="0.25">
      <c r="A2323" s="2" t="s">
        <v>5247</v>
      </c>
      <c r="B2323" s="2" t="s">
        <v>5248</v>
      </c>
      <c r="C2323" s="2" t="s">
        <v>624</v>
      </c>
      <c r="D2323" s="2" t="s">
        <v>75</v>
      </c>
      <c r="E2323" s="2" t="str">
        <f>"9780977520077"</f>
        <v>9780977520077</v>
      </c>
      <c r="F2323" s="2" t="str">
        <f>"9780977520091"</f>
        <v>9780977520091</v>
      </c>
    </row>
    <row r="2324" spans="1:6" s="3" customFormat="1" ht="29.1" customHeight="1" x14ac:dyDescent="0.25">
      <c r="A2324" s="2" t="s">
        <v>5249</v>
      </c>
      <c r="B2324" s="2" t="s">
        <v>5251</v>
      </c>
      <c r="C2324" s="2" t="s">
        <v>624</v>
      </c>
      <c r="D2324" s="2" t="s">
        <v>5250</v>
      </c>
      <c r="E2324" s="2" t="str">
        <f>"9780977520039"</f>
        <v>9780977520039</v>
      </c>
      <c r="F2324" s="2" t="str">
        <f>"9780977520053"</f>
        <v>9780977520053</v>
      </c>
    </row>
    <row r="2325" spans="1:6" s="3" customFormat="1" ht="29.1" customHeight="1" x14ac:dyDescent="0.25">
      <c r="A2325" s="2" t="s">
        <v>5252</v>
      </c>
      <c r="B2325" s="2" t="s">
        <v>5253</v>
      </c>
      <c r="C2325" s="2" t="s">
        <v>624</v>
      </c>
      <c r="D2325" s="2" t="s">
        <v>636</v>
      </c>
      <c r="E2325" s="2"/>
      <c r="F2325" s="2" t="str">
        <f>"9781863654333"</f>
        <v>9781863654333</v>
      </c>
    </row>
    <row r="2326" spans="1:6" s="3" customFormat="1" ht="29.1" customHeight="1" x14ac:dyDescent="0.25">
      <c r="A2326" s="2" t="s">
        <v>5254</v>
      </c>
      <c r="B2326" s="2" t="s">
        <v>5251</v>
      </c>
      <c r="C2326" s="2" t="s">
        <v>624</v>
      </c>
      <c r="D2326" s="2" t="s">
        <v>5250</v>
      </c>
      <c r="E2326" s="2" t="str">
        <f>"9780994503985"</f>
        <v>9780994503985</v>
      </c>
      <c r="F2326" s="2" t="str">
        <f>"9780994503978"</f>
        <v>9780994503978</v>
      </c>
    </row>
    <row r="2327" spans="1:6" s="3" customFormat="1" ht="29.1" customHeight="1" x14ac:dyDescent="0.25">
      <c r="A2327" s="2" t="s">
        <v>5255</v>
      </c>
      <c r="B2327" s="2" t="s">
        <v>5256</v>
      </c>
      <c r="C2327" s="2" t="s">
        <v>624</v>
      </c>
      <c r="D2327" s="2" t="s">
        <v>350</v>
      </c>
      <c r="E2327" s="2"/>
      <c r="F2327" s="2" t="str">
        <f>"9780992451820"</f>
        <v>9780992451820</v>
      </c>
    </row>
    <row r="2328" spans="1:6" s="3" customFormat="1" ht="29.1" customHeight="1" x14ac:dyDescent="0.25">
      <c r="A2328" s="2" t="s">
        <v>5257</v>
      </c>
      <c r="B2328" s="2" t="s">
        <v>5258</v>
      </c>
      <c r="C2328" s="2" t="s">
        <v>624</v>
      </c>
      <c r="D2328" s="2" t="s">
        <v>431</v>
      </c>
      <c r="E2328" s="2"/>
      <c r="F2328" s="2" t="str">
        <f>"9780980284010"</f>
        <v>9780980284010</v>
      </c>
    </row>
    <row r="2329" spans="1:6" s="3" customFormat="1" ht="29.1" customHeight="1" x14ac:dyDescent="0.25">
      <c r="A2329" s="2" t="s">
        <v>5259</v>
      </c>
      <c r="B2329" s="2" t="s">
        <v>5260</v>
      </c>
      <c r="C2329" s="2" t="s">
        <v>624</v>
      </c>
      <c r="D2329" s="2" t="s">
        <v>636</v>
      </c>
      <c r="E2329" s="2" t="str">
        <f>"9780648124290"</f>
        <v>9780648124290</v>
      </c>
      <c r="F2329" s="2" t="str">
        <f>"9780648124283"</f>
        <v>9780648124283</v>
      </c>
    </row>
    <row r="2330" spans="1:6" s="3" customFormat="1" ht="29.1" customHeight="1" x14ac:dyDescent="0.25">
      <c r="A2330" s="2" t="s">
        <v>5261</v>
      </c>
      <c r="B2330" s="2" t="s">
        <v>5262</v>
      </c>
      <c r="C2330" s="2" t="s">
        <v>624</v>
      </c>
      <c r="D2330" s="2" t="s">
        <v>1189</v>
      </c>
      <c r="E2330" s="2" t="str">
        <f>"9789170313479"</f>
        <v>9789170313479</v>
      </c>
      <c r="F2330" s="2" t="str">
        <f>"9789170313707"</f>
        <v>9789170313707</v>
      </c>
    </row>
    <row r="2331" spans="1:6" s="3" customFormat="1" ht="29.1" customHeight="1" x14ac:dyDescent="0.25">
      <c r="A2331" s="2" t="s">
        <v>5263</v>
      </c>
      <c r="B2331" s="2" t="s">
        <v>5264</v>
      </c>
      <c r="C2331" s="2" t="s">
        <v>3154</v>
      </c>
      <c r="D2331" s="2" t="s">
        <v>547</v>
      </c>
      <c r="E2331" s="2" t="str">
        <f>"9789523691247"</f>
        <v>9789523691247</v>
      </c>
      <c r="F2331" s="2" t="str">
        <f>"9789523691254"</f>
        <v>9789523691254</v>
      </c>
    </row>
    <row r="2332" spans="1:6" s="3" customFormat="1" ht="29.1" customHeight="1" x14ac:dyDescent="0.25">
      <c r="A2332" s="2" t="s">
        <v>5265</v>
      </c>
      <c r="B2332" s="2" t="s">
        <v>5267</v>
      </c>
      <c r="C2332" s="2" t="s">
        <v>624</v>
      </c>
      <c r="D2332" s="2" t="s">
        <v>5266</v>
      </c>
      <c r="E2332" s="2" t="str">
        <f>"9789188899071"</f>
        <v>9789188899071</v>
      </c>
      <c r="F2332" s="2" t="str">
        <f>"9789188899088"</f>
        <v>9789188899088</v>
      </c>
    </row>
    <row r="2333" spans="1:6" s="3" customFormat="1" ht="29.1" customHeight="1" x14ac:dyDescent="0.25">
      <c r="A2333" s="2" t="s">
        <v>5268</v>
      </c>
      <c r="B2333" s="2" t="s">
        <v>5269</v>
      </c>
      <c r="C2333" s="2" t="s">
        <v>624</v>
      </c>
      <c r="D2333" s="2" t="s">
        <v>364</v>
      </c>
      <c r="E2333" s="2"/>
      <c r="F2333" s="2" t="str">
        <f>"9783954669431"</f>
        <v>9783954669431</v>
      </c>
    </row>
    <row r="2334" spans="1:6" s="3" customFormat="1" ht="29.1" customHeight="1" x14ac:dyDescent="0.25">
      <c r="A2334" s="2" t="s">
        <v>5270</v>
      </c>
      <c r="B2334" s="2" t="s">
        <v>5272</v>
      </c>
      <c r="C2334" s="2" t="s">
        <v>624</v>
      </c>
      <c r="D2334" s="2" t="s">
        <v>5271</v>
      </c>
      <c r="E2334" s="2"/>
      <c r="F2334" s="2" t="str">
        <f>"9783954669226"</f>
        <v>9783954669226</v>
      </c>
    </row>
    <row r="2335" spans="1:6" s="3" customFormat="1" ht="29.1" customHeight="1" x14ac:dyDescent="0.25">
      <c r="A2335" s="2" t="s">
        <v>5273</v>
      </c>
      <c r="B2335" s="2" t="s">
        <v>5274</v>
      </c>
      <c r="C2335" s="2" t="s">
        <v>624</v>
      </c>
      <c r="D2335" s="2" t="s">
        <v>101</v>
      </c>
      <c r="E2335" s="2"/>
      <c r="F2335" s="2" t="str">
        <f>"9783954668106"</f>
        <v>9783954668106</v>
      </c>
    </row>
    <row r="2336" spans="1:6" s="3" customFormat="1" ht="29.1" customHeight="1" x14ac:dyDescent="0.25">
      <c r="A2336" s="2" t="s">
        <v>5275</v>
      </c>
      <c r="B2336" s="2" t="s">
        <v>5277</v>
      </c>
      <c r="C2336" s="2" t="s">
        <v>624</v>
      </c>
      <c r="D2336" s="2" t="s">
        <v>5276</v>
      </c>
      <c r="E2336" s="2"/>
      <c r="F2336" s="2" t="str">
        <f>"9783954668007"</f>
        <v>9783954668007</v>
      </c>
    </row>
    <row r="2337" spans="1:6" s="3" customFormat="1" ht="29.1" customHeight="1" x14ac:dyDescent="0.25">
      <c r="A2337" s="2" t="s">
        <v>5278</v>
      </c>
      <c r="B2337" s="2" t="s">
        <v>5279</v>
      </c>
      <c r="C2337" s="2" t="s">
        <v>624</v>
      </c>
      <c r="D2337" s="2" t="s">
        <v>5276</v>
      </c>
      <c r="E2337" s="2"/>
      <c r="F2337" s="2" t="str">
        <f>"9783954665860"</f>
        <v>9783954665860</v>
      </c>
    </row>
    <row r="2338" spans="1:6" s="3" customFormat="1" ht="29.1" customHeight="1" x14ac:dyDescent="0.25">
      <c r="A2338" s="2" t="s">
        <v>5280</v>
      </c>
      <c r="B2338" s="2" t="s">
        <v>5282</v>
      </c>
      <c r="C2338" s="2" t="s">
        <v>624</v>
      </c>
      <c r="D2338" s="2" t="s">
        <v>5281</v>
      </c>
      <c r="E2338" s="2"/>
      <c r="F2338" s="2" t="str">
        <f>"9783954665174"</f>
        <v>9783954665174</v>
      </c>
    </row>
    <row r="2339" spans="1:6" s="3" customFormat="1" ht="29.1" customHeight="1" x14ac:dyDescent="0.25">
      <c r="A2339" s="2" t="s">
        <v>5283</v>
      </c>
      <c r="B2339" s="2" t="s">
        <v>5285</v>
      </c>
      <c r="C2339" s="2" t="s">
        <v>624</v>
      </c>
      <c r="D2339" s="2" t="s">
        <v>5284</v>
      </c>
      <c r="E2339" s="2"/>
      <c r="F2339" s="2" t="str">
        <f>"9783954664610"</f>
        <v>9783954664610</v>
      </c>
    </row>
    <row r="2340" spans="1:6" s="3" customFormat="1" ht="29.1" customHeight="1" x14ac:dyDescent="0.25">
      <c r="A2340" s="2" t="s">
        <v>5286</v>
      </c>
      <c r="B2340" s="2" t="s">
        <v>5287</v>
      </c>
      <c r="C2340" s="2" t="s">
        <v>624</v>
      </c>
      <c r="D2340" s="2" t="s">
        <v>5276</v>
      </c>
      <c r="E2340" s="2"/>
      <c r="F2340" s="2" t="str">
        <f>"9783954664580"</f>
        <v>9783954664580</v>
      </c>
    </row>
    <row r="2341" spans="1:6" s="3" customFormat="1" ht="29.1" customHeight="1" x14ac:dyDescent="0.25">
      <c r="A2341" s="2" t="s">
        <v>5288</v>
      </c>
      <c r="B2341" s="2" t="s">
        <v>5289</v>
      </c>
      <c r="C2341" s="2" t="s">
        <v>624</v>
      </c>
      <c r="D2341" s="2" t="s">
        <v>3092</v>
      </c>
      <c r="E2341" s="2"/>
      <c r="F2341" s="2" t="str">
        <f>"9783954664573"</f>
        <v>9783954664573</v>
      </c>
    </row>
    <row r="2342" spans="1:6" s="3" customFormat="1" ht="29.1" customHeight="1" x14ac:dyDescent="0.25">
      <c r="A2342" s="2" t="s">
        <v>5290</v>
      </c>
      <c r="B2342" s="2" t="s">
        <v>5291</v>
      </c>
      <c r="C2342" s="2" t="s">
        <v>624</v>
      </c>
      <c r="D2342" s="2" t="s">
        <v>5276</v>
      </c>
      <c r="E2342" s="2"/>
      <c r="F2342" s="2" t="str">
        <f>"9783954664566"</f>
        <v>9783954664566</v>
      </c>
    </row>
    <row r="2343" spans="1:6" s="3" customFormat="1" ht="29.1" customHeight="1" x14ac:dyDescent="0.25">
      <c r="A2343" s="2" t="s">
        <v>5292</v>
      </c>
      <c r="B2343" s="2" t="s">
        <v>5279</v>
      </c>
      <c r="C2343" s="2" t="s">
        <v>624</v>
      </c>
      <c r="D2343" s="2" t="s">
        <v>5276</v>
      </c>
      <c r="E2343" s="2"/>
      <c r="F2343" s="2" t="str">
        <f>"9783954664344"</f>
        <v>9783954664344</v>
      </c>
    </row>
    <row r="2344" spans="1:6" s="3" customFormat="1" ht="29.1" customHeight="1" x14ac:dyDescent="0.25">
      <c r="A2344" s="2" t="s">
        <v>5293</v>
      </c>
      <c r="B2344" s="2" t="s">
        <v>5294</v>
      </c>
      <c r="C2344" s="2" t="s">
        <v>149</v>
      </c>
      <c r="D2344" s="2" t="s">
        <v>1162</v>
      </c>
      <c r="E2344" s="2" t="str">
        <f>"9781909890824"</f>
        <v>9781909890824</v>
      </c>
      <c r="F2344" s="2" t="str">
        <f>"9781909890817"</f>
        <v>9781909890817</v>
      </c>
    </row>
    <row r="2345" spans="1:6" s="3" customFormat="1" ht="29.1" customHeight="1" x14ac:dyDescent="0.25">
      <c r="A2345" s="2" t="s">
        <v>5295</v>
      </c>
      <c r="B2345" s="2" t="s">
        <v>5296</v>
      </c>
      <c r="C2345" s="2" t="s">
        <v>624</v>
      </c>
      <c r="D2345" s="2" t="s">
        <v>1669</v>
      </c>
      <c r="E2345" s="2" t="str">
        <f>"9781911712145"</f>
        <v>9781911712145</v>
      </c>
      <c r="F2345" s="2" t="str">
        <f>"9781911712152"</f>
        <v>9781911712152</v>
      </c>
    </row>
    <row r="2346" spans="1:6" s="3" customFormat="1" ht="29.1" customHeight="1" x14ac:dyDescent="0.25">
      <c r="A2346" s="2" t="s">
        <v>5297</v>
      </c>
      <c r="B2346" s="2" t="s">
        <v>5298</v>
      </c>
      <c r="C2346" s="2" t="s">
        <v>149</v>
      </c>
      <c r="D2346" s="2" t="s">
        <v>1162</v>
      </c>
      <c r="E2346" s="2" t="str">
        <f>"9781909890930"</f>
        <v>9781909890930</v>
      </c>
      <c r="F2346" s="2" t="str">
        <f>"9781909890923"</f>
        <v>9781909890923</v>
      </c>
    </row>
    <row r="2347" spans="1:6" s="3" customFormat="1" ht="29.1" customHeight="1" x14ac:dyDescent="0.25">
      <c r="A2347" s="2" t="s">
        <v>5299</v>
      </c>
      <c r="B2347" s="2" t="s">
        <v>3872</v>
      </c>
      <c r="C2347" s="2" t="s">
        <v>149</v>
      </c>
      <c r="D2347" s="2" t="s">
        <v>4670</v>
      </c>
      <c r="E2347" s="2" t="str">
        <f>"9781911712060"</f>
        <v>9781911712060</v>
      </c>
      <c r="F2347" s="2" t="str">
        <f>"9781911712077"</f>
        <v>9781911712077</v>
      </c>
    </row>
    <row r="2348" spans="1:6" s="3" customFormat="1" ht="29.1" customHeight="1" x14ac:dyDescent="0.25">
      <c r="A2348" s="2" t="s">
        <v>5300</v>
      </c>
      <c r="B2348" s="2" t="s">
        <v>5301</v>
      </c>
      <c r="C2348" s="2" t="s">
        <v>149</v>
      </c>
      <c r="D2348" s="2" t="s">
        <v>1155</v>
      </c>
      <c r="E2348" s="2" t="str">
        <f>"9781909890848"</f>
        <v>9781909890848</v>
      </c>
      <c r="F2348" s="2" t="str">
        <f>"9781909890855"</f>
        <v>9781909890855</v>
      </c>
    </row>
    <row r="2349" spans="1:6" s="3" customFormat="1" ht="29.1" customHeight="1" x14ac:dyDescent="0.25">
      <c r="A2349" s="2" t="s">
        <v>5302</v>
      </c>
      <c r="B2349" s="2" t="s">
        <v>5303</v>
      </c>
      <c r="C2349" s="2" t="s">
        <v>149</v>
      </c>
      <c r="D2349" s="2" t="s">
        <v>183</v>
      </c>
      <c r="E2349" s="2" t="str">
        <f>"9781909890763"</f>
        <v>9781909890763</v>
      </c>
      <c r="F2349" s="2" t="str">
        <f>"9781909890770"</f>
        <v>9781909890770</v>
      </c>
    </row>
    <row r="2350" spans="1:6" s="3" customFormat="1" ht="29.1" customHeight="1" x14ac:dyDescent="0.25">
      <c r="A2350" s="2" t="s">
        <v>5304</v>
      </c>
      <c r="B2350" s="2" t="s">
        <v>5305</v>
      </c>
      <c r="C2350" s="2" t="s">
        <v>149</v>
      </c>
      <c r="D2350" s="2" t="s">
        <v>501</v>
      </c>
      <c r="E2350" s="2" t="str">
        <f>"9781909890985"</f>
        <v>9781909890985</v>
      </c>
      <c r="F2350" s="2" t="str">
        <f>"9781909890992"</f>
        <v>9781909890992</v>
      </c>
    </row>
    <row r="2351" spans="1:6" s="3" customFormat="1" ht="29.1" customHeight="1" x14ac:dyDescent="0.25">
      <c r="A2351" s="2" t="s">
        <v>5306</v>
      </c>
      <c r="B2351" s="2" t="s">
        <v>5307</v>
      </c>
      <c r="C2351" s="2" t="s">
        <v>149</v>
      </c>
      <c r="D2351" s="2" t="s">
        <v>1162</v>
      </c>
      <c r="E2351" s="2" t="str">
        <f>"9781911712305"</f>
        <v>9781911712305</v>
      </c>
      <c r="F2351" s="2" t="str">
        <f>"9781911712312"</f>
        <v>9781911712312</v>
      </c>
    </row>
    <row r="2352" spans="1:6" s="3" customFormat="1" ht="29.1" customHeight="1" x14ac:dyDescent="0.25">
      <c r="A2352" s="2" t="s">
        <v>5308</v>
      </c>
      <c r="B2352" s="2" t="s">
        <v>5309</v>
      </c>
      <c r="C2352" s="2" t="s">
        <v>149</v>
      </c>
      <c r="D2352" s="2" t="s">
        <v>3224</v>
      </c>
      <c r="E2352" s="2" t="str">
        <f>"9781909890442"</f>
        <v>9781909890442</v>
      </c>
      <c r="F2352" s="2" t="str">
        <f>"9781909890466"</f>
        <v>9781909890466</v>
      </c>
    </row>
    <row r="2353" spans="1:6" s="3" customFormat="1" ht="29.1" customHeight="1" x14ac:dyDescent="0.25">
      <c r="A2353" s="2" t="s">
        <v>5310</v>
      </c>
      <c r="B2353" s="2" t="s">
        <v>5311</v>
      </c>
      <c r="C2353" s="2" t="s">
        <v>624</v>
      </c>
      <c r="D2353" s="2" t="s">
        <v>189</v>
      </c>
      <c r="E2353" s="2" t="str">
        <f>"9788797125182"</f>
        <v>9788797125182</v>
      </c>
      <c r="F2353" s="2" t="str">
        <f>"9788797125199"</f>
        <v>9788797125199</v>
      </c>
    </row>
    <row r="2354" spans="1:6" s="3" customFormat="1" ht="29.1" customHeight="1" x14ac:dyDescent="0.25">
      <c r="A2354" s="2" t="s">
        <v>5312</v>
      </c>
      <c r="B2354" s="2" t="s">
        <v>5313</v>
      </c>
      <c r="C2354" s="2" t="s">
        <v>624</v>
      </c>
      <c r="D2354" s="2" t="s">
        <v>3221</v>
      </c>
      <c r="E2354" s="2" t="str">
        <f>"9788797125144"</f>
        <v>9788797125144</v>
      </c>
      <c r="F2354" s="2" t="str">
        <f>"9788797125151"</f>
        <v>9788797125151</v>
      </c>
    </row>
    <row r="2355" spans="1:6" s="3" customFormat="1" ht="29.1" customHeight="1" x14ac:dyDescent="0.25">
      <c r="A2355" s="2" t="s">
        <v>5314</v>
      </c>
      <c r="B2355" s="2" t="s">
        <v>5315</v>
      </c>
      <c r="C2355" s="2" t="s">
        <v>624</v>
      </c>
      <c r="D2355" s="2" t="s">
        <v>1162</v>
      </c>
      <c r="E2355" s="2" t="str">
        <f>"9781951634162"</f>
        <v>9781951634162</v>
      </c>
      <c r="F2355" s="2" t="str">
        <f>"9781951634179"</f>
        <v>9781951634179</v>
      </c>
    </row>
    <row r="2356" spans="1:6" s="3" customFormat="1" ht="29.1" customHeight="1" x14ac:dyDescent="0.25">
      <c r="A2356" s="2" t="s">
        <v>5316</v>
      </c>
      <c r="B2356" s="2" t="s">
        <v>5317</v>
      </c>
      <c r="C2356" s="2" t="s">
        <v>624</v>
      </c>
      <c r="D2356" s="2" t="s">
        <v>1162</v>
      </c>
      <c r="E2356" s="2" t="str">
        <f>"9781951634377"</f>
        <v>9781951634377</v>
      </c>
      <c r="F2356" s="2" t="str">
        <f>"9781951634384"</f>
        <v>9781951634384</v>
      </c>
    </row>
    <row r="2357" spans="1:6" s="3" customFormat="1" ht="29.1" customHeight="1" x14ac:dyDescent="0.25">
      <c r="A2357" s="2" t="s">
        <v>5318</v>
      </c>
      <c r="B2357" s="2" t="s">
        <v>5320</v>
      </c>
      <c r="C2357" s="2" t="s">
        <v>624</v>
      </c>
      <c r="D2357" s="2" t="s">
        <v>5319</v>
      </c>
      <c r="E2357" s="2" t="str">
        <f>"9781951634339"</f>
        <v>9781951634339</v>
      </c>
      <c r="F2357" s="2" t="str">
        <f>"9781951634346"</f>
        <v>9781951634346</v>
      </c>
    </row>
    <row r="2358" spans="1:6" s="3" customFormat="1" ht="29.1" customHeight="1" x14ac:dyDescent="0.25">
      <c r="A2358" s="2" t="s">
        <v>5321</v>
      </c>
      <c r="B2358" s="2" t="s">
        <v>5322</v>
      </c>
      <c r="C2358" s="2" t="s">
        <v>624</v>
      </c>
      <c r="D2358" s="2" t="s">
        <v>606</v>
      </c>
      <c r="E2358" s="2" t="str">
        <f>"9781912482009"</f>
        <v>9781912482009</v>
      </c>
      <c r="F2358" s="2" t="str">
        <f>"9781912482016"</f>
        <v>9781912482016</v>
      </c>
    </row>
    <row r="2359" spans="1:6" s="3" customFormat="1" ht="29.1" customHeight="1" x14ac:dyDescent="0.25">
      <c r="A2359" s="2" t="s">
        <v>5323</v>
      </c>
      <c r="B2359" s="2" t="s">
        <v>5322</v>
      </c>
      <c r="C2359" s="2" t="s">
        <v>624</v>
      </c>
      <c r="D2359" s="2" t="s">
        <v>606</v>
      </c>
      <c r="E2359" s="2" t="str">
        <f>"9781912482047"</f>
        <v>9781912482047</v>
      </c>
      <c r="F2359" s="2" t="str">
        <f>"9781912482054"</f>
        <v>9781912482054</v>
      </c>
    </row>
    <row r="2360" spans="1:6" s="3" customFormat="1" ht="29.1" customHeight="1" x14ac:dyDescent="0.25">
      <c r="A2360" s="2" t="s">
        <v>5324</v>
      </c>
      <c r="B2360" s="2" t="s">
        <v>5325</v>
      </c>
      <c r="C2360" s="2" t="s">
        <v>624</v>
      </c>
      <c r="D2360" s="2" t="s">
        <v>3993</v>
      </c>
      <c r="E2360" s="2" t="str">
        <f>"9781912482207"</f>
        <v>9781912482207</v>
      </c>
      <c r="F2360" s="2" t="str">
        <f>"9781912482214"</f>
        <v>9781912482214</v>
      </c>
    </row>
    <row r="2361" spans="1:6" s="3" customFormat="1" ht="29.1" customHeight="1" x14ac:dyDescent="0.25">
      <c r="A2361" s="2" t="s">
        <v>5326</v>
      </c>
      <c r="B2361" s="2" t="s">
        <v>5327</v>
      </c>
      <c r="C2361" s="2" t="s">
        <v>624</v>
      </c>
      <c r="D2361" s="2" t="s">
        <v>2513</v>
      </c>
      <c r="E2361" s="2" t="str">
        <f>"9781912482245"</f>
        <v>9781912482245</v>
      </c>
      <c r="F2361" s="2" t="str">
        <f>"9781912482252"</f>
        <v>9781912482252</v>
      </c>
    </row>
    <row r="2362" spans="1:6" s="3" customFormat="1" ht="29.1" customHeight="1" x14ac:dyDescent="0.25">
      <c r="A2362" s="2" t="s">
        <v>5328</v>
      </c>
      <c r="B2362" s="2" t="s">
        <v>5329</v>
      </c>
      <c r="C2362" s="2" t="s">
        <v>624</v>
      </c>
      <c r="D2362" s="2" t="s">
        <v>459</v>
      </c>
      <c r="E2362" s="2" t="str">
        <f>"9781912482160"</f>
        <v>9781912482160</v>
      </c>
      <c r="F2362" s="2" t="str">
        <f>"9781912482177"</f>
        <v>9781912482177</v>
      </c>
    </row>
    <row r="2363" spans="1:6" s="3" customFormat="1" ht="29.1" customHeight="1" x14ac:dyDescent="0.25">
      <c r="A2363" s="2" t="s">
        <v>5330</v>
      </c>
      <c r="B2363" s="2" t="s">
        <v>5331</v>
      </c>
      <c r="C2363" s="2" t="s">
        <v>624</v>
      </c>
      <c r="D2363" s="2" t="s">
        <v>1162</v>
      </c>
      <c r="E2363" s="2" t="str">
        <f>"9789170614972"</f>
        <v>9789170614972</v>
      </c>
      <c r="F2363" s="2" t="str">
        <f>"9789176554975"</f>
        <v>9789176554975</v>
      </c>
    </row>
    <row r="2364" spans="1:6" s="3" customFormat="1" ht="29.1" customHeight="1" x14ac:dyDescent="0.25">
      <c r="A2364" s="2" t="s">
        <v>5332</v>
      </c>
      <c r="B2364" s="2" t="s">
        <v>5333</v>
      </c>
      <c r="C2364" s="2" t="s">
        <v>624</v>
      </c>
      <c r="D2364" s="2" t="s">
        <v>2332</v>
      </c>
      <c r="E2364" s="2" t="str">
        <f>"9789170614019"</f>
        <v>9789170614019</v>
      </c>
      <c r="F2364" s="2" t="str">
        <f>"9789170619014"</f>
        <v>9789170619014</v>
      </c>
    </row>
    <row r="2365" spans="1:6" s="3" customFormat="1" ht="29.1" customHeight="1" x14ac:dyDescent="0.25">
      <c r="A2365" s="2" t="s">
        <v>5334</v>
      </c>
      <c r="B2365" s="2" t="s">
        <v>5336</v>
      </c>
      <c r="C2365" s="2" t="s">
        <v>624</v>
      </c>
      <c r="D2365" s="2" t="s">
        <v>5335</v>
      </c>
      <c r="E2365" s="2" t="str">
        <f>"9789170613562"</f>
        <v>9789170613562</v>
      </c>
      <c r="F2365" s="2" t="str">
        <f>"9789170618567"</f>
        <v>9789170618567</v>
      </c>
    </row>
    <row r="2366" spans="1:6" s="3" customFormat="1" ht="29.1" customHeight="1" x14ac:dyDescent="0.25">
      <c r="A2366" s="2" t="s">
        <v>5337</v>
      </c>
      <c r="B2366" s="2" t="s">
        <v>5339</v>
      </c>
      <c r="C2366" s="2" t="s">
        <v>624</v>
      </c>
      <c r="D2366" s="2" t="s">
        <v>5338</v>
      </c>
      <c r="E2366" s="2"/>
      <c r="F2366" s="2" t="str">
        <f>"9789170617607"</f>
        <v>9789170617607</v>
      </c>
    </row>
    <row r="2367" spans="1:6" s="3" customFormat="1" ht="29.1" customHeight="1" x14ac:dyDescent="0.25">
      <c r="A2367" s="2" t="s">
        <v>5340</v>
      </c>
      <c r="B2367" s="2" t="s">
        <v>5341</v>
      </c>
      <c r="C2367" s="2" t="s">
        <v>624</v>
      </c>
      <c r="D2367" s="2" t="s">
        <v>1253</v>
      </c>
      <c r="E2367" s="2" t="str">
        <f>"9789179631390"</f>
        <v>9789179631390</v>
      </c>
      <c r="F2367" s="2" t="str">
        <f>"9789179631406"</f>
        <v>9789179631406</v>
      </c>
    </row>
    <row r="2368" spans="1:6" s="3" customFormat="1" ht="29.1" customHeight="1" x14ac:dyDescent="0.25">
      <c r="A2368" s="2" t="s">
        <v>5342</v>
      </c>
      <c r="B2368" s="2" t="s">
        <v>5343</v>
      </c>
      <c r="C2368" s="2" t="s">
        <v>624</v>
      </c>
      <c r="D2368" s="2" t="s">
        <v>5335</v>
      </c>
      <c r="E2368" s="2" t="str">
        <f>"9789179630935"</f>
        <v>9789179630935</v>
      </c>
      <c r="F2368" s="2" t="str">
        <f>"9789179630942"</f>
        <v>9789179630942</v>
      </c>
    </row>
    <row r="2369" spans="1:6" s="3" customFormat="1" ht="29.1" customHeight="1" x14ac:dyDescent="0.25">
      <c r="A2369" s="2" t="s">
        <v>5344</v>
      </c>
      <c r="B2369" s="2" t="s">
        <v>5345</v>
      </c>
      <c r="C2369" s="2" t="s">
        <v>624</v>
      </c>
      <c r="D2369" s="2" t="s">
        <v>459</v>
      </c>
      <c r="E2369" s="2" t="str">
        <f>"9789179630065"</f>
        <v>9789179630065</v>
      </c>
      <c r="F2369" s="2" t="str">
        <f>"9789179630072"</f>
        <v>9789179630072</v>
      </c>
    </row>
    <row r="2370" spans="1:6" s="3" customFormat="1" ht="29.1" customHeight="1" x14ac:dyDescent="0.25">
      <c r="A2370" s="2" t="s">
        <v>5346</v>
      </c>
      <c r="B2370" s="2" t="s">
        <v>5347</v>
      </c>
      <c r="C2370" s="2" t="s">
        <v>624</v>
      </c>
      <c r="D2370" s="2" t="s">
        <v>107</v>
      </c>
      <c r="E2370" s="2" t="str">
        <f>"9789173468619"</f>
        <v>9789173468619</v>
      </c>
      <c r="F2370" s="2" t="str">
        <f>"9789173468626"</f>
        <v>9789173468626</v>
      </c>
    </row>
    <row r="2371" spans="1:6" s="3" customFormat="1" ht="29.1" customHeight="1" x14ac:dyDescent="0.25">
      <c r="A2371" s="2" t="s">
        <v>5348</v>
      </c>
      <c r="B2371" s="2" t="s">
        <v>5349</v>
      </c>
      <c r="C2371" s="2" t="s">
        <v>624</v>
      </c>
      <c r="D2371" s="2" t="s">
        <v>1245</v>
      </c>
      <c r="E2371" s="2" t="str">
        <f>"9789518589191"</f>
        <v>9789518589191</v>
      </c>
      <c r="F2371" s="2" t="str">
        <f>"9789518589207"</f>
        <v>9789518589207</v>
      </c>
    </row>
    <row r="2372" spans="1:6" s="3" customFormat="1" ht="29.1" customHeight="1" x14ac:dyDescent="0.25">
      <c r="A2372" s="2" t="s">
        <v>5350</v>
      </c>
      <c r="B2372" s="2" t="s">
        <v>5351</v>
      </c>
      <c r="C2372" s="2" t="s">
        <v>624</v>
      </c>
      <c r="D2372" s="2" t="s">
        <v>537</v>
      </c>
      <c r="E2372" s="2" t="str">
        <f>"9789518589139"</f>
        <v>9789518589139</v>
      </c>
      <c r="F2372" s="2" t="str">
        <f>"9789518589146"</f>
        <v>9789518589146</v>
      </c>
    </row>
    <row r="2373" spans="1:6" s="3" customFormat="1" ht="29.1" customHeight="1" x14ac:dyDescent="0.25">
      <c r="A2373" s="2" t="s">
        <v>5352</v>
      </c>
      <c r="B2373" s="2" t="s">
        <v>5353</v>
      </c>
      <c r="C2373" s="2" t="s">
        <v>624</v>
      </c>
      <c r="D2373" s="2" t="s">
        <v>465</v>
      </c>
      <c r="E2373" s="2" t="str">
        <f>"9789518588972"</f>
        <v>9789518588972</v>
      </c>
      <c r="F2373" s="2" t="str">
        <f>"9789518588989"</f>
        <v>9789518588989</v>
      </c>
    </row>
    <row r="2374" spans="1:6" s="3" customFormat="1" ht="29.1" customHeight="1" x14ac:dyDescent="0.25">
      <c r="A2374" s="2" t="s">
        <v>5354</v>
      </c>
      <c r="B2374" s="2" t="s">
        <v>5356</v>
      </c>
      <c r="C2374" s="2" t="s">
        <v>624</v>
      </c>
      <c r="D2374" s="2" t="s">
        <v>5355</v>
      </c>
      <c r="E2374" s="2" t="str">
        <f>"9789518588736"</f>
        <v>9789518588736</v>
      </c>
      <c r="F2374" s="2" t="str">
        <f>"9789518588743"</f>
        <v>9789518588743</v>
      </c>
    </row>
    <row r="2375" spans="1:6" s="3" customFormat="1" ht="29.1" customHeight="1" x14ac:dyDescent="0.25">
      <c r="A2375" s="2" t="s">
        <v>5357</v>
      </c>
      <c r="B2375" s="2" t="s">
        <v>5358</v>
      </c>
      <c r="C2375" s="2" t="s">
        <v>624</v>
      </c>
      <c r="D2375" s="2" t="s">
        <v>281</v>
      </c>
      <c r="E2375" s="2" t="str">
        <f>"9789518586404"</f>
        <v>9789518586404</v>
      </c>
      <c r="F2375" s="2" t="str">
        <f>"9789518586411"</f>
        <v>9789518586411</v>
      </c>
    </row>
    <row r="2376" spans="1:6" s="3" customFormat="1" ht="29.1" customHeight="1" x14ac:dyDescent="0.25">
      <c r="A2376" s="2" t="s">
        <v>5359</v>
      </c>
      <c r="B2376" s="2" t="s">
        <v>5361</v>
      </c>
      <c r="C2376" s="2" t="s">
        <v>624</v>
      </c>
      <c r="D2376" s="2" t="s">
        <v>5360</v>
      </c>
      <c r="E2376" s="2" t="str">
        <f>"9789518586022"</f>
        <v>9789518586022</v>
      </c>
      <c r="F2376" s="2" t="str">
        <f>"9789518586039"</f>
        <v>9789518586039</v>
      </c>
    </row>
    <row r="2377" spans="1:6" s="3" customFormat="1" ht="29.1" customHeight="1" x14ac:dyDescent="0.25">
      <c r="A2377" s="2" t="s">
        <v>5362</v>
      </c>
      <c r="B2377" s="2" t="s">
        <v>5363</v>
      </c>
      <c r="C2377" s="2" t="s">
        <v>624</v>
      </c>
      <c r="D2377" s="2" t="s">
        <v>408</v>
      </c>
      <c r="E2377" s="2" t="str">
        <f>"9789518584592"</f>
        <v>9789518584592</v>
      </c>
      <c r="F2377" s="2" t="str">
        <f>"9789518584608"</f>
        <v>9789518584608</v>
      </c>
    </row>
    <row r="2378" spans="1:6" s="3" customFormat="1" ht="29.1" customHeight="1" x14ac:dyDescent="0.25">
      <c r="A2378" s="2" t="s">
        <v>5364</v>
      </c>
      <c r="B2378" s="2" t="s">
        <v>5365</v>
      </c>
      <c r="C2378" s="2" t="s">
        <v>624</v>
      </c>
      <c r="D2378" s="2" t="s">
        <v>821</v>
      </c>
      <c r="E2378" s="2" t="str">
        <f>"9789518585810"</f>
        <v>9789518585810</v>
      </c>
      <c r="F2378" s="2" t="str">
        <f>"9789518585827"</f>
        <v>9789518585827</v>
      </c>
    </row>
    <row r="2379" spans="1:6" s="3" customFormat="1" ht="29.1" customHeight="1" x14ac:dyDescent="0.25">
      <c r="A2379" s="2" t="s">
        <v>5366</v>
      </c>
      <c r="B2379" s="2" t="s">
        <v>5367</v>
      </c>
      <c r="C2379" s="2" t="s">
        <v>624</v>
      </c>
      <c r="D2379" s="2" t="s">
        <v>636</v>
      </c>
      <c r="E2379" s="2" t="str">
        <f>"9789518585711"</f>
        <v>9789518585711</v>
      </c>
      <c r="F2379" s="2" t="str">
        <f>"9789518585728"</f>
        <v>9789518585728</v>
      </c>
    </row>
    <row r="2380" spans="1:6" s="3" customFormat="1" ht="29.1" customHeight="1" x14ac:dyDescent="0.25">
      <c r="A2380" s="2" t="s">
        <v>5368</v>
      </c>
      <c r="B2380" s="2" t="s">
        <v>5369</v>
      </c>
      <c r="C2380" s="2" t="s">
        <v>624</v>
      </c>
      <c r="D2380" s="2" t="s">
        <v>5266</v>
      </c>
      <c r="E2380" s="2" t="str">
        <f>"9789518584349"</f>
        <v>9789518584349</v>
      </c>
      <c r="F2380" s="2" t="str">
        <f>"9789518584356"</f>
        <v>9789518584356</v>
      </c>
    </row>
    <row r="2381" spans="1:6" s="3" customFormat="1" ht="29.1" customHeight="1" x14ac:dyDescent="0.25">
      <c r="A2381" s="2" t="s">
        <v>5370</v>
      </c>
      <c r="B2381" s="2" t="s">
        <v>5371</v>
      </c>
      <c r="C2381" s="2" t="s">
        <v>624</v>
      </c>
      <c r="D2381" s="2" t="s">
        <v>1162</v>
      </c>
      <c r="E2381" s="2" t="str">
        <f>"9789518584103"</f>
        <v>9789518584103</v>
      </c>
      <c r="F2381" s="2" t="str">
        <f>"9789518584110"</f>
        <v>9789518584110</v>
      </c>
    </row>
    <row r="2382" spans="1:6" s="3" customFormat="1" ht="29.1" customHeight="1" x14ac:dyDescent="0.25">
      <c r="A2382" s="2" t="s">
        <v>5372</v>
      </c>
      <c r="B2382" s="2" t="s">
        <v>5373</v>
      </c>
      <c r="C2382" s="2" t="s">
        <v>624</v>
      </c>
      <c r="D2382" s="2" t="s">
        <v>647</v>
      </c>
      <c r="E2382" s="2" t="str">
        <f>"9789518582826"</f>
        <v>9789518582826</v>
      </c>
      <c r="F2382" s="2" t="str">
        <f>"9789518583847"</f>
        <v>9789518583847</v>
      </c>
    </row>
    <row r="2383" spans="1:6" s="3" customFormat="1" ht="29.1" customHeight="1" x14ac:dyDescent="0.25">
      <c r="A2383" s="2" t="s">
        <v>5374</v>
      </c>
      <c r="B2383" s="2" t="s">
        <v>5375</v>
      </c>
      <c r="C2383" s="2" t="s">
        <v>624</v>
      </c>
      <c r="D2383" s="2" t="s">
        <v>4030</v>
      </c>
      <c r="E2383" s="2" t="str">
        <f>"9789518582802"</f>
        <v>9789518582802</v>
      </c>
      <c r="F2383" s="2" t="str">
        <f>"9789518583861"</f>
        <v>9789518583861</v>
      </c>
    </row>
    <row r="2384" spans="1:6" s="3" customFormat="1" ht="29.1" customHeight="1" x14ac:dyDescent="0.25">
      <c r="A2384" s="2" t="s">
        <v>5376</v>
      </c>
      <c r="B2384" s="2" t="s">
        <v>5377</v>
      </c>
      <c r="C2384" s="2" t="s">
        <v>624</v>
      </c>
      <c r="D2384" s="2" t="s">
        <v>202</v>
      </c>
      <c r="E2384" s="2" t="str">
        <f>"9789518589160"</f>
        <v>9789518589160</v>
      </c>
      <c r="F2384" s="2" t="str">
        <f>"9789518589177"</f>
        <v>9789518589177</v>
      </c>
    </row>
    <row r="2385" spans="1:6" s="3" customFormat="1" ht="29.1" customHeight="1" x14ac:dyDescent="0.25">
      <c r="A2385" s="2" t="s">
        <v>5378</v>
      </c>
      <c r="B2385" s="2" t="s">
        <v>5379</v>
      </c>
      <c r="C2385" s="2" t="s">
        <v>624</v>
      </c>
      <c r="D2385" s="2" t="s">
        <v>5360</v>
      </c>
      <c r="E2385" s="2" t="str">
        <f>"9789518589061"</f>
        <v>9789518589061</v>
      </c>
      <c r="F2385" s="2" t="str">
        <f>"9789518589078"</f>
        <v>9789518589078</v>
      </c>
    </row>
    <row r="2386" spans="1:6" s="3" customFormat="1" ht="29.1" customHeight="1" x14ac:dyDescent="0.25">
      <c r="A2386" s="2" t="s">
        <v>5380</v>
      </c>
      <c r="B2386" s="2" t="s">
        <v>5381</v>
      </c>
      <c r="C2386" s="2" t="s">
        <v>624</v>
      </c>
      <c r="D2386" s="2" t="s">
        <v>1883</v>
      </c>
      <c r="E2386" s="2" t="str">
        <f>"9789518588910"</f>
        <v>9789518588910</v>
      </c>
      <c r="F2386" s="2" t="str">
        <f>"9789518588927"</f>
        <v>9789518588927</v>
      </c>
    </row>
    <row r="2387" spans="1:6" s="3" customFormat="1" ht="29.1" customHeight="1" x14ac:dyDescent="0.25">
      <c r="A2387" s="2" t="s">
        <v>5382</v>
      </c>
      <c r="B2387" s="2" t="s">
        <v>5384</v>
      </c>
      <c r="C2387" s="2" t="s">
        <v>624</v>
      </c>
      <c r="D2387" s="2" t="s">
        <v>5383</v>
      </c>
      <c r="E2387" s="2" t="str">
        <f>"9789518588767"</f>
        <v>9789518588767</v>
      </c>
      <c r="F2387" s="2" t="str">
        <f>"9789518588774"</f>
        <v>9789518588774</v>
      </c>
    </row>
    <row r="2388" spans="1:6" s="3" customFormat="1" ht="29.1" customHeight="1" x14ac:dyDescent="0.25">
      <c r="A2388" s="2" t="s">
        <v>5385</v>
      </c>
      <c r="B2388" s="2" t="s">
        <v>5386</v>
      </c>
      <c r="C2388" s="2" t="s">
        <v>624</v>
      </c>
      <c r="D2388" s="2" t="s">
        <v>465</v>
      </c>
      <c r="E2388" s="2" t="str">
        <f>"9789518588675"</f>
        <v>9789518588675</v>
      </c>
      <c r="F2388" s="2" t="str">
        <f>"9789518588682"</f>
        <v>9789518588682</v>
      </c>
    </row>
    <row r="2389" spans="1:6" s="3" customFormat="1" ht="29.1" customHeight="1" x14ac:dyDescent="0.25">
      <c r="A2389" s="2" t="s">
        <v>5387</v>
      </c>
      <c r="B2389" s="2" t="s">
        <v>5388</v>
      </c>
      <c r="C2389" s="2" t="s">
        <v>624</v>
      </c>
      <c r="D2389" s="2" t="s">
        <v>465</v>
      </c>
      <c r="E2389" s="2" t="str">
        <f>"9789518588644"</f>
        <v>9789518588644</v>
      </c>
      <c r="F2389" s="2" t="str">
        <f>"9789518588651"</f>
        <v>9789518588651</v>
      </c>
    </row>
    <row r="2390" spans="1:6" s="3" customFormat="1" ht="29.1" customHeight="1" x14ac:dyDescent="0.25">
      <c r="A2390" s="2" t="s">
        <v>5389</v>
      </c>
      <c r="B2390" s="2" t="s">
        <v>5390</v>
      </c>
      <c r="C2390" s="2" t="s">
        <v>624</v>
      </c>
      <c r="D2390" s="2" t="s">
        <v>1245</v>
      </c>
      <c r="E2390" s="2" t="str">
        <f>"9789518588491"</f>
        <v>9789518588491</v>
      </c>
      <c r="F2390" s="2" t="str">
        <f>"9789518588507"</f>
        <v>9789518588507</v>
      </c>
    </row>
    <row r="2391" spans="1:6" s="3" customFormat="1" ht="29.1" customHeight="1" x14ac:dyDescent="0.25">
      <c r="A2391" s="2" t="s">
        <v>5391</v>
      </c>
      <c r="B2391" s="2" t="s">
        <v>5392</v>
      </c>
      <c r="C2391" s="2" t="s">
        <v>624</v>
      </c>
      <c r="D2391" s="2" t="s">
        <v>468</v>
      </c>
      <c r="E2391" s="2" t="str">
        <f>"9789518585629"</f>
        <v>9789518585629</v>
      </c>
      <c r="F2391" s="2" t="str">
        <f>"9789518585636"</f>
        <v>9789518585636</v>
      </c>
    </row>
    <row r="2392" spans="1:6" s="3" customFormat="1" ht="29.1" customHeight="1" x14ac:dyDescent="0.25">
      <c r="A2392" s="2" t="s">
        <v>5393</v>
      </c>
      <c r="B2392" s="2" t="s">
        <v>5394</v>
      </c>
      <c r="C2392" s="2" t="s">
        <v>624</v>
      </c>
      <c r="D2392" s="2" t="s">
        <v>5266</v>
      </c>
      <c r="E2392" s="2" t="str">
        <f>"9789518584479"</f>
        <v>9789518584479</v>
      </c>
      <c r="F2392" s="2" t="str">
        <f>"9789518584486"</f>
        <v>9789518584486</v>
      </c>
    </row>
    <row r="2393" spans="1:6" s="3" customFormat="1" ht="29.1" customHeight="1" x14ac:dyDescent="0.25">
      <c r="A2393" s="2" t="s">
        <v>5395</v>
      </c>
      <c r="B2393" s="2" t="s">
        <v>5396</v>
      </c>
      <c r="C2393" s="2" t="s">
        <v>624</v>
      </c>
      <c r="D2393" s="2" t="s">
        <v>218</v>
      </c>
      <c r="E2393" s="2" t="str">
        <f>"9789518584448"</f>
        <v>9789518584448</v>
      </c>
      <c r="F2393" s="2" t="str">
        <f>"9789518584455"</f>
        <v>9789518584455</v>
      </c>
    </row>
    <row r="2394" spans="1:6" s="3" customFormat="1" ht="29.1" customHeight="1" x14ac:dyDescent="0.25">
      <c r="A2394" s="2" t="s">
        <v>5397</v>
      </c>
      <c r="B2394" s="2" t="s">
        <v>5398</v>
      </c>
      <c r="C2394" s="2" t="s">
        <v>624</v>
      </c>
      <c r="D2394" s="2" t="s">
        <v>2332</v>
      </c>
      <c r="E2394" s="2" t="str">
        <f>"9789518584387"</f>
        <v>9789518584387</v>
      </c>
      <c r="F2394" s="2" t="str">
        <f>"9789518584394"</f>
        <v>9789518584394</v>
      </c>
    </row>
    <row r="2395" spans="1:6" s="3" customFormat="1" ht="29.1" customHeight="1" x14ac:dyDescent="0.25">
      <c r="A2395" s="2" t="s">
        <v>5399</v>
      </c>
      <c r="B2395" s="2" t="s">
        <v>5400</v>
      </c>
      <c r="C2395" s="2" t="s">
        <v>624</v>
      </c>
      <c r="D2395" s="2" t="s">
        <v>5266</v>
      </c>
      <c r="E2395" s="2" t="str">
        <f>"9789518584301"</f>
        <v>9789518584301</v>
      </c>
      <c r="F2395" s="2" t="str">
        <f>"9789518584318"</f>
        <v>9789518584318</v>
      </c>
    </row>
    <row r="2396" spans="1:6" s="3" customFormat="1" ht="29.1" customHeight="1" x14ac:dyDescent="0.25">
      <c r="A2396" s="2" t="s">
        <v>5401</v>
      </c>
      <c r="B2396" s="2" t="s">
        <v>5402</v>
      </c>
      <c r="C2396" s="2" t="s">
        <v>624</v>
      </c>
      <c r="D2396" s="2" t="s">
        <v>459</v>
      </c>
      <c r="E2396" s="2" t="str">
        <f>"9789518584271"</f>
        <v>9789518584271</v>
      </c>
      <c r="F2396" s="2" t="str">
        <f>"9789518584288"</f>
        <v>9789518584288</v>
      </c>
    </row>
    <row r="2397" spans="1:6" s="3" customFormat="1" ht="29.1" customHeight="1" x14ac:dyDescent="0.25">
      <c r="A2397" s="2" t="s">
        <v>5403</v>
      </c>
      <c r="B2397" s="2" t="s">
        <v>5404</v>
      </c>
      <c r="C2397" s="2" t="s">
        <v>624</v>
      </c>
      <c r="D2397" s="2" t="s">
        <v>459</v>
      </c>
      <c r="E2397" s="2" t="str">
        <f>"9789518584240"</f>
        <v>9789518584240</v>
      </c>
      <c r="F2397" s="2" t="str">
        <f>"9789518584257"</f>
        <v>9789518584257</v>
      </c>
    </row>
    <row r="2398" spans="1:6" s="3" customFormat="1" ht="29.1" customHeight="1" x14ac:dyDescent="0.25">
      <c r="A2398" s="2" t="s">
        <v>5405</v>
      </c>
      <c r="B2398" s="2" t="s">
        <v>5406</v>
      </c>
      <c r="C2398" s="2" t="s">
        <v>624</v>
      </c>
      <c r="D2398" s="2" t="s">
        <v>459</v>
      </c>
      <c r="E2398" s="2" t="str">
        <f>"9789518584073"</f>
        <v>9789518584073</v>
      </c>
      <c r="F2398" s="2" t="str">
        <f>"9789518584080"</f>
        <v>9789518584080</v>
      </c>
    </row>
    <row r="2399" spans="1:6" s="3" customFormat="1" ht="29.1" customHeight="1" x14ac:dyDescent="0.25">
      <c r="A2399" s="2" t="s">
        <v>5407</v>
      </c>
      <c r="B2399" s="2" t="s">
        <v>5409</v>
      </c>
      <c r="C2399" s="2" t="s">
        <v>624</v>
      </c>
      <c r="D2399" s="2" t="s">
        <v>5408</v>
      </c>
      <c r="E2399" s="2" t="str">
        <f>"9789518584011"</f>
        <v>9789518584011</v>
      </c>
      <c r="F2399" s="2" t="str">
        <f>"9789518584028"</f>
        <v>9789518584028</v>
      </c>
    </row>
    <row r="2400" spans="1:6" s="3" customFormat="1" ht="29.1" customHeight="1" x14ac:dyDescent="0.25">
      <c r="A2400" s="2" t="s">
        <v>5410</v>
      </c>
      <c r="B2400" s="2" t="s">
        <v>5411</v>
      </c>
      <c r="C2400" s="2" t="s">
        <v>624</v>
      </c>
      <c r="D2400" s="2" t="s">
        <v>324</v>
      </c>
      <c r="E2400" s="2" t="str">
        <f>"9789518583984"</f>
        <v>9789518583984</v>
      </c>
      <c r="F2400" s="2" t="str">
        <f>"9789518583991"</f>
        <v>9789518583991</v>
      </c>
    </row>
    <row r="2401" spans="1:6" s="3" customFormat="1" ht="29.1" customHeight="1" x14ac:dyDescent="0.25">
      <c r="A2401" s="2" t="s">
        <v>5412</v>
      </c>
      <c r="B2401" s="2" t="s">
        <v>5413</v>
      </c>
      <c r="C2401" s="2" t="s">
        <v>624</v>
      </c>
      <c r="D2401" s="2" t="s">
        <v>353</v>
      </c>
      <c r="E2401" s="2" t="str">
        <f>"9789518583953"</f>
        <v>9789518583953</v>
      </c>
      <c r="F2401" s="2" t="str">
        <f>"9789518583960"</f>
        <v>9789518583960</v>
      </c>
    </row>
    <row r="2402" spans="1:6" s="3" customFormat="1" ht="29.1" customHeight="1" x14ac:dyDescent="0.25">
      <c r="A2402" s="2" t="s">
        <v>5414</v>
      </c>
      <c r="B2402" s="2" t="s">
        <v>5415</v>
      </c>
      <c r="C2402" s="2" t="s">
        <v>624</v>
      </c>
      <c r="D2402" s="2" t="s">
        <v>5360</v>
      </c>
      <c r="E2402" s="2" t="str">
        <f>"9789522222633"</f>
        <v>9789522222633</v>
      </c>
      <c r="F2402" s="2" t="str">
        <f>"9789518583908"</f>
        <v>9789518583908</v>
      </c>
    </row>
    <row r="2403" spans="1:6" s="3" customFormat="1" ht="29.1" customHeight="1" x14ac:dyDescent="0.25">
      <c r="A2403" s="2" t="s">
        <v>5416</v>
      </c>
      <c r="B2403" s="2" t="s">
        <v>5418</v>
      </c>
      <c r="C2403" s="2" t="s">
        <v>624</v>
      </c>
      <c r="D2403" s="2" t="s">
        <v>5417</v>
      </c>
      <c r="E2403" s="2" t="str">
        <f>"9789518581737"</f>
        <v>9789518581737</v>
      </c>
      <c r="F2403" s="2" t="str">
        <f>"9789518581782"</f>
        <v>9789518581782</v>
      </c>
    </row>
    <row r="2404" spans="1:6" s="3" customFormat="1" ht="29.1" customHeight="1" x14ac:dyDescent="0.25">
      <c r="A2404" s="2" t="s">
        <v>5419</v>
      </c>
      <c r="B2404" s="2" t="s">
        <v>5420</v>
      </c>
      <c r="C2404" s="2" t="s">
        <v>624</v>
      </c>
      <c r="D2404" s="2" t="s">
        <v>75</v>
      </c>
      <c r="E2404" s="2" t="str">
        <f>"9789522228895"</f>
        <v>9789522228895</v>
      </c>
      <c r="F2404" s="2" t="str">
        <f>"9789522229809"</f>
        <v>9789522229809</v>
      </c>
    </row>
    <row r="2405" spans="1:6" s="3" customFormat="1" ht="29.1" customHeight="1" x14ac:dyDescent="0.25">
      <c r="A2405" s="2" t="s">
        <v>5421</v>
      </c>
      <c r="B2405" s="2" t="s">
        <v>5422</v>
      </c>
      <c r="C2405" s="2" t="s">
        <v>624</v>
      </c>
      <c r="D2405" s="2" t="s">
        <v>1717</v>
      </c>
      <c r="E2405" s="2" t="str">
        <f>"9789522227331"</f>
        <v>9789522227331</v>
      </c>
      <c r="F2405" s="2" t="str">
        <f>"9789522228727"</f>
        <v>9789522228727</v>
      </c>
    </row>
    <row r="2406" spans="1:6" s="3" customFormat="1" ht="29.1" customHeight="1" x14ac:dyDescent="0.25">
      <c r="A2406" s="2" t="s">
        <v>5423</v>
      </c>
      <c r="B2406" s="2" t="s">
        <v>5424</v>
      </c>
      <c r="C2406" s="2" t="s">
        <v>624</v>
      </c>
      <c r="D2406" s="2" t="s">
        <v>1717</v>
      </c>
      <c r="E2406" s="2" t="str">
        <f>"9789522226884"</f>
        <v>9789522226884</v>
      </c>
      <c r="F2406" s="2" t="str">
        <f>"9789522228765"</f>
        <v>9789522228765</v>
      </c>
    </row>
    <row r="2407" spans="1:6" s="3" customFormat="1" ht="29.1" customHeight="1" x14ac:dyDescent="0.25">
      <c r="A2407" s="2" t="s">
        <v>5425</v>
      </c>
      <c r="B2407" s="2" t="s">
        <v>5426</v>
      </c>
      <c r="C2407" s="2" t="s">
        <v>624</v>
      </c>
      <c r="D2407" s="2" t="s">
        <v>5266</v>
      </c>
      <c r="E2407" s="2" t="str">
        <f>"9789522227560"</f>
        <v>9789522227560</v>
      </c>
      <c r="F2407" s="2" t="str">
        <f>"9789522227942"</f>
        <v>9789522227942</v>
      </c>
    </row>
    <row r="2408" spans="1:6" s="3" customFormat="1" ht="29.1" customHeight="1" x14ac:dyDescent="0.25">
      <c r="A2408" s="2" t="s">
        <v>5427</v>
      </c>
      <c r="B2408" s="2" t="s">
        <v>5429</v>
      </c>
      <c r="C2408" s="2" t="s">
        <v>624</v>
      </c>
      <c r="D2408" s="2" t="s">
        <v>5428</v>
      </c>
      <c r="E2408" s="2" t="str">
        <f>"9789522224446"</f>
        <v>9789522224446</v>
      </c>
      <c r="F2408" s="2" t="str">
        <f>"9789522224927"</f>
        <v>9789522224927</v>
      </c>
    </row>
    <row r="2409" spans="1:6" s="3" customFormat="1" ht="29.1" customHeight="1" x14ac:dyDescent="0.25">
      <c r="A2409" s="2" t="s">
        <v>5430</v>
      </c>
      <c r="B2409" s="2" t="s">
        <v>5431</v>
      </c>
      <c r="C2409" s="2" t="s">
        <v>624</v>
      </c>
      <c r="D2409" s="2" t="s">
        <v>5266</v>
      </c>
      <c r="E2409" s="2" t="str">
        <f>"9789522223593"</f>
        <v>9789522223593</v>
      </c>
      <c r="F2409" s="2" t="str">
        <f>"9789522224095"</f>
        <v>9789522224095</v>
      </c>
    </row>
    <row r="2410" spans="1:6" s="3" customFormat="1" ht="29.1" customHeight="1" x14ac:dyDescent="0.25">
      <c r="A2410" s="2" t="s">
        <v>5432</v>
      </c>
      <c r="B2410" s="2" t="s">
        <v>5433</v>
      </c>
      <c r="C2410" s="2" t="s">
        <v>624</v>
      </c>
      <c r="D2410" s="2" t="s">
        <v>1062</v>
      </c>
      <c r="E2410" s="2" t="str">
        <f>"9789522222411"</f>
        <v>9789522222411</v>
      </c>
      <c r="F2410" s="2" t="str">
        <f>"9789522227799"</f>
        <v>9789522227799</v>
      </c>
    </row>
    <row r="2411" spans="1:6" s="3" customFormat="1" ht="29.1" customHeight="1" x14ac:dyDescent="0.25">
      <c r="A2411" s="2" t="s">
        <v>5434</v>
      </c>
      <c r="B2411" s="2" t="s">
        <v>5435</v>
      </c>
      <c r="C2411" s="2" t="s">
        <v>624</v>
      </c>
      <c r="D2411" s="2" t="s">
        <v>5266</v>
      </c>
      <c r="E2411" s="2" t="str">
        <f>"9789522222602"</f>
        <v>9789522222602</v>
      </c>
      <c r="F2411" s="2" t="str">
        <f>"9789522227508"</f>
        <v>9789522227508</v>
      </c>
    </row>
    <row r="2412" spans="1:6" s="3" customFormat="1" ht="29.1" customHeight="1" x14ac:dyDescent="0.25">
      <c r="A2412" s="2" t="s">
        <v>5436</v>
      </c>
      <c r="B2412" s="2" t="s">
        <v>5438</v>
      </c>
      <c r="C2412" s="2" t="s">
        <v>624</v>
      </c>
      <c r="D2412" s="2" t="s">
        <v>5437</v>
      </c>
      <c r="E2412" s="2" t="str">
        <f>"9789522220639"</f>
        <v>9789522220639</v>
      </c>
      <c r="F2412" s="2" t="str">
        <f>"9789522228048"</f>
        <v>9789522228048</v>
      </c>
    </row>
    <row r="2413" spans="1:6" s="3" customFormat="1" ht="29.1" customHeight="1" x14ac:dyDescent="0.25">
      <c r="A2413" s="2" t="s">
        <v>5439</v>
      </c>
      <c r="B2413" s="2" t="s">
        <v>5440</v>
      </c>
      <c r="C2413" s="2" t="s">
        <v>624</v>
      </c>
      <c r="D2413" s="2" t="s">
        <v>159</v>
      </c>
      <c r="E2413" s="2" t="str">
        <f>"9789518589009"</f>
        <v>9789518589009</v>
      </c>
      <c r="F2413" s="2" t="str">
        <f>"9789518589016"</f>
        <v>9789518589016</v>
      </c>
    </row>
    <row r="2414" spans="1:6" s="3" customFormat="1" ht="29.1" customHeight="1" x14ac:dyDescent="0.25">
      <c r="A2414" s="2" t="s">
        <v>5441</v>
      </c>
      <c r="B2414" s="2" t="s">
        <v>5442</v>
      </c>
      <c r="C2414" s="2" t="s">
        <v>624</v>
      </c>
      <c r="D2414" s="2" t="s">
        <v>2834</v>
      </c>
      <c r="E2414" s="2" t="str">
        <f>"9789518588552"</f>
        <v>9789518588552</v>
      </c>
      <c r="F2414" s="2" t="str">
        <f>"9789518588569"</f>
        <v>9789518588569</v>
      </c>
    </row>
    <row r="2415" spans="1:6" s="3" customFormat="1" ht="29.1" customHeight="1" x14ac:dyDescent="0.25">
      <c r="A2415" s="2" t="s">
        <v>5443</v>
      </c>
      <c r="B2415" s="2" t="s">
        <v>5444</v>
      </c>
      <c r="C2415" s="2" t="s">
        <v>624</v>
      </c>
      <c r="D2415" s="2" t="s">
        <v>405</v>
      </c>
      <c r="E2415" s="2" t="str">
        <f>"9789518584189"</f>
        <v>9789518584189</v>
      </c>
      <c r="F2415" s="2" t="str">
        <f>"9789518584196"</f>
        <v>9789518584196</v>
      </c>
    </row>
    <row r="2416" spans="1:6" s="3" customFormat="1" ht="29.1" customHeight="1" x14ac:dyDescent="0.25">
      <c r="A2416" s="2" t="s">
        <v>5445</v>
      </c>
      <c r="B2416" s="2" t="s">
        <v>5446</v>
      </c>
      <c r="C2416" s="2" t="s">
        <v>624</v>
      </c>
      <c r="D2416" s="2" t="s">
        <v>78</v>
      </c>
      <c r="E2416" s="2" t="str">
        <f>"9789522229922"</f>
        <v>9789522229922</v>
      </c>
      <c r="F2416" s="2" t="str">
        <f>"9789518580341"</f>
        <v>9789518580341</v>
      </c>
    </row>
    <row r="2417" spans="1:6" s="3" customFormat="1" ht="29.1" customHeight="1" x14ac:dyDescent="0.25">
      <c r="A2417" s="2" t="s">
        <v>5447</v>
      </c>
      <c r="B2417" s="2" t="s">
        <v>5448</v>
      </c>
      <c r="C2417" s="2" t="s">
        <v>624</v>
      </c>
      <c r="D2417" s="2" t="s">
        <v>5437</v>
      </c>
      <c r="E2417" s="2" t="str">
        <f>"9789517464390"</f>
        <v>9789517464390</v>
      </c>
      <c r="F2417" s="2" t="str">
        <f>"9789522227683"</f>
        <v>9789522227683</v>
      </c>
    </row>
    <row r="2418" spans="1:6" s="3" customFormat="1" ht="29.1" customHeight="1" x14ac:dyDescent="0.25">
      <c r="A2418" s="2" t="s">
        <v>5449</v>
      </c>
      <c r="B2418" s="2" t="s">
        <v>5450</v>
      </c>
      <c r="C2418" s="2" t="s">
        <v>624</v>
      </c>
      <c r="D2418" s="2" t="s">
        <v>1245</v>
      </c>
      <c r="E2418" s="2" t="str">
        <f>"9789518588705"</f>
        <v>9789518588705</v>
      </c>
      <c r="F2418" s="2" t="str">
        <f>"9789518588712"</f>
        <v>9789518588712</v>
      </c>
    </row>
    <row r="2419" spans="1:6" s="3" customFormat="1" ht="29.1" customHeight="1" x14ac:dyDescent="0.25">
      <c r="A2419" s="2" t="s">
        <v>5451</v>
      </c>
      <c r="B2419" s="2" t="s">
        <v>5452</v>
      </c>
      <c r="C2419" s="2" t="s">
        <v>624</v>
      </c>
      <c r="D2419" s="2" t="s">
        <v>3328</v>
      </c>
      <c r="E2419" s="2" t="str">
        <f>"9789518586466"</f>
        <v>9789518586466</v>
      </c>
      <c r="F2419" s="2" t="str">
        <f>"9789518586473"</f>
        <v>9789518586473</v>
      </c>
    </row>
    <row r="2420" spans="1:6" s="3" customFormat="1" ht="29.1" customHeight="1" x14ac:dyDescent="0.25">
      <c r="A2420" s="2" t="s">
        <v>5453</v>
      </c>
      <c r="B2420" s="2" t="s">
        <v>5454</v>
      </c>
      <c r="C2420" s="2" t="s">
        <v>624</v>
      </c>
      <c r="D2420" s="2" t="s">
        <v>459</v>
      </c>
      <c r="E2420" s="2" t="str">
        <f>"9789518586312"</f>
        <v>9789518586312</v>
      </c>
      <c r="F2420" s="2" t="str">
        <f>"9789518586329"</f>
        <v>9789518586329</v>
      </c>
    </row>
    <row r="2421" spans="1:6" s="3" customFormat="1" ht="29.1" customHeight="1" x14ac:dyDescent="0.25">
      <c r="A2421" s="2" t="s">
        <v>5455</v>
      </c>
      <c r="B2421" s="2" t="s">
        <v>5456</v>
      </c>
      <c r="C2421" s="2" t="s">
        <v>624</v>
      </c>
      <c r="D2421" s="2" t="s">
        <v>4117</v>
      </c>
      <c r="E2421" s="2" t="str">
        <f>"9789522229168"</f>
        <v>9789522229168</v>
      </c>
      <c r="F2421" s="2" t="str">
        <f>"9789518580037"</f>
        <v>9789518580037</v>
      </c>
    </row>
    <row r="2422" spans="1:6" s="3" customFormat="1" ht="29.1" customHeight="1" x14ac:dyDescent="0.25">
      <c r="A2422" s="2" t="s">
        <v>5457</v>
      </c>
      <c r="B2422" s="2" t="s">
        <v>5458</v>
      </c>
      <c r="C2422" s="2" t="s">
        <v>624</v>
      </c>
      <c r="D2422" s="2" t="s">
        <v>1245</v>
      </c>
      <c r="E2422" s="2" t="str">
        <f>"9789522228581"</f>
        <v>9789522228581</v>
      </c>
      <c r="F2422" s="2" t="str">
        <f>"9789522228994"</f>
        <v>9789522228994</v>
      </c>
    </row>
    <row r="2423" spans="1:6" s="3" customFormat="1" ht="29.1" customHeight="1" x14ac:dyDescent="0.25">
      <c r="A2423" s="2" t="s">
        <v>5459</v>
      </c>
      <c r="B2423" s="2" t="s">
        <v>5460</v>
      </c>
      <c r="C2423" s="2" t="s">
        <v>624</v>
      </c>
      <c r="D2423" s="2" t="s">
        <v>1245</v>
      </c>
      <c r="E2423" s="2" t="str">
        <f>"9789518580174"</f>
        <v>9789518580174</v>
      </c>
      <c r="F2423" s="2" t="str">
        <f>"9789522227980"</f>
        <v>9789522227980</v>
      </c>
    </row>
    <row r="2424" spans="1:6" s="3" customFormat="1" ht="29.1" customHeight="1" x14ac:dyDescent="0.25">
      <c r="A2424" s="2" t="s">
        <v>5461</v>
      </c>
      <c r="B2424" s="2" t="s">
        <v>5462</v>
      </c>
      <c r="C2424" s="2" t="s">
        <v>624</v>
      </c>
      <c r="D2424" s="2" t="s">
        <v>1245</v>
      </c>
      <c r="E2424" s="2" t="str">
        <f>"9789522221346"</f>
        <v>9789522221346</v>
      </c>
      <c r="F2424" s="2" t="str">
        <f>"9789522227836"</f>
        <v>9789522227836</v>
      </c>
    </row>
    <row r="2425" spans="1:6" s="3" customFormat="1" ht="29.1" customHeight="1" x14ac:dyDescent="0.25">
      <c r="A2425" s="2" t="s">
        <v>5463</v>
      </c>
      <c r="B2425" s="2" t="s">
        <v>5464</v>
      </c>
      <c r="C2425" s="2" t="s">
        <v>624</v>
      </c>
      <c r="D2425" s="2" t="s">
        <v>3328</v>
      </c>
      <c r="E2425" s="2" t="str">
        <f>"9789517466363"</f>
        <v>9789517466363</v>
      </c>
      <c r="F2425" s="2" t="str">
        <f>"9789522227720"</f>
        <v>9789522227720</v>
      </c>
    </row>
    <row r="2426" spans="1:6" s="3" customFormat="1" ht="29.1" customHeight="1" x14ac:dyDescent="0.25">
      <c r="A2426" s="2" t="s">
        <v>5465</v>
      </c>
      <c r="B2426" s="2" t="s">
        <v>5466</v>
      </c>
      <c r="C2426" s="2" t="s">
        <v>624</v>
      </c>
      <c r="D2426" s="2" t="s">
        <v>1104</v>
      </c>
      <c r="E2426" s="2" t="str">
        <f>"9789518588859"</f>
        <v>9789518588859</v>
      </c>
      <c r="F2426" s="2" t="str">
        <f>"9789518588866"</f>
        <v>9789518588866</v>
      </c>
    </row>
    <row r="2427" spans="1:6" s="3" customFormat="1" ht="29.1" customHeight="1" x14ac:dyDescent="0.25">
      <c r="A2427" s="2" t="s">
        <v>5467</v>
      </c>
      <c r="B2427" s="2" t="s">
        <v>5468</v>
      </c>
      <c r="C2427" s="2" t="s">
        <v>624</v>
      </c>
      <c r="D2427" s="2" t="s">
        <v>791</v>
      </c>
      <c r="E2427" s="2" t="str">
        <f>"9789518586282"</f>
        <v>9789518586282</v>
      </c>
      <c r="F2427" s="2" t="str">
        <f>"9789518586299"</f>
        <v>9789518586299</v>
      </c>
    </row>
    <row r="2428" spans="1:6" s="3" customFormat="1" ht="29.1" customHeight="1" x14ac:dyDescent="0.25">
      <c r="A2428" s="2" t="s">
        <v>5469</v>
      </c>
      <c r="B2428" s="2" t="s">
        <v>5470</v>
      </c>
      <c r="C2428" s="2" t="s">
        <v>624</v>
      </c>
      <c r="D2428" s="2" t="s">
        <v>459</v>
      </c>
      <c r="E2428" s="2" t="str">
        <f>"9789518581355"</f>
        <v>9789518581355</v>
      </c>
      <c r="F2428" s="2" t="str">
        <f>"9789518581492"</f>
        <v>9789518581492</v>
      </c>
    </row>
    <row r="2429" spans="1:6" s="3" customFormat="1" ht="29.1" customHeight="1" x14ac:dyDescent="0.25">
      <c r="A2429" s="2" t="s">
        <v>5471</v>
      </c>
      <c r="B2429" s="2" t="s">
        <v>5472</v>
      </c>
      <c r="C2429" s="2" t="s">
        <v>624</v>
      </c>
      <c r="D2429" s="2" t="s">
        <v>3224</v>
      </c>
      <c r="E2429" s="2" t="str">
        <f>"9789522228826"</f>
        <v>9789522228826</v>
      </c>
      <c r="F2429" s="2" t="str">
        <f>"9789522229533"</f>
        <v>9789522229533</v>
      </c>
    </row>
    <row r="2430" spans="1:6" s="3" customFormat="1" ht="29.1" customHeight="1" x14ac:dyDescent="0.25">
      <c r="A2430" s="2" t="s">
        <v>5473</v>
      </c>
      <c r="B2430" s="2" t="s">
        <v>5474</v>
      </c>
      <c r="C2430" s="2" t="s">
        <v>624</v>
      </c>
      <c r="D2430" s="2" t="s">
        <v>509</v>
      </c>
      <c r="E2430" s="2" t="str">
        <f>"9789522228574"</f>
        <v>9789522228574</v>
      </c>
      <c r="F2430" s="2" t="str">
        <f>"9789522229038"</f>
        <v>9789522229038</v>
      </c>
    </row>
    <row r="2431" spans="1:6" s="3" customFormat="1" ht="29.1" customHeight="1" x14ac:dyDescent="0.25">
      <c r="A2431" s="2" t="s">
        <v>5475</v>
      </c>
      <c r="B2431" s="2" t="s">
        <v>5476</v>
      </c>
      <c r="C2431" s="2" t="s">
        <v>624</v>
      </c>
      <c r="D2431" s="2" t="s">
        <v>1809</v>
      </c>
      <c r="E2431" s="2" t="str">
        <f>"9789522226297"</f>
        <v>9789522226297</v>
      </c>
      <c r="F2431" s="2" t="str">
        <f>"9789522227461"</f>
        <v>9789522227461</v>
      </c>
    </row>
    <row r="2432" spans="1:6" s="3" customFormat="1" ht="29.1" customHeight="1" x14ac:dyDescent="0.25">
      <c r="A2432" s="2" t="s">
        <v>5477</v>
      </c>
      <c r="B2432" s="2" t="s">
        <v>5478</v>
      </c>
      <c r="C2432" s="2" t="s">
        <v>624</v>
      </c>
      <c r="D2432" s="2" t="s">
        <v>5234</v>
      </c>
      <c r="E2432" s="2" t="str">
        <f>"9789522226037"</f>
        <v>9789522226037</v>
      </c>
      <c r="F2432" s="2" t="str">
        <f>"9789522226228"</f>
        <v>9789522226228</v>
      </c>
    </row>
    <row r="2433" spans="1:6" s="3" customFormat="1" ht="29.1" customHeight="1" x14ac:dyDescent="0.25">
      <c r="A2433" s="2" t="s">
        <v>5479</v>
      </c>
      <c r="B2433" s="2" t="s">
        <v>5481</v>
      </c>
      <c r="C2433" s="2" t="s">
        <v>624</v>
      </c>
      <c r="D2433" s="2" t="s">
        <v>5480</v>
      </c>
      <c r="E2433" s="2" t="str">
        <f>"9789522222282"</f>
        <v>9789522222282</v>
      </c>
      <c r="F2433" s="2" t="str">
        <f>"9789522227850"</f>
        <v>9789522227850</v>
      </c>
    </row>
    <row r="2434" spans="1:6" s="3" customFormat="1" ht="29.1" customHeight="1" x14ac:dyDescent="0.25">
      <c r="A2434" s="2" t="s">
        <v>5482</v>
      </c>
      <c r="B2434" s="2" t="s">
        <v>5483</v>
      </c>
      <c r="C2434" s="2" t="s">
        <v>624</v>
      </c>
      <c r="D2434" s="2" t="s">
        <v>1717</v>
      </c>
      <c r="E2434" s="2" t="str">
        <f>"9789522221629"</f>
        <v>9789522221629</v>
      </c>
      <c r="F2434" s="2" t="str">
        <f>"9789522227904"</f>
        <v>9789522227904</v>
      </c>
    </row>
    <row r="2435" spans="1:6" s="3" customFormat="1" ht="29.1" customHeight="1" x14ac:dyDescent="0.25">
      <c r="A2435" s="2" t="s">
        <v>5484</v>
      </c>
      <c r="B2435" s="2" t="s">
        <v>5485</v>
      </c>
      <c r="C2435" s="2" t="s">
        <v>624</v>
      </c>
      <c r="D2435" s="2" t="s">
        <v>4238</v>
      </c>
      <c r="E2435" s="2" t="str">
        <f>"9789517468541"</f>
        <v>9789517468541</v>
      </c>
      <c r="F2435" s="2" t="str">
        <f>"9789518580204"</f>
        <v>9789518580204</v>
      </c>
    </row>
    <row r="2436" spans="1:6" s="3" customFormat="1" ht="29.1" customHeight="1" x14ac:dyDescent="0.25">
      <c r="A2436" s="2" t="s">
        <v>5486</v>
      </c>
      <c r="B2436" s="2" t="s">
        <v>5487</v>
      </c>
      <c r="C2436" s="2" t="s">
        <v>624</v>
      </c>
      <c r="D2436" s="2" t="s">
        <v>4422</v>
      </c>
      <c r="E2436" s="2" t="str">
        <f>"9789517466950"</f>
        <v>9789517466950</v>
      </c>
      <c r="F2436" s="2" t="str">
        <f>"9789518580228"</f>
        <v>9789518580228</v>
      </c>
    </row>
    <row r="2437" spans="1:6" s="3" customFormat="1" ht="29.1" customHeight="1" x14ac:dyDescent="0.25">
      <c r="A2437" s="2" t="s">
        <v>5488</v>
      </c>
      <c r="B2437" s="2" t="s">
        <v>5489</v>
      </c>
      <c r="C2437" s="2" t="s">
        <v>624</v>
      </c>
      <c r="D2437" s="2" t="s">
        <v>5360</v>
      </c>
      <c r="E2437" s="2" t="str">
        <f>"9789517463713"</f>
        <v>9789517463713</v>
      </c>
      <c r="F2437" s="2" t="str">
        <f>"9789522228482"</f>
        <v>9789522228482</v>
      </c>
    </row>
    <row r="2438" spans="1:6" s="3" customFormat="1" ht="29.1" customHeight="1" x14ac:dyDescent="0.25">
      <c r="A2438" s="2" t="s">
        <v>5490</v>
      </c>
      <c r="B2438" s="2" t="s">
        <v>5491</v>
      </c>
      <c r="C2438" s="2" t="s">
        <v>624</v>
      </c>
      <c r="D2438" s="2" t="s">
        <v>459</v>
      </c>
      <c r="E2438" s="2" t="str">
        <f>"9789518585872"</f>
        <v>9789518585872</v>
      </c>
      <c r="F2438" s="2" t="str">
        <f>"9789518585889"</f>
        <v>9789518585889</v>
      </c>
    </row>
    <row r="2439" spans="1:6" s="3" customFormat="1" ht="29.1" customHeight="1" x14ac:dyDescent="0.25">
      <c r="A2439" s="2" t="s">
        <v>5492</v>
      </c>
      <c r="B2439" s="2" t="s">
        <v>5494</v>
      </c>
      <c r="C2439" s="2" t="s">
        <v>624</v>
      </c>
      <c r="D2439" s="2" t="s">
        <v>5493</v>
      </c>
      <c r="E2439" s="2" t="str">
        <f>"9789518580075"</f>
        <v>9789518580075</v>
      </c>
      <c r="F2439" s="2" t="str">
        <f>"9789518580327"</f>
        <v>9789518580327</v>
      </c>
    </row>
    <row r="2440" spans="1:6" s="3" customFormat="1" ht="29.1" customHeight="1" x14ac:dyDescent="0.25">
      <c r="A2440" s="2" t="s">
        <v>5495</v>
      </c>
      <c r="B2440" s="2" t="s">
        <v>5496</v>
      </c>
      <c r="C2440" s="2" t="s">
        <v>624</v>
      </c>
      <c r="D2440" s="2" t="s">
        <v>5360</v>
      </c>
      <c r="E2440" s="2" t="str">
        <f>"9789522229175"</f>
        <v>9789522229175</v>
      </c>
      <c r="F2440" s="2" t="str">
        <f>"9789522229939"</f>
        <v>9789522229939</v>
      </c>
    </row>
    <row r="2441" spans="1:6" s="3" customFormat="1" ht="29.1" customHeight="1" x14ac:dyDescent="0.25">
      <c r="A2441" s="2" t="s">
        <v>5497</v>
      </c>
      <c r="B2441" s="2" t="s">
        <v>5498</v>
      </c>
      <c r="C2441" s="2" t="s">
        <v>624</v>
      </c>
      <c r="D2441" s="2" t="s">
        <v>215</v>
      </c>
      <c r="E2441" s="2" t="str">
        <f>"9789522227386"</f>
        <v>9789522227386</v>
      </c>
      <c r="F2441" s="2" t="str">
        <f>"9789522228437"</f>
        <v>9789522228437</v>
      </c>
    </row>
    <row r="2442" spans="1:6" s="3" customFormat="1" ht="29.1" customHeight="1" x14ac:dyDescent="0.25">
      <c r="A2442" s="2" t="s">
        <v>5499</v>
      </c>
      <c r="B2442" s="2" t="s">
        <v>5500</v>
      </c>
      <c r="C2442" s="2" t="s">
        <v>624</v>
      </c>
      <c r="D2442" s="2" t="s">
        <v>868</v>
      </c>
      <c r="E2442" s="2" t="str">
        <f>"9789517467261"</f>
        <v>9789517467261</v>
      </c>
      <c r="F2442" s="2" t="str">
        <f>"9789518580631"</f>
        <v>9789518580631</v>
      </c>
    </row>
    <row r="2443" spans="1:6" s="3" customFormat="1" ht="29.1" customHeight="1" x14ac:dyDescent="0.25">
      <c r="A2443" s="2" t="s">
        <v>5501</v>
      </c>
      <c r="B2443" s="2" t="s">
        <v>5502</v>
      </c>
      <c r="C2443" s="2" t="s">
        <v>624</v>
      </c>
      <c r="D2443" s="2" t="s">
        <v>636</v>
      </c>
      <c r="E2443" s="2" t="str">
        <f>"9789517466318"</f>
        <v>9789517466318</v>
      </c>
      <c r="F2443" s="2" t="str">
        <f>"9789518580716"</f>
        <v>9789518580716</v>
      </c>
    </row>
    <row r="2444" spans="1:6" s="3" customFormat="1" ht="29.1" customHeight="1" x14ac:dyDescent="0.25">
      <c r="A2444" s="2" t="s">
        <v>5503</v>
      </c>
      <c r="B2444" s="2" t="s">
        <v>5504</v>
      </c>
      <c r="C2444" s="2" t="s">
        <v>624</v>
      </c>
      <c r="D2444" s="2" t="s">
        <v>636</v>
      </c>
      <c r="E2444" s="2" t="str">
        <f>"9789518580655"</f>
        <v>9789518580655</v>
      </c>
      <c r="F2444" s="2" t="str">
        <f>"9789518580662"</f>
        <v>9789518580662</v>
      </c>
    </row>
    <row r="2445" spans="1:6" s="3" customFormat="1" ht="29.1" customHeight="1" x14ac:dyDescent="0.25">
      <c r="A2445" s="2" t="s">
        <v>5505</v>
      </c>
      <c r="B2445" s="2" t="s">
        <v>5506</v>
      </c>
      <c r="C2445" s="2" t="s">
        <v>624</v>
      </c>
      <c r="D2445" s="2" t="s">
        <v>636</v>
      </c>
      <c r="E2445" s="2" t="str">
        <f>"9789517464338"</f>
        <v>9789517464338</v>
      </c>
      <c r="F2445" s="2" t="str">
        <f>"9789518580181"</f>
        <v>9789518580181</v>
      </c>
    </row>
    <row r="2446" spans="1:6" s="3" customFormat="1" ht="29.1" customHeight="1" x14ac:dyDescent="0.25">
      <c r="A2446" s="2" t="s">
        <v>5507</v>
      </c>
      <c r="B2446" s="2" t="s">
        <v>5508</v>
      </c>
      <c r="C2446" s="2" t="s">
        <v>624</v>
      </c>
      <c r="D2446" s="2" t="s">
        <v>636</v>
      </c>
      <c r="E2446" s="2" t="str">
        <f>"9789518589030"</f>
        <v>9789518589030</v>
      </c>
      <c r="F2446" s="2" t="str">
        <f>"9789518589047"</f>
        <v>9789518589047</v>
      </c>
    </row>
    <row r="2447" spans="1:6" s="3" customFormat="1" ht="29.1" customHeight="1" x14ac:dyDescent="0.25">
      <c r="A2447" s="2" t="s">
        <v>5509</v>
      </c>
      <c r="B2447" s="2" t="s">
        <v>5510</v>
      </c>
      <c r="C2447" s="2" t="s">
        <v>624</v>
      </c>
      <c r="D2447" s="2" t="s">
        <v>636</v>
      </c>
      <c r="E2447" s="2" t="str">
        <f>"9789518581348"</f>
        <v>9789518581348</v>
      </c>
      <c r="F2447" s="2" t="str">
        <f>"9789518581256"</f>
        <v>9789518581256</v>
      </c>
    </row>
    <row r="2448" spans="1:6" s="3" customFormat="1" ht="29.1" customHeight="1" x14ac:dyDescent="0.25">
      <c r="A2448" s="2" t="s">
        <v>5511</v>
      </c>
      <c r="B2448" s="2" t="s">
        <v>5512</v>
      </c>
      <c r="C2448" s="2" t="s">
        <v>624</v>
      </c>
      <c r="D2448" s="2" t="s">
        <v>636</v>
      </c>
      <c r="E2448" s="2" t="str">
        <f>"9789522223883"</f>
        <v>9789522223883</v>
      </c>
      <c r="F2448" s="2" t="str">
        <f>"9789522227614"</f>
        <v>9789522227614</v>
      </c>
    </row>
    <row r="2449" spans="1:6" s="3" customFormat="1" ht="29.1" customHeight="1" x14ac:dyDescent="0.25">
      <c r="A2449" s="2" t="s">
        <v>5513</v>
      </c>
      <c r="B2449" s="2" t="s">
        <v>5514</v>
      </c>
      <c r="C2449" s="2" t="s">
        <v>624</v>
      </c>
      <c r="D2449" s="2" t="s">
        <v>868</v>
      </c>
      <c r="E2449" s="2" t="str">
        <f>"9789522221544"</f>
        <v>9789522221544</v>
      </c>
      <c r="F2449" s="2" t="str">
        <f>"9789522228024"</f>
        <v>9789522228024</v>
      </c>
    </row>
    <row r="2450" spans="1:6" s="3" customFormat="1" ht="29.1" customHeight="1" x14ac:dyDescent="0.25">
      <c r="A2450" s="2" t="s">
        <v>5515</v>
      </c>
      <c r="B2450" s="2" t="s">
        <v>5516</v>
      </c>
      <c r="C2450" s="2" t="s">
        <v>624</v>
      </c>
      <c r="D2450" s="2" t="s">
        <v>1245</v>
      </c>
      <c r="E2450" s="2" t="str">
        <f>"9789518582079"</f>
        <v>9789518582079</v>
      </c>
      <c r="F2450" s="2" t="str">
        <f>"9789518582093"</f>
        <v>9789518582093</v>
      </c>
    </row>
    <row r="2451" spans="1:6" s="3" customFormat="1" ht="29.1" customHeight="1" x14ac:dyDescent="0.25">
      <c r="A2451" s="2" t="s">
        <v>5517</v>
      </c>
      <c r="B2451" s="2" t="s">
        <v>5518</v>
      </c>
      <c r="C2451" s="2" t="s">
        <v>624</v>
      </c>
      <c r="D2451" s="2" t="s">
        <v>818</v>
      </c>
      <c r="E2451" s="2" t="str">
        <f>"9789518580877"</f>
        <v>9789518580877</v>
      </c>
      <c r="F2451" s="2" t="str">
        <f>"9789518581133"</f>
        <v>9789518581133</v>
      </c>
    </row>
    <row r="2452" spans="1:6" s="3" customFormat="1" ht="29.1" customHeight="1" x14ac:dyDescent="0.25">
      <c r="A2452" s="2" t="s">
        <v>5519</v>
      </c>
      <c r="B2452" s="2" t="s">
        <v>5520</v>
      </c>
      <c r="C2452" s="2" t="s">
        <v>624</v>
      </c>
      <c r="D2452" s="2" t="s">
        <v>818</v>
      </c>
      <c r="E2452" s="2" t="str">
        <f>"9789518580686"</f>
        <v>9789518580686</v>
      </c>
      <c r="F2452" s="2" t="str">
        <f>"9789518580693"</f>
        <v>9789518580693</v>
      </c>
    </row>
    <row r="2453" spans="1:6" s="3" customFormat="1" ht="29.1" customHeight="1" x14ac:dyDescent="0.25">
      <c r="A2453" s="2" t="s">
        <v>5521</v>
      </c>
      <c r="B2453" s="2" t="s">
        <v>5522</v>
      </c>
      <c r="C2453" s="2" t="s">
        <v>624</v>
      </c>
      <c r="D2453" s="2" t="s">
        <v>636</v>
      </c>
      <c r="E2453" s="2" t="str">
        <f>"9789518588941"</f>
        <v>9789518588941</v>
      </c>
      <c r="F2453" s="2" t="str">
        <f>"9789518588958"</f>
        <v>9789518588958</v>
      </c>
    </row>
    <row r="2454" spans="1:6" s="3" customFormat="1" ht="29.1" customHeight="1" x14ac:dyDescent="0.25">
      <c r="A2454" s="2" t="s">
        <v>5523</v>
      </c>
      <c r="B2454" s="2" t="s">
        <v>5524</v>
      </c>
      <c r="C2454" s="2" t="s">
        <v>624</v>
      </c>
      <c r="D2454" s="2" t="s">
        <v>636</v>
      </c>
      <c r="E2454" s="2" t="str">
        <f>"9789518586251"</f>
        <v>9789518586251</v>
      </c>
      <c r="F2454" s="2" t="str">
        <f>"9789518586268"</f>
        <v>9789518586268</v>
      </c>
    </row>
    <row r="2455" spans="1:6" s="3" customFormat="1" ht="29.1" customHeight="1" x14ac:dyDescent="0.25">
      <c r="A2455" s="2" t="s">
        <v>5525</v>
      </c>
      <c r="B2455" s="2" t="s">
        <v>5526</v>
      </c>
      <c r="C2455" s="2" t="s">
        <v>624</v>
      </c>
      <c r="D2455" s="2" t="s">
        <v>5360</v>
      </c>
      <c r="E2455" s="2" t="str">
        <f>"9789518584561"</f>
        <v>9789518584561</v>
      </c>
      <c r="F2455" s="2" t="str">
        <f>"9789518584578"</f>
        <v>9789518584578</v>
      </c>
    </row>
    <row r="2456" spans="1:6" s="3" customFormat="1" ht="29.1" customHeight="1" x14ac:dyDescent="0.25">
      <c r="A2456" s="2" t="s">
        <v>5527</v>
      </c>
      <c r="B2456" s="2" t="s">
        <v>5528</v>
      </c>
      <c r="C2456" s="2" t="s">
        <v>624</v>
      </c>
      <c r="D2456" s="2" t="s">
        <v>5360</v>
      </c>
      <c r="E2456" s="2" t="str">
        <f>"9789518583922"</f>
        <v>9789518583922</v>
      </c>
      <c r="F2456" s="2" t="str">
        <f>"9789518583939"</f>
        <v>9789518583939</v>
      </c>
    </row>
    <row r="2457" spans="1:6" s="3" customFormat="1" ht="29.1" customHeight="1" x14ac:dyDescent="0.25">
      <c r="A2457" s="2" t="s">
        <v>5529</v>
      </c>
      <c r="B2457" s="2" t="s">
        <v>5530</v>
      </c>
      <c r="C2457" s="2" t="s">
        <v>624</v>
      </c>
      <c r="D2457" s="2" t="s">
        <v>636</v>
      </c>
      <c r="E2457" s="2" t="str">
        <f>"9789518589108"</f>
        <v>9789518589108</v>
      </c>
      <c r="F2457" s="2" t="str">
        <f>"9789518589115"</f>
        <v>9789518589115</v>
      </c>
    </row>
    <row r="2458" spans="1:6" s="3" customFormat="1" ht="29.1" customHeight="1" x14ac:dyDescent="0.25">
      <c r="A2458" s="2" t="s">
        <v>5531</v>
      </c>
      <c r="B2458" s="2" t="s">
        <v>5532</v>
      </c>
      <c r="C2458" s="2" t="s">
        <v>624</v>
      </c>
      <c r="D2458" s="2" t="s">
        <v>218</v>
      </c>
      <c r="E2458" s="2" t="str">
        <f>"9789518588828"</f>
        <v>9789518588828</v>
      </c>
      <c r="F2458" s="2" t="str">
        <f>"9789518588835"</f>
        <v>9789518588835</v>
      </c>
    </row>
    <row r="2459" spans="1:6" s="3" customFormat="1" ht="29.1" customHeight="1" x14ac:dyDescent="0.25">
      <c r="A2459" s="2" t="s">
        <v>5533</v>
      </c>
      <c r="B2459" s="2" t="s">
        <v>5534</v>
      </c>
      <c r="C2459" s="2" t="s">
        <v>624</v>
      </c>
      <c r="D2459" s="2" t="s">
        <v>509</v>
      </c>
      <c r="E2459" s="2" t="str">
        <f>"9789518588880"</f>
        <v>9789518588880</v>
      </c>
      <c r="F2459" s="2" t="str">
        <f>"9789518588897"</f>
        <v>9789518588897</v>
      </c>
    </row>
    <row r="2460" spans="1:6" s="3" customFormat="1" ht="29.1" customHeight="1" x14ac:dyDescent="0.25">
      <c r="A2460" s="2" t="s">
        <v>5535</v>
      </c>
      <c r="B2460" s="2" t="s">
        <v>5537</v>
      </c>
      <c r="C2460" s="2" t="s">
        <v>624</v>
      </c>
      <c r="D2460" s="2" t="s">
        <v>5536</v>
      </c>
      <c r="E2460" s="2" t="str">
        <f>"9789518586053"</f>
        <v>9789518586053</v>
      </c>
      <c r="F2460" s="2" t="str">
        <f>"9789518586060"</f>
        <v>9789518586060</v>
      </c>
    </row>
    <row r="2461" spans="1:6" s="3" customFormat="1" ht="29.1" customHeight="1" x14ac:dyDescent="0.25">
      <c r="A2461" s="2" t="s">
        <v>5538</v>
      </c>
      <c r="B2461" s="2" t="s">
        <v>5539</v>
      </c>
      <c r="C2461" s="2" t="s">
        <v>624</v>
      </c>
      <c r="D2461" s="2" t="s">
        <v>636</v>
      </c>
      <c r="E2461" s="2" t="str">
        <f>"9789518585902"</f>
        <v>9789518585902</v>
      </c>
      <c r="F2461" s="2" t="str">
        <f>"9789518585919"</f>
        <v>9789518585919</v>
      </c>
    </row>
    <row r="2462" spans="1:6" s="3" customFormat="1" ht="29.1" customHeight="1" x14ac:dyDescent="0.25">
      <c r="A2462" s="2" t="s">
        <v>5540</v>
      </c>
      <c r="B2462" s="2" t="s">
        <v>5541</v>
      </c>
      <c r="C2462" s="2" t="s">
        <v>624</v>
      </c>
      <c r="D2462" s="2" t="s">
        <v>3185</v>
      </c>
      <c r="E2462" s="2" t="str">
        <f>"9789518585841"</f>
        <v>9789518585841</v>
      </c>
      <c r="F2462" s="2" t="str">
        <f>"9789518585858"</f>
        <v>9789518585858</v>
      </c>
    </row>
    <row r="2463" spans="1:6" s="3" customFormat="1" ht="29.1" customHeight="1" x14ac:dyDescent="0.25">
      <c r="A2463" s="2" t="s">
        <v>5542</v>
      </c>
      <c r="B2463" s="2" t="s">
        <v>5543</v>
      </c>
      <c r="C2463" s="2" t="s">
        <v>624</v>
      </c>
      <c r="D2463" s="2" t="s">
        <v>3092</v>
      </c>
      <c r="E2463" s="2" t="str">
        <f>"9789522228406"</f>
        <v>9789522228406</v>
      </c>
      <c r="F2463" s="2" t="str">
        <f>"9789522228796"</f>
        <v>9789522228796</v>
      </c>
    </row>
    <row r="2464" spans="1:6" s="3" customFormat="1" ht="29.1" customHeight="1" x14ac:dyDescent="0.25">
      <c r="A2464" s="2" t="s">
        <v>5544</v>
      </c>
      <c r="B2464" s="2" t="s">
        <v>5546</v>
      </c>
      <c r="C2464" s="2" t="s">
        <v>624</v>
      </c>
      <c r="D2464" s="2" t="s">
        <v>5545</v>
      </c>
      <c r="E2464" s="2" t="str">
        <f>"9780997920147"</f>
        <v>9780997920147</v>
      </c>
      <c r="F2464" s="2" t="str">
        <f>"9780997920154"</f>
        <v>9780997920154</v>
      </c>
    </row>
    <row r="2465" spans="1:6" s="3" customFormat="1" ht="29.1" customHeight="1" x14ac:dyDescent="0.25">
      <c r="A2465" s="2" t="s">
        <v>5547</v>
      </c>
      <c r="B2465" s="2" t="s">
        <v>5548</v>
      </c>
      <c r="C2465" s="2" t="s">
        <v>624</v>
      </c>
      <c r="D2465" s="2" t="s">
        <v>479</v>
      </c>
      <c r="E2465" s="2" t="str">
        <f>"9781949373035"</f>
        <v>9781949373035</v>
      </c>
      <c r="F2465" s="2" t="str">
        <f>"9781949373042"</f>
        <v>9781949373042</v>
      </c>
    </row>
    <row r="2466" spans="1:6" s="3" customFormat="1" ht="29.1" customHeight="1" x14ac:dyDescent="0.25">
      <c r="A2466" s="2" t="s">
        <v>5549</v>
      </c>
      <c r="B2466" s="2" t="s">
        <v>5551</v>
      </c>
      <c r="C2466" s="2" t="s">
        <v>624</v>
      </c>
      <c r="D2466" s="2" t="s">
        <v>5550</v>
      </c>
      <c r="E2466" s="2" t="str">
        <f>"9781949373004"</f>
        <v>9781949373004</v>
      </c>
      <c r="F2466" s="2" t="str">
        <f>"9781949373011"</f>
        <v>9781949373011</v>
      </c>
    </row>
    <row r="2467" spans="1:6" s="3" customFormat="1" ht="29.1" customHeight="1" x14ac:dyDescent="0.25">
      <c r="A2467" s="2" t="s">
        <v>5552</v>
      </c>
      <c r="B2467" s="2" t="s">
        <v>5553</v>
      </c>
      <c r="C2467" s="2" t="s">
        <v>624</v>
      </c>
      <c r="D2467" s="2" t="s">
        <v>553</v>
      </c>
      <c r="E2467" s="2" t="str">
        <f>"9781962841191"</f>
        <v>9781962841191</v>
      </c>
      <c r="F2467" s="2" t="str">
        <f>"9781962841207"</f>
        <v>9781962841207</v>
      </c>
    </row>
    <row r="2468" spans="1:6" s="3" customFormat="1" ht="29.1" customHeight="1" x14ac:dyDescent="0.25">
      <c r="A2468" s="2" t="s">
        <v>5554</v>
      </c>
      <c r="B2468" s="2" t="s">
        <v>5555</v>
      </c>
      <c r="C2468" s="2" t="s">
        <v>624</v>
      </c>
      <c r="D2468" s="2" t="s">
        <v>1043</v>
      </c>
      <c r="E2468" s="2" t="str">
        <f>"9781957213903"</f>
        <v>9781957213903</v>
      </c>
      <c r="F2468" s="2" t="str">
        <f>"9781957213507"</f>
        <v>9781957213507</v>
      </c>
    </row>
    <row r="2469" spans="1:6" s="3" customFormat="1" ht="29.1" customHeight="1" x14ac:dyDescent="0.25">
      <c r="A2469" s="2" t="s">
        <v>5556</v>
      </c>
      <c r="B2469" s="2" t="s">
        <v>5558</v>
      </c>
      <c r="C2469" s="2" t="s">
        <v>624</v>
      </c>
      <c r="D2469" s="2" t="s">
        <v>5557</v>
      </c>
      <c r="E2469" s="2" t="str">
        <f>"9781949373165"</f>
        <v>9781949373165</v>
      </c>
      <c r="F2469" s="2" t="str">
        <f>"9781949373172"</f>
        <v>9781949373172</v>
      </c>
    </row>
    <row r="2470" spans="1:6" s="3" customFormat="1" ht="29.1" customHeight="1" x14ac:dyDescent="0.25">
      <c r="A2470" s="2" t="s">
        <v>5559</v>
      </c>
      <c r="B2470" s="2" t="s">
        <v>5561</v>
      </c>
      <c r="C2470" s="2" t="s">
        <v>624</v>
      </c>
      <c r="D2470" s="2" t="s">
        <v>5560</v>
      </c>
      <c r="E2470" s="2" t="str">
        <f>"9781949373103"</f>
        <v>9781949373103</v>
      </c>
      <c r="F2470" s="2" t="str">
        <f>"9781949373110"</f>
        <v>9781949373110</v>
      </c>
    </row>
    <row r="2471" spans="1:6" s="3" customFormat="1" ht="29.1" customHeight="1" x14ac:dyDescent="0.25">
      <c r="A2471" s="2" t="s">
        <v>5562</v>
      </c>
      <c r="B2471" s="2" t="s">
        <v>5561</v>
      </c>
      <c r="C2471" s="2" t="s">
        <v>624</v>
      </c>
      <c r="D2471" s="2" t="s">
        <v>1043</v>
      </c>
      <c r="E2471" s="2" t="str">
        <f>"9781949373516"</f>
        <v>9781949373516</v>
      </c>
      <c r="F2471" s="2" t="str">
        <f>"9781949373523"</f>
        <v>9781949373523</v>
      </c>
    </row>
    <row r="2472" spans="1:6" s="3" customFormat="1" ht="29.1" customHeight="1" x14ac:dyDescent="0.25">
      <c r="A2472" s="2" t="s">
        <v>5563</v>
      </c>
      <c r="B2472" s="2" t="s">
        <v>5564</v>
      </c>
      <c r="C2472" s="2" t="s">
        <v>624</v>
      </c>
      <c r="D2472" s="2" t="s">
        <v>1189</v>
      </c>
      <c r="E2472" s="2" t="str">
        <f>"9781949373561"</f>
        <v>9781949373561</v>
      </c>
      <c r="F2472" s="2" t="str">
        <f>"9781949373578"</f>
        <v>9781949373578</v>
      </c>
    </row>
    <row r="2473" spans="1:6" s="3" customFormat="1" ht="29.1" customHeight="1" x14ac:dyDescent="0.25">
      <c r="A2473" s="2" t="s">
        <v>5565</v>
      </c>
      <c r="B2473" s="2" t="s">
        <v>5566</v>
      </c>
      <c r="C2473" s="2" t="s">
        <v>624</v>
      </c>
      <c r="D2473" s="2" t="s">
        <v>1189</v>
      </c>
      <c r="E2473" s="2" t="str">
        <f>"9781949373547"</f>
        <v>9781949373547</v>
      </c>
      <c r="F2473" s="2" t="str">
        <f>"9781949373554"</f>
        <v>9781949373554</v>
      </c>
    </row>
    <row r="2474" spans="1:6" s="3" customFormat="1" ht="29.1" customHeight="1" x14ac:dyDescent="0.25">
      <c r="A2474" s="2" t="s">
        <v>5567</v>
      </c>
      <c r="B2474" s="2" t="s">
        <v>5569</v>
      </c>
      <c r="C2474" s="2" t="s">
        <v>624</v>
      </c>
      <c r="D2474" s="2" t="s">
        <v>5568</v>
      </c>
      <c r="E2474" s="2" t="str">
        <f>"9781949373134"</f>
        <v>9781949373134</v>
      </c>
      <c r="F2474" s="2" t="str">
        <f>"9781949373141"</f>
        <v>9781949373141</v>
      </c>
    </row>
    <row r="2475" spans="1:6" s="3" customFormat="1" ht="29.1" customHeight="1" x14ac:dyDescent="0.25">
      <c r="A2475" s="2" t="s">
        <v>5570</v>
      </c>
      <c r="B2475" s="2" t="s">
        <v>5572</v>
      </c>
      <c r="C2475" s="2" t="s">
        <v>624</v>
      </c>
      <c r="D2475" s="2" t="s">
        <v>5571</v>
      </c>
      <c r="E2475" s="2" t="str">
        <f>"9781949373851"</f>
        <v>9781949373851</v>
      </c>
      <c r="F2475" s="2" t="str">
        <f>"9781949373868"</f>
        <v>9781949373868</v>
      </c>
    </row>
    <row r="2476" spans="1:6" s="3" customFormat="1" ht="29.1" customHeight="1" x14ac:dyDescent="0.25">
      <c r="A2476" s="2" t="s">
        <v>5573</v>
      </c>
      <c r="B2476" s="2" t="s">
        <v>5575</v>
      </c>
      <c r="C2476" s="2" t="s">
        <v>624</v>
      </c>
      <c r="D2476" s="2" t="s">
        <v>5574</v>
      </c>
      <c r="E2476" s="2" t="str">
        <f>"9781962841061"</f>
        <v>9781962841061</v>
      </c>
      <c r="F2476" s="2" t="str">
        <f>"9781962841078"</f>
        <v>9781962841078</v>
      </c>
    </row>
    <row r="2477" spans="1:6" s="3" customFormat="1" ht="29.1" customHeight="1" x14ac:dyDescent="0.25">
      <c r="A2477" s="2" t="s">
        <v>5576</v>
      </c>
      <c r="B2477" s="2" t="s">
        <v>5577</v>
      </c>
      <c r="C2477" s="2" t="s">
        <v>624</v>
      </c>
      <c r="D2477" s="2" t="s">
        <v>1018</v>
      </c>
      <c r="E2477" s="2" t="str">
        <f>"9781962841986"</f>
        <v>9781962841986</v>
      </c>
      <c r="F2477" s="2" t="str">
        <f>"9781962841962"</f>
        <v>9781962841962</v>
      </c>
    </row>
    <row r="2478" spans="1:6" s="3" customFormat="1" ht="29.1" customHeight="1" x14ac:dyDescent="0.25">
      <c r="A2478" s="2" t="s">
        <v>5578</v>
      </c>
      <c r="B2478" s="2" t="s">
        <v>5579</v>
      </c>
      <c r="C2478" s="2" t="s">
        <v>624</v>
      </c>
      <c r="D2478" s="2" t="s">
        <v>101</v>
      </c>
      <c r="E2478" s="2" t="str">
        <f>"9781962841122"</f>
        <v>9781962841122</v>
      </c>
      <c r="F2478" s="2" t="str">
        <f>"9781962841139"</f>
        <v>9781962841139</v>
      </c>
    </row>
    <row r="2479" spans="1:6" s="3" customFormat="1" ht="29.1" customHeight="1" x14ac:dyDescent="0.25">
      <c r="A2479" s="2" t="s">
        <v>5580</v>
      </c>
      <c r="B2479" s="2" t="s">
        <v>5581</v>
      </c>
      <c r="C2479" s="2" t="s">
        <v>624</v>
      </c>
      <c r="D2479" s="2" t="s">
        <v>5092</v>
      </c>
      <c r="E2479" s="2"/>
      <c r="F2479" s="2" t="str">
        <f>"9781911653516"</f>
        <v>9781911653516</v>
      </c>
    </row>
    <row r="2480" spans="1:6" s="3" customFormat="1" ht="29.1" customHeight="1" x14ac:dyDescent="0.25">
      <c r="A2480" s="2" t="s">
        <v>5582</v>
      </c>
      <c r="B2480" s="2" t="s">
        <v>5583</v>
      </c>
      <c r="C2480" s="2" t="s">
        <v>624</v>
      </c>
      <c r="D2480" s="2" t="s">
        <v>553</v>
      </c>
      <c r="E2480" s="2"/>
      <c r="F2480" s="2" t="str">
        <f>"9781911653509"</f>
        <v>9781911653509</v>
      </c>
    </row>
    <row r="2481" spans="1:6" s="3" customFormat="1" ht="29.1" customHeight="1" x14ac:dyDescent="0.25">
      <c r="A2481" s="2" t="s">
        <v>5584</v>
      </c>
      <c r="B2481" s="2" t="s">
        <v>5581</v>
      </c>
      <c r="C2481" s="2" t="s">
        <v>624</v>
      </c>
      <c r="D2481" s="2" t="s">
        <v>5092</v>
      </c>
      <c r="E2481" s="2"/>
      <c r="F2481" s="2" t="str">
        <f>"9781911653493"</f>
        <v>9781911653493</v>
      </c>
    </row>
    <row r="2482" spans="1:6" s="3" customFormat="1" ht="29.1" customHeight="1" x14ac:dyDescent="0.25">
      <c r="A2482" s="2" t="s">
        <v>5585</v>
      </c>
      <c r="B2482" s="2" t="s">
        <v>5586</v>
      </c>
      <c r="C2482" s="2" t="s">
        <v>624</v>
      </c>
      <c r="D2482" s="2" t="s">
        <v>767</v>
      </c>
      <c r="E2482" s="2" t="str">
        <f>"9781911653349"</f>
        <v>9781911653349</v>
      </c>
      <c r="F2482" s="2" t="str">
        <f>"9781911653356"</f>
        <v>9781911653356</v>
      </c>
    </row>
    <row r="2483" spans="1:6" s="3" customFormat="1" ht="29.1" customHeight="1" x14ac:dyDescent="0.25">
      <c r="A2483" s="2" t="s">
        <v>5587</v>
      </c>
      <c r="B2483" s="2" t="s">
        <v>5589</v>
      </c>
      <c r="C2483" s="2" t="s">
        <v>624</v>
      </c>
      <c r="D2483" s="2" t="s">
        <v>5588</v>
      </c>
      <c r="E2483" s="2" t="str">
        <f>"9781911653097"</f>
        <v>9781911653097</v>
      </c>
      <c r="F2483" s="2" t="str">
        <f>"9781911653103"</f>
        <v>9781911653103</v>
      </c>
    </row>
    <row r="2484" spans="1:6" s="3" customFormat="1" ht="29.1" customHeight="1" x14ac:dyDescent="0.25">
      <c r="A2484" s="2" t="s">
        <v>5590</v>
      </c>
      <c r="B2484" s="2" t="s">
        <v>5591</v>
      </c>
      <c r="C2484" s="2" t="s">
        <v>624</v>
      </c>
      <c r="D2484" s="2" t="s">
        <v>175</v>
      </c>
      <c r="E2484" s="2" t="str">
        <f>"9789176350041"</f>
        <v>9789176350041</v>
      </c>
      <c r="F2484" s="2" t="str">
        <f>"9789176350058"</f>
        <v>9789176350058</v>
      </c>
    </row>
    <row r="2485" spans="1:6" s="3" customFormat="1" ht="29.1" customHeight="1" x14ac:dyDescent="0.25">
      <c r="A2485" s="2" t="s">
        <v>5592</v>
      </c>
      <c r="B2485" s="2" t="s">
        <v>5593</v>
      </c>
      <c r="C2485" s="2" t="s">
        <v>624</v>
      </c>
      <c r="D2485" s="2" t="s">
        <v>1823</v>
      </c>
      <c r="E2485" s="2" t="str">
        <f>"9789176352595"</f>
        <v>9789176352595</v>
      </c>
      <c r="F2485" s="2" t="str">
        <f>"9789176352601"</f>
        <v>9789176352601</v>
      </c>
    </row>
    <row r="2486" spans="1:6" s="3" customFormat="1" ht="29.1" customHeight="1" x14ac:dyDescent="0.25">
      <c r="A2486" s="2" t="s">
        <v>5594</v>
      </c>
      <c r="B2486" s="2" t="s">
        <v>5595</v>
      </c>
      <c r="C2486" s="2" t="s">
        <v>624</v>
      </c>
      <c r="D2486" s="2" t="s">
        <v>37</v>
      </c>
      <c r="E2486" s="2" t="str">
        <f>"9789176352557"</f>
        <v>9789176352557</v>
      </c>
      <c r="F2486" s="2" t="str">
        <f>"9789176352564"</f>
        <v>9789176352564</v>
      </c>
    </row>
    <row r="2487" spans="1:6" s="3" customFormat="1" ht="29.1" customHeight="1" x14ac:dyDescent="0.25">
      <c r="A2487" s="2" t="s">
        <v>5596</v>
      </c>
      <c r="B2487" s="2" t="s">
        <v>5597</v>
      </c>
      <c r="C2487" s="2" t="s">
        <v>624</v>
      </c>
      <c r="D2487" s="2" t="s">
        <v>159</v>
      </c>
      <c r="E2487" s="2" t="str">
        <f>"9789176352472"</f>
        <v>9789176352472</v>
      </c>
      <c r="F2487" s="2" t="str">
        <f>"9789176352489"</f>
        <v>9789176352489</v>
      </c>
    </row>
    <row r="2488" spans="1:6" s="3" customFormat="1" ht="29.1" customHeight="1" x14ac:dyDescent="0.25">
      <c r="A2488" s="2" t="s">
        <v>5598</v>
      </c>
      <c r="B2488" s="2" t="s">
        <v>5599</v>
      </c>
      <c r="C2488" s="2" t="s">
        <v>624</v>
      </c>
      <c r="D2488" s="2" t="s">
        <v>175</v>
      </c>
      <c r="E2488" s="2" t="str">
        <f>"9789176352182"</f>
        <v>9789176352182</v>
      </c>
      <c r="F2488" s="2" t="str">
        <f>"9789176352199"</f>
        <v>9789176352199</v>
      </c>
    </row>
    <row r="2489" spans="1:6" s="3" customFormat="1" ht="29.1" customHeight="1" x14ac:dyDescent="0.25">
      <c r="A2489" s="2" t="s">
        <v>5600</v>
      </c>
      <c r="B2489" s="2" t="s">
        <v>5601</v>
      </c>
      <c r="C2489" s="2" t="s">
        <v>624</v>
      </c>
      <c r="D2489" s="2" t="s">
        <v>3105</v>
      </c>
      <c r="E2489" s="2" t="str">
        <f>"9789176352397"</f>
        <v>9789176352397</v>
      </c>
      <c r="F2489" s="2" t="str">
        <f>"9789176352403"</f>
        <v>9789176352403</v>
      </c>
    </row>
    <row r="2490" spans="1:6" s="3" customFormat="1" ht="29.1" customHeight="1" x14ac:dyDescent="0.25">
      <c r="A2490" s="2" t="s">
        <v>5602</v>
      </c>
      <c r="B2490" s="2" t="s">
        <v>5603</v>
      </c>
      <c r="C2490" s="2" t="s">
        <v>624</v>
      </c>
      <c r="D2490" s="2" t="s">
        <v>408</v>
      </c>
      <c r="E2490" s="2" t="str">
        <f>"9789176352359"</f>
        <v>9789176352359</v>
      </c>
      <c r="F2490" s="2" t="str">
        <f>"9789176352366"</f>
        <v>9789176352366</v>
      </c>
    </row>
    <row r="2491" spans="1:6" s="3" customFormat="1" ht="29.1" customHeight="1" x14ac:dyDescent="0.25">
      <c r="A2491" s="2" t="s">
        <v>5604</v>
      </c>
      <c r="B2491" s="2" t="s">
        <v>5605</v>
      </c>
      <c r="C2491" s="2" t="s">
        <v>624</v>
      </c>
      <c r="D2491" s="2" t="s">
        <v>413</v>
      </c>
      <c r="E2491" s="2" t="str">
        <f>"9789176352311"</f>
        <v>9789176352311</v>
      </c>
      <c r="F2491" s="2" t="str">
        <f>"9789176352328"</f>
        <v>9789176352328</v>
      </c>
    </row>
    <row r="2492" spans="1:6" s="3" customFormat="1" ht="29.1" customHeight="1" x14ac:dyDescent="0.25">
      <c r="A2492" s="2" t="s">
        <v>5606</v>
      </c>
      <c r="B2492" s="2" t="s">
        <v>5608</v>
      </c>
      <c r="C2492" s="2" t="s">
        <v>624</v>
      </c>
      <c r="D2492" s="2" t="s">
        <v>5607</v>
      </c>
      <c r="E2492" s="2" t="str">
        <f>"9789176352229"</f>
        <v>9789176352229</v>
      </c>
      <c r="F2492" s="2" t="str">
        <f>"9789176352236"</f>
        <v>9789176352236</v>
      </c>
    </row>
    <row r="2493" spans="1:6" s="3" customFormat="1" ht="29.1" customHeight="1" x14ac:dyDescent="0.25">
      <c r="A2493" s="2" t="s">
        <v>5609</v>
      </c>
      <c r="B2493" s="2" t="s">
        <v>5610</v>
      </c>
      <c r="C2493" s="2" t="s">
        <v>624</v>
      </c>
      <c r="D2493" s="2" t="s">
        <v>4030</v>
      </c>
      <c r="E2493" s="2" t="str">
        <f>"9789176352267"</f>
        <v>9789176352267</v>
      </c>
      <c r="F2493" s="2" t="str">
        <f>"9789176352274"</f>
        <v>9789176352274</v>
      </c>
    </row>
    <row r="2494" spans="1:6" s="3" customFormat="1" ht="29.1" customHeight="1" x14ac:dyDescent="0.25">
      <c r="A2494" s="2" t="s">
        <v>5611</v>
      </c>
      <c r="B2494" s="2" t="s">
        <v>5612</v>
      </c>
      <c r="C2494" s="2" t="s">
        <v>624</v>
      </c>
      <c r="D2494" s="2" t="s">
        <v>1262</v>
      </c>
      <c r="E2494" s="2" t="str">
        <f>"9789176352106"</f>
        <v>9789176352106</v>
      </c>
      <c r="F2494" s="2" t="str">
        <f>"9789176352113"</f>
        <v>9789176352113</v>
      </c>
    </row>
    <row r="2495" spans="1:6" s="3" customFormat="1" ht="29.1" customHeight="1" x14ac:dyDescent="0.25">
      <c r="A2495" s="2" t="s">
        <v>5613</v>
      </c>
      <c r="B2495" s="2" t="s">
        <v>5614</v>
      </c>
      <c r="C2495" s="2" t="s">
        <v>624</v>
      </c>
      <c r="D2495" s="2" t="s">
        <v>1248</v>
      </c>
      <c r="E2495" s="2" t="str">
        <f>"9789176352021"</f>
        <v>9789176352021</v>
      </c>
      <c r="F2495" s="2" t="str">
        <f>"9789176352038"</f>
        <v>9789176352038</v>
      </c>
    </row>
    <row r="2496" spans="1:6" s="3" customFormat="1" ht="29.1" customHeight="1" x14ac:dyDescent="0.25">
      <c r="A2496" s="2" t="s">
        <v>5615</v>
      </c>
      <c r="B2496" s="2" t="s">
        <v>5616</v>
      </c>
      <c r="C2496" s="2" t="s">
        <v>624</v>
      </c>
      <c r="D2496" s="2" t="s">
        <v>490</v>
      </c>
      <c r="E2496" s="2" t="str">
        <f>"9789176351987"</f>
        <v>9789176351987</v>
      </c>
      <c r="F2496" s="2" t="str">
        <f>"9789176351994"</f>
        <v>9789176351994</v>
      </c>
    </row>
    <row r="2497" spans="1:6" s="3" customFormat="1" ht="29.1" customHeight="1" x14ac:dyDescent="0.25">
      <c r="A2497" s="2" t="s">
        <v>5617</v>
      </c>
      <c r="B2497" s="2" t="s">
        <v>5618</v>
      </c>
      <c r="C2497" s="2" t="s">
        <v>624</v>
      </c>
      <c r="D2497" s="2" t="s">
        <v>5266</v>
      </c>
      <c r="E2497" s="2" t="str">
        <f>"9789176351963"</f>
        <v>9789176351963</v>
      </c>
      <c r="F2497" s="2" t="str">
        <f>"9789176351970"</f>
        <v>9789176351970</v>
      </c>
    </row>
    <row r="2498" spans="1:6" s="3" customFormat="1" ht="29.1" customHeight="1" x14ac:dyDescent="0.25">
      <c r="A2498" s="2" t="s">
        <v>5619</v>
      </c>
      <c r="B2498" s="2" t="s">
        <v>5620</v>
      </c>
      <c r="C2498" s="2" t="s">
        <v>624</v>
      </c>
      <c r="D2498" s="2" t="s">
        <v>1256</v>
      </c>
      <c r="E2498" s="2" t="str">
        <f>"9789176351918"</f>
        <v>9789176351918</v>
      </c>
      <c r="F2498" s="2" t="str">
        <f>"9789176351895"</f>
        <v>9789176351895</v>
      </c>
    </row>
    <row r="2499" spans="1:6" s="3" customFormat="1" ht="29.1" customHeight="1" x14ac:dyDescent="0.25">
      <c r="A2499" s="2" t="s">
        <v>5621</v>
      </c>
      <c r="B2499" s="2" t="s">
        <v>5622</v>
      </c>
      <c r="C2499" s="2" t="s">
        <v>624</v>
      </c>
      <c r="D2499" s="2" t="s">
        <v>215</v>
      </c>
      <c r="E2499" s="2" t="str">
        <f>"9789176351871"</f>
        <v>9789176351871</v>
      </c>
      <c r="F2499" s="2" t="str">
        <f>"9789176351840"</f>
        <v>9789176351840</v>
      </c>
    </row>
    <row r="2500" spans="1:6" s="3" customFormat="1" ht="29.1" customHeight="1" x14ac:dyDescent="0.25">
      <c r="A2500" s="2" t="s">
        <v>5623</v>
      </c>
      <c r="B2500" s="2" t="s">
        <v>5624</v>
      </c>
      <c r="C2500" s="2" t="s">
        <v>624</v>
      </c>
      <c r="D2500" s="2" t="s">
        <v>2496</v>
      </c>
      <c r="E2500" s="2" t="str">
        <f>"9789176351833"</f>
        <v>9789176351833</v>
      </c>
      <c r="F2500" s="2" t="str">
        <f>"9789176351802"</f>
        <v>9789176351802</v>
      </c>
    </row>
    <row r="2501" spans="1:6" s="3" customFormat="1" ht="29.1" customHeight="1" x14ac:dyDescent="0.25">
      <c r="A2501" s="2" t="s">
        <v>5625</v>
      </c>
      <c r="B2501" s="2" t="s">
        <v>5626</v>
      </c>
      <c r="C2501" s="2" t="s">
        <v>624</v>
      </c>
      <c r="D2501" s="2" t="s">
        <v>1809</v>
      </c>
      <c r="E2501" s="2" t="str">
        <f>"9789176351796"</f>
        <v>9789176351796</v>
      </c>
      <c r="F2501" s="2" t="str">
        <f>"9789176351765"</f>
        <v>9789176351765</v>
      </c>
    </row>
    <row r="2502" spans="1:6" s="3" customFormat="1" ht="29.1" customHeight="1" x14ac:dyDescent="0.25">
      <c r="A2502" s="2" t="s">
        <v>5627</v>
      </c>
      <c r="B2502" s="2" t="s">
        <v>5629</v>
      </c>
      <c r="C2502" s="2" t="s">
        <v>624</v>
      </c>
      <c r="D2502" s="2" t="s">
        <v>5628</v>
      </c>
      <c r="E2502" s="2" t="str">
        <f>"9789176351673"</f>
        <v>9789176351673</v>
      </c>
      <c r="F2502" s="2" t="str">
        <f>"9789176351642"</f>
        <v>9789176351642</v>
      </c>
    </row>
    <row r="2503" spans="1:6" s="3" customFormat="1" ht="29.1" customHeight="1" x14ac:dyDescent="0.25">
      <c r="A2503" s="2" t="s">
        <v>5630</v>
      </c>
      <c r="B2503" s="2" t="s">
        <v>5631</v>
      </c>
      <c r="C2503" s="2" t="s">
        <v>624</v>
      </c>
      <c r="D2503" s="2" t="s">
        <v>4172</v>
      </c>
      <c r="E2503" s="2" t="str">
        <f>"9789176351635"</f>
        <v>9789176351635</v>
      </c>
      <c r="F2503" s="2" t="str">
        <f>"9789176351604"</f>
        <v>9789176351604</v>
      </c>
    </row>
    <row r="2504" spans="1:6" s="3" customFormat="1" ht="29.1" customHeight="1" x14ac:dyDescent="0.25">
      <c r="A2504" s="2" t="s">
        <v>5632</v>
      </c>
      <c r="B2504" s="2" t="s">
        <v>5633</v>
      </c>
      <c r="C2504" s="2" t="s">
        <v>624</v>
      </c>
      <c r="D2504" s="2" t="s">
        <v>2727</v>
      </c>
      <c r="E2504" s="2" t="str">
        <f>"9789176351475"</f>
        <v>9789176351475</v>
      </c>
      <c r="F2504" s="2" t="str">
        <f>"9789176351444"</f>
        <v>9789176351444</v>
      </c>
    </row>
    <row r="2505" spans="1:6" s="3" customFormat="1" ht="29.1" customHeight="1" x14ac:dyDescent="0.25">
      <c r="A2505" s="2" t="s">
        <v>5634</v>
      </c>
      <c r="B2505" s="2" t="s">
        <v>5636</v>
      </c>
      <c r="C2505" s="2" t="s">
        <v>624</v>
      </c>
      <c r="D2505" s="2" t="s">
        <v>5635</v>
      </c>
      <c r="E2505" s="2" t="str">
        <f>"9789176351437"</f>
        <v>9789176351437</v>
      </c>
      <c r="F2505" s="2" t="str">
        <f>"9789176351406"</f>
        <v>9789176351406</v>
      </c>
    </row>
    <row r="2506" spans="1:6" s="3" customFormat="1" ht="29.1" customHeight="1" x14ac:dyDescent="0.25">
      <c r="A2506" s="2" t="s">
        <v>5637</v>
      </c>
      <c r="B2506" s="2" t="s">
        <v>5639</v>
      </c>
      <c r="C2506" s="2" t="s">
        <v>624</v>
      </c>
      <c r="D2506" s="2" t="s">
        <v>5638</v>
      </c>
      <c r="E2506" s="2" t="str">
        <f>"9789176351390"</f>
        <v>9789176351390</v>
      </c>
      <c r="F2506" s="2" t="str">
        <f>"9789176351369"</f>
        <v>9789176351369</v>
      </c>
    </row>
    <row r="2507" spans="1:6" s="3" customFormat="1" ht="29.1" customHeight="1" x14ac:dyDescent="0.25">
      <c r="A2507" s="2" t="s">
        <v>5640</v>
      </c>
      <c r="B2507" s="2" t="s">
        <v>5641</v>
      </c>
      <c r="C2507" s="2" t="s">
        <v>624</v>
      </c>
      <c r="D2507" s="2" t="s">
        <v>537</v>
      </c>
      <c r="E2507" s="2" t="str">
        <f>"9789176351314"</f>
        <v>9789176351314</v>
      </c>
      <c r="F2507" s="2" t="str">
        <f>"9789176351284"</f>
        <v>9789176351284</v>
      </c>
    </row>
    <row r="2508" spans="1:6" s="3" customFormat="1" ht="29.1" customHeight="1" x14ac:dyDescent="0.25">
      <c r="A2508" s="2" t="s">
        <v>5642</v>
      </c>
      <c r="B2508" s="2" t="s">
        <v>5643</v>
      </c>
      <c r="C2508" s="2" t="s">
        <v>624</v>
      </c>
      <c r="D2508" s="2" t="s">
        <v>215</v>
      </c>
      <c r="E2508" s="2" t="str">
        <f>"9789176351277"</f>
        <v>9789176351277</v>
      </c>
      <c r="F2508" s="2" t="str">
        <f>"9789176351246"</f>
        <v>9789176351246</v>
      </c>
    </row>
    <row r="2509" spans="1:6" s="3" customFormat="1" ht="29.1" customHeight="1" x14ac:dyDescent="0.25">
      <c r="A2509" s="2" t="s">
        <v>5644</v>
      </c>
      <c r="B2509" s="2" t="s">
        <v>5645</v>
      </c>
      <c r="C2509" s="2" t="s">
        <v>624</v>
      </c>
      <c r="D2509" s="2" t="s">
        <v>3166</v>
      </c>
      <c r="E2509" s="2" t="str">
        <f>"9789176351192"</f>
        <v>9789176351192</v>
      </c>
      <c r="F2509" s="2" t="str">
        <f>"9789176351161"</f>
        <v>9789176351161</v>
      </c>
    </row>
    <row r="2510" spans="1:6" s="3" customFormat="1" ht="29.1" customHeight="1" x14ac:dyDescent="0.25">
      <c r="A2510" s="2" t="s">
        <v>5646</v>
      </c>
      <c r="B2510" s="2" t="s">
        <v>5647</v>
      </c>
      <c r="C2510" s="2" t="s">
        <v>624</v>
      </c>
      <c r="D2510" s="2" t="s">
        <v>606</v>
      </c>
      <c r="E2510" s="2" t="str">
        <f>"9789176350997"</f>
        <v>9789176350997</v>
      </c>
      <c r="F2510" s="2" t="str">
        <f>"9789176350966"</f>
        <v>9789176350966</v>
      </c>
    </row>
    <row r="2511" spans="1:6" s="3" customFormat="1" ht="29.1" customHeight="1" x14ac:dyDescent="0.25">
      <c r="A2511" s="2" t="s">
        <v>5648</v>
      </c>
      <c r="B2511" s="2" t="s">
        <v>5650</v>
      </c>
      <c r="C2511" s="2" t="s">
        <v>624</v>
      </c>
      <c r="D2511" s="2" t="s">
        <v>5649</v>
      </c>
      <c r="E2511" s="2" t="str">
        <f>"9789176350959"</f>
        <v>9789176350959</v>
      </c>
      <c r="F2511" s="2" t="str">
        <f>"9789176350928"</f>
        <v>9789176350928</v>
      </c>
    </row>
    <row r="2512" spans="1:6" s="3" customFormat="1" ht="29.1" customHeight="1" x14ac:dyDescent="0.25">
      <c r="A2512" s="2" t="s">
        <v>5651</v>
      </c>
      <c r="B2512" s="2" t="s">
        <v>5652</v>
      </c>
      <c r="C2512" s="2" t="s">
        <v>624</v>
      </c>
      <c r="D2512" s="2" t="s">
        <v>408</v>
      </c>
      <c r="E2512" s="2" t="str">
        <f>"9789176350911"</f>
        <v>9789176350911</v>
      </c>
      <c r="F2512" s="2" t="str">
        <f>"9789176350881"</f>
        <v>9789176350881</v>
      </c>
    </row>
    <row r="2513" spans="1:6" s="3" customFormat="1" ht="29.1" customHeight="1" x14ac:dyDescent="0.25">
      <c r="A2513" s="2" t="s">
        <v>5653</v>
      </c>
      <c r="B2513" s="2" t="s">
        <v>5654</v>
      </c>
      <c r="C2513" s="2" t="s">
        <v>624</v>
      </c>
      <c r="D2513" s="2" t="s">
        <v>162</v>
      </c>
      <c r="E2513" s="2" t="str">
        <f>"9789176350799"</f>
        <v>9789176350799</v>
      </c>
      <c r="F2513" s="2" t="str">
        <f>"9789176350768"</f>
        <v>9789176350768</v>
      </c>
    </row>
    <row r="2514" spans="1:6" s="3" customFormat="1" ht="29.1" customHeight="1" x14ac:dyDescent="0.25">
      <c r="A2514" s="2" t="s">
        <v>5655</v>
      </c>
      <c r="B2514" s="2" t="s">
        <v>5656</v>
      </c>
      <c r="C2514" s="2" t="s">
        <v>624</v>
      </c>
      <c r="D2514" s="2" t="s">
        <v>408</v>
      </c>
      <c r="E2514" s="2" t="str">
        <f>"9789176350676"</f>
        <v>9789176350676</v>
      </c>
      <c r="F2514" s="2" t="str">
        <f>"9789176350645"</f>
        <v>9789176350645</v>
      </c>
    </row>
    <row r="2515" spans="1:6" s="3" customFormat="1" ht="29.1" customHeight="1" x14ac:dyDescent="0.25">
      <c r="A2515" s="2" t="s">
        <v>5657</v>
      </c>
      <c r="B2515" s="2" t="s">
        <v>5659</v>
      </c>
      <c r="C2515" s="2" t="s">
        <v>624</v>
      </c>
      <c r="D2515" s="2" t="s">
        <v>5658</v>
      </c>
      <c r="E2515" s="2" t="str">
        <f>"9789176350638"</f>
        <v>9789176350638</v>
      </c>
      <c r="F2515" s="2" t="str">
        <f>"9789176350614"</f>
        <v>9789176350614</v>
      </c>
    </row>
    <row r="2516" spans="1:6" s="3" customFormat="1" ht="29.1" customHeight="1" x14ac:dyDescent="0.25">
      <c r="A2516" s="2" t="s">
        <v>5660</v>
      </c>
      <c r="B2516" s="2" t="s">
        <v>5661</v>
      </c>
      <c r="C2516" s="2" t="s">
        <v>624</v>
      </c>
      <c r="D2516" s="2" t="s">
        <v>1262</v>
      </c>
      <c r="E2516" s="2" t="str">
        <f>"9789176350553"</f>
        <v>9789176350553</v>
      </c>
      <c r="F2516" s="2" t="str">
        <f>"9789176350522"</f>
        <v>9789176350522</v>
      </c>
    </row>
    <row r="2517" spans="1:6" s="3" customFormat="1" ht="29.1" customHeight="1" x14ac:dyDescent="0.25">
      <c r="A2517" s="2" t="s">
        <v>5662</v>
      </c>
      <c r="B2517" s="2" t="s">
        <v>5663</v>
      </c>
      <c r="C2517" s="2" t="s">
        <v>624</v>
      </c>
      <c r="D2517" s="2" t="s">
        <v>215</v>
      </c>
      <c r="E2517" s="2" t="str">
        <f>"9789176350515"</f>
        <v>9789176350515</v>
      </c>
      <c r="F2517" s="2" t="str">
        <f>"9789176350485"</f>
        <v>9789176350485</v>
      </c>
    </row>
    <row r="2518" spans="1:6" s="3" customFormat="1" ht="29.1" customHeight="1" x14ac:dyDescent="0.25">
      <c r="A2518" s="2" t="s">
        <v>5664</v>
      </c>
      <c r="B2518" s="2" t="s">
        <v>5665</v>
      </c>
      <c r="C2518" s="2" t="s">
        <v>624</v>
      </c>
      <c r="D2518" s="2" t="s">
        <v>871</v>
      </c>
      <c r="E2518" s="2" t="str">
        <f>"9789176350478"</f>
        <v>9789176350478</v>
      </c>
      <c r="F2518" s="2" t="str">
        <f>"9789176350447"</f>
        <v>9789176350447</v>
      </c>
    </row>
    <row r="2519" spans="1:6" s="3" customFormat="1" ht="29.1" customHeight="1" x14ac:dyDescent="0.25">
      <c r="A2519" s="2" t="s">
        <v>5666</v>
      </c>
      <c r="B2519" s="2" t="s">
        <v>5667</v>
      </c>
      <c r="C2519" s="2" t="s">
        <v>624</v>
      </c>
      <c r="D2519" s="2" t="s">
        <v>3166</v>
      </c>
      <c r="E2519" s="2" t="str">
        <f>"9789176350393"</f>
        <v>9789176350393</v>
      </c>
      <c r="F2519" s="2" t="str">
        <f>"9789176350362"</f>
        <v>9789176350362</v>
      </c>
    </row>
    <row r="2520" spans="1:6" s="3" customFormat="1" ht="29.1" customHeight="1" x14ac:dyDescent="0.25">
      <c r="A2520" s="2" t="s">
        <v>5668</v>
      </c>
      <c r="B2520" s="2" t="s">
        <v>5669</v>
      </c>
      <c r="C2520" s="2" t="s">
        <v>624</v>
      </c>
      <c r="D2520" s="2" t="s">
        <v>509</v>
      </c>
      <c r="E2520" s="2" t="str">
        <f>"9789176350355"</f>
        <v>9789176350355</v>
      </c>
      <c r="F2520" s="2" t="str">
        <f>"9789176350324"</f>
        <v>9789176350324</v>
      </c>
    </row>
    <row r="2521" spans="1:6" s="3" customFormat="1" ht="29.1" customHeight="1" x14ac:dyDescent="0.25">
      <c r="A2521" s="2" t="s">
        <v>5670</v>
      </c>
      <c r="B2521" s="2" t="s">
        <v>5672</v>
      </c>
      <c r="C2521" s="2" t="s">
        <v>624</v>
      </c>
      <c r="D2521" s="2" t="s">
        <v>5671</v>
      </c>
      <c r="E2521" s="2" t="str">
        <f>"9789176350317"</f>
        <v>9789176350317</v>
      </c>
      <c r="F2521" s="2" t="str">
        <f>"9789176350287"</f>
        <v>9789176350287</v>
      </c>
    </row>
    <row r="2522" spans="1:6" s="3" customFormat="1" ht="29.1" customHeight="1" x14ac:dyDescent="0.25">
      <c r="A2522" s="2" t="s">
        <v>5673</v>
      </c>
      <c r="B2522" s="2" t="s">
        <v>5674</v>
      </c>
      <c r="C2522" s="2" t="s">
        <v>624</v>
      </c>
      <c r="D2522" s="2" t="s">
        <v>4071</v>
      </c>
      <c r="E2522" s="2" t="str">
        <f>"9789176350270"</f>
        <v>9789176350270</v>
      </c>
      <c r="F2522" s="2" t="str">
        <f>"9789176350249"</f>
        <v>9789176350249</v>
      </c>
    </row>
    <row r="2523" spans="1:6" s="3" customFormat="1" ht="29.1" customHeight="1" x14ac:dyDescent="0.25">
      <c r="A2523" s="2" t="s">
        <v>5675</v>
      </c>
      <c r="B2523" s="2" t="s">
        <v>5676</v>
      </c>
      <c r="C2523" s="2" t="s">
        <v>624</v>
      </c>
      <c r="D2523" s="2" t="s">
        <v>1712</v>
      </c>
      <c r="E2523" s="2" t="str">
        <f>"9789176350157"</f>
        <v>9789176350157</v>
      </c>
      <c r="F2523" s="2" t="str">
        <f>"9789176350126"</f>
        <v>9789176350126</v>
      </c>
    </row>
    <row r="2524" spans="1:6" s="3" customFormat="1" ht="29.1" customHeight="1" x14ac:dyDescent="0.25">
      <c r="A2524" s="2" t="s">
        <v>5677</v>
      </c>
      <c r="B2524" s="2" t="s">
        <v>5678</v>
      </c>
      <c r="C2524" s="2" t="s">
        <v>624</v>
      </c>
      <c r="D2524" s="2" t="s">
        <v>1245</v>
      </c>
      <c r="E2524" s="2" t="str">
        <f>"9789176350119"</f>
        <v>9789176350119</v>
      </c>
      <c r="F2524" s="2" t="str">
        <f>"9789176350089"</f>
        <v>9789176350089</v>
      </c>
    </row>
    <row r="2525" spans="1:6" s="3" customFormat="1" ht="29.1" customHeight="1" x14ac:dyDescent="0.25">
      <c r="A2525" s="2">
        <v>1800</v>
      </c>
      <c r="B2525" s="2" t="s">
        <v>5679</v>
      </c>
      <c r="C2525" s="2" t="s">
        <v>624</v>
      </c>
      <c r="D2525" s="2" t="s">
        <v>658</v>
      </c>
      <c r="E2525" s="2" t="str">
        <f>"9789170313356"</f>
        <v>9789170313356</v>
      </c>
      <c r="F2525" s="2" t="str">
        <f>"9789170313882"</f>
        <v>9789170313882</v>
      </c>
    </row>
    <row r="2526" spans="1:6" s="3" customFormat="1" ht="29.1" customHeight="1" x14ac:dyDescent="0.25">
      <c r="A2526" s="2" t="s">
        <v>5680</v>
      </c>
      <c r="B2526" s="2" t="s">
        <v>5681</v>
      </c>
      <c r="C2526" s="2" t="s">
        <v>624</v>
      </c>
      <c r="D2526" s="2" t="s">
        <v>92</v>
      </c>
      <c r="E2526" s="2" t="str">
        <f>"9789178775903"</f>
        <v>9789178775903</v>
      </c>
      <c r="F2526" s="2" t="str">
        <f>"9789178775910"</f>
        <v>9789178775910</v>
      </c>
    </row>
    <row r="2527" spans="1:6" s="3" customFormat="1" ht="29.1" customHeight="1" x14ac:dyDescent="0.25">
      <c r="A2527" s="2" t="s">
        <v>5682</v>
      </c>
      <c r="B2527" s="2" t="s">
        <v>5684</v>
      </c>
      <c r="C2527" s="2" t="s">
        <v>624</v>
      </c>
      <c r="D2527" s="2" t="s">
        <v>5683</v>
      </c>
      <c r="E2527" s="2" t="str">
        <f>"9781068785306"</f>
        <v>9781068785306</v>
      </c>
      <c r="F2527" s="2" t="str">
        <f>"9781068785313"</f>
        <v>9781068785313</v>
      </c>
    </row>
    <row r="2528" spans="1:6" s="3" customFormat="1" ht="29.1" customHeight="1" x14ac:dyDescent="0.25">
      <c r="A2528" s="2" t="s">
        <v>5685</v>
      </c>
      <c r="B2528" s="2" t="s">
        <v>5687</v>
      </c>
      <c r="C2528" s="2" t="s">
        <v>624</v>
      </c>
      <c r="D2528" s="2" t="s">
        <v>5686</v>
      </c>
      <c r="E2528" s="2" t="str">
        <f>"9781914481567"</f>
        <v>9781914481567</v>
      </c>
      <c r="F2528" s="2" t="str">
        <f>"9781914481574"</f>
        <v>9781914481574</v>
      </c>
    </row>
    <row r="2529" spans="1:6" s="3" customFormat="1" ht="29.1" customHeight="1" x14ac:dyDescent="0.25">
      <c r="A2529" s="2" t="s">
        <v>5688</v>
      </c>
      <c r="B2529" s="2" t="s">
        <v>5689</v>
      </c>
      <c r="C2529" s="2" t="s">
        <v>624</v>
      </c>
      <c r="D2529" s="2" t="s">
        <v>894</v>
      </c>
      <c r="E2529" s="2" t="str">
        <f>"9781914481529"</f>
        <v>9781914481529</v>
      </c>
      <c r="F2529" s="2" t="str">
        <f>"9781914481536"</f>
        <v>9781914481536</v>
      </c>
    </row>
    <row r="2530" spans="1:6" s="3" customFormat="1" ht="29.1" customHeight="1" x14ac:dyDescent="0.25">
      <c r="A2530" s="2" t="s">
        <v>5690</v>
      </c>
      <c r="B2530" s="2" t="s">
        <v>5691</v>
      </c>
      <c r="C2530" s="2" t="s">
        <v>624</v>
      </c>
      <c r="D2530" s="2" t="s">
        <v>550</v>
      </c>
      <c r="E2530" s="2" t="str">
        <f>"9781914481482"</f>
        <v>9781914481482</v>
      </c>
      <c r="F2530" s="2" t="str">
        <f>"9781914481499"</f>
        <v>9781914481499</v>
      </c>
    </row>
    <row r="2531" spans="1:6" s="3" customFormat="1" ht="29.1" customHeight="1" x14ac:dyDescent="0.25">
      <c r="A2531" s="2" t="s">
        <v>5692</v>
      </c>
      <c r="B2531" s="2" t="s">
        <v>5693</v>
      </c>
      <c r="C2531" s="2" t="s">
        <v>624</v>
      </c>
      <c r="D2531" s="2" t="s">
        <v>4172</v>
      </c>
      <c r="E2531" s="2" t="str">
        <f>"9781914481444"</f>
        <v>9781914481444</v>
      </c>
      <c r="F2531" s="2" t="str">
        <f>"9781914481451"</f>
        <v>9781914481451</v>
      </c>
    </row>
    <row r="2532" spans="1:6" s="3" customFormat="1" ht="29.1" customHeight="1" x14ac:dyDescent="0.25">
      <c r="A2532" s="2" t="s">
        <v>5694</v>
      </c>
      <c r="B2532" s="2" t="s">
        <v>5696</v>
      </c>
      <c r="C2532" s="2" t="s">
        <v>624</v>
      </c>
      <c r="D2532" s="2" t="s">
        <v>5695</v>
      </c>
      <c r="E2532" s="2" t="str">
        <f>"9781914481406"</f>
        <v>9781914481406</v>
      </c>
      <c r="F2532" s="2" t="str">
        <f>"9781914481413"</f>
        <v>9781914481413</v>
      </c>
    </row>
    <row r="2533" spans="1:6" s="3" customFormat="1" ht="29.1" customHeight="1" x14ac:dyDescent="0.25">
      <c r="A2533" s="2" t="s">
        <v>5697</v>
      </c>
      <c r="B2533" s="2" t="s">
        <v>5698</v>
      </c>
      <c r="C2533" s="2" t="s">
        <v>624</v>
      </c>
      <c r="D2533" s="2" t="s">
        <v>2587</v>
      </c>
      <c r="E2533" s="2" t="str">
        <f>"9781914481369"</f>
        <v>9781914481369</v>
      </c>
      <c r="F2533" s="2" t="str">
        <f>"9781914481376"</f>
        <v>9781914481376</v>
      </c>
    </row>
    <row r="2534" spans="1:6" s="3" customFormat="1" ht="29.1" customHeight="1" x14ac:dyDescent="0.25">
      <c r="A2534" s="2" t="s">
        <v>5699</v>
      </c>
      <c r="B2534" s="2" t="s">
        <v>5700</v>
      </c>
      <c r="C2534" s="2" t="s">
        <v>624</v>
      </c>
      <c r="D2534" s="2" t="s">
        <v>4253</v>
      </c>
      <c r="E2534" s="2" t="str">
        <f>"9781914481284"</f>
        <v>9781914481284</v>
      </c>
      <c r="F2534" s="2" t="str">
        <f>"9781914481291"</f>
        <v>9781914481291</v>
      </c>
    </row>
    <row r="2535" spans="1:6" s="3" customFormat="1" ht="29.1" customHeight="1" x14ac:dyDescent="0.25">
      <c r="A2535" s="2" t="s">
        <v>5701</v>
      </c>
      <c r="B2535" s="2" t="s">
        <v>5702</v>
      </c>
      <c r="C2535" s="2" t="s">
        <v>624</v>
      </c>
      <c r="D2535" s="2" t="s">
        <v>189</v>
      </c>
      <c r="E2535" s="2" t="str">
        <f>"9781914481208"</f>
        <v>9781914481208</v>
      </c>
      <c r="F2535" s="2" t="str">
        <f>"9781914481215"</f>
        <v>9781914481215</v>
      </c>
    </row>
    <row r="2536" spans="1:6" s="3" customFormat="1" ht="29.1" customHeight="1" x14ac:dyDescent="0.25">
      <c r="A2536" s="2" t="s">
        <v>5703</v>
      </c>
      <c r="B2536" s="2" t="s">
        <v>5704</v>
      </c>
      <c r="C2536" s="2" t="s">
        <v>624</v>
      </c>
      <c r="D2536" s="2" t="s">
        <v>1768</v>
      </c>
      <c r="E2536" s="2" t="str">
        <f>"9781914481161"</f>
        <v>9781914481161</v>
      </c>
      <c r="F2536" s="2" t="str">
        <f>"9781914481178"</f>
        <v>9781914481178</v>
      </c>
    </row>
    <row r="2537" spans="1:6" s="3" customFormat="1" ht="29.1" customHeight="1" x14ac:dyDescent="0.25">
      <c r="A2537" s="2" t="s">
        <v>5705</v>
      </c>
      <c r="B2537" s="2" t="s">
        <v>5707</v>
      </c>
      <c r="C2537" s="2" t="s">
        <v>624</v>
      </c>
      <c r="D2537" s="2" t="s">
        <v>5706</v>
      </c>
      <c r="E2537" s="2" t="str">
        <f>"9781914481123"</f>
        <v>9781914481123</v>
      </c>
      <c r="F2537" s="2" t="str">
        <f>"9781914481130"</f>
        <v>9781914481130</v>
      </c>
    </row>
    <row r="2538" spans="1:6" s="3" customFormat="1" ht="29.1" customHeight="1" x14ac:dyDescent="0.25">
      <c r="A2538" s="2" t="s">
        <v>5708</v>
      </c>
      <c r="B2538" s="2" t="s">
        <v>5709</v>
      </c>
      <c r="C2538" s="2" t="s">
        <v>624</v>
      </c>
      <c r="D2538" s="2" t="s">
        <v>189</v>
      </c>
      <c r="E2538" s="2" t="str">
        <f>"9781911529965"</f>
        <v>9781911529965</v>
      </c>
      <c r="F2538" s="2" t="str">
        <f>"9781911529972"</f>
        <v>9781911529972</v>
      </c>
    </row>
    <row r="2539" spans="1:6" s="3" customFormat="1" ht="29.1" customHeight="1" x14ac:dyDescent="0.25">
      <c r="A2539" s="2" t="s">
        <v>5710</v>
      </c>
      <c r="B2539" s="2" t="s">
        <v>5711</v>
      </c>
      <c r="C2539" s="2" t="s">
        <v>624</v>
      </c>
      <c r="D2539" s="2" t="s">
        <v>78</v>
      </c>
      <c r="E2539" s="2" t="str">
        <f>"9781911529927"</f>
        <v>9781911529927</v>
      </c>
      <c r="F2539" s="2" t="str">
        <f>"9781911529934"</f>
        <v>9781911529934</v>
      </c>
    </row>
    <row r="2540" spans="1:6" s="3" customFormat="1" ht="29.1" customHeight="1" x14ac:dyDescent="0.25">
      <c r="A2540" s="2" t="s">
        <v>5712</v>
      </c>
      <c r="B2540" s="2" t="s">
        <v>5714</v>
      </c>
      <c r="C2540" s="2" t="s">
        <v>624</v>
      </c>
      <c r="D2540" s="2" t="s">
        <v>5713</v>
      </c>
      <c r="E2540" s="2" t="str">
        <f>"9781911529880"</f>
        <v>9781911529880</v>
      </c>
      <c r="F2540" s="2" t="str">
        <f>"9781911529897"</f>
        <v>9781911529897</v>
      </c>
    </row>
    <row r="2541" spans="1:6" s="3" customFormat="1" ht="29.1" customHeight="1" x14ac:dyDescent="0.25">
      <c r="A2541" s="2" t="s">
        <v>5715</v>
      </c>
      <c r="B2541" s="2" t="s">
        <v>5717</v>
      </c>
      <c r="C2541" s="2" t="s">
        <v>624</v>
      </c>
      <c r="D2541" s="2" t="s">
        <v>5716</v>
      </c>
      <c r="E2541" s="2" t="str">
        <f>"9781911529767"</f>
        <v>9781911529767</v>
      </c>
      <c r="F2541" s="2" t="str">
        <f>"9781911529774"</f>
        <v>9781911529774</v>
      </c>
    </row>
    <row r="2542" spans="1:6" s="3" customFormat="1" ht="29.1" customHeight="1" x14ac:dyDescent="0.25">
      <c r="A2542" s="2" t="s">
        <v>5718</v>
      </c>
      <c r="B2542" s="2" t="s">
        <v>5720</v>
      </c>
      <c r="C2542" s="2" t="s">
        <v>624</v>
      </c>
      <c r="D2542" s="2" t="s">
        <v>5719</v>
      </c>
      <c r="E2542" s="2" t="str">
        <f>"9781911529729"</f>
        <v>9781911529729</v>
      </c>
      <c r="F2542" s="2" t="str">
        <f>"9781911529736"</f>
        <v>9781911529736</v>
      </c>
    </row>
    <row r="2543" spans="1:6" s="3" customFormat="1" ht="29.1" customHeight="1" x14ac:dyDescent="0.25">
      <c r="A2543" s="2" t="s">
        <v>5721</v>
      </c>
      <c r="B2543" s="2" t="s">
        <v>5722</v>
      </c>
      <c r="C2543" s="2" t="s">
        <v>624</v>
      </c>
      <c r="D2543" s="2" t="s">
        <v>5719</v>
      </c>
      <c r="E2543" s="2" t="str">
        <f>"9781911529446"</f>
        <v>9781911529446</v>
      </c>
      <c r="F2543" s="2" t="str">
        <f>"9781911529453"</f>
        <v>9781911529453</v>
      </c>
    </row>
    <row r="2544" spans="1:6" s="3" customFormat="1" ht="29.1" customHeight="1" x14ac:dyDescent="0.25">
      <c r="A2544" s="2" t="s">
        <v>5723</v>
      </c>
      <c r="B2544" s="2" t="s">
        <v>5725</v>
      </c>
      <c r="C2544" s="2" t="s">
        <v>624</v>
      </c>
      <c r="D2544" s="2" t="s">
        <v>5724</v>
      </c>
      <c r="E2544" s="2"/>
      <c r="F2544" s="2" t="str">
        <f>"9781911529439"</f>
        <v>9781911529439</v>
      </c>
    </row>
    <row r="2545" spans="1:6" s="3" customFormat="1" ht="29.1" customHeight="1" x14ac:dyDescent="0.25">
      <c r="A2545" s="2" t="s">
        <v>5726</v>
      </c>
      <c r="B2545" s="2" t="s">
        <v>5727</v>
      </c>
      <c r="C2545" s="2" t="s">
        <v>624</v>
      </c>
      <c r="D2545" s="2" t="s">
        <v>1895</v>
      </c>
      <c r="E2545" s="2"/>
      <c r="F2545" s="2" t="str">
        <f>"9781911529422"</f>
        <v>9781911529422</v>
      </c>
    </row>
    <row r="2546" spans="1:6" s="3" customFormat="1" ht="29.1" customHeight="1" x14ac:dyDescent="0.25">
      <c r="A2546" s="2" t="s">
        <v>5728</v>
      </c>
      <c r="B2546" s="2" t="s">
        <v>5729</v>
      </c>
      <c r="C2546" s="2" t="s">
        <v>624</v>
      </c>
      <c r="D2546" s="2" t="s">
        <v>1895</v>
      </c>
      <c r="E2546" s="2"/>
      <c r="F2546" s="2" t="str">
        <f>"9781911529415"</f>
        <v>9781911529415</v>
      </c>
    </row>
    <row r="2547" spans="1:6" s="3" customFormat="1" ht="29.1" customHeight="1" x14ac:dyDescent="0.25">
      <c r="A2547" s="2" t="s">
        <v>5730</v>
      </c>
      <c r="B2547" s="2" t="s">
        <v>5731</v>
      </c>
      <c r="C2547" s="2" t="s">
        <v>624</v>
      </c>
      <c r="D2547" s="2" t="s">
        <v>1463</v>
      </c>
      <c r="E2547" s="2"/>
      <c r="F2547" s="2" t="str">
        <f>"9781911529408"</f>
        <v>9781911529408</v>
      </c>
    </row>
    <row r="2548" spans="1:6" s="3" customFormat="1" ht="29.1" customHeight="1" x14ac:dyDescent="0.25">
      <c r="A2548" s="2" t="s">
        <v>5732</v>
      </c>
      <c r="B2548" s="2" t="s">
        <v>5733</v>
      </c>
      <c r="C2548" s="2" t="s">
        <v>624</v>
      </c>
      <c r="D2548" s="2" t="s">
        <v>3221</v>
      </c>
      <c r="E2548" s="2"/>
      <c r="F2548" s="2" t="str">
        <f>"9781911529392"</f>
        <v>9781911529392</v>
      </c>
    </row>
    <row r="2549" spans="1:6" s="3" customFormat="1" ht="29.1" customHeight="1" x14ac:dyDescent="0.25">
      <c r="A2549" s="2" t="s">
        <v>5734</v>
      </c>
      <c r="B2549" s="2" t="s">
        <v>5735</v>
      </c>
      <c r="C2549" s="2" t="s">
        <v>624</v>
      </c>
      <c r="D2549" s="2" t="s">
        <v>1463</v>
      </c>
      <c r="E2549" s="2"/>
      <c r="F2549" s="2" t="str">
        <f>"9781911529385"</f>
        <v>9781911529385</v>
      </c>
    </row>
    <row r="2550" spans="1:6" s="3" customFormat="1" ht="29.1" customHeight="1" x14ac:dyDescent="0.25">
      <c r="A2550" s="2" t="s">
        <v>5736</v>
      </c>
      <c r="B2550" s="2" t="s">
        <v>5737</v>
      </c>
      <c r="C2550" s="2" t="s">
        <v>624</v>
      </c>
      <c r="D2550" s="2" t="s">
        <v>3221</v>
      </c>
      <c r="E2550" s="2"/>
      <c r="F2550" s="2" t="str">
        <f>"9781911529378"</f>
        <v>9781911529378</v>
      </c>
    </row>
    <row r="2551" spans="1:6" s="3" customFormat="1" ht="29.1" customHeight="1" x14ac:dyDescent="0.25">
      <c r="A2551" s="2" t="s">
        <v>5738</v>
      </c>
      <c r="B2551" s="2" t="s">
        <v>5739</v>
      </c>
      <c r="C2551" s="2" t="s">
        <v>624</v>
      </c>
      <c r="D2551" s="2" t="s">
        <v>3221</v>
      </c>
      <c r="E2551" s="2"/>
      <c r="F2551" s="2" t="str">
        <f>"9781911529361"</f>
        <v>9781911529361</v>
      </c>
    </row>
    <row r="2552" spans="1:6" s="3" customFormat="1" ht="29.1" customHeight="1" x14ac:dyDescent="0.25">
      <c r="A2552" s="2" t="s">
        <v>5740</v>
      </c>
      <c r="B2552" s="2" t="s">
        <v>5741</v>
      </c>
      <c r="C2552" s="2" t="s">
        <v>624</v>
      </c>
      <c r="D2552" s="2" t="s">
        <v>3878</v>
      </c>
      <c r="E2552" s="2"/>
      <c r="F2552" s="2" t="str">
        <f>"9781911529354"</f>
        <v>9781911529354</v>
      </c>
    </row>
    <row r="2553" spans="1:6" s="3" customFormat="1" ht="29.1" customHeight="1" x14ac:dyDescent="0.25">
      <c r="A2553" s="2" t="s">
        <v>5742</v>
      </c>
      <c r="B2553" s="2" t="s">
        <v>5743</v>
      </c>
      <c r="C2553" s="2" t="s">
        <v>624</v>
      </c>
      <c r="D2553" s="2" t="s">
        <v>189</v>
      </c>
      <c r="E2553" s="2"/>
      <c r="F2553" s="2" t="str">
        <f>"9781911529347"</f>
        <v>9781911529347</v>
      </c>
    </row>
    <row r="2554" spans="1:6" s="3" customFormat="1" ht="29.1" customHeight="1" x14ac:dyDescent="0.25">
      <c r="A2554" s="2" t="s">
        <v>5744</v>
      </c>
      <c r="B2554" s="2" t="s">
        <v>5745</v>
      </c>
      <c r="C2554" s="2" t="s">
        <v>624</v>
      </c>
      <c r="D2554" s="2" t="s">
        <v>189</v>
      </c>
      <c r="E2554" s="2"/>
      <c r="F2554" s="2" t="str">
        <f>"9781911529330"</f>
        <v>9781911529330</v>
      </c>
    </row>
    <row r="2555" spans="1:6" s="3" customFormat="1" ht="29.1" customHeight="1" x14ac:dyDescent="0.25">
      <c r="A2555" s="2" t="s">
        <v>5746</v>
      </c>
      <c r="B2555" s="2" t="s">
        <v>5747</v>
      </c>
      <c r="C2555" s="2" t="s">
        <v>624</v>
      </c>
      <c r="D2555" s="2" t="s">
        <v>189</v>
      </c>
      <c r="E2555" s="2"/>
      <c r="F2555" s="2" t="str">
        <f>"9781911529323"</f>
        <v>9781911529323</v>
      </c>
    </row>
    <row r="2556" spans="1:6" s="3" customFormat="1" ht="29.1" customHeight="1" x14ac:dyDescent="0.25">
      <c r="A2556" s="2" t="s">
        <v>5748</v>
      </c>
      <c r="B2556" s="2" t="s">
        <v>5749</v>
      </c>
      <c r="C2556" s="2" t="s">
        <v>624</v>
      </c>
      <c r="D2556" s="2" t="s">
        <v>189</v>
      </c>
      <c r="E2556" s="2"/>
      <c r="F2556" s="2" t="str">
        <f>"9781911529316"</f>
        <v>9781911529316</v>
      </c>
    </row>
    <row r="2557" spans="1:6" s="3" customFormat="1" ht="29.1" customHeight="1" x14ac:dyDescent="0.25">
      <c r="A2557" s="2" t="s">
        <v>5750</v>
      </c>
      <c r="B2557" s="2" t="s">
        <v>5751</v>
      </c>
      <c r="C2557" s="2" t="s">
        <v>624</v>
      </c>
      <c r="D2557" s="2" t="s">
        <v>3878</v>
      </c>
      <c r="E2557" s="2"/>
      <c r="F2557" s="2" t="str">
        <f>"9781911529309"</f>
        <v>9781911529309</v>
      </c>
    </row>
    <row r="2558" spans="1:6" s="3" customFormat="1" ht="29.1" customHeight="1" x14ac:dyDescent="0.25">
      <c r="A2558" s="2" t="s">
        <v>5752</v>
      </c>
      <c r="B2558" s="2" t="s">
        <v>5741</v>
      </c>
      <c r="C2558" s="2" t="s">
        <v>624</v>
      </c>
      <c r="D2558" s="2" t="s">
        <v>4742</v>
      </c>
      <c r="E2558" s="2"/>
      <c r="F2558" s="2" t="str">
        <f>"9781911529293"</f>
        <v>9781911529293</v>
      </c>
    </row>
    <row r="2559" spans="1:6" s="3" customFormat="1" ht="29.1" customHeight="1" x14ac:dyDescent="0.25">
      <c r="A2559" s="2" t="s">
        <v>5753</v>
      </c>
      <c r="B2559" s="2" t="s">
        <v>5754</v>
      </c>
      <c r="C2559" s="2" t="s">
        <v>624</v>
      </c>
      <c r="D2559" s="2" t="s">
        <v>5719</v>
      </c>
      <c r="E2559" s="2"/>
      <c r="F2559" s="2" t="str">
        <f>"9781911529286"</f>
        <v>9781911529286</v>
      </c>
    </row>
    <row r="2560" spans="1:6" s="3" customFormat="1" ht="29.1" customHeight="1" x14ac:dyDescent="0.25">
      <c r="A2560" s="2" t="s">
        <v>5755</v>
      </c>
      <c r="B2560" s="2" t="s">
        <v>5756</v>
      </c>
      <c r="C2560" s="2" t="s">
        <v>624</v>
      </c>
      <c r="D2560" s="2" t="s">
        <v>699</v>
      </c>
      <c r="E2560" s="2" t="str">
        <f>"9781911529200"</f>
        <v>9781911529200</v>
      </c>
      <c r="F2560" s="2" t="str">
        <f>"9781911529217"</f>
        <v>9781911529217</v>
      </c>
    </row>
    <row r="2561" spans="1:6" s="3" customFormat="1" ht="29.1" customHeight="1" x14ac:dyDescent="0.25">
      <c r="A2561" s="2" t="s">
        <v>5757</v>
      </c>
      <c r="B2561" s="2" t="s">
        <v>5759</v>
      </c>
      <c r="C2561" s="2" t="s">
        <v>624</v>
      </c>
      <c r="D2561" s="2" t="s">
        <v>5758</v>
      </c>
      <c r="E2561" s="2" t="str">
        <f>"9781909188990"</f>
        <v>9781909188990</v>
      </c>
      <c r="F2561" s="2" t="str">
        <f>"9781909188969"</f>
        <v>9781909188969</v>
      </c>
    </row>
    <row r="2562" spans="1:6" s="3" customFormat="1" ht="29.1" customHeight="1" x14ac:dyDescent="0.25">
      <c r="A2562" s="2" t="s">
        <v>5760</v>
      </c>
      <c r="B2562" s="2" t="s">
        <v>5762</v>
      </c>
      <c r="C2562" s="2" t="s">
        <v>624</v>
      </c>
      <c r="D2562" s="2" t="s">
        <v>5761</v>
      </c>
      <c r="E2562" s="2" t="str">
        <f>"9781911529125"</f>
        <v>9781911529125</v>
      </c>
      <c r="F2562" s="2" t="str">
        <f>"9781911529132"</f>
        <v>9781911529132</v>
      </c>
    </row>
    <row r="2563" spans="1:6" s="3" customFormat="1" ht="29.1" customHeight="1" x14ac:dyDescent="0.25">
      <c r="A2563" s="2" t="s">
        <v>5763</v>
      </c>
      <c r="B2563" s="2" t="s">
        <v>5764</v>
      </c>
      <c r="C2563" s="2" t="s">
        <v>624</v>
      </c>
      <c r="D2563" s="2" t="s">
        <v>4210</v>
      </c>
      <c r="E2563" s="2" t="str">
        <f>"9781909188921"</f>
        <v>9781909188921</v>
      </c>
      <c r="F2563" s="2" t="str">
        <f>"9781909188938"</f>
        <v>9781909188938</v>
      </c>
    </row>
    <row r="2564" spans="1:6" s="3" customFormat="1" ht="29.1" customHeight="1" x14ac:dyDescent="0.25">
      <c r="A2564" s="2" t="s">
        <v>5765</v>
      </c>
      <c r="B2564" s="2" t="s">
        <v>5766</v>
      </c>
      <c r="C2564" s="2" t="s">
        <v>624</v>
      </c>
      <c r="D2564" s="2" t="s">
        <v>1411</v>
      </c>
      <c r="E2564" s="2" t="str">
        <f>"9781911529040"</f>
        <v>9781911529040</v>
      </c>
      <c r="F2564" s="2" t="str">
        <f>"9781911529057"</f>
        <v>9781911529057</v>
      </c>
    </row>
    <row r="2565" spans="1:6" s="3" customFormat="1" ht="29.1" customHeight="1" x14ac:dyDescent="0.25">
      <c r="A2565" s="2" t="s">
        <v>5767</v>
      </c>
      <c r="B2565" s="2" t="s">
        <v>5768</v>
      </c>
      <c r="C2565" s="2" t="s">
        <v>624</v>
      </c>
      <c r="D2565" s="2" t="s">
        <v>1109</v>
      </c>
      <c r="E2565" s="2" t="str">
        <f>"9781909188839"</f>
        <v>9781909188839</v>
      </c>
      <c r="F2565" s="2" t="str">
        <f>"9781909188853"</f>
        <v>9781909188853</v>
      </c>
    </row>
    <row r="2566" spans="1:6" s="3" customFormat="1" ht="29.1" customHeight="1" x14ac:dyDescent="0.25">
      <c r="A2566" s="2" t="s">
        <v>5769</v>
      </c>
      <c r="B2566" s="2" t="s">
        <v>5770</v>
      </c>
      <c r="C2566" s="2" t="s">
        <v>624</v>
      </c>
      <c r="D2566" s="2" t="s">
        <v>37</v>
      </c>
      <c r="E2566" s="2" t="str">
        <f>"9781909188631"</f>
        <v>9781909188631</v>
      </c>
      <c r="F2566" s="2" t="str">
        <f>"9781909188648"</f>
        <v>9781909188648</v>
      </c>
    </row>
    <row r="2567" spans="1:6" s="3" customFormat="1" ht="29.1" customHeight="1" x14ac:dyDescent="0.25">
      <c r="A2567" s="2" t="s">
        <v>5771</v>
      </c>
      <c r="B2567" s="2" t="s">
        <v>5772</v>
      </c>
      <c r="C2567" s="2" t="s">
        <v>624</v>
      </c>
      <c r="D2567" s="2" t="s">
        <v>553</v>
      </c>
      <c r="E2567" s="2" t="str">
        <f>"9781909188570"</f>
        <v>9781909188570</v>
      </c>
      <c r="F2567" s="2" t="str">
        <f>"9781909188587"</f>
        <v>9781909188587</v>
      </c>
    </row>
    <row r="2568" spans="1:6" s="3" customFormat="1" ht="29.1" customHeight="1" x14ac:dyDescent="0.25">
      <c r="A2568" s="2" t="s">
        <v>5773</v>
      </c>
      <c r="B2568" s="2" t="s">
        <v>5774</v>
      </c>
      <c r="C2568" s="2" t="s">
        <v>624</v>
      </c>
      <c r="D2568" s="2" t="s">
        <v>998</v>
      </c>
      <c r="E2568" s="2" t="str">
        <f>"9781909188495"</f>
        <v>9781909188495</v>
      </c>
      <c r="F2568" s="2" t="str">
        <f>"9781909188501"</f>
        <v>9781909188501</v>
      </c>
    </row>
    <row r="2569" spans="1:6" s="3" customFormat="1" ht="29.1" customHeight="1" x14ac:dyDescent="0.25">
      <c r="A2569" s="2" t="s">
        <v>5775</v>
      </c>
      <c r="B2569" s="2" t="s">
        <v>5776</v>
      </c>
      <c r="C2569" s="2" t="s">
        <v>624</v>
      </c>
      <c r="D2569" s="2" t="s">
        <v>614</v>
      </c>
      <c r="E2569" s="2" t="str">
        <f>"9781909188334"</f>
        <v>9781909188334</v>
      </c>
      <c r="F2569" s="2" t="str">
        <f>"9781909188341"</f>
        <v>9781909188341</v>
      </c>
    </row>
    <row r="2570" spans="1:6" s="3" customFormat="1" ht="29.1" customHeight="1" x14ac:dyDescent="0.25">
      <c r="A2570" s="2" t="s">
        <v>5777</v>
      </c>
      <c r="B2570" s="2" t="s">
        <v>5778</v>
      </c>
      <c r="C2570" s="2" t="s">
        <v>624</v>
      </c>
      <c r="D2570" s="2" t="s">
        <v>297</v>
      </c>
      <c r="E2570" s="2" t="str">
        <f>"9781909188273"</f>
        <v>9781909188273</v>
      </c>
      <c r="F2570" s="2" t="str">
        <f>"9781909188280"</f>
        <v>9781909188280</v>
      </c>
    </row>
    <row r="2571" spans="1:6" s="3" customFormat="1" ht="29.1" customHeight="1" x14ac:dyDescent="0.25">
      <c r="A2571" s="2" t="s">
        <v>5779</v>
      </c>
      <c r="B2571" s="2" t="s">
        <v>5780</v>
      </c>
      <c r="C2571" s="2" t="s">
        <v>624</v>
      </c>
      <c r="D2571" s="2" t="s">
        <v>2307</v>
      </c>
      <c r="E2571" s="2" t="str">
        <f>"9781909188211"</f>
        <v>9781909188211</v>
      </c>
      <c r="F2571" s="2" t="str">
        <f>"9781909188228"</f>
        <v>9781909188228</v>
      </c>
    </row>
    <row r="2572" spans="1:6" s="3" customFormat="1" ht="29.1" customHeight="1" x14ac:dyDescent="0.25">
      <c r="A2572" s="2" t="s">
        <v>5781</v>
      </c>
      <c r="B2572" s="2" t="s">
        <v>5783</v>
      </c>
      <c r="C2572" s="2" t="s">
        <v>624</v>
      </c>
      <c r="D2572" s="2" t="s">
        <v>5782</v>
      </c>
      <c r="E2572" s="2" t="str">
        <f>"9781909188037"</f>
        <v>9781909188037</v>
      </c>
      <c r="F2572" s="2" t="str">
        <f>"9781909188075"</f>
        <v>9781909188075</v>
      </c>
    </row>
    <row r="2573" spans="1:6" s="3" customFormat="1" ht="29.1" customHeight="1" x14ac:dyDescent="0.25">
      <c r="A2573" s="2" t="s">
        <v>5784</v>
      </c>
      <c r="B2573" s="2" t="s">
        <v>5785</v>
      </c>
      <c r="C2573" s="2" t="s">
        <v>624</v>
      </c>
      <c r="D2573" s="2" t="s">
        <v>5266</v>
      </c>
      <c r="E2573" s="2" t="str">
        <f>"9781909188020"</f>
        <v>9781909188020</v>
      </c>
      <c r="F2573" s="2" t="str">
        <f>"9781909188068"</f>
        <v>9781909188068</v>
      </c>
    </row>
    <row r="2574" spans="1:6" s="3" customFormat="1" ht="29.1" customHeight="1" x14ac:dyDescent="0.25">
      <c r="A2574" s="2" t="s">
        <v>5786</v>
      </c>
      <c r="B2574" s="2" t="s">
        <v>5785</v>
      </c>
      <c r="C2574" s="2" t="s">
        <v>624</v>
      </c>
      <c r="D2574" s="2" t="s">
        <v>5266</v>
      </c>
      <c r="E2574" s="2" t="str">
        <f>"9781909188013"</f>
        <v>9781909188013</v>
      </c>
      <c r="F2574" s="2" t="str">
        <f>"9781909188051"</f>
        <v>9781909188051</v>
      </c>
    </row>
    <row r="2575" spans="1:6" s="3" customFormat="1" ht="29.1" customHeight="1" x14ac:dyDescent="0.25">
      <c r="A2575" s="2" t="s">
        <v>5787</v>
      </c>
      <c r="B2575" s="2" t="s">
        <v>5788</v>
      </c>
      <c r="C2575" s="2" t="s">
        <v>624</v>
      </c>
      <c r="D2575" s="2" t="s">
        <v>405</v>
      </c>
      <c r="E2575" s="2" t="str">
        <f>"9781909188006"</f>
        <v>9781909188006</v>
      </c>
      <c r="F2575" s="2" t="str">
        <f>"9781909188044"</f>
        <v>9781909188044</v>
      </c>
    </row>
    <row r="2576" spans="1:6" s="3" customFormat="1" ht="29.1" customHeight="1" x14ac:dyDescent="0.25">
      <c r="A2576" s="2" t="s">
        <v>5789</v>
      </c>
      <c r="B2576" s="2" t="s">
        <v>5790</v>
      </c>
      <c r="C2576" s="2" t="s">
        <v>624</v>
      </c>
      <c r="D2576" s="2" t="s">
        <v>408</v>
      </c>
      <c r="E2576" s="2" t="str">
        <f>"9789151312286"</f>
        <v>9789151312286</v>
      </c>
      <c r="F2576" s="2" t="str">
        <f>"9789151312903"</f>
        <v>9789151312903</v>
      </c>
    </row>
    <row r="2577" spans="1:6" s="3" customFormat="1" ht="29.1" customHeight="1" x14ac:dyDescent="0.25">
      <c r="A2577" s="2" t="s">
        <v>5791</v>
      </c>
      <c r="B2577" s="2" t="s">
        <v>5792</v>
      </c>
      <c r="C2577" s="2" t="s">
        <v>624</v>
      </c>
      <c r="D2577" s="2" t="s">
        <v>682</v>
      </c>
      <c r="E2577" s="2" t="str">
        <f>"9780645371352"</f>
        <v>9780645371352</v>
      </c>
      <c r="F2577" s="2" t="str">
        <f>"9780645371345"</f>
        <v>9780645371345</v>
      </c>
    </row>
    <row r="2578" spans="1:6" s="3" customFormat="1" ht="29.1" customHeight="1" x14ac:dyDescent="0.25">
      <c r="A2578" s="2" t="s">
        <v>5793</v>
      </c>
      <c r="B2578" s="2" t="s">
        <v>5795</v>
      </c>
      <c r="C2578" s="2" t="s">
        <v>624</v>
      </c>
      <c r="D2578" s="2" t="s">
        <v>5794</v>
      </c>
      <c r="E2578" s="2" t="str">
        <f>"9780645371307"</f>
        <v>9780645371307</v>
      </c>
      <c r="F2578" s="2" t="str">
        <f>"9780645371314"</f>
        <v>9780645371314</v>
      </c>
    </row>
    <row r="2579" spans="1:6" s="3" customFormat="1" ht="29.1" customHeight="1" x14ac:dyDescent="0.25">
      <c r="A2579" s="2" t="s">
        <v>5796</v>
      </c>
      <c r="B2579" s="2" t="s">
        <v>5797</v>
      </c>
      <c r="C2579" s="2" t="s">
        <v>624</v>
      </c>
      <c r="D2579" s="2" t="s">
        <v>4742</v>
      </c>
      <c r="E2579" s="2" t="str">
        <f>"9780648124221"</f>
        <v>9780648124221</v>
      </c>
      <c r="F2579" s="2" t="str">
        <f>"9780648124238"</f>
        <v>9780648124238</v>
      </c>
    </row>
    <row r="2580" spans="1:6" s="3" customFormat="1" ht="29.1" customHeight="1" x14ac:dyDescent="0.25">
      <c r="A2580" s="2" t="s">
        <v>5798</v>
      </c>
      <c r="B2580" s="2" t="s">
        <v>5800</v>
      </c>
      <c r="C2580" s="2" t="s">
        <v>624</v>
      </c>
      <c r="D2580" s="2" t="s">
        <v>5799</v>
      </c>
      <c r="E2580" s="2"/>
      <c r="F2580" s="2" t="str">
        <f>"9781863654265"</f>
        <v>9781863654265</v>
      </c>
    </row>
    <row r="2581" spans="1:6" s="3" customFormat="1" ht="29.1" customHeight="1" x14ac:dyDescent="0.25">
      <c r="A2581" s="2" t="s">
        <v>5801</v>
      </c>
      <c r="B2581" s="2" t="s">
        <v>5802</v>
      </c>
      <c r="C2581" s="2" t="s">
        <v>624</v>
      </c>
      <c r="D2581" s="2" t="s">
        <v>1127</v>
      </c>
      <c r="E2581" s="2"/>
      <c r="F2581" s="2" t="str">
        <f>"9781863654326"</f>
        <v>9781863654326</v>
      </c>
    </row>
    <row r="2582" spans="1:6" s="3" customFormat="1" ht="29.1" customHeight="1" x14ac:dyDescent="0.25">
      <c r="A2582" s="2" t="s">
        <v>5803</v>
      </c>
      <c r="B2582" s="2" t="s">
        <v>5804</v>
      </c>
      <c r="C2582" s="2" t="s">
        <v>624</v>
      </c>
      <c r="D2582" s="2" t="s">
        <v>712</v>
      </c>
      <c r="E2582" s="2"/>
      <c r="F2582" s="2" t="str">
        <f>"9781863654302"</f>
        <v>9781863654302</v>
      </c>
    </row>
    <row r="2583" spans="1:6" s="3" customFormat="1" ht="29.1" customHeight="1" x14ac:dyDescent="0.25">
      <c r="A2583" s="2" t="s">
        <v>5805</v>
      </c>
      <c r="B2583" s="2" t="s">
        <v>5807</v>
      </c>
      <c r="C2583" s="2" t="s">
        <v>624</v>
      </c>
      <c r="D2583" s="2" t="s">
        <v>5806</v>
      </c>
      <c r="E2583" s="2"/>
      <c r="F2583" s="2" t="str">
        <f>"9781863654258"</f>
        <v>9781863654258</v>
      </c>
    </row>
    <row r="2584" spans="1:6" s="3" customFormat="1" ht="29.1" customHeight="1" x14ac:dyDescent="0.25">
      <c r="A2584" s="2" t="s">
        <v>5808</v>
      </c>
      <c r="B2584" s="2" t="s">
        <v>5809</v>
      </c>
      <c r="C2584" s="2" t="s">
        <v>624</v>
      </c>
      <c r="D2584" s="2" t="s">
        <v>78</v>
      </c>
      <c r="E2584" s="2"/>
      <c r="F2584" s="2" t="str">
        <f>"9781863654241"</f>
        <v>9781863654241</v>
      </c>
    </row>
    <row r="2585" spans="1:6" s="3" customFormat="1" ht="29.1" customHeight="1" x14ac:dyDescent="0.25">
      <c r="A2585" s="2" t="s">
        <v>5810</v>
      </c>
      <c r="B2585" s="2" t="s">
        <v>5811</v>
      </c>
      <c r="C2585" s="2" t="s">
        <v>624</v>
      </c>
      <c r="D2585" s="2" t="s">
        <v>490</v>
      </c>
      <c r="E2585" s="2"/>
      <c r="F2585" s="2" t="str">
        <f>"9781863654234"</f>
        <v>9781863654234</v>
      </c>
    </row>
    <row r="2586" spans="1:6" s="3" customFormat="1" ht="29.1" customHeight="1" x14ac:dyDescent="0.25">
      <c r="A2586" s="2" t="s">
        <v>5812</v>
      </c>
      <c r="B2586" s="2" t="s">
        <v>5813</v>
      </c>
      <c r="C2586" s="2" t="s">
        <v>624</v>
      </c>
      <c r="D2586" s="2" t="s">
        <v>968</v>
      </c>
      <c r="E2586" s="2"/>
      <c r="F2586" s="2" t="str">
        <f>"9781863654210"</f>
        <v>9781863654210</v>
      </c>
    </row>
    <row r="2587" spans="1:6" s="3" customFormat="1" ht="29.1" customHeight="1" x14ac:dyDescent="0.25">
      <c r="A2587" s="2" t="s">
        <v>5814</v>
      </c>
      <c r="B2587" s="2" t="s">
        <v>5813</v>
      </c>
      <c r="C2587" s="2" t="s">
        <v>624</v>
      </c>
      <c r="D2587" s="2" t="s">
        <v>968</v>
      </c>
      <c r="E2587" s="2"/>
      <c r="F2587" s="2" t="str">
        <f>"9781863654203"</f>
        <v>9781863654203</v>
      </c>
    </row>
    <row r="2588" spans="1:6" s="3" customFormat="1" ht="29.1" customHeight="1" x14ac:dyDescent="0.25">
      <c r="A2588" s="2" t="s">
        <v>5815</v>
      </c>
      <c r="B2588" s="2" t="s">
        <v>5816</v>
      </c>
      <c r="C2588" s="2" t="s">
        <v>624</v>
      </c>
      <c r="D2588" s="2" t="s">
        <v>490</v>
      </c>
      <c r="E2588" s="2"/>
      <c r="F2588" s="2" t="str">
        <f>"9780994503992"</f>
        <v>9780994503992</v>
      </c>
    </row>
    <row r="2589" spans="1:6" s="3" customFormat="1" ht="29.1" customHeight="1" x14ac:dyDescent="0.25">
      <c r="A2589" s="2" t="s">
        <v>5817</v>
      </c>
      <c r="B2589" s="2" t="s">
        <v>5818</v>
      </c>
      <c r="C2589" s="2" t="s">
        <v>624</v>
      </c>
      <c r="D2589" s="2" t="s">
        <v>1262</v>
      </c>
      <c r="E2589" s="2"/>
      <c r="F2589" s="2" t="str">
        <f>"9780994503947"</f>
        <v>9780994503947</v>
      </c>
    </row>
    <row r="2590" spans="1:6" s="3" customFormat="1" ht="29.1" customHeight="1" x14ac:dyDescent="0.25">
      <c r="A2590" s="2" t="s">
        <v>5819</v>
      </c>
      <c r="B2590" s="2" t="s">
        <v>5820</v>
      </c>
      <c r="C2590" s="2" t="s">
        <v>624</v>
      </c>
      <c r="D2590" s="2" t="s">
        <v>2991</v>
      </c>
      <c r="E2590" s="2"/>
      <c r="F2590" s="2" t="str">
        <f>"9780994503930"</f>
        <v>9780994503930</v>
      </c>
    </row>
    <row r="2591" spans="1:6" s="3" customFormat="1" ht="29.1" customHeight="1" x14ac:dyDescent="0.25">
      <c r="A2591" s="2" t="s">
        <v>5821</v>
      </c>
      <c r="B2591" s="2" t="s">
        <v>5822</v>
      </c>
      <c r="C2591" s="2" t="s">
        <v>624</v>
      </c>
      <c r="D2591" s="2" t="s">
        <v>636</v>
      </c>
      <c r="E2591" s="2" t="str">
        <f>"9780994503923"</f>
        <v>9780994503923</v>
      </c>
      <c r="F2591" s="2" t="str">
        <f>"9780994503916"</f>
        <v>9780994503916</v>
      </c>
    </row>
    <row r="2592" spans="1:6" s="3" customFormat="1" ht="29.1" customHeight="1" x14ac:dyDescent="0.25">
      <c r="A2592" s="2" t="s">
        <v>5823</v>
      </c>
      <c r="B2592" s="2" t="s">
        <v>5824</v>
      </c>
      <c r="C2592" s="2" t="s">
        <v>624</v>
      </c>
      <c r="D2592" s="2" t="s">
        <v>408</v>
      </c>
      <c r="E2592" s="2" t="str">
        <f>"9780994503909"</f>
        <v>9780994503909</v>
      </c>
      <c r="F2592" s="2" t="str">
        <f>"9780992451868"</f>
        <v>9780992451868</v>
      </c>
    </row>
    <row r="2593" spans="1:6" s="3" customFormat="1" ht="29.1" customHeight="1" x14ac:dyDescent="0.25">
      <c r="A2593" s="2" t="s">
        <v>5825</v>
      </c>
      <c r="B2593" s="2" t="s">
        <v>5826</v>
      </c>
      <c r="C2593" s="2" t="s">
        <v>624</v>
      </c>
      <c r="D2593" s="2" t="s">
        <v>4288</v>
      </c>
      <c r="E2593" s="2"/>
      <c r="F2593" s="2" t="str">
        <f>"9780992451844"</f>
        <v>9780992451844</v>
      </c>
    </row>
    <row r="2594" spans="1:6" s="3" customFormat="1" ht="29.1" customHeight="1" x14ac:dyDescent="0.25">
      <c r="A2594" s="2" t="s">
        <v>5827</v>
      </c>
      <c r="B2594" s="2" t="s">
        <v>5828</v>
      </c>
      <c r="C2594" s="2" t="s">
        <v>624</v>
      </c>
      <c r="D2594" s="2" t="s">
        <v>4059</v>
      </c>
      <c r="E2594" s="2"/>
      <c r="F2594" s="2" t="str">
        <f>"9780992451813"</f>
        <v>9780992451813</v>
      </c>
    </row>
    <row r="2595" spans="1:6" s="3" customFormat="1" ht="29.1" customHeight="1" x14ac:dyDescent="0.25">
      <c r="A2595" s="2" t="s">
        <v>5829</v>
      </c>
      <c r="B2595" s="2" t="s">
        <v>5830</v>
      </c>
      <c r="C2595" s="2" t="s">
        <v>624</v>
      </c>
      <c r="D2595" s="2" t="s">
        <v>4059</v>
      </c>
      <c r="E2595" s="2"/>
      <c r="F2595" s="2" t="str">
        <f>"9780987236937"</f>
        <v>9780987236937</v>
      </c>
    </row>
    <row r="2596" spans="1:6" s="3" customFormat="1" ht="29.1" customHeight="1" x14ac:dyDescent="0.25">
      <c r="A2596" s="2" t="s">
        <v>5831</v>
      </c>
      <c r="B2596" s="2" t="s">
        <v>5833</v>
      </c>
      <c r="C2596" s="2" t="s">
        <v>624</v>
      </c>
      <c r="D2596" s="2" t="s">
        <v>5832</v>
      </c>
      <c r="E2596" s="2"/>
      <c r="F2596" s="2" t="str">
        <f>"9780980284027"</f>
        <v>9780980284027</v>
      </c>
    </row>
    <row r="2597" spans="1:6" s="3" customFormat="1" ht="29.1" customHeight="1" x14ac:dyDescent="0.25">
      <c r="A2597" s="2" t="s">
        <v>5834</v>
      </c>
      <c r="B2597" s="2" t="s">
        <v>5836</v>
      </c>
      <c r="C2597" s="2" t="s">
        <v>624</v>
      </c>
      <c r="D2597" s="2" t="s">
        <v>5835</v>
      </c>
      <c r="E2597" s="2" t="str">
        <f>"9780648124214"</f>
        <v>9780648124214</v>
      </c>
      <c r="F2597" s="2" t="str">
        <f>"9780648124207"</f>
        <v>9780648124207</v>
      </c>
    </row>
    <row r="2598" spans="1:6" s="3" customFormat="1" ht="29.1" customHeight="1" x14ac:dyDescent="0.25">
      <c r="A2598" s="2" t="s">
        <v>5837</v>
      </c>
      <c r="B2598" s="2" t="s">
        <v>5838</v>
      </c>
      <c r="C2598" s="2" t="s">
        <v>624</v>
      </c>
      <c r="D2598" s="2" t="s">
        <v>5806</v>
      </c>
      <c r="E2598" s="2"/>
      <c r="F2598" s="2" t="str">
        <f>"9781863654227"</f>
        <v>9781863654227</v>
      </c>
    </row>
    <row r="2599" spans="1:6" s="3" customFormat="1" ht="29.1" customHeight="1" x14ac:dyDescent="0.25">
      <c r="A2599" s="2" t="s">
        <v>5839</v>
      </c>
      <c r="B2599" s="2" t="s">
        <v>5840</v>
      </c>
      <c r="C2599" s="2" t="s">
        <v>624</v>
      </c>
      <c r="D2599" s="2" t="s">
        <v>3319</v>
      </c>
      <c r="E2599" s="2"/>
      <c r="F2599" s="2" t="str">
        <f>"9783954667000"</f>
        <v>9783954667000</v>
      </c>
    </row>
    <row r="2600" spans="1:6" s="3" customFormat="1" ht="29.1" customHeight="1" x14ac:dyDescent="0.25">
      <c r="A2600" s="2" t="s">
        <v>5841</v>
      </c>
      <c r="B2600" s="2" t="s">
        <v>5843</v>
      </c>
      <c r="C2600" s="2" t="s">
        <v>624</v>
      </c>
      <c r="D2600" s="2" t="s">
        <v>5842</v>
      </c>
      <c r="E2600" s="2"/>
      <c r="F2600" s="2" t="str">
        <f>"9783954666805"</f>
        <v>9783954666805</v>
      </c>
    </row>
    <row r="2601" spans="1:6" s="3" customFormat="1" ht="29.1" customHeight="1" x14ac:dyDescent="0.25">
      <c r="A2601" s="2" t="s">
        <v>5844</v>
      </c>
      <c r="B2601" s="2" t="s">
        <v>5845</v>
      </c>
      <c r="C2601" s="2" t="s">
        <v>624</v>
      </c>
      <c r="D2601" s="2" t="s">
        <v>1109</v>
      </c>
      <c r="E2601" s="2"/>
      <c r="F2601" s="2" t="str">
        <f>"9783954666034"</f>
        <v>9783954666034</v>
      </c>
    </row>
    <row r="2602" spans="1:6" s="3" customFormat="1" ht="29.1" customHeight="1" x14ac:dyDescent="0.25">
      <c r="A2602" s="2" t="s">
        <v>5846</v>
      </c>
      <c r="B2602" s="2" t="s">
        <v>5847</v>
      </c>
      <c r="C2602" s="2" t="s">
        <v>624</v>
      </c>
      <c r="D2602" s="2" t="s">
        <v>3319</v>
      </c>
      <c r="E2602" s="2"/>
      <c r="F2602" s="2" t="str">
        <f>"9783954665297"</f>
        <v>9783954665297</v>
      </c>
    </row>
    <row r="2603" spans="1:6" s="3" customFormat="1" ht="29.1" customHeight="1" x14ac:dyDescent="0.25">
      <c r="A2603" s="2" t="s">
        <v>5848</v>
      </c>
      <c r="B2603" s="2" t="s">
        <v>5849</v>
      </c>
      <c r="C2603" s="2" t="s">
        <v>624</v>
      </c>
      <c r="D2603" s="2" t="s">
        <v>5550</v>
      </c>
      <c r="E2603" s="2"/>
      <c r="F2603" s="2" t="str">
        <f>"9783954665181"</f>
        <v>9783954665181</v>
      </c>
    </row>
    <row r="2604" spans="1:6" s="3" customFormat="1" ht="29.1" customHeight="1" x14ac:dyDescent="0.25">
      <c r="A2604" s="2" t="s">
        <v>5850</v>
      </c>
      <c r="B2604" s="2" t="s">
        <v>5851</v>
      </c>
      <c r="C2604" s="2" t="s">
        <v>624</v>
      </c>
      <c r="D2604" s="2" t="s">
        <v>1336</v>
      </c>
      <c r="E2604" s="2"/>
      <c r="F2604" s="2" t="str">
        <f>"9783954665167"</f>
        <v>9783954665167</v>
      </c>
    </row>
    <row r="2605" spans="1:6" s="3" customFormat="1" ht="29.1" customHeight="1" x14ac:dyDescent="0.25">
      <c r="A2605" s="2" t="s">
        <v>5852</v>
      </c>
      <c r="B2605" s="2" t="s">
        <v>5853</v>
      </c>
      <c r="C2605" s="2" t="s">
        <v>624</v>
      </c>
      <c r="D2605" s="2" t="s">
        <v>1109</v>
      </c>
      <c r="E2605" s="2"/>
      <c r="F2605" s="2" t="str">
        <f>"9783954664603"</f>
        <v>9783954664603</v>
      </c>
    </row>
    <row r="2606" spans="1:6" s="3" customFormat="1" ht="29.1" customHeight="1" x14ac:dyDescent="0.25">
      <c r="A2606" s="2" t="s">
        <v>5854</v>
      </c>
      <c r="B2606" s="2" t="s">
        <v>5855</v>
      </c>
      <c r="C2606" s="2" t="s">
        <v>624</v>
      </c>
      <c r="D2606" s="2" t="s">
        <v>5276</v>
      </c>
      <c r="E2606" s="2"/>
      <c r="F2606" s="2" t="str">
        <f>"9783954664597"</f>
        <v>9783954664597</v>
      </c>
    </row>
    <row r="2607" spans="1:6" s="3" customFormat="1" ht="29.1" customHeight="1" x14ac:dyDescent="0.25">
      <c r="A2607" s="2" t="s">
        <v>5856</v>
      </c>
      <c r="B2607" s="2" t="s">
        <v>5857</v>
      </c>
      <c r="C2607" s="2" t="s">
        <v>624</v>
      </c>
      <c r="D2607" s="2" t="s">
        <v>1109</v>
      </c>
      <c r="E2607" s="2"/>
      <c r="F2607" s="2" t="str">
        <f>"9783954664559"</f>
        <v>9783954664559</v>
      </c>
    </row>
    <row r="2608" spans="1:6" s="3" customFormat="1" ht="29.1" customHeight="1" x14ac:dyDescent="0.25">
      <c r="A2608" s="2" t="s">
        <v>5858</v>
      </c>
      <c r="B2608" s="2" t="s">
        <v>5859</v>
      </c>
      <c r="C2608" s="2" t="s">
        <v>624</v>
      </c>
      <c r="D2608" s="2" t="s">
        <v>1285</v>
      </c>
      <c r="E2608" s="2"/>
      <c r="F2608" s="2" t="str">
        <f>"9783954663712"</f>
        <v>9783954663712</v>
      </c>
    </row>
    <row r="2609" spans="1:6" s="3" customFormat="1" ht="29.1" customHeight="1" x14ac:dyDescent="0.25">
      <c r="A2609" s="2" t="s">
        <v>5860</v>
      </c>
      <c r="B2609" s="2" t="s">
        <v>5862</v>
      </c>
      <c r="C2609" s="2" t="s">
        <v>149</v>
      </c>
      <c r="D2609" s="2" t="s">
        <v>5861</v>
      </c>
      <c r="E2609" s="2" t="str">
        <f>"9781909890947"</f>
        <v>9781909890947</v>
      </c>
      <c r="F2609" s="2" t="str">
        <f>"9781909890954"</f>
        <v>9781909890954</v>
      </c>
    </row>
    <row r="2610" spans="1:6" s="3" customFormat="1" ht="29.1" customHeight="1" x14ac:dyDescent="0.25">
      <c r="A2610" s="2" t="s">
        <v>5863</v>
      </c>
      <c r="B2610" s="2" t="s">
        <v>5865</v>
      </c>
      <c r="C2610" s="2" t="s">
        <v>149</v>
      </c>
      <c r="D2610" s="2" t="s">
        <v>5864</v>
      </c>
      <c r="E2610" s="2" t="str">
        <f>"9781911712183"</f>
        <v>9781911712183</v>
      </c>
      <c r="F2610" s="2" t="str">
        <f>"9781911712190"</f>
        <v>9781911712190</v>
      </c>
    </row>
    <row r="2611" spans="1:6" s="3" customFormat="1" ht="29.1" customHeight="1" x14ac:dyDescent="0.25">
      <c r="A2611" s="2" t="s">
        <v>5866</v>
      </c>
      <c r="B2611" s="2" t="s">
        <v>5868</v>
      </c>
      <c r="C2611" s="2" t="s">
        <v>149</v>
      </c>
      <c r="D2611" s="2" t="s">
        <v>5867</v>
      </c>
      <c r="E2611" s="2" t="str">
        <f>"9781911712022"</f>
        <v>9781911712022</v>
      </c>
      <c r="F2611" s="2" t="str">
        <f>"9781911712039"</f>
        <v>9781911712039</v>
      </c>
    </row>
    <row r="2612" spans="1:6" s="3" customFormat="1" ht="29.1" customHeight="1" x14ac:dyDescent="0.25">
      <c r="A2612" s="2" t="s">
        <v>5869</v>
      </c>
      <c r="B2612" s="2" t="s">
        <v>5870</v>
      </c>
      <c r="C2612" s="2" t="s">
        <v>149</v>
      </c>
      <c r="D2612" s="2" t="s">
        <v>4190</v>
      </c>
      <c r="E2612" s="2" t="str">
        <f>"9781911712220"</f>
        <v>9781911712220</v>
      </c>
      <c r="F2612" s="2" t="str">
        <f>"9781911712237"</f>
        <v>9781911712237</v>
      </c>
    </row>
    <row r="2613" spans="1:6" s="3" customFormat="1" ht="29.1" customHeight="1" x14ac:dyDescent="0.25">
      <c r="A2613" s="2" t="s">
        <v>5871</v>
      </c>
      <c r="B2613" s="2" t="s">
        <v>5872</v>
      </c>
      <c r="C2613" s="2" t="s">
        <v>149</v>
      </c>
      <c r="D2613" s="2" t="s">
        <v>1162</v>
      </c>
      <c r="E2613" s="2" t="str">
        <f>"9781909890886"</f>
        <v>9781909890886</v>
      </c>
      <c r="F2613" s="2" t="str">
        <f>"9781909890893"</f>
        <v>9781909890893</v>
      </c>
    </row>
    <row r="2614" spans="1:6" s="3" customFormat="1" ht="29.1" customHeight="1" x14ac:dyDescent="0.25">
      <c r="A2614" s="2" t="s">
        <v>5873</v>
      </c>
      <c r="B2614" s="2" t="s">
        <v>5874</v>
      </c>
      <c r="C2614" s="2" t="s">
        <v>149</v>
      </c>
      <c r="D2614" s="2" t="s">
        <v>1155</v>
      </c>
      <c r="E2614" s="2" t="str">
        <f>"9781911712268"</f>
        <v>9781911712268</v>
      </c>
      <c r="F2614" s="2" t="str">
        <f>"9781911712275"</f>
        <v>9781911712275</v>
      </c>
    </row>
    <row r="2615" spans="1:6" s="3" customFormat="1" ht="29.1" customHeight="1" x14ac:dyDescent="0.25">
      <c r="A2615" s="2" t="s">
        <v>5875</v>
      </c>
      <c r="B2615" s="2" t="s">
        <v>5876</v>
      </c>
      <c r="C2615" s="2" t="s">
        <v>149</v>
      </c>
      <c r="D2615" s="2" t="s">
        <v>1162</v>
      </c>
      <c r="E2615" s="2" t="str">
        <f>"9781911712107"</f>
        <v>9781911712107</v>
      </c>
      <c r="F2615" s="2" t="str">
        <f>"9781911712114"</f>
        <v>9781911712114</v>
      </c>
    </row>
    <row r="2616" spans="1:6" s="3" customFormat="1" ht="29.1" customHeight="1" x14ac:dyDescent="0.25">
      <c r="A2616" s="2" t="s">
        <v>5877</v>
      </c>
      <c r="B2616" s="2" t="s">
        <v>5878</v>
      </c>
      <c r="C2616" s="2" t="s">
        <v>149</v>
      </c>
      <c r="D2616" s="2" t="s">
        <v>501</v>
      </c>
      <c r="E2616" s="2" t="str">
        <f>"9781909890725"</f>
        <v>9781909890725</v>
      </c>
      <c r="F2616" s="2" t="str">
        <f>"9781909890732"</f>
        <v>9781909890732</v>
      </c>
    </row>
    <row r="2617" spans="1:6" s="3" customFormat="1" ht="29.1" customHeight="1" x14ac:dyDescent="0.25">
      <c r="A2617" s="2" t="s">
        <v>5879</v>
      </c>
      <c r="B2617" s="2" t="s">
        <v>5880</v>
      </c>
      <c r="C2617" s="2" t="s">
        <v>149</v>
      </c>
      <c r="D2617" s="2" t="s">
        <v>5758</v>
      </c>
      <c r="E2617" s="2" t="str">
        <f>"9781909890688"</f>
        <v>9781909890688</v>
      </c>
      <c r="F2617" s="2" t="str">
        <f>"9781909890695"</f>
        <v>9781909890695</v>
      </c>
    </row>
    <row r="2618" spans="1:6" s="3" customFormat="1" ht="29.1" customHeight="1" x14ac:dyDescent="0.25">
      <c r="A2618" s="2" t="s">
        <v>5881</v>
      </c>
      <c r="B2618" s="2" t="s">
        <v>5882</v>
      </c>
      <c r="C2618" s="2" t="s">
        <v>624</v>
      </c>
      <c r="D2618" s="2" t="s">
        <v>3172</v>
      </c>
      <c r="E2618" s="2"/>
      <c r="F2618" s="2" t="str">
        <f>"9788797125113"</f>
        <v>9788797125113</v>
      </c>
    </row>
    <row r="2619" spans="1:6" s="3" customFormat="1" ht="29.1" customHeight="1" x14ac:dyDescent="0.25">
      <c r="A2619" s="2" t="s">
        <v>5883</v>
      </c>
      <c r="B2619" s="2" t="s">
        <v>5884</v>
      </c>
      <c r="C2619" s="2" t="s">
        <v>624</v>
      </c>
      <c r="D2619" s="2" t="s">
        <v>1237</v>
      </c>
      <c r="E2619" s="2" t="str">
        <f>"9781951634254"</f>
        <v>9781951634254</v>
      </c>
      <c r="F2619" s="2" t="str">
        <f>"9781951634261"</f>
        <v>9781951634261</v>
      </c>
    </row>
    <row r="2620" spans="1:6" s="3" customFormat="1" ht="29.1" customHeight="1" x14ac:dyDescent="0.25">
      <c r="A2620" s="2" t="s">
        <v>5885</v>
      </c>
      <c r="B2620" s="2" t="s">
        <v>5886</v>
      </c>
      <c r="C2620" s="2" t="s">
        <v>624</v>
      </c>
      <c r="D2620" s="2" t="s">
        <v>210</v>
      </c>
      <c r="E2620" s="2" t="str">
        <f>"9781951634247"</f>
        <v>9781951634247</v>
      </c>
      <c r="F2620" s="2" t="str">
        <f>"9781951634216"</f>
        <v>9781951634216</v>
      </c>
    </row>
    <row r="2621" spans="1:6" s="3" customFormat="1" ht="29.1" customHeight="1" x14ac:dyDescent="0.25">
      <c r="A2621" s="2" t="s">
        <v>5887</v>
      </c>
      <c r="B2621" s="2" t="s">
        <v>5889</v>
      </c>
      <c r="C2621" s="2" t="s">
        <v>624</v>
      </c>
      <c r="D2621" s="2" t="s">
        <v>5888</v>
      </c>
      <c r="E2621" s="2" t="str">
        <f>"9781951634124"</f>
        <v>9781951634124</v>
      </c>
      <c r="F2621" s="2" t="str">
        <f>"9781951634131"</f>
        <v>9781951634131</v>
      </c>
    </row>
    <row r="2622" spans="1:6" s="3" customFormat="1" ht="29.1" customHeight="1" x14ac:dyDescent="0.25">
      <c r="A2622" s="2" t="s">
        <v>5890</v>
      </c>
      <c r="B2622" s="2" t="s">
        <v>5891</v>
      </c>
      <c r="C2622" s="2" t="s">
        <v>624</v>
      </c>
      <c r="D2622" s="2" t="s">
        <v>202</v>
      </c>
      <c r="E2622" s="2" t="str">
        <f>"9781951634087"</f>
        <v>9781951634087</v>
      </c>
      <c r="F2622" s="2" t="str">
        <f>"9781951634094"</f>
        <v>9781951634094</v>
      </c>
    </row>
    <row r="2623" spans="1:6" s="3" customFormat="1" ht="29.1" customHeight="1" x14ac:dyDescent="0.25">
      <c r="A2623" s="2" t="s">
        <v>5892</v>
      </c>
      <c r="B2623" s="2" t="s">
        <v>5893</v>
      </c>
      <c r="C2623" s="2" t="s">
        <v>624</v>
      </c>
      <c r="D2623" s="2" t="s">
        <v>215</v>
      </c>
      <c r="E2623" s="2" t="str">
        <f>"9781951634049"</f>
        <v>9781951634049</v>
      </c>
      <c r="F2623" s="2" t="str">
        <f>"9781951634063"</f>
        <v>9781951634063</v>
      </c>
    </row>
    <row r="2624" spans="1:6" s="3" customFormat="1" ht="29.1" customHeight="1" x14ac:dyDescent="0.25">
      <c r="A2624" s="2" t="s">
        <v>5894</v>
      </c>
      <c r="B2624" s="2" t="s">
        <v>5895</v>
      </c>
      <c r="C2624" s="2" t="s">
        <v>624</v>
      </c>
      <c r="D2624" s="2" t="s">
        <v>210</v>
      </c>
      <c r="E2624" s="2" t="str">
        <f>"9781734028980"</f>
        <v>9781734028980</v>
      </c>
      <c r="F2624" s="2" t="str">
        <f>"9781734028997"</f>
        <v>9781734028997</v>
      </c>
    </row>
    <row r="2625" spans="1:6" s="3" customFormat="1" ht="29.1" customHeight="1" x14ac:dyDescent="0.25">
      <c r="A2625" s="2" t="s">
        <v>5896</v>
      </c>
      <c r="B2625" s="2" t="s">
        <v>5897</v>
      </c>
      <c r="C2625" s="2" t="s">
        <v>624</v>
      </c>
      <c r="D2625" s="2" t="s">
        <v>218</v>
      </c>
      <c r="E2625" s="2" t="str">
        <f>"9781734028942"</f>
        <v>9781734028942</v>
      </c>
      <c r="F2625" s="2" t="str">
        <f>"9781734028959"</f>
        <v>9781734028959</v>
      </c>
    </row>
    <row r="2626" spans="1:6" s="3" customFormat="1" ht="29.1" customHeight="1" x14ac:dyDescent="0.25">
      <c r="A2626" s="2" t="s">
        <v>5898</v>
      </c>
      <c r="B2626" s="2" t="s">
        <v>5899</v>
      </c>
      <c r="C2626" s="2" t="s">
        <v>624</v>
      </c>
      <c r="D2626" s="2" t="s">
        <v>5794</v>
      </c>
      <c r="E2626" s="2" t="str">
        <f>"9781951634438"</f>
        <v>9781951634438</v>
      </c>
      <c r="F2626" s="2" t="str">
        <f>"9781951634414"</f>
        <v>9781951634414</v>
      </c>
    </row>
    <row r="2627" spans="1:6" s="3" customFormat="1" ht="29.1" customHeight="1" x14ac:dyDescent="0.25">
      <c r="A2627" s="2" t="s">
        <v>5900</v>
      </c>
      <c r="B2627" s="2" t="s">
        <v>5901</v>
      </c>
      <c r="C2627" s="2" t="s">
        <v>624</v>
      </c>
      <c r="D2627" s="2" t="s">
        <v>183</v>
      </c>
      <c r="E2627" s="2" t="str">
        <f>"9781951634292"</f>
        <v>9781951634292</v>
      </c>
      <c r="F2627" s="2" t="str">
        <f>"9781951634308"</f>
        <v>9781951634308</v>
      </c>
    </row>
    <row r="2628" spans="1:6" s="3" customFormat="1" ht="29.1" customHeight="1" x14ac:dyDescent="0.25">
      <c r="A2628" s="2" t="s">
        <v>5902</v>
      </c>
      <c r="B2628" s="2" t="s">
        <v>5904</v>
      </c>
      <c r="C2628" s="2" t="s">
        <v>624</v>
      </c>
      <c r="D2628" s="2" t="s">
        <v>5903</v>
      </c>
      <c r="E2628" s="2" t="str">
        <f>"9781734028904"</f>
        <v>9781734028904</v>
      </c>
      <c r="F2628" s="2" t="str">
        <f>"9781734028911"</f>
        <v>9781734028911</v>
      </c>
    </row>
    <row r="2629" spans="1:6" s="3" customFormat="1" ht="29.1" customHeight="1" x14ac:dyDescent="0.25">
      <c r="A2629" s="2" t="s">
        <v>5905</v>
      </c>
      <c r="B2629" s="2" t="s">
        <v>5906</v>
      </c>
      <c r="C2629" s="2" t="s">
        <v>624</v>
      </c>
      <c r="D2629" s="2" t="s">
        <v>4013</v>
      </c>
      <c r="E2629" s="2" t="str">
        <f>"9781912482528"</f>
        <v>9781912482528</v>
      </c>
      <c r="F2629" s="2" t="str">
        <f>"9781912482535"</f>
        <v>9781912482535</v>
      </c>
    </row>
    <row r="2630" spans="1:6" s="3" customFormat="1" ht="29.1" customHeight="1" x14ac:dyDescent="0.25">
      <c r="A2630" s="2" t="s">
        <v>5907</v>
      </c>
      <c r="B2630" s="2" t="s">
        <v>5908</v>
      </c>
      <c r="C2630" s="2" t="s">
        <v>624</v>
      </c>
      <c r="D2630" s="2" t="s">
        <v>606</v>
      </c>
      <c r="E2630" s="2" t="str">
        <f>"9781912482283"</f>
        <v>9781912482283</v>
      </c>
      <c r="F2630" s="2" t="str">
        <f>"9781912482290"</f>
        <v>9781912482290</v>
      </c>
    </row>
    <row r="2631" spans="1:6" s="3" customFormat="1" ht="29.1" customHeight="1" x14ac:dyDescent="0.25">
      <c r="A2631" s="2" t="s">
        <v>5909</v>
      </c>
      <c r="B2631" s="2" t="s">
        <v>5911</v>
      </c>
      <c r="C2631" s="2" t="s">
        <v>624</v>
      </c>
      <c r="D2631" s="2" t="s">
        <v>5910</v>
      </c>
      <c r="E2631" s="2" t="str">
        <f>"9781912482405"</f>
        <v>9781912482405</v>
      </c>
      <c r="F2631" s="2" t="str">
        <f>"9781912482412"</f>
        <v>9781912482412</v>
      </c>
    </row>
    <row r="2632" spans="1:6" s="3" customFormat="1" ht="29.1" customHeight="1" x14ac:dyDescent="0.25">
      <c r="A2632" s="2" t="s">
        <v>5912</v>
      </c>
      <c r="B2632" s="2" t="s">
        <v>5913</v>
      </c>
      <c r="C2632" s="2" t="s">
        <v>624</v>
      </c>
      <c r="D2632" s="2" t="s">
        <v>3028</v>
      </c>
      <c r="E2632" s="2" t="str">
        <f>"9781912482443"</f>
        <v>9781912482443</v>
      </c>
      <c r="F2632" s="2" t="str">
        <f>"9781912482450"</f>
        <v>9781912482450</v>
      </c>
    </row>
    <row r="2633" spans="1:6" s="3" customFormat="1" ht="29.1" customHeight="1" x14ac:dyDescent="0.25">
      <c r="A2633" s="2" t="s">
        <v>5914</v>
      </c>
      <c r="B2633" s="2" t="s">
        <v>5916</v>
      </c>
      <c r="C2633" s="2" t="s">
        <v>624</v>
      </c>
      <c r="D2633" s="2" t="s">
        <v>5915</v>
      </c>
      <c r="E2633" s="2" t="str">
        <f>"9781912482320"</f>
        <v>9781912482320</v>
      </c>
      <c r="F2633" s="2" t="str">
        <f>"9781912482337"</f>
        <v>9781912482337</v>
      </c>
    </row>
    <row r="2634" spans="1:6" s="3" customFormat="1" ht="29.1" customHeight="1" x14ac:dyDescent="0.25">
      <c r="A2634" s="2" t="s">
        <v>5917</v>
      </c>
      <c r="B2634" s="2" t="s">
        <v>5919</v>
      </c>
      <c r="C2634" s="2" t="s">
        <v>624</v>
      </c>
      <c r="D2634" s="2" t="s">
        <v>5918</v>
      </c>
      <c r="E2634" s="2" t="str">
        <f>"9781912482085"</f>
        <v>9781912482085</v>
      </c>
      <c r="F2634" s="2" t="str">
        <f>"9781912482092"</f>
        <v>9781912482092</v>
      </c>
    </row>
    <row r="2635" spans="1:6" s="3" customFormat="1" ht="29.1" customHeight="1" x14ac:dyDescent="0.25">
      <c r="A2635" s="2" t="s">
        <v>5920</v>
      </c>
      <c r="B2635" s="2" t="s">
        <v>5921</v>
      </c>
      <c r="C2635" s="2" t="s">
        <v>624</v>
      </c>
      <c r="D2635" s="2" t="s">
        <v>4582</v>
      </c>
      <c r="E2635" s="2" t="str">
        <f>"9781912482122"</f>
        <v>9781912482122</v>
      </c>
      <c r="F2635" s="2" t="str">
        <f>"9781912482139"</f>
        <v>9781912482139</v>
      </c>
    </row>
    <row r="2636" spans="1:6" s="3" customFormat="1" ht="29.1" customHeight="1" x14ac:dyDescent="0.25">
      <c r="A2636" s="2" t="s">
        <v>5922</v>
      </c>
      <c r="B2636" s="2" t="s">
        <v>5923</v>
      </c>
      <c r="C2636" s="2" t="s">
        <v>624</v>
      </c>
      <c r="D2636" s="2" t="s">
        <v>897</v>
      </c>
      <c r="E2636" s="2" t="str">
        <f>"9781912482481"</f>
        <v>9781912482481</v>
      </c>
      <c r="F2636" s="2" t="str">
        <f>"9781912482498"</f>
        <v>9781912482498</v>
      </c>
    </row>
    <row r="2637" spans="1:6" s="3" customFormat="1" ht="29.1" customHeight="1" x14ac:dyDescent="0.25">
      <c r="A2637" s="2" t="s">
        <v>5924</v>
      </c>
      <c r="B2637" s="2" t="s">
        <v>5925</v>
      </c>
      <c r="C2637" s="2" t="s">
        <v>624</v>
      </c>
      <c r="D2637" s="2" t="s">
        <v>1416</v>
      </c>
      <c r="E2637" s="2"/>
      <c r="F2637" s="2" t="str">
        <f>"9789176555163"</f>
        <v>9789176555163</v>
      </c>
    </row>
    <row r="2638" spans="1:6" s="3" customFormat="1" ht="29.1" customHeight="1" x14ac:dyDescent="0.25">
      <c r="A2638" s="2" t="s">
        <v>5926</v>
      </c>
      <c r="B2638" s="2" t="s">
        <v>5925</v>
      </c>
      <c r="C2638" s="2" t="s">
        <v>624</v>
      </c>
      <c r="D2638" s="2" t="s">
        <v>1416</v>
      </c>
      <c r="E2638" s="2"/>
      <c r="F2638" s="2" t="str">
        <f>"9789176555156"</f>
        <v>9789176555156</v>
      </c>
    </row>
    <row r="2639" spans="1:6" s="3" customFormat="1" ht="29.1" customHeight="1" x14ac:dyDescent="0.25">
      <c r="A2639" s="2" t="s">
        <v>5927</v>
      </c>
      <c r="B2639" s="2" t="s">
        <v>5928</v>
      </c>
      <c r="C2639" s="2" t="s">
        <v>624</v>
      </c>
      <c r="D2639" s="2" t="s">
        <v>37</v>
      </c>
      <c r="E2639" s="2" t="str">
        <f>"9789170614453"</f>
        <v>9789170614453</v>
      </c>
      <c r="F2639" s="2" t="str">
        <f>"9789176554456"</f>
        <v>9789176554456</v>
      </c>
    </row>
    <row r="2640" spans="1:6" s="3" customFormat="1" ht="29.1" customHeight="1" x14ac:dyDescent="0.25">
      <c r="A2640" s="2" t="s">
        <v>5929</v>
      </c>
      <c r="B2640" s="2" t="s">
        <v>5931</v>
      </c>
      <c r="C2640" s="2" t="s">
        <v>624</v>
      </c>
      <c r="D2640" s="2" t="s">
        <v>5930</v>
      </c>
      <c r="E2640" s="2" t="str">
        <f>"9789170614637"</f>
        <v>9789170614637</v>
      </c>
      <c r="F2640" s="2" t="str">
        <f>"9789170619632"</f>
        <v>9789170619632</v>
      </c>
    </row>
    <row r="2641" spans="1:6" s="3" customFormat="1" ht="29.1" customHeight="1" x14ac:dyDescent="0.25">
      <c r="A2641" s="2" t="s">
        <v>5932</v>
      </c>
      <c r="B2641" s="2" t="s">
        <v>5933</v>
      </c>
      <c r="C2641" s="2" t="s">
        <v>624</v>
      </c>
      <c r="D2641" s="2" t="s">
        <v>297</v>
      </c>
      <c r="E2641" s="2" t="str">
        <f>"9789170614613"</f>
        <v>9789170614613</v>
      </c>
      <c r="F2641" s="2" t="str">
        <f>"9789170619618"</f>
        <v>9789170619618</v>
      </c>
    </row>
    <row r="2642" spans="1:6" s="3" customFormat="1" ht="29.1" customHeight="1" x14ac:dyDescent="0.25">
      <c r="A2642" s="2" t="s">
        <v>5934</v>
      </c>
      <c r="B2642" s="2" t="s">
        <v>5935</v>
      </c>
      <c r="C2642" s="2" t="s">
        <v>624</v>
      </c>
      <c r="D2642" s="2" t="s">
        <v>1162</v>
      </c>
      <c r="E2642" s="2" t="str">
        <f>"9789170614293"</f>
        <v>9789170614293</v>
      </c>
      <c r="F2642" s="2" t="str">
        <f>"9789170619298"</f>
        <v>9789170619298</v>
      </c>
    </row>
    <row r="2643" spans="1:6" s="3" customFormat="1" ht="29.1" customHeight="1" x14ac:dyDescent="0.25">
      <c r="A2643" s="2" t="s">
        <v>5936</v>
      </c>
      <c r="B2643" s="2" t="s">
        <v>5938</v>
      </c>
      <c r="C2643" s="2" t="s">
        <v>624</v>
      </c>
      <c r="D2643" s="2" t="s">
        <v>5937</v>
      </c>
      <c r="E2643" s="2" t="str">
        <f>"9789170614279"</f>
        <v>9789170614279</v>
      </c>
      <c r="F2643" s="2" t="str">
        <f>"9789170619274"</f>
        <v>9789170619274</v>
      </c>
    </row>
    <row r="2644" spans="1:6" s="3" customFormat="1" ht="29.1" customHeight="1" x14ac:dyDescent="0.25">
      <c r="A2644" s="2" t="s">
        <v>5939</v>
      </c>
      <c r="B2644" s="2" t="s">
        <v>5940</v>
      </c>
      <c r="C2644" s="2" t="s">
        <v>624</v>
      </c>
      <c r="D2644" s="2" t="s">
        <v>3713</v>
      </c>
      <c r="E2644" s="2" t="str">
        <f>"9789170613968"</f>
        <v>9789170613968</v>
      </c>
      <c r="F2644" s="2" t="str">
        <f>"9789170618963"</f>
        <v>9789170618963</v>
      </c>
    </row>
    <row r="2645" spans="1:6" s="3" customFormat="1" ht="29.1" customHeight="1" x14ac:dyDescent="0.25">
      <c r="A2645" s="2" t="s">
        <v>5941</v>
      </c>
      <c r="B2645" s="2" t="s">
        <v>5942</v>
      </c>
      <c r="C2645" s="2" t="s">
        <v>624</v>
      </c>
      <c r="D2645" s="2" t="s">
        <v>446</v>
      </c>
      <c r="E2645" s="2" t="str">
        <f>"9789170614262"</f>
        <v>9789170614262</v>
      </c>
      <c r="F2645" s="2" t="str">
        <f>"9789170619267"</f>
        <v>9789170619267</v>
      </c>
    </row>
    <row r="2646" spans="1:6" s="3" customFormat="1" ht="29.1" customHeight="1" x14ac:dyDescent="0.25">
      <c r="A2646" s="2" t="s">
        <v>5943</v>
      </c>
      <c r="B2646" s="2" t="s">
        <v>5944</v>
      </c>
      <c r="C2646" s="2" t="s">
        <v>624</v>
      </c>
      <c r="D2646" s="2" t="s">
        <v>1437</v>
      </c>
      <c r="E2646" s="2" t="str">
        <f>"9789170613807"</f>
        <v>9789170613807</v>
      </c>
      <c r="F2646" s="2" t="str">
        <f>"9789170618802"</f>
        <v>9789170618802</v>
      </c>
    </row>
    <row r="2647" spans="1:6" s="3" customFormat="1" ht="29.1" customHeight="1" x14ac:dyDescent="0.25">
      <c r="A2647" s="2" t="s">
        <v>5945</v>
      </c>
      <c r="B2647" s="2" t="s">
        <v>5946</v>
      </c>
      <c r="C2647" s="2" t="s">
        <v>624</v>
      </c>
      <c r="D2647" s="2" t="s">
        <v>2332</v>
      </c>
      <c r="E2647" s="2"/>
      <c r="F2647" s="2" t="str">
        <f>"9789170618796"</f>
        <v>9789170618796</v>
      </c>
    </row>
    <row r="2648" spans="1:6" s="3" customFormat="1" ht="29.1" customHeight="1" x14ac:dyDescent="0.25">
      <c r="A2648" s="2" t="s">
        <v>5947</v>
      </c>
      <c r="B2648" s="2" t="s">
        <v>5948</v>
      </c>
      <c r="C2648" s="2" t="s">
        <v>624</v>
      </c>
      <c r="D2648" s="2" t="s">
        <v>75</v>
      </c>
      <c r="E2648" s="2" t="str">
        <f>"9789170613937"</f>
        <v>9789170613937</v>
      </c>
      <c r="F2648" s="2" t="str">
        <f>"9789170618932"</f>
        <v>9789170618932</v>
      </c>
    </row>
    <row r="2649" spans="1:6" s="3" customFormat="1" ht="29.1" customHeight="1" x14ac:dyDescent="0.25">
      <c r="A2649" s="2" t="s">
        <v>5949</v>
      </c>
      <c r="B2649" s="2" t="s">
        <v>5950</v>
      </c>
      <c r="C2649" s="2" t="s">
        <v>624</v>
      </c>
      <c r="D2649" s="2" t="s">
        <v>5266</v>
      </c>
      <c r="E2649" s="2" t="str">
        <f>"9789170611971"</f>
        <v>9789170611971</v>
      </c>
      <c r="F2649" s="2" t="str">
        <f>"9789170616976"</f>
        <v>9789170616976</v>
      </c>
    </row>
    <row r="2650" spans="1:6" s="3" customFormat="1" ht="29.1" customHeight="1" x14ac:dyDescent="0.25">
      <c r="A2650" s="2" t="s">
        <v>5951</v>
      </c>
      <c r="B2650" s="2" t="s">
        <v>5952</v>
      </c>
      <c r="C2650" s="2" t="s">
        <v>624</v>
      </c>
      <c r="D2650" s="2" t="s">
        <v>75</v>
      </c>
      <c r="E2650" s="2" t="str">
        <f>"9789170613319"</f>
        <v>9789170613319</v>
      </c>
      <c r="F2650" s="2" t="str">
        <f>"9789170618314"</f>
        <v>9789170618314</v>
      </c>
    </row>
    <row r="2651" spans="1:6" s="3" customFormat="1" ht="29.1" customHeight="1" x14ac:dyDescent="0.25">
      <c r="A2651" s="2" t="s">
        <v>5953</v>
      </c>
      <c r="B2651" s="2" t="s">
        <v>5954</v>
      </c>
      <c r="C2651" s="2" t="s">
        <v>624</v>
      </c>
      <c r="D2651" s="2" t="s">
        <v>1104</v>
      </c>
      <c r="E2651" s="2" t="str">
        <f>"9789170613050"</f>
        <v>9789170613050</v>
      </c>
      <c r="F2651" s="2" t="str">
        <f>"9789170618055"</f>
        <v>9789170618055</v>
      </c>
    </row>
    <row r="2652" spans="1:6" s="3" customFormat="1" ht="29.1" customHeight="1" x14ac:dyDescent="0.25">
      <c r="A2652" s="2" t="s">
        <v>5955</v>
      </c>
      <c r="B2652" s="2" t="s">
        <v>5956</v>
      </c>
      <c r="C2652" s="2" t="s">
        <v>624</v>
      </c>
      <c r="D2652" s="2" t="s">
        <v>3185</v>
      </c>
      <c r="E2652" s="2"/>
      <c r="F2652" s="2" t="str">
        <f>"9789170617614"</f>
        <v>9789170617614</v>
      </c>
    </row>
    <row r="2653" spans="1:6" s="3" customFormat="1" ht="29.1" customHeight="1" x14ac:dyDescent="0.25">
      <c r="A2653" s="2" t="s">
        <v>5957</v>
      </c>
      <c r="B2653" s="2" t="s">
        <v>5958</v>
      </c>
      <c r="C2653" s="2" t="s">
        <v>624</v>
      </c>
      <c r="D2653" s="2" t="s">
        <v>606</v>
      </c>
      <c r="E2653" s="2" t="str">
        <f>"9789188168795"</f>
        <v>9789188168795</v>
      </c>
      <c r="F2653" s="2" t="str">
        <f>"9789188661203"</f>
        <v>9789188661203</v>
      </c>
    </row>
    <row r="2654" spans="1:6" s="3" customFormat="1" ht="29.1" customHeight="1" x14ac:dyDescent="0.25">
      <c r="A2654" s="2" t="s">
        <v>5959</v>
      </c>
      <c r="B2654" s="2" t="s">
        <v>5960</v>
      </c>
      <c r="C2654" s="2" t="s">
        <v>624</v>
      </c>
      <c r="D2654" s="2" t="s">
        <v>118</v>
      </c>
      <c r="E2654" s="2" t="str">
        <f>"9789173469937"</f>
        <v>9789173469937</v>
      </c>
      <c r="F2654" s="2" t="str">
        <f>"9789173469951"</f>
        <v>9789173469951</v>
      </c>
    </row>
    <row r="2655" spans="1:6" s="3" customFormat="1" ht="29.1" customHeight="1" x14ac:dyDescent="0.25">
      <c r="A2655" s="2" t="s">
        <v>5961</v>
      </c>
      <c r="B2655" s="2" t="s">
        <v>5962</v>
      </c>
      <c r="C2655" s="2" t="s">
        <v>624</v>
      </c>
      <c r="D2655" s="2" t="s">
        <v>497</v>
      </c>
      <c r="E2655" s="2" t="str">
        <f>"9789173468893"</f>
        <v>9789173468893</v>
      </c>
      <c r="F2655" s="2" t="str">
        <f>"9789173468909"</f>
        <v>9789173468909</v>
      </c>
    </row>
    <row r="2656" spans="1:6" s="3" customFormat="1" ht="29.1" customHeight="1" x14ac:dyDescent="0.25">
      <c r="A2656" s="2" t="s">
        <v>5963</v>
      </c>
      <c r="B2656" s="2" t="s">
        <v>5964</v>
      </c>
      <c r="C2656" s="2" t="s">
        <v>624</v>
      </c>
      <c r="D2656" s="2" t="s">
        <v>3713</v>
      </c>
      <c r="E2656" s="2" t="str">
        <f>"9789179630584"</f>
        <v>9789179630584</v>
      </c>
      <c r="F2656" s="2" t="str">
        <f>"9789179630591"</f>
        <v>9789179630591</v>
      </c>
    </row>
    <row r="2657" spans="1:6" s="3" customFormat="1" ht="29.1" customHeight="1" x14ac:dyDescent="0.25">
      <c r="A2657" s="2" t="s">
        <v>5965</v>
      </c>
      <c r="B2657" s="2" t="s">
        <v>5966</v>
      </c>
      <c r="C2657" s="2" t="s">
        <v>624</v>
      </c>
      <c r="D2657" s="2" t="s">
        <v>459</v>
      </c>
      <c r="E2657" s="2" t="str">
        <f>"9789518589283"</f>
        <v>9789518589283</v>
      </c>
      <c r="F2657" s="2" t="str">
        <f>"9789518589290"</f>
        <v>9789518589290</v>
      </c>
    </row>
    <row r="2658" spans="1:6" s="3" customFormat="1" ht="29.1" customHeight="1" x14ac:dyDescent="0.25">
      <c r="A2658" s="2" t="s">
        <v>5967</v>
      </c>
      <c r="B2658" s="2" t="s">
        <v>2035</v>
      </c>
      <c r="C2658" s="2" t="s">
        <v>624</v>
      </c>
      <c r="D2658" s="2" t="s">
        <v>218</v>
      </c>
      <c r="E2658" s="2" t="str">
        <f>"9789518589221"</f>
        <v>9789518589221</v>
      </c>
      <c r="F2658" s="2" t="str">
        <f>"9789518589238"</f>
        <v>9789518589238</v>
      </c>
    </row>
    <row r="2659" spans="1:6" s="3" customFormat="1" ht="29.1" customHeight="1" x14ac:dyDescent="0.25">
      <c r="A2659" s="2" t="s">
        <v>5968</v>
      </c>
      <c r="B2659" s="2" t="s">
        <v>5970</v>
      </c>
      <c r="C2659" s="2" t="s">
        <v>624</v>
      </c>
      <c r="D2659" s="2" t="s">
        <v>5969</v>
      </c>
      <c r="E2659" s="2" t="str">
        <f>"9789518588583"</f>
        <v>9789518588583</v>
      </c>
      <c r="F2659" s="2" t="str">
        <f>"9789518588590"</f>
        <v>9789518588590</v>
      </c>
    </row>
    <row r="2660" spans="1:6" s="3" customFormat="1" ht="29.1" customHeight="1" x14ac:dyDescent="0.25">
      <c r="A2660" s="2" t="s">
        <v>5971</v>
      </c>
      <c r="B2660" s="2" t="s">
        <v>5972</v>
      </c>
      <c r="C2660" s="2" t="s">
        <v>624</v>
      </c>
      <c r="D2660" s="2" t="s">
        <v>1248</v>
      </c>
      <c r="E2660" s="2" t="str">
        <f>"9789518588521"</f>
        <v>9789518588521</v>
      </c>
      <c r="F2660" s="2" t="str">
        <f>"9789518588538"</f>
        <v>9789518588538</v>
      </c>
    </row>
    <row r="2661" spans="1:6" s="3" customFormat="1" ht="29.1" customHeight="1" x14ac:dyDescent="0.25">
      <c r="A2661" s="2" t="s">
        <v>5973</v>
      </c>
      <c r="B2661" s="2" t="s">
        <v>5974</v>
      </c>
      <c r="C2661" s="2" t="s">
        <v>624</v>
      </c>
      <c r="D2661" s="2" t="s">
        <v>509</v>
      </c>
      <c r="E2661" s="2" t="str">
        <f>"9789518586220"</f>
        <v>9789518586220</v>
      </c>
      <c r="F2661" s="2" t="str">
        <f>"9789518586237"</f>
        <v>9789518586237</v>
      </c>
    </row>
    <row r="2662" spans="1:6" s="3" customFormat="1" ht="29.1" customHeight="1" x14ac:dyDescent="0.25">
      <c r="A2662" s="2" t="s">
        <v>5975</v>
      </c>
      <c r="B2662" s="2" t="s">
        <v>2035</v>
      </c>
      <c r="C2662" s="2" t="s">
        <v>624</v>
      </c>
      <c r="D2662" s="2" t="s">
        <v>408</v>
      </c>
      <c r="E2662" s="2" t="str">
        <f>"9789518586190"</f>
        <v>9789518586190</v>
      </c>
      <c r="F2662" s="2" t="str">
        <f>"9789518586206"</f>
        <v>9789518586206</v>
      </c>
    </row>
    <row r="2663" spans="1:6" s="3" customFormat="1" ht="29.1" customHeight="1" x14ac:dyDescent="0.25">
      <c r="A2663" s="2" t="s">
        <v>5976</v>
      </c>
      <c r="B2663" s="2" t="s">
        <v>5977</v>
      </c>
      <c r="C2663" s="2" t="s">
        <v>624</v>
      </c>
      <c r="D2663" s="2" t="s">
        <v>5832</v>
      </c>
      <c r="E2663" s="2" t="str">
        <f>"9789518586114"</f>
        <v>9789518586114</v>
      </c>
      <c r="F2663" s="2" t="str">
        <f>"9789518586121"</f>
        <v>9789518586121</v>
      </c>
    </row>
    <row r="2664" spans="1:6" s="3" customFormat="1" ht="29.1" customHeight="1" x14ac:dyDescent="0.25">
      <c r="A2664" s="2" t="s">
        <v>5978</v>
      </c>
      <c r="B2664" s="2" t="s">
        <v>2035</v>
      </c>
      <c r="C2664" s="2" t="s">
        <v>624</v>
      </c>
      <c r="D2664" s="2" t="s">
        <v>408</v>
      </c>
      <c r="E2664" s="2" t="str">
        <f>"9789518585995"</f>
        <v>9789518585995</v>
      </c>
      <c r="F2664" s="2" t="str">
        <f>"9789518586008"</f>
        <v>9789518586008</v>
      </c>
    </row>
    <row r="2665" spans="1:6" s="3" customFormat="1" ht="29.1" customHeight="1" x14ac:dyDescent="0.25">
      <c r="A2665" s="2" t="s">
        <v>5979</v>
      </c>
      <c r="B2665" s="2" t="s">
        <v>5981</v>
      </c>
      <c r="C2665" s="2" t="s">
        <v>624</v>
      </c>
      <c r="D2665" s="2" t="s">
        <v>5980</v>
      </c>
      <c r="E2665" s="2" t="str">
        <f>"9789518585933"</f>
        <v>9789518585933</v>
      </c>
      <c r="F2665" s="2" t="str">
        <f>"9789518585940"</f>
        <v>9789518585940</v>
      </c>
    </row>
    <row r="2666" spans="1:6" s="3" customFormat="1" ht="29.1" customHeight="1" x14ac:dyDescent="0.25">
      <c r="A2666" s="2" t="s">
        <v>5982</v>
      </c>
      <c r="B2666" s="2" t="s">
        <v>5984</v>
      </c>
      <c r="C2666" s="2" t="s">
        <v>624</v>
      </c>
      <c r="D2666" s="2" t="s">
        <v>5983</v>
      </c>
      <c r="E2666" s="2" t="str">
        <f>"9789518585681"</f>
        <v>9789518585681</v>
      </c>
      <c r="F2666" s="2" t="str">
        <f>"9789518585698"</f>
        <v>9789518585698</v>
      </c>
    </row>
    <row r="2667" spans="1:6" s="3" customFormat="1" ht="29.1" customHeight="1" x14ac:dyDescent="0.25">
      <c r="A2667" s="2" t="s">
        <v>5985</v>
      </c>
      <c r="B2667" s="2" t="s">
        <v>5986</v>
      </c>
      <c r="C2667" s="2" t="s">
        <v>624</v>
      </c>
      <c r="D2667" s="2" t="s">
        <v>689</v>
      </c>
      <c r="E2667" s="2" t="str">
        <f>"9789518584509"</f>
        <v>9789518584509</v>
      </c>
      <c r="F2667" s="2" t="str">
        <f>"9789518584516"</f>
        <v>9789518584516</v>
      </c>
    </row>
    <row r="2668" spans="1:6" s="3" customFormat="1" ht="29.1" customHeight="1" x14ac:dyDescent="0.25">
      <c r="A2668" s="2" t="s">
        <v>5987</v>
      </c>
      <c r="B2668" s="2" t="s">
        <v>5988</v>
      </c>
      <c r="C2668" s="2" t="s">
        <v>624</v>
      </c>
      <c r="D2668" s="2" t="s">
        <v>5144</v>
      </c>
      <c r="E2668" s="2" t="str">
        <f>"9789518584134"</f>
        <v>9789518584134</v>
      </c>
      <c r="F2668" s="2" t="str">
        <f>"9789518584141"</f>
        <v>9789518584141</v>
      </c>
    </row>
    <row r="2669" spans="1:6" s="3" customFormat="1" ht="29.1" customHeight="1" x14ac:dyDescent="0.25">
      <c r="A2669" s="2" t="s">
        <v>5989</v>
      </c>
      <c r="B2669" s="2" t="s">
        <v>5990</v>
      </c>
      <c r="C2669" s="2" t="s">
        <v>624</v>
      </c>
      <c r="D2669" s="2" t="s">
        <v>5360</v>
      </c>
      <c r="E2669" s="2" t="str">
        <f>"9789522227416"</f>
        <v>9789522227416</v>
      </c>
      <c r="F2669" s="2" t="str">
        <f>"9789522229366"</f>
        <v>9789522229366</v>
      </c>
    </row>
    <row r="2670" spans="1:6" s="3" customFormat="1" ht="29.1" customHeight="1" x14ac:dyDescent="0.25">
      <c r="A2670" s="2" t="s">
        <v>5991</v>
      </c>
      <c r="B2670" s="2" t="s">
        <v>5992</v>
      </c>
      <c r="C2670" s="2" t="s">
        <v>624</v>
      </c>
      <c r="D2670" s="2" t="s">
        <v>3445</v>
      </c>
      <c r="E2670" s="2" t="str">
        <f>"9789518589313"</f>
        <v>9789518589313</v>
      </c>
      <c r="F2670" s="2" t="str">
        <f>"9789518589320"</f>
        <v>9789518589320</v>
      </c>
    </row>
    <row r="2671" spans="1:6" s="3" customFormat="1" ht="29.1" customHeight="1" x14ac:dyDescent="0.25">
      <c r="A2671" s="2" t="s">
        <v>5993</v>
      </c>
      <c r="B2671" s="2" t="s">
        <v>5992</v>
      </c>
      <c r="C2671" s="2" t="s">
        <v>624</v>
      </c>
      <c r="D2671" s="2" t="s">
        <v>4940</v>
      </c>
      <c r="E2671" s="2" t="str">
        <f>"9789518588613"</f>
        <v>9789518588613</v>
      </c>
      <c r="F2671" s="2" t="str">
        <f>"9789518588620"</f>
        <v>9789518588620</v>
      </c>
    </row>
    <row r="2672" spans="1:6" s="3" customFormat="1" ht="29.1" customHeight="1" x14ac:dyDescent="0.25">
      <c r="A2672" s="2" t="s">
        <v>5994</v>
      </c>
      <c r="B2672" s="2" t="s">
        <v>5996</v>
      </c>
      <c r="C2672" s="2" t="s">
        <v>624</v>
      </c>
      <c r="D2672" s="2" t="s">
        <v>5995</v>
      </c>
      <c r="E2672" s="2" t="str">
        <f>"9789518588798"</f>
        <v>9789518588798</v>
      </c>
      <c r="F2672" s="2" t="str">
        <f>"9789518588804"</f>
        <v>9789518588804</v>
      </c>
    </row>
    <row r="2673" spans="1:6" s="3" customFormat="1" ht="29.1" customHeight="1" x14ac:dyDescent="0.25">
      <c r="A2673" s="2" t="s">
        <v>5997</v>
      </c>
      <c r="B2673" s="2" t="s">
        <v>5998</v>
      </c>
      <c r="C2673" s="2" t="s">
        <v>624</v>
      </c>
      <c r="D2673" s="2" t="s">
        <v>1253</v>
      </c>
      <c r="E2673" s="2" t="str">
        <f>"9789518586343"</f>
        <v>9789518586343</v>
      </c>
      <c r="F2673" s="2" t="str">
        <f>"9789518586350"</f>
        <v>9789518586350</v>
      </c>
    </row>
    <row r="2674" spans="1:6" s="3" customFormat="1" ht="29.1" customHeight="1" x14ac:dyDescent="0.25">
      <c r="A2674" s="2" t="s">
        <v>5999</v>
      </c>
      <c r="B2674" s="2" t="s">
        <v>6000</v>
      </c>
      <c r="C2674" s="2" t="s">
        <v>624</v>
      </c>
      <c r="D2674" s="2" t="s">
        <v>5493</v>
      </c>
      <c r="E2674" s="2" t="str">
        <f>"9789518586084"</f>
        <v>9789518586084</v>
      </c>
      <c r="F2674" s="2" t="str">
        <f>"9789518586091"</f>
        <v>9789518586091</v>
      </c>
    </row>
    <row r="2675" spans="1:6" s="3" customFormat="1" ht="29.1" customHeight="1" x14ac:dyDescent="0.25">
      <c r="A2675" s="2" t="s">
        <v>6001</v>
      </c>
      <c r="B2675" s="2" t="s">
        <v>6003</v>
      </c>
      <c r="C2675" s="2" t="s">
        <v>624</v>
      </c>
      <c r="D2675" s="2" t="s">
        <v>6002</v>
      </c>
      <c r="E2675" s="2" t="str">
        <f>"9789518585780"</f>
        <v>9789518585780</v>
      </c>
      <c r="F2675" s="2" t="str">
        <f>"9789518585797"</f>
        <v>9789518585797</v>
      </c>
    </row>
    <row r="2676" spans="1:6" s="3" customFormat="1" ht="29.1" customHeight="1" x14ac:dyDescent="0.25">
      <c r="A2676" s="2" t="s">
        <v>6004</v>
      </c>
      <c r="B2676" s="2" t="s">
        <v>6005</v>
      </c>
      <c r="C2676" s="2" t="s">
        <v>624</v>
      </c>
      <c r="D2676" s="2" t="s">
        <v>465</v>
      </c>
      <c r="E2676" s="2" t="str">
        <f>"9789518584530"</f>
        <v>9789518584530</v>
      </c>
      <c r="F2676" s="2" t="str">
        <f>"9789518584547"</f>
        <v>9789518584547</v>
      </c>
    </row>
    <row r="2677" spans="1:6" s="3" customFormat="1" ht="29.1" customHeight="1" x14ac:dyDescent="0.25">
      <c r="A2677" s="2" t="s">
        <v>6006</v>
      </c>
      <c r="B2677" s="2" t="s">
        <v>5130</v>
      </c>
      <c r="C2677" s="2" t="s">
        <v>624</v>
      </c>
      <c r="D2677" s="2" t="s">
        <v>465</v>
      </c>
      <c r="E2677" s="2" t="str">
        <f>"9789518584417"</f>
        <v>9789518584417</v>
      </c>
      <c r="F2677" s="2" t="str">
        <f>"9789518584424"</f>
        <v>9789518584424</v>
      </c>
    </row>
    <row r="2678" spans="1:6" s="3" customFormat="1" ht="29.1" customHeight="1" x14ac:dyDescent="0.25">
      <c r="A2678" s="2" t="s">
        <v>6007</v>
      </c>
      <c r="B2678" s="2" t="s">
        <v>6008</v>
      </c>
      <c r="C2678" s="2" t="s">
        <v>624</v>
      </c>
      <c r="D2678" s="2" t="s">
        <v>465</v>
      </c>
      <c r="E2678" s="2" t="str">
        <f>"9789518582819"</f>
        <v>9789518582819</v>
      </c>
      <c r="F2678" s="2" t="str">
        <f>"9789518583885"</f>
        <v>9789518583885</v>
      </c>
    </row>
    <row r="2679" spans="1:6" s="3" customFormat="1" ht="29.1" customHeight="1" x14ac:dyDescent="0.25">
      <c r="A2679" s="2" t="s">
        <v>6009</v>
      </c>
      <c r="B2679" s="2" t="s">
        <v>6010</v>
      </c>
      <c r="C2679" s="2" t="s">
        <v>624</v>
      </c>
      <c r="D2679" s="2" t="s">
        <v>3043</v>
      </c>
      <c r="E2679" s="2" t="str">
        <f>"9789522228611"</f>
        <v>9789522228611</v>
      </c>
      <c r="F2679" s="2" t="str">
        <f>"9789522228710"</f>
        <v>9789522228710</v>
      </c>
    </row>
    <row r="2680" spans="1:6" s="3" customFormat="1" ht="29.1" customHeight="1" x14ac:dyDescent="0.25">
      <c r="A2680" s="2" t="s">
        <v>6011</v>
      </c>
      <c r="B2680" s="2" t="s">
        <v>6012</v>
      </c>
      <c r="C2680" s="2" t="s">
        <v>624</v>
      </c>
      <c r="D2680" s="2" t="s">
        <v>636</v>
      </c>
      <c r="E2680" s="2" t="str">
        <f>"9789522228604"</f>
        <v>9789522228604</v>
      </c>
      <c r="F2680" s="2" t="str">
        <f>"9789522229199"</f>
        <v>9789522229199</v>
      </c>
    </row>
    <row r="2681" spans="1:6" s="3" customFormat="1" ht="29.1" customHeight="1" x14ac:dyDescent="0.25">
      <c r="A2681" s="2" t="s">
        <v>6013</v>
      </c>
      <c r="B2681" s="2" t="s">
        <v>6014</v>
      </c>
      <c r="C2681" s="2" t="s">
        <v>624</v>
      </c>
      <c r="D2681" s="2" t="s">
        <v>5536</v>
      </c>
      <c r="E2681" s="2" t="str">
        <f>"9789522225443"</f>
        <v>9789522225443</v>
      </c>
      <c r="F2681" s="2" t="str">
        <f>"9789522228741"</f>
        <v>9789522228741</v>
      </c>
    </row>
    <row r="2682" spans="1:6" s="3" customFormat="1" ht="29.1" customHeight="1" x14ac:dyDescent="0.25">
      <c r="A2682" s="2" t="s">
        <v>6015</v>
      </c>
      <c r="B2682" s="2" t="s">
        <v>6016</v>
      </c>
      <c r="C2682" s="2" t="s">
        <v>624</v>
      </c>
      <c r="D2682" s="2" t="s">
        <v>5266</v>
      </c>
      <c r="E2682" s="2" t="str">
        <f>"9789522225481"</f>
        <v>9789522225481</v>
      </c>
      <c r="F2682" s="2" t="str">
        <f>"9789522225672"</f>
        <v>9789522225672</v>
      </c>
    </row>
    <row r="2683" spans="1:6" s="3" customFormat="1" ht="29.1" customHeight="1" x14ac:dyDescent="0.25">
      <c r="A2683" s="2" t="s">
        <v>6017</v>
      </c>
      <c r="B2683" s="2" t="s">
        <v>6018</v>
      </c>
      <c r="C2683" s="2" t="s">
        <v>624</v>
      </c>
      <c r="D2683" s="2" t="s">
        <v>162</v>
      </c>
      <c r="E2683" s="2" t="str">
        <f>"9789518589252"</f>
        <v>9789518589252</v>
      </c>
      <c r="F2683" s="2" t="str">
        <f>"9789518589269"</f>
        <v>9789518589269</v>
      </c>
    </row>
    <row r="2684" spans="1:6" s="3" customFormat="1" ht="29.1" customHeight="1" x14ac:dyDescent="0.25">
      <c r="A2684" s="2" t="s">
        <v>6019</v>
      </c>
      <c r="B2684" s="2" t="s">
        <v>6021</v>
      </c>
      <c r="C2684" s="2" t="s">
        <v>624</v>
      </c>
      <c r="D2684" s="2" t="s">
        <v>6020</v>
      </c>
      <c r="E2684" s="2" t="str">
        <f>"9789518586374"</f>
        <v>9789518586374</v>
      </c>
      <c r="F2684" s="2" t="str">
        <f>"9789518586381"</f>
        <v>9789518586381</v>
      </c>
    </row>
    <row r="2685" spans="1:6" s="3" customFormat="1" ht="29.1" customHeight="1" x14ac:dyDescent="0.25">
      <c r="A2685" s="2" t="s">
        <v>6022</v>
      </c>
      <c r="B2685" s="2" t="s">
        <v>6023</v>
      </c>
      <c r="C2685" s="2" t="s">
        <v>624</v>
      </c>
      <c r="D2685" s="2" t="s">
        <v>175</v>
      </c>
      <c r="E2685" s="2" t="str">
        <f>"9789522226747"</f>
        <v>9789522226747</v>
      </c>
      <c r="F2685" s="2" t="str">
        <f>"9789522227546"</f>
        <v>9789522227546</v>
      </c>
    </row>
    <row r="2686" spans="1:6" s="3" customFormat="1" ht="29.1" customHeight="1" x14ac:dyDescent="0.25">
      <c r="A2686" s="2" t="s">
        <v>6024</v>
      </c>
      <c r="B2686" s="2" t="s">
        <v>6026</v>
      </c>
      <c r="C2686" s="2" t="s">
        <v>624</v>
      </c>
      <c r="D2686" s="2" t="s">
        <v>6025</v>
      </c>
      <c r="E2686" s="2" t="str">
        <f>"9789522223876"</f>
        <v>9789522223876</v>
      </c>
      <c r="F2686" s="2" t="str">
        <f>"9789522227485"</f>
        <v>9789522227485</v>
      </c>
    </row>
    <row r="2687" spans="1:6" s="3" customFormat="1" ht="29.1" customHeight="1" x14ac:dyDescent="0.25">
      <c r="A2687" s="2" t="s">
        <v>6027</v>
      </c>
      <c r="B2687" s="2" t="s">
        <v>6028</v>
      </c>
      <c r="C2687" s="2" t="s">
        <v>624</v>
      </c>
      <c r="D2687" s="2" t="s">
        <v>636</v>
      </c>
      <c r="E2687" s="2" t="str">
        <f>"9789522223265"</f>
        <v>9789522223265</v>
      </c>
      <c r="F2687" s="2" t="str">
        <f>"9789522224088"</f>
        <v>9789522224088</v>
      </c>
    </row>
    <row r="2688" spans="1:6" s="3" customFormat="1" ht="29.1" customHeight="1" x14ac:dyDescent="0.25">
      <c r="A2688" s="2" t="s">
        <v>6029</v>
      </c>
      <c r="B2688" s="2" t="s">
        <v>6030</v>
      </c>
      <c r="C2688" s="2" t="s">
        <v>624</v>
      </c>
      <c r="D2688" s="2" t="s">
        <v>459</v>
      </c>
      <c r="E2688" s="2" t="str">
        <f>"9789517465298"</f>
        <v>9789517465298</v>
      </c>
      <c r="F2688" s="2" t="str">
        <f>"9789522228161"</f>
        <v>9789522228161</v>
      </c>
    </row>
    <row r="2689" spans="1:6" s="3" customFormat="1" ht="29.1" customHeight="1" x14ac:dyDescent="0.25">
      <c r="A2689" s="2" t="s">
        <v>6031</v>
      </c>
      <c r="B2689" s="2" t="s">
        <v>6032</v>
      </c>
      <c r="C2689" s="2" t="s">
        <v>624</v>
      </c>
      <c r="D2689" s="2" t="s">
        <v>202</v>
      </c>
      <c r="E2689" s="2" t="str">
        <f>"9789517465441"</f>
        <v>9789517465441</v>
      </c>
      <c r="F2689" s="2" t="str">
        <f>"9789522227706"</f>
        <v>9789522227706</v>
      </c>
    </row>
    <row r="2690" spans="1:6" s="3" customFormat="1" ht="29.1" customHeight="1" x14ac:dyDescent="0.25">
      <c r="A2690" s="2" t="s">
        <v>6033</v>
      </c>
      <c r="B2690" s="2" t="s">
        <v>6034</v>
      </c>
      <c r="C2690" s="2" t="s">
        <v>624</v>
      </c>
      <c r="D2690" s="2" t="s">
        <v>15</v>
      </c>
      <c r="E2690" s="2" t="str">
        <f>"9789517464741"</f>
        <v>9789517464741</v>
      </c>
      <c r="F2690" s="2" t="str">
        <f>"9789517466134"</f>
        <v>9789517466134</v>
      </c>
    </row>
    <row r="2691" spans="1:6" s="3" customFormat="1" ht="29.1" customHeight="1" x14ac:dyDescent="0.25">
      <c r="A2691" s="2" t="s">
        <v>6035</v>
      </c>
      <c r="B2691" s="2" t="s">
        <v>6036</v>
      </c>
      <c r="C2691" s="2" t="s">
        <v>624</v>
      </c>
      <c r="D2691" s="2" t="s">
        <v>1162</v>
      </c>
      <c r="E2691" s="2" t="str">
        <f>"9789517464260"</f>
        <v>9789517464260</v>
      </c>
      <c r="F2691" s="2" t="str">
        <f>"9789522228222"</f>
        <v>9789522228222</v>
      </c>
    </row>
    <row r="2692" spans="1:6" s="3" customFormat="1" ht="29.1" customHeight="1" x14ac:dyDescent="0.25">
      <c r="A2692" s="2" t="s">
        <v>6037</v>
      </c>
      <c r="B2692" s="2" t="s">
        <v>6038</v>
      </c>
      <c r="C2692" s="2" t="s">
        <v>624</v>
      </c>
      <c r="D2692" s="2" t="s">
        <v>1162</v>
      </c>
      <c r="E2692" s="2" t="str">
        <f>"9789522229182"</f>
        <v>9789522229182</v>
      </c>
      <c r="F2692" s="2" t="str">
        <f>"9789522229281"</f>
        <v>9789522229281</v>
      </c>
    </row>
    <row r="2693" spans="1:6" s="3" customFormat="1" ht="29.1" customHeight="1" x14ac:dyDescent="0.25">
      <c r="A2693" s="2" t="s">
        <v>6039</v>
      </c>
      <c r="B2693" s="2" t="s">
        <v>6040</v>
      </c>
      <c r="C2693" s="2" t="s">
        <v>624</v>
      </c>
      <c r="D2693" s="2" t="s">
        <v>5428</v>
      </c>
      <c r="E2693" s="2" t="str">
        <f>"9789522227393"</f>
        <v>9789522227393</v>
      </c>
      <c r="F2693" s="2" t="str">
        <f>"9789522227966"</f>
        <v>9789522227966</v>
      </c>
    </row>
    <row r="2694" spans="1:6" s="3" customFormat="1" ht="29.1" customHeight="1" x14ac:dyDescent="0.25">
      <c r="A2694" s="2" t="s">
        <v>6041</v>
      </c>
      <c r="B2694" s="2" t="s">
        <v>6042</v>
      </c>
      <c r="C2694" s="2" t="s">
        <v>624</v>
      </c>
      <c r="D2694" s="2" t="s">
        <v>4238</v>
      </c>
      <c r="E2694" s="2" t="str">
        <f>"9789522226655"</f>
        <v>9789522226655</v>
      </c>
      <c r="F2694" s="2" t="str">
        <f>"9789522226785"</f>
        <v>9789522226785</v>
      </c>
    </row>
    <row r="2695" spans="1:6" s="3" customFormat="1" ht="29.1" customHeight="1" x14ac:dyDescent="0.25">
      <c r="A2695" s="2" t="s">
        <v>6043</v>
      </c>
      <c r="B2695" s="2" t="s">
        <v>6044</v>
      </c>
      <c r="C2695" s="2" t="s">
        <v>624</v>
      </c>
      <c r="D2695" s="2" t="s">
        <v>1878</v>
      </c>
      <c r="E2695" s="2" t="str">
        <f>"9789517463577"</f>
        <v>9789517463577</v>
      </c>
      <c r="F2695" s="2" t="str">
        <f>"9789522228185"</f>
        <v>9789522228185</v>
      </c>
    </row>
    <row r="2696" spans="1:6" s="3" customFormat="1" ht="29.1" customHeight="1" x14ac:dyDescent="0.25">
      <c r="A2696" s="2" t="s">
        <v>6045</v>
      </c>
      <c r="B2696" s="2" t="s">
        <v>6046</v>
      </c>
      <c r="C2696" s="2" t="s">
        <v>624</v>
      </c>
      <c r="D2696" s="2" t="s">
        <v>86</v>
      </c>
      <c r="E2696" s="2" t="str">
        <f>"9789522220929"</f>
        <v>9789522220929</v>
      </c>
      <c r="F2696" s="2" t="str">
        <f>"9789522227812"</f>
        <v>9789522227812</v>
      </c>
    </row>
    <row r="2697" spans="1:6" s="3" customFormat="1" ht="29.1" customHeight="1" x14ac:dyDescent="0.25">
      <c r="A2697" s="2" t="s">
        <v>6047</v>
      </c>
      <c r="B2697" s="2" t="s">
        <v>6048</v>
      </c>
      <c r="C2697" s="2" t="s">
        <v>624</v>
      </c>
      <c r="D2697" s="2" t="s">
        <v>4422</v>
      </c>
      <c r="E2697" s="2" t="str">
        <f>"9789517469043"</f>
        <v>9789517469043</v>
      </c>
      <c r="F2697" s="2" t="str">
        <f>"9789522228086"</f>
        <v>9789522228086</v>
      </c>
    </row>
    <row r="2698" spans="1:6" s="3" customFormat="1" ht="29.1" customHeight="1" x14ac:dyDescent="0.25">
      <c r="A2698" s="2" t="s">
        <v>6049</v>
      </c>
      <c r="B2698" s="2" t="s">
        <v>6050</v>
      </c>
      <c r="C2698" s="2" t="s">
        <v>624</v>
      </c>
      <c r="D2698" s="2" t="s">
        <v>405</v>
      </c>
      <c r="E2698" s="2" t="str">
        <f>"9789522227119"</f>
        <v>9789522227119</v>
      </c>
      <c r="F2698" s="2" t="str">
        <f>"9789522227447"</f>
        <v>9789522227447</v>
      </c>
    </row>
    <row r="2699" spans="1:6" s="3" customFormat="1" ht="29.1" customHeight="1" x14ac:dyDescent="0.25">
      <c r="A2699" s="2" t="s">
        <v>6051</v>
      </c>
      <c r="B2699" s="2" t="s">
        <v>6052</v>
      </c>
      <c r="C2699" s="2" t="s">
        <v>624</v>
      </c>
      <c r="D2699" s="2" t="s">
        <v>636</v>
      </c>
      <c r="E2699" s="2" t="str">
        <f>"9789522223760"</f>
        <v>9789522223760</v>
      </c>
      <c r="F2699" s="2" t="str">
        <f>"9789522225078"</f>
        <v>9789522225078</v>
      </c>
    </row>
    <row r="2700" spans="1:6" s="3" customFormat="1" ht="29.1" customHeight="1" x14ac:dyDescent="0.25">
      <c r="A2700" s="2" t="s">
        <v>6053</v>
      </c>
      <c r="B2700" s="2" t="s">
        <v>6054</v>
      </c>
      <c r="C2700" s="2" t="s">
        <v>624</v>
      </c>
      <c r="D2700" s="2" t="s">
        <v>868</v>
      </c>
      <c r="E2700" s="2" t="str">
        <f>"9789522223074"</f>
        <v>9789522223074</v>
      </c>
      <c r="F2700" s="2" t="str">
        <f>"9789522228123"</f>
        <v>9789522228123</v>
      </c>
    </row>
    <row r="2701" spans="1:6" s="3" customFormat="1" ht="29.1" customHeight="1" x14ac:dyDescent="0.25">
      <c r="A2701" s="2" t="s">
        <v>6055</v>
      </c>
      <c r="B2701" s="2" t="s">
        <v>6056</v>
      </c>
      <c r="C2701" s="2" t="s">
        <v>624</v>
      </c>
      <c r="D2701" s="2" t="s">
        <v>5360</v>
      </c>
      <c r="E2701" s="2" t="str">
        <f>"9789522222619"</f>
        <v>9789522222619</v>
      </c>
      <c r="F2701" s="2" t="str">
        <f>"9789522227775"</f>
        <v>9789522227775</v>
      </c>
    </row>
    <row r="2702" spans="1:6" s="3" customFormat="1" ht="29.1" customHeight="1" x14ac:dyDescent="0.25">
      <c r="A2702" s="2" t="s">
        <v>6057</v>
      </c>
      <c r="B2702" s="2" t="s">
        <v>6058</v>
      </c>
      <c r="C2702" s="2" t="s">
        <v>624</v>
      </c>
      <c r="D2702" s="2" t="s">
        <v>5360</v>
      </c>
      <c r="E2702" s="2" t="str">
        <f>"9789517469470"</f>
        <v>9789517469470</v>
      </c>
      <c r="F2702" s="2" t="str">
        <f>"9789522228109"</f>
        <v>9789522228109</v>
      </c>
    </row>
    <row r="2703" spans="1:6" s="3" customFormat="1" ht="29.1" customHeight="1" x14ac:dyDescent="0.25">
      <c r="A2703" s="2" t="s">
        <v>6059</v>
      </c>
      <c r="B2703" s="2" t="s">
        <v>6060</v>
      </c>
      <c r="C2703" s="2" t="s">
        <v>624</v>
      </c>
      <c r="D2703" s="2" t="s">
        <v>5360</v>
      </c>
      <c r="E2703" s="2" t="str">
        <f>"9789517466653"</f>
        <v>9789517466653</v>
      </c>
      <c r="F2703" s="2" t="str">
        <f>"9789522228147"</f>
        <v>9789522228147</v>
      </c>
    </row>
    <row r="2704" spans="1:6" s="3" customFormat="1" ht="29.1" customHeight="1" x14ac:dyDescent="0.25">
      <c r="A2704" s="2" t="s">
        <v>6061</v>
      </c>
      <c r="B2704" s="2" t="s">
        <v>6062</v>
      </c>
      <c r="C2704" s="2" t="s">
        <v>624</v>
      </c>
      <c r="D2704" s="2" t="s">
        <v>5360</v>
      </c>
      <c r="E2704" s="2" t="str">
        <f>"9789517463669"</f>
        <v>9789517463669</v>
      </c>
      <c r="F2704" s="2" t="str">
        <f>"9789517465786"</f>
        <v>9789517465786</v>
      </c>
    </row>
    <row r="2705" spans="1:6" s="3" customFormat="1" ht="29.1" customHeight="1" x14ac:dyDescent="0.25">
      <c r="A2705" s="2" t="s">
        <v>6063</v>
      </c>
      <c r="B2705" s="2" t="s">
        <v>6065</v>
      </c>
      <c r="C2705" s="2" t="s">
        <v>624</v>
      </c>
      <c r="D2705" s="2" t="s">
        <v>6064</v>
      </c>
      <c r="E2705" s="2" t="str">
        <f>"9789517460194"</f>
        <v>9789517460194</v>
      </c>
      <c r="F2705" s="2" t="str">
        <f>"9789517465762"</f>
        <v>9789517465762</v>
      </c>
    </row>
    <row r="2706" spans="1:6" s="3" customFormat="1" ht="29.1" customHeight="1" x14ac:dyDescent="0.25">
      <c r="A2706" s="2" t="s">
        <v>6066</v>
      </c>
      <c r="B2706" s="2" t="s">
        <v>6068</v>
      </c>
      <c r="C2706" s="2" t="s">
        <v>624</v>
      </c>
      <c r="D2706" s="2" t="s">
        <v>6067</v>
      </c>
      <c r="E2706" s="2" t="str">
        <f>"9789522226099"</f>
        <v>9789522226099</v>
      </c>
      <c r="F2706" s="2" t="str">
        <f>"9789522226181"</f>
        <v>9789522226181</v>
      </c>
    </row>
    <row r="2707" spans="1:6" s="3" customFormat="1" ht="29.1" customHeight="1" x14ac:dyDescent="0.25">
      <c r="A2707" s="2" t="s">
        <v>6069</v>
      </c>
      <c r="B2707" s="2" t="s">
        <v>6070</v>
      </c>
      <c r="C2707" s="2" t="s">
        <v>624</v>
      </c>
      <c r="D2707" s="2" t="s">
        <v>78</v>
      </c>
      <c r="E2707" s="2" t="str">
        <f>"9789522224705"</f>
        <v>9789522224705</v>
      </c>
      <c r="F2707" s="2" t="str">
        <f>"9789522225276"</f>
        <v>9789522225276</v>
      </c>
    </row>
    <row r="2708" spans="1:6" s="3" customFormat="1" ht="29.1" customHeight="1" x14ac:dyDescent="0.25">
      <c r="A2708" s="2" t="s">
        <v>6071</v>
      </c>
      <c r="B2708" s="2" t="s">
        <v>6062</v>
      </c>
      <c r="C2708" s="2" t="s">
        <v>624</v>
      </c>
      <c r="D2708" s="2" t="s">
        <v>1697</v>
      </c>
      <c r="E2708" s="2" t="str">
        <f>"9789522223272"</f>
        <v>9789522223272</v>
      </c>
      <c r="F2708" s="2" t="str">
        <f>"9789522227584"</f>
        <v>9789522227584</v>
      </c>
    </row>
    <row r="2709" spans="1:6" s="3" customFormat="1" ht="29.1" customHeight="1" x14ac:dyDescent="0.25">
      <c r="A2709" s="2" t="s">
        <v>6072</v>
      </c>
      <c r="B2709" s="2" t="s">
        <v>6073</v>
      </c>
      <c r="C2709" s="2" t="s">
        <v>624</v>
      </c>
      <c r="D2709" s="2" t="s">
        <v>1162</v>
      </c>
      <c r="E2709" s="2" t="str">
        <f>"9789522226822"</f>
        <v>9789522226822</v>
      </c>
      <c r="F2709" s="2" t="str">
        <f>"9789522227690"</f>
        <v>9789522227690</v>
      </c>
    </row>
    <row r="2710" spans="1:6" s="3" customFormat="1" ht="29.1" customHeight="1" x14ac:dyDescent="0.25">
      <c r="A2710" s="2" t="s">
        <v>6074</v>
      </c>
      <c r="B2710" s="2" t="s">
        <v>6075</v>
      </c>
      <c r="C2710" s="2" t="s">
        <v>624</v>
      </c>
      <c r="D2710" s="2" t="s">
        <v>4190</v>
      </c>
      <c r="E2710" s="2" t="str">
        <f>"9789518586145"</f>
        <v>9789518586145</v>
      </c>
      <c r="F2710" s="2" t="str">
        <f>"9789518586152"</f>
        <v>9789518586152</v>
      </c>
    </row>
    <row r="2711" spans="1:6" s="3" customFormat="1" ht="29.1" customHeight="1" x14ac:dyDescent="0.25">
      <c r="A2711" s="2" t="s">
        <v>6076</v>
      </c>
      <c r="B2711" s="2" t="s">
        <v>6077</v>
      </c>
      <c r="C2711" s="2" t="s">
        <v>624</v>
      </c>
      <c r="D2711" s="2" t="s">
        <v>1104</v>
      </c>
      <c r="E2711" s="2" t="str">
        <f>"9789518585742"</f>
        <v>9789518585742</v>
      </c>
      <c r="F2711" s="2" t="str">
        <f>"9789518585759"</f>
        <v>9789518585759</v>
      </c>
    </row>
    <row r="2712" spans="1:6" s="3" customFormat="1" ht="29.1" customHeight="1" x14ac:dyDescent="0.25">
      <c r="A2712" s="2" t="s">
        <v>6078</v>
      </c>
      <c r="B2712" s="2" t="s">
        <v>6079</v>
      </c>
      <c r="C2712" s="2" t="s">
        <v>624</v>
      </c>
      <c r="D2712" s="2" t="s">
        <v>1162</v>
      </c>
      <c r="E2712" s="2" t="str">
        <f>"9789518584042"</f>
        <v>9789518584042</v>
      </c>
      <c r="F2712" s="2" t="str">
        <f>"9789518584059"</f>
        <v>9789518584059</v>
      </c>
    </row>
    <row r="2713" spans="1:6" s="3" customFormat="1" ht="29.1" customHeight="1" x14ac:dyDescent="0.25">
      <c r="A2713" s="2" t="s">
        <v>6080</v>
      </c>
      <c r="B2713" s="2" t="s">
        <v>6081</v>
      </c>
      <c r="C2713" s="2" t="s">
        <v>624</v>
      </c>
      <c r="D2713" s="2" t="s">
        <v>5995</v>
      </c>
      <c r="E2713" s="2" t="str">
        <f>"9789522223395"</f>
        <v>9789522223395</v>
      </c>
      <c r="F2713" s="2" t="str">
        <f>"9789522229878"</f>
        <v>9789522229878</v>
      </c>
    </row>
    <row r="2714" spans="1:6" s="3" customFormat="1" ht="29.1" customHeight="1" x14ac:dyDescent="0.25">
      <c r="A2714" s="2" t="s">
        <v>6082</v>
      </c>
      <c r="B2714" s="2" t="s">
        <v>6084</v>
      </c>
      <c r="C2714" s="2" t="s">
        <v>624</v>
      </c>
      <c r="D2714" s="2" t="s">
        <v>6083</v>
      </c>
      <c r="E2714" s="2" t="str">
        <f>"9789522222923"</f>
        <v>9789522222923</v>
      </c>
      <c r="F2714" s="2" t="str">
        <f>"9789522228758"</f>
        <v>9789522228758</v>
      </c>
    </row>
    <row r="2715" spans="1:6" s="3" customFormat="1" ht="29.1" customHeight="1" x14ac:dyDescent="0.25">
      <c r="A2715" s="2" t="s">
        <v>6085</v>
      </c>
      <c r="B2715" s="2" t="s">
        <v>6086</v>
      </c>
      <c r="C2715" s="2" t="s">
        <v>624</v>
      </c>
      <c r="D2715" s="2" t="s">
        <v>509</v>
      </c>
      <c r="E2715" s="2" t="str">
        <f>"9789518586435"</f>
        <v>9789518586435</v>
      </c>
      <c r="F2715" s="2" t="str">
        <f>"9789518586442"</f>
        <v>9789518586442</v>
      </c>
    </row>
    <row r="2716" spans="1:6" s="3" customFormat="1" ht="29.1" customHeight="1" x14ac:dyDescent="0.25">
      <c r="A2716" s="2" t="s">
        <v>6087</v>
      </c>
      <c r="B2716" s="2" t="s">
        <v>6088</v>
      </c>
      <c r="C2716" s="2" t="s">
        <v>624</v>
      </c>
      <c r="D2716" s="2" t="s">
        <v>5969</v>
      </c>
      <c r="E2716" s="2" t="str">
        <f>"9789518585964"</f>
        <v>9789518585964</v>
      </c>
      <c r="F2716" s="2" t="str">
        <f>"9789518585971"</f>
        <v>9789518585971</v>
      </c>
    </row>
    <row r="2717" spans="1:6" s="3" customFormat="1" ht="29.1" customHeight="1" x14ac:dyDescent="0.25">
      <c r="A2717" s="2" t="s">
        <v>6089</v>
      </c>
      <c r="B2717" s="2" t="s">
        <v>6090</v>
      </c>
      <c r="C2717" s="2" t="s">
        <v>624</v>
      </c>
      <c r="D2717" s="2" t="s">
        <v>2019</v>
      </c>
      <c r="E2717" s="2" t="str">
        <f>"9789518585650"</f>
        <v>9789518585650</v>
      </c>
      <c r="F2717" s="2" t="str">
        <f>"9789518585667"</f>
        <v>9789518585667</v>
      </c>
    </row>
    <row r="2718" spans="1:6" s="3" customFormat="1" ht="29.1" customHeight="1" x14ac:dyDescent="0.25">
      <c r="A2718" s="2" t="s">
        <v>6091</v>
      </c>
      <c r="B2718" s="2" t="s">
        <v>6092</v>
      </c>
      <c r="C2718" s="2" t="s">
        <v>624</v>
      </c>
      <c r="D2718" s="2" t="s">
        <v>183</v>
      </c>
      <c r="E2718" s="2" t="str">
        <f>"9789518584219"</f>
        <v>9789518584219</v>
      </c>
      <c r="F2718" s="2" t="str">
        <f>"9789518584226"</f>
        <v>9789518584226</v>
      </c>
    </row>
    <row r="2719" spans="1:6" s="3" customFormat="1" ht="29.1" customHeight="1" x14ac:dyDescent="0.25">
      <c r="A2719" s="2" t="s">
        <v>6093</v>
      </c>
      <c r="B2719" s="2" t="s">
        <v>6094</v>
      </c>
      <c r="C2719" s="2" t="s">
        <v>624</v>
      </c>
      <c r="D2719" s="2" t="s">
        <v>5571</v>
      </c>
      <c r="E2719" s="2" t="str">
        <f>"9781949373776"</f>
        <v>9781949373776</v>
      </c>
      <c r="F2719" s="2" t="str">
        <f>"9781949373783"</f>
        <v>9781949373783</v>
      </c>
    </row>
    <row r="2720" spans="1:6" s="3" customFormat="1" ht="29.1" customHeight="1" x14ac:dyDescent="0.25">
      <c r="A2720" s="2" t="s">
        <v>6095</v>
      </c>
      <c r="B2720" s="2" t="s">
        <v>6096</v>
      </c>
      <c r="C2720" s="2" t="s">
        <v>624</v>
      </c>
      <c r="D2720" s="2" t="s">
        <v>259</v>
      </c>
      <c r="E2720" s="2" t="str">
        <f>"9781949373677"</f>
        <v>9781949373677</v>
      </c>
      <c r="F2720" s="2" t="str">
        <f>"9781949373684"</f>
        <v>9781949373684</v>
      </c>
    </row>
    <row r="2721" spans="1:6" s="3" customFormat="1" ht="29.1" customHeight="1" x14ac:dyDescent="0.25">
      <c r="A2721" s="2" t="s">
        <v>6097</v>
      </c>
      <c r="B2721" s="2" t="s">
        <v>6099</v>
      </c>
      <c r="C2721" s="2" t="s">
        <v>624</v>
      </c>
      <c r="D2721" s="2" t="s">
        <v>6098</v>
      </c>
      <c r="E2721" s="2" t="str">
        <f>"9781949373257"</f>
        <v>9781949373257</v>
      </c>
      <c r="F2721" s="2" t="str">
        <f>"9781949373240"</f>
        <v>9781949373240</v>
      </c>
    </row>
    <row r="2722" spans="1:6" s="3" customFormat="1" ht="29.1" customHeight="1" x14ac:dyDescent="0.25">
      <c r="A2722" s="2" t="s">
        <v>6100</v>
      </c>
      <c r="B2722" s="2" t="s">
        <v>6101</v>
      </c>
      <c r="C2722" s="2" t="s">
        <v>624</v>
      </c>
      <c r="D2722" s="2" t="s">
        <v>5571</v>
      </c>
      <c r="E2722" s="2" t="str">
        <f>"9781957213163"</f>
        <v>9781957213163</v>
      </c>
      <c r="F2722" s="2" t="str">
        <f>"9781957213064"</f>
        <v>9781957213064</v>
      </c>
    </row>
    <row r="2723" spans="1:6" s="3" customFormat="1" ht="29.1" customHeight="1" x14ac:dyDescent="0.25">
      <c r="A2723" s="2" t="s">
        <v>6102</v>
      </c>
      <c r="B2723" s="2" t="s">
        <v>6096</v>
      </c>
      <c r="C2723" s="2" t="s">
        <v>624</v>
      </c>
      <c r="D2723" s="2" t="s">
        <v>6103</v>
      </c>
      <c r="E2723" s="2" t="str">
        <f>"9781962841269"</f>
        <v>9781962841269</v>
      </c>
      <c r="F2723" s="2" t="str">
        <f>"9781962841276"</f>
        <v>9781962841276</v>
      </c>
    </row>
    <row r="2724" spans="1:6" s="3" customFormat="1" ht="29.1" customHeight="1" x14ac:dyDescent="0.25">
      <c r="A2724" s="2" t="s">
        <v>6104</v>
      </c>
      <c r="B2724" s="2" t="s">
        <v>6105</v>
      </c>
      <c r="C2724" s="2" t="s">
        <v>624</v>
      </c>
      <c r="D2724" s="2" t="s">
        <v>1155</v>
      </c>
      <c r="E2724" s="2" t="str">
        <f>"9781949373073"</f>
        <v>9781949373073</v>
      </c>
      <c r="F2724" s="2" t="str">
        <f>"9781949373080"</f>
        <v>9781949373080</v>
      </c>
    </row>
    <row r="2725" spans="1:6" s="3" customFormat="1" ht="29.1" customHeight="1" x14ac:dyDescent="0.25">
      <c r="A2725" s="2" t="s">
        <v>6106</v>
      </c>
      <c r="B2725" s="2" t="s">
        <v>6107</v>
      </c>
      <c r="C2725" s="2" t="s">
        <v>624</v>
      </c>
      <c r="D2725" s="2" t="s">
        <v>553</v>
      </c>
      <c r="E2725" s="2" t="str">
        <f>"9781957213828"</f>
        <v>9781957213828</v>
      </c>
      <c r="F2725" s="2" t="str">
        <f>"9781957213842"</f>
        <v>9781957213842</v>
      </c>
    </row>
    <row r="2726" spans="1:6" s="3" customFormat="1" ht="29.1" customHeight="1" x14ac:dyDescent="0.25">
      <c r="A2726" s="2" t="s">
        <v>6108</v>
      </c>
      <c r="B2726" s="2" t="s">
        <v>6109</v>
      </c>
      <c r="C2726" s="2" t="s">
        <v>624</v>
      </c>
      <c r="D2726" s="2" t="s">
        <v>3523</v>
      </c>
      <c r="E2726" s="2" t="str">
        <f>"9781962841993"</f>
        <v>9781962841993</v>
      </c>
      <c r="F2726" s="2" t="str">
        <f>"9781957213682"</f>
        <v>9781957213682</v>
      </c>
    </row>
    <row r="2727" spans="1:6" s="3" customFormat="1" ht="29.1" customHeight="1" x14ac:dyDescent="0.25">
      <c r="A2727" s="2" t="s">
        <v>6110</v>
      </c>
      <c r="B2727" s="2" t="s">
        <v>6111</v>
      </c>
      <c r="C2727" s="2" t="s">
        <v>624</v>
      </c>
      <c r="D2727" s="2" t="s">
        <v>15</v>
      </c>
      <c r="E2727" s="2" t="str">
        <f>"9781949373585"</f>
        <v>9781949373585</v>
      </c>
      <c r="F2727" s="2" t="str">
        <f>"9781949373592"</f>
        <v>9781949373592</v>
      </c>
    </row>
    <row r="2728" spans="1:6" s="3" customFormat="1" ht="29.1" customHeight="1" x14ac:dyDescent="0.25">
      <c r="A2728" s="2" t="s">
        <v>6112</v>
      </c>
      <c r="B2728" s="2" t="s">
        <v>6114</v>
      </c>
      <c r="C2728" s="2" t="s">
        <v>624</v>
      </c>
      <c r="D2728" s="2" t="s">
        <v>6113</v>
      </c>
      <c r="E2728" s="2" t="str">
        <f>"9781962841092"</f>
        <v>9781962841092</v>
      </c>
      <c r="F2728" s="2" t="str">
        <f>"9781962841108"</f>
        <v>9781962841108</v>
      </c>
    </row>
    <row r="2729" spans="1:6" s="3" customFormat="1" ht="29.1" customHeight="1" x14ac:dyDescent="0.25">
      <c r="A2729" s="2" t="s">
        <v>6115</v>
      </c>
      <c r="B2729" s="2" t="s">
        <v>6116</v>
      </c>
      <c r="C2729" s="2" t="s">
        <v>624</v>
      </c>
      <c r="D2729" s="2" t="s">
        <v>1127</v>
      </c>
      <c r="E2729" s="2" t="str">
        <f>"9781949373318"</f>
        <v>9781949373318</v>
      </c>
      <c r="F2729" s="2" t="str">
        <f>"9781949373325"</f>
        <v>9781949373325</v>
      </c>
    </row>
    <row r="2730" spans="1:6" s="3" customFormat="1" ht="29.1" customHeight="1" x14ac:dyDescent="0.25">
      <c r="A2730" s="2" t="s">
        <v>6117</v>
      </c>
      <c r="B2730" s="2" t="s">
        <v>6118</v>
      </c>
      <c r="C2730" s="2" t="s">
        <v>624</v>
      </c>
      <c r="D2730" s="2" t="s">
        <v>678</v>
      </c>
      <c r="E2730" s="2" t="str">
        <f>"9781906113315"</f>
        <v>9781906113315</v>
      </c>
      <c r="F2730" s="2" t="str">
        <f>"9781906113346"</f>
        <v>9781906113346</v>
      </c>
    </row>
    <row r="2731" spans="1:6" s="3" customFormat="1" ht="29.1" customHeight="1" x14ac:dyDescent="0.25">
      <c r="A2731" s="2" t="s">
        <v>6119</v>
      </c>
      <c r="B2731" s="2" t="s">
        <v>6121</v>
      </c>
      <c r="C2731" s="2" t="s">
        <v>624</v>
      </c>
      <c r="D2731" s="2" t="s">
        <v>6120</v>
      </c>
      <c r="E2731" s="2" t="str">
        <f>"9781911653394"</f>
        <v>9781911653394</v>
      </c>
      <c r="F2731" s="2" t="str">
        <f>"9781911653400"</f>
        <v>9781911653400</v>
      </c>
    </row>
    <row r="2732" spans="1:6" s="3" customFormat="1" ht="29.1" customHeight="1" x14ac:dyDescent="0.25">
      <c r="A2732" s="2" t="s">
        <v>6122</v>
      </c>
      <c r="B2732" s="2" t="s">
        <v>6124</v>
      </c>
      <c r="C2732" s="2" t="s">
        <v>624</v>
      </c>
      <c r="D2732" s="2" t="s">
        <v>6123</v>
      </c>
      <c r="E2732" s="2" t="str">
        <f>"9781911653295"</f>
        <v>9781911653295</v>
      </c>
      <c r="F2732" s="2" t="str">
        <f>"9781911653301"</f>
        <v>9781911653301</v>
      </c>
    </row>
    <row r="2733" spans="1:6" s="3" customFormat="1" ht="29.1" customHeight="1" x14ac:dyDescent="0.25">
      <c r="A2733" s="2" t="s">
        <v>6125</v>
      </c>
      <c r="B2733" s="2" t="s">
        <v>6126</v>
      </c>
      <c r="C2733" s="2" t="s">
        <v>624</v>
      </c>
      <c r="D2733" s="2" t="s">
        <v>2178</v>
      </c>
      <c r="E2733" s="2" t="str">
        <f>"9781911653240"</f>
        <v>9781911653240</v>
      </c>
      <c r="F2733" s="2" t="str">
        <f>"9781911653257"</f>
        <v>9781911653257</v>
      </c>
    </row>
    <row r="2734" spans="1:6" s="3" customFormat="1" ht="29.1" customHeight="1" x14ac:dyDescent="0.25">
      <c r="A2734" s="2" t="s">
        <v>6127</v>
      </c>
      <c r="B2734" s="2" t="s">
        <v>6129</v>
      </c>
      <c r="C2734" s="2" t="s">
        <v>624</v>
      </c>
      <c r="D2734" s="2" t="s">
        <v>6128</v>
      </c>
      <c r="E2734" s="2" t="str">
        <f>"9781911653196"</f>
        <v>9781911653196</v>
      </c>
      <c r="F2734" s="2" t="str">
        <f>"9781911653202"</f>
        <v>9781911653202</v>
      </c>
    </row>
    <row r="2735" spans="1:6" s="3" customFormat="1" ht="29.1" customHeight="1" x14ac:dyDescent="0.25">
      <c r="A2735" s="2" t="s">
        <v>6130</v>
      </c>
      <c r="B2735" s="2" t="s">
        <v>6129</v>
      </c>
      <c r="C2735" s="2" t="s">
        <v>624</v>
      </c>
      <c r="D2735" s="2" t="s">
        <v>5806</v>
      </c>
      <c r="E2735" s="2" t="str">
        <f>"9781911653141"</f>
        <v>9781911653141</v>
      </c>
      <c r="F2735" s="2" t="str">
        <f>"9781911653158"</f>
        <v>9781911653158</v>
      </c>
    </row>
    <row r="2736" spans="1:6" s="3" customFormat="1" ht="29.1" customHeight="1" x14ac:dyDescent="0.25">
      <c r="A2736" s="2" t="s">
        <v>6131</v>
      </c>
      <c r="B2736" s="2" t="s">
        <v>6132</v>
      </c>
      <c r="C2736" s="2" t="s">
        <v>624</v>
      </c>
      <c r="D2736" s="2" t="s">
        <v>6067</v>
      </c>
      <c r="E2736" s="2" t="str">
        <f>"9781911653059"</f>
        <v>9781911653059</v>
      </c>
      <c r="F2736" s="2" t="str">
        <f>"9781911653066"</f>
        <v>9781911653066</v>
      </c>
    </row>
    <row r="2737" spans="1:6" s="3" customFormat="1" ht="29.1" customHeight="1" x14ac:dyDescent="0.25">
      <c r="A2737" s="2" t="s">
        <v>6133</v>
      </c>
      <c r="B2737" s="2" t="s">
        <v>6134</v>
      </c>
      <c r="C2737" s="2" t="s">
        <v>624</v>
      </c>
      <c r="D2737" s="2" t="s">
        <v>107</v>
      </c>
      <c r="E2737" s="2" t="str">
        <f>"9781911653448"</f>
        <v>9781911653448</v>
      </c>
      <c r="F2737" s="2" t="str">
        <f>"9781911653455"</f>
        <v>9781911653455</v>
      </c>
    </row>
    <row r="2738" spans="1:6" s="3" customFormat="1" ht="29.1" customHeight="1" x14ac:dyDescent="0.25">
      <c r="A2738" s="2" t="s">
        <v>6135</v>
      </c>
      <c r="B2738" s="2" t="s">
        <v>6137</v>
      </c>
      <c r="C2738" s="2" t="s">
        <v>624</v>
      </c>
      <c r="D2738" s="2" t="s">
        <v>6136</v>
      </c>
      <c r="E2738" s="2" t="str">
        <f>"9781911653004"</f>
        <v>9781911653004</v>
      </c>
      <c r="F2738" s="2" t="str">
        <f>"9781911653011"</f>
        <v>9781911653011</v>
      </c>
    </row>
    <row r="2739" spans="1:6" s="3" customFormat="1" ht="29.1" customHeight="1" x14ac:dyDescent="0.25">
      <c r="A2739" s="2" t="s">
        <v>6138</v>
      </c>
      <c r="B2739" s="2" t="s">
        <v>6139</v>
      </c>
      <c r="C2739" s="2" t="s">
        <v>624</v>
      </c>
      <c r="D2739" s="2" t="s">
        <v>118</v>
      </c>
      <c r="E2739" s="2" t="str">
        <f>"9789176350003"</f>
        <v>9789176350003</v>
      </c>
      <c r="F2739" s="2" t="str">
        <f>"9789176350027"</f>
        <v>9789176350027</v>
      </c>
    </row>
    <row r="2740" spans="1:6" s="3" customFormat="1" ht="29.1" customHeight="1" x14ac:dyDescent="0.25">
      <c r="A2740" s="2" t="s">
        <v>6140</v>
      </c>
      <c r="B2740" s="2" t="s">
        <v>6142</v>
      </c>
      <c r="C2740" s="2" t="s">
        <v>624</v>
      </c>
      <c r="D2740" s="2" t="s">
        <v>6141</v>
      </c>
      <c r="E2740" s="2" t="str">
        <f>"9789176352519"</f>
        <v>9789176352519</v>
      </c>
      <c r="F2740" s="2" t="str">
        <f>"9789176352526"</f>
        <v>9789176352526</v>
      </c>
    </row>
    <row r="2741" spans="1:6" s="3" customFormat="1" ht="29.1" customHeight="1" x14ac:dyDescent="0.25">
      <c r="A2741" s="2" t="s">
        <v>6143</v>
      </c>
      <c r="B2741" s="2" t="s">
        <v>3862</v>
      </c>
      <c r="C2741" s="2" t="s">
        <v>624</v>
      </c>
      <c r="D2741" s="2" t="s">
        <v>1679</v>
      </c>
      <c r="E2741" s="2" t="str">
        <f>"9789176352434"</f>
        <v>9789176352434</v>
      </c>
      <c r="F2741" s="2" t="str">
        <f>"9789176352441"</f>
        <v>9789176352441</v>
      </c>
    </row>
    <row r="2742" spans="1:6" s="3" customFormat="1" ht="29.1" customHeight="1" x14ac:dyDescent="0.25">
      <c r="A2742" s="2" t="s">
        <v>6144</v>
      </c>
      <c r="B2742" s="2" t="s">
        <v>6145</v>
      </c>
      <c r="C2742" s="2" t="s">
        <v>624</v>
      </c>
      <c r="D2742" s="2" t="s">
        <v>1253</v>
      </c>
      <c r="E2742" s="2" t="str">
        <f>"9789176352069"</f>
        <v>9789176352069</v>
      </c>
      <c r="F2742" s="2" t="str">
        <f>"9789176352076"</f>
        <v>9789176352076</v>
      </c>
    </row>
    <row r="2743" spans="1:6" s="3" customFormat="1" ht="29.1" customHeight="1" x14ac:dyDescent="0.25">
      <c r="A2743" s="2" t="s">
        <v>6146</v>
      </c>
      <c r="B2743" s="2" t="s">
        <v>6147</v>
      </c>
      <c r="C2743" s="2" t="s">
        <v>624</v>
      </c>
      <c r="D2743" s="2" t="s">
        <v>2341</v>
      </c>
      <c r="E2743" s="2" t="str">
        <f>"9789176352144"</f>
        <v>9789176352144</v>
      </c>
      <c r="F2743" s="2" t="str">
        <f>"9789176352151"</f>
        <v>9789176352151</v>
      </c>
    </row>
    <row r="2744" spans="1:6" s="3" customFormat="1" ht="29.1" customHeight="1" x14ac:dyDescent="0.25">
      <c r="A2744" s="2" t="s">
        <v>6148</v>
      </c>
      <c r="B2744" s="2" t="s">
        <v>6150</v>
      </c>
      <c r="C2744" s="2" t="s">
        <v>624</v>
      </c>
      <c r="D2744" s="2" t="s">
        <v>6149</v>
      </c>
      <c r="E2744" s="2" t="str">
        <f>"9789176351956"</f>
        <v>9789176351956</v>
      </c>
      <c r="F2744" s="2" t="str">
        <f>"9789176351932"</f>
        <v>9789176351932</v>
      </c>
    </row>
    <row r="2745" spans="1:6" s="3" customFormat="1" ht="29.1" customHeight="1" x14ac:dyDescent="0.25">
      <c r="A2745" s="2" t="s">
        <v>6151</v>
      </c>
      <c r="B2745" s="2" t="s">
        <v>6153</v>
      </c>
      <c r="C2745" s="2" t="s">
        <v>624</v>
      </c>
      <c r="D2745" s="2" t="s">
        <v>6152</v>
      </c>
      <c r="E2745" s="2" t="str">
        <f>"9789176351758"</f>
        <v>9789176351758</v>
      </c>
      <c r="F2745" s="2" t="str">
        <f>"9789176351734"</f>
        <v>9789176351734</v>
      </c>
    </row>
    <row r="2746" spans="1:6" s="3" customFormat="1" ht="29.1" customHeight="1" x14ac:dyDescent="0.25">
      <c r="A2746" s="2" t="s">
        <v>6154</v>
      </c>
      <c r="B2746" s="2" t="s">
        <v>6155</v>
      </c>
      <c r="C2746" s="2" t="s">
        <v>624</v>
      </c>
      <c r="D2746" s="2" t="s">
        <v>5266</v>
      </c>
      <c r="E2746" s="2" t="str">
        <f>"9789176351710"</f>
        <v>9789176351710</v>
      </c>
      <c r="F2746" s="2" t="str">
        <f>"9789176351697"</f>
        <v>9789176351697</v>
      </c>
    </row>
    <row r="2747" spans="1:6" s="3" customFormat="1" ht="29.1" customHeight="1" x14ac:dyDescent="0.25">
      <c r="A2747" s="2" t="s">
        <v>6156</v>
      </c>
      <c r="B2747" s="2" t="s">
        <v>6157</v>
      </c>
      <c r="C2747" s="2" t="s">
        <v>624</v>
      </c>
      <c r="D2747" s="2" t="s">
        <v>636</v>
      </c>
      <c r="E2747" s="2" t="str">
        <f>"9789176351598"</f>
        <v>9789176351598</v>
      </c>
      <c r="F2747" s="2" t="str">
        <f>"9789176351574"</f>
        <v>9789176351574</v>
      </c>
    </row>
    <row r="2748" spans="1:6" s="3" customFormat="1" ht="29.1" customHeight="1" x14ac:dyDescent="0.25">
      <c r="A2748" s="2" t="s">
        <v>6158</v>
      </c>
      <c r="B2748" s="2" t="s">
        <v>6159</v>
      </c>
      <c r="C2748" s="2" t="s">
        <v>624</v>
      </c>
      <c r="D2748" s="2" t="s">
        <v>1082</v>
      </c>
      <c r="E2748" s="2" t="str">
        <f>"9789176351550"</f>
        <v>9789176351550</v>
      </c>
      <c r="F2748" s="2" t="str">
        <f>"9789176351529"</f>
        <v>9789176351529</v>
      </c>
    </row>
    <row r="2749" spans="1:6" s="3" customFormat="1" ht="29.1" customHeight="1" x14ac:dyDescent="0.25">
      <c r="A2749" s="2" t="s">
        <v>6160</v>
      </c>
      <c r="B2749" s="2" t="s">
        <v>6161</v>
      </c>
      <c r="C2749" s="2" t="s">
        <v>624</v>
      </c>
      <c r="D2749" s="2" t="s">
        <v>689</v>
      </c>
      <c r="E2749" s="2" t="str">
        <f>"9789176351512"</f>
        <v>9789176351512</v>
      </c>
      <c r="F2749" s="2" t="str">
        <f>"9789176351482"</f>
        <v>9789176351482</v>
      </c>
    </row>
    <row r="2750" spans="1:6" s="3" customFormat="1" ht="29.1" customHeight="1" x14ac:dyDescent="0.25">
      <c r="A2750" s="2" t="s">
        <v>6162</v>
      </c>
      <c r="B2750" s="2" t="s">
        <v>6163</v>
      </c>
      <c r="C2750" s="2" t="s">
        <v>624</v>
      </c>
      <c r="D2750" s="2" t="s">
        <v>3958</v>
      </c>
      <c r="E2750" s="2" t="str">
        <f>"9789176351352"</f>
        <v>9789176351352</v>
      </c>
      <c r="F2750" s="2" t="str">
        <f>"9789176351321"</f>
        <v>9789176351321</v>
      </c>
    </row>
    <row r="2751" spans="1:6" s="3" customFormat="1" ht="29.1" customHeight="1" x14ac:dyDescent="0.25">
      <c r="A2751" s="2" t="s">
        <v>6164</v>
      </c>
      <c r="B2751" s="2" t="s">
        <v>637</v>
      </c>
      <c r="C2751" s="2" t="s">
        <v>624</v>
      </c>
      <c r="D2751" s="2" t="s">
        <v>636</v>
      </c>
      <c r="E2751" s="2" t="str">
        <f>"9789176351239"</f>
        <v>9789176351239</v>
      </c>
      <c r="F2751" s="2" t="str">
        <f>"9789176351208"</f>
        <v>9789176351208</v>
      </c>
    </row>
    <row r="2752" spans="1:6" s="3" customFormat="1" ht="29.1" customHeight="1" x14ac:dyDescent="0.25">
      <c r="A2752" s="2" t="s">
        <v>6165</v>
      </c>
      <c r="B2752" s="2" t="s">
        <v>6166</v>
      </c>
      <c r="C2752" s="2" t="s">
        <v>624</v>
      </c>
      <c r="D2752" s="2" t="s">
        <v>3185</v>
      </c>
      <c r="E2752" s="2" t="str">
        <f>"9789176351123"</f>
        <v>9789176351123</v>
      </c>
      <c r="F2752" s="2" t="str">
        <f>"9789176351147"</f>
        <v>9789176351147</v>
      </c>
    </row>
    <row r="2753" spans="1:6" s="3" customFormat="1" ht="29.1" customHeight="1" x14ac:dyDescent="0.25">
      <c r="A2753" s="2" t="s">
        <v>6167</v>
      </c>
      <c r="B2753" s="2" t="s">
        <v>6168</v>
      </c>
      <c r="C2753" s="2" t="s">
        <v>624</v>
      </c>
      <c r="D2753" s="2" t="s">
        <v>509</v>
      </c>
      <c r="E2753" s="2" t="str">
        <f>"9789176351079"</f>
        <v>9789176351079</v>
      </c>
      <c r="F2753" s="2" t="str">
        <f>"9789176351048"</f>
        <v>9789176351048</v>
      </c>
    </row>
    <row r="2754" spans="1:6" s="3" customFormat="1" ht="29.1" customHeight="1" x14ac:dyDescent="0.25">
      <c r="A2754" s="2" t="s">
        <v>6169</v>
      </c>
      <c r="B2754" s="2" t="s">
        <v>6170</v>
      </c>
      <c r="C2754" s="2" t="s">
        <v>624</v>
      </c>
      <c r="D2754" s="2" t="s">
        <v>175</v>
      </c>
      <c r="E2754" s="2" t="str">
        <f>"9789176351031"</f>
        <v>9789176351031</v>
      </c>
      <c r="F2754" s="2" t="str">
        <f>"9789176351000"</f>
        <v>9789176351000</v>
      </c>
    </row>
    <row r="2755" spans="1:6" s="3" customFormat="1" ht="29.1" customHeight="1" x14ac:dyDescent="0.25">
      <c r="A2755" s="2" t="s">
        <v>6171</v>
      </c>
      <c r="B2755" s="2" t="s">
        <v>6172</v>
      </c>
      <c r="C2755" s="2" t="s">
        <v>624</v>
      </c>
      <c r="D2755" s="2" t="s">
        <v>2332</v>
      </c>
      <c r="E2755" s="2" t="str">
        <f>"9789176350874"</f>
        <v>9789176350874</v>
      </c>
      <c r="F2755" s="2" t="str">
        <f>"9789176350843"</f>
        <v>9789176350843</v>
      </c>
    </row>
    <row r="2756" spans="1:6" s="3" customFormat="1" ht="29.1" customHeight="1" x14ac:dyDescent="0.25">
      <c r="A2756" s="2" t="s">
        <v>6173</v>
      </c>
      <c r="B2756" s="2" t="s">
        <v>6175</v>
      </c>
      <c r="C2756" s="2" t="s">
        <v>624</v>
      </c>
      <c r="D2756" s="2" t="s">
        <v>6174</v>
      </c>
      <c r="E2756" s="2" t="str">
        <f>"9789176350836"</f>
        <v>9789176350836</v>
      </c>
      <c r="F2756" s="2" t="str">
        <f>"9789176350805"</f>
        <v>9789176350805</v>
      </c>
    </row>
    <row r="2757" spans="1:6" s="3" customFormat="1" ht="29.1" customHeight="1" x14ac:dyDescent="0.25">
      <c r="A2757" s="2" t="s">
        <v>6176</v>
      </c>
      <c r="B2757" s="2" t="s">
        <v>6177</v>
      </c>
      <c r="C2757" s="2" t="s">
        <v>624</v>
      </c>
      <c r="D2757" s="2" t="s">
        <v>4030</v>
      </c>
      <c r="E2757" s="2" t="str">
        <f>"9789176350713"</f>
        <v>9789176350713</v>
      </c>
      <c r="F2757" s="2" t="str">
        <f>"9789176350683"</f>
        <v>9789176350683</v>
      </c>
    </row>
    <row r="2758" spans="1:6" s="3" customFormat="1" ht="29.1" customHeight="1" x14ac:dyDescent="0.25">
      <c r="A2758" s="2" t="s">
        <v>6178</v>
      </c>
      <c r="B2758" s="2" t="s">
        <v>6179</v>
      </c>
      <c r="C2758" s="2" t="s">
        <v>624</v>
      </c>
      <c r="D2758" s="2" t="s">
        <v>78</v>
      </c>
      <c r="E2758" s="2" t="str">
        <f>"9789176350591"</f>
        <v>9789176350591</v>
      </c>
      <c r="F2758" s="2" t="str">
        <f>"9789176350560"</f>
        <v>9789176350560</v>
      </c>
    </row>
    <row r="2759" spans="1:6" s="3" customFormat="1" ht="29.1" customHeight="1" x14ac:dyDescent="0.25">
      <c r="A2759" s="2" t="s">
        <v>6180</v>
      </c>
      <c r="B2759" s="2" t="s">
        <v>6181</v>
      </c>
      <c r="C2759" s="2" t="s">
        <v>624</v>
      </c>
      <c r="D2759" s="2" t="s">
        <v>1262</v>
      </c>
      <c r="E2759" s="2" t="str">
        <f>"9789176350232"</f>
        <v>9789176350232</v>
      </c>
      <c r="F2759" s="2" t="str">
        <f>"9789176350201"</f>
        <v>9789176350201</v>
      </c>
    </row>
    <row r="2760" spans="1:6" s="3" customFormat="1" ht="29.1" customHeight="1" x14ac:dyDescent="0.25">
      <c r="A2760" s="2" t="s">
        <v>6182</v>
      </c>
      <c r="B2760" s="2" t="s">
        <v>6183</v>
      </c>
      <c r="C2760" s="2" t="s">
        <v>624</v>
      </c>
      <c r="D2760" s="2" t="s">
        <v>446</v>
      </c>
      <c r="E2760" s="2" t="str">
        <f>"9789176350195"</f>
        <v>9789176350195</v>
      </c>
      <c r="F2760" s="2" t="str">
        <f>"9789176350164"</f>
        <v>9789176350164</v>
      </c>
    </row>
    <row r="2761" spans="1:6" s="3" customFormat="1" ht="29.1" customHeight="1" x14ac:dyDescent="0.25">
      <c r="A2761" s="2" t="s">
        <v>6184</v>
      </c>
      <c r="B2761" s="2" t="s">
        <v>6185</v>
      </c>
      <c r="C2761" s="2" t="s">
        <v>624</v>
      </c>
      <c r="D2761" s="2" t="s">
        <v>5032</v>
      </c>
      <c r="E2761" s="2" t="str">
        <f>"9789179243760"</f>
        <v>9789179243760</v>
      </c>
      <c r="F2761" s="2" t="str">
        <f>"9789179243777"</f>
        <v>9789179243777</v>
      </c>
    </row>
    <row r="2762" spans="1:6" s="3" customFormat="1" ht="29.1" customHeight="1" x14ac:dyDescent="0.25">
      <c r="A2762" s="2" t="s">
        <v>6186</v>
      </c>
      <c r="B2762" s="2" t="s">
        <v>6188</v>
      </c>
      <c r="C2762" s="2" t="s">
        <v>305</v>
      </c>
      <c r="D2762" s="2" t="s">
        <v>6187</v>
      </c>
      <c r="E2762" s="2"/>
      <c r="F2762" s="2" t="str">
        <f>"9786218438088"</f>
        <v>9786218438088</v>
      </c>
    </row>
    <row r="2763" spans="1:6" s="3" customFormat="1" ht="29.1" customHeight="1" x14ac:dyDescent="0.25">
      <c r="A2763" s="2" t="s">
        <v>6189</v>
      </c>
      <c r="B2763" s="2" t="s">
        <v>6190</v>
      </c>
      <c r="C2763" s="2" t="s">
        <v>746</v>
      </c>
      <c r="D2763" s="2" t="s">
        <v>606</v>
      </c>
      <c r="E2763" s="2" t="str">
        <f>"9781803272931"</f>
        <v>9781803272931</v>
      </c>
      <c r="F2763" s="2" t="str">
        <f>"9781803272948"</f>
        <v>9781803272948</v>
      </c>
    </row>
    <row r="2764" spans="1:6" s="3" customFormat="1" ht="29.1" customHeight="1" x14ac:dyDescent="0.25">
      <c r="A2764" s="2" t="s">
        <v>6191</v>
      </c>
      <c r="B2764" s="2" t="s">
        <v>6192</v>
      </c>
      <c r="C2764" s="2" t="s">
        <v>746</v>
      </c>
      <c r="D2764" s="2" t="s">
        <v>606</v>
      </c>
      <c r="E2764" s="2" t="str">
        <f>"9781803276908"</f>
        <v>9781803276908</v>
      </c>
      <c r="F2764" s="2" t="str">
        <f>"9781803276915"</f>
        <v>9781803276915</v>
      </c>
    </row>
    <row r="2765" spans="1:6" s="3" customFormat="1" ht="29.1" customHeight="1" x14ac:dyDescent="0.25">
      <c r="A2765" s="2" t="s">
        <v>6193</v>
      </c>
      <c r="B2765" s="2" t="s">
        <v>6194</v>
      </c>
      <c r="C2765" s="2" t="s">
        <v>5</v>
      </c>
      <c r="D2765" s="2" t="s">
        <v>712</v>
      </c>
      <c r="E2765" s="2" t="str">
        <f>"9789464637557"</f>
        <v>9789464637557</v>
      </c>
      <c r="F2765" s="2" t="str">
        <f>"9789464637564"</f>
        <v>9789464637564</v>
      </c>
    </row>
    <row r="2766" spans="1:6" s="3" customFormat="1" ht="29.1" customHeight="1" x14ac:dyDescent="0.25">
      <c r="A2766" s="2" t="s">
        <v>6195</v>
      </c>
      <c r="B2766" s="2" t="s">
        <v>6196</v>
      </c>
      <c r="C2766" s="2" t="s">
        <v>5</v>
      </c>
      <c r="D2766" s="2" t="s">
        <v>1924</v>
      </c>
      <c r="E2766" s="2" t="str">
        <f>"9783031822056"</f>
        <v>9783031822056</v>
      </c>
      <c r="F2766" s="2" t="str">
        <f>"9783031822063"</f>
        <v>9783031822063</v>
      </c>
    </row>
    <row r="2767" spans="1:6" s="3" customFormat="1" ht="29.1" customHeight="1" x14ac:dyDescent="0.25">
      <c r="A2767" s="2" t="s">
        <v>6197</v>
      </c>
      <c r="B2767" s="2" t="s">
        <v>6198</v>
      </c>
      <c r="C2767" s="2" t="s">
        <v>5</v>
      </c>
      <c r="D2767" s="2" t="s">
        <v>855</v>
      </c>
      <c r="E2767" s="2" t="str">
        <f>"9789819634118"</f>
        <v>9789819634118</v>
      </c>
      <c r="F2767" s="2" t="str">
        <f>"9789819634125"</f>
        <v>9789819634125</v>
      </c>
    </row>
    <row r="2768" spans="1:6" s="3" customFormat="1" ht="29.1" customHeight="1" x14ac:dyDescent="0.25">
      <c r="A2768" s="2" t="s">
        <v>6199</v>
      </c>
      <c r="B2768" s="2" t="s">
        <v>6201</v>
      </c>
      <c r="C2768" s="2" t="s">
        <v>5</v>
      </c>
      <c r="D2768" s="2" t="s">
        <v>6200</v>
      </c>
      <c r="E2768" s="2" t="str">
        <f>"9783031909757"</f>
        <v>9783031909757</v>
      </c>
      <c r="F2768" s="2" t="str">
        <f>"9783031909764"</f>
        <v>9783031909764</v>
      </c>
    </row>
    <row r="2769" spans="1:6" s="3" customFormat="1" ht="29.1" customHeight="1" x14ac:dyDescent="0.25">
      <c r="A2769" s="2" t="s">
        <v>6202</v>
      </c>
      <c r="B2769" s="2" t="s">
        <v>6203</v>
      </c>
      <c r="C2769" s="2" t="s">
        <v>29</v>
      </c>
      <c r="D2769" s="2" t="s">
        <v>150</v>
      </c>
      <c r="E2769" s="2" t="str">
        <f>"9783506797261"</f>
        <v>9783506797261</v>
      </c>
      <c r="F2769" s="2" t="str">
        <f>"9783657797264"</f>
        <v>9783657797264</v>
      </c>
    </row>
    <row r="2770" spans="1:6" s="3" customFormat="1" ht="29.1" customHeight="1" x14ac:dyDescent="0.25">
      <c r="A2770" s="2" t="s">
        <v>6204</v>
      </c>
      <c r="B2770" s="2" t="s">
        <v>6205</v>
      </c>
      <c r="C2770" s="2" t="s">
        <v>2133</v>
      </c>
      <c r="D2770" s="2" t="s">
        <v>3536</v>
      </c>
      <c r="E2770" s="2" t="str">
        <f>"9781760466879"</f>
        <v>9781760466879</v>
      </c>
      <c r="F2770" s="2" t="str">
        <f>"9781760466886"</f>
        <v>9781760466886</v>
      </c>
    </row>
    <row r="2771" spans="1:6" s="3" customFormat="1" ht="29.1" customHeight="1" x14ac:dyDescent="0.25">
      <c r="A2771" s="2" t="s">
        <v>6206</v>
      </c>
      <c r="B2771" s="2" t="s">
        <v>523</v>
      </c>
      <c r="C2771" s="2" t="s">
        <v>149</v>
      </c>
      <c r="D2771" s="2" t="s">
        <v>522</v>
      </c>
      <c r="E2771" s="2" t="str">
        <f>"9781685712686"</f>
        <v>9781685712686</v>
      </c>
      <c r="F2771" s="2" t="str">
        <f>"9781685712693"</f>
        <v>9781685712693</v>
      </c>
    </row>
    <row r="2772" spans="1:6" s="3" customFormat="1" ht="29.1" customHeight="1" x14ac:dyDescent="0.25">
      <c r="A2772" s="2" t="s">
        <v>6207</v>
      </c>
      <c r="B2772" s="2" t="s">
        <v>6208</v>
      </c>
      <c r="C2772" s="2" t="s">
        <v>149</v>
      </c>
      <c r="D2772" s="2" t="s">
        <v>162</v>
      </c>
      <c r="E2772" s="2" t="str">
        <f>"9781805114093"</f>
        <v>9781805114093</v>
      </c>
      <c r="F2772" s="2" t="str">
        <f>"9781805114116"</f>
        <v>9781805114116</v>
      </c>
    </row>
    <row r="2773" spans="1:6" s="3" customFormat="1" ht="29.1" customHeight="1" x14ac:dyDescent="0.25">
      <c r="A2773" s="2" t="s">
        <v>6209</v>
      </c>
      <c r="B2773" s="2" t="s">
        <v>6210</v>
      </c>
      <c r="C2773" s="2" t="s">
        <v>239</v>
      </c>
      <c r="D2773" s="2" t="s">
        <v>1001</v>
      </c>
      <c r="E2773" s="2" t="str">
        <f>"9780520405745"</f>
        <v>9780520405745</v>
      </c>
      <c r="F2773" s="2" t="str">
        <f>"9780520405752"</f>
        <v>9780520405752</v>
      </c>
    </row>
    <row r="2774" spans="1:6" s="3" customFormat="1" ht="29.1" customHeight="1" x14ac:dyDescent="0.25">
      <c r="A2774" s="2" t="s">
        <v>6211</v>
      </c>
      <c r="B2774" s="2" t="s">
        <v>6213</v>
      </c>
      <c r="C2774" s="2" t="s">
        <v>59</v>
      </c>
      <c r="D2774" s="2" t="s">
        <v>6212</v>
      </c>
      <c r="E2774" s="2"/>
      <c r="F2774" s="2" t="str">
        <f>"9782759240548"</f>
        <v>9782759240548</v>
      </c>
    </row>
    <row r="2775" spans="1:6" s="3" customFormat="1" ht="29.1" customHeight="1" x14ac:dyDescent="0.25">
      <c r="A2775" s="2" t="s">
        <v>6214</v>
      </c>
      <c r="B2775" s="2" t="s">
        <v>6215</v>
      </c>
      <c r="C2775" s="2" t="s">
        <v>5</v>
      </c>
      <c r="D2775" s="2" t="s">
        <v>487</v>
      </c>
      <c r="E2775" s="2" t="str">
        <f>"9783031945434"</f>
        <v>9783031945434</v>
      </c>
      <c r="F2775" s="2" t="str">
        <f>"9783031945441"</f>
        <v>9783031945441</v>
      </c>
    </row>
    <row r="2776" spans="1:6" s="3" customFormat="1" ht="29.1" customHeight="1" x14ac:dyDescent="0.25">
      <c r="A2776" s="2" t="s">
        <v>6216</v>
      </c>
      <c r="B2776" s="2" t="s">
        <v>6217</v>
      </c>
      <c r="C2776" s="2" t="s">
        <v>29</v>
      </c>
      <c r="D2776" s="2" t="s">
        <v>512</v>
      </c>
      <c r="E2776" s="2" t="str">
        <f>"9789004727809"</f>
        <v>9789004727809</v>
      </c>
      <c r="F2776" s="2" t="str">
        <f>"9789004733138"</f>
        <v>9789004733138</v>
      </c>
    </row>
    <row r="2777" spans="1:6" s="3" customFormat="1" ht="29.1" customHeight="1" x14ac:dyDescent="0.25">
      <c r="A2777" s="2" t="s">
        <v>6218</v>
      </c>
      <c r="B2777" s="2" t="s">
        <v>6219</v>
      </c>
      <c r="C2777" s="2" t="s">
        <v>5</v>
      </c>
      <c r="D2777" s="2" t="s">
        <v>9</v>
      </c>
      <c r="E2777" s="2" t="str">
        <f>"9782384764112"</f>
        <v>9782384764112</v>
      </c>
      <c r="F2777" s="2" t="str">
        <f>"9782384764129"</f>
        <v>9782384764129</v>
      </c>
    </row>
    <row r="2778" spans="1:6" s="3" customFormat="1" ht="29.1" customHeight="1" x14ac:dyDescent="0.25">
      <c r="A2778" s="2" t="s">
        <v>6220</v>
      </c>
      <c r="B2778" s="2" t="s">
        <v>6221</v>
      </c>
      <c r="C2778" s="2" t="s">
        <v>5</v>
      </c>
      <c r="D2778" s="2" t="s">
        <v>2880</v>
      </c>
      <c r="E2778" s="2" t="str">
        <f>"9789464637298"</f>
        <v>9789464637298</v>
      </c>
      <c r="F2778" s="2" t="str">
        <f>"9789464637304"</f>
        <v>9789464637304</v>
      </c>
    </row>
    <row r="2779" spans="1:6" s="3" customFormat="1" ht="29.1" customHeight="1" x14ac:dyDescent="0.25">
      <c r="A2779" s="2" t="s">
        <v>6222</v>
      </c>
      <c r="B2779" s="2" t="s">
        <v>6223</v>
      </c>
      <c r="C2779" s="2" t="s">
        <v>5</v>
      </c>
      <c r="D2779" s="2" t="s">
        <v>4500</v>
      </c>
      <c r="E2779" s="2" t="str">
        <f>"9789464637434"</f>
        <v>9789464637434</v>
      </c>
      <c r="F2779" s="2" t="str">
        <f>"9789464637441"</f>
        <v>9789464637441</v>
      </c>
    </row>
    <row r="2780" spans="1:6" s="3" customFormat="1" ht="29.1" customHeight="1" x14ac:dyDescent="0.25">
      <c r="A2780" s="2" t="s">
        <v>6224</v>
      </c>
      <c r="B2780" s="2" t="s">
        <v>6225</v>
      </c>
      <c r="C2780" s="2" t="s">
        <v>5</v>
      </c>
      <c r="D2780" s="2" t="s">
        <v>894</v>
      </c>
      <c r="E2780" s="2" t="str">
        <f>"9783658478001"</f>
        <v>9783658478001</v>
      </c>
      <c r="F2780" s="2" t="str">
        <f>"9783658478018"</f>
        <v>9783658478018</v>
      </c>
    </row>
    <row r="2781" spans="1:6" s="3" customFormat="1" ht="29.1" customHeight="1" x14ac:dyDescent="0.25">
      <c r="A2781" s="2" t="s">
        <v>6226</v>
      </c>
      <c r="B2781" s="2" t="s">
        <v>6227</v>
      </c>
      <c r="C2781" s="2" t="s">
        <v>5</v>
      </c>
      <c r="D2781" s="2" t="s">
        <v>249</v>
      </c>
      <c r="E2781" s="2" t="str">
        <f>"9783658465223"</f>
        <v>9783658465223</v>
      </c>
      <c r="F2781" s="2" t="str">
        <f>"9783658465230"</f>
        <v>9783658465230</v>
      </c>
    </row>
    <row r="2782" spans="1:6" s="3" customFormat="1" ht="29.1" customHeight="1" x14ac:dyDescent="0.25">
      <c r="A2782" s="2" t="s">
        <v>6228</v>
      </c>
      <c r="B2782" s="2" t="s">
        <v>6229</v>
      </c>
      <c r="C2782" s="2" t="s">
        <v>5</v>
      </c>
      <c r="D2782" s="2" t="s">
        <v>2178</v>
      </c>
      <c r="E2782" s="2" t="str">
        <f>"9783658483630"</f>
        <v>9783658483630</v>
      </c>
      <c r="F2782" s="2" t="str">
        <f>"9783658483647"</f>
        <v>9783658483647</v>
      </c>
    </row>
    <row r="2783" spans="1:6" s="3" customFormat="1" ht="29.1" customHeight="1" x14ac:dyDescent="0.25">
      <c r="A2783" s="2" t="s">
        <v>6230</v>
      </c>
      <c r="B2783" s="2" t="s">
        <v>6231</v>
      </c>
      <c r="C2783" s="2" t="s">
        <v>20</v>
      </c>
      <c r="D2783" s="2" t="s">
        <v>135</v>
      </c>
      <c r="E2783" s="2"/>
      <c r="F2783" s="2" t="str">
        <f>"9783763977833"</f>
        <v>9783763977833</v>
      </c>
    </row>
    <row r="2784" spans="1:6" s="3" customFormat="1" ht="29.1" customHeight="1" x14ac:dyDescent="0.25">
      <c r="A2784" s="2" t="s">
        <v>6232</v>
      </c>
      <c r="B2784" s="2" t="s">
        <v>6233</v>
      </c>
      <c r="C2784" s="2" t="s">
        <v>20</v>
      </c>
      <c r="D2784" s="2" t="s">
        <v>135</v>
      </c>
      <c r="E2784" s="2" t="str">
        <f>"9783763977499"</f>
        <v>9783763977499</v>
      </c>
      <c r="F2784" s="2" t="str">
        <f>"9783763977505"</f>
        <v>9783763977505</v>
      </c>
    </row>
    <row r="2785" spans="1:6" s="3" customFormat="1" ht="29.1" customHeight="1" x14ac:dyDescent="0.25">
      <c r="A2785" s="2" t="s">
        <v>6234</v>
      </c>
      <c r="B2785" s="2" t="s">
        <v>6235</v>
      </c>
      <c r="C2785" s="2" t="s">
        <v>20</v>
      </c>
      <c r="D2785" s="2" t="s">
        <v>9</v>
      </c>
      <c r="E2785" s="2" t="str">
        <f>"9783763977673"</f>
        <v>9783763977673</v>
      </c>
      <c r="F2785" s="2" t="str">
        <f>"9783763977680"</f>
        <v>9783763977680</v>
      </c>
    </row>
    <row r="2786" spans="1:6" s="3" customFormat="1" ht="29.1" customHeight="1" x14ac:dyDescent="0.25">
      <c r="A2786" s="2" t="s">
        <v>6236</v>
      </c>
      <c r="B2786" s="2" t="s">
        <v>6237</v>
      </c>
      <c r="C2786" s="2" t="s">
        <v>20</v>
      </c>
      <c r="D2786" s="2" t="s">
        <v>9</v>
      </c>
      <c r="E2786" s="2"/>
      <c r="F2786" s="2" t="str">
        <f>"9783763978168"</f>
        <v>9783763978168</v>
      </c>
    </row>
    <row r="2787" spans="1:6" s="3" customFormat="1" ht="29.1" customHeight="1" x14ac:dyDescent="0.25">
      <c r="A2787" s="2" t="s">
        <v>6238</v>
      </c>
      <c r="B2787" s="2" t="s">
        <v>6239</v>
      </c>
      <c r="C2787" s="2" t="s">
        <v>20</v>
      </c>
      <c r="D2787" s="2" t="s">
        <v>2307</v>
      </c>
      <c r="E2787" s="2" t="str">
        <f>"9783763977925"</f>
        <v>9783763977925</v>
      </c>
      <c r="F2787" s="2" t="str">
        <f>"9783763977932"</f>
        <v>9783763977932</v>
      </c>
    </row>
    <row r="2788" spans="1:6" s="3" customFormat="1" ht="29.1" customHeight="1" x14ac:dyDescent="0.25">
      <c r="A2788" s="2" t="s">
        <v>6240</v>
      </c>
      <c r="B2788" s="2" t="s">
        <v>6241</v>
      </c>
      <c r="C2788" s="2" t="s">
        <v>20</v>
      </c>
      <c r="D2788" s="2" t="s">
        <v>596</v>
      </c>
      <c r="E2788" s="2" t="str">
        <f>"9783763978571"</f>
        <v>9783763978571</v>
      </c>
      <c r="F2788" s="2" t="str">
        <f>"9783763978588"</f>
        <v>9783763978588</v>
      </c>
    </row>
    <row r="2789" spans="1:6" s="3" customFormat="1" ht="29.1" customHeight="1" x14ac:dyDescent="0.25">
      <c r="A2789" s="2" t="s">
        <v>6242</v>
      </c>
      <c r="B2789" s="2"/>
      <c r="C2789" s="2" t="s">
        <v>59</v>
      </c>
      <c r="D2789" s="2" t="s">
        <v>6243</v>
      </c>
      <c r="E2789" s="2"/>
      <c r="F2789" s="2" t="str">
        <f>"9782759240845"</f>
        <v>9782759240845</v>
      </c>
    </row>
    <row r="2790" spans="1:6" s="3" customFormat="1" ht="29.1" customHeight="1" x14ac:dyDescent="0.25">
      <c r="A2790" s="2" t="s">
        <v>6244</v>
      </c>
      <c r="B2790" s="2" t="s">
        <v>6245</v>
      </c>
      <c r="C2790" s="2" t="s">
        <v>940</v>
      </c>
      <c r="D2790" s="2" t="s">
        <v>1256</v>
      </c>
      <c r="E2790" s="2"/>
      <c r="F2790" s="2" t="str">
        <f>"9786084868347"</f>
        <v>9786084868347</v>
      </c>
    </row>
    <row r="2791" spans="1:6" s="3" customFormat="1" ht="29.1" customHeight="1" x14ac:dyDescent="0.25">
      <c r="A2791" s="2" t="s">
        <v>6246</v>
      </c>
      <c r="B2791" s="2" t="s">
        <v>6248</v>
      </c>
      <c r="C2791" s="2" t="s">
        <v>940</v>
      </c>
      <c r="D2791" s="2" t="s">
        <v>6247</v>
      </c>
      <c r="E2791" s="2"/>
      <c r="F2791" s="2" t="str">
        <f>"9786084868361"</f>
        <v>9786084868361</v>
      </c>
    </row>
    <row r="2792" spans="1:6" s="3" customFormat="1" ht="29.1" customHeight="1" x14ac:dyDescent="0.25">
      <c r="A2792" s="2" t="s">
        <v>6249</v>
      </c>
      <c r="B2792" s="2" t="s">
        <v>6250</v>
      </c>
      <c r="C2792" s="2" t="s">
        <v>940</v>
      </c>
      <c r="D2792" s="2" t="s">
        <v>4634</v>
      </c>
      <c r="E2792" s="2"/>
      <c r="F2792" s="2" t="str">
        <f>"9786084868439"</f>
        <v>9786084868439</v>
      </c>
    </row>
    <row r="2793" spans="1:6" s="3" customFormat="1" ht="29.1" customHeight="1" x14ac:dyDescent="0.25">
      <c r="A2793" s="2" t="s">
        <v>6251</v>
      </c>
      <c r="B2793" s="2" t="s">
        <v>6252</v>
      </c>
      <c r="C2793" s="2" t="s">
        <v>940</v>
      </c>
      <c r="D2793" s="2" t="s">
        <v>5930</v>
      </c>
      <c r="E2793" s="2"/>
      <c r="F2793" s="2" t="str">
        <f>"9786084868392"</f>
        <v>9786084868392</v>
      </c>
    </row>
    <row r="2794" spans="1:6" s="3" customFormat="1" ht="29.1" customHeight="1" x14ac:dyDescent="0.25">
      <c r="A2794" s="2" t="s">
        <v>6253</v>
      </c>
      <c r="B2794" s="2" t="s">
        <v>6254</v>
      </c>
      <c r="C2794" s="2" t="s">
        <v>940</v>
      </c>
      <c r="D2794" s="2" t="s">
        <v>537</v>
      </c>
      <c r="E2794" s="2"/>
      <c r="F2794" s="2" t="str">
        <f>"9786084868446"</f>
        <v>9786084868446</v>
      </c>
    </row>
    <row r="2795" spans="1:6" s="3" customFormat="1" ht="29.1" customHeight="1" x14ac:dyDescent="0.25">
      <c r="A2795" s="2" t="s">
        <v>6255</v>
      </c>
      <c r="B2795" s="2" t="s">
        <v>6256</v>
      </c>
      <c r="C2795" s="2" t="s">
        <v>677</v>
      </c>
      <c r="D2795" s="2" t="s">
        <v>1226</v>
      </c>
      <c r="E2795" s="2" t="str">
        <f>"9789465151007"</f>
        <v>9789465151007</v>
      </c>
      <c r="F2795" s="2"/>
    </row>
    <row r="2796" spans="1:6" s="3" customFormat="1" ht="29.1" customHeight="1" x14ac:dyDescent="0.25">
      <c r="A2796" s="2" t="s">
        <v>6257</v>
      </c>
      <c r="B2796" s="2" t="s">
        <v>6258</v>
      </c>
      <c r="C2796" s="2" t="s">
        <v>677</v>
      </c>
      <c r="D2796" s="2" t="s">
        <v>5032</v>
      </c>
      <c r="E2796" s="2" t="str">
        <f>"9789465150703"</f>
        <v>9789465150703</v>
      </c>
      <c r="F2796" s="2"/>
    </row>
    <row r="2797" spans="1:6" s="3" customFormat="1" ht="29.1" customHeight="1" x14ac:dyDescent="0.25">
      <c r="A2797" s="2" t="s">
        <v>6259</v>
      </c>
      <c r="B2797" s="2" t="s">
        <v>6260</v>
      </c>
      <c r="C2797" s="2" t="s">
        <v>3177</v>
      </c>
      <c r="D2797" s="2" t="s">
        <v>606</v>
      </c>
      <c r="E2797" s="2" t="str">
        <f>"9782503610375"</f>
        <v>9782503610375</v>
      </c>
      <c r="F2797" s="2" t="str">
        <f>"9782503610382"</f>
        <v>9782503610382</v>
      </c>
    </row>
    <row r="2798" spans="1:6" s="3" customFormat="1" ht="29.1" customHeight="1" x14ac:dyDescent="0.25">
      <c r="A2798" s="2" t="s">
        <v>6261</v>
      </c>
      <c r="B2798" s="2" t="s">
        <v>6262</v>
      </c>
      <c r="C2798" s="2" t="s">
        <v>3177</v>
      </c>
      <c r="D2798" s="2" t="s">
        <v>606</v>
      </c>
      <c r="E2798" s="2" t="str">
        <f>"9782503599915"</f>
        <v>9782503599915</v>
      </c>
      <c r="F2798" s="2" t="str">
        <f>"9782503599922"</f>
        <v>9782503599922</v>
      </c>
    </row>
    <row r="2799" spans="1:6" s="3" customFormat="1" ht="29.1" customHeight="1" x14ac:dyDescent="0.25">
      <c r="A2799" s="2" t="s">
        <v>6263</v>
      </c>
      <c r="B2799" s="2" t="s">
        <v>6264</v>
      </c>
      <c r="C2799" s="2" t="s">
        <v>3177</v>
      </c>
      <c r="D2799" s="2" t="s">
        <v>606</v>
      </c>
      <c r="E2799" s="2" t="str">
        <f>"9782503599304"</f>
        <v>9782503599304</v>
      </c>
      <c r="F2799" s="2" t="str">
        <f>"9782503599311"</f>
        <v>9782503599311</v>
      </c>
    </row>
    <row r="2800" spans="1:6" s="3" customFormat="1" ht="29.1" customHeight="1" x14ac:dyDescent="0.25">
      <c r="A2800" s="2" t="s">
        <v>6265</v>
      </c>
      <c r="B2800" s="2" t="s">
        <v>5024</v>
      </c>
      <c r="C2800" s="2" t="s">
        <v>3177</v>
      </c>
      <c r="D2800" s="2" t="s">
        <v>606</v>
      </c>
      <c r="E2800" s="2" t="str">
        <f>"9782503607375"</f>
        <v>9782503607375</v>
      </c>
      <c r="F2800" s="2" t="str">
        <f>"9782503607382"</f>
        <v>9782503607382</v>
      </c>
    </row>
    <row r="2801" spans="1:6" s="3" customFormat="1" ht="29.1" customHeight="1" x14ac:dyDescent="0.25">
      <c r="A2801" s="2" t="s">
        <v>6266</v>
      </c>
      <c r="B2801" s="2" t="s">
        <v>6268</v>
      </c>
      <c r="C2801" s="2" t="s">
        <v>3177</v>
      </c>
      <c r="D2801" s="2" t="s">
        <v>6267</v>
      </c>
      <c r="E2801" s="2" t="str">
        <f>"9782503607436"</f>
        <v>9782503607436</v>
      </c>
      <c r="F2801" s="2" t="str">
        <f>"9782503607443"</f>
        <v>9782503607443</v>
      </c>
    </row>
    <row r="2802" spans="1:6" s="3" customFormat="1" ht="29.1" customHeight="1" x14ac:dyDescent="0.25">
      <c r="A2802" s="2" t="s">
        <v>6269</v>
      </c>
      <c r="B2802" s="2" t="s">
        <v>6270</v>
      </c>
      <c r="C2802" s="2" t="s">
        <v>3177</v>
      </c>
      <c r="D2802" s="2" t="s">
        <v>5428</v>
      </c>
      <c r="E2802" s="2" t="str">
        <f>"9782503604305"</f>
        <v>9782503604305</v>
      </c>
      <c r="F2802" s="2" t="str">
        <f>"9782503604312"</f>
        <v>9782503604312</v>
      </c>
    </row>
    <row r="2803" spans="1:6" s="3" customFormat="1" ht="29.1" customHeight="1" x14ac:dyDescent="0.25">
      <c r="A2803" s="2" t="s">
        <v>6271</v>
      </c>
      <c r="B2803" s="2" t="s">
        <v>6272</v>
      </c>
      <c r="C2803" s="2" t="s">
        <v>3177</v>
      </c>
      <c r="D2803" s="2" t="s">
        <v>107</v>
      </c>
      <c r="E2803" s="2" t="str">
        <f>"9782503588537"</f>
        <v>9782503588537</v>
      </c>
      <c r="F2803" s="2" t="str">
        <f>"9782503588544"</f>
        <v>9782503588544</v>
      </c>
    </row>
    <row r="2804" spans="1:6" s="3" customFormat="1" ht="29.1" customHeight="1" x14ac:dyDescent="0.25">
      <c r="A2804" s="2" t="s">
        <v>6273</v>
      </c>
      <c r="B2804" s="2" t="s">
        <v>6274</v>
      </c>
      <c r="C2804" s="2" t="s">
        <v>3177</v>
      </c>
      <c r="D2804" s="2" t="s">
        <v>107</v>
      </c>
      <c r="E2804" s="2" t="str">
        <f>"9782503605418"</f>
        <v>9782503605418</v>
      </c>
      <c r="F2804" s="2" t="str">
        <f>"9782503605432"</f>
        <v>9782503605432</v>
      </c>
    </row>
    <row r="2805" spans="1:6" s="3" customFormat="1" ht="29.1" customHeight="1" x14ac:dyDescent="0.25">
      <c r="A2805" s="2" t="s">
        <v>6275</v>
      </c>
      <c r="B2805" s="2" t="s">
        <v>6276</v>
      </c>
      <c r="C2805" s="2" t="s">
        <v>3177</v>
      </c>
      <c r="D2805" s="2" t="s">
        <v>1416</v>
      </c>
      <c r="E2805" s="2" t="str">
        <f>"9782503599045"</f>
        <v>9782503599045</v>
      </c>
      <c r="F2805" s="2" t="str">
        <f>"9782503599052"</f>
        <v>9782503599052</v>
      </c>
    </row>
    <row r="2806" spans="1:6" s="3" customFormat="1" ht="29.1" customHeight="1" x14ac:dyDescent="0.25">
      <c r="A2806" s="2" t="s">
        <v>6277</v>
      </c>
      <c r="B2806" s="2" t="s">
        <v>6278</v>
      </c>
      <c r="C2806" s="2" t="s">
        <v>3177</v>
      </c>
      <c r="D2806" s="2" t="s">
        <v>6200</v>
      </c>
      <c r="E2806" s="2" t="str">
        <f>"9782503599083"</f>
        <v>9782503599083</v>
      </c>
      <c r="F2806" s="2" t="str">
        <f>"9782503599090"</f>
        <v>9782503599090</v>
      </c>
    </row>
    <row r="2807" spans="1:6" s="3" customFormat="1" ht="29.1" customHeight="1" x14ac:dyDescent="0.25">
      <c r="A2807" s="2" t="s">
        <v>6279</v>
      </c>
      <c r="B2807" s="2" t="s">
        <v>6280</v>
      </c>
      <c r="C2807" s="2" t="s">
        <v>3177</v>
      </c>
      <c r="D2807" s="2" t="s">
        <v>606</v>
      </c>
      <c r="E2807" s="2" t="str">
        <f>"9782503606118"</f>
        <v>9782503606118</v>
      </c>
      <c r="F2807" s="2" t="str">
        <f>"9782503606132"</f>
        <v>9782503606132</v>
      </c>
    </row>
    <row r="2808" spans="1:6" s="3" customFormat="1" ht="29.1" customHeight="1" x14ac:dyDescent="0.25">
      <c r="A2808" s="2" t="s">
        <v>6281</v>
      </c>
      <c r="B2808" s="2" t="s">
        <v>6282</v>
      </c>
      <c r="C2808" s="2" t="s">
        <v>3177</v>
      </c>
      <c r="D2808" s="2" t="s">
        <v>3185</v>
      </c>
      <c r="E2808" s="2" t="str">
        <f>"9782503598925"</f>
        <v>9782503598925</v>
      </c>
      <c r="F2808" s="2" t="str">
        <f>"9782503598932"</f>
        <v>9782503598932</v>
      </c>
    </row>
    <row r="2809" spans="1:6" s="3" customFormat="1" ht="29.1" customHeight="1" x14ac:dyDescent="0.25">
      <c r="A2809" s="2" t="s">
        <v>6283</v>
      </c>
      <c r="B2809" s="2" t="s">
        <v>6284</v>
      </c>
      <c r="C2809" s="2" t="s">
        <v>3177</v>
      </c>
      <c r="D2809" s="2" t="s">
        <v>107</v>
      </c>
      <c r="E2809" s="2" t="str">
        <f>"9782503612089"</f>
        <v>9782503612089</v>
      </c>
      <c r="F2809" s="2" t="str">
        <f>"9782503607061"</f>
        <v>9782503607061</v>
      </c>
    </row>
    <row r="2810" spans="1:6" s="3" customFormat="1" ht="29.1" customHeight="1" x14ac:dyDescent="0.25">
      <c r="A2810" s="2" t="s">
        <v>6285</v>
      </c>
      <c r="B2810" s="2" t="s">
        <v>6286</v>
      </c>
      <c r="C2810" s="2" t="s">
        <v>3177</v>
      </c>
      <c r="D2810" s="2" t="s">
        <v>606</v>
      </c>
      <c r="E2810" s="2" t="str">
        <f>"9782503610320"</f>
        <v>9782503610320</v>
      </c>
      <c r="F2810" s="2" t="str">
        <f>"9782503610337"</f>
        <v>9782503610337</v>
      </c>
    </row>
    <row r="2811" spans="1:6" s="3" customFormat="1" ht="29.1" customHeight="1" x14ac:dyDescent="0.25">
      <c r="A2811" s="2" t="s">
        <v>6287</v>
      </c>
      <c r="B2811" s="2" t="s">
        <v>6288</v>
      </c>
      <c r="C2811" s="2" t="s">
        <v>3177</v>
      </c>
      <c r="D2811" s="2" t="s">
        <v>196</v>
      </c>
      <c r="E2811" s="2" t="str">
        <f>"9782503595405"</f>
        <v>9782503595405</v>
      </c>
      <c r="F2811" s="2" t="str">
        <f>"9782503595412"</f>
        <v>9782503595412</v>
      </c>
    </row>
    <row r="2812" spans="1:6" s="3" customFormat="1" ht="29.1" customHeight="1" x14ac:dyDescent="0.25">
      <c r="A2812" s="2" t="s">
        <v>6289</v>
      </c>
      <c r="B2812" s="2" t="s">
        <v>6290</v>
      </c>
      <c r="C2812" s="2" t="s">
        <v>3177</v>
      </c>
      <c r="D2812" s="2" t="s">
        <v>107</v>
      </c>
      <c r="E2812" s="2" t="str">
        <f>"9782503553337"</f>
        <v>9782503553337</v>
      </c>
      <c r="F2812" s="2" t="str">
        <f>"9782503554310"</f>
        <v>9782503554310</v>
      </c>
    </row>
    <row r="2813" spans="1:6" s="3" customFormat="1" ht="29.1" customHeight="1" x14ac:dyDescent="0.25">
      <c r="A2813" s="2" t="s">
        <v>6291</v>
      </c>
      <c r="B2813" s="2" t="s">
        <v>6293</v>
      </c>
      <c r="C2813" s="2" t="s">
        <v>3177</v>
      </c>
      <c r="D2813" s="2" t="s">
        <v>6292</v>
      </c>
      <c r="E2813" s="2" t="str">
        <f>"9782503530345"</f>
        <v>9782503530345</v>
      </c>
      <c r="F2813" s="2" t="str">
        <f>"9782503558998"</f>
        <v>9782503558998</v>
      </c>
    </row>
    <row r="2814" spans="1:6" s="3" customFormat="1" ht="29.1" customHeight="1" x14ac:dyDescent="0.25">
      <c r="A2814" s="2" t="s">
        <v>6294</v>
      </c>
      <c r="B2814" s="2" t="s">
        <v>6295</v>
      </c>
      <c r="C2814" s="2" t="s">
        <v>3177</v>
      </c>
      <c r="D2814" s="2" t="s">
        <v>2002</v>
      </c>
      <c r="E2814" s="2" t="str">
        <f>"9782503609379"</f>
        <v>9782503609379</v>
      </c>
      <c r="F2814" s="2" t="str">
        <f>"9782503609386"</f>
        <v>9782503609386</v>
      </c>
    </row>
    <row r="2815" spans="1:6" s="3" customFormat="1" ht="29.1" customHeight="1" x14ac:dyDescent="0.25">
      <c r="A2815" s="2" t="s">
        <v>6296</v>
      </c>
      <c r="B2815" s="2" t="s">
        <v>6297</v>
      </c>
      <c r="C2815" s="2" t="s">
        <v>3177</v>
      </c>
      <c r="D2815" s="2" t="s">
        <v>5032</v>
      </c>
      <c r="E2815" s="2" t="str">
        <f>"9782503596068"</f>
        <v>9782503596068</v>
      </c>
      <c r="F2815" s="2" t="str">
        <f>"9782503596075"</f>
        <v>9782503596075</v>
      </c>
    </row>
    <row r="2816" spans="1:6" s="3" customFormat="1" ht="29.1" customHeight="1" x14ac:dyDescent="0.25">
      <c r="A2816" s="2" t="s">
        <v>6298</v>
      </c>
      <c r="B2816" s="2" t="s">
        <v>6299</v>
      </c>
      <c r="C2816" s="2" t="s">
        <v>3177</v>
      </c>
      <c r="D2816" s="2" t="s">
        <v>5032</v>
      </c>
      <c r="E2816" s="2" t="str">
        <f>"9782503586397"</f>
        <v>9782503586397</v>
      </c>
      <c r="F2816" s="2" t="str">
        <f>"9782503589473"</f>
        <v>9782503589473</v>
      </c>
    </row>
    <row r="2817" spans="1:6" s="3" customFormat="1" ht="29.1" customHeight="1" x14ac:dyDescent="0.25">
      <c r="A2817" s="2" t="s">
        <v>6300</v>
      </c>
      <c r="B2817" s="2" t="s">
        <v>6301</v>
      </c>
      <c r="C2817" s="2" t="s">
        <v>3177</v>
      </c>
      <c r="D2817" s="2" t="s">
        <v>107</v>
      </c>
      <c r="E2817" s="2" t="str">
        <f>"9782503593555"</f>
        <v>9782503593555</v>
      </c>
      <c r="F2817" s="2" t="str">
        <f>"9782503593562"</f>
        <v>9782503593562</v>
      </c>
    </row>
    <row r="2818" spans="1:6" s="3" customFormat="1" ht="29.1" customHeight="1" x14ac:dyDescent="0.25">
      <c r="A2818" s="2" t="s">
        <v>6302</v>
      </c>
      <c r="B2818" s="2" t="s">
        <v>6303</v>
      </c>
      <c r="C2818" s="2" t="s">
        <v>3177</v>
      </c>
      <c r="D2818" s="2" t="s">
        <v>2496</v>
      </c>
      <c r="E2818" s="2" t="str">
        <f>"9782503604848"</f>
        <v>9782503604848</v>
      </c>
      <c r="F2818" s="2" t="str">
        <f>"9782503604855"</f>
        <v>9782503604855</v>
      </c>
    </row>
    <row r="2819" spans="1:6" s="3" customFormat="1" ht="29.1" customHeight="1" x14ac:dyDescent="0.25">
      <c r="A2819" s="2" t="s">
        <v>6304</v>
      </c>
      <c r="B2819" s="2" t="s">
        <v>6305</v>
      </c>
      <c r="C2819" s="2" t="s">
        <v>3177</v>
      </c>
      <c r="D2819" s="2" t="s">
        <v>606</v>
      </c>
      <c r="E2819" s="2" t="str">
        <f>"9782503612775"</f>
        <v>9782503612775</v>
      </c>
      <c r="F2819" s="2" t="str">
        <f>"9782503612782"</f>
        <v>9782503612782</v>
      </c>
    </row>
    <row r="2820" spans="1:6" s="3" customFormat="1" ht="29.1" customHeight="1" x14ac:dyDescent="0.25">
      <c r="A2820" s="2" t="s">
        <v>6306</v>
      </c>
      <c r="B2820" s="2" t="s">
        <v>6307</v>
      </c>
      <c r="C2820" s="2" t="s">
        <v>3177</v>
      </c>
      <c r="D2820" s="2" t="s">
        <v>4899</v>
      </c>
      <c r="E2820" s="2" t="str">
        <f>"9782503589022"</f>
        <v>9782503589022</v>
      </c>
      <c r="F2820" s="2" t="str">
        <f>"9782503594859"</f>
        <v>9782503594859</v>
      </c>
    </row>
    <row r="2821" spans="1:6" s="3" customFormat="1" ht="29.1" customHeight="1" x14ac:dyDescent="0.25">
      <c r="A2821" s="2" t="s">
        <v>6308</v>
      </c>
      <c r="B2821" s="2" t="s">
        <v>6309</v>
      </c>
      <c r="C2821" s="2" t="s">
        <v>3177</v>
      </c>
      <c r="D2821" s="2" t="s">
        <v>512</v>
      </c>
      <c r="E2821" s="2" t="str">
        <f>"9782503602844"</f>
        <v>9782503602844</v>
      </c>
      <c r="F2821" s="2" t="str">
        <f>"9782503602851"</f>
        <v>9782503602851</v>
      </c>
    </row>
    <row r="2822" spans="1:6" s="3" customFormat="1" ht="29.1" customHeight="1" x14ac:dyDescent="0.25">
      <c r="A2822" s="2" t="s">
        <v>6310</v>
      </c>
      <c r="B2822" s="2" t="s">
        <v>6311</v>
      </c>
      <c r="C2822" s="2" t="s">
        <v>3177</v>
      </c>
      <c r="D2822" s="2" t="s">
        <v>3166</v>
      </c>
      <c r="E2822" s="2" t="str">
        <f>"9782503607870"</f>
        <v>9782503607870</v>
      </c>
      <c r="F2822" s="2" t="str">
        <f>"9782503607887"</f>
        <v>9782503607887</v>
      </c>
    </row>
    <row r="2823" spans="1:6" s="3" customFormat="1" ht="29.1" customHeight="1" x14ac:dyDescent="0.25">
      <c r="A2823" s="2" t="s">
        <v>6312</v>
      </c>
      <c r="B2823" s="2" t="s">
        <v>6313</v>
      </c>
      <c r="C2823" s="2" t="s">
        <v>3177</v>
      </c>
      <c r="D2823" s="2" t="s">
        <v>107</v>
      </c>
      <c r="E2823" s="2" t="str">
        <f>"9782503591193"</f>
        <v>9782503591193</v>
      </c>
      <c r="F2823" s="2" t="str">
        <f>"9782503591209"</f>
        <v>9782503591209</v>
      </c>
    </row>
    <row r="2824" spans="1:6" s="3" customFormat="1" ht="29.1" customHeight="1" x14ac:dyDescent="0.25">
      <c r="A2824" s="2" t="s">
        <v>6314</v>
      </c>
      <c r="B2824" s="2" t="s">
        <v>6315</v>
      </c>
      <c r="C2824" s="2" t="s">
        <v>3177</v>
      </c>
      <c r="D2824" s="2" t="s">
        <v>107</v>
      </c>
      <c r="E2824" s="2" t="str">
        <f>"9782503596938"</f>
        <v>9782503596938</v>
      </c>
      <c r="F2824" s="2" t="str">
        <f>"9782503596945"</f>
        <v>9782503596945</v>
      </c>
    </row>
    <row r="2825" spans="1:6" s="3" customFormat="1" ht="29.1" customHeight="1" x14ac:dyDescent="0.25">
      <c r="A2825" s="2" t="s">
        <v>6316</v>
      </c>
      <c r="B2825" s="2" t="s">
        <v>6317</v>
      </c>
      <c r="C2825" s="2" t="s">
        <v>3177</v>
      </c>
      <c r="D2825" s="2" t="s">
        <v>196</v>
      </c>
      <c r="E2825" s="2" t="str">
        <f>"9782503595085"</f>
        <v>9782503595085</v>
      </c>
      <c r="F2825" s="2" t="str">
        <f>"9782503595092"</f>
        <v>9782503595092</v>
      </c>
    </row>
    <row r="2826" spans="1:6" s="3" customFormat="1" ht="29.1" customHeight="1" x14ac:dyDescent="0.25">
      <c r="A2826" s="2" t="s">
        <v>6318</v>
      </c>
      <c r="B2826" s="2" t="s">
        <v>6320</v>
      </c>
      <c r="C2826" s="2" t="s">
        <v>3177</v>
      </c>
      <c r="D2826" s="2" t="s">
        <v>6319</v>
      </c>
      <c r="E2826" s="2" t="str">
        <f>"9782503610962"</f>
        <v>9782503610962</v>
      </c>
      <c r="F2826" s="2" t="str">
        <f>"9782503610979"</f>
        <v>9782503610979</v>
      </c>
    </row>
    <row r="2827" spans="1:6" s="3" customFormat="1" ht="29.1" customHeight="1" x14ac:dyDescent="0.25">
      <c r="A2827" s="2" t="s">
        <v>6321</v>
      </c>
      <c r="B2827" s="2" t="s">
        <v>6323</v>
      </c>
      <c r="C2827" s="2" t="s">
        <v>3177</v>
      </c>
      <c r="D2827" s="2" t="s">
        <v>6322</v>
      </c>
      <c r="E2827" s="2" t="str">
        <f>"9782503602967"</f>
        <v>9782503602967</v>
      </c>
      <c r="F2827" s="2" t="str">
        <f>"9782503602974"</f>
        <v>9782503602974</v>
      </c>
    </row>
    <row r="2828" spans="1:6" s="3" customFormat="1" ht="29.1" customHeight="1" x14ac:dyDescent="0.25">
      <c r="A2828" s="2" t="s">
        <v>6324</v>
      </c>
      <c r="B2828" s="2" t="s">
        <v>6325</v>
      </c>
      <c r="C2828" s="2" t="s">
        <v>3177</v>
      </c>
      <c r="D2828" s="2" t="s">
        <v>2428</v>
      </c>
      <c r="E2828" s="2" t="str">
        <f>"9782503602103"</f>
        <v>9782503602103</v>
      </c>
      <c r="F2828" s="2" t="str">
        <f>"9782503602110"</f>
        <v>9782503602110</v>
      </c>
    </row>
    <row r="2829" spans="1:6" s="3" customFormat="1" ht="29.1" customHeight="1" x14ac:dyDescent="0.25">
      <c r="A2829" s="2" t="s">
        <v>6326</v>
      </c>
      <c r="B2829" s="2" t="s">
        <v>6327</v>
      </c>
      <c r="C2829" s="2" t="s">
        <v>3177</v>
      </c>
      <c r="D2829" s="2" t="s">
        <v>6319</v>
      </c>
      <c r="E2829" s="2" t="str">
        <f>"9782503589749"</f>
        <v>9782503589749</v>
      </c>
      <c r="F2829" s="2" t="str">
        <f>"9782503589756"</f>
        <v>9782503589756</v>
      </c>
    </row>
    <row r="2830" spans="1:6" s="3" customFormat="1" ht="29.1" customHeight="1" x14ac:dyDescent="0.25">
      <c r="A2830" s="2" t="s">
        <v>6328</v>
      </c>
      <c r="B2830" s="2" t="s">
        <v>6329</v>
      </c>
      <c r="C2830" s="2" t="s">
        <v>3177</v>
      </c>
      <c r="D2830" s="2" t="s">
        <v>107</v>
      </c>
      <c r="E2830" s="2" t="str">
        <f>"9781915487087"</f>
        <v>9781915487087</v>
      </c>
      <c r="F2830" s="2" t="str">
        <f>"9781915487162"</f>
        <v>9781915487162</v>
      </c>
    </row>
    <row r="2831" spans="1:6" s="3" customFormat="1" ht="29.1" customHeight="1" x14ac:dyDescent="0.25">
      <c r="A2831" s="2" t="s">
        <v>6330</v>
      </c>
      <c r="B2831" s="2" t="s">
        <v>6331</v>
      </c>
      <c r="C2831" s="2" t="s">
        <v>3177</v>
      </c>
      <c r="D2831" s="2" t="s">
        <v>636</v>
      </c>
      <c r="E2831" s="2" t="str">
        <f>"9782503610054"</f>
        <v>9782503610054</v>
      </c>
      <c r="F2831" s="2" t="str">
        <f>"9782503610061"</f>
        <v>9782503610061</v>
      </c>
    </row>
    <row r="2832" spans="1:6" s="3" customFormat="1" ht="29.1" customHeight="1" x14ac:dyDescent="0.25">
      <c r="A2832" s="2" t="s">
        <v>6332</v>
      </c>
      <c r="B2832" s="2" t="s">
        <v>6333</v>
      </c>
      <c r="C2832" s="2" t="s">
        <v>3177</v>
      </c>
      <c r="D2832" s="2" t="s">
        <v>2175</v>
      </c>
      <c r="E2832" s="2" t="str">
        <f>"9782503608440"</f>
        <v>9782503608440</v>
      </c>
      <c r="F2832" s="2" t="str">
        <f>"9782503608457"</f>
        <v>9782503608457</v>
      </c>
    </row>
    <row r="2833" spans="1:6" s="3" customFormat="1" ht="29.1" customHeight="1" x14ac:dyDescent="0.25">
      <c r="A2833" s="2" t="s">
        <v>6334</v>
      </c>
      <c r="B2833" s="2" t="s">
        <v>6335</v>
      </c>
      <c r="C2833" s="2" t="s">
        <v>3177</v>
      </c>
      <c r="D2833" s="2" t="s">
        <v>462</v>
      </c>
      <c r="E2833" s="2" t="str">
        <f>"9782503599144"</f>
        <v>9782503599144</v>
      </c>
      <c r="F2833" s="2" t="str">
        <f>"9782503599151"</f>
        <v>9782503599151</v>
      </c>
    </row>
    <row r="2834" spans="1:6" s="3" customFormat="1" ht="29.1" customHeight="1" x14ac:dyDescent="0.25">
      <c r="A2834" s="2" t="s">
        <v>6336</v>
      </c>
      <c r="B2834" s="2" t="s">
        <v>6337</v>
      </c>
      <c r="C2834" s="2" t="s">
        <v>3177</v>
      </c>
      <c r="D2834" s="2" t="s">
        <v>636</v>
      </c>
      <c r="E2834" s="2" t="str">
        <f>"9782503596525"</f>
        <v>9782503596525</v>
      </c>
      <c r="F2834" s="2" t="str">
        <f>"9782503596532"</f>
        <v>9782503596532</v>
      </c>
    </row>
    <row r="2835" spans="1:6" s="3" customFormat="1" ht="29.1" customHeight="1" x14ac:dyDescent="0.25">
      <c r="A2835" s="2" t="s">
        <v>6338</v>
      </c>
      <c r="B2835" s="2" t="s">
        <v>6340</v>
      </c>
      <c r="C2835" s="2" t="s">
        <v>3177</v>
      </c>
      <c r="D2835" s="2" t="s">
        <v>6339</v>
      </c>
      <c r="E2835" s="2" t="str">
        <f>"9782503602820"</f>
        <v>9782503602820</v>
      </c>
      <c r="F2835" s="2" t="str">
        <f>"9782503602837"</f>
        <v>9782503602837</v>
      </c>
    </row>
    <row r="2836" spans="1:6" s="3" customFormat="1" ht="29.1" customHeight="1" x14ac:dyDescent="0.25">
      <c r="A2836" s="2" t="s">
        <v>6341</v>
      </c>
      <c r="B2836" s="2" t="s">
        <v>6343</v>
      </c>
      <c r="C2836" s="2" t="s">
        <v>3177</v>
      </c>
      <c r="D2836" s="2" t="s">
        <v>6342</v>
      </c>
      <c r="E2836" s="2" t="str">
        <f>"9782503599380"</f>
        <v>9782503599380</v>
      </c>
      <c r="F2836" s="2" t="str">
        <f>"9782503599397"</f>
        <v>9782503599397</v>
      </c>
    </row>
    <row r="2837" spans="1:6" s="3" customFormat="1" ht="29.1" customHeight="1" x14ac:dyDescent="0.25">
      <c r="A2837" s="2" t="s">
        <v>6344</v>
      </c>
      <c r="B2837" s="2" t="s">
        <v>6345</v>
      </c>
      <c r="C2837" s="2" t="s">
        <v>3177</v>
      </c>
      <c r="D2837" s="2" t="s">
        <v>1141</v>
      </c>
      <c r="E2837" s="2" t="str">
        <f>"9782503588315"</f>
        <v>9782503588315</v>
      </c>
      <c r="F2837" s="2" t="str">
        <f>"9782503589978"</f>
        <v>9782503589978</v>
      </c>
    </row>
    <row r="2838" spans="1:6" s="3" customFormat="1" ht="29.1" customHeight="1" x14ac:dyDescent="0.25">
      <c r="A2838" s="2" t="s">
        <v>6346</v>
      </c>
      <c r="B2838" s="2" t="s">
        <v>6348</v>
      </c>
      <c r="C2838" s="2" t="s">
        <v>3177</v>
      </c>
      <c r="D2838" s="2" t="s">
        <v>6347</v>
      </c>
      <c r="E2838" s="2" t="str">
        <f>"9782503604367"</f>
        <v>9782503604367</v>
      </c>
      <c r="F2838" s="2" t="str">
        <f>"9782503604374"</f>
        <v>9782503604374</v>
      </c>
    </row>
    <row r="2839" spans="1:6" s="3" customFormat="1" ht="29.1" customHeight="1" x14ac:dyDescent="0.25">
      <c r="A2839" s="2" t="s">
        <v>6349</v>
      </c>
      <c r="B2839" s="2" t="s">
        <v>6350</v>
      </c>
      <c r="C2839" s="2" t="s">
        <v>3177</v>
      </c>
      <c r="D2839" s="2" t="s">
        <v>2208</v>
      </c>
      <c r="E2839" s="2" t="str">
        <f>"9782503613123"</f>
        <v>9782503613123</v>
      </c>
      <c r="F2839" s="2" t="str">
        <f>"9782503613130"</f>
        <v>9782503613130</v>
      </c>
    </row>
    <row r="2840" spans="1:6" s="3" customFormat="1" ht="29.1" customHeight="1" x14ac:dyDescent="0.25">
      <c r="A2840" s="2" t="s">
        <v>6351</v>
      </c>
      <c r="B2840" s="2" t="s">
        <v>6352</v>
      </c>
      <c r="C2840" s="2" t="s">
        <v>3177</v>
      </c>
      <c r="D2840" s="2" t="s">
        <v>1141</v>
      </c>
      <c r="E2840" s="2" t="str">
        <f>"9782503614861"</f>
        <v>9782503614861</v>
      </c>
      <c r="F2840" s="2" t="str">
        <f>"9782503614878"</f>
        <v>9782503614878</v>
      </c>
    </row>
    <row r="2841" spans="1:6" s="3" customFormat="1" ht="29.1" customHeight="1" x14ac:dyDescent="0.25">
      <c r="A2841" s="2" t="s">
        <v>6353</v>
      </c>
      <c r="B2841" s="2" t="s">
        <v>6355</v>
      </c>
      <c r="C2841" s="2" t="s">
        <v>3177</v>
      </c>
      <c r="D2841" s="2" t="s">
        <v>6354</v>
      </c>
      <c r="E2841" s="2" t="str">
        <f>"9782503584799"</f>
        <v>9782503584799</v>
      </c>
      <c r="F2841" s="2" t="str">
        <f>"9782503584805"</f>
        <v>9782503584805</v>
      </c>
    </row>
    <row r="2842" spans="1:6" s="3" customFormat="1" ht="29.1" customHeight="1" x14ac:dyDescent="0.25">
      <c r="A2842" s="2" t="s">
        <v>6356</v>
      </c>
      <c r="B2842" s="2" t="s">
        <v>6357</v>
      </c>
      <c r="C2842" s="2" t="s">
        <v>3177</v>
      </c>
      <c r="D2842" s="2" t="s">
        <v>6354</v>
      </c>
      <c r="E2842" s="2" t="str">
        <f>"9782503584201"</f>
        <v>9782503584201</v>
      </c>
      <c r="F2842" s="2" t="str">
        <f>"9782503584263"</f>
        <v>9782503584263</v>
      </c>
    </row>
    <row r="2843" spans="1:6" s="3" customFormat="1" ht="29.1" customHeight="1" x14ac:dyDescent="0.25">
      <c r="A2843" s="2" t="s">
        <v>6358</v>
      </c>
      <c r="B2843" s="2" t="s">
        <v>6359</v>
      </c>
      <c r="C2843" s="2" t="s">
        <v>3177</v>
      </c>
      <c r="D2843" s="2" t="s">
        <v>1141</v>
      </c>
      <c r="E2843" s="2" t="str">
        <f>"9782503584546"</f>
        <v>9782503584546</v>
      </c>
      <c r="F2843" s="2" t="str">
        <f>"9782503584553"</f>
        <v>9782503584553</v>
      </c>
    </row>
    <row r="2844" spans="1:6" s="3" customFormat="1" ht="29.1" customHeight="1" x14ac:dyDescent="0.25">
      <c r="A2844" s="2" t="s">
        <v>6360</v>
      </c>
      <c r="B2844" s="2" t="s">
        <v>6361</v>
      </c>
      <c r="C2844" s="2" t="s">
        <v>3177</v>
      </c>
      <c r="D2844" s="2" t="s">
        <v>107</v>
      </c>
      <c r="E2844" s="2" t="str">
        <f>"9782503602301"</f>
        <v>9782503602301</v>
      </c>
      <c r="F2844" s="2" t="str">
        <f>"9782503602318"</f>
        <v>9782503602318</v>
      </c>
    </row>
    <row r="2845" spans="1:6" s="3" customFormat="1" ht="29.1" customHeight="1" x14ac:dyDescent="0.25">
      <c r="A2845" s="2" t="s">
        <v>6362</v>
      </c>
      <c r="B2845" s="2" t="s">
        <v>6361</v>
      </c>
      <c r="C2845" s="2" t="s">
        <v>3177</v>
      </c>
      <c r="D2845" s="2" t="s">
        <v>107</v>
      </c>
      <c r="E2845" s="2" t="str">
        <f>"9782503602288"</f>
        <v>9782503602288</v>
      </c>
      <c r="F2845" s="2" t="str">
        <f>"9782503602295"</f>
        <v>9782503602295</v>
      </c>
    </row>
    <row r="2846" spans="1:6" s="3" customFormat="1" ht="29.1" customHeight="1" x14ac:dyDescent="0.25">
      <c r="A2846" s="2" t="s">
        <v>6363</v>
      </c>
      <c r="B2846" s="2" t="s">
        <v>6364</v>
      </c>
      <c r="C2846" s="2" t="s">
        <v>3177</v>
      </c>
      <c r="D2846" s="2" t="s">
        <v>107</v>
      </c>
      <c r="E2846" s="2" t="str">
        <f>"9782503570525"</f>
        <v>9782503570525</v>
      </c>
      <c r="F2846" s="2" t="str">
        <f>"9782503570532"</f>
        <v>9782503570532</v>
      </c>
    </row>
    <row r="2847" spans="1:6" s="3" customFormat="1" ht="29.1" customHeight="1" x14ac:dyDescent="0.25">
      <c r="A2847" s="2" t="s">
        <v>6365</v>
      </c>
      <c r="B2847" s="2" t="s">
        <v>6366</v>
      </c>
      <c r="C2847" s="2" t="s">
        <v>3177</v>
      </c>
      <c r="D2847" s="2" t="s">
        <v>196</v>
      </c>
      <c r="E2847" s="2" t="str">
        <f>"9782503605210"</f>
        <v>9782503605210</v>
      </c>
      <c r="F2847" s="2" t="str">
        <f>"9782503605227"</f>
        <v>9782503605227</v>
      </c>
    </row>
    <row r="2848" spans="1:6" s="3" customFormat="1" ht="29.1" customHeight="1" x14ac:dyDescent="0.25">
      <c r="A2848" s="2" t="s">
        <v>6367</v>
      </c>
      <c r="B2848" s="2" t="s">
        <v>6368</v>
      </c>
      <c r="C2848" s="2" t="s">
        <v>3177</v>
      </c>
      <c r="D2848" s="2" t="s">
        <v>196</v>
      </c>
      <c r="E2848" s="2" t="str">
        <f>"9782503605197"</f>
        <v>9782503605197</v>
      </c>
      <c r="F2848" s="2" t="str">
        <f>"9782503605203"</f>
        <v>9782503605203</v>
      </c>
    </row>
    <row r="2849" spans="1:6" s="3" customFormat="1" ht="29.1" customHeight="1" x14ac:dyDescent="0.25">
      <c r="A2849" s="2" t="s">
        <v>6369</v>
      </c>
      <c r="B2849" s="2" t="s">
        <v>6370</v>
      </c>
      <c r="C2849" s="2" t="s">
        <v>3177</v>
      </c>
      <c r="D2849" s="2" t="s">
        <v>196</v>
      </c>
      <c r="E2849" s="2" t="str">
        <f>"9782503605173"</f>
        <v>9782503605173</v>
      </c>
      <c r="F2849" s="2" t="str">
        <f>"9782503605180"</f>
        <v>9782503605180</v>
      </c>
    </row>
    <row r="2850" spans="1:6" s="3" customFormat="1" ht="29.1" customHeight="1" x14ac:dyDescent="0.25">
      <c r="A2850" s="2" t="s">
        <v>6371</v>
      </c>
      <c r="B2850" s="2" t="s">
        <v>6372</v>
      </c>
      <c r="C2850" s="2" t="s">
        <v>3177</v>
      </c>
      <c r="D2850" s="2" t="s">
        <v>5536</v>
      </c>
      <c r="E2850" s="2" t="str">
        <f>"9782503589602"</f>
        <v>9782503589602</v>
      </c>
      <c r="F2850" s="2" t="str">
        <f>"9782503589619"</f>
        <v>9782503589619</v>
      </c>
    </row>
    <row r="2851" spans="1:6" s="3" customFormat="1" ht="29.1" customHeight="1" x14ac:dyDescent="0.25">
      <c r="A2851" s="2" t="s">
        <v>6373</v>
      </c>
      <c r="B2851" s="2" t="s">
        <v>6374</v>
      </c>
      <c r="C2851" s="2" t="s">
        <v>3177</v>
      </c>
      <c r="D2851" s="2" t="s">
        <v>107</v>
      </c>
      <c r="E2851" s="2" t="str">
        <f>"9782503574752"</f>
        <v>9782503574752</v>
      </c>
      <c r="F2851" s="2" t="str">
        <f>"9782503574769"</f>
        <v>9782503574769</v>
      </c>
    </row>
    <row r="2852" spans="1:6" s="3" customFormat="1" ht="29.1" customHeight="1" x14ac:dyDescent="0.25">
      <c r="A2852" s="2" t="s">
        <v>6375</v>
      </c>
      <c r="B2852" s="2" t="s">
        <v>6377</v>
      </c>
      <c r="C2852" s="2" t="s">
        <v>3177</v>
      </c>
      <c r="D2852" s="2" t="s">
        <v>6376</v>
      </c>
      <c r="E2852" s="2" t="str">
        <f>"9782503606392"</f>
        <v>9782503606392</v>
      </c>
      <c r="F2852" s="2" t="str">
        <f>"9782503606408"</f>
        <v>9782503606408</v>
      </c>
    </row>
    <row r="2853" spans="1:6" s="3" customFormat="1" ht="29.1" customHeight="1" x14ac:dyDescent="0.25">
      <c r="A2853" s="2" t="s">
        <v>6378</v>
      </c>
      <c r="B2853" s="2" t="s">
        <v>6379</v>
      </c>
      <c r="C2853" s="2" t="s">
        <v>3177</v>
      </c>
      <c r="D2853" s="2" t="s">
        <v>107</v>
      </c>
      <c r="E2853" s="2" t="str">
        <f>"9782503584737"</f>
        <v>9782503584737</v>
      </c>
      <c r="F2853" s="2" t="str">
        <f>"9782503584744"</f>
        <v>9782503584744</v>
      </c>
    </row>
    <row r="2854" spans="1:6" s="3" customFormat="1" ht="29.1" customHeight="1" x14ac:dyDescent="0.25">
      <c r="A2854" s="2" t="s">
        <v>6380</v>
      </c>
      <c r="B2854" s="2" t="s">
        <v>6381</v>
      </c>
      <c r="C2854" s="2" t="s">
        <v>3177</v>
      </c>
      <c r="D2854" s="2" t="s">
        <v>107</v>
      </c>
      <c r="E2854" s="2" t="str">
        <f>"9782503594460"</f>
        <v>9782503594460</v>
      </c>
      <c r="F2854" s="2" t="str">
        <f>"9782503594477"</f>
        <v>9782503594477</v>
      </c>
    </row>
    <row r="2855" spans="1:6" s="3" customFormat="1" ht="29.1" customHeight="1" x14ac:dyDescent="0.25">
      <c r="A2855" s="2" t="s">
        <v>6382</v>
      </c>
      <c r="B2855" s="2" t="s">
        <v>6383</v>
      </c>
      <c r="C2855" s="2" t="s">
        <v>3177</v>
      </c>
      <c r="D2855" s="2" t="s">
        <v>1801</v>
      </c>
      <c r="E2855" s="2" t="str">
        <f>"9788028003821"</f>
        <v>9788028003821</v>
      </c>
      <c r="F2855" s="2" t="str">
        <f>"9788028003838"</f>
        <v>9788028003838</v>
      </c>
    </row>
    <row r="2856" spans="1:6" s="3" customFormat="1" ht="29.1" customHeight="1" x14ac:dyDescent="0.25">
      <c r="A2856" s="2" t="s">
        <v>6384</v>
      </c>
      <c r="B2856" s="2" t="s">
        <v>6385</v>
      </c>
      <c r="C2856" s="2" t="s">
        <v>3177</v>
      </c>
      <c r="D2856" s="2" t="s">
        <v>107</v>
      </c>
      <c r="E2856" s="2" t="str">
        <f>"9782503590103"</f>
        <v>9782503590103</v>
      </c>
      <c r="F2856" s="2" t="str">
        <f>"9782503590110"</f>
        <v>9782503590110</v>
      </c>
    </row>
    <row r="2857" spans="1:6" s="3" customFormat="1" ht="29.1" customHeight="1" x14ac:dyDescent="0.25">
      <c r="A2857" s="2" t="s">
        <v>6386</v>
      </c>
      <c r="B2857" s="2" t="s">
        <v>6387</v>
      </c>
      <c r="C2857" s="2" t="s">
        <v>3177</v>
      </c>
      <c r="D2857" s="2" t="s">
        <v>107</v>
      </c>
      <c r="E2857" s="2" t="str">
        <f>"9782503586557"</f>
        <v>9782503586557</v>
      </c>
      <c r="F2857" s="2" t="str">
        <f>"9782503586564"</f>
        <v>9782503586564</v>
      </c>
    </row>
    <row r="2858" spans="1:6" s="3" customFormat="1" ht="29.1" customHeight="1" x14ac:dyDescent="0.25">
      <c r="A2858" s="2" t="s">
        <v>6388</v>
      </c>
      <c r="B2858" s="2" t="s">
        <v>6389</v>
      </c>
      <c r="C2858" s="2" t="s">
        <v>3177</v>
      </c>
      <c r="D2858" s="2" t="s">
        <v>462</v>
      </c>
      <c r="E2858" s="2" t="str">
        <f>"9782503581576"</f>
        <v>9782503581576</v>
      </c>
      <c r="F2858" s="2" t="str">
        <f>"9782503581583"</f>
        <v>9782503581583</v>
      </c>
    </row>
    <row r="2859" spans="1:6" s="3" customFormat="1" ht="29.1" customHeight="1" x14ac:dyDescent="0.25">
      <c r="A2859" s="2" t="s">
        <v>6390</v>
      </c>
      <c r="B2859" s="2" t="s">
        <v>6391</v>
      </c>
      <c r="C2859" s="2" t="s">
        <v>3177</v>
      </c>
      <c r="D2859" s="2" t="s">
        <v>6319</v>
      </c>
      <c r="E2859" s="2" t="str">
        <f>"9782503599427"</f>
        <v>9782503599427</v>
      </c>
      <c r="F2859" s="2" t="str">
        <f>"9782503599434"</f>
        <v>9782503599434</v>
      </c>
    </row>
    <row r="2860" spans="1:6" s="3" customFormat="1" ht="29.1" customHeight="1" x14ac:dyDescent="0.25">
      <c r="A2860" s="2" t="s">
        <v>6392</v>
      </c>
      <c r="B2860" s="2" t="s">
        <v>6394</v>
      </c>
      <c r="C2860" s="2" t="s">
        <v>3177</v>
      </c>
      <c r="D2860" s="2" t="s">
        <v>6393</v>
      </c>
      <c r="E2860" s="2" t="str">
        <f>"9782503593470"</f>
        <v>9782503593470</v>
      </c>
      <c r="F2860" s="2" t="str">
        <f>"9782503593487"</f>
        <v>9782503593487</v>
      </c>
    </row>
    <row r="2861" spans="1:6" s="3" customFormat="1" ht="29.1" customHeight="1" x14ac:dyDescent="0.25">
      <c r="A2861" s="2" t="s">
        <v>6395</v>
      </c>
      <c r="B2861" s="2" t="s">
        <v>6396</v>
      </c>
      <c r="C2861" s="2" t="s">
        <v>3177</v>
      </c>
      <c r="D2861" s="2" t="s">
        <v>5794</v>
      </c>
      <c r="E2861" s="2" t="str">
        <f>"9782503595986"</f>
        <v>9782503595986</v>
      </c>
      <c r="F2861" s="2" t="str">
        <f>"9782503595993"</f>
        <v>9782503595993</v>
      </c>
    </row>
    <row r="2862" spans="1:6" s="3" customFormat="1" ht="29.1" customHeight="1" x14ac:dyDescent="0.25">
      <c r="A2862" s="2" t="s">
        <v>6397</v>
      </c>
      <c r="B2862" s="2" t="s">
        <v>6398</v>
      </c>
      <c r="C2862" s="2" t="s">
        <v>3177</v>
      </c>
      <c r="D2862" s="2" t="s">
        <v>5144</v>
      </c>
      <c r="E2862" s="2" t="str">
        <f>"9782503599229"</f>
        <v>9782503599229</v>
      </c>
      <c r="F2862" s="2" t="str">
        <f>"9782503599236"</f>
        <v>9782503599236</v>
      </c>
    </row>
    <row r="2863" spans="1:6" s="3" customFormat="1" ht="29.1" customHeight="1" x14ac:dyDescent="0.25">
      <c r="A2863" s="2" t="s">
        <v>6399</v>
      </c>
      <c r="B2863" s="2" t="s">
        <v>6400</v>
      </c>
      <c r="C2863" s="2" t="s">
        <v>3177</v>
      </c>
      <c r="D2863" s="2" t="s">
        <v>5032</v>
      </c>
      <c r="E2863" s="2" t="str">
        <f>"9782503596099"</f>
        <v>9782503596099</v>
      </c>
      <c r="F2863" s="2" t="str">
        <f>"9782503596105"</f>
        <v>9782503596105</v>
      </c>
    </row>
    <row r="2864" spans="1:6" s="3" customFormat="1" ht="29.1" customHeight="1" x14ac:dyDescent="0.25">
      <c r="A2864" s="2" t="s">
        <v>6401</v>
      </c>
      <c r="B2864" s="2" t="s">
        <v>6402</v>
      </c>
      <c r="C2864" s="2" t="s">
        <v>3177</v>
      </c>
      <c r="D2864" s="2" t="s">
        <v>5032</v>
      </c>
      <c r="E2864" s="2" t="str">
        <f>"9782503595207"</f>
        <v>9782503595207</v>
      </c>
      <c r="F2864" s="2" t="str">
        <f>"9782503595214"</f>
        <v>9782503595214</v>
      </c>
    </row>
    <row r="2865" spans="1:6" s="3" customFormat="1" ht="29.1" customHeight="1" x14ac:dyDescent="0.25">
      <c r="A2865" s="2" t="s">
        <v>6403</v>
      </c>
      <c r="B2865" s="2" t="s">
        <v>6404</v>
      </c>
      <c r="C2865" s="2" t="s">
        <v>3177</v>
      </c>
      <c r="D2865" s="2" t="s">
        <v>2002</v>
      </c>
      <c r="E2865" s="2" t="str">
        <f>"9782503608198"</f>
        <v>9782503608198</v>
      </c>
      <c r="F2865" s="2" t="str">
        <f>"9782503608204"</f>
        <v>9782503608204</v>
      </c>
    </row>
    <row r="2866" spans="1:6" s="3" customFormat="1" ht="29.1" customHeight="1" x14ac:dyDescent="0.25">
      <c r="A2866" s="2" t="s">
        <v>6405</v>
      </c>
      <c r="B2866" s="2" t="s">
        <v>6406</v>
      </c>
      <c r="C2866" s="2" t="s">
        <v>3177</v>
      </c>
      <c r="D2866" s="2" t="s">
        <v>3345</v>
      </c>
      <c r="E2866" s="2" t="str">
        <f>"9782503584683"</f>
        <v>9782503584683</v>
      </c>
      <c r="F2866" s="2" t="str">
        <f>"9782503584690"</f>
        <v>9782503584690</v>
      </c>
    </row>
    <row r="2867" spans="1:6" s="3" customFormat="1" ht="29.1" customHeight="1" x14ac:dyDescent="0.25">
      <c r="A2867" s="2" t="s">
        <v>6407</v>
      </c>
      <c r="B2867" s="2" t="s">
        <v>6408</v>
      </c>
      <c r="C2867" s="2" t="s">
        <v>3177</v>
      </c>
      <c r="D2867" s="2" t="s">
        <v>1816</v>
      </c>
      <c r="E2867" s="2" t="str">
        <f>"9782503569734"</f>
        <v>9782503569734</v>
      </c>
      <c r="F2867" s="2" t="str">
        <f>"9782503580012"</f>
        <v>9782503580012</v>
      </c>
    </row>
    <row r="2868" spans="1:6" s="3" customFormat="1" ht="29.1" customHeight="1" x14ac:dyDescent="0.25">
      <c r="A2868" s="2" t="s">
        <v>6409</v>
      </c>
      <c r="B2868" s="2" t="s">
        <v>6410</v>
      </c>
      <c r="C2868" s="2" t="s">
        <v>556</v>
      </c>
      <c r="D2868" s="2" t="s">
        <v>5032</v>
      </c>
      <c r="E2868" s="2" t="str">
        <f>"9783837659337"</f>
        <v>9783837659337</v>
      </c>
      <c r="F2868" s="2" t="str">
        <f>"9783839400333"</f>
        <v>9783839400333</v>
      </c>
    </row>
    <row r="2869" spans="1:6" s="3" customFormat="1" ht="29.1" customHeight="1" x14ac:dyDescent="0.25">
      <c r="A2869" s="2" t="s">
        <v>6411</v>
      </c>
      <c r="B2869" s="2" t="s">
        <v>6413</v>
      </c>
      <c r="C2869" s="2" t="s">
        <v>556</v>
      </c>
      <c r="D2869" s="2" t="s">
        <v>6412</v>
      </c>
      <c r="E2869" s="2" t="str">
        <f>"9783837673951"</f>
        <v>9783837673951</v>
      </c>
      <c r="F2869" s="2" t="str">
        <f>"9783839473955"</f>
        <v>9783839473955</v>
      </c>
    </row>
    <row r="2870" spans="1:6" s="3" customFormat="1" ht="29.1" customHeight="1" x14ac:dyDescent="0.25">
      <c r="A2870" s="2" t="s">
        <v>6414</v>
      </c>
      <c r="B2870" s="2" t="s">
        <v>6415</v>
      </c>
      <c r="C2870" s="2" t="s">
        <v>556</v>
      </c>
      <c r="D2870" s="2" t="s">
        <v>75</v>
      </c>
      <c r="E2870" s="2" t="str">
        <f>"9783837669169"</f>
        <v>9783837669169</v>
      </c>
      <c r="F2870" s="2" t="str">
        <f>"9783839469163"</f>
        <v>9783839469163</v>
      </c>
    </row>
    <row r="2871" spans="1:6" s="3" customFormat="1" ht="29.1" customHeight="1" x14ac:dyDescent="0.25">
      <c r="A2871" s="2" t="s">
        <v>6416</v>
      </c>
      <c r="B2871" s="2" t="s">
        <v>6417</v>
      </c>
      <c r="C2871" s="2" t="s">
        <v>556</v>
      </c>
      <c r="D2871" s="2" t="s">
        <v>1262</v>
      </c>
      <c r="E2871" s="2" t="str">
        <f>"9783837662511"</f>
        <v>9783837662511</v>
      </c>
      <c r="F2871" s="2" t="str">
        <f>"9783839462515"</f>
        <v>9783839462515</v>
      </c>
    </row>
    <row r="2872" spans="1:6" s="3" customFormat="1" ht="29.1" customHeight="1" x14ac:dyDescent="0.25">
      <c r="A2872" s="2" t="s">
        <v>6418</v>
      </c>
      <c r="B2872" s="2" t="s">
        <v>6419</v>
      </c>
      <c r="C2872" s="2" t="s">
        <v>556</v>
      </c>
      <c r="D2872" s="2" t="s">
        <v>1183</v>
      </c>
      <c r="E2872" s="2" t="str">
        <f>"9783837672381"</f>
        <v>9783837672381</v>
      </c>
      <c r="F2872" s="2" t="str">
        <f>"9783732872381"</f>
        <v>9783732872381</v>
      </c>
    </row>
    <row r="2873" spans="1:6" s="3" customFormat="1" ht="29.1" customHeight="1" x14ac:dyDescent="0.25">
      <c r="A2873" s="2" t="s">
        <v>6420</v>
      </c>
      <c r="B2873" s="2" t="s">
        <v>6421</v>
      </c>
      <c r="C2873" s="2" t="s">
        <v>556</v>
      </c>
      <c r="D2873" s="2" t="s">
        <v>1155</v>
      </c>
      <c r="E2873" s="2" t="str">
        <f>"9783837677911"</f>
        <v>9783837677911</v>
      </c>
      <c r="F2873" s="2" t="str">
        <f>"9783839409954"</f>
        <v>9783839409954</v>
      </c>
    </row>
    <row r="2874" spans="1:6" s="3" customFormat="1" ht="29.1" customHeight="1" x14ac:dyDescent="0.25">
      <c r="A2874" s="2" t="s">
        <v>6422</v>
      </c>
      <c r="B2874" s="2" t="s">
        <v>6423</v>
      </c>
      <c r="C2874" s="2" t="s">
        <v>556</v>
      </c>
      <c r="D2874" s="2" t="s">
        <v>1717</v>
      </c>
      <c r="E2874" s="2" t="str">
        <f>"9783837661866"</f>
        <v>9783837661866</v>
      </c>
      <c r="F2874" s="2" t="str">
        <f>"9783839461860"</f>
        <v>9783839461860</v>
      </c>
    </row>
    <row r="2875" spans="1:6" s="3" customFormat="1" ht="29.1" customHeight="1" x14ac:dyDescent="0.25">
      <c r="A2875" s="2" t="s">
        <v>6424</v>
      </c>
      <c r="B2875" s="2" t="s">
        <v>6425</v>
      </c>
      <c r="C2875" s="2" t="s">
        <v>556</v>
      </c>
      <c r="D2875" s="2" t="s">
        <v>879</v>
      </c>
      <c r="E2875" s="2" t="str">
        <f>"9783837677607"</f>
        <v>9783837677607</v>
      </c>
      <c r="F2875" s="2" t="str">
        <f>"9783839406526"</f>
        <v>9783839406526</v>
      </c>
    </row>
    <row r="2876" spans="1:6" s="3" customFormat="1" ht="29.1" customHeight="1" x14ac:dyDescent="0.25">
      <c r="A2876" s="2" t="s">
        <v>6426</v>
      </c>
      <c r="B2876" s="2" t="s">
        <v>6427</v>
      </c>
      <c r="C2876" s="2" t="s">
        <v>556</v>
      </c>
      <c r="D2876" s="2" t="s">
        <v>553</v>
      </c>
      <c r="E2876" s="2" t="str">
        <f>"9783837651881"</f>
        <v>9783837651881</v>
      </c>
      <c r="F2876" s="2" t="str">
        <f>"9783732851881"</f>
        <v>9783732851881</v>
      </c>
    </row>
    <row r="2877" spans="1:6" s="3" customFormat="1" ht="29.1" customHeight="1" x14ac:dyDescent="0.25">
      <c r="A2877" s="2" t="s">
        <v>6428</v>
      </c>
      <c r="B2877" s="2" t="s">
        <v>6430</v>
      </c>
      <c r="C2877" s="2" t="s">
        <v>556</v>
      </c>
      <c r="D2877" s="2" t="s">
        <v>6429</v>
      </c>
      <c r="E2877" s="2" t="str">
        <f>"9783837677010"</f>
        <v>9783837677010</v>
      </c>
      <c r="F2877" s="2" t="str">
        <f>"9783839477014"</f>
        <v>9783839477014</v>
      </c>
    </row>
    <row r="2878" spans="1:6" s="3" customFormat="1" ht="29.1" customHeight="1" x14ac:dyDescent="0.25">
      <c r="A2878" s="2" t="s">
        <v>6431</v>
      </c>
      <c r="B2878" s="2" t="s">
        <v>6432</v>
      </c>
      <c r="C2878" s="2" t="s">
        <v>556</v>
      </c>
      <c r="D2878" s="2" t="s">
        <v>2433</v>
      </c>
      <c r="E2878" s="2" t="str">
        <f>"9783837677669"</f>
        <v>9783837677669</v>
      </c>
      <c r="F2878" s="2" t="str">
        <f>"9783839407080"</f>
        <v>9783839407080</v>
      </c>
    </row>
    <row r="2879" spans="1:6" s="3" customFormat="1" ht="29.1" customHeight="1" x14ac:dyDescent="0.25">
      <c r="A2879" s="2" t="s">
        <v>6433</v>
      </c>
      <c r="B2879" s="2" t="s">
        <v>6434</v>
      </c>
      <c r="C2879" s="2" t="s">
        <v>556</v>
      </c>
      <c r="D2879" s="2" t="s">
        <v>405</v>
      </c>
      <c r="E2879" s="2" t="str">
        <f>"9783837677881"</f>
        <v>9783837677881</v>
      </c>
      <c r="F2879" s="2" t="str">
        <f>"9783839409725"</f>
        <v>9783839409725</v>
      </c>
    </row>
    <row r="2880" spans="1:6" s="3" customFormat="1" ht="29.1" customHeight="1" x14ac:dyDescent="0.25">
      <c r="A2880" s="2" t="s">
        <v>6435</v>
      </c>
      <c r="B2880" s="2" t="s">
        <v>6436</v>
      </c>
      <c r="C2880" s="2" t="s">
        <v>556</v>
      </c>
      <c r="D2880" s="2" t="s">
        <v>2086</v>
      </c>
      <c r="E2880" s="2" t="str">
        <f>"9783837675498"</f>
        <v>9783837675498</v>
      </c>
      <c r="F2880" s="2" t="str">
        <f>"9783839475492"</f>
        <v>9783839475492</v>
      </c>
    </row>
    <row r="2881" spans="1:6" s="3" customFormat="1" ht="29.1" customHeight="1" x14ac:dyDescent="0.25">
      <c r="A2881" s="2" t="s">
        <v>6437</v>
      </c>
      <c r="B2881" s="2" t="s">
        <v>6438</v>
      </c>
      <c r="C2881" s="2" t="s">
        <v>556</v>
      </c>
      <c r="D2881" s="2" t="s">
        <v>699</v>
      </c>
      <c r="E2881" s="2" t="str">
        <f>"9783837674040"</f>
        <v>9783837674040</v>
      </c>
      <c r="F2881" s="2" t="str">
        <f>"9783839474044"</f>
        <v>9783839474044</v>
      </c>
    </row>
    <row r="2882" spans="1:6" s="3" customFormat="1" ht="29.1" customHeight="1" x14ac:dyDescent="0.25">
      <c r="A2882" s="2" t="s">
        <v>6439</v>
      </c>
      <c r="B2882" s="2" t="s">
        <v>6441</v>
      </c>
      <c r="C2882" s="2" t="s">
        <v>556</v>
      </c>
      <c r="D2882" s="2" t="s">
        <v>6440</v>
      </c>
      <c r="E2882" s="2" t="str">
        <f>"9783837653670"</f>
        <v>9783837653670</v>
      </c>
      <c r="F2882" s="2" t="str">
        <f>"9783839400166"</f>
        <v>9783839400166</v>
      </c>
    </row>
    <row r="2883" spans="1:6" s="3" customFormat="1" ht="29.1" customHeight="1" x14ac:dyDescent="0.25">
      <c r="A2883" s="2" t="s">
        <v>6442</v>
      </c>
      <c r="B2883" s="2" t="s">
        <v>6443</v>
      </c>
      <c r="C2883" s="2" t="s">
        <v>556</v>
      </c>
      <c r="D2883" s="2" t="s">
        <v>1411</v>
      </c>
      <c r="E2883" s="2" t="str">
        <f>"9783837677898"</f>
        <v>9783837677898</v>
      </c>
      <c r="F2883" s="2" t="str">
        <f>"9783839409848"</f>
        <v>9783839409848</v>
      </c>
    </row>
    <row r="2884" spans="1:6" s="3" customFormat="1" ht="29.1" customHeight="1" x14ac:dyDescent="0.25">
      <c r="A2884" s="2" t="s">
        <v>6444</v>
      </c>
      <c r="B2884" s="2" t="s">
        <v>6445</v>
      </c>
      <c r="C2884" s="2" t="s">
        <v>556</v>
      </c>
      <c r="D2884" s="2" t="s">
        <v>1717</v>
      </c>
      <c r="E2884" s="2" t="str">
        <f>"9783837676013"</f>
        <v>9783837676013</v>
      </c>
      <c r="F2884" s="2" t="str">
        <f>"9783839476017"</f>
        <v>9783839476017</v>
      </c>
    </row>
    <row r="2885" spans="1:6" s="3" customFormat="1" ht="29.1" customHeight="1" x14ac:dyDescent="0.25">
      <c r="A2885" s="2" t="s">
        <v>6446</v>
      </c>
      <c r="B2885" s="2" t="s">
        <v>6447</v>
      </c>
      <c r="C2885" s="2" t="s">
        <v>556</v>
      </c>
      <c r="D2885" s="2" t="s">
        <v>37</v>
      </c>
      <c r="E2885" s="2" t="str">
        <f>"9783837670691"</f>
        <v>9783837670691</v>
      </c>
      <c r="F2885" s="2" t="str">
        <f>"9783839470695"</f>
        <v>9783839470695</v>
      </c>
    </row>
    <row r="2886" spans="1:6" s="3" customFormat="1" ht="29.1" customHeight="1" x14ac:dyDescent="0.25">
      <c r="A2886" s="2" t="s">
        <v>6448</v>
      </c>
      <c r="B2886" s="2" t="s">
        <v>6449</v>
      </c>
      <c r="C2886" s="2" t="s">
        <v>556</v>
      </c>
      <c r="D2886" s="2" t="s">
        <v>699</v>
      </c>
      <c r="E2886" s="2" t="str">
        <f>"9783837677829"</f>
        <v>9783837677829</v>
      </c>
      <c r="F2886" s="2" t="str">
        <f>"9783839409145"</f>
        <v>9783839409145</v>
      </c>
    </row>
    <row r="2887" spans="1:6" s="3" customFormat="1" ht="29.1" customHeight="1" x14ac:dyDescent="0.25">
      <c r="A2887" s="2" t="s">
        <v>6450</v>
      </c>
      <c r="B2887" s="2" t="s">
        <v>6451</v>
      </c>
      <c r="C2887" s="2" t="s">
        <v>556</v>
      </c>
      <c r="D2887" s="2" t="s">
        <v>4030</v>
      </c>
      <c r="E2887" s="2" t="str">
        <f>"9783837671964"</f>
        <v>9783837671964</v>
      </c>
      <c r="F2887" s="2" t="str">
        <f>"9783839471968"</f>
        <v>9783839471968</v>
      </c>
    </row>
    <row r="2888" spans="1:6" s="3" customFormat="1" ht="29.1" customHeight="1" x14ac:dyDescent="0.25">
      <c r="A2888" s="2" t="s">
        <v>6452</v>
      </c>
      <c r="B2888" s="2" t="s">
        <v>6453</v>
      </c>
      <c r="C2888" s="2" t="s">
        <v>5</v>
      </c>
      <c r="D2888" s="2" t="s">
        <v>141</v>
      </c>
      <c r="E2888" s="2" t="str">
        <f>"9789464637335"</f>
        <v>9789464637335</v>
      </c>
      <c r="F2888" s="2" t="str">
        <f>"9789464637342"</f>
        <v>9789464637342</v>
      </c>
    </row>
    <row r="2889" spans="1:6" s="3" customFormat="1" ht="29.1" customHeight="1" x14ac:dyDescent="0.25">
      <c r="A2889" s="2" t="s">
        <v>6454</v>
      </c>
      <c r="B2889" s="2" t="s">
        <v>6455</v>
      </c>
      <c r="C2889" s="2" t="s">
        <v>5</v>
      </c>
      <c r="D2889" s="2" t="s">
        <v>186</v>
      </c>
      <c r="E2889" s="2" t="str">
        <f>"9789464637458"</f>
        <v>9789464637458</v>
      </c>
      <c r="F2889" s="2" t="str">
        <f>"9789464637465"</f>
        <v>9789464637465</v>
      </c>
    </row>
    <row r="2890" spans="1:6" s="3" customFormat="1" ht="29.1" customHeight="1" x14ac:dyDescent="0.25">
      <c r="A2890" s="2" t="s">
        <v>6456</v>
      </c>
      <c r="B2890" s="2" t="s">
        <v>6457</v>
      </c>
      <c r="C2890" s="2" t="s">
        <v>5</v>
      </c>
      <c r="D2890" s="2" t="s">
        <v>694</v>
      </c>
      <c r="E2890" s="2" t="str">
        <f>"9789819668380"</f>
        <v>9789819668380</v>
      </c>
      <c r="F2890" s="2" t="str">
        <f>"9789819668397"</f>
        <v>9789819668397</v>
      </c>
    </row>
    <row r="2891" spans="1:6" s="3" customFormat="1" ht="29.1" customHeight="1" x14ac:dyDescent="0.25">
      <c r="A2891" s="2" t="s">
        <v>6458</v>
      </c>
      <c r="B2891" s="2" t="s">
        <v>6459</v>
      </c>
      <c r="C2891" s="2" t="s">
        <v>124</v>
      </c>
      <c r="D2891" s="2" t="s">
        <v>4291</v>
      </c>
      <c r="E2891" s="2" t="str">
        <f>"9781041049029"</f>
        <v>9781041049029</v>
      </c>
      <c r="F2891" s="2" t="str">
        <f>"9781003634003"</f>
        <v>9781003634003</v>
      </c>
    </row>
    <row r="2892" spans="1:6" s="3" customFormat="1" ht="29.1" customHeight="1" x14ac:dyDescent="0.25">
      <c r="A2892" s="2" t="s">
        <v>6460</v>
      </c>
      <c r="B2892" s="2" t="s">
        <v>6462</v>
      </c>
      <c r="C2892" s="2" t="s">
        <v>62</v>
      </c>
      <c r="D2892" s="2" t="s">
        <v>6461</v>
      </c>
      <c r="E2892" s="2" t="str">
        <f>"9783428194667"</f>
        <v>9783428194667</v>
      </c>
      <c r="F2892" s="2" t="str">
        <f>"9783428594665"</f>
        <v>9783428594665</v>
      </c>
    </row>
    <row r="2893" spans="1:6" s="3" customFormat="1" ht="29.1" customHeight="1" x14ac:dyDescent="0.25">
      <c r="A2893" s="2" t="s">
        <v>6463</v>
      </c>
      <c r="B2893" s="2" t="s">
        <v>6465</v>
      </c>
      <c r="C2893" s="2" t="s">
        <v>62</v>
      </c>
      <c r="D2893" s="2" t="s">
        <v>6464</v>
      </c>
      <c r="E2893" s="2" t="str">
        <f>"9783428193486"</f>
        <v>9783428193486</v>
      </c>
      <c r="F2893" s="2" t="str">
        <f>"9783428593484"</f>
        <v>9783428593484</v>
      </c>
    </row>
    <row r="2894" spans="1:6" s="3" customFormat="1" ht="29.1" customHeight="1" x14ac:dyDescent="0.25">
      <c r="A2894" s="2" t="s">
        <v>6466</v>
      </c>
      <c r="B2894" s="2" t="s">
        <v>6467</v>
      </c>
      <c r="C2894" s="2" t="s">
        <v>595</v>
      </c>
      <c r="D2894" s="2" t="s">
        <v>2307</v>
      </c>
      <c r="E2894" s="2"/>
      <c r="F2894" s="2" t="str">
        <f>"9783631895535"</f>
        <v>9783631895535</v>
      </c>
    </row>
    <row r="2895" spans="1:6" s="3" customFormat="1" ht="29.1" customHeight="1" x14ac:dyDescent="0.25">
      <c r="A2895" s="2" t="s">
        <v>6468</v>
      </c>
      <c r="B2895" s="2" t="s">
        <v>6469</v>
      </c>
      <c r="C2895" s="2" t="s">
        <v>595</v>
      </c>
      <c r="D2895" s="2" t="s">
        <v>207</v>
      </c>
      <c r="E2895" s="2" t="str">
        <f>"9783034355810"</f>
        <v>9783034355810</v>
      </c>
      <c r="F2895" s="2" t="str">
        <f>"9783034357869"</f>
        <v>9783034357869</v>
      </c>
    </row>
    <row r="2896" spans="1:6" s="3" customFormat="1" ht="29.1" customHeight="1" x14ac:dyDescent="0.25">
      <c r="A2896" s="2" t="s">
        <v>6470</v>
      </c>
      <c r="B2896" s="2" t="s">
        <v>6471</v>
      </c>
      <c r="C2896" s="2" t="s">
        <v>595</v>
      </c>
      <c r="D2896" s="2" t="s">
        <v>4517</v>
      </c>
      <c r="E2896" s="2" t="str">
        <f>"9783034350433"</f>
        <v>9783034350433</v>
      </c>
      <c r="F2896" s="2" t="str">
        <f>"9783034354387"</f>
        <v>9783034354387</v>
      </c>
    </row>
    <row r="2897" spans="1:6" s="3" customFormat="1" ht="29.1" customHeight="1" x14ac:dyDescent="0.25">
      <c r="A2897" s="2" t="s">
        <v>6472</v>
      </c>
      <c r="B2897" s="2" t="s">
        <v>6473</v>
      </c>
      <c r="C2897" s="2" t="s">
        <v>124</v>
      </c>
      <c r="D2897" s="2" t="s">
        <v>6128</v>
      </c>
      <c r="E2897" s="2" t="str">
        <f>"9781032641126"</f>
        <v>9781032641126</v>
      </c>
      <c r="F2897" s="2" t="str">
        <f>"9781032641201"</f>
        <v>9781032641201</v>
      </c>
    </row>
    <row r="2898" spans="1:6" s="3" customFormat="1" ht="29.1" customHeight="1" x14ac:dyDescent="0.25">
      <c r="A2898" s="2" t="s">
        <v>6474</v>
      </c>
      <c r="B2898" s="2" t="s">
        <v>6475</v>
      </c>
      <c r="C2898" s="2" t="s">
        <v>124</v>
      </c>
      <c r="D2898" s="2" t="s">
        <v>5794</v>
      </c>
      <c r="E2898" s="2" t="str">
        <f>"9781041050070"</f>
        <v>9781041050070</v>
      </c>
      <c r="F2898" s="2" t="str">
        <f>"9781003630975"</f>
        <v>9781003630975</v>
      </c>
    </row>
    <row r="2899" spans="1:6" s="3" customFormat="1" ht="29.1" customHeight="1" x14ac:dyDescent="0.25">
      <c r="A2899" s="2" t="s">
        <v>6476</v>
      </c>
      <c r="B2899" s="2" t="s">
        <v>6477</v>
      </c>
      <c r="C2899" s="2" t="s">
        <v>124</v>
      </c>
      <c r="D2899" s="2" t="s">
        <v>2178</v>
      </c>
      <c r="E2899" s="2" t="str">
        <f>"9781032451930"</f>
        <v>9781032451930</v>
      </c>
      <c r="F2899" s="2" t="str">
        <f>"9781003375845"</f>
        <v>9781003375845</v>
      </c>
    </row>
    <row r="2900" spans="1:6" s="3" customFormat="1" ht="29.1" customHeight="1" x14ac:dyDescent="0.25">
      <c r="A2900" s="2" t="s">
        <v>6478</v>
      </c>
      <c r="B2900" s="2" t="s">
        <v>6479</v>
      </c>
      <c r="C2900" s="2" t="s">
        <v>124</v>
      </c>
      <c r="D2900" s="2" t="s">
        <v>81</v>
      </c>
      <c r="E2900" s="2" t="str">
        <f>"9781032563626"</f>
        <v>9781032563626</v>
      </c>
      <c r="F2900" s="2" t="str">
        <f>"9781003435143"</f>
        <v>9781003435143</v>
      </c>
    </row>
    <row r="2901" spans="1:6" s="3" customFormat="1" ht="29.1" customHeight="1" x14ac:dyDescent="0.25">
      <c r="A2901" s="2" t="s">
        <v>6480</v>
      </c>
      <c r="B2901" s="2" t="s">
        <v>6481</v>
      </c>
      <c r="C2901" s="2" t="s">
        <v>327</v>
      </c>
      <c r="D2901" s="2" t="s">
        <v>2168</v>
      </c>
      <c r="E2901" s="2" t="str">
        <f>"9788383316727"</f>
        <v>9788383316727</v>
      </c>
      <c r="F2901" s="2" t="str">
        <f>"9788383316734"</f>
        <v>9788383316734</v>
      </c>
    </row>
    <row r="2902" spans="1:6" s="3" customFormat="1" ht="29.1" customHeight="1" x14ac:dyDescent="0.25">
      <c r="A2902" s="2" t="s">
        <v>6482</v>
      </c>
      <c r="B2902" s="2" t="s">
        <v>6483</v>
      </c>
      <c r="C2902" s="2" t="s">
        <v>327</v>
      </c>
      <c r="D2902" s="2" t="s">
        <v>2005</v>
      </c>
      <c r="E2902" s="2" t="str">
        <f>"9788383316918"</f>
        <v>9788383316918</v>
      </c>
      <c r="F2902" s="2" t="str">
        <f>"9788383316925"</f>
        <v>9788383316925</v>
      </c>
    </row>
    <row r="2903" spans="1:6" s="3" customFormat="1" ht="29.1" customHeight="1" x14ac:dyDescent="0.25">
      <c r="A2903" s="2" t="s">
        <v>6484</v>
      </c>
      <c r="B2903" s="2" t="s">
        <v>6485</v>
      </c>
      <c r="C2903" s="2" t="s">
        <v>36</v>
      </c>
      <c r="D2903" s="2" t="s">
        <v>15</v>
      </c>
      <c r="E2903" s="2"/>
      <c r="F2903" s="2" t="str">
        <f>"9781447373865"</f>
        <v>9781447373865</v>
      </c>
    </row>
    <row r="2904" spans="1:6" s="3" customFormat="1" ht="29.1" customHeight="1" x14ac:dyDescent="0.25">
      <c r="A2904" s="2" t="s">
        <v>6486</v>
      </c>
      <c r="B2904" s="2" t="s">
        <v>6487</v>
      </c>
      <c r="C2904" s="2" t="s">
        <v>124</v>
      </c>
      <c r="D2904" s="2" t="s">
        <v>614</v>
      </c>
      <c r="E2904" s="2" t="str">
        <f>"9781032939254"</f>
        <v>9781032939254</v>
      </c>
      <c r="F2904" s="2" t="str">
        <f>"9781003568544"</f>
        <v>9781003568544</v>
      </c>
    </row>
    <row r="2905" spans="1:6" s="3" customFormat="1" ht="29.1" customHeight="1" x14ac:dyDescent="0.25">
      <c r="A2905" s="2" t="s">
        <v>6488</v>
      </c>
      <c r="B2905" s="2" t="s">
        <v>6489</v>
      </c>
      <c r="C2905" s="2" t="s">
        <v>29</v>
      </c>
      <c r="D2905" s="2" t="s">
        <v>459</v>
      </c>
      <c r="E2905" s="2" t="str">
        <f>"9789004732520"</f>
        <v>9789004732520</v>
      </c>
      <c r="F2905" s="2" t="str">
        <f>"9789004732537"</f>
        <v>9789004732537</v>
      </c>
    </row>
    <row r="2906" spans="1:6" s="3" customFormat="1" ht="29.1" customHeight="1" x14ac:dyDescent="0.25">
      <c r="A2906" s="2" t="s">
        <v>6490</v>
      </c>
      <c r="B2906" s="2" t="s">
        <v>6491</v>
      </c>
      <c r="C2906" s="2" t="s">
        <v>5</v>
      </c>
      <c r="D2906" s="2" t="s">
        <v>5228</v>
      </c>
      <c r="E2906" s="2" t="str">
        <f>"9789464637236"</f>
        <v>9789464637236</v>
      </c>
      <c r="F2906" s="2" t="str">
        <f>"9789464637243"</f>
        <v>9789464637243</v>
      </c>
    </row>
    <row r="2907" spans="1:6" s="3" customFormat="1" ht="29.1" customHeight="1" x14ac:dyDescent="0.25">
      <c r="A2907" s="2" t="s">
        <v>6492</v>
      </c>
      <c r="B2907" s="2" t="s">
        <v>6493</v>
      </c>
      <c r="C2907" s="2" t="s">
        <v>5</v>
      </c>
      <c r="D2907" s="2" t="s">
        <v>9</v>
      </c>
      <c r="E2907" s="2" t="str">
        <f>"9782384764099"</f>
        <v>9782384764099</v>
      </c>
      <c r="F2907" s="2" t="str">
        <f>"9782384764105"</f>
        <v>9782384764105</v>
      </c>
    </row>
    <row r="2908" spans="1:6" s="3" customFormat="1" ht="29.1" customHeight="1" x14ac:dyDescent="0.25">
      <c r="A2908" s="2" t="s">
        <v>6494</v>
      </c>
      <c r="B2908" s="2" t="s">
        <v>6495</v>
      </c>
      <c r="C2908" s="2" t="s">
        <v>5</v>
      </c>
      <c r="D2908" s="2" t="s">
        <v>52</v>
      </c>
      <c r="E2908" s="2" t="str">
        <f>"9789464637151"</f>
        <v>9789464637151</v>
      </c>
      <c r="F2908" s="2" t="str">
        <f>"9789464637168"</f>
        <v>9789464637168</v>
      </c>
    </row>
    <row r="2909" spans="1:6" s="3" customFormat="1" ht="29.1" customHeight="1" x14ac:dyDescent="0.25">
      <c r="A2909" s="2" t="s">
        <v>6496</v>
      </c>
      <c r="B2909" s="2" t="s">
        <v>6497</v>
      </c>
      <c r="C2909" s="2" t="s">
        <v>5</v>
      </c>
      <c r="D2909" s="2" t="s">
        <v>5758</v>
      </c>
      <c r="E2909" s="2" t="str">
        <f>"9789819792573"</f>
        <v>9789819792573</v>
      </c>
      <c r="F2909" s="2" t="str">
        <f>"9789819792580"</f>
        <v>9789819792580</v>
      </c>
    </row>
    <row r="2910" spans="1:6" s="3" customFormat="1" ht="29.1" customHeight="1" x14ac:dyDescent="0.25">
      <c r="A2910" s="2" t="s">
        <v>6498</v>
      </c>
      <c r="B2910" s="2" t="s">
        <v>6499</v>
      </c>
      <c r="C2910" s="2" t="s">
        <v>5</v>
      </c>
      <c r="D2910" s="2" t="s">
        <v>9</v>
      </c>
      <c r="E2910" s="2" t="str">
        <f>"9782384764136"</f>
        <v>9782384764136</v>
      </c>
      <c r="F2910" s="2" t="str">
        <f>"9782384764143"</f>
        <v>9782384764143</v>
      </c>
    </row>
    <row r="2911" spans="1:6" s="3" customFormat="1" ht="29.1" customHeight="1" x14ac:dyDescent="0.25">
      <c r="A2911" s="2" t="s">
        <v>6500</v>
      </c>
      <c r="B2911" s="2" t="s">
        <v>6501</v>
      </c>
      <c r="C2911" s="2" t="s">
        <v>5</v>
      </c>
      <c r="D2911" s="2" t="s">
        <v>1071</v>
      </c>
      <c r="E2911" s="2" t="str">
        <f>"9783031845383"</f>
        <v>9783031845383</v>
      </c>
      <c r="F2911" s="2" t="str">
        <f>"9783031845390"</f>
        <v>9783031845390</v>
      </c>
    </row>
    <row r="2912" spans="1:6" s="3" customFormat="1" ht="29.1" customHeight="1" x14ac:dyDescent="0.25">
      <c r="A2912" s="2" t="s">
        <v>6502</v>
      </c>
      <c r="B2912" s="2" t="s">
        <v>6503</v>
      </c>
      <c r="C2912" s="2" t="s">
        <v>5</v>
      </c>
      <c r="D2912" s="2" t="s">
        <v>1902</v>
      </c>
      <c r="E2912" s="2" t="str">
        <f>"9789819647446"</f>
        <v>9789819647446</v>
      </c>
      <c r="F2912" s="2" t="str">
        <f>"9789819647453"</f>
        <v>9789819647453</v>
      </c>
    </row>
    <row r="2913" spans="1:6" s="3" customFormat="1" ht="29.1" customHeight="1" x14ac:dyDescent="0.25">
      <c r="A2913" s="2" t="s">
        <v>6504</v>
      </c>
      <c r="B2913" s="2" t="s">
        <v>6505</v>
      </c>
      <c r="C2913" s="2" t="s">
        <v>5</v>
      </c>
      <c r="D2913" s="2" t="s">
        <v>3567</v>
      </c>
      <c r="E2913" s="2" t="str">
        <f>"9783031843419"</f>
        <v>9783031843419</v>
      </c>
      <c r="F2913" s="2" t="str">
        <f>"9783031843426"</f>
        <v>9783031843426</v>
      </c>
    </row>
    <row r="2914" spans="1:6" s="3" customFormat="1" ht="29.1" customHeight="1" x14ac:dyDescent="0.25">
      <c r="A2914" s="2" t="s">
        <v>6506</v>
      </c>
      <c r="B2914" s="2" t="s">
        <v>6507</v>
      </c>
      <c r="C2914" s="2" t="s">
        <v>20</v>
      </c>
      <c r="D2914" s="2" t="s">
        <v>135</v>
      </c>
      <c r="E2914" s="2" t="str">
        <f>"9783763978304"</f>
        <v>9783763978304</v>
      </c>
      <c r="F2914" s="2" t="str">
        <f>"9783763978311"</f>
        <v>9783763978311</v>
      </c>
    </row>
    <row r="2915" spans="1:6" s="3" customFormat="1" ht="29.1" customHeight="1" x14ac:dyDescent="0.25">
      <c r="A2915" s="2" t="s">
        <v>6508</v>
      </c>
      <c r="B2915" s="2" t="s">
        <v>6509</v>
      </c>
      <c r="C2915" s="2" t="s">
        <v>20</v>
      </c>
      <c r="D2915" s="2" t="s">
        <v>2917</v>
      </c>
      <c r="E2915" s="2" t="str">
        <f>"9783763978427"</f>
        <v>9783763978427</v>
      </c>
      <c r="F2915" s="2" t="str">
        <f>"9783763978434"</f>
        <v>9783763978434</v>
      </c>
    </row>
    <row r="2916" spans="1:6" s="3" customFormat="1" ht="29.1" customHeight="1" x14ac:dyDescent="0.25">
      <c r="A2916" s="2" t="s">
        <v>6510</v>
      </c>
      <c r="B2916" s="2" t="s">
        <v>6512</v>
      </c>
      <c r="C2916" s="2" t="s">
        <v>264</v>
      </c>
      <c r="D2916" s="2" t="s">
        <v>6511</v>
      </c>
      <c r="E2916" s="2" t="str">
        <f>"9781032796864"</f>
        <v>9781032796864</v>
      </c>
      <c r="F2916" s="2" t="str">
        <f>"9781003498124"</f>
        <v>9781003498124</v>
      </c>
    </row>
    <row r="2917" spans="1:6" s="3" customFormat="1" ht="29.1" customHeight="1" x14ac:dyDescent="0.25">
      <c r="A2917" s="2" t="s">
        <v>6513</v>
      </c>
      <c r="B2917" s="2" t="s">
        <v>6514</v>
      </c>
      <c r="C2917" s="2" t="s">
        <v>264</v>
      </c>
      <c r="D2917" s="2" t="s">
        <v>44</v>
      </c>
      <c r="E2917" s="2" t="str">
        <f>"9781032904627"</f>
        <v>9781032904627</v>
      </c>
      <c r="F2917" s="2" t="str">
        <f>"9781003559047"</f>
        <v>9781003559047</v>
      </c>
    </row>
    <row r="2918" spans="1:6" s="3" customFormat="1" ht="29.1" customHeight="1" x14ac:dyDescent="0.25">
      <c r="A2918" s="2" t="s">
        <v>6515</v>
      </c>
      <c r="B2918" s="2" t="s">
        <v>6516</v>
      </c>
      <c r="C2918" s="2" t="s">
        <v>124</v>
      </c>
      <c r="D2918" s="2" t="s">
        <v>984</v>
      </c>
      <c r="E2918" s="2" t="str">
        <f>"9781032383675"</f>
        <v>9781032383675</v>
      </c>
      <c r="F2918" s="2" t="str">
        <f>"9781003344667"</f>
        <v>9781003344667</v>
      </c>
    </row>
    <row r="2919" spans="1:6" s="3" customFormat="1" ht="29.1" customHeight="1" x14ac:dyDescent="0.25">
      <c r="A2919" s="2" t="s">
        <v>6517</v>
      </c>
      <c r="B2919" s="2" t="s">
        <v>6518</v>
      </c>
      <c r="C2919" s="2" t="s">
        <v>124</v>
      </c>
      <c r="D2919" s="2" t="s">
        <v>689</v>
      </c>
      <c r="E2919" s="2" t="str">
        <f>"9781032848396"</f>
        <v>9781032848396</v>
      </c>
      <c r="F2919" s="2" t="str">
        <f>"9781003515258"</f>
        <v>9781003515258</v>
      </c>
    </row>
    <row r="2920" spans="1:6" s="3" customFormat="1" ht="29.1" customHeight="1" x14ac:dyDescent="0.25">
      <c r="A2920" s="2" t="s">
        <v>6519</v>
      </c>
      <c r="B2920" s="2" t="s">
        <v>6520</v>
      </c>
      <c r="C2920" s="2" t="s">
        <v>124</v>
      </c>
      <c r="D2920" s="2" t="s">
        <v>168</v>
      </c>
      <c r="E2920" s="2" t="str">
        <f>"9781032834733"</f>
        <v>9781032834733</v>
      </c>
      <c r="F2920" s="2" t="str">
        <f>"9781003510161"</f>
        <v>9781003510161</v>
      </c>
    </row>
    <row r="2921" spans="1:6" s="3" customFormat="1" ht="29.1" customHeight="1" x14ac:dyDescent="0.25">
      <c r="A2921" s="2" t="s">
        <v>6521</v>
      </c>
      <c r="B2921" s="2" t="s">
        <v>6522</v>
      </c>
      <c r="C2921" s="2" t="s">
        <v>5</v>
      </c>
      <c r="D2921" s="2" t="s">
        <v>636</v>
      </c>
      <c r="E2921" s="2" t="str">
        <f>"9782384764051"</f>
        <v>9782384764051</v>
      </c>
      <c r="F2921" s="2" t="str">
        <f>"9782384764068"</f>
        <v>9782384764068</v>
      </c>
    </row>
    <row r="2922" spans="1:6" s="3" customFormat="1" ht="29.1" customHeight="1" x14ac:dyDescent="0.25">
      <c r="A2922" s="2" t="s">
        <v>6523</v>
      </c>
      <c r="B2922" s="2" t="s">
        <v>6524</v>
      </c>
      <c r="C2922" s="2" t="s">
        <v>5</v>
      </c>
      <c r="D2922" s="2" t="s">
        <v>342</v>
      </c>
      <c r="E2922" s="2" t="str">
        <f>"9789464637359"</f>
        <v>9789464637359</v>
      </c>
      <c r="F2922" s="2" t="str">
        <f>"9789464637366"</f>
        <v>9789464637366</v>
      </c>
    </row>
    <row r="2923" spans="1:6" s="3" customFormat="1" ht="29.1" customHeight="1" x14ac:dyDescent="0.25">
      <c r="A2923" s="2" t="s">
        <v>6525</v>
      </c>
      <c r="B2923" s="2" t="s">
        <v>6526</v>
      </c>
      <c r="C2923" s="2" t="s">
        <v>5</v>
      </c>
      <c r="D2923" s="2" t="s">
        <v>342</v>
      </c>
      <c r="E2923" s="2" t="str">
        <f>"9789464637175"</f>
        <v>9789464637175</v>
      </c>
      <c r="F2923" s="2" t="str">
        <f>"9789464637182"</f>
        <v>9789464637182</v>
      </c>
    </row>
    <row r="2924" spans="1:6" s="3" customFormat="1" ht="29.1" customHeight="1" x14ac:dyDescent="0.25">
      <c r="A2924" s="2" t="s">
        <v>5101</v>
      </c>
      <c r="B2924" s="2" t="s">
        <v>5102</v>
      </c>
      <c r="C2924" s="2" t="s">
        <v>124</v>
      </c>
      <c r="D2924" s="2" t="s">
        <v>402</v>
      </c>
      <c r="E2924" s="2" t="str">
        <f>"9781032348575"</f>
        <v>9781032348575</v>
      </c>
      <c r="F2924" s="2" t="str">
        <f>"9781003324171"</f>
        <v>9781003324171</v>
      </c>
    </row>
    <row r="2925" spans="1:6" s="3" customFormat="1" ht="29.1" customHeight="1" x14ac:dyDescent="0.25">
      <c r="A2925" s="2" t="s">
        <v>6527</v>
      </c>
      <c r="B2925" s="2" t="s">
        <v>6528</v>
      </c>
      <c r="C2925" s="2" t="s">
        <v>124</v>
      </c>
      <c r="D2925" s="2" t="s">
        <v>2168</v>
      </c>
      <c r="E2925" s="2" t="str">
        <f>"9781032885216"</f>
        <v>9781032885216</v>
      </c>
      <c r="F2925" s="2" t="str">
        <f>"9781003538233"</f>
        <v>9781003538233</v>
      </c>
    </row>
    <row r="2926" spans="1:6" s="3" customFormat="1" ht="29.1" customHeight="1" x14ac:dyDescent="0.25">
      <c r="A2926" s="2" t="s">
        <v>6529</v>
      </c>
      <c r="B2926" s="2" t="s">
        <v>6530</v>
      </c>
      <c r="C2926" s="2" t="s">
        <v>124</v>
      </c>
      <c r="D2926" s="2" t="s">
        <v>1449</v>
      </c>
      <c r="E2926" s="2" t="str">
        <f>"9781032914497"</f>
        <v>9781032914497</v>
      </c>
      <c r="F2926" s="2" t="str">
        <f>"9781003569589"</f>
        <v>9781003569589</v>
      </c>
    </row>
    <row r="2927" spans="1:6" s="3" customFormat="1" ht="29.1" customHeight="1" x14ac:dyDescent="0.25">
      <c r="A2927" s="2" t="s">
        <v>6531</v>
      </c>
      <c r="B2927" s="2" t="s">
        <v>6532</v>
      </c>
      <c r="C2927" s="2" t="s">
        <v>124</v>
      </c>
      <c r="D2927" s="2" t="s">
        <v>9</v>
      </c>
      <c r="E2927" s="2" t="str">
        <f>"9781032915357"</f>
        <v>9781032915357</v>
      </c>
      <c r="F2927" s="2" t="str">
        <f>"9781003563778"</f>
        <v>9781003563778</v>
      </c>
    </row>
    <row r="2928" spans="1:6" s="3" customFormat="1" ht="29.1" customHeight="1" x14ac:dyDescent="0.25">
      <c r="A2928" s="2" t="s">
        <v>6533</v>
      </c>
      <c r="B2928" s="2" t="s">
        <v>6534</v>
      </c>
      <c r="C2928" s="2" t="s">
        <v>2133</v>
      </c>
      <c r="D2928" s="2" t="s">
        <v>4059</v>
      </c>
      <c r="E2928" s="2" t="str">
        <f>"9781760466695"</f>
        <v>9781760466695</v>
      </c>
      <c r="F2928" s="2" t="str">
        <f>"9781760466701"</f>
        <v>9781760466701</v>
      </c>
    </row>
    <row r="2929" spans="1:6" s="3" customFormat="1" ht="29.1" customHeight="1" x14ac:dyDescent="0.25">
      <c r="A2929" s="2" t="s">
        <v>6535</v>
      </c>
      <c r="B2929" s="2" t="s">
        <v>6536</v>
      </c>
      <c r="C2929" s="2" t="s">
        <v>124</v>
      </c>
      <c r="D2929" s="2" t="s">
        <v>339</v>
      </c>
      <c r="E2929" s="2" t="str">
        <f>"9781032861050"</f>
        <v>9781032861050</v>
      </c>
      <c r="F2929" s="2" t="str">
        <f>"9781003592822"</f>
        <v>9781003592822</v>
      </c>
    </row>
    <row r="2930" spans="1:6" s="3" customFormat="1" ht="29.1" customHeight="1" x14ac:dyDescent="0.25">
      <c r="A2930" s="2" t="s">
        <v>6537</v>
      </c>
      <c r="B2930" s="2" t="s">
        <v>6538</v>
      </c>
      <c r="C2930" s="2" t="s">
        <v>5</v>
      </c>
      <c r="D2930" s="2" t="s">
        <v>186</v>
      </c>
      <c r="E2930" s="2" t="str">
        <f>"9789464637212"</f>
        <v>9789464637212</v>
      </c>
      <c r="F2930" s="2" t="str">
        <f>"9789464637229"</f>
        <v>9789464637229</v>
      </c>
    </row>
    <row r="2931" spans="1:6" s="3" customFormat="1" ht="29.1" customHeight="1" x14ac:dyDescent="0.25">
      <c r="A2931" s="2" t="s">
        <v>6539</v>
      </c>
      <c r="B2931" s="2" t="s">
        <v>6540</v>
      </c>
      <c r="C2931" s="2" t="s">
        <v>59</v>
      </c>
      <c r="D2931" s="2" t="s">
        <v>2086</v>
      </c>
      <c r="E2931" s="2"/>
      <c r="F2931" s="2" t="str">
        <f>"9782759240968"</f>
        <v>9782759240968</v>
      </c>
    </row>
    <row r="2932" spans="1:6" s="3" customFormat="1" ht="29.1" customHeight="1" x14ac:dyDescent="0.25">
      <c r="A2932" s="2" t="s">
        <v>6541</v>
      </c>
      <c r="B2932" s="2"/>
      <c r="C2932" s="2" t="s">
        <v>59</v>
      </c>
      <c r="D2932" s="2" t="s">
        <v>6542</v>
      </c>
      <c r="E2932" s="2"/>
      <c r="F2932" s="2" t="str">
        <f>"9782759240753"</f>
        <v>9782759240753</v>
      </c>
    </row>
    <row r="2933" spans="1:6" s="3" customFormat="1" ht="29.1" customHeight="1" x14ac:dyDescent="0.25">
      <c r="A2933" s="2" t="s">
        <v>6543</v>
      </c>
      <c r="B2933" s="2" t="s">
        <v>6544</v>
      </c>
      <c r="C2933" s="2" t="s">
        <v>59</v>
      </c>
      <c r="D2933" s="2" t="s">
        <v>758</v>
      </c>
      <c r="E2933" s="2"/>
      <c r="F2933" s="2" t="str">
        <f>"9782759240609"</f>
        <v>9782759240609</v>
      </c>
    </row>
    <row r="2934" spans="1:6" s="3" customFormat="1" ht="29.1" customHeight="1" x14ac:dyDescent="0.25">
      <c r="A2934" s="2" t="s">
        <v>6545</v>
      </c>
      <c r="B2934" s="2" t="s">
        <v>6546</v>
      </c>
      <c r="C2934" s="2" t="s">
        <v>149</v>
      </c>
      <c r="D2934" s="2" t="s">
        <v>636</v>
      </c>
      <c r="E2934" s="2" t="str">
        <f>"9781917341080"</f>
        <v>9781917341080</v>
      </c>
      <c r="F2934" s="2" t="str">
        <f>"9781917341110"</f>
        <v>9781917341110</v>
      </c>
    </row>
    <row r="2935" spans="1:6" s="3" customFormat="1" ht="29.1" customHeight="1" x14ac:dyDescent="0.25">
      <c r="A2935" s="2" t="s">
        <v>6547</v>
      </c>
      <c r="B2935" s="2" t="s">
        <v>6549</v>
      </c>
      <c r="C2935" s="2" t="s">
        <v>149</v>
      </c>
      <c r="D2935" s="2" t="s">
        <v>6548</v>
      </c>
      <c r="E2935" s="2" t="str">
        <f>"9781805114871"</f>
        <v>9781805114871</v>
      </c>
      <c r="F2935" s="2" t="str">
        <f>"9781805114895"</f>
        <v>9781805114895</v>
      </c>
    </row>
    <row r="2936" spans="1:6" s="3" customFormat="1" ht="29.1" customHeight="1" x14ac:dyDescent="0.25">
      <c r="A2936" s="2" t="s">
        <v>6550</v>
      </c>
      <c r="B2936" s="2" t="s">
        <v>6551</v>
      </c>
      <c r="C2936" s="2" t="s">
        <v>927</v>
      </c>
      <c r="D2936" s="2" t="s">
        <v>270</v>
      </c>
      <c r="E2936" s="2" t="str">
        <f>"9780472057528"</f>
        <v>9780472057528</v>
      </c>
      <c r="F2936" s="2" t="str">
        <f>"9780472905096"</f>
        <v>9780472905096</v>
      </c>
    </row>
    <row r="2937" spans="1:6" s="3" customFormat="1" ht="29.1" customHeight="1" x14ac:dyDescent="0.25">
      <c r="A2937" s="2" t="s">
        <v>6552</v>
      </c>
      <c r="B2937" s="2" t="s">
        <v>6553</v>
      </c>
      <c r="C2937" s="2" t="s">
        <v>927</v>
      </c>
      <c r="D2937" s="2" t="s">
        <v>297</v>
      </c>
      <c r="E2937" s="2" t="str">
        <f>"9780472057436"</f>
        <v>9780472057436</v>
      </c>
      <c r="F2937" s="2" t="str">
        <f>"9780472905027"</f>
        <v>9780472905027</v>
      </c>
    </row>
    <row r="2938" spans="1:6" s="3" customFormat="1" ht="29.1" customHeight="1" x14ac:dyDescent="0.25">
      <c r="A2938" s="2" t="s">
        <v>6554</v>
      </c>
      <c r="B2938" s="2" t="s">
        <v>6555</v>
      </c>
      <c r="C2938" s="2" t="s">
        <v>927</v>
      </c>
      <c r="D2938" s="2" t="s">
        <v>2208</v>
      </c>
      <c r="E2938" s="2" t="str">
        <f>"9780472057559"</f>
        <v>9780472057559</v>
      </c>
      <c r="F2938" s="2" t="str">
        <f>"9780472905119"</f>
        <v>9780472905119</v>
      </c>
    </row>
    <row r="2939" spans="1:6" s="3" customFormat="1" ht="29.1" customHeight="1" x14ac:dyDescent="0.25">
      <c r="A2939" s="2" t="s">
        <v>6556</v>
      </c>
      <c r="B2939" s="2" t="s">
        <v>6557</v>
      </c>
      <c r="C2939" s="2" t="s">
        <v>36</v>
      </c>
      <c r="D2939" s="2" t="s">
        <v>791</v>
      </c>
      <c r="E2939" s="2"/>
      <c r="F2939" s="2" t="str">
        <f>"9781447372851"</f>
        <v>9781447372851</v>
      </c>
    </row>
    <row r="2940" spans="1:6" s="3" customFormat="1" ht="29.1" customHeight="1" x14ac:dyDescent="0.25">
      <c r="A2940" s="2" t="s">
        <v>6558</v>
      </c>
      <c r="B2940" s="2" t="s">
        <v>6560</v>
      </c>
      <c r="C2940" s="2" t="s">
        <v>36</v>
      </c>
      <c r="D2940" s="2" t="s">
        <v>6559</v>
      </c>
      <c r="E2940" s="2"/>
      <c r="F2940" s="2" t="str">
        <f>"9781529249262"</f>
        <v>9781529249262</v>
      </c>
    </row>
    <row r="2941" spans="1:6" s="3" customFormat="1" ht="29.1" customHeight="1" x14ac:dyDescent="0.25">
      <c r="A2941" s="2" t="s">
        <v>6561</v>
      </c>
      <c r="B2941" s="2" t="s">
        <v>6562</v>
      </c>
      <c r="C2941" s="2" t="s">
        <v>36</v>
      </c>
      <c r="D2941" s="2" t="s">
        <v>1209</v>
      </c>
      <c r="E2941" s="2"/>
      <c r="F2941" s="2" t="str">
        <f>"9781529248166"</f>
        <v>9781529248166</v>
      </c>
    </row>
    <row r="2942" spans="1:6" s="3" customFormat="1" ht="29.1" customHeight="1" x14ac:dyDescent="0.25">
      <c r="A2942" s="2" t="s">
        <v>6563</v>
      </c>
      <c r="B2942" s="2" t="s">
        <v>6565</v>
      </c>
      <c r="C2942" s="2" t="s">
        <v>305</v>
      </c>
      <c r="D2942" s="2" t="s">
        <v>6564</v>
      </c>
      <c r="E2942" s="2"/>
      <c r="F2942" s="2" t="str">
        <f>"9786218438071"</f>
        <v>9786218438071</v>
      </c>
    </row>
    <row r="2943" spans="1:6" s="3" customFormat="1" ht="29.1" customHeight="1" x14ac:dyDescent="0.25">
      <c r="A2943" s="2" t="s">
        <v>6566</v>
      </c>
      <c r="B2943" s="2" t="s">
        <v>6567</v>
      </c>
      <c r="C2943" s="2" t="s">
        <v>29</v>
      </c>
      <c r="D2943" s="2" t="s">
        <v>33</v>
      </c>
      <c r="E2943" s="2" t="str">
        <f>"9783770568956"</f>
        <v>9783770568956</v>
      </c>
      <c r="F2943" s="2" t="str">
        <f>"9783846768952"</f>
        <v>9783846768952</v>
      </c>
    </row>
    <row r="2944" spans="1:6" s="3" customFormat="1" ht="29.1" customHeight="1" x14ac:dyDescent="0.25">
      <c r="A2944" s="2" t="s">
        <v>6568</v>
      </c>
      <c r="B2944" s="2" t="s">
        <v>6569</v>
      </c>
      <c r="C2944" s="2" t="s">
        <v>29</v>
      </c>
      <c r="D2944" s="2" t="s">
        <v>3166</v>
      </c>
      <c r="E2944" s="2" t="str">
        <f>"9783770569410"</f>
        <v>9783770569410</v>
      </c>
      <c r="F2944" s="2" t="str">
        <f>"9783846769416"</f>
        <v>9783846769416</v>
      </c>
    </row>
    <row r="2945" spans="1:6" s="3" customFormat="1" ht="29.1" customHeight="1" x14ac:dyDescent="0.25">
      <c r="A2945" s="2" t="s">
        <v>6570</v>
      </c>
      <c r="B2945" s="2" t="s">
        <v>6572</v>
      </c>
      <c r="C2945" s="2" t="s">
        <v>732</v>
      </c>
      <c r="D2945" s="2" t="s">
        <v>6571</v>
      </c>
      <c r="E2945" s="2" t="str">
        <f>"9781990982156"</f>
        <v>9781990982156</v>
      </c>
      <c r="F2945" s="2" t="str">
        <f>"9781990982163"</f>
        <v>9781990982163</v>
      </c>
    </row>
    <row r="2946" spans="1:6" s="3" customFormat="1" ht="29.1" customHeight="1" x14ac:dyDescent="0.25">
      <c r="A2946" s="2" t="s">
        <v>6573</v>
      </c>
      <c r="B2946" s="2" t="s">
        <v>6574</v>
      </c>
      <c r="C2946" s="2" t="s">
        <v>732</v>
      </c>
      <c r="D2946" s="2" t="s">
        <v>1861</v>
      </c>
      <c r="E2946" s="2" t="str">
        <f>"9781779953384"</f>
        <v>9781779953384</v>
      </c>
      <c r="F2946" s="2" t="str">
        <f>"9781779953391"</f>
        <v>9781779953391</v>
      </c>
    </row>
    <row r="2947" spans="1:6" s="3" customFormat="1" ht="29.1" customHeight="1" x14ac:dyDescent="0.25">
      <c r="A2947" s="2" t="s">
        <v>6575</v>
      </c>
      <c r="B2947" s="2" t="s">
        <v>6576</v>
      </c>
      <c r="C2947" s="2" t="s">
        <v>732</v>
      </c>
      <c r="D2947" s="2" t="s">
        <v>1717</v>
      </c>
      <c r="E2947" s="2" t="str">
        <f>"9781991269171"</f>
        <v>9781991269171</v>
      </c>
      <c r="F2947" s="2" t="str">
        <f>"9781991270177"</f>
        <v>9781991270177</v>
      </c>
    </row>
    <row r="2948" spans="1:6" s="3" customFormat="1" ht="29.1" customHeight="1" x14ac:dyDescent="0.25">
      <c r="A2948" s="2" t="s">
        <v>6577</v>
      </c>
      <c r="B2948" s="2" t="s">
        <v>6579</v>
      </c>
      <c r="C2948" s="2" t="s">
        <v>124</v>
      </c>
      <c r="D2948" s="2" t="s">
        <v>6578</v>
      </c>
      <c r="E2948" s="2" t="str">
        <f>"9781032865089"</f>
        <v>9781032865089</v>
      </c>
      <c r="F2948" s="2" t="str">
        <f>"9781003527848"</f>
        <v>9781003527848</v>
      </c>
    </row>
    <row r="2949" spans="1:6" s="3" customFormat="1" ht="29.1" customHeight="1" x14ac:dyDescent="0.25">
      <c r="A2949" s="2" t="s">
        <v>6580</v>
      </c>
      <c r="B2949" s="2" t="s">
        <v>6581</v>
      </c>
      <c r="C2949" s="2" t="s">
        <v>124</v>
      </c>
      <c r="D2949" s="2" t="s">
        <v>2274</v>
      </c>
      <c r="E2949" s="2" t="str">
        <f>"9781032383620"</f>
        <v>9781032383620</v>
      </c>
      <c r="F2949" s="2" t="str">
        <f>"9781003344643"</f>
        <v>9781003344643</v>
      </c>
    </row>
    <row r="2950" spans="1:6" s="3" customFormat="1" ht="29.1" customHeight="1" x14ac:dyDescent="0.25">
      <c r="A2950" s="2" t="s">
        <v>6582</v>
      </c>
      <c r="B2950" s="2" t="s">
        <v>6583</v>
      </c>
      <c r="C2950" s="2" t="s">
        <v>124</v>
      </c>
      <c r="D2950" s="2" t="s">
        <v>270</v>
      </c>
      <c r="E2950" s="2" t="str">
        <f>"9781032277929"</f>
        <v>9781032277929</v>
      </c>
      <c r="F2950" s="2" t="str">
        <f>"9781003294122"</f>
        <v>9781003294122</v>
      </c>
    </row>
    <row r="2951" spans="1:6" s="3" customFormat="1" ht="29.1" customHeight="1" x14ac:dyDescent="0.25">
      <c r="A2951" s="2" t="s">
        <v>6584</v>
      </c>
      <c r="B2951" s="2" t="s">
        <v>6585</v>
      </c>
      <c r="C2951" s="2" t="s">
        <v>36</v>
      </c>
      <c r="D2951" s="2" t="s">
        <v>2139</v>
      </c>
      <c r="E2951" s="2"/>
      <c r="F2951" s="2" t="str">
        <f>"9781447373551"</f>
        <v>9781447373551</v>
      </c>
    </row>
    <row r="2952" spans="1:6" s="3" customFormat="1" ht="29.1" customHeight="1" x14ac:dyDescent="0.25">
      <c r="A2952" s="2" t="s">
        <v>6586</v>
      </c>
      <c r="B2952" s="2" t="s">
        <v>6587</v>
      </c>
      <c r="C2952" s="2" t="s">
        <v>5</v>
      </c>
      <c r="D2952" s="2" t="s">
        <v>9</v>
      </c>
      <c r="E2952" s="2" t="str">
        <f>"9782384763931"</f>
        <v>9782384763931</v>
      </c>
      <c r="F2952" s="2" t="str">
        <f>"9782384763948"</f>
        <v>9782384763948</v>
      </c>
    </row>
    <row r="2953" spans="1:6" s="3" customFormat="1" ht="29.1" customHeight="1" x14ac:dyDescent="0.25">
      <c r="A2953" s="2" t="s">
        <v>6588</v>
      </c>
      <c r="B2953" s="2" t="s">
        <v>6589</v>
      </c>
      <c r="C2953" s="2" t="s">
        <v>5</v>
      </c>
      <c r="D2953" s="2" t="s">
        <v>650</v>
      </c>
      <c r="E2953" s="2" t="str">
        <f>"9789819645237"</f>
        <v>9789819645237</v>
      </c>
      <c r="F2953" s="2" t="str">
        <f>"9789819645244"</f>
        <v>9789819645244</v>
      </c>
    </row>
    <row r="2954" spans="1:6" s="3" customFormat="1" ht="29.1" customHeight="1" x14ac:dyDescent="0.25">
      <c r="A2954" s="2" t="s">
        <v>6590</v>
      </c>
      <c r="B2954" s="2" t="s">
        <v>6591</v>
      </c>
      <c r="C2954" s="2" t="s">
        <v>5</v>
      </c>
      <c r="D2954" s="2" t="s">
        <v>302</v>
      </c>
      <c r="E2954" s="2" t="str">
        <f>"9789819636112"</f>
        <v>9789819636112</v>
      </c>
      <c r="F2954" s="2" t="str">
        <f>"9789819636129"</f>
        <v>9789819636129</v>
      </c>
    </row>
    <row r="2955" spans="1:6" s="3" customFormat="1" ht="29.1" customHeight="1" x14ac:dyDescent="0.25">
      <c r="A2955" s="2" t="s">
        <v>6592</v>
      </c>
      <c r="B2955" s="2" t="s">
        <v>6593</v>
      </c>
      <c r="C2955" s="2" t="s">
        <v>5</v>
      </c>
      <c r="D2955" s="2" t="s">
        <v>350</v>
      </c>
      <c r="E2955" s="2" t="str">
        <f>"9783031863141"</f>
        <v>9783031863141</v>
      </c>
      <c r="F2955" s="2" t="str">
        <f>"9783031863158"</f>
        <v>9783031863158</v>
      </c>
    </row>
    <row r="2956" spans="1:6" s="3" customFormat="1" ht="29.1" customHeight="1" x14ac:dyDescent="0.25">
      <c r="A2956" s="2" t="s">
        <v>6594</v>
      </c>
      <c r="B2956" s="2" t="s">
        <v>6595</v>
      </c>
      <c r="C2956" s="2" t="s">
        <v>36</v>
      </c>
      <c r="D2956" s="2" t="s">
        <v>2139</v>
      </c>
      <c r="E2956" s="2"/>
      <c r="F2956" s="2" t="str">
        <f>"9781447370109"</f>
        <v>9781447370109</v>
      </c>
    </row>
    <row r="2957" spans="1:6" s="3" customFormat="1" ht="29.1" customHeight="1" x14ac:dyDescent="0.25">
      <c r="A2957" s="2" t="s">
        <v>6596</v>
      </c>
      <c r="B2957" s="2" t="s">
        <v>6597</v>
      </c>
      <c r="C2957" s="2" t="s">
        <v>29</v>
      </c>
      <c r="D2957" s="2" t="s">
        <v>459</v>
      </c>
      <c r="E2957" s="2" t="str">
        <f>"9789004730533"</f>
        <v>9789004730533</v>
      </c>
      <c r="F2957" s="2" t="str">
        <f>"9789004731851"</f>
        <v>9789004731851</v>
      </c>
    </row>
    <row r="2958" spans="1:6" s="3" customFormat="1" ht="29.1" customHeight="1" x14ac:dyDescent="0.25">
      <c r="A2958" s="2" t="s">
        <v>6598</v>
      </c>
      <c r="B2958" s="2" t="s">
        <v>6599</v>
      </c>
      <c r="C2958" s="2" t="s">
        <v>29</v>
      </c>
      <c r="D2958" s="2" t="s">
        <v>378</v>
      </c>
      <c r="E2958" s="2" t="str">
        <f>"9789004711679"</f>
        <v>9789004711679</v>
      </c>
      <c r="F2958" s="2" t="str">
        <f>"9789004730779"</f>
        <v>9789004730779</v>
      </c>
    </row>
    <row r="2959" spans="1:6" s="3" customFormat="1" ht="29.1" customHeight="1" x14ac:dyDescent="0.25">
      <c r="A2959" s="2" t="s">
        <v>6600</v>
      </c>
      <c r="B2959" s="2" t="s">
        <v>6601</v>
      </c>
      <c r="C2959" s="2" t="s">
        <v>29</v>
      </c>
      <c r="D2959" s="2" t="s">
        <v>512</v>
      </c>
      <c r="E2959" s="2" t="str">
        <f>"9789004512894"</f>
        <v>9789004512894</v>
      </c>
      <c r="F2959" s="2" t="str">
        <f>"9789004512900"</f>
        <v>9789004512900</v>
      </c>
    </row>
    <row r="2960" spans="1:6" s="3" customFormat="1" ht="29.1" customHeight="1" x14ac:dyDescent="0.25">
      <c r="A2960" s="2" t="s">
        <v>6602</v>
      </c>
      <c r="B2960" s="2" t="s">
        <v>6603</v>
      </c>
      <c r="C2960" s="2" t="s">
        <v>195</v>
      </c>
      <c r="D2960" s="2" t="s">
        <v>408</v>
      </c>
      <c r="E2960" s="2"/>
      <c r="F2960" s="2" t="str">
        <f>"9783689242404"</f>
        <v>9783689242404</v>
      </c>
    </row>
    <row r="2961" spans="1:6" s="3" customFormat="1" ht="29.1" customHeight="1" x14ac:dyDescent="0.25">
      <c r="A2961" s="2" t="s">
        <v>6604</v>
      </c>
      <c r="B2961" s="2" t="s">
        <v>6605</v>
      </c>
      <c r="C2961" s="2" t="s">
        <v>195</v>
      </c>
      <c r="D2961" s="2" t="s">
        <v>682</v>
      </c>
      <c r="E2961" s="2"/>
      <c r="F2961" s="2" t="str">
        <f>"9783689242220"</f>
        <v>9783689242220</v>
      </c>
    </row>
    <row r="2962" spans="1:6" s="3" customFormat="1" ht="29.1" customHeight="1" x14ac:dyDescent="0.25">
      <c r="A2962" s="2" t="s">
        <v>6606</v>
      </c>
      <c r="B2962" s="2" t="s">
        <v>6607</v>
      </c>
      <c r="C2962" s="2" t="s">
        <v>195</v>
      </c>
      <c r="D2962" s="2" t="s">
        <v>297</v>
      </c>
      <c r="E2962" s="2"/>
      <c r="F2962" s="2" t="str">
        <f>"9783689242190"</f>
        <v>9783689242190</v>
      </c>
    </row>
    <row r="2963" spans="1:6" s="3" customFormat="1" ht="29.1" customHeight="1" x14ac:dyDescent="0.25">
      <c r="A2963" s="2" t="s">
        <v>6608</v>
      </c>
      <c r="B2963" s="2" t="s">
        <v>6610</v>
      </c>
      <c r="C2963" s="2" t="s">
        <v>62</v>
      </c>
      <c r="D2963" s="2" t="s">
        <v>6609</v>
      </c>
      <c r="E2963" s="2" t="str">
        <f>"9783428194582"</f>
        <v>9783428194582</v>
      </c>
      <c r="F2963" s="2" t="str">
        <f>"9783428594580"</f>
        <v>9783428594580</v>
      </c>
    </row>
    <row r="2964" spans="1:6" s="3" customFormat="1" ht="29.1" customHeight="1" x14ac:dyDescent="0.25">
      <c r="A2964" s="2" t="s">
        <v>6611</v>
      </c>
      <c r="B2964" s="2" t="s">
        <v>6612</v>
      </c>
      <c r="C2964" s="2" t="s">
        <v>62</v>
      </c>
      <c r="D2964" s="2" t="s">
        <v>15</v>
      </c>
      <c r="E2964" s="2" t="str">
        <f>"9783428194438"</f>
        <v>9783428194438</v>
      </c>
      <c r="F2964" s="2" t="str">
        <f>"9783428594436"</f>
        <v>9783428594436</v>
      </c>
    </row>
    <row r="2965" spans="1:6" s="3" customFormat="1" ht="29.1" customHeight="1" x14ac:dyDescent="0.25">
      <c r="A2965" s="2" t="s">
        <v>6613</v>
      </c>
      <c r="B2965" s="2" t="s">
        <v>6614</v>
      </c>
      <c r="C2965" s="2" t="s">
        <v>5</v>
      </c>
      <c r="D2965" s="2" t="s">
        <v>4713</v>
      </c>
      <c r="E2965" s="2" t="str">
        <f>"9783658472160"</f>
        <v>9783658472160</v>
      </c>
      <c r="F2965" s="2" t="str">
        <f>"9783658472177"</f>
        <v>9783658472177</v>
      </c>
    </row>
    <row r="2966" spans="1:6" s="3" customFormat="1" ht="29.1" customHeight="1" x14ac:dyDescent="0.25">
      <c r="A2966" s="2" t="s">
        <v>6615</v>
      </c>
      <c r="B2966" s="2" t="s">
        <v>6616</v>
      </c>
      <c r="C2966" s="2" t="s">
        <v>5</v>
      </c>
      <c r="D2966" s="2" t="s">
        <v>370</v>
      </c>
      <c r="E2966" s="2" t="str">
        <f>"9783031913709"</f>
        <v>9783031913709</v>
      </c>
      <c r="F2966" s="2" t="str">
        <f>"9783031913716"</f>
        <v>9783031913716</v>
      </c>
    </row>
    <row r="2967" spans="1:6" s="3" customFormat="1" ht="29.1" customHeight="1" x14ac:dyDescent="0.25">
      <c r="A2967" s="2" t="s">
        <v>6617</v>
      </c>
      <c r="B2967" s="2" t="s">
        <v>6619</v>
      </c>
      <c r="C2967" s="2" t="s">
        <v>20</v>
      </c>
      <c r="D2967" s="2" t="s">
        <v>6618</v>
      </c>
      <c r="E2967" s="2" t="str">
        <f>"9783751890304"</f>
        <v>9783751890304</v>
      </c>
      <c r="F2967" s="2" t="str">
        <f>"9783751890311"</f>
        <v>9783751890311</v>
      </c>
    </row>
    <row r="2968" spans="1:6" s="3" customFormat="1" ht="29.1" customHeight="1" x14ac:dyDescent="0.25">
      <c r="A2968" s="2" t="s">
        <v>6620</v>
      </c>
      <c r="B2968" s="2" t="s">
        <v>6623</v>
      </c>
      <c r="C2968" s="2" t="s">
        <v>6621</v>
      </c>
      <c r="D2968" s="2" t="s">
        <v>6622</v>
      </c>
      <c r="E2968" s="2" t="str">
        <f>"9788366723825"</f>
        <v>9788366723825</v>
      </c>
      <c r="F2968" s="2" t="str">
        <f>"9788366723818"</f>
        <v>9788366723818</v>
      </c>
    </row>
    <row r="2969" spans="1:6" s="3" customFormat="1" ht="29.1" customHeight="1" x14ac:dyDescent="0.25">
      <c r="A2969" s="2" t="s">
        <v>6624</v>
      </c>
      <c r="B2969" s="2" t="s">
        <v>6626</v>
      </c>
      <c r="C2969" s="2" t="s">
        <v>6621</v>
      </c>
      <c r="D2969" s="2" t="s">
        <v>6625</v>
      </c>
      <c r="E2969" s="2" t="str">
        <f>"9788366723849"</f>
        <v>9788366723849</v>
      </c>
      <c r="F2969" s="2" t="str">
        <f>"9788366723832"</f>
        <v>9788366723832</v>
      </c>
    </row>
    <row r="2970" spans="1:6" s="3" customFormat="1" ht="29.1" customHeight="1" x14ac:dyDescent="0.25">
      <c r="A2970" s="2" t="s">
        <v>6627</v>
      </c>
      <c r="B2970" s="2" t="s">
        <v>6629</v>
      </c>
      <c r="C2970" s="2" t="s">
        <v>6621</v>
      </c>
      <c r="D2970" s="2" t="s">
        <v>6628</v>
      </c>
      <c r="E2970" s="2" t="str">
        <f>"9788366723795"</f>
        <v>9788366723795</v>
      </c>
      <c r="F2970" s="2" t="str">
        <f>"9788366723801"</f>
        <v>9788366723801</v>
      </c>
    </row>
    <row r="2971" spans="1:6" s="3" customFormat="1" ht="29.1" customHeight="1" x14ac:dyDescent="0.25">
      <c r="A2971" s="2" t="s">
        <v>6630</v>
      </c>
      <c r="B2971" s="2" t="s">
        <v>6631</v>
      </c>
      <c r="C2971" s="2" t="s">
        <v>124</v>
      </c>
      <c r="D2971" s="2" t="s">
        <v>9</v>
      </c>
      <c r="E2971" s="2" t="str">
        <f>"9781032131245"</f>
        <v>9781032131245</v>
      </c>
      <c r="F2971" s="2" t="str">
        <f>"9781003227779"</f>
        <v>9781003227779</v>
      </c>
    </row>
    <row r="2972" spans="1:6" s="3" customFormat="1" ht="29.1" customHeight="1" x14ac:dyDescent="0.25">
      <c r="A2972" s="2" t="s">
        <v>6632</v>
      </c>
      <c r="B2972" s="2" t="s">
        <v>6633</v>
      </c>
      <c r="C2972" s="2" t="s">
        <v>746</v>
      </c>
      <c r="D2972" s="2" t="s">
        <v>606</v>
      </c>
      <c r="E2972" s="2" t="str">
        <f>"9781803279879"</f>
        <v>9781803279879</v>
      </c>
      <c r="F2972" s="2" t="str">
        <f>"9781803279886"</f>
        <v>9781803279886</v>
      </c>
    </row>
    <row r="2973" spans="1:6" s="3" customFormat="1" ht="29.1" customHeight="1" x14ac:dyDescent="0.25">
      <c r="A2973" s="2" t="s">
        <v>6634</v>
      </c>
      <c r="B2973" s="2" t="s">
        <v>6635</v>
      </c>
      <c r="C2973" s="2" t="s">
        <v>5</v>
      </c>
      <c r="D2973" s="2" t="s">
        <v>9</v>
      </c>
      <c r="E2973" s="2" t="str">
        <f>"9782384764037"</f>
        <v>9782384764037</v>
      </c>
      <c r="F2973" s="2" t="str">
        <f>"9782384764044"</f>
        <v>9782384764044</v>
      </c>
    </row>
    <row r="2974" spans="1:6" s="3" customFormat="1" ht="29.1" customHeight="1" x14ac:dyDescent="0.25">
      <c r="A2974" s="2" t="s">
        <v>6636</v>
      </c>
      <c r="B2974" s="2" t="s">
        <v>6637</v>
      </c>
      <c r="C2974" s="2" t="s">
        <v>5</v>
      </c>
      <c r="D2974" s="2" t="s">
        <v>9</v>
      </c>
      <c r="E2974" s="2" t="str">
        <f>"9782384763993"</f>
        <v>9782384763993</v>
      </c>
      <c r="F2974" s="2" t="str">
        <f>"9782384764006"</f>
        <v>9782384764006</v>
      </c>
    </row>
    <row r="2975" spans="1:6" s="3" customFormat="1" ht="29.1" customHeight="1" x14ac:dyDescent="0.25">
      <c r="A2975" s="2" t="s">
        <v>6638</v>
      </c>
      <c r="B2975" s="2" t="s">
        <v>6639</v>
      </c>
      <c r="C2975" s="2" t="s">
        <v>5</v>
      </c>
      <c r="D2975" s="2" t="s">
        <v>69</v>
      </c>
      <c r="E2975" s="2" t="str">
        <f>"9783031904318"</f>
        <v>9783031904318</v>
      </c>
      <c r="F2975" s="2" t="str">
        <f>"9783031904325"</f>
        <v>9783031904325</v>
      </c>
    </row>
    <row r="2976" spans="1:6" s="3" customFormat="1" ht="29.1" customHeight="1" x14ac:dyDescent="0.25">
      <c r="A2976" s="2" t="s">
        <v>6640</v>
      </c>
      <c r="B2976" s="2" t="s">
        <v>6641</v>
      </c>
      <c r="C2976" s="2" t="s">
        <v>5</v>
      </c>
      <c r="D2976" s="2" t="s">
        <v>1097</v>
      </c>
      <c r="E2976" s="2" t="str">
        <f>"9783031839023"</f>
        <v>9783031839023</v>
      </c>
      <c r="F2976" s="2" t="str">
        <f>"9783031839030"</f>
        <v>9783031839030</v>
      </c>
    </row>
    <row r="2977" spans="1:6" s="3" customFormat="1" ht="29.1" customHeight="1" x14ac:dyDescent="0.25">
      <c r="A2977" s="2" t="s">
        <v>6642</v>
      </c>
      <c r="B2977" s="2" t="s">
        <v>6643</v>
      </c>
      <c r="C2977" s="2" t="s">
        <v>5</v>
      </c>
      <c r="D2977" s="2" t="s">
        <v>431</v>
      </c>
      <c r="E2977" s="2" t="str">
        <f>"9789464637113"</f>
        <v>9789464637113</v>
      </c>
      <c r="F2977" s="2" t="str">
        <f>"9789464637120"</f>
        <v>9789464637120</v>
      </c>
    </row>
    <row r="2978" spans="1:6" s="3" customFormat="1" ht="29.1" customHeight="1" x14ac:dyDescent="0.25">
      <c r="A2978" s="2" t="s">
        <v>6644</v>
      </c>
      <c r="B2978" s="2" t="s">
        <v>6645</v>
      </c>
      <c r="C2978" s="2" t="s">
        <v>746</v>
      </c>
      <c r="D2978" s="2" t="s">
        <v>606</v>
      </c>
      <c r="E2978" s="2" t="str">
        <f>"9781805830009"</f>
        <v>9781805830009</v>
      </c>
      <c r="F2978" s="2" t="str">
        <f>"9781805830016"</f>
        <v>9781805830016</v>
      </c>
    </row>
    <row r="2979" spans="1:6" s="3" customFormat="1" ht="29.1" customHeight="1" x14ac:dyDescent="0.25">
      <c r="A2979" s="2" t="s">
        <v>6646</v>
      </c>
      <c r="B2979" s="2" t="s">
        <v>6647</v>
      </c>
      <c r="C2979" s="2" t="s">
        <v>746</v>
      </c>
      <c r="D2979" s="2" t="s">
        <v>6440</v>
      </c>
      <c r="E2979" s="2" t="str">
        <f>"9781803279633"</f>
        <v>9781803279633</v>
      </c>
      <c r="F2979" s="2" t="str">
        <f>"9781803279640"</f>
        <v>9781803279640</v>
      </c>
    </row>
    <row r="2980" spans="1:6" s="3" customFormat="1" ht="29.1" customHeight="1" x14ac:dyDescent="0.25">
      <c r="A2980" s="2" t="s">
        <v>6648</v>
      </c>
      <c r="B2980" s="2" t="s">
        <v>6649</v>
      </c>
      <c r="C2980" s="2" t="s">
        <v>149</v>
      </c>
      <c r="D2980" s="2" t="s">
        <v>5930</v>
      </c>
      <c r="E2980" s="2" t="str">
        <f>"9781685712709"</f>
        <v>9781685712709</v>
      </c>
      <c r="F2980" s="2" t="str">
        <f>"9781685712716"</f>
        <v>9781685712716</v>
      </c>
    </row>
    <row r="2981" spans="1:6" s="3" customFormat="1" ht="29.1" customHeight="1" x14ac:dyDescent="0.25">
      <c r="A2981" s="2" t="s">
        <v>6650</v>
      </c>
      <c r="B2981" s="2" t="s">
        <v>6651</v>
      </c>
      <c r="C2981" s="2" t="s">
        <v>5</v>
      </c>
      <c r="D2981" s="2" t="s">
        <v>9</v>
      </c>
      <c r="E2981" s="2" t="str">
        <f>"9782384764013"</f>
        <v>9782384764013</v>
      </c>
      <c r="F2981" s="2" t="str">
        <f>"9782384764020"</f>
        <v>9782384764020</v>
      </c>
    </row>
    <row r="2982" spans="1:6" s="3" customFormat="1" ht="29.1" customHeight="1" x14ac:dyDescent="0.25">
      <c r="A2982" s="2" t="s">
        <v>6652</v>
      </c>
      <c r="B2982" s="2" t="s">
        <v>6653</v>
      </c>
      <c r="C2982" s="2" t="s">
        <v>5</v>
      </c>
      <c r="D2982" s="2" t="s">
        <v>674</v>
      </c>
      <c r="E2982" s="2" t="str">
        <f>"9789819635146"</f>
        <v>9789819635146</v>
      </c>
      <c r="F2982" s="2" t="str">
        <f>"9789819635153"</f>
        <v>9789819635153</v>
      </c>
    </row>
    <row r="2983" spans="1:6" s="3" customFormat="1" ht="29.1" customHeight="1" x14ac:dyDescent="0.25">
      <c r="A2983" s="2" t="s">
        <v>6654</v>
      </c>
      <c r="B2983" s="2" t="s">
        <v>6656</v>
      </c>
      <c r="C2983" s="2" t="s">
        <v>5</v>
      </c>
      <c r="D2983" s="2" t="s">
        <v>6655</v>
      </c>
      <c r="E2983" s="2" t="str">
        <f>"9782384763894"</f>
        <v>9782384763894</v>
      </c>
      <c r="F2983" s="2" t="str">
        <f>"9782384763900"</f>
        <v>9782384763900</v>
      </c>
    </row>
    <row r="2984" spans="1:6" s="3" customFormat="1" ht="29.1" customHeight="1" x14ac:dyDescent="0.25">
      <c r="A2984" s="2" t="s">
        <v>6657</v>
      </c>
      <c r="B2984" s="2" t="s">
        <v>6658</v>
      </c>
      <c r="C2984" s="2" t="s">
        <v>5</v>
      </c>
      <c r="D2984" s="2" t="s">
        <v>5228</v>
      </c>
      <c r="E2984" s="2" t="str">
        <f>"9789464637090"</f>
        <v>9789464637090</v>
      </c>
      <c r="F2984" s="2" t="str">
        <f>"9789464637106"</f>
        <v>9789464637106</v>
      </c>
    </row>
    <row r="2985" spans="1:6" s="3" customFormat="1" ht="29.1" customHeight="1" x14ac:dyDescent="0.25">
      <c r="A2985" s="2" t="s">
        <v>6659</v>
      </c>
      <c r="B2985" s="2" t="s">
        <v>6660</v>
      </c>
      <c r="C2985" s="2" t="s">
        <v>5</v>
      </c>
      <c r="D2985" s="2" t="s">
        <v>1883</v>
      </c>
      <c r="E2985" s="2" t="str">
        <f>"9783031857942"</f>
        <v>9783031857942</v>
      </c>
      <c r="F2985" s="2" t="str">
        <f>"9783031857959"</f>
        <v>9783031857959</v>
      </c>
    </row>
    <row r="2986" spans="1:6" s="3" customFormat="1" ht="29.1" customHeight="1" x14ac:dyDescent="0.25">
      <c r="A2986" s="2" t="s">
        <v>6661</v>
      </c>
      <c r="B2986" s="2" t="s">
        <v>6662</v>
      </c>
      <c r="C2986" s="2" t="s">
        <v>5</v>
      </c>
      <c r="D2986" s="2" t="s">
        <v>2271</v>
      </c>
      <c r="E2986" s="2" t="str">
        <f>"9783031895562"</f>
        <v>9783031895562</v>
      </c>
      <c r="F2986" s="2" t="str">
        <f>"9783031895579"</f>
        <v>9783031895579</v>
      </c>
    </row>
    <row r="2987" spans="1:6" s="3" customFormat="1" ht="29.1" customHeight="1" x14ac:dyDescent="0.25">
      <c r="A2987" s="2" t="s">
        <v>6663</v>
      </c>
      <c r="B2987" s="2" t="s">
        <v>6665</v>
      </c>
      <c r="C2987" s="2" t="s">
        <v>264</v>
      </c>
      <c r="D2987" s="2" t="s">
        <v>6664</v>
      </c>
      <c r="E2987" s="2" t="str">
        <f>"9781041078234"</f>
        <v>9781041078234</v>
      </c>
      <c r="F2987" s="2" t="str">
        <f>"9781003642428"</f>
        <v>9781003642428</v>
      </c>
    </row>
    <row r="2988" spans="1:6" s="3" customFormat="1" ht="29.1" customHeight="1" x14ac:dyDescent="0.25">
      <c r="A2988" s="2" t="s">
        <v>6666</v>
      </c>
      <c r="B2988" s="2" t="s">
        <v>6667</v>
      </c>
      <c r="C2988" s="2" t="s">
        <v>124</v>
      </c>
      <c r="D2988" s="2" t="s">
        <v>647</v>
      </c>
      <c r="E2988" s="2" t="str">
        <f>"9781032972985"</f>
        <v>9781032972985</v>
      </c>
      <c r="F2988" s="2" t="str">
        <f>"9781003593157"</f>
        <v>9781003593157</v>
      </c>
    </row>
    <row r="2989" spans="1:6" s="3" customFormat="1" ht="29.1" customHeight="1" x14ac:dyDescent="0.25">
      <c r="A2989" s="2" t="s">
        <v>6668</v>
      </c>
      <c r="B2989" s="2" t="s">
        <v>6670</v>
      </c>
      <c r="C2989" s="2" t="s">
        <v>124</v>
      </c>
      <c r="D2989" s="2" t="s">
        <v>6669</v>
      </c>
      <c r="E2989" s="2" t="str">
        <f>"9781032938530"</f>
        <v>9781032938530</v>
      </c>
      <c r="F2989" s="2" t="str">
        <f>"9781003603184"</f>
        <v>9781003603184</v>
      </c>
    </row>
    <row r="2990" spans="1:6" s="3" customFormat="1" ht="29.1" customHeight="1" x14ac:dyDescent="0.25">
      <c r="A2990" s="2" t="s">
        <v>6671</v>
      </c>
      <c r="B2990" s="2" t="s">
        <v>6672</v>
      </c>
      <c r="C2990" s="2" t="s">
        <v>124</v>
      </c>
      <c r="D2990" s="2" t="s">
        <v>1895</v>
      </c>
      <c r="E2990" s="2" t="str">
        <f>"9781032752082"</f>
        <v>9781032752082</v>
      </c>
      <c r="F2990" s="2" t="str">
        <f>"9781003472933"</f>
        <v>9781003472933</v>
      </c>
    </row>
    <row r="2991" spans="1:6" s="3" customFormat="1" ht="29.1" customHeight="1" x14ac:dyDescent="0.25">
      <c r="A2991" s="2" t="s">
        <v>6673</v>
      </c>
      <c r="B2991" s="2" t="s">
        <v>6674</v>
      </c>
      <c r="C2991" s="2" t="s">
        <v>4788</v>
      </c>
      <c r="D2991" s="2" t="s">
        <v>674</v>
      </c>
      <c r="E2991" s="2" t="str">
        <f>"9781399544634"</f>
        <v>9781399544634</v>
      </c>
      <c r="F2991" s="2" t="str">
        <f>"9781399544641"</f>
        <v>9781399544641</v>
      </c>
    </row>
    <row r="2992" spans="1:6" s="3" customFormat="1" ht="29.1" customHeight="1" x14ac:dyDescent="0.25">
      <c r="A2992" s="2" t="s">
        <v>6675</v>
      </c>
      <c r="B2992" s="2" t="s">
        <v>6676</v>
      </c>
      <c r="C2992" s="2" t="s">
        <v>4788</v>
      </c>
      <c r="D2992" s="2" t="s">
        <v>3149</v>
      </c>
      <c r="E2992" s="2" t="str">
        <f>"9781399541497"</f>
        <v>9781399541497</v>
      </c>
      <c r="F2992" s="2" t="str">
        <f>"9781399541510"</f>
        <v>9781399541510</v>
      </c>
    </row>
    <row r="2993" spans="1:6" s="3" customFormat="1" ht="29.1" customHeight="1" x14ac:dyDescent="0.25">
      <c r="A2993" s="2" t="s">
        <v>6677</v>
      </c>
      <c r="B2993" s="2" t="s">
        <v>6679</v>
      </c>
      <c r="C2993" s="2" t="s">
        <v>4788</v>
      </c>
      <c r="D2993" s="2" t="s">
        <v>6678</v>
      </c>
      <c r="E2993" s="2" t="str">
        <f>"9781399538091"</f>
        <v>9781399538091</v>
      </c>
      <c r="F2993" s="2" t="str">
        <f>"9781399538114"</f>
        <v>9781399538114</v>
      </c>
    </row>
    <row r="2994" spans="1:6" s="3" customFormat="1" ht="29.1" customHeight="1" x14ac:dyDescent="0.25">
      <c r="A2994" s="2" t="s">
        <v>6680</v>
      </c>
      <c r="B2994" s="2" t="s">
        <v>6681</v>
      </c>
      <c r="C2994" s="2" t="s">
        <v>4788</v>
      </c>
      <c r="D2994" s="2" t="s">
        <v>3130</v>
      </c>
      <c r="E2994" s="2" t="str">
        <f>"9781399533287"</f>
        <v>9781399533287</v>
      </c>
      <c r="F2994" s="2" t="str">
        <f>"9781399533300"</f>
        <v>9781399533300</v>
      </c>
    </row>
    <row r="2995" spans="1:6" s="3" customFormat="1" ht="29.1" customHeight="1" x14ac:dyDescent="0.25">
      <c r="A2995" s="2" t="s">
        <v>6682</v>
      </c>
      <c r="B2995" s="2" t="s">
        <v>6684</v>
      </c>
      <c r="C2995" s="2" t="s">
        <v>4788</v>
      </c>
      <c r="D2995" s="2" t="s">
        <v>6683</v>
      </c>
      <c r="E2995" s="2" t="str">
        <f>"9781399554817"</f>
        <v>9781399554817</v>
      </c>
      <c r="F2995" s="2" t="str">
        <f>"9781399554824"</f>
        <v>9781399554824</v>
      </c>
    </row>
    <row r="2996" spans="1:6" s="3" customFormat="1" ht="29.1" customHeight="1" x14ac:dyDescent="0.25">
      <c r="A2996" s="2" t="s">
        <v>6685</v>
      </c>
      <c r="B2996" s="2" t="s">
        <v>6686</v>
      </c>
      <c r="C2996" s="2" t="s">
        <v>55</v>
      </c>
      <c r="D2996" s="2" t="s">
        <v>1694</v>
      </c>
      <c r="E2996" s="2" t="str">
        <f>"9781526123206"</f>
        <v>9781526123206</v>
      </c>
      <c r="F2996" s="2" t="str">
        <f>"9781526123213"</f>
        <v>9781526123213</v>
      </c>
    </row>
    <row r="2997" spans="1:6" s="3" customFormat="1" ht="29.1" customHeight="1" x14ac:dyDescent="0.25">
      <c r="A2997" s="2" t="s">
        <v>6687</v>
      </c>
      <c r="B2997" s="2" t="s">
        <v>6688</v>
      </c>
      <c r="C2997" s="2" t="s">
        <v>305</v>
      </c>
      <c r="D2997" s="2" t="s">
        <v>6559</v>
      </c>
      <c r="E2997" s="2"/>
      <c r="F2997" s="2" t="str">
        <f>"9786218438064"</f>
        <v>9786218438064</v>
      </c>
    </row>
    <row r="2998" spans="1:6" s="3" customFormat="1" ht="29.1" customHeight="1" x14ac:dyDescent="0.25">
      <c r="A2998" s="2" t="s">
        <v>6689</v>
      </c>
      <c r="B2998" s="2" t="s">
        <v>6690</v>
      </c>
      <c r="C2998" s="2" t="s">
        <v>239</v>
      </c>
      <c r="D2998" s="2" t="s">
        <v>6559</v>
      </c>
      <c r="E2998" s="2" t="str">
        <f>"9780520396982"</f>
        <v>9780520396982</v>
      </c>
      <c r="F2998" s="2" t="str">
        <f>"9780520396999"</f>
        <v>9780520396999</v>
      </c>
    </row>
    <row r="2999" spans="1:6" s="3" customFormat="1" ht="29.1" customHeight="1" x14ac:dyDescent="0.25">
      <c r="A2999" s="2" t="s">
        <v>6691</v>
      </c>
      <c r="B2999" s="2" t="s">
        <v>6693</v>
      </c>
      <c r="C2999" s="2" t="s">
        <v>239</v>
      </c>
      <c r="D2999" s="2" t="s">
        <v>6692</v>
      </c>
      <c r="E2999" s="2" t="str">
        <f>"9780520405356"</f>
        <v>9780520405356</v>
      </c>
      <c r="F2999" s="2" t="str">
        <f>"9780520405363"</f>
        <v>9780520405363</v>
      </c>
    </row>
    <row r="3000" spans="1:6" s="3" customFormat="1" ht="29.1" customHeight="1" x14ac:dyDescent="0.25">
      <c r="A3000" s="2" t="s">
        <v>6694</v>
      </c>
      <c r="B3000" s="2" t="s">
        <v>6695</v>
      </c>
      <c r="C3000" s="2" t="s">
        <v>36</v>
      </c>
      <c r="D3000" s="2" t="s">
        <v>183</v>
      </c>
      <c r="E3000" s="2" t="str">
        <f>"9781529239423"</f>
        <v>9781529239423</v>
      </c>
      <c r="F3000" s="2" t="str">
        <f>"9781529239447"</f>
        <v>9781529239447</v>
      </c>
    </row>
    <row r="3001" spans="1:6" s="3" customFormat="1" ht="29.1" customHeight="1" x14ac:dyDescent="0.25">
      <c r="A3001" s="2" t="s">
        <v>6696</v>
      </c>
      <c r="B3001" s="2" t="s">
        <v>6697</v>
      </c>
      <c r="C3001" s="2" t="s">
        <v>5</v>
      </c>
      <c r="D3001" s="2" t="s">
        <v>12</v>
      </c>
      <c r="E3001" s="2" t="str">
        <f>"9789464637199"</f>
        <v>9789464637199</v>
      </c>
      <c r="F3001" s="2" t="str">
        <f>"9789464637205"</f>
        <v>9789464637205</v>
      </c>
    </row>
    <row r="3002" spans="1:6" s="3" customFormat="1" ht="29.1" customHeight="1" x14ac:dyDescent="0.25">
      <c r="A3002" s="2" t="s">
        <v>6698</v>
      </c>
      <c r="B3002" s="2" t="s">
        <v>6699</v>
      </c>
      <c r="C3002" s="2" t="s">
        <v>149</v>
      </c>
      <c r="D3002" s="2" t="s">
        <v>689</v>
      </c>
      <c r="E3002" s="2" t="str">
        <f>"9781805115106"</f>
        <v>9781805115106</v>
      </c>
      <c r="F3002" s="2" t="str">
        <f>"9781805115120"</f>
        <v>9781805115120</v>
      </c>
    </row>
    <row r="3003" spans="1:6" s="3" customFormat="1" ht="29.1" customHeight="1" x14ac:dyDescent="0.25">
      <c r="A3003" s="2" t="s">
        <v>6700</v>
      </c>
      <c r="B3003" s="2" t="s">
        <v>6701</v>
      </c>
      <c r="C3003" s="2" t="s">
        <v>149</v>
      </c>
      <c r="D3003" s="2" t="s">
        <v>128</v>
      </c>
      <c r="E3003" s="2" t="str">
        <f>"9781805114666"</f>
        <v>9781805114666</v>
      </c>
      <c r="F3003" s="2" t="str">
        <f>"9781805114680"</f>
        <v>9781805114680</v>
      </c>
    </row>
    <row r="3004" spans="1:6" s="3" customFormat="1" ht="29.1" customHeight="1" x14ac:dyDescent="0.25">
      <c r="A3004" s="2" t="s">
        <v>6702</v>
      </c>
      <c r="B3004" s="2" t="s">
        <v>6703</v>
      </c>
      <c r="C3004" s="2" t="s">
        <v>195</v>
      </c>
      <c r="D3004" s="2" t="s">
        <v>240</v>
      </c>
      <c r="E3004" s="2" t="str">
        <f>"9783111355481"</f>
        <v>9783111355481</v>
      </c>
      <c r="F3004" s="2" t="str">
        <f>"9783111694825"</f>
        <v>9783111694825</v>
      </c>
    </row>
    <row r="3005" spans="1:6" s="3" customFormat="1" ht="29.1" customHeight="1" x14ac:dyDescent="0.25">
      <c r="A3005" s="2" t="s">
        <v>6704</v>
      </c>
      <c r="B3005" s="2" t="s">
        <v>6705</v>
      </c>
      <c r="C3005" s="2" t="s">
        <v>2316</v>
      </c>
      <c r="D3005" s="2" t="s">
        <v>110</v>
      </c>
      <c r="E3005" s="2"/>
      <c r="F3005" s="2" t="str">
        <f>"9789952855852"</f>
        <v>9789952855852</v>
      </c>
    </row>
    <row r="3006" spans="1:6" s="3" customFormat="1" ht="29.1" customHeight="1" x14ac:dyDescent="0.25">
      <c r="A3006" s="2" t="s">
        <v>6706</v>
      </c>
      <c r="B3006" s="2" t="s">
        <v>6707</v>
      </c>
      <c r="C3006" s="2" t="s">
        <v>2316</v>
      </c>
      <c r="D3006" s="2" t="s">
        <v>113</v>
      </c>
      <c r="E3006" s="2"/>
      <c r="F3006" s="2" t="str">
        <f>"9789952855845"</f>
        <v>9789952855845</v>
      </c>
    </row>
    <row r="3007" spans="1:6" s="3" customFormat="1" ht="29.1" customHeight="1" x14ac:dyDescent="0.25">
      <c r="A3007" s="2" t="s">
        <v>6708</v>
      </c>
      <c r="B3007" s="2" t="s">
        <v>6710</v>
      </c>
      <c r="C3007" s="2" t="s">
        <v>2316</v>
      </c>
      <c r="D3007" s="2" t="s">
        <v>6709</v>
      </c>
      <c r="E3007" s="2"/>
      <c r="F3007" s="2" t="str">
        <f>"9789952855838"</f>
        <v>9789952855838</v>
      </c>
    </row>
    <row r="3008" spans="1:6" s="3" customFormat="1" ht="29.1" customHeight="1" x14ac:dyDescent="0.25">
      <c r="A3008" s="2" t="s">
        <v>6711</v>
      </c>
      <c r="B3008" s="2" t="s">
        <v>6712</v>
      </c>
      <c r="C3008" s="2" t="s">
        <v>2316</v>
      </c>
      <c r="D3008" s="2" t="s">
        <v>52</v>
      </c>
      <c r="E3008" s="2"/>
      <c r="F3008" s="2" t="str">
        <f>"9789952855821"</f>
        <v>9789952855821</v>
      </c>
    </row>
    <row r="3009" spans="1:6" s="3" customFormat="1" ht="29.1" customHeight="1" x14ac:dyDescent="0.25">
      <c r="A3009" s="2" t="s">
        <v>6713</v>
      </c>
      <c r="B3009" s="2" t="s">
        <v>6715</v>
      </c>
      <c r="C3009" s="2" t="s">
        <v>2316</v>
      </c>
      <c r="D3009" s="2" t="s">
        <v>6714</v>
      </c>
      <c r="E3009" s="2"/>
      <c r="F3009" s="2" t="str">
        <f>"9789952855814"</f>
        <v>9789952855814</v>
      </c>
    </row>
    <row r="3010" spans="1:6" s="3" customFormat="1" ht="29.1" customHeight="1" x14ac:dyDescent="0.25">
      <c r="A3010" s="2" t="s">
        <v>6716</v>
      </c>
      <c r="B3010" s="2" t="s">
        <v>6717</v>
      </c>
      <c r="C3010" s="2" t="s">
        <v>2316</v>
      </c>
      <c r="D3010" s="2" t="s">
        <v>3523</v>
      </c>
      <c r="E3010" s="2"/>
      <c r="F3010" s="2" t="str">
        <f>"9789952855326"</f>
        <v>9789952855326</v>
      </c>
    </row>
    <row r="3011" spans="1:6" s="3" customFormat="1" ht="29.1" customHeight="1" x14ac:dyDescent="0.25">
      <c r="A3011" s="2" t="s">
        <v>6718</v>
      </c>
      <c r="B3011" s="2" t="s">
        <v>6719</v>
      </c>
      <c r="C3011" s="2" t="s">
        <v>2316</v>
      </c>
      <c r="D3011" s="2" t="s">
        <v>2323</v>
      </c>
      <c r="E3011" s="2"/>
      <c r="F3011" s="2" t="str">
        <f>"9789952854534"</f>
        <v>9789952854534</v>
      </c>
    </row>
    <row r="3012" spans="1:6" s="3" customFormat="1" ht="29.1" customHeight="1" x14ac:dyDescent="0.25">
      <c r="A3012" s="2" t="s">
        <v>6720</v>
      </c>
      <c r="B3012" s="2" t="s">
        <v>6717</v>
      </c>
      <c r="C3012" s="2" t="s">
        <v>2316</v>
      </c>
      <c r="D3012" s="2" t="s">
        <v>3523</v>
      </c>
      <c r="E3012" s="2"/>
      <c r="F3012" s="2" t="str">
        <f>"9789952854527"</f>
        <v>9789952854527</v>
      </c>
    </row>
    <row r="3013" spans="1:6" s="3" customFormat="1" ht="29.1" customHeight="1" x14ac:dyDescent="0.25">
      <c r="A3013" s="2" t="s">
        <v>6721</v>
      </c>
      <c r="B3013" s="2" t="s">
        <v>6722</v>
      </c>
      <c r="C3013" s="2" t="s">
        <v>2242</v>
      </c>
      <c r="D3013" s="2" t="s">
        <v>868</v>
      </c>
      <c r="E3013" s="2" t="str">
        <f>"9788024465821"</f>
        <v>9788024465821</v>
      </c>
      <c r="F3013" s="2" t="str">
        <f>"9788024465838"</f>
        <v>9788024465838</v>
      </c>
    </row>
    <row r="3014" spans="1:6" s="3" customFormat="1" ht="29.1" customHeight="1" x14ac:dyDescent="0.25">
      <c r="A3014" s="2" t="s">
        <v>6723</v>
      </c>
      <c r="B3014" s="2" t="s">
        <v>6724</v>
      </c>
      <c r="C3014" s="2" t="s">
        <v>5</v>
      </c>
      <c r="D3014" s="2" t="s">
        <v>3304</v>
      </c>
      <c r="E3014" s="2" t="str">
        <f>"9789819654307"</f>
        <v>9789819654307</v>
      </c>
      <c r="F3014" s="2" t="str">
        <f>"9789819654314"</f>
        <v>9789819654314</v>
      </c>
    </row>
    <row r="3015" spans="1:6" s="3" customFormat="1" ht="29.1" customHeight="1" x14ac:dyDescent="0.25">
      <c r="A3015" s="2" t="s">
        <v>6725</v>
      </c>
      <c r="B3015" s="2" t="s">
        <v>6726</v>
      </c>
      <c r="C3015" s="2" t="s">
        <v>5</v>
      </c>
      <c r="D3015" s="2" t="s">
        <v>1888</v>
      </c>
      <c r="E3015" s="2" t="str">
        <f>"9783031913235"</f>
        <v>9783031913235</v>
      </c>
      <c r="F3015" s="2" t="str">
        <f>"9783031913242"</f>
        <v>9783031913242</v>
      </c>
    </row>
    <row r="3016" spans="1:6" s="3" customFormat="1" ht="29.1" customHeight="1" x14ac:dyDescent="0.25">
      <c r="A3016" s="2" t="s">
        <v>6727</v>
      </c>
      <c r="B3016" s="2" t="s">
        <v>6728</v>
      </c>
      <c r="C3016" s="2" t="s">
        <v>248</v>
      </c>
      <c r="D3016" s="2" t="s">
        <v>553</v>
      </c>
      <c r="E3016" s="2" t="str">
        <f>"9783847430469"</f>
        <v>9783847430469</v>
      </c>
      <c r="F3016" s="2" t="str">
        <f>"9783847419808"</f>
        <v>9783847419808</v>
      </c>
    </row>
    <row r="3017" spans="1:6" s="3" customFormat="1" ht="29.1" customHeight="1" x14ac:dyDescent="0.25">
      <c r="A3017" s="2" t="s">
        <v>6729</v>
      </c>
      <c r="B3017" s="2" t="s">
        <v>6730</v>
      </c>
      <c r="C3017" s="2" t="s">
        <v>248</v>
      </c>
      <c r="D3017" s="2" t="s">
        <v>1416</v>
      </c>
      <c r="E3017" s="2" t="str">
        <f>"9783847431138"</f>
        <v>9783847431138</v>
      </c>
      <c r="F3017" s="2" t="str">
        <f>"9783847432487"</f>
        <v>9783847432487</v>
      </c>
    </row>
    <row r="3018" spans="1:6" s="3" customFormat="1" ht="29.1" customHeight="1" x14ac:dyDescent="0.25">
      <c r="A3018" s="2" t="s">
        <v>6731</v>
      </c>
      <c r="B3018" s="2" t="s">
        <v>6732</v>
      </c>
      <c r="C3018" s="2" t="s">
        <v>248</v>
      </c>
      <c r="D3018" s="2" t="s">
        <v>1162</v>
      </c>
      <c r="E3018" s="2" t="str">
        <f>"9783847431473"</f>
        <v>9783847431473</v>
      </c>
      <c r="F3018" s="2" t="str">
        <f>"9783847432845"</f>
        <v>9783847432845</v>
      </c>
    </row>
    <row r="3019" spans="1:6" s="3" customFormat="1" ht="29.1" customHeight="1" x14ac:dyDescent="0.25">
      <c r="A3019" s="2" t="s">
        <v>6733</v>
      </c>
      <c r="B3019" s="2" t="s">
        <v>6734</v>
      </c>
      <c r="C3019" s="2" t="s">
        <v>248</v>
      </c>
      <c r="D3019" s="2" t="s">
        <v>249</v>
      </c>
      <c r="E3019" s="2" t="str">
        <f>"9783847431213"</f>
        <v>9783847431213</v>
      </c>
      <c r="F3019" s="2" t="str">
        <f>"9783847432562"</f>
        <v>9783847432562</v>
      </c>
    </row>
    <row r="3020" spans="1:6" s="3" customFormat="1" ht="29.1" customHeight="1" x14ac:dyDescent="0.25">
      <c r="A3020" s="2" t="s">
        <v>6735</v>
      </c>
      <c r="B3020" s="2" t="s">
        <v>6736</v>
      </c>
      <c r="C3020" s="2" t="s">
        <v>248</v>
      </c>
      <c r="D3020" s="2" t="s">
        <v>24</v>
      </c>
      <c r="E3020" s="2" t="str">
        <f>"9783847431121"</f>
        <v>9783847431121</v>
      </c>
      <c r="F3020" s="2" t="str">
        <f>"9783847432470"</f>
        <v>9783847432470</v>
      </c>
    </row>
    <row r="3021" spans="1:6" s="3" customFormat="1" ht="29.1" customHeight="1" x14ac:dyDescent="0.25">
      <c r="A3021" s="2" t="s">
        <v>6737</v>
      </c>
      <c r="B3021" s="2" t="s">
        <v>6738</v>
      </c>
      <c r="C3021" s="2" t="s">
        <v>5</v>
      </c>
      <c r="D3021" s="2" t="s">
        <v>3817</v>
      </c>
      <c r="E3021" s="2" t="str">
        <f>"9789464637076"</f>
        <v>9789464637076</v>
      </c>
      <c r="F3021" s="2" t="str">
        <f>"9789464637083"</f>
        <v>9789464637083</v>
      </c>
    </row>
    <row r="3022" spans="1:6" s="3" customFormat="1" ht="29.1" customHeight="1" x14ac:dyDescent="0.25">
      <c r="A3022" s="2" t="s">
        <v>6739</v>
      </c>
      <c r="B3022" s="2" t="s">
        <v>6740</v>
      </c>
      <c r="C3022" s="2" t="s">
        <v>149</v>
      </c>
      <c r="D3022" s="2" t="s">
        <v>1902</v>
      </c>
      <c r="E3022" s="2" t="str">
        <f>"9781917341042"</f>
        <v>9781917341042</v>
      </c>
      <c r="F3022" s="2" t="str">
        <f>"9781917341073"</f>
        <v>9781917341073</v>
      </c>
    </row>
    <row r="3023" spans="1:6" s="3" customFormat="1" ht="29.1" customHeight="1" x14ac:dyDescent="0.25">
      <c r="A3023" s="2" t="s">
        <v>6741</v>
      </c>
      <c r="B3023" s="2" t="s">
        <v>6742</v>
      </c>
      <c r="C3023" s="2" t="s">
        <v>149</v>
      </c>
      <c r="D3023" s="2" t="s">
        <v>465</v>
      </c>
      <c r="E3023" s="2" t="str">
        <f>"9781805115519"</f>
        <v>9781805115519</v>
      </c>
      <c r="F3023" s="2" t="str">
        <f>"9781805115533"</f>
        <v>9781805115533</v>
      </c>
    </row>
    <row r="3024" spans="1:6" s="3" customFormat="1" ht="29.1" customHeight="1" x14ac:dyDescent="0.25">
      <c r="A3024" s="2" t="s">
        <v>6743</v>
      </c>
      <c r="B3024" s="2" t="s">
        <v>6745</v>
      </c>
      <c r="C3024" s="2" t="s">
        <v>149</v>
      </c>
      <c r="D3024" s="2" t="s">
        <v>6744</v>
      </c>
      <c r="E3024" s="2" t="str">
        <f>"9781805115304"</f>
        <v>9781805115304</v>
      </c>
      <c r="F3024" s="2" t="str">
        <f>"9781805115328"</f>
        <v>9781805115328</v>
      </c>
    </row>
    <row r="3025" spans="1:6" s="3" customFormat="1" ht="29.1" customHeight="1" x14ac:dyDescent="0.25">
      <c r="A3025" s="2" t="s">
        <v>6746</v>
      </c>
      <c r="B3025" s="2" t="s">
        <v>6747</v>
      </c>
      <c r="C3025" s="2" t="s">
        <v>149</v>
      </c>
      <c r="D3025" s="2" t="s">
        <v>3993</v>
      </c>
      <c r="E3025" s="2" t="str">
        <f>"9781805114437"</f>
        <v>9781805114437</v>
      </c>
      <c r="F3025" s="2" t="str">
        <f>"9781805114451"</f>
        <v>9781805114451</v>
      </c>
    </row>
    <row r="3026" spans="1:6" s="3" customFormat="1" ht="29.1" customHeight="1" x14ac:dyDescent="0.25">
      <c r="A3026" s="2" t="s">
        <v>6748</v>
      </c>
      <c r="B3026" s="2" t="s">
        <v>6749</v>
      </c>
      <c r="C3026" s="2" t="s">
        <v>149</v>
      </c>
      <c r="D3026" s="2" t="s">
        <v>636</v>
      </c>
      <c r="E3026" s="2" t="str">
        <f>"9781685712488"</f>
        <v>9781685712488</v>
      </c>
      <c r="F3026" s="2" t="str">
        <f>"9781685712495"</f>
        <v>9781685712495</v>
      </c>
    </row>
    <row r="3027" spans="1:6" s="3" customFormat="1" ht="29.1" customHeight="1" x14ac:dyDescent="0.25">
      <c r="A3027" s="2" t="s">
        <v>6750</v>
      </c>
      <c r="B3027" s="2" t="s">
        <v>6751</v>
      </c>
      <c r="C3027" s="2" t="s">
        <v>149</v>
      </c>
      <c r="D3027" s="2" t="s">
        <v>712</v>
      </c>
      <c r="E3027" s="2" t="str">
        <f>"9781805115007"</f>
        <v>9781805115007</v>
      </c>
      <c r="F3027" s="2" t="str">
        <f>"9781805115021"</f>
        <v>9781805115021</v>
      </c>
    </row>
    <row r="3028" spans="1:6" s="3" customFormat="1" ht="29.1" customHeight="1" x14ac:dyDescent="0.25">
      <c r="A3028" s="2" t="s">
        <v>6752</v>
      </c>
      <c r="B3028" s="2" t="s">
        <v>6753</v>
      </c>
      <c r="C3028" s="2" t="s">
        <v>36</v>
      </c>
      <c r="D3028" s="2" t="s">
        <v>6559</v>
      </c>
      <c r="E3028" s="2"/>
      <c r="F3028" s="2" t="str">
        <f>"9781529246544"</f>
        <v>9781529246544</v>
      </c>
    </row>
    <row r="3029" spans="1:6" s="3" customFormat="1" ht="29.1" customHeight="1" x14ac:dyDescent="0.25">
      <c r="A3029" s="2" t="s">
        <v>6754</v>
      </c>
      <c r="B3029" s="2" t="s">
        <v>6755</v>
      </c>
      <c r="C3029" s="2" t="s">
        <v>36</v>
      </c>
      <c r="D3029" s="2" t="s">
        <v>4190</v>
      </c>
      <c r="E3029" s="2"/>
      <c r="F3029" s="2" t="str">
        <f>"9781529231588"</f>
        <v>9781529231588</v>
      </c>
    </row>
    <row r="3030" spans="1:6" s="3" customFormat="1" ht="29.1" customHeight="1" x14ac:dyDescent="0.25">
      <c r="A3030" s="2" t="s">
        <v>6756</v>
      </c>
      <c r="B3030" s="2" t="s">
        <v>6757</v>
      </c>
      <c r="C3030" s="2" t="s">
        <v>5</v>
      </c>
      <c r="D3030" s="2" t="s">
        <v>9</v>
      </c>
      <c r="E3030" s="2" t="str">
        <f>"9782384763979"</f>
        <v>9782384763979</v>
      </c>
      <c r="F3030" s="2" t="str">
        <f>"9782384763986"</f>
        <v>9782384763986</v>
      </c>
    </row>
    <row r="3031" spans="1:6" s="3" customFormat="1" ht="29.1" customHeight="1" x14ac:dyDescent="0.25">
      <c r="A3031" s="2" t="s">
        <v>6758</v>
      </c>
      <c r="B3031" s="2" t="s">
        <v>6759</v>
      </c>
      <c r="C3031" s="2" t="s">
        <v>5</v>
      </c>
      <c r="D3031" s="2" t="s">
        <v>186</v>
      </c>
      <c r="E3031" s="2" t="str">
        <f>"9789464637052"</f>
        <v>9789464637052</v>
      </c>
      <c r="F3031" s="2" t="str">
        <f>"9789464637069"</f>
        <v>9789464637069</v>
      </c>
    </row>
    <row r="3032" spans="1:6" s="3" customFormat="1" ht="29.1" customHeight="1" x14ac:dyDescent="0.25">
      <c r="A3032" s="2" t="s">
        <v>6760</v>
      </c>
      <c r="B3032" s="2" t="s">
        <v>6761</v>
      </c>
      <c r="C3032" s="2" t="s">
        <v>5</v>
      </c>
      <c r="D3032" s="2" t="s">
        <v>490</v>
      </c>
      <c r="E3032" s="2" t="str">
        <f>"9783658472535"</f>
        <v>9783658472535</v>
      </c>
      <c r="F3032" s="2" t="str">
        <f>"9783658472542"</f>
        <v>9783658472542</v>
      </c>
    </row>
    <row r="3033" spans="1:6" s="3" customFormat="1" ht="29.1" customHeight="1" x14ac:dyDescent="0.25">
      <c r="A3033" s="2" t="s">
        <v>6762</v>
      </c>
      <c r="B3033" s="2" t="s">
        <v>6763</v>
      </c>
      <c r="C3033" s="2" t="s">
        <v>556</v>
      </c>
      <c r="D3033" s="2" t="s">
        <v>1422</v>
      </c>
      <c r="E3033" s="2" t="str">
        <f>"9783837675245"</f>
        <v>9783837675245</v>
      </c>
      <c r="F3033" s="2" t="str">
        <f>"9783839475249"</f>
        <v>9783839475249</v>
      </c>
    </row>
    <row r="3034" spans="1:6" s="3" customFormat="1" ht="29.1" customHeight="1" x14ac:dyDescent="0.25">
      <c r="A3034" s="2" t="s">
        <v>6764</v>
      </c>
      <c r="B3034" s="2" t="s">
        <v>6765</v>
      </c>
      <c r="C3034" s="2" t="s">
        <v>556</v>
      </c>
      <c r="D3034" s="2" t="s">
        <v>490</v>
      </c>
      <c r="E3034" s="2" t="str">
        <f>"9783837673746"</f>
        <v>9783837673746</v>
      </c>
      <c r="F3034" s="2" t="str">
        <f>"9783839473740"</f>
        <v>9783839473740</v>
      </c>
    </row>
    <row r="3035" spans="1:6" s="3" customFormat="1" ht="29.1" customHeight="1" x14ac:dyDescent="0.25">
      <c r="A3035" s="2" t="s">
        <v>6766</v>
      </c>
      <c r="B3035" s="2" t="s">
        <v>6768</v>
      </c>
      <c r="C3035" s="2" t="s">
        <v>556</v>
      </c>
      <c r="D3035" s="2" t="s">
        <v>6767</v>
      </c>
      <c r="E3035" s="2" t="str">
        <f>"9783837674781"</f>
        <v>9783837674781</v>
      </c>
      <c r="F3035" s="2" t="str">
        <f>"9783839474785"</f>
        <v>9783839474785</v>
      </c>
    </row>
    <row r="3036" spans="1:6" s="3" customFormat="1" ht="29.1" customHeight="1" x14ac:dyDescent="0.25">
      <c r="A3036" s="2" t="s">
        <v>6769</v>
      </c>
      <c r="B3036" s="2" t="s">
        <v>6770</v>
      </c>
      <c r="C3036" s="2" t="s">
        <v>556</v>
      </c>
      <c r="D3036" s="2" t="s">
        <v>712</v>
      </c>
      <c r="E3036" s="2" t="str">
        <f>"9783837676778"</f>
        <v>9783837676778</v>
      </c>
      <c r="F3036" s="2" t="str">
        <f>"9783839476772"</f>
        <v>9783839476772</v>
      </c>
    </row>
    <row r="3037" spans="1:6" s="3" customFormat="1" ht="29.1" customHeight="1" x14ac:dyDescent="0.25">
      <c r="A3037" s="2" t="s">
        <v>6771</v>
      </c>
      <c r="B3037" s="2" t="s">
        <v>6772</v>
      </c>
      <c r="C3037" s="2" t="s">
        <v>556</v>
      </c>
      <c r="D3037" s="2" t="s">
        <v>218</v>
      </c>
      <c r="E3037" s="2" t="str">
        <f>"9783837673913"</f>
        <v>9783837673913</v>
      </c>
      <c r="F3037" s="2" t="str">
        <f>"9783839473917"</f>
        <v>9783839473917</v>
      </c>
    </row>
    <row r="3038" spans="1:6" s="3" customFormat="1" ht="29.1" customHeight="1" x14ac:dyDescent="0.25">
      <c r="A3038" s="2" t="s">
        <v>6774</v>
      </c>
      <c r="B3038" s="2" t="s">
        <v>6775</v>
      </c>
      <c r="C3038" s="2" t="s">
        <v>556</v>
      </c>
      <c r="D3038" s="2" t="s">
        <v>3214</v>
      </c>
      <c r="E3038" s="2" t="str">
        <f>"9783837672312"</f>
        <v>9783837672312</v>
      </c>
      <c r="F3038" s="2" t="str">
        <f>"9783839472316"</f>
        <v>9783839472316</v>
      </c>
    </row>
    <row r="3039" spans="1:6" s="3" customFormat="1" ht="29.1" customHeight="1" x14ac:dyDescent="0.25">
      <c r="A3039" s="2" t="s">
        <v>6776</v>
      </c>
      <c r="B3039" s="2" t="s">
        <v>6777</v>
      </c>
      <c r="C3039" s="2" t="s">
        <v>556</v>
      </c>
      <c r="D3039" s="2" t="s">
        <v>2781</v>
      </c>
      <c r="E3039" s="2" t="str">
        <f>"9783837672596"</f>
        <v>9783837672596</v>
      </c>
      <c r="F3039" s="2" t="str">
        <f>"9783839472590"</f>
        <v>9783839472590</v>
      </c>
    </row>
    <row r="3040" spans="1:6" s="3" customFormat="1" ht="29.1" customHeight="1" x14ac:dyDescent="0.25">
      <c r="A3040" s="2" t="s">
        <v>6778</v>
      </c>
      <c r="B3040" s="2" t="s">
        <v>6779</v>
      </c>
      <c r="C3040" s="2" t="s">
        <v>556</v>
      </c>
      <c r="D3040" s="2" t="s">
        <v>1927</v>
      </c>
      <c r="E3040" s="2" t="str">
        <f>"9783837671117"</f>
        <v>9783837671117</v>
      </c>
      <c r="F3040" s="2" t="str">
        <f>"9783839471111"</f>
        <v>9783839471111</v>
      </c>
    </row>
    <row r="3041" spans="1:6" s="3" customFormat="1" ht="29.1" customHeight="1" x14ac:dyDescent="0.25">
      <c r="A3041" s="2" t="s">
        <v>6780</v>
      </c>
      <c r="B3041" s="2" t="s">
        <v>6781</v>
      </c>
      <c r="C3041" s="2" t="s">
        <v>556</v>
      </c>
      <c r="D3041" s="2" t="s">
        <v>699</v>
      </c>
      <c r="E3041" s="2" t="str">
        <f>"9783837678437"</f>
        <v>9783837678437</v>
      </c>
      <c r="F3041" s="2" t="str">
        <f>"9783839416617"</f>
        <v>9783839416617</v>
      </c>
    </row>
    <row r="3042" spans="1:6" s="3" customFormat="1" ht="29.1" customHeight="1" x14ac:dyDescent="0.25">
      <c r="A3042" s="2" t="s">
        <v>6782</v>
      </c>
      <c r="B3042" s="2" t="s">
        <v>6783</v>
      </c>
      <c r="C3042" s="2" t="s">
        <v>556</v>
      </c>
      <c r="D3042" s="2" t="s">
        <v>2086</v>
      </c>
      <c r="E3042" s="2" t="str">
        <f>"9783837670561"</f>
        <v>9783837670561</v>
      </c>
      <c r="F3042" s="2" t="str">
        <f>"9783839470565"</f>
        <v>9783839470565</v>
      </c>
    </row>
    <row r="3043" spans="1:6" s="3" customFormat="1" ht="29.1" customHeight="1" x14ac:dyDescent="0.25">
      <c r="A3043" s="2" t="s">
        <v>6784</v>
      </c>
      <c r="B3043" s="2" t="s">
        <v>6785</v>
      </c>
      <c r="C3043" s="2" t="s">
        <v>556</v>
      </c>
      <c r="D3043" s="2" t="s">
        <v>1059</v>
      </c>
      <c r="E3043" s="2" t="str">
        <f>"9783837657234"</f>
        <v>9783837657234</v>
      </c>
      <c r="F3043" s="2" t="str">
        <f>"9783839400319"</f>
        <v>9783839400319</v>
      </c>
    </row>
    <row r="3044" spans="1:6" s="3" customFormat="1" ht="29.1" customHeight="1" x14ac:dyDescent="0.25">
      <c r="A3044" s="2" t="s">
        <v>6786</v>
      </c>
      <c r="B3044" s="2" t="s">
        <v>6787</v>
      </c>
      <c r="C3044" s="2" t="s">
        <v>556</v>
      </c>
      <c r="D3044" s="2" t="s">
        <v>490</v>
      </c>
      <c r="E3044" s="2" t="str">
        <f>"9783837675528"</f>
        <v>9783837675528</v>
      </c>
      <c r="F3044" s="2" t="str">
        <f>"9783839475522"</f>
        <v>9783839475522</v>
      </c>
    </row>
    <row r="3045" spans="1:6" s="3" customFormat="1" ht="29.1" customHeight="1" x14ac:dyDescent="0.25">
      <c r="A3045" s="2" t="s">
        <v>6788</v>
      </c>
      <c r="B3045" s="2" t="s">
        <v>6789</v>
      </c>
      <c r="C3045" s="2" t="s">
        <v>556</v>
      </c>
      <c r="D3045" s="2" t="s">
        <v>1189</v>
      </c>
      <c r="E3045" s="2" t="str">
        <f>"9783837674408"</f>
        <v>9783837674408</v>
      </c>
      <c r="F3045" s="2" t="str">
        <f>"9783839474402"</f>
        <v>9783839474402</v>
      </c>
    </row>
    <row r="3046" spans="1:6" s="3" customFormat="1" ht="29.1" customHeight="1" x14ac:dyDescent="0.25">
      <c r="A3046" s="2" t="s">
        <v>6790</v>
      </c>
      <c r="B3046" s="2" t="s">
        <v>6791</v>
      </c>
      <c r="C3046" s="2" t="s">
        <v>556</v>
      </c>
      <c r="D3046" s="2" t="s">
        <v>202</v>
      </c>
      <c r="E3046" s="2" t="str">
        <f>"9783899424409"</f>
        <v>9783899424409</v>
      </c>
      <c r="F3046" s="2" t="str">
        <f>"9783839419441"</f>
        <v>9783839419441</v>
      </c>
    </row>
    <row r="3047" spans="1:6" s="3" customFormat="1" ht="29.1" customHeight="1" x14ac:dyDescent="0.25">
      <c r="A3047" s="2" t="s">
        <v>6792</v>
      </c>
      <c r="B3047" s="2" t="s">
        <v>6793</v>
      </c>
      <c r="C3047" s="2" t="s">
        <v>556</v>
      </c>
      <c r="D3047" s="2" t="s">
        <v>1043</v>
      </c>
      <c r="E3047" s="2" t="str">
        <f>"9783837676709"</f>
        <v>9783837676709</v>
      </c>
      <c r="F3047" s="2" t="str">
        <f>"9783839476703"</f>
        <v>9783839476703</v>
      </c>
    </row>
    <row r="3048" spans="1:6" s="3" customFormat="1" ht="29.1" customHeight="1" x14ac:dyDescent="0.25">
      <c r="A3048" s="2" t="s">
        <v>6794</v>
      </c>
      <c r="B3048" s="2" t="s">
        <v>6796</v>
      </c>
      <c r="C3048" s="2" t="s">
        <v>556</v>
      </c>
      <c r="D3048" s="2" t="s">
        <v>6795</v>
      </c>
      <c r="E3048" s="2" t="str">
        <f>"9783837676662"</f>
        <v>9783837676662</v>
      </c>
      <c r="F3048" s="2" t="str">
        <f>"9783839476666"</f>
        <v>9783839476666</v>
      </c>
    </row>
    <row r="3049" spans="1:6" s="3" customFormat="1" ht="29.1" customHeight="1" x14ac:dyDescent="0.25">
      <c r="A3049" s="2" t="s">
        <v>6797</v>
      </c>
      <c r="B3049" s="2" t="s">
        <v>6799</v>
      </c>
      <c r="C3049" s="2" t="s">
        <v>556</v>
      </c>
      <c r="D3049" s="2" t="s">
        <v>6798</v>
      </c>
      <c r="E3049" s="2" t="str">
        <f>"9783837674286"</f>
        <v>9783837674286</v>
      </c>
      <c r="F3049" s="2" t="str">
        <f>"9783732874286"</f>
        <v>9783732874286</v>
      </c>
    </row>
    <row r="3050" spans="1:6" s="3" customFormat="1" ht="29.1" customHeight="1" x14ac:dyDescent="0.25">
      <c r="A3050" s="2" t="s">
        <v>6800</v>
      </c>
      <c r="B3050" s="2" t="s">
        <v>6801</v>
      </c>
      <c r="C3050" s="2" t="s">
        <v>556</v>
      </c>
      <c r="D3050" s="2" t="s">
        <v>550</v>
      </c>
      <c r="E3050" s="2" t="str">
        <f>"9783837675160"</f>
        <v>9783837675160</v>
      </c>
      <c r="F3050" s="2" t="str">
        <f>"9783839475164"</f>
        <v>9783839475164</v>
      </c>
    </row>
    <row r="3051" spans="1:6" s="3" customFormat="1" ht="29.1" customHeight="1" x14ac:dyDescent="0.25">
      <c r="A3051" s="2" t="s">
        <v>6802</v>
      </c>
      <c r="B3051" s="2" t="s">
        <v>6803</v>
      </c>
      <c r="C3051" s="2" t="s">
        <v>556</v>
      </c>
      <c r="D3051" s="2" t="s">
        <v>1585</v>
      </c>
      <c r="E3051" s="2" t="str">
        <f>"9783837676259"</f>
        <v>9783837676259</v>
      </c>
      <c r="F3051" s="2" t="str">
        <f>"9783839476253"</f>
        <v>9783839476253</v>
      </c>
    </row>
    <row r="3052" spans="1:6" s="3" customFormat="1" ht="29.1" customHeight="1" x14ac:dyDescent="0.25">
      <c r="A3052" s="2" t="s">
        <v>6804</v>
      </c>
      <c r="B3052" s="2" t="s">
        <v>6805</v>
      </c>
      <c r="C3052" s="2" t="s">
        <v>5</v>
      </c>
      <c r="D3052" s="2" t="s">
        <v>468</v>
      </c>
      <c r="E3052" s="2" t="str">
        <f>"9783031825828"</f>
        <v>9783031825828</v>
      </c>
      <c r="F3052" s="2" t="str">
        <f>"9783031825835"</f>
        <v>9783031825835</v>
      </c>
    </row>
    <row r="3053" spans="1:6" s="3" customFormat="1" ht="29.1" customHeight="1" x14ac:dyDescent="0.25">
      <c r="A3053" s="2" t="s">
        <v>6806</v>
      </c>
      <c r="B3053" s="2" t="s">
        <v>6807</v>
      </c>
      <c r="C3053" s="2" t="s">
        <v>5</v>
      </c>
      <c r="D3053" s="2" t="s">
        <v>674</v>
      </c>
      <c r="E3053" s="2" t="str">
        <f>"9783031768408"</f>
        <v>9783031768408</v>
      </c>
      <c r="F3053" s="2" t="str">
        <f>"9783031768415"</f>
        <v>9783031768415</v>
      </c>
    </row>
    <row r="3054" spans="1:6" s="3" customFormat="1" ht="29.1" customHeight="1" x14ac:dyDescent="0.25">
      <c r="A3054" s="2" t="s">
        <v>6808</v>
      </c>
      <c r="B3054" s="2" t="s">
        <v>6809</v>
      </c>
      <c r="C3054" s="2" t="s">
        <v>595</v>
      </c>
      <c r="D3054" s="2" t="s">
        <v>24</v>
      </c>
      <c r="E3054" s="2" t="str">
        <f>"9783631910160"</f>
        <v>9783631910160</v>
      </c>
      <c r="F3054" s="2" t="str">
        <f>"9783631910177"</f>
        <v>9783631910177</v>
      </c>
    </row>
    <row r="3055" spans="1:6" s="3" customFormat="1" ht="29.1" customHeight="1" x14ac:dyDescent="0.25">
      <c r="A3055" s="2" t="s">
        <v>6810</v>
      </c>
      <c r="B3055" s="2" t="s">
        <v>6811</v>
      </c>
      <c r="C3055" s="2" t="s">
        <v>5</v>
      </c>
      <c r="D3055" s="2" t="s">
        <v>141</v>
      </c>
      <c r="E3055" s="2" t="str">
        <f>"9789464636956"</f>
        <v>9789464636956</v>
      </c>
      <c r="F3055" s="2" t="str">
        <f>"9789464636963"</f>
        <v>9789464636963</v>
      </c>
    </row>
    <row r="3056" spans="1:6" s="3" customFormat="1" ht="29.1" customHeight="1" x14ac:dyDescent="0.25">
      <c r="A3056" s="2" t="s">
        <v>6812</v>
      </c>
      <c r="B3056" s="2" t="s">
        <v>6813</v>
      </c>
      <c r="C3056" s="2" t="s">
        <v>62</v>
      </c>
      <c r="D3056" s="2" t="s">
        <v>6461</v>
      </c>
      <c r="E3056" s="2" t="str">
        <f>"9783428194292"</f>
        <v>9783428194292</v>
      </c>
      <c r="F3056" s="2" t="str">
        <f>"9783428594290"</f>
        <v>9783428594290</v>
      </c>
    </row>
    <row r="3057" spans="1:6" s="3" customFormat="1" ht="29.1" customHeight="1" x14ac:dyDescent="0.25">
      <c r="A3057" s="2" t="s">
        <v>6814</v>
      </c>
      <c r="B3057" s="2" t="s">
        <v>6815</v>
      </c>
      <c r="C3057" s="2" t="s">
        <v>927</v>
      </c>
      <c r="D3057" s="2" t="s">
        <v>270</v>
      </c>
      <c r="E3057" s="2" t="str">
        <f>"9780472057443"</f>
        <v>9780472057443</v>
      </c>
      <c r="F3057" s="2" t="str">
        <f>"9780472905034"</f>
        <v>9780472905034</v>
      </c>
    </row>
    <row r="3058" spans="1:6" s="3" customFormat="1" ht="29.1" customHeight="1" x14ac:dyDescent="0.25">
      <c r="A3058" s="2" t="s">
        <v>6816</v>
      </c>
      <c r="B3058" s="2" t="s">
        <v>6817</v>
      </c>
      <c r="C3058" s="2" t="s">
        <v>195</v>
      </c>
      <c r="D3058" s="2" t="s">
        <v>459</v>
      </c>
      <c r="E3058" s="2" t="str">
        <f>"9783111390550"</f>
        <v>9783111390550</v>
      </c>
      <c r="F3058" s="2" t="str">
        <f>"9783111390628"</f>
        <v>9783111390628</v>
      </c>
    </row>
    <row r="3059" spans="1:6" s="3" customFormat="1" ht="29.1" customHeight="1" x14ac:dyDescent="0.25">
      <c r="A3059" s="2" t="s">
        <v>6818</v>
      </c>
      <c r="B3059" s="2" t="s">
        <v>6819</v>
      </c>
      <c r="C3059" s="2" t="s">
        <v>5</v>
      </c>
      <c r="D3059" s="2" t="s">
        <v>12</v>
      </c>
      <c r="E3059" s="2" t="str">
        <f>"9789464637137"</f>
        <v>9789464637137</v>
      </c>
      <c r="F3059" s="2" t="str">
        <f>"9789464637144"</f>
        <v>9789464637144</v>
      </c>
    </row>
    <row r="3060" spans="1:6" s="3" customFormat="1" ht="29.1" customHeight="1" x14ac:dyDescent="0.25">
      <c r="A3060" s="2" t="s">
        <v>6820</v>
      </c>
      <c r="B3060" s="2" t="s">
        <v>6821</v>
      </c>
      <c r="C3060" s="2" t="s">
        <v>5</v>
      </c>
      <c r="D3060" s="2" t="s">
        <v>650</v>
      </c>
      <c r="E3060" s="2" t="str">
        <f>"9783031783494"</f>
        <v>9783031783494</v>
      </c>
      <c r="F3060" s="2" t="str">
        <f>"9783031783500"</f>
        <v>9783031783500</v>
      </c>
    </row>
    <row r="3061" spans="1:6" s="3" customFormat="1" ht="29.1" customHeight="1" x14ac:dyDescent="0.25">
      <c r="A3061" s="2" t="s">
        <v>6822</v>
      </c>
      <c r="B3061" s="2" t="s">
        <v>6823</v>
      </c>
      <c r="C3061" s="2" t="s">
        <v>5</v>
      </c>
      <c r="D3061" s="2" t="s">
        <v>141</v>
      </c>
      <c r="E3061" s="2" t="str">
        <f>"9789464637014"</f>
        <v>9789464637014</v>
      </c>
      <c r="F3061" s="2" t="str">
        <f>"9789464637021"</f>
        <v>9789464637021</v>
      </c>
    </row>
    <row r="3062" spans="1:6" s="3" customFormat="1" ht="29.1" customHeight="1" x14ac:dyDescent="0.25">
      <c r="A3062" s="2" t="s">
        <v>6824</v>
      </c>
      <c r="B3062" s="2" t="s">
        <v>6825</v>
      </c>
      <c r="C3062" s="2" t="s">
        <v>5</v>
      </c>
      <c r="D3062" s="2" t="s">
        <v>15</v>
      </c>
      <c r="E3062" s="2" t="str">
        <f>"9783031859908"</f>
        <v>9783031859908</v>
      </c>
      <c r="F3062" s="2" t="str">
        <f>"9783031859915"</f>
        <v>9783031859915</v>
      </c>
    </row>
    <row r="3063" spans="1:6" s="3" customFormat="1" ht="29.1" customHeight="1" x14ac:dyDescent="0.25">
      <c r="A3063" s="2" t="s">
        <v>6826</v>
      </c>
      <c r="B3063" s="2" t="s">
        <v>6827</v>
      </c>
      <c r="C3063" s="2" t="s">
        <v>5</v>
      </c>
      <c r="D3063" s="2" t="s">
        <v>689</v>
      </c>
      <c r="E3063" s="2" t="str">
        <f>"9783031852473"</f>
        <v>9783031852473</v>
      </c>
      <c r="F3063" s="2" t="str">
        <f>"9783031852480"</f>
        <v>9783031852480</v>
      </c>
    </row>
    <row r="3064" spans="1:6" s="3" customFormat="1" ht="29.1" customHeight="1" x14ac:dyDescent="0.25">
      <c r="A3064" s="2" t="s">
        <v>888</v>
      </c>
      <c r="B3064" s="2" t="s">
        <v>890</v>
      </c>
      <c r="C3064" s="2" t="s">
        <v>5</v>
      </c>
      <c r="D3064" s="2" t="s">
        <v>889</v>
      </c>
      <c r="E3064" s="2" t="str">
        <f>"9783031894435"</f>
        <v>9783031894435</v>
      </c>
      <c r="F3064" s="2" t="str">
        <f>"9783031894442"</f>
        <v>9783031894442</v>
      </c>
    </row>
    <row r="3065" spans="1:6" s="3" customFormat="1" ht="29.1" customHeight="1" x14ac:dyDescent="0.25">
      <c r="A3065" s="2" t="s">
        <v>6828</v>
      </c>
      <c r="B3065" s="2" t="s">
        <v>6830</v>
      </c>
      <c r="C3065" s="2" t="s">
        <v>5</v>
      </c>
      <c r="D3065" s="2" t="s">
        <v>6829</v>
      </c>
      <c r="E3065" s="2" t="str">
        <f>"9783031832536"</f>
        <v>9783031832536</v>
      </c>
      <c r="F3065" s="2" t="str">
        <f>"9783031832543"</f>
        <v>9783031832543</v>
      </c>
    </row>
    <row r="3066" spans="1:6" s="3" customFormat="1" ht="29.1" customHeight="1" x14ac:dyDescent="0.25">
      <c r="A3066" s="2" t="s">
        <v>6831</v>
      </c>
      <c r="B3066" s="2" t="s">
        <v>6832</v>
      </c>
      <c r="C3066" s="2" t="s">
        <v>2133</v>
      </c>
      <c r="D3066" s="2" t="s">
        <v>189</v>
      </c>
      <c r="E3066" s="2" t="str">
        <f>"9781760466817"</f>
        <v>9781760466817</v>
      </c>
      <c r="F3066" s="2" t="str">
        <f>"9781760466824"</f>
        <v>9781760466824</v>
      </c>
    </row>
    <row r="3067" spans="1:6" s="3" customFormat="1" ht="29.1" customHeight="1" x14ac:dyDescent="0.25">
      <c r="A3067" s="2" t="s">
        <v>6833</v>
      </c>
      <c r="B3067" s="2" t="s">
        <v>6834</v>
      </c>
      <c r="C3067" s="2" t="s">
        <v>6834</v>
      </c>
      <c r="D3067" s="2" t="s">
        <v>6835</v>
      </c>
      <c r="E3067" s="2"/>
      <c r="F3067" s="2"/>
    </row>
    <row r="3068" spans="1:6" s="3" customFormat="1" ht="29.1" customHeight="1" x14ac:dyDescent="0.25">
      <c r="A3068" s="2" t="s">
        <v>6836</v>
      </c>
      <c r="B3068" s="2" t="s">
        <v>6834</v>
      </c>
      <c r="C3068" s="2" t="s">
        <v>6834</v>
      </c>
      <c r="D3068" s="2" t="s">
        <v>6837</v>
      </c>
      <c r="E3068" s="2"/>
      <c r="F3068" s="2"/>
    </row>
    <row r="3069" spans="1:6" s="3" customFormat="1" ht="29.1" customHeight="1" x14ac:dyDescent="0.25">
      <c r="A3069" s="2" t="s">
        <v>6838</v>
      </c>
      <c r="B3069" s="2" t="s">
        <v>6834</v>
      </c>
      <c r="C3069" s="2" t="s">
        <v>6834</v>
      </c>
      <c r="D3069" s="2" t="s">
        <v>6837</v>
      </c>
      <c r="E3069" s="2"/>
      <c r="F3069" s="2"/>
    </row>
    <row r="3070" spans="1:6" s="3" customFormat="1" ht="29.1" customHeight="1" x14ac:dyDescent="0.25">
      <c r="A3070" s="2" t="s">
        <v>6839</v>
      </c>
      <c r="B3070" s="2" t="s">
        <v>6834</v>
      </c>
      <c r="C3070" s="2" t="s">
        <v>6834</v>
      </c>
      <c r="D3070" s="2" t="s">
        <v>6837</v>
      </c>
      <c r="E3070" s="2" t="str">
        <f>"9789280537178"</f>
        <v>9789280537178</v>
      </c>
      <c r="F3070" s="2" t="str">
        <f>"9789280537161"</f>
        <v>9789280537161</v>
      </c>
    </row>
    <row r="3071" spans="1:6" s="3" customFormat="1" ht="29.1" customHeight="1" x14ac:dyDescent="0.25">
      <c r="A3071" s="2" t="s">
        <v>6840</v>
      </c>
      <c r="B3071" s="2" t="s">
        <v>6834</v>
      </c>
      <c r="C3071" s="2" t="s">
        <v>6834</v>
      </c>
      <c r="D3071" s="2" t="s">
        <v>6835</v>
      </c>
      <c r="E3071" s="2"/>
      <c r="F3071" s="2"/>
    </row>
    <row r="3072" spans="1:6" s="3" customFormat="1" ht="29.1" customHeight="1" x14ac:dyDescent="0.25">
      <c r="A3072" s="2" t="s">
        <v>6841</v>
      </c>
      <c r="B3072" s="2" t="s">
        <v>6834</v>
      </c>
      <c r="C3072" s="2" t="s">
        <v>6834</v>
      </c>
      <c r="D3072" s="2" t="s">
        <v>6837</v>
      </c>
      <c r="E3072" s="2"/>
      <c r="F3072" s="2"/>
    </row>
    <row r="3073" spans="1:6" s="3" customFormat="1" ht="29.1" customHeight="1" x14ac:dyDescent="0.25">
      <c r="A3073" s="2" t="s">
        <v>6842</v>
      </c>
      <c r="B3073" s="2" t="s">
        <v>6834</v>
      </c>
      <c r="C3073" s="2" t="s">
        <v>6834</v>
      </c>
      <c r="D3073" s="2" t="s">
        <v>6837</v>
      </c>
      <c r="E3073" s="2"/>
      <c r="F3073" s="2"/>
    </row>
    <row r="3074" spans="1:6" s="3" customFormat="1" ht="29.1" customHeight="1" x14ac:dyDescent="0.25">
      <c r="A3074" s="2" t="s">
        <v>6843</v>
      </c>
      <c r="B3074" s="2" t="s">
        <v>6834</v>
      </c>
      <c r="C3074" s="2" t="s">
        <v>6834</v>
      </c>
      <c r="D3074" s="2" t="s">
        <v>6837</v>
      </c>
      <c r="E3074" s="2"/>
      <c r="F3074" s="2"/>
    </row>
    <row r="3075" spans="1:6" s="3" customFormat="1" ht="29.1" customHeight="1" x14ac:dyDescent="0.25">
      <c r="A3075" s="2" t="s">
        <v>6844</v>
      </c>
      <c r="B3075" s="2" t="s">
        <v>6834</v>
      </c>
      <c r="C3075" s="2" t="s">
        <v>6834</v>
      </c>
      <c r="D3075" s="2" t="s">
        <v>6837</v>
      </c>
      <c r="E3075" s="2"/>
      <c r="F3075" s="2"/>
    </row>
    <row r="3076" spans="1:6" s="3" customFormat="1" ht="29.1" customHeight="1" x14ac:dyDescent="0.25">
      <c r="A3076" s="2" t="s">
        <v>6845</v>
      </c>
      <c r="B3076" s="2" t="s">
        <v>6834</v>
      </c>
      <c r="C3076" s="2" t="s">
        <v>6834</v>
      </c>
      <c r="D3076" s="2" t="s">
        <v>6837</v>
      </c>
      <c r="E3076" s="2"/>
      <c r="F3076" s="2"/>
    </row>
    <row r="3077" spans="1:6" s="3" customFormat="1" ht="29.1" customHeight="1" x14ac:dyDescent="0.25">
      <c r="A3077" s="2" t="s">
        <v>6846</v>
      </c>
      <c r="B3077" s="2" t="s">
        <v>6834</v>
      </c>
      <c r="C3077" s="2" t="s">
        <v>6834</v>
      </c>
      <c r="D3077" s="2" t="s">
        <v>6837</v>
      </c>
      <c r="E3077" s="2"/>
      <c r="F3077" s="2"/>
    </row>
    <row r="3078" spans="1:6" s="3" customFormat="1" ht="29.1" customHeight="1" x14ac:dyDescent="0.25">
      <c r="A3078" s="2" t="s">
        <v>6847</v>
      </c>
      <c r="B3078" s="2" t="s">
        <v>6834</v>
      </c>
      <c r="C3078" s="2" t="s">
        <v>6834</v>
      </c>
      <c r="D3078" s="2" t="s">
        <v>6837</v>
      </c>
      <c r="E3078" s="2"/>
      <c r="F3078" s="2" t="str">
        <f>"9789280536928"</f>
        <v>9789280536928</v>
      </c>
    </row>
    <row r="3079" spans="1:6" s="3" customFormat="1" ht="29.1" customHeight="1" x14ac:dyDescent="0.25">
      <c r="A3079" s="2" t="s">
        <v>6848</v>
      </c>
      <c r="B3079" s="2" t="s">
        <v>6834</v>
      </c>
      <c r="C3079" s="2" t="s">
        <v>6834</v>
      </c>
      <c r="D3079" s="2" t="s">
        <v>6837</v>
      </c>
      <c r="E3079" s="2"/>
      <c r="F3079" s="2" t="str">
        <f>"9789280537048"</f>
        <v>9789280537048</v>
      </c>
    </row>
    <row r="3080" spans="1:6" s="3" customFormat="1" ht="29.1" customHeight="1" x14ac:dyDescent="0.25">
      <c r="A3080" s="2" t="s">
        <v>6849</v>
      </c>
      <c r="B3080" s="2" t="s">
        <v>6834</v>
      </c>
      <c r="C3080" s="2" t="s">
        <v>6834</v>
      </c>
      <c r="D3080" s="2" t="s">
        <v>6837</v>
      </c>
      <c r="E3080" s="2"/>
      <c r="F3080" s="2"/>
    </row>
    <row r="3081" spans="1:6" s="3" customFormat="1" ht="29.1" customHeight="1" x14ac:dyDescent="0.25">
      <c r="A3081" s="2" t="s">
        <v>6850</v>
      </c>
      <c r="B3081" s="2" t="s">
        <v>6834</v>
      </c>
      <c r="C3081" s="2" t="s">
        <v>6834</v>
      </c>
      <c r="D3081" s="2" t="s">
        <v>6837</v>
      </c>
      <c r="E3081" s="2"/>
      <c r="F3081" s="2"/>
    </row>
    <row r="3082" spans="1:6" s="3" customFormat="1" ht="29.1" customHeight="1" x14ac:dyDescent="0.25">
      <c r="A3082" s="2" t="s">
        <v>6851</v>
      </c>
      <c r="B3082" s="2" t="s">
        <v>6834</v>
      </c>
      <c r="C3082" s="2" t="s">
        <v>6834</v>
      </c>
      <c r="D3082" s="2" t="s">
        <v>6837</v>
      </c>
      <c r="E3082" s="2"/>
      <c r="F3082" s="2"/>
    </row>
    <row r="3083" spans="1:6" s="3" customFormat="1" ht="29.1" customHeight="1" x14ac:dyDescent="0.25">
      <c r="A3083" s="2" t="s">
        <v>6852</v>
      </c>
      <c r="B3083" s="2" t="s">
        <v>6853</v>
      </c>
      <c r="C3083" s="2" t="s">
        <v>6834</v>
      </c>
      <c r="D3083" s="2" t="s">
        <v>6837</v>
      </c>
      <c r="E3083" s="2"/>
      <c r="F3083" s="2"/>
    </row>
    <row r="3084" spans="1:6" s="3" customFormat="1" ht="29.1" customHeight="1" x14ac:dyDescent="0.25">
      <c r="A3084" s="2" t="s">
        <v>6854</v>
      </c>
      <c r="B3084" s="2" t="s">
        <v>6855</v>
      </c>
      <c r="C3084" s="2" t="s">
        <v>149</v>
      </c>
      <c r="D3084" s="2" t="s">
        <v>1141</v>
      </c>
      <c r="E3084" s="2" t="str">
        <f>"9781805115205"</f>
        <v>9781805115205</v>
      </c>
      <c r="F3084" s="2" t="str">
        <f>"9781805115229"</f>
        <v>9781805115229</v>
      </c>
    </row>
    <row r="3085" spans="1:6" s="3" customFormat="1" ht="29.1" customHeight="1" x14ac:dyDescent="0.25">
      <c r="A3085" s="2" t="s">
        <v>6856</v>
      </c>
      <c r="B3085" s="2" t="s">
        <v>6857</v>
      </c>
      <c r="C3085" s="2" t="s">
        <v>124</v>
      </c>
      <c r="D3085" s="2" t="s">
        <v>270</v>
      </c>
      <c r="E3085" s="2" t="str">
        <f>"9781032987989"</f>
        <v>9781032987989</v>
      </c>
      <c r="F3085" s="2" t="str">
        <f>"9781003606215"</f>
        <v>9781003606215</v>
      </c>
    </row>
    <row r="3086" spans="1:6" s="3" customFormat="1" ht="29.1" customHeight="1" x14ac:dyDescent="0.25">
      <c r="A3086" s="2" t="s">
        <v>6858</v>
      </c>
      <c r="B3086" s="2" t="s">
        <v>6859</v>
      </c>
      <c r="C3086" s="2" t="s">
        <v>5</v>
      </c>
      <c r="D3086" s="2" t="s">
        <v>141</v>
      </c>
      <c r="E3086" s="2" t="str">
        <f>"9789464636918"</f>
        <v>9789464636918</v>
      </c>
      <c r="F3086" s="2" t="str">
        <f>"9789464636925"</f>
        <v>9789464636925</v>
      </c>
    </row>
    <row r="3087" spans="1:6" s="3" customFormat="1" ht="29.1" customHeight="1" x14ac:dyDescent="0.25">
      <c r="A3087" s="2" t="s">
        <v>6860</v>
      </c>
      <c r="B3087" s="2" t="s">
        <v>6861</v>
      </c>
      <c r="C3087" s="2" t="s">
        <v>5</v>
      </c>
      <c r="D3087" s="2" t="s">
        <v>141</v>
      </c>
      <c r="E3087" s="2" t="str">
        <f>"9789464636970"</f>
        <v>9789464636970</v>
      </c>
      <c r="F3087" s="2" t="str">
        <f>"9789464636987"</f>
        <v>9789464636987</v>
      </c>
    </row>
    <row r="3088" spans="1:6" s="3" customFormat="1" ht="29.1" customHeight="1" x14ac:dyDescent="0.25">
      <c r="A3088" s="2" t="s">
        <v>6862</v>
      </c>
      <c r="B3088" s="2" t="s">
        <v>6863</v>
      </c>
      <c r="C3088" s="2" t="s">
        <v>5</v>
      </c>
      <c r="D3088" s="2" t="s">
        <v>477</v>
      </c>
      <c r="E3088" s="2" t="str">
        <f>"9789464636772"</f>
        <v>9789464636772</v>
      </c>
      <c r="F3088" s="2" t="str">
        <f>"9789464636789"</f>
        <v>9789464636789</v>
      </c>
    </row>
    <row r="3089" spans="1:6" s="3" customFormat="1" ht="29.1" customHeight="1" x14ac:dyDescent="0.25">
      <c r="A3089" s="2" t="s">
        <v>6864</v>
      </c>
      <c r="B3089" s="2" t="s">
        <v>6865</v>
      </c>
      <c r="C3089" s="2" t="s">
        <v>5</v>
      </c>
      <c r="D3089" s="2" t="s">
        <v>44</v>
      </c>
      <c r="E3089" s="2" t="str">
        <f>"9789464636871"</f>
        <v>9789464636871</v>
      </c>
      <c r="F3089" s="2" t="str">
        <f>"9789464636888"</f>
        <v>9789464636888</v>
      </c>
    </row>
    <row r="3090" spans="1:6" s="3" customFormat="1" ht="29.1" customHeight="1" x14ac:dyDescent="0.25">
      <c r="A3090" s="2" t="s">
        <v>6866</v>
      </c>
      <c r="B3090" s="2" t="s">
        <v>6867</v>
      </c>
      <c r="C3090" s="2" t="s">
        <v>5</v>
      </c>
      <c r="D3090" s="2" t="s">
        <v>342</v>
      </c>
      <c r="E3090" s="2" t="str">
        <f>"9789464636833"</f>
        <v>9789464636833</v>
      </c>
      <c r="F3090" s="2" t="str">
        <f>"9789464636840"</f>
        <v>9789464636840</v>
      </c>
    </row>
    <row r="3091" spans="1:6" s="3" customFormat="1" ht="29.1" customHeight="1" x14ac:dyDescent="0.25">
      <c r="A3091" s="2" t="s">
        <v>6868</v>
      </c>
      <c r="B3091" s="2" t="s">
        <v>6869</v>
      </c>
      <c r="C3091" s="2" t="s">
        <v>5</v>
      </c>
      <c r="D3091" s="2" t="s">
        <v>347</v>
      </c>
      <c r="E3091" s="2" t="str">
        <f>"9789464637038"</f>
        <v>9789464637038</v>
      </c>
      <c r="F3091" s="2" t="str">
        <f>"9789464637045"</f>
        <v>9789464637045</v>
      </c>
    </row>
    <row r="3092" spans="1:6" s="3" customFormat="1" ht="29.1" customHeight="1" x14ac:dyDescent="0.25">
      <c r="A3092" s="2" t="s">
        <v>6870</v>
      </c>
      <c r="B3092" s="2" t="s">
        <v>6871</v>
      </c>
      <c r="C3092" s="2" t="s">
        <v>5</v>
      </c>
      <c r="D3092" s="2" t="s">
        <v>9</v>
      </c>
      <c r="E3092" s="2" t="str">
        <f>"9782384763917"</f>
        <v>9782384763917</v>
      </c>
      <c r="F3092" s="2" t="str">
        <f>"9782384763924"</f>
        <v>9782384763924</v>
      </c>
    </row>
    <row r="3093" spans="1:6" s="3" customFormat="1" ht="29.1" customHeight="1" x14ac:dyDescent="0.25">
      <c r="A3093" s="2" t="s">
        <v>6872</v>
      </c>
      <c r="B3093" s="2" t="s">
        <v>6873</v>
      </c>
      <c r="C3093" s="2" t="s">
        <v>5</v>
      </c>
      <c r="D3093" s="2" t="s">
        <v>9</v>
      </c>
      <c r="E3093" s="2" t="str">
        <f>"9782384763955"</f>
        <v>9782384763955</v>
      </c>
      <c r="F3093" s="2" t="str">
        <f>"9782384763962"</f>
        <v>9782384763962</v>
      </c>
    </row>
    <row r="3094" spans="1:6" s="3" customFormat="1" ht="29.1" customHeight="1" x14ac:dyDescent="0.25">
      <c r="A3094" s="2" t="s">
        <v>6874</v>
      </c>
      <c r="B3094" s="2" t="s">
        <v>6876</v>
      </c>
      <c r="C3094" s="2" t="s">
        <v>5</v>
      </c>
      <c r="D3094" s="2" t="s">
        <v>6875</v>
      </c>
      <c r="E3094" s="2" t="str">
        <f>"9783031911200"</f>
        <v>9783031911200</v>
      </c>
      <c r="F3094" s="2" t="str">
        <f>"9783031911217"</f>
        <v>9783031911217</v>
      </c>
    </row>
    <row r="3095" spans="1:6" s="3" customFormat="1" ht="29.1" customHeight="1" x14ac:dyDescent="0.25">
      <c r="A3095" s="2" t="s">
        <v>6877</v>
      </c>
      <c r="B3095" s="2" t="s">
        <v>6878</v>
      </c>
      <c r="C3095" s="2" t="s">
        <v>5</v>
      </c>
      <c r="D3095" s="2" t="s">
        <v>1902</v>
      </c>
      <c r="E3095" s="2" t="str">
        <f>"9783031906527"</f>
        <v>9783031906527</v>
      </c>
      <c r="F3095" s="2" t="str">
        <f>"9783031906534"</f>
        <v>9783031906534</v>
      </c>
    </row>
    <row r="3096" spans="1:6" s="3" customFormat="1" ht="29.1" customHeight="1" x14ac:dyDescent="0.25">
      <c r="A3096" s="2" t="s">
        <v>6879</v>
      </c>
      <c r="B3096" s="2" t="s">
        <v>6880</v>
      </c>
      <c r="C3096" s="2" t="s">
        <v>5</v>
      </c>
      <c r="D3096" s="2" t="s">
        <v>52</v>
      </c>
      <c r="E3096" s="2" t="str">
        <f>"9783031883453"</f>
        <v>9783031883453</v>
      </c>
      <c r="F3096" s="2" t="str">
        <f>"9783031883460"</f>
        <v>9783031883460</v>
      </c>
    </row>
    <row r="3097" spans="1:6" s="3" customFormat="1" ht="29.1" customHeight="1" x14ac:dyDescent="0.25">
      <c r="A3097" s="2" t="s">
        <v>6881</v>
      </c>
      <c r="B3097" s="2" t="s">
        <v>6882</v>
      </c>
      <c r="C3097" s="2" t="s">
        <v>5</v>
      </c>
      <c r="D3097" s="2" t="s">
        <v>12</v>
      </c>
      <c r="E3097" s="2" t="str">
        <f>"9783031828959"</f>
        <v>9783031828959</v>
      </c>
      <c r="F3097" s="2" t="str">
        <f>"9783031828966"</f>
        <v>9783031828966</v>
      </c>
    </row>
    <row r="3098" spans="1:6" s="3" customFormat="1" ht="29.1" customHeight="1" x14ac:dyDescent="0.25">
      <c r="A3098" s="2" t="s">
        <v>6874</v>
      </c>
      <c r="B3098" s="2" t="s">
        <v>6876</v>
      </c>
      <c r="C3098" s="2" t="s">
        <v>5</v>
      </c>
      <c r="D3098" s="2" t="s">
        <v>6875</v>
      </c>
      <c r="E3098" s="2" t="str">
        <f>"9783031911170"</f>
        <v>9783031911170</v>
      </c>
      <c r="F3098" s="2" t="str">
        <f>"9783031911187"</f>
        <v>9783031911187</v>
      </c>
    </row>
    <row r="3099" spans="1:6" s="3" customFormat="1" ht="29.1" customHeight="1" x14ac:dyDescent="0.25">
      <c r="A3099" s="2" t="s">
        <v>6883</v>
      </c>
      <c r="B3099" s="2" t="s">
        <v>6884</v>
      </c>
      <c r="C3099" s="2" t="s">
        <v>5</v>
      </c>
      <c r="D3099" s="2" t="s">
        <v>1902</v>
      </c>
      <c r="E3099" s="2" t="str">
        <f>"9783031908965"</f>
        <v>9783031908965</v>
      </c>
      <c r="F3099" s="2" t="str">
        <f>"9783031908972"</f>
        <v>9783031908972</v>
      </c>
    </row>
    <row r="3100" spans="1:6" s="3" customFormat="1" ht="29.1" customHeight="1" x14ac:dyDescent="0.25">
      <c r="A3100" s="2" t="s">
        <v>6885</v>
      </c>
      <c r="B3100" s="2" t="s">
        <v>6886</v>
      </c>
      <c r="C3100" s="2" t="s">
        <v>5</v>
      </c>
      <c r="D3100" s="2" t="s">
        <v>487</v>
      </c>
      <c r="E3100" s="2" t="str">
        <f>"9783031908996"</f>
        <v>9783031908996</v>
      </c>
      <c r="F3100" s="2" t="str">
        <f>"9783031909009"</f>
        <v>9783031909009</v>
      </c>
    </row>
    <row r="3101" spans="1:6" s="3" customFormat="1" ht="29.1" customHeight="1" x14ac:dyDescent="0.25">
      <c r="A3101" s="2" t="s">
        <v>6877</v>
      </c>
      <c r="B3101" s="2" t="s">
        <v>6878</v>
      </c>
      <c r="C3101" s="2" t="s">
        <v>5</v>
      </c>
      <c r="D3101" s="2" t="s">
        <v>1902</v>
      </c>
      <c r="E3101" s="2" t="str">
        <f>"9783031906596"</f>
        <v>9783031906596</v>
      </c>
      <c r="F3101" s="2" t="str">
        <f>"9783031906602"</f>
        <v>9783031906602</v>
      </c>
    </row>
    <row r="3102" spans="1:6" s="3" customFormat="1" ht="29.1" customHeight="1" x14ac:dyDescent="0.25">
      <c r="A3102" s="2" t="s">
        <v>6877</v>
      </c>
      <c r="B3102" s="2" t="s">
        <v>6878</v>
      </c>
      <c r="C3102" s="2" t="s">
        <v>5</v>
      </c>
      <c r="D3102" s="2" t="s">
        <v>1902</v>
      </c>
      <c r="E3102" s="2" t="str">
        <f>"9783031906428"</f>
        <v>9783031906428</v>
      </c>
      <c r="F3102" s="2" t="str">
        <f>"9783031906435"</f>
        <v>9783031906435</v>
      </c>
    </row>
    <row r="3103" spans="1:6" s="3" customFormat="1" ht="29.1" customHeight="1" x14ac:dyDescent="0.25">
      <c r="A3103" s="2" t="s">
        <v>6887</v>
      </c>
      <c r="B3103" s="2" t="s">
        <v>6888</v>
      </c>
      <c r="C3103" s="2" t="s">
        <v>927</v>
      </c>
      <c r="D3103" s="2" t="s">
        <v>270</v>
      </c>
      <c r="E3103" s="2" t="str">
        <f>"9780472057450"</f>
        <v>9780472057450</v>
      </c>
      <c r="F3103" s="2" t="str">
        <f>"9780472905041"</f>
        <v>9780472905041</v>
      </c>
    </row>
    <row r="3104" spans="1:6" s="3" customFormat="1" ht="29.1" customHeight="1" x14ac:dyDescent="0.25">
      <c r="A3104" s="2" t="s">
        <v>6889</v>
      </c>
      <c r="B3104" s="2" t="s">
        <v>6890</v>
      </c>
      <c r="C3104" s="2" t="s">
        <v>5</v>
      </c>
      <c r="D3104" s="2" t="s">
        <v>101</v>
      </c>
      <c r="E3104" s="2" t="str">
        <f>"9783662709467"</f>
        <v>9783662709467</v>
      </c>
      <c r="F3104" s="2" t="str">
        <f>"9783662709474"</f>
        <v>9783662709474</v>
      </c>
    </row>
    <row r="3105" spans="1:6" s="3" customFormat="1" ht="29.1" customHeight="1" x14ac:dyDescent="0.25">
      <c r="A3105" s="2" t="s">
        <v>6891</v>
      </c>
      <c r="B3105" s="2" t="s">
        <v>6892</v>
      </c>
      <c r="C3105" s="2" t="s">
        <v>5</v>
      </c>
      <c r="D3105" s="2" t="s">
        <v>3489</v>
      </c>
      <c r="E3105" s="2" t="str">
        <f>"9783031699931"</f>
        <v>9783031699931</v>
      </c>
      <c r="F3105" s="2" t="str">
        <f>"9783031699948"</f>
        <v>9783031699948</v>
      </c>
    </row>
    <row r="3106" spans="1:6" s="3" customFormat="1" ht="29.1" customHeight="1" x14ac:dyDescent="0.25">
      <c r="A3106" s="2" t="s">
        <v>6893</v>
      </c>
      <c r="B3106" s="2" t="s">
        <v>6894</v>
      </c>
      <c r="C3106" s="2" t="s">
        <v>5</v>
      </c>
      <c r="D3106" s="2" t="s">
        <v>52</v>
      </c>
      <c r="E3106" s="2" t="str">
        <f>"9783031870644"</f>
        <v>9783031870644</v>
      </c>
      <c r="F3106" s="2" t="str">
        <f>"9783031870651"</f>
        <v>9783031870651</v>
      </c>
    </row>
    <row r="3107" spans="1:6" s="3" customFormat="1" ht="29.1" customHeight="1" x14ac:dyDescent="0.25">
      <c r="A3107" s="2" t="s">
        <v>6895</v>
      </c>
      <c r="B3107" s="2" t="s">
        <v>6897</v>
      </c>
      <c r="C3107" s="2" t="s">
        <v>5</v>
      </c>
      <c r="D3107" s="2" t="s">
        <v>6896</v>
      </c>
      <c r="E3107" s="2" t="str">
        <f>"9783031893025"</f>
        <v>9783031893025</v>
      </c>
      <c r="F3107" s="2" t="str">
        <f>"9783031893032"</f>
        <v>9783031893032</v>
      </c>
    </row>
    <row r="3108" spans="1:6" s="3" customFormat="1" ht="29.1" customHeight="1" x14ac:dyDescent="0.25">
      <c r="A3108" s="2" t="s">
        <v>6898</v>
      </c>
      <c r="B3108" s="2" t="s">
        <v>6899</v>
      </c>
      <c r="C3108" s="2" t="s">
        <v>2461</v>
      </c>
      <c r="D3108" s="2" t="s">
        <v>378</v>
      </c>
      <c r="E3108" s="2" t="str">
        <f>"9786289630596"</f>
        <v>9786289630596</v>
      </c>
      <c r="F3108" s="2" t="str">
        <f>"9786289681208"</f>
        <v>9786289681208</v>
      </c>
    </row>
    <row r="3109" spans="1:6" s="3" customFormat="1" ht="29.1" customHeight="1" x14ac:dyDescent="0.25">
      <c r="A3109" s="2" t="s">
        <v>6900</v>
      </c>
      <c r="B3109" s="2" t="s">
        <v>6901</v>
      </c>
      <c r="C3109" s="2" t="s">
        <v>5</v>
      </c>
      <c r="D3109" s="2" t="s">
        <v>1310</v>
      </c>
      <c r="E3109" s="2" t="str">
        <f>"9783031819308"</f>
        <v>9783031819308</v>
      </c>
      <c r="F3109" s="2" t="str">
        <f>"9783031819315"</f>
        <v>9783031819315</v>
      </c>
    </row>
    <row r="3110" spans="1:6" s="3" customFormat="1" ht="29.1" customHeight="1" x14ac:dyDescent="0.25">
      <c r="A3110" s="2" t="s">
        <v>6902</v>
      </c>
      <c r="B3110" s="2" t="s">
        <v>6903</v>
      </c>
      <c r="C3110" s="2" t="s">
        <v>5</v>
      </c>
      <c r="D3110" s="2" t="s">
        <v>479</v>
      </c>
      <c r="E3110" s="2" t="str">
        <f>"9783031855115"</f>
        <v>9783031855115</v>
      </c>
      <c r="F3110" s="2" t="str">
        <f>"9783031855122"</f>
        <v>9783031855122</v>
      </c>
    </row>
    <row r="3111" spans="1:6" s="3" customFormat="1" ht="29.1" customHeight="1" x14ac:dyDescent="0.25">
      <c r="A3111" s="2" t="s">
        <v>6904</v>
      </c>
      <c r="B3111" s="2" t="s">
        <v>6905</v>
      </c>
      <c r="C3111" s="2" t="s">
        <v>5</v>
      </c>
      <c r="D3111" s="2" t="s">
        <v>52</v>
      </c>
      <c r="E3111" s="2" t="str">
        <f>"9783031829260"</f>
        <v>9783031829260</v>
      </c>
      <c r="F3111" s="2" t="str">
        <f>"9783031829277"</f>
        <v>9783031829277</v>
      </c>
    </row>
    <row r="3112" spans="1:6" s="3" customFormat="1" ht="29.1" customHeight="1" x14ac:dyDescent="0.25">
      <c r="A3112" s="2" t="s">
        <v>6906</v>
      </c>
      <c r="B3112" s="2" t="s">
        <v>6907</v>
      </c>
      <c r="C3112" s="2" t="s">
        <v>5</v>
      </c>
      <c r="D3112" s="2" t="s">
        <v>459</v>
      </c>
      <c r="E3112" s="2" t="str">
        <f>"9789819629862"</f>
        <v>9789819629862</v>
      </c>
      <c r="F3112" s="2" t="str">
        <f>"9789819629879"</f>
        <v>9789819629879</v>
      </c>
    </row>
    <row r="3113" spans="1:6" s="3" customFormat="1" ht="29.1" customHeight="1" x14ac:dyDescent="0.25">
      <c r="A3113" s="2" t="s">
        <v>6908</v>
      </c>
      <c r="B3113" s="2" t="s">
        <v>6909</v>
      </c>
      <c r="C3113" s="2" t="s">
        <v>5</v>
      </c>
      <c r="D3113" s="2" t="s">
        <v>9</v>
      </c>
      <c r="E3113" s="2" t="str">
        <f>"9789464636857"</f>
        <v>9789464636857</v>
      </c>
      <c r="F3113" s="2" t="str">
        <f>"9789464636864"</f>
        <v>9789464636864</v>
      </c>
    </row>
    <row r="3114" spans="1:6" s="3" customFormat="1" ht="29.1" customHeight="1" x14ac:dyDescent="0.25">
      <c r="A3114" s="2" t="s">
        <v>6910</v>
      </c>
      <c r="B3114" s="2" t="s">
        <v>6911</v>
      </c>
      <c r="C3114" s="2" t="s">
        <v>5</v>
      </c>
      <c r="D3114" s="2" t="s">
        <v>4783</v>
      </c>
      <c r="E3114" s="2" t="str">
        <f>"9783031771927"</f>
        <v>9783031771927</v>
      </c>
      <c r="F3114" s="2" t="str">
        <f>"9783031771934"</f>
        <v>9783031771934</v>
      </c>
    </row>
    <row r="3115" spans="1:6" s="3" customFormat="1" ht="29.1" customHeight="1" x14ac:dyDescent="0.25">
      <c r="A3115" s="2" t="s">
        <v>6912</v>
      </c>
      <c r="B3115" s="2" t="s">
        <v>6913</v>
      </c>
      <c r="C3115" s="2" t="s">
        <v>5</v>
      </c>
      <c r="D3115" s="2" t="s">
        <v>183</v>
      </c>
      <c r="E3115" s="2" t="str">
        <f>"9783658479930"</f>
        <v>9783658479930</v>
      </c>
      <c r="F3115" s="2" t="str">
        <f>"9783658479947"</f>
        <v>9783658479947</v>
      </c>
    </row>
    <row r="3116" spans="1:6" s="3" customFormat="1" ht="29.1" customHeight="1" x14ac:dyDescent="0.25">
      <c r="A3116" s="2" t="s">
        <v>6914</v>
      </c>
      <c r="B3116" s="2" t="s">
        <v>6915</v>
      </c>
      <c r="C3116" s="2" t="s">
        <v>5</v>
      </c>
      <c r="D3116" s="2" t="s">
        <v>1127</v>
      </c>
      <c r="E3116" s="2" t="str">
        <f>"9789819625598"</f>
        <v>9789819625598</v>
      </c>
      <c r="F3116" s="2" t="str">
        <f>"9789819625604"</f>
        <v>9789819625604</v>
      </c>
    </row>
    <row r="3117" spans="1:6" s="3" customFormat="1" ht="29.1" customHeight="1" x14ac:dyDescent="0.25">
      <c r="A3117" s="2" t="s">
        <v>6916</v>
      </c>
      <c r="B3117" s="2" t="s">
        <v>6917</v>
      </c>
      <c r="C3117" s="2" t="s">
        <v>62</v>
      </c>
      <c r="D3117" s="2" t="s">
        <v>4002</v>
      </c>
      <c r="E3117" s="2" t="str">
        <f>"9783428194605"</f>
        <v>9783428194605</v>
      </c>
      <c r="F3117" s="2" t="str">
        <f>"9783428594603"</f>
        <v>9783428594603</v>
      </c>
    </row>
    <row r="3118" spans="1:6" s="3" customFormat="1" ht="29.1" customHeight="1" x14ac:dyDescent="0.25">
      <c r="A3118" s="2" t="s">
        <v>6918</v>
      </c>
      <c r="B3118" s="2" t="s">
        <v>6919</v>
      </c>
      <c r="C3118" s="2" t="s">
        <v>239</v>
      </c>
      <c r="D3118" s="2" t="s">
        <v>636</v>
      </c>
      <c r="E3118" s="2" t="str">
        <f>"9780520413511"</f>
        <v>9780520413511</v>
      </c>
      <c r="F3118" s="2" t="str">
        <f>"9780520413528"</f>
        <v>9780520413528</v>
      </c>
    </row>
    <row r="3119" spans="1:6" s="3" customFormat="1" ht="29.1" customHeight="1" x14ac:dyDescent="0.25">
      <c r="A3119" s="2" t="s">
        <v>6920</v>
      </c>
      <c r="B3119" s="2" t="s">
        <v>6921</v>
      </c>
      <c r="C3119" s="2" t="s">
        <v>195</v>
      </c>
      <c r="D3119" s="2" t="s">
        <v>431</v>
      </c>
      <c r="E3119" s="2" t="str">
        <f>"9783111205632"</f>
        <v>9783111205632</v>
      </c>
      <c r="F3119" s="2" t="str">
        <f>"9783111206943"</f>
        <v>9783111206943</v>
      </c>
    </row>
    <row r="3120" spans="1:6" s="3" customFormat="1" ht="29.1" customHeight="1" x14ac:dyDescent="0.25">
      <c r="A3120" s="2" t="s">
        <v>6922</v>
      </c>
      <c r="B3120" s="2" t="s">
        <v>6923</v>
      </c>
      <c r="C3120" s="2" t="s">
        <v>124</v>
      </c>
      <c r="D3120" s="2" t="s">
        <v>353</v>
      </c>
      <c r="E3120" s="2" t="str">
        <f>"9781032274447"</f>
        <v>9781032274447</v>
      </c>
      <c r="F3120" s="2" t="str">
        <f>"9781003292814"</f>
        <v>9781003292814</v>
      </c>
    </row>
    <row r="3121" spans="1:6" s="3" customFormat="1" ht="29.1" customHeight="1" x14ac:dyDescent="0.25">
      <c r="A3121" s="2" t="s">
        <v>6924</v>
      </c>
      <c r="B3121" s="2" t="s">
        <v>6925</v>
      </c>
      <c r="C3121" s="2" t="s">
        <v>239</v>
      </c>
      <c r="D3121" s="2" t="s">
        <v>1432</v>
      </c>
      <c r="E3121" s="2" t="str">
        <f>"9780520398665"</f>
        <v>9780520398665</v>
      </c>
      <c r="F3121" s="2" t="str">
        <f>"9780520398689"</f>
        <v>9780520398689</v>
      </c>
    </row>
    <row r="3122" spans="1:6" s="3" customFormat="1" ht="29.1" customHeight="1" x14ac:dyDescent="0.25">
      <c r="A3122" s="2" t="s">
        <v>6926</v>
      </c>
      <c r="B3122" s="2" t="s">
        <v>6927</v>
      </c>
      <c r="C3122" s="2" t="s">
        <v>5</v>
      </c>
      <c r="D3122" s="2" t="s">
        <v>12</v>
      </c>
      <c r="E3122" s="2" t="str">
        <f>"9789819629282"</f>
        <v>9789819629282</v>
      </c>
      <c r="F3122" s="2" t="str">
        <f>"9789819629299"</f>
        <v>9789819629299</v>
      </c>
    </row>
    <row r="3123" spans="1:6" s="3" customFormat="1" ht="29.1" customHeight="1" x14ac:dyDescent="0.25">
      <c r="A3123" s="2" t="s">
        <v>6928</v>
      </c>
      <c r="B3123" s="2" t="s">
        <v>6929</v>
      </c>
      <c r="C3123" s="2" t="s">
        <v>4204</v>
      </c>
      <c r="D3123" s="2" t="s">
        <v>207</v>
      </c>
      <c r="E3123" s="2" t="str">
        <f>"9788410262317"</f>
        <v>9788410262317</v>
      </c>
      <c r="F3123" s="2" t="str">
        <f>"9788410262324"</f>
        <v>9788410262324</v>
      </c>
    </row>
    <row r="3124" spans="1:6" s="3" customFormat="1" ht="29.1" customHeight="1" x14ac:dyDescent="0.25">
      <c r="A3124" s="2" t="s">
        <v>6930</v>
      </c>
      <c r="B3124" s="2" t="s">
        <v>6931</v>
      </c>
      <c r="C3124" s="2" t="s">
        <v>4204</v>
      </c>
      <c r="D3124" s="2" t="s">
        <v>2048</v>
      </c>
      <c r="E3124" s="2" t="str">
        <f>"9788410262126"</f>
        <v>9788410262126</v>
      </c>
      <c r="F3124" s="2" t="str">
        <f>"9788410262133"</f>
        <v>9788410262133</v>
      </c>
    </row>
    <row r="3125" spans="1:6" s="3" customFormat="1" ht="29.1" customHeight="1" x14ac:dyDescent="0.25">
      <c r="A3125" s="2" t="s">
        <v>6932</v>
      </c>
      <c r="B3125" s="2" t="s">
        <v>6933</v>
      </c>
      <c r="C3125" s="2" t="s">
        <v>4204</v>
      </c>
      <c r="D3125" s="2" t="s">
        <v>2048</v>
      </c>
      <c r="E3125" s="2" t="str">
        <f>"9788410262140"</f>
        <v>9788410262140</v>
      </c>
      <c r="F3125" s="2" t="str">
        <f>"9788410262157"</f>
        <v>9788410262157</v>
      </c>
    </row>
    <row r="3126" spans="1:6" s="3" customFormat="1" ht="29.1" customHeight="1" x14ac:dyDescent="0.25">
      <c r="A3126" s="2" t="s">
        <v>6934</v>
      </c>
      <c r="B3126" s="2" t="s">
        <v>6935</v>
      </c>
      <c r="C3126" s="2" t="s">
        <v>4204</v>
      </c>
      <c r="D3126" s="2" t="s">
        <v>3969</v>
      </c>
      <c r="E3126" s="2" t="str">
        <f>"9788410262164"</f>
        <v>9788410262164</v>
      </c>
      <c r="F3126" s="2" t="str">
        <f>"9788410262171"</f>
        <v>9788410262171</v>
      </c>
    </row>
    <row r="3127" spans="1:6" s="3" customFormat="1" ht="29.1" customHeight="1" x14ac:dyDescent="0.25">
      <c r="A3127" s="2" t="s">
        <v>6936</v>
      </c>
      <c r="B3127" s="2" t="s">
        <v>6937</v>
      </c>
      <c r="C3127" s="2" t="s">
        <v>4204</v>
      </c>
      <c r="D3127" s="2" t="s">
        <v>1697</v>
      </c>
      <c r="E3127" s="2" t="str">
        <f>"9788410262195"</f>
        <v>9788410262195</v>
      </c>
      <c r="F3127" s="2" t="str">
        <f>"9788410262201"</f>
        <v>9788410262201</v>
      </c>
    </row>
    <row r="3128" spans="1:6" s="3" customFormat="1" ht="29.1" customHeight="1" x14ac:dyDescent="0.25">
      <c r="A3128" s="2" t="s">
        <v>6938</v>
      </c>
      <c r="B3128" s="2" t="s">
        <v>4206</v>
      </c>
      <c r="C3128" s="2" t="s">
        <v>4204</v>
      </c>
      <c r="D3128" s="2" t="s">
        <v>6939</v>
      </c>
      <c r="E3128" s="2" t="str">
        <f>"9788410262232"</f>
        <v>9788410262232</v>
      </c>
      <c r="F3128" s="2" t="str">
        <f>"9788410262249"</f>
        <v>9788410262249</v>
      </c>
    </row>
    <row r="3129" spans="1:6" s="3" customFormat="1" ht="29.1" customHeight="1" x14ac:dyDescent="0.25">
      <c r="A3129" s="2" t="s">
        <v>6940</v>
      </c>
      <c r="B3129" s="2" t="s">
        <v>4206</v>
      </c>
      <c r="C3129" s="2" t="s">
        <v>4204</v>
      </c>
      <c r="D3129" s="2" t="s">
        <v>6113</v>
      </c>
      <c r="E3129" s="2" t="str">
        <f>"9788410262256"</f>
        <v>9788410262256</v>
      </c>
      <c r="F3129" s="2" t="str">
        <f>"9788410262263"</f>
        <v>9788410262263</v>
      </c>
    </row>
    <row r="3130" spans="1:6" s="3" customFormat="1" ht="29.1" customHeight="1" x14ac:dyDescent="0.25">
      <c r="A3130" s="2" t="s">
        <v>6941</v>
      </c>
      <c r="B3130" s="2" t="s">
        <v>6942</v>
      </c>
      <c r="C3130" s="2" t="s">
        <v>4204</v>
      </c>
      <c r="D3130" s="2" t="s">
        <v>4210</v>
      </c>
      <c r="E3130" s="2" t="str">
        <f>"9788410262355"</f>
        <v>9788410262355</v>
      </c>
      <c r="F3130" s="2" t="str">
        <f>"9788410262362"</f>
        <v>9788410262362</v>
      </c>
    </row>
    <row r="3131" spans="1:6" s="3" customFormat="1" ht="29.1" customHeight="1" x14ac:dyDescent="0.25">
      <c r="A3131" s="2" t="s">
        <v>6943</v>
      </c>
      <c r="B3131" s="2" t="s">
        <v>4206</v>
      </c>
      <c r="C3131" s="2" t="s">
        <v>4204</v>
      </c>
      <c r="D3131" s="2" t="s">
        <v>968</v>
      </c>
      <c r="E3131" s="2" t="str">
        <f>"9788410262379"</f>
        <v>9788410262379</v>
      </c>
      <c r="F3131" s="2" t="str">
        <f>"9788410262409"</f>
        <v>9788410262409</v>
      </c>
    </row>
    <row r="3132" spans="1:6" s="3" customFormat="1" ht="29.1" customHeight="1" x14ac:dyDescent="0.25">
      <c r="A3132" s="2" t="s">
        <v>6944</v>
      </c>
      <c r="B3132" s="2" t="s">
        <v>6945</v>
      </c>
      <c r="C3132" s="2" t="s">
        <v>4204</v>
      </c>
      <c r="D3132" s="2" t="s">
        <v>2048</v>
      </c>
      <c r="E3132" s="2" t="str">
        <f>"9788410262416"</f>
        <v>9788410262416</v>
      </c>
      <c r="F3132" s="2" t="str">
        <f>"9788410262423"</f>
        <v>9788410262423</v>
      </c>
    </row>
    <row r="3133" spans="1:6" s="3" customFormat="1" ht="29.1" customHeight="1" x14ac:dyDescent="0.25">
      <c r="A3133" s="2" t="s">
        <v>6946</v>
      </c>
      <c r="B3133" s="2" t="s">
        <v>6947</v>
      </c>
      <c r="C3133" s="2" t="s">
        <v>4204</v>
      </c>
      <c r="D3133" s="2" t="s">
        <v>4205</v>
      </c>
      <c r="E3133" s="2" t="str">
        <f>"9788410262430"</f>
        <v>9788410262430</v>
      </c>
      <c r="F3133" s="2" t="str">
        <f>"9788410262447"</f>
        <v>9788410262447</v>
      </c>
    </row>
    <row r="3134" spans="1:6" s="3" customFormat="1" ht="29.1" customHeight="1" x14ac:dyDescent="0.25">
      <c r="A3134" s="2" t="s">
        <v>6948</v>
      </c>
      <c r="B3134" s="2" t="s">
        <v>6949</v>
      </c>
      <c r="C3134" s="2" t="s">
        <v>4204</v>
      </c>
      <c r="D3134" s="2" t="s">
        <v>2048</v>
      </c>
      <c r="E3134" s="2"/>
      <c r="F3134" s="2" t="str">
        <f>"9788410262454"</f>
        <v>9788410262454</v>
      </c>
    </row>
    <row r="3135" spans="1:6" s="3" customFormat="1" ht="29.1" customHeight="1" x14ac:dyDescent="0.25">
      <c r="A3135" s="2" t="s">
        <v>6950</v>
      </c>
      <c r="B3135" s="2" t="s">
        <v>6951</v>
      </c>
      <c r="C3135" s="2" t="s">
        <v>4204</v>
      </c>
      <c r="D3135" s="2" t="s">
        <v>4210</v>
      </c>
      <c r="E3135" s="2" t="str">
        <f>"9788410262461"</f>
        <v>9788410262461</v>
      </c>
      <c r="F3135" s="2" t="str">
        <f>"9788410262478"</f>
        <v>9788410262478</v>
      </c>
    </row>
    <row r="3136" spans="1:6" s="3" customFormat="1" ht="29.1" customHeight="1" x14ac:dyDescent="0.25">
      <c r="A3136" s="2" t="s">
        <v>6952</v>
      </c>
      <c r="B3136" s="2" t="s">
        <v>6954</v>
      </c>
      <c r="C3136" s="2" t="s">
        <v>4204</v>
      </c>
      <c r="D3136" s="2" t="s">
        <v>6953</v>
      </c>
      <c r="E3136" s="2" t="str">
        <f>"9788410262492"</f>
        <v>9788410262492</v>
      </c>
      <c r="F3136" s="2" t="str">
        <f>"9788410262485"</f>
        <v>9788410262485</v>
      </c>
    </row>
    <row r="3137" spans="1:6" s="3" customFormat="1" ht="29.1" customHeight="1" x14ac:dyDescent="0.25">
      <c r="A3137" s="2" t="s">
        <v>6955</v>
      </c>
      <c r="B3137" s="2" t="s">
        <v>4206</v>
      </c>
      <c r="C3137" s="2" t="s">
        <v>4204</v>
      </c>
      <c r="D3137" s="2" t="s">
        <v>2048</v>
      </c>
      <c r="E3137" s="2"/>
      <c r="F3137" s="2" t="str">
        <f>"9788410262560"</f>
        <v>9788410262560</v>
      </c>
    </row>
    <row r="3138" spans="1:6" s="3" customFormat="1" ht="29.1" customHeight="1" x14ac:dyDescent="0.25">
      <c r="A3138" s="2" t="s">
        <v>6956</v>
      </c>
      <c r="B3138" s="2" t="s">
        <v>4206</v>
      </c>
      <c r="C3138" s="2" t="s">
        <v>4204</v>
      </c>
      <c r="D3138" s="2" t="s">
        <v>4210</v>
      </c>
      <c r="E3138" s="2" t="str">
        <f>"9788410262690"</f>
        <v>9788410262690</v>
      </c>
      <c r="F3138" s="2" t="str">
        <f>"9788410262706"</f>
        <v>9788410262706</v>
      </c>
    </row>
    <row r="3139" spans="1:6" s="3" customFormat="1" ht="29.1" customHeight="1" x14ac:dyDescent="0.25">
      <c r="A3139" s="2" t="s">
        <v>6957</v>
      </c>
      <c r="B3139" s="2" t="s">
        <v>6959</v>
      </c>
      <c r="C3139" s="2" t="s">
        <v>4204</v>
      </c>
      <c r="D3139" s="2" t="s">
        <v>6958</v>
      </c>
      <c r="E3139" s="2" t="str">
        <f>"9788410262713"</f>
        <v>9788410262713</v>
      </c>
      <c r="F3139" s="2" t="str">
        <f>"9788410262720"</f>
        <v>9788410262720</v>
      </c>
    </row>
    <row r="3140" spans="1:6" s="3" customFormat="1" ht="29.1" customHeight="1" x14ac:dyDescent="0.25">
      <c r="A3140" s="2" t="s">
        <v>6960</v>
      </c>
      <c r="B3140" s="2" t="s">
        <v>6961</v>
      </c>
      <c r="C3140" s="2" t="s">
        <v>239</v>
      </c>
      <c r="D3140" s="2" t="s">
        <v>15</v>
      </c>
      <c r="E3140" s="2" t="str">
        <f>"9780520401754"</f>
        <v>9780520401754</v>
      </c>
      <c r="F3140" s="2" t="str">
        <f>"9780520401778"</f>
        <v>9780520401778</v>
      </c>
    </row>
    <row r="3141" spans="1:6" s="3" customFormat="1" ht="29.1" customHeight="1" x14ac:dyDescent="0.25">
      <c r="A3141" s="2" t="s">
        <v>6962</v>
      </c>
      <c r="B3141" s="2" t="s">
        <v>6963</v>
      </c>
      <c r="C3141" s="2" t="s">
        <v>36</v>
      </c>
      <c r="D3141" s="2" t="s">
        <v>1228</v>
      </c>
      <c r="E3141" s="2"/>
      <c r="F3141" s="2" t="str">
        <f>"9781447371892"</f>
        <v>9781447371892</v>
      </c>
    </row>
    <row r="3142" spans="1:6" s="3" customFormat="1" ht="29.1" customHeight="1" x14ac:dyDescent="0.25">
      <c r="A3142" s="2" t="s">
        <v>6964</v>
      </c>
      <c r="B3142" s="2" t="s">
        <v>6966</v>
      </c>
      <c r="C3142" s="2" t="s">
        <v>36</v>
      </c>
      <c r="D3142" s="2" t="s">
        <v>6965</v>
      </c>
      <c r="E3142" s="2"/>
      <c r="F3142" s="2" t="str">
        <f>"9781529233872"</f>
        <v>9781529233872</v>
      </c>
    </row>
    <row r="3143" spans="1:6" s="3" customFormat="1" ht="29.1" customHeight="1" x14ac:dyDescent="0.25">
      <c r="A3143" s="2" t="s">
        <v>6967</v>
      </c>
      <c r="B3143" s="2" t="s">
        <v>6968</v>
      </c>
      <c r="C3143" s="2" t="s">
        <v>5</v>
      </c>
      <c r="D3143" s="2" t="s">
        <v>2271</v>
      </c>
      <c r="E3143" s="2" t="str">
        <f>"9783658478896"</f>
        <v>9783658478896</v>
      </c>
      <c r="F3143" s="2" t="str">
        <f>"9783658478902"</f>
        <v>9783658478902</v>
      </c>
    </row>
    <row r="3144" spans="1:6" s="3" customFormat="1" ht="29.1" customHeight="1" x14ac:dyDescent="0.25">
      <c r="A3144" s="2" t="s">
        <v>6969</v>
      </c>
      <c r="B3144" s="2" t="s">
        <v>6970</v>
      </c>
      <c r="C3144" s="2" t="s">
        <v>5</v>
      </c>
      <c r="D3144" s="2" t="s">
        <v>682</v>
      </c>
      <c r="E3144" s="2" t="str">
        <f>"9789819647484"</f>
        <v>9789819647484</v>
      </c>
      <c r="F3144" s="2" t="str">
        <f>"9789819647491"</f>
        <v>9789819647491</v>
      </c>
    </row>
    <row r="3145" spans="1:6" s="3" customFormat="1" ht="29.1" customHeight="1" x14ac:dyDescent="0.25">
      <c r="A3145" s="2" t="s">
        <v>6971</v>
      </c>
      <c r="B3145" s="2" t="s">
        <v>6973</v>
      </c>
      <c r="C3145" s="2" t="s">
        <v>5</v>
      </c>
      <c r="D3145" s="2" t="s">
        <v>6972</v>
      </c>
      <c r="E3145" s="2" t="str">
        <f>"9783658480417"</f>
        <v>9783658480417</v>
      </c>
      <c r="F3145" s="2" t="str">
        <f>"9783658480424"</f>
        <v>9783658480424</v>
      </c>
    </row>
    <row r="3146" spans="1:6" s="3" customFormat="1" ht="29.1" customHeight="1" x14ac:dyDescent="0.25">
      <c r="A3146" s="2" t="s">
        <v>6974</v>
      </c>
      <c r="B3146" s="2" t="s">
        <v>6975</v>
      </c>
      <c r="C3146" s="2" t="s">
        <v>677</v>
      </c>
      <c r="D3146" s="2" t="s">
        <v>490</v>
      </c>
      <c r="E3146" s="2" t="str">
        <f>"9789465150581"</f>
        <v>9789465150581</v>
      </c>
      <c r="F3146" s="2"/>
    </row>
    <row r="3147" spans="1:6" s="3" customFormat="1" ht="29.1" customHeight="1" x14ac:dyDescent="0.25">
      <c r="A3147" s="2" t="s">
        <v>6976</v>
      </c>
      <c r="B3147" s="2" t="s">
        <v>6978</v>
      </c>
      <c r="C3147" s="2" t="s">
        <v>677</v>
      </c>
      <c r="D3147" s="2" t="s">
        <v>6977</v>
      </c>
      <c r="E3147" s="2" t="str">
        <f>"9789465150734"</f>
        <v>9789465150734</v>
      </c>
      <c r="F3147" s="2"/>
    </row>
    <row r="3148" spans="1:6" s="3" customFormat="1" ht="29.1" customHeight="1" x14ac:dyDescent="0.25">
      <c r="A3148" s="2" t="s">
        <v>6979</v>
      </c>
      <c r="B3148" s="2" t="s">
        <v>6980</v>
      </c>
      <c r="C3148" s="2" t="s">
        <v>5</v>
      </c>
      <c r="D3148" s="2" t="s">
        <v>5092</v>
      </c>
      <c r="E3148" s="2" t="str">
        <f>"9789464636895"</f>
        <v>9789464636895</v>
      </c>
      <c r="F3148" s="2" t="str">
        <f>"9789464636901"</f>
        <v>9789464636901</v>
      </c>
    </row>
    <row r="3149" spans="1:6" s="3" customFormat="1" ht="29.1" customHeight="1" x14ac:dyDescent="0.25">
      <c r="A3149" s="2" t="s">
        <v>6981</v>
      </c>
      <c r="B3149" s="2" t="s">
        <v>6982</v>
      </c>
      <c r="C3149" s="2" t="s">
        <v>5</v>
      </c>
      <c r="D3149" s="2" t="s">
        <v>294</v>
      </c>
      <c r="E3149" s="2" t="str">
        <f>"9783031751233"</f>
        <v>9783031751233</v>
      </c>
      <c r="F3149" s="2" t="str">
        <f>"9783031751240"</f>
        <v>9783031751240</v>
      </c>
    </row>
    <row r="3150" spans="1:6" s="3" customFormat="1" ht="29.1" customHeight="1" x14ac:dyDescent="0.25">
      <c r="A3150" s="2" t="s">
        <v>6983</v>
      </c>
      <c r="B3150" s="2" t="s">
        <v>6984</v>
      </c>
      <c r="C3150" s="2" t="s">
        <v>5</v>
      </c>
      <c r="D3150" s="2" t="s">
        <v>712</v>
      </c>
      <c r="E3150" s="2" t="str">
        <f>"9783658480479"</f>
        <v>9783658480479</v>
      </c>
      <c r="F3150" s="2" t="str">
        <f>"9783658480486"</f>
        <v>9783658480486</v>
      </c>
    </row>
    <row r="3151" spans="1:6" s="3" customFormat="1" ht="29.1" customHeight="1" x14ac:dyDescent="0.25">
      <c r="A3151" s="2" t="s">
        <v>6985</v>
      </c>
      <c r="B3151" s="2" t="s">
        <v>6986</v>
      </c>
      <c r="C3151" s="2" t="s">
        <v>5</v>
      </c>
      <c r="D3151" s="2" t="s">
        <v>694</v>
      </c>
      <c r="E3151" s="2" t="str">
        <f>"9789819625437"</f>
        <v>9789819625437</v>
      </c>
      <c r="F3151" s="2" t="str">
        <f>"9789819625444"</f>
        <v>9789819625444</v>
      </c>
    </row>
    <row r="3152" spans="1:6" s="3" customFormat="1" ht="29.1" customHeight="1" x14ac:dyDescent="0.25">
      <c r="A3152" s="2" t="s">
        <v>6987</v>
      </c>
      <c r="B3152" s="2" t="s">
        <v>6988</v>
      </c>
      <c r="C3152" s="2" t="s">
        <v>5</v>
      </c>
      <c r="D3152" s="2" t="s">
        <v>101</v>
      </c>
      <c r="E3152" s="2" t="str">
        <f>"9783031884962"</f>
        <v>9783031884962</v>
      </c>
      <c r="F3152" s="2" t="str">
        <f>"9783031884979"</f>
        <v>9783031884979</v>
      </c>
    </row>
    <row r="3153" spans="1:6" s="3" customFormat="1" ht="29.1" customHeight="1" x14ac:dyDescent="0.25">
      <c r="A3153" s="2" t="s">
        <v>6989</v>
      </c>
      <c r="B3153" s="2" t="s">
        <v>6990</v>
      </c>
      <c r="C3153" s="2" t="s">
        <v>55</v>
      </c>
      <c r="D3153" s="2" t="s">
        <v>2142</v>
      </c>
      <c r="E3153" s="2" t="str">
        <f>"9781526189271"</f>
        <v>9781526189271</v>
      </c>
      <c r="F3153" s="2" t="str">
        <f>"9781526189257"</f>
        <v>9781526189257</v>
      </c>
    </row>
    <row r="3154" spans="1:6" s="3" customFormat="1" ht="29.1" customHeight="1" x14ac:dyDescent="0.25">
      <c r="A3154" s="2" t="s">
        <v>6991</v>
      </c>
      <c r="B3154" s="2" t="s">
        <v>6992</v>
      </c>
      <c r="C3154" s="2" t="s">
        <v>5</v>
      </c>
      <c r="D3154" s="2" t="s">
        <v>5099</v>
      </c>
      <c r="E3154" s="2" t="str">
        <f>"9783658471033"</f>
        <v>9783658471033</v>
      </c>
      <c r="F3154" s="2" t="str">
        <f>"9783658471040"</f>
        <v>9783658471040</v>
      </c>
    </row>
    <row r="3155" spans="1:6" s="3" customFormat="1" ht="29.1" customHeight="1" x14ac:dyDescent="0.25">
      <c r="A3155" s="2" t="s">
        <v>6993</v>
      </c>
      <c r="B3155" s="2" t="s">
        <v>6995</v>
      </c>
      <c r="C3155" s="2" t="s">
        <v>5</v>
      </c>
      <c r="D3155" s="2" t="s">
        <v>6994</v>
      </c>
      <c r="E3155" s="2" t="str">
        <f>"9783031877254"</f>
        <v>9783031877254</v>
      </c>
      <c r="F3155" s="2" t="str">
        <f>"9783031877261"</f>
        <v>9783031877261</v>
      </c>
    </row>
    <row r="3156" spans="1:6" s="3" customFormat="1" ht="29.1" customHeight="1" x14ac:dyDescent="0.25">
      <c r="A3156" s="2" t="s">
        <v>6996</v>
      </c>
      <c r="B3156" s="2" t="s">
        <v>6998</v>
      </c>
      <c r="C3156" s="2" t="s">
        <v>4788</v>
      </c>
      <c r="D3156" s="2" t="s">
        <v>6997</v>
      </c>
      <c r="E3156" s="2" t="str">
        <f>"9781474479875"</f>
        <v>9781474479875</v>
      </c>
      <c r="F3156" s="2" t="str">
        <f>"9781474479899"</f>
        <v>9781474479899</v>
      </c>
    </row>
    <row r="3157" spans="1:6" s="3" customFormat="1" ht="29.1" customHeight="1" x14ac:dyDescent="0.25">
      <c r="A3157" s="2" t="s">
        <v>6999</v>
      </c>
      <c r="B3157" s="2" t="s">
        <v>7001</v>
      </c>
      <c r="C3157" s="2" t="s">
        <v>4788</v>
      </c>
      <c r="D3157" s="2" t="s">
        <v>7000</v>
      </c>
      <c r="E3157" s="2" t="str">
        <f>"9781399542456"</f>
        <v>9781399542456</v>
      </c>
      <c r="F3157" s="2" t="str">
        <f>"9781399542470"</f>
        <v>9781399542470</v>
      </c>
    </row>
    <row r="3158" spans="1:6" s="3" customFormat="1" ht="29.1" customHeight="1" x14ac:dyDescent="0.25">
      <c r="A3158" s="2" t="s">
        <v>7002</v>
      </c>
      <c r="B3158" s="2" t="s">
        <v>7003</v>
      </c>
      <c r="C3158" s="2" t="s">
        <v>4788</v>
      </c>
      <c r="D3158" s="2" t="s">
        <v>5794</v>
      </c>
      <c r="E3158" s="2" t="str">
        <f>"9781399550918"</f>
        <v>9781399550918</v>
      </c>
      <c r="F3158" s="2" t="str">
        <f>"9781399550925"</f>
        <v>9781399550925</v>
      </c>
    </row>
    <row r="3159" spans="1:6" s="3" customFormat="1" ht="29.1" customHeight="1" x14ac:dyDescent="0.25">
      <c r="A3159" s="2" t="s">
        <v>7004</v>
      </c>
      <c r="B3159" s="2" t="s">
        <v>7005</v>
      </c>
      <c r="C3159" s="2" t="s">
        <v>4788</v>
      </c>
      <c r="D3159" s="2" t="s">
        <v>1046</v>
      </c>
      <c r="E3159" s="2" t="str">
        <f>"9781399530132"</f>
        <v>9781399530132</v>
      </c>
      <c r="F3159" s="2" t="str">
        <f>"9781399530156"</f>
        <v>9781399530156</v>
      </c>
    </row>
    <row r="3160" spans="1:6" s="3" customFormat="1" ht="29.1" customHeight="1" x14ac:dyDescent="0.25">
      <c r="A3160" s="2" t="s">
        <v>7006</v>
      </c>
      <c r="B3160" s="2" t="s">
        <v>7007</v>
      </c>
      <c r="C3160" s="2" t="s">
        <v>4788</v>
      </c>
      <c r="D3160" s="2" t="s">
        <v>202</v>
      </c>
      <c r="E3160" s="2" t="str">
        <f>"9781399540162"</f>
        <v>9781399540162</v>
      </c>
      <c r="F3160" s="2" t="str">
        <f>"9781399540186"</f>
        <v>9781399540186</v>
      </c>
    </row>
    <row r="3161" spans="1:6" s="3" customFormat="1" ht="29.1" customHeight="1" x14ac:dyDescent="0.25">
      <c r="A3161" s="2" t="s">
        <v>7008</v>
      </c>
      <c r="B3161" s="2" t="s">
        <v>7009</v>
      </c>
      <c r="C3161" s="2" t="s">
        <v>4788</v>
      </c>
      <c r="D3161" s="2" t="s">
        <v>63</v>
      </c>
      <c r="E3161" s="2" t="str">
        <f>"9781399545860"</f>
        <v>9781399545860</v>
      </c>
      <c r="F3161" s="2" t="str">
        <f>"9781399545877"</f>
        <v>9781399545877</v>
      </c>
    </row>
    <row r="3162" spans="1:6" s="3" customFormat="1" ht="29.1" customHeight="1" x14ac:dyDescent="0.25">
      <c r="A3162" s="2" t="s">
        <v>7010</v>
      </c>
      <c r="B3162" s="2" t="s">
        <v>7011</v>
      </c>
      <c r="C3162" s="2" t="s">
        <v>4788</v>
      </c>
      <c r="D3162" s="2" t="s">
        <v>6123</v>
      </c>
      <c r="E3162" s="2" t="str">
        <f>"9781399533805"</f>
        <v>9781399533805</v>
      </c>
      <c r="F3162" s="2" t="str">
        <f>"9781399533829"</f>
        <v>9781399533829</v>
      </c>
    </row>
    <row r="3163" spans="1:6" s="3" customFormat="1" ht="29.1" customHeight="1" x14ac:dyDescent="0.25">
      <c r="A3163" s="2" t="s">
        <v>7012</v>
      </c>
      <c r="B3163" s="2" t="s">
        <v>7013</v>
      </c>
      <c r="C3163" s="2" t="s">
        <v>4788</v>
      </c>
      <c r="D3163" s="2" t="s">
        <v>1201</v>
      </c>
      <c r="E3163" s="2" t="str">
        <f>"9781399549189"</f>
        <v>9781399549189</v>
      </c>
      <c r="F3163" s="2" t="str">
        <f>"9781399549202"</f>
        <v>9781399549202</v>
      </c>
    </row>
    <row r="3164" spans="1:6" s="3" customFormat="1" ht="29.1" customHeight="1" x14ac:dyDescent="0.25">
      <c r="A3164" s="2" t="s">
        <v>7014</v>
      </c>
      <c r="B3164" s="2" t="s">
        <v>7015</v>
      </c>
      <c r="C3164" s="2" t="s">
        <v>5</v>
      </c>
      <c r="D3164" s="2" t="s">
        <v>653</v>
      </c>
      <c r="E3164" s="2" t="str">
        <f>"9789819636075"</f>
        <v>9789819636075</v>
      </c>
      <c r="F3164" s="2" t="str">
        <f>"9789819636082"</f>
        <v>9789819636082</v>
      </c>
    </row>
    <row r="3165" spans="1:6" s="3" customFormat="1" ht="29.1" customHeight="1" x14ac:dyDescent="0.25">
      <c r="A3165" s="2" t="s">
        <v>7016</v>
      </c>
      <c r="B3165" s="2" t="s">
        <v>7017</v>
      </c>
      <c r="C3165" s="2" t="s">
        <v>5</v>
      </c>
      <c r="D3165" s="2" t="s">
        <v>477</v>
      </c>
      <c r="E3165" s="2" t="str">
        <f>"9789819648559"</f>
        <v>9789819648559</v>
      </c>
      <c r="F3165" s="2" t="str">
        <f>"9789819648566"</f>
        <v>9789819648566</v>
      </c>
    </row>
    <row r="3166" spans="1:6" s="3" customFormat="1" ht="29.1" customHeight="1" x14ac:dyDescent="0.25">
      <c r="A3166" s="2" t="s">
        <v>7018</v>
      </c>
      <c r="B3166" s="2" t="s">
        <v>7019</v>
      </c>
      <c r="C3166" s="2" t="s">
        <v>5</v>
      </c>
      <c r="D3166" s="2" t="s">
        <v>52</v>
      </c>
      <c r="E3166" s="2" t="str">
        <f>"9789464636994"</f>
        <v>9789464636994</v>
      </c>
      <c r="F3166" s="2" t="str">
        <f>"9789464637007"</f>
        <v>9789464637007</v>
      </c>
    </row>
    <row r="3167" spans="1:6" s="3" customFormat="1" ht="29.1" customHeight="1" x14ac:dyDescent="0.25">
      <c r="A3167" s="2" t="s">
        <v>566</v>
      </c>
      <c r="B3167" s="2" t="s">
        <v>7020</v>
      </c>
      <c r="C3167" s="2" t="s">
        <v>195</v>
      </c>
      <c r="D3167" s="2" t="s">
        <v>402</v>
      </c>
      <c r="E3167" s="2" t="str">
        <f>"9783111456515"</f>
        <v>9783111456515</v>
      </c>
      <c r="F3167" s="2" t="str">
        <f>"9783111458892"</f>
        <v>9783111458892</v>
      </c>
    </row>
    <row r="3168" spans="1:6" s="3" customFormat="1" ht="29.1" customHeight="1" x14ac:dyDescent="0.25">
      <c r="A3168" s="2" t="s">
        <v>7021</v>
      </c>
      <c r="B3168" s="2" t="s">
        <v>7022</v>
      </c>
      <c r="C3168" s="2" t="s">
        <v>124</v>
      </c>
      <c r="D3168" s="2" t="s">
        <v>30</v>
      </c>
      <c r="E3168" s="2" t="str">
        <f>"9781032981581"</f>
        <v>9781032981581</v>
      </c>
      <c r="F3168" s="2" t="str">
        <f>"9781003602149"</f>
        <v>9781003602149</v>
      </c>
    </row>
    <row r="3169" spans="1:6" s="3" customFormat="1" ht="29.1" customHeight="1" x14ac:dyDescent="0.25">
      <c r="A3169" s="2" t="s">
        <v>7023</v>
      </c>
      <c r="B3169" s="2" t="s">
        <v>7024</v>
      </c>
      <c r="C3169" s="2" t="s">
        <v>124</v>
      </c>
      <c r="D3169" s="2" t="s">
        <v>210</v>
      </c>
      <c r="E3169" s="2" t="str">
        <f>"9781032722603"</f>
        <v>9781032722603</v>
      </c>
      <c r="F3169" s="2" t="str">
        <f>"9781032722610"</f>
        <v>9781032722610</v>
      </c>
    </row>
    <row r="3170" spans="1:6" s="3" customFormat="1" ht="29.1" customHeight="1" x14ac:dyDescent="0.25">
      <c r="A3170" s="2" t="s">
        <v>7025</v>
      </c>
      <c r="B3170" s="2" t="s">
        <v>7026</v>
      </c>
      <c r="C3170" s="2" t="s">
        <v>195</v>
      </c>
      <c r="D3170" s="2" t="s">
        <v>2428</v>
      </c>
      <c r="E3170" s="2" t="str">
        <f>"9783111712123"</f>
        <v>9783111712123</v>
      </c>
      <c r="F3170" s="2" t="str">
        <f>"9783111712383"</f>
        <v>9783111712383</v>
      </c>
    </row>
    <row r="3171" spans="1:6" s="3" customFormat="1" ht="29.1" customHeight="1" x14ac:dyDescent="0.25">
      <c r="A3171" s="2" t="s">
        <v>7027</v>
      </c>
      <c r="B3171" s="2" t="s">
        <v>7028</v>
      </c>
      <c r="C3171" s="2" t="s">
        <v>195</v>
      </c>
      <c r="D3171" s="2" t="s">
        <v>218</v>
      </c>
      <c r="E3171" s="2" t="str">
        <f>"9783111696492"</f>
        <v>9783111696492</v>
      </c>
      <c r="F3171" s="2" t="str">
        <f>"9783111697215"</f>
        <v>9783111697215</v>
      </c>
    </row>
    <row r="3172" spans="1:6" s="3" customFormat="1" ht="29.1" customHeight="1" x14ac:dyDescent="0.25">
      <c r="A3172" s="2" t="s">
        <v>7029</v>
      </c>
      <c r="B3172" s="2" t="s">
        <v>7030</v>
      </c>
      <c r="C3172" s="2" t="s">
        <v>195</v>
      </c>
      <c r="D3172" s="2" t="s">
        <v>2488</v>
      </c>
      <c r="E3172" s="2" t="str">
        <f>"9783111659527"</f>
        <v>9783111659527</v>
      </c>
      <c r="F3172" s="2" t="str">
        <f>"9783111661438"</f>
        <v>9783111661438</v>
      </c>
    </row>
    <row r="3173" spans="1:6" s="3" customFormat="1" ht="29.1" customHeight="1" x14ac:dyDescent="0.25">
      <c r="A3173" s="2" t="s">
        <v>7031</v>
      </c>
      <c r="B3173" s="2" t="s">
        <v>7032</v>
      </c>
      <c r="C3173" s="2" t="s">
        <v>195</v>
      </c>
      <c r="D3173" s="2" t="s">
        <v>33</v>
      </c>
      <c r="E3173" s="2" t="str">
        <f>"9783111635859"</f>
        <v>9783111635859</v>
      </c>
      <c r="F3173" s="2" t="str">
        <f>"9783111648668"</f>
        <v>9783111648668</v>
      </c>
    </row>
    <row r="3174" spans="1:6" s="3" customFormat="1" ht="29.1" customHeight="1" x14ac:dyDescent="0.25">
      <c r="A3174" s="2" t="s">
        <v>7033</v>
      </c>
      <c r="B3174" s="2" t="s">
        <v>7034</v>
      </c>
      <c r="C3174" s="2" t="s">
        <v>195</v>
      </c>
      <c r="D3174" s="2" t="s">
        <v>465</v>
      </c>
      <c r="E3174" s="2" t="str">
        <f>"9783111404578"</f>
        <v>9783111404578</v>
      </c>
      <c r="F3174" s="2" t="str">
        <f>"9783111405070"</f>
        <v>9783111405070</v>
      </c>
    </row>
    <row r="3175" spans="1:6" s="3" customFormat="1" ht="29.1" customHeight="1" x14ac:dyDescent="0.25">
      <c r="A3175" s="2" t="s">
        <v>7035</v>
      </c>
      <c r="B3175" s="2" t="s">
        <v>7036</v>
      </c>
      <c r="C3175" s="2" t="s">
        <v>5</v>
      </c>
      <c r="D3175" s="2" t="s">
        <v>454</v>
      </c>
      <c r="E3175" s="2" t="str">
        <f>"9789464636697"</f>
        <v>9789464636697</v>
      </c>
      <c r="F3175" s="2" t="str">
        <f>"9789464636703"</f>
        <v>9789464636703</v>
      </c>
    </row>
    <row r="3176" spans="1:6" s="3" customFormat="1" ht="29.1" customHeight="1" x14ac:dyDescent="0.25">
      <c r="A3176" s="2" t="s">
        <v>7037</v>
      </c>
      <c r="B3176" s="2" t="s">
        <v>7038</v>
      </c>
      <c r="C3176" s="2" t="s">
        <v>5</v>
      </c>
      <c r="D3176" s="2" t="s">
        <v>6655</v>
      </c>
      <c r="E3176" s="2" t="str">
        <f>"9783031875434"</f>
        <v>9783031875434</v>
      </c>
      <c r="F3176" s="2" t="str">
        <f>"9783031875441"</f>
        <v>9783031875441</v>
      </c>
    </row>
    <row r="3177" spans="1:6" s="3" customFormat="1" ht="29.1" customHeight="1" x14ac:dyDescent="0.25">
      <c r="A3177" s="2" t="s">
        <v>7039</v>
      </c>
      <c r="B3177" s="2" t="s">
        <v>7040</v>
      </c>
      <c r="C3177" s="2" t="s">
        <v>5</v>
      </c>
      <c r="D3177" s="2" t="s">
        <v>479</v>
      </c>
      <c r="E3177" s="2" t="str">
        <f>"9783031716409"</f>
        <v>9783031716409</v>
      </c>
      <c r="F3177" s="2" t="str">
        <f>"9783031716416"</f>
        <v>9783031716416</v>
      </c>
    </row>
    <row r="3178" spans="1:6" s="3" customFormat="1" ht="29.1" customHeight="1" x14ac:dyDescent="0.25">
      <c r="A3178" s="2" t="s">
        <v>1470</v>
      </c>
      <c r="B3178" s="2" t="s">
        <v>7041</v>
      </c>
      <c r="C3178" s="2" t="s">
        <v>1070</v>
      </c>
      <c r="D3178" s="2" t="s">
        <v>1471</v>
      </c>
      <c r="E3178" s="2" t="str">
        <f>"9783318073690"</f>
        <v>9783318073690</v>
      </c>
      <c r="F3178" s="2" t="str">
        <f>"9783318073959"</f>
        <v>9783318073959</v>
      </c>
    </row>
    <row r="3179" spans="1:6" s="3" customFormat="1" ht="29.1" customHeight="1" x14ac:dyDescent="0.25">
      <c r="A3179" s="2" t="s">
        <v>7042</v>
      </c>
      <c r="B3179" s="2" t="s">
        <v>7043</v>
      </c>
      <c r="C3179" s="2" t="s">
        <v>124</v>
      </c>
      <c r="D3179" s="2" t="s">
        <v>2147</v>
      </c>
      <c r="E3179" s="2" t="str">
        <f>"9781041033691"</f>
        <v>9781041033691</v>
      </c>
      <c r="F3179" s="2" t="str">
        <f>"9781003623540"</f>
        <v>9781003623540</v>
      </c>
    </row>
    <row r="3180" spans="1:6" s="3" customFormat="1" ht="29.1" customHeight="1" x14ac:dyDescent="0.25">
      <c r="A3180" s="2" t="s">
        <v>7044</v>
      </c>
      <c r="B3180" s="2" t="s">
        <v>7045</v>
      </c>
      <c r="C3180" s="2" t="s">
        <v>5</v>
      </c>
      <c r="D3180" s="2" t="s">
        <v>141</v>
      </c>
      <c r="E3180" s="2" t="str">
        <f>"9789464636819"</f>
        <v>9789464636819</v>
      </c>
      <c r="F3180" s="2" t="str">
        <f>"9789464636826"</f>
        <v>9789464636826</v>
      </c>
    </row>
    <row r="3181" spans="1:6" s="3" customFormat="1" ht="29.1" customHeight="1" x14ac:dyDescent="0.25">
      <c r="A3181" s="2" t="s">
        <v>7046</v>
      </c>
      <c r="B3181" s="2" t="s">
        <v>7047</v>
      </c>
      <c r="C3181" s="2" t="s">
        <v>5</v>
      </c>
      <c r="D3181" s="2" t="s">
        <v>4172</v>
      </c>
      <c r="E3181" s="2" t="str">
        <f>"9783031863851"</f>
        <v>9783031863851</v>
      </c>
      <c r="F3181" s="2" t="str">
        <f>"9783031863868"</f>
        <v>9783031863868</v>
      </c>
    </row>
    <row r="3182" spans="1:6" s="3" customFormat="1" ht="29.1" customHeight="1" x14ac:dyDescent="0.25">
      <c r="A3182" s="2" t="s">
        <v>7048</v>
      </c>
      <c r="B3182" s="2" t="s">
        <v>7049</v>
      </c>
      <c r="C3182" s="2" t="s">
        <v>29</v>
      </c>
      <c r="D3182" s="2" t="s">
        <v>33</v>
      </c>
      <c r="E3182" s="2" t="str">
        <f>"9789004727366"</f>
        <v>9789004727366</v>
      </c>
      <c r="F3182" s="2" t="str">
        <f>"9789004732698"</f>
        <v>9789004732698</v>
      </c>
    </row>
    <row r="3183" spans="1:6" s="3" customFormat="1" ht="29.1" customHeight="1" x14ac:dyDescent="0.25">
      <c r="A3183" s="2" t="s">
        <v>7050</v>
      </c>
      <c r="B3183" s="2" t="s">
        <v>7051</v>
      </c>
      <c r="C3183" s="2" t="s">
        <v>55</v>
      </c>
      <c r="D3183" s="2" t="s">
        <v>183</v>
      </c>
      <c r="E3183" s="2" t="str">
        <f>"9781526169655"</f>
        <v>9781526169655</v>
      </c>
      <c r="F3183" s="2" t="str">
        <f>"9781526169662"</f>
        <v>9781526169662</v>
      </c>
    </row>
    <row r="3184" spans="1:6" s="3" customFormat="1" ht="29.1" customHeight="1" x14ac:dyDescent="0.25">
      <c r="A3184" s="2" t="s">
        <v>7052</v>
      </c>
      <c r="B3184" s="2" t="s">
        <v>7053</v>
      </c>
      <c r="C3184" s="2" t="s">
        <v>239</v>
      </c>
      <c r="D3184" s="2" t="s">
        <v>78</v>
      </c>
      <c r="E3184" s="2" t="str">
        <f>"9780520404106"</f>
        <v>9780520404106</v>
      </c>
      <c r="F3184" s="2" t="str">
        <f>"9780520404113"</f>
        <v>9780520404113</v>
      </c>
    </row>
    <row r="3185" spans="1:6" s="3" customFormat="1" ht="29.1" customHeight="1" x14ac:dyDescent="0.25">
      <c r="A3185" s="2" t="s">
        <v>7054</v>
      </c>
      <c r="B3185" s="2" t="s">
        <v>7055</v>
      </c>
      <c r="C3185" s="2" t="s">
        <v>5</v>
      </c>
      <c r="D3185" s="2" t="s">
        <v>86</v>
      </c>
      <c r="E3185" s="2" t="str">
        <f>"9783031834400"</f>
        <v>9783031834400</v>
      </c>
      <c r="F3185" s="2" t="str">
        <f>"9783031834417"</f>
        <v>9783031834417</v>
      </c>
    </row>
    <row r="3186" spans="1:6" s="3" customFormat="1" ht="29.1" customHeight="1" x14ac:dyDescent="0.25">
      <c r="A3186" s="2" t="s">
        <v>7056</v>
      </c>
      <c r="B3186" s="2" t="s">
        <v>7058</v>
      </c>
      <c r="C3186" s="2" t="s">
        <v>681</v>
      </c>
      <c r="D3186" s="2" t="s">
        <v>7057</v>
      </c>
      <c r="E3186" s="2" t="str">
        <f>"9783775760058"</f>
        <v>9783775760058</v>
      </c>
      <c r="F3186" s="2" t="str">
        <f>"9783775760072"</f>
        <v>9783775760072</v>
      </c>
    </row>
    <row r="3187" spans="1:6" s="3" customFormat="1" ht="29.1" customHeight="1" x14ac:dyDescent="0.25">
      <c r="A3187" s="2" t="s">
        <v>7059</v>
      </c>
      <c r="B3187" s="2" t="s">
        <v>7060</v>
      </c>
      <c r="C3187" s="2" t="s">
        <v>5</v>
      </c>
      <c r="D3187" s="2" t="s">
        <v>72</v>
      </c>
      <c r="E3187" s="2" t="str">
        <f>"9783658477158"</f>
        <v>9783658477158</v>
      </c>
      <c r="F3187" s="2" t="str">
        <f>"9783658477165"</f>
        <v>9783658477165</v>
      </c>
    </row>
    <row r="3188" spans="1:6" s="3" customFormat="1" ht="29.1" customHeight="1" x14ac:dyDescent="0.25">
      <c r="A3188" s="2" t="s">
        <v>7061</v>
      </c>
      <c r="B3188" s="2" t="s">
        <v>7062</v>
      </c>
      <c r="C3188" s="2" t="s">
        <v>36</v>
      </c>
      <c r="D3188" s="2" t="s">
        <v>6559</v>
      </c>
      <c r="E3188" s="2"/>
      <c r="F3188" s="2" t="str">
        <f>"9781529237191"</f>
        <v>9781529237191</v>
      </c>
    </row>
    <row r="3189" spans="1:6" s="3" customFormat="1" ht="29.1" customHeight="1" x14ac:dyDescent="0.25">
      <c r="A3189" s="2" t="s">
        <v>7063</v>
      </c>
      <c r="B3189" s="2" t="s">
        <v>7064</v>
      </c>
      <c r="C3189" s="2" t="s">
        <v>124</v>
      </c>
      <c r="D3189" s="2" t="s">
        <v>981</v>
      </c>
      <c r="E3189" s="2" t="str">
        <f>"9781032785288"</f>
        <v>9781032785288</v>
      </c>
      <c r="F3189" s="2" t="str">
        <f>"9781003490715"</f>
        <v>9781003490715</v>
      </c>
    </row>
    <row r="3190" spans="1:6" s="3" customFormat="1" ht="29.1" customHeight="1" x14ac:dyDescent="0.25">
      <c r="A3190" s="2" t="s">
        <v>7065</v>
      </c>
      <c r="B3190" s="2" t="s">
        <v>7066</v>
      </c>
      <c r="C3190" s="2" t="s">
        <v>5</v>
      </c>
      <c r="D3190" s="2" t="s">
        <v>694</v>
      </c>
      <c r="E3190" s="2" t="str">
        <f>"9789464636758"</f>
        <v>9789464636758</v>
      </c>
      <c r="F3190" s="2" t="str">
        <f>"9789464636765"</f>
        <v>9789464636765</v>
      </c>
    </row>
    <row r="3191" spans="1:6" s="3" customFormat="1" ht="29.1" customHeight="1" x14ac:dyDescent="0.25">
      <c r="A3191" s="2" t="s">
        <v>7067</v>
      </c>
      <c r="B3191" s="2" t="s">
        <v>7068</v>
      </c>
      <c r="C3191" s="2" t="s">
        <v>5</v>
      </c>
      <c r="D3191" s="2" t="s">
        <v>12</v>
      </c>
      <c r="E3191" s="2" t="str">
        <f>"9789819642175"</f>
        <v>9789819642175</v>
      </c>
      <c r="F3191" s="2" t="str">
        <f>"9789819642182"</f>
        <v>9789819642182</v>
      </c>
    </row>
    <row r="3192" spans="1:6" s="3" customFormat="1" ht="29.1" customHeight="1" x14ac:dyDescent="0.25">
      <c r="A3192" s="2" t="s">
        <v>7069</v>
      </c>
      <c r="B3192" s="2" t="s">
        <v>7071</v>
      </c>
      <c r="C3192" s="2" t="s">
        <v>757</v>
      </c>
      <c r="D3192" s="2" t="s">
        <v>7070</v>
      </c>
      <c r="E3192" s="2" t="str">
        <f>"9783036596556"</f>
        <v>9783036596556</v>
      </c>
      <c r="F3192" s="2" t="str">
        <f>"9783036596549"</f>
        <v>9783036596549</v>
      </c>
    </row>
    <row r="3193" spans="1:6" s="3" customFormat="1" ht="29.1" customHeight="1" x14ac:dyDescent="0.25">
      <c r="A3193" s="2" t="s">
        <v>7072</v>
      </c>
      <c r="B3193" s="2" t="s">
        <v>7073</v>
      </c>
      <c r="C3193" s="2" t="s">
        <v>62</v>
      </c>
      <c r="D3193" s="2" t="s">
        <v>125</v>
      </c>
      <c r="E3193" s="2" t="str">
        <f>"9783428194735"</f>
        <v>9783428194735</v>
      </c>
      <c r="F3193" s="2" t="str">
        <f>"9783428594733"</f>
        <v>9783428594733</v>
      </c>
    </row>
    <row r="3194" spans="1:6" s="3" customFormat="1" ht="29.1" customHeight="1" x14ac:dyDescent="0.25">
      <c r="A3194" s="2" t="s">
        <v>7074</v>
      </c>
      <c r="B3194" s="2" t="s">
        <v>7075</v>
      </c>
      <c r="C3194" s="2" t="s">
        <v>927</v>
      </c>
      <c r="D3194" s="2" t="s">
        <v>270</v>
      </c>
      <c r="E3194" s="2" t="str">
        <f>"9780472057412"</f>
        <v>9780472057412</v>
      </c>
      <c r="F3194" s="2" t="str">
        <f>"9780472905010"</f>
        <v>9780472905010</v>
      </c>
    </row>
    <row r="3195" spans="1:6" s="3" customFormat="1" ht="29.1" customHeight="1" x14ac:dyDescent="0.25">
      <c r="A3195" s="2" t="s">
        <v>7076</v>
      </c>
      <c r="B3195" s="2" t="s">
        <v>7077</v>
      </c>
      <c r="C3195" s="2" t="s">
        <v>927</v>
      </c>
      <c r="D3195" s="2" t="s">
        <v>210</v>
      </c>
      <c r="E3195" s="2" t="str">
        <f>"9780472057368"</f>
        <v>9780472057368</v>
      </c>
      <c r="F3195" s="2" t="str">
        <f>"9780472904969"</f>
        <v>9780472904969</v>
      </c>
    </row>
    <row r="3196" spans="1:6" s="3" customFormat="1" ht="29.1" customHeight="1" x14ac:dyDescent="0.25">
      <c r="A3196" s="2" t="s">
        <v>7078</v>
      </c>
      <c r="B3196" s="2" t="s">
        <v>7080</v>
      </c>
      <c r="C3196" s="2" t="s">
        <v>248</v>
      </c>
      <c r="D3196" s="2" t="s">
        <v>7079</v>
      </c>
      <c r="E3196" s="2" t="str">
        <f>"9783847431442"</f>
        <v>9783847431442</v>
      </c>
      <c r="F3196" s="2" t="str">
        <f>"9783847432814"</f>
        <v>9783847432814</v>
      </c>
    </row>
    <row r="3197" spans="1:6" s="3" customFormat="1" ht="29.1" customHeight="1" x14ac:dyDescent="0.25">
      <c r="A3197" s="2" t="s">
        <v>7081</v>
      </c>
      <c r="B3197" s="2" t="s">
        <v>7082</v>
      </c>
      <c r="C3197" s="2" t="s">
        <v>248</v>
      </c>
      <c r="D3197" s="2" t="s">
        <v>1927</v>
      </c>
      <c r="E3197" s="2" t="str">
        <f>"9783847430902"</f>
        <v>9783847430902</v>
      </c>
      <c r="F3197" s="2" t="str">
        <f>"9783847432234"</f>
        <v>9783847432234</v>
      </c>
    </row>
    <row r="3198" spans="1:6" s="3" customFormat="1" ht="29.1" customHeight="1" x14ac:dyDescent="0.25">
      <c r="A3198" s="2" t="s">
        <v>7083</v>
      </c>
      <c r="B3198" s="2" t="s">
        <v>7084</v>
      </c>
      <c r="C3198" s="2" t="s">
        <v>248</v>
      </c>
      <c r="D3198" s="2" t="s">
        <v>75</v>
      </c>
      <c r="E3198" s="2" t="str">
        <f>"9783847431015"</f>
        <v>9783847431015</v>
      </c>
      <c r="F3198" s="2" t="str">
        <f>"9783847432364"</f>
        <v>9783847432364</v>
      </c>
    </row>
    <row r="3199" spans="1:6" s="3" customFormat="1" ht="29.1" customHeight="1" x14ac:dyDescent="0.25">
      <c r="A3199" s="2" t="s">
        <v>7085</v>
      </c>
      <c r="B3199" s="2" t="s">
        <v>7086</v>
      </c>
      <c r="C3199" s="2" t="s">
        <v>248</v>
      </c>
      <c r="D3199" s="2" t="s">
        <v>24</v>
      </c>
      <c r="E3199" s="2" t="str">
        <f>"9783847431404"</f>
        <v>9783847431404</v>
      </c>
      <c r="F3199" s="2" t="str">
        <f>"9783847432760"</f>
        <v>9783847432760</v>
      </c>
    </row>
    <row r="3200" spans="1:6" s="3" customFormat="1" ht="29.1" customHeight="1" x14ac:dyDescent="0.25">
      <c r="A3200" s="2" t="s">
        <v>7087</v>
      </c>
      <c r="B3200" s="2" t="s">
        <v>7088</v>
      </c>
      <c r="C3200" s="2" t="s">
        <v>5</v>
      </c>
      <c r="D3200" s="2" t="s">
        <v>633</v>
      </c>
      <c r="E3200" s="2" t="str">
        <f>"9783031863974"</f>
        <v>9783031863974</v>
      </c>
      <c r="F3200" s="2" t="str">
        <f>"9783031863981"</f>
        <v>9783031863981</v>
      </c>
    </row>
    <row r="3201" spans="1:6" s="3" customFormat="1" ht="29.1" customHeight="1" x14ac:dyDescent="0.25">
      <c r="A3201" s="2" t="s">
        <v>7089</v>
      </c>
      <c r="B3201" s="2" t="s">
        <v>7090</v>
      </c>
      <c r="C3201" s="2" t="s">
        <v>5</v>
      </c>
      <c r="D3201" s="2" t="s">
        <v>479</v>
      </c>
      <c r="E3201" s="2" t="str">
        <f>"9789819618477"</f>
        <v>9789819618477</v>
      </c>
      <c r="F3201" s="2" t="str">
        <f>"9789819618484"</f>
        <v>9789819618484</v>
      </c>
    </row>
    <row r="3202" spans="1:6" s="3" customFormat="1" ht="29.1" customHeight="1" x14ac:dyDescent="0.25">
      <c r="A3202" s="2" t="s">
        <v>7091</v>
      </c>
      <c r="B3202" s="2" t="s">
        <v>7092</v>
      </c>
      <c r="C3202" s="2" t="s">
        <v>195</v>
      </c>
      <c r="D3202" s="2" t="s">
        <v>462</v>
      </c>
      <c r="E3202" s="2" t="str">
        <f>"9783111650272"</f>
        <v>9783111650272</v>
      </c>
      <c r="F3202" s="2" t="str">
        <f>"9783111705446"</f>
        <v>9783111705446</v>
      </c>
    </row>
    <row r="3203" spans="1:6" s="3" customFormat="1" ht="29.1" customHeight="1" x14ac:dyDescent="0.25">
      <c r="A3203" s="2" t="s">
        <v>7093</v>
      </c>
      <c r="B3203" s="2" t="s">
        <v>7094</v>
      </c>
      <c r="C3203" s="2" t="s">
        <v>195</v>
      </c>
      <c r="D3203" s="2" t="s">
        <v>431</v>
      </c>
      <c r="E3203" s="2" t="str">
        <f>"9783111335711"</f>
        <v>9783111335711</v>
      </c>
      <c r="F3203" s="2" t="str">
        <f>"9783111336435"</f>
        <v>9783111336435</v>
      </c>
    </row>
    <row r="3204" spans="1:6" s="3" customFormat="1" ht="29.1" customHeight="1" x14ac:dyDescent="0.25">
      <c r="A3204" s="2" t="s">
        <v>7095</v>
      </c>
      <c r="B3204" s="2" t="s">
        <v>7096</v>
      </c>
      <c r="C3204" s="2" t="s">
        <v>195</v>
      </c>
      <c r="D3204" s="2" t="s">
        <v>465</v>
      </c>
      <c r="E3204" s="2" t="str">
        <f>"9783111397481"</f>
        <v>9783111397481</v>
      </c>
      <c r="F3204" s="2" t="str">
        <f>"9783111398518"</f>
        <v>9783111398518</v>
      </c>
    </row>
    <row r="3205" spans="1:6" s="3" customFormat="1" ht="29.1" customHeight="1" x14ac:dyDescent="0.25">
      <c r="A3205" s="2" t="s">
        <v>7097</v>
      </c>
      <c r="B3205" s="2" t="s">
        <v>7098</v>
      </c>
      <c r="C3205" s="2" t="s">
        <v>195</v>
      </c>
      <c r="D3205" s="2" t="s">
        <v>1944</v>
      </c>
      <c r="E3205" s="2" t="str">
        <f>"9783110768640"</f>
        <v>9783110768640</v>
      </c>
      <c r="F3205" s="2" t="str">
        <f>"9783110768763"</f>
        <v>9783110768763</v>
      </c>
    </row>
    <row r="3206" spans="1:6" s="3" customFormat="1" ht="29.1" customHeight="1" x14ac:dyDescent="0.25">
      <c r="A3206" s="2" t="s">
        <v>7099</v>
      </c>
      <c r="B3206" s="2" t="s">
        <v>7100</v>
      </c>
      <c r="C3206" s="2" t="s">
        <v>29</v>
      </c>
      <c r="D3206" s="2" t="s">
        <v>9</v>
      </c>
      <c r="E3206" s="2" t="str">
        <f>"9789004722699"</f>
        <v>9789004722699</v>
      </c>
      <c r="F3206" s="2" t="str">
        <f>"9789004722705"</f>
        <v>9789004722705</v>
      </c>
    </row>
    <row r="3207" spans="1:6" s="3" customFormat="1" ht="29.1" customHeight="1" x14ac:dyDescent="0.25">
      <c r="A3207" s="2" t="s">
        <v>7101</v>
      </c>
      <c r="B3207" s="2" t="s">
        <v>7103</v>
      </c>
      <c r="C3207" s="2" t="s">
        <v>5</v>
      </c>
      <c r="D3207" s="2" t="s">
        <v>7102</v>
      </c>
      <c r="E3207" s="2" t="str">
        <f>"9783031810404"</f>
        <v>9783031810404</v>
      </c>
      <c r="F3207" s="2" t="str">
        <f>"9783031810411"</f>
        <v>9783031810411</v>
      </c>
    </row>
    <row r="3208" spans="1:6" s="3" customFormat="1" ht="29.1" customHeight="1" x14ac:dyDescent="0.25">
      <c r="A3208" s="2" t="s">
        <v>7104</v>
      </c>
      <c r="B3208" s="2" t="s">
        <v>7105</v>
      </c>
      <c r="C3208" s="2" t="s">
        <v>5</v>
      </c>
      <c r="D3208" s="2" t="s">
        <v>1046</v>
      </c>
      <c r="E3208" s="2" t="str">
        <f>"9789819624515"</f>
        <v>9789819624515</v>
      </c>
      <c r="F3208" s="2" t="str">
        <f>"9789819624522"</f>
        <v>9789819624522</v>
      </c>
    </row>
    <row r="3209" spans="1:6" s="3" customFormat="1" ht="29.1" customHeight="1" x14ac:dyDescent="0.25">
      <c r="A3209" s="2" t="s">
        <v>7106</v>
      </c>
      <c r="B3209" s="2" t="s">
        <v>7107</v>
      </c>
      <c r="C3209" s="2" t="s">
        <v>124</v>
      </c>
      <c r="D3209" s="2" t="s">
        <v>186</v>
      </c>
      <c r="E3209" s="2" t="str">
        <f>"9781032514178"</f>
        <v>9781032514178</v>
      </c>
      <c r="F3209" s="2" t="str">
        <f>"9781003402138"</f>
        <v>9781003402138</v>
      </c>
    </row>
    <row r="3210" spans="1:6" s="3" customFormat="1" ht="29.1" customHeight="1" x14ac:dyDescent="0.25">
      <c r="A3210" s="2" t="s">
        <v>7108</v>
      </c>
      <c r="B3210" s="2" t="s">
        <v>7109</v>
      </c>
      <c r="C3210" s="2" t="s">
        <v>124</v>
      </c>
      <c r="D3210" s="2" t="s">
        <v>2513</v>
      </c>
      <c r="E3210" s="2" t="str">
        <f>"9781032756219"</f>
        <v>9781032756219</v>
      </c>
      <c r="F3210" s="2" t="str">
        <f>"9781003474869"</f>
        <v>9781003474869</v>
      </c>
    </row>
    <row r="3211" spans="1:6" s="3" customFormat="1" ht="29.1" customHeight="1" x14ac:dyDescent="0.25">
      <c r="A3211" s="2" t="s">
        <v>7110</v>
      </c>
      <c r="B3211" s="2" t="s">
        <v>7111</v>
      </c>
      <c r="C3211" s="2" t="s">
        <v>5</v>
      </c>
      <c r="D3211" s="2" t="s">
        <v>72</v>
      </c>
      <c r="E3211" s="2" t="str">
        <f>"9789819796663"</f>
        <v>9789819796663</v>
      </c>
      <c r="F3211" s="2" t="str">
        <f>"9789819796670"</f>
        <v>9789819796670</v>
      </c>
    </row>
    <row r="3212" spans="1:6" s="3" customFormat="1" ht="29.1" customHeight="1" x14ac:dyDescent="0.25">
      <c r="A3212" s="2" t="s">
        <v>7112</v>
      </c>
      <c r="B3212" s="2" t="s">
        <v>7113</v>
      </c>
      <c r="C3212" s="2" t="s">
        <v>5</v>
      </c>
      <c r="D3212" s="2" t="s">
        <v>2435</v>
      </c>
      <c r="E3212" s="2" t="str">
        <f>"9783031717574"</f>
        <v>9783031717574</v>
      </c>
      <c r="F3212" s="2" t="str">
        <f>"9783031717581"</f>
        <v>9783031717581</v>
      </c>
    </row>
    <row r="3213" spans="1:6" s="3" customFormat="1" ht="29.1" customHeight="1" x14ac:dyDescent="0.25">
      <c r="A3213" s="2" t="s">
        <v>7114</v>
      </c>
      <c r="B3213" s="2" t="s">
        <v>7115</v>
      </c>
      <c r="C3213" s="2" t="s">
        <v>124</v>
      </c>
      <c r="D3213" s="2" t="s">
        <v>6958</v>
      </c>
      <c r="E3213" s="2" t="str">
        <f>"9781032897073"</f>
        <v>9781032897073</v>
      </c>
      <c r="F3213" s="2" t="str">
        <f>"9781003544258"</f>
        <v>9781003544258</v>
      </c>
    </row>
    <row r="3214" spans="1:6" s="3" customFormat="1" ht="29.1" customHeight="1" x14ac:dyDescent="0.25">
      <c r="A3214" s="2" t="s">
        <v>7116</v>
      </c>
      <c r="B3214" s="2" t="s">
        <v>7117</v>
      </c>
      <c r="C3214" s="2" t="s">
        <v>124</v>
      </c>
      <c r="D3214" s="2" t="s">
        <v>2086</v>
      </c>
      <c r="E3214" s="2" t="str">
        <f>"9781032500867"</f>
        <v>9781032500867</v>
      </c>
      <c r="F3214" s="2" t="str">
        <f>"9781003406471"</f>
        <v>9781003406471</v>
      </c>
    </row>
    <row r="3215" spans="1:6" s="3" customFormat="1" ht="29.1" customHeight="1" x14ac:dyDescent="0.25">
      <c r="A3215" s="2" t="s">
        <v>7118</v>
      </c>
      <c r="B3215" s="2" t="s">
        <v>7119</v>
      </c>
      <c r="C3215" s="2" t="s">
        <v>124</v>
      </c>
      <c r="D3215" s="2" t="s">
        <v>4241</v>
      </c>
      <c r="E3215" s="2" t="str">
        <f>"9781032831251"</f>
        <v>9781032831251</v>
      </c>
      <c r="F3215" s="2" t="str">
        <f>"9781003507857"</f>
        <v>9781003507857</v>
      </c>
    </row>
    <row r="3216" spans="1:6" s="3" customFormat="1" ht="29.1" customHeight="1" x14ac:dyDescent="0.25">
      <c r="A3216" s="2" t="s">
        <v>7120</v>
      </c>
      <c r="B3216" s="2" t="s">
        <v>7122</v>
      </c>
      <c r="C3216" s="2" t="s">
        <v>746</v>
      </c>
      <c r="D3216" s="2" t="s">
        <v>7121</v>
      </c>
      <c r="E3216" s="2" t="str">
        <f>"9781803270166"</f>
        <v>9781803270166</v>
      </c>
      <c r="F3216" s="2" t="str">
        <f>"9781803270173"</f>
        <v>9781803270173</v>
      </c>
    </row>
    <row r="3217" spans="1:6" s="3" customFormat="1" ht="29.1" customHeight="1" x14ac:dyDescent="0.25">
      <c r="A3217" s="2" t="s">
        <v>7123</v>
      </c>
      <c r="B3217" s="2" t="s">
        <v>7124</v>
      </c>
      <c r="C3217" s="2" t="s">
        <v>746</v>
      </c>
      <c r="D3217" s="2" t="s">
        <v>4307</v>
      </c>
      <c r="E3217" s="2" t="str">
        <f>"9781803270104"</f>
        <v>9781803270104</v>
      </c>
      <c r="F3217" s="2" t="str">
        <f>"9781803270111"</f>
        <v>9781803270111</v>
      </c>
    </row>
    <row r="3218" spans="1:6" s="3" customFormat="1" ht="29.1" customHeight="1" x14ac:dyDescent="0.25">
      <c r="A3218" s="2" t="s">
        <v>7125</v>
      </c>
      <c r="B3218" s="2" t="s">
        <v>7126</v>
      </c>
      <c r="C3218" s="2" t="s">
        <v>746</v>
      </c>
      <c r="D3218" s="2" t="s">
        <v>4307</v>
      </c>
      <c r="E3218" s="2" t="str">
        <f>"9781803270142"</f>
        <v>9781803270142</v>
      </c>
      <c r="F3218" s="2" t="str">
        <f>"9781803270159"</f>
        <v>9781803270159</v>
      </c>
    </row>
    <row r="3219" spans="1:6" s="3" customFormat="1" ht="29.1" customHeight="1" x14ac:dyDescent="0.25">
      <c r="A3219" s="2" t="s">
        <v>7127</v>
      </c>
      <c r="B3219" s="2" t="s">
        <v>7122</v>
      </c>
      <c r="C3219" s="2" t="s">
        <v>746</v>
      </c>
      <c r="D3219" s="2" t="s">
        <v>7121</v>
      </c>
      <c r="E3219" s="2" t="str">
        <f>"9781803270227"</f>
        <v>9781803270227</v>
      </c>
      <c r="F3219" s="2" t="str">
        <f>"9781803270234"</f>
        <v>9781803270234</v>
      </c>
    </row>
    <row r="3220" spans="1:6" s="3" customFormat="1" ht="29.1" customHeight="1" x14ac:dyDescent="0.25">
      <c r="A3220" s="2" t="s">
        <v>7128</v>
      </c>
      <c r="B3220" s="2" t="s">
        <v>7129</v>
      </c>
      <c r="C3220" s="2" t="s">
        <v>746</v>
      </c>
      <c r="D3220" s="2" t="s">
        <v>4307</v>
      </c>
      <c r="E3220" s="2" t="str">
        <f>"9781803270203"</f>
        <v>9781803270203</v>
      </c>
      <c r="F3220" s="2" t="str">
        <f>"9781803270210"</f>
        <v>9781803270210</v>
      </c>
    </row>
    <row r="3221" spans="1:6" s="3" customFormat="1" ht="29.1" customHeight="1" x14ac:dyDescent="0.25">
      <c r="A3221" s="2" t="s">
        <v>7130</v>
      </c>
      <c r="B3221" s="2" t="s">
        <v>6503</v>
      </c>
      <c r="C3221" s="2" t="s">
        <v>5</v>
      </c>
      <c r="D3221" s="2" t="s">
        <v>1902</v>
      </c>
      <c r="E3221" s="2" t="str">
        <f>"9789819638697"</f>
        <v>9789819638697</v>
      </c>
      <c r="F3221" s="2" t="str">
        <f>"9789819638703"</f>
        <v>9789819638703</v>
      </c>
    </row>
    <row r="3222" spans="1:6" s="3" customFormat="1" ht="29.1" customHeight="1" x14ac:dyDescent="0.25">
      <c r="A3222" s="2" t="s">
        <v>7131</v>
      </c>
      <c r="B3222" s="2" t="s">
        <v>7133</v>
      </c>
      <c r="C3222" s="2" t="s">
        <v>5</v>
      </c>
      <c r="D3222" s="2" t="s">
        <v>7132</v>
      </c>
      <c r="E3222" s="2" t="str">
        <f>"9783031800511"</f>
        <v>9783031800511</v>
      </c>
      <c r="F3222" s="2" t="str">
        <f>"9783031800528"</f>
        <v>9783031800528</v>
      </c>
    </row>
    <row r="3223" spans="1:6" s="3" customFormat="1" ht="29.1" customHeight="1" x14ac:dyDescent="0.25">
      <c r="A3223" s="2" t="s">
        <v>7134</v>
      </c>
      <c r="B3223" s="2" t="s">
        <v>7135</v>
      </c>
      <c r="C3223" s="2" t="s">
        <v>2133</v>
      </c>
      <c r="D3223" s="2" t="s">
        <v>183</v>
      </c>
      <c r="E3223" s="2" t="str">
        <f>"9781760466916"</f>
        <v>9781760466916</v>
      </c>
      <c r="F3223" s="2" t="str">
        <f>"9781760466923"</f>
        <v>9781760466923</v>
      </c>
    </row>
    <row r="3224" spans="1:6" s="3" customFormat="1" ht="29.1" customHeight="1" x14ac:dyDescent="0.25">
      <c r="A3224" s="2" t="s">
        <v>7136</v>
      </c>
      <c r="B3224" s="2" t="s">
        <v>7137</v>
      </c>
      <c r="C3224" s="2" t="s">
        <v>5</v>
      </c>
      <c r="D3224" s="2" t="s">
        <v>504</v>
      </c>
      <c r="E3224" s="2" t="str">
        <f>"9783031830969"</f>
        <v>9783031830969</v>
      </c>
      <c r="F3224" s="2" t="str">
        <f>"9783031830976"</f>
        <v>9783031830976</v>
      </c>
    </row>
    <row r="3225" spans="1:6" s="3" customFormat="1" ht="29.1" customHeight="1" x14ac:dyDescent="0.25">
      <c r="A3225" s="2" t="s">
        <v>7138</v>
      </c>
      <c r="B3225" s="2" t="s">
        <v>7139</v>
      </c>
      <c r="C3225" s="2" t="s">
        <v>5</v>
      </c>
      <c r="D3225" s="2" t="s">
        <v>52</v>
      </c>
      <c r="E3225" s="2" t="str">
        <f>"9789819614448"</f>
        <v>9789819614448</v>
      </c>
      <c r="F3225" s="2" t="str">
        <f>"9789819614455"</f>
        <v>9789819614455</v>
      </c>
    </row>
    <row r="3226" spans="1:6" s="3" customFormat="1" ht="29.1" customHeight="1" x14ac:dyDescent="0.25">
      <c r="A3226" s="2" t="s">
        <v>7140</v>
      </c>
      <c r="B3226" s="2" t="s">
        <v>4206</v>
      </c>
      <c r="C3226" s="2" t="s">
        <v>4204</v>
      </c>
      <c r="D3226" s="2" t="s">
        <v>550</v>
      </c>
      <c r="E3226" s="2" t="str">
        <f>"9788410262539"</f>
        <v>9788410262539</v>
      </c>
      <c r="F3226" s="2" t="str">
        <f>"9788410262546"</f>
        <v>9788410262546</v>
      </c>
    </row>
    <row r="3227" spans="1:6" s="3" customFormat="1" ht="29.1" customHeight="1" x14ac:dyDescent="0.25">
      <c r="A3227" s="2" t="s">
        <v>7141</v>
      </c>
      <c r="B3227" s="2" t="s">
        <v>4206</v>
      </c>
      <c r="C3227" s="2" t="s">
        <v>4204</v>
      </c>
      <c r="D3227" s="2" t="s">
        <v>15</v>
      </c>
      <c r="E3227" s="2" t="str">
        <f>"9788410262577"</f>
        <v>9788410262577</v>
      </c>
      <c r="F3227" s="2" t="str">
        <f>"9788410262584"</f>
        <v>9788410262584</v>
      </c>
    </row>
    <row r="3228" spans="1:6" s="3" customFormat="1" ht="29.1" customHeight="1" x14ac:dyDescent="0.25">
      <c r="A3228" s="2" t="s">
        <v>7142</v>
      </c>
      <c r="B3228" s="2" t="s">
        <v>7143</v>
      </c>
      <c r="C3228" s="2" t="s">
        <v>4204</v>
      </c>
      <c r="D3228" s="2" t="s">
        <v>2048</v>
      </c>
      <c r="E3228" s="2" t="str">
        <f>"9788410262591"</f>
        <v>9788410262591</v>
      </c>
      <c r="F3228" s="2" t="str">
        <f>"9788410262607"</f>
        <v>9788410262607</v>
      </c>
    </row>
    <row r="3229" spans="1:6" s="3" customFormat="1" ht="29.1" customHeight="1" x14ac:dyDescent="0.25">
      <c r="A3229" s="2" t="s">
        <v>7144</v>
      </c>
      <c r="B3229" s="2" t="s">
        <v>4206</v>
      </c>
      <c r="C3229" s="2" t="s">
        <v>4204</v>
      </c>
      <c r="D3229" s="2" t="s">
        <v>3943</v>
      </c>
      <c r="E3229" s="2" t="str">
        <f>"9788410262652"</f>
        <v>9788410262652</v>
      </c>
      <c r="F3229" s="2" t="str">
        <f>"9788410262669"</f>
        <v>9788410262669</v>
      </c>
    </row>
    <row r="3230" spans="1:6" s="3" customFormat="1" ht="29.1" customHeight="1" x14ac:dyDescent="0.25">
      <c r="A3230" s="2" t="s">
        <v>7145</v>
      </c>
      <c r="B3230" s="2" t="s">
        <v>4206</v>
      </c>
      <c r="C3230" s="2" t="s">
        <v>4204</v>
      </c>
      <c r="D3230" s="2" t="s">
        <v>2048</v>
      </c>
      <c r="E3230" s="2" t="str">
        <f>"9788410262676"</f>
        <v>9788410262676</v>
      </c>
      <c r="F3230" s="2" t="str">
        <f>"9788410262683"</f>
        <v>9788410262683</v>
      </c>
    </row>
    <row r="3231" spans="1:6" s="3" customFormat="1" ht="29.1" customHeight="1" x14ac:dyDescent="0.25">
      <c r="A3231" s="2" t="s">
        <v>7146</v>
      </c>
      <c r="B3231" s="2" t="s">
        <v>7148</v>
      </c>
      <c r="C3231" s="2" t="s">
        <v>149</v>
      </c>
      <c r="D3231" s="2" t="s">
        <v>7147</v>
      </c>
      <c r="E3231" s="2" t="str">
        <f>"9781800643321"</f>
        <v>9781800643321</v>
      </c>
      <c r="F3231" s="2" t="str">
        <f>"9781800643345"</f>
        <v>9781800643345</v>
      </c>
    </row>
    <row r="3232" spans="1:6" s="3" customFormat="1" ht="29.1" customHeight="1" x14ac:dyDescent="0.25">
      <c r="A3232" s="2" t="s">
        <v>7149</v>
      </c>
      <c r="B3232" s="2" t="s">
        <v>7150</v>
      </c>
      <c r="C3232" s="2" t="s">
        <v>29</v>
      </c>
      <c r="D3232" s="2" t="s">
        <v>150</v>
      </c>
      <c r="E3232" s="2" t="str">
        <f>"9783506796950"</f>
        <v>9783506796950</v>
      </c>
      <c r="F3232" s="2" t="str">
        <f>"9783657796953"</f>
        <v>9783657796953</v>
      </c>
    </row>
    <row r="3233" spans="1:6" s="3" customFormat="1" ht="29.1" customHeight="1" x14ac:dyDescent="0.25">
      <c r="A3233" s="2" t="s">
        <v>7151</v>
      </c>
      <c r="B3233" s="2"/>
      <c r="C3233" s="2" t="s">
        <v>59</v>
      </c>
      <c r="D3233" s="2" t="s">
        <v>2542</v>
      </c>
      <c r="E3233" s="2"/>
      <c r="F3233" s="2" t="str">
        <f>"9782759240487"</f>
        <v>9782759240487</v>
      </c>
    </row>
    <row r="3234" spans="1:6" s="3" customFormat="1" ht="29.1" customHeight="1" x14ac:dyDescent="0.25">
      <c r="A3234" s="2" t="s">
        <v>7152</v>
      </c>
      <c r="B3234" s="2" t="s">
        <v>7153</v>
      </c>
      <c r="C3234" s="2" t="s">
        <v>5</v>
      </c>
      <c r="D3234" s="2" t="s">
        <v>44</v>
      </c>
      <c r="E3234" s="2" t="str">
        <f>"9789819634323"</f>
        <v>9789819634323</v>
      </c>
      <c r="F3234" s="2" t="str">
        <f>"9789819634330"</f>
        <v>9789819634330</v>
      </c>
    </row>
    <row r="3235" spans="1:6" s="3" customFormat="1" ht="29.1" customHeight="1" x14ac:dyDescent="0.25">
      <c r="A3235" s="2" t="s">
        <v>7154</v>
      </c>
      <c r="B3235" s="2" t="s">
        <v>7155</v>
      </c>
      <c r="C3235" s="2" t="s">
        <v>5</v>
      </c>
      <c r="D3235" s="2" t="s">
        <v>12</v>
      </c>
      <c r="E3235" s="2" t="str">
        <f>"9783031840807"</f>
        <v>9783031840807</v>
      </c>
      <c r="F3235" s="2" t="str">
        <f>"9783031840814"</f>
        <v>9783031840814</v>
      </c>
    </row>
    <row r="3236" spans="1:6" s="3" customFormat="1" ht="29.1" customHeight="1" x14ac:dyDescent="0.25">
      <c r="A3236" s="2" t="s">
        <v>7156</v>
      </c>
      <c r="B3236" s="2" t="s">
        <v>7157</v>
      </c>
      <c r="C3236" s="2" t="s">
        <v>5</v>
      </c>
      <c r="D3236" s="2" t="s">
        <v>3958</v>
      </c>
      <c r="E3236" s="2" t="str">
        <f>"9783658470166"</f>
        <v>9783658470166</v>
      </c>
      <c r="F3236" s="2" t="str">
        <f>"9783658470173"</f>
        <v>9783658470173</v>
      </c>
    </row>
    <row r="3237" spans="1:6" s="3" customFormat="1" ht="29.1" customHeight="1" x14ac:dyDescent="0.25">
      <c r="A3237" s="2" t="s">
        <v>7158</v>
      </c>
      <c r="B3237" s="2" t="s">
        <v>7159</v>
      </c>
      <c r="C3237" s="2" t="s">
        <v>5</v>
      </c>
      <c r="D3237" s="2" t="s">
        <v>9</v>
      </c>
      <c r="E3237" s="2" t="str">
        <f>"9783031680854"</f>
        <v>9783031680854</v>
      </c>
      <c r="F3237" s="2" t="str">
        <f>"9783031680861"</f>
        <v>9783031680861</v>
      </c>
    </row>
    <row r="3238" spans="1:6" s="3" customFormat="1" ht="29.1" customHeight="1" x14ac:dyDescent="0.25">
      <c r="A3238" s="2" t="s">
        <v>7160</v>
      </c>
      <c r="B3238" s="2" t="s">
        <v>7161</v>
      </c>
      <c r="C3238" s="2" t="s">
        <v>124</v>
      </c>
      <c r="D3238" s="2" t="s">
        <v>270</v>
      </c>
      <c r="E3238" s="2" t="str">
        <f>"9781041039594"</f>
        <v>9781041039594</v>
      </c>
      <c r="F3238" s="2" t="str">
        <f>"9781003626138"</f>
        <v>9781003626138</v>
      </c>
    </row>
    <row r="3239" spans="1:6" s="3" customFormat="1" ht="29.1" customHeight="1" x14ac:dyDescent="0.25">
      <c r="A3239" s="2" t="s">
        <v>7162</v>
      </c>
      <c r="B3239" s="2" t="s">
        <v>7165</v>
      </c>
      <c r="C3239" s="2" t="s">
        <v>7163</v>
      </c>
      <c r="D3239" s="2" t="s">
        <v>7164</v>
      </c>
      <c r="E3239" s="2" t="str">
        <f>"9781643366265"</f>
        <v>9781643366265</v>
      </c>
      <c r="F3239" s="2" t="str">
        <f>"9781643366364"</f>
        <v>9781643366364</v>
      </c>
    </row>
    <row r="3240" spans="1:6" s="3" customFormat="1" ht="29.1" customHeight="1" x14ac:dyDescent="0.25">
      <c r="A3240" s="2" t="s">
        <v>7166</v>
      </c>
      <c r="B3240" s="2" t="s">
        <v>7168</v>
      </c>
      <c r="C3240" s="2" t="s">
        <v>7163</v>
      </c>
      <c r="D3240" s="2" t="s">
        <v>7167</v>
      </c>
      <c r="E3240" s="2" t="str">
        <f>"9781643365466"</f>
        <v>9781643365466</v>
      </c>
      <c r="F3240" s="2" t="str">
        <f>"9781643366135"</f>
        <v>9781643366135</v>
      </c>
    </row>
    <row r="3241" spans="1:6" s="3" customFormat="1" ht="29.1" customHeight="1" x14ac:dyDescent="0.25">
      <c r="A3241" s="2" t="s">
        <v>7169</v>
      </c>
      <c r="B3241" s="2" t="s">
        <v>7170</v>
      </c>
      <c r="C3241" s="2" t="s">
        <v>7163</v>
      </c>
      <c r="D3241" s="2" t="s">
        <v>5571</v>
      </c>
      <c r="E3241" s="2" t="str">
        <f>"9781643366142"</f>
        <v>9781643366142</v>
      </c>
      <c r="F3241" s="2" t="str">
        <f>"9781643366388"</f>
        <v>9781643366388</v>
      </c>
    </row>
    <row r="3242" spans="1:6" s="3" customFormat="1" ht="29.1" customHeight="1" x14ac:dyDescent="0.25">
      <c r="A3242" s="2" t="s">
        <v>7171</v>
      </c>
      <c r="B3242" s="2" t="s">
        <v>7172</v>
      </c>
      <c r="C3242" s="2" t="s">
        <v>149</v>
      </c>
      <c r="D3242" s="2" t="s">
        <v>3043</v>
      </c>
      <c r="E3242" s="2" t="str">
        <f>"9781805114307"</f>
        <v>9781805114307</v>
      </c>
      <c r="F3242" s="2" t="str">
        <f>"9781805114321"</f>
        <v>9781805114321</v>
      </c>
    </row>
    <row r="3243" spans="1:6" s="3" customFormat="1" ht="29.1" customHeight="1" x14ac:dyDescent="0.25">
      <c r="A3243" s="2" t="s">
        <v>7173</v>
      </c>
      <c r="B3243" s="2" t="s">
        <v>7174</v>
      </c>
      <c r="C3243" s="2" t="s">
        <v>950</v>
      </c>
      <c r="D3243" s="2" t="s">
        <v>3958</v>
      </c>
      <c r="E3243" s="2"/>
      <c r="F3243" s="2" t="str">
        <f>"9791370062118"</f>
        <v>9791370062118</v>
      </c>
    </row>
    <row r="3244" spans="1:6" s="3" customFormat="1" ht="29.1" customHeight="1" x14ac:dyDescent="0.25">
      <c r="A3244" s="2" t="s">
        <v>7175</v>
      </c>
      <c r="B3244" s="2" t="s">
        <v>7176</v>
      </c>
      <c r="C3244" s="2" t="s">
        <v>950</v>
      </c>
      <c r="D3244" s="2" t="s">
        <v>52</v>
      </c>
      <c r="E3244" s="2"/>
      <c r="F3244" s="2" t="str">
        <f>"9791370061791"</f>
        <v>9791370061791</v>
      </c>
    </row>
    <row r="3245" spans="1:6" s="3" customFormat="1" ht="29.1" customHeight="1" x14ac:dyDescent="0.25">
      <c r="A3245" s="2" t="s">
        <v>7177</v>
      </c>
      <c r="B3245" s="2" t="s">
        <v>7178</v>
      </c>
      <c r="C3245" s="2" t="s">
        <v>950</v>
      </c>
      <c r="D3245" s="2" t="s">
        <v>2551</v>
      </c>
      <c r="E3245" s="2"/>
      <c r="F3245" s="2" t="str">
        <f>"9791370061647"</f>
        <v>9791370061647</v>
      </c>
    </row>
    <row r="3246" spans="1:6" s="3" customFormat="1" ht="29.1" customHeight="1" x14ac:dyDescent="0.25">
      <c r="A3246" s="2" t="s">
        <v>7179</v>
      </c>
      <c r="B3246" s="2" t="s">
        <v>7181</v>
      </c>
      <c r="C3246" s="2" t="s">
        <v>950</v>
      </c>
      <c r="D3246" s="2" t="s">
        <v>7180</v>
      </c>
      <c r="E3246" s="2"/>
      <c r="F3246" s="2" t="str">
        <f>"9788410709409"</f>
        <v>9788410709409</v>
      </c>
    </row>
    <row r="3247" spans="1:6" s="3" customFormat="1" ht="29.1" customHeight="1" x14ac:dyDescent="0.25">
      <c r="A3247" s="2" t="s">
        <v>7182</v>
      </c>
      <c r="B3247" s="2" t="s">
        <v>7183</v>
      </c>
      <c r="C3247" s="2" t="s">
        <v>950</v>
      </c>
      <c r="D3247" s="2" t="s">
        <v>951</v>
      </c>
      <c r="E3247" s="2"/>
      <c r="F3247" s="2" t="str">
        <f>"9791370062224"</f>
        <v>9791370062224</v>
      </c>
    </row>
    <row r="3248" spans="1:6" s="3" customFormat="1" ht="29.1" customHeight="1" x14ac:dyDescent="0.25">
      <c r="A3248" s="2" t="s">
        <v>7184</v>
      </c>
      <c r="B3248" s="2" t="s">
        <v>7185</v>
      </c>
      <c r="C3248" s="2" t="s">
        <v>950</v>
      </c>
      <c r="D3248" s="2" t="s">
        <v>52</v>
      </c>
      <c r="E3248" s="2"/>
      <c r="F3248" s="2" t="str">
        <f>"9791370062071"</f>
        <v>9791370062071</v>
      </c>
    </row>
    <row r="3249" spans="1:6" s="3" customFormat="1" ht="29.1" customHeight="1" x14ac:dyDescent="0.25">
      <c r="A3249" s="2" t="s">
        <v>7186</v>
      </c>
      <c r="B3249" s="2" t="s">
        <v>7187</v>
      </c>
      <c r="C3249" s="2" t="s">
        <v>950</v>
      </c>
      <c r="D3249" s="2" t="s">
        <v>550</v>
      </c>
      <c r="E3249" s="2"/>
      <c r="F3249" s="2" t="str">
        <f>"9791370062064"</f>
        <v>9791370062064</v>
      </c>
    </row>
    <row r="3250" spans="1:6" s="3" customFormat="1" ht="29.1" customHeight="1" x14ac:dyDescent="0.25">
      <c r="A3250" s="2" t="s">
        <v>7188</v>
      </c>
      <c r="B3250" s="2" t="s">
        <v>7189</v>
      </c>
      <c r="C3250" s="2" t="s">
        <v>950</v>
      </c>
      <c r="D3250" s="2" t="s">
        <v>1013</v>
      </c>
      <c r="E3250" s="2"/>
      <c r="F3250" s="2" t="str">
        <f>"9791370061869"</f>
        <v>9791370061869</v>
      </c>
    </row>
    <row r="3251" spans="1:6" s="3" customFormat="1" ht="29.1" customHeight="1" x14ac:dyDescent="0.25">
      <c r="A3251" s="2" t="s">
        <v>7190</v>
      </c>
      <c r="B3251" s="2" t="s">
        <v>7191</v>
      </c>
      <c r="C3251" s="2" t="s">
        <v>950</v>
      </c>
      <c r="D3251" s="2" t="s">
        <v>553</v>
      </c>
      <c r="E3251" s="2"/>
      <c r="F3251" s="2" t="str">
        <f>"9791370061807"</f>
        <v>9791370061807</v>
      </c>
    </row>
    <row r="3252" spans="1:6" s="3" customFormat="1" ht="29.1" customHeight="1" x14ac:dyDescent="0.25">
      <c r="A3252" s="2" t="s">
        <v>7192</v>
      </c>
      <c r="B3252" s="2" t="s">
        <v>7193</v>
      </c>
      <c r="C3252" s="2" t="s">
        <v>950</v>
      </c>
      <c r="D3252" s="2" t="s">
        <v>2599</v>
      </c>
      <c r="E3252" s="2"/>
      <c r="F3252" s="2" t="str">
        <f>"9791370061739"</f>
        <v>9791370061739</v>
      </c>
    </row>
    <row r="3253" spans="1:6" s="3" customFormat="1" ht="29.1" customHeight="1" x14ac:dyDescent="0.25">
      <c r="A3253" s="2" t="s">
        <v>7194</v>
      </c>
      <c r="B3253" s="2" t="s">
        <v>7195</v>
      </c>
      <c r="C3253" s="2" t="s">
        <v>950</v>
      </c>
      <c r="D3253" s="2" t="s">
        <v>836</v>
      </c>
      <c r="E3253" s="2"/>
      <c r="F3253" s="2" t="str">
        <f>"9791370061722"</f>
        <v>9791370061722</v>
      </c>
    </row>
    <row r="3254" spans="1:6" s="3" customFormat="1" ht="29.1" customHeight="1" x14ac:dyDescent="0.25">
      <c r="A3254" s="2" t="s">
        <v>7196</v>
      </c>
      <c r="B3254" s="2" t="s">
        <v>7197</v>
      </c>
      <c r="C3254" s="2" t="s">
        <v>950</v>
      </c>
      <c r="D3254" s="2" t="s">
        <v>951</v>
      </c>
      <c r="E3254" s="2"/>
      <c r="F3254" s="2" t="str">
        <f>"9791370061661"</f>
        <v>9791370061661</v>
      </c>
    </row>
    <row r="3255" spans="1:6" s="3" customFormat="1" ht="29.1" customHeight="1" x14ac:dyDescent="0.25">
      <c r="A3255" s="2" t="s">
        <v>7198</v>
      </c>
      <c r="B3255" s="2" t="s">
        <v>7200</v>
      </c>
      <c r="C3255" s="2" t="s">
        <v>950</v>
      </c>
      <c r="D3255" s="2" t="s">
        <v>7199</v>
      </c>
      <c r="E3255" s="2"/>
      <c r="F3255" s="2" t="str">
        <f>"9791370061654"</f>
        <v>9791370061654</v>
      </c>
    </row>
    <row r="3256" spans="1:6" s="3" customFormat="1" ht="29.1" customHeight="1" x14ac:dyDescent="0.25">
      <c r="A3256" s="2" t="s">
        <v>7201</v>
      </c>
      <c r="B3256" s="2" t="s">
        <v>7202</v>
      </c>
      <c r="C3256" s="2" t="s">
        <v>950</v>
      </c>
      <c r="D3256" s="2" t="s">
        <v>968</v>
      </c>
      <c r="E3256" s="2"/>
      <c r="F3256" s="2" t="str">
        <f>"9791370061456"</f>
        <v>9791370061456</v>
      </c>
    </row>
    <row r="3257" spans="1:6" s="3" customFormat="1" ht="29.1" customHeight="1" x14ac:dyDescent="0.25">
      <c r="A3257" s="2" t="s">
        <v>7203</v>
      </c>
      <c r="B3257" s="2" t="s">
        <v>7204</v>
      </c>
      <c r="C3257" s="2" t="s">
        <v>950</v>
      </c>
      <c r="D3257" s="2" t="s">
        <v>3224</v>
      </c>
      <c r="E3257" s="2"/>
      <c r="F3257" s="2" t="str">
        <f>"9791370061364"</f>
        <v>9791370061364</v>
      </c>
    </row>
    <row r="3258" spans="1:6" s="3" customFormat="1" ht="29.1" customHeight="1" x14ac:dyDescent="0.25">
      <c r="A3258" s="2" t="s">
        <v>7205</v>
      </c>
      <c r="B3258" s="2" t="s">
        <v>7207</v>
      </c>
      <c r="C3258" s="2" t="s">
        <v>950</v>
      </c>
      <c r="D3258" s="2" t="s">
        <v>7206</v>
      </c>
      <c r="E3258" s="2"/>
      <c r="F3258" s="2" t="str">
        <f>"9791370061074"</f>
        <v>9791370061074</v>
      </c>
    </row>
    <row r="3259" spans="1:6" s="3" customFormat="1" ht="29.1" customHeight="1" x14ac:dyDescent="0.25">
      <c r="A3259" s="2" t="s">
        <v>7208</v>
      </c>
      <c r="B3259" s="2" t="s">
        <v>7209</v>
      </c>
      <c r="C3259" s="2" t="s">
        <v>950</v>
      </c>
      <c r="D3259" s="2" t="s">
        <v>2776</v>
      </c>
      <c r="E3259" s="2"/>
      <c r="F3259" s="2" t="str">
        <f>"9791370060961"</f>
        <v>9791370060961</v>
      </c>
    </row>
    <row r="3260" spans="1:6" s="3" customFormat="1" ht="29.1" customHeight="1" x14ac:dyDescent="0.25">
      <c r="A3260" s="2" t="s">
        <v>7210</v>
      </c>
      <c r="B3260" s="2" t="s">
        <v>7211</v>
      </c>
      <c r="C3260" s="2" t="s">
        <v>950</v>
      </c>
      <c r="D3260" s="2" t="s">
        <v>897</v>
      </c>
      <c r="E3260" s="2"/>
      <c r="F3260" s="2" t="str">
        <f>"9791370060916"</f>
        <v>9791370060916</v>
      </c>
    </row>
    <row r="3261" spans="1:6" s="3" customFormat="1" ht="29.1" customHeight="1" x14ac:dyDescent="0.25">
      <c r="A3261" s="2" t="s">
        <v>7212</v>
      </c>
      <c r="B3261" s="2" t="s">
        <v>7213</v>
      </c>
      <c r="C3261" s="2" t="s">
        <v>950</v>
      </c>
      <c r="D3261" s="2" t="s">
        <v>2391</v>
      </c>
      <c r="E3261" s="2"/>
      <c r="F3261" s="2" t="str">
        <f>"9791370060817"</f>
        <v>9791370060817</v>
      </c>
    </row>
    <row r="3262" spans="1:6" s="3" customFormat="1" ht="29.1" customHeight="1" x14ac:dyDescent="0.25">
      <c r="A3262" s="2" t="s">
        <v>7214</v>
      </c>
      <c r="B3262" s="2" t="s">
        <v>7215</v>
      </c>
      <c r="C3262" s="2" t="s">
        <v>950</v>
      </c>
      <c r="D3262" s="2" t="s">
        <v>75</v>
      </c>
      <c r="E3262" s="2"/>
      <c r="F3262" s="2" t="str">
        <f>"9791370060732"</f>
        <v>9791370060732</v>
      </c>
    </row>
    <row r="3263" spans="1:6" s="3" customFormat="1" ht="29.1" customHeight="1" x14ac:dyDescent="0.25">
      <c r="A3263" s="2" t="s">
        <v>7216</v>
      </c>
      <c r="B3263" s="2" t="s">
        <v>7217</v>
      </c>
      <c r="C3263" s="2" t="s">
        <v>950</v>
      </c>
      <c r="D3263" s="2" t="s">
        <v>4002</v>
      </c>
      <c r="E3263" s="2"/>
      <c r="F3263" s="2" t="str">
        <f>"9791370060725"</f>
        <v>9791370060725</v>
      </c>
    </row>
    <row r="3264" spans="1:6" s="3" customFormat="1" ht="29.1" customHeight="1" x14ac:dyDescent="0.25">
      <c r="A3264" s="2" t="s">
        <v>7218</v>
      </c>
      <c r="B3264" s="2" t="s">
        <v>7219</v>
      </c>
      <c r="C3264" s="2" t="s">
        <v>950</v>
      </c>
      <c r="D3264" s="2" t="s">
        <v>75</v>
      </c>
      <c r="E3264" s="2"/>
      <c r="F3264" s="2" t="str">
        <f>"9791370060718"</f>
        <v>9791370060718</v>
      </c>
    </row>
    <row r="3265" spans="1:6" s="3" customFormat="1" ht="29.1" customHeight="1" x14ac:dyDescent="0.25">
      <c r="A3265" s="2" t="s">
        <v>7220</v>
      </c>
      <c r="B3265" s="2" t="s">
        <v>7221</v>
      </c>
      <c r="C3265" s="2" t="s">
        <v>950</v>
      </c>
      <c r="D3265" s="2" t="s">
        <v>4214</v>
      </c>
      <c r="E3265" s="2"/>
      <c r="F3265" s="2" t="str">
        <f>"9791370060701"</f>
        <v>9791370060701</v>
      </c>
    </row>
    <row r="3266" spans="1:6" s="3" customFormat="1" ht="29.1" customHeight="1" x14ac:dyDescent="0.25">
      <c r="A3266" s="2" t="s">
        <v>7222</v>
      </c>
      <c r="B3266" s="2" t="s">
        <v>7223</v>
      </c>
      <c r="C3266" s="2" t="s">
        <v>950</v>
      </c>
      <c r="D3266" s="2" t="s">
        <v>21</v>
      </c>
      <c r="E3266" s="2"/>
      <c r="F3266" s="2" t="str">
        <f>"9791370060688"</f>
        <v>9791370060688</v>
      </c>
    </row>
    <row r="3267" spans="1:6" s="3" customFormat="1" ht="29.1" customHeight="1" x14ac:dyDescent="0.25">
      <c r="A3267" s="2" t="s">
        <v>7224</v>
      </c>
      <c r="B3267" s="2" t="s">
        <v>7225</v>
      </c>
      <c r="C3267" s="2" t="s">
        <v>950</v>
      </c>
      <c r="D3267" s="2" t="s">
        <v>1094</v>
      </c>
      <c r="E3267" s="2"/>
      <c r="F3267" s="2" t="str">
        <f>"9791370060671"</f>
        <v>9791370060671</v>
      </c>
    </row>
    <row r="3268" spans="1:6" s="3" customFormat="1" ht="29.1" customHeight="1" x14ac:dyDescent="0.25">
      <c r="A3268" s="2" t="s">
        <v>7226</v>
      </c>
      <c r="B3268" s="2" t="s">
        <v>7227</v>
      </c>
      <c r="C3268" s="2" t="s">
        <v>950</v>
      </c>
      <c r="D3268" s="2" t="s">
        <v>490</v>
      </c>
      <c r="E3268" s="2"/>
      <c r="F3268" s="2" t="str">
        <f>"9791370060596"</f>
        <v>9791370060596</v>
      </c>
    </row>
    <row r="3269" spans="1:6" s="3" customFormat="1" ht="29.1" customHeight="1" x14ac:dyDescent="0.25">
      <c r="A3269" s="2" t="s">
        <v>7228</v>
      </c>
      <c r="B3269" s="2" t="s">
        <v>7229</v>
      </c>
      <c r="C3269" s="2" t="s">
        <v>950</v>
      </c>
      <c r="D3269" s="2" t="s">
        <v>836</v>
      </c>
      <c r="E3269" s="2"/>
      <c r="F3269" s="2" t="str">
        <f>"9791370060589"</f>
        <v>9791370060589</v>
      </c>
    </row>
    <row r="3270" spans="1:6" s="3" customFormat="1" ht="29.1" customHeight="1" x14ac:dyDescent="0.25">
      <c r="A3270" s="2" t="s">
        <v>7230</v>
      </c>
      <c r="B3270" s="2" t="s">
        <v>7231</v>
      </c>
      <c r="C3270" s="2" t="s">
        <v>950</v>
      </c>
      <c r="D3270" s="2" t="s">
        <v>490</v>
      </c>
      <c r="E3270" s="2"/>
      <c r="F3270" s="2" t="str">
        <f>"9791370060572"</f>
        <v>9791370060572</v>
      </c>
    </row>
    <row r="3271" spans="1:6" s="3" customFormat="1" ht="29.1" customHeight="1" x14ac:dyDescent="0.25">
      <c r="A3271" s="2" t="s">
        <v>7232</v>
      </c>
      <c r="B3271" s="2" t="s">
        <v>7233</v>
      </c>
      <c r="C3271" s="2" t="s">
        <v>950</v>
      </c>
      <c r="D3271" s="2" t="s">
        <v>978</v>
      </c>
      <c r="E3271" s="2"/>
      <c r="F3271" s="2" t="str">
        <f>"9791370060558"</f>
        <v>9791370060558</v>
      </c>
    </row>
    <row r="3272" spans="1:6" s="3" customFormat="1" ht="29.1" customHeight="1" x14ac:dyDescent="0.25">
      <c r="A3272" s="2" t="s">
        <v>7234</v>
      </c>
      <c r="B3272" s="2" t="s">
        <v>7235</v>
      </c>
      <c r="C3272" s="2" t="s">
        <v>950</v>
      </c>
      <c r="D3272" s="2" t="s">
        <v>3214</v>
      </c>
      <c r="E3272" s="2"/>
      <c r="F3272" s="2" t="str">
        <f>"9791370060503"</f>
        <v>9791370060503</v>
      </c>
    </row>
    <row r="3273" spans="1:6" s="3" customFormat="1" ht="29.1" customHeight="1" x14ac:dyDescent="0.25">
      <c r="A3273" s="2" t="s">
        <v>7236</v>
      </c>
      <c r="B3273" s="2" t="s">
        <v>7237</v>
      </c>
      <c r="C3273" s="2" t="s">
        <v>950</v>
      </c>
      <c r="D3273" s="2" t="s">
        <v>951</v>
      </c>
      <c r="E3273" s="2"/>
      <c r="F3273" s="2" t="str">
        <f>"9791370060442"</f>
        <v>9791370060442</v>
      </c>
    </row>
    <row r="3274" spans="1:6" s="3" customFormat="1" ht="29.1" customHeight="1" x14ac:dyDescent="0.25">
      <c r="A3274" s="2" t="s">
        <v>7238</v>
      </c>
      <c r="B3274" s="2" t="s">
        <v>3952</v>
      </c>
      <c r="C3274" s="2" t="s">
        <v>950</v>
      </c>
      <c r="D3274" s="2" t="s">
        <v>1256</v>
      </c>
      <c r="E3274" s="2"/>
      <c r="F3274" s="2" t="str">
        <f>"9791370060305"</f>
        <v>9791370060305</v>
      </c>
    </row>
    <row r="3275" spans="1:6" s="3" customFormat="1" ht="29.1" customHeight="1" x14ac:dyDescent="0.25">
      <c r="A3275" s="2" t="s">
        <v>7239</v>
      </c>
      <c r="B3275" s="2" t="s">
        <v>7240</v>
      </c>
      <c r="C3275" s="2" t="s">
        <v>950</v>
      </c>
      <c r="D3275" s="2" t="s">
        <v>490</v>
      </c>
      <c r="E3275" s="2"/>
      <c r="F3275" s="2" t="str">
        <f>"9791370060268"</f>
        <v>9791370060268</v>
      </c>
    </row>
    <row r="3276" spans="1:6" s="3" customFormat="1" ht="29.1" customHeight="1" x14ac:dyDescent="0.25">
      <c r="A3276" s="2" t="s">
        <v>7241</v>
      </c>
      <c r="B3276" s="2" t="s">
        <v>7242</v>
      </c>
      <c r="C3276" s="2" t="s">
        <v>950</v>
      </c>
      <c r="D3276" s="2" t="s">
        <v>978</v>
      </c>
      <c r="E3276" s="2"/>
      <c r="F3276" s="2" t="str">
        <f>"9791370060244"</f>
        <v>9791370060244</v>
      </c>
    </row>
    <row r="3277" spans="1:6" s="3" customFormat="1" ht="29.1" customHeight="1" x14ac:dyDescent="0.25">
      <c r="A3277" s="2" t="s">
        <v>7243</v>
      </c>
      <c r="B3277" s="2" t="s">
        <v>7244</v>
      </c>
      <c r="C3277" s="2" t="s">
        <v>950</v>
      </c>
      <c r="D3277" s="2" t="s">
        <v>1927</v>
      </c>
      <c r="E3277" s="2"/>
      <c r="F3277" s="2" t="str">
        <f>"9791370060213"</f>
        <v>9791370060213</v>
      </c>
    </row>
    <row r="3278" spans="1:6" s="3" customFormat="1" ht="29.1" customHeight="1" x14ac:dyDescent="0.25">
      <c r="A3278" s="2" t="s">
        <v>7245</v>
      </c>
      <c r="B3278" s="2" t="s">
        <v>7246</v>
      </c>
      <c r="C3278" s="2" t="s">
        <v>950</v>
      </c>
      <c r="D3278" s="2" t="s">
        <v>836</v>
      </c>
      <c r="E3278" s="2"/>
      <c r="F3278" s="2" t="str">
        <f>"9791370060121"</f>
        <v>9791370060121</v>
      </c>
    </row>
    <row r="3279" spans="1:6" s="3" customFormat="1" ht="29.1" customHeight="1" x14ac:dyDescent="0.25">
      <c r="A3279" s="2" t="s">
        <v>7247</v>
      </c>
      <c r="B3279" s="2" t="s">
        <v>7248</v>
      </c>
      <c r="C3279" s="2" t="s">
        <v>950</v>
      </c>
      <c r="D3279" s="2" t="s">
        <v>413</v>
      </c>
      <c r="E3279" s="2"/>
      <c r="F3279" s="2" t="str">
        <f>"9791370060091"</f>
        <v>9791370060091</v>
      </c>
    </row>
    <row r="3280" spans="1:6" s="3" customFormat="1" ht="29.1" customHeight="1" x14ac:dyDescent="0.25">
      <c r="A3280" s="2" t="s">
        <v>7249</v>
      </c>
      <c r="B3280" s="2" t="s">
        <v>954</v>
      </c>
      <c r="C3280" s="2" t="s">
        <v>950</v>
      </c>
      <c r="D3280" s="2" t="s">
        <v>2551</v>
      </c>
      <c r="E3280" s="2"/>
      <c r="F3280" s="2" t="str">
        <f>"9788411706551"</f>
        <v>9788411706551</v>
      </c>
    </row>
    <row r="3281" spans="1:6" s="3" customFormat="1" ht="29.1" customHeight="1" x14ac:dyDescent="0.25">
      <c r="A3281" s="2" t="s">
        <v>7250</v>
      </c>
      <c r="B3281" s="2" t="s">
        <v>7251</v>
      </c>
      <c r="C3281" s="2" t="s">
        <v>950</v>
      </c>
      <c r="D3281" s="2" t="s">
        <v>207</v>
      </c>
      <c r="E3281" s="2"/>
      <c r="F3281" s="2" t="str">
        <f>"9788410709980"</f>
        <v>9788410709980</v>
      </c>
    </row>
    <row r="3282" spans="1:6" s="3" customFormat="1" ht="29.1" customHeight="1" x14ac:dyDescent="0.25">
      <c r="A3282" s="2" t="s">
        <v>7252</v>
      </c>
      <c r="B3282" s="2" t="s">
        <v>7253</v>
      </c>
      <c r="C3282" s="2" t="s">
        <v>950</v>
      </c>
      <c r="D3282" s="2" t="s">
        <v>1809</v>
      </c>
      <c r="E3282" s="2"/>
      <c r="F3282" s="2" t="str">
        <f>"9788410709089"</f>
        <v>9788410709089</v>
      </c>
    </row>
    <row r="3283" spans="1:6" s="3" customFormat="1" ht="29.1" customHeight="1" x14ac:dyDescent="0.25">
      <c r="A3283" s="2" t="s">
        <v>7254</v>
      </c>
      <c r="B3283" s="2" t="s">
        <v>7255</v>
      </c>
      <c r="C3283" s="2" t="s">
        <v>950</v>
      </c>
      <c r="D3283" s="2" t="s">
        <v>1416</v>
      </c>
      <c r="E3283" s="2"/>
      <c r="F3283" s="2" t="str">
        <f>"9788410708495"</f>
        <v>9788410708495</v>
      </c>
    </row>
    <row r="3284" spans="1:6" s="3" customFormat="1" ht="29.1" customHeight="1" x14ac:dyDescent="0.25">
      <c r="A3284" s="2" t="s">
        <v>7256</v>
      </c>
      <c r="B3284" s="2" t="s">
        <v>7257</v>
      </c>
      <c r="C3284" s="2" t="s">
        <v>950</v>
      </c>
      <c r="D3284" s="2" t="s">
        <v>98</v>
      </c>
      <c r="E3284" s="2"/>
      <c r="F3284" s="2" t="str">
        <f>"9788410708389"</f>
        <v>9788410708389</v>
      </c>
    </row>
    <row r="3285" spans="1:6" s="3" customFormat="1" ht="29.1" customHeight="1" x14ac:dyDescent="0.25">
      <c r="A3285" s="2" t="s">
        <v>7258</v>
      </c>
      <c r="B3285" s="2" t="s">
        <v>7259</v>
      </c>
      <c r="C3285" s="2" t="s">
        <v>950</v>
      </c>
      <c r="D3285" s="2" t="s">
        <v>1010</v>
      </c>
      <c r="E3285" s="2"/>
      <c r="F3285" s="2" t="str">
        <f>"9788410708068"</f>
        <v>9788410708068</v>
      </c>
    </row>
    <row r="3286" spans="1:6" s="3" customFormat="1" ht="29.1" customHeight="1" x14ac:dyDescent="0.25">
      <c r="A3286" s="2" t="s">
        <v>7260</v>
      </c>
      <c r="B3286" s="2" t="s">
        <v>7261</v>
      </c>
      <c r="C3286" s="2" t="s">
        <v>950</v>
      </c>
      <c r="D3286" s="2" t="s">
        <v>636</v>
      </c>
      <c r="E3286" s="2"/>
      <c r="F3286" s="2" t="str">
        <f>"9788410707276"</f>
        <v>9788410707276</v>
      </c>
    </row>
    <row r="3287" spans="1:6" s="3" customFormat="1" ht="29.1" customHeight="1" x14ac:dyDescent="0.25">
      <c r="A3287" s="2" t="s">
        <v>7262</v>
      </c>
      <c r="B3287" s="2" t="s">
        <v>7263</v>
      </c>
      <c r="C3287" s="2" t="s">
        <v>950</v>
      </c>
      <c r="D3287" s="2" t="s">
        <v>192</v>
      </c>
      <c r="E3287" s="2"/>
      <c r="F3287" s="2" t="str">
        <f>"9788410704459"</f>
        <v>9788410704459</v>
      </c>
    </row>
    <row r="3288" spans="1:6" s="3" customFormat="1" ht="29.1" customHeight="1" x14ac:dyDescent="0.25">
      <c r="A3288" s="2" t="s">
        <v>7264</v>
      </c>
      <c r="B3288" s="2" t="s">
        <v>7265</v>
      </c>
      <c r="C3288" s="2" t="s">
        <v>316</v>
      </c>
      <c r="D3288" s="2" t="s">
        <v>5092</v>
      </c>
      <c r="E3288" s="2" t="str">
        <f>"9783036407777"</f>
        <v>9783036407777</v>
      </c>
      <c r="F3288" s="2" t="str">
        <f>"9783036417776"</f>
        <v>9783036417776</v>
      </c>
    </row>
    <row r="3289" spans="1:6" s="3" customFormat="1" ht="29.1" customHeight="1" x14ac:dyDescent="0.25">
      <c r="A3289" s="2" t="s">
        <v>7266</v>
      </c>
      <c r="B3289" s="2" t="s">
        <v>7267</v>
      </c>
      <c r="C3289" s="2" t="s">
        <v>556</v>
      </c>
      <c r="D3289" s="2" t="s">
        <v>1141</v>
      </c>
      <c r="E3289" s="2" t="str">
        <f>"9783837641820"</f>
        <v>9783837641820</v>
      </c>
      <c r="F3289" s="2" t="str">
        <f>"9783839400036"</f>
        <v>9783839400036</v>
      </c>
    </row>
    <row r="3290" spans="1:6" s="3" customFormat="1" ht="29.1" customHeight="1" x14ac:dyDescent="0.25">
      <c r="A3290" s="2" t="s">
        <v>7268</v>
      </c>
      <c r="B3290" s="2" t="s">
        <v>7270</v>
      </c>
      <c r="C3290" s="2" t="s">
        <v>556</v>
      </c>
      <c r="D3290" s="2" t="s">
        <v>7269</v>
      </c>
      <c r="E3290" s="2" t="str">
        <f>"9783837676822"</f>
        <v>9783837676822</v>
      </c>
      <c r="F3290" s="2" t="str">
        <f>"9783839476826"</f>
        <v>9783839476826</v>
      </c>
    </row>
    <row r="3291" spans="1:6" s="3" customFormat="1" ht="29.1" customHeight="1" x14ac:dyDescent="0.25">
      <c r="A3291" s="2" t="s">
        <v>7271</v>
      </c>
      <c r="B3291" s="2" t="s">
        <v>7272</v>
      </c>
      <c r="C3291" s="2" t="s">
        <v>556</v>
      </c>
      <c r="D3291" s="2" t="s">
        <v>1001</v>
      </c>
      <c r="E3291" s="2" t="str">
        <f>"9783837673357"</f>
        <v>9783837673357</v>
      </c>
      <c r="F3291" s="2" t="str">
        <f>"9783839473351"</f>
        <v>9783839473351</v>
      </c>
    </row>
    <row r="3292" spans="1:6" s="3" customFormat="1" ht="29.1" customHeight="1" x14ac:dyDescent="0.25">
      <c r="A3292" s="2" t="s">
        <v>7273</v>
      </c>
      <c r="B3292" s="2" t="s">
        <v>7274</v>
      </c>
      <c r="C3292" s="2" t="s">
        <v>556</v>
      </c>
      <c r="D3292" s="2" t="s">
        <v>1437</v>
      </c>
      <c r="E3292" s="2" t="str">
        <f>"9783837676655"</f>
        <v>9783837676655</v>
      </c>
      <c r="F3292" s="2" t="str">
        <f>"9783839476659"</f>
        <v>9783839476659</v>
      </c>
    </row>
    <row r="3293" spans="1:6" s="3" customFormat="1" ht="29.1" customHeight="1" x14ac:dyDescent="0.25">
      <c r="A3293" s="2" t="s">
        <v>7275</v>
      </c>
      <c r="B3293" s="2" t="s">
        <v>7276</v>
      </c>
      <c r="C3293" s="2" t="s">
        <v>556</v>
      </c>
      <c r="D3293" s="2" t="s">
        <v>4016</v>
      </c>
      <c r="E3293" s="2" t="str">
        <f>"9783837674590"</f>
        <v>9783837674590</v>
      </c>
      <c r="F3293" s="2" t="str">
        <f>"9783839474594"</f>
        <v>9783839474594</v>
      </c>
    </row>
    <row r="3294" spans="1:6" s="3" customFormat="1" ht="29.1" customHeight="1" x14ac:dyDescent="0.25">
      <c r="A3294" s="2" t="s">
        <v>7277</v>
      </c>
      <c r="B3294" s="2" t="s">
        <v>7278</v>
      </c>
      <c r="C3294" s="2" t="s">
        <v>556</v>
      </c>
      <c r="D3294" s="2" t="s">
        <v>1109</v>
      </c>
      <c r="E3294" s="2" t="str">
        <f>"9783837674569"</f>
        <v>9783837674569</v>
      </c>
      <c r="F3294" s="2" t="str">
        <f>"9783839474563"</f>
        <v>9783839474563</v>
      </c>
    </row>
    <row r="3295" spans="1:6" s="3" customFormat="1" ht="29.1" customHeight="1" x14ac:dyDescent="0.25">
      <c r="A3295" s="2" t="s">
        <v>7279</v>
      </c>
      <c r="B3295" s="2" t="s">
        <v>7281</v>
      </c>
      <c r="C3295" s="2" t="s">
        <v>556</v>
      </c>
      <c r="D3295" s="2" t="s">
        <v>7280</v>
      </c>
      <c r="E3295" s="2" t="str">
        <f>"9783837676037"</f>
        <v>9783837676037</v>
      </c>
      <c r="F3295" s="2" t="str">
        <f>"9783839476031"</f>
        <v>9783839476031</v>
      </c>
    </row>
    <row r="3296" spans="1:6" s="3" customFormat="1" ht="29.1" customHeight="1" x14ac:dyDescent="0.25">
      <c r="A3296" s="2" t="s">
        <v>7282</v>
      </c>
      <c r="B3296" s="2" t="s">
        <v>7283</v>
      </c>
      <c r="C3296" s="2" t="s">
        <v>556</v>
      </c>
      <c r="D3296" s="2" t="s">
        <v>2965</v>
      </c>
      <c r="E3296" s="2" t="str">
        <f>"9783837654479"</f>
        <v>9783837654479</v>
      </c>
      <c r="F3296" s="2" t="str">
        <f>"9783839400203"</f>
        <v>9783839400203</v>
      </c>
    </row>
    <row r="3297" spans="1:6" s="3" customFormat="1" ht="29.1" customHeight="1" x14ac:dyDescent="0.25">
      <c r="A3297" s="2" t="s">
        <v>7284</v>
      </c>
      <c r="B3297" s="2" t="s">
        <v>7285</v>
      </c>
      <c r="C3297" s="2" t="s">
        <v>556</v>
      </c>
      <c r="D3297" s="2" t="s">
        <v>490</v>
      </c>
      <c r="E3297" s="2" t="str">
        <f>"9783837672770"</f>
        <v>9783837672770</v>
      </c>
      <c r="F3297" s="2" t="str">
        <f>"9783839472774"</f>
        <v>9783839472774</v>
      </c>
    </row>
    <row r="3298" spans="1:6" s="3" customFormat="1" ht="29.1" customHeight="1" x14ac:dyDescent="0.25">
      <c r="A3298" s="2" t="s">
        <v>7286</v>
      </c>
      <c r="B3298" s="2" t="s">
        <v>7287</v>
      </c>
      <c r="C3298" s="2" t="s">
        <v>556</v>
      </c>
      <c r="D3298" s="2" t="s">
        <v>78</v>
      </c>
      <c r="E3298" s="2" t="str">
        <f>"9783837676792"</f>
        <v>9783837676792</v>
      </c>
      <c r="F3298" s="2" t="str">
        <f>"9783839476796"</f>
        <v>9783839476796</v>
      </c>
    </row>
    <row r="3299" spans="1:6" s="3" customFormat="1" ht="29.1" customHeight="1" x14ac:dyDescent="0.25">
      <c r="A3299" s="2" t="s">
        <v>7288</v>
      </c>
      <c r="B3299" s="2" t="s">
        <v>7289</v>
      </c>
      <c r="C3299" s="2" t="s">
        <v>556</v>
      </c>
      <c r="D3299" s="2" t="s">
        <v>636</v>
      </c>
      <c r="E3299" s="2" t="str">
        <f>"9783837676693"</f>
        <v>9783837676693</v>
      </c>
      <c r="F3299" s="2" t="str">
        <f>"9783839476697"</f>
        <v>9783839476697</v>
      </c>
    </row>
    <row r="3300" spans="1:6" s="3" customFormat="1" ht="29.1" customHeight="1" x14ac:dyDescent="0.25">
      <c r="A3300" s="2" t="s">
        <v>7290</v>
      </c>
      <c r="B3300" s="2" t="s">
        <v>7291</v>
      </c>
      <c r="C3300" s="2" t="s">
        <v>556</v>
      </c>
      <c r="D3300" s="2" t="s">
        <v>4030</v>
      </c>
      <c r="E3300" s="2" t="str">
        <f>"9783837675672"</f>
        <v>9783837675672</v>
      </c>
      <c r="F3300" s="2" t="str">
        <f>"9783839475676"</f>
        <v>9783839475676</v>
      </c>
    </row>
    <row r="3301" spans="1:6" s="3" customFormat="1" ht="29.1" customHeight="1" x14ac:dyDescent="0.25">
      <c r="A3301" s="2" t="s">
        <v>7292</v>
      </c>
      <c r="B3301" s="2" t="s">
        <v>7294</v>
      </c>
      <c r="C3301" s="2" t="s">
        <v>556</v>
      </c>
      <c r="D3301" s="2" t="s">
        <v>7293</v>
      </c>
      <c r="E3301" s="2" t="str">
        <f>"9783837674347"</f>
        <v>9783837674347</v>
      </c>
      <c r="F3301" s="2" t="str">
        <f>"9783839474341"</f>
        <v>9783839474341</v>
      </c>
    </row>
    <row r="3302" spans="1:6" s="3" customFormat="1" ht="29.1" customHeight="1" x14ac:dyDescent="0.25">
      <c r="A3302" s="2" t="s">
        <v>7295</v>
      </c>
      <c r="B3302" s="2" t="s">
        <v>7297</v>
      </c>
      <c r="C3302" s="2" t="s">
        <v>556</v>
      </c>
      <c r="D3302" s="2" t="s">
        <v>7296</v>
      </c>
      <c r="E3302" s="2" t="str">
        <f>"9783837676341"</f>
        <v>9783837676341</v>
      </c>
      <c r="F3302" s="2" t="str">
        <f>"9783839476345"</f>
        <v>9783839476345</v>
      </c>
    </row>
    <row r="3303" spans="1:6" s="3" customFormat="1" ht="29.1" customHeight="1" x14ac:dyDescent="0.25">
      <c r="A3303" s="2" t="s">
        <v>7298</v>
      </c>
      <c r="B3303" s="2" t="s">
        <v>7299</v>
      </c>
      <c r="C3303" s="2" t="s">
        <v>556</v>
      </c>
      <c r="D3303" s="2" t="s">
        <v>4030</v>
      </c>
      <c r="E3303" s="2" t="str">
        <f>"9783837676907"</f>
        <v>9783837676907</v>
      </c>
      <c r="F3303" s="2" t="str">
        <f>"9783839476901"</f>
        <v>9783839476901</v>
      </c>
    </row>
    <row r="3304" spans="1:6" s="3" customFormat="1" ht="29.1" customHeight="1" x14ac:dyDescent="0.25">
      <c r="A3304" s="2" t="s">
        <v>7300</v>
      </c>
      <c r="B3304" s="2" t="s">
        <v>7301</v>
      </c>
      <c r="C3304" s="2" t="s">
        <v>556</v>
      </c>
      <c r="D3304" s="2" t="s">
        <v>712</v>
      </c>
      <c r="E3304" s="2" t="str">
        <f>"9783837665314"</f>
        <v>9783837665314</v>
      </c>
      <c r="F3304" s="2" t="str">
        <f>"9783839465318"</f>
        <v>9783839465318</v>
      </c>
    </row>
    <row r="3305" spans="1:6" s="3" customFormat="1" ht="29.1" customHeight="1" x14ac:dyDescent="0.25">
      <c r="A3305" s="2" t="s">
        <v>7302</v>
      </c>
      <c r="B3305" s="2" t="s">
        <v>7303</v>
      </c>
      <c r="C3305" s="2" t="s">
        <v>556</v>
      </c>
      <c r="D3305" s="2" t="s">
        <v>1183</v>
      </c>
      <c r="E3305" s="2" t="str">
        <f>"9783837640281"</f>
        <v>9783837640281</v>
      </c>
      <c r="F3305" s="2" t="str">
        <f>"9783839400029"</f>
        <v>9783839400029</v>
      </c>
    </row>
    <row r="3306" spans="1:6" s="3" customFormat="1" ht="29.1" customHeight="1" x14ac:dyDescent="0.25">
      <c r="A3306" s="2" t="s">
        <v>7304</v>
      </c>
      <c r="B3306" s="2" t="s">
        <v>7305</v>
      </c>
      <c r="C3306" s="2" t="s">
        <v>556</v>
      </c>
      <c r="D3306" s="2" t="s">
        <v>1183</v>
      </c>
      <c r="E3306" s="2" t="str">
        <f>"9783837676549"</f>
        <v>9783837676549</v>
      </c>
      <c r="F3306" s="2" t="str">
        <f>"9783839476543"</f>
        <v>9783839476543</v>
      </c>
    </row>
    <row r="3307" spans="1:6" s="3" customFormat="1" ht="29.1" customHeight="1" x14ac:dyDescent="0.25">
      <c r="A3307" s="2" t="s">
        <v>7306</v>
      </c>
      <c r="B3307" s="2" t="s">
        <v>7307</v>
      </c>
      <c r="C3307" s="2" t="s">
        <v>556</v>
      </c>
      <c r="D3307" s="2" t="s">
        <v>3214</v>
      </c>
      <c r="E3307" s="2" t="str">
        <f>"9783837676419"</f>
        <v>9783837676419</v>
      </c>
      <c r="F3307" s="2" t="str">
        <f>"9783839476413"</f>
        <v>9783839476413</v>
      </c>
    </row>
    <row r="3308" spans="1:6" s="3" customFormat="1" ht="29.1" customHeight="1" x14ac:dyDescent="0.25">
      <c r="A3308" s="2" t="s">
        <v>7308</v>
      </c>
      <c r="B3308" s="2" t="s">
        <v>7309</v>
      </c>
      <c r="C3308" s="2" t="s">
        <v>556</v>
      </c>
      <c r="D3308" s="2" t="s">
        <v>2086</v>
      </c>
      <c r="E3308" s="2" t="str">
        <f>"9783837676204"</f>
        <v>9783837676204</v>
      </c>
      <c r="F3308" s="2" t="str">
        <f>"9783839476208"</f>
        <v>9783839476208</v>
      </c>
    </row>
    <row r="3309" spans="1:6" s="3" customFormat="1" ht="29.1" customHeight="1" x14ac:dyDescent="0.25">
      <c r="A3309" s="2" t="s">
        <v>7310</v>
      </c>
      <c r="B3309" s="2" t="s">
        <v>7311</v>
      </c>
      <c r="C3309" s="2" t="s">
        <v>556</v>
      </c>
      <c r="D3309" s="2" t="s">
        <v>3523</v>
      </c>
      <c r="E3309" s="2" t="str">
        <f>"9783837675856"</f>
        <v>9783837675856</v>
      </c>
      <c r="F3309" s="2" t="str">
        <f>"9783839475850"</f>
        <v>9783839475850</v>
      </c>
    </row>
    <row r="3310" spans="1:6" s="3" customFormat="1" ht="29.1" customHeight="1" x14ac:dyDescent="0.25">
      <c r="A3310" s="2" t="s">
        <v>7312</v>
      </c>
      <c r="B3310" s="2" t="s">
        <v>7313</v>
      </c>
      <c r="C3310" s="2" t="s">
        <v>556</v>
      </c>
      <c r="D3310" s="2" t="s">
        <v>968</v>
      </c>
      <c r="E3310" s="2" t="str">
        <f>"9783837675054"</f>
        <v>9783837675054</v>
      </c>
      <c r="F3310" s="2" t="str">
        <f>"9783839475058"</f>
        <v>9783839475058</v>
      </c>
    </row>
    <row r="3311" spans="1:6" s="3" customFormat="1" ht="29.1" customHeight="1" x14ac:dyDescent="0.25">
      <c r="A3311" s="2" t="s">
        <v>7314</v>
      </c>
      <c r="B3311" s="2" t="s">
        <v>7315</v>
      </c>
      <c r="C3311" s="2" t="s">
        <v>556</v>
      </c>
      <c r="D3311" s="2" t="s">
        <v>75</v>
      </c>
      <c r="E3311" s="2" t="str">
        <f>"9783837674262"</f>
        <v>9783837674262</v>
      </c>
      <c r="F3311" s="2" t="str">
        <f>"9783839474266"</f>
        <v>9783839474266</v>
      </c>
    </row>
    <row r="3312" spans="1:6" s="3" customFormat="1" ht="29.1" customHeight="1" x14ac:dyDescent="0.25">
      <c r="A3312" s="2" t="s">
        <v>7316</v>
      </c>
      <c r="B3312" s="2" t="s">
        <v>7317</v>
      </c>
      <c r="C3312" s="2" t="s">
        <v>556</v>
      </c>
      <c r="D3312" s="2" t="s">
        <v>249</v>
      </c>
      <c r="E3312" s="2" t="str">
        <f>"9783837673050"</f>
        <v>9783837673050</v>
      </c>
      <c r="F3312" s="2" t="str">
        <f>"9783839473054"</f>
        <v>9783839473054</v>
      </c>
    </row>
    <row r="3313" spans="1:6" s="3" customFormat="1" ht="29.1" customHeight="1" x14ac:dyDescent="0.25">
      <c r="A3313" s="2" t="s">
        <v>7318</v>
      </c>
      <c r="B3313" s="2" t="s">
        <v>7319</v>
      </c>
      <c r="C3313" s="2" t="s">
        <v>556</v>
      </c>
      <c r="D3313" s="2" t="s">
        <v>2336</v>
      </c>
      <c r="E3313" s="2" t="str">
        <f>"9783837672046"</f>
        <v>9783837672046</v>
      </c>
      <c r="F3313" s="2" t="str">
        <f>"9783839472040"</f>
        <v>9783839472040</v>
      </c>
    </row>
    <row r="3314" spans="1:6" s="3" customFormat="1" ht="29.1" customHeight="1" x14ac:dyDescent="0.25">
      <c r="A3314" s="2" t="s">
        <v>7320</v>
      </c>
      <c r="B3314" s="2" t="s">
        <v>7321</v>
      </c>
      <c r="C3314" s="2" t="s">
        <v>62</v>
      </c>
      <c r="D3314" s="2" t="s">
        <v>6464</v>
      </c>
      <c r="E3314" s="2" t="str">
        <f>"9783428194544"</f>
        <v>9783428194544</v>
      </c>
      <c r="F3314" s="2" t="str">
        <f>"9783428594542"</f>
        <v>9783428594542</v>
      </c>
    </row>
    <row r="3315" spans="1:6" s="3" customFormat="1" ht="29.1" customHeight="1" x14ac:dyDescent="0.25">
      <c r="A3315" s="2" t="s">
        <v>7322</v>
      </c>
      <c r="B3315" s="2" t="s">
        <v>7323</v>
      </c>
      <c r="C3315" s="2" t="s">
        <v>239</v>
      </c>
      <c r="D3315" s="2" t="s">
        <v>1198</v>
      </c>
      <c r="E3315" s="2" t="str">
        <f>"9780520386266"</f>
        <v>9780520386266</v>
      </c>
      <c r="F3315" s="2" t="str">
        <f>"9780520386273"</f>
        <v>9780520386273</v>
      </c>
    </row>
    <row r="3316" spans="1:6" s="3" customFormat="1" ht="29.1" customHeight="1" x14ac:dyDescent="0.25">
      <c r="A3316" s="2" t="s">
        <v>7324</v>
      </c>
      <c r="B3316" s="2" t="s">
        <v>7325</v>
      </c>
      <c r="C3316" s="2" t="s">
        <v>239</v>
      </c>
      <c r="D3316" s="2" t="s">
        <v>3889</v>
      </c>
      <c r="E3316" s="2" t="str">
        <f>"9780520412989"</f>
        <v>9780520412989</v>
      </c>
      <c r="F3316" s="2" t="str">
        <f>"9780520412996"</f>
        <v>9780520412996</v>
      </c>
    </row>
    <row r="3317" spans="1:6" s="3" customFormat="1" ht="29.1" customHeight="1" x14ac:dyDescent="0.25">
      <c r="A3317" s="2" t="s">
        <v>7326</v>
      </c>
      <c r="B3317" s="2" t="s">
        <v>7327</v>
      </c>
      <c r="C3317" s="2" t="s">
        <v>149</v>
      </c>
      <c r="D3317" s="2" t="s">
        <v>636</v>
      </c>
      <c r="E3317" s="2" t="str">
        <f>"9781805115151"</f>
        <v>9781805115151</v>
      </c>
      <c r="F3317" s="2" t="str">
        <f>"9781805115175"</f>
        <v>9781805115175</v>
      </c>
    </row>
    <row r="3318" spans="1:6" s="3" customFormat="1" ht="29.1" customHeight="1" x14ac:dyDescent="0.25">
      <c r="A3318" s="2" t="s">
        <v>7328</v>
      </c>
      <c r="B3318" s="2" t="s">
        <v>7329</v>
      </c>
      <c r="C3318" s="2" t="s">
        <v>124</v>
      </c>
      <c r="D3318" s="2" t="s">
        <v>1010</v>
      </c>
      <c r="E3318" s="2" t="str">
        <f>"9781032416540"</f>
        <v>9781032416540</v>
      </c>
      <c r="F3318" s="2" t="str">
        <f>"9781003359104"</f>
        <v>9781003359104</v>
      </c>
    </row>
    <row r="3319" spans="1:6" s="3" customFormat="1" ht="29.1" customHeight="1" x14ac:dyDescent="0.25">
      <c r="A3319" s="2" t="s">
        <v>7330</v>
      </c>
      <c r="B3319" s="2" t="s">
        <v>7331</v>
      </c>
      <c r="C3319" s="2" t="s">
        <v>2133</v>
      </c>
      <c r="D3319" s="2" t="s">
        <v>1177</v>
      </c>
      <c r="E3319" s="2" t="str">
        <f>"9781760466756"</f>
        <v>9781760466756</v>
      </c>
      <c r="F3319" s="2" t="str">
        <f>"9781760466763"</f>
        <v>9781760466763</v>
      </c>
    </row>
    <row r="3320" spans="1:6" s="3" customFormat="1" ht="29.1" customHeight="1" x14ac:dyDescent="0.25">
      <c r="A3320" s="2" t="s">
        <v>7332</v>
      </c>
      <c r="B3320" s="2" t="s">
        <v>7333</v>
      </c>
      <c r="C3320" s="2" t="s">
        <v>746</v>
      </c>
      <c r="D3320" s="2" t="s">
        <v>606</v>
      </c>
      <c r="E3320" s="2" t="str">
        <f>"9781805830047"</f>
        <v>9781805830047</v>
      </c>
      <c r="F3320" s="2" t="str">
        <f>"9781805830054"</f>
        <v>9781805830054</v>
      </c>
    </row>
    <row r="3321" spans="1:6" s="3" customFormat="1" ht="29.1" customHeight="1" x14ac:dyDescent="0.25">
      <c r="A3321" s="2" t="s">
        <v>7334</v>
      </c>
      <c r="B3321" s="2" t="s">
        <v>7335</v>
      </c>
      <c r="C3321" s="2" t="s">
        <v>149</v>
      </c>
      <c r="D3321" s="2" t="s">
        <v>4657</v>
      </c>
      <c r="E3321" s="2" t="str">
        <f>"9781685712303"</f>
        <v>9781685712303</v>
      </c>
      <c r="F3321" s="2" t="str">
        <f>"9781685712310"</f>
        <v>9781685712310</v>
      </c>
    </row>
    <row r="3322" spans="1:6" s="3" customFormat="1" ht="29.1" customHeight="1" x14ac:dyDescent="0.25">
      <c r="A3322" s="2" t="s">
        <v>7336</v>
      </c>
      <c r="B3322" s="2" t="s">
        <v>7337</v>
      </c>
      <c r="C3322" s="2" t="s">
        <v>29</v>
      </c>
      <c r="D3322" s="2" t="s">
        <v>497</v>
      </c>
      <c r="E3322" s="2" t="str">
        <f>"9789004725195"</f>
        <v>9789004725195</v>
      </c>
      <c r="F3322" s="2" t="str">
        <f>"9789004725201"</f>
        <v>9789004725201</v>
      </c>
    </row>
    <row r="3323" spans="1:6" s="3" customFormat="1" ht="29.1" customHeight="1" x14ac:dyDescent="0.25">
      <c r="A3323" s="2" t="s">
        <v>7338</v>
      </c>
      <c r="B3323" s="2" t="s">
        <v>7339</v>
      </c>
      <c r="C3323" s="2" t="s">
        <v>239</v>
      </c>
      <c r="D3323" s="2" t="s">
        <v>5568</v>
      </c>
      <c r="E3323" s="2" t="str">
        <f>"9780520379763"</f>
        <v>9780520379763</v>
      </c>
      <c r="F3323" s="2" t="str">
        <f>"9780520976917"</f>
        <v>9780520976917</v>
      </c>
    </row>
    <row r="3324" spans="1:6" s="3" customFormat="1" ht="29.1" customHeight="1" x14ac:dyDescent="0.25">
      <c r="A3324" s="2" t="s">
        <v>7340</v>
      </c>
      <c r="B3324" s="2" t="s">
        <v>7342</v>
      </c>
      <c r="C3324" s="2" t="s">
        <v>5</v>
      </c>
      <c r="D3324" s="2" t="s">
        <v>7341</v>
      </c>
      <c r="E3324" s="2" t="str">
        <f>"9798868812699"</f>
        <v>9798868812699</v>
      </c>
      <c r="F3324" s="2" t="str">
        <f>"9798868812705"</f>
        <v>9798868812705</v>
      </c>
    </row>
    <row r="3325" spans="1:6" s="3" customFormat="1" ht="29.1" customHeight="1" x14ac:dyDescent="0.25">
      <c r="A3325" s="2" t="s">
        <v>7343</v>
      </c>
      <c r="B3325" s="2" t="s">
        <v>7344</v>
      </c>
      <c r="C3325" s="2" t="s">
        <v>5</v>
      </c>
      <c r="D3325" s="2" t="s">
        <v>636</v>
      </c>
      <c r="E3325" s="2" t="str">
        <f>"9789819611270"</f>
        <v>9789819611270</v>
      </c>
      <c r="F3325" s="2" t="str">
        <f>"9789819611287"</f>
        <v>9789819611287</v>
      </c>
    </row>
    <row r="3326" spans="1:6" s="3" customFormat="1" ht="29.1" customHeight="1" x14ac:dyDescent="0.25">
      <c r="A3326" s="2" t="s">
        <v>7345</v>
      </c>
      <c r="B3326" s="2" t="s">
        <v>7346</v>
      </c>
      <c r="C3326" s="2" t="s">
        <v>5</v>
      </c>
      <c r="D3326" s="2" t="s">
        <v>9</v>
      </c>
      <c r="E3326" s="2" t="str">
        <f>"9782384763832"</f>
        <v>9782384763832</v>
      </c>
      <c r="F3326" s="2" t="str">
        <f>"9782384763849"</f>
        <v>9782384763849</v>
      </c>
    </row>
    <row r="3327" spans="1:6" s="3" customFormat="1" ht="29.1" customHeight="1" x14ac:dyDescent="0.25">
      <c r="A3327" s="2" t="s">
        <v>7347</v>
      </c>
      <c r="B3327" s="2" t="s">
        <v>7348</v>
      </c>
      <c r="C3327" s="2" t="s">
        <v>29</v>
      </c>
      <c r="D3327" s="2" t="s">
        <v>63</v>
      </c>
      <c r="E3327" s="2" t="str">
        <f>"9789004688735"</f>
        <v>9789004688735</v>
      </c>
      <c r="F3327" s="2" t="str">
        <f>"9789004688742"</f>
        <v>9789004688742</v>
      </c>
    </row>
    <row r="3328" spans="1:6" s="3" customFormat="1" ht="29.1" customHeight="1" x14ac:dyDescent="0.25">
      <c r="A3328" s="2" t="s">
        <v>7349</v>
      </c>
      <c r="B3328" s="2" t="s">
        <v>7351</v>
      </c>
      <c r="C3328" s="2" t="s">
        <v>59</v>
      </c>
      <c r="D3328" s="2" t="s">
        <v>7350</v>
      </c>
      <c r="E3328" s="2"/>
      <c r="F3328" s="2" t="str">
        <f>"9782759240241"</f>
        <v>9782759240241</v>
      </c>
    </row>
    <row r="3329" spans="1:6" s="3" customFormat="1" ht="29.1" customHeight="1" x14ac:dyDescent="0.25">
      <c r="A3329" s="2" t="s">
        <v>7352</v>
      </c>
      <c r="B3329" s="2" t="s">
        <v>7353</v>
      </c>
      <c r="C3329" s="2" t="s">
        <v>5</v>
      </c>
      <c r="D3329" s="2" t="s">
        <v>547</v>
      </c>
      <c r="E3329" s="2" t="str">
        <f>"9783662702642"</f>
        <v>9783662702642</v>
      </c>
      <c r="F3329" s="2" t="str">
        <f>"9783662702659"</f>
        <v>9783662702659</v>
      </c>
    </row>
    <row r="3330" spans="1:6" s="3" customFormat="1" ht="29.1" customHeight="1" x14ac:dyDescent="0.25">
      <c r="A3330" s="2" t="s">
        <v>7354</v>
      </c>
      <c r="B3330" s="2" t="s">
        <v>7355</v>
      </c>
      <c r="C3330" s="2" t="s">
        <v>5</v>
      </c>
      <c r="D3330" s="2" t="s">
        <v>2551</v>
      </c>
      <c r="E3330" s="2" t="str">
        <f>"9783658476861"</f>
        <v>9783658476861</v>
      </c>
      <c r="F3330" s="2" t="str">
        <f>"9783658476878"</f>
        <v>9783658476878</v>
      </c>
    </row>
    <row r="3331" spans="1:6" s="3" customFormat="1" ht="29.1" customHeight="1" x14ac:dyDescent="0.25">
      <c r="A3331" s="2" t="s">
        <v>7356</v>
      </c>
      <c r="B3331" s="2" t="s">
        <v>7357</v>
      </c>
      <c r="C3331" s="2" t="s">
        <v>5</v>
      </c>
      <c r="D3331" s="2" t="s">
        <v>317</v>
      </c>
      <c r="E3331" s="2" t="str">
        <f>"9783031844652"</f>
        <v>9783031844652</v>
      </c>
      <c r="F3331" s="2" t="str">
        <f>"9783031844669"</f>
        <v>9783031844669</v>
      </c>
    </row>
    <row r="3332" spans="1:6" s="3" customFormat="1" ht="29.1" customHeight="1" x14ac:dyDescent="0.25">
      <c r="A3332" s="2" t="s">
        <v>7358</v>
      </c>
      <c r="B3332" s="2" t="s">
        <v>7360</v>
      </c>
      <c r="C3332" s="2" t="s">
        <v>149</v>
      </c>
      <c r="D3332" s="2" t="s">
        <v>7359</v>
      </c>
      <c r="E3332" s="2" t="str">
        <f>"9781805114826"</f>
        <v>9781805114826</v>
      </c>
      <c r="F3332" s="2" t="str">
        <f>"9781805114840"</f>
        <v>9781805114840</v>
      </c>
    </row>
    <row r="3333" spans="1:6" s="3" customFormat="1" ht="29.1" customHeight="1" x14ac:dyDescent="0.25">
      <c r="A3333" s="2" t="s">
        <v>7361</v>
      </c>
      <c r="B3333" s="2" t="s">
        <v>7362</v>
      </c>
      <c r="C3333" s="2" t="s">
        <v>149</v>
      </c>
      <c r="D3333" s="2" t="s">
        <v>118</v>
      </c>
      <c r="E3333" s="2" t="str">
        <f>"9781805114727"</f>
        <v>9781805114727</v>
      </c>
      <c r="F3333" s="2" t="str">
        <f>"9781805114741"</f>
        <v>9781805114741</v>
      </c>
    </row>
    <row r="3334" spans="1:6" s="3" customFormat="1" ht="29.1" customHeight="1" x14ac:dyDescent="0.25">
      <c r="A3334" s="2" t="s">
        <v>7363</v>
      </c>
      <c r="B3334" s="2" t="s">
        <v>7365</v>
      </c>
      <c r="C3334" s="2" t="s">
        <v>7364</v>
      </c>
      <c r="D3334" s="2" t="s">
        <v>6376</v>
      </c>
      <c r="E3334" s="2" t="str">
        <f>"9788075240873"</f>
        <v>9788075240873</v>
      </c>
      <c r="F3334" s="2" t="str">
        <f>"9788075240880"</f>
        <v>9788075240880</v>
      </c>
    </row>
    <row r="3335" spans="1:6" s="3" customFormat="1" ht="29.1" customHeight="1" x14ac:dyDescent="0.25">
      <c r="A3335" s="2" t="s">
        <v>7366</v>
      </c>
      <c r="B3335" s="2" t="s">
        <v>7367</v>
      </c>
      <c r="C3335" s="2" t="s">
        <v>7364</v>
      </c>
      <c r="D3335" s="2" t="s">
        <v>606</v>
      </c>
      <c r="E3335" s="2" t="str">
        <f>"9788075240910"</f>
        <v>9788075240910</v>
      </c>
      <c r="F3335" s="2" t="str">
        <f>"9788075240927"</f>
        <v>9788075240927</v>
      </c>
    </row>
    <row r="3336" spans="1:6" s="3" customFormat="1" ht="29.1" customHeight="1" x14ac:dyDescent="0.25">
      <c r="A3336" s="2" t="s">
        <v>7368</v>
      </c>
      <c r="B3336" s="2" t="s">
        <v>7369</v>
      </c>
      <c r="C3336" s="2" t="s">
        <v>7364</v>
      </c>
      <c r="D3336" s="2" t="s">
        <v>606</v>
      </c>
      <c r="E3336" s="2" t="str">
        <f>"9788075240897"</f>
        <v>9788075240897</v>
      </c>
      <c r="F3336" s="2" t="str">
        <f>"9788075240903"</f>
        <v>9788075240903</v>
      </c>
    </row>
    <row r="3337" spans="1:6" s="3" customFormat="1" ht="29.1" customHeight="1" x14ac:dyDescent="0.25">
      <c r="A3337" s="2" t="s">
        <v>7370</v>
      </c>
      <c r="B3337" s="2" t="s">
        <v>7371</v>
      </c>
      <c r="C3337" s="2" t="s">
        <v>7364</v>
      </c>
      <c r="D3337" s="2" t="s">
        <v>606</v>
      </c>
      <c r="E3337" s="2" t="str">
        <f>"9788075240743"</f>
        <v>9788075240743</v>
      </c>
      <c r="F3337" s="2" t="str">
        <f>"9788075240750"</f>
        <v>9788075240750</v>
      </c>
    </row>
    <row r="3338" spans="1:6" s="3" customFormat="1" ht="29.1" customHeight="1" x14ac:dyDescent="0.25">
      <c r="A3338" s="2" t="s">
        <v>7372</v>
      </c>
      <c r="B3338" s="2" t="s">
        <v>7373</v>
      </c>
      <c r="C3338" s="2" t="s">
        <v>7364</v>
      </c>
      <c r="D3338" s="2" t="s">
        <v>606</v>
      </c>
      <c r="E3338" s="2" t="str">
        <f>"9788075240835"</f>
        <v>9788075240835</v>
      </c>
      <c r="F3338" s="2" t="str">
        <f>"9788075240842"</f>
        <v>9788075240842</v>
      </c>
    </row>
    <row r="3339" spans="1:6" s="3" customFormat="1" ht="29.1" customHeight="1" x14ac:dyDescent="0.25">
      <c r="A3339" s="2" t="s">
        <v>7374</v>
      </c>
      <c r="B3339" s="2" t="s">
        <v>7376</v>
      </c>
      <c r="C3339" s="2" t="s">
        <v>7364</v>
      </c>
      <c r="D3339" s="2" t="s">
        <v>7375</v>
      </c>
      <c r="E3339" s="2" t="str">
        <f>"9788075240859"</f>
        <v>9788075240859</v>
      </c>
      <c r="F3339" s="2" t="str">
        <f>"9788075240866"</f>
        <v>9788075240866</v>
      </c>
    </row>
    <row r="3340" spans="1:6" s="3" customFormat="1" ht="29.1" customHeight="1" x14ac:dyDescent="0.25">
      <c r="A3340" s="2" t="s">
        <v>7377</v>
      </c>
      <c r="B3340" s="2" t="s">
        <v>7378</v>
      </c>
      <c r="C3340" s="2" t="s">
        <v>5</v>
      </c>
      <c r="D3340" s="2" t="s">
        <v>682</v>
      </c>
      <c r="E3340" s="2" t="str">
        <f>"9782384763771"</f>
        <v>9782384763771</v>
      </c>
      <c r="F3340" s="2" t="str">
        <f>"9782384763788"</f>
        <v>9782384763788</v>
      </c>
    </row>
    <row r="3341" spans="1:6" s="3" customFormat="1" ht="29.1" customHeight="1" x14ac:dyDescent="0.25">
      <c r="A3341" s="2" t="s">
        <v>7379</v>
      </c>
      <c r="B3341" s="2" t="s">
        <v>7380</v>
      </c>
      <c r="C3341" s="2" t="s">
        <v>5</v>
      </c>
      <c r="D3341" s="2" t="s">
        <v>9</v>
      </c>
      <c r="E3341" s="2" t="str">
        <f>"9782384763597"</f>
        <v>9782384763597</v>
      </c>
      <c r="F3341" s="2" t="str">
        <f>"9782384763603"</f>
        <v>9782384763603</v>
      </c>
    </row>
    <row r="3342" spans="1:6" s="3" customFormat="1" ht="29.1" customHeight="1" x14ac:dyDescent="0.25">
      <c r="A3342" s="2" t="s">
        <v>7381</v>
      </c>
      <c r="B3342" s="2" t="s">
        <v>7382</v>
      </c>
      <c r="C3342" s="2" t="s">
        <v>5</v>
      </c>
      <c r="D3342" s="2" t="s">
        <v>183</v>
      </c>
      <c r="E3342" s="2" t="str">
        <f>"9783658464516"</f>
        <v>9783658464516</v>
      </c>
      <c r="F3342" s="2" t="str">
        <f>"9783658464523"</f>
        <v>9783658464523</v>
      </c>
    </row>
    <row r="3343" spans="1:6" s="3" customFormat="1" ht="29.1" customHeight="1" x14ac:dyDescent="0.25">
      <c r="A3343" s="2" t="s">
        <v>7383</v>
      </c>
      <c r="B3343" s="2" t="s">
        <v>7384</v>
      </c>
      <c r="C3343" s="2" t="s">
        <v>5</v>
      </c>
      <c r="D3343" s="2" t="s">
        <v>1932</v>
      </c>
      <c r="E3343" s="2" t="str">
        <f>"9789819632756"</f>
        <v>9789819632756</v>
      </c>
      <c r="F3343" s="2" t="str">
        <f>"9789819632763"</f>
        <v>9789819632763</v>
      </c>
    </row>
    <row r="3344" spans="1:6" s="3" customFormat="1" ht="29.1" customHeight="1" x14ac:dyDescent="0.25">
      <c r="A3344" s="2" t="s">
        <v>7385</v>
      </c>
      <c r="B3344" s="2" t="s">
        <v>7386</v>
      </c>
      <c r="C3344" s="2" t="s">
        <v>5</v>
      </c>
      <c r="D3344" s="2" t="s">
        <v>2336</v>
      </c>
      <c r="E3344" s="2" t="str">
        <f>"9783658476946"</f>
        <v>9783658476946</v>
      </c>
      <c r="F3344" s="2" t="str">
        <f>"9783658476953"</f>
        <v>9783658476953</v>
      </c>
    </row>
    <row r="3345" spans="1:6" s="3" customFormat="1" ht="29.1" customHeight="1" x14ac:dyDescent="0.25">
      <c r="A3345" s="2" t="s">
        <v>7387</v>
      </c>
      <c r="B3345" s="2" t="s">
        <v>7389</v>
      </c>
      <c r="C3345" s="2" t="s">
        <v>5</v>
      </c>
      <c r="D3345" s="2" t="s">
        <v>7388</v>
      </c>
      <c r="E3345" s="2" t="str">
        <f>"9783031849008"</f>
        <v>9783031849008</v>
      </c>
      <c r="F3345" s="2" t="str">
        <f>"9783031849015"</f>
        <v>9783031849015</v>
      </c>
    </row>
    <row r="3346" spans="1:6" s="3" customFormat="1" ht="29.1" customHeight="1" x14ac:dyDescent="0.25">
      <c r="A3346" s="2" t="s">
        <v>7390</v>
      </c>
      <c r="B3346" s="2" t="s">
        <v>7391</v>
      </c>
      <c r="C3346" s="2" t="s">
        <v>5</v>
      </c>
      <c r="D3346" s="2" t="s">
        <v>712</v>
      </c>
      <c r="E3346" s="2" t="str">
        <f>"9783662694688"</f>
        <v>9783662694688</v>
      </c>
      <c r="F3346" s="2" t="str">
        <f>"9783662694695"</f>
        <v>9783662694695</v>
      </c>
    </row>
    <row r="3347" spans="1:6" s="3" customFormat="1" ht="29.1" customHeight="1" x14ac:dyDescent="0.25">
      <c r="A3347" s="2" t="s">
        <v>7392</v>
      </c>
      <c r="B3347" s="2" t="s">
        <v>7393</v>
      </c>
      <c r="C3347" s="2" t="s">
        <v>5</v>
      </c>
      <c r="D3347" s="2" t="s">
        <v>232</v>
      </c>
      <c r="E3347" s="2" t="str">
        <f>"9783031805738"</f>
        <v>9783031805738</v>
      </c>
      <c r="F3347" s="2" t="str">
        <f>"9783031805745"</f>
        <v>9783031805745</v>
      </c>
    </row>
    <row r="3348" spans="1:6" s="3" customFormat="1" ht="29.1" customHeight="1" x14ac:dyDescent="0.25">
      <c r="A3348" s="2" t="s">
        <v>7394</v>
      </c>
      <c r="B3348" s="2" t="s">
        <v>7396</v>
      </c>
      <c r="C3348" s="2" t="s">
        <v>7395</v>
      </c>
      <c r="D3348" s="2" t="s">
        <v>6149</v>
      </c>
      <c r="E3348" s="2" t="str">
        <f>"9780700606832"</f>
        <v>9780700606832</v>
      </c>
      <c r="F3348" s="2" t="str">
        <f>"9780700631162"</f>
        <v>9780700631162</v>
      </c>
    </row>
    <row r="3349" spans="1:6" s="3" customFormat="1" ht="29.1" customHeight="1" x14ac:dyDescent="0.25">
      <c r="A3349" s="2" t="s">
        <v>7397</v>
      </c>
      <c r="B3349" s="2" t="s">
        <v>7398</v>
      </c>
      <c r="C3349" s="2" t="s">
        <v>3177</v>
      </c>
      <c r="D3349" s="2" t="s">
        <v>6339</v>
      </c>
      <c r="E3349" s="2" t="str">
        <f>"9782503611082"</f>
        <v>9782503611082</v>
      </c>
      <c r="F3349" s="2" t="str">
        <f>"9782503611099"</f>
        <v>9782503611099</v>
      </c>
    </row>
    <row r="3350" spans="1:6" s="3" customFormat="1" ht="29.1" customHeight="1" x14ac:dyDescent="0.25">
      <c r="A3350" s="2" t="s">
        <v>7399</v>
      </c>
      <c r="B3350" s="2" t="s">
        <v>7400</v>
      </c>
      <c r="C3350" s="2" t="s">
        <v>5</v>
      </c>
      <c r="D3350" s="2" t="s">
        <v>168</v>
      </c>
      <c r="E3350" s="2" t="str">
        <f>"9783031837166"</f>
        <v>9783031837166</v>
      </c>
      <c r="F3350" s="2" t="str">
        <f>"9783031837173"</f>
        <v>9783031837173</v>
      </c>
    </row>
    <row r="3351" spans="1:6" s="3" customFormat="1" ht="29.1" customHeight="1" x14ac:dyDescent="0.25">
      <c r="A3351" s="2" t="s">
        <v>7401</v>
      </c>
      <c r="B3351" s="2" t="s">
        <v>7402</v>
      </c>
      <c r="C3351" s="2" t="s">
        <v>5</v>
      </c>
      <c r="D3351" s="2" t="s">
        <v>836</v>
      </c>
      <c r="E3351" s="2" t="str">
        <f>"9789819794836"</f>
        <v>9789819794836</v>
      </c>
      <c r="F3351" s="2" t="str">
        <f>"9789819794843"</f>
        <v>9789819794843</v>
      </c>
    </row>
    <row r="3352" spans="1:6" s="3" customFormat="1" ht="29.1" customHeight="1" x14ac:dyDescent="0.25">
      <c r="A3352" s="2" t="s">
        <v>7403</v>
      </c>
      <c r="B3352" s="2" t="s">
        <v>7404</v>
      </c>
      <c r="C3352" s="2" t="s">
        <v>5</v>
      </c>
      <c r="D3352" s="2" t="s">
        <v>553</v>
      </c>
      <c r="E3352" s="2" t="str">
        <f>"9783031751394"</f>
        <v>9783031751394</v>
      </c>
      <c r="F3352" s="2" t="str">
        <f>"9783031751400"</f>
        <v>9783031751400</v>
      </c>
    </row>
    <row r="3353" spans="1:6" s="3" customFormat="1" ht="29.1" customHeight="1" x14ac:dyDescent="0.25">
      <c r="A3353" s="2" t="s">
        <v>7405</v>
      </c>
      <c r="B3353" s="2" t="s">
        <v>7406</v>
      </c>
      <c r="C3353" s="2" t="s">
        <v>5</v>
      </c>
      <c r="D3353" s="2" t="s">
        <v>2237</v>
      </c>
      <c r="E3353" s="2" t="str">
        <f>"9789464636635"</f>
        <v>9789464636635</v>
      </c>
      <c r="F3353" s="2" t="str">
        <f>"9789464636642"</f>
        <v>9789464636642</v>
      </c>
    </row>
    <row r="3354" spans="1:6" s="3" customFormat="1" ht="29.1" customHeight="1" x14ac:dyDescent="0.25">
      <c r="A3354" s="2" t="s">
        <v>7407</v>
      </c>
      <c r="B3354" s="2" t="s">
        <v>7408</v>
      </c>
      <c r="C3354" s="2" t="s">
        <v>5</v>
      </c>
      <c r="D3354" s="2" t="s">
        <v>6994</v>
      </c>
      <c r="E3354" s="2" t="str">
        <f>"9783031816499"</f>
        <v>9783031816499</v>
      </c>
      <c r="F3354" s="2" t="str">
        <f>"9783031816505"</f>
        <v>9783031816505</v>
      </c>
    </row>
    <row r="3355" spans="1:6" s="3" customFormat="1" ht="29.1" customHeight="1" x14ac:dyDescent="0.25">
      <c r="A3355" s="2" t="s">
        <v>7409</v>
      </c>
      <c r="B3355" s="2" t="s">
        <v>7410</v>
      </c>
      <c r="C3355" s="2" t="s">
        <v>5</v>
      </c>
      <c r="D3355" s="2" t="s">
        <v>52</v>
      </c>
      <c r="E3355" s="2" t="str">
        <f>"9783031862397"</f>
        <v>9783031862397</v>
      </c>
      <c r="F3355" s="2" t="str">
        <f>"9783031862403"</f>
        <v>9783031862403</v>
      </c>
    </row>
    <row r="3356" spans="1:6" s="3" customFormat="1" ht="29.1" customHeight="1" x14ac:dyDescent="0.25">
      <c r="A3356" s="2" t="s">
        <v>7411</v>
      </c>
      <c r="B3356" s="2" t="s">
        <v>7412</v>
      </c>
      <c r="C3356" s="2" t="s">
        <v>4104</v>
      </c>
      <c r="D3356" s="2" t="s">
        <v>1416</v>
      </c>
      <c r="E3356" s="2" t="str">
        <f>"9781800856080"</f>
        <v>9781800856080</v>
      </c>
      <c r="F3356" s="2" t="str">
        <f>"9781800855649"</f>
        <v>9781800855649</v>
      </c>
    </row>
    <row r="3357" spans="1:6" s="3" customFormat="1" ht="29.1" customHeight="1" x14ac:dyDescent="0.25">
      <c r="A3357" s="2" t="s">
        <v>7413</v>
      </c>
      <c r="B3357" s="2" t="s">
        <v>7414</v>
      </c>
      <c r="C3357" s="2" t="s">
        <v>5</v>
      </c>
      <c r="D3357" s="2" t="s">
        <v>650</v>
      </c>
      <c r="E3357" s="2" t="str">
        <f>"9789464636673"</f>
        <v>9789464636673</v>
      </c>
      <c r="F3357" s="2" t="str">
        <f>"9789464636680"</f>
        <v>9789464636680</v>
      </c>
    </row>
    <row r="3358" spans="1:6" s="3" customFormat="1" ht="29.1" customHeight="1" x14ac:dyDescent="0.25">
      <c r="A3358" s="2" t="s">
        <v>7415</v>
      </c>
      <c r="B3358" s="2" t="s">
        <v>7416</v>
      </c>
      <c r="C3358" s="2" t="s">
        <v>5</v>
      </c>
      <c r="D3358" s="2" t="s">
        <v>477</v>
      </c>
      <c r="E3358" s="2" t="str">
        <f>"9783031802676"</f>
        <v>9783031802676</v>
      </c>
      <c r="F3358" s="2" t="str">
        <f>"9783031802683"</f>
        <v>9783031802683</v>
      </c>
    </row>
    <row r="3359" spans="1:6" s="3" customFormat="1" ht="29.1" customHeight="1" x14ac:dyDescent="0.25">
      <c r="A3359" s="2" t="s">
        <v>7417</v>
      </c>
      <c r="B3359" s="2" t="s">
        <v>7418</v>
      </c>
      <c r="C3359" s="2" t="s">
        <v>5</v>
      </c>
      <c r="D3359" s="2" t="s">
        <v>1988</v>
      </c>
      <c r="E3359" s="2" t="str">
        <f>"9783658474409"</f>
        <v>9783658474409</v>
      </c>
      <c r="F3359" s="2" t="str">
        <f>"9783658474416"</f>
        <v>9783658474416</v>
      </c>
    </row>
    <row r="3360" spans="1:6" s="3" customFormat="1" ht="29.1" customHeight="1" x14ac:dyDescent="0.25">
      <c r="A3360" s="2" t="s">
        <v>7419</v>
      </c>
      <c r="B3360" s="2" t="s">
        <v>7420</v>
      </c>
      <c r="C3360" s="2" t="s">
        <v>5</v>
      </c>
      <c r="D3360" s="2" t="s">
        <v>95</v>
      </c>
      <c r="E3360" s="2" t="str">
        <f>"9789819615827"</f>
        <v>9789819615827</v>
      </c>
      <c r="F3360" s="2" t="str">
        <f>"9789819615834"</f>
        <v>9789819615834</v>
      </c>
    </row>
    <row r="3361" spans="1:6" s="3" customFormat="1" ht="29.1" customHeight="1" x14ac:dyDescent="0.25">
      <c r="A3361" s="2" t="s">
        <v>7421</v>
      </c>
      <c r="B3361" s="2" t="s">
        <v>7422</v>
      </c>
      <c r="C3361" s="2" t="s">
        <v>5</v>
      </c>
      <c r="D3361" s="2" t="s">
        <v>12</v>
      </c>
      <c r="E3361" s="2" t="str">
        <f>"9783031850158"</f>
        <v>9783031850158</v>
      </c>
      <c r="F3361" s="2" t="str">
        <f>"9783031850165"</f>
        <v>9783031850165</v>
      </c>
    </row>
    <row r="3362" spans="1:6" s="3" customFormat="1" ht="29.1" customHeight="1" x14ac:dyDescent="0.25">
      <c r="A3362" s="2" t="s">
        <v>7423</v>
      </c>
      <c r="B3362" s="2" t="s">
        <v>7424</v>
      </c>
      <c r="C3362" s="2" t="s">
        <v>5</v>
      </c>
      <c r="D3362" s="2" t="s">
        <v>431</v>
      </c>
      <c r="E3362" s="2" t="str">
        <f>"9783662697306"</f>
        <v>9783662697306</v>
      </c>
      <c r="F3362" s="2" t="str">
        <f>"9783662697313"</f>
        <v>9783662697313</v>
      </c>
    </row>
    <row r="3363" spans="1:6" s="3" customFormat="1" ht="29.1" customHeight="1" x14ac:dyDescent="0.25">
      <c r="A3363" s="2" t="s">
        <v>7425</v>
      </c>
      <c r="B3363" s="2" t="s">
        <v>7427</v>
      </c>
      <c r="C3363" s="2" t="s">
        <v>681</v>
      </c>
      <c r="D3363" s="2" t="s">
        <v>7426</v>
      </c>
      <c r="E3363" s="2" t="str">
        <f>"9783775759038"</f>
        <v>9783775759038</v>
      </c>
      <c r="F3363" s="2" t="str">
        <f>"9783775759649"</f>
        <v>9783775759649</v>
      </c>
    </row>
    <row r="3364" spans="1:6" s="3" customFormat="1" ht="29.1" customHeight="1" x14ac:dyDescent="0.25">
      <c r="A3364" s="2" t="s">
        <v>7428</v>
      </c>
      <c r="B3364" s="2" t="s">
        <v>7430</v>
      </c>
      <c r="C3364" s="2" t="s">
        <v>62</v>
      </c>
      <c r="D3364" s="2" t="s">
        <v>7429</v>
      </c>
      <c r="E3364" s="2" t="str">
        <f>"9783428194469"</f>
        <v>9783428194469</v>
      </c>
      <c r="F3364" s="2" t="str">
        <f>"9783428594467"</f>
        <v>9783428594467</v>
      </c>
    </row>
    <row r="3365" spans="1:6" s="3" customFormat="1" ht="29.1" customHeight="1" x14ac:dyDescent="0.25">
      <c r="A3365" s="2" t="s">
        <v>7431</v>
      </c>
      <c r="B3365" s="2" t="s">
        <v>7432</v>
      </c>
      <c r="C3365" s="2" t="s">
        <v>62</v>
      </c>
      <c r="D3365" s="2" t="s">
        <v>270</v>
      </c>
      <c r="E3365" s="2" t="str">
        <f>"9783428193806"</f>
        <v>9783428193806</v>
      </c>
      <c r="F3365" s="2" t="str">
        <f>"9783428593804"</f>
        <v>9783428593804</v>
      </c>
    </row>
    <row r="3366" spans="1:6" s="3" customFormat="1" ht="29.1" customHeight="1" x14ac:dyDescent="0.25">
      <c r="A3366" s="2" t="s">
        <v>7433</v>
      </c>
      <c r="B3366" s="2" t="s">
        <v>7434</v>
      </c>
      <c r="C3366" s="2" t="s">
        <v>62</v>
      </c>
      <c r="D3366" s="2" t="s">
        <v>6958</v>
      </c>
      <c r="E3366" s="2" t="str">
        <f>"9783428190447"</f>
        <v>9783428190447</v>
      </c>
      <c r="F3366" s="2" t="str">
        <f>"9783428590445"</f>
        <v>9783428590445</v>
      </c>
    </row>
    <row r="3367" spans="1:6" s="3" customFormat="1" ht="29.1" customHeight="1" x14ac:dyDescent="0.25">
      <c r="A3367" s="2" t="s">
        <v>7435</v>
      </c>
      <c r="B3367" s="2" t="s">
        <v>7437</v>
      </c>
      <c r="C3367" s="2" t="s">
        <v>327</v>
      </c>
      <c r="D3367" s="2" t="s">
        <v>7436</v>
      </c>
      <c r="E3367" s="2" t="str">
        <f>"9788383315881"</f>
        <v>9788383315881</v>
      </c>
      <c r="F3367" s="2" t="str">
        <f>"9788383315898"</f>
        <v>9788383315898</v>
      </c>
    </row>
    <row r="3368" spans="1:6" s="3" customFormat="1" ht="29.1" customHeight="1" x14ac:dyDescent="0.25">
      <c r="A3368" s="2" t="s">
        <v>7438</v>
      </c>
      <c r="B3368" s="2" t="s">
        <v>7440</v>
      </c>
      <c r="C3368" s="2" t="s">
        <v>327</v>
      </c>
      <c r="D3368" s="2" t="s">
        <v>7439</v>
      </c>
      <c r="E3368" s="2" t="str">
        <f>"9788383316246"</f>
        <v>9788383316246</v>
      </c>
      <c r="F3368" s="2" t="str">
        <f>"9788383316291"</f>
        <v>9788383316291</v>
      </c>
    </row>
    <row r="3369" spans="1:6" s="3" customFormat="1" ht="29.1" customHeight="1" x14ac:dyDescent="0.25">
      <c r="A3369" s="2" t="s">
        <v>7441</v>
      </c>
      <c r="B3369" s="2" t="s">
        <v>7442</v>
      </c>
      <c r="C3369" s="2" t="s">
        <v>327</v>
      </c>
      <c r="D3369" s="2" t="s">
        <v>2462</v>
      </c>
      <c r="E3369" s="2"/>
      <c r="F3369" s="2" t="str">
        <f>"9788383316369"</f>
        <v>9788383316369</v>
      </c>
    </row>
    <row r="3370" spans="1:6" s="3" customFormat="1" ht="29.1" customHeight="1" x14ac:dyDescent="0.25">
      <c r="A3370" s="2" t="s">
        <v>7443</v>
      </c>
      <c r="B3370" s="2" t="s">
        <v>7444</v>
      </c>
      <c r="C3370" s="2" t="s">
        <v>327</v>
      </c>
      <c r="D3370" s="2" t="s">
        <v>2411</v>
      </c>
      <c r="E3370" s="2"/>
      <c r="F3370" s="2" t="str">
        <f>"9788383316567"</f>
        <v>9788383316567</v>
      </c>
    </row>
    <row r="3371" spans="1:6" s="3" customFormat="1" ht="29.1" customHeight="1" x14ac:dyDescent="0.25">
      <c r="A3371" s="2" t="s">
        <v>7445</v>
      </c>
      <c r="B3371" s="2" t="s">
        <v>7446</v>
      </c>
      <c r="C3371" s="2" t="s">
        <v>327</v>
      </c>
      <c r="D3371" s="2" t="s">
        <v>7436</v>
      </c>
      <c r="E3371" s="2" t="str">
        <f>"9788383315652"</f>
        <v>9788383315652</v>
      </c>
      <c r="F3371" s="2" t="str">
        <f>"9788383315669"</f>
        <v>9788383315669</v>
      </c>
    </row>
    <row r="3372" spans="1:6" s="3" customFormat="1" ht="29.1" customHeight="1" x14ac:dyDescent="0.25">
      <c r="A3372" s="2" t="s">
        <v>7447</v>
      </c>
      <c r="B3372" s="2" t="s">
        <v>7448</v>
      </c>
      <c r="C3372" s="2" t="s">
        <v>327</v>
      </c>
      <c r="D3372" s="2" t="s">
        <v>7436</v>
      </c>
      <c r="E3372" s="2" t="str">
        <f>"9788383315591"</f>
        <v>9788383315591</v>
      </c>
      <c r="F3372" s="2" t="str">
        <f>"9788383315607"</f>
        <v>9788383315607</v>
      </c>
    </row>
    <row r="3373" spans="1:6" s="3" customFormat="1" ht="29.1" customHeight="1" x14ac:dyDescent="0.25">
      <c r="A3373" s="2" t="s">
        <v>7449</v>
      </c>
      <c r="B3373" s="2" t="s">
        <v>7450</v>
      </c>
      <c r="C3373" s="2" t="s">
        <v>327</v>
      </c>
      <c r="D3373" s="2" t="s">
        <v>6128</v>
      </c>
      <c r="E3373" s="2" t="str">
        <f>"9788383316024"</f>
        <v>9788383316024</v>
      </c>
      <c r="F3373" s="2" t="str">
        <f>"9788383316017"</f>
        <v>9788383316017</v>
      </c>
    </row>
    <row r="3374" spans="1:6" s="3" customFormat="1" ht="29.1" customHeight="1" x14ac:dyDescent="0.25">
      <c r="A3374" s="2" t="s">
        <v>7451</v>
      </c>
      <c r="B3374" s="2" t="s">
        <v>7452</v>
      </c>
      <c r="C3374" s="2" t="s">
        <v>195</v>
      </c>
      <c r="D3374" s="2" t="s">
        <v>2713</v>
      </c>
      <c r="E3374" s="2" t="str">
        <f>"9783111532356"</f>
        <v>9783111532356</v>
      </c>
      <c r="F3374" s="2" t="str">
        <f>"9783111532868"</f>
        <v>9783111532868</v>
      </c>
    </row>
    <row r="3375" spans="1:6" s="3" customFormat="1" ht="29.1" customHeight="1" x14ac:dyDescent="0.25">
      <c r="A3375" s="2" t="s">
        <v>7453</v>
      </c>
      <c r="B3375" s="2" t="s">
        <v>7454</v>
      </c>
      <c r="C3375" s="2" t="s">
        <v>195</v>
      </c>
      <c r="D3375" s="2" t="s">
        <v>118</v>
      </c>
      <c r="E3375" s="2" t="str">
        <f>"9783111594118"</f>
        <v>9783111594118</v>
      </c>
      <c r="F3375" s="2" t="str">
        <f>"9783111595344"</f>
        <v>9783111595344</v>
      </c>
    </row>
    <row r="3376" spans="1:6" s="3" customFormat="1" ht="29.1" customHeight="1" x14ac:dyDescent="0.25">
      <c r="A3376" s="2" t="s">
        <v>7455</v>
      </c>
      <c r="B3376" s="2" t="s">
        <v>7456</v>
      </c>
      <c r="C3376" s="2" t="s">
        <v>195</v>
      </c>
      <c r="D3376" s="2" t="s">
        <v>1183</v>
      </c>
      <c r="E3376" s="2" t="str">
        <f>"9783111504285"</f>
        <v>9783111504285</v>
      </c>
      <c r="F3376" s="2" t="str">
        <f>"9783111504674"</f>
        <v>9783111504674</v>
      </c>
    </row>
    <row r="3377" spans="1:6" s="3" customFormat="1" ht="29.1" customHeight="1" x14ac:dyDescent="0.25">
      <c r="A3377" s="2" t="s">
        <v>7457</v>
      </c>
      <c r="B3377" s="2" t="s">
        <v>7458</v>
      </c>
      <c r="C3377" s="2" t="s">
        <v>195</v>
      </c>
      <c r="D3377" s="2" t="s">
        <v>1956</v>
      </c>
      <c r="E3377" s="2" t="str">
        <f>"9783111394985"</f>
        <v>9783111394985</v>
      </c>
      <c r="F3377" s="2" t="str">
        <f>"9783111395425"</f>
        <v>9783111395425</v>
      </c>
    </row>
    <row r="3378" spans="1:6" s="3" customFormat="1" ht="29.1" customHeight="1" x14ac:dyDescent="0.25">
      <c r="A3378" s="2" t="s">
        <v>7459</v>
      </c>
      <c r="B3378" s="2" t="s">
        <v>7461</v>
      </c>
      <c r="C3378" s="2" t="s">
        <v>195</v>
      </c>
      <c r="D3378" s="2" t="s">
        <v>7460</v>
      </c>
      <c r="E3378" s="2" t="str">
        <f>"9783110781045"</f>
        <v>9783110781045</v>
      </c>
      <c r="F3378" s="2" t="str">
        <f>"9783110781120"</f>
        <v>9783110781120</v>
      </c>
    </row>
    <row r="3379" spans="1:6" s="3" customFormat="1" ht="29.1" customHeight="1" x14ac:dyDescent="0.25">
      <c r="A3379" s="2" t="s">
        <v>7462</v>
      </c>
      <c r="B3379" s="2" t="s">
        <v>7463</v>
      </c>
      <c r="C3379" s="2" t="s">
        <v>124</v>
      </c>
      <c r="D3379" s="2" t="s">
        <v>1717</v>
      </c>
      <c r="E3379" s="2" t="str">
        <f>"9781032879901"</f>
        <v>9781032879901</v>
      </c>
      <c r="F3379" s="2" t="str">
        <f>"9781003535751"</f>
        <v>9781003535751</v>
      </c>
    </row>
    <row r="3380" spans="1:6" s="3" customFormat="1" ht="29.1" customHeight="1" x14ac:dyDescent="0.25">
      <c r="A3380" s="2" t="s">
        <v>7464</v>
      </c>
      <c r="B3380" s="2" t="s">
        <v>7465</v>
      </c>
      <c r="C3380" s="2" t="s">
        <v>5</v>
      </c>
      <c r="D3380" s="2" t="s">
        <v>1585</v>
      </c>
      <c r="E3380" s="2" t="str">
        <f>"9783031822247"</f>
        <v>9783031822247</v>
      </c>
      <c r="F3380" s="2" t="str">
        <f>"9783031822254"</f>
        <v>9783031822254</v>
      </c>
    </row>
    <row r="3381" spans="1:6" s="3" customFormat="1" ht="29.1" customHeight="1" x14ac:dyDescent="0.25">
      <c r="A3381" s="2" t="s">
        <v>7466</v>
      </c>
      <c r="B3381" s="2" t="s">
        <v>7467</v>
      </c>
      <c r="C3381" s="2" t="s">
        <v>5</v>
      </c>
      <c r="D3381" s="2" t="s">
        <v>81</v>
      </c>
      <c r="E3381" s="2" t="str">
        <f>"9783031847479"</f>
        <v>9783031847479</v>
      </c>
      <c r="F3381" s="2" t="str">
        <f>"9783031847486"</f>
        <v>9783031847486</v>
      </c>
    </row>
    <row r="3382" spans="1:6" s="3" customFormat="1" ht="29.1" customHeight="1" x14ac:dyDescent="0.25">
      <c r="A3382" s="2" t="s">
        <v>7468</v>
      </c>
      <c r="B3382" s="2" t="s">
        <v>7469</v>
      </c>
      <c r="C3382" s="2" t="s">
        <v>5</v>
      </c>
      <c r="D3382" s="2" t="s">
        <v>12</v>
      </c>
      <c r="E3382" s="2" t="str">
        <f>"9783031791147"</f>
        <v>9783031791147</v>
      </c>
      <c r="F3382" s="2" t="str">
        <f>"9783031791154"</f>
        <v>9783031791154</v>
      </c>
    </row>
    <row r="3383" spans="1:6" s="3" customFormat="1" ht="29.1" customHeight="1" x14ac:dyDescent="0.25">
      <c r="A3383" s="2" t="s">
        <v>7470</v>
      </c>
      <c r="B3383" s="2" t="s">
        <v>7471</v>
      </c>
      <c r="C3383" s="2" t="s">
        <v>5</v>
      </c>
      <c r="D3383" s="2" t="s">
        <v>712</v>
      </c>
      <c r="E3383" s="2" t="str">
        <f>"9783658461102"</f>
        <v>9783658461102</v>
      </c>
      <c r="F3383" s="2" t="str">
        <f>"9783658461119"</f>
        <v>9783658461119</v>
      </c>
    </row>
    <row r="3384" spans="1:6" s="3" customFormat="1" ht="29.1" customHeight="1" x14ac:dyDescent="0.25">
      <c r="A3384" s="2" t="s">
        <v>7472</v>
      </c>
      <c r="B3384" s="2" t="s">
        <v>7473</v>
      </c>
      <c r="C3384" s="2" t="s">
        <v>5</v>
      </c>
      <c r="D3384" s="2" t="s">
        <v>12</v>
      </c>
      <c r="E3384" s="2" t="str">
        <f>"9789819785872"</f>
        <v>9789819785872</v>
      </c>
      <c r="F3384" s="2" t="str">
        <f>"9789819785889"</f>
        <v>9789819785889</v>
      </c>
    </row>
    <row r="3385" spans="1:6" s="3" customFormat="1" ht="29.1" customHeight="1" x14ac:dyDescent="0.25">
      <c r="A3385" s="2" t="s">
        <v>7474</v>
      </c>
      <c r="B3385" s="2" t="s">
        <v>7475</v>
      </c>
      <c r="C3385" s="2" t="s">
        <v>5</v>
      </c>
      <c r="D3385" s="2" t="s">
        <v>9</v>
      </c>
      <c r="E3385" s="2" t="str">
        <f>"9782384763856"</f>
        <v>9782384763856</v>
      </c>
      <c r="F3385" s="2" t="str">
        <f>"9782384763863"</f>
        <v>9782384763863</v>
      </c>
    </row>
    <row r="3386" spans="1:6" s="3" customFormat="1" ht="29.1" customHeight="1" x14ac:dyDescent="0.25">
      <c r="A3386" s="2" t="s">
        <v>7476</v>
      </c>
      <c r="B3386" s="2" t="s">
        <v>6759</v>
      </c>
      <c r="C3386" s="2" t="s">
        <v>5</v>
      </c>
      <c r="D3386" s="2" t="s">
        <v>636</v>
      </c>
      <c r="E3386" s="2" t="str">
        <f>"9782384763818"</f>
        <v>9782384763818</v>
      </c>
      <c r="F3386" s="2" t="str">
        <f>"9782384763825"</f>
        <v>9782384763825</v>
      </c>
    </row>
    <row r="3387" spans="1:6" s="3" customFormat="1" ht="29.1" customHeight="1" x14ac:dyDescent="0.25">
      <c r="A3387" s="2" t="s">
        <v>7477</v>
      </c>
      <c r="B3387" s="2" t="s">
        <v>7478</v>
      </c>
      <c r="C3387" s="2" t="s">
        <v>316</v>
      </c>
      <c r="D3387" s="2" t="s">
        <v>2237</v>
      </c>
      <c r="E3387" s="2" t="str">
        <f>"9783036407586"</f>
        <v>9783036407586</v>
      </c>
      <c r="F3387" s="2" t="str">
        <f>"9783036417585"</f>
        <v>9783036417585</v>
      </c>
    </row>
    <row r="3388" spans="1:6" s="3" customFormat="1" ht="29.1" customHeight="1" x14ac:dyDescent="0.25">
      <c r="A3388" s="2" t="s">
        <v>7479</v>
      </c>
      <c r="B3388" s="2" t="s">
        <v>7480</v>
      </c>
      <c r="C3388" s="2" t="s">
        <v>7395</v>
      </c>
      <c r="D3388" s="2" t="s">
        <v>653</v>
      </c>
      <c r="E3388" s="2" t="str">
        <f>"9780295753102"</f>
        <v>9780295753102</v>
      </c>
      <c r="F3388" s="2" t="str">
        <f>"9780295753126"</f>
        <v>9780295753126</v>
      </c>
    </row>
    <row r="3389" spans="1:6" s="3" customFormat="1" ht="29.1" customHeight="1" x14ac:dyDescent="0.25">
      <c r="A3389" s="2" t="s">
        <v>7481</v>
      </c>
      <c r="B3389" s="2" t="s">
        <v>7482</v>
      </c>
      <c r="C3389" s="2" t="s">
        <v>2133</v>
      </c>
      <c r="D3389" s="2" t="s">
        <v>818</v>
      </c>
      <c r="E3389" s="2" t="str">
        <f>"9781760466657"</f>
        <v>9781760466657</v>
      </c>
      <c r="F3389" s="2" t="str">
        <f>"9781760466664"</f>
        <v>9781760466664</v>
      </c>
    </row>
    <row r="3390" spans="1:6" s="3" customFormat="1" ht="29.1" customHeight="1" x14ac:dyDescent="0.25">
      <c r="A3390" s="2" t="s">
        <v>7483</v>
      </c>
      <c r="B3390" s="2" t="s">
        <v>7485</v>
      </c>
      <c r="C3390" s="2" t="s">
        <v>149</v>
      </c>
      <c r="D3390" s="2" t="s">
        <v>7484</v>
      </c>
      <c r="E3390" s="2" t="str">
        <f>"9781685711887"</f>
        <v>9781685711887</v>
      </c>
      <c r="F3390" s="2" t="str">
        <f>"9781685711894"</f>
        <v>9781685711894</v>
      </c>
    </row>
    <row r="3391" spans="1:6" s="3" customFormat="1" ht="29.1" customHeight="1" x14ac:dyDescent="0.25">
      <c r="A3391" s="2" t="s">
        <v>7486</v>
      </c>
      <c r="B3391" s="2" t="s">
        <v>7487</v>
      </c>
      <c r="C3391" s="2" t="s">
        <v>5</v>
      </c>
      <c r="D3391" s="2" t="s">
        <v>297</v>
      </c>
      <c r="E3391" s="2" t="str">
        <f>"9789819612888"</f>
        <v>9789819612888</v>
      </c>
      <c r="F3391" s="2" t="str">
        <f>"9789819612895"</f>
        <v>9789819612895</v>
      </c>
    </row>
    <row r="3392" spans="1:6" s="3" customFormat="1" ht="29.1" customHeight="1" x14ac:dyDescent="0.25">
      <c r="A3392" s="2" t="s">
        <v>7488</v>
      </c>
      <c r="B3392" s="2" t="s">
        <v>7489</v>
      </c>
      <c r="C3392" s="2" t="s">
        <v>5</v>
      </c>
      <c r="D3392" s="2" t="s">
        <v>1845</v>
      </c>
      <c r="E3392" s="2" t="str">
        <f>"9783658470609"</f>
        <v>9783658470609</v>
      </c>
      <c r="F3392" s="2" t="str">
        <f>"9783658470616"</f>
        <v>9783658470616</v>
      </c>
    </row>
    <row r="3393" spans="1:6" s="3" customFormat="1" ht="29.1" customHeight="1" x14ac:dyDescent="0.25">
      <c r="A3393" s="2" t="s">
        <v>7490</v>
      </c>
      <c r="B3393" s="2" t="s">
        <v>7491</v>
      </c>
      <c r="C3393" s="2" t="s">
        <v>5</v>
      </c>
      <c r="D3393" s="2" t="s">
        <v>1908</v>
      </c>
      <c r="E3393" s="2" t="str">
        <f>"9789819631209"</f>
        <v>9789819631209</v>
      </c>
      <c r="F3393" s="2" t="str">
        <f>"9789819631216"</f>
        <v>9789819631216</v>
      </c>
    </row>
    <row r="3394" spans="1:6" s="3" customFormat="1" ht="29.1" customHeight="1" x14ac:dyDescent="0.25">
      <c r="A3394" s="2" t="s">
        <v>7492</v>
      </c>
      <c r="B3394" s="2" t="s">
        <v>7493</v>
      </c>
      <c r="C3394" s="2" t="s">
        <v>927</v>
      </c>
      <c r="D3394" s="2" t="s">
        <v>2208</v>
      </c>
      <c r="E3394" s="2" t="str">
        <f>"9780472057405"</f>
        <v>9780472057405</v>
      </c>
      <c r="F3394" s="2" t="str">
        <f>"9780472905003"</f>
        <v>9780472905003</v>
      </c>
    </row>
    <row r="3395" spans="1:6" s="3" customFormat="1" ht="29.1" customHeight="1" x14ac:dyDescent="0.25">
      <c r="A3395" s="2" t="s">
        <v>7494</v>
      </c>
      <c r="B3395" s="2" t="s">
        <v>6635</v>
      </c>
      <c r="C3395" s="2" t="s">
        <v>5</v>
      </c>
      <c r="D3395" s="2" t="s">
        <v>537</v>
      </c>
      <c r="E3395" s="2" t="str">
        <f>"9782384763870"</f>
        <v>9782384763870</v>
      </c>
      <c r="F3395" s="2" t="str">
        <f>"9782384763887"</f>
        <v>9782384763887</v>
      </c>
    </row>
    <row r="3396" spans="1:6" s="3" customFormat="1" ht="29.1" customHeight="1" x14ac:dyDescent="0.25">
      <c r="A3396" s="2" t="s">
        <v>7495</v>
      </c>
      <c r="B3396" s="2" t="s">
        <v>7496</v>
      </c>
      <c r="C3396" s="2" t="s">
        <v>5</v>
      </c>
      <c r="D3396" s="2" t="s">
        <v>9</v>
      </c>
      <c r="E3396" s="2" t="str">
        <f>"9782384763757"</f>
        <v>9782384763757</v>
      </c>
      <c r="F3396" s="2" t="str">
        <f>"9782384763764"</f>
        <v>9782384763764</v>
      </c>
    </row>
    <row r="3397" spans="1:6" s="3" customFormat="1" ht="29.1" customHeight="1" x14ac:dyDescent="0.25">
      <c r="A3397" s="2" t="s">
        <v>7497</v>
      </c>
      <c r="B3397" s="2" t="s">
        <v>7498</v>
      </c>
      <c r="C3397" s="2" t="s">
        <v>5</v>
      </c>
      <c r="D3397" s="2" t="s">
        <v>689</v>
      </c>
      <c r="E3397" s="2" t="str">
        <f>"9789819794454"</f>
        <v>9789819794454</v>
      </c>
      <c r="F3397" s="2" t="str">
        <f>"9789819794461"</f>
        <v>9789819794461</v>
      </c>
    </row>
    <row r="3398" spans="1:6" s="3" customFormat="1" ht="29.1" customHeight="1" x14ac:dyDescent="0.25">
      <c r="A3398" s="2" t="s">
        <v>7499</v>
      </c>
      <c r="B3398" s="2" t="s">
        <v>7500</v>
      </c>
      <c r="C3398" s="2" t="s">
        <v>5</v>
      </c>
      <c r="D3398" s="2" t="s">
        <v>1717</v>
      </c>
      <c r="E3398" s="2" t="str">
        <f>"9783031777516"</f>
        <v>9783031777516</v>
      </c>
      <c r="F3398" s="2" t="str">
        <f>"9783031777523"</f>
        <v>9783031777523</v>
      </c>
    </row>
    <row r="3399" spans="1:6" s="3" customFormat="1" ht="29.1" customHeight="1" x14ac:dyDescent="0.25">
      <c r="A3399" s="2" t="s">
        <v>7501</v>
      </c>
      <c r="B3399" s="2" t="s">
        <v>7502</v>
      </c>
      <c r="C3399" s="2" t="s">
        <v>5</v>
      </c>
      <c r="D3399" s="2" t="s">
        <v>183</v>
      </c>
      <c r="E3399" s="2" t="str">
        <f>"9783031715938"</f>
        <v>9783031715938</v>
      </c>
      <c r="F3399" s="2" t="str">
        <f>"9783031715945"</f>
        <v>9783031715945</v>
      </c>
    </row>
    <row r="3400" spans="1:6" s="3" customFormat="1" ht="29.1" customHeight="1" x14ac:dyDescent="0.25">
      <c r="A3400" s="2" t="s">
        <v>7503</v>
      </c>
      <c r="B3400" s="2" t="s">
        <v>7504</v>
      </c>
      <c r="C3400" s="2" t="s">
        <v>5</v>
      </c>
      <c r="D3400" s="2" t="s">
        <v>183</v>
      </c>
      <c r="E3400" s="2" t="str">
        <f>"9783658477646"</f>
        <v>9783658477646</v>
      </c>
      <c r="F3400" s="2" t="str">
        <f>"9783658477653"</f>
        <v>9783658477653</v>
      </c>
    </row>
    <row r="3401" spans="1:6" s="3" customFormat="1" ht="29.1" customHeight="1" x14ac:dyDescent="0.25">
      <c r="A3401" s="2" t="s">
        <v>7505</v>
      </c>
      <c r="B3401" s="2" t="s">
        <v>7506</v>
      </c>
      <c r="C3401" s="2" t="s">
        <v>5</v>
      </c>
      <c r="D3401" s="2" t="s">
        <v>1141</v>
      </c>
      <c r="E3401" s="2" t="str">
        <f>"9783662708163"</f>
        <v>9783662708163</v>
      </c>
      <c r="F3401" s="2" t="str">
        <f>"9783662708170"</f>
        <v>9783662708170</v>
      </c>
    </row>
    <row r="3402" spans="1:6" s="3" customFormat="1" ht="29.1" customHeight="1" x14ac:dyDescent="0.25">
      <c r="A3402" s="2" t="s">
        <v>7507</v>
      </c>
      <c r="B3402" s="2" t="s">
        <v>7508</v>
      </c>
      <c r="C3402" s="2" t="s">
        <v>29</v>
      </c>
      <c r="D3402" s="2" t="s">
        <v>497</v>
      </c>
      <c r="E3402" s="2" t="str">
        <f>"9789004729001"</f>
        <v>9789004729001</v>
      </c>
      <c r="F3402" s="2" t="str">
        <f>"9789004729049"</f>
        <v>9789004729049</v>
      </c>
    </row>
    <row r="3403" spans="1:6" s="3" customFormat="1" ht="29.1" customHeight="1" x14ac:dyDescent="0.25">
      <c r="A3403" s="2" t="s">
        <v>7509</v>
      </c>
      <c r="B3403" s="2" t="s">
        <v>7510</v>
      </c>
      <c r="C3403" s="2" t="s">
        <v>29</v>
      </c>
      <c r="D3403" s="2" t="s">
        <v>9</v>
      </c>
      <c r="E3403" s="2" t="str">
        <f>"9789004714199"</f>
        <v>9789004714199</v>
      </c>
      <c r="F3403" s="2" t="str">
        <f>"9789004714205"</f>
        <v>9789004714205</v>
      </c>
    </row>
    <row r="3404" spans="1:6" s="3" customFormat="1" ht="29.1" customHeight="1" x14ac:dyDescent="0.25">
      <c r="A3404" s="2" t="s">
        <v>7511</v>
      </c>
      <c r="B3404" s="2" t="s">
        <v>7512</v>
      </c>
      <c r="C3404" s="2" t="s">
        <v>149</v>
      </c>
      <c r="D3404" s="2" t="s">
        <v>1141</v>
      </c>
      <c r="E3404" s="2" t="str">
        <f>"9781805114536"</f>
        <v>9781805114536</v>
      </c>
      <c r="F3404" s="2" t="str">
        <f>"9781805114550"</f>
        <v>9781805114550</v>
      </c>
    </row>
    <row r="3405" spans="1:6" s="3" customFormat="1" ht="29.1" customHeight="1" x14ac:dyDescent="0.25">
      <c r="A3405" s="2" t="s">
        <v>7513</v>
      </c>
      <c r="B3405" s="2" t="s">
        <v>7515</v>
      </c>
      <c r="C3405" s="2" t="s">
        <v>7514</v>
      </c>
      <c r="D3405" s="2" t="s">
        <v>2136</v>
      </c>
      <c r="E3405" s="2"/>
      <c r="F3405" s="2" t="str">
        <f>"9788869696930"</f>
        <v>9788869696930</v>
      </c>
    </row>
    <row r="3406" spans="1:6" s="3" customFormat="1" ht="29.1" customHeight="1" x14ac:dyDescent="0.25">
      <c r="A3406" s="2" t="s">
        <v>7516</v>
      </c>
      <c r="B3406" s="2" t="s">
        <v>7517</v>
      </c>
      <c r="C3406" s="2" t="s">
        <v>7514</v>
      </c>
      <c r="D3406" s="2" t="s">
        <v>3130</v>
      </c>
      <c r="E3406" s="2" t="str">
        <f>"9788869698262"</f>
        <v>9788869698262</v>
      </c>
      <c r="F3406" s="2" t="str">
        <f>"9788869698064"</f>
        <v>9788869698064</v>
      </c>
    </row>
    <row r="3407" spans="1:6" s="3" customFormat="1" ht="29.1" customHeight="1" x14ac:dyDescent="0.25">
      <c r="A3407" s="2" t="s">
        <v>7518</v>
      </c>
      <c r="B3407" s="2" t="s">
        <v>7519</v>
      </c>
      <c r="C3407" s="2" t="s">
        <v>7514</v>
      </c>
      <c r="D3407" s="2" t="s">
        <v>98</v>
      </c>
      <c r="E3407" s="2" t="str">
        <f>"9788869697890"</f>
        <v>9788869697890</v>
      </c>
      <c r="F3407" s="2" t="str">
        <f>"9788869697883"</f>
        <v>9788869697883</v>
      </c>
    </row>
    <row r="3408" spans="1:6" s="3" customFormat="1" ht="29.1" customHeight="1" x14ac:dyDescent="0.25">
      <c r="A3408" s="2" t="s">
        <v>7520</v>
      </c>
      <c r="B3408" s="2" t="s">
        <v>7521</v>
      </c>
      <c r="C3408" s="2" t="s">
        <v>7514</v>
      </c>
      <c r="D3408" s="2" t="s">
        <v>767</v>
      </c>
      <c r="E3408" s="2"/>
      <c r="F3408" s="2" t="str">
        <f>"9788869697920"</f>
        <v>9788869697920</v>
      </c>
    </row>
    <row r="3409" spans="1:6" s="3" customFormat="1" ht="29.1" customHeight="1" x14ac:dyDescent="0.25">
      <c r="A3409" s="2" t="s">
        <v>7522</v>
      </c>
      <c r="B3409" s="2" t="s">
        <v>7521</v>
      </c>
      <c r="C3409" s="2" t="s">
        <v>7514</v>
      </c>
      <c r="D3409" s="2" t="s">
        <v>767</v>
      </c>
      <c r="E3409" s="2"/>
      <c r="F3409" s="2" t="str">
        <f>"9788869699054"</f>
        <v>9788869699054</v>
      </c>
    </row>
    <row r="3410" spans="1:6" s="3" customFormat="1" ht="29.1" customHeight="1" x14ac:dyDescent="0.25">
      <c r="A3410" s="2" t="s">
        <v>7523</v>
      </c>
      <c r="B3410" s="2" t="s">
        <v>7524</v>
      </c>
      <c r="C3410" s="2" t="s">
        <v>7514</v>
      </c>
      <c r="D3410" s="2" t="s">
        <v>118</v>
      </c>
      <c r="E3410" s="2" t="str">
        <f>"9788869697593"</f>
        <v>9788869697593</v>
      </c>
      <c r="F3410" s="2" t="str">
        <f>"9788869697388"</f>
        <v>9788869697388</v>
      </c>
    </row>
    <row r="3411" spans="1:6" s="3" customFormat="1" ht="29.1" customHeight="1" x14ac:dyDescent="0.25">
      <c r="A3411" s="2" t="s">
        <v>7525</v>
      </c>
      <c r="B3411" s="2" t="s">
        <v>7526</v>
      </c>
      <c r="C3411" s="2" t="s">
        <v>327</v>
      </c>
      <c r="D3411" s="2" t="s">
        <v>2005</v>
      </c>
      <c r="E3411" s="2" t="str">
        <f>"9788383316703"</f>
        <v>9788383316703</v>
      </c>
      <c r="F3411" s="2" t="str">
        <f>"9788383316710"</f>
        <v>9788383316710</v>
      </c>
    </row>
    <row r="3412" spans="1:6" s="3" customFormat="1" ht="29.1" customHeight="1" x14ac:dyDescent="0.25">
      <c r="A3412" s="2" t="s">
        <v>7527</v>
      </c>
      <c r="B3412" s="2" t="s">
        <v>7528</v>
      </c>
      <c r="C3412" s="2" t="s">
        <v>7514</v>
      </c>
      <c r="D3412" s="2" t="s">
        <v>3328</v>
      </c>
      <c r="E3412" s="2" t="str">
        <f>"9788869699184"</f>
        <v>9788869699184</v>
      </c>
      <c r="F3412" s="2" t="str">
        <f>"9788869698651"</f>
        <v>9788869698651</v>
      </c>
    </row>
    <row r="3413" spans="1:6" s="3" customFormat="1" ht="29.1" customHeight="1" x14ac:dyDescent="0.25">
      <c r="A3413" s="2" t="s">
        <v>7529</v>
      </c>
      <c r="B3413" s="2" t="s">
        <v>7530</v>
      </c>
      <c r="C3413" s="2" t="s">
        <v>7514</v>
      </c>
      <c r="D3413" s="2" t="s">
        <v>1248</v>
      </c>
      <c r="E3413" s="2"/>
      <c r="F3413" s="2" t="str">
        <f>"9788869698835"</f>
        <v>9788869698835</v>
      </c>
    </row>
    <row r="3414" spans="1:6" s="3" customFormat="1" ht="29.1" customHeight="1" x14ac:dyDescent="0.25">
      <c r="A3414" s="2" t="s">
        <v>7531</v>
      </c>
      <c r="B3414" s="2" t="s">
        <v>7532</v>
      </c>
      <c r="C3414" s="2" t="s">
        <v>7514</v>
      </c>
      <c r="D3414" s="2" t="s">
        <v>405</v>
      </c>
      <c r="E3414" s="2" t="str">
        <f>"9788869698958"</f>
        <v>9788869698958</v>
      </c>
      <c r="F3414" s="2" t="str">
        <f>"9788869698941"</f>
        <v>9788869698941</v>
      </c>
    </row>
    <row r="3415" spans="1:6" s="3" customFormat="1" ht="29.1" customHeight="1" x14ac:dyDescent="0.25">
      <c r="A3415" s="2" t="s">
        <v>7533</v>
      </c>
      <c r="B3415" s="2" t="s">
        <v>7534</v>
      </c>
      <c r="C3415" s="2" t="s">
        <v>7514</v>
      </c>
      <c r="D3415" s="2" t="s">
        <v>1944</v>
      </c>
      <c r="E3415" s="2"/>
      <c r="F3415" s="2" t="str">
        <f>"9788869697562"</f>
        <v>9788869697562</v>
      </c>
    </row>
    <row r="3416" spans="1:6" s="3" customFormat="1" ht="29.1" customHeight="1" x14ac:dyDescent="0.25">
      <c r="A3416" s="2" t="s">
        <v>7535</v>
      </c>
      <c r="B3416" s="2" t="s">
        <v>7536</v>
      </c>
      <c r="C3416" s="2" t="s">
        <v>7514</v>
      </c>
      <c r="D3416" s="2" t="s">
        <v>405</v>
      </c>
      <c r="E3416" s="2" t="str">
        <f>"9788869697326"</f>
        <v>9788869697326</v>
      </c>
      <c r="F3416" s="2" t="str">
        <f>"9788869697319"</f>
        <v>9788869697319</v>
      </c>
    </row>
    <row r="3417" spans="1:6" s="3" customFormat="1" ht="29.1" customHeight="1" x14ac:dyDescent="0.25">
      <c r="A3417" s="2" t="s">
        <v>7537</v>
      </c>
      <c r="B3417" s="2" t="s">
        <v>7538</v>
      </c>
      <c r="C3417" s="2" t="s">
        <v>7514</v>
      </c>
      <c r="D3417" s="2" t="s">
        <v>3966</v>
      </c>
      <c r="E3417" s="2" t="str">
        <f>"9788869697661"</f>
        <v>9788869697661</v>
      </c>
      <c r="F3417" s="2" t="str">
        <f>"9788869697654"</f>
        <v>9788869697654</v>
      </c>
    </row>
    <row r="3418" spans="1:6" s="3" customFormat="1" ht="29.1" customHeight="1" x14ac:dyDescent="0.25">
      <c r="A3418" s="2" t="s">
        <v>7539</v>
      </c>
      <c r="B3418" s="2" t="s">
        <v>7540</v>
      </c>
      <c r="C3418" s="2" t="s">
        <v>7514</v>
      </c>
      <c r="D3418" s="2" t="s">
        <v>5178</v>
      </c>
      <c r="E3418" s="2" t="str">
        <f>"9788869697630"</f>
        <v>9788869697630</v>
      </c>
      <c r="F3418" s="2" t="str">
        <f>"9788869697623"</f>
        <v>9788869697623</v>
      </c>
    </row>
    <row r="3419" spans="1:6" s="3" customFormat="1" ht="29.1" customHeight="1" x14ac:dyDescent="0.25">
      <c r="A3419" s="2" t="s">
        <v>7541</v>
      </c>
      <c r="B3419" s="2" t="s">
        <v>7542</v>
      </c>
      <c r="C3419" s="2" t="s">
        <v>7514</v>
      </c>
      <c r="D3419" s="2" t="s">
        <v>78</v>
      </c>
      <c r="E3419" s="2" t="str">
        <f>"9788869697869"</f>
        <v>9788869697869</v>
      </c>
      <c r="F3419" s="2" t="str">
        <f>"9788869697852"</f>
        <v>9788869697852</v>
      </c>
    </row>
    <row r="3420" spans="1:6" s="3" customFormat="1" ht="29.1" customHeight="1" x14ac:dyDescent="0.25">
      <c r="A3420" s="2" t="s">
        <v>7543</v>
      </c>
      <c r="B3420" s="2" t="s">
        <v>7545</v>
      </c>
      <c r="C3420" s="2" t="s">
        <v>7514</v>
      </c>
      <c r="D3420" s="2" t="s">
        <v>7544</v>
      </c>
      <c r="E3420" s="2" t="str">
        <f>"9788869698248"</f>
        <v>9788869698248</v>
      </c>
      <c r="F3420" s="2" t="str">
        <f>"9788869698231"</f>
        <v>9788869698231</v>
      </c>
    </row>
    <row r="3421" spans="1:6" s="3" customFormat="1" ht="29.1" customHeight="1" x14ac:dyDescent="0.25">
      <c r="A3421" s="2" t="s">
        <v>7546</v>
      </c>
      <c r="B3421" s="2" t="s">
        <v>7547</v>
      </c>
      <c r="C3421" s="2" t="s">
        <v>7514</v>
      </c>
      <c r="D3421" s="2" t="s">
        <v>302</v>
      </c>
      <c r="E3421" s="2" t="str">
        <f>"9788869698743"</f>
        <v>9788869698743</v>
      </c>
      <c r="F3421" s="2" t="str">
        <f>"9788869698736"</f>
        <v>9788869698736</v>
      </c>
    </row>
    <row r="3422" spans="1:6" s="3" customFormat="1" ht="29.1" customHeight="1" x14ac:dyDescent="0.25">
      <c r="A3422" s="2" t="s">
        <v>7548</v>
      </c>
      <c r="B3422" s="2" t="s">
        <v>7549</v>
      </c>
      <c r="C3422" s="2" t="s">
        <v>7514</v>
      </c>
      <c r="D3422" s="2" t="s">
        <v>175</v>
      </c>
      <c r="E3422" s="2" t="str">
        <f>"9788869698699"</f>
        <v>9788869698699</v>
      </c>
      <c r="F3422" s="2" t="str">
        <f>"9788869698682"</f>
        <v>9788869698682</v>
      </c>
    </row>
    <row r="3423" spans="1:6" s="3" customFormat="1" ht="29.1" customHeight="1" x14ac:dyDescent="0.25">
      <c r="A3423" s="2" t="s">
        <v>7550</v>
      </c>
      <c r="B3423" s="2" t="s">
        <v>7551</v>
      </c>
      <c r="C3423" s="2" t="s">
        <v>7514</v>
      </c>
      <c r="D3423" s="2" t="s">
        <v>5716</v>
      </c>
      <c r="E3423" s="2" t="str">
        <f>"9788869698361"</f>
        <v>9788869698361</v>
      </c>
      <c r="F3423" s="2" t="str">
        <f>"9788869698354"</f>
        <v>9788869698354</v>
      </c>
    </row>
    <row r="3424" spans="1:6" s="3" customFormat="1" ht="29.1" customHeight="1" x14ac:dyDescent="0.25">
      <c r="A3424" s="2" t="s">
        <v>7552</v>
      </c>
      <c r="B3424" s="2" t="s">
        <v>7553</v>
      </c>
      <c r="C3424" s="2" t="s">
        <v>7514</v>
      </c>
      <c r="D3424" s="2" t="s">
        <v>5536</v>
      </c>
      <c r="E3424" s="2" t="str">
        <f>"9788869699092"</f>
        <v>9788869699092</v>
      </c>
      <c r="F3424" s="2" t="str">
        <f>"9788869699085"</f>
        <v>9788869699085</v>
      </c>
    </row>
    <row r="3425" spans="1:6" s="3" customFormat="1" ht="29.1" customHeight="1" x14ac:dyDescent="0.25">
      <c r="A3425" s="2" t="s">
        <v>7554</v>
      </c>
      <c r="B3425" s="2" t="s">
        <v>7556</v>
      </c>
      <c r="C3425" s="2" t="s">
        <v>7514</v>
      </c>
      <c r="D3425" s="2" t="s">
        <v>7555</v>
      </c>
      <c r="E3425" s="2" t="str">
        <f>"9788869697081"</f>
        <v>9788869697081</v>
      </c>
      <c r="F3425" s="2" t="str">
        <f>"9788869697074"</f>
        <v>9788869697074</v>
      </c>
    </row>
    <row r="3426" spans="1:6" s="3" customFormat="1" ht="29.1" customHeight="1" x14ac:dyDescent="0.25">
      <c r="A3426" s="2" t="s">
        <v>7557</v>
      </c>
      <c r="B3426" s="2" t="s">
        <v>7558</v>
      </c>
      <c r="C3426" s="2" t="s">
        <v>7514</v>
      </c>
      <c r="D3426" s="2" t="s">
        <v>1189</v>
      </c>
      <c r="E3426" s="2" t="str">
        <f>"9788869697739"</f>
        <v>9788869697739</v>
      </c>
      <c r="F3426" s="2" t="str">
        <f>"9788869697722"</f>
        <v>9788869697722</v>
      </c>
    </row>
    <row r="3427" spans="1:6" s="3" customFormat="1" ht="29.1" customHeight="1" x14ac:dyDescent="0.25">
      <c r="A3427" s="2" t="s">
        <v>7559</v>
      </c>
      <c r="B3427" s="2" t="s">
        <v>7560</v>
      </c>
      <c r="C3427" s="2" t="s">
        <v>7514</v>
      </c>
      <c r="D3427" s="2" t="s">
        <v>1654</v>
      </c>
      <c r="E3427" s="2" t="str">
        <f>"9788869697333"</f>
        <v>9788869697333</v>
      </c>
      <c r="F3427" s="2" t="str">
        <f>"9788869697272"</f>
        <v>9788869697272</v>
      </c>
    </row>
    <row r="3428" spans="1:6" s="3" customFormat="1" ht="29.1" customHeight="1" x14ac:dyDescent="0.25">
      <c r="A3428" s="2" t="s">
        <v>7561</v>
      </c>
      <c r="B3428" s="2" t="s">
        <v>7562</v>
      </c>
      <c r="C3428" s="2" t="s">
        <v>7514</v>
      </c>
      <c r="D3428" s="2" t="s">
        <v>4899</v>
      </c>
      <c r="E3428" s="2" t="str">
        <f>"9788869698842"</f>
        <v>9788869698842</v>
      </c>
      <c r="F3428" s="2" t="str">
        <f>"9788869698200"</f>
        <v>9788869698200</v>
      </c>
    </row>
    <row r="3429" spans="1:6" s="3" customFormat="1" ht="29.1" customHeight="1" x14ac:dyDescent="0.25">
      <c r="A3429" s="2" t="s">
        <v>7563</v>
      </c>
      <c r="B3429" s="2" t="s">
        <v>7565</v>
      </c>
      <c r="C3429" s="2" t="s">
        <v>7514</v>
      </c>
      <c r="D3429" s="2" t="s">
        <v>7564</v>
      </c>
      <c r="E3429" s="2" t="str">
        <f>"9788869696862"</f>
        <v>9788869696862</v>
      </c>
      <c r="F3429" s="2" t="str">
        <f>"9788869696855"</f>
        <v>9788869696855</v>
      </c>
    </row>
    <row r="3430" spans="1:6" s="3" customFormat="1" ht="29.1" customHeight="1" x14ac:dyDescent="0.25">
      <c r="A3430" s="2" t="s">
        <v>7566</v>
      </c>
      <c r="B3430" s="2" t="s">
        <v>7567</v>
      </c>
      <c r="C3430" s="2" t="s">
        <v>7514</v>
      </c>
      <c r="D3430" s="2" t="s">
        <v>606</v>
      </c>
      <c r="E3430" s="2" t="str">
        <f>"9788869698071"</f>
        <v>9788869698071</v>
      </c>
      <c r="F3430" s="2" t="str">
        <f>"9788869697999"</f>
        <v>9788869697999</v>
      </c>
    </row>
    <row r="3431" spans="1:6" s="3" customFormat="1" ht="29.1" customHeight="1" x14ac:dyDescent="0.25">
      <c r="A3431" s="2" t="s">
        <v>7568</v>
      </c>
      <c r="B3431" s="2" t="s">
        <v>7569</v>
      </c>
      <c r="C3431" s="2" t="s">
        <v>7514</v>
      </c>
      <c r="D3431" s="2" t="s">
        <v>2781</v>
      </c>
      <c r="E3431" s="2"/>
      <c r="F3431" s="2" t="str">
        <f>"9788869697609"</f>
        <v>9788869697609</v>
      </c>
    </row>
    <row r="3432" spans="1:6" s="3" customFormat="1" ht="29.1" customHeight="1" x14ac:dyDescent="0.25">
      <c r="A3432" s="2" t="s">
        <v>7570</v>
      </c>
      <c r="B3432" s="2" t="s">
        <v>7571</v>
      </c>
      <c r="C3432" s="2" t="s">
        <v>7514</v>
      </c>
      <c r="D3432" s="2" t="s">
        <v>49</v>
      </c>
      <c r="E3432" s="2" t="str">
        <f>"9788869697241"</f>
        <v>9788869697241</v>
      </c>
      <c r="F3432" s="2" t="str">
        <f>"9788869697234"</f>
        <v>9788869697234</v>
      </c>
    </row>
    <row r="3433" spans="1:6" s="3" customFormat="1" ht="29.1" customHeight="1" x14ac:dyDescent="0.25">
      <c r="A3433" s="2" t="s">
        <v>7572</v>
      </c>
      <c r="B3433" s="2" t="s">
        <v>7573</v>
      </c>
      <c r="C3433" s="2" t="s">
        <v>7514</v>
      </c>
      <c r="D3433" s="2" t="s">
        <v>1162</v>
      </c>
      <c r="E3433" s="2" t="str">
        <f>"9788869697968"</f>
        <v>9788869697968</v>
      </c>
      <c r="F3433" s="2" t="str">
        <f>"9788869697357"</f>
        <v>9788869697357</v>
      </c>
    </row>
    <row r="3434" spans="1:6" s="3" customFormat="1" ht="29.1" customHeight="1" x14ac:dyDescent="0.25">
      <c r="A3434" s="2" t="s">
        <v>7574</v>
      </c>
      <c r="B3434" s="2" t="s">
        <v>7575</v>
      </c>
      <c r="C3434" s="2" t="s">
        <v>7514</v>
      </c>
      <c r="D3434" s="2" t="s">
        <v>3166</v>
      </c>
      <c r="E3434" s="2" t="str">
        <f>"9788869698606"</f>
        <v>9788869698606</v>
      </c>
      <c r="F3434" s="2" t="str">
        <f>"9788869698590"</f>
        <v>9788869698590</v>
      </c>
    </row>
    <row r="3435" spans="1:6" s="3" customFormat="1" ht="29.1" customHeight="1" x14ac:dyDescent="0.25">
      <c r="A3435" s="2" t="s">
        <v>7576</v>
      </c>
      <c r="B3435" s="2" t="s">
        <v>7577</v>
      </c>
      <c r="C3435" s="2" t="s">
        <v>7514</v>
      </c>
      <c r="D3435" s="2" t="s">
        <v>459</v>
      </c>
      <c r="E3435" s="2" t="str">
        <f>"9788869698095"</f>
        <v>9788869698095</v>
      </c>
      <c r="F3435" s="2" t="str">
        <f>"9788869698088"</f>
        <v>9788869698088</v>
      </c>
    </row>
    <row r="3436" spans="1:6" s="3" customFormat="1" ht="29.1" customHeight="1" x14ac:dyDescent="0.25">
      <c r="A3436" s="2" t="s">
        <v>7578</v>
      </c>
      <c r="B3436" s="2" t="s">
        <v>7579</v>
      </c>
      <c r="C3436" s="2" t="s">
        <v>7514</v>
      </c>
      <c r="D3436" s="2" t="s">
        <v>459</v>
      </c>
      <c r="E3436" s="2" t="str">
        <f>"9788869699009"</f>
        <v>9788869699009</v>
      </c>
      <c r="F3436" s="2" t="str">
        <f>"9788869698996"</f>
        <v>9788869698996</v>
      </c>
    </row>
    <row r="3437" spans="1:6" s="3" customFormat="1" ht="29.1" customHeight="1" x14ac:dyDescent="0.25">
      <c r="A3437" s="2" t="s">
        <v>7580</v>
      </c>
      <c r="B3437" s="2" t="s">
        <v>7581</v>
      </c>
      <c r="C3437" s="2" t="s">
        <v>7514</v>
      </c>
      <c r="D3437" s="2" t="s">
        <v>7167</v>
      </c>
      <c r="E3437" s="2"/>
      <c r="F3437" s="2" t="str">
        <f>"9788869697715"</f>
        <v>9788869697715</v>
      </c>
    </row>
    <row r="3438" spans="1:6" s="3" customFormat="1" ht="29.1" customHeight="1" x14ac:dyDescent="0.25">
      <c r="A3438" s="2" t="s">
        <v>7582</v>
      </c>
      <c r="B3438" s="2" t="s">
        <v>7583</v>
      </c>
      <c r="C3438" s="2" t="s">
        <v>7514</v>
      </c>
      <c r="D3438" s="2" t="s">
        <v>1557</v>
      </c>
      <c r="E3438" s="2"/>
      <c r="F3438" s="2" t="str">
        <f>"9788869698781"</f>
        <v>9788869698781</v>
      </c>
    </row>
    <row r="3439" spans="1:6" s="3" customFormat="1" ht="29.1" customHeight="1" x14ac:dyDescent="0.25">
      <c r="A3439" s="2" t="s">
        <v>7584</v>
      </c>
      <c r="B3439" s="2" t="s">
        <v>7585</v>
      </c>
      <c r="C3439" s="2" t="s">
        <v>7514</v>
      </c>
      <c r="D3439" s="2" t="s">
        <v>1245</v>
      </c>
      <c r="E3439" s="2" t="str">
        <f>"9788869697494"</f>
        <v>9788869697494</v>
      </c>
      <c r="F3439" s="2" t="str">
        <f>"9788869697487"</f>
        <v>9788869697487</v>
      </c>
    </row>
    <row r="3440" spans="1:6" s="3" customFormat="1" ht="29.1" customHeight="1" x14ac:dyDescent="0.25">
      <c r="A3440" s="2" t="s">
        <v>7586</v>
      </c>
      <c r="B3440" s="2" t="s">
        <v>7587</v>
      </c>
      <c r="C3440" s="2" t="s">
        <v>7514</v>
      </c>
      <c r="D3440" s="2" t="s">
        <v>699</v>
      </c>
      <c r="E3440" s="2" t="str">
        <f>"9788869698484"</f>
        <v>9788869698484</v>
      </c>
      <c r="F3440" s="2" t="str">
        <f>"9788869697982"</f>
        <v>9788869697982</v>
      </c>
    </row>
    <row r="3441" spans="1:6" s="3" customFormat="1" ht="29.1" customHeight="1" x14ac:dyDescent="0.25">
      <c r="A3441" s="2" t="s">
        <v>7588</v>
      </c>
      <c r="B3441" s="2" t="s">
        <v>7590</v>
      </c>
      <c r="C3441" s="2" t="s">
        <v>7514</v>
      </c>
      <c r="D3441" s="2" t="s">
        <v>7589</v>
      </c>
      <c r="E3441" s="2" t="str">
        <f>"9788869697456"</f>
        <v>9788869697456</v>
      </c>
      <c r="F3441" s="2" t="str">
        <f>"9788869697449"</f>
        <v>9788869697449</v>
      </c>
    </row>
    <row r="3442" spans="1:6" s="3" customFormat="1" ht="29.1" customHeight="1" x14ac:dyDescent="0.25">
      <c r="A3442" s="2" t="s">
        <v>7591</v>
      </c>
      <c r="B3442" s="2" t="s">
        <v>7592</v>
      </c>
      <c r="C3442" s="2" t="s">
        <v>7514</v>
      </c>
      <c r="D3442" s="2" t="s">
        <v>791</v>
      </c>
      <c r="E3442" s="2" t="str">
        <f>"9788869698767"</f>
        <v>9788869698767</v>
      </c>
      <c r="F3442" s="2" t="str">
        <f>"9788869697692"</f>
        <v>9788869697692</v>
      </c>
    </row>
    <row r="3443" spans="1:6" s="3" customFormat="1" ht="29.1" customHeight="1" x14ac:dyDescent="0.25">
      <c r="A3443" s="2" t="s">
        <v>7593</v>
      </c>
      <c r="B3443" s="2" t="s">
        <v>7594</v>
      </c>
      <c r="C3443" s="2" t="s">
        <v>7514</v>
      </c>
      <c r="D3443" s="2" t="s">
        <v>1162</v>
      </c>
      <c r="E3443" s="2"/>
      <c r="F3443" s="2" t="str">
        <f>"9788869698859"</f>
        <v>9788869698859</v>
      </c>
    </row>
    <row r="3444" spans="1:6" s="3" customFormat="1" ht="29.1" customHeight="1" x14ac:dyDescent="0.25">
      <c r="A3444" s="2" t="s">
        <v>7595</v>
      </c>
      <c r="B3444" s="2" t="s">
        <v>7596</v>
      </c>
      <c r="C3444" s="2" t="s">
        <v>7514</v>
      </c>
      <c r="D3444" s="2" t="s">
        <v>75</v>
      </c>
      <c r="E3444" s="2" t="str">
        <f>"9788869697586"</f>
        <v>9788869697586</v>
      </c>
      <c r="F3444" s="2" t="str">
        <f>"9788869697289"</f>
        <v>9788869697289</v>
      </c>
    </row>
    <row r="3445" spans="1:6" s="3" customFormat="1" ht="29.1" customHeight="1" x14ac:dyDescent="0.25">
      <c r="A3445" s="2" t="s">
        <v>7597</v>
      </c>
      <c r="B3445" s="2" t="s">
        <v>7598</v>
      </c>
      <c r="C3445" s="2" t="s">
        <v>7514</v>
      </c>
      <c r="D3445" s="2" t="s">
        <v>175</v>
      </c>
      <c r="E3445" s="2" t="str">
        <f>"9788869698187"</f>
        <v>9788869698187</v>
      </c>
      <c r="F3445" s="2" t="str">
        <f>"9788869697951"</f>
        <v>9788869697951</v>
      </c>
    </row>
    <row r="3446" spans="1:6" s="3" customFormat="1" ht="29.1" customHeight="1" x14ac:dyDescent="0.25">
      <c r="A3446" s="2" t="s">
        <v>7599</v>
      </c>
      <c r="B3446" s="2" t="s">
        <v>7600</v>
      </c>
      <c r="C3446" s="2" t="s">
        <v>7514</v>
      </c>
      <c r="D3446" s="2" t="s">
        <v>5649</v>
      </c>
      <c r="E3446" s="2" t="str">
        <f>"9788869698033"</f>
        <v>9788869698033</v>
      </c>
      <c r="F3446" s="2" t="str">
        <f>"9788869698026"</f>
        <v>9788869698026</v>
      </c>
    </row>
    <row r="3447" spans="1:6" s="3" customFormat="1" ht="29.1" customHeight="1" x14ac:dyDescent="0.25">
      <c r="A3447" s="2" t="s">
        <v>7601</v>
      </c>
      <c r="B3447" s="2" t="s">
        <v>7602</v>
      </c>
      <c r="C3447" s="2" t="s">
        <v>7514</v>
      </c>
      <c r="D3447" s="2" t="s">
        <v>175</v>
      </c>
      <c r="E3447" s="2"/>
      <c r="F3447" s="2" t="str">
        <f>"9788869698002"</f>
        <v>9788869698002</v>
      </c>
    </row>
    <row r="3448" spans="1:6" s="3" customFormat="1" ht="29.1" customHeight="1" x14ac:dyDescent="0.25">
      <c r="A3448" s="2" t="s">
        <v>7603</v>
      </c>
      <c r="B3448" s="2" t="s">
        <v>7604</v>
      </c>
      <c r="C3448" s="2" t="s">
        <v>7514</v>
      </c>
      <c r="D3448" s="2" t="s">
        <v>5649</v>
      </c>
      <c r="E3448" s="2"/>
      <c r="F3448" s="2" t="str">
        <f>"9788869698668"</f>
        <v>9788869698668</v>
      </c>
    </row>
    <row r="3449" spans="1:6" s="3" customFormat="1" ht="29.1" customHeight="1" x14ac:dyDescent="0.25">
      <c r="A3449" s="2" t="s">
        <v>7605</v>
      </c>
      <c r="B3449" s="2" t="s">
        <v>7606</v>
      </c>
      <c r="C3449" s="2" t="s">
        <v>7514</v>
      </c>
      <c r="D3449" s="2" t="s">
        <v>639</v>
      </c>
      <c r="E3449" s="2" t="str">
        <f>"9788869697784"</f>
        <v>9788869697784</v>
      </c>
      <c r="F3449" s="2" t="str">
        <f>"9788869697227"</f>
        <v>9788869697227</v>
      </c>
    </row>
    <row r="3450" spans="1:6" s="3" customFormat="1" ht="29.1" customHeight="1" x14ac:dyDescent="0.25">
      <c r="A3450" s="2" t="s">
        <v>7607</v>
      </c>
      <c r="B3450" s="2" t="s">
        <v>7609</v>
      </c>
      <c r="C3450" s="2" t="s">
        <v>7514</v>
      </c>
      <c r="D3450" s="2" t="s">
        <v>7608</v>
      </c>
      <c r="E3450" s="2"/>
      <c r="F3450" s="2" t="str">
        <f>"9788869697302"</f>
        <v>9788869697302</v>
      </c>
    </row>
    <row r="3451" spans="1:6" s="3" customFormat="1" ht="29.1" customHeight="1" x14ac:dyDescent="0.25">
      <c r="A3451" s="2" t="s">
        <v>7610</v>
      </c>
      <c r="B3451" s="2" t="s">
        <v>7611</v>
      </c>
      <c r="C3451" s="2" t="s">
        <v>7514</v>
      </c>
      <c r="D3451" s="2" t="s">
        <v>5649</v>
      </c>
      <c r="E3451" s="2"/>
      <c r="F3451" s="2" t="str">
        <f>"9788869697371"</f>
        <v>9788869697371</v>
      </c>
    </row>
    <row r="3452" spans="1:6" s="3" customFormat="1" ht="29.1" customHeight="1" x14ac:dyDescent="0.25">
      <c r="A3452" s="2" t="s">
        <v>7612</v>
      </c>
      <c r="B3452" s="2" t="s">
        <v>7614</v>
      </c>
      <c r="C3452" s="2" t="s">
        <v>7514</v>
      </c>
      <c r="D3452" s="2" t="s">
        <v>7613</v>
      </c>
      <c r="E3452" s="2"/>
      <c r="F3452" s="2" t="str">
        <f>"9788869697791"</f>
        <v>9788869697791</v>
      </c>
    </row>
    <row r="3453" spans="1:6" s="3" customFormat="1" ht="29.1" customHeight="1" x14ac:dyDescent="0.25">
      <c r="A3453" s="2" t="s">
        <v>7615</v>
      </c>
      <c r="B3453" s="2" t="s">
        <v>7616</v>
      </c>
      <c r="C3453" s="2" t="s">
        <v>7514</v>
      </c>
      <c r="D3453" s="2" t="s">
        <v>7608</v>
      </c>
      <c r="E3453" s="2"/>
      <c r="F3453" s="2" t="str">
        <f>"9788869698279"</f>
        <v>9788869698279</v>
      </c>
    </row>
    <row r="3454" spans="1:6" s="3" customFormat="1" ht="29.1" customHeight="1" x14ac:dyDescent="0.25">
      <c r="A3454" s="2" t="s">
        <v>7617</v>
      </c>
      <c r="B3454" s="2" t="s">
        <v>7618</v>
      </c>
      <c r="C3454" s="2" t="s">
        <v>7514</v>
      </c>
      <c r="D3454" s="2" t="s">
        <v>1654</v>
      </c>
      <c r="E3454" s="2" t="str">
        <f>"9788869698132"</f>
        <v>9788869698132</v>
      </c>
      <c r="F3454" s="2" t="str">
        <f>"9788869697104"</f>
        <v>9788869697104</v>
      </c>
    </row>
    <row r="3455" spans="1:6" s="3" customFormat="1" ht="29.1" customHeight="1" x14ac:dyDescent="0.25">
      <c r="A3455" s="2" t="s">
        <v>7619</v>
      </c>
      <c r="B3455" s="2" t="s">
        <v>7620</v>
      </c>
      <c r="C3455" s="2" t="s">
        <v>7514</v>
      </c>
      <c r="D3455" s="2" t="s">
        <v>1262</v>
      </c>
      <c r="E3455" s="2" t="str">
        <f>"9788869698057"</f>
        <v>9788869698057</v>
      </c>
      <c r="F3455" s="2" t="str">
        <f>"9788869698019"</f>
        <v>9788869698019</v>
      </c>
    </row>
    <row r="3456" spans="1:6" s="3" customFormat="1" ht="29.1" customHeight="1" x14ac:dyDescent="0.25">
      <c r="A3456" s="2" t="s">
        <v>7621</v>
      </c>
      <c r="B3456" s="2" t="s">
        <v>7622</v>
      </c>
      <c r="C3456" s="2" t="s">
        <v>7514</v>
      </c>
      <c r="D3456" s="2" t="s">
        <v>1262</v>
      </c>
      <c r="E3456" s="2" t="str">
        <f>"9788869698255"</f>
        <v>9788869698255</v>
      </c>
      <c r="F3456" s="2" t="str">
        <f>"9788869697838"</f>
        <v>9788869697838</v>
      </c>
    </row>
    <row r="3457" spans="1:6" s="3" customFormat="1" ht="29.1" customHeight="1" x14ac:dyDescent="0.25">
      <c r="A3457" s="2" t="s">
        <v>7623</v>
      </c>
      <c r="B3457" s="2" t="s">
        <v>7625</v>
      </c>
      <c r="C3457" s="2" t="s">
        <v>7514</v>
      </c>
      <c r="D3457" s="2" t="s">
        <v>7624</v>
      </c>
      <c r="E3457" s="2" t="str">
        <f>"9788869699030"</f>
        <v>9788869699030</v>
      </c>
      <c r="F3457" s="2" t="str">
        <f>"9788869699023"</f>
        <v>9788869699023</v>
      </c>
    </row>
    <row r="3458" spans="1:6" s="3" customFormat="1" ht="29.1" customHeight="1" x14ac:dyDescent="0.25">
      <c r="A3458" s="2" t="s">
        <v>7626</v>
      </c>
      <c r="B3458" s="2" t="s">
        <v>7627</v>
      </c>
      <c r="C3458" s="2" t="s">
        <v>7514</v>
      </c>
      <c r="D3458" s="2" t="s">
        <v>3130</v>
      </c>
      <c r="E3458" s="2"/>
      <c r="F3458" s="2" t="str">
        <f>"9788869698569"</f>
        <v>9788869698569</v>
      </c>
    </row>
    <row r="3459" spans="1:6" s="3" customFormat="1" ht="29.1" customHeight="1" x14ac:dyDescent="0.25">
      <c r="A3459" s="2" t="s">
        <v>7628</v>
      </c>
      <c r="B3459" s="2" t="s">
        <v>7629</v>
      </c>
      <c r="C3459" s="2" t="s">
        <v>7514</v>
      </c>
      <c r="D3459" s="2" t="s">
        <v>1654</v>
      </c>
      <c r="E3459" s="2" t="str">
        <f>"9788869698446"</f>
        <v>9788869698446</v>
      </c>
      <c r="F3459" s="2" t="str">
        <f>"9788869698439"</f>
        <v>9788869698439</v>
      </c>
    </row>
    <row r="3460" spans="1:6" s="3" customFormat="1" ht="29.1" customHeight="1" x14ac:dyDescent="0.25">
      <c r="A3460" s="2" t="s">
        <v>7630</v>
      </c>
      <c r="B3460" s="2" t="s">
        <v>7631</v>
      </c>
      <c r="C3460" s="2" t="s">
        <v>7514</v>
      </c>
      <c r="D3460" s="2" t="s">
        <v>3598</v>
      </c>
      <c r="E3460" s="2" t="str">
        <f>"9788869698224"</f>
        <v>9788869698224</v>
      </c>
      <c r="F3460" s="2" t="str">
        <f>"9788869698217"</f>
        <v>9788869698217</v>
      </c>
    </row>
    <row r="3461" spans="1:6" s="3" customFormat="1" ht="29.1" customHeight="1" x14ac:dyDescent="0.25">
      <c r="A3461" s="2" t="s">
        <v>7632</v>
      </c>
      <c r="B3461" s="2" t="s">
        <v>7633</v>
      </c>
      <c r="C3461" s="2" t="s">
        <v>7514</v>
      </c>
      <c r="D3461" s="2" t="s">
        <v>501</v>
      </c>
      <c r="E3461" s="2" t="str">
        <f>"9788869697753"</f>
        <v>9788869697753</v>
      </c>
      <c r="F3461" s="2" t="str">
        <f>"9788869697746"</f>
        <v>9788869697746</v>
      </c>
    </row>
    <row r="3462" spans="1:6" s="3" customFormat="1" ht="29.1" customHeight="1" x14ac:dyDescent="0.25">
      <c r="A3462" s="2" t="s">
        <v>7634</v>
      </c>
      <c r="B3462" s="2" t="s">
        <v>7636</v>
      </c>
      <c r="C3462" s="2" t="s">
        <v>7514</v>
      </c>
      <c r="D3462" s="2" t="s">
        <v>7635</v>
      </c>
      <c r="E3462" s="2" t="str">
        <f>"9788869698118"</f>
        <v>9788869698118</v>
      </c>
      <c r="F3462" s="2" t="str">
        <f>"9788869698101"</f>
        <v>9788869698101</v>
      </c>
    </row>
    <row r="3463" spans="1:6" s="3" customFormat="1" ht="29.1" customHeight="1" x14ac:dyDescent="0.25">
      <c r="A3463" s="2" t="s">
        <v>7632</v>
      </c>
      <c r="B3463" s="2" t="s">
        <v>7633</v>
      </c>
      <c r="C3463" s="2" t="s">
        <v>7514</v>
      </c>
      <c r="D3463" s="2" t="s">
        <v>1416</v>
      </c>
      <c r="E3463" s="2" t="str">
        <f>"9788869698156"</f>
        <v>9788869698156</v>
      </c>
      <c r="F3463" s="2" t="str">
        <f>"9788869698149"</f>
        <v>9788869698149</v>
      </c>
    </row>
    <row r="3464" spans="1:6" s="3" customFormat="1" ht="29.1" customHeight="1" x14ac:dyDescent="0.25">
      <c r="A3464" s="2" t="s">
        <v>7637</v>
      </c>
      <c r="B3464" s="2" t="s">
        <v>7638</v>
      </c>
      <c r="C3464" s="2" t="s">
        <v>7514</v>
      </c>
      <c r="D3464" s="2" t="s">
        <v>3598</v>
      </c>
      <c r="E3464" s="2" t="str">
        <f>"9788869697975"</f>
        <v>9788869697975</v>
      </c>
      <c r="F3464" s="2" t="str">
        <f>"9788869697067"</f>
        <v>9788869697067</v>
      </c>
    </row>
    <row r="3465" spans="1:6" s="3" customFormat="1" ht="29.1" customHeight="1" x14ac:dyDescent="0.25">
      <c r="A3465" s="2" t="s">
        <v>7639</v>
      </c>
      <c r="B3465" s="2" t="s">
        <v>7641</v>
      </c>
      <c r="C3465" s="2" t="s">
        <v>7514</v>
      </c>
      <c r="D3465" s="2" t="s">
        <v>7640</v>
      </c>
      <c r="E3465" s="2" t="str">
        <f>"9788869697418"</f>
        <v>9788869697418</v>
      </c>
      <c r="F3465" s="2" t="str">
        <f>"9788869697401"</f>
        <v>9788869697401</v>
      </c>
    </row>
    <row r="3466" spans="1:6" s="3" customFormat="1" ht="29.1" customHeight="1" x14ac:dyDescent="0.25">
      <c r="A3466" s="2" t="s">
        <v>7642</v>
      </c>
      <c r="B3466" s="2" t="s">
        <v>7643</v>
      </c>
      <c r="C3466" s="2" t="s">
        <v>7514</v>
      </c>
      <c r="D3466" s="2" t="s">
        <v>221</v>
      </c>
      <c r="E3466" s="2" t="str">
        <f>"9788869697135"</f>
        <v>9788869697135</v>
      </c>
      <c r="F3466" s="2" t="str">
        <f>"9788869697128"</f>
        <v>9788869697128</v>
      </c>
    </row>
    <row r="3467" spans="1:6" s="3" customFormat="1" ht="29.1" customHeight="1" x14ac:dyDescent="0.25">
      <c r="A3467" s="2" t="s">
        <v>7644</v>
      </c>
      <c r="B3467" s="2" t="s">
        <v>7646</v>
      </c>
      <c r="C3467" s="2" t="s">
        <v>7514</v>
      </c>
      <c r="D3467" s="2" t="s">
        <v>7645</v>
      </c>
      <c r="E3467" s="2" t="str">
        <f>"9788869696909"</f>
        <v>9788869696909</v>
      </c>
      <c r="F3467" s="2" t="str">
        <f>"9788869696893"</f>
        <v>9788869696893</v>
      </c>
    </row>
    <row r="3468" spans="1:6" s="3" customFormat="1" ht="29.1" customHeight="1" x14ac:dyDescent="0.25">
      <c r="A3468" s="2" t="s">
        <v>7647</v>
      </c>
      <c r="B3468" s="2" t="s">
        <v>7649</v>
      </c>
      <c r="C3468" s="2" t="s">
        <v>7514</v>
      </c>
      <c r="D3468" s="2" t="s">
        <v>7648</v>
      </c>
      <c r="E3468" s="2" t="str">
        <f>"9788869697708"</f>
        <v>9788869697708</v>
      </c>
      <c r="F3468" s="2" t="str">
        <f>"9788869697616"</f>
        <v>9788869697616</v>
      </c>
    </row>
    <row r="3469" spans="1:6" s="3" customFormat="1" ht="29.1" customHeight="1" x14ac:dyDescent="0.25">
      <c r="A3469" s="2" t="s">
        <v>7650</v>
      </c>
      <c r="B3469" s="2" t="s">
        <v>7651</v>
      </c>
      <c r="C3469" s="2" t="s">
        <v>7514</v>
      </c>
      <c r="D3469" s="2" t="s">
        <v>636</v>
      </c>
      <c r="E3469" s="2"/>
      <c r="F3469" s="2" t="str">
        <f>"9788869697944"</f>
        <v>9788869697944</v>
      </c>
    </row>
    <row r="3470" spans="1:6" s="3" customFormat="1" ht="29.1" customHeight="1" x14ac:dyDescent="0.25">
      <c r="A3470" s="2" t="s">
        <v>7652</v>
      </c>
      <c r="B3470" s="2" t="s">
        <v>7653</v>
      </c>
      <c r="C3470" s="2" t="s">
        <v>7514</v>
      </c>
      <c r="D3470" s="2" t="s">
        <v>175</v>
      </c>
      <c r="E3470" s="2"/>
      <c r="F3470" s="2" t="str">
        <f>"9788869699139"</f>
        <v>9788869699139</v>
      </c>
    </row>
    <row r="3471" spans="1:6" s="3" customFormat="1" ht="29.1" customHeight="1" x14ac:dyDescent="0.25">
      <c r="A3471" s="2" t="s">
        <v>7654</v>
      </c>
      <c r="B3471" s="2" t="s">
        <v>7655</v>
      </c>
      <c r="C3471" s="2" t="s">
        <v>7514</v>
      </c>
      <c r="D3471" s="2" t="s">
        <v>647</v>
      </c>
      <c r="E3471" s="2" t="str">
        <f>"9788869696824"</f>
        <v>9788869696824</v>
      </c>
      <c r="F3471" s="2" t="str">
        <f>"9788869696817"</f>
        <v>9788869696817</v>
      </c>
    </row>
    <row r="3472" spans="1:6" s="3" customFormat="1" ht="29.1" customHeight="1" x14ac:dyDescent="0.25">
      <c r="A3472" s="2" t="s">
        <v>7656</v>
      </c>
      <c r="B3472" s="2" t="s">
        <v>7657</v>
      </c>
      <c r="C3472" s="2" t="s">
        <v>7514</v>
      </c>
      <c r="D3472" s="2" t="s">
        <v>647</v>
      </c>
      <c r="E3472" s="2" t="str">
        <f>"9788869697517"</f>
        <v>9788869697517</v>
      </c>
      <c r="F3472" s="2" t="str">
        <f>"9788869697500"</f>
        <v>9788869697500</v>
      </c>
    </row>
    <row r="3473" spans="1:6" s="3" customFormat="1" ht="29.1" customHeight="1" x14ac:dyDescent="0.25">
      <c r="A3473" s="2" t="s">
        <v>7658</v>
      </c>
      <c r="B3473" s="2" t="s">
        <v>7659</v>
      </c>
      <c r="C3473" s="2" t="s">
        <v>7514</v>
      </c>
      <c r="D3473" s="2" t="s">
        <v>712</v>
      </c>
      <c r="E3473" s="2" t="str">
        <f>"9788869698828"</f>
        <v>9788869698828</v>
      </c>
      <c r="F3473" s="2" t="str">
        <f>"9788869698811"</f>
        <v>9788869698811</v>
      </c>
    </row>
    <row r="3474" spans="1:6" s="3" customFormat="1" ht="29.1" customHeight="1" x14ac:dyDescent="0.25">
      <c r="A3474" s="2" t="s">
        <v>7660</v>
      </c>
      <c r="B3474" s="2" t="s">
        <v>7661</v>
      </c>
      <c r="C3474" s="2" t="s">
        <v>7514</v>
      </c>
      <c r="D3474" s="2" t="s">
        <v>712</v>
      </c>
      <c r="E3474" s="2" t="str">
        <f>"9788869698804"</f>
        <v>9788869698804</v>
      </c>
      <c r="F3474" s="2" t="str">
        <f>"9788869698798"</f>
        <v>9788869698798</v>
      </c>
    </row>
    <row r="3475" spans="1:6" s="3" customFormat="1" ht="29.1" customHeight="1" x14ac:dyDescent="0.25">
      <c r="A3475" s="2" t="s">
        <v>7662</v>
      </c>
      <c r="B3475" s="2" t="s">
        <v>7663</v>
      </c>
      <c r="C3475" s="2" t="s">
        <v>7514</v>
      </c>
      <c r="D3475" s="2" t="s">
        <v>350</v>
      </c>
      <c r="E3475" s="2"/>
      <c r="F3475" s="2" t="str">
        <f>"9788869697876"</f>
        <v>9788869697876</v>
      </c>
    </row>
    <row r="3476" spans="1:6" s="3" customFormat="1" ht="29.1" customHeight="1" x14ac:dyDescent="0.25">
      <c r="A3476" s="2" t="s">
        <v>7664</v>
      </c>
      <c r="B3476" s="2" t="s">
        <v>7665</v>
      </c>
      <c r="C3476" s="2" t="s">
        <v>7514</v>
      </c>
      <c r="D3476" s="2" t="s">
        <v>78</v>
      </c>
      <c r="E3476" s="2" t="str">
        <f>"9788869698323"</f>
        <v>9788869698323</v>
      </c>
      <c r="F3476" s="2" t="str">
        <f>"9788869698316"</f>
        <v>9788869698316</v>
      </c>
    </row>
    <row r="3477" spans="1:6" s="3" customFormat="1" ht="29.1" customHeight="1" x14ac:dyDescent="0.25">
      <c r="A3477" s="2" t="s">
        <v>7666</v>
      </c>
      <c r="B3477" s="2" t="s">
        <v>7667</v>
      </c>
      <c r="C3477" s="2" t="s">
        <v>7514</v>
      </c>
      <c r="D3477" s="2" t="s">
        <v>4030</v>
      </c>
      <c r="E3477" s="2" t="str">
        <f>"9788869697029"</f>
        <v>9788869697029</v>
      </c>
      <c r="F3477" s="2" t="str">
        <f>"9788869697012"</f>
        <v>9788869697012</v>
      </c>
    </row>
    <row r="3478" spans="1:6" s="3" customFormat="1" ht="29.1" customHeight="1" x14ac:dyDescent="0.25">
      <c r="A3478" s="2" t="s">
        <v>7668</v>
      </c>
      <c r="B3478" s="2" t="s">
        <v>7670</v>
      </c>
      <c r="C3478" s="2" t="s">
        <v>7514</v>
      </c>
      <c r="D3478" s="2" t="s">
        <v>7669</v>
      </c>
      <c r="E3478" s="2" t="str">
        <f>"9788869697647"</f>
        <v>9788869697647</v>
      </c>
      <c r="F3478" s="2" t="str">
        <f>"9788869697937"</f>
        <v>9788869697937</v>
      </c>
    </row>
    <row r="3479" spans="1:6" s="3" customFormat="1" ht="29.1" customHeight="1" x14ac:dyDescent="0.25">
      <c r="A3479" s="2" t="s">
        <v>7671</v>
      </c>
      <c r="B3479" s="2" t="s">
        <v>7672</v>
      </c>
      <c r="C3479" s="2" t="s">
        <v>7514</v>
      </c>
      <c r="D3479" s="2" t="s">
        <v>175</v>
      </c>
      <c r="E3479" s="2" t="str">
        <f>"9788869698460"</f>
        <v>9788869698460</v>
      </c>
      <c r="F3479" s="2" t="str">
        <f>"9788869698453"</f>
        <v>9788869698453</v>
      </c>
    </row>
    <row r="3480" spans="1:6" s="3" customFormat="1" ht="29.1" customHeight="1" x14ac:dyDescent="0.25">
      <c r="A3480" s="2" t="s">
        <v>7673</v>
      </c>
      <c r="B3480" s="2" t="s">
        <v>7674</v>
      </c>
      <c r="C3480" s="2" t="s">
        <v>7514</v>
      </c>
      <c r="D3480" s="2" t="s">
        <v>175</v>
      </c>
      <c r="E3480" s="2"/>
      <c r="F3480" s="2" t="str">
        <f>"9788869698613"</f>
        <v>9788869698613</v>
      </c>
    </row>
    <row r="3481" spans="1:6" s="3" customFormat="1" ht="29.1" customHeight="1" x14ac:dyDescent="0.25">
      <c r="A3481" s="2" t="s">
        <v>7675</v>
      </c>
      <c r="B3481" s="2" t="s">
        <v>7676</v>
      </c>
      <c r="C3481" s="2" t="s">
        <v>7514</v>
      </c>
      <c r="D3481" s="2" t="s">
        <v>202</v>
      </c>
      <c r="E3481" s="2" t="str">
        <f>"9788869698644"</f>
        <v>9788869698644</v>
      </c>
      <c r="F3481" s="2" t="str">
        <f>"9788869698637"</f>
        <v>9788869698637</v>
      </c>
    </row>
    <row r="3482" spans="1:6" s="3" customFormat="1" ht="29.1" customHeight="1" x14ac:dyDescent="0.25">
      <c r="A3482" s="2" t="s">
        <v>7677</v>
      </c>
      <c r="B3482" s="2" t="s">
        <v>7678</v>
      </c>
      <c r="C3482" s="2" t="s">
        <v>7514</v>
      </c>
      <c r="D3482" s="2" t="s">
        <v>175</v>
      </c>
      <c r="E3482" s="2" t="str">
        <f>"9788869697821"</f>
        <v>9788869697821</v>
      </c>
      <c r="F3482" s="2" t="str">
        <f>"9788869697814"</f>
        <v>9788869697814</v>
      </c>
    </row>
    <row r="3483" spans="1:6" s="3" customFormat="1" ht="29.1" customHeight="1" x14ac:dyDescent="0.25">
      <c r="A3483" s="2" t="s">
        <v>7679</v>
      </c>
      <c r="B3483" s="2" t="s">
        <v>7680</v>
      </c>
      <c r="C3483" s="2" t="s">
        <v>7514</v>
      </c>
      <c r="D3483" s="2" t="s">
        <v>150</v>
      </c>
      <c r="E3483" s="2"/>
      <c r="F3483" s="2" t="str">
        <f>"9788869698040"</f>
        <v>9788869698040</v>
      </c>
    </row>
    <row r="3484" spans="1:6" s="3" customFormat="1" ht="29.1" customHeight="1" x14ac:dyDescent="0.25">
      <c r="A3484" s="2" t="s">
        <v>7681</v>
      </c>
      <c r="B3484" s="2" t="s">
        <v>7682</v>
      </c>
      <c r="C3484" s="2" t="s">
        <v>7514</v>
      </c>
      <c r="D3484" s="2" t="s">
        <v>405</v>
      </c>
      <c r="E3484" s="2" t="str">
        <f>"9788869696923"</f>
        <v>9788869696923</v>
      </c>
      <c r="F3484" s="2" t="str">
        <f>"9788869696916"</f>
        <v>9788869696916</v>
      </c>
    </row>
    <row r="3485" spans="1:6" s="3" customFormat="1" ht="29.1" customHeight="1" x14ac:dyDescent="0.25">
      <c r="A3485" s="2" t="s">
        <v>7683</v>
      </c>
      <c r="B3485" s="2" t="s">
        <v>7684</v>
      </c>
      <c r="C3485" s="2" t="s">
        <v>7514</v>
      </c>
      <c r="D3485" s="2" t="s">
        <v>1245</v>
      </c>
      <c r="E3485" s="2" t="str">
        <f>"9788869697395"</f>
        <v>9788869697395</v>
      </c>
      <c r="F3485" s="2" t="str">
        <f>"9788869697210"</f>
        <v>9788869697210</v>
      </c>
    </row>
    <row r="3486" spans="1:6" s="3" customFormat="1" ht="29.1" customHeight="1" x14ac:dyDescent="0.25">
      <c r="A3486" s="2" t="s">
        <v>7685</v>
      </c>
      <c r="B3486" s="2" t="s">
        <v>7686</v>
      </c>
      <c r="C3486" s="2" t="s">
        <v>7514</v>
      </c>
      <c r="D3486" s="2" t="s">
        <v>6113</v>
      </c>
      <c r="E3486" s="2"/>
      <c r="F3486" s="2" t="str">
        <f>"9788869697470"</f>
        <v>9788869697470</v>
      </c>
    </row>
    <row r="3487" spans="1:6" s="3" customFormat="1" ht="29.1" customHeight="1" x14ac:dyDescent="0.25">
      <c r="A3487" s="2" t="s">
        <v>7687</v>
      </c>
      <c r="B3487" s="2" t="s">
        <v>7688</v>
      </c>
      <c r="C3487" s="2" t="s">
        <v>7514</v>
      </c>
      <c r="D3487" s="2" t="s">
        <v>965</v>
      </c>
      <c r="E3487" s="2" t="str">
        <f>"9788869697555"</f>
        <v>9788869697555</v>
      </c>
      <c r="F3487" s="2" t="str">
        <f>"9788869697548"</f>
        <v>9788869697548</v>
      </c>
    </row>
    <row r="3488" spans="1:6" s="3" customFormat="1" ht="29.1" customHeight="1" x14ac:dyDescent="0.25">
      <c r="A3488" s="2" t="s">
        <v>7689</v>
      </c>
      <c r="B3488" s="2" t="s">
        <v>7690</v>
      </c>
      <c r="C3488" s="2" t="s">
        <v>7514</v>
      </c>
      <c r="D3488" s="2" t="s">
        <v>1253</v>
      </c>
      <c r="E3488" s="2" t="str">
        <f>"9788869697685"</f>
        <v>9788869697685</v>
      </c>
      <c r="F3488" s="2" t="str">
        <f>"9788869697678"</f>
        <v>9788869697678</v>
      </c>
    </row>
    <row r="3489" spans="1:6" s="3" customFormat="1" ht="29.1" customHeight="1" x14ac:dyDescent="0.25">
      <c r="A3489" s="2" t="s">
        <v>7691</v>
      </c>
      <c r="B3489" s="2" t="s">
        <v>7692</v>
      </c>
      <c r="C3489" s="2" t="s">
        <v>7514</v>
      </c>
      <c r="D3489" s="2" t="s">
        <v>4868</v>
      </c>
      <c r="E3489" s="2"/>
      <c r="F3489" s="2" t="str">
        <f>"9788869697807"</f>
        <v>9788869697807</v>
      </c>
    </row>
    <row r="3490" spans="1:6" s="3" customFormat="1" ht="29.1" customHeight="1" x14ac:dyDescent="0.25">
      <c r="A3490" s="2" t="s">
        <v>7693</v>
      </c>
      <c r="B3490" s="2" t="s">
        <v>7694</v>
      </c>
      <c r="C3490" s="2" t="s">
        <v>7514</v>
      </c>
      <c r="D3490" s="2" t="s">
        <v>1049</v>
      </c>
      <c r="E3490" s="2" t="str">
        <f>"9788869698347"</f>
        <v>9788869698347</v>
      </c>
      <c r="F3490" s="2" t="str">
        <f>"9788869698330"</f>
        <v>9788869698330</v>
      </c>
    </row>
    <row r="3491" spans="1:6" s="3" customFormat="1" ht="29.1" customHeight="1" x14ac:dyDescent="0.25">
      <c r="A3491" s="2" t="s">
        <v>7695</v>
      </c>
      <c r="B3491" s="2" t="s">
        <v>7696</v>
      </c>
      <c r="C3491" s="2" t="s">
        <v>7514</v>
      </c>
      <c r="D3491" s="2" t="s">
        <v>1049</v>
      </c>
      <c r="E3491" s="2" t="str">
        <f>"9788869698712"</f>
        <v>9788869698712</v>
      </c>
      <c r="F3491" s="2" t="str">
        <f>"9788869698705"</f>
        <v>9788869698705</v>
      </c>
    </row>
    <row r="3492" spans="1:6" s="3" customFormat="1" ht="29.1" customHeight="1" x14ac:dyDescent="0.25">
      <c r="A3492" s="2" t="s">
        <v>7697</v>
      </c>
      <c r="B3492" s="2" t="s">
        <v>7698</v>
      </c>
      <c r="C3492" s="2" t="s">
        <v>7514</v>
      </c>
      <c r="D3492" s="2" t="s">
        <v>1049</v>
      </c>
      <c r="E3492" s="2" t="str">
        <f>"9788869698989"</f>
        <v>9788869698989</v>
      </c>
      <c r="F3492" s="2" t="str">
        <f>"9788869698194"</f>
        <v>9788869698194</v>
      </c>
    </row>
    <row r="3493" spans="1:6" s="3" customFormat="1" ht="29.1" customHeight="1" x14ac:dyDescent="0.25">
      <c r="A3493" s="2" t="s">
        <v>7699</v>
      </c>
      <c r="B3493" s="2" t="s">
        <v>7700</v>
      </c>
      <c r="C3493" s="2" t="s">
        <v>7514</v>
      </c>
      <c r="D3493" s="2" t="s">
        <v>3130</v>
      </c>
      <c r="E3493" s="2" t="str">
        <f>"9788869697432"</f>
        <v>9788869697432</v>
      </c>
      <c r="F3493" s="2" t="str">
        <f>"9788869697425"</f>
        <v>9788869697425</v>
      </c>
    </row>
    <row r="3494" spans="1:6" s="3" customFormat="1" ht="29.1" customHeight="1" x14ac:dyDescent="0.25">
      <c r="A3494" s="2" t="s">
        <v>7701</v>
      </c>
      <c r="B3494" s="2" t="s">
        <v>7703</v>
      </c>
      <c r="C3494" s="2" t="s">
        <v>7514</v>
      </c>
      <c r="D3494" s="2" t="s">
        <v>7702</v>
      </c>
      <c r="E3494" s="2" t="str">
        <f>"9788869698309"</f>
        <v>9788869698309</v>
      </c>
      <c r="F3494" s="2" t="str">
        <f>"9788869698293"</f>
        <v>9788869698293</v>
      </c>
    </row>
    <row r="3495" spans="1:6" s="3" customFormat="1" ht="29.1" customHeight="1" x14ac:dyDescent="0.25">
      <c r="A3495" s="2" t="s">
        <v>7704</v>
      </c>
      <c r="B3495" s="2" t="s">
        <v>7705</v>
      </c>
      <c r="C3495" s="2" t="s">
        <v>7514</v>
      </c>
      <c r="D3495" s="2" t="s">
        <v>3130</v>
      </c>
      <c r="E3495" s="2" t="str">
        <f>"9788869697777"</f>
        <v>9788869697777</v>
      </c>
      <c r="F3495" s="2" t="str">
        <f>"9788869697760"</f>
        <v>9788869697760</v>
      </c>
    </row>
    <row r="3496" spans="1:6" s="3" customFormat="1" ht="29.1" customHeight="1" x14ac:dyDescent="0.25">
      <c r="A3496" s="2" t="s">
        <v>7706</v>
      </c>
      <c r="B3496" s="2" t="s">
        <v>7708</v>
      </c>
      <c r="C3496" s="2" t="s">
        <v>7514</v>
      </c>
      <c r="D3496" s="2" t="s">
        <v>7707</v>
      </c>
      <c r="E3496" s="2" t="str">
        <f>"9788869698774"</f>
        <v>9788869698774</v>
      </c>
      <c r="F3496" s="2" t="str">
        <f>"9788869698163"</f>
        <v>9788869698163</v>
      </c>
    </row>
    <row r="3497" spans="1:6" s="3" customFormat="1" ht="29.1" customHeight="1" x14ac:dyDescent="0.25">
      <c r="A3497" s="2" t="s">
        <v>7709</v>
      </c>
      <c r="B3497" s="2" t="s">
        <v>7710</v>
      </c>
      <c r="C3497" s="2" t="s">
        <v>7514</v>
      </c>
      <c r="D3497" s="2" t="s">
        <v>509</v>
      </c>
      <c r="E3497" s="2"/>
      <c r="F3497" s="2" t="str">
        <f>"9788869698514"</f>
        <v>9788869698514</v>
      </c>
    </row>
    <row r="3498" spans="1:6" s="3" customFormat="1" ht="29.1" customHeight="1" x14ac:dyDescent="0.25">
      <c r="A3498" s="2" t="s">
        <v>7711</v>
      </c>
      <c r="B3498" s="2" t="s">
        <v>7712</v>
      </c>
      <c r="C3498" s="2" t="s">
        <v>7514</v>
      </c>
      <c r="D3498" s="2" t="s">
        <v>118</v>
      </c>
      <c r="E3498" s="2" t="str">
        <f>"9788869697531"</f>
        <v>9788869697531</v>
      </c>
      <c r="F3498" s="2" t="str">
        <f>"9788869697524"</f>
        <v>9788869697524</v>
      </c>
    </row>
    <row r="3499" spans="1:6" s="3" customFormat="1" ht="29.1" customHeight="1" x14ac:dyDescent="0.25">
      <c r="A3499" s="2" t="s">
        <v>7713</v>
      </c>
      <c r="B3499" s="2" t="s">
        <v>7714</v>
      </c>
      <c r="C3499" s="2" t="s">
        <v>7514</v>
      </c>
      <c r="D3499" s="2" t="s">
        <v>240</v>
      </c>
      <c r="E3499" s="2" t="str">
        <f>"9788869699047"</f>
        <v>9788869699047</v>
      </c>
      <c r="F3499" s="2" t="str">
        <f>"9788869698378"</f>
        <v>9788869698378</v>
      </c>
    </row>
    <row r="3500" spans="1:6" s="3" customFormat="1" ht="29.1" customHeight="1" x14ac:dyDescent="0.25">
      <c r="A3500" s="2" t="s">
        <v>7715</v>
      </c>
      <c r="B3500" s="2" t="s">
        <v>7716</v>
      </c>
      <c r="C3500" s="2" t="s">
        <v>927</v>
      </c>
      <c r="D3500" s="2" t="s">
        <v>297</v>
      </c>
      <c r="E3500" s="2" t="str">
        <f>"9781951538798"</f>
        <v>9781951538798</v>
      </c>
      <c r="F3500" s="2" t="str">
        <f>"9781951538804"</f>
        <v>9781951538804</v>
      </c>
    </row>
    <row r="3501" spans="1:6" s="3" customFormat="1" ht="29.1" customHeight="1" x14ac:dyDescent="0.25">
      <c r="A3501" s="2" t="s">
        <v>7717</v>
      </c>
      <c r="B3501" s="2" t="s">
        <v>7719</v>
      </c>
      <c r="C3501" s="2" t="s">
        <v>62</v>
      </c>
      <c r="D3501" s="2" t="s">
        <v>7718</v>
      </c>
      <c r="E3501" s="2" t="str">
        <f>"9783428194247"</f>
        <v>9783428194247</v>
      </c>
      <c r="F3501" s="2" t="str">
        <f>"9783428594245"</f>
        <v>9783428594245</v>
      </c>
    </row>
    <row r="3502" spans="1:6" s="3" customFormat="1" ht="29.1" customHeight="1" x14ac:dyDescent="0.25">
      <c r="A3502" s="2" t="s">
        <v>7720</v>
      </c>
      <c r="B3502" s="2" t="s">
        <v>7721</v>
      </c>
      <c r="C3502" s="2" t="s">
        <v>62</v>
      </c>
      <c r="D3502" s="2" t="s">
        <v>6609</v>
      </c>
      <c r="E3502" s="2" t="str">
        <f>"9783428192113"</f>
        <v>9783428192113</v>
      </c>
      <c r="F3502" s="2" t="str">
        <f>"9783428592111"</f>
        <v>9783428592111</v>
      </c>
    </row>
    <row r="3503" spans="1:6" s="3" customFormat="1" ht="29.1" customHeight="1" x14ac:dyDescent="0.25">
      <c r="A3503" s="2" t="s">
        <v>7722</v>
      </c>
      <c r="B3503" s="2" t="s">
        <v>7723</v>
      </c>
      <c r="C3503" s="2" t="s">
        <v>305</v>
      </c>
      <c r="D3503" s="2" t="s">
        <v>479</v>
      </c>
      <c r="E3503" s="2"/>
      <c r="F3503" s="2" t="str">
        <f>"9786218438057"</f>
        <v>9786218438057</v>
      </c>
    </row>
    <row r="3504" spans="1:6" s="3" customFormat="1" ht="29.1" customHeight="1" x14ac:dyDescent="0.25">
      <c r="A3504" s="2" t="s">
        <v>7724</v>
      </c>
      <c r="B3504" s="2" t="s">
        <v>7726</v>
      </c>
      <c r="C3504" s="2" t="s">
        <v>195</v>
      </c>
      <c r="D3504" s="2" t="s">
        <v>7725</v>
      </c>
      <c r="E3504" s="2" t="str">
        <f>"9783111625164"</f>
        <v>9783111625164</v>
      </c>
      <c r="F3504" s="2" t="str">
        <f>"9783111625270"</f>
        <v>9783111625270</v>
      </c>
    </row>
    <row r="3505" spans="1:6" s="3" customFormat="1" ht="29.1" customHeight="1" x14ac:dyDescent="0.25">
      <c r="A3505" s="2" t="s">
        <v>7727</v>
      </c>
      <c r="B3505" s="2" t="s">
        <v>7728</v>
      </c>
      <c r="C3505" s="2" t="s">
        <v>195</v>
      </c>
      <c r="D3505" s="2" t="s">
        <v>1248</v>
      </c>
      <c r="E3505" s="2" t="str">
        <f>"9783111636078"</f>
        <v>9783111636078</v>
      </c>
      <c r="F3505" s="2" t="str">
        <f>"9783111636108"</f>
        <v>9783111636108</v>
      </c>
    </row>
    <row r="3506" spans="1:6" s="3" customFormat="1" ht="29.1" customHeight="1" x14ac:dyDescent="0.25">
      <c r="A3506" s="2" t="s">
        <v>7729</v>
      </c>
      <c r="B3506" s="2" t="s">
        <v>7730</v>
      </c>
      <c r="C3506" s="2" t="s">
        <v>195</v>
      </c>
      <c r="D3506" s="2" t="s">
        <v>270</v>
      </c>
      <c r="E3506" s="2" t="str">
        <f>"9783111240527"</f>
        <v>9783111240527</v>
      </c>
      <c r="F3506" s="2" t="str">
        <f>"9783111240596"</f>
        <v>9783111240596</v>
      </c>
    </row>
    <row r="3507" spans="1:6" s="3" customFormat="1" ht="29.1" customHeight="1" x14ac:dyDescent="0.25">
      <c r="A3507" s="2" t="s">
        <v>7731</v>
      </c>
      <c r="B3507" s="2" t="s">
        <v>7732</v>
      </c>
      <c r="C3507" s="2" t="s">
        <v>195</v>
      </c>
      <c r="D3507" s="2" t="s">
        <v>413</v>
      </c>
      <c r="E3507" s="2" t="str">
        <f>"9783110763263"</f>
        <v>9783110763263</v>
      </c>
      <c r="F3507" s="2" t="str">
        <f>"9783110763577"</f>
        <v>9783110763577</v>
      </c>
    </row>
    <row r="3508" spans="1:6" s="3" customFormat="1" ht="29.1" customHeight="1" x14ac:dyDescent="0.25">
      <c r="A3508" s="2" t="s">
        <v>7733</v>
      </c>
      <c r="B3508" s="2" t="s">
        <v>7735</v>
      </c>
      <c r="C3508" s="2" t="s">
        <v>195</v>
      </c>
      <c r="D3508" s="2" t="s">
        <v>7734</v>
      </c>
      <c r="E3508" s="2" t="str">
        <f>"9783111424644"</f>
        <v>9783111424644</v>
      </c>
      <c r="F3508" s="2" t="str">
        <f>"9783111425160"</f>
        <v>9783111425160</v>
      </c>
    </row>
    <row r="3509" spans="1:6" s="3" customFormat="1" ht="29.1" customHeight="1" x14ac:dyDescent="0.25">
      <c r="A3509" s="2" t="s">
        <v>7736</v>
      </c>
      <c r="B3509" s="2" t="s">
        <v>7738</v>
      </c>
      <c r="C3509" s="2" t="s">
        <v>195</v>
      </c>
      <c r="D3509" s="2" t="s">
        <v>7737</v>
      </c>
      <c r="E3509" s="2" t="str">
        <f>"9783111552903"</f>
        <v>9783111552903</v>
      </c>
      <c r="F3509" s="2" t="str">
        <f>"9783111561387"</f>
        <v>9783111561387</v>
      </c>
    </row>
    <row r="3510" spans="1:6" s="3" customFormat="1" ht="29.1" customHeight="1" x14ac:dyDescent="0.25">
      <c r="A3510" s="2" t="s">
        <v>7739</v>
      </c>
      <c r="B3510" s="2" t="s">
        <v>7740</v>
      </c>
      <c r="C3510" s="2" t="s">
        <v>195</v>
      </c>
      <c r="D3510" s="2" t="s">
        <v>2005</v>
      </c>
      <c r="E3510" s="2" t="str">
        <f>"9783111552934"</f>
        <v>9783111552934</v>
      </c>
      <c r="F3510" s="2" t="str">
        <f>"9783111553894"</f>
        <v>9783111553894</v>
      </c>
    </row>
    <row r="3511" spans="1:6" s="3" customFormat="1" ht="29.1" customHeight="1" x14ac:dyDescent="0.25">
      <c r="A3511" s="2" t="s">
        <v>7741</v>
      </c>
      <c r="B3511" s="2" t="s">
        <v>7742</v>
      </c>
      <c r="C3511" s="2" t="s">
        <v>195</v>
      </c>
      <c r="D3511" s="2" t="s">
        <v>5021</v>
      </c>
      <c r="E3511" s="2" t="str">
        <f>"9783111458120"</f>
        <v>9783111458120</v>
      </c>
      <c r="F3511" s="2" t="str">
        <f>"9783111458366"</f>
        <v>9783111458366</v>
      </c>
    </row>
    <row r="3512" spans="1:6" s="3" customFormat="1" ht="29.1" customHeight="1" x14ac:dyDescent="0.25">
      <c r="A3512" s="2" t="s">
        <v>7743</v>
      </c>
      <c r="B3512" s="2" t="s">
        <v>7745</v>
      </c>
      <c r="C3512" s="2" t="s">
        <v>195</v>
      </c>
      <c r="D3512" s="2" t="s">
        <v>7744</v>
      </c>
      <c r="E3512" s="2" t="str">
        <f>"9783111439884"</f>
        <v>9783111439884</v>
      </c>
      <c r="F3512" s="2" t="str">
        <f>"9783111440767"</f>
        <v>9783111440767</v>
      </c>
    </row>
    <row r="3513" spans="1:6" s="3" customFormat="1" ht="29.1" customHeight="1" x14ac:dyDescent="0.25">
      <c r="A3513" s="2" t="s">
        <v>7746</v>
      </c>
      <c r="B3513" s="2" t="s">
        <v>7747</v>
      </c>
      <c r="C3513" s="2" t="s">
        <v>195</v>
      </c>
      <c r="D3513" s="2" t="s">
        <v>270</v>
      </c>
      <c r="E3513" s="2" t="str">
        <f>"9783111381756"</f>
        <v>9783111381756</v>
      </c>
      <c r="F3513" s="2" t="str">
        <f>"9783111381848"</f>
        <v>9783111381848</v>
      </c>
    </row>
    <row r="3514" spans="1:6" s="3" customFormat="1" ht="29.1" customHeight="1" x14ac:dyDescent="0.25">
      <c r="A3514" s="2" t="s">
        <v>7748</v>
      </c>
      <c r="B3514" s="2" t="s">
        <v>7749</v>
      </c>
      <c r="C3514" s="2" t="s">
        <v>195</v>
      </c>
      <c r="D3514" s="2" t="s">
        <v>52</v>
      </c>
      <c r="E3514" s="2" t="str">
        <f>"9783111425672"</f>
        <v>9783111425672</v>
      </c>
      <c r="F3514" s="2" t="str">
        <f>"9783111426143"</f>
        <v>9783111426143</v>
      </c>
    </row>
    <row r="3515" spans="1:6" s="3" customFormat="1" ht="29.1" customHeight="1" x14ac:dyDescent="0.25">
      <c r="A3515" s="2" t="s">
        <v>7750</v>
      </c>
      <c r="B3515" s="2" t="s">
        <v>7751</v>
      </c>
      <c r="C3515" s="2" t="s">
        <v>195</v>
      </c>
      <c r="D3515" s="2" t="s">
        <v>297</v>
      </c>
      <c r="E3515" s="2" t="str">
        <f>"9783111035604"</f>
        <v>9783111035604</v>
      </c>
      <c r="F3515" s="2" t="str">
        <f>"9783111036106"</f>
        <v>9783111036106</v>
      </c>
    </row>
    <row r="3516" spans="1:6" s="3" customFormat="1" ht="29.1" customHeight="1" x14ac:dyDescent="0.25">
      <c r="A3516" s="2" t="s">
        <v>7752</v>
      </c>
      <c r="B3516" s="2" t="s">
        <v>7753</v>
      </c>
      <c r="C3516" s="2" t="s">
        <v>195</v>
      </c>
      <c r="D3516" s="2" t="s">
        <v>218</v>
      </c>
      <c r="E3516" s="2" t="str">
        <f>"9783111204628"</f>
        <v>9783111204628</v>
      </c>
      <c r="F3516" s="2" t="str">
        <f>"9783111218090"</f>
        <v>9783111218090</v>
      </c>
    </row>
    <row r="3517" spans="1:6" s="3" customFormat="1" ht="29.1" customHeight="1" x14ac:dyDescent="0.25">
      <c r="A3517" s="2" t="s">
        <v>7754</v>
      </c>
      <c r="B3517" s="2" t="s">
        <v>7755</v>
      </c>
      <c r="C3517" s="2" t="s">
        <v>195</v>
      </c>
      <c r="D3517" s="2" t="s">
        <v>636</v>
      </c>
      <c r="E3517" s="2" t="str">
        <f>"9783111245515"</f>
        <v>9783111245515</v>
      </c>
      <c r="F3517" s="2" t="str">
        <f>"9783111245591"</f>
        <v>9783111245591</v>
      </c>
    </row>
    <row r="3518" spans="1:6" s="3" customFormat="1" ht="29.1" customHeight="1" x14ac:dyDescent="0.25">
      <c r="A3518" s="2" t="s">
        <v>7756</v>
      </c>
      <c r="B3518" s="2" t="s">
        <v>7757</v>
      </c>
      <c r="C3518" s="2" t="s">
        <v>195</v>
      </c>
      <c r="D3518" s="2" t="s">
        <v>78</v>
      </c>
      <c r="E3518" s="2" t="str">
        <f>"9783111254654"</f>
        <v>9783111254654</v>
      </c>
      <c r="F3518" s="2" t="str">
        <f>"9783111329574"</f>
        <v>9783111329574</v>
      </c>
    </row>
    <row r="3519" spans="1:6" s="3" customFormat="1" ht="29.1" customHeight="1" x14ac:dyDescent="0.25">
      <c r="A3519" s="2" t="s">
        <v>7758</v>
      </c>
      <c r="B3519" s="2" t="s">
        <v>7760</v>
      </c>
      <c r="C3519" s="2" t="s">
        <v>195</v>
      </c>
      <c r="D3519" s="2" t="s">
        <v>7759</v>
      </c>
      <c r="E3519" s="2" t="str">
        <f>"9783111061382"</f>
        <v>9783111061382</v>
      </c>
      <c r="F3519" s="2" t="str">
        <f>"9783111062624"</f>
        <v>9783111062624</v>
      </c>
    </row>
    <row r="3520" spans="1:6" s="3" customFormat="1" ht="29.1" customHeight="1" x14ac:dyDescent="0.25">
      <c r="A3520" s="2" t="s">
        <v>7761</v>
      </c>
      <c r="B3520" s="2" t="s">
        <v>7762</v>
      </c>
      <c r="C3520" s="2" t="s">
        <v>195</v>
      </c>
      <c r="D3520" s="2" t="s">
        <v>1183</v>
      </c>
      <c r="E3520" s="2" t="str">
        <f>"9783111072012"</f>
        <v>9783111072012</v>
      </c>
      <c r="F3520" s="2" t="str">
        <f>"9783111082691"</f>
        <v>9783111082691</v>
      </c>
    </row>
    <row r="3521" spans="1:6" s="3" customFormat="1" ht="29.1" customHeight="1" x14ac:dyDescent="0.25">
      <c r="A3521" s="2" t="s">
        <v>7763</v>
      </c>
      <c r="B3521" s="2" t="s">
        <v>7764</v>
      </c>
      <c r="C3521" s="2" t="s">
        <v>195</v>
      </c>
      <c r="D3521" s="2" t="s">
        <v>3379</v>
      </c>
      <c r="E3521" s="2" t="str">
        <f>"9783111237992"</f>
        <v>9783111237992</v>
      </c>
      <c r="F3521" s="2" t="str">
        <f>"9783111238135"</f>
        <v>9783111238135</v>
      </c>
    </row>
    <row r="3522" spans="1:6" s="3" customFormat="1" ht="29.1" customHeight="1" x14ac:dyDescent="0.25">
      <c r="A3522" s="2" t="s">
        <v>7765</v>
      </c>
      <c r="B3522" s="2" t="s">
        <v>7767</v>
      </c>
      <c r="C3522" s="2" t="s">
        <v>195</v>
      </c>
      <c r="D3522" s="2" t="s">
        <v>7766</v>
      </c>
      <c r="E3522" s="2" t="str">
        <f>"9783111198057"</f>
        <v>9783111198057</v>
      </c>
      <c r="F3522" s="2" t="str">
        <f>"9783111198750"</f>
        <v>9783111198750</v>
      </c>
    </row>
    <row r="3523" spans="1:6" s="3" customFormat="1" ht="29.1" customHeight="1" x14ac:dyDescent="0.25">
      <c r="A3523" s="2" t="s">
        <v>7768</v>
      </c>
      <c r="B3523" s="2" t="s">
        <v>7769</v>
      </c>
      <c r="C3523" s="2" t="s">
        <v>195</v>
      </c>
      <c r="D3523" s="2" t="s">
        <v>1411</v>
      </c>
      <c r="E3523" s="2" t="str">
        <f>"9783111166506"</f>
        <v>9783111166506</v>
      </c>
      <c r="F3523" s="2" t="str">
        <f>"9783111167237"</f>
        <v>9783111167237</v>
      </c>
    </row>
    <row r="3524" spans="1:6" s="3" customFormat="1" ht="29.1" customHeight="1" x14ac:dyDescent="0.25">
      <c r="A3524" s="2" t="s">
        <v>7770</v>
      </c>
      <c r="B3524" s="2" t="s">
        <v>7771</v>
      </c>
      <c r="C3524" s="2" t="s">
        <v>195</v>
      </c>
      <c r="D3524" s="2" t="s">
        <v>297</v>
      </c>
      <c r="E3524" s="2" t="str">
        <f>"9783111005713"</f>
        <v>9783111005713</v>
      </c>
      <c r="F3524" s="2" t="str">
        <f>"9783111005744"</f>
        <v>9783111005744</v>
      </c>
    </row>
    <row r="3525" spans="1:6" s="3" customFormat="1" ht="29.1" customHeight="1" x14ac:dyDescent="0.25">
      <c r="A3525" s="2" t="s">
        <v>7772</v>
      </c>
      <c r="B3525" s="2" t="s">
        <v>7773</v>
      </c>
      <c r="C3525" s="2" t="s">
        <v>195</v>
      </c>
      <c r="D3525" s="2" t="s">
        <v>5021</v>
      </c>
      <c r="E3525" s="2" t="str">
        <f>"9783111001210"</f>
        <v>9783111001210</v>
      </c>
      <c r="F3525" s="2" t="str">
        <f>"9783111001272"</f>
        <v>9783111001272</v>
      </c>
    </row>
    <row r="3526" spans="1:6" s="3" customFormat="1" ht="29.1" customHeight="1" x14ac:dyDescent="0.25">
      <c r="A3526" s="2" t="s">
        <v>7774</v>
      </c>
      <c r="B3526" s="2" t="s">
        <v>7775</v>
      </c>
      <c r="C3526" s="2" t="s">
        <v>195</v>
      </c>
      <c r="D3526" s="2" t="s">
        <v>1806</v>
      </c>
      <c r="E3526" s="2" t="str">
        <f>"9783110791839"</f>
        <v>9783110791839</v>
      </c>
      <c r="F3526" s="2" t="str">
        <f>"9783110791853"</f>
        <v>9783110791853</v>
      </c>
    </row>
    <row r="3527" spans="1:6" s="3" customFormat="1" ht="29.1" customHeight="1" x14ac:dyDescent="0.25">
      <c r="A3527" s="2" t="s">
        <v>7776</v>
      </c>
      <c r="B3527" s="2" t="s">
        <v>7777</v>
      </c>
      <c r="C3527" s="2" t="s">
        <v>195</v>
      </c>
      <c r="D3527" s="2" t="s">
        <v>1806</v>
      </c>
      <c r="E3527" s="2" t="str">
        <f>"9783110791822"</f>
        <v>9783110791822</v>
      </c>
      <c r="F3527" s="2" t="str">
        <f>"9783110791860"</f>
        <v>9783110791860</v>
      </c>
    </row>
    <row r="3528" spans="1:6" s="3" customFormat="1" ht="29.1" customHeight="1" x14ac:dyDescent="0.25">
      <c r="A3528" s="2" t="s">
        <v>7778</v>
      </c>
      <c r="B3528" s="2" t="s">
        <v>7779</v>
      </c>
      <c r="C3528" s="2" t="s">
        <v>195</v>
      </c>
      <c r="D3528" s="2" t="s">
        <v>1390</v>
      </c>
      <c r="E3528" s="2" t="str">
        <f>"9783110788617"</f>
        <v>9783110788617</v>
      </c>
      <c r="F3528" s="2" t="str">
        <f>"9783110788761"</f>
        <v>9783110788761</v>
      </c>
    </row>
    <row r="3529" spans="1:6" s="3" customFormat="1" ht="29.1" customHeight="1" x14ac:dyDescent="0.25">
      <c r="A3529" s="2" t="s">
        <v>7780</v>
      </c>
      <c r="B3529" s="2" t="s">
        <v>7781</v>
      </c>
      <c r="C3529" s="2" t="s">
        <v>195</v>
      </c>
      <c r="D3529" s="2" t="s">
        <v>3062</v>
      </c>
      <c r="E3529" s="2" t="str">
        <f>"9783110765823"</f>
        <v>9783110765823</v>
      </c>
      <c r="F3529" s="2" t="str">
        <f>"9783110767995"</f>
        <v>9783110767995</v>
      </c>
    </row>
    <row r="3530" spans="1:6" s="3" customFormat="1" ht="29.1" customHeight="1" x14ac:dyDescent="0.25">
      <c r="A3530" s="2" t="s">
        <v>7782</v>
      </c>
      <c r="B3530" s="2" t="s">
        <v>7783</v>
      </c>
      <c r="C3530" s="2" t="s">
        <v>195</v>
      </c>
      <c r="D3530" s="2" t="s">
        <v>33</v>
      </c>
      <c r="E3530" s="2" t="str">
        <f>"9783110795868"</f>
        <v>9783110795868</v>
      </c>
      <c r="F3530" s="2" t="str">
        <f>"9783111013435"</f>
        <v>9783111013435</v>
      </c>
    </row>
    <row r="3531" spans="1:6" s="3" customFormat="1" ht="29.1" customHeight="1" x14ac:dyDescent="0.25">
      <c r="A3531" s="2" t="s">
        <v>7784</v>
      </c>
      <c r="B3531" s="2" t="s">
        <v>7785</v>
      </c>
      <c r="C3531" s="2" t="s">
        <v>195</v>
      </c>
      <c r="D3531" s="2" t="s">
        <v>1155</v>
      </c>
      <c r="E3531" s="2" t="str">
        <f>"9783110758153"</f>
        <v>9783110758153</v>
      </c>
      <c r="F3531" s="2" t="str">
        <f>"9783110758269"</f>
        <v>9783110758269</v>
      </c>
    </row>
    <row r="3532" spans="1:6" s="3" customFormat="1" ht="29.1" customHeight="1" x14ac:dyDescent="0.25">
      <c r="A3532" s="2" t="s">
        <v>7786</v>
      </c>
      <c r="B3532" s="2" t="s">
        <v>7787</v>
      </c>
      <c r="C3532" s="2" t="s">
        <v>195</v>
      </c>
      <c r="D3532" s="2" t="s">
        <v>1416</v>
      </c>
      <c r="E3532" s="2" t="str">
        <f>"9783110779592"</f>
        <v>9783110779592</v>
      </c>
      <c r="F3532" s="2" t="str">
        <f>"9783110780147"</f>
        <v>9783110780147</v>
      </c>
    </row>
    <row r="3533" spans="1:6" s="3" customFormat="1" ht="29.1" customHeight="1" x14ac:dyDescent="0.25">
      <c r="A3533" s="2" t="s">
        <v>7788</v>
      </c>
      <c r="B3533" s="2" t="s">
        <v>7789</v>
      </c>
      <c r="C3533" s="2" t="s">
        <v>195</v>
      </c>
      <c r="D3533" s="2" t="s">
        <v>459</v>
      </c>
      <c r="E3533" s="2" t="str">
        <f>"9783110716153"</f>
        <v>9783110716153</v>
      </c>
      <c r="F3533" s="2" t="str">
        <f>"9783110716573"</f>
        <v>9783110716573</v>
      </c>
    </row>
    <row r="3534" spans="1:6" s="3" customFormat="1" ht="29.1" customHeight="1" x14ac:dyDescent="0.25">
      <c r="A3534" s="2" t="s">
        <v>7790</v>
      </c>
      <c r="B3534" s="2" t="s">
        <v>7791</v>
      </c>
      <c r="C3534" s="2" t="s">
        <v>195</v>
      </c>
      <c r="D3534" s="2" t="s">
        <v>1959</v>
      </c>
      <c r="E3534" s="2"/>
      <c r="F3534" s="2" t="str">
        <f>"9788366675735"</f>
        <v>9788366675735</v>
      </c>
    </row>
    <row r="3535" spans="1:6" s="3" customFormat="1" ht="29.1" customHeight="1" x14ac:dyDescent="0.25">
      <c r="A3535" s="2" t="s">
        <v>7792</v>
      </c>
      <c r="B3535" s="2" t="s">
        <v>7793</v>
      </c>
      <c r="C3535" s="2" t="s">
        <v>195</v>
      </c>
      <c r="D3535" s="2" t="s">
        <v>459</v>
      </c>
      <c r="E3535" s="2"/>
      <c r="F3535" s="2" t="str">
        <f>"9788366675728"</f>
        <v>9788366675728</v>
      </c>
    </row>
    <row r="3536" spans="1:6" s="3" customFormat="1" ht="29.1" customHeight="1" x14ac:dyDescent="0.25">
      <c r="A3536" s="2" t="s">
        <v>7794</v>
      </c>
      <c r="B3536" s="2" t="s">
        <v>7795</v>
      </c>
      <c r="C3536" s="2" t="s">
        <v>195</v>
      </c>
      <c r="D3536" s="2" t="s">
        <v>968</v>
      </c>
      <c r="E3536" s="2" t="str">
        <f>"9783111650289"</f>
        <v>9783111650289</v>
      </c>
      <c r="F3536" s="2" t="str">
        <f>"9783111651217"</f>
        <v>9783111651217</v>
      </c>
    </row>
    <row r="3537" spans="1:6" s="3" customFormat="1" ht="29.1" customHeight="1" x14ac:dyDescent="0.25">
      <c r="A3537" s="2" t="s">
        <v>7796</v>
      </c>
      <c r="B3537" s="2" t="s">
        <v>7797</v>
      </c>
      <c r="C3537" s="2" t="s">
        <v>195</v>
      </c>
      <c r="D3537" s="2" t="s">
        <v>63</v>
      </c>
      <c r="E3537" s="2" t="str">
        <f>"9783111719528"</f>
        <v>9783111719528</v>
      </c>
      <c r="F3537" s="2" t="str">
        <f>"9783111719689"</f>
        <v>9783111719689</v>
      </c>
    </row>
    <row r="3538" spans="1:6" s="3" customFormat="1" ht="29.1" customHeight="1" x14ac:dyDescent="0.25">
      <c r="A3538" s="2" t="s">
        <v>7798</v>
      </c>
      <c r="B3538" s="2" t="s">
        <v>7799</v>
      </c>
      <c r="C3538" s="2" t="s">
        <v>195</v>
      </c>
      <c r="D3538" s="2" t="s">
        <v>4429</v>
      </c>
      <c r="E3538" s="2" t="str">
        <f>"9783111589466"</f>
        <v>9783111589466</v>
      </c>
      <c r="F3538" s="2" t="str">
        <f>"9783111589640"</f>
        <v>9783111589640</v>
      </c>
    </row>
    <row r="3539" spans="1:6" s="3" customFormat="1" ht="29.1" customHeight="1" x14ac:dyDescent="0.25">
      <c r="A3539" s="2" t="s">
        <v>7800</v>
      </c>
      <c r="B3539" s="2" t="s">
        <v>7801</v>
      </c>
      <c r="C3539" s="2" t="s">
        <v>195</v>
      </c>
      <c r="D3539" s="2" t="s">
        <v>459</v>
      </c>
      <c r="E3539" s="2" t="str">
        <f>"9783111388441"</f>
        <v>9783111388441</v>
      </c>
      <c r="F3539" s="2" t="str">
        <f>"9783111388878"</f>
        <v>9783111388878</v>
      </c>
    </row>
    <row r="3540" spans="1:6" s="3" customFormat="1" ht="29.1" customHeight="1" x14ac:dyDescent="0.25">
      <c r="A3540" s="2" t="s">
        <v>7802</v>
      </c>
      <c r="B3540" s="2" t="s">
        <v>7803</v>
      </c>
      <c r="C3540" s="2" t="s">
        <v>195</v>
      </c>
      <c r="D3540" s="2" t="s">
        <v>1049</v>
      </c>
      <c r="E3540" s="2" t="str">
        <f>"9783111629186"</f>
        <v>9783111629186</v>
      </c>
      <c r="F3540" s="2" t="str">
        <f>"9783111629735"</f>
        <v>9783111629735</v>
      </c>
    </row>
    <row r="3541" spans="1:6" s="3" customFormat="1" ht="29.1" customHeight="1" x14ac:dyDescent="0.25">
      <c r="A3541" s="2" t="s">
        <v>7804</v>
      </c>
      <c r="B3541" s="2" t="s">
        <v>7805</v>
      </c>
      <c r="C3541" s="2" t="s">
        <v>195</v>
      </c>
      <c r="D3541" s="2" t="s">
        <v>449</v>
      </c>
      <c r="E3541" s="2" t="str">
        <f>"9783111217345"</f>
        <v>9783111217345</v>
      </c>
      <c r="F3541" s="2" t="str">
        <f>"9783111254081"</f>
        <v>9783111254081</v>
      </c>
    </row>
    <row r="3542" spans="1:6" s="3" customFormat="1" ht="29.1" customHeight="1" x14ac:dyDescent="0.25">
      <c r="A3542" s="2" t="s">
        <v>7806</v>
      </c>
      <c r="B3542" s="2" t="s">
        <v>7807</v>
      </c>
      <c r="C3542" s="2" t="s">
        <v>195</v>
      </c>
      <c r="D3542" s="2" t="s">
        <v>210</v>
      </c>
      <c r="E3542" s="2" t="str">
        <f>"9783111310053"</f>
        <v>9783111310053</v>
      </c>
      <c r="F3542" s="2" t="str">
        <f>"9783111325125"</f>
        <v>9783111325125</v>
      </c>
    </row>
    <row r="3543" spans="1:6" s="3" customFormat="1" ht="29.1" customHeight="1" x14ac:dyDescent="0.25">
      <c r="A3543" s="2" t="s">
        <v>7808</v>
      </c>
      <c r="B3543" s="2" t="s">
        <v>7810</v>
      </c>
      <c r="C3543" s="2" t="s">
        <v>195</v>
      </c>
      <c r="D3543" s="2" t="s">
        <v>7809</v>
      </c>
      <c r="E3543" s="2" t="str">
        <f>"9783111375854"</f>
        <v>9783111375854</v>
      </c>
      <c r="F3543" s="2" t="str">
        <f>"9783111376776"</f>
        <v>9783111376776</v>
      </c>
    </row>
    <row r="3544" spans="1:6" s="3" customFormat="1" ht="29.1" customHeight="1" x14ac:dyDescent="0.25">
      <c r="A3544" s="2" t="s">
        <v>7811</v>
      </c>
      <c r="B3544" s="2" t="s">
        <v>7812</v>
      </c>
      <c r="C3544" s="2" t="s">
        <v>195</v>
      </c>
      <c r="D3544" s="2" t="s">
        <v>459</v>
      </c>
      <c r="E3544" s="2" t="str">
        <f>"9783111328799"</f>
        <v>9783111328799</v>
      </c>
      <c r="F3544" s="2" t="str">
        <f>"9783111328867"</f>
        <v>9783111328867</v>
      </c>
    </row>
    <row r="3545" spans="1:6" s="3" customFormat="1" ht="29.1" customHeight="1" x14ac:dyDescent="0.25">
      <c r="A3545" s="2" t="s">
        <v>7813</v>
      </c>
      <c r="B3545" s="2" t="s">
        <v>7814</v>
      </c>
      <c r="C3545" s="2" t="s">
        <v>195</v>
      </c>
      <c r="D3545" s="2" t="s">
        <v>6678</v>
      </c>
      <c r="E3545" s="2" t="str">
        <f>"9783111443850"</f>
        <v>9783111443850</v>
      </c>
      <c r="F3545" s="2" t="str">
        <f>"9783111444550"</f>
        <v>9783111444550</v>
      </c>
    </row>
    <row r="3546" spans="1:6" s="3" customFormat="1" ht="29.1" customHeight="1" x14ac:dyDescent="0.25">
      <c r="A3546" s="2" t="s">
        <v>7815</v>
      </c>
      <c r="B3546" s="2" t="s">
        <v>7816</v>
      </c>
      <c r="C3546" s="2" t="s">
        <v>195</v>
      </c>
      <c r="D3546" s="2" t="s">
        <v>449</v>
      </c>
      <c r="E3546" s="2" t="str">
        <f>"9783111217178"</f>
        <v>9783111217178</v>
      </c>
      <c r="F3546" s="2" t="str">
        <f>"9783111254067"</f>
        <v>9783111254067</v>
      </c>
    </row>
    <row r="3547" spans="1:6" s="3" customFormat="1" ht="29.1" customHeight="1" x14ac:dyDescent="0.25">
      <c r="A3547" s="2" t="s">
        <v>7817</v>
      </c>
      <c r="B3547" s="2"/>
      <c r="C3547" s="2" t="s">
        <v>195</v>
      </c>
      <c r="D3547" s="2" t="s">
        <v>297</v>
      </c>
      <c r="E3547" s="2"/>
      <c r="F3547" s="2" t="str">
        <f>"9788367405928"</f>
        <v>9788367405928</v>
      </c>
    </row>
    <row r="3548" spans="1:6" s="3" customFormat="1" ht="29.1" customHeight="1" x14ac:dyDescent="0.25">
      <c r="A3548" s="2" t="s">
        <v>7818</v>
      </c>
      <c r="B3548" s="2"/>
      <c r="C3548" s="2" t="s">
        <v>195</v>
      </c>
      <c r="D3548" s="2" t="s">
        <v>317</v>
      </c>
      <c r="E3548" s="2"/>
      <c r="F3548" s="2" t="str">
        <f>"9788367405805"</f>
        <v>9788367405805</v>
      </c>
    </row>
    <row r="3549" spans="1:6" s="3" customFormat="1" ht="29.1" customHeight="1" x14ac:dyDescent="0.25">
      <c r="A3549" s="2" t="s">
        <v>7819</v>
      </c>
      <c r="B3549" s="2" t="s">
        <v>7820</v>
      </c>
      <c r="C3549" s="2" t="s">
        <v>195</v>
      </c>
      <c r="D3549" s="2" t="s">
        <v>339</v>
      </c>
      <c r="E3549" s="2"/>
      <c r="F3549" s="2" t="str">
        <f>"9788368412000"</f>
        <v>9788368412000</v>
      </c>
    </row>
    <row r="3550" spans="1:6" s="3" customFormat="1" ht="29.1" customHeight="1" x14ac:dyDescent="0.25">
      <c r="A3550" s="2" t="s">
        <v>7821</v>
      </c>
      <c r="B3550" s="2"/>
      <c r="C3550" s="2" t="s">
        <v>195</v>
      </c>
      <c r="D3550" s="2" t="s">
        <v>186</v>
      </c>
      <c r="E3550" s="2" t="str">
        <f>"9788087291351"</f>
        <v>9788087291351</v>
      </c>
      <c r="F3550" s="2" t="str">
        <f>"9788367405973"</f>
        <v>9788367405973</v>
      </c>
    </row>
    <row r="3551" spans="1:6" s="3" customFormat="1" ht="29.1" customHeight="1" x14ac:dyDescent="0.25">
      <c r="A3551" s="2" t="s">
        <v>7822</v>
      </c>
      <c r="B3551" s="2"/>
      <c r="C3551" s="2" t="s">
        <v>195</v>
      </c>
      <c r="D3551" s="2" t="s">
        <v>186</v>
      </c>
      <c r="E3551" s="2"/>
      <c r="F3551" s="2" t="str">
        <f>"9788367405225"</f>
        <v>9788367405225</v>
      </c>
    </row>
    <row r="3552" spans="1:6" s="3" customFormat="1" ht="29.1" customHeight="1" x14ac:dyDescent="0.25">
      <c r="A3552" s="2" t="s">
        <v>7823</v>
      </c>
      <c r="B3552" s="2"/>
      <c r="C3552" s="2" t="s">
        <v>195</v>
      </c>
      <c r="D3552" s="2" t="s">
        <v>1959</v>
      </c>
      <c r="E3552" s="2"/>
      <c r="F3552" s="2" t="str">
        <f>"9788367405256"</f>
        <v>9788367405256</v>
      </c>
    </row>
    <row r="3553" spans="1:6" s="3" customFormat="1" ht="29.1" customHeight="1" x14ac:dyDescent="0.25">
      <c r="A3553" s="2" t="s">
        <v>7824</v>
      </c>
      <c r="B3553" s="2"/>
      <c r="C3553" s="2" t="s">
        <v>195</v>
      </c>
      <c r="D3553" s="2" t="s">
        <v>1959</v>
      </c>
      <c r="E3553" s="2"/>
      <c r="F3553" s="2" t="str">
        <f>"9788367405263"</f>
        <v>9788367405263</v>
      </c>
    </row>
    <row r="3554" spans="1:6" s="3" customFormat="1" ht="29.1" customHeight="1" x14ac:dyDescent="0.25">
      <c r="A3554" s="2" t="s">
        <v>7825</v>
      </c>
      <c r="B3554" s="2"/>
      <c r="C3554" s="2" t="s">
        <v>195</v>
      </c>
      <c r="D3554" s="2" t="s">
        <v>1902</v>
      </c>
      <c r="E3554" s="2"/>
      <c r="F3554" s="2" t="str">
        <f>"9788367405232"</f>
        <v>9788367405232</v>
      </c>
    </row>
    <row r="3555" spans="1:6" s="3" customFormat="1" ht="29.1" customHeight="1" x14ac:dyDescent="0.25">
      <c r="A3555" s="2" t="s">
        <v>7826</v>
      </c>
      <c r="B3555" s="2"/>
      <c r="C3555" s="2" t="s">
        <v>195</v>
      </c>
      <c r="D3555" s="2" t="s">
        <v>477</v>
      </c>
      <c r="E3555" s="2"/>
      <c r="F3555" s="2" t="str">
        <f>"9788367405249"</f>
        <v>9788367405249</v>
      </c>
    </row>
    <row r="3556" spans="1:6" s="3" customFormat="1" ht="29.1" customHeight="1" x14ac:dyDescent="0.25">
      <c r="A3556" s="2" t="s">
        <v>7827</v>
      </c>
      <c r="B3556" s="2" t="s">
        <v>7828</v>
      </c>
      <c r="C3556" s="2" t="s">
        <v>195</v>
      </c>
      <c r="D3556" s="2" t="s">
        <v>297</v>
      </c>
      <c r="E3556" s="2" t="str">
        <f>"9788367405058"</f>
        <v>9788367405058</v>
      </c>
      <c r="F3556" s="2" t="str">
        <f>"9788367405065"</f>
        <v>9788367405065</v>
      </c>
    </row>
    <row r="3557" spans="1:6" s="3" customFormat="1" ht="29.1" customHeight="1" x14ac:dyDescent="0.25">
      <c r="A3557" s="2" t="s">
        <v>7829</v>
      </c>
      <c r="B3557" s="2" t="s">
        <v>7830</v>
      </c>
      <c r="C3557" s="2" t="s">
        <v>195</v>
      </c>
      <c r="D3557" s="2" t="s">
        <v>1959</v>
      </c>
      <c r="E3557" s="2"/>
      <c r="F3557" s="2" t="str">
        <f>"9788367405133"</f>
        <v>9788367405133</v>
      </c>
    </row>
    <row r="3558" spans="1:6" s="3" customFormat="1" ht="29.1" customHeight="1" x14ac:dyDescent="0.25">
      <c r="A3558" s="2" t="s">
        <v>7831</v>
      </c>
      <c r="B3558" s="2" t="s">
        <v>7832</v>
      </c>
      <c r="C3558" s="2" t="s">
        <v>195</v>
      </c>
      <c r="D3558" s="2" t="s">
        <v>186</v>
      </c>
      <c r="E3558" s="2"/>
      <c r="F3558" s="2" t="str">
        <f>"9788366675711"</f>
        <v>9788366675711</v>
      </c>
    </row>
    <row r="3559" spans="1:6" s="3" customFormat="1" ht="29.1" customHeight="1" x14ac:dyDescent="0.25">
      <c r="A3559" s="2" t="s">
        <v>7833</v>
      </c>
      <c r="B3559" s="2" t="s">
        <v>7834</v>
      </c>
      <c r="C3559" s="2" t="s">
        <v>195</v>
      </c>
      <c r="D3559" s="2" t="s">
        <v>186</v>
      </c>
      <c r="E3559" s="2"/>
      <c r="F3559" s="2" t="str">
        <f>"9788366675704"</f>
        <v>9788366675704</v>
      </c>
    </row>
    <row r="3560" spans="1:6" s="3" customFormat="1" ht="29.1" customHeight="1" x14ac:dyDescent="0.25">
      <c r="A3560" s="2" t="s">
        <v>7835</v>
      </c>
      <c r="B3560" s="2" t="s">
        <v>7836</v>
      </c>
      <c r="C3560" s="2" t="s">
        <v>195</v>
      </c>
      <c r="D3560" s="2" t="s">
        <v>297</v>
      </c>
      <c r="E3560" s="2"/>
      <c r="F3560" s="2" t="str">
        <f>"9788366675667"</f>
        <v>9788366675667</v>
      </c>
    </row>
    <row r="3561" spans="1:6" s="3" customFormat="1" ht="29.1" customHeight="1" x14ac:dyDescent="0.25">
      <c r="A3561" s="2" t="s">
        <v>7837</v>
      </c>
      <c r="B3561" s="2" t="s">
        <v>7838</v>
      </c>
      <c r="C3561" s="2" t="s">
        <v>29</v>
      </c>
      <c r="D3561" s="2" t="s">
        <v>183</v>
      </c>
      <c r="E3561" s="2" t="str">
        <f>"9789004712447"</f>
        <v>9789004712447</v>
      </c>
      <c r="F3561" s="2" t="str">
        <f>"9789004712454"</f>
        <v>9789004712454</v>
      </c>
    </row>
    <row r="3562" spans="1:6" s="3" customFormat="1" ht="29.1" customHeight="1" x14ac:dyDescent="0.25">
      <c r="A3562" s="2" t="s">
        <v>7839</v>
      </c>
      <c r="B3562" s="2" t="s">
        <v>7840</v>
      </c>
      <c r="C3562" s="2" t="s">
        <v>29</v>
      </c>
      <c r="D3562" s="2" t="s">
        <v>661</v>
      </c>
      <c r="E3562" s="2" t="str">
        <f>"9783770567140"</f>
        <v>9783770567140</v>
      </c>
      <c r="F3562" s="2" t="str">
        <f>"9783846767146"</f>
        <v>9783846767146</v>
      </c>
    </row>
    <row r="3563" spans="1:6" s="3" customFormat="1" ht="29.1" customHeight="1" x14ac:dyDescent="0.25">
      <c r="A3563" s="2" t="s">
        <v>7841</v>
      </c>
      <c r="B3563" s="2" t="s">
        <v>7843</v>
      </c>
      <c r="C3563" s="2" t="s">
        <v>5</v>
      </c>
      <c r="D3563" s="2" t="s">
        <v>7842</v>
      </c>
      <c r="E3563" s="2" t="str">
        <f>"9789819625192"</f>
        <v>9789819625192</v>
      </c>
      <c r="F3563" s="2" t="str">
        <f>"9789819625208"</f>
        <v>9789819625208</v>
      </c>
    </row>
    <row r="3564" spans="1:6" s="3" customFormat="1" ht="29.1" customHeight="1" x14ac:dyDescent="0.25">
      <c r="A3564" s="2" t="s">
        <v>7844</v>
      </c>
      <c r="B3564" s="2" t="s">
        <v>7845</v>
      </c>
      <c r="C3564" s="2" t="s">
        <v>5</v>
      </c>
      <c r="D3564" s="2" t="s">
        <v>477</v>
      </c>
      <c r="E3564" s="2" t="str">
        <f>"9783031864889"</f>
        <v>9783031864889</v>
      </c>
      <c r="F3564" s="2" t="str">
        <f>"9783031864896"</f>
        <v>9783031864896</v>
      </c>
    </row>
    <row r="3565" spans="1:6" s="3" customFormat="1" ht="29.1" customHeight="1" x14ac:dyDescent="0.25">
      <c r="A3565" s="2" t="s">
        <v>7846</v>
      </c>
      <c r="B3565" s="2" t="s">
        <v>7848</v>
      </c>
      <c r="C3565" s="2" t="s">
        <v>5</v>
      </c>
      <c r="D3565" s="2" t="s">
        <v>7847</v>
      </c>
      <c r="E3565" s="2" t="str">
        <f>"9783031663628"</f>
        <v>9783031663628</v>
      </c>
      <c r="F3565" s="2" t="str">
        <f>"9783031663635"</f>
        <v>9783031663635</v>
      </c>
    </row>
    <row r="3566" spans="1:6" s="3" customFormat="1" ht="29.1" customHeight="1" x14ac:dyDescent="0.25">
      <c r="A3566" s="2" t="s">
        <v>7849</v>
      </c>
      <c r="B3566" s="2" t="s">
        <v>7850</v>
      </c>
      <c r="C3566" s="2" t="s">
        <v>5</v>
      </c>
      <c r="D3566" s="2" t="s">
        <v>428</v>
      </c>
      <c r="E3566" s="2" t="str">
        <f>"9783031821455"</f>
        <v>9783031821455</v>
      </c>
      <c r="F3566" s="2" t="str">
        <f>"9783031821462"</f>
        <v>9783031821462</v>
      </c>
    </row>
    <row r="3567" spans="1:6" s="3" customFormat="1" ht="29.1" customHeight="1" x14ac:dyDescent="0.25">
      <c r="A3567" s="2" t="s">
        <v>7851</v>
      </c>
      <c r="B3567" s="2" t="s">
        <v>7852</v>
      </c>
      <c r="C3567" s="2" t="s">
        <v>36</v>
      </c>
      <c r="D3567" s="2" t="s">
        <v>72</v>
      </c>
      <c r="E3567" s="2"/>
      <c r="F3567" s="2" t="str">
        <f>"9781447372882"</f>
        <v>9781447372882</v>
      </c>
    </row>
    <row r="3568" spans="1:6" s="3" customFormat="1" ht="29.1" customHeight="1" x14ac:dyDescent="0.25">
      <c r="A3568" s="2" t="s">
        <v>7853</v>
      </c>
      <c r="B3568" s="2" t="s">
        <v>7854</v>
      </c>
      <c r="C3568" s="2" t="s">
        <v>5</v>
      </c>
      <c r="D3568" s="2" t="s">
        <v>468</v>
      </c>
      <c r="E3568" s="2" t="str">
        <f>"9783031846847"</f>
        <v>9783031846847</v>
      </c>
      <c r="F3568" s="2" t="str">
        <f>"9783031846854"</f>
        <v>9783031846854</v>
      </c>
    </row>
    <row r="3569" spans="1:6" s="3" customFormat="1" ht="29.1" customHeight="1" x14ac:dyDescent="0.25">
      <c r="A3569" s="2" t="s">
        <v>7855</v>
      </c>
      <c r="B3569" s="2" t="s">
        <v>7856</v>
      </c>
      <c r="C3569" s="2" t="s">
        <v>5</v>
      </c>
      <c r="D3569" s="2" t="s">
        <v>4019</v>
      </c>
      <c r="E3569" s="2" t="str">
        <f>"9783031825231"</f>
        <v>9783031825231</v>
      </c>
      <c r="F3569" s="2" t="str">
        <f>"9783031825248"</f>
        <v>9783031825248</v>
      </c>
    </row>
    <row r="3570" spans="1:6" s="3" customFormat="1" ht="29.1" customHeight="1" x14ac:dyDescent="0.25">
      <c r="A3570" s="2" t="s">
        <v>7857</v>
      </c>
      <c r="B3570" s="2" t="s">
        <v>7859</v>
      </c>
      <c r="C3570" s="2" t="s">
        <v>746</v>
      </c>
      <c r="D3570" s="2" t="s">
        <v>7858</v>
      </c>
      <c r="E3570" s="2" t="str">
        <f>"9781803278735"</f>
        <v>9781803278735</v>
      </c>
      <c r="F3570" s="2" t="str">
        <f>"9781803278742"</f>
        <v>9781803278742</v>
      </c>
    </row>
    <row r="3571" spans="1:6" s="3" customFormat="1" ht="29.1" customHeight="1" x14ac:dyDescent="0.25">
      <c r="A3571" s="2" t="s">
        <v>7860</v>
      </c>
      <c r="B3571" s="2" t="s">
        <v>7861</v>
      </c>
      <c r="C3571" s="2" t="s">
        <v>746</v>
      </c>
      <c r="D3571" s="2" t="s">
        <v>5104</v>
      </c>
      <c r="E3571" s="2" t="str">
        <f>"9781803277288"</f>
        <v>9781803277288</v>
      </c>
      <c r="F3571" s="2" t="str">
        <f>"9781803277295"</f>
        <v>9781803277295</v>
      </c>
    </row>
    <row r="3572" spans="1:6" s="3" customFormat="1" ht="29.1" customHeight="1" x14ac:dyDescent="0.25">
      <c r="A3572" s="2" t="s">
        <v>7862</v>
      </c>
      <c r="B3572" s="2" t="s">
        <v>7863</v>
      </c>
      <c r="C3572" s="2" t="s">
        <v>746</v>
      </c>
      <c r="D3572" s="2" t="s">
        <v>965</v>
      </c>
      <c r="E3572" s="2" t="str">
        <f>"9781803279718"</f>
        <v>9781803279718</v>
      </c>
      <c r="F3572" s="2" t="str">
        <f>"9781803279725"</f>
        <v>9781803279725</v>
      </c>
    </row>
    <row r="3573" spans="1:6" s="3" customFormat="1" ht="29.1" customHeight="1" x14ac:dyDescent="0.25">
      <c r="A3573" s="2" t="s">
        <v>7864</v>
      </c>
      <c r="B3573" s="2" t="s">
        <v>7866</v>
      </c>
      <c r="C3573" s="2" t="s">
        <v>732</v>
      </c>
      <c r="D3573" s="2" t="s">
        <v>7865</v>
      </c>
      <c r="E3573" s="2" t="str">
        <f>"9781991269133"</f>
        <v>9781991269133</v>
      </c>
      <c r="F3573" s="2" t="str">
        <f>"9781991270139"</f>
        <v>9781991270139</v>
      </c>
    </row>
    <row r="3574" spans="1:6" s="3" customFormat="1" ht="29.1" customHeight="1" x14ac:dyDescent="0.25">
      <c r="A3574" s="2" t="s">
        <v>7867</v>
      </c>
      <c r="B3574" s="2" t="s">
        <v>7868</v>
      </c>
      <c r="C3574" s="2" t="s">
        <v>732</v>
      </c>
      <c r="D3574" s="2" t="s">
        <v>2776</v>
      </c>
      <c r="E3574" s="2" t="str">
        <f>"9781779953261"</f>
        <v>9781779953261</v>
      </c>
      <c r="F3574" s="2" t="str">
        <f>"9781779953278"</f>
        <v>9781779953278</v>
      </c>
    </row>
    <row r="3575" spans="1:6" s="3" customFormat="1" ht="29.1" customHeight="1" x14ac:dyDescent="0.25">
      <c r="A3575" s="2" t="s">
        <v>7869</v>
      </c>
      <c r="B3575" s="2" t="s">
        <v>7870</v>
      </c>
      <c r="C3575" s="2" t="s">
        <v>732</v>
      </c>
      <c r="D3575" s="2" t="s">
        <v>3445</v>
      </c>
      <c r="E3575" s="2" t="str">
        <f>"9781990982095"</f>
        <v>9781990982095</v>
      </c>
      <c r="F3575" s="2" t="str">
        <f>"9781990982101"</f>
        <v>9781990982101</v>
      </c>
    </row>
    <row r="3576" spans="1:6" s="3" customFormat="1" ht="29.1" customHeight="1" x14ac:dyDescent="0.25">
      <c r="A3576" s="2" t="s">
        <v>7871</v>
      </c>
      <c r="B3576" s="2" t="s">
        <v>7872</v>
      </c>
      <c r="C3576" s="2" t="s">
        <v>732</v>
      </c>
      <c r="D3576" s="2" t="s">
        <v>981</v>
      </c>
      <c r="E3576" s="2" t="str">
        <f>"9781779953445"</f>
        <v>9781779953445</v>
      </c>
      <c r="F3576" s="2" t="str">
        <f>"9781779953452"</f>
        <v>9781779953452</v>
      </c>
    </row>
    <row r="3577" spans="1:6" s="3" customFormat="1" ht="29.1" customHeight="1" x14ac:dyDescent="0.25">
      <c r="A3577" s="2" t="s">
        <v>7873</v>
      </c>
      <c r="B3577" s="2" t="s">
        <v>7874</v>
      </c>
      <c r="C3577" s="2" t="s">
        <v>732</v>
      </c>
      <c r="D3577" s="2" t="s">
        <v>3281</v>
      </c>
      <c r="E3577" s="2" t="str">
        <f>"9781779953292"</f>
        <v>9781779953292</v>
      </c>
      <c r="F3577" s="2" t="str">
        <f>"9781779953308"</f>
        <v>9781779953308</v>
      </c>
    </row>
    <row r="3578" spans="1:6" s="3" customFormat="1" ht="29.1" customHeight="1" x14ac:dyDescent="0.25">
      <c r="A3578" s="2" t="s">
        <v>7875</v>
      </c>
      <c r="B3578" s="2" t="s">
        <v>7876</v>
      </c>
      <c r="C3578" s="2" t="s">
        <v>732</v>
      </c>
      <c r="D3578" s="2" t="s">
        <v>4205</v>
      </c>
      <c r="E3578" s="2" t="str">
        <f>"9781990982125"</f>
        <v>9781990982125</v>
      </c>
      <c r="F3578" s="2" t="str">
        <f>"9781990982132"</f>
        <v>9781990982132</v>
      </c>
    </row>
    <row r="3579" spans="1:6" s="3" customFormat="1" ht="29.1" customHeight="1" x14ac:dyDescent="0.25">
      <c r="A3579" s="2" t="s">
        <v>7877</v>
      </c>
      <c r="B3579" s="2" t="s">
        <v>7878</v>
      </c>
      <c r="C3579" s="2" t="s">
        <v>732</v>
      </c>
      <c r="D3579" s="2" t="s">
        <v>3445</v>
      </c>
      <c r="E3579" s="2" t="str">
        <f>"9781991269164"</f>
        <v>9781991269164</v>
      </c>
      <c r="F3579" s="2" t="str">
        <f>"9781991270160"</f>
        <v>9781991270160</v>
      </c>
    </row>
    <row r="3580" spans="1:6" s="3" customFormat="1" ht="29.1" customHeight="1" x14ac:dyDescent="0.25">
      <c r="A3580" s="2" t="s">
        <v>7879</v>
      </c>
      <c r="B3580" s="2" t="s">
        <v>7880</v>
      </c>
      <c r="C3580" s="2" t="s">
        <v>732</v>
      </c>
      <c r="D3580" s="2" t="s">
        <v>3958</v>
      </c>
      <c r="E3580" s="2" t="str">
        <f>"9781991269140"</f>
        <v>9781991269140</v>
      </c>
      <c r="F3580" s="2" t="str">
        <f>"9781991270146"</f>
        <v>9781991270146</v>
      </c>
    </row>
    <row r="3581" spans="1:6" s="3" customFormat="1" ht="29.1" customHeight="1" x14ac:dyDescent="0.25">
      <c r="A3581" s="2" t="s">
        <v>7881</v>
      </c>
      <c r="B3581" s="2" t="s">
        <v>7882</v>
      </c>
      <c r="C3581" s="2" t="s">
        <v>732</v>
      </c>
      <c r="D3581" s="2" t="s">
        <v>1861</v>
      </c>
      <c r="E3581" s="2" t="str">
        <f>"9781991269157"</f>
        <v>9781991269157</v>
      </c>
      <c r="F3581" s="2" t="str">
        <f>"9781991270153"</f>
        <v>9781991270153</v>
      </c>
    </row>
    <row r="3582" spans="1:6" s="3" customFormat="1" ht="29.1" customHeight="1" x14ac:dyDescent="0.25">
      <c r="A3582" s="2" t="s">
        <v>7883</v>
      </c>
      <c r="B3582" s="2" t="s">
        <v>7884</v>
      </c>
      <c r="C3582" s="2" t="s">
        <v>732</v>
      </c>
      <c r="D3582" s="2" t="s">
        <v>3958</v>
      </c>
      <c r="E3582" s="2" t="str">
        <f>"9781779953353"</f>
        <v>9781779953353</v>
      </c>
      <c r="F3582" s="2" t="str">
        <f>"9781779953360"</f>
        <v>9781779953360</v>
      </c>
    </row>
    <row r="3583" spans="1:6" s="3" customFormat="1" ht="29.1" customHeight="1" x14ac:dyDescent="0.25">
      <c r="A3583" s="2" t="s">
        <v>7885</v>
      </c>
      <c r="B3583" s="2" t="s">
        <v>7886</v>
      </c>
      <c r="C3583" s="2" t="s">
        <v>595</v>
      </c>
      <c r="D3583" s="2" t="s">
        <v>2404</v>
      </c>
      <c r="E3583" s="2" t="str">
        <f>"9782875748782"</f>
        <v>9782875748782</v>
      </c>
      <c r="F3583" s="2" t="str">
        <f>"9782875748799"</f>
        <v>9782875748799</v>
      </c>
    </row>
    <row r="3584" spans="1:6" s="3" customFormat="1" ht="29.1" customHeight="1" x14ac:dyDescent="0.25">
      <c r="A3584" s="2" t="s">
        <v>7887</v>
      </c>
      <c r="B3584" s="2" t="s">
        <v>7888</v>
      </c>
      <c r="C3584" s="2" t="s">
        <v>595</v>
      </c>
      <c r="D3584" s="2" t="s">
        <v>183</v>
      </c>
      <c r="E3584" s="2" t="str">
        <f>"9783034355094"</f>
        <v>9783034355094</v>
      </c>
      <c r="F3584" s="2" t="str">
        <f>"9783034355100"</f>
        <v>9783034355100</v>
      </c>
    </row>
    <row r="3585" spans="1:6" s="3" customFormat="1" ht="29.1" customHeight="1" x14ac:dyDescent="0.25">
      <c r="A3585" s="2" t="s">
        <v>7889</v>
      </c>
      <c r="B3585" s="2" t="s">
        <v>7890</v>
      </c>
      <c r="C3585" s="2" t="s">
        <v>595</v>
      </c>
      <c r="D3585" s="2" t="s">
        <v>4185</v>
      </c>
      <c r="E3585" s="2"/>
      <c r="F3585" s="2" t="str">
        <f>"9783034352710"</f>
        <v>9783034352710</v>
      </c>
    </row>
    <row r="3586" spans="1:6" s="3" customFormat="1" ht="29.1" customHeight="1" x14ac:dyDescent="0.25">
      <c r="A3586" s="2" t="s">
        <v>7891</v>
      </c>
      <c r="B3586" s="2" t="s">
        <v>7892</v>
      </c>
      <c r="C3586" s="2" t="s">
        <v>595</v>
      </c>
      <c r="D3586" s="2" t="s">
        <v>2462</v>
      </c>
      <c r="E3586" s="2" t="str">
        <f>"9783034344265"</f>
        <v>9783034344265</v>
      </c>
      <c r="F3586" s="2" t="str">
        <f>"9783034350600"</f>
        <v>9783034350600</v>
      </c>
    </row>
    <row r="3587" spans="1:6" s="3" customFormat="1" ht="29.1" customHeight="1" x14ac:dyDescent="0.25">
      <c r="A3587" s="2" t="s">
        <v>7893</v>
      </c>
      <c r="B3587" s="2" t="s">
        <v>7894</v>
      </c>
      <c r="C3587" s="2" t="s">
        <v>595</v>
      </c>
      <c r="D3587" s="2" t="s">
        <v>2713</v>
      </c>
      <c r="E3587" s="2" t="str">
        <f>"9783034349758"</f>
        <v>9783034349758</v>
      </c>
      <c r="F3587" s="2" t="str">
        <f>"9783034349765"</f>
        <v>9783034349765</v>
      </c>
    </row>
    <row r="3588" spans="1:6" s="3" customFormat="1" ht="29.1" customHeight="1" x14ac:dyDescent="0.25">
      <c r="A3588" s="2" t="s">
        <v>7895</v>
      </c>
      <c r="B3588" s="2" t="s">
        <v>7896</v>
      </c>
      <c r="C3588" s="2" t="s">
        <v>595</v>
      </c>
      <c r="D3588" s="2" t="s">
        <v>66</v>
      </c>
      <c r="E3588" s="2" t="str">
        <f>"9783034349512"</f>
        <v>9783034349512</v>
      </c>
      <c r="F3588" s="2" t="str">
        <f>"9783034349598"</f>
        <v>9783034349598</v>
      </c>
    </row>
    <row r="3589" spans="1:6" s="3" customFormat="1" ht="29.1" customHeight="1" x14ac:dyDescent="0.25">
      <c r="A3589" s="2" t="s">
        <v>7897</v>
      </c>
      <c r="B3589" s="2" t="s">
        <v>7898</v>
      </c>
      <c r="C3589" s="2" t="s">
        <v>595</v>
      </c>
      <c r="D3589" s="2" t="s">
        <v>1025</v>
      </c>
      <c r="E3589" s="2" t="str">
        <f>"9783034347525"</f>
        <v>9783034347525</v>
      </c>
      <c r="F3589" s="2" t="str">
        <f>"9783034349239"</f>
        <v>9783034349239</v>
      </c>
    </row>
    <row r="3590" spans="1:6" s="3" customFormat="1" ht="29.1" customHeight="1" x14ac:dyDescent="0.25">
      <c r="A3590" s="2" t="s">
        <v>7899</v>
      </c>
      <c r="B3590" s="2" t="s">
        <v>7900</v>
      </c>
      <c r="C3590" s="2" t="s">
        <v>595</v>
      </c>
      <c r="D3590" s="2" t="s">
        <v>903</v>
      </c>
      <c r="E3590" s="2" t="str">
        <f>"9783034347136"</f>
        <v>9783034347136</v>
      </c>
      <c r="F3590" s="2" t="str">
        <f>"9783034348102"</f>
        <v>9783034348102</v>
      </c>
    </row>
    <row r="3591" spans="1:6" s="3" customFormat="1" ht="29.1" customHeight="1" x14ac:dyDescent="0.25">
      <c r="A3591" s="2" t="s">
        <v>7901</v>
      </c>
      <c r="B3591" s="2" t="s">
        <v>7902</v>
      </c>
      <c r="C3591" s="2" t="s">
        <v>595</v>
      </c>
      <c r="D3591" s="2" t="s">
        <v>459</v>
      </c>
      <c r="E3591" s="2" t="str">
        <f>"9781803745145"</f>
        <v>9781803745145</v>
      </c>
      <c r="F3591" s="2" t="str">
        <f>"9781803745152"</f>
        <v>9781803745152</v>
      </c>
    </row>
    <row r="3592" spans="1:6" s="3" customFormat="1" ht="29.1" customHeight="1" x14ac:dyDescent="0.25">
      <c r="A3592" s="2" t="s">
        <v>7903</v>
      </c>
      <c r="B3592" s="2" t="s">
        <v>7904</v>
      </c>
      <c r="C3592" s="2" t="s">
        <v>595</v>
      </c>
      <c r="D3592" s="2" t="s">
        <v>465</v>
      </c>
      <c r="E3592" s="2" t="str">
        <f>"9781803744322"</f>
        <v>9781803744322</v>
      </c>
      <c r="F3592" s="2" t="str">
        <f>"9781803744339"</f>
        <v>9781803744339</v>
      </c>
    </row>
    <row r="3593" spans="1:6" s="3" customFormat="1" ht="29.1" customHeight="1" x14ac:dyDescent="0.25">
      <c r="A3593" s="2" t="s">
        <v>7905</v>
      </c>
      <c r="B3593" s="2" t="s">
        <v>7906</v>
      </c>
      <c r="C3593" s="2" t="s">
        <v>595</v>
      </c>
      <c r="D3593" s="2" t="s">
        <v>63</v>
      </c>
      <c r="E3593" s="2" t="str">
        <f>"9783631923504"</f>
        <v>9783631923504</v>
      </c>
      <c r="F3593" s="2" t="str">
        <f>"9783631928134"</f>
        <v>9783631928134</v>
      </c>
    </row>
    <row r="3594" spans="1:6" s="3" customFormat="1" ht="29.1" customHeight="1" x14ac:dyDescent="0.25">
      <c r="A3594" s="2" t="s">
        <v>7907</v>
      </c>
      <c r="B3594" s="2" t="s">
        <v>7908</v>
      </c>
      <c r="C3594" s="2" t="s">
        <v>595</v>
      </c>
      <c r="D3594" s="2" t="s">
        <v>2045</v>
      </c>
      <c r="E3594" s="2" t="str">
        <f>"9783631922613"</f>
        <v>9783631922613</v>
      </c>
      <c r="F3594" s="2" t="str">
        <f>"9783631922620"</f>
        <v>9783631922620</v>
      </c>
    </row>
    <row r="3595" spans="1:6" s="3" customFormat="1" ht="29.1" customHeight="1" x14ac:dyDescent="0.25">
      <c r="A3595" s="2" t="s">
        <v>7909</v>
      </c>
      <c r="B3595" s="2" t="s">
        <v>7910</v>
      </c>
      <c r="C3595" s="2" t="s">
        <v>595</v>
      </c>
      <c r="D3595" s="2" t="s">
        <v>1256</v>
      </c>
      <c r="E3595" s="2" t="str">
        <f>"9783631861592"</f>
        <v>9783631861592</v>
      </c>
      <c r="F3595" s="2" t="str">
        <f>"9783631920657"</f>
        <v>9783631920657</v>
      </c>
    </row>
    <row r="3596" spans="1:6" s="3" customFormat="1" ht="29.1" customHeight="1" x14ac:dyDescent="0.25">
      <c r="A3596" s="2" t="s">
        <v>7911</v>
      </c>
      <c r="B3596" s="2" t="s">
        <v>7912</v>
      </c>
      <c r="C3596" s="2" t="s">
        <v>595</v>
      </c>
      <c r="D3596" s="2" t="s">
        <v>118</v>
      </c>
      <c r="E3596" s="2" t="str">
        <f>"9783631912300"</f>
        <v>9783631912300</v>
      </c>
      <c r="F3596" s="2" t="str">
        <f>"9783631917411"</f>
        <v>9783631917411</v>
      </c>
    </row>
    <row r="3597" spans="1:6" s="3" customFormat="1" ht="29.1" customHeight="1" x14ac:dyDescent="0.25">
      <c r="A3597" s="2" t="s">
        <v>7913</v>
      </c>
      <c r="B3597" s="2" t="s">
        <v>7914</v>
      </c>
      <c r="C3597" s="2" t="s">
        <v>595</v>
      </c>
      <c r="D3597" s="2" t="s">
        <v>402</v>
      </c>
      <c r="E3597" s="2" t="str">
        <f>"9783631896242"</f>
        <v>9783631896242</v>
      </c>
      <c r="F3597" s="2" t="str">
        <f>"9783631913765"</f>
        <v>9783631913765</v>
      </c>
    </row>
    <row r="3598" spans="1:6" s="3" customFormat="1" ht="29.1" customHeight="1" x14ac:dyDescent="0.25">
      <c r="A3598" s="2" t="s">
        <v>7915</v>
      </c>
      <c r="B3598" s="2" t="s">
        <v>7916</v>
      </c>
      <c r="C3598" s="2" t="s">
        <v>595</v>
      </c>
      <c r="D3598" s="2" t="s">
        <v>2713</v>
      </c>
      <c r="E3598" s="2" t="str">
        <f>"9783631912027"</f>
        <v>9783631912027</v>
      </c>
      <c r="F3598" s="2" t="str">
        <f>"9783631912034"</f>
        <v>9783631912034</v>
      </c>
    </row>
    <row r="3599" spans="1:6" s="3" customFormat="1" ht="29.1" customHeight="1" x14ac:dyDescent="0.25">
      <c r="A3599" s="2" t="s">
        <v>7917</v>
      </c>
      <c r="B3599" s="2" t="s">
        <v>7918</v>
      </c>
      <c r="C3599" s="2" t="s">
        <v>595</v>
      </c>
      <c r="D3599" s="2" t="s">
        <v>408</v>
      </c>
      <c r="E3599" s="2"/>
      <c r="F3599" s="2" t="str">
        <f>"9783631909836"</f>
        <v>9783631909836</v>
      </c>
    </row>
    <row r="3600" spans="1:6" s="3" customFormat="1" ht="29.1" customHeight="1" x14ac:dyDescent="0.25">
      <c r="A3600" s="2" t="s">
        <v>7919</v>
      </c>
      <c r="B3600" s="2" t="s">
        <v>7920</v>
      </c>
      <c r="C3600" s="2" t="s">
        <v>595</v>
      </c>
      <c r="D3600" s="2" t="s">
        <v>465</v>
      </c>
      <c r="E3600" s="2" t="str">
        <f>"9783631908006"</f>
        <v>9783631908006</v>
      </c>
      <c r="F3600" s="2" t="str">
        <f>"9783631908068"</f>
        <v>9783631908068</v>
      </c>
    </row>
    <row r="3601" spans="1:6" s="3" customFormat="1" ht="29.1" customHeight="1" x14ac:dyDescent="0.25">
      <c r="A3601" s="2" t="s">
        <v>7921</v>
      </c>
      <c r="B3601" s="2" t="s">
        <v>7922</v>
      </c>
      <c r="C3601" s="2" t="s">
        <v>595</v>
      </c>
      <c r="D3601" s="2" t="s">
        <v>2307</v>
      </c>
      <c r="E3601" s="2" t="str">
        <f>"9783631901861"</f>
        <v>9783631901861</v>
      </c>
      <c r="F3601" s="2" t="str">
        <f>"9783631901878"</f>
        <v>9783631901878</v>
      </c>
    </row>
    <row r="3602" spans="1:6" s="3" customFormat="1" ht="29.1" customHeight="1" x14ac:dyDescent="0.25">
      <c r="A3602" s="2" t="s">
        <v>7923</v>
      </c>
      <c r="B3602" s="2" t="s">
        <v>7924</v>
      </c>
      <c r="C3602" s="2" t="s">
        <v>595</v>
      </c>
      <c r="D3602" s="2" t="s">
        <v>2307</v>
      </c>
      <c r="E3602" s="2" t="str">
        <f>"9783631808399"</f>
        <v>9783631808399</v>
      </c>
      <c r="F3602" s="2" t="str">
        <f>"9783631901472"</f>
        <v>9783631901472</v>
      </c>
    </row>
    <row r="3603" spans="1:6" s="3" customFormat="1" ht="29.1" customHeight="1" x14ac:dyDescent="0.25">
      <c r="A3603" s="2" t="s">
        <v>7925</v>
      </c>
      <c r="B3603" s="2" t="s">
        <v>7926</v>
      </c>
      <c r="C3603" s="2" t="s">
        <v>595</v>
      </c>
      <c r="D3603" s="2" t="s">
        <v>221</v>
      </c>
      <c r="E3603" s="2" t="str">
        <f>"9783631874486"</f>
        <v>9783631874486</v>
      </c>
      <c r="F3603" s="2" t="str">
        <f>"9783631883457"</f>
        <v>9783631883457</v>
      </c>
    </row>
    <row r="3604" spans="1:6" s="3" customFormat="1" ht="29.1" customHeight="1" x14ac:dyDescent="0.25">
      <c r="A3604" s="2" t="s">
        <v>7927</v>
      </c>
      <c r="B3604" s="2" t="s">
        <v>7928</v>
      </c>
      <c r="C3604" s="2" t="s">
        <v>595</v>
      </c>
      <c r="D3604" s="2" t="s">
        <v>459</v>
      </c>
      <c r="E3604" s="2" t="str">
        <f>"9783631765715"</f>
        <v>9783631765715</v>
      </c>
      <c r="F3604" s="2" t="str">
        <f>"9783631773215"</f>
        <v>9783631773215</v>
      </c>
    </row>
    <row r="3605" spans="1:6" s="3" customFormat="1" ht="29.1" customHeight="1" x14ac:dyDescent="0.25">
      <c r="A3605" s="2" t="s">
        <v>7929</v>
      </c>
      <c r="B3605" s="2" t="s">
        <v>7931</v>
      </c>
      <c r="C3605" s="2" t="s">
        <v>239</v>
      </c>
      <c r="D3605" s="2" t="s">
        <v>7930</v>
      </c>
      <c r="E3605" s="2" t="str">
        <f>"9780520400566"</f>
        <v>9780520400566</v>
      </c>
      <c r="F3605" s="2" t="str">
        <f>"9780520400573"</f>
        <v>9780520400573</v>
      </c>
    </row>
    <row r="3606" spans="1:6" s="3" customFormat="1" ht="29.1" customHeight="1" x14ac:dyDescent="0.25">
      <c r="A3606" s="2" t="s">
        <v>7932</v>
      </c>
      <c r="B3606" s="2" t="s">
        <v>7933</v>
      </c>
      <c r="C3606" s="2" t="s">
        <v>5</v>
      </c>
      <c r="D3606" s="2" t="s">
        <v>2985</v>
      </c>
      <c r="E3606" s="2" t="str">
        <f>"9783031740091"</f>
        <v>9783031740091</v>
      </c>
      <c r="F3606" s="2" t="str">
        <f>"9783031740107"</f>
        <v>9783031740107</v>
      </c>
    </row>
    <row r="3607" spans="1:6" s="3" customFormat="1" ht="29.1" customHeight="1" x14ac:dyDescent="0.25">
      <c r="A3607" s="2" t="s">
        <v>7934</v>
      </c>
      <c r="B3607" s="2" t="s">
        <v>7935</v>
      </c>
      <c r="C3607" s="2" t="s">
        <v>5</v>
      </c>
      <c r="D3607" s="2" t="s">
        <v>6548</v>
      </c>
      <c r="E3607" s="2" t="str">
        <f>"9789819603923"</f>
        <v>9789819603923</v>
      </c>
      <c r="F3607" s="2" t="str">
        <f>"9789819603930"</f>
        <v>9789819603930</v>
      </c>
    </row>
    <row r="3608" spans="1:6" s="3" customFormat="1" ht="29.1" customHeight="1" x14ac:dyDescent="0.25">
      <c r="A3608" s="2" t="s">
        <v>7936</v>
      </c>
      <c r="B3608" s="2" t="s">
        <v>7937</v>
      </c>
      <c r="C3608" s="2" t="s">
        <v>5</v>
      </c>
      <c r="D3608" s="2" t="s">
        <v>270</v>
      </c>
      <c r="E3608" s="2" t="str">
        <f>"9783031866197"</f>
        <v>9783031866197</v>
      </c>
      <c r="F3608" s="2" t="str">
        <f>"9783031866203"</f>
        <v>9783031866203</v>
      </c>
    </row>
    <row r="3609" spans="1:6" s="3" customFormat="1" ht="29.1" customHeight="1" x14ac:dyDescent="0.25">
      <c r="A3609" s="2" t="s">
        <v>7938</v>
      </c>
      <c r="B3609" s="2" t="s">
        <v>7939</v>
      </c>
      <c r="C3609" s="2" t="s">
        <v>2461</v>
      </c>
      <c r="D3609" s="2" t="s">
        <v>984</v>
      </c>
      <c r="E3609" s="2"/>
      <c r="F3609" s="2" t="str">
        <f>"9786289630589"</f>
        <v>9786289630589</v>
      </c>
    </row>
    <row r="3610" spans="1:6" s="3" customFormat="1" ht="29.1" customHeight="1" x14ac:dyDescent="0.25">
      <c r="A3610" s="2" t="s">
        <v>7940</v>
      </c>
      <c r="B3610" s="2" t="s">
        <v>7941</v>
      </c>
      <c r="C3610" s="2" t="s">
        <v>595</v>
      </c>
      <c r="D3610" s="2" t="s">
        <v>413</v>
      </c>
      <c r="E3610" s="2" t="str">
        <f>"9781636671888"</f>
        <v>9781636671888</v>
      </c>
      <c r="F3610" s="2" t="str">
        <f>"9781636671864"</f>
        <v>9781636671864</v>
      </c>
    </row>
    <row r="3611" spans="1:6" s="3" customFormat="1" ht="29.1" customHeight="1" x14ac:dyDescent="0.25">
      <c r="A3611" s="2" t="s">
        <v>7942</v>
      </c>
      <c r="B3611" s="2" t="s">
        <v>7944</v>
      </c>
      <c r="C3611" s="2" t="s">
        <v>595</v>
      </c>
      <c r="D3611" s="2" t="s">
        <v>7943</v>
      </c>
      <c r="E3611" s="2" t="str">
        <f>"9781433199936"</f>
        <v>9781433199936</v>
      </c>
      <c r="F3611" s="2" t="str">
        <f>"9781433199943"</f>
        <v>9781433199943</v>
      </c>
    </row>
    <row r="3612" spans="1:6" s="3" customFormat="1" ht="29.1" customHeight="1" x14ac:dyDescent="0.25">
      <c r="A3612" s="2" t="s">
        <v>7945</v>
      </c>
      <c r="B3612" s="2" t="s">
        <v>7946</v>
      </c>
      <c r="C3612" s="2" t="s">
        <v>595</v>
      </c>
      <c r="D3612" s="2" t="s">
        <v>413</v>
      </c>
      <c r="E3612" s="2" t="str">
        <f>"9781433197581"</f>
        <v>9781433197581</v>
      </c>
      <c r="F3612" s="2" t="str">
        <f>"9781433198755"</f>
        <v>9781433198755</v>
      </c>
    </row>
    <row r="3613" spans="1:6" s="3" customFormat="1" ht="29.1" customHeight="1" x14ac:dyDescent="0.25">
      <c r="A3613" s="2" t="s">
        <v>7947</v>
      </c>
      <c r="B3613" s="2" t="s">
        <v>7948</v>
      </c>
      <c r="C3613" s="2" t="s">
        <v>5</v>
      </c>
      <c r="D3613" s="2" t="s">
        <v>1498</v>
      </c>
      <c r="E3613" s="2" t="str">
        <f>"9789819776351"</f>
        <v>9789819776351</v>
      </c>
      <c r="F3613" s="2" t="str">
        <f>"9789819776368"</f>
        <v>9789819776368</v>
      </c>
    </row>
    <row r="3614" spans="1:6" s="3" customFormat="1" ht="29.1" customHeight="1" x14ac:dyDescent="0.25">
      <c r="A3614" s="2" t="s">
        <v>7949</v>
      </c>
      <c r="B3614" s="2" t="s">
        <v>7950</v>
      </c>
      <c r="C3614" s="2" t="s">
        <v>5</v>
      </c>
      <c r="D3614" s="2" t="s">
        <v>2326</v>
      </c>
      <c r="E3614" s="2" t="str">
        <f>"9783031817199"</f>
        <v>9783031817199</v>
      </c>
      <c r="F3614" s="2" t="str">
        <f>"9783031817205"</f>
        <v>9783031817205</v>
      </c>
    </row>
    <row r="3615" spans="1:6" s="3" customFormat="1" ht="29.1" customHeight="1" x14ac:dyDescent="0.25">
      <c r="A3615" s="2" t="s">
        <v>7951</v>
      </c>
      <c r="B3615" s="2" t="s">
        <v>7952</v>
      </c>
      <c r="C3615" s="2" t="s">
        <v>5</v>
      </c>
      <c r="D3615" s="2" t="s">
        <v>5716</v>
      </c>
      <c r="E3615" s="2" t="str">
        <f>"9783031764868"</f>
        <v>9783031764868</v>
      </c>
      <c r="F3615" s="2" t="str">
        <f>"9783031764875"</f>
        <v>9783031764875</v>
      </c>
    </row>
    <row r="3616" spans="1:6" s="3" customFormat="1" ht="29.1" customHeight="1" x14ac:dyDescent="0.25">
      <c r="A3616" s="2" t="s">
        <v>7953</v>
      </c>
      <c r="B3616" s="2" t="s">
        <v>7954</v>
      </c>
      <c r="C3616" s="2" t="s">
        <v>29</v>
      </c>
      <c r="D3616" s="2" t="s">
        <v>2019</v>
      </c>
      <c r="E3616" s="2" t="str">
        <f>"9789004715141"</f>
        <v>9789004715141</v>
      </c>
      <c r="F3616" s="2" t="str">
        <f>"9789004715158"</f>
        <v>9789004715158</v>
      </c>
    </row>
    <row r="3617" spans="1:6" s="3" customFormat="1" ht="29.1" customHeight="1" x14ac:dyDescent="0.25">
      <c r="A3617" s="2" t="s">
        <v>7955</v>
      </c>
      <c r="B3617" s="2" t="s">
        <v>7956</v>
      </c>
      <c r="C3617" s="2" t="s">
        <v>29</v>
      </c>
      <c r="D3617" s="2" t="s">
        <v>6625</v>
      </c>
      <c r="E3617" s="2" t="str">
        <f>"9789004724617"</f>
        <v>9789004724617</v>
      </c>
      <c r="F3617" s="2" t="str">
        <f>"9789004724624"</f>
        <v>9789004724624</v>
      </c>
    </row>
    <row r="3618" spans="1:6" s="3" customFormat="1" ht="29.1" customHeight="1" x14ac:dyDescent="0.25">
      <c r="A3618" s="2" t="s">
        <v>7957</v>
      </c>
      <c r="B3618" s="2" t="s">
        <v>7958</v>
      </c>
      <c r="C3618" s="2" t="s">
        <v>327</v>
      </c>
      <c r="D3618" s="2" t="s">
        <v>81</v>
      </c>
      <c r="E3618" s="2" t="str">
        <f>"9788383315690"</f>
        <v>9788383315690</v>
      </c>
      <c r="F3618" s="2" t="str">
        <f>"9788383315706"</f>
        <v>9788383315706</v>
      </c>
    </row>
    <row r="3619" spans="1:6" s="3" customFormat="1" ht="29.1" customHeight="1" x14ac:dyDescent="0.25">
      <c r="A3619" s="2" t="s">
        <v>7959</v>
      </c>
      <c r="B3619" s="2" t="s">
        <v>7960</v>
      </c>
      <c r="C3619" s="2" t="s">
        <v>327</v>
      </c>
      <c r="D3619" s="2" t="s">
        <v>4517</v>
      </c>
      <c r="E3619" s="2" t="str">
        <f>"9788383315904"</f>
        <v>9788383315904</v>
      </c>
      <c r="F3619" s="2" t="str">
        <f>"9788383315911"</f>
        <v>9788383315911</v>
      </c>
    </row>
    <row r="3620" spans="1:6" s="3" customFormat="1" ht="29.1" customHeight="1" x14ac:dyDescent="0.25">
      <c r="A3620" s="2" t="s">
        <v>7961</v>
      </c>
      <c r="B3620" s="2" t="s">
        <v>7962</v>
      </c>
      <c r="C3620" s="2" t="s">
        <v>327</v>
      </c>
      <c r="D3620" s="2" t="s">
        <v>2578</v>
      </c>
      <c r="E3620" s="2" t="str">
        <f>"9788383315102"</f>
        <v>9788383315102</v>
      </c>
      <c r="F3620" s="2" t="str">
        <f>"9788383315119"</f>
        <v>9788383315119</v>
      </c>
    </row>
    <row r="3621" spans="1:6" s="3" customFormat="1" ht="29.1" customHeight="1" x14ac:dyDescent="0.25">
      <c r="A3621" s="2" t="s">
        <v>7963</v>
      </c>
      <c r="B3621" s="2" t="s">
        <v>7964</v>
      </c>
      <c r="C3621" s="2" t="s">
        <v>327</v>
      </c>
      <c r="D3621" s="2" t="s">
        <v>89</v>
      </c>
      <c r="E3621" s="2" t="str">
        <f>"9788383315553"</f>
        <v>9788383315553</v>
      </c>
      <c r="F3621" s="2" t="str">
        <f>"9788383315560"</f>
        <v>9788383315560</v>
      </c>
    </row>
    <row r="3622" spans="1:6" s="3" customFormat="1" ht="29.1" customHeight="1" x14ac:dyDescent="0.25">
      <c r="A3622" s="2" t="s">
        <v>7965</v>
      </c>
      <c r="B3622" s="2" t="s">
        <v>7966</v>
      </c>
      <c r="C3622" s="2" t="s">
        <v>327</v>
      </c>
      <c r="D3622" s="2" t="s">
        <v>4742</v>
      </c>
      <c r="E3622" s="2" t="str">
        <f>"9788383316611"</f>
        <v>9788383316611</v>
      </c>
      <c r="F3622" s="2" t="str">
        <f>"9788383316628"</f>
        <v>9788383316628</v>
      </c>
    </row>
    <row r="3623" spans="1:6" s="3" customFormat="1" ht="29.1" customHeight="1" x14ac:dyDescent="0.25">
      <c r="A3623" s="2" t="s">
        <v>7967</v>
      </c>
      <c r="B3623" s="2" t="s">
        <v>7968</v>
      </c>
      <c r="C3623" s="2" t="s">
        <v>327</v>
      </c>
      <c r="D3623" s="2" t="s">
        <v>95</v>
      </c>
      <c r="E3623" s="2"/>
      <c r="F3623" s="2" t="str">
        <f>"9788383315348"</f>
        <v>9788383315348</v>
      </c>
    </row>
    <row r="3624" spans="1:6" s="3" customFormat="1" ht="29.1" customHeight="1" x14ac:dyDescent="0.25">
      <c r="A3624" s="2" t="s">
        <v>7969</v>
      </c>
      <c r="B3624" s="2" t="s">
        <v>7971</v>
      </c>
      <c r="C3624" s="2" t="s">
        <v>327</v>
      </c>
      <c r="D3624" s="2" t="s">
        <v>7970</v>
      </c>
      <c r="E3624" s="2" t="str">
        <f>"9788383314570"</f>
        <v>9788383314570</v>
      </c>
      <c r="F3624" s="2" t="str">
        <f>"9788383314587"</f>
        <v>9788383314587</v>
      </c>
    </row>
    <row r="3625" spans="1:6" s="3" customFormat="1" ht="29.1" customHeight="1" x14ac:dyDescent="0.25">
      <c r="A3625" s="2" t="s">
        <v>7972</v>
      </c>
      <c r="B3625" s="2" t="s">
        <v>7973</v>
      </c>
      <c r="C3625" s="2" t="s">
        <v>327</v>
      </c>
      <c r="D3625" s="2" t="s">
        <v>2943</v>
      </c>
      <c r="E3625" s="2" t="str">
        <f>"9788383314990"</f>
        <v>9788383314990</v>
      </c>
      <c r="F3625" s="2" t="str">
        <f>"9788383315003"</f>
        <v>9788383315003</v>
      </c>
    </row>
    <row r="3626" spans="1:6" s="3" customFormat="1" ht="29.1" customHeight="1" x14ac:dyDescent="0.25">
      <c r="A3626" s="2" t="s">
        <v>7974</v>
      </c>
      <c r="B3626" s="2" t="s">
        <v>7976</v>
      </c>
      <c r="C3626" s="2" t="s">
        <v>327</v>
      </c>
      <c r="D3626" s="2" t="s">
        <v>7975</v>
      </c>
      <c r="E3626" s="2" t="str">
        <f>"9788383316758"</f>
        <v>9788383316758</v>
      </c>
      <c r="F3626" s="2" t="str">
        <f>"9788383316765"</f>
        <v>9788383316765</v>
      </c>
    </row>
    <row r="3627" spans="1:6" s="3" customFormat="1" ht="29.1" customHeight="1" x14ac:dyDescent="0.25">
      <c r="A3627" s="2" t="s">
        <v>7977</v>
      </c>
      <c r="B3627" s="2" t="s">
        <v>7979</v>
      </c>
      <c r="C3627" s="2" t="s">
        <v>327</v>
      </c>
      <c r="D3627" s="2" t="s">
        <v>7978</v>
      </c>
      <c r="E3627" s="2" t="str">
        <f>"9788383314969"</f>
        <v>9788383314969</v>
      </c>
      <c r="F3627" s="2" t="str">
        <f>"9788383314976"</f>
        <v>9788383314976</v>
      </c>
    </row>
    <row r="3628" spans="1:6" s="3" customFormat="1" ht="29.1" customHeight="1" x14ac:dyDescent="0.25">
      <c r="A3628" s="2" t="s">
        <v>7980</v>
      </c>
      <c r="B3628" s="2" t="s">
        <v>7981</v>
      </c>
      <c r="C3628" s="2" t="s">
        <v>327</v>
      </c>
      <c r="D3628" s="2" t="s">
        <v>175</v>
      </c>
      <c r="E3628" s="2" t="str">
        <f>"9788383316413"</f>
        <v>9788383316413</v>
      </c>
      <c r="F3628" s="2" t="str">
        <f>"9788383316420"</f>
        <v>9788383316420</v>
      </c>
    </row>
    <row r="3629" spans="1:6" s="3" customFormat="1" ht="29.1" customHeight="1" x14ac:dyDescent="0.25">
      <c r="A3629" s="2" t="s">
        <v>7982</v>
      </c>
      <c r="B3629" s="2" t="s">
        <v>7983</v>
      </c>
      <c r="C3629" s="2" t="s">
        <v>327</v>
      </c>
      <c r="D3629" s="2" t="s">
        <v>6628</v>
      </c>
      <c r="E3629" s="2" t="str">
        <f>"9788383316000"</f>
        <v>9788383316000</v>
      </c>
      <c r="F3629" s="2" t="str">
        <f>"9788383315157"</f>
        <v>9788383315157</v>
      </c>
    </row>
    <row r="3630" spans="1:6" s="3" customFormat="1" ht="29.1" customHeight="1" x14ac:dyDescent="0.25">
      <c r="A3630" s="2" t="s">
        <v>7984</v>
      </c>
      <c r="B3630" s="2" t="s">
        <v>7985</v>
      </c>
      <c r="C3630" s="2" t="s">
        <v>327</v>
      </c>
      <c r="D3630" s="2" t="s">
        <v>767</v>
      </c>
      <c r="E3630" s="2" t="str">
        <f>"9788383316376"</f>
        <v>9788383316376</v>
      </c>
      <c r="F3630" s="2" t="str">
        <f>"9788383316383"</f>
        <v>9788383316383</v>
      </c>
    </row>
    <row r="3631" spans="1:6" s="3" customFormat="1" ht="29.1" customHeight="1" x14ac:dyDescent="0.25">
      <c r="A3631" s="2" t="s">
        <v>7986</v>
      </c>
      <c r="B3631" s="2" t="s">
        <v>7987</v>
      </c>
      <c r="C3631" s="2" t="s">
        <v>327</v>
      </c>
      <c r="D3631" s="2" t="s">
        <v>2307</v>
      </c>
      <c r="E3631" s="2" t="str">
        <f>"9788383316895"</f>
        <v>9788383316895</v>
      </c>
      <c r="F3631" s="2" t="str">
        <f>"9788383316901"</f>
        <v>9788383316901</v>
      </c>
    </row>
    <row r="3632" spans="1:6" s="3" customFormat="1" ht="29.1" customHeight="1" x14ac:dyDescent="0.25">
      <c r="A3632" s="2" t="s">
        <v>7988</v>
      </c>
      <c r="B3632" s="2" t="s">
        <v>7987</v>
      </c>
      <c r="C3632" s="2" t="s">
        <v>327</v>
      </c>
      <c r="D3632" s="2" t="s">
        <v>2307</v>
      </c>
      <c r="E3632" s="2" t="str">
        <f>"9788383316871"</f>
        <v>9788383316871</v>
      </c>
      <c r="F3632" s="2" t="str">
        <f>"9788383316888"</f>
        <v>9788383316888</v>
      </c>
    </row>
    <row r="3633" spans="1:6" s="3" customFormat="1" ht="29.1" customHeight="1" x14ac:dyDescent="0.25">
      <c r="A3633" s="2" t="s">
        <v>7989</v>
      </c>
      <c r="B3633" s="2" t="s">
        <v>7990</v>
      </c>
      <c r="C3633" s="2" t="s">
        <v>327</v>
      </c>
      <c r="D3633" s="2" t="s">
        <v>9</v>
      </c>
      <c r="E3633" s="2" t="str">
        <f>"9788383315324"</f>
        <v>9788383315324</v>
      </c>
      <c r="F3633" s="2" t="str">
        <f>"9788383315331"</f>
        <v>9788383315331</v>
      </c>
    </row>
    <row r="3634" spans="1:6" s="3" customFormat="1" ht="29.1" customHeight="1" x14ac:dyDescent="0.25">
      <c r="A3634" s="2" t="s">
        <v>7991</v>
      </c>
      <c r="B3634" s="2" t="s">
        <v>7992</v>
      </c>
      <c r="C3634" s="2" t="s">
        <v>327</v>
      </c>
      <c r="D3634" s="2" t="s">
        <v>1013</v>
      </c>
      <c r="E3634" s="2" t="str">
        <f>"9788383316031"</f>
        <v>9788383316031</v>
      </c>
      <c r="F3634" s="2" t="str">
        <f>"9788383316048"</f>
        <v>9788383316048</v>
      </c>
    </row>
    <row r="3635" spans="1:6" s="3" customFormat="1" ht="29.1" customHeight="1" x14ac:dyDescent="0.25">
      <c r="A3635" s="2" t="s">
        <v>7993</v>
      </c>
      <c r="B3635" s="2" t="s">
        <v>7994</v>
      </c>
      <c r="C3635" s="2" t="s">
        <v>5</v>
      </c>
      <c r="D3635" s="2" t="s">
        <v>183</v>
      </c>
      <c r="E3635" s="2" t="str">
        <f>"9783658458447"</f>
        <v>9783658458447</v>
      </c>
      <c r="F3635" s="2" t="str">
        <f>"9783658458454"</f>
        <v>9783658458454</v>
      </c>
    </row>
    <row r="3636" spans="1:6" s="3" customFormat="1" ht="29.1" customHeight="1" x14ac:dyDescent="0.25">
      <c r="A3636" s="2" t="s">
        <v>7995</v>
      </c>
      <c r="B3636" s="2" t="s">
        <v>7996</v>
      </c>
      <c r="C3636" s="2" t="s">
        <v>5</v>
      </c>
      <c r="D3636" s="2" t="s">
        <v>636</v>
      </c>
      <c r="E3636" s="2" t="str">
        <f>"9782384763795"</f>
        <v>9782384763795</v>
      </c>
      <c r="F3636" s="2" t="str">
        <f>"9782384763801"</f>
        <v>9782384763801</v>
      </c>
    </row>
    <row r="3637" spans="1:6" s="3" customFormat="1" ht="29.1" customHeight="1" x14ac:dyDescent="0.25">
      <c r="A3637" s="2" t="s">
        <v>7997</v>
      </c>
      <c r="B3637" s="2" t="s">
        <v>7998</v>
      </c>
      <c r="C3637" s="2" t="s">
        <v>5</v>
      </c>
      <c r="D3637" s="2" t="s">
        <v>3221</v>
      </c>
      <c r="E3637" s="2" t="str">
        <f>"9789819623983"</f>
        <v>9789819623983</v>
      </c>
      <c r="F3637" s="2" t="str">
        <f>"9789819623990"</f>
        <v>9789819623990</v>
      </c>
    </row>
    <row r="3638" spans="1:6" s="3" customFormat="1" ht="29.1" customHeight="1" x14ac:dyDescent="0.25">
      <c r="A3638" s="2" t="s">
        <v>7999</v>
      </c>
      <c r="B3638" s="2" t="s">
        <v>8000</v>
      </c>
      <c r="C3638" s="2" t="s">
        <v>5</v>
      </c>
      <c r="D3638" s="2" t="s">
        <v>431</v>
      </c>
      <c r="E3638" s="2" t="str">
        <f>"9783031841538"</f>
        <v>9783031841538</v>
      </c>
      <c r="F3638" s="2" t="str">
        <f>"9783031841545"</f>
        <v>9783031841545</v>
      </c>
    </row>
    <row r="3639" spans="1:6" s="3" customFormat="1" ht="29.1" customHeight="1" x14ac:dyDescent="0.25">
      <c r="A3639" s="2" t="s">
        <v>8001</v>
      </c>
      <c r="B3639" s="2" t="s">
        <v>8002</v>
      </c>
      <c r="C3639" s="2" t="s">
        <v>5</v>
      </c>
      <c r="D3639" s="2" t="s">
        <v>699</v>
      </c>
      <c r="E3639" s="2" t="str">
        <f>"9783031839986"</f>
        <v>9783031839986</v>
      </c>
      <c r="F3639" s="2" t="str">
        <f>"9783031839993"</f>
        <v>9783031839993</v>
      </c>
    </row>
    <row r="3640" spans="1:6" s="3" customFormat="1" ht="29.1" customHeight="1" x14ac:dyDescent="0.25">
      <c r="A3640" s="2" t="s">
        <v>8003</v>
      </c>
      <c r="B3640" s="2" t="s">
        <v>8004</v>
      </c>
      <c r="C3640" s="2" t="s">
        <v>248</v>
      </c>
      <c r="D3640" s="2" t="s">
        <v>7079</v>
      </c>
      <c r="E3640" s="2" t="str">
        <f>"9783847431190"</f>
        <v>9783847431190</v>
      </c>
      <c r="F3640" s="2" t="str">
        <f>"9783847432548"</f>
        <v>9783847432548</v>
      </c>
    </row>
    <row r="3641" spans="1:6" s="3" customFormat="1" ht="29.1" customHeight="1" x14ac:dyDescent="0.25">
      <c r="A3641" s="2" t="s">
        <v>8005</v>
      </c>
      <c r="B3641" s="2" t="s">
        <v>8006</v>
      </c>
      <c r="C3641" s="2" t="s">
        <v>248</v>
      </c>
      <c r="D3641" s="2" t="s">
        <v>249</v>
      </c>
      <c r="E3641" s="2" t="str">
        <f>"9783847430773"</f>
        <v>9783847430773</v>
      </c>
      <c r="F3641" s="2" t="str">
        <f>"9783847432111"</f>
        <v>9783847432111</v>
      </c>
    </row>
    <row r="3642" spans="1:6" s="3" customFormat="1" ht="29.1" customHeight="1" x14ac:dyDescent="0.25">
      <c r="A3642" s="2" t="s">
        <v>8007</v>
      </c>
      <c r="B3642" s="2" t="s">
        <v>8008</v>
      </c>
      <c r="C3642" s="2" t="s">
        <v>248</v>
      </c>
      <c r="D3642" s="2" t="s">
        <v>1927</v>
      </c>
      <c r="E3642" s="2" t="str">
        <f>"9783966650908"</f>
        <v>9783966650908</v>
      </c>
      <c r="F3642" s="2" t="str">
        <f>"9783966659062"</f>
        <v>9783966659062</v>
      </c>
    </row>
    <row r="3643" spans="1:6" s="3" customFormat="1" ht="29.1" customHeight="1" x14ac:dyDescent="0.25">
      <c r="A3643" s="2" t="s">
        <v>8009</v>
      </c>
      <c r="B3643" s="2" t="s">
        <v>8010</v>
      </c>
      <c r="C3643" s="2" t="s">
        <v>248</v>
      </c>
      <c r="D3643" s="2" t="s">
        <v>836</v>
      </c>
      <c r="E3643" s="2" t="str">
        <f>"9783847431039"</f>
        <v>9783847431039</v>
      </c>
      <c r="F3643" s="2" t="str">
        <f>"9783847432388"</f>
        <v>9783847432388</v>
      </c>
    </row>
    <row r="3644" spans="1:6" s="3" customFormat="1" ht="29.1" customHeight="1" x14ac:dyDescent="0.25">
      <c r="A3644" s="2" t="s">
        <v>8011</v>
      </c>
      <c r="B3644" s="2" t="s">
        <v>8012</v>
      </c>
      <c r="C3644" s="2" t="s">
        <v>195</v>
      </c>
      <c r="D3644" s="2" t="s">
        <v>2488</v>
      </c>
      <c r="E3644" s="2" t="str">
        <f>"9783111685687"</f>
        <v>9783111685687</v>
      </c>
      <c r="F3644" s="2" t="str">
        <f>"9783111695266"</f>
        <v>9783111695266</v>
      </c>
    </row>
    <row r="3645" spans="1:6" s="3" customFormat="1" ht="29.1" customHeight="1" x14ac:dyDescent="0.25">
      <c r="A3645" s="2" t="s">
        <v>8013</v>
      </c>
      <c r="B3645" s="2" t="s">
        <v>8014</v>
      </c>
      <c r="C3645" s="2" t="s">
        <v>195</v>
      </c>
      <c r="D3645" s="2" t="s">
        <v>5104</v>
      </c>
      <c r="E3645" s="2" t="str">
        <f>"9783111442006"</f>
        <v>9783111442006</v>
      </c>
      <c r="F3645" s="2" t="str">
        <f>"9783111593715"</f>
        <v>9783111593715</v>
      </c>
    </row>
    <row r="3646" spans="1:6" s="3" customFormat="1" ht="29.1" customHeight="1" x14ac:dyDescent="0.25">
      <c r="A3646" s="2" t="s">
        <v>8015</v>
      </c>
      <c r="B3646" s="2" t="s">
        <v>8016</v>
      </c>
      <c r="C3646" s="2" t="s">
        <v>195</v>
      </c>
      <c r="D3646" s="2" t="s">
        <v>118</v>
      </c>
      <c r="E3646" s="2" t="str">
        <f>"9783111621395"</f>
        <v>9783111621395</v>
      </c>
      <c r="F3646" s="2" t="str">
        <f>"9783111621869"</f>
        <v>9783111621869</v>
      </c>
    </row>
    <row r="3647" spans="1:6" s="3" customFormat="1" ht="29.1" customHeight="1" x14ac:dyDescent="0.25">
      <c r="A3647" s="2" t="s">
        <v>8017</v>
      </c>
      <c r="B3647" s="2" t="s">
        <v>8018</v>
      </c>
      <c r="C3647" s="2" t="s">
        <v>195</v>
      </c>
      <c r="D3647" s="2" t="s">
        <v>436</v>
      </c>
      <c r="E3647" s="2" t="str">
        <f>"9783111475394"</f>
        <v>9783111475394</v>
      </c>
      <c r="F3647" s="2" t="str">
        <f>"9783111478470"</f>
        <v>9783111478470</v>
      </c>
    </row>
    <row r="3648" spans="1:6" s="3" customFormat="1" ht="29.1" customHeight="1" x14ac:dyDescent="0.25">
      <c r="A3648" s="2" t="s">
        <v>8019</v>
      </c>
      <c r="B3648" s="2" t="s">
        <v>8020</v>
      </c>
      <c r="C3648" s="2" t="s">
        <v>195</v>
      </c>
      <c r="D3648" s="2" t="s">
        <v>1262</v>
      </c>
      <c r="E3648" s="2" t="str">
        <f>"9783111456430"</f>
        <v>9783111456430</v>
      </c>
      <c r="F3648" s="2" t="str">
        <f>"9783111458946"</f>
        <v>9783111458946</v>
      </c>
    </row>
    <row r="3649" spans="1:6" s="3" customFormat="1" ht="29.1" customHeight="1" x14ac:dyDescent="0.25">
      <c r="A3649" s="2" t="s">
        <v>8021</v>
      </c>
      <c r="B3649" s="2" t="s">
        <v>8022</v>
      </c>
      <c r="C3649" s="2" t="s">
        <v>195</v>
      </c>
      <c r="D3649" s="2" t="s">
        <v>1956</v>
      </c>
      <c r="E3649" s="2" t="str">
        <f>"9783110998894"</f>
        <v>9783110998894</v>
      </c>
      <c r="F3649" s="2" t="str">
        <f>"9783110988420"</f>
        <v>9783110988420</v>
      </c>
    </row>
    <row r="3650" spans="1:6" s="3" customFormat="1" ht="29.1" customHeight="1" x14ac:dyDescent="0.25">
      <c r="A3650" s="2" t="s">
        <v>8023</v>
      </c>
      <c r="B3650" s="2" t="s">
        <v>8024</v>
      </c>
      <c r="C3650" s="2" t="s">
        <v>5</v>
      </c>
      <c r="D3650" s="2" t="s">
        <v>342</v>
      </c>
      <c r="E3650" s="2" t="str">
        <f>"9789464636734"</f>
        <v>9789464636734</v>
      </c>
      <c r="F3650" s="2" t="str">
        <f>"9789464636741"</f>
        <v>9789464636741</v>
      </c>
    </row>
    <row r="3651" spans="1:6" s="3" customFormat="1" ht="29.1" customHeight="1" x14ac:dyDescent="0.25">
      <c r="A3651" s="2" t="s">
        <v>8025</v>
      </c>
      <c r="B3651" s="2" t="s">
        <v>8026</v>
      </c>
      <c r="C3651" s="2" t="s">
        <v>5</v>
      </c>
      <c r="D3651" s="2" t="s">
        <v>1823</v>
      </c>
      <c r="E3651" s="2" t="str">
        <f>"9789819626151"</f>
        <v>9789819626151</v>
      </c>
      <c r="F3651" s="2" t="str">
        <f>"9789819626168"</f>
        <v>9789819626168</v>
      </c>
    </row>
    <row r="3652" spans="1:6" s="3" customFormat="1" ht="29.1" customHeight="1" x14ac:dyDescent="0.25">
      <c r="A3652" s="2" t="s">
        <v>8027</v>
      </c>
      <c r="B3652" s="2" t="s">
        <v>8028</v>
      </c>
      <c r="C3652" s="2" t="s">
        <v>5</v>
      </c>
      <c r="D3652" s="2" t="s">
        <v>4739</v>
      </c>
      <c r="E3652" s="2" t="str">
        <f>"9783031760402"</f>
        <v>9783031760402</v>
      </c>
      <c r="F3652" s="2" t="str">
        <f>"9783031760419"</f>
        <v>9783031760419</v>
      </c>
    </row>
    <row r="3653" spans="1:6" s="3" customFormat="1" ht="29.1" customHeight="1" x14ac:dyDescent="0.25">
      <c r="A3653" s="2" t="s">
        <v>8029</v>
      </c>
      <c r="B3653" s="2" t="s">
        <v>8030</v>
      </c>
      <c r="C3653" s="2" t="s">
        <v>5</v>
      </c>
      <c r="D3653" s="2" t="s">
        <v>1809</v>
      </c>
      <c r="E3653" s="2" t="str">
        <f>"9783031837371"</f>
        <v>9783031837371</v>
      </c>
      <c r="F3653" s="2" t="str">
        <f>"9783031837388"</f>
        <v>9783031837388</v>
      </c>
    </row>
    <row r="3654" spans="1:6" s="3" customFormat="1" ht="29.1" customHeight="1" x14ac:dyDescent="0.25">
      <c r="A3654" s="2" t="s">
        <v>8031</v>
      </c>
      <c r="B3654" s="2" t="s">
        <v>8032</v>
      </c>
      <c r="C3654" s="2" t="s">
        <v>5</v>
      </c>
      <c r="D3654" s="2" t="s">
        <v>9</v>
      </c>
      <c r="E3654" s="2" t="str">
        <f>"9782384763634"</f>
        <v>9782384763634</v>
      </c>
      <c r="F3654" s="2" t="str">
        <f>"9782384763641"</f>
        <v>9782384763641</v>
      </c>
    </row>
    <row r="3655" spans="1:6" s="3" customFormat="1" ht="29.1" customHeight="1" x14ac:dyDescent="0.25">
      <c r="A3655" s="2" t="s">
        <v>8033</v>
      </c>
      <c r="B3655" s="2" t="s">
        <v>8034</v>
      </c>
      <c r="C3655" s="2" t="s">
        <v>5</v>
      </c>
      <c r="D3655" s="2" t="s">
        <v>317</v>
      </c>
      <c r="E3655" s="2" t="str">
        <f>"9789464636611"</f>
        <v>9789464636611</v>
      </c>
      <c r="F3655" s="2" t="str">
        <f>"9789464636628"</f>
        <v>9789464636628</v>
      </c>
    </row>
    <row r="3656" spans="1:6" s="3" customFormat="1" ht="29.1" customHeight="1" x14ac:dyDescent="0.25">
      <c r="A3656" s="2" t="s">
        <v>8035</v>
      </c>
      <c r="B3656" s="2" t="s">
        <v>8036</v>
      </c>
      <c r="C3656" s="2" t="s">
        <v>5</v>
      </c>
      <c r="D3656" s="2" t="s">
        <v>186</v>
      </c>
      <c r="E3656" s="2" t="str">
        <f>"9789464636659"</f>
        <v>9789464636659</v>
      </c>
      <c r="F3656" s="2" t="str">
        <f>"9789464636666"</f>
        <v>9789464636666</v>
      </c>
    </row>
    <row r="3657" spans="1:6" s="3" customFormat="1" ht="29.1" customHeight="1" x14ac:dyDescent="0.25">
      <c r="A3657" s="2" t="s">
        <v>8037</v>
      </c>
      <c r="B3657" s="2" t="s">
        <v>8038</v>
      </c>
      <c r="C3657" s="2" t="s">
        <v>5</v>
      </c>
      <c r="D3657" s="2" t="s">
        <v>694</v>
      </c>
      <c r="E3657" s="2" t="str">
        <f>"9783031639524"</f>
        <v>9783031639524</v>
      </c>
      <c r="F3657" s="2" t="str">
        <f>"9783031639531"</f>
        <v>9783031639531</v>
      </c>
    </row>
    <row r="3658" spans="1:6" s="3" customFormat="1" ht="29.1" customHeight="1" x14ac:dyDescent="0.25">
      <c r="A3658" s="2" t="s">
        <v>8039</v>
      </c>
      <c r="B3658" s="2" t="s">
        <v>8041</v>
      </c>
      <c r="C3658" s="2" t="s">
        <v>8040</v>
      </c>
      <c r="D3658" s="2" t="s">
        <v>459</v>
      </c>
      <c r="E3658" s="2" t="str">
        <f>"9781800419049"</f>
        <v>9781800419049</v>
      </c>
      <c r="F3658" s="2" t="str">
        <f>"9781800419063"</f>
        <v>9781800419063</v>
      </c>
    </row>
    <row r="3659" spans="1:6" s="3" customFormat="1" ht="29.1" customHeight="1" x14ac:dyDescent="0.25">
      <c r="A3659" s="2" t="s">
        <v>8042</v>
      </c>
      <c r="B3659" s="2" t="s">
        <v>8043</v>
      </c>
      <c r="C3659" s="2" t="s">
        <v>29</v>
      </c>
      <c r="D3659" s="2" t="s">
        <v>183</v>
      </c>
      <c r="E3659" s="2" t="str">
        <f>"9789004724891"</f>
        <v>9789004724891</v>
      </c>
      <c r="F3659" s="2" t="str">
        <f>"9789004724907"</f>
        <v>9789004724907</v>
      </c>
    </row>
    <row r="3660" spans="1:6" s="3" customFormat="1" ht="29.1" customHeight="1" x14ac:dyDescent="0.25">
      <c r="A3660" s="2" t="s">
        <v>8044</v>
      </c>
      <c r="B3660" s="2" t="s">
        <v>8045</v>
      </c>
      <c r="C3660" s="2" t="s">
        <v>5</v>
      </c>
      <c r="D3660" s="2" t="s">
        <v>9</v>
      </c>
      <c r="E3660" s="2" t="str">
        <f>"9782384763733"</f>
        <v>9782384763733</v>
      </c>
      <c r="F3660" s="2" t="str">
        <f>"9782384763740"</f>
        <v>9782384763740</v>
      </c>
    </row>
    <row r="3661" spans="1:6" s="3" customFormat="1" ht="29.1" customHeight="1" x14ac:dyDescent="0.25">
      <c r="A3661" s="2" t="s">
        <v>8046</v>
      </c>
      <c r="B3661" s="2" t="s">
        <v>8049</v>
      </c>
      <c r="C3661" s="2" t="s">
        <v>8047</v>
      </c>
      <c r="D3661" s="2" t="s">
        <v>8048</v>
      </c>
      <c r="E3661" s="2" t="str">
        <f>"9780271099378"</f>
        <v>9780271099378</v>
      </c>
      <c r="F3661" s="2" t="str">
        <f>"9780271099729"</f>
        <v>9780271099729</v>
      </c>
    </row>
    <row r="3662" spans="1:6" s="3" customFormat="1" ht="29.1" customHeight="1" x14ac:dyDescent="0.25">
      <c r="A3662" s="2" t="s">
        <v>8050</v>
      </c>
      <c r="B3662" s="2" t="s">
        <v>8051</v>
      </c>
      <c r="C3662" s="2" t="s">
        <v>20</v>
      </c>
      <c r="D3662" s="2" t="s">
        <v>9</v>
      </c>
      <c r="E3662" s="2" t="str">
        <f>"9783763977161"</f>
        <v>9783763977161</v>
      </c>
      <c r="F3662" s="2" t="str">
        <f>"9783763977178"</f>
        <v>9783763977178</v>
      </c>
    </row>
    <row r="3663" spans="1:6" s="3" customFormat="1" ht="29.1" customHeight="1" x14ac:dyDescent="0.25">
      <c r="A3663" s="2" t="s">
        <v>8052</v>
      </c>
      <c r="B3663" s="2" t="s">
        <v>8053</v>
      </c>
      <c r="C3663" s="2" t="s">
        <v>20</v>
      </c>
      <c r="D3663" s="2" t="s">
        <v>21</v>
      </c>
      <c r="E3663" s="2" t="str">
        <f>"9783763977406"</f>
        <v>9783763977406</v>
      </c>
      <c r="F3663" s="2" t="str">
        <f>"9783763977413"</f>
        <v>9783763977413</v>
      </c>
    </row>
    <row r="3664" spans="1:6" s="3" customFormat="1" ht="29.1" customHeight="1" x14ac:dyDescent="0.25">
      <c r="A3664" s="2" t="s">
        <v>8054</v>
      </c>
      <c r="B3664" s="2" t="s">
        <v>8055</v>
      </c>
      <c r="C3664" s="2" t="s">
        <v>20</v>
      </c>
      <c r="D3664" s="2" t="s">
        <v>278</v>
      </c>
      <c r="E3664" s="2" t="str">
        <f>"9783763976669"</f>
        <v>9783763976669</v>
      </c>
      <c r="F3664" s="2" t="str">
        <f>"9783763976676"</f>
        <v>9783763976676</v>
      </c>
    </row>
    <row r="3665" spans="1:6" s="3" customFormat="1" ht="29.1" customHeight="1" x14ac:dyDescent="0.25">
      <c r="A3665" s="2" t="s">
        <v>8056</v>
      </c>
      <c r="B3665" s="2" t="s">
        <v>8057</v>
      </c>
      <c r="C3665" s="2" t="s">
        <v>55</v>
      </c>
      <c r="D3665" s="2" t="s">
        <v>107</v>
      </c>
      <c r="E3665" s="2" t="str">
        <f>"9781526158130"</f>
        <v>9781526158130</v>
      </c>
      <c r="F3665" s="2" t="str">
        <f>"9781526158123"</f>
        <v>9781526158123</v>
      </c>
    </row>
    <row r="3666" spans="1:6" s="3" customFormat="1" ht="29.1" customHeight="1" x14ac:dyDescent="0.25">
      <c r="A3666" s="2" t="s">
        <v>8058</v>
      </c>
      <c r="B3666" s="2" t="s">
        <v>8060</v>
      </c>
      <c r="C3666" s="2" t="s">
        <v>8059</v>
      </c>
      <c r="D3666" s="2" t="s">
        <v>5686</v>
      </c>
      <c r="E3666" s="2" t="str">
        <f>"9780906785232"</f>
        <v>9780906785232</v>
      </c>
      <c r="F3666" s="2" t="str">
        <f>"9780906785249"</f>
        <v>9780906785249</v>
      </c>
    </row>
    <row r="3667" spans="1:6" s="3" customFormat="1" ht="29.1" customHeight="1" x14ac:dyDescent="0.25">
      <c r="A3667" s="2" t="s">
        <v>8061</v>
      </c>
      <c r="B3667" s="2" t="s">
        <v>8062</v>
      </c>
      <c r="C3667" s="2" t="s">
        <v>8059</v>
      </c>
      <c r="D3667" s="2" t="s">
        <v>3019</v>
      </c>
      <c r="E3667" s="2"/>
      <c r="F3667" s="2" t="str">
        <f>"9780906785225"</f>
        <v>9780906785225</v>
      </c>
    </row>
    <row r="3668" spans="1:6" s="3" customFormat="1" ht="29.1" customHeight="1" x14ac:dyDescent="0.25">
      <c r="A3668" s="2" t="s">
        <v>8063</v>
      </c>
      <c r="B3668" s="2" t="s">
        <v>8064</v>
      </c>
      <c r="C3668" s="2" t="s">
        <v>327</v>
      </c>
      <c r="D3668" s="2" t="s">
        <v>2307</v>
      </c>
      <c r="E3668" s="2" t="str">
        <f>"9788383315416"</f>
        <v>9788383315416</v>
      </c>
      <c r="F3668" s="2" t="str">
        <f>"9788383315423"</f>
        <v>9788383315423</v>
      </c>
    </row>
    <row r="3669" spans="1:6" s="3" customFormat="1" ht="29.1" customHeight="1" x14ac:dyDescent="0.25">
      <c r="A3669" s="2" t="s">
        <v>8065</v>
      </c>
      <c r="B3669" s="2" t="s">
        <v>8066</v>
      </c>
      <c r="C3669" s="2" t="s">
        <v>327</v>
      </c>
      <c r="D3669" s="2" t="s">
        <v>7436</v>
      </c>
      <c r="E3669" s="2"/>
      <c r="F3669" s="2" t="str">
        <f>"9788383315140"</f>
        <v>9788383315140</v>
      </c>
    </row>
    <row r="3670" spans="1:6" s="3" customFormat="1" ht="29.1" customHeight="1" x14ac:dyDescent="0.25">
      <c r="A3670" s="2" t="s">
        <v>8067</v>
      </c>
      <c r="B3670" s="2" t="s">
        <v>8068</v>
      </c>
      <c r="C3670" s="2" t="s">
        <v>327</v>
      </c>
      <c r="D3670" s="2" t="s">
        <v>882</v>
      </c>
      <c r="E3670" s="2"/>
      <c r="F3670" s="2" t="str">
        <f>"9788383314723"</f>
        <v>9788383314723</v>
      </c>
    </row>
    <row r="3671" spans="1:6" s="3" customFormat="1" ht="29.1" customHeight="1" x14ac:dyDescent="0.25">
      <c r="A3671" s="2" t="s">
        <v>8069</v>
      </c>
      <c r="B3671" s="2" t="s">
        <v>8070</v>
      </c>
      <c r="C3671" s="2" t="s">
        <v>327</v>
      </c>
      <c r="D3671" s="2" t="s">
        <v>9</v>
      </c>
      <c r="E3671" s="2" t="str">
        <f>"9788383314938"</f>
        <v>9788383314938</v>
      </c>
      <c r="F3671" s="2" t="str">
        <f>"9788383314921"</f>
        <v>9788383314921</v>
      </c>
    </row>
    <row r="3672" spans="1:6" s="3" customFormat="1" ht="29.1" customHeight="1" x14ac:dyDescent="0.25">
      <c r="A3672" s="2" t="s">
        <v>8071</v>
      </c>
      <c r="B3672" s="2" t="s">
        <v>8072</v>
      </c>
      <c r="C3672" s="2" t="s">
        <v>327</v>
      </c>
      <c r="D3672" s="2" t="s">
        <v>297</v>
      </c>
      <c r="E3672" s="2" t="str">
        <f>"9788383314709"</f>
        <v>9788383314709</v>
      </c>
      <c r="F3672" s="2" t="str">
        <f>"9788383314716"</f>
        <v>9788383314716</v>
      </c>
    </row>
    <row r="3673" spans="1:6" s="3" customFormat="1" ht="29.1" customHeight="1" x14ac:dyDescent="0.25">
      <c r="A3673" s="2" t="s">
        <v>8073</v>
      </c>
      <c r="B3673" s="2" t="s">
        <v>5084</v>
      </c>
      <c r="C3673" s="2" t="s">
        <v>327</v>
      </c>
      <c r="D3673" s="2" t="s">
        <v>619</v>
      </c>
      <c r="E3673" s="2"/>
      <c r="F3673" s="2" t="str">
        <f>"9788383314914"</f>
        <v>9788383314914</v>
      </c>
    </row>
    <row r="3674" spans="1:6" s="3" customFormat="1" ht="29.1" customHeight="1" x14ac:dyDescent="0.25">
      <c r="A3674" s="2" t="s">
        <v>8074</v>
      </c>
      <c r="B3674" s="2"/>
      <c r="C3674" s="2" t="s">
        <v>59</v>
      </c>
      <c r="D3674" s="2" t="s">
        <v>2433</v>
      </c>
      <c r="E3674" s="2"/>
      <c r="F3674" s="2" t="str">
        <f>"9782759240135"</f>
        <v>9782759240135</v>
      </c>
    </row>
    <row r="3675" spans="1:6" s="3" customFormat="1" ht="29.1" customHeight="1" x14ac:dyDescent="0.25">
      <c r="A3675" s="2" t="s">
        <v>8075</v>
      </c>
      <c r="B3675" s="2" t="s">
        <v>8077</v>
      </c>
      <c r="C3675" s="2" t="s">
        <v>2129</v>
      </c>
      <c r="D3675" s="2" t="s">
        <v>8076</v>
      </c>
      <c r="E3675" s="2" t="str">
        <f>"9798855803600"</f>
        <v>9798855803600</v>
      </c>
      <c r="F3675" s="2" t="str">
        <f>"9798855803624"</f>
        <v>9798855803624</v>
      </c>
    </row>
    <row r="3676" spans="1:6" s="3" customFormat="1" ht="29.1" customHeight="1" x14ac:dyDescent="0.25">
      <c r="A3676" s="2" t="s">
        <v>8078</v>
      </c>
      <c r="B3676" s="2" t="s">
        <v>8079</v>
      </c>
      <c r="C3676" s="2" t="s">
        <v>149</v>
      </c>
      <c r="D3676" s="2" t="s">
        <v>175</v>
      </c>
      <c r="E3676" s="2" t="str">
        <f>"9781805115793"</f>
        <v>9781805115793</v>
      </c>
      <c r="F3676" s="2" t="str">
        <f>"9781805115816"</f>
        <v>9781805115816</v>
      </c>
    </row>
    <row r="3677" spans="1:6" s="3" customFormat="1" ht="29.1" customHeight="1" x14ac:dyDescent="0.25">
      <c r="A3677" s="2" t="s">
        <v>8078</v>
      </c>
      <c r="B3677" s="2" t="s">
        <v>8079</v>
      </c>
      <c r="C3677" s="2" t="s">
        <v>149</v>
      </c>
      <c r="D3677" s="2" t="s">
        <v>175</v>
      </c>
      <c r="E3677" s="2" t="str">
        <f>"9781805115762"</f>
        <v>9781805115762</v>
      </c>
      <c r="F3677" s="2" t="str">
        <f>"9781805115786"</f>
        <v>9781805115786</v>
      </c>
    </row>
    <row r="3678" spans="1:6" s="3" customFormat="1" ht="29.1" customHeight="1" x14ac:dyDescent="0.25">
      <c r="A3678" s="2" t="s">
        <v>8080</v>
      </c>
      <c r="B3678" s="2" t="s">
        <v>8081</v>
      </c>
      <c r="C3678" s="2" t="s">
        <v>149</v>
      </c>
      <c r="D3678" s="2" t="s">
        <v>202</v>
      </c>
      <c r="E3678" s="2" t="str">
        <f>"9781805111702"</f>
        <v>9781805111702</v>
      </c>
      <c r="F3678" s="2" t="str">
        <f>"9781805111726"</f>
        <v>9781805111726</v>
      </c>
    </row>
    <row r="3679" spans="1:6" s="3" customFormat="1" ht="29.1" customHeight="1" x14ac:dyDescent="0.25">
      <c r="A3679" s="2" t="s">
        <v>8082</v>
      </c>
      <c r="B3679" s="2" t="s">
        <v>8083</v>
      </c>
      <c r="C3679" s="2" t="s">
        <v>2133</v>
      </c>
      <c r="D3679" s="2" t="s">
        <v>5930</v>
      </c>
      <c r="E3679" s="2" t="str">
        <f>"9781760466794"</f>
        <v>9781760466794</v>
      </c>
      <c r="F3679" s="2" t="str">
        <f>"9781760466800"</f>
        <v>9781760466800</v>
      </c>
    </row>
    <row r="3680" spans="1:6" s="3" customFormat="1" ht="29.1" customHeight="1" x14ac:dyDescent="0.25">
      <c r="A3680" s="2" t="s">
        <v>8084</v>
      </c>
      <c r="B3680" s="2" t="s">
        <v>8085</v>
      </c>
      <c r="C3680" s="2" t="s">
        <v>29</v>
      </c>
      <c r="D3680" s="2" t="s">
        <v>3185</v>
      </c>
      <c r="E3680" s="2" t="str">
        <f>"9789004724112"</f>
        <v>9789004724112</v>
      </c>
      <c r="F3680" s="2" t="str">
        <f>"9789004724129"</f>
        <v>9789004724129</v>
      </c>
    </row>
    <row r="3681" spans="1:6" s="3" customFormat="1" ht="29.1" customHeight="1" x14ac:dyDescent="0.25">
      <c r="A3681" s="2" t="s">
        <v>8086</v>
      </c>
      <c r="B3681" s="2"/>
      <c r="C3681" s="2" t="s">
        <v>59</v>
      </c>
      <c r="D3681" s="2" t="s">
        <v>8087</v>
      </c>
      <c r="E3681" s="2"/>
      <c r="F3681" s="2" t="str">
        <f>"9782759237791"</f>
        <v>9782759237791</v>
      </c>
    </row>
    <row r="3682" spans="1:6" s="3" customFormat="1" ht="29.1" customHeight="1" x14ac:dyDescent="0.25">
      <c r="A3682" s="2" t="s">
        <v>8088</v>
      </c>
      <c r="B3682" s="2" t="s">
        <v>8089</v>
      </c>
      <c r="C3682" s="2" t="s">
        <v>29</v>
      </c>
      <c r="D3682" s="2" t="s">
        <v>462</v>
      </c>
      <c r="E3682" s="2" t="str">
        <f>"9789004714878"</f>
        <v>9789004714878</v>
      </c>
      <c r="F3682" s="2" t="str">
        <f>"9789004714915"</f>
        <v>9789004714915</v>
      </c>
    </row>
    <row r="3683" spans="1:6" s="3" customFormat="1" ht="29.1" customHeight="1" x14ac:dyDescent="0.25">
      <c r="A3683" s="2" t="s">
        <v>8090</v>
      </c>
      <c r="B3683" s="2" t="s">
        <v>8092</v>
      </c>
      <c r="C3683" s="2" t="s">
        <v>124</v>
      </c>
      <c r="D3683" s="2" t="s">
        <v>8091</v>
      </c>
      <c r="E3683" s="2" t="str">
        <f>"9781032912431"</f>
        <v>9781032912431</v>
      </c>
      <c r="F3683" s="2" t="str">
        <f>"9781003562122"</f>
        <v>9781003562122</v>
      </c>
    </row>
    <row r="3684" spans="1:6" s="3" customFormat="1" ht="29.1" customHeight="1" x14ac:dyDescent="0.25">
      <c r="A3684" s="2" t="s">
        <v>8093</v>
      </c>
      <c r="B3684" s="2" t="s">
        <v>8094</v>
      </c>
      <c r="C3684" s="2" t="s">
        <v>5</v>
      </c>
      <c r="D3684" s="2" t="s">
        <v>144</v>
      </c>
      <c r="E3684" s="2" t="str">
        <f>"9783031814501"</f>
        <v>9783031814501</v>
      </c>
      <c r="F3684" s="2" t="str">
        <f>"9783031814518"</f>
        <v>9783031814518</v>
      </c>
    </row>
    <row r="3685" spans="1:6" s="3" customFormat="1" ht="29.1" customHeight="1" x14ac:dyDescent="0.25">
      <c r="A3685" s="2" t="s">
        <v>8095</v>
      </c>
      <c r="B3685" s="2" t="s">
        <v>8096</v>
      </c>
      <c r="C3685" s="2" t="s">
        <v>5</v>
      </c>
      <c r="D3685" s="2" t="s">
        <v>1902</v>
      </c>
      <c r="E3685" s="2" t="str">
        <f>"9789819606672"</f>
        <v>9789819606672</v>
      </c>
      <c r="F3685" s="2" t="str">
        <f>"9789819606689"</f>
        <v>9789819606689</v>
      </c>
    </row>
    <row r="3686" spans="1:6" s="3" customFormat="1" ht="29.1" customHeight="1" x14ac:dyDescent="0.25">
      <c r="A3686" s="2" t="s">
        <v>8097</v>
      </c>
      <c r="B3686" s="2" t="s">
        <v>8098</v>
      </c>
      <c r="C3686" s="2" t="s">
        <v>5</v>
      </c>
      <c r="D3686" s="2" t="s">
        <v>1109</v>
      </c>
      <c r="E3686" s="2" t="str">
        <f>"9783031744778"</f>
        <v>9783031744778</v>
      </c>
      <c r="F3686" s="2" t="str">
        <f>"9783031744785"</f>
        <v>9783031744785</v>
      </c>
    </row>
    <row r="3687" spans="1:6" s="3" customFormat="1" ht="29.1" customHeight="1" x14ac:dyDescent="0.25">
      <c r="A3687" s="2" t="s">
        <v>8099</v>
      </c>
      <c r="B3687" s="2" t="s">
        <v>8100</v>
      </c>
      <c r="C3687" s="2" t="s">
        <v>5</v>
      </c>
      <c r="D3687" s="2" t="s">
        <v>12</v>
      </c>
      <c r="E3687" s="2" t="str">
        <f>"9789819778935"</f>
        <v>9789819778935</v>
      </c>
      <c r="F3687" s="2" t="str">
        <f>"9789819778942"</f>
        <v>9789819778942</v>
      </c>
    </row>
    <row r="3688" spans="1:6" s="3" customFormat="1" ht="29.1" customHeight="1" x14ac:dyDescent="0.25">
      <c r="A3688" s="2" t="s">
        <v>8101</v>
      </c>
      <c r="B3688" s="2" t="s">
        <v>8102</v>
      </c>
      <c r="C3688" s="2" t="s">
        <v>5</v>
      </c>
      <c r="D3688" s="2" t="s">
        <v>192</v>
      </c>
      <c r="E3688" s="2" t="str">
        <f>"9783031721854"</f>
        <v>9783031721854</v>
      </c>
      <c r="F3688" s="2" t="str">
        <f>"9783031721861"</f>
        <v>9783031721861</v>
      </c>
    </row>
    <row r="3689" spans="1:6" s="3" customFormat="1" ht="29.1" customHeight="1" x14ac:dyDescent="0.25">
      <c r="A3689" s="2" t="s">
        <v>8103</v>
      </c>
      <c r="B3689" s="2" t="s">
        <v>8105</v>
      </c>
      <c r="C3689" s="2" t="s">
        <v>8104</v>
      </c>
      <c r="D3689" s="2" t="s">
        <v>636</v>
      </c>
      <c r="E3689" s="2" t="str">
        <f>"9781836951872"</f>
        <v>9781836951872</v>
      </c>
      <c r="F3689" s="2" t="str">
        <f>"9781836951889"</f>
        <v>9781836951889</v>
      </c>
    </row>
    <row r="3690" spans="1:6" s="3" customFormat="1" ht="29.1" customHeight="1" x14ac:dyDescent="0.25">
      <c r="A3690" s="2" t="s">
        <v>8106</v>
      </c>
      <c r="B3690" s="2" t="s">
        <v>8107</v>
      </c>
      <c r="C3690" s="2" t="s">
        <v>5</v>
      </c>
      <c r="D3690" s="2" t="s">
        <v>78</v>
      </c>
      <c r="E3690" s="2" t="str">
        <f>"9783031815447"</f>
        <v>9783031815447</v>
      </c>
      <c r="F3690" s="2" t="str">
        <f>"9783031815454"</f>
        <v>9783031815454</v>
      </c>
    </row>
    <row r="3691" spans="1:6" s="3" customFormat="1" ht="29.1" customHeight="1" x14ac:dyDescent="0.25">
      <c r="A3691" s="2" t="s">
        <v>888</v>
      </c>
      <c r="B3691" s="2" t="s">
        <v>890</v>
      </c>
      <c r="C3691" s="2" t="s">
        <v>5</v>
      </c>
      <c r="D3691" s="2" t="s">
        <v>889</v>
      </c>
      <c r="E3691" s="2" t="str">
        <f>"9783031855771"</f>
        <v>9783031855771</v>
      </c>
      <c r="F3691" s="2" t="str">
        <f>"9783031855788"</f>
        <v>9783031855788</v>
      </c>
    </row>
    <row r="3692" spans="1:6" s="3" customFormat="1" ht="29.1" customHeight="1" x14ac:dyDescent="0.25">
      <c r="A3692" s="2" t="s">
        <v>8108</v>
      </c>
      <c r="B3692" s="2" t="s">
        <v>8109</v>
      </c>
      <c r="C3692" s="2" t="s">
        <v>5</v>
      </c>
      <c r="D3692" s="2" t="s">
        <v>95</v>
      </c>
      <c r="E3692" s="2" t="str">
        <f>"9783031842528"</f>
        <v>9783031842528</v>
      </c>
      <c r="F3692" s="2" t="str">
        <f>"9783031842535"</f>
        <v>9783031842535</v>
      </c>
    </row>
    <row r="3693" spans="1:6" s="3" customFormat="1" ht="29.1" customHeight="1" x14ac:dyDescent="0.25">
      <c r="A3693" s="2" t="s">
        <v>8110</v>
      </c>
      <c r="B3693" s="2" t="s">
        <v>8111</v>
      </c>
      <c r="C3693" s="2" t="s">
        <v>29</v>
      </c>
      <c r="D3693" s="2" t="s">
        <v>2902</v>
      </c>
      <c r="E3693" s="2" t="str">
        <f>"9789004692961"</f>
        <v>9789004692961</v>
      </c>
      <c r="F3693" s="2" t="str">
        <f>"9789004692978"</f>
        <v>9789004692978</v>
      </c>
    </row>
    <row r="3694" spans="1:6" s="3" customFormat="1" ht="29.1" customHeight="1" x14ac:dyDescent="0.25">
      <c r="A3694" s="2" t="s">
        <v>8112</v>
      </c>
      <c r="B3694" s="2" t="s">
        <v>8113</v>
      </c>
      <c r="C3694" s="2" t="s">
        <v>927</v>
      </c>
      <c r="D3694" s="2" t="s">
        <v>66</v>
      </c>
      <c r="E3694" s="2" t="str">
        <f>"9780472039760"</f>
        <v>9780472039760</v>
      </c>
      <c r="F3694" s="2" t="str">
        <f>"9780472904730"</f>
        <v>9780472904730</v>
      </c>
    </row>
    <row r="3695" spans="1:6" s="3" customFormat="1" ht="29.1" customHeight="1" x14ac:dyDescent="0.25">
      <c r="A3695" s="2" t="s">
        <v>8114</v>
      </c>
      <c r="B3695" s="2" t="s">
        <v>8115</v>
      </c>
      <c r="C3695" s="2" t="s">
        <v>927</v>
      </c>
      <c r="D3695" s="2" t="s">
        <v>2208</v>
      </c>
      <c r="E3695" s="2" t="str">
        <f>"9780472057337"</f>
        <v>9780472057337</v>
      </c>
      <c r="F3695" s="2" t="str">
        <f>"9780472904945"</f>
        <v>9780472904945</v>
      </c>
    </row>
    <row r="3696" spans="1:6" s="3" customFormat="1" ht="29.1" customHeight="1" x14ac:dyDescent="0.25">
      <c r="A3696" s="2" t="s">
        <v>8116</v>
      </c>
      <c r="B3696" s="2" t="s">
        <v>8117</v>
      </c>
      <c r="C3696" s="2" t="s">
        <v>8104</v>
      </c>
      <c r="D3696" s="2" t="s">
        <v>636</v>
      </c>
      <c r="E3696" s="2" t="str">
        <f>"9781836951421"</f>
        <v>9781836951421</v>
      </c>
      <c r="F3696" s="2" t="str">
        <f>"9781836951407"</f>
        <v>9781836951407</v>
      </c>
    </row>
    <row r="3697" spans="1:6" s="3" customFormat="1" ht="29.1" customHeight="1" x14ac:dyDescent="0.25">
      <c r="A3697" s="2" t="s">
        <v>8118</v>
      </c>
      <c r="B3697" s="2" t="s">
        <v>8119</v>
      </c>
      <c r="C3697" s="2" t="s">
        <v>5</v>
      </c>
      <c r="D3697" s="2" t="s">
        <v>52</v>
      </c>
      <c r="E3697" s="2" t="str">
        <f>"9783031841699"</f>
        <v>9783031841699</v>
      </c>
      <c r="F3697" s="2" t="str">
        <f>"9783031841705"</f>
        <v>9783031841705</v>
      </c>
    </row>
    <row r="3698" spans="1:6" s="3" customFormat="1" ht="29.1" customHeight="1" x14ac:dyDescent="0.25">
      <c r="A3698" s="2" t="s">
        <v>8120</v>
      </c>
      <c r="B3698" s="2" t="s">
        <v>8121</v>
      </c>
      <c r="C3698" s="2" t="s">
        <v>556</v>
      </c>
      <c r="D3698" s="2" t="s">
        <v>2462</v>
      </c>
      <c r="E3698" s="2" t="str">
        <f>"9783837677065"</f>
        <v>9783837677065</v>
      </c>
      <c r="F3698" s="2" t="str">
        <f>"9783839477069"</f>
        <v>9783839477069</v>
      </c>
    </row>
    <row r="3699" spans="1:6" s="3" customFormat="1" ht="29.1" customHeight="1" x14ac:dyDescent="0.25">
      <c r="A3699" s="2" t="s">
        <v>8122</v>
      </c>
      <c r="B3699" s="2" t="s">
        <v>8123</v>
      </c>
      <c r="C3699" s="2" t="s">
        <v>8059</v>
      </c>
      <c r="D3699" s="2" t="s">
        <v>413</v>
      </c>
      <c r="E3699" s="2"/>
      <c r="F3699" s="2" t="str">
        <f>"9780906785058"</f>
        <v>9780906785058</v>
      </c>
    </row>
    <row r="3700" spans="1:6" s="3" customFormat="1" ht="29.1" customHeight="1" x14ac:dyDescent="0.25">
      <c r="A3700" s="2" t="s">
        <v>8124</v>
      </c>
      <c r="B3700" s="2" t="s">
        <v>8125</v>
      </c>
      <c r="C3700" s="2" t="s">
        <v>8059</v>
      </c>
      <c r="D3700" s="2" t="s">
        <v>1189</v>
      </c>
      <c r="E3700" s="2" t="str">
        <f>"9780906785317"</f>
        <v>9780906785317</v>
      </c>
      <c r="F3700" s="2" t="str">
        <f>"9780906785324"</f>
        <v>9780906785324</v>
      </c>
    </row>
    <row r="3701" spans="1:6" s="3" customFormat="1" ht="29.1" customHeight="1" x14ac:dyDescent="0.25">
      <c r="A3701" s="2" t="s">
        <v>8126</v>
      </c>
      <c r="B3701" s="2" t="s">
        <v>8127</v>
      </c>
      <c r="C3701" s="2" t="s">
        <v>239</v>
      </c>
      <c r="D3701" s="2" t="s">
        <v>5568</v>
      </c>
      <c r="E3701" s="2" t="str">
        <f>"9780520386488"</f>
        <v>9780520386488</v>
      </c>
      <c r="F3701" s="2" t="str">
        <f>"9780520386495"</f>
        <v>9780520386495</v>
      </c>
    </row>
    <row r="3702" spans="1:6" s="3" customFormat="1" ht="29.1" customHeight="1" x14ac:dyDescent="0.25">
      <c r="A3702" s="2" t="s">
        <v>8128</v>
      </c>
      <c r="B3702" s="2" t="s">
        <v>8129</v>
      </c>
      <c r="C3702" s="2" t="s">
        <v>5</v>
      </c>
      <c r="D3702" s="2" t="s">
        <v>547</v>
      </c>
      <c r="E3702" s="2" t="str">
        <f>"9789819624355"</f>
        <v>9789819624355</v>
      </c>
      <c r="F3702" s="2" t="str">
        <f>"9789819624362"</f>
        <v>9789819624362</v>
      </c>
    </row>
    <row r="3703" spans="1:6" s="3" customFormat="1" ht="29.1" customHeight="1" x14ac:dyDescent="0.25">
      <c r="A3703" s="2" t="s">
        <v>8130</v>
      </c>
      <c r="B3703" s="2" t="s">
        <v>8131</v>
      </c>
      <c r="C3703" s="2" t="s">
        <v>5</v>
      </c>
      <c r="D3703" s="2" t="s">
        <v>9</v>
      </c>
      <c r="E3703" s="2" t="str">
        <f>"9782384763719"</f>
        <v>9782384763719</v>
      </c>
      <c r="F3703" s="2" t="str">
        <f>"9782384763726"</f>
        <v>9782384763726</v>
      </c>
    </row>
    <row r="3704" spans="1:6" s="3" customFormat="1" ht="29.1" customHeight="1" x14ac:dyDescent="0.25">
      <c r="A3704" s="2" t="s">
        <v>8132</v>
      </c>
      <c r="B3704" s="2" t="s">
        <v>8133</v>
      </c>
      <c r="C3704" s="2" t="s">
        <v>885</v>
      </c>
      <c r="D3704" s="2" t="s">
        <v>2578</v>
      </c>
      <c r="E3704" s="2" t="str">
        <f>"9781487561109"</f>
        <v>9781487561109</v>
      </c>
      <c r="F3704" s="2" t="str">
        <f>"9781487561130"</f>
        <v>9781487561130</v>
      </c>
    </row>
    <row r="3705" spans="1:6" s="3" customFormat="1" ht="29.1" customHeight="1" x14ac:dyDescent="0.25">
      <c r="A3705" s="2" t="s">
        <v>8134</v>
      </c>
      <c r="B3705" s="2" t="s">
        <v>8135</v>
      </c>
      <c r="C3705" s="2" t="s">
        <v>556</v>
      </c>
      <c r="D3705" s="2" t="s">
        <v>674</v>
      </c>
      <c r="E3705" s="2" t="str">
        <f>"9783837670141"</f>
        <v>9783837670141</v>
      </c>
      <c r="F3705" s="2" t="str">
        <f>"9783839470145"</f>
        <v>9783839470145</v>
      </c>
    </row>
    <row r="3706" spans="1:6" s="3" customFormat="1" ht="29.1" customHeight="1" x14ac:dyDescent="0.25">
      <c r="A3706" s="2" t="s">
        <v>8136</v>
      </c>
      <c r="B3706" s="2" t="s">
        <v>8137</v>
      </c>
      <c r="C3706" s="2" t="s">
        <v>556</v>
      </c>
      <c r="D3706" s="2" t="s">
        <v>5794</v>
      </c>
      <c r="E3706" s="2" t="str">
        <f>"9783837675962"</f>
        <v>9783837675962</v>
      </c>
      <c r="F3706" s="2" t="str">
        <f>"9783839475966"</f>
        <v>9783839475966</v>
      </c>
    </row>
    <row r="3707" spans="1:6" s="3" customFormat="1" ht="29.1" customHeight="1" x14ac:dyDescent="0.25">
      <c r="A3707" s="2" t="s">
        <v>8138</v>
      </c>
      <c r="B3707" s="2" t="s">
        <v>8139</v>
      </c>
      <c r="C3707" s="2" t="s">
        <v>556</v>
      </c>
      <c r="D3707" s="2" t="s">
        <v>4210</v>
      </c>
      <c r="E3707" s="2" t="str">
        <f>"9783837674507"</f>
        <v>9783837674507</v>
      </c>
      <c r="F3707" s="2" t="str">
        <f>"9783839474501"</f>
        <v>9783839474501</v>
      </c>
    </row>
    <row r="3708" spans="1:6" s="3" customFormat="1" ht="29.1" customHeight="1" x14ac:dyDescent="0.25">
      <c r="A3708" s="2" t="s">
        <v>8140</v>
      </c>
      <c r="B3708" s="2" t="s">
        <v>8141</v>
      </c>
      <c r="C3708" s="2" t="s">
        <v>556</v>
      </c>
      <c r="D3708" s="2" t="s">
        <v>459</v>
      </c>
      <c r="E3708" s="2" t="str">
        <f>"9783837673098"</f>
        <v>9783837673098</v>
      </c>
      <c r="F3708" s="2" t="str">
        <f>"9783839473092"</f>
        <v>9783839473092</v>
      </c>
    </row>
    <row r="3709" spans="1:6" s="3" customFormat="1" ht="29.1" customHeight="1" x14ac:dyDescent="0.25">
      <c r="A3709" s="2" t="s">
        <v>8142</v>
      </c>
      <c r="B3709" s="2" t="s">
        <v>8143</v>
      </c>
      <c r="C3709" s="2" t="s">
        <v>556</v>
      </c>
      <c r="D3709" s="2" t="s">
        <v>1001</v>
      </c>
      <c r="E3709" s="2" t="str">
        <f>"9783837672725"</f>
        <v>9783837672725</v>
      </c>
      <c r="F3709" s="2" t="str">
        <f>"9783732872725"</f>
        <v>9783732872725</v>
      </c>
    </row>
    <row r="3710" spans="1:6" s="3" customFormat="1" ht="29.1" customHeight="1" x14ac:dyDescent="0.25">
      <c r="A3710" s="2" t="s">
        <v>8144</v>
      </c>
      <c r="B3710" s="2" t="s">
        <v>8145</v>
      </c>
      <c r="C3710" s="2" t="s">
        <v>556</v>
      </c>
      <c r="D3710" s="2" t="s">
        <v>951</v>
      </c>
      <c r="E3710" s="2" t="str">
        <f>"9783837670738"</f>
        <v>9783837670738</v>
      </c>
      <c r="F3710" s="2" t="str">
        <f>"9783839470732"</f>
        <v>9783839470732</v>
      </c>
    </row>
    <row r="3711" spans="1:6" s="3" customFormat="1" ht="29.1" customHeight="1" x14ac:dyDescent="0.25">
      <c r="A3711" s="2" t="s">
        <v>8146</v>
      </c>
      <c r="B3711" s="2" t="s">
        <v>8147</v>
      </c>
      <c r="C3711" s="2" t="s">
        <v>556</v>
      </c>
      <c r="D3711" s="2" t="s">
        <v>202</v>
      </c>
      <c r="E3711" s="2" t="str">
        <f>"9783837661958"</f>
        <v>9783837661958</v>
      </c>
      <c r="F3711" s="2" t="str">
        <f>"9783839461952"</f>
        <v>9783839461952</v>
      </c>
    </row>
    <row r="3712" spans="1:6" s="3" customFormat="1" ht="29.1" customHeight="1" x14ac:dyDescent="0.25">
      <c r="A3712" s="2" t="s">
        <v>8148</v>
      </c>
      <c r="B3712" s="2" t="s">
        <v>8150</v>
      </c>
      <c r="C3712" s="2" t="s">
        <v>556</v>
      </c>
      <c r="D3712" s="2" t="s">
        <v>8149</v>
      </c>
      <c r="E3712" s="2" t="str">
        <f>"9783837671612"</f>
        <v>9783837671612</v>
      </c>
      <c r="F3712" s="2" t="str">
        <f>"9783839471616"</f>
        <v>9783839471616</v>
      </c>
    </row>
    <row r="3713" spans="1:6" s="3" customFormat="1" ht="29.1" customHeight="1" x14ac:dyDescent="0.25">
      <c r="A3713" s="2" t="s">
        <v>8151</v>
      </c>
      <c r="B3713" s="2" t="s">
        <v>8152</v>
      </c>
      <c r="C3713" s="2" t="s">
        <v>556</v>
      </c>
      <c r="D3713" s="2" t="s">
        <v>1141</v>
      </c>
      <c r="E3713" s="2" t="str">
        <f>"9783837676556"</f>
        <v>9783837676556</v>
      </c>
      <c r="F3713" s="2" t="str">
        <f>"9783839476550"</f>
        <v>9783839476550</v>
      </c>
    </row>
    <row r="3714" spans="1:6" s="3" customFormat="1" ht="29.1" customHeight="1" x14ac:dyDescent="0.25">
      <c r="A3714" s="2" t="s">
        <v>8153</v>
      </c>
      <c r="B3714" s="2" t="s">
        <v>8154</v>
      </c>
      <c r="C3714" s="2" t="s">
        <v>556</v>
      </c>
      <c r="D3714" s="2" t="s">
        <v>1183</v>
      </c>
      <c r="E3714" s="2" t="str">
        <f>"9783837674842"</f>
        <v>9783837674842</v>
      </c>
      <c r="F3714" s="2" t="str">
        <f>"9783839474846"</f>
        <v>9783839474846</v>
      </c>
    </row>
    <row r="3715" spans="1:6" s="3" customFormat="1" ht="29.1" customHeight="1" x14ac:dyDescent="0.25">
      <c r="A3715" s="2" t="s">
        <v>8155</v>
      </c>
      <c r="B3715" s="2" t="s">
        <v>8156</v>
      </c>
      <c r="C3715" s="2" t="s">
        <v>556</v>
      </c>
      <c r="D3715" s="2" t="s">
        <v>183</v>
      </c>
      <c r="E3715" s="2" t="str">
        <f>"9783837677355"</f>
        <v>9783837677355</v>
      </c>
      <c r="F3715" s="2" t="str">
        <f>"9783839477359"</f>
        <v>9783839477359</v>
      </c>
    </row>
    <row r="3716" spans="1:6" s="3" customFormat="1" ht="29.1" customHeight="1" x14ac:dyDescent="0.25">
      <c r="A3716" s="2" t="s">
        <v>8157</v>
      </c>
      <c r="B3716" s="2" t="s">
        <v>8158</v>
      </c>
      <c r="C3716" s="2" t="s">
        <v>556</v>
      </c>
      <c r="D3716" s="2" t="s">
        <v>1127</v>
      </c>
      <c r="E3716" s="2" t="str">
        <f>"9783837676358"</f>
        <v>9783837676358</v>
      </c>
      <c r="F3716" s="2" t="str">
        <f>"9783839476352"</f>
        <v>9783839476352</v>
      </c>
    </row>
    <row r="3717" spans="1:6" s="3" customFormat="1" ht="29.1" customHeight="1" x14ac:dyDescent="0.25">
      <c r="A3717" s="2" t="s">
        <v>8159</v>
      </c>
      <c r="B3717" s="2" t="s">
        <v>8160</v>
      </c>
      <c r="C3717" s="2" t="s">
        <v>556</v>
      </c>
      <c r="D3717" s="2" t="s">
        <v>647</v>
      </c>
      <c r="E3717" s="2" t="str">
        <f>"9783837675597"</f>
        <v>9783837675597</v>
      </c>
      <c r="F3717" s="2" t="str">
        <f>"9783839475591"</f>
        <v>9783839475591</v>
      </c>
    </row>
    <row r="3718" spans="1:6" s="3" customFormat="1" ht="29.1" customHeight="1" x14ac:dyDescent="0.25">
      <c r="A3718" s="2" t="s">
        <v>8161</v>
      </c>
      <c r="B3718" s="2" t="s">
        <v>8162</v>
      </c>
      <c r="C3718" s="2" t="s">
        <v>556</v>
      </c>
      <c r="D3718" s="2" t="s">
        <v>1141</v>
      </c>
      <c r="E3718" s="2" t="str">
        <f>"9783837674293"</f>
        <v>9783837674293</v>
      </c>
      <c r="F3718" s="2" t="str">
        <f>"9783732874293"</f>
        <v>9783732874293</v>
      </c>
    </row>
    <row r="3719" spans="1:6" s="3" customFormat="1" ht="29.1" customHeight="1" x14ac:dyDescent="0.25">
      <c r="A3719" s="2" t="s">
        <v>8163</v>
      </c>
      <c r="B3719" s="2" t="s">
        <v>8164</v>
      </c>
      <c r="C3719" s="2" t="s">
        <v>556</v>
      </c>
      <c r="D3719" s="2" t="s">
        <v>1112</v>
      </c>
      <c r="E3719" s="2" t="str">
        <f>"9783837672589"</f>
        <v>9783837672589</v>
      </c>
      <c r="F3719" s="2" t="str">
        <f>"9783839472583"</f>
        <v>9783839472583</v>
      </c>
    </row>
    <row r="3720" spans="1:6" s="3" customFormat="1" ht="29.1" customHeight="1" x14ac:dyDescent="0.25">
      <c r="A3720" s="2" t="s">
        <v>8165</v>
      </c>
      <c r="B3720" s="2" t="s">
        <v>8166</v>
      </c>
      <c r="C3720" s="2" t="s">
        <v>556</v>
      </c>
      <c r="D3720" s="2" t="s">
        <v>5574</v>
      </c>
      <c r="E3720" s="2" t="str">
        <f>"9783837670677"</f>
        <v>9783837670677</v>
      </c>
      <c r="F3720" s="2" t="str">
        <f>"9783839470671"</f>
        <v>9783839470671</v>
      </c>
    </row>
    <row r="3721" spans="1:6" s="3" customFormat="1" ht="29.1" customHeight="1" x14ac:dyDescent="0.25">
      <c r="A3721" s="2" t="s">
        <v>8167</v>
      </c>
      <c r="B3721" s="2" t="s">
        <v>8168</v>
      </c>
      <c r="C3721" s="2" t="s">
        <v>556</v>
      </c>
      <c r="D3721" s="2" t="s">
        <v>2326</v>
      </c>
      <c r="E3721" s="2" t="str">
        <f>"9783837657838"</f>
        <v>9783837657838</v>
      </c>
      <c r="F3721" s="2" t="str">
        <f>"9783839457832"</f>
        <v>9783839457832</v>
      </c>
    </row>
    <row r="3722" spans="1:6" s="3" customFormat="1" ht="29.1" customHeight="1" x14ac:dyDescent="0.25">
      <c r="A3722" s="2" t="s">
        <v>8169</v>
      </c>
      <c r="B3722" s="2" t="s">
        <v>8170</v>
      </c>
      <c r="C3722" s="2" t="s">
        <v>556</v>
      </c>
      <c r="D3722" s="2" t="s">
        <v>4210</v>
      </c>
      <c r="E3722" s="2" t="str">
        <f>"9783837676426"</f>
        <v>9783837676426</v>
      </c>
      <c r="F3722" s="2" t="str">
        <f>"9783839476420"</f>
        <v>9783839476420</v>
      </c>
    </row>
    <row r="3723" spans="1:6" s="3" customFormat="1" ht="29.1" customHeight="1" x14ac:dyDescent="0.25">
      <c r="A3723" s="2" t="s">
        <v>8171</v>
      </c>
      <c r="B3723" s="2" t="s">
        <v>8172</v>
      </c>
      <c r="C3723" s="2" t="s">
        <v>556</v>
      </c>
      <c r="D3723" s="2" t="s">
        <v>2086</v>
      </c>
      <c r="E3723" s="2" t="str">
        <f>"9783837674378"</f>
        <v>9783837674378</v>
      </c>
      <c r="F3723" s="2" t="str">
        <f>"9783839474372"</f>
        <v>9783839474372</v>
      </c>
    </row>
    <row r="3724" spans="1:6" s="3" customFormat="1" ht="29.1" customHeight="1" x14ac:dyDescent="0.25">
      <c r="A3724" s="2" t="s">
        <v>8173</v>
      </c>
      <c r="B3724" s="2" t="s">
        <v>8174</v>
      </c>
      <c r="C3724" s="2" t="s">
        <v>556</v>
      </c>
      <c r="D3724" s="2" t="s">
        <v>2587</v>
      </c>
      <c r="E3724" s="2" t="str">
        <f>"9783837676044"</f>
        <v>9783837676044</v>
      </c>
      <c r="F3724" s="2" t="str">
        <f>"9783839476048"</f>
        <v>9783839476048</v>
      </c>
    </row>
    <row r="3725" spans="1:6" s="3" customFormat="1" ht="29.1" customHeight="1" x14ac:dyDescent="0.25">
      <c r="A3725" s="2" t="s">
        <v>8176</v>
      </c>
      <c r="B3725" s="2" t="s">
        <v>8177</v>
      </c>
      <c r="C3725" s="2" t="s">
        <v>556</v>
      </c>
      <c r="D3725" s="2" t="s">
        <v>7280</v>
      </c>
      <c r="E3725" s="2" t="str">
        <f>"9783837676815"</f>
        <v>9783837676815</v>
      </c>
      <c r="F3725" s="2" t="str">
        <f>"9783839476819"</f>
        <v>9783839476819</v>
      </c>
    </row>
    <row r="3726" spans="1:6" s="3" customFormat="1" ht="29.1" customHeight="1" x14ac:dyDescent="0.25">
      <c r="A3726" s="2" t="s">
        <v>8178</v>
      </c>
      <c r="B3726" s="2" t="s">
        <v>8179</v>
      </c>
      <c r="C3726" s="2" t="s">
        <v>556</v>
      </c>
      <c r="D3726" s="2" t="s">
        <v>636</v>
      </c>
      <c r="E3726" s="2" t="str">
        <f>"9783837670608"</f>
        <v>9783837670608</v>
      </c>
      <c r="F3726" s="2" t="str">
        <f>"9783839470602"</f>
        <v>9783839470602</v>
      </c>
    </row>
    <row r="3727" spans="1:6" s="3" customFormat="1" ht="29.1" customHeight="1" x14ac:dyDescent="0.25">
      <c r="A3727" s="2" t="s">
        <v>8180</v>
      </c>
      <c r="B3727" s="2" t="s">
        <v>8181</v>
      </c>
      <c r="C3727" s="2" t="s">
        <v>556</v>
      </c>
      <c r="D3727" s="2" t="s">
        <v>636</v>
      </c>
      <c r="E3727" s="2" t="str">
        <f>"9783837676488"</f>
        <v>9783837676488</v>
      </c>
      <c r="F3727" s="2" t="str">
        <f>"9783839476482"</f>
        <v>9783839476482</v>
      </c>
    </row>
    <row r="3728" spans="1:6" s="3" customFormat="1" ht="29.1" customHeight="1" x14ac:dyDescent="0.25">
      <c r="A3728" s="2" t="s">
        <v>8182</v>
      </c>
      <c r="B3728" s="2" t="s">
        <v>8183</v>
      </c>
      <c r="C3728" s="2" t="s">
        <v>556</v>
      </c>
      <c r="D3728" s="2" t="s">
        <v>215</v>
      </c>
      <c r="E3728" s="2" t="str">
        <f>"9783837671841"</f>
        <v>9783837671841</v>
      </c>
      <c r="F3728" s="2" t="str">
        <f>"9783839471845"</f>
        <v>9783839471845</v>
      </c>
    </row>
    <row r="3729" spans="1:6" s="3" customFormat="1" ht="29.1" customHeight="1" x14ac:dyDescent="0.25">
      <c r="A3729" s="2" t="s">
        <v>8184</v>
      </c>
      <c r="B3729" s="2" t="s">
        <v>8185</v>
      </c>
      <c r="C3729" s="2" t="s">
        <v>556</v>
      </c>
      <c r="D3729" s="2" t="s">
        <v>6429</v>
      </c>
      <c r="E3729" s="2" t="str">
        <f>"9783837670974"</f>
        <v>9783837670974</v>
      </c>
      <c r="F3729" s="2" t="str">
        <f>"9783839470978"</f>
        <v>9783839470978</v>
      </c>
    </row>
    <row r="3730" spans="1:6" s="3" customFormat="1" ht="29.1" customHeight="1" x14ac:dyDescent="0.25">
      <c r="A3730" s="2" t="s">
        <v>8186</v>
      </c>
      <c r="B3730" s="2" t="s">
        <v>8187</v>
      </c>
      <c r="C3730" s="2" t="s">
        <v>149</v>
      </c>
      <c r="D3730" s="2" t="s">
        <v>4654</v>
      </c>
      <c r="E3730" s="2" t="str">
        <f>"9781805113560"</f>
        <v>9781805113560</v>
      </c>
      <c r="F3730" s="2" t="str">
        <f>"9781805113584"</f>
        <v>9781805113584</v>
      </c>
    </row>
    <row r="3731" spans="1:6" s="3" customFormat="1" ht="29.1" customHeight="1" x14ac:dyDescent="0.25">
      <c r="A3731" s="2" t="s">
        <v>8188</v>
      </c>
      <c r="B3731" s="2" t="s">
        <v>8190</v>
      </c>
      <c r="C3731" s="2" t="s">
        <v>1070</v>
      </c>
      <c r="D3731" s="2" t="s">
        <v>8189</v>
      </c>
      <c r="E3731" s="2" t="str">
        <f>"9783318073881"</f>
        <v>9783318073881</v>
      </c>
      <c r="F3731" s="2" t="str">
        <f>"9783318073898"</f>
        <v>9783318073898</v>
      </c>
    </row>
    <row r="3732" spans="1:6" s="3" customFormat="1" ht="29.1" customHeight="1" x14ac:dyDescent="0.25">
      <c r="A3732" s="2" t="s">
        <v>8191</v>
      </c>
      <c r="B3732" s="2" t="s">
        <v>8192</v>
      </c>
      <c r="C3732" s="2" t="s">
        <v>8059</v>
      </c>
      <c r="D3732" s="2" t="s">
        <v>1155</v>
      </c>
      <c r="E3732" s="2" t="str">
        <f>"9781776490011"</f>
        <v>9781776490011</v>
      </c>
      <c r="F3732" s="2" t="str">
        <f>"9781776490028"</f>
        <v>9781776490028</v>
      </c>
    </row>
    <row r="3733" spans="1:6" s="3" customFormat="1" ht="29.1" customHeight="1" x14ac:dyDescent="0.25">
      <c r="A3733" s="2" t="s">
        <v>8193</v>
      </c>
      <c r="B3733" s="2" t="s">
        <v>8195</v>
      </c>
      <c r="C3733" s="2" t="s">
        <v>8059</v>
      </c>
      <c r="D3733" s="2" t="s">
        <v>8194</v>
      </c>
      <c r="E3733" s="2" t="str">
        <f>"9780906785157"</f>
        <v>9780906785157</v>
      </c>
      <c r="F3733" s="2" t="str">
        <f>"9780906785164"</f>
        <v>9780906785164</v>
      </c>
    </row>
    <row r="3734" spans="1:6" s="3" customFormat="1" ht="29.1" customHeight="1" x14ac:dyDescent="0.25">
      <c r="A3734" s="2" t="s">
        <v>8196</v>
      </c>
      <c r="B3734" s="2" t="s">
        <v>8197</v>
      </c>
      <c r="C3734" s="2" t="s">
        <v>8059</v>
      </c>
      <c r="D3734" s="2" t="s">
        <v>24</v>
      </c>
      <c r="E3734" s="2" t="str">
        <f>"9781776490066"</f>
        <v>9781776490066</v>
      </c>
      <c r="F3734" s="2" t="str">
        <f>"9781776490073"</f>
        <v>9781776490073</v>
      </c>
    </row>
    <row r="3735" spans="1:6" s="3" customFormat="1" ht="29.1" customHeight="1" x14ac:dyDescent="0.25">
      <c r="A3735" s="2" t="s">
        <v>8198</v>
      </c>
      <c r="B3735" s="2" t="s">
        <v>8200</v>
      </c>
      <c r="C3735" s="2" t="s">
        <v>8059</v>
      </c>
      <c r="D3735" s="2" t="s">
        <v>8199</v>
      </c>
      <c r="E3735" s="2" t="str">
        <f>"9781776489848"</f>
        <v>9781776489848</v>
      </c>
      <c r="F3735" s="2" t="str">
        <f>"9781776489855"</f>
        <v>9781776489855</v>
      </c>
    </row>
    <row r="3736" spans="1:6" s="3" customFormat="1" ht="29.1" customHeight="1" x14ac:dyDescent="0.25">
      <c r="A3736" s="2" t="s">
        <v>8201</v>
      </c>
      <c r="B3736" s="2" t="s">
        <v>8203</v>
      </c>
      <c r="C3736" s="2" t="s">
        <v>8059</v>
      </c>
      <c r="D3736" s="2" t="s">
        <v>8202</v>
      </c>
      <c r="E3736" s="2" t="str">
        <f>"9781776489800"</f>
        <v>9781776489800</v>
      </c>
      <c r="F3736" s="2" t="str">
        <f>"9781776489817"</f>
        <v>9781776489817</v>
      </c>
    </row>
    <row r="3737" spans="1:6" s="3" customFormat="1" ht="29.1" customHeight="1" x14ac:dyDescent="0.25">
      <c r="A3737" s="2" t="s">
        <v>8204</v>
      </c>
      <c r="B3737" s="2" t="s">
        <v>8205</v>
      </c>
      <c r="C3737" s="2" t="s">
        <v>8059</v>
      </c>
      <c r="D3737" s="2" t="s">
        <v>413</v>
      </c>
      <c r="E3737" s="2" t="str">
        <f>"9781776489893"</f>
        <v>9781776489893</v>
      </c>
      <c r="F3737" s="2" t="str">
        <f>"9781776489909"</f>
        <v>9781776489909</v>
      </c>
    </row>
    <row r="3738" spans="1:6" s="3" customFormat="1" ht="29.1" customHeight="1" x14ac:dyDescent="0.25">
      <c r="A3738" s="2" t="s">
        <v>8206</v>
      </c>
      <c r="B3738" s="2" t="s">
        <v>8207</v>
      </c>
      <c r="C3738" s="2" t="s">
        <v>8059</v>
      </c>
      <c r="D3738" s="2" t="s">
        <v>7640</v>
      </c>
      <c r="E3738" s="2" t="str">
        <f>"9780906785119"</f>
        <v>9780906785119</v>
      </c>
      <c r="F3738" s="2" t="str">
        <f>"9780906785126"</f>
        <v>9780906785126</v>
      </c>
    </row>
    <row r="3739" spans="1:6" s="3" customFormat="1" ht="29.1" customHeight="1" x14ac:dyDescent="0.25">
      <c r="A3739" s="2" t="s">
        <v>8208</v>
      </c>
      <c r="B3739" s="2" t="s">
        <v>8062</v>
      </c>
      <c r="C3739" s="2" t="s">
        <v>8059</v>
      </c>
      <c r="D3739" s="2" t="s">
        <v>3019</v>
      </c>
      <c r="E3739" s="2"/>
      <c r="F3739" s="2" t="str">
        <f>"9780906785102"</f>
        <v>9780906785102</v>
      </c>
    </row>
    <row r="3740" spans="1:6" s="3" customFormat="1" ht="29.1" customHeight="1" x14ac:dyDescent="0.25">
      <c r="A3740" s="2" t="s">
        <v>8209</v>
      </c>
      <c r="B3740" s="2" t="s">
        <v>8210</v>
      </c>
      <c r="C3740" s="2" t="s">
        <v>8059</v>
      </c>
      <c r="D3740" s="2" t="s">
        <v>5930</v>
      </c>
      <c r="E3740" s="2" t="str">
        <f>"9780906785270"</f>
        <v>9780906785270</v>
      </c>
      <c r="F3740" s="2" t="str">
        <f>"9780906785287"</f>
        <v>9780906785287</v>
      </c>
    </row>
    <row r="3741" spans="1:6" s="3" customFormat="1" ht="29.1" customHeight="1" x14ac:dyDescent="0.25">
      <c r="A3741" s="2" t="s">
        <v>8211</v>
      </c>
      <c r="B3741" s="2" t="s">
        <v>8062</v>
      </c>
      <c r="C3741" s="2" t="s">
        <v>8059</v>
      </c>
      <c r="D3741" s="2" t="s">
        <v>3019</v>
      </c>
      <c r="E3741" s="2"/>
      <c r="F3741" s="2" t="str">
        <f>"9780906785201"</f>
        <v>9780906785201</v>
      </c>
    </row>
    <row r="3742" spans="1:6" s="3" customFormat="1" ht="29.1" customHeight="1" x14ac:dyDescent="0.25">
      <c r="A3742" s="2" t="s">
        <v>8212</v>
      </c>
      <c r="B3742" s="2" t="s">
        <v>8214</v>
      </c>
      <c r="C3742" s="2" t="s">
        <v>8059</v>
      </c>
      <c r="D3742" s="2" t="s">
        <v>8213</v>
      </c>
      <c r="E3742" s="2" t="str">
        <f>"9780906785454"</f>
        <v>9780906785454</v>
      </c>
      <c r="F3742" s="2" t="str">
        <f>"9780906785461"</f>
        <v>9780906785461</v>
      </c>
    </row>
    <row r="3743" spans="1:6" s="3" customFormat="1" ht="29.1" customHeight="1" x14ac:dyDescent="0.25">
      <c r="A3743" s="2" t="s">
        <v>8215</v>
      </c>
      <c r="B3743" s="2" t="s">
        <v>8216</v>
      </c>
      <c r="C3743" s="2" t="s">
        <v>8059</v>
      </c>
      <c r="D3743" s="2" t="s">
        <v>8199</v>
      </c>
      <c r="E3743" s="2" t="str">
        <f>"9780906785416"</f>
        <v>9780906785416</v>
      </c>
      <c r="F3743" s="2" t="str">
        <f>"9780906785423"</f>
        <v>9780906785423</v>
      </c>
    </row>
    <row r="3744" spans="1:6" s="3" customFormat="1" ht="29.1" customHeight="1" x14ac:dyDescent="0.25">
      <c r="A3744" s="2" t="s">
        <v>8217</v>
      </c>
      <c r="B3744" s="2" t="s">
        <v>8218</v>
      </c>
      <c r="C3744" s="2" t="s">
        <v>8059</v>
      </c>
      <c r="D3744" s="2" t="s">
        <v>2019</v>
      </c>
      <c r="E3744" s="2" t="str">
        <f>"9781776489978"</f>
        <v>9781776489978</v>
      </c>
      <c r="F3744" s="2" t="str">
        <f>"9781776489985"</f>
        <v>9781776489985</v>
      </c>
    </row>
    <row r="3745" spans="1:6" s="3" customFormat="1" ht="29.1" customHeight="1" x14ac:dyDescent="0.25">
      <c r="A3745" s="2" t="s">
        <v>8219</v>
      </c>
      <c r="B3745" s="2" t="s">
        <v>8220</v>
      </c>
      <c r="C3745" s="2" t="s">
        <v>8059</v>
      </c>
      <c r="D3745" s="2" t="s">
        <v>7079</v>
      </c>
      <c r="E3745" s="2" t="str">
        <f>"9781776489930"</f>
        <v>9781776489930</v>
      </c>
      <c r="F3745" s="2" t="str">
        <f>"9781776489947"</f>
        <v>9781776489947</v>
      </c>
    </row>
    <row r="3746" spans="1:6" s="3" customFormat="1" ht="29.1" customHeight="1" x14ac:dyDescent="0.25">
      <c r="A3746" s="2" t="s">
        <v>8221</v>
      </c>
      <c r="B3746" s="2" t="s">
        <v>8222</v>
      </c>
      <c r="C3746" s="2" t="s">
        <v>8059</v>
      </c>
      <c r="D3746" s="2" t="s">
        <v>4071</v>
      </c>
      <c r="E3746" s="2" t="str">
        <f>"9780906785003"</f>
        <v>9780906785003</v>
      </c>
      <c r="F3746" s="2" t="str">
        <f>"9780906785010"</f>
        <v>9780906785010</v>
      </c>
    </row>
    <row r="3747" spans="1:6" s="3" customFormat="1" ht="29.1" customHeight="1" x14ac:dyDescent="0.25">
      <c r="A3747" s="2" t="s">
        <v>8223</v>
      </c>
      <c r="B3747" s="2" t="s">
        <v>8224</v>
      </c>
      <c r="C3747" s="2" t="s">
        <v>8059</v>
      </c>
      <c r="D3747" s="2" t="s">
        <v>553</v>
      </c>
      <c r="E3747" s="2" t="str">
        <f>"9781776489343"</f>
        <v>9781776489343</v>
      </c>
      <c r="F3747" s="2" t="str">
        <f>"9781776489350"</f>
        <v>9781776489350</v>
      </c>
    </row>
    <row r="3748" spans="1:6" s="3" customFormat="1" ht="29.1" customHeight="1" x14ac:dyDescent="0.25">
      <c r="A3748" s="2" t="s">
        <v>8225</v>
      </c>
      <c r="B3748" s="2" t="s">
        <v>8226</v>
      </c>
      <c r="C3748" s="2" t="s">
        <v>8059</v>
      </c>
      <c r="D3748" s="2" t="s">
        <v>78</v>
      </c>
      <c r="E3748" s="2" t="str">
        <f>"9781776489725"</f>
        <v>9781776489725</v>
      </c>
      <c r="F3748" s="2" t="str">
        <f>"9781776489732"</f>
        <v>9781776489732</v>
      </c>
    </row>
    <row r="3749" spans="1:6" s="3" customFormat="1" ht="29.1" customHeight="1" x14ac:dyDescent="0.25">
      <c r="A3749" s="2" t="s">
        <v>8227</v>
      </c>
      <c r="B3749" s="2" t="s">
        <v>8228</v>
      </c>
      <c r="C3749" s="2" t="s">
        <v>55</v>
      </c>
      <c r="D3749" s="2" t="s">
        <v>818</v>
      </c>
      <c r="E3749" s="2" t="str">
        <f>"9781526171443"</f>
        <v>9781526171443</v>
      </c>
      <c r="F3749" s="2" t="str">
        <f>"9781526171450"</f>
        <v>9781526171450</v>
      </c>
    </row>
    <row r="3750" spans="1:6" s="3" customFormat="1" ht="29.1" customHeight="1" x14ac:dyDescent="0.25">
      <c r="A3750" s="2" t="s">
        <v>8229</v>
      </c>
      <c r="B3750" s="2" t="s">
        <v>8230</v>
      </c>
      <c r="C3750" s="2" t="s">
        <v>149</v>
      </c>
      <c r="D3750" s="2" t="s">
        <v>107</v>
      </c>
      <c r="E3750" s="2" t="str">
        <f>"9781685711580"</f>
        <v>9781685711580</v>
      </c>
      <c r="F3750" s="2" t="str">
        <f>"9781685711597"</f>
        <v>9781685711597</v>
      </c>
    </row>
    <row r="3751" spans="1:6" s="3" customFormat="1" ht="29.1" customHeight="1" x14ac:dyDescent="0.25">
      <c r="A3751" s="2" t="s">
        <v>8231</v>
      </c>
      <c r="B3751" s="2" t="s">
        <v>8232</v>
      </c>
      <c r="C3751" s="2" t="s">
        <v>5</v>
      </c>
      <c r="D3751" s="2" t="s">
        <v>297</v>
      </c>
      <c r="E3751" s="2" t="str">
        <f>"9783031716775"</f>
        <v>9783031716775</v>
      </c>
      <c r="F3751" s="2" t="str">
        <f>"9783031716782"</f>
        <v>9783031716782</v>
      </c>
    </row>
    <row r="3752" spans="1:6" s="3" customFormat="1" ht="29.1" customHeight="1" x14ac:dyDescent="0.25">
      <c r="A3752" s="2" t="s">
        <v>8233</v>
      </c>
      <c r="B3752" s="2" t="s">
        <v>8235</v>
      </c>
      <c r="C3752" s="2" t="s">
        <v>4197</v>
      </c>
      <c r="D3752" s="2" t="s">
        <v>8234</v>
      </c>
      <c r="E3752" s="2" t="str">
        <f>"9783985470914"</f>
        <v>9783985470914</v>
      </c>
      <c r="F3752" s="2" t="str">
        <f>"9783985475919"</f>
        <v>9783985475919</v>
      </c>
    </row>
    <row r="3753" spans="1:6" s="3" customFormat="1" ht="29.1" customHeight="1" x14ac:dyDescent="0.25">
      <c r="A3753" s="2" t="s">
        <v>8236</v>
      </c>
      <c r="B3753" s="2" t="s">
        <v>8238</v>
      </c>
      <c r="C3753" s="2" t="s">
        <v>4197</v>
      </c>
      <c r="D3753" s="2" t="s">
        <v>8237</v>
      </c>
      <c r="E3753" s="2" t="str">
        <f>"9783985470877"</f>
        <v>9783985470877</v>
      </c>
      <c r="F3753" s="2" t="str">
        <f>"9783985475872"</f>
        <v>9783985475872</v>
      </c>
    </row>
    <row r="3754" spans="1:6" s="3" customFormat="1" ht="29.1" customHeight="1" x14ac:dyDescent="0.25">
      <c r="A3754" s="2" t="s">
        <v>8239</v>
      </c>
      <c r="B3754" s="2" t="s">
        <v>8240</v>
      </c>
      <c r="C3754" s="2" t="s">
        <v>4197</v>
      </c>
      <c r="D3754" s="2" t="s">
        <v>8237</v>
      </c>
      <c r="E3754" s="2" t="str">
        <f>"9783985470860"</f>
        <v>9783985470860</v>
      </c>
      <c r="F3754" s="2" t="str">
        <f>"9783985475865"</f>
        <v>9783985475865</v>
      </c>
    </row>
    <row r="3755" spans="1:6" s="3" customFormat="1" ht="29.1" customHeight="1" x14ac:dyDescent="0.25">
      <c r="A3755" s="2" t="s">
        <v>8241</v>
      </c>
      <c r="B3755" s="2" t="s">
        <v>8243</v>
      </c>
      <c r="C3755" s="2" t="s">
        <v>4197</v>
      </c>
      <c r="D3755" s="2" t="s">
        <v>8242</v>
      </c>
      <c r="E3755" s="2" t="str">
        <f>"9783985470853"</f>
        <v>9783985470853</v>
      </c>
      <c r="F3755" s="2" t="str">
        <f>"9783985475858"</f>
        <v>9783985475858</v>
      </c>
    </row>
    <row r="3756" spans="1:6" s="3" customFormat="1" ht="29.1" customHeight="1" x14ac:dyDescent="0.25">
      <c r="A3756" s="2" t="s">
        <v>8244</v>
      </c>
      <c r="B3756" s="2" t="s">
        <v>8245</v>
      </c>
      <c r="C3756" s="2" t="s">
        <v>62</v>
      </c>
      <c r="D3756" s="2" t="s">
        <v>5021</v>
      </c>
      <c r="E3756" s="2" t="str">
        <f>"9783428194193"</f>
        <v>9783428194193</v>
      </c>
      <c r="F3756" s="2" t="str">
        <f>"9783428594191"</f>
        <v>9783428594191</v>
      </c>
    </row>
    <row r="3757" spans="1:6" s="3" customFormat="1" ht="29.1" customHeight="1" x14ac:dyDescent="0.25">
      <c r="A3757" s="2" t="s">
        <v>8246</v>
      </c>
      <c r="B3757" s="2" t="s">
        <v>8247</v>
      </c>
      <c r="C3757" s="2" t="s">
        <v>5</v>
      </c>
      <c r="D3757" s="2" t="s">
        <v>353</v>
      </c>
      <c r="E3757" s="2" t="str">
        <f>"9783031837241"</f>
        <v>9783031837241</v>
      </c>
      <c r="F3757" s="2" t="str">
        <f>"9783031837258"</f>
        <v>9783031837258</v>
      </c>
    </row>
    <row r="3758" spans="1:6" s="3" customFormat="1" ht="29.1" customHeight="1" x14ac:dyDescent="0.25">
      <c r="A3758" s="2" t="s">
        <v>8248</v>
      </c>
      <c r="B3758" s="2" t="s">
        <v>8249</v>
      </c>
      <c r="C3758" s="2" t="s">
        <v>5</v>
      </c>
      <c r="D3758" s="2" t="s">
        <v>381</v>
      </c>
      <c r="E3758" s="2" t="str">
        <f>"9783031832734"</f>
        <v>9783031832734</v>
      </c>
      <c r="F3758" s="2" t="str">
        <f>"9783031832741"</f>
        <v>9783031832741</v>
      </c>
    </row>
    <row r="3759" spans="1:6" s="3" customFormat="1" ht="29.1" customHeight="1" x14ac:dyDescent="0.25">
      <c r="A3759" s="2" t="s">
        <v>8250</v>
      </c>
      <c r="B3759" s="2" t="s">
        <v>8251</v>
      </c>
      <c r="C3759" s="2" t="s">
        <v>5</v>
      </c>
      <c r="D3759" s="2" t="s">
        <v>5228</v>
      </c>
      <c r="E3759" s="2" t="str">
        <f>"9783658447809"</f>
        <v>9783658447809</v>
      </c>
      <c r="F3759" s="2" t="str">
        <f>"9783658447816"</f>
        <v>9783658447816</v>
      </c>
    </row>
    <row r="3760" spans="1:6" s="3" customFormat="1" ht="29.1" customHeight="1" x14ac:dyDescent="0.25">
      <c r="A3760" s="2" t="s">
        <v>8252</v>
      </c>
      <c r="B3760" s="2" t="s">
        <v>8253</v>
      </c>
      <c r="C3760" s="2" t="s">
        <v>149</v>
      </c>
      <c r="D3760" s="2" t="s">
        <v>1097</v>
      </c>
      <c r="E3760" s="2" t="str">
        <f>"9781805114956"</f>
        <v>9781805114956</v>
      </c>
      <c r="F3760" s="2" t="str">
        <f>"9781805114970"</f>
        <v>9781805114970</v>
      </c>
    </row>
    <row r="3761" spans="1:6" s="3" customFormat="1" ht="29.1" customHeight="1" x14ac:dyDescent="0.25">
      <c r="A3761" s="2" t="s">
        <v>8254</v>
      </c>
      <c r="B3761" s="2" t="s">
        <v>8255</v>
      </c>
      <c r="C3761" s="2" t="s">
        <v>149</v>
      </c>
      <c r="D3761" s="2" t="s">
        <v>1141</v>
      </c>
      <c r="E3761" s="2" t="str">
        <f>"9781685712242"</f>
        <v>9781685712242</v>
      </c>
      <c r="F3761" s="2" t="str">
        <f>"9781685712259"</f>
        <v>9781685712259</v>
      </c>
    </row>
    <row r="3762" spans="1:6" s="3" customFormat="1" ht="29.1" customHeight="1" x14ac:dyDescent="0.25">
      <c r="A3762" s="2" t="s">
        <v>8256</v>
      </c>
      <c r="B3762" s="2" t="s">
        <v>8257</v>
      </c>
      <c r="C3762" s="2" t="s">
        <v>5</v>
      </c>
      <c r="D3762" s="2" t="s">
        <v>44</v>
      </c>
      <c r="E3762" s="2" t="str">
        <f>"9789464636574"</f>
        <v>9789464636574</v>
      </c>
      <c r="F3762" s="2" t="str">
        <f>"9789464636581"</f>
        <v>9789464636581</v>
      </c>
    </row>
    <row r="3763" spans="1:6" s="3" customFormat="1" ht="29.1" customHeight="1" x14ac:dyDescent="0.25">
      <c r="A3763" s="2" t="s">
        <v>8258</v>
      </c>
      <c r="B3763" s="2" t="s">
        <v>8259</v>
      </c>
      <c r="C3763" s="2" t="s">
        <v>5</v>
      </c>
      <c r="D3763" s="2" t="s">
        <v>694</v>
      </c>
      <c r="E3763" s="2" t="str">
        <f>"9782384763672"</f>
        <v>9782384763672</v>
      </c>
      <c r="F3763" s="2" t="str">
        <f>"9782384763689"</f>
        <v>9782384763689</v>
      </c>
    </row>
    <row r="3764" spans="1:6" s="3" customFormat="1" ht="29.1" customHeight="1" x14ac:dyDescent="0.25">
      <c r="A3764" s="2" t="s">
        <v>8260</v>
      </c>
      <c r="B3764" s="2" t="s">
        <v>8261</v>
      </c>
      <c r="C3764" s="2" t="s">
        <v>5</v>
      </c>
      <c r="D3764" s="2" t="s">
        <v>9</v>
      </c>
      <c r="E3764" s="2" t="str">
        <f>"9782384763696"</f>
        <v>9782384763696</v>
      </c>
      <c r="F3764" s="2" t="str">
        <f>"9782384763702"</f>
        <v>9782384763702</v>
      </c>
    </row>
    <row r="3765" spans="1:6" s="3" customFormat="1" ht="29.1" customHeight="1" x14ac:dyDescent="0.25">
      <c r="A3765" s="2" t="s">
        <v>8262</v>
      </c>
      <c r="B3765" s="2" t="s">
        <v>8263</v>
      </c>
      <c r="C3765" s="2" t="s">
        <v>5</v>
      </c>
      <c r="D3765" s="2" t="s">
        <v>5408</v>
      </c>
      <c r="E3765" s="2" t="str">
        <f>"9783031701054"</f>
        <v>9783031701054</v>
      </c>
      <c r="F3765" s="2" t="str">
        <f>"9783031701061"</f>
        <v>9783031701061</v>
      </c>
    </row>
    <row r="3766" spans="1:6" s="3" customFormat="1" ht="29.1" customHeight="1" x14ac:dyDescent="0.25">
      <c r="A3766" s="2" t="s">
        <v>8264</v>
      </c>
      <c r="B3766" s="2" t="s">
        <v>8265</v>
      </c>
      <c r="C3766" s="2" t="s">
        <v>5</v>
      </c>
      <c r="D3766" s="2" t="s">
        <v>712</v>
      </c>
      <c r="E3766" s="2" t="str">
        <f>"9783658467678"</f>
        <v>9783658467678</v>
      </c>
      <c r="F3766" s="2" t="str">
        <f>"9783658467685"</f>
        <v>9783658467685</v>
      </c>
    </row>
    <row r="3767" spans="1:6" s="3" customFormat="1" ht="29.1" customHeight="1" x14ac:dyDescent="0.25">
      <c r="A3767" s="2" t="s">
        <v>8266</v>
      </c>
      <c r="B3767" s="2" t="s">
        <v>8267</v>
      </c>
      <c r="C3767" s="2" t="s">
        <v>29</v>
      </c>
      <c r="D3767" s="2" t="s">
        <v>7669</v>
      </c>
      <c r="E3767" s="2" t="str">
        <f>"9789004727021"</f>
        <v>9789004727021</v>
      </c>
      <c r="F3767" s="2" t="str">
        <f>"9789004727397"</f>
        <v>9789004727397</v>
      </c>
    </row>
    <row r="3768" spans="1:6" s="3" customFormat="1" ht="29.1" customHeight="1" x14ac:dyDescent="0.25">
      <c r="A3768" s="2" t="s">
        <v>8268</v>
      </c>
      <c r="B3768" s="2" t="s">
        <v>8269</v>
      </c>
      <c r="C3768" s="2" t="s">
        <v>29</v>
      </c>
      <c r="D3768" s="2" t="s">
        <v>509</v>
      </c>
      <c r="E3768" s="2" t="str">
        <f>"9789004706668"</f>
        <v>9789004706668</v>
      </c>
      <c r="F3768" s="2" t="str">
        <f>"9789004711747"</f>
        <v>9789004711747</v>
      </c>
    </row>
    <row r="3769" spans="1:6" s="3" customFormat="1" ht="29.1" customHeight="1" x14ac:dyDescent="0.25">
      <c r="A3769" s="2" t="s">
        <v>8270</v>
      </c>
      <c r="B3769" s="2" t="s">
        <v>8271</v>
      </c>
      <c r="C3769" s="2" t="s">
        <v>5</v>
      </c>
      <c r="D3769" s="2" t="s">
        <v>162</v>
      </c>
      <c r="E3769" s="2" t="str">
        <f>"9783662697344"</f>
        <v>9783662697344</v>
      </c>
      <c r="F3769" s="2" t="str">
        <f>"9783662697351"</f>
        <v>9783662697351</v>
      </c>
    </row>
    <row r="3770" spans="1:6" s="3" customFormat="1" ht="29.1" customHeight="1" x14ac:dyDescent="0.25">
      <c r="A3770" s="2" t="s">
        <v>8272</v>
      </c>
      <c r="B3770" s="2" t="s">
        <v>8273</v>
      </c>
      <c r="C3770" s="2" t="s">
        <v>5</v>
      </c>
      <c r="D3770" s="2" t="s">
        <v>86</v>
      </c>
      <c r="E3770" s="2" t="str">
        <f>"9783031754876"</f>
        <v>9783031754876</v>
      </c>
      <c r="F3770" s="2" t="str">
        <f>"9783031754883"</f>
        <v>9783031754883</v>
      </c>
    </row>
    <row r="3771" spans="1:6" s="3" customFormat="1" ht="29.1" customHeight="1" x14ac:dyDescent="0.25">
      <c r="A3771" s="2" t="s">
        <v>8274</v>
      </c>
      <c r="B3771" s="2" t="s">
        <v>8276</v>
      </c>
      <c r="C3771" s="2" t="s">
        <v>5</v>
      </c>
      <c r="D3771" s="2" t="s">
        <v>8275</v>
      </c>
      <c r="E3771" s="2" t="str">
        <f>"9783658470135"</f>
        <v>9783658470135</v>
      </c>
      <c r="F3771" s="2" t="str">
        <f>"9783658470142"</f>
        <v>9783658470142</v>
      </c>
    </row>
    <row r="3772" spans="1:6" s="3" customFormat="1" ht="29.1" customHeight="1" x14ac:dyDescent="0.25">
      <c r="A3772" s="2" t="s">
        <v>8277</v>
      </c>
      <c r="B3772" s="2" t="s">
        <v>8278</v>
      </c>
      <c r="C3772" s="2" t="s">
        <v>746</v>
      </c>
      <c r="D3772" s="2" t="s">
        <v>606</v>
      </c>
      <c r="E3772" s="2" t="str">
        <f>"9781803277875"</f>
        <v>9781803277875</v>
      </c>
      <c r="F3772" s="2" t="str">
        <f>"9781803277882"</f>
        <v>9781803277882</v>
      </c>
    </row>
    <row r="3773" spans="1:6" s="3" customFormat="1" ht="29.1" customHeight="1" x14ac:dyDescent="0.25">
      <c r="A3773" s="2" t="s">
        <v>8279</v>
      </c>
      <c r="B3773" s="2" t="s">
        <v>8280</v>
      </c>
      <c r="C3773" s="2" t="s">
        <v>746</v>
      </c>
      <c r="D3773" s="2" t="s">
        <v>606</v>
      </c>
      <c r="E3773" s="2" t="str">
        <f>"9781803279213"</f>
        <v>9781803279213</v>
      </c>
      <c r="F3773" s="2" t="str">
        <f>"9781803279220"</f>
        <v>9781803279220</v>
      </c>
    </row>
    <row r="3774" spans="1:6" s="3" customFormat="1" ht="29.1" customHeight="1" x14ac:dyDescent="0.25">
      <c r="A3774" s="2" t="s">
        <v>8281</v>
      </c>
      <c r="B3774" s="2" t="s">
        <v>8282</v>
      </c>
      <c r="C3774" s="2" t="s">
        <v>2133</v>
      </c>
      <c r="D3774" s="2" t="s">
        <v>1253</v>
      </c>
      <c r="E3774" s="2" t="str">
        <f>"9781760466732"</f>
        <v>9781760466732</v>
      </c>
      <c r="F3774" s="2" t="str">
        <f>"9781760466749"</f>
        <v>9781760466749</v>
      </c>
    </row>
    <row r="3775" spans="1:6" s="3" customFormat="1" ht="29.1" customHeight="1" x14ac:dyDescent="0.25">
      <c r="A3775" s="2" t="s">
        <v>8283</v>
      </c>
      <c r="B3775" s="2" t="s">
        <v>8284</v>
      </c>
      <c r="C3775" s="2" t="s">
        <v>5</v>
      </c>
      <c r="D3775" s="2" t="s">
        <v>2404</v>
      </c>
      <c r="E3775" s="2" t="str">
        <f>"9783031784743"</f>
        <v>9783031784743</v>
      </c>
      <c r="F3775" s="2" t="str">
        <f>"9783031784750"</f>
        <v>9783031784750</v>
      </c>
    </row>
    <row r="3776" spans="1:6" s="3" customFormat="1" ht="29.1" customHeight="1" x14ac:dyDescent="0.25">
      <c r="A3776" s="2" t="s">
        <v>8285</v>
      </c>
      <c r="B3776" s="2" t="s">
        <v>8287</v>
      </c>
      <c r="C3776" s="2" t="s">
        <v>5</v>
      </c>
      <c r="D3776" s="2" t="s">
        <v>8286</v>
      </c>
      <c r="E3776" s="2" t="str">
        <f>"9789819770663"</f>
        <v>9789819770663</v>
      </c>
      <c r="F3776" s="2" t="str">
        <f>"9789819770670"</f>
        <v>9789819770670</v>
      </c>
    </row>
    <row r="3777" spans="1:6" s="3" customFormat="1" ht="29.1" customHeight="1" x14ac:dyDescent="0.25">
      <c r="A3777" s="2" t="s">
        <v>8288</v>
      </c>
      <c r="B3777" s="2" t="s">
        <v>8289</v>
      </c>
      <c r="C3777" s="2" t="s">
        <v>5</v>
      </c>
      <c r="D3777" s="2" t="s">
        <v>81</v>
      </c>
      <c r="E3777" s="2" t="str">
        <f>"9782384763610"</f>
        <v>9782384763610</v>
      </c>
      <c r="F3777" s="2" t="str">
        <f>"9782384763627"</f>
        <v>9782384763627</v>
      </c>
    </row>
    <row r="3778" spans="1:6" s="3" customFormat="1" ht="29.1" customHeight="1" x14ac:dyDescent="0.25">
      <c r="A3778" s="2" t="s">
        <v>8290</v>
      </c>
      <c r="B3778" s="2" t="s">
        <v>8291</v>
      </c>
      <c r="C3778" s="2" t="s">
        <v>5</v>
      </c>
      <c r="D3778" s="2" t="s">
        <v>98</v>
      </c>
      <c r="E3778" s="2" t="str">
        <f>"9789464636550"</f>
        <v>9789464636550</v>
      </c>
      <c r="F3778" s="2" t="str">
        <f>"9789464636567"</f>
        <v>9789464636567</v>
      </c>
    </row>
    <row r="3779" spans="1:6" s="3" customFormat="1" ht="29.1" customHeight="1" x14ac:dyDescent="0.25">
      <c r="A3779" s="2" t="s">
        <v>8292</v>
      </c>
      <c r="B3779" s="2" t="s">
        <v>8293</v>
      </c>
      <c r="C3779" s="2" t="s">
        <v>5</v>
      </c>
      <c r="D3779" s="2" t="s">
        <v>297</v>
      </c>
      <c r="E3779" s="2" t="str">
        <f>"9783031756733"</f>
        <v>9783031756733</v>
      </c>
      <c r="F3779" s="2" t="str">
        <f>"9783031756740"</f>
        <v>9783031756740</v>
      </c>
    </row>
    <row r="3780" spans="1:6" s="3" customFormat="1" ht="29.1" customHeight="1" x14ac:dyDescent="0.25">
      <c r="A3780" s="2" t="s">
        <v>8294</v>
      </c>
      <c r="B3780" s="2" t="s">
        <v>8295</v>
      </c>
      <c r="C3780" s="2" t="s">
        <v>29</v>
      </c>
      <c r="D3780" s="2" t="s">
        <v>150</v>
      </c>
      <c r="E3780" s="2" t="str">
        <f>"9789004516267"</f>
        <v>9789004516267</v>
      </c>
      <c r="F3780" s="2" t="str">
        <f>"9789004714908"</f>
        <v>9789004714908</v>
      </c>
    </row>
    <row r="3781" spans="1:6" s="3" customFormat="1" ht="29.1" customHeight="1" x14ac:dyDescent="0.25">
      <c r="A3781" s="2" t="s">
        <v>8296</v>
      </c>
      <c r="B3781" s="2" t="s">
        <v>8297</v>
      </c>
      <c r="C3781" s="2" t="s">
        <v>5</v>
      </c>
      <c r="D3781" s="2" t="s">
        <v>30</v>
      </c>
      <c r="E3781" s="2" t="str">
        <f>"9782384763658"</f>
        <v>9782384763658</v>
      </c>
      <c r="F3781" s="2" t="str">
        <f>"9782384763665"</f>
        <v>9782384763665</v>
      </c>
    </row>
    <row r="3782" spans="1:6" s="3" customFormat="1" ht="29.1" customHeight="1" x14ac:dyDescent="0.25">
      <c r="A3782" s="2" t="s">
        <v>8298</v>
      </c>
      <c r="B3782" s="2" t="s">
        <v>8299</v>
      </c>
      <c r="C3782" s="2" t="s">
        <v>5</v>
      </c>
      <c r="D3782" s="2" t="s">
        <v>724</v>
      </c>
      <c r="E3782" s="2" t="str">
        <f>"9789819624089"</f>
        <v>9789819624089</v>
      </c>
      <c r="F3782" s="2" t="str">
        <f>"9789819624096"</f>
        <v>9789819624096</v>
      </c>
    </row>
    <row r="3783" spans="1:6" s="3" customFormat="1" ht="29.1" customHeight="1" x14ac:dyDescent="0.25">
      <c r="A3783" s="2" t="s">
        <v>8300</v>
      </c>
      <c r="B3783" s="2" t="s">
        <v>8301</v>
      </c>
      <c r="C3783" s="2" t="s">
        <v>5</v>
      </c>
      <c r="D3783" s="2" t="s">
        <v>12</v>
      </c>
      <c r="E3783" s="2" t="str">
        <f>"9783031831195"</f>
        <v>9783031831195</v>
      </c>
      <c r="F3783" s="2" t="str">
        <f>"9783031831201"</f>
        <v>9783031831201</v>
      </c>
    </row>
    <row r="3784" spans="1:6" s="3" customFormat="1" ht="29.1" customHeight="1" x14ac:dyDescent="0.25">
      <c r="A3784" s="2" t="s">
        <v>8302</v>
      </c>
      <c r="B3784" s="2" t="s">
        <v>8303</v>
      </c>
      <c r="C3784" s="2" t="s">
        <v>305</v>
      </c>
      <c r="D3784" s="2" t="s">
        <v>2834</v>
      </c>
      <c r="E3784" s="2"/>
      <c r="F3784" s="2" t="str">
        <f>"9786218438040"</f>
        <v>9786218438040</v>
      </c>
    </row>
    <row r="3785" spans="1:6" s="3" customFormat="1" ht="29.1" customHeight="1" x14ac:dyDescent="0.25">
      <c r="A3785" s="2" t="s">
        <v>8304</v>
      </c>
      <c r="B3785" s="2" t="s">
        <v>8306</v>
      </c>
      <c r="C3785" s="2" t="s">
        <v>8305</v>
      </c>
      <c r="D3785" s="2" t="s">
        <v>6972</v>
      </c>
      <c r="E3785" s="2" t="str">
        <f>"9781962551649"</f>
        <v>9781962551649</v>
      </c>
      <c r="F3785" s="2" t="str">
        <f>"9781962551632"</f>
        <v>9781962551632</v>
      </c>
    </row>
    <row r="3786" spans="1:6" s="3" customFormat="1" ht="29.1" customHeight="1" x14ac:dyDescent="0.25">
      <c r="A3786" s="2" t="s">
        <v>8307</v>
      </c>
      <c r="B3786" s="2" t="s">
        <v>8308</v>
      </c>
      <c r="C3786" s="2" t="s">
        <v>29</v>
      </c>
      <c r="D3786" s="2" t="s">
        <v>192</v>
      </c>
      <c r="E3786" s="2" t="str">
        <f>"9789004524507"</f>
        <v>9789004524507</v>
      </c>
      <c r="F3786" s="2" t="str">
        <f>"9789004524514"</f>
        <v>9789004524514</v>
      </c>
    </row>
    <row r="3787" spans="1:6" s="3" customFormat="1" ht="29.1" customHeight="1" x14ac:dyDescent="0.25">
      <c r="A3787" s="2" t="s">
        <v>8309</v>
      </c>
      <c r="B3787" s="2" t="s">
        <v>8310</v>
      </c>
      <c r="C3787" s="2" t="s">
        <v>29</v>
      </c>
      <c r="D3787" s="2" t="s">
        <v>6548</v>
      </c>
      <c r="E3787" s="2" t="str">
        <f>"9789004700253"</f>
        <v>9789004700253</v>
      </c>
      <c r="F3787" s="2" t="str">
        <f>"9789004700260"</f>
        <v>9789004700260</v>
      </c>
    </row>
    <row r="3788" spans="1:6" s="3" customFormat="1" ht="29.1" customHeight="1" x14ac:dyDescent="0.25">
      <c r="A3788" s="2" t="s">
        <v>8311</v>
      </c>
      <c r="B3788" s="2" t="s">
        <v>8312</v>
      </c>
      <c r="C3788" s="2" t="s">
        <v>29</v>
      </c>
      <c r="D3788" s="2" t="s">
        <v>4155</v>
      </c>
      <c r="E3788" s="2" t="str">
        <f>"9783506796943"</f>
        <v>9783506796943</v>
      </c>
      <c r="F3788" s="2" t="str">
        <f>"9783657796946"</f>
        <v>9783657796946</v>
      </c>
    </row>
    <row r="3789" spans="1:6" s="3" customFormat="1" ht="29.1" customHeight="1" x14ac:dyDescent="0.25">
      <c r="A3789" s="2" t="s">
        <v>8313</v>
      </c>
      <c r="B3789" s="2" t="s">
        <v>8314</v>
      </c>
      <c r="C3789" s="2" t="s">
        <v>5</v>
      </c>
      <c r="D3789" s="2" t="s">
        <v>4210</v>
      </c>
      <c r="E3789" s="2" t="str">
        <f>"9783031762277"</f>
        <v>9783031762277</v>
      </c>
      <c r="F3789" s="2" t="str">
        <f>"9783031762284"</f>
        <v>9783031762284</v>
      </c>
    </row>
    <row r="3790" spans="1:6" s="3" customFormat="1" ht="29.1" customHeight="1" x14ac:dyDescent="0.25">
      <c r="A3790" s="2" t="s">
        <v>8315</v>
      </c>
      <c r="B3790" s="2" t="s">
        <v>8316</v>
      </c>
      <c r="C3790" s="2" t="s">
        <v>5</v>
      </c>
      <c r="D3790" s="2" t="s">
        <v>2178</v>
      </c>
      <c r="E3790" s="2" t="str">
        <f>"9783658453978"</f>
        <v>9783658453978</v>
      </c>
      <c r="F3790" s="2" t="str">
        <f>"9783658453985"</f>
        <v>9783658453985</v>
      </c>
    </row>
    <row r="3791" spans="1:6" s="3" customFormat="1" ht="29.1" customHeight="1" x14ac:dyDescent="0.25">
      <c r="A3791" s="2" t="s">
        <v>8317</v>
      </c>
      <c r="B3791" s="2" t="s">
        <v>8318</v>
      </c>
      <c r="C3791" s="2" t="s">
        <v>5</v>
      </c>
      <c r="D3791" s="2" t="s">
        <v>2008</v>
      </c>
      <c r="E3791" s="2" t="str">
        <f>"9783031790249"</f>
        <v>9783031790249</v>
      </c>
      <c r="F3791" s="2" t="str">
        <f>"9783031790256"</f>
        <v>9783031790256</v>
      </c>
    </row>
    <row r="3792" spans="1:6" s="3" customFormat="1" ht="29.1" customHeight="1" x14ac:dyDescent="0.25">
      <c r="A3792" s="2" t="s">
        <v>8319</v>
      </c>
      <c r="B3792" s="2" t="s">
        <v>8320</v>
      </c>
      <c r="C3792" s="2" t="s">
        <v>5</v>
      </c>
      <c r="D3792" s="2" t="s">
        <v>1878</v>
      </c>
      <c r="E3792" s="2" t="str">
        <f>"9783031533709"</f>
        <v>9783031533709</v>
      </c>
      <c r="F3792" s="2" t="str">
        <f>"9783031533716"</f>
        <v>9783031533716</v>
      </c>
    </row>
    <row r="3793" spans="1:6" s="3" customFormat="1" ht="29.1" customHeight="1" x14ac:dyDescent="0.25">
      <c r="A3793" s="2" t="s">
        <v>8321</v>
      </c>
      <c r="B3793" s="2" t="s">
        <v>8322</v>
      </c>
      <c r="C3793" s="2" t="s">
        <v>5</v>
      </c>
      <c r="D3793" s="2" t="s">
        <v>183</v>
      </c>
      <c r="E3793" s="2" t="str">
        <f>"9783031653766"</f>
        <v>9783031653766</v>
      </c>
      <c r="F3793" s="2" t="str">
        <f>"9783031653773"</f>
        <v>9783031653773</v>
      </c>
    </row>
    <row r="3794" spans="1:6" s="3" customFormat="1" ht="29.1" customHeight="1" x14ac:dyDescent="0.25">
      <c r="A3794" s="2" t="s">
        <v>8323</v>
      </c>
      <c r="B3794" s="2" t="s">
        <v>8324</v>
      </c>
      <c r="C3794" s="2" t="s">
        <v>149</v>
      </c>
      <c r="D3794" s="2" t="s">
        <v>3722</v>
      </c>
      <c r="E3794" s="2" t="str">
        <f>"9781805115403"</f>
        <v>9781805115403</v>
      </c>
      <c r="F3794" s="2" t="str">
        <f>"9781805115427"</f>
        <v>9781805115427</v>
      </c>
    </row>
    <row r="3795" spans="1:6" s="3" customFormat="1" ht="29.1" customHeight="1" x14ac:dyDescent="0.25">
      <c r="A3795" s="2" t="s">
        <v>8325</v>
      </c>
      <c r="B3795" s="2" t="s">
        <v>8326</v>
      </c>
      <c r="C3795" s="2" t="s">
        <v>149</v>
      </c>
      <c r="D3795" s="2" t="s">
        <v>12</v>
      </c>
      <c r="E3795" s="2" t="str">
        <f>"9781805113669"</f>
        <v>9781805113669</v>
      </c>
      <c r="F3795" s="2" t="str">
        <f>"9781805113683"</f>
        <v>9781805113683</v>
      </c>
    </row>
    <row r="3796" spans="1:6" s="3" customFormat="1" ht="29.1" customHeight="1" x14ac:dyDescent="0.25">
      <c r="A3796" s="2" t="s">
        <v>8327</v>
      </c>
      <c r="B3796" s="2" t="s">
        <v>8328</v>
      </c>
      <c r="C3796" s="2" t="s">
        <v>239</v>
      </c>
      <c r="D3796" s="2" t="s">
        <v>636</v>
      </c>
      <c r="E3796" s="2" t="str">
        <f>"9780520416000"</f>
        <v>9780520416000</v>
      </c>
      <c r="F3796" s="2" t="str">
        <f>"9780520416017"</f>
        <v>9780520416017</v>
      </c>
    </row>
    <row r="3797" spans="1:6" s="3" customFormat="1" ht="29.1" customHeight="1" x14ac:dyDescent="0.25">
      <c r="A3797" s="2" t="s">
        <v>8329</v>
      </c>
      <c r="B3797" s="2" t="s">
        <v>8330</v>
      </c>
      <c r="C3797" s="2" t="s">
        <v>36</v>
      </c>
      <c r="D3797" s="2" t="s">
        <v>294</v>
      </c>
      <c r="E3797" s="2"/>
      <c r="F3797" s="2" t="str">
        <f>"9781447371564"</f>
        <v>9781447371564</v>
      </c>
    </row>
    <row r="3798" spans="1:6" s="3" customFormat="1" ht="29.1" customHeight="1" x14ac:dyDescent="0.25">
      <c r="A3798" s="2" t="s">
        <v>8331</v>
      </c>
      <c r="B3798" s="2" t="s">
        <v>8332</v>
      </c>
      <c r="C3798" s="2" t="s">
        <v>5</v>
      </c>
      <c r="D3798" s="2" t="s">
        <v>1209</v>
      </c>
      <c r="E3798" s="2" t="str">
        <f>"9783658470357"</f>
        <v>9783658470357</v>
      </c>
      <c r="F3798" s="2" t="str">
        <f>"9783658470364"</f>
        <v>9783658470364</v>
      </c>
    </row>
    <row r="3799" spans="1:6" s="3" customFormat="1" ht="29.1" customHeight="1" x14ac:dyDescent="0.25">
      <c r="A3799" s="2" t="s">
        <v>8333</v>
      </c>
      <c r="B3799" s="2" t="s">
        <v>8334</v>
      </c>
      <c r="C3799" s="2" t="s">
        <v>5</v>
      </c>
      <c r="D3799" s="2" t="s">
        <v>9</v>
      </c>
      <c r="E3799" s="2" t="str">
        <f>"9789464636598"</f>
        <v>9789464636598</v>
      </c>
      <c r="F3799" s="2" t="str">
        <f>"9789464636604"</f>
        <v>9789464636604</v>
      </c>
    </row>
    <row r="3800" spans="1:6" s="3" customFormat="1" ht="29.1" customHeight="1" x14ac:dyDescent="0.25">
      <c r="A3800" s="2" t="s">
        <v>8335</v>
      </c>
      <c r="B3800" s="2" t="s">
        <v>8336</v>
      </c>
      <c r="C3800" s="2" t="s">
        <v>5</v>
      </c>
      <c r="D3800" s="2" t="s">
        <v>1560</v>
      </c>
      <c r="E3800" s="2" t="str">
        <f>"9789819604210"</f>
        <v>9789819604210</v>
      </c>
      <c r="F3800" s="2" t="str">
        <f>"9789819604227"</f>
        <v>9789819604227</v>
      </c>
    </row>
    <row r="3801" spans="1:6" s="3" customFormat="1" ht="29.1" customHeight="1" x14ac:dyDescent="0.25">
      <c r="A3801" s="2" t="s">
        <v>8337</v>
      </c>
      <c r="B3801" s="2" t="s">
        <v>8339</v>
      </c>
      <c r="C3801" s="2" t="s">
        <v>5</v>
      </c>
      <c r="D3801" s="2" t="s">
        <v>8338</v>
      </c>
      <c r="E3801" s="2" t="str">
        <f>"9783658451790"</f>
        <v>9783658451790</v>
      </c>
      <c r="F3801" s="2" t="str">
        <f>"9783658451806"</f>
        <v>9783658451806</v>
      </c>
    </row>
    <row r="3802" spans="1:6" s="3" customFormat="1" ht="29.1" customHeight="1" x14ac:dyDescent="0.25">
      <c r="A3802" s="2" t="s">
        <v>8340</v>
      </c>
      <c r="B3802" s="2" t="s">
        <v>8341</v>
      </c>
      <c r="C3802" s="2" t="s">
        <v>5</v>
      </c>
      <c r="D3802" s="2" t="s">
        <v>9</v>
      </c>
      <c r="E3802" s="2" t="str">
        <f>"9783031729751"</f>
        <v>9783031729751</v>
      </c>
      <c r="F3802" s="2" t="str">
        <f>"9783031729768"</f>
        <v>9783031729768</v>
      </c>
    </row>
    <row r="3803" spans="1:6" s="3" customFormat="1" ht="29.1" customHeight="1" x14ac:dyDescent="0.25">
      <c r="A3803" s="2" t="s">
        <v>8342</v>
      </c>
      <c r="B3803" s="2" t="s">
        <v>8344</v>
      </c>
      <c r="C3803" s="2" t="s">
        <v>5</v>
      </c>
      <c r="D3803" s="2" t="s">
        <v>8343</v>
      </c>
      <c r="E3803" s="2" t="str">
        <f>"9783031838712"</f>
        <v>9783031838712</v>
      </c>
      <c r="F3803" s="2" t="str">
        <f>"9783031838729"</f>
        <v>9783031838729</v>
      </c>
    </row>
    <row r="3804" spans="1:6" s="3" customFormat="1" ht="29.1" customHeight="1" x14ac:dyDescent="0.25">
      <c r="A3804" s="2" t="s">
        <v>8345</v>
      </c>
      <c r="B3804" s="2" t="s">
        <v>8346</v>
      </c>
      <c r="C3804" s="2" t="s">
        <v>5</v>
      </c>
      <c r="D3804" s="2" t="s">
        <v>270</v>
      </c>
      <c r="E3804" s="2" t="str">
        <f>"9783031718069"</f>
        <v>9783031718069</v>
      </c>
      <c r="F3804" s="2" t="str">
        <f>"9783031718076"</f>
        <v>9783031718076</v>
      </c>
    </row>
    <row r="3805" spans="1:6" s="3" customFormat="1" ht="29.1" customHeight="1" x14ac:dyDescent="0.25">
      <c r="A3805" s="2" t="s">
        <v>8347</v>
      </c>
      <c r="B3805" s="2" t="s">
        <v>8348</v>
      </c>
      <c r="C3805" s="2" t="s">
        <v>5</v>
      </c>
      <c r="D3805" s="2" t="s">
        <v>1895</v>
      </c>
      <c r="E3805" s="2" t="str">
        <f>"9783031834745"</f>
        <v>9783031834745</v>
      </c>
      <c r="F3805" s="2" t="str">
        <f>"9783031834752"</f>
        <v>9783031834752</v>
      </c>
    </row>
    <row r="3806" spans="1:6" s="3" customFormat="1" ht="29.1" customHeight="1" x14ac:dyDescent="0.25">
      <c r="A3806" s="2" t="s">
        <v>8349</v>
      </c>
      <c r="B3806" s="2" t="s">
        <v>8350</v>
      </c>
      <c r="C3806" s="2" t="s">
        <v>5</v>
      </c>
      <c r="D3806" s="2" t="s">
        <v>302</v>
      </c>
      <c r="E3806" s="2" t="str">
        <f>"9783031675720"</f>
        <v>9783031675720</v>
      </c>
      <c r="F3806" s="2" t="str">
        <f>"9783031675737"</f>
        <v>9783031675737</v>
      </c>
    </row>
    <row r="3807" spans="1:6" s="3" customFormat="1" ht="29.1" customHeight="1" x14ac:dyDescent="0.25">
      <c r="A3807" s="2" t="s">
        <v>1473</v>
      </c>
      <c r="B3807" s="2" t="s">
        <v>8351</v>
      </c>
      <c r="C3807" s="2" t="s">
        <v>1070</v>
      </c>
      <c r="D3807" s="2" t="s">
        <v>1265</v>
      </c>
      <c r="E3807" s="2" t="str">
        <f>"9783318072556"</f>
        <v>9783318072556</v>
      </c>
      <c r="F3807" s="2" t="str">
        <f>"9783318073256"</f>
        <v>9783318073256</v>
      </c>
    </row>
    <row r="3808" spans="1:6" s="3" customFormat="1" ht="29.1" customHeight="1" x14ac:dyDescent="0.25">
      <c r="A3808" s="2" t="s">
        <v>8352</v>
      </c>
      <c r="B3808" s="2" t="s">
        <v>8353</v>
      </c>
      <c r="C3808" s="2" t="s">
        <v>36</v>
      </c>
      <c r="D3808" s="2" t="s">
        <v>876</v>
      </c>
      <c r="E3808" s="2"/>
      <c r="F3808" s="2" t="str">
        <f>"9781529242942"</f>
        <v>9781529242942</v>
      </c>
    </row>
    <row r="3809" spans="1:6" s="3" customFormat="1" ht="29.1" customHeight="1" x14ac:dyDescent="0.25">
      <c r="A3809" s="2" t="s">
        <v>8354</v>
      </c>
      <c r="B3809" s="2" t="s">
        <v>8355</v>
      </c>
      <c r="C3809" s="2" t="s">
        <v>5</v>
      </c>
      <c r="D3809" s="2" t="s">
        <v>52</v>
      </c>
      <c r="E3809" s="2" t="str">
        <f>"9783031830105"</f>
        <v>9783031830105</v>
      </c>
      <c r="F3809" s="2" t="str">
        <f>"9783031830082"</f>
        <v>9783031830082</v>
      </c>
    </row>
    <row r="3810" spans="1:6" s="3" customFormat="1" ht="29.1" customHeight="1" x14ac:dyDescent="0.25">
      <c r="A3810" s="2" t="s">
        <v>8356</v>
      </c>
      <c r="B3810" s="2" t="s">
        <v>8357</v>
      </c>
      <c r="C3810" s="2" t="s">
        <v>5</v>
      </c>
      <c r="D3810" s="2" t="s">
        <v>52</v>
      </c>
      <c r="E3810" s="2" t="str">
        <f>"9789464636536"</f>
        <v>9789464636536</v>
      </c>
      <c r="F3810" s="2" t="str">
        <f>"9789464636543"</f>
        <v>9789464636543</v>
      </c>
    </row>
    <row r="3811" spans="1:6" s="3" customFormat="1" ht="29.1" customHeight="1" x14ac:dyDescent="0.25">
      <c r="A3811" s="2" t="s">
        <v>8358</v>
      </c>
      <c r="B3811" s="2" t="s">
        <v>8359</v>
      </c>
      <c r="C3811" s="2" t="s">
        <v>5</v>
      </c>
      <c r="D3811" s="2" t="s">
        <v>141</v>
      </c>
      <c r="E3811" s="2" t="str">
        <f>"9789464636512"</f>
        <v>9789464636512</v>
      </c>
      <c r="F3811" s="2" t="str">
        <f>"9789464636529"</f>
        <v>9789464636529</v>
      </c>
    </row>
    <row r="3812" spans="1:6" s="3" customFormat="1" ht="29.1" customHeight="1" x14ac:dyDescent="0.25">
      <c r="A3812" s="2" t="s">
        <v>8360</v>
      </c>
      <c r="B3812" s="2" t="s">
        <v>8361</v>
      </c>
      <c r="C3812" s="2" t="s">
        <v>195</v>
      </c>
      <c r="D3812" s="2" t="s">
        <v>1127</v>
      </c>
      <c r="E3812" s="2" t="str">
        <f>"9783986120924"</f>
        <v>9783986120924</v>
      </c>
      <c r="F3812" s="2" t="str">
        <f>"9783986121426"</f>
        <v>9783986121426</v>
      </c>
    </row>
    <row r="3813" spans="1:6" s="3" customFormat="1" ht="29.1" customHeight="1" x14ac:dyDescent="0.25">
      <c r="A3813" s="2" t="s">
        <v>8362</v>
      </c>
      <c r="B3813" s="2" t="s">
        <v>8363</v>
      </c>
      <c r="C3813" s="2" t="s">
        <v>195</v>
      </c>
      <c r="D3813" s="2" t="s">
        <v>413</v>
      </c>
      <c r="E3813" s="2" t="str">
        <f>"9783111632124"</f>
        <v>9783111632124</v>
      </c>
      <c r="F3813" s="2" t="str">
        <f>"9783111632261"</f>
        <v>9783111632261</v>
      </c>
    </row>
    <row r="3814" spans="1:6" s="3" customFormat="1" ht="29.1" customHeight="1" x14ac:dyDescent="0.25">
      <c r="A3814" s="2" t="s">
        <v>8364</v>
      </c>
      <c r="B3814" s="2" t="s">
        <v>8365</v>
      </c>
      <c r="C3814" s="2" t="s">
        <v>195</v>
      </c>
      <c r="D3814" s="2" t="s">
        <v>107</v>
      </c>
      <c r="E3814" s="2" t="str">
        <f>"9783111641812"</f>
        <v>9783111641812</v>
      </c>
      <c r="F3814" s="2" t="str">
        <f>"9783111678016"</f>
        <v>9783111678016</v>
      </c>
    </row>
    <row r="3815" spans="1:6" s="3" customFormat="1" ht="29.1" customHeight="1" x14ac:dyDescent="0.25">
      <c r="A3815" s="2" t="s">
        <v>8366</v>
      </c>
      <c r="B3815" s="2" t="s">
        <v>8367</v>
      </c>
      <c r="C3815" s="2" t="s">
        <v>195</v>
      </c>
      <c r="D3815" s="2" t="s">
        <v>210</v>
      </c>
      <c r="E3815" s="2" t="str">
        <f>"9783111381732"</f>
        <v>9783111381732</v>
      </c>
      <c r="F3815" s="2" t="str">
        <f>"9783111382937"</f>
        <v>9783111382937</v>
      </c>
    </row>
    <row r="3816" spans="1:6" s="3" customFormat="1" ht="29.1" customHeight="1" x14ac:dyDescent="0.25">
      <c r="A3816" s="2" t="s">
        <v>8368</v>
      </c>
      <c r="B3816" s="2" t="s">
        <v>8369</v>
      </c>
      <c r="C3816" s="2" t="s">
        <v>195</v>
      </c>
      <c r="D3816" s="2" t="s">
        <v>210</v>
      </c>
      <c r="E3816" s="2" t="str">
        <f>"9783111408132"</f>
        <v>9783111408132</v>
      </c>
      <c r="F3816" s="2" t="str">
        <f>"9783111408989"</f>
        <v>9783111408989</v>
      </c>
    </row>
    <row r="3817" spans="1:6" s="3" customFormat="1" ht="29.1" customHeight="1" x14ac:dyDescent="0.25">
      <c r="A3817" s="2" t="s">
        <v>8370</v>
      </c>
      <c r="B3817" s="2" t="s">
        <v>8371</v>
      </c>
      <c r="C3817" s="2" t="s">
        <v>195</v>
      </c>
      <c r="D3817" s="2" t="s">
        <v>1162</v>
      </c>
      <c r="E3817" s="2" t="str">
        <f>"9783111582313"</f>
        <v>9783111582313</v>
      </c>
      <c r="F3817" s="2" t="str">
        <f>"9783111583723"</f>
        <v>9783111583723</v>
      </c>
    </row>
    <row r="3818" spans="1:6" s="3" customFormat="1" ht="29.1" customHeight="1" x14ac:dyDescent="0.25">
      <c r="A3818" s="2" t="s">
        <v>8372</v>
      </c>
      <c r="B3818" s="2" t="s">
        <v>8374</v>
      </c>
      <c r="C3818" s="2" t="s">
        <v>195</v>
      </c>
      <c r="D3818" s="2" t="s">
        <v>8373</v>
      </c>
      <c r="E3818" s="2" t="str">
        <f>"9783111581347"</f>
        <v>9783111581347</v>
      </c>
      <c r="F3818" s="2" t="str">
        <f>"9783111581620"</f>
        <v>9783111581620</v>
      </c>
    </row>
    <row r="3819" spans="1:6" s="3" customFormat="1" ht="29.1" customHeight="1" x14ac:dyDescent="0.25">
      <c r="A3819" s="2" t="s">
        <v>8375</v>
      </c>
      <c r="B3819" s="2" t="s">
        <v>8376</v>
      </c>
      <c r="C3819" s="2" t="s">
        <v>195</v>
      </c>
      <c r="D3819" s="2" t="s">
        <v>107</v>
      </c>
      <c r="E3819" s="2" t="str">
        <f>"9783111164496"</f>
        <v>9783111164496</v>
      </c>
      <c r="F3819" s="2" t="str">
        <f>"9783111166698"</f>
        <v>9783111166698</v>
      </c>
    </row>
    <row r="3820" spans="1:6" s="3" customFormat="1" ht="29.1" customHeight="1" x14ac:dyDescent="0.25">
      <c r="A3820" s="2" t="s">
        <v>8377</v>
      </c>
      <c r="B3820" s="2" t="s">
        <v>8378</v>
      </c>
      <c r="C3820" s="2" t="s">
        <v>195</v>
      </c>
      <c r="D3820" s="2" t="s">
        <v>6678</v>
      </c>
      <c r="E3820" s="2" t="str">
        <f>"9783111249155"</f>
        <v>9783111249155</v>
      </c>
      <c r="F3820" s="2" t="str">
        <f>"9783111249476"</f>
        <v>9783111249476</v>
      </c>
    </row>
    <row r="3821" spans="1:6" s="3" customFormat="1" ht="29.1" customHeight="1" x14ac:dyDescent="0.25">
      <c r="A3821" s="2" t="s">
        <v>8379</v>
      </c>
      <c r="B3821" s="2" t="s">
        <v>8380</v>
      </c>
      <c r="C3821" s="2" t="s">
        <v>195</v>
      </c>
      <c r="D3821" s="2" t="s">
        <v>465</v>
      </c>
      <c r="E3821" s="2" t="str">
        <f>"9783111430812"</f>
        <v>9783111430812</v>
      </c>
      <c r="F3821" s="2" t="str">
        <f>"9783111431734"</f>
        <v>9783111431734</v>
      </c>
    </row>
    <row r="3822" spans="1:6" s="3" customFormat="1" ht="29.1" customHeight="1" x14ac:dyDescent="0.25">
      <c r="A3822" s="2" t="s">
        <v>8381</v>
      </c>
      <c r="B3822" s="2" t="s">
        <v>8382</v>
      </c>
      <c r="C3822" s="2" t="s">
        <v>195</v>
      </c>
      <c r="D3822" s="2" t="s">
        <v>3993</v>
      </c>
      <c r="E3822" s="2" t="str">
        <f>"9783111542621"</f>
        <v>9783111542621</v>
      </c>
      <c r="F3822" s="2" t="str">
        <f>"9783111543932"</f>
        <v>9783111543932</v>
      </c>
    </row>
    <row r="3823" spans="1:6" s="3" customFormat="1" ht="29.1" customHeight="1" x14ac:dyDescent="0.25">
      <c r="A3823" s="2" t="s">
        <v>8383</v>
      </c>
      <c r="B3823" s="2" t="s">
        <v>8384</v>
      </c>
      <c r="C3823" s="2" t="s">
        <v>195</v>
      </c>
      <c r="D3823" s="2" t="s">
        <v>150</v>
      </c>
      <c r="E3823" s="2" t="str">
        <f>"9783111427904"</f>
        <v>9783111427904</v>
      </c>
      <c r="F3823" s="2" t="str">
        <f>"9783111428895"</f>
        <v>9783111428895</v>
      </c>
    </row>
    <row r="3824" spans="1:6" s="3" customFormat="1" ht="29.1" customHeight="1" x14ac:dyDescent="0.25">
      <c r="A3824" s="2" t="s">
        <v>8385</v>
      </c>
      <c r="B3824" s="2" t="s">
        <v>8386</v>
      </c>
      <c r="C3824" s="2" t="s">
        <v>195</v>
      </c>
      <c r="D3824" s="2" t="s">
        <v>273</v>
      </c>
      <c r="E3824" s="2" t="str">
        <f>"9783111383705"</f>
        <v>9783111383705</v>
      </c>
      <c r="F3824" s="2" t="str">
        <f>"9783111383781"</f>
        <v>9783111383781</v>
      </c>
    </row>
    <row r="3825" spans="1:6" s="3" customFormat="1" ht="29.1" customHeight="1" x14ac:dyDescent="0.25">
      <c r="A3825" s="2" t="s">
        <v>8387</v>
      </c>
      <c r="B3825" s="2" t="s">
        <v>8389</v>
      </c>
      <c r="C3825" s="2" t="s">
        <v>195</v>
      </c>
      <c r="D3825" s="2" t="s">
        <v>8388</v>
      </c>
      <c r="E3825" s="2" t="str">
        <f>"9783111354095"</f>
        <v>9783111354095</v>
      </c>
      <c r="F3825" s="2" t="str">
        <f>"9783111354255"</f>
        <v>9783111354255</v>
      </c>
    </row>
    <row r="3826" spans="1:6" s="3" customFormat="1" ht="29.1" customHeight="1" x14ac:dyDescent="0.25">
      <c r="A3826" s="2" t="s">
        <v>8390</v>
      </c>
      <c r="B3826" s="2" t="s">
        <v>8391</v>
      </c>
      <c r="C3826" s="2" t="s">
        <v>195</v>
      </c>
      <c r="D3826" s="2" t="s">
        <v>913</v>
      </c>
      <c r="E3826" s="2" t="str">
        <f>"9783111018362"</f>
        <v>9783111018362</v>
      </c>
      <c r="F3826" s="2" t="str">
        <f>"9783111018737"</f>
        <v>9783111018737</v>
      </c>
    </row>
    <row r="3827" spans="1:6" s="3" customFormat="1" ht="29.1" customHeight="1" x14ac:dyDescent="0.25">
      <c r="A3827" s="2" t="s">
        <v>8392</v>
      </c>
      <c r="B3827" s="2" t="s">
        <v>8393</v>
      </c>
      <c r="C3827" s="2" t="s">
        <v>927</v>
      </c>
      <c r="D3827" s="2" t="s">
        <v>270</v>
      </c>
      <c r="E3827" s="2" t="str">
        <f>"9780472057313"</f>
        <v>9780472057313</v>
      </c>
      <c r="F3827" s="2" t="str">
        <f>"9780472904921"</f>
        <v>9780472904921</v>
      </c>
    </row>
    <row r="3828" spans="1:6" s="3" customFormat="1" ht="29.1" customHeight="1" x14ac:dyDescent="0.25">
      <c r="A3828" s="2" t="s">
        <v>8394</v>
      </c>
      <c r="B3828" s="2" t="s">
        <v>8395</v>
      </c>
      <c r="C3828" s="2" t="s">
        <v>927</v>
      </c>
      <c r="D3828" s="2" t="s">
        <v>270</v>
      </c>
      <c r="E3828" s="2" t="str">
        <f>"9780472057351"</f>
        <v>9780472057351</v>
      </c>
      <c r="F3828" s="2" t="str">
        <f>"9780472904952"</f>
        <v>9780472904952</v>
      </c>
    </row>
    <row r="3829" spans="1:6" s="3" customFormat="1" ht="29.1" customHeight="1" x14ac:dyDescent="0.25">
      <c r="A3829" s="2" t="s">
        <v>8396</v>
      </c>
      <c r="B3829" s="2" t="s">
        <v>8397</v>
      </c>
      <c r="C3829" s="2" t="s">
        <v>927</v>
      </c>
      <c r="D3829" s="2" t="s">
        <v>270</v>
      </c>
      <c r="E3829" s="2" t="str">
        <f>"9780472056064"</f>
        <v>9780472056064</v>
      </c>
      <c r="F3829" s="2" t="str">
        <f>"9780472903405"</f>
        <v>9780472903405</v>
      </c>
    </row>
    <row r="3830" spans="1:6" s="3" customFormat="1" ht="29.1" customHeight="1" x14ac:dyDescent="0.25">
      <c r="A3830" s="2" t="s">
        <v>8398</v>
      </c>
      <c r="B3830" s="2" t="s">
        <v>8399</v>
      </c>
      <c r="C3830" s="2" t="s">
        <v>927</v>
      </c>
      <c r="D3830" s="2" t="s">
        <v>3086</v>
      </c>
      <c r="E3830" s="2" t="str">
        <f>"9780472057382"</f>
        <v>9780472057382</v>
      </c>
      <c r="F3830" s="2" t="str">
        <f>"9780472904983"</f>
        <v>9780472904983</v>
      </c>
    </row>
    <row r="3831" spans="1:6" s="3" customFormat="1" ht="29.1" customHeight="1" x14ac:dyDescent="0.25">
      <c r="A3831" s="2" t="s">
        <v>8400</v>
      </c>
      <c r="B3831" s="2" t="s">
        <v>8401</v>
      </c>
      <c r="C3831" s="2" t="s">
        <v>927</v>
      </c>
      <c r="D3831" s="2" t="s">
        <v>210</v>
      </c>
      <c r="E3831" s="2" t="str">
        <f>"9780472057375"</f>
        <v>9780472057375</v>
      </c>
      <c r="F3831" s="2" t="str">
        <f>"9780472904976"</f>
        <v>9780472904976</v>
      </c>
    </row>
    <row r="3832" spans="1:6" s="3" customFormat="1" ht="29.1" customHeight="1" x14ac:dyDescent="0.25">
      <c r="A3832" s="2" t="s">
        <v>8402</v>
      </c>
      <c r="B3832" s="2" t="s">
        <v>8403</v>
      </c>
      <c r="C3832" s="2" t="s">
        <v>927</v>
      </c>
      <c r="D3832" s="2" t="s">
        <v>270</v>
      </c>
      <c r="E3832" s="2" t="str">
        <f>"9780472057399"</f>
        <v>9780472057399</v>
      </c>
      <c r="F3832" s="2" t="str">
        <f>"9780472904990"</f>
        <v>9780472904990</v>
      </c>
    </row>
    <row r="3833" spans="1:6" s="3" customFormat="1" ht="29.1" customHeight="1" x14ac:dyDescent="0.25">
      <c r="A3833" s="2" t="s">
        <v>8404</v>
      </c>
      <c r="B3833" s="2" t="s">
        <v>8405</v>
      </c>
      <c r="C3833" s="2" t="s">
        <v>927</v>
      </c>
      <c r="D3833" s="2" t="s">
        <v>270</v>
      </c>
      <c r="E3833" s="2" t="str">
        <f>"9780472057290"</f>
        <v>9780472057290</v>
      </c>
      <c r="F3833" s="2" t="str">
        <f>"9780472904907"</f>
        <v>9780472904907</v>
      </c>
    </row>
    <row r="3834" spans="1:6" s="3" customFormat="1" ht="29.1" customHeight="1" x14ac:dyDescent="0.25">
      <c r="A3834" s="2" t="s">
        <v>8406</v>
      </c>
      <c r="B3834" s="2" t="s">
        <v>8407</v>
      </c>
      <c r="C3834" s="2" t="s">
        <v>927</v>
      </c>
      <c r="D3834" s="2" t="s">
        <v>270</v>
      </c>
      <c r="E3834" s="2" t="str">
        <f>"9780472057320"</f>
        <v>9780472057320</v>
      </c>
      <c r="F3834" s="2" t="str">
        <f>"9780472904938"</f>
        <v>9780472904938</v>
      </c>
    </row>
    <row r="3835" spans="1:6" s="3" customFormat="1" ht="29.1" customHeight="1" x14ac:dyDescent="0.25">
      <c r="A3835" s="2" t="s">
        <v>8408</v>
      </c>
      <c r="B3835" s="2" t="s">
        <v>8409</v>
      </c>
      <c r="C3835" s="2" t="s">
        <v>29</v>
      </c>
      <c r="D3835" s="2" t="s">
        <v>81</v>
      </c>
      <c r="E3835" s="2" t="str">
        <f>"9789004683280"</f>
        <v>9789004683280</v>
      </c>
      <c r="F3835" s="2" t="str">
        <f>"9789004726314"</f>
        <v>9789004726314</v>
      </c>
    </row>
    <row r="3836" spans="1:6" s="3" customFormat="1" ht="29.1" customHeight="1" x14ac:dyDescent="0.25">
      <c r="A3836" s="2" t="s">
        <v>8410</v>
      </c>
      <c r="B3836" s="2" t="s">
        <v>8411</v>
      </c>
      <c r="C3836" s="2" t="s">
        <v>327</v>
      </c>
      <c r="D3836" s="2" t="s">
        <v>81</v>
      </c>
      <c r="E3836" s="2" t="str">
        <f>"9788383314228"</f>
        <v>9788383314228</v>
      </c>
      <c r="F3836" s="2" t="str">
        <f>"9788383314235"</f>
        <v>9788383314235</v>
      </c>
    </row>
    <row r="3837" spans="1:6" s="3" customFormat="1" ht="29.1" customHeight="1" x14ac:dyDescent="0.25">
      <c r="A3837" s="2" t="s">
        <v>8412</v>
      </c>
      <c r="B3837" s="2" t="s">
        <v>8414</v>
      </c>
      <c r="C3837" s="2" t="s">
        <v>327</v>
      </c>
      <c r="D3837" s="2" t="s">
        <v>8413</v>
      </c>
      <c r="E3837" s="2" t="str">
        <f>"9788383316109"</f>
        <v>9788383316109</v>
      </c>
      <c r="F3837" s="2" t="str">
        <f>"9788383316116"</f>
        <v>9788383316116</v>
      </c>
    </row>
    <row r="3838" spans="1:6" s="3" customFormat="1" ht="29.1" customHeight="1" x14ac:dyDescent="0.25">
      <c r="A3838" s="2" t="s">
        <v>8415</v>
      </c>
      <c r="B3838" s="2" t="s">
        <v>8416</v>
      </c>
      <c r="C3838" s="2" t="s">
        <v>327</v>
      </c>
      <c r="D3838" s="2" t="s">
        <v>682</v>
      </c>
      <c r="E3838" s="2" t="str">
        <f>"9788383316666"</f>
        <v>9788383316666</v>
      </c>
      <c r="F3838" s="2" t="str">
        <f>"9788383316673"</f>
        <v>9788383316673</v>
      </c>
    </row>
    <row r="3839" spans="1:6" s="3" customFormat="1" ht="29.1" customHeight="1" x14ac:dyDescent="0.25">
      <c r="A3839" s="2" t="s">
        <v>8417</v>
      </c>
      <c r="B3839" s="2" t="s">
        <v>8418</v>
      </c>
      <c r="C3839" s="2" t="s">
        <v>327</v>
      </c>
      <c r="D3839" s="2" t="s">
        <v>2307</v>
      </c>
      <c r="E3839" s="2" t="str">
        <f>"9788383316635"</f>
        <v>9788383316635</v>
      </c>
      <c r="F3839" s="2" t="str">
        <f>"9788383316642"</f>
        <v>9788383316642</v>
      </c>
    </row>
    <row r="3840" spans="1:6" s="3" customFormat="1" ht="29.1" customHeight="1" x14ac:dyDescent="0.25">
      <c r="A3840" s="2" t="s">
        <v>8419</v>
      </c>
      <c r="B3840" s="2" t="s">
        <v>8421</v>
      </c>
      <c r="C3840" s="2" t="s">
        <v>327</v>
      </c>
      <c r="D3840" s="2" t="s">
        <v>8420</v>
      </c>
      <c r="E3840" s="2"/>
      <c r="F3840" s="2" t="str">
        <f>"9788383316338"</f>
        <v>9788383316338</v>
      </c>
    </row>
    <row r="3841" spans="1:6" s="3" customFormat="1" ht="29.1" customHeight="1" x14ac:dyDescent="0.25">
      <c r="A3841" s="2" t="s">
        <v>8422</v>
      </c>
      <c r="B3841" s="2" t="s">
        <v>8423</v>
      </c>
      <c r="C3841" s="2" t="s">
        <v>327</v>
      </c>
      <c r="D3841" s="2" t="s">
        <v>1198</v>
      </c>
      <c r="E3841" s="2"/>
      <c r="F3841" s="2" t="str">
        <f>"9788383316215"</f>
        <v>9788383316215</v>
      </c>
    </row>
    <row r="3842" spans="1:6" s="3" customFormat="1" ht="29.1" customHeight="1" x14ac:dyDescent="0.25">
      <c r="A3842" s="2" t="s">
        <v>8424</v>
      </c>
      <c r="B3842" s="2" t="s">
        <v>8426</v>
      </c>
      <c r="C3842" s="2" t="s">
        <v>327</v>
      </c>
      <c r="D3842" s="2" t="s">
        <v>8425</v>
      </c>
      <c r="E3842" s="2" t="str">
        <f>"9788383315799"</f>
        <v>9788383315799</v>
      </c>
      <c r="F3842" s="2" t="str">
        <f>"9788383315805"</f>
        <v>9788383315805</v>
      </c>
    </row>
    <row r="3843" spans="1:6" s="3" customFormat="1" ht="29.1" customHeight="1" x14ac:dyDescent="0.25">
      <c r="A3843" s="2" t="s">
        <v>8427</v>
      </c>
      <c r="B3843" s="2" t="s">
        <v>8428</v>
      </c>
      <c r="C3843" s="2" t="s">
        <v>327</v>
      </c>
      <c r="D3843" s="2" t="s">
        <v>501</v>
      </c>
      <c r="E3843" s="2"/>
      <c r="F3843" s="2" t="str">
        <f>"9788383314877"</f>
        <v>9788383314877</v>
      </c>
    </row>
    <row r="3844" spans="1:6" s="3" customFormat="1" ht="29.1" customHeight="1" x14ac:dyDescent="0.25">
      <c r="A3844" s="2" t="s">
        <v>8429</v>
      </c>
      <c r="B3844" s="2" t="s">
        <v>8430</v>
      </c>
      <c r="C3844" s="2" t="s">
        <v>327</v>
      </c>
      <c r="D3844" s="2" t="s">
        <v>639</v>
      </c>
      <c r="E3844" s="2" t="str">
        <f>"9788383315577"</f>
        <v>9788383315577</v>
      </c>
      <c r="F3844" s="2" t="str">
        <f>"9788383315584"</f>
        <v>9788383315584</v>
      </c>
    </row>
    <row r="3845" spans="1:6" s="3" customFormat="1" ht="29.1" customHeight="1" x14ac:dyDescent="0.25">
      <c r="A3845" s="2" t="s">
        <v>8431</v>
      </c>
      <c r="B3845" s="2" t="s">
        <v>7958</v>
      </c>
      <c r="C3845" s="2" t="s">
        <v>327</v>
      </c>
      <c r="D3845" s="2" t="s">
        <v>81</v>
      </c>
      <c r="E3845" s="2" t="str">
        <f>"9788383315263"</f>
        <v>9788383315263</v>
      </c>
      <c r="F3845" s="2" t="str">
        <f>"9788383315270"</f>
        <v>9788383315270</v>
      </c>
    </row>
    <row r="3846" spans="1:6" s="3" customFormat="1" ht="29.1" customHeight="1" x14ac:dyDescent="0.25">
      <c r="A3846" s="2" t="s">
        <v>8432</v>
      </c>
      <c r="B3846" s="2" t="s">
        <v>8434</v>
      </c>
      <c r="C3846" s="2" t="s">
        <v>327</v>
      </c>
      <c r="D3846" s="2" t="s">
        <v>8433</v>
      </c>
      <c r="E3846" s="2" t="str">
        <f>"9788383315515"</f>
        <v>9788383315515</v>
      </c>
      <c r="F3846" s="2" t="str">
        <f>"9788383315522"</f>
        <v>9788383315522</v>
      </c>
    </row>
    <row r="3847" spans="1:6" s="3" customFormat="1" ht="29.1" customHeight="1" x14ac:dyDescent="0.25">
      <c r="A3847" s="2" t="s">
        <v>8435</v>
      </c>
      <c r="B3847" s="2" t="s">
        <v>8436</v>
      </c>
      <c r="C3847" s="2" t="s">
        <v>327</v>
      </c>
      <c r="D3847" s="2" t="s">
        <v>256</v>
      </c>
      <c r="E3847" s="2" t="str">
        <f>"9788383316253"</f>
        <v>9788383316253</v>
      </c>
      <c r="F3847" s="2" t="str">
        <f>"9788383316260"</f>
        <v>9788383316260</v>
      </c>
    </row>
    <row r="3848" spans="1:6" s="3" customFormat="1" ht="29.1" customHeight="1" x14ac:dyDescent="0.25">
      <c r="A3848" s="2" t="s">
        <v>8437</v>
      </c>
      <c r="B3848" s="2" t="s">
        <v>8438</v>
      </c>
      <c r="C3848" s="2" t="s">
        <v>248</v>
      </c>
      <c r="D3848" s="2" t="s">
        <v>1927</v>
      </c>
      <c r="E3848" s="2" t="str">
        <f>"9783847430438"</f>
        <v>9783847430438</v>
      </c>
      <c r="F3848" s="2" t="str">
        <f>"9783847419754"</f>
        <v>9783847419754</v>
      </c>
    </row>
    <row r="3849" spans="1:6" s="3" customFormat="1" ht="29.1" customHeight="1" x14ac:dyDescent="0.25">
      <c r="A3849" s="2" t="s">
        <v>8439</v>
      </c>
      <c r="B3849" s="2" t="s">
        <v>8440</v>
      </c>
      <c r="C3849" s="2" t="s">
        <v>29</v>
      </c>
      <c r="D3849" s="2" t="s">
        <v>606</v>
      </c>
      <c r="E3849" s="2" t="str">
        <f>"9789004712539"</f>
        <v>9789004712539</v>
      </c>
      <c r="F3849" s="2" t="str">
        <f>"9789004712553"</f>
        <v>9789004712553</v>
      </c>
    </row>
    <row r="3850" spans="1:6" s="3" customFormat="1" ht="29.1" customHeight="1" x14ac:dyDescent="0.25">
      <c r="A3850" s="2" t="s">
        <v>8441</v>
      </c>
      <c r="B3850" s="2" t="s">
        <v>8442</v>
      </c>
      <c r="C3850" s="2" t="s">
        <v>2133</v>
      </c>
      <c r="D3850" s="2" t="s">
        <v>606</v>
      </c>
      <c r="E3850" s="2" t="str">
        <f>"9781760466718"</f>
        <v>9781760466718</v>
      </c>
      <c r="F3850" s="2" t="str">
        <f>"9781760466725"</f>
        <v>9781760466725</v>
      </c>
    </row>
    <row r="3851" spans="1:6" s="3" customFormat="1" ht="29.1" customHeight="1" x14ac:dyDescent="0.25">
      <c r="A3851" s="2" t="s">
        <v>8443</v>
      </c>
      <c r="B3851" s="2" t="s">
        <v>8444</v>
      </c>
      <c r="C3851" s="2" t="s">
        <v>927</v>
      </c>
      <c r="D3851" s="2" t="s">
        <v>210</v>
      </c>
      <c r="E3851" s="2" t="str">
        <f>"9780472057009"</f>
        <v>9780472057009</v>
      </c>
      <c r="F3851" s="2" t="str">
        <f>"9780472904648"</f>
        <v>9780472904648</v>
      </c>
    </row>
    <row r="3852" spans="1:6" s="3" customFormat="1" ht="29.1" customHeight="1" x14ac:dyDescent="0.25">
      <c r="A3852" s="2" t="s">
        <v>8445</v>
      </c>
      <c r="B3852" s="2" t="s">
        <v>8446</v>
      </c>
      <c r="C3852" s="2" t="s">
        <v>927</v>
      </c>
      <c r="D3852" s="2" t="s">
        <v>2208</v>
      </c>
      <c r="E3852" s="2" t="str">
        <f>"9780472057283"</f>
        <v>9780472057283</v>
      </c>
      <c r="F3852" s="2" t="str">
        <f>"9780472904891"</f>
        <v>9780472904891</v>
      </c>
    </row>
    <row r="3853" spans="1:6" s="3" customFormat="1" ht="29.1" customHeight="1" x14ac:dyDescent="0.25">
      <c r="A3853" s="2" t="s">
        <v>8447</v>
      </c>
      <c r="B3853" s="2"/>
      <c r="C3853" s="2" t="s">
        <v>59</v>
      </c>
      <c r="D3853" s="2" t="s">
        <v>2834</v>
      </c>
      <c r="E3853" s="2"/>
      <c r="F3853" s="2" t="str">
        <f>"9782759240395"</f>
        <v>9782759240395</v>
      </c>
    </row>
    <row r="3854" spans="1:6" s="3" customFormat="1" ht="29.1" customHeight="1" x14ac:dyDescent="0.25">
      <c r="A3854" s="2" t="s">
        <v>8448</v>
      </c>
      <c r="B3854" s="2" t="s">
        <v>8450</v>
      </c>
      <c r="C3854" s="2" t="s">
        <v>8449</v>
      </c>
      <c r="D3854" s="2" t="s">
        <v>879</v>
      </c>
      <c r="E3854" s="2" t="str">
        <f>"9780896803213"</f>
        <v>9780896803213</v>
      </c>
      <c r="F3854" s="2" t="str">
        <f>"9780896805040"</f>
        <v>9780896805040</v>
      </c>
    </row>
    <row r="3855" spans="1:6" s="3" customFormat="1" ht="29.1" customHeight="1" x14ac:dyDescent="0.25">
      <c r="A3855" s="2" t="s">
        <v>8451</v>
      </c>
      <c r="B3855" s="2" t="s">
        <v>8452</v>
      </c>
      <c r="C3855" s="2" t="s">
        <v>316</v>
      </c>
      <c r="D3855" s="2" t="s">
        <v>1059</v>
      </c>
      <c r="E3855" s="2" t="str">
        <f>"9783036407289"</f>
        <v>9783036407289</v>
      </c>
      <c r="F3855" s="2" t="str">
        <f>"9783036417288"</f>
        <v>9783036417288</v>
      </c>
    </row>
    <row r="3856" spans="1:6" s="3" customFormat="1" ht="29.1" customHeight="1" x14ac:dyDescent="0.25">
      <c r="A3856" s="2" t="s">
        <v>8453</v>
      </c>
      <c r="B3856" s="2" t="s">
        <v>8454</v>
      </c>
      <c r="C3856" s="2" t="s">
        <v>305</v>
      </c>
      <c r="D3856" s="2" t="s">
        <v>764</v>
      </c>
      <c r="E3856" s="2"/>
      <c r="F3856" s="2" t="str">
        <f>"9786218438033"</f>
        <v>9786218438033</v>
      </c>
    </row>
    <row r="3857" spans="1:6" s="3" customFormat="1" ht="29.1" customHeight="1" x14ac:dyDescent="0.25">
      <c r="A3857" s="2" t="s">
        <v>8455</v>
      </c>
      <c r="B3857" s="2" t="s">
        <v>8457</v>
      </c>
      <c r="C3857" s="2" t="s">
        <v>8456</v>
      </c>
      <c r="D3857" s="2" t="s">
        <v>1712</v>
      </c>
      <c r="E3857" s="2" t="str">
        <f>"9791037041593"</f>
        <v>9791037041593</v>
      </c>
      <c r="F3857" s="2" t="str">
        <f>"9791037041616"</f>
        <v>9791037041616</v>
      </c>
    </row>
    <row r="3858" spans="1:6" s="3" customFormat="1" ht="29.1" customHeight="1" x14ac:dyDescent="0.25">
      <c r="A3858" s="2" t="s">
        <v>8458</v>
      </c>
      <c r="B3858" s="2" t="s">
        <v>8459</v>
      </c>
      <c r="C3858" s="2" t="s">
        <v>5</v>
      </c>
      <c r="D3858" s="2" t="s">
        <v>78</v>
      </c>
      <c r="E3858" s="2" t="str">
        <f>"9783031823510"</f>
        <v>9783031823510</v>
      </c>
      <c r="F3858" s="2" t="str">
        <f>"9783031823527"</f>
        <v>9783031823527</v>
      </c>
    </row>
    <row r="3859" spans="1:6" s="3" customFormat="1" ht="29.1" customHeight="1" x14ac:dyDescent="0.25">
      <c r="A3859" s="2" t="s">
        <v>8460</v>
      </c>
      <c r="B3859" s="2" t="s">
        <v>8461</v>
      </c>
      <c r="C3859" s="2" t="s">
        <v>5</v>
      </c>
      <c r="D3859" s="2" t="s">
        <v>1878</v>
      </c>
      <c r="E3859" s="2" t="str">
        <f>"9783031735790"</f>
        <v>9783031735790</v>
      </c>
      <c r="F3859" s="2" t="str">
        <f>"9783031735806"</f>
        <v>9783031735806</v>
      </c>
    </row>
    <row r="3860" spans="1:6" s="3" customFormat="1" ht="29.1" customHeight="1" x14ac:dyDescent="0.25">
      <c r="A3860" s="2" t="s">
        <v>8462</v>
      </c>
      <c r="B3860" s="2" t="s">
        <v>8463</v>
      </c>
      <c r="C3860" s="2" t="s">
        <v>5</v>
      </c>
      <c r="D3860" s="2" t="s">
        <v>12</v>
      </c>
      <c r="E3860" s="2" t="str">
        <f>"9783031713217"</f>
        <v>9783031713217</v>
      </c>
      <c r="F3860" s="2" t="str">
        <f>"9783031713224"</f>
        <v>9783031713224</v>
      </c>
    </row>
    <row r="3861" spans="1:6" s="3" customFormat="1" ht="29.1" customHeight="1" x14ac:dyDescent="0.25">
      <c r="A3861" s="2" t="s">
        <v>1400</v>
      </c>
      <c r="B3861" s="2" t="s">
        <v>8464</v>
      </c>
      <c r="C3861" s="2" t="s">
        <v>1070</v>
      </c>
      <c r="D3861" s="2" t="s">
        <v>1265</v>
      </c>
      <c r="E3861" s="2" t="str">
        <f>"9783318072594"</f>
        <v>9783318072594</v>
      </c>
      <c r="F3861" s="2" t="str">
        <f>"9783318073942"</f>
        <v>9783318073942</v>
      </c>
    </row>
    <row r="3862" spans="1:6" s="3" customFormat="1" ht="29.1" customHeight="1" x14ac:dyDescent="0.25">
      <c r="A3862" s="2" t="s">
        <v>8465</v>
      </c>
      <c r="B3862" s="2" t="s">
        <v>8466</v>
      </c>
      <c r="C3862" s="2" t="s">
        <v>2316</v>
      </c>
      <c r="D3862" s="2" t="s">
        <v>3958</v>
      </c>
      <c r="E3862" s="2"/>
      <c r="F3862" s="2" t="str">
        <f>"9789952854190"</f>
        <v>9789952854190</v>
      </c>
    </row>
    <row r="3863" spans="1:6" s="3" customFormat="1" ht="29.1" customHeight="1" x14ac:dyDescent="0.25">
      <c r="A3863" s="2" t="s">
        <v>8467</v>
      </c>
      <c r="B3863" s="2" t="s">
        <v>8468</v>
      </c>
      <c r="C3863" s="2" t="s">
        <v>2316</v>
      </c>
      <c r="D3863" s="2" t="s">
        <v>162</v>
      </c>
      <c r="E3863" s="2"/>
      <c r="F3863" s="2" t="str">
        <f>"9789952854169"</f>
        <v>9789952854169</v>
      </c>
    </row>
    <row r="3864" spans="1:6" s="3" customFormat="1" ht="29.1" customHeight="1" x14ac:dyDescent="0.25">
      <c r="A3864" s="2" t="s">
        <v>8469</v>
      </c>
      <c r="B3864" s="2" t="s">
        <v>8471</v>
      </c>
      <c r="C3864" s="2" t="s">
        <v>2316</v>
      </c>
      <c r="D3864" s="2" t="s">
        <v>8470</v>
      </c>
      <c r="E3864" s="2"/>
      <c r="F3864" s="2" t="str">
        <f>"9789952854138"</f>
        <v>9789952854138</v>
      </c>
    </row>
    <row r="3865" spans="1:6" s="3" customFormat="1" ht="29.1" customHeight="1" x14ac:dyDescent="0.25">
      <c r="A3865" s="2" t="s">
        <v>8472</v>
      </c>
      <c r="B3865" s="2" t="s">
        <v>8473</v>
      </c>
      <c r="C3865" s="2" t="s">
        <v>2316</v>
      </c>
      <c r="D3865" s="2" t="s">
        <v>6511</v>
      </c>
      <c r="E3865" s="2"/>
      <c r="F3865" s="2" t="str">
        <f>"9789952854176"</f>
        <v>9789952854176</v>
      </c>
    </row>
    <row r="3866" spans="1:6" s="3" customFormat="1" ht="29.1" customHeight="1" x14ac:dyDescent="0.25">
      <c r="A3866" s="2" t="s">
        <v>8474</v>
      </c>
      <c r="B3866" s="2" t="s">
        <v>8476</v>
      </c>
      <c r="C3866" s="2" t="s">
        <v>2316</v>
      </c>
      <c r="D3866" s="2" t="s">
        <v>8475</v>
      </c>
      <c r="E3866" s="2"/>
      <c r="F3866" s="2" t="str">
        <f>"9789952854145"</f>
        <v>9789952854145</v>
      </c>
    </row>
    <row r="3867" spans="1:6" s="3" customFormat="1" ht="29.1" customHeight="1" x14ac:dyDescent="0.25">
      <c r="A3867" s="2" t="s">
        <v>8477</v>
      </c>
      <c r="B3867" s="2" t="s">
        <v>8476</v>
      </c>
      <c r="C3867" s="2" t="s">
        <v>2316</v>
      </c>
      <c r="D3867" s="2" t="s">
        <v>8478</v>
      </c>
      <c r="E3867" s="2"/>
      <c r="F3867" s="2" t="str">
        <f>"9789952854114"</f>
        <v>9789952854114</v>
      </c>
    </row>
    <row r="3868" spans="1:6" s="3" customFormat="1" ht="29.1" customHeight="1" x14ac:dyDescent="0.25">
      <c r="A3868" s="2" t="s">
        <v>8479</v>
      </c>
      <c r="B3868" s="2" t="s">
        <v>8480</v>
      </c>
      <c r="C3868" s="2" t="s">
        <v>2316</v>
      </c>
      <c r="D3868" s="2" t="s">
        <v>2083</v>
      </c>
      <c r="E3868" s="2"/>
      <c r="F3868" s="2" t="str">
        <f>"9789952854107"</f>
        <v>9789952854107</v>
      </c>
    </row>
    <row r="3869" spans="1:6" s="3" customFormat="1" ht="29.1" customHeight="1" x14ac:dyDescent="0.25">
      <c r="A3869" s="2" t="s">
        <v>8481</v>
      </c>
      <c r="B3869" s="2" t="s">
        <v>8482</v>
      </c>
      <c r="C3869" s="2" t="s">
        <v>2316</v>
      </c>
      <c r="D3869" s="2" t="s">
        <v>37</v>
      </c>
      <c r="E3869" s="2"/>
      <c r="F3869" s="2" t="str">
        <f>"9789952854183"</f>
        <v>9789952854183</v>
      </c>
    </row>
    <row r="3870" spans="1:6" s="3" customFormat="1" ht="29.1" customHeight="1" x14ac:dyDescent="0.25">
      <c r="A3870" s="2" t="s">
        <v>8483</v>
      </c>
      <c r="B3870" s="2" t="s">
        <v>8484</v>
      </c>
      <c r="C3870" s="2" t="s">
        <v>2316</v>
      </c>
      <c r="D3870" s="2" t="s">
        <v>2655</v>
      </c>
      <c r="E3870" s="2"/>
      <c r="F3870" s="2" t="str">
        <f>"9789952854152"</f>
        <v>9789952854152</v>
      </c>
    </row>
    <row r="3871" spans="1:6" s="3" customFormat="1" ht="29.1" customHeight="1" x14ac:dyDescent="0.25">
      <c r="A3871" s="2" t="s">
        <v>8485</v>
      </c>
      <c r="B3871" s="2" t="s">
        <v>8487</v>
      </c>
      <c r="C3871" s="2" t="s">
        <v>2316</v>
      </c>
      <c r="D3871" s="2" t="s">
        <v>8486</v>
      </c>
      <c r="E3871" s="2"/>
      <c r="F3871" s="2" t="str">
        <f>"9789952854121"</f>
        <v>9789952854121</v>
      </c>
    </row>
    <row r="3872" spans="1:6" s="3" customFormat="1" ht="29.1" customHeight="1" x14ac:dyDescent="0.25">
      <c r="A3872" s="2" t="s">
        <v>8488</v>
      </c>
      <c r="B3872" s="2" t="s">
        <v>8489</v>
      </c>
      <c r="C3872" s="2" t="s">
        <v>732</v>
      </c>
      <c r="D3872" s="2" t="s">
        <v>4214</v>
      </c>
      <c r="E3872" s="2" t="str">
        <f>"9781779953230"</f>
        <v>9781779953230</v>
      </c>
      <c r="F3872" s="2" t="str">
        <f>"9781779953247"</f>
        <v>9781779953247</v>
      </c>
    </row>
    <row r="3873" spans="1:6" s="3" customFormat="1" ht="29.1" customHeight="1" x14ac:dyDescent="0.25">
      <c r="A3873" s="2" t="s">
        <v>8490</v>
      </c>
      <c r="B3873" s="2" t="s">
        <v>8491</v>
      </c>
      <c r="C3873" s="2" t="s">
        <v>732</v>
      </c>
      <c r="D3873" s="2" t="s">
        <v>818</v>
      </c>
      <c r="E3873" s="2" t="str">
        <f>"9781779953568"</f>
        <v>9781779953568</v>
      </c>
      <c r="F3873" s="2" t="str">
        <f>"9781776342426"</f>
        <v>9781776342426</v>
      </c>
    </row>
    <row r="3874" spans="1:6" s="3" customFormat="1" ht="29.1" customHeight="1" x14ac:dyDescent="0.25">
      <c r="A3874" s="2" t="s">
        <v>8492</v>
      </c>
      <c r="B3874" s="2" t="s">
        <v>8493</v>
      </c>
      <c r="C3874" s="2" t="s">
        <v>732</v>
      </c>
      <c r="D3874" s="2" t="s">
        <v>249</v>
      </c>
      <c r="E3874" s="2" t="str">
        <f>"9781991269126"</f>
        <v>9781991269126</v>
      </c>
      <c r="F3874" s="2" t="str">
        <f>"9781991270122"</f>
        <v>9781991270122</v>
      </c>
    </row>
    <row r="3875" spans="1:6" s="3" customFormat="1" ht="29.1" customHeight="1" x14ac:dyDescent="0.25">
      <c r="A3875" s="2" t="s">
        <v>8494</v>
      </c>
      <c r="B3875" s="2" t="s">
        <v>8495</v>
      </c>
      <c r="C3875" s="2" t="s">
        <v>732</v>
      </c>
      <c r="D3875" s="2" t="s">
        <v>72</v>
      </c>
      <c r="E3875" s="2" t="str">
        <f>"9781991269119"</f>
        <v>9781991269119</v>
      </c>
      <c r="F3875" s="2" t="str">
        <f>"9781991270115"</f>
        <v>9781991270115</v>
      </c>
    </row>
    <row r="3876" spans="1:6" s="3" customFormat="1" ht="29.1" customHeight="1" x14ac:dyDescent="0.25">
      <c r="A3876" s="2" t="s">
        <v>8496</v>
      </c>
      <c r="B3876" s="2" t="s">
        <v>8497</v>
      </c>
      <c r="C3876" s="2" t="s">
        <v>732</v>
      </c>
      <c r="D3876" s="2" t="s">
        <v>2260</v>
      </c>
      <c r="E3876" s="2" t="str">
        <f>"9781991269102"</f>
        <v>9781991269102</v>
      </c>
      <c r="F3876" s="2" t="str">
        <f>"9781991270108"</f>
        <v>9781991270108</v>
      </c>
    </row>
    <row r="3877" spans="1:6" s="3" customFormat="1" ht="29.1" customHeight="1" x14ac:dyDescent="0.25">
      <c r="A3877" s="2" t="s">
        <v>8498</v>
      </c>
      <c r="B3877" s="2" t="s">
        <v>8499</v>
      </c>
      <c r="C3877" s="2" t="s">
        <v>927</v>
      </c>
      <c r="D3877" s="2" t="s">
        <v>4517</v>
      </c>
      <c r="E3877" s="2" t="str">
        <f>"9780472057214"</f>
        <v>9780472057214</v>
      </c>
      <c r="F3877" s="2" t="str">
        <f>"9780472904839"</f>
        <v>9780472904839</v>
      </c>
    </row>
    <row r="3878" spans="1:6" s="3" customFormat="1" ht="29.1" customHeight="1" x14ac:dyDescent="0.25">
      <c r="A3878" s="2" t="s">
        <v>8500</v>
      </c>
      <c r="B3878" s="2" t="s">
        <v>8501</v>
      </c>
      <c r="C3878" s="2" t="s">
        <v>248</v>
      </c>
      <c r="D3878" s="2" t="s">
        <v>249</v>
      </c>
      <c r="E3878" s="2" t="str">
        <f>"9783847431244"</f>
        <v>9783847431244</v>
      </c>
      <c r="F3878" s="2" t="str">
        <f>"9783847432593"</f>
        <v>9783847432593</v>
      </c>
    </row>
    <row r="3879" spans="1:6" s="3" customFormat="1" ht="29.1" customHeight="1" x14ac:dyDescent="0.25">
      <c r="A3879" s="2" t="s">
        <v>8502</v>
      </c>
      <c r="B3879" s="2" t="s">
        <v>8503</v>
      </c>
      <c r="C3879" s="2" t="s">
        <v>195</v>
      </c>
      <c r="D3879" s="2" t="s">
        <v>2005</v>
      </c>
      <c r="E3879" s="2" t="str">
        <f>"9783111620831"</f>
        <v>9783111620831</v>
      </c>
      <c r="F3879" s="2" t="str">
        <f>"9783111621296"</f>
        <v>9783111621296</v>
      </c>
    </row>
    <row r="3880" spans="1:6" s="3" customFormat="1" ht="29.1" customHeight="1" x14ac:dyDescent="0.25">
      <c r="A3880" s="2" t="s">
        <v>8504</v>
      </c>
      <c r="B3880" s="2" t="s">
        <v>8505</v>
      </c>
      <c r="C3880" s="2" t="s">
        <v>195</v>
      </c>
      <c r="D3880" s="2" t="s">
        <v>33</v>
      </c>
      <c r="E3880" s="2" t="str">
        <f>"9783111615431"</f>
        <v>9783111615431</v>
      </c>
      <c r="F3880" s="2" t="str">
        <f>"9783111615776"</f>
        <v>9783111615776</v>
      </c>
    </row>
    <row r="3881" spans="1:6" s="3" customFormat="1" ht="29.1" customHeight="1" x14ac:dyDescent="0.25">
      <c r="A3881" s="2" t="s">
        <v>8506</v>
      </c>
      <c r="B3881" s="2" t="s">
        <v>8507</v>
      </c>
      <c r="C3881" s="2" t="s">
        <v>195</v>
      </c>
      <c r="D3881" s="2" t="s">
        <v>431</v>
      </c>
      <c r="E3881" s="2" t="str">
        <f>"9783794040063"</f>
        <v>9783794040063</v>
      </c>
      <c r="F3881" s="2" t="str">
        <f>"9783111625997"</f>
        <v>9783111625997</v>
      </c>
    </row>
    <row r="3882" spans="1:6" s="3" customFormat="1" ht="29.1" customHeight="1" x14ac:dyDescent="0.25">
      <c r="A3882" s="2" t="s">
        <v>1398</v>
      </c>
      <c r="B3882" s="2" t="s">
        <v>8508</v>
      </c>
      <c r="C3882" s="2" t="s">
        <v>1070</v>
      </c>
      <c r="D3882" s="2" t="s">
        <v>1265</v>
      </c>
      <c r="E3882" s="2" t="str">
        <f>"9783318073652"</f>
        <v>9783318073652</v>
      </c>
      <c r="F3882" s="2" t="str">
        <f>"9783318074031"</f>
        <v>9783318074031</v>
      </c>
    </row>
    <row r="3883" spans="1:6" s="3" customFormat="1" ht="29.1" customHeight="1" x14ac:dyDescent="0.25">
      <c r="A3883" s="2" t="s">
        <v>8509</v>
      </c>
      <c r="B3883" s="2" t="s">
        <v>8510</v>
      </c>
      <c r="C3883" s="2" t="s">
        <v>29</v>
      </c>
      <c r="D3883" s="2" t="s">
        <v>33</v>
      </c>
      <c r="E3883" s="2" t="str">
        <f>"9783770568598"</f>
        <v>9783770568598</v>
      </c>
      <c r="F3883" s="2" t="str">
        <f>"9783846768594"</f>
        <v>9783846768594</v>
      </c>
    </row>
    <row r="3884" spans="1:6" s="3" customFormat="1" ht="29.1" customHeight="1" x14ac:dyDescent="0.25">
      <c r="A3884" s="2" t="s">
        <v>8511</v>
      </c>
      <c r="B3884" s="2" t="s">
        <v>8512</v>
      </c>
      <c r="C3884" s="2" t="s">
        <v>5</v>
      </c>
      <c r="D3884" s="2" t="s">
        <v>2336</v>
      </c>
      <c r="E3884" s="2" t="str">
        <f>"9783031818080"</f>
        <v>9783031818080</v>
      </c>
      <c r="F3884" s="2" t="str">
        <f>"9783031818097"</f>
        <v>9783031818097</v>
      </c>
    </row>
    <row r="3885" spans="1:6" s="3" customFormat="1" ht="29.1" customHeight="1" x14ac:dyDescent="0.25">
      <c r="A3885" s="2" t="s">
        <v>8513</v>
      </c>
      <c r="B3885" s="2" t="s">
        <v>8514</v>
      </c>
      <c r="C3885" s="2" t="s">
        <v>29</v>
      </c>
      <c r="D3885" s="2" t="s">
        <v>755</v>
      </c>
      <c r="E3885" s="2" t="str">
        <f>"9789004705647"</f>
        <v>9789004705647</v>
      </c>
      <c r="F3885" s="2" t="str">
        <f>"9789086869404"</f>
        <v>9789086869404</v>
      </c>
    </row>
    <row r="3886" spans="1:6" s="3" customFormat="1" ht="29.1" customHeight="1" x14ac:dyDescent="0.25">
      <c r="A3886" s="2" t="s">
        <v>8515</v>
      </c>
      <c r="B3886" s="2" t="s">
        <v>8516</v>
      </c>
      <c r="C3886" s="2" t="s">
        <v>3154</v>
      </c>
      <c r="D3886" s="2" t="s">
        <v>636</v>
      </c>
      <c r="E3886" s="2" t="str">
        <f>"9789523691216"</f>
        <v>9789523691216</v>
      </c>
      <c r="F3886" s="2" t="str">
        <f>"9789523691223"</f>
        <v>9789523691223</v>
      </c>
    </row>
    <row r="3887" spans="1:6" s="3" customFormat="1" ht="29.1" customHeight="1" x14ac:dyDescent="0.25">
      <c r="A3887" s="2" t="s">
        <v>8517</v>
      </c>
      <c r="B3887" s="2" t="s">
        <v>8518</v>
      </c>
      <c r="C3887" s="2" t="s">
        <v>3154</v>
      </c>
      <c r="D3887" s="2" t="s">
        <v>2199</v>
      </c>
      <c r="E3887" s="2" t="str">
        <f>"9789523691186"</f>
        <v>9789523691186</v>
      </c>
      <c r="F3887" s="2" t="str">
        <f>"9789523691193"</f>
        <v>9789523691193</v>
      </c>
    </row>
    <row r="3888" spans="1:6" s="3" customFormat="1" ht="29.1" customHeight="1" x14ac:dyDescent="0.25">
      <c r="A3888" s="2" t="s">
        <v>8519</v>
      </c>
      <c r="B3888" s="2" t="s">
        <v>8520</v>
      </c>
      <c r="C3888" s="2" t="s">
        <v>3154</v>
      </c>
      <c r="D3888" s="2" t="s">
        <v>1245</v>
      </c>
      <c r="E3888" s="2" t="str">
        <f>"9789523691155"</f>
        <v>9789523691155</v>
      </c>
      <c r="F3888" s="2" t="str">
        <f>"9789523691162"</f>
        <v>9789523691162</v>
      </c>
    </row>
    <row r="3889" spans="1:6" s="3" customFormat="1" ht="29.1" customHeight="1" x14ac:dyDescent="0.25">
      <c r="A3889" s="2" t="s">
        <v>8521</v>
      </c>
      <c r="B3889" s="2" t="s">
        <v>8522</v>
      </c>
      <c r="C3889" s="2" t="s">
        <v>3154</v>
      </c>
      <c r="D3889" s="2" t="s">
        <v>78</v>
      </c>
      <c r="E3889" s="2" t="str">
        <f>"9789523691124"</f>
        <v>9789523691124</v>
      </c>
      <c r="F3889" s="2" t="str">
        <f>"9789523691131"</f>
        <v>9789523691131</v>
      </c>
    </row>
    <row r="3890" spans="1:6" s="3" customFormat="1" ht="29.1" customHeight="1" x14ac:dyDescent="0.25">
      <c r="A3890" s="2" t="s">
        <v>8523</v>
      </c>
      <c r="B3890" s="2" t="s">
        <v>8524</v>
      </c>
      <c r="C3890" s="2" t="s">
        <v>3154</v>
      </c>
      <c r="D3890" s="2" t="s">
        <v>553</v>
      </c>
      <c r="E3890" s="2" t="str">
        <f>"9789523691094"</f>
        <v>9789523691094</v>
      </c>
      <c r="F3890" s="2" t="str">
        <f>"9789523691100"</f>
        <v>9789523691100</v>
      </c>
    </row>
    <row r="3891" spans="1:6" s="3" customFormat="1" ht="29.1" customHeight="1" x14ac:dyDescent="0.25">
      <c r="A3891" s="2" t="s">
        <v>8525</v>
      </c>
      <c r="B3891" s="2" t="s">
        <v>8526</v>
      </c>
      <c r="C3891" s="2" t="s">
        <v>595</v>
      </c>
      <c r="D3891" s="2" t="s">
        <v>2243</v>
      </c>
      <c r="E3891" s="2" t="str">
        <f>"9782875749949"</f>
        <v>9782875749949</v>
      </c>
      <c r="F3891" s="2" t="str">
        <f>"9782875749956"</f>
        <v>9782875749956</v>
      </c>
    </row>
    <row r="3892" spans="1:6" s="3" customFormat="1" ht="29.1" customHeight="1" x14ac:dyDescent="0.25">
      <c r="A3892" s="2" t="s">
        <v>8527</v>
      </c>
      <c r="B3892" s="2" t="s">
        <v>8528</v>
      </c>
      <c r="C3892" s="2" t="s">
        <v>595</v>
      </c>
      <c r="D3892" s="2" t="s">
        <v>818</v>
      </c>
      <c r="E3892" s="2" t="str">
        <f>"9783034348553"</f>
        <v>9783034348553</v>
      </c>
      <c r="F3892" s="2" t="str">
        <f>"9783034348539"</f>
        <v>9783034348539</v>
      </c>
    </row>
    <row r="3893" spans="1:6" s="3" customFormat="1" ht="29.1" customHeight="1" x14ac:dyDescent="0.25">
      <c r="A3893" s="2" t="s">
        <v>8529</v>
      </c>
      <c r="B3893" s="2" t="s">
        <v>8530</v>
      </c>
      <c r="C3893" s="2" t="s">
        <v>595</v>
      </c>
      <c r="D3893" s="2" t="s">
        <v>270</v>
      </c>
      <c r="E3893" s="2" t="str">
        <f>"9783034347716"</f>
        <v>9783034347716</v>
      </c>
      <c r="F3893" s="2" t="str">
        <f>"9783034347877"</f>
        <v>9783034347877</v>
      </c>
    </row>
    <row r="3894" spans="1:6" s="3" customFormat="1" ht="29.1" customHeight="1" x14ac:dyDescent="0.25">
      <c r="A3894" s="2" t="s">
        <v>8531</v>
      </c>
      <c r="B3894" s="2" t="s">
        <v>8532</v>
      </c>
      <c r="C3894" s="2" t="s">
        <v>595</v>
      </c>
      <c r="D3894" s="2" t="s">
        <v>3993</v>
      </c>
      <c r="E3894" s="2" t="str">
        <f>"9783631900406"</f>
        <v>9783631900406</v>
      </c>
      <c r="F3894" s="2" t="str">
        <f>"9783631900413"</f>
        <v>9783631900413</v>
      </c>
    </row>
    <row r="3895" spans="1:6" s="3" customFormat="1" ht="29.1" customHeight="1" x14ac:dyDescent="0.25">
      <c r="A3895" s="2" t="s">
        <v>8533</v>
      </c>
      <c r="B3895" s="2" t="s">
        <v>6467</v>
      </c>
      <c r="C3895" s="2" t="s">
        <v>595</v>
      </c>
      <c r="D3895" s="2" t="s">
        <v>334</v>
      </c>
      <c r="E3895" s="2" t="str">
        <f>"9783631895498"</f>
        <v>9783631895498</v>
      </c>
      <c r="F3895" s="2" t="str">
        <f>"9783631895511"</f>
        <v>9783631895511</v>
      </c>
    </row>
    <row r="3896" spans="1:6" s="3" customFormat="1" ht="29.1" customHeight="1" x14ac:dyDescent="0.25">
      <c r="A3896" s="2" t="s">
        <v>8534</v>
      </c>
      <c r="B3896" s="2" t="s">
        <v>8535</v>
      </c>
      <c r="C3896" s="2" t="s">
        <v>595</v>
      </c>
      <c r="D3896" s="2" t="s">
        <v>334</v>
      </c>
      <c r="E3896" s="2" t="str">
        <f>"9783631882504"</f>
        <v>9783631882504</v>
      </c>
      <c r="F3896" s="2" t="str">
        <f>"9783631885857"</f>
        <v>9783631885857</v>
      </c>
    </row>
    <row r="3897" spans="1:6" s="3" customFormat="1" ht="29.1" customHeight="1" x14ac:dyDescent="0.25">
      <c r="A3897" s="2" t="s">
        <v>8536</v>
      </c>
      <c r="B3897" s="2" t="s">
        <v>8537</v>
      </c>
      <c r="C3897" s="2" t="s">
        <v>8040</v>
      </c>
      <c r="D3897" s="2" t="s">
        <v>78</v>
      </c>
      <c r="E3897" s="2" t="str">
        <f>"9781800418967"</f>
        <v>9781800418967</v>
      </c>
      <c r="F3897" s="2" t="str">
        <f>"9781800418981"</f>
        <v>9781800418981</v>
      </c>
    </row>
    <row r="3898" spans="1:6" s="3" customFormat="1" ht="29.1" customHeight="1" x14ac:dyDescent="0.25">
      <c r="A3898" s="2" t="s">
        <v>8538</v>
      </c>
      <c r="B3898" s="2" t="s">
        <v>8539</v>
      </c>
      <c r="C3898" s="2" t="s">
        <v>5</v>
      </c>
      <c r="D3898" s="2" t="s">
        <v>9</v>
      </c>
      <c r="E3898" s="2" t="str">
        <f>"9782384763160"</f>
        <v>9782384763160</v>
      </c>
      <c r="F3898" s="2" t="str">
        <f>"9782384763177"</f>
        <v>9782384763177</v>
      </c>
    </row>
    <row r="3899" spans="1:6" s="3" customFormat="1" ht="29.1" customHeight="1" x14ac:dyDescent="0.25">
      <c r="A3899" s="2" t="s">
        <v>8540</v>
      </c>
      <c r="B3899" s="2" t="s">
        <v>8541</v>
      </c>
      <c r="C3899" s="2" t="s">
        <v>5</v>
      </c>
      <c r="D3899" s="2" t="s">
        <v>192</v>
      </c>
      <c r="E3899" s="2" t="str">
        <f>"9783662698754"</f>
        <v>9783662698754</v>
      </c>
      <c r="F3899" s="2" t="str">
        <f>"9783662698761"</f>
        <v>9783662698761</v>
      </c>
    </row>
    <row r="3900" spans="1:6" s="3" customFormat="1" ht="29.1" customHeight="1" x14ac:dyDescent="0.25">
      <c r="A3900" s="2" t="s">
        <v>8542</v>
      </c>
      <c r="B3900" s="2" t="s">
        <v>8543</v>
      </c>
      <c r="C3900" s="2" t="s">
        <v>5</v>
      </c>
      <c r="D3900" s="2" t="s">
        <v>487</v>
      </c>
      <c r="E3900" s="2" t="str">
        <f>"9783031767616"</f>
        <v>9783031767616</v>
      </c>
      <c r="F3900" s="2" t="str">
        <f>"9783031767623"</f>
        <v>9783031767623</v>
      </c>
    </row>
    <row r="3901" spans="1:6" s="3" customFormat="1" ht="29.1" customHeight="1" x14ac:dyDescent="0.25">
      <c r="A3901" s="2" t="s">
        <v>8544</v>
      </c>
      <c r="B3901" s="2" t="s">
        <v>8545</v>
      </c>
      <c r="C3901" s="2" t="s">
        <v>5</v>
      </c>
      <c r="D3901" s="2" t="s">
        <v>183</v>
      </c>
      <c r="E3901" s="2" t="str">
        <f>"9783031692918"</f>
        <v>9783031692918</v>
      </c>
      <c r="F3901" s="2" t="str">
        <f>"9783031692925"</f>
        <v>9783031692925</v>
      </c>
    </row>
    <row r="3902" spans="1:6" s="3" customFormat="1" ht="29.1" customHeight="1" x14ac:dyDescent="0.25">
      <c r="A3902" s="2" t="s">
        <v>8546</v>
      </c>
      <c r="B3902" s="2" t="s">
        <v>8547</v>
      </c>
      <c r="C3902" s="2" t="s">
        <v>5</v>
      </c>
      <c r="D3902" s="2" t="s">
        <v>15</v>
      </c>
      <c r="E3902" s="2" t="str">
        <f>"9783031723865"</f>
        <v>9783031723865</v>
      </c>
      <c r="F3902" s="2" t="str">
        <f>"9783031723872"</f>
        <v>9783031723872</v>
      </c>
    </row>
    <row r="3903" spans="1:6" s="3" customFormat="1" ht="29.1" customHeight="1" x14ac:dyDescent="0.25">
      <c r="A3903" s="2" t="s">
        <v>8548</v>
      </c>
      <c r="B3903" s="2" t="s">
        <v>8549</v>
      </c>
      <c r="C3903" s="2" t="s">
        <v>59</v>
      </c>
      <c r="D3903" s="2" t="s">
        <v>2435</v>
      </c>
      <c r="E3903" s="2"/>
      <c r="F3903" s="2" t="str">
        <f>"9782759238774"</f>
        <v>9782759238774</v>
      </c>
    </row>
    <row r="3904" spans="1:6" s="3" customFormat="1" ht="29.1" customHeight="1" x14ac:dyDescent="0.25">
      <c r="A3904" s="2" t="s">
        <v>8550</v>
      </c>
      <c r="B3904" s="2" t="s">
        <v>8551</v>
      </c>
      <c r="C3904" s="2" t="s">
        <v>556</v>
      </c>
      <c r="D3904" s="2" t="s">
        <v>951</v>
      </c>
      <c r="E3904" s="2" t="str">
        <f>"9783837676198"</f>
        <v>9783837676198</v>
      </c>
      <c r="F3904" s="2" t="str">
        <f>"9783839476192"</f>
        <v>9783839476192</v>
      </c>
    </row>
    <row r="3905" spans="1:6" s="3" customFormat="1" ht="29.1" customHeight="1" x14ac:dyDescent="0.25">
      <c r="A3905" s="2" t="s">
        <v>8552</v>
      </c>
      <c r="B3905" s="2" t="s">
        <v>8554</v>
      </c>
      <c r="C3905" s="2" t="s">
        <v>124</v>
      </c>
      <c r="D3905" s="2" t="s">
        <v>8553</v>
      </c>
      <c r="E3905" s="2" t="str">
        <f>"9781032974484"</f>
        <v>9781032974484</v>
      </c>
      <c r="F3905" s="2" t="str">
        <f>"9781003598503"</f>
        <v>9781003598503</v>
      </c>
    </row>
    <row r="3906" spans="1:6" s="3" customFormat="1" ht="29.1" customHeight="1" x14ac:dyDescent="0.25">
      <c r="A3906" s="2" t="s">
        <v>8555</v>
      </c>
      <c r="B3906" s="2" t="s">
        <v>8556</v>
      </c>
      <c r="C3906" s="2" t="s">
        <v>124</v>
      </c>
      <c r="D3906" s="2" t="s">
        <v>189</v>
      </c>
      <c r="E3906" s="2" t="str">
        <f>"9781032880419"</f>
        <v>9781032880419</v>
      </c>
      <c r="F3906" s="2" t="str">
        <f>"9781003536284"</f>
        <v>9781003536284</v>
      </c>
    </row>
    <row r="3907" spans="1:6" s="3" customFormat="1" ht="29.1" customHeight="1" x14ac:dyDescent="0.25">
      <c r="A3907" s="2" t="s">
        <v>8557</v>
      </c>
      <c r="B3907" s="2" t="s">
        <v>8558</v>
      </c>
      <c r="C3907" s="2" t="s">
        <v>556</v>
      </c>
      <c r="D3907" s="2" t="s">
        <v>487</v>
      </c>
      <c r="E3907" s="2" t="str">
        <f>"9783837676884"</f>
        <v>9783837676884</v>
      </c>
      <c r="F3907" s="2" t="str">
        <f>"9783839476888"</f>
        <v>9783839476888</v>
      </c>
    </row>
    <row r="3908" spans="1:6" s="3" customFormat="1" ht="29.1" customHeight="1" x14ac:dyDescent="0.25">
      <c r="A3908" s="2" t="s">
        <v>8559</v>
      </c>
      <c r="B3908" s="2" t="s">
        <v>8560</v>
      </c>
      <c r="C3908" s="2" t="s">
        <v>556</v>
      </c>
      <c r="D3908" s="2" t="s">
        <v>78</v>
      </c>
      <c r="E3908" s="2" t="str">
        <f>"9783837676235"</f>
        <v>9783837676235</v>
      </c>
      <c r="F3908" s="2" t="str">
        <f>"9783839476239"</f>
        <v>9783839476239</v>
      </c>
    </row>
    <row r="3909" spans="1:6" s="3" customFormat="1" ht="29.1" customHeight="1" x14ac:dyDescent="0.25">
      <c r="A3909" s="2" t="s">
        <v>8561</v>
      </c>
      <c r="B3909" s="2" t="s">
        <v>8562</v>
      </c>
      <c r="C3909" s="2" t="s">
        <v>556</v>
      </c>
      <c r="D3909" s="2" t="s">
        <v>183</v>
      </c>
      <c r="E3909" s="2" t="str">
        <f>"9783837673012"</f>
        <v>9783837673012</v>
      </c>
      <c r="F3909" s="2" t="str">
        <f>"9783839473016"</f>
        <v>9783839473016</v>
      </c>
    </row>
    <row r="3910" spans="1:6" s="3" customFormat="1" ht="29.1" customHeight="1" x14ac:dyDescent="0.25">
      <c r="A3910" s="2" t="s">
        <v>8563</v>
      </c>
      <c r="B3910" s="2" t="s">
        <v>8564</v>
      </c>
      <c r="C3910" s="2" t="s">
        <v>556</v>
      </c>
      <c r="D3910" s="2" t="s">
        <v>5574</v>
      </c>
      <c r="E3910" s="2" t="str">
        <f>"9783837675689"</f>
        <v>9783837675689</v>
      </c>
      <c r="F3910" s="2" t="str">
        <f>"9783732875689"</f>
        <v>9783732875689</v>
      </c>
    </row>
    <row r="3911" spans="1:6" s="3" customFormat="1" ht="29.1" customHeight="1" x14ac:dyDescent="0.25">
      <c r="A3911" s="2" t="s">
        <v>8565</v>
      </c>
      <c r="B3911" s="2" t="s">
        <v>8566</v>
      </c>
      <c r="C3911" s="2" t="s">
        <v>556</v>
      </c>
      <c r="D3911" s="2" t="s">
        <v>2587</v>
      </c>
      <c r="E3911" s="2" t="str">
        <f>"9783837675351"</f>
        <v>9783837675351</v>
      </c>
      <c r="F3911" s="2" t="str">
        <f>"9783839475355"</f>
        <v>9783839475355</v>
      </c>
    </row>
    <row r="3912" spans="1:6" s="3" customFormat="1" ht="29.1" customHeight="1" x14ac:dyDescent="0.25">
      <c r="A3912" s="2" t="s">
        <v>8567</v>
      </c>
      <c r="B3912" s="2" t="s">
        <v>8568</v>
      </c>
      <c r="C3912" s="2" t="s">
        <v>556</v>
      </c>
      <c r="D3912" s="2" t="s">
        <v>2587</v>
      </c>
      <c r="E3912" s="2" t="str">
        <f>"9783837674552"</f>
        <v>9783837674552</v>
      </c>
      <c r="F3912" s="2" t="str">
        <f>"9783839474556"</f>
        <v>9783839474556</v>
      </c>
    </row>
    <row r="3913" spans="1:6" s="3" customFormat="1" ht="29.1" customHeight="1" x14ac:dyDescent="0.25">
      <c r="A3913" s="2" t="s">
        <v>8569</v>
      </c>
      <c r="B3913" s="2" t="s">
        <v>8570</v>
      </c>
      <c r="C3913" s="2" t="s">
        <v>556</v>
      </c>
      <c r="D3913" s="2" t="s">
        <v>855</v>
      </c>
      <c r="E3913" s="2" t="str">
        <f>"9783837676143"</f>
        <v>9783837676143</v>
      </c>
      <c r="F3913" s="2" t="str">
        <f>"9783839476147"</f>
        <v>9783839476147</v>
      </c>
    </row>
    <row r="3914" spans="1:6" s="3" customFormat="1" ht="29.1" customHeight="1" x14ac:dyDescent="0.25">
      <c r="A3914" s="2" t="s">
        <v>8571</v>
      </c>
      <c r="B3914" s="2" t="s">
        <v>8572</v>
      </c>
      <c r="C3914" s="2" t="s">
        <v>556</v>
      </c>
      <c r="D3914" s="2" t="s">
        <v>1578</v>
      </c>
      <c r="E3914" s="2" t="str">
        <f>"9783837676112"</f>
        <v>9783837676112</v>
      </c>
      <c r="F3914" s="2" t="str">
        <f>"9783732876112"</f>
        <v>9783732876112</v>
      </c>
    </row>
    <row r="3915" spans="1:6" s="3" customFormat="1" ht="29.1" customHeight="1" x14ac:dyDescent="0.25">
      <c r="A3915" s="2" t="s">
        <v>8573</v>
      </c>
      <c r="B3915" s="2" t="s">
        <v>8574</v>
      </c>
      <c r="C3915" s="2" t="s">
        <v>556</v>
      </c>
      <c r="D3915" s="2" t="s">
        <v>614</v>
      </c>
      <c r="E3915" s="2" t="str">
        <f>"9783837671209"</f>
        <v>9783837671209</v>
      </c>
      <c r="F3915" s="2" t="str">
        <f>"9783839471203"</f>
        <v>9783839471203</v>
      </c>
    </row>
    <row r="3916" spans="1:6" s="3" customFormat="1" ht="29.1" customHeight="1" x14ac:dyDescent="0.25">
      <c r="A3916" s="2" t="s">
        <v>8575</v>
      </c>
      <c r="B3916" s="2" t="s">
        <v>8576</v>
      </c>
      <c r="C3916" s="2" t="s">
        <v>556</v>
      </c>
      <c r="D3916" s="2" t="s">
        <v>2005</v>
      </c>
      <c r="E3916" s="2" t="str">
        <f>"9783837675368"</f>
        <v>9783837675368</v>
      </c>
      <c r="F3916" s="2" t="str">
        <f>"9783839475362"</f>
        <v>9783839475362</v>
      </c>
    </row>
    <row r="3917" spans="1:6" s="3" customFormat="1" ht="29.1" customHeight="1" x14ac:dyDescent="0.25">
      <c r="A3917" s="2" t="s">
        <v>8577</v>
      </c>
      <c r="B3917" s="2" t="s">
        <v>8578</v>
      </c>
      <c r="C3917" s="2" t="s">
        <v>556</v>
      </c>
      <c r="D3917" s="2" t="s">
        <v>284</v>
      </c>
      <c r="E3917" s="2" t="str">
        <f>"9783837673975"</f>
        <v>9783837673975</v>
      </c>
      <c r="F3917" s="2" t="str">
        <f>"9783732873975"</f>
        <v>9783732873975</v>
      </c>
    </row>
    <row r="3918" spans="1:6" s="3" customFormat="1" ht="29.1" customHeight="1" x14ac:dyDescent="0.25">
      <c r="A3918" s="2" t="s">
        <v>8579</v>
      </c>
      <c r="B3918" s="2" t="s">
        <v>8580</v>
      </c>
      <c r="C3918" s="2" t="s">
        <v>556</v>
      </c>
      <c r="D3918" s="2" t="s">
        <v>150</v>
      </c>
      <c r="E3918" s="2" t="str">
        <f>"9783837675306"</f>
        <v>9783837675306</v>
      </c>
      <c r="F3918" s="2" t="str">
        <f>"9783839475300"</f>
        <v>9783839475300</v>
      </c>
    </row>
    <row r="3919" spans="1:6" s="3" customFormat="1" ht="29.1" customHeight="1" x14ac:dyDescent="0.25">
      <c r="A3919" s="2" t="s">
        <v>8581</v>
      </c>
      <c r="B3919" s="2" t="s">
        <v>8582</v>
      </c>
      <c r="C3919" s="2" t="s">
        <v>556</v>
      </c>
      <c r="D3919" s="2" t="s">
        <v>5983</v>
      </c>
      <c r="E3919" s="2" t="str">
        <f>"9783837675191"</f>
        <v>9783837675191</v>
      </c>
      <c r="F3919" s="2" t="str">
        <f>"9783732875191"</f>
        <v>9783732875191</v>
      </c>
    </row>
    <row r="3920" spans="1:6" s="3" customFormat="1" ht="29.1" customHeight="1" x14ac:dyDescent="0.25">
      <c r="A3920" s="2" t="s">
        <v>8584</v>
      </c>
      <c r="B3920" s="2" t="s">
        <v>8585</v>
      </c>
      <c r="C3920" s="2" t="s">
        <v>556</v>
      </c>
      <c r="D3920" s="2" t="s">
        <v>1001</v>
      </c>
      <c r="E3920" s="2" t="str">
        <f>"9783837676617"</f>
        <v>9783837676617</v>
      </c>
      <c r="F3920" s="2" t="str">
        <f>"9783839476611"</f>
        <v>9783839476611</v>
      </c>
    </row>
    <row r="3921" spans="1:6" s="3" customFormat="1" ht="29.1" customHeight="1" x14ac:dyDescent="0.25">
      <c r="A3921" s="2" t="s">
        <v>8586</v>
      </c>
      <c r="B3921" s="2" t="s">
        <v>8587</v>
      </c>
      <c r="C3921" s="2" t="s">
        <v>556</v>
      </c>
      <c r="D3921" s="2" t="s">
        <v>1245</v>
      </c>
      <c r="E3921" s="2" t="str">
        <f>"9783837675375"</f>
        <v>9783837675375</v>
      </c>
      <c r="F3921" s="2" t="str">
        <f>"9783839475379"</f>
        <v>9783839475379</v>
      </c>
    </row>
    <row r="3922" spans="1:6" s="3" customFormat="1" ht="29.1" customHeight="1" x14ac:dyDescent="0.25">
      <c r="A3922" s="2" t="s">
        <v>8588</v>
      </c>
      <c r="B3922" s="2" t="s">
        <v>8589</v>
      </c>
      <c r="C3922" s="2" t="s">
        <v>556</v>
      </c>
      <c r="D3922" s="2" t="s">
        <v>712</v>
      </c>
      <c r="E3922" s="2" t="str">
        <f>"9783837671469"</f>
        <v>9783837671469</v>
      </c>
      <c r="F3922" s="2" t="str">
        <f>"9783732871469"</f>
        <v>9783732871469</v>
      </c>
    </row>
    <row r="3923" spans="1:6" s="3" customFormat="1" ht="29.1" customHeight="1" x14ac:dyDescent="0.25">
      <c r="A3923" s="2" t="s">
        <v>8590</v>
      </c>
      <c r="B3923" s="2" t="s">
        <v>8592</v>
      </c>
      <c r="C3923" s="2" t="s">
        <v>556</v>
      </c>
      <c r="D3923" s="2" t="s">
        <v>8591</v>
      </c>
      <c r="E3923" s="2" t="str">
        <f>"9783837673739"</f>
        <v>9783837673739</v>
      </c>
      <c r="F3923" s="2" t="str">
        <f>"9783732873739"</f>
        <v>9783732873739</v>
      </c>
    </row>
    <row r="3924" spans="1:6" s="3" customFormat="1" ht="29.1" customHeight="1" x14ac:dyDescent="0.25">
      <c r="A3924" s="2" t="s">
        <v>8593</v>
      </c>
      <c r="B3924" s="2" t="s">
        <v>8594</v>
      </c>
      <c r="C3924" s="2" t="s">
        <v>556</v>
      </c>
      <c r="D3924" s="2" t="s">
        <v>2462</v>
      </c>
      <c r="E3924" s="2" t="str">
        <f>"9783837675603"</f>
        <v>9783837675603</v>
      </c>
      <c r="F3924" s="2" t="str">
        <f>"9783839475607"</f>
        <v>9783839475607</v>
      </c>
    </row>
    <row r="3925" spans="1:6" s="3" customFormat="1" ht="29.1" customHeight="1" x14ac:dyDescent="0.25">
      <c r="A3925" s="2" t="s">
        <v>8595</v>
      </c>
      <c r="B3925" s="2" t="s">
        <v>8596</v>
      </c>
      <c r="C3925" s="2" t="s">
        <v>556</v>
      </c>
      <c r="D3925" s="2" t="s">
        <v>78</v>
      </c>
      <c r="E3925" s="2" t="str">
        <f>"9783837675320"</f>
        <v>9783837675320</v>
      </c>
      <c r="F3925" s="2" t="str">
        <f>"9783839475324"</f>
        <v>9783839475324</v>
      </c>
    </row>
    <row r="3926" spans="1:6" s="3" customFormat="1" ht="29.1" customHeight="1" x14ac:dyDescent="0.25">
      <c r="A3926" s="2" t="s">
        <v>8597</v>
      </c>
      <c r="B3926" s="2" t="s">
        <v>8598</v>
      </c>
      <c r="C3926" s="2" t="s">
        <v>556</v>
      </c>
      <c r="D3926" s="2" t="s">
        <v>459</v>
      </c>
      <c r="E3926" s="2" t="str">
        <f>"9783837670615"</f>
        <v>9783837670615</v>
      </c>
      <c r="F3926" s="2" t="str">
        <f>"9783839470619"</f>
        <v>9783839470619</v>
      </c>
    </row>
    <row r="3927" spans="1:6" s="3" customFormat="1" ht="29.1" customHeight="1" x14ac:dyDescent="0.25">
      <c r="A3927" s="2" t="s">
        <v>8599</v>
      </c>
      <c r="B3927" s="2" t="s">
        <v>8600</v>
      </c>
      <c r="C3927" s="2" t="s">
        <v>59</v>
      </c>
      <c r="D3927" s="2" t="s">
        <v>12</v>
      </c>
      <c r="E3927" s="2"/>
      <c r="F3927" s="2" t="str">
        <f>"9782759240630"</f>
        <v>9782759240630</v>
      </c>
    </row>
    <row r="3928" spans="1:6" s="3" customFormat="1" ht="29.1" customHeight="1" x14ac:dyDescent="0.25">
      <c r="A3928" s="2" t="s">
        <v>8601</v>
      </c>
      <c r="B3928" s="2" t="s">
        <v>8602</v>
      </c>
      <c r="C3928" s="2" t="s">
        <v>124</v>
      </c>
      <c r="D3928" s="2" t="s">
        <v>9</v>
      </c>
      <c r="E3928" s="2" t="str">
        <f>"9781032826400"</f>
        <v>9781032826400</v>
      </c>
      <c r="F3928" s="2" t="str">
        <f>"9781003508120"</f>
        <v>9781003508120</v>
      </c>
    </row>
    <row r="3929" spans="1:6" s="3" customFormat="1" ht="29.1" customHeight="1" x14ac:dyDescent="0.25">
      <c r="A3929" s="2" t="s">
        <v>8603</v>
      </c>
      <c r="B3929" s="2" t="s">
        <v>8605</v>
      </c>
      <c r="C3929" s="2" t="s">
        <v>124</v>
      </c>
      <c r="D3929" s="2" t="s">
        <v>8604</v>
      </c>
      <c r="E3929" s="2" t="str">
        <f>"9781032736532"</f>
        <v>9781032736532</v>
      </c>
      <c r="F3929" s="2" t="str">
        <f>"9781003479055"</f>
        <v>9781003479055</v>
      </c>
    </row>
    <row r="3930" spans="1:6" s="3" customFormat="1" ht="29.1" customHeight="1" x14ac:dyDescent="0.25">
      <c r="A3930" s="2" t="s">
        <v>8606</v>
      </c>
      <c r="B3930" s="2" t="s">
        <v>8607</v>
      </c>
      <c r="C3930" s="2" t="s">
        <v>124</v>
      </c>
      <c r="D3930" s="2" t="s">
        <v>431</v>
      </c>
      <c r="E3930" s="2" t="str">
        <f>"9781032613819"</f>
        <v>9781032613819</v>
      </c>
      <c r="F3930" s="2" t="str">
        <f>"9781032719627"</f>
        <v>9781032719627</v>
      </c>
    </row>
    <row r="3931" spans="1:6" s="3" customFormat="1" ht="29.1" customHeight="1" x14ac:dyDescent="0.25">
      <c r="A3931" s="2" t="s">
        <v>8608</v>
      </c>
      <c r="B3931" s="2" t="s">
        <v>8609</v>
      </c>
      <c r="C3931" s="2" t="s">
        <v>55</v>
      </c>
      <c r="D3931" s="2" t="s">
        <v>78</v>
      </c>
      <c r="E3931" s="2" t="str">
        <f>"9781526177032"</f>
        <v>9781526177032</v>
      </c>
      <c r="F3931" s="2" t="str">
        <f>"9781526177025"</f>
        <v>9781526177025</v>
      </c>
    </row>
    <row r="3932" spans="1:6" s="3" customFormat="1" ht="29.1" customHeight="1" x14ac:dyDescent="0.25">
      <c r="A3932" s="2" t="s">
        <v>8610</v>
      </c>
      <c r="B3932" s="2" t="s">
        <v>8611</v>
      </c>
      <c r="C3932" s="2" t="s">
        <v>149</v>
      </c>
      <c r="D3932" s="2" t="s">
        <v>490</v>
      </c>
      <c r="E3932" s="2" t="str">
        <f>"9781805114253"</f>
        <v>9781805114253</v>
      </c>
      <c r="F3932" s="2" t="str">
        <f>"9781805114277"</f>
        <v>9781805114277</v>
      </c>
    </row>
    <row r="3933" spans="1:6" s="3" customFormat="1" ht="29.1" customHeight="1" x14ac:dyDescent="0.25">
      <c r="A3933" s="2" t="s">
        <v>8612</v>
      </c>
      <c r="B3933" s="2" t="s">
        <v>8614</v>
      </c>
      <c r="C3933" s="2" t="s">
        <v>149</v>
      </c>
      <c r="D3933" s="2" t="s">
        <v>8613</v>
      </c>
      <c r="E3933" s="2" t="str">
        <f>"9781685712648"</f>
        <v>9781685712648</v>
      </c>
      <c r="F3933" s="2" t="str">
        <f>"9781685712655"</f>
        <v>9781685712655</v>
      </c>
    </row>
    <row r="3934" spans="1:6" s="3" customFormat="1" ht="29.1" customHeight="1" x14ac:dyDescent="0.25">
      <c r="A3934" s="2" t="s">
        <v>8615</v>
      </c>
      <c r="B3934" s="2" t="s">
        <v>8616</v>
      </c>
      <c r="C3934" s="2" t="s">
        <v>195</v>
      </c>
      <c r="D3934" s="2" t="s">
        <v>2048</v>
      </c>
      <c r="E3934" s="2" t="str">
        <f>"9783111696508"</f>
        <v>9783111696508</v>
      </c>
      <c r="F3934" s="2" t="str">
        <f>"9783111697062"</f>
        <v>9783111697062</v>
      </c>
    </row>
    <row r="3935" spans="1:6" s="3" customFormat="1" ht="29.1" customHeight="1" x14ac:dyDescent="0.25">
      <c r="A3935" s="2" t="s">
        <v>8617</v>
      </c>
      <c r="B3935" s="2" t="s">
        <v>8618</v>
      </c>
      <c r="C3935" s="2" t="s">
        <v>124</v>
      </c>
      <c r="D3935" s="2" t="s">
        <v>2332</v>
      </c>
      <c r="E3935" s="2" t="str">
        <f>"9781032397283"</f>
        <v>9781032397283</v>
      </c>
      <c r="F3935" s="2" t="str">
        <f>"9781003351092"</f>
        <v>9781003351092</v>
      </c>
    </row>
    <row r="3936" spans="1:6" s="3" customFormat="1" ht="29.1" customHeight="1" x14ac:dyDescent="0.25">
      <c r="A3936" s="2" t="s">
        <v>8619</v>
      </c>
      <c r="B3936" s="2" t="s">
        <v>8620</v>
      </c>
      <c r="C3936" s="2" t="s">
        <v>5</v>
      </c>
      <c r="D3936" s="2" t="s">
        <v>81</v>
      </c>
      <c r="E3936" s="2" t="str">
        <f>"9782384763559"</f>
        <v>9782384763559</v>
      </c>
      <c r="F3936" s="2" t="str">
        <f>"9782384763566"</f>
        <v>9782384763566</v>
      </c>
    </row>
    <row r="3937" spans="1:6" s="3" customFormat="1" ht="29.1" customHeight="1" x14ac:dyDescent="0.25">
      <c r="A3937" s="2" t="s">
        <v>8621</v>
      </c>
      <c r="B3937" s="2" t="s">
        <v>8622</v>
      </c>
      <c r="C3937" s="2" t="s">
        <v>5</v>
      </c>
      <c r="D3937" s="2" t="s">
        <v>501</v>
      </c>
      <c r="E3937" s="2" t="str">
        <f>"9789819622948"</f>
        <v>9789819622948</v>
      </c>
      <c r="F3937" s="2" t="str">
        <f>"9789819622955"</f>
        <v>9789819622955</v>
      </c>
    </row>
    <row r="3938" spans="1:6" s="3" customFormat="1" ht="29.1" customHeight="1" x14ac:dyDescent="0.25">
      <c r="A3938" s="2" t="s">
        <v>8623</v>
      </c>
      <c r="B3938" s="2" t="s">
        <v>8624</v>
      </c>
      <c r="C3938" s="2" t="s">
        <v>5</v>
      </c>
      <c r="D3938" s="2" t="s">
        <v>1883</v>
      </c>
      <c r="E3938" s="2" t="str">
        <f>"9783662692714"</f>
        <v>9783662692714</v>
      </c>
      <c r="F3938" s="2" t="str">
        <f>"9783662692721"</f>
        <v>9783662692721</v>
      </c>
    </row>
    <row r="3939" spans="1:6" s="3" customFormat="1" ht="29.1" customHeight="1" x14ac:dyDescent="0.25">
      <c r="A3939" s="2" t="s">
        <v>8625</v>
      </c>
      <c r="B3939" s="2" t="s">
        <v>8626</v>
      </c>
      <c r="C3939" s="2" t="s">
        <v>124</v>
      </c>
      <c r="D3939" s="2" t="s">
        <v>75</v>
      </c>
      <c r="E3939" s="2" t="str">
        <f>"9780815377306"</f>
        <v>9780815377306</v>
      </c>
      <c r="F3939" s="2" t="str">
        <f>"9781351234283"</f>
        <v>9781351234283</v>
      </c>
    </row>
    <row r="3940" spans="1:6" s="3" customFormat="1" ht="29.1" customHeight="1" x14ac:dyDescent="0.25">
      <c r="A3940" s="2" t="s">
        <v>8627</v>
      </c>
      <c r="B3940" s="2" t="s">
        <v>8628</v>
      </c>
      <c r="C3940" s="2" t="s">
        <v>5</v>
      </c>
      <c r="D3940" s="2" t="s">
        <v>15</v>
      </c>
      <c r="E3940" s="2" t="str">
        <f>"9783031777141"</f>
        <v>9783031777141</v>
      </c>
      <c r="F3940" s="2" t="str">
        <f>"9783031777158"</f>
        <v>9783031777158</v>
      </c>
    </row>
    <row r="3941" spans="1:6" s="3" customFormat="1" ht="29.1" customHeight="1" x14ac:dyDescent="0.25">
      <c r="A3941" s="2" t="s">
        <v>8074</v>
      </c>
      <c r="B3941" s="2"/>
      <c r="C3941" s="2" t="s">
        <v>59</v>
      </c>
      <c r="D3941" s="2" t="s">
        <v>2433</v>
      </c>
      <c r="E3941" s="2"/>
      <c r="F3941" s="2" t="str">
        <f>"9782759240128"</f>
        <v>9782759240128</v>
      </c>
    </row>
    <row r="3942" spans="1:6" s="3" customFormat="1" ht="29.1" customHeight="1" x14ac:dyDescent="0.25">
      <c r="A3942" s="2" t="s">
        <v>8629</v>
      </c>
      <c r="B3942" s="2"/>
      <c r="C3942" s="2" t="s">
        <v>59</v>
      </c>
      <c r="D3942" s="2" t="s">
        <v>6994</v>
      </c>
      <c r="E3942" s="2"/>
      <c r="F3942" s="2" t="str">
        <f>"9782759240333"</f>
        <v>9782759240333</v>
      </c>
    </row>
    <row r="3943" spans="1:6" s="3" customFormat="1" ht="29.1" customHeight="1" x14ac:dyDescent="0.25">
      <c r="A3943" s="2" t="s">
        <v>8630</v>
      </c>
      <c r="B3943" s="2" t="s">
        <v>8631</v>
      </c>
      <c r="C3943" s="2" t="s">
        <v>4788</v>
      </c>
      <c r="D3943" s="2" t="s">
        <v>150</v>
      </c>
      <c r="E3943" s="2" t="str">
        <f>"9781399542777"</f>
        <v>9781399542777</v>
      </c>
      <c r="F3943" s="2" t="str">
        <f>"9781399542791"</f>
        <v>9781399542791</v>
      </c>
    </row>
    <row r="3944" spans="1:6" s="3" customFormat="1" ht="29.1" customHeight="1" x14ac:dyDescent="0.25">
      <c r="A3944" s="2" t="s">
        <v>8632</v>
      </c>
      <c r="B3944" s="2" t="s">
        <v>8633</v>
      </c>
      <c r="C3944" s="2" t="s">
        <v>4788</v>
      </c>
      <c r="D3944" s="2" t="s">
        <v>3130</v>
      </c>
      <c r="E3944" s="2" t="str">
        <f>"9781399514569"</f>
        <v>9781399514569</v>
      </c>
      <c r="F3944" s="2" t="str">
        <f>"9781399514583"</f>
        <v>9781399514583</v>
      </c>
    </row>
    <row r="3945" spans="1:6" s="3" customFormat="1" ht="29.1" customHeight="1" x14ac:dyDescent="0.25">
      <c r="A3945" s="2" t="s">
        <v>8634</v>
      </c>
      <c r="B3945" s="2" t="s">
        <v>8635</v>
      </c>
      <c r="C3945" s="2" t="s">
        <v>4788</v>
      </c>
      <c r="D3945" s="2" t="s">
        <v>7132</v>
      </c>
      <c r="E3945" s="2" t="str">
        <f>"9781399526708"</f>
        <v>9781399526708</v>
      </c>
      <c r="F3945" s="2" t="str">
        <f>"9781399526722"</f>
        <v>9781399526722</v>
      </c>
    </row>
    <row r="3946" spans="1:6" s="3" customFormat="1" ht="29.1" customHeight="1" x14ac:dyDescent="0.25">
      <c r="A3946" s="2" t="s">
        <v>8636</v>
      </c>
      <c r="B3946" s="2" t="s">
        <v>8637</v>
      </c>
      <c r="C3946" s="2" t="s">
        <v>4788</v>
      </c>
      <c r="D3946" s="2" t="s">
        <v>3966</v>
      </c>
      <c r="E3946" s="2" t="str">
        <f>"9781399535533"</f>
        <v>9781399535533</v>
      </c>
      <c r="F3946" s="2" t="str">
        <f>"9781399535557"</f>
        <v>9781399535557</v>
      </c>
    </row>
    <row r="3947" spans="1:6" s="3" customFormat="1" ht="29.1" customHeight="1" x14ac:dyDescent="0.25">
      <c r="A3947" s="2" t="s">
        <v>8638</v>
      </c>
      <c r="B3947" s="2" t="s">
        <v>8640</v>
      </c>
      <c r="C3947" s="2" t="s">
        <v>4788</v>
      </c>
      <c r="D3947" s="2" t="s">
        <v>8639</v>
      </c>
      <c r="E3947" s="2" t="str">
        <f>"9781399544948"</f>
        <v>9781399544948</v>
      </c>
      <c r="F3947" s="2" t="str">
        <f>"9781399544955"</f>
        <v>9781399544955</v>
      </c>
    </row>
    <row r="3948" spans="1:6" s="3" customFormat="1" ht="29.1" customHeight="1" x14ac:dyDescent="0.25">
      <c r="A3948" s="2" t="s">
        <v>8641</v>
      </c>
      <c r="B3948" s="2" t="s">
        <v>8643</v>
      </c>
      <c r="C3948" s="2" t="s">
        <v>4788</v>
      </c>
      <c r="D3948" s="2" t="s">
        <v>8642</v>
      </c>
      <c r="E3948" s="2" t="str">
        <f>"9781399533447"</f>
        <v>9781399533447</v>
      </c>
      <c r="F3948" s="2" t="str">
        <f>"9781399533461"</f>
        <v>9781399533461</v>
      </c>
    </row>
    <row r="3949" spans="1:6" s="3" customFormat="1" ht="29.1" customHeight="1" x14ac:dyDescent="0.25">
      <c r="A3949" s="2" t="s">
        <v>8644</v>
      </c>
      <c r="B3949" s="2" t="s">
        <v>8645</v>
      </c>
      <c r="C3949" s="2" t="s">
        <v>4788</v>
      </c>
      <c r="D3949" s="2" t="s">
        <v>202</v>
      </c>
      <c r="E3949" s="2" t="str">
        <f>"9781399519977"</f>
        <v>9781399519977</v>
      </c>
      <c r="F3949" s="2" t="str">
        <f>"9781399519991"</f>
        <v>9781399519991</v>
      </c>
    </row>
    <row r="3950" spans="1:6" s="3" customFormat="1" ht="29.1" customHeight="1" x14ac:dyDescent="0.25">
      <c r="A3950" s="2" t="s">
        <v>8646</v>
      </c>
      <c r="B3950" s="2" t="s">
        <v>8648</v>
      </c>
      <c r="C3950" s="2" t="s">
        <v>4788</v>
      </c>
      <c r="D3950" s="2" t="s">
        <v>8647</v>
      </c>
      <c r="E3950" s="2" t="str">
        <f>"9781399541336"</f>
        <v>9781399541336</v>
      </c>
      <c r="F3950" s="2" t="str">
        <f>"9781399541350"</f>
        <v>9781399541350</v>
      </c>
    </row>
    <row r="3951" spans="1:6" s="3" customFormat="1" ht="29.1" customHeight="1" x14ac:dyDescent="0.25">
      <c r="A3951" s="2" t="s">
        <v>8649</v>
      </c>
      <c r="B3951" s="2" t="s">
        <v>8650</v>
      </c>
      <c r="C3951" s="2" t="s">
        <v>4788</v>
      </c>
      <c r="D3951" s="2" t="s">
        <v>1669</v>
      </c>
      <c r="E3951" s="2" t="str">
        <f>"9781399511339"</f>
        <v>9781399511339</v>
      </c>
      <c r="F3951" s="2" t="str">
        <f>"9781399511353"</f>
        <v>9781399511353</v>
      </c>
    </row>
    <row r="3952" spans="1:6" s="3" customFormat="1" ht="29.1" customHeight="1" x14ac:dyDescent="0.25">
      <c r="A3952" s="2" t="s">
        <v>8651</v>
      </c>
      <c r="B3952" s="2" t="s">
        <v>8652</v>
      </c>
      <c r="C3952" s="2" t="s">
        <v>4788</v>
      </c>
      <c r="D3952" s="2" t="s">
        <v>150</v>
      </c>
      <c r="E3952" s="2" t="str">
        <f>"9781399538411"</f>
        <v>9781399538411</v>
      </c>
      <c r="F3952" s="2" t="str">
        <f>"9781399538435"</f>
        <v>9781399538435</v>
      </c>
    </row>
    <row r="3953" spans="1:6" s="3" customFormat="1" ht="29.1" customHeight="1" x14ac:dyDescent="0.25">
      <c r="A3953" s="2" t="s">
        <v>8653</v>
      </c>
      <c r="B3953" s="2" t="s">
        <v>8654</v>
      </c>
      <c r="C3953" s="2" t="s">
        <v>4788</v>
      </c>
      <c r="D3953" s="2" t="s">
        <v>3943</v>
      </c>
      <c r="E3953" s="2" t="str">
        <f>"9781399547611"</f>
        <v>9781399547611</v>
      </c>
      <c r="F3953" s="2" t="str">
        <f>"9781399547628"</f>
        <v>9781399547628</v>
      </c>
    </row>
    <row r="3954" spans="1:6" s="3" customFormat="1" ht="29.1" customHeight="1" x14ac:dyDescent="0.25">
      <c r="A3954" s="2" t="s">
        <v>8655</v>
      </c>
      <c r="B3954" s="2" t="s">
        <v>8656</v>
      </c>
      <c r="C3954" s="2" t="s">
        <v>4788</v>
      </c>
      <c r="D3954" s="2" t="s">
        <v>6997</v>
      </c>
      <c r="E3954" s="2" t="str">
        <f>"9781399527965"</f>
        <v>9781399527965</v>
      </c>
      <c r="F3954" s="2" t="str">
        <f>"9781399527989"</f>
        <v>9781399527989</v>
      </c>
    </row>
    <row r="3955" spans="1:6" s="3" customFormat="1" ht="29.1" customHeight="1" x14ac:dyDescent="0.25">
      <c r="A3955" s="2" t="s">
        <v>8657</v>
      </c>
      <c r="B3955" s="2" t="s">
        <v>4548</v>
      </c>
      <c r="C3955" s="2" t="s">
        <v>4788</v>
      </c>
      <c r="D3955" s="2" t="s">
        <v>6997</v>
      </c>
      <c r="E3955" s="2" t="str">
        <f>"9781474440530"</f>
        <v>9781474440530</v>
      </c>
      <c r="F3955" s="2" t="str">
        <f>"9781474439985"</f>
        <v>9781474439985</v>
      </c>
    </row>
    <row r="3956" spans="1:6" s="3" customFormat="1" ht="29.1" customHeight="1" x14ac:dyDescent="0.25">
      <c r="A3956" s="2" t="s">
        <v>8658</v>
      </c>
      <c r="B3956" s="2" t="s">
        <v>8660</v>
      </c>
      <c r="C3956" s="2" t="s">
        <v>4788</v>
      </c>
      <c r="D3956" s="2" t="s">
        <v>8659</v>
      </c>
      <c r="E3956" s="2" t="str">
        <f>"9781399533881"</f>
        <v>9781399533881</v>
      </c>
      <c r="F3956" s="2" t="str">
        <f>"9781399533904"</f>
        <v>9781399533904</v>
      </c>
    </row>
    <row r="3957" spans="1:6" s="3" customFormat="1" ht="29.1" customHeight="1" x14ac:dyDescent="0.25">
      <c r="A3957" s="2" t="s">
        <v>8661</v>
      </c>
      <c r="B3957" s="2" t="s">
        <v>8662</v>
      </c>
      <c r="C3957" s="2" t="s">
        <v>195</v>
      </c>
      <c r="D3957" s="2" t="s">
        <v>1816</v>
      </c>
      <c r="E3957" s="2" t="str">
        <f>"9788367405744"</f>
        <v>9788367405744</v>
      </c>
      <c r="F3957" s="2" t="str">
        <f>"9788367405751"</f>
        <v>9788367405751</v>
      </c>
    </row>
    <row r="3958" spans="1:6" s="3" customFormat="1" ht="29.1" customHeight="1" x14ac:dyDescent="0.25">
      <c r="A3958" s="2" t="s">
        <v>8663</v>
      </c>
      <c r="B3958" s="2" t="s">
        <v>8664</v>
      </c>
      <c r="C3958" s="2" t="s">
        <v>195</v>
      </c>
      <c r="D3958" s="2" t="s">
        <v>1985</v>
      </c>
      <c r="E3958" s="2" t="str">
        <f>"9783035627961"</f>
        <v>9783035627961</v>
      </c>
      <c r="F3958" s="2" t="str">
        <f>"9783035627992"</f>
        <v>9783035627992</v>
      </c>
    </row>
    <row r="3959" spans="1:6" s="3" customFormat="1" ht="29.1" customHeight="1" x14ac:dyDescent="0.25">
      <c r="A3959" s="2" t="s">
        <v>8665</v>
      </c>
      <c r="B3959" s="2" t="s">
        <v>8666</v>
      </c>
      <c r="C3959" s="2" t="s">
        <v>195</v>
      </c>
      <c r="D3959" s="2" t="s">
        <v>1985</v>
      </c>
      <c r="E3959" s="2" t="str">
        <f>"9783035626698"</f>
        <v>9783035626698</v>
      </c>
      <c r="F3959" s="2" t="str">
        <f>"9783035626735"</f>
        <v>9783035626735</v>
      </c>
    </row>
    <row r="3960" spans="1:6" s="3" customFormat="1" ht="29.1" customHeight="1" x14ac:dyDescent="0.25">
      <c r="A3960" s="2" t="s">
        <v>8667</v>
      </c>
      <c r="B3960" s="2" t="s">
        <v>8668</v>
      </c>
      <c r="C3960" s="2" t="s">
        <v>149</v>
      </c>
      <c r="D3960" s="2" t="s">
        <v>405</v>
      </c>
      <c r="E3960" s="2" t="str">
        <f>"9781805113911"</f>
        <v>9781805113911</v>
      </c>
      <c r="F3960" s="2" t="str">
        <f>"9781805113935"</f>
        <v>9781805113935</v>
      </c>
    </row>
    <row r="3961" spans="1:6" s="3" customFormat="1" ht="29.1" customHeight="1" x14ac:dyDescent="0.25">
      <c r="A3961" s="2" t="s">
        <v>8669</v>
      </c>
      <c r="B3961" s="2" t="s">
        <v>8670</v>
      </c>
      <c r="C3961" s="2" t="s">
        <v>149</v>
      </c>
      <c r="D3961" s="2" t="s">
        <v>919</v>
      </c>
      <c r="E3961" s="2" t="str">
        <f>"9781805113317"</f>
        <v>9781805113317</v>
      </c>
      <c r="F3961" s="2" t="str">
        <f>"9781805113331"</f>
        <v>9781805113331</v>
      </c>
    </row>
    <row r="3962" spans="1:6" s="3" customFormat="1" ht="29.1" customHeight="1" x14ac:dyDescent="0.25">
      <c r="A3962" s="2" t="s">
        <v>8671</v>
      </c>
      <c r="B3962" s="2" t="s">
        <v>8672</v>
      </c>
      <c r="C3962" s="2" t="s">
        <v>746</v>
      </c>
      <c r="D3962" s="2" t="s">
        <v>606</v>
      </c>
      <c r="E3962" s="2" t="str">
        <f>"9781803279251"</f>
        <v>9781803279251</v>
      </c>
      <c r="F3962" s="2" t="str">
        <f>"9781803279268"</f>
        <v>9781803279268</v>
      </c>
    </row>
    <row r="3963" spans="1:6" s="3" customFormat="1" ht="29.1" customHeight="1" x14ac:dyDescent="0.25">
      <c r="A3963" s="2" t="s">
        <v>8673</v>
      </c>
      <c r="B3963" s="2" t="s">
        <v>8674</v>
      </c>
      <c r="C3963" s="2" t="s">
        <v>239</v>
      </c>
      <c r="D3963" s="2" t="s">
        <v>168</v>
      </c>
      <c r="E3963" s="2" t="str">
        <f>"9780520416109"</f>
        <v>9780520416109</v>
      </c>
      <c r="F3963" s="2" t="str">
        <f>"9780520416116"</f>
        <v>9780520416116</v>
      </c>
    </row>
    <row r="3964" spans="1:6" s="3" customFormat="1" ht="29.1" customHeight="1" x14ac:dyDescent="0.25">
      <c r="A3964" s="2" t="s">
        <v>8675</v>
      </c>
      <c r="B3964" s="2" t="s">
        <v>8676</v>
      </c>
      <c r="C3964" s="2" t="s">
        <v>239</v>
      </c>
      <c r="D3964" s="2" t="s">
        <v>462</v>
      </c>
      <c r="E3964" s="2" t="str">
        <f>"9780520413061"</f>
        <v>9780520413061</v>
      </c>
      <c r="F3964" s="2" t="str">
        <f>"9780520413078"</f>
        <v>9780520413078</v>
      </c>
    </row>
    <row r="3965" spans="1:6" s="3" customFormat="1" ht="29.1" customHeight="1" x14ac:dyDescent="0.25">
      <c r="A3965" s="2" t="s">
        <v>8677</v>
      </c>
      <c r="B3965" s="2" t="s">
        <v>8678</v>
      </c>
      <c r="C3965" s="2" t="s">
        <v>5</v>
      </c>
      <c r="D3965" s="2" t="s">
        <v>8194</v>
      </c>
      <c r="E3965" s="2" t="str">
        <f>"9783031748165"</f>
        <v>9783031748165</v>
      </c>
      <c r="F3965" s="2" t="str">
        <f>"9783031748172"</f>
        <v>9783031748172</v>
      </c>
    </row>
    <row r="3966" spans="1:6" s="3" customFormat="1" ht="29.1" customHeight="1" x14ac:dyDescent="0.25">
      <c r="A3966" s="2" t="s">
        <v>8679</v>
      </c>
      <c r="B3966" s="2" t="s">
        <v>8680</v>
      </c>
      <c r="C3966" s="2" t="s">
        <v>239</v>
      </c>
      <c r="D3966" s="2" t="s">
        <v>2834</v>
      </c>
      <c r="E3966" s="2" t="str">
        <f>"9780520399587"</f>
        <v>9780520399587</v>
      </c>
      <c r="F3966" s="2" t="str">
        <f>"9780520399594"</f>
        <v>9780520399594</v>
      </c>
    </row>
    <row r="3967" spans="1:6" s="3" customFormat="1" ht="29.1" customHeight="1" x14ac:dyDescent="0.25">
      <c r="A3967" s="2" t="s">
        <v>8681</v>
      </c>
      <c r="B3967" s="2" t="s">
        <v>8682</v>
      </c>
      <c r="C3967" s="2" t="s">
        <v>5</v>
      </c>
      <c r="D3967" s="2" t="s">
        <v>544</v>
      </c>
      <c r="E3967" s="2" t="str">
        <f>"9789464636475"</f>
        <v>9789464636475</v>
      </c>
      <c r="F3967" s="2" t="str">
        <f>"9789464636482"</f>
        <v>9789464636482</v>
      </c>
    </row>
    <row r="3968" spans="1:6" s="3" customFormat="1" ht="29.1" customHeight="1" x14ac:dyDescent="0.25">
      <c r="A3968" s="2" t="s">
        <v>8683</v>
      </c>
      <c r="B3968" s="2" t="s">
        <v>8684</v>
      </c>
      <c r="C3968" s="2" t="s">
        <v>5</v>
      </c>
      <c r="D3968" s="2" t="s">
        <v>3958</v>
      </c>
      <c r="E3968" s="2" t="str">
        <f>"9783031751493"</f>
        <v>9783031751493</v>
      </c>
      <c r="F3968" s="2" t="str">
        <f>"9783031751509"</f>
        <v>9783031751509</v>
      </c>
    </row>
    <row r="3969" spans="1:6" s="3" customFormat="1" ht="29.1" customHeight="1" x14ac:dyDescent="0.25">
      <c r="A3969" s="2" t="s">
        <v>8685</v>
      </c>
      <c r="B3969" s="2" t="s">
        <v>8686</v>
      </c>
      <c r="C3969" s="2" t="s">
        <v>5</v>
      </c>
      <c r="D3969" s="2" t="s">
        <v>4720</v>
      </c>
      <c r="E3969" s="2" t="str">
        <f>"9783031788833"</f>
        <v>9783031788833</v>
      </c>
      <c r="F3969" s="2" t="str">
        <f>"9783031788840"</f>
        <v>9783031788840</v>
      </c>
    </row>
    <row r="3970" spans="1:6" s="3" customFormat="1" ht="29.1" customHeight="1" x14ac:dyDescent="0.25">
      <c r="A3970" s="2" t="s">
        <v>8687</v>
      </c>
      <c r="B3970" s="2" t="s">
        <v>8688</v>
      </c>
      <c r="C3970" s="2" t="s">
        <v>36</v>
      </c>
      <c r="D3970" s="2" t="s">
        <v>2361</v>
      </c>
      <c r="E3970" s="2" t="str">
        <f>"9781447372493"</f>
        <v>9781447372493</v>
      </c>
      <c r="F3970" s="2" t="str">
        <f>"9781447372516"</f>
        <v>9781447372516</v>
      </c>
    </row>
    <row r="3971" spans="1:6" s="3" customFormat="1" ht="29.1" customHeight="1" x14ac:dyDescent="0.25">
      <c r="A3971" s="2" t="s">
        <v>8689</v>
      </c>
      <c r="B3971" s="2" t="s">
        <v>8690</v>
      </c>
      <c r="C3971" s="2" t="s">
        <v>20</v>
      </c>
      <c r="D3971" s="2" t="s">
        <v>9</v>
      </c>
      <c r="E3971" s="2" t="str">
        <f>"9783763978236"</f>
        <v>9783763978236</v>
      </c>
      <c r="F3971" s="2" t="str">
        <f>"9783763978519"</f>
        <v>9783763978519</v>
      </c>
    </row>
    <row r="3972" spans="1:6" s="3" customFormat="1" ht="29.1" customHeight="1" x14ac:dyDescent="0.25">
      <c r="A3972" s="2" t="s">
        <v>8691</v>
      </c>
      <c r="B3972" s="2" t="s">
        <v>8692</v>
      </c>
      <c r="C3972" s="2" t="s">
        <v>124</v>
      </c>
      <c r="D3972" s="2" t="s">
        <v>1411</v>
      </c>
      <c r="E3972" s="2" t="str">
        <f>"9781041182610"</f>
        <v>9781041182610</v>
      </c>
      <c r="F3972" s="2" t="str">
        <f>"9781040777350"</f>
        <v>9781040777350</v>
      </c>
    </row>
    <row r="3973" spans="1:6" s="3" customFormat="1" ht="29.1" customHeight="1" x14ac:dyDescent="0.25">
      <c r="A3973" s="2" t="s">
        <v>8693</v>
      </c>
      <c r="B3973" s="2" t="s">
        <v>8694</v>
      </c>
      <c r="C3973" s="2" t="s">
        <v>5</v>
      </c>
      <c r="D3973" s="2" t="s">
        <v>210</v>
      </c>
      <c r="E3973" s="2" t="str">
        <f>"9783031751165"</f>
        <v>9783031751165</v>
      </c>
      <c r="F3973" s="2" t="str">
        <f>"9783031751172"</f>
        <v>9783031751172</v>
      </c>
    </row>
    <row r="3974" spans="1:6" s="3" customFormat="1" ht="29.1" customHeight="1" x14ac:dyDescent="0.25">
      <c r="A3974" s="2" t="s">
        <v>8695</v>
      </c>
      <c r="B3974" s="2" t="s">
        <v>8696</v>
      </c>
      <c r="C3974" s="2" t="s">
        <v>4788</v>
      </c>
      <c r="D3974" s="2" t="s">
        <v>33</v>
      </c>
      <c r="E3974" s="2" t="str">
        <f>"9780748640188"</f>
        <v>9780748640188</v>
      </c>
      <c r="F3974" s="2" t="str">
        <f>"9780748694716"</f>
        <v>9780748694716</v>
      </c>
    </row>
    <row r="3975" spans="1:6" s="3" customFormat="1" ht="29.1" customHeight="1" x14ac:dyDescent="0.25">
      <c r="A3975" s="2" t="s">
        <v>8697</v>
      </c>
      <c r="B3975" s="2" t="s">
        <v>8698</v>
      </c>
      <c r="C3975" s="2" t="s">
        <v>4788</v>
      </c>
      <c r="D3975" s="2" t="s">
        <v>3130</v>
      </c>
      <c r="E3975" s="2" t="str">
        <f>"9781474410991"</f>
        <v>9781474410991</v>
      </c>
      <c r="F3975" s="2" t="str">
        <f>"9781474411004"</f>
        <v>9781474411004</v>
      </c>
    </row>
    <row r="3976" spans="1:6" s="3" customFormat="1" ht="29.1" customHeight="1" x14ac:dyDescent="0.25">
      <c r="A3976" s="2" t="s">
        <v>8699</v>
      </c>
      <c r="B3976" s="2" t="s">
        <v>8700</v>
      </c>
      <c r="C3976" s="2" t="s">
        <v>4788</v>
      </c>
      <c r="D3976" s="2" t="s">
        <v>3130</v>
      </c>
      <c r="E3976" s="2" t="str">
        <f>"9781474411073"</f>
        <v>9781474411073</v>
      </c>
      <c r="F3976" s="2" t="str">
        <f>"9781474411080"</f>
        <v>9781474411080</v>
      </c>
    </row>
    <row r="3977" spans="1:6" s="3" customFormat="1" ht="29.1" customHeight="1" x14ac:dyDescent="0.25">
      <c r="A3977" s="2" t="s">
        <v>8701</v>
      </c>
      <c r="B3977" s="2" t="s">
        <v>8702</v>
      </c>
      <c r="C3977" s="2" t="s">
        <v>4788</v>
      </c>
      <c r="D3977" s="2" t="s">
        <v>5104</v>
      </c>
      <c r="E3977" s="2" t="str">
        <f>"9781474423212"</f>
        <v>9781474423212</v>
      </c>
      <c r="F3977" s="2" t="str">
        <f>"9781474423229"</f>
        <v>9781474423229</v>
      </c>
    </row>
    <row r="3978" spans="1:6" s="3" customFormat="1" ht="29.1" customHeight="1" x14ac:dyDescent="0.25">
      <c r="A3978" s="2" t="s">
        <v>8703</v>
      </c>
      <c r="B3978" s="2" t="s">
        <v>8705</v>
      </c>
      <c r="C3978" s="2" t="s">
        <v>4788</v>
      </c>
      <c r="D3978" s="2" t="s">
        <v>8704</v>
      </c>
      <c r="E3978" s="2" t="str">
        <f>"9781474430333"</f>
        <v>9781474430333</v>
      </c>
      <c r="F3978" s="2" t="str">
        <f>"9781474430357"</f>
        <v>9781474430357</v>
      </c>
    </row>
    <row r="3979" spans="1:6" s="3" customFormat="1" ht="29.1" customHeight="1" x14ac:dyDescent="0.25">
      <c r="A3979" s="2" t="s">
        <v>8706</v>
      </c>
      <c r="B3979" s="2" t="s">
        <v>8707</v>
      </c>
      <c r="C3979" s="2" t="s">
        <v>4788</v>
      </c>
      <c r="D3979" s="2" t="s">
        <v>202</v>
      </c>
      <c r="E3979" s="2" t="str">
        <f>"9781474402903"</f>
        <v>9781474402903</v>
      </c>
      <c r="F3979" s="2" t="str">
        <f>"9781474402910"</f>
        <v>9781474402910</v>
      </c>
    </row>
    <row r="3980" spans="1:6" s="3" customFormat="1" ht="29.1" customHeight="1" x14ac:dyDescent="0.25">
      <c r="A3980" s="2" t="s">
        <v>8708</v>
      </c>
      <c r="B3980" s="2" t="s">
        <v>8709</v>
      </c>
      <c r="C3980" s="2" t="s">
        <v>4788</v>
      </c>
      <c r="D3980" s="2" t="s">
        <v>1578</v>
      </c>
      <c r="E3980" s="2" t="str">
        <f>"9781474415507"</f>
        <v>9781474415507</v>
      </c>
      <c r="F3980" s="2" t="str">
        <f>"9781474415514"</f>
        <v>9781474415514</v>
      </c>
    </row>
    <row r="3981" spans="1:6" s="3" customFormat="1" ht="29.1" customHeight="1" x14ac:dyDescent="0.25">
      <c r="A3981" s="2" t="s">
        <v>8710</v>
      </c>
      <c r="B3981" s="2" t="s">
        <v>8711</v>
      </c>
      <c r="C3981" s="2" t="s">
        <v>4788</v>
      </c>
      <c r="D3981" s="2" t="s">
        <v>107</v>
      </c>
      <c r="E3981" s="2" t="str">
        <f>"9781474451567"</f>
        <v>9781474451567</v>
      </c>
      <c r="F3981" s="2" t="str">
        <f>"9781474451581"</f>
        <v>9781474451581</v>
      </c>
    </row>
    <row r="3982" spans="1:6" s="3" customFormat="1" ht="29.1" customHeight="1" x14ac:dyDescent="0.25">
      <c r="A3982" s="2" t="s">
        <v>8712</v>
      </c>
      <c r="B3982" s="2" t="s">
        <v>8713</v>
      </c>
      <c r="C3982" s="2" t="s">
        <v>4788</v>
      </c>
      <c r="D3982" s="2" t="s">
        <v>6997</v>
      </c>
      <c r="E3982" s="2" t="str">
        <f>"9781474440523"</f>
        <v>9781474440523</v>
      </c>
      <c r="F3982" s="2" t="str">
        <f>"9781474431095"</f>
        <v>9781474431095</v>
      </c>
    </row>
    <row r="3983" spans="1:6" s="3" customFormat="1" ht="29.1" customHeight="1" x14ac:dyDescent="0.25">
      <c r="A3983" s="2" t="s">
        <v>8714</v>
      </c>
      <c r="B3983" s="2" t="s">
        <v>8715</v>
      </c>
      <c r="C3983" s="2" t="s">
        <v>4788</v>
      </c>
      <c r="D3983" s="2" t="s">
        <v>1201</v>
      </c>
      <c r="E3983" s="2" t="str">
        <f>"9781474440516"</f>
        <v>9781474440516</v>
      </c>
      <c r="F3983" s="2" t="str">
        <f>"9781474434331"</f>
        <v>9781474434331</v>
      </c>
    </row>
    <row r="3984" spans="1:6" s="3" customFormat="1" ht="29.1" customHeight="1" x14ac:dyDescent="0.25">
      <c r="A3984" s="2" t="s">
        <v>1386</v>
      </c>
      <c r="B3984" s="2" t="s">
        <v>8716</v>
      </c>
      <c r="C3984" s="2" t="s">
        <v>1070</v>
      </c>
      <c r="D3984" s="2" t="s">
        <v>1387</v>
      </c>
      <c r="E3984" s="2" t="str">
        <f>"9783318072877"</f>
        <v>9783318072877</v>
      </c>
      <c r="F3984" s="2" t="str">
        <f>"9783318073157"</f>
        <v>9783318073157</v>
      </c>
    </row>
    <row r="3985" spans="1:6" s="3" customFormat="1" ht="29.1" customHeight="1" x14ac:dyDescent="0.25">
      <c r="A3985" s="2" t="s">
        <v>8717</v>
      </c>
      <c r="B3985" s="2" t="s">
        <v>8718</v>
      </c>
      <c r="C3985" s="2" t="s">
        <v>29</v>
      </c>
      <c r="D3985" s="2" t="s">
        <v>512</v>
      </c>
      <c r="E3985" s="2" t="str">
        <f>"9789004712881"</f>
        <v>9789004712881</v>
      </c>
      <c r="F3985" s="2" t="str">
        <f>"9789004722040"</f>
        <v>9789004722040</v>
      </c>
    </row>
    <row r="3986" spans="1:6" s="3" customFormat="1" ht="29.1" customHeight="1" x14ac:dyDescent="0.25">
      <c r="A3986" s="2" t="s">
        <v>8719</v>
      </c>
      <c r="B3986" s="2" t="s">
        <v>8720</v>
      </c>
      <c r="C3986" s="2" t="s">
        <v>5</v>
      </c>
      <c r="D3986" s="2" t="s">
        <v>547</v>
      </c>
      <c r="E3986" s="2" t="str">
        <f>"9789819775736"</f>
        <v>9789819775736</v>
      </c>
      <c r="F3986" s="2" t="str">
        <f>"9789819775743"</f>
        <v>9789819775743</v>
      </c>
    </row>
    <row r="3987" spans="1:6" s="3" customFormat="1" ht="29.1" customHeight="1" x14ac:dyDescent="0.25">
      <c r="A3987" s="2" t="s">
        <v>8721</v>
      </c>
      <c r="B3987" s="2" t="s">
        <v>8722</v>
      </c>
      <c r="C3987" s="2" t="s">
        <v>5</v>
      </c>
      <c r="D3987" s="2" t="s">
        <v>192</v>
      </c>
      <c r="E3987" s="2" t="str">
        <f>"9783031720994"</f>
        <v>9783031720994</v>
      </c>
      <c r="F3987" s="2" t="str">
        <f>"9783031721007"</f>
        <v>9783031721007</v>
      </c>
    </row>
    <row r="3988" spans="1:6" s="3" customFormat="1" ht="29.1" customHeight="1" x14ac:dyDescent="0.25">
      <c r="A3988" s="2" t="s">
        <v>8723</v>
      </c>
      <c r="B3988" s="2" t="s">
        <v>8724</v>
      </c>
      <c r="C3988" s="2" t="s">
        <v>5</v>
      </c>
      <c r="D3988" s="2" t="s">
        <v>95</v>
      </c>
      <c r="E3988" s="2" t="str">
        <f>"9789819769254"</f>
        <v>9789819769254</v>
      </c>
      <c r="F3988" s="2" t="str">
        <f>"9789819769261"</f>
        <v>9789819769261</v>
      </c>
    </row>
    <row r="3989" spans="1:6" s="3" customFormat="1" ht="29.1" customHeight="1" x14ac:dyDescent="0.25">
      <c r="A3989" s="2" t="s">
        <v>8725</v>
      </c>
      <c r="B3989" s="2" t="s">
        <v>8726</v>
      </c>
      <c r="C3989" s="2" t="s">
        <v>55</v>
      </c>
      <c r="D3989" s="2" t="s">
        <v>4172</v>
      </c>
      <c r="E3989" s="2"/>
      <c r="F3989" s="2" t="str">
        <f>"9781526169082"</f>
        <v>9781526169082</v>
      </c>
    </row>
    <row r="3990" spans="1:6" s="3" customFormat="1" ht="29.1" customHeight="1" x14ac:dyDescent="0.25">
      <c r="A3990" s="2" t="s">
        <v>8725</v>
      </c>
      <c r="B3990" s="2" t="s">
        <v>8726</v>
      </c>
      <c r="C3990" s="2" t="s">
        <v>55</v>
      </c>
      <c r="D3990" s="2" t="s">
        <v>4172</v>
      </c>
      <c r="E3990" s="2"/>
      <c r="F3990" s="2" t="str">
        <f>"9781526169105"</f>
        <v>9781526169105</v>
      </c>
    </row>
    <row r="3991" spans="1:6" s="3" customFormat="1" ht="29.1" customHeight="1" x14ac:dyDescent="0.25">
      <c r="A3991" s="2" t="s">
        <v>8727</v>
      </c>
      <c r="B3991" s="2" t="s">
        <v>8728</v>
      </c>
      <c r="C3991" s="2" t="s">
        <v>305</v>
      </c>
      <c r="D3991" s="2" t="s">
        <v>52</v>
      </c>
      <c r="E3991" s="2"/>
      <c r="F3991" s="2" t="str">
        <f>"9786218438026"</f>
        <v>9786218438026</v>
      </c>
    </row>
    <row r="3992" spans="1:6" s="3" customFormat="1" ht="29.1" customHeight="1" x14ac:dyDescent="0.25">
      <c r="A3992" s="2" t="s">
        <v>8729</v>
      </c>
      <c r="B3992" s="2" t="s">
        <v>8730</v>
      </c>
      <c r="C3992" s="2" t="s">
        <v>7395</v>
      </c>
      <c r="D3992" s="2" t="s">
        <v>653</v>
      </c>
      <c r="E3992" s="2" t="str">
        <f>"9780295752396"</f>
        <v>9780295752396</v>
      </c>
      <c r="F3992" s="2" t="str">
        <f>"9780295752419"</f>
        <v>9780295752419</v>
      </c>
    </row>
    <row r="3993" spans="1:6" s="3" customFormat="1" ht="29.1" customHeight="1" x14ac:dyDescent="0.25">
      <c r="A3993" s="2" t="s">
        <v>1384</v>
      </c>
      <c r="B3993" s="2" t="s">
        <v>8731</v>
      </c>
      <c r="C3993" s="2" t="s">
        <v>1070</v>
      </c>
      <c r="D3993" s="2" t="s">
        <v>1071</v>
      </c>
      <c r="E3993" s="2" t="str">
        <f>"9783318065121"</f>
        <v>9783318065121</v>
      </c>
      <c r="F3993" s="2" t="str">
        <f>"9783318072037"</f>
        <v>9783318072037</v>
      </c>
    </row>
    <row r="3994" spans="1:6" s="3" customFormat="1" ht="29.1" customHeight="1" x14ac:dyDescent="0.25">
      <c r="A3994" s="2" t="s">
        <v>8732</v>
      </c>
      <c r="B3994" s="2" t="s">
        <v>8733</v>
      </c>
      <c r="C3994" s="2" t="s">
        <v>149</v>
      </c>
      <c r="D3994" s="2" t="s">
        <v>175</v>
      </c>
      <c r="E3994" s="2" t="str">
        <f>"9781805114925"</f>
        <v>9781805114925</v>
      </c>
      <c r="F3994" s="2" t="str">
        <f>"9781805114949"</f>
        <v>9781805114949</v>
      </c>
    </row>
    <row r="3995" spans="1:6" s="3" customFormat="1" ht="29.1" customHeight="1" x14ac:dyDescent="0.25">
      <c r="A3995" s="2" t="s">
        <v>8734</v>
      </c>
      <c r="B3995" s="2" t="s">
        <v>8735</v>
      </c>
      <c r="C3995" s="2" t="s">
        <v>149</v>
      </c>
      <c r="D3995" s="2" t="s">
        <v>3158</v>
      </c>
      <c r="E3995" s="2" t="str">
        <f>"9781805113539"</f>
        <v>9781805113539</v>
      </c>
      <c r="F3995" s="2" t="str">
        <f>"9781805113553"</f>
        <v>9781805113553</v>
      </c>
    </row>
    <row r="3996" spans="1:6" s="3" customFormat="1" ht="29.1" customHeight="1" x14ac:dyDescent="0.25">
      <c r="A3996" s="2" t="s">
        <v>8736</v>
      </c>
      <c r="B3996" s="2" t="s">
        <v>8737</v>
      </c>
      <c r="C3996" s="2" t="s">
        <v>149</v>
      </c>
      <c r="D3996" s="2" t="s">
        <v>6744</v>
      </c>
      <c r="E3996" s="2" t="str">
        <f>"9781805112549"</f>
        <v>9781805112549</v>
      </c>
      <c r="F3996" s="2" t="str">
        <f>"9781805112563"</f>
        <v>9781805112563</v>
      </c>
    </row>
    <row r="3997" spans="1:6" s="3" customFormat="1" ht="29.1" customHeight="1" x14ac:dyDescent="0.25">
      <c r="A3997" s="2" t="s">
        <v>8738</v>
      </c>
      <c r="B3997" s="2" t="s">
        <v>8739</v>
      </c>
      <c r="C3997" s="2" t="s">
        <v>5</v>
      </c>
      <c r="D3997" s="2" t="s">
        <v>331</v>
      </c>
      <c r="E3997" s="2" t="str">
        <f>"9783031758867"</f>
        <v>9783031758867</v>
      </c>
      <c r="F3997" s="2" t="str">
        <f>"9783031758874"</f>
        <v>9783031758874</v>
      </c>
    </row>
    <row r="3998" spans="1:6" s="3" customFormat="1" ht="29.1" customHeight="1" x14ac:dyDescent="0.25">
      <c r="A3998" s="2" t="s">
        <v>8740</v>
      </c>
      <c r="B3998" s="2" t="s">
        <v>8742</v>
      </c>
      <c r="C3998" s="2" t="s">
        <v>5</v>
      </c>
      <c r="D3998" s="2" t="s">
        <v>8741</v>
      </c>
      <c r="E3998" s="2" t="str">
        <f>"9789464636437"</f>
        <v>9789464636437</v>
      </c>
      <c r="F3998" s="2" t="str">
        <f>"9789464636444"</f>
        <v>9789464636444</v>
      </c>
    </row>
    <row r="3999" spans="1:6" s="3" customFormat="1" ht="29.1" customHeight="1" x14ac:dyDescent="0.25">
      <c r="A3999" s="2" t="s">
        <v>8743</v>
      </c>
      <c r="B3999" s="2" t="s">
        <v>8744</v>
      </c>
      <c r="C3999" s="2" t="s">
        <v>5</v>
      </c>
      <c r="D3999" s="2" t="s">
        <v>270</v>
      </c>
      <c r="E3999" s="2" t="str">
        <f>"9789464636451"</f>
        <v>9789464636451</v>
      </c>
      <c r="F3999" s="2" t="str">
        <f>"9789464636468"</f>
        <v>9789464636468</v>
      </c>
    </row>
    <row r="4000" spans="1:6" s="3" customFormat="1" ht="29.1" customHeight="1" x14ac:dyDescent="0.25">
      <c r="A4000" s="2" t="s">
        <v>8745</v>
      </c>
      <c r="B4000" s="2" t="s">
        <v>8746</v>
      </c>
      <c r="C4000" s="2" t="s">
        <v>5</v>
      </c>
      <c r="D4000" s="2" t="s">
        <v>378</v>
      </c>
      <c r="E4000" s="2" t="str">
        <f>"9783662707135"</f>
        <v>9783662707135</v>
      </c>
      <c r="F4000" s="2" t="str">
        <f>"9783662707142"</f>
        <v>9783662707142</v>
      </c>
    </row>
    <row r="4001" spans="1:6" s="3" customFormat="1" ht="29.1" customHeight="1" x14ac:dyDescent="0.25">
      <c r="A4001" s="2" t="s">
        <v>8747</v>
      </c>
      <c r="B4001" s="2" t="s">
        <v>8748</v>
      </c>
      <c r="C4001" s="2" t="s">
        <v>5</v>
      </c>
      <c r="D4001" s="2" t="s">
        <v>189</v>
      </c>
      <c r="E4001" s="2" t="str">
        <f>"9783031815003"</f>
        <v>9783031815003</v>
      </c>
      <c r="F4001" s="2" t="str">
        <f>"9783031815010"</f>
        <v>9783031815010</v>
      </c>
    </row>
    <row r="4002" spans="1:6" s="3" customFormat="1" ht="29.1" customHeight="1" x14ac:dyDescent="0.25">
      <c r="A4002" s="2" t="s">
        <v>8749</v>
      </c>
      <c r="B4002" s="2" t="s">
        <v>8750</v>
      </c>
      <c r="C4002" s="2" t="s">
        <v>195</v>
      </c>
      <c r="D4002" s="2" t="s">
        <v>2488</v>
      </c>
      <c r="E4002" s="2" t="str">
        <f>"9783111659121"</f>
        <v>9783111659121</v>
      </c>
      <c r="F4002" s="2" t="str">
        <f>"9783111662251"</f>
        <v>9783111662251</v>
      </c>
    </row>
    <row r="4003" spans="1:6" s="3" customFormat="1" ht="29.1" customHeight="1" x14ac:dyDescent="0.25">
      <c r="A4003" s="2" t="s">
        <v>8751</v>
      </c>
      <c r="B4003" s="2" t="s">
        <v>8752</v>
      </c>
      <c r="C4003" s="2" t="s">
        <v>195</v>
      </c>
      <c r="D4003" s="2" t="s">
        <v>459</v>
      </c>
      <c r="E4003" s="2" t="str">
        <f>"9783111591667"</f>
        <v>9783111591667</v>
      </c>
      <c r="F4003" s="2" t="str">
        <f>"9783111608938"</f>
        <v>9783111608938</v>
      </c>
    </row>
    <row r="4004" spans="1:6" s="3" customFormat="1" ht="29.1" customHeight="1" x14ac:dyDescent="0.25">
      <c r="A4004" s="2" t="s">
        <v>8753</v>
      </c>
      <c r="B4004" s="2" t="s">
        <v>8754</v>
      </c>
      <c r="C4004" s="2" t="s">
        <v>195</v>
      </c>
      <c r="D4004" s="2" t="s">
        <v>1768</v>
      </c>
      <c r="E4004" s="2" t="str">
        <f>"9783111198491"</f>
        <v>9783111198491</v>
      </c>
      <c r="F4004" s="2" t="str">
        <f>"9783111198866"</f>
        <v>9783111198866</v>
      </c>
    </row>
    <row r="4005" spans="1:6" s="3" customFormat="1" ht="29.1" customHeight="1" x14ac:dyDescent="0.25">
      <c r="A4005" s="2" t="s">
        <v>8755</v>
      </c>
      <c r="B4005" s="2" t="s">
        <v>8756</v>
      </c>
      <c r="C4005" s="2" t="s">
        <v>927</v>
      </c>
      <c r="D4005" s="2" t="s">
        <v>33</v>
      </c>
      <c r="E4005" s="2"/>
      <c r="F4005" s="2" t="str">
        <f>"9780472904082"</f>
        <v>9780472904082</v>
      </c>
    </row>
    <row r="4006" spans="1:6" s="3" customFormat="1" ht="29.1" customHeight="1" x14ac:dyDescent="0.25">
      <c r="A4006" s="2" t="s">
        <v>8757</v>
      </c>
      <c r="B4006" s="2" t="s">
        <v>8758</v>
      </c>
      <c r="C4006" s="2" t="s">
        <v>927</v>
      </c>
      <c r="D4006" s="2" t="s">
        <v>2208</v>
      </c>
      <c r="E4006" s="2" t="str">
        <f>"9780472034895"</f>
        <v>9780472034895</v>
      </c>
      <c r="F4006" s="2" t="str">
        <f>"9780472904044"</f>
        <v>9780472904044</v>
      </c>
    </row>
    <row r="4007" spans="1:6" s="3" customFormat="1" ht="29.1" customHeight="1" x14ac:dyDescent="0.25">
      <c r="A4007" s="2" t="s">
        <v>8759</v>
      </c>
      <c r="B4007" s="2" t="s">
        <v>8760</v>
      </c>
      <c r="C4007" s="2" t="s">
        <v>927</v>
      </c>
      <c r="D4007" s="2" t="s">
        <v>2208</v>
      </c>
      <c r="E4007" s="2" t="str">
        <f>"9780472035670"</f>
        <v>9780472035670</v>
      </c>
      <c r="F4007" s="2" t="str">
        <f>"9780472904129"</f>
        <v>9780472904129</v>
      </c>
    </row>
    <row r="4008" spans="1:6" s="3" customFormat="1" ht="29.1" customHeight="1" x14ac:dyDescent="0.25">
      <c r="A4008" s="2" t="s">
        <v>8761</v>
      </c>
      <c r="B4008" s="2" t="s">
        <v>8762</v>
      </c>
      <c r="C4008" s="2" t="s">
        <v>927</v>
      </c>
      <c r="D4008" s="2" t="s">
        <v>81</v>
      </c>
      <c r="E4008" s="2"/>
      <c r="F4008" s="2" t="str">
        <f>"9780472904174"</f>
        <v>9780472904174</v>
      </c>
    </row>
    <row r="4009" spans="1:6" s="3" customFormat="1" ht="29.1" customHeight="1" x14ac:dyDescent="0.25">
      <c r="A4009" s="2" t="s">
        <v>8763</v>
      </c>
      <c r="B4009" s="2" t="s">
        <v>8764</v>
      </c>
      <c r="C4009" s="2" t="s">
        <v>927</v>
      </c>
      <c r="D4009" s="2" t="s">
        <v>297</v>
      </c>
      <c r="E4009" s="2"/>
      <c r="F4009" s="2" t="str">
        <f>"9780472904075"</f>
        <v>9780472904075</v>
      </c>
    </row>
    <row r="4010" spans="1:6" s="3" customFormat="1" ht="29.1" customHeight="1" x14ac:dyDescent="0.25">
      <c r="A4010" s="2" t="s">
        <v>8765</v>
      </c>
      <c r="B4010" s="2" t="s">
        <v>8766</v>
      </c>
      <c r="C4010" s="2" t="s">
        <v>927</v>
      </c>
      <c r="D4010" s="2" t="s">
        <v>81</v>
      </c>
      <c r="E4010" s="2"/>
      <c r="F4010" s="2" t="str">
        <f>"9780472904181"</f>
        <v>9780472904181</v>
      </c>
    </row>
    <row r="4011" spans="1:6" s="3" customFormat="1" ht="29.1" customHeight="1" x14ac:dyDescent="0.25">
      <c r="A4011" s="2" t="s">
        <v>8767</v>
      </c>
      <c r="B4011" s="2" t="s">
        <v>8768</v>
      </c>
      <c r="C4011" s="2" t="s">
        <v>927</v>
      </c>
      <c r="D4011" s="2" t="s">
        <v>297</v>
      </c>
      <c r="E4011" s="2"/>
      <c r="F4011" s="2" t="str">
        <f>"9780472904105"</f>
        <v>9780472904105</v>
      </c>
    </row>
    <row r="4012" spans="1:6" s="3" customFormat="1" ht="29.1" customHeight="1" x14ac:dyDescent="0.25">
      <c r="A4012" s="2" t="s">
        <v>8769</v>
      </c>
      <c r="B4012" s="2" t="s">
        <v>8770</v>
      </c>
      <c r="C4012" s="2" t="s">
        <v>927</v>
      </c>
      <c r="D4012" s="2" t="s">
        <v>33</v>
      </c>
      <c r="E4012" s="2"/>
      <c r="F4012" s="2" t="str">
        <f>"9780472904143"</f>
        <v>9780472904143</v>
      </c>
    </row>
    <row r="4013" spans="1:6" s="3" customFormat="1" ht="29.1" customHeight="1" x14ac:dyDescent="0.25">
      <c r="A4013" s="2" t="s">
        <v>8771</v>
      </c>
      <c r="B4013" s="2" t="s">
        <v>8772</v>
      </c>
      <c r="C4013" s="2" t="s">
        <v>927</v>
      </c>
      <c r="D4013" s="2" t="s">
        <v>297</v>
      </c>
      <c r="E4013" s="2"/>
      <c r="F4013" s="2" t="str">
        <f>"9780472904136"</f>
        <v>9780472904136</v>
      </c>
    </row>
    <row r="4014" spans="1:6" s="3" customFormat="1" ht="29.1" customHeight="1" x14ac:dyDescent="0.25">
      <c r="A4014" s="2" t="s">
        <v>8773</v>
      </c>
      <c r="B4014" s="2" t="s">
        <v>8774</v>
      </c>
      <c r="C4014" s="2" t="s">
        <v>927</v>
      </c>
      <c r="D4014" s="2" t="s">
        <v>297</v>
      </c>
      <c r="E4014" s="2" t="str">
        <f>"9780472112210"</f>
        <v>9780472112210</v>
      </c>
      <c r="F4014" s="2" t="str">
        <f>"9780472904266"</f>
        <v>9780472904266</v>
      </c>
    </row>
    <row r="4015" spans="1:6" s="3" customFormat="1" ht="29.1" customHeight="1" x14ac:dyDescent="0.25">
      <c r="A4015" s="2" t="s">
        <v>8775</v>
      </c>
      <c r="B4015" s="2" t="s">
        <v>8776</v>
      </c>
      <c r="C4015" s="2" t="s">
        <v>927</v>
      </c>
      <c r="D4015" s="2" t="s">
        <v>297</v>
      </c>
      <c r="E4015" s="2" t="str">
        <f>"9780472067497"</f>
        <v>9780472067497</v>
      </c>
      <c r="F4015" s="2" t="str">
        <f>"9780472904167"</f>
        <v>9780472904167</v>
      </c>
    </row>
    <row r="4016" spans="1:6" s="3" customFormat="1" ht="29.1" customHeight="1" x14ac:dyDescent="0.25">
      <c r="A4016" s="2" t="s">
        <v>8777</v>
      </c>
      <c r="B4016" s="2" t="s">
        <v>8778</v>
      </c>
      <c r="C4016" s="2" t="s">
        <v>927</v>
      </c>
      <c r="D4016" s="2" t="s">
        <v>33</v>
      </c>
      <c r="E4016" s="2" t="str">
        <f>"9780472034888"</f>
        <v>9780472034888</v>
      </c>
      <c r="F4016" s="2" t="str">
        <f>"9780472904228"</f>
        <v>9780472904228</v>
      </c>
    </row>
    <row r="4017" spans="1:6" s="3" customFormat="1" ht="29.1" customHeight="1" x14ac:dyDescent="0.25">
      <c r="A4017" s="2" t="s">
        <v>8779</v>
      </c>
      <c r="B4017" s="2" t="s">
        <v>8780</v>
      </c>
      <c r="C4017" s="2" t="s">
        <v>927</v>
      </c>
      <c r="D4017" s="2" t="s">
        <v>210</v>
      </c>
      <c r="E4017" s="2" t="str">
        <f>"9780472056248"</f>
        <v>9780472056248</v>
      </c>
      <c r="F4017" s="2" t="str">
        <f>"9780472903566"</f>
        <v>9780472903566</v>
      </c>
    </row>
    <row r="4018" spans="1:6" s="3" customFormat="1" ht="29.1" customHeight="1" x14ac:dyDescent="0.25">
      <c r="A4018" s="2" t="s">
        <v>8781</v>
      </c>
      <c r="B4018" s="2" t="s">
        <v>8782</v>
      </c>
      <c r="C4018" s="2" t="s">
        <v>927</v>
      </c>
      <c r="D4018" s="2" t="s">
        <v>297</v>
      </c>
      <c r="E4018" s="2" t="str">
        <f>"9780472109890"</f>
        <v>9780472109890</v>
      </c>
      <c r="F4018" s="2" t="str">
        <f>"9780472904259"</f>
        <v>9780472904259</v>
      </c>
    </row>
    <row r="4019" spans="1:6" s="3" customFormat="1" ht="29.1" customHeight="1" x14ac:dyDescent="0.25">
      <c r="A4019" s="2" t="s">
        <v>8783</v>
      </c>
      <c r="B4019" s="2" t="s">
        <v>8784</v>
      </c>
      <c r="C4019" s="2" t="s">
        <v>927</v>
      </c>
      <c r="D4019" s="2" t="s">
        <v>2208</v>
      </c>
      <c r="E4019" s="2" t="str">
        <f>"9780472056750"</f>
        <v>9780472056750</v>
      </c>
      <c r="F4019" s="2" t="str">
        <f>"9780472904433"</f>
        <v>9780472904433</v>
      </c>
    </row>
    <row r="4020" spans="1:6" s="3" customFormat="1" ht="29.1" customHeight="1" x14ac:dyDescent="0.25">
      <c r="A4020" s="2" t="s">
        <v>8785</v>
      </c>
      <c r="B4020" s="2" t="s">
        <v>8786</v>
      </c>
      <c r="C4020" s="2" t="s">
        <v>927</v>
      </c>
      <c r="D4020" s="2" t="s">
        <v>33</v>
      </c>
      <c r="E4020" s="2" t="str">
        <f>"9780472039616"</f>
        <v>9780472039616</v>
      </c>
      <c r="F4020" s="2" t="str">
        <f>"9780472904020"</f>
        <v>9780472904020</v>
      </c>
    </row>
    <row r="4021" spans="1:6" s="3" customFormat="1" ht="29.1" customHeight="1" x14ac:dyDescent="0.25">
      <c r="A4021" s="2" t="s">
        <v>8787</v>
      </c>
      <c r="B4021" s="2" t="s">
        <v>8789</v>
      </c>
      <c r="C4021" s="2" t="s">
        <v>927</v>
      </c>
      <c r="D4021" s="2" t="s">
        <v>8788</v>
      </c>
      <c r="E4021" s="2" t="str">
        <f>"9780472056644"</f>
        <v>9780472056644</v>
      </c>
      <c r="F4021" s="2" t="str">
        <f>"9780472904303"</f>
        <v>9780472904303</v>
      </c>
    </row>
    <row r="4022" spans="1:6" s="3" customFormat="1" ht="29.1" customHeight="1" x14ac:dyDescent="0.25">
      <c r="A4022" s="2" t="s">
        <v>8790</v>
      </c>
      <c r="B4022" s="2" t="s">
        <v>8792</v>
      </c>
      <c r="C4022" s="2" t="s">
        <v>927</v>
      </c>
      <c r="D4022" s="2" t="s">
        <v>8791</v>
      </c>
      <c r="E4022" s="2" t="str">
        <f>"9780472056859"</f>
        <v>9780472056859</v>
      </c>
      <c r="F4022" s="2" t="str">
        <f>"9780472904501"</f>
        <v>9780472904501</v>
      </c>
    </row>
    <row r="4023" spans="1:6" s="3" customFormat="1" ht="29.1" customHeight="1" x14ac:dyDescent="0.25">
      <c r="A4023" s="2" t="s">
        <v>8793</v>
      </c>
      <c r="B4023" s="2" t="s">
        <v>8794</v>
      </c>
      <c r="C4023" s="2" t="s">
        <v>927</v>
      </c>
      <c r="D4023" s="2" t="s">
        <v>2208</v>
      </c>
      <c r="E4023" s="2" t="str">
        <f>"9780472056729"</f>
        <v>9780472056729</v>
      </c>
      <c r="F4023" s="2" t="str">
        <f>"9780472904419"</f>
        <v>9780472904419</v>
      </c>
    </row>
    <row r="4024" spans="1:6" s="3" customFormat="1" ht="29.1" customHeight="1" x14ac:dyDescent="0.25">
      <c r="A4024" s="2" t="s">
        <v>8795</v>
      </c>
      <c r="B4024" s="2" t="s">
        <v>8796</v>
      </c>
      <c r="C4024" s="2" t="s">
        <v>927</v>
      </c>
      <c r="D4024" s="2" t="s">
        <v>210</v>
      </c>
      <c r="E4024" s="2" t="str">
        <f>"9780472056170"</f>
        <v>9780472056170</v>
      </c>
      <c r="F4024" s="2" t="str">
        <f>"9780472903511"</f>
        <v>9780472903511</v>
      </c>
    </row>
    <row r="4025" spans="1:6" s="3" customFormat="1" ht="29.1" customHeight="1" x14ac:dyDescent="0.25">
      <c r="A4025" s="2" t="s">
        <v>8797</v>
      </c>
      <c r="B4025" s="2" t="s">
        <v>8798</v>
      </c>
      <c r="C4025" s="2" t="s">
        <v>927</v>
      </c>
      <c r="D4025" s="2" t="s">
        <v>2208</v>
      </c>
      <c r="E4025" s="2" t="str">
        <f>"9780472051229"</f>
        <v>9780472051229</v>
      </c>
      <c r="F4025" s="2" t="str">
        <f>"9780472904099"</f>
        <v>9780472904099</v>
      </c>
    </row>
    <row r="4026" spans="1:6" s="3" customFormat="1" ht="29.1" customHeight="1" x14ac:dyDescent="0.25">
      <c r="A4026" s="2" t="s">
        <v>8799</v>
      </c>
      <c r="B4026" s="2" t="s">
        <v>8800</v>
      </c>
      <c r="C4026" s="2" t="s">
        <v>927</v>
      </c>
      <c r="D4026" s="2" t="s">
        <v>297</v>
      </c>
      <c r="E4026" s="2" t="str">
        <f>"9780472066810"</f>
        <v>9780472066810</v>
      </c>
      <c r="F4026" s="2" t="str">
        <f>"9780472904198"</f>
        <v>9780472904198</v>
      </c>
    </row>
    <row r="4027" spans="1:6" s="3" customFormat="1" ht="29.1" customHeight="1" x14ac:dyDescent="0.25">
      <c r="A4027" s="2" t="s">
        <v>8801</v>
      </c>
      <c r="B4027" s="2" t="s">
        <v>8802</v>
      </c>
      <c r="C4027" s="2" t="s">
        <v>927</v>
      </c>
      <c r="D4027" s="2" t="s">
        <v>33</v>
      </c>
      <c r="E4027" s="2" t="str">
        <f>"9780472065936"</f>
        <v>9780472065936</v>
      </c>
      <c r="F4027" s="2" t="str">
        <f>"9780472904235"</f>
        <v>9780472904235</v>
      </c>
    </row>
    <row r="4028" spans="1:6" s="3" customFormat="1" ht="29.1" customHeight="1" x14ac:dyDescent="0.25">
      <c r="A4028" s="2" t="s">
        <v>8803</v>
      </c>
      <c r="B4028" s="2" t="s">
        <v>8804</v>
      </c>
      <c r="C4028" s="2" t="s">
        <v>927</v>
      </c>
      <c r="D4028" s="2" t="s">
        <v>297</v>
      </c>
      <c r="E4028" s="2" t="str">
        <f>"9780472133529"</f>
        <v>9780472133529</v>
      </c>
      <c r="F4028" s="2" t="str">
        <f>"9780472904402"</f>
        <v>9780472904402</v>
      </c>
    </row>
    <row r="4029" spans="1:6" s="3" customFormat="1" ht="29.1" customHeight="1" x14ac:dyDescent="0.25">
      <c r="A4029" s="2" t="s">
        <v>8805</v>
      </c>
      <c r="B4029" s="2" t="s">
        <v>8806</v>
      </c>
      <c r="C4029" s="2" t="s">
        <v>927</v>
      </c>
      <c r="D4029" s="2" t="s">
        <v>297</v>
      </c>
      <c r="E4029" s="2" t="str">
        <f>"9780472033621"</f>
        <v>9780472033621</v>
      </c>
      <c r="F4029" s="2" t="str">
        <f>"9780472904068"</f>
        <v>9780472904068</v>
      </c>
    </row>
    <row r="4030" spans="1:6" s="3" customFormat="1" ht="29.1" customHeight="1" x14ac:dyDescent="0.25">
      <c r="A4030" s="2" t="s">
        <v>8807</v>
      </c>
      <c r="B4030" s="2" t="s">
        <v>8808</v>
      </c>
      <c r="C4030" s="2" t="s">
        <v>927</v>
      </c>
      <c r="D4030" s="2" t="s">
        <v>297</v>
      </c>
      <c r="E4030" s="2" t="str">
        <f>"9780472084050"</f>
        <v>9780472084050</v>
      </c>
      <c r="F4030" s="2" t="str">
        <f>"9780472904242"</f>
        <v>9780472904242</v>
      </c>
    </row>
    <row r="4031" spans="1:6" s="3" customFormat="1" ht="29.1" customHeight="1" x14ac:dyDescent="0.25">
      <c r="A4031" s="2" t="s">
        <v>8809</v>
      </c>
      <c r="B4031" s="2" t="s">
        <v>8810</v>
      </c>
      <c r="C4031" s="2" t="s">
        <v>927</v>
      </c>
      <c r="D4031" s="2" t="s">
        <v>270</v>
      </c>
      <c r="E4031" s="2" t="str">
        <f>"9780472056637"</f>
        <v>9780472056637</v>
      </c>
      <c r="F4031" s="2" t="str">
        <f>"9780472904297"</f>
        <v>9780472904297</v>
      </c>
    </row>
    <row r="4032" spans="1:6" s="3" customFormat="1" ht="29.1" customHeight="1" x14ac:dyDescent="0.25">
      <c r="A4032" s="2" t="s">
        <v>8811</v>
      </c>
      <c r="B4032" s="2" t="s">
        <v>8812</v>
      </c>
      <c r="C4032" s="2" t="s">
        <v>239</v>
      </c>
      <c r="D4032" s="2" t="s">
        <v>636</v>
      </c>
      <c r="E4032" s="2" t="str">
        <f>"9780520414181"</f>
        <v>9780520414181</v>
      </c>
      <c r="F4032" s="2" t="str">
        <f>"9780520414198"</f>
        <v>9780520414198</v>
      </c>
    </row>
    <row r="4033" spans="1:6" s="3" customFormat="1" ht="29.1" customHeight="1" x14ac:dyDescent="0.25">
      <c r="A4033" s="2" t="s">
        <v>8813</v>
      </c>
      <c r="B4033" s="2" t="s">
        <v>8814</v>
      </c>
      <c r="C4033" s="2" t="s">
        <v>5</v>
      </c>
      <c r="D4033" s="2" t="s">
        <v>294</v>
      </c>
      <c r="E4033" s="2" t="str">
        <f>"9782384763573"</f>
        <v>9782384763573</v>
      </c>
      <c r="F4033" s="2" t="str">
        <f>"9782384763580"</f>
        <v>9782384763580</v>
      </c>
    </row>
    <row r="4034" spans="1:6" s="3" customFormat="1" ht="29.1" customHeight="1" x14ac:dyDescent="0.25">
      <c r="A4034" s="2" t="s">
        <v>8815</v>
      </c>
      <c r="B4034" s="2" t="s">
        <v>8816</v>
      </c>
      <c r="C4034" s="2" t="s">
        <v>5</v>
      </c>
      <c r="D4034" s="2" t="s">
        <v>44</v>
      </c>
      <c r="E4034" s="2" t="str">
        <f>"9789464636499"</f>
        <v>9789464636499</v>
      </c>
      <c r="F4034" s="2" t="str">
        <f>"9789464636505"</f>
        <v>9789464636505</v>
      </c>
    </row>
    <row r="4035" spans="1:6" s="3" customFormat="1" ht="29.1" customHeight="1" x14ac:dyDescent="0.25">
      <c r="A4035" s="2" t="s">
        <v>8817</v>
      </c>
      <c r="B4035" s="2" t="s">
        <v>8818</v>
      </c>
      <c r="C4035" s="2" t="s">
        <v>5</v>
      </c>
      <c r="D4035" s="2" t="s">
        <v>178</v>
      </c>
      <c r="E4035" s="2" t="str">
        <f>"9783031763441"</f>
        <v>9783031763441</v>
      </c>
      <c r="F4035" s="2" t="str">
        <f>"9783031763458"</f>
        <v>9783031763458</v>
      </c>
    </row>
    <row r="4036" spans="1:6" s="3" customFormat="1" ht="29.1" customHeight="1" x14ac:dyDescent="0.25">
      <c r="A4036" s="2" t="s">
        <v>8819</v>
      </c>
      <c r="B4036" s="2" t="s">
        <v>8820</v>
      </c>
      <c r="C4036" s="2" t="s">
        <v>5</v>
      </c>
      <c r="D4036" s="2" t="s">
        <v>4019</v>
      </c>
      <c r="E4036" s="2" t="str">
        <f>"9783031753008"</f>
        <v>9783031753008</v>
      </c>
      <c r="F4036" s="2" t="str">
        <f>"9783031753015"</f>
        <v>9783031753015</v>
      </c>
    </row>
    <row r="4037" spans="1:6" s="3" customFormat="1" ht="29.1" customHeight="1" x14ac:dyDescent="0.25">
      <c r="A4037" s="2" t="s">
        <v>8821</v>
      </c>
      <c r="B4037" s="2" t="s">
        <v>8822</v>
      </c>
      <c r="C4037" s="2" t="s">
        <v>5</v>
      </c>
      <c r="D4037" s="2" t="s">
        <v>1278</v>
      </c>
      <c r="E4037" s="2" t="str">
        <f>"9783031790508"</f>
        <v>9783031790508</v>
      </c>
      <c r="F4037" s="2" t="str">
        <f>"9783031790515"</f>
        <v>9783031790515</v>
      </c>
    </row>
    <row r="4038" spans="1:6" s="3" customFormat="1" ht="29.1" customHeight="1" x14ac:dyDescent="0.25">
      <c r="A4038" s="2" t="s">
        <v>8823</v>
      </c>
      <c r="B4038" s="2" t="s">
        <v>8824</v>
      </c>
      <c r="C4038" s="2" t="s">
        <v>5</v>
      </c>
      <c r="D4038" s="2" t="s">
        <v>249</v>
      </c>
      <c r="E4038" s="2" t="str">
        <f>"9789819600502"</f>
        <v>9789819600502</v>
      </c>
      <c r="F4038" s="2" t="str">
        <f>"9789819600519"</f>
        <v>9789819600519</v>
      </c>
    </row>
    <row r="4039" spans="1:6" s="3" customFormat="1" ht="29.1" customHeight="1" x14ac:dyDescent="0.25">
      <c r="A4039" s="2" t="s">
        <v>8825</v>
      </c>
      <c r="B4039" s="2" t="s">
        <v>8826</v>
      </c>
      <c r="C4039" s="2" t="s">
        <v>29</v>
      </c>
      <c r="D4039" s="2" t="s">
        <v>118</v>
      </c>
      <c r="E4039" s="2" t="str">
        <f>"9789004715790"</f>
        <v>9789004715790</v>
      </c>
      <c r="F4039" s="2" t="str">
        <f>"9789004715806"</f>
        <v>9789004715806</v>
      </c>
    </row>
    <row r="4040" spans="1:6" s="3" customFormat="1" ht="29.1" customHeight="1" x14ac:dyDescent="0.25">
      <c r="A4040" s="2" t="s">
        <v>8827</v>
      </c>
      <c r="B4040" s="2" t="s">
        <v>8828</v>
      </c>
      <c r="C4040" s="2" t="s">
        <v>927</v>
      </c>
      <c r="D4040" s="2" t="s">
        <v>297</v>
      </c>
      <c r="E4040" s="2" t="str">
        <f>"9780472057276"</f>
        <v>9780472057276</v>
      </c>
      <c r="F4040" s="2" t="str">
        <f>"9780472904884"</f>
        <v>9780472904884</v>
      </c>
    </row>
    <row r="4041" spans="1:6" s="3" customFormat="1" ht="29.1" customHeight="1" x14ac:dyDescent="0.25">
      <c r="A4041" s="2" t="s">
        <v>8829</v>
      </c>
      <c r="B4041" s="2" t="s">
        <v>8830</v>
      </c>
      <c r="C4041" s="2" t="s">
        <v>36</v>
      </c>
      <c r="D4041" s="2" t="s">
        <v>78</v>
      </c>
      <c r="E4041" s="2"/>
      <c r="F4041" s="2" t="str">
        <f>"9781529234497"</f>
        <v>9781529234497</v>
      </c>
    </row>
    <row r="4042" spans="1:6" s="3" customFormat="1" ht="29.1" customHeight="1" x14ac:dyDescent="0.25">
      <c r="A4042" s="2" t="s">
        <v>8831</v>
      </c>
      <c r="B4042" s="2" t="s">
        <v>8832</v>
      </c>
      <c r="C4042" s="2" t="s">
        <v>36</v>
      </c>
      <c r="D4042" s="2" t="s">
        <v>1228</v>
      </c>
      <c r="E4042" s="2" t="str">
        <f>"9781447372585"</f>
        <v>9781447372585</v>
      </c>
      <c r="F4042" s="2" t="str">
        <f>"9781447372608"</f>
        <v>9781447372608</v>
      </c>
    </row>
    <row r="4043" spans="1:6" s="3" customFormat="1" ht="29.1" customHeight="1" x14ac:dyDescent="0.25">
      <c r="A4043" s="2" t="s">
        <v>8833</v>
      </c>
      <c r="B4043" s="2" t="s">
        <v>8834</v>
      </c>
      <c r="C4043" s="2" t="s">
        <v>6621</v>
      </c>
      <c r="D4043" s="2" t="s">
        <v>689</v>
      </c>
      <c r="E4043" s="2" t="str">
        <f>"9788366723733"</f>
        <v>9788366723733</v>
      </c>
      <c r="F4043" s="2" t="str">
        <f>"9788366723740"</f>
        <v>9788366723740</v>
      </c>
    </row>
    <row r="4044" spans="1:6" s="3" customFormat="1" ht="29.1" customHeight="1" x14ac:dyDescent="0.25">
      <c r="A4044" s="2" t="s">
        <v>8835</v>
      </c>
      <c r="B4044" s="2" t="s">
        <v>8836</v>
      </c>
      <c r="C4044" s="2" t="s">
        <v>6621</v>
      </c>
      <c r="D4044" s="2" t="s">
        <v>633</v>
      </c>
      <c r="E4044" s="2" t="str">
        <f>"9788366723771"</f>
        <v>9788366723771</v>
      </c>
      <c r="F4044" s="2" t="str">
        <f>"9788366723788"</f>
        <v>9788366723788</v>
      </c>
    </row>
    <row r="4045" spans="1:6" s="3" customFormat="1" ht="29.1" customHeight="1" x14ac:dyDescent="0.25">
      <c r="A4045" s="2" t="s">
        <v>8837</v>
      </c>
      <c r="B4045" s="2" t="s">
        <v>8838</v>
      </c>
      <c r="C4045" s="2" t="s">
        <v>4269</v>
      </c>
      <c r="D4045" s="2" t="s">
        <v>4214</v>
      </c>
      <c r="E4045" s="2"/>
      <c r="F4045" s="2" t="str">
        <f>"9786256276147"</f>
        <v>9786256276147</v>
      </c>
    </row>
    <row r="4046" spans="1:6" s="3" customFormat="1" ht="29.1" customHeight="1" x14ac:dyDescent="0.25">
      <c r="A4046" s="2" t="s">
        <v>8839</v>
      </c>
      <c r="B4046" s="2" t="s">
        <v>8840</v>
      </c>
      <c r="C4046" s="2" t="s">
        <v>4269</v>
      </c>
      <c r="D4046" s="2" t="s">
        <v>37</v>
      </c>
      <c r="E4046" s="2"/>
      <c r="F4046" s="2" t="str">
        <f>"9786256276130"</f>
        <v>9786256276130</v>
      </c>
    </row>
    <row r="4047" spans="1:6" s="3" customFormat="1" ht="29.1" customHeight="1" x14ac:dyDescent="0.25">
      <c r="A4047" s="2" t="s">
        <v>8841</v>
      </c>
      <c r="B4047" s="2" t="s">
        <v>8840</v>
      </c>
      <c r="C4047" s="2" t="s">
        <v>4269</v>
      </c>
      <c r="D4047" s="2" t="s">
        <v>37</v>
      </c>
      <c r="E4047" s="2"/>
      <c r="F4047" s="2" t="str">
        <f>"9786256276123"</f>
        <v>9786256276123</v>
      </c>
    </row>
    <row r="4048" spans="1:6" s="3" customFormat="1" ht="29.1" customHeight="1" x14ac:dyDescent="0.25">
      <c r="A4048" s="2" t="s">
        <v>8842</v>
      </c>
      <c r="B4048" s="2" t="s">
        <v>8843</v>
      </c>
      <c r="C4048" s="2" t="s">
        <v>59</v>
      </c>
      <c r="D4048" s="2" t="s">
        <v>544</v>
      </c>
      <c r="E4048" s="2"/>
      <c r="F4048" s="2" t="str">
        <f>"9782759239511"</f>
        <v>9782759239511</v>
      </c>
    </row>
    <row r="4049" spans="1:6" s="3" customFormat="1" ht="29.1" customHeight="1" x14ac:dyDescent="0.25">
      <c r="A4049" s="2" t="s">
        <v>8844</v>
      </c>
      <c r="B4049" s="2" t="s">
        <v>8845</v>
      </c>
      <c r="C4049" s="2" t="s">
        <v>149</v>
      </c>
      <c r="D4049" s="2" t="s">
        <v>6683</v>
      </c>
      <c r="E4049" s="2" t="str">
        <f>"9781685711986"</f>
        <v>9781685711986</v>
      </c>
      <c r="F4049" s="2" t="str">
        <f>"9781685711993"</f>
        <v>9781685711993</v>
      </c>
    </row>
    <row r="4050" spans="1:6" s="3" customFormat="1" ht="29.1" customHeight="1" x14ac:dyDescent="0.25">
      <c r="A4050" s="2" t="s">
        <v>8846</v>
      </c>
      <c r="B4050" s="2" t="s">
        <v>8847</v>
      </c>
      <c r="C4050" s="2" t="s">
        <v>5</v>
      </c>
      <c r="D4050" s="2" t="s">
        <v>98</v>
      </c>
      <c r="E4050" s="2" t="str">
        <f>"9783031765599"</f>
        <v>9783031765599</v>
      </c>
      <c r="F4050" s="2" t="str">
        <f>"9783031765605"</f>
        <v>9783031765605</v>
      </c>
    </row>
    <row r="4051" spans="1:6" s="3" customFormat="1" ht="29.1" customHeight="1" x14ac:dyDescent="0.25">
      <c r="A4051" s="2" t="s">
        <v>8848</v>
      </c>
      <c r="B4051" s="2" t="s">
        <v>8849</v>
      </c>
      <c r="C4051" s="2" t="s">
        <v>20</v>
      </c>
      <c r="D4051" s="2" t="s">
        <v>24</v>
      </c>
      <c r="E4051" s="2" t="str">
        <f>"9783763978465"</f>
        <v>9783763978465</v>
      </c>
      <c r="F4051" s="2" t="str">
        <f>"9783763978472"</f>
        <v>9783763978472</v>
      </c>
    </row>
    <row r="4052" spans="1:6" s="3" customFormat="1" ht="29.1" customHeight="1" x14ac:dyDescent="0.25">
      <c r="A4052" s="2" t="s">
        <v>8850</v>
      </c>
      <c r="B4052" s="2" t="s">
        <v>8851</v>
      </c>
      <c r="C4052" s="2" t="s">
        <v>20</v>
      </c>
      <c r="D4052" s="2" t="s">
        <v>9</v>
      </c>
      <c r="E4052" s="2" t="str">
        <f>"9783763976928"</f>
        <v>9783763976928</v>
      </c>
      <c r="F4052" s="2" t="str">
        <f>"9783763976911"</f>
        <v>9783763976911</v>
      </c>
    </row>
    <row r="4053" spans="1:6" s="3" customFormat="1" ht="29.1" customHeight="1" x14ac:dyDescent="0.25">
      <c r="A4053" s="2" t="s">
        <v>8852</v>
      </c>
      <c r="B4053" s="2" t="s">
        <v>8854</v>
      </c>
      <c r="C4053" s="2" t="s">
        <v>8853</v>
      </c>
      <c r="D4053" s="2" t="s">
        <v>2326</v>
      </c>
      <c r="E4053" s="2" t="str">
        <f>"9784866582542"</f>
        <v>9784866582542</v>
      </c>
      <c r="F4053" s="2" t="str">
        <f>"9784866582559"</f>
        <v>9784866582559</v>
      </c>
    </row>
    <row r="4054" spans="1:6" s="3" customFormat="1" ht="29.1" customHeight="1" x14ac:dyDescent="0.25">
      <c r="A4054" s="2" t="s">
        <v>8855</v>
      </c>
      <c r="B4054" s="2" t="s">
        <v>8856</v>
      </c>
      <c r="C4054" s="2" t="s">
        <v>8853</v>
      </c>
      <c r="D4054" s="2" t="s">
        <v>2361</v>
      </c>
      <c r="E4054" s="2" t="str">
        <f>"9784866582566"</f>
        <v>9784866582566</v>
      </c>
      <c r="F4054" s="2" t="str">
        <f>"9784866582573"</f>
        <v>9784866582573</v>
      </c>
    </row>
    <row r="4055" spans="1:6" s="3" customFormat="1" ht="29.1" customHeight="1" x14ac:dyDescent="0.25">
      <c r="A4055" s="2" t="s">
        <v>8857</v>
      </c>
      <c r="B4055" s="2" t="s">
        <v>8858</v>
      </c>
      <c r="C4055" s="2" t="s">
        <v>5</v>
      </c>
      <c r="D4055" s="2" t="s">
        <v>44</v>
      </c>
      <c r="E4055" s="2" t="str">
        <f>"9789819611973"</f>
        <v>9789819611973</v>
      </c>
      <c r="F4055" s="2" t="str">
        <f>"9789819611980"</f>
        <v>9789819611980</v>
      </c>
    </row>
    <row r="4056" spans="1:6" s="3" customFormat="1" ht="29.1" customHeight="1" x14ac:dyDescent="0.25">
      <c r="A4056" s="2" t="s">
        <v>8859</v>
      </c>
      <c r="B4056" s="2" t="s">
        <v>8860</v>
      </c>
      <c r="C4056" s="2" t="s">
        <v>5</v>
      </c>
      <c r="D4056" s="2" t="s">
        <v>183</v>
      </c>
      <c r="E4056" s="2" t="str">
        <f>"9783658470449"</f>
        <v>9783658470449</v>
      </c>
      <c r="F4056" s="2" t="str">
        <f>"9783658470456"</f>
        <v>9783658470456</v>
      </c>
    </row>
    <row r="4057" spans="1:6" s="3" customFormat="1" ht="29.1" customHeight="1" x14ac:dyDescent="0.25">
      <c r="A4057" s="2" t="s">
        <v>8861</v>
      </c>
      <c r="B4057" s="2" t="s">
        <v>8862</v>
      </c>
      <c r="C4057" s="2" t="s">
        <v>5</v>
      </c>
      <c r="D4057" s="2" t="s">
        <v>487</v>
      </c>
      <c r="E4057" s="2" t="str">
        <f>"9783031805035"</f>
        <v>9783031805035</v>
      </c>
      <c r="F4057" s="2" t="str">
        <f>"9783031805042"</f>
        <v>9783031805042</v>
      </c>
    </row>
    <row r="4058" spans="1:6" s="3" customFormat="1" ht="29.1" customHeight="1" x14ac:dyDescent="0.25">
      <c r="A4058" s="2" t="s">
        <v>8863</v>
      </c>
      <c r="B4058" s="2" t="s">
        <v>8864</v>
      </c>
      <c r="C4058" s="2" t="s">
        <v>55</v>
      </c>
      <c r="D4058" s="2" t="s">
        <v>6412</v>
      </c>
      <c r="E4058" s="2" t="str">
        <f>"9781526164650"</f>
        <v>9781526164650</v>
      </c>
      <c r="F4058" s="2" t="str">
        <f>"9781526164667"</f>
        <v>9781526164667</v>
      </c>
    </row>
    <row r="4059" spans="1:6" s="3" customFormat="1" ht="29.1" customHeight="1" x14ac:dyDescent="0.25">
      <c r="A4059" s="2" t="s">
        <v>8865</v>
      </c>
      <c r="B4059" s="2" t="s">
        <v>8866</v>
      </c>
      <c r="C4059" s="2" t="s">
        <v>55</v>
      </c>
      <c r="D4059" s="2" t="s">
        <v>1127</v>
      </c>
      <c r="E4059" s="2" t="str">
        <f>"9781526154972"</f>
        <v>9781526154972</v>
      </c>
      <c r="F4059" s="2" t="str">
        <f>"9781526154989"</f>
        <v>9781526154989</v>
      </c>
    </row>
    <row r="4060" spans="1:6" s="3" customFormat="1" ht="29.1" customHeight="1" x14ac:dyDescent="0.25">
      <c r="A4060" s="2" t="s">
        <v>8867</v>
      </c>
      <c r="B4060" s="2" t="s">
        <v>8869</v>
      </c>
      <c r="C4060" s="2" t="s">
        <v>149</v>
      </c>
      <c r="D4060" s="2" t="s">
        <v>8868</v>
      </c>
      <c r="E4060" s="2" t="str">
        <f>"9781805114772"</f>
        <v>9781805114772</v>
      </c>
      <c r="F4060" s="2" t="str">
        <f>"9781805114796"</f>
        <v>9781805114796</v>
      </c>
    </row>
    <row r="4061" spans="1:6" s="3" customFormat="1" ht="29.1" customHeight="1" x14ac:dyDescent="0.25">
      <c r="A4061" s="2" t="s">
        <v>8870</v>
      </c>
      <c r="B4061" s="2" t="s">
        <v>8872</v>
      </c>
      <c r="C4061" s="2" t="s">
        <v>677</v>
      </c>
      <c r="D4061" s="2" t="s">
        <v>8871</v>
      </c>
      <c r="E4061" s="2" t="str">
        <f>"9789465150222"</f>
        <v>9789465150222</v>
      </c>
      <c r="F4061" s="2"/>
    </row>
    <row r="4062" spans="1:6" s="3" customFormat="1" ht="29.1" customHeight="1" x14ac:dyDescent="0.25">
      <c r="A4062" s="2" t="s">
        <v>8873</v>
      </c>
      <c r="B4062" s="2" t="s">
        <v>8875</v>
      </c>
      <c r="C4062" s="2" t="s">
        <v>950</v>
      </c>
      <c r="D4062" s="2" t="s">
        <v>8874</v>
      </c>
      <c r="E4062" s="2"/>
      <c r="F4062" s="2" t="str">
        <f>"9788410702479"</f>
        <v>9788410702479</v>
      </c>
    </row>
    <row r="4063" spans="1:6" s="3" customFormat="1" ht="29.1" customHeight="1" x14ac:dyDescent="0.25">
      <c r="A4063" s="2" t="s">
        <v>8876</v>
      </c>
      <c r="B4063" s="2" t="s">
        <v>8877</v>
      </c>
      <c r="C4063" s="2" t="s">
        <v>950</v>
      </c>
      <c r="D4063" s="2" t="s">
        <v>2045</v>
      </c>
      <c r="E4063" s="2"/>
      <c r="F4063" s="2" t="str">
        <f>"9788410709348"</f>
        <v>9788410709348</v>
      </c>
    </row>
    <row r="4064" spans="1:6" s="3" customFormat="1" ht="29.1" customHeight="1" x14ac:dyDescent="0.25">
      <c r="A4064" s="2" t="s">
        <v>8878</v>
      </c>
      <c r="B4064" s="2" t="s">
        <v>8879</v>
      </c>
      <c r="C4064" s="2" t="s">
        <v>950</v>
      </c>
      <c r="D4064" s="2" t="s">
        <v>951</v>
      </c>
      <c r="E4064" s="2"/>
      <c r="F4064" s="2" t="str">
        <f>"9788410709331"</f>
        <v>9788410709331</v>
      </c>
    </row>
    <row r="4065" spans="1:6" s="3" customFormat="1" ht="29.1" customHeight="1" x14ac:dyDescent="0.25">
      <c r="A4065" s="2" t="s">
        <v>8880</v>
      </c>
      <c r="B4065" s="2" t="s">
        <v>8881</v>
      </c>
      <c r="C4065" s="2" t="s">
        <v>950</v>
      </c>
      <c r="D4065" s="2" t="s">
        <v>951</v>
      </c>
      <c r="E4065" s="2"/>
      <c r="F4065" s="2" t="str">
        <f>"9788410709300"</f>
        <v>9788410709300</v>
      </c>
    </row>
    <row r="4066" spans="1:6" s="3" customFormat="1" ht="29.1" customHeight="1" x14ac:dyDescent="0.25">
      <c r="A4066" s="2" t="s">
        <v>8882</v>
      </c>
      <c r="B4066" s="2" t="s">
        <v>8883</v>
      </c>
      <c r="C4066" s="2" t="s">
        <v>950</v>
      </c>
      <c r="D4066" s="2" t="s">
        <v>1823</v>
      </c>
      <c r="E4066" s="2"/>
      <c r="F4066" s="2" t="str">
        <f>"9788410709294"</f>
        <v>9788410709294</v>
      </c>
    </row>
    <row r="4067" spans="1:6" s="3" customFormat="1" ht="29.1" customHeight="1" x14ac:dyDescent="0.25">
      <c r="A4067" s="2" t="s">
        <v>8884</v>
      </c>
      <c r="B4067" s="2" t="s">
        <v>8885</v>
      </c>
      <c r="C4067" s="2" t="s">
        <v>950</v>
      </c>
      <c r="D4067" s="2" t="s">
        <v>951</v>
      </c>
      <c r="E4067" s="2"/>
      <c r="F4067" s="2" t="str">
        <f>"9788410709287"</f>
        <v>9788410709287</v>
      </c>
    </row>
    <row r="4068" spans="1:6" s="3" customFormat="1" ht="29.1" customHeight="1" x14ac:dyDescent="0.25">
      <c r="A4068" s="2" t="s">
        <v>8886</v>
      </c>
      <c r="B4068" s="2" t="s">
        <v>8887</v>
      </c>
      <c r="C4068" s="2" t="s">
        <v>950</v>
      </c>
      <c r="D4068" s="2" t="s">
        <v>951</v>
      </c>
      <c r="E4068" s="2"/>
      <c r="F4068" s="2" t="str">
        <f>"9788410709270"</f>
        <v>9788410709270</v>
      </c>
    </row>
    <row r="4069" spans="1:6" s="3" customFormat="1" ht="29.1" customHeight="1" x14ac:dyDescent="0.25">
      <c r="A4069" s="2" t="s">
        <v>8888</v>
      </c>
      <c r="B4069" s="2" t="s">
        <v>8889</v>
      </c>
      <c r="C4069" s="2" t="s">
        <v>950</v>
      </c>
      <c r="D4069" s="2" t="s">
        <v>951</v>
      </c>
      <c r="E4069" s="2"/>
      <c r="F4069" s="2" t="str">
        <f>"9788410709263"</f>
        <v>9788410709263</v>
      </c>
    </row>
    <row r="4070" spans="1:6" s="3" customFormat="1" ht="29.1" customHeight="1" x14ac:dyDescent="0.25">
      <c r="A4070" s="2" t="s">
        <v>8890</v>
      </c>
      <c r="B4070" s="2" t="s">
        <v>8891</v>
      </c>
      <c r="C4070" s="2" t="s">
        <v>950</v>
      </c>
      <c r="D4070" s="2" t="s">
        <v>951</v>
      </c>
      <c r="E4070" s="2"/>
      <c r="F4070" s="2" t="str">
        <f>"9788410709256"</f>
        <v>9788410709256</v>
      </c>
    </row>
    <row r="4071" spans="1:6" s="3" customFormat="1" ht="29.1" customHeight="1" x14ac:dyDescent="0.25">
      <c r="A4071" s="2" t="s">
        <v>8892</v>
      </c>
      <c r="B4071" s="2" t="s">
        <v>8893</v>
      </c>
      <c r="C4071" s="2" t="s">
        <v>950</v>
      </c>
      <c r="D4071" s="2" t="s">
        <v>207</v>
      </c>
      <c r="E4071" s="2"/>
      <c r="F4071" s="2" t="str">
        <f>"9788410709102"</f>
        <v>9788410709102</v>
      </c>
    </row>
    <row r="4072" spans="1:6" s="3" customFormat="1" ht="29.1" customHeight="1" x14ac:dyDescent="0.25">
      <c r="A4072" s="2" t="s">
        <v>8894</v>
      </c>
      <c r="B4072" s="2" t="s">
        <v>8895</v>
      </c>
      <c r="C4072" s="2" t="s">
        <v>950</v>
      </c>
      <c r="D4072" s="2" t="s">
        <v>5231</v>
      </c>
      <c r="E4072" s="2"/>
      <c r="F4072" s="2" t="str">
        <f>"9788410708778"</f>
        <v>9788410708778</v>
      </c>
    </row>
    <row r="4073" spans="1:6" s="3" customFormat="1" ht="29.1" customHeight="1" x14ac:dyDescent="0.25">
      <c r="A4073" s="2" t="s">
        <v>8896</v>
      </c>
      <c r="B4073" s="2" t="s">
        <v>8897</v>
      </c>
      <c r="C4073" s="2" t="s">
        <v>950</v>
      </c>
      <c r="D4073" s="2" t="s">
        <v>836</v>
      </c>
      <c r="E4073" s="2"/>
      <c r="F4073" s="2" t="str">
        <f>"9788410708754"</f>
        <v>9788410708754</v>
      </c>
    </row>
    <row r="4074" spans="1:6" s="3" customFormat="1" ht="29.1" customHeight="1" x14ac:dyDescent="0.25">
      <c r="A4074" s="2" t="s">
        <v>8898</v>
      </c>
      <c r="B4074" s="2" t="s">
        <v>8899</v>
      </c>
      <c r="C4074" s="2" t="s">
        <v>950</v>
      </c>
      <c r="D4074" s="2" t="s">
        <v>490</v>
      </c>
      <c r="E4074" s="2"/>
      <c r="F4074" s="2" t="str">
        <f>"9788410707801"</f>
        <v>9788410707801</v>
      </c>
    </row>
    <row r="4075" spans="1:6" s="3" customFormat="1" ht="29.1" customHeight="1" x14ac:dyDescent="0.25">
      <c r="A4075" s="2" t="s">
        <v>8900</v>
      </c>
      <c r="B4075" s="2" t="s">
        <v>8901</v>
      </c>
      <c r="C4075" s="2" t="s">
        <v>950</v>
      </c>
      <c r="D4075" s="2" t="s">
        <v>3958</v>
      </c>
      <c r="E4075" s="2"/>
      <c r="F4075" s="2" t="str">
        <f>"9788410707573"</f>
        <v>9788410707573</v>
      </c>
    </row>
    <row r="4076" spans="1:6" s="3" customFormat="1" ht="29.1" customHeight="1" x14ac:dyDescent="0.25">
      <c r="A4076" s="2" t="s">
        <v>8902</v>
      </c>
      <c r="B4076" s="2" t="s">
        <v>8903</v>
      </c>
      <c r="C4076" s="2" t="s">
        <v>950</v>
      </c>
      <c r="D4076" s="2" t="s">
        <v>110</v>
      </c>
      <c r="E4076" s="2"/>
      <c r="F4076" s="2" t="str">
        <f>"9788410707566"</f>
        <v>9788410707566</v>
      </c>
    </row>
    <row r="4077" spans="1:6" s="3" customFormat="1" ht="29.1" customHeight="1" x14ac:dyDescent="0.25">
      <c r="A4077" s="2" t="s">
        <v>8904</v>
      </c>
      <c r="B4077" s="2" t="s">
        <v>8905</v>
      </c>
      <c r="C4077" s="2" t="s">
        <v>950</v>
      </c>
      <c r="D4077" s="2" t="s">
        <v>2752</v>
      </c>
      <c r="E4077" s="2"/>
      <c r="F4077" s="2" t="str">
        <f>"9788410707559"</f>
        <v>9788410707559</v>
      </c>
    </row>
    <row r="4078" spans="1:6" s="3" customFormat="1" ht="29.1" customHeight="1" x14ac:dyDescent="0.25">
      <c r="A4078" s="2" t="s">
        <v>8906</v>
      </c>
      <c r="B4078" s="2" t="s">
        <v>8907</v>
      </c>
      <c r="C4078" s="2" t="s">
        <v>950</v>
      </c>
      <c r="D4078" s="2" t="s">
        <v>490</v>
      </c>
      <c r="E4078" s="2"/>
      <c r="F4078" s="2" t="str">
        <f>"9788410707542"</f>
        <v>9788410707542</v>
      </c>
    </row>
    <row r="4079" spans="1:6" s="3" customFormat="1" ht="29.1" customHeight="1" x14ac:dyDescent="0.25">
      <c r="A4079" s="2" t="s">
        <v>8908</v>
      </c>
      <c r="B4079" s="2" t="s">
        <v>8909</v>
      </c>
      <c r="C4079" s="2" t="s">
        <v>950</v>
      </c>
      <c r="D4079" s="2" t="s">
        <v>2752</v>
      </c>
      <c r="E4079" s="2"/>
      <c r="F4079" s="2" t="str">
        <f>"9788410704404"</f>
        <v>9788410704404</v>
      </c>
    </row>
    <row r="4080" spans="1:6" s="3" customFormat="1" ht="29.1" customHeight="1" x14ac:dyDescent="0.25">
      <c r="A4080" s="2" t="s">
        <v>8910</v>
      </c>
      <c r="B4080" s="2" t="s">
        <v>8911</v>
      </c>
      <c r="C4080" s="2" t="s">
        <v>950</v>
      </c>
      <c r="D4080" s="2" t="s">
        <v>110</v>
      </c>
      <c r="E4080" s="2"/>
      <c r="F4080" s="2" t="str">
        <f>"9788410703308"</f>
        <v>9788410703308</v>
      </c>
    </row>
    <row r="4081" spans="1:6" s="3" customFormat="1" ht="29.1" customHeight="1" x14ac:dyDescent="0.25">
      <c r="A4081" s="2" t="s">
        <v>8912</v>
      </c>
      <c r="B4081" s="2" t="s">
        <v>8913</v>
      </c>
      <c r="C4081" s="2" t="s">
        <v>950</v>
      </c>
      <c r="D4081" s="2" t="s">
        <v>278</v>
      </c>
      <c r="E4081" s="2"/>
      <c r="F4081" s="2" t="str">
        <f>"9788410702509"</f>
        <v>9788410702509</v>
      </c>
    </row>
    <row r="4082" spans="1:6" s="3" customFormat="1" ht="29.1" customHeight="1" x14ac:dyDescent="0.25">
      <c r="A4082" s="2" t="s">
        <v>8914</v>
      </c>
      <c r="B4082" s="2" t="s">
        <v>8915</v>
      </c>
      <c r="C4082" s="2" t="s">
        <v>950</v>
      </c>
      <c r="D4082" s="2" t="s">
        <v>951</v>
      </c>
      <c r="E4082" s="2"/>
      <c r="F4082" s="2" t="str">
        <f>"9788410703315"</f>
        <v>9788410703315</v>
      </c>
    </row>
    <row r="4083" spans="1:6" s="3" customFormat="1" ht="29.1" customHeight="1" x14ac:dyDescent="0.25">
      <c r="A4083" s="2" t="s">
        <v>8916</v>
      </c>
      <c r="B4083" s="2" t="s">
        <v>8917</v>
      </c>
      <c r="C4083" s="2" t="s">
        <v>950</v>
      </c>
      <c r="D4083" s="2" t="s">
        <v>183</v>
      </c>
      <c r="E4083" s="2"/>
      <c r="F4083" s="2" t="str">
        <f>"9791370060084"</f>
        <v>9791370060084</v>
      </c>
    </row>
    <row r="4084" spans="1:6" s="3" customFormat="1" ht="29.1" customHeight="1" x14ac:dyDescent="0.25">
      <c r="A4084" s="2" t="s">
        <v>8918</v>
      </c>
      <c r="B4084" s="2" t="s">
        <v>8919</v>
      </c>
      <c r="C4084" s="2" t="s">
        <v>950</v>
      </c>
      <c r="D4084" s="2" t="s">
        <v>951</v>
      </c>
      <c r="E4084" s="2"/>
      <c r="F4084" s="2" t="str">
        <f>"9788411707671"</f>
        <v>9788411707671</v>
      </c>
    </row>
    <row r="4085" spans="1:6" s="3" customFormat="1" ht="29.1" customHeight="1" x14ac:dyDescent="0.25">
      <c r="A4085" s="2" t="s">
        <v>8920</v>
      </c>
      <c r="B4085" s="2" t="s">
        <v>8921</v>
      </c>
      <c r="C4085" s="2" t="s">
        <v>950</v>
      </c>
      <c r="D4085" s="2" t="s">
        <v>125</v>
      </c>
      <c r="E4085" s="2"/>
      <c r="F4085" s="2" t="str">
        <f>"9788411706711"</f>
        <v>9788411706711</v>
      </c>
    </row>
    <row r="4086" spans="1:6" s="3" customFormat="1" ht="29.1" customHeight="1" x14ac:dyDescent="0.25">
      <c r="A4086" s="2" t="s">
        <v>8922</v>
      </c>
      <c r="B4086" s="2" t="s">
        <v>8923</v>
      </c>
      <c r="C4086" s="2" t="s">
        <v>950</v>
      </c>
      <c r="D4086" s="2" t="s">
        <v>3958</v>
      </c>
      <c r="E4086" s="2"/>
      <c r="F4086" s="2" t="str">
        <f>"9788411700863"</f>
        <v>9788411700863</v>
      </c>
    </row>
    <row r="4087" spans="1:6" s="3" customFormat="1" ht="29.1" customHeight="1" x14ac:dyDescent="0.25">
      <c r="A4087" s="2" t="s">
        <v>8924</v>
      </c>
      <c r="B4087" s="2" t="s">
        <v>8925</v>
      </c>
      <c r="C4087" s="2" t="s">
        <v>950</v>
      </c>
      <c r="D4087" s="2" t="s">
        <v>836</v>
      </c>
      <c r="E4087" s="2"/>
      <c r="F4087" s="2" t="str">
        <f>"9788411700634"</f>
        <v>9788411700634</v>
      </c>
    </row>
    <row r="4088" spans="1:6" s="3" customFormat="1" ht="29.1" customHeight="1" x14ac:dyDescent="0.25">
      <c r="A4088" s="2" t="s">
        <v>8926</v>
      </c>
      <c r="B4088" s="2" t="s">
        <v>8925</v>
      </c>
      <c r="C4088" s="2" t="s">
        <v>950</v>
      </c>
      <c r="D4088" s="2" t="s">
        <v>951</v>
      </c>
      <c r="E4088" s="2"/>
      <c r="F4088" s="2" t="str">
        <f>"9788411229647"</f>
        <v>9788411229647</v>
      </c>
    </row>
    <row r="4089" spans="1:6" s="3" customFormat="1" ht="29.1" customHeight="1" x14ac:dyDescent="0.25">
      <c r="A4089" s="2" t="s">
        <v>8927</v>
      </c>
      <c r="B4089" s="2" t="s">
        <v>8928</v>
      </c>
      <c r="C4089" s="2" t="s">
        <v>950</v>
      </c>
      <c r="D4089" s="2" t="s">
        <v>78</v>
      </c>
      <c r="E4089" s="2"/>
      <c r="F4089" s="2" t="str">
        <f>"9788411226769"</f>
        <v>9788411226769</v>
      </c>
    </row>
    <row r="4090" spans="1:6" s="3" customFormat="1" ht="29.1" customHeight="1" x14ac:dyDescent="0.25">
      <c r="A4090" s="2" t="s">
        <v>8929</v>
      </c>
      <c r="B4090" s="2" t="s">
        <v>8930</v>
      </c>
      <c r="C4090" s="2" t="s">
        <v>950</v>
      </c>
      <c r="D4090" s="2" t="s">
        <v>951</v>
      </c>
      <c r="E4090" s="2"/>
      <c r="F4090" s="2" t="str">
        <f>"9788410709935"</f>
        <v>9788410709935</v>
      </c>
    </row>
    <row r="4091" spans="1:6" s="3" customFormat="1" ht="29.1" customHeight="1" x14ac:dyDescent="0.25">
      <c r="A4091" s="2" t="s">
        <v>8931</v>
      </c>
      <c r="B4091" s="2" t="s">
        <v>8932</v>
      </c>
      <c r="C4091" s="2" t="s">
        <v>950</v>
      </c>
      <c r="D4091" s="2" t="s">
        <v>2404</v>
      </c>
      <c r="E4091" s="2"/>
      <c r="F4091" s="2" t="str">
        <f>"9788410709591"</f>
        <v>9788410709591</v>
      </c>
    </row>
    <row r="4092" spans="1:6" s="3" customFormat="1" ht="29.1" customHeight="1" x14ac:dyDescent="0.25">
      <c r="A4092" s="2" t="s">
        <v>8933</v>
      </c>
      <c r="B4092" s="2" t="s">
        <v>8934</v>
      </c>
      <c r="C4092" s="2" t="s">
        <v>950</v>
      </c>
      <c r="D4092" s="2" t="s">
        <v>1697</v>
      </c>
      <c r="E4092" s="2"/>
      <c r="F4092" s="2" t="str">
        <f>"9788410709522"</f>
        <v>9788410709522</v>
      </c>
    </row>
    <row r="4093" spans="1:6" s="3" customFormat="1" ht="29.1" customHeight="1" x14ac:dyDescent="0.25">
      <c r="A4093" s="2" t="s">
        <v>8935</v>
      </c>
      <c r="B4093" s="2" t="s">
        <v>8937</v>
      </c>
      <c r="C4093" s="2" t="s">
        <v>950</v>
      </c>
      <c r="D4093" s="2" t="s">
        <v>8936</v>
      </c>
      <c r="E4093" s="2"/>
      <c r="F4093" s="2" t="str">
        <f>"9788410709508"</f>
        <v>9788410709508</v>
      </c>
    </row>
    <row r="4094" spans="1:6" s="3" customFormat="1" ht="29.1" customHeight="1" x14ac:dyDescent="0.25">
      <c r="A4094" s="2" t="s">
        <v>8938</v>
      </c>
      <c r="B4094" s="2" t="s">
        <v>8939</v>
      </c>
      <c r="C4094" s="2" t="s">
        <v>950</v>
      </c>
      <c r="D4094" s="2" t="s">
        <v>3958</v>
      </c>
      <c r="E4094" s="2"/>
      <c r="F4094" s="2" t="str">
        <f>"9788410709324"</f>
        <v>9788410709324</v>
      </c>
    </row>
    <row r="4095" spans="1:6" s="3" customFormat="1" ht="29.1" customHeight="1" x14ac:dyDescent="0.25">
      <c r="A4095" s="2" t="s">
        <v>8940</v>
      </c>
      <c r="B4095" s="2" t="s">
        <v>8942</v>
      </c>
      <c r="C4095" s="2" t="s">
        <v>950</v>
      </c>
      <c r="D4095" s="2" t="s">
        <v>8941</v>
      </c>
      <c r="E4095" s="2"/>
      <c r="F4095" s="2" t="str">
        <f>"9788410709317"</f>
        <v>9788410709317</v>
      </c>
    </row>
    <row r="4096" spans="1:6" s="3" customFormat="1" ht="29.1" customHeight="1" x14ac:dyDescent="0.25">
      <c r="A4096" s="2" t="s">
        <v>8943</v>
      </c>
      <c r="B4096" s="2" t="s">
        <v>8945</v>
      </c>
      <c r="C4096" s="2" t="s">
        <v>950</v>
      </c>
      <c r="D4096" s="2" t="s">
        <v>8944</v>
      </c>
      <c r="E4096" s="2"/>
      <c r="F4096" s="2" t="str">
        <f>"9788410709096"</f>
        <v>9788410709096</v>
      </c>
    </row>
    <row r="4097" spans="1:6" s="3" customFormat="1" ht="29.1" customHeight="1" x14ac:dyDescent="0.25">
      <c r="A4097" s="2" t="s">
        <v>8946</v>
      </c>
      <c r="B4097" s="2" t="s">
        <v>8947</v>
      </c>
      <c r="C4097" s="2" t="s">
        <v>950</v>
      </c>
      <c r="D4097" s="2" t="s">
        <v>490</v>
      </c>
      <c r="E4097" s="2"/>
      <c r="F4097" s="2" t="str">
        <f>"9788410709034"</f>
        <v>9788410709034</v>
      </c>
    </row>
    <row r="4098" spans="1:6" s="3" customFormat="1" ht="29.1" customHeight="1" x14ac:dyDescent="0.25">
      <c r="A4098" s="2" t="s">
        <v>8948</v>
      </c>
      <c r="B4098" s="2"/>
      <c r="C4098" s="2" t="s">
        <v>950</v>
      </c>
      <c r="D4098" s="2" t="s">
        <v>490</v>
      </c>
      <c r="E4098" s="2"/>
      <c r="F4098" s="2" t="str">
        <f>"9788410708976"</f>
        <v>9788410708976</v>
      </c>
    </row>
    <row r="4099" spans="1:6" s="3" customFormat="1" ht="29.1" customHeight="1" x14ac:dyDescent="0.25">
      <c r="A4099" s="2" t="s">
        <v>8949</v>
      </c>
      <c r="B4099" s="2" t="s">
        <v>8950</v>
      </c>
      <c r="C4099" s="2" t="s">
        <v>950</v>
      </c>
      <c r="D4099" s="2" t="s">
        <v>159</v>
      </c>
      <c r="E4099" s="2"/>
      <c r="F4099" s="2" t="str">
        <f>"9788410708969"</f>
        <v>9788410708969</v>
      </c>
    </row>
    <row r="4100" spans="1:6" s="3" customFormat="1" ht="29.1" customHeight="1" x14ac:dyDescent="0.25">
      <c r="A4100" s="2" t="s">
        <v>8951</v>
      </c>
      <c r="B4100" s="2" t="s">
        <v>8952</v>
      </c>
      <c r="C4100" s="2" t="s">
        <v>950</v>
      </c>
      <c r="D4100" s="2" t="s">
        <v>3839</v>
      </c>
      <c r="E4100" s="2"/>
      <c r="F4100" s="2" t="str">
        <f>"9788410708952"</f>
        <v>9788410708952</v>
      </c>
    </row>
    <row r="4101" spans="1:6" s="3" customFormat="1" ht="29.1" customHeight="1" x14ac:dyDescent="0.25">
      <c r="A4101" s="2" t="s">
        <v>8953</v>
      </c>
      <c r="B4101" s="2" t="s">
        <v>8954</v>
      </c>
      <c r="C4101" s="2" t="s">
        <v>950</v>
      </c>
      <c r="D4101" s="2" t="s">
        <v>3814</v>
      </c>
      <c r="E4101" s="2"/>
      <c r="F4101" s="2" t="str">
        <f>"9788410708907"</f>
        <v>9788410708907</v>
      </c>
    </row>
    <row r="4102" spans="1:6" s="3" customFormat="1" ht="29.1" customHeight="1" x14ac:dyDescent="0.25">
      <c r="A4102" s="2" t="s">
        <v>8955</v>
      </c>
      <c r="B4102" s="2" t="s">
        <v>8956</v>
      </c>
      <c r="C4102" s="2" t="s">
        <v>950</v>
      </c>
      <c r="D4102" s="2" t="s">
        <v>5338</v>
      </c>
      <c r="E4102" s="2"/>
      <c r="F4102" s="2" t="str">
        <f>"9788410708846"</f>
        <v>9788410708846</v>
      </c>
    </row>
    <row r="4103" spans="1:6" s="3" customFormat="1" ht="29.1" customHeight="1" x14ac:dyDescent="0.25">
      <c r="A4103" s="2" t="s">
        <v>8957</v>
      </c>
      <c r="B4103" s="2" t="s">
        <v>8958</v>
      </c>
      <c r="C4103" s="2" t="s">
        <v>950</v>
      </c>
      <c r="D4103" s="2" t="s">
        <v>3958</v>
      </c>
      <c r="E4103" s="2"/>
      <c r="F4103" s="2" t="str">
        <f>"9788410708815"</f>
        <v>9788410708815</v>
      </c>
    </row>
    <row r="4104" spans="1:6" s="3" customFormat="1" ht="29.1" customHeight="1" x14ac:dyDescent="0.25">
      <c r="A4104" s="2" t="s">
        <v>8959</v>
      </c>
      <c r="B4104" s="2" t="s">
        <v>8960</v>
      </c>
      <c r="C4104" s="2" t="s">
        <v>950</v>
      </c>
      <c r="D4104" s="2" t="s">
        <v>2752</v>
      </c>
      <c r="E4104" s="2"/>
      <c r="F4104" s="2" t="str">
        <f>"9788410708761"</f>
        <v>9788410708761</v>
      </c>
    </row>
    <row r="4105" spans="1:6" s="3" customFormat="1" ht="29.1" customHeight="1" x14ac:dyDescent="0.25">
      <c r="A4105" s="2" t="s">
        <v>8961</v>
      </c>
      <c r="B4105" s="2" t="s">
        <v>8962</v>
      </c>
      <c r="C4105" s="2" t="s">
        <v>950</v>
      </c>
      <c r="D4105" s="2" t="s">
        <v>2752</v>
      </c>
      <c r="E4105" s="2"/>
      <c r="F4105" s="2" t="str">
        <f>"9788410708747"</f>
        <v>9788410708747</v>
      </c>
    </row>
    <row r="4106" spans="1:6" s="3" customFormat="1" ht="29.1" customHeight="1" x14ac:dyDescent="0.25">
      <c r="A4106" s="2" t="s">
        <v>8963</v>
      </c>
      <c r="B4106" s="2" t="s">
        <v>8964</v>
      </c>
      <c r="C4106" s="2" t="s">
        <v>950</v>
      </c>
      <c r="D4106" s="2" t="s">
        <v>951</v>
      </c>
      <c r="E4106" s="2"/>
      <c r="F4106" s="2" t="str">
        <f>"9788410708730"</f>
        <v>9788410708730</v>
      </c>
    </row>
    <row r="4107" spans="1:6" s="3" customFormat="1" ht="29.1" customHeight="1" x14ac:dyDescent="0.25">
      <c r="A4107" s="2" t="s">
        <v>8965</v>
      </c>
      <c r="B4107" s="2" t="s">
        <v>8966</v>
      </c>
      <c r="C4107" s="2" t="s">
        <v>950</v>
      </c>
      <c r="D4107" s="2" t="s">
        <v>951</v>
      </c>
      <c r="E4107" s="2"/>
      <c r="F4107" s="2" t="str">
        <f>"9788410708723"</f>
        <v>9788410708723</v>
      </c>
    </row>
    <row r="4108" spans="1:6" s="3" customFormat="1" ht="29.1" customHeight="1" x14ac:dyDescent="0.25">
      <c r="A4108" s="2" t="s">
        <v>8967</v>
      </c>
      <c r="B4108" s="2" t="s">
        <v>8968</v>
      </c>
      <c r="C4108" s="2" t="s">
        <v>950</v>
      </c>
      <c r="D4108" s="2" t="s">
        <v>951</v>
      </c>
      <c r="E4108" s="2"/>
      <c r="F4108" s="2" t="str">
        <f>"9788410708549"</f>
        <v>9788410708549</v>
      </c>
    </row>
    <row r="4109" spans="1:6" s="3" customFormat="1" ht="29.1" customHeight="1" x14ac:dyDescent="0.25">
      <c r="A4109" s="2" t="s">
        <v>8969</v>
      </c>
      <c r="B4109" s="2" t="s">
        <v>8970</v>
      </c>
      <c r="C4109" s="2" t="s">
        <v>950</v>
      </c>
      <c r="D4109" s="2" t="s">
        <v>2019</v>
      </c>
      <c r="E4109" s="2"/>
      <c r="F4109" s="2" t="str">
        <f>"9788410708532"</f>
        <v>9788410708532</v>
      </c>
    </row>
    <row r="4110" spans="1:6" s="3" customFormat="1" ht="29.1" customHeight="1" x14ac:dyDescent="0.25">
      <c r="A4110" s="2" t="s">
        <v>8971</v>
      </c>
      <c r="B4110" s="2" t="s">
        <v>8972</v>
      </c>
      <c r="C4110" s="2" t="s">
        <v>950</v>
      </c>
      <c r="D4110" s="2" t="s">
        <v>553</v>
      </c>
      <c r="E4110" s="2"/>
      <c r="F4110" s="2" t="str">
        <f>"9788410708471"</f>
        <v>9788410708471</v>
      </c>
    </row>
    <row r="4111" spans="1:6" s="3" customFormat="1" ht="29.1" customHeight="1" x14ac:dyDescent="0.25">
      <c r="A4111" s="2" t="s">
        <v>8973</v>
      </c>
      <c r="B4111" s="2" t="s">
        <v>8974</v>
      </c>
      <c r="C4111" s="2" t="s">
        <v>950</v>
      </c>
      <c r="D4111" s="2" t="s">
        <v>2048</v>
      </c>
      <c r="E4111" s="2"/>
      <c r="F4111" s="2" t="str">
        <f>"9788410708419"</f>
        <v>9788410708419</v>
      </c>
    </row>
    <row r="4112" spans="1:6" s="3" customFormat="1" ht="29.1" customHeight="1" x14ac:dyDescent="0.25">
      <c r="A4112" s="2" t="s">
        <v>8975</v>
      </c>
      <c r="B4112" s="2" t="s">
        <v>8976</v>
      </c>
      <c r="C4112" s="2" t="s">
        <v>950</v>
      </c>
      <c r="D4112" s="2" t="s">
        <v>1013</v>
      </c>
      <c r="E4112" s="2"/>
      <c r="F4112" s="2" t="str">
        <f>"9788410708211"</f>
        <v>9788410708211</v>
      </c>
    </row>
    <row r="4113" spans="1:6" s="3" customFormat="1" ht="29.1" customHeight="1" x14ac:dyDescent="0.25">
      <c r="A4113" s="2" t="s">
        <v>8977</v>
      </c>
      <c r="B4113" s="2" t="s">
        <v>8978</v>
      </c>
      <c r="C4113" s="2" t="s">
        <v>950</v>
      </c>
      <c r="D4113" s="2" t="s">
        <v>636</v>
      </c>
      <c r="E4113" s="2"/>
      <c r="F4113" s="2" t="str">
        <f>"9788410708204"</f>
        <v>9788410708204</v>
      </c>
    </row>
    <row r="4114" spans="1:6" s="3" customFormat="1" ht="29.1" customHeight="1" x14ac:dyDescent="0.25">
      <c r="A4114" s="2" t="s">
        <v>8979</v>
      </c>
      <c r="B4114" s="2" t="s">
        <v>8980</v>
      </c>
      <c r="C4114" s="2" t="s">
        <v>950</v>
      </c>
      <c r="D4114" s="2" t="s">
        <v>1809</v>
      </c>
      <c r="E4114" s="2"/>
      <c r="F4114" s="2" t="str">
        <f>"9788410708198"</f>
        <v>9788410708198</v>
      </c>
    </row>
    <row r="4115" spans="1:6" s="3" customFormat="1" ht="29.1" customHeight="1" x14ac:dyDescent="0.25">
      <c r="A4115" s="2" t="s">
        <v>8981</v>
      </c>
      <c r="B4115" s="2" t="s">
        <v>8982</v>
      </c>
      <c r="C4115" s="2" t="s">
        <v>950</v>
      </c>
      <c r="D4115" s="2" t="s">
        <v>2462</v>
      </c>
      <c r="E4115" s="2"/>
      <c r="F4115" s="2" t="str">
        <f>"9788410708181"</f>
        <v>9788410708181</v>
      </c>
    </row>
    <row r="4116" spans="1:6" s="3" customFormat="1" ht="29.1" customHeight="1" x14ac:dyDescent="0.25">
      <c r="A4116" s="2" t="s">
        <v>8983</v>
      </c>
      <c r="B4116" s="2" t="s">
        <v>8984</v>
      </c>
      <c r="C4116" s="2" t="s">
        <v>950</v>
      </c>
      <c r="D4116" s="2" t="s">
        <v>37</v>
      </c>
      <c r="E4116" s="2"/>
      <c r="F4116" s="2" t="str">
        <f>"9788410708136"</f>
        <v>9788410708136</v>
      </c>
    </row>
    <row r="4117" spans="1:6" s="3" customFormat="1" ht="29.1" customHeight="1" x14ac:dyDescent="0.25">
      <c r="A4117" s="2" t="s">
        <v>8985</v>
      </c>
      <c r="B4117" s="2" t="s">
        <v>8986</v>
      </c>
      <c r="C4117" s="2" t="s">
        <v>950</v>
      </c>
      <c r="D4117" s="2" t="s">
        <v>2274</v>
      </c>
      <c r="E4117" s="2"/>
      <c r="F4117" s="2" t="str">
        <f>"9788410708105"</f>
        <v>9788410708105</v>
      </c>
    </row>
    <row r="4118" spans="1:6" s="3" customFormat="1" ht="29.1" customHeight="1" x14ac:dyDescent="0.25">
      <c r="A4118" s="2" t="s">
        <v>8987</v>
      </c>
      <c r="B4118" s="2" t="s">
        <v>8988</v>
      </c>
      <c r="C4118" s="2" t="s">
        <v>950</v>
      </c>
      <c r="D4118" s="2" t="s">
        <v>183</v>
      </c>
      <c r="E4118" s="2"/>
      <c r="F4118" s="2" t="str">
        <f>"9788410708037"</f>
        <v>9788410708037</v>
      </c>
    </row>
    <row r="4119" spans="1:6" s="3" customFormat="1" ht="29.1" customHeight="1" x14ac:dyDescent="0.25">
      <c r="A4119" s="2" t="s">
        <v>8989</v>
      </c>
      <c r="B4119" s="2" t="s">
        <v>8990</v>
      </c>
      <c r="C4119" s="2" t="s">
        <v>950</v>
      </c>
      <c r="D4119" s="2" t="s">
        <v>550</v>
      </c>
      <c r="E4119" s="2"/>
      <c r="F4119" s="2" t="str">
        <f>"9788410708013"</f>
        <v>9788410708013</v>
      </c>
    </row>
    <row r="4120" spans="1:6" s="3" customFormat="1" ht="29.1" customHeight="1" x14ac:dyDescent="0.25">
      <c r="A4120" s="2" t="s">
        <v>8991</v>
      </c>
      <c r="B4120" s="2" t="s">
        <v>7251</v>
      </c>
      <c r="C4120" s="2" t="s">
        <v>950</v>
      </c>
      <c r="D4120" s="2" t="s">
        <v>4002</v>
      </c>
      <c r="E4120" s="2"/>
      <c r="F4120" s="2" t="str">
        <f>"9788410707931"</f>
        <v>9788410707931</v>
      </c>
    </row>
    <row r="4121" spans="1:6" s="3" customFormat="1" ht="29.1" customHeight="1" x14ac:dyDescent="0.25">
      <c r="A4121" s="2" t="s">
        <v>8992</v>
      </c>
      <c r="B4121" s="2" t="s">
        <v>8993</v>
      </c>
      <c r="C4121" s="2" t="s">
        <v>950</v>
      </c>
      <c r="D4121" s="2" t="s">
        <v>110</v>
      </c>
      <c r="E4121" s="2"/>
      <c r="F4121" s="2" t="str">
        <f>"9788410707856"</f>
        <v>9788410707856</v>
      </c>
    </row>
    <row r="4122" spans="1:6" s="3" customFormat="1" ht="29.1" customHeight="1" x14ac:dyDescent="0.25">
      <c r="A4122" s="2" t="s">
        <v>8994</v>
      </c>
      <c r="B4122" s="2" t="s">
        <v>8995</v>
      </c>
      <c r="C4122" s="2" t="s">
        <v>950</v>
      </c>
      <c r="D4122" s="2" t="s">
        <v>490</v>
      </c>
      <c r="E4122" s="2"/>
      <c r="F4122" s="2" t="str">
        <f>"9788410707771"</f>
        <v>9788410707771</v>
      </c>
    </row>
    <row r="4123" spans="1:6" s="3" customFormat="1" ht="29.1" customHeight="1" x14ac:dyDescent="0.25">
      <c r="A4123" s="2" t="s">
        <v>8996</v>
      </c>
      <c r="B4123" s="2" t="s">
        <v>8997</v>
      </c>
      <c r="C4123" s="2" t="s">
        <v>950</v>
      </c>
      <c r="D4123" s="2" t="s">
        <v>836</v>
      </c>
      <c r="E4123" s="2"/>
      <c r="F4123" s="2" t="str">
        <f>"9788410707764"</f>
        <v>9788410707764</v>
      </c>
    </row>
    <row r="4124" spans="1:6" s="3" customFormat="1" ht="29.1" customHeight="1" x14ac:dyDescent="0.25">
      <c r="A4124" s="2" t="s">
        <v>8998</v>
      </c>
      <c r="B4124" s="2" t="s">
        <v>8999</v>
      </c>
      <c r="C4124" s="2" t="s">
        <v>950</v>
      </c>
      <c r="D4124" s="2" t="s">
        <v>2462</v>
      </c>
      <c r="E4124" s="2"/>
      <c r="F4124" s="2" t="str">
        <f>"9788410707757"</f>
        <v>9788410707757</v>
      </c>
    </row>
    <row r="4125" spans="1:6" s="3" customFormat="1" ht="29.1" customHeight="1" x14ac:dyDescent="0.25">
      <c r="A4125" s="2" t="s">
        <v>9000</v>
      </c>
      <c r="B4125" s="2" t="s">
        <v>9001</v>
      </c>
      <c r="C4125" s="2" t="s">
        <v>950</v>
      </c>
      <c r="D4125" s="2" t="s">
        <v>876</v>
      </c>
      <c r="E4125" s="2"/>
      <c r="F4125" s="2" t="str">
        <f>"9788410707740"</f>
        <v>9788410707740</v>
      </c>
    </row>
    <row r="4126" spans="1:6" s="3" customFormat="1" ht="29.1" customHeight="1" x14ac:dyDescent="0.25">
      <c r="A4126" s="2" t="s">
        <v>9002</v>
      </c>
      <c r="B4126" s="2" t="s">
        <v>9004</v>
      </c>
      <c r="C4126" s="2" t="s">
        <v>950</v>
      </c>
      <c r="D4126" s="2" t="s">
        <v>9003</v>
      </c>
      <c r="E4126" s="2"/>
      <c r="F4126" s="2" t="str">
        <f>"9788410707481"</f>
        <v>9788410707481</v>
      </c>
    </row>
    <row r="4127" spans="1:6" s="3" customFormat="1" ht="29.1" customHeight="1" x14ac:dyDescent="0.25">
      <c r="A4127" s="2" t="s">
        <v>9005</v>
      </c>
      <c r="B4127" s="2" t="s">
        <v>9007</v>
      </c>
      <c r="C4127" s="2" t="s">
        <v>950</v>
      </c>
      <c r="D4127" s="2" t="s">
        <v>9006</v>
      </c>
      <c r="E4127" s="2"/>
      <c r="F4127" s="2" t="str">
        <f>"9788410707290"</f>
        <v>9788410707290</v>
      </c>
    </row>
    <row r="4128" spans="1:6" s="3" customFormat="1" ht="29.1" customHeight="1" x14ac:dyDescent="0.25">
      <c r="A4128" s="2" t="s">
        <v>9008</v>
      </c>
      <c r="B4128" s="2" t="s">
        <v>9009</v>
      </c>
      <c r="C4128" s="2" t="s">
        <v>950</v>
      </c>
      <c r="D4128" s="2" t="s">
        <v>2551</v>
      </c>
      <c r="E4128" s="2"/>
      <c r="F4128" s="2" t="str">
        <f>"9788410707184"</f>
        <v>9788410707184</v>
      </c>
    </row>
    <row r="4129" spans="1:6" s="3" customFormat="1" ht="29.1" customHeight="1" x14ac:dyDescent="0.25">
      <c r="A4129" s="2" t="s">
        <v>9010</v>
      </c>
      <c r="B4129" s="2" t="s">
        <v>9011</v>
      </c>
      <c r="C4129" s="2" t="s">
        <v>950</v>
      </c>
      <c r="D4129" s="2" t="s">
        <v>1013</v>
      </c>
      <c r="E4129" s="2"/>
      <c r="F4129" s="2" t="str">
        <f>"9788410707122"</f>
        <v>9788410707122</v>
      </c>
    </row>
    <row r="4130" spans="1:6" s="3" customFormat="1" ht="29.1" customHeight="1" x14ac:dyDescent="0.25">
      <c r="A4130" s="2" t="s">
        <v>9012</v>
      </c>
      <c r="B4130" s="2" t="s">
        <v>9013</v>
      </c>
      <c r="C4130" s="2" t="s">
        <v>950</v>
      </c>
      <c r="D4130" s="2" t="s">
        <v>110</v>
      </c>
      <c r="E4130" s="2"/>
      <c r="F4130" s="2" t="str">
        <f>"9788410707092"</f>
        <v>9788410707092</v>
      </c>
    </row>
    <row r="4131" spans="1:6" s="3" customFormat="1" ht="29.1" customHeight="1" x14ac:dyDescent="0.25">
      <c r="A4131" s="2" t="s">
        <v>9014</v>
      </c>
      <c r="B4131" s="2" t="s">
        <v>9016</v>
      </c>
      <c r="C4131" s="2" t="s">
        <v>950</v>
      </c>
      <c r="D4131" s="2" t="s">
        <v>9015</v>
      </c>
      <c r="E4131" s="2"/>
      <c r="F4131" s="2" t="str">
        <f>"9788410706941"</f>
        <v>9788410706941</v>
      </c>
    </row>
    <row r="4132" spans="1:6" s="3" customFormat="1" ht="29.1" customHeight="1" x14ac:dyDescent="0.25">
      <c r="A4132" s="2" t="s">
        <v>9017</v>
      </c>
      <c r="B4132" s="2" t="s">
        <v>9018</v>
      </c>
      <c r="C4132" s="2" t="s">
        <v>950</v>
      </c>
      <c r="D4132" s="2" t="s">
        <v>553</v>
      </c>
      <c r="E4132" s="2"/>
      <c r="F4132" s="2" t="str">
        <f>"9788410706934"</f>
        <v>9788410706934</v>
      </c>
    </row>
    <row r="4133" spans="1:6" s="3" customFormat="1" ht="29.1" customHeight="1" x14ac:dyDescent="0.25">
      <c r="A4133" s="2" t="s">
        <v>9019</v>
      </c>
      <c r="B4133" s="2" t="s">
        <v>9020</v>
      </c>
      <c r="C4133" s="2" t="s">
        <v>950</v>
      </c>
      <c r="D4133" s="2" t="s">
        <v>951</v>
      </c>
      <c r="E4133" s="2"/>
      <c r="F4133" s="2" t="str">
        <f>"9788410706927"</f>
        <v>9788410706927</v>
      </c>
    </row>
    <row r="4134" spans="1:6" s="3" customFormat="1" ht="29.1" customHeight="1" x14ac:dyDescent="0.25">
      <c r="A4134" s="2" t="s">
        <v>9021</v>
      </c>
      <c r="B4134" s="2" t="s">
        <v>9022</v>
      </c>
      <c r="C4134" s="2" t="s">
        <v>950</v>
      </c>
      <c r="D4134" s="2" t="s">
        <v>951</v>
      </c>
      <c r="E4134" s="2"/>
      <c r="F4134" s="2" t="str">
        <f>"9788410706910"</f>
        <v>9788410706910</v>
      </c>
    </row>
    <row r="4135" spans="1:6" s="3" customFormat="1" ht="29.1" customHeight="1" x14ac:dyDescent="0.25">
      <c r="A4135" s="2" t="s">
        <v>9023</v>
      </c>
      <c r="B4135" s="2" t="s">
        <v>9024</v>
      </c>
      <c r="C4135" s="2" t="s">
        <v>950</v>
      </c>
      <c r="D4135" s="2" t="s">
        <v>978</v>
      </c>
      <c r="E4135" s="2"/>
      <c r="F4135" s="2" t="str">
        <f>"9788410706903"</f>
        <v>9788410706903</v>
      </c>
    </row>
    <row r="4136" spans="1:6" s="3" customFormat="1" ht="29.1" customHeight="1" x14ac:dyDescent="0.25">
      <c r="A4136" s="2" t="s">
        <v>9025</v>
      </c>
      <c r="B4136" s="2" t="s">
        <v>9026</v>
      </c>
      <c r="C4136" s="2" t="s">
        <v>950</v>
      </c>
      <c r="D4136" s="2" t="s">
        <v>951</v>
      </c>
      <c r="E4136" s="2"/>
      <c r="F4136" s="2" t="str">
        <f>"9788410706897"</f>
        <v>9788410706897</v>
      </c>
    </row>
    <row r="4137" spans="1:6" s="3" customFormat="1" ht="29.1" customHeight="1" x14ac:dyDescent="0.25">
      <c r="A4137" s="2" t="s">
        <v>9027</v>
      </c>
      <c r="B4137" s="2" t="s">
        <v>9028</v>
      </c>
      <c r="C4137" s="2" t="s">
        <v>950</v>
      </c>
      <c r="D4137" s="2" t="s">
        <v>5806</v>
      </c>
      <c r="E4137" s="2"/>
      <c r="F4137" s="2" t="str">
        <f>"9788410706880"</f>
        <v>9788410706880</v>
      </c>
    </row>
    <row r="4138" spans="1:6" s="3" customFormat="1" ht="29.1" customHeight="1" x14ac:dyDescent="0.25">
      <c r="A4138" s="2" t="s">
        <v>9029</v>
      </c>
      <c r="B4138" s="2" t="s">
        <v>9030</v>
      </c>
      <c r="C4138" s="2" t="s">
        <v>950</v>
      </c>
      <c r="D4138" s="2" t="s">
        <v>836</v>
      </c>
      <c r="E4138" s="2"/>
      <c r="F4138" s="2" t="str">
        <f>"9788410706811"</f>
        <v>9788410706811</v>
      </c>
    </row>
    <row r="4139" spans="1:6" s="3" customFormat="1" ht="29.1" customHeight="1" x14ac:dyDescent="0.25">
      <c r="A4139" s="2" t="s">
        <v>9031</v>
      </c>
      <c r="B4139" s="2" t="s">
        <v>9032</v>
      </c>
      <c r="C4139" s="2" t="s">
        <v>950</v>
      </c>
      <c r="D4139" s="2" t="s">
        <v>553</v>
      </c>
      <c r="E4139" s="2"/>
      <c r="F4139" s="2" t="str">
        <f>"9788410706804"</f>
        <v>9788410706804</v>
      </c>
    </row>
    <row r="4140" spans="1:6" s="3" customFormat="1" ht="29.1" customHeight="1" x14ac:dyDescent="0.25">
      <c r="A4140" s="2" t="s">
        <v>9033</v>
      </c>
      <c r="B4140" s="2" t="s">
        <v>9034</v>
      </c>
      <c r="C4140" s="2" t="s">
        <v>950</v>
      </c>
      <c r="D4140" s="2" t="s">
        <v>981</v>
      </c>
      <c r="E4140" s="2"/>
      <c r="F4140" s="2" t="str">
        <f>"9788410706439"</f>
        <v>9788410706439</v>
      </c>
    </row>
    <row r="4141" spans="1:6" s="3" customFormat="1" ht="29.1" customHeight="1" x14ac:dyDescent="0.25">
      <c r="A4141" s="2" t="s">
        <v>9035</v>
      </c>
      <c r="B4141" s="2" t="s">
        <v>9037</v>
      </c>
      <c r="C4141" s="2" t="s">
        <v>950</v>
      </c>
      <c r="D4141" s="2" t="s">
        <v>9036</v>
      </c>
      <c r="E4141" s="2"/>
      <c r="F4141" s="2" t="str">
        <f>"9788410705302"</f>
        <v>9788410705302</v>
      </c>
    </row>
    <row r="4142" spans="1:6" s="3" customFormat="1" ht="29.1" customHeight="1" x14ac:dyDescent="0.25">
      <c r="A4142" s="2" t="s">
        <v>9038</v>
      </c>
      <c r="B4142" s="2" t="s">
        <v>9039</v>
      </c>
      <c r="C4142" s="2" t="s">
        <v>950</v>
      </c>
      <c r="D4142" s="2" t="s">
        <v>550</v>
      </c>
      <c r="E4142" s="2"/>
      <c r="F4142" s="2" t="str">
        <f>"9788410704534"</f>
        <v>9788410704534</v>
      </c>
    </row>
    <row r="4143" spans="1:6" s="3" customFormat="1" ht="29.1" customHeight="1" x14ac:dyDescent="0.25">
      <c r="A4143" s="2" t="s">
        <v>9040</v>
      </c>
      <c r="B4143" s="2" t="s">
        <v>9041</v>
      </c>
      <c r="C4143" s="2" t="s">
        <v>950</v>
      </c>
      <c r="D4143" s="2" t="s">
        <v>951</v>
      </c>
      <c r="E4143" s="2"/>
      <c r="F4143" s="2" t="str">
        <f>"9788410704527"</f>
        <v>9788410704527</v>
      </c>
    </row>
    <row r="4144" spans="1:6" s="3" customFormat="1" ht="29.1" customHeight="1" x14ac:dyDescent="0.25">
      <c r="A4144" s="2" t="s">
        <v>9042</v>
      </c>
      <c r="B4144" s="2" t="s">
        <v>9044</v>
      </c>
      <c r="C4144" s="2" t="s">
        <v>950</v>
      </c>
      <c r="D4144" s="2" t="s">
        <v>9043</v>
      </c>
      <c r="E4144" s="2"/>
      <c r="F4144" s="2" t="str">
        <f>"9788410704497"</f>
        <v>9788410704497</v>
      </c>
    </row>
    <row r="4145" spans="1:6" s="3" customFormat="1" ht="29.1" customHeight="1" x14ac:dyDescent="0.25">
      <c r="A4145" s="2" t="s">
        <v>9045</v>
      </c>
      <c r="B4145" s="2" t="s">
        <v>9046</v>
      </c>
      <c r="C4145" s="2" t="s">
        <v>950</v>
      </c>
      <c r="D4145" s="2" t="s">
        <v>3214</v>
      </c>
      <c r="E4145" s="2"/>
      <c r="F4145" s="2" t="str">
        <f>"9788410704480"</f>
        <v>9788410704480</v>
      </c>
    </row>
    <row r="4146" spans="1:6" s="3" customFormat="1" ht="29.1" customHeight="1" x14ac:dyDescent="0.25">
      <c r="A4146" s="2" t="s">
        <v>9047</v>
      </c>
      <c r="B4146" s="2" t="s">
        <v>9048</v>
      </c>
      <c r="C4146" s="2" t="s">
        <v>950</v>
      </c>
      <c r="D4146" s="2" t="s">
        <v>2761</v>
      </c>
      <c r="E4146" s="2"/>
      <c r="F4146" s="2" t="str">
        <f>"9788410704473"</f>
        <v>9788410704473</v>
      </c>
    </row>
    <row r="4147" spans="1:6" s="3" customFormat="1" ht="29.1" customHeight="1" x14ac:dyDescent="0.25">
      <c r="A4147" s="2" t="s">
        <v>9049</v>
      </c>
      <c r="B4147" s="2" t="s">
        <v>9050</v>
      </c>
      <c r="C4147" s="2" t="s">
        <v>950</v>
      </c>
      <c r="D4147" s="2" t="s">
        <v>2178</v>
      </c>
      <c r="E4147" s="2"/>
      <c r="F4147" s="2" t="str">
        <f>"9788410704466"</f>
        <v>9788410704466</v>
      </c>
    </row>
    <row r="4148" spans="1:6" s="3" customFormat="1" ht="29.1" customHeight="1" x14ac:dyDescent="0.25">
      <c r="A4148" s="2" t="s">
        <v>9051</v>
      </c>
      <c r="B4148" s="2" t="s">
        <v>9053</v>
      </c>
      <c r="C4148" s="2" t="s">
        <v>950</v>
      </c>
      <c r="D4148" s="2" t="s">
        <v>9052</v>
      </c>
      <c r="E4148" s="2"/>
      <c r="F4148" s="2" t="str">
        <f>"9788410704442"</f>
        <v>9788410704442</v>
      </c>
    </row>
    <row r="4149" spans="1:6" s="3" customFormat="1" ht="29.1" customHeight="1" x14ac:dyDescent="0.25">
      <c r="A4149" s="2" t="s">
        <v>955</v>
      </c>
      <c r="B4149" s="2" t="s">
        <v>9054</v>
      </c>
      <c r="C4149" s="2" t="s">
        <v>950</v>
      </c>
      <c r="D4149" s="2" t="s">
        <v>52</v>
      </c>
      <c r="E4149" s="2"/>
      <c r="F4149" s="2" t="str">
        <f>"9788410704435"</f>
        <v>9788410704435</v>
      </c>
    </row>
    <row r="4150" spans="1:6" s="3" customFormat="1" ht="29.1" customHeight="1" x14ac:dyDescent="0.25">
      <c r="A4150" s="2" t="s">
        <v>9055</v>
      </c>
      <c r="B4150" s="2" t="s">
        <v>9056</v>
      </c>
      <c r="C4150" s="2" t="s">
        <v>950</v>
      </c>
      <c r="D4150" s="2" t="s">
        <v>2943</v>
      </c>
      <c r="E4150" s="2"/>
      <c r="F4150" s="2" t="str">
        <f>"9788410704428"</f>
        <v>9788410704428</v>
      </c>
    </row>
    <row r="4151" spans="1:6" s="3" customFormat="1" ht="29.1" customHeight="1" x14ac:dyDescent="0.25">
      <c r="A4151" s="2" t="s">
        <v>9057</v>
      </c>
      <c r="B4151" s="2" t="s">
        <v>9058</v>
      </c>
      <c r="C4151" s="2" t="s">
        <v>950</v>
      </c>
      <c r="D4151" s="2" t="s">
        <v>7206</v>
      </c>
      <c r="E4151" s="2"/>
      <c r="F4151" s="2" t="str">
        <f>"9788410704053"</f>
        <v>9788410704053</v>
      </c>
    </row>
    <row r="4152" spans="1:6" s="3" customFormat="1" ht="29.1" customHeight="1" x14ac:dyDescent="0.25">
      <c r="A4152" s="2" t="s">
        <v>9059</v>
      </c>
      <c r="B4152" s="2" t="s">
        <v>9060</v>
      </c>
      <c r="C4152" s="2" t="s">
        <v>950</v>
      </c>
      <c r="D4152" s="2" t="s">
        <v>951</v>
      </c>
      <c r="E4152" s="2"/>
      <c r="F4152" s="2" t="str">
        <f>"9788410703834"</f>
        <v>9788410703834</v>
      </c>
    </row>
    <row r="4153" spans="1:6" s="3" customFormat="1" ht="29.1" customHeight="1" x14ac:dyDescent="0.25">
      <c r="A4153" s="2" t="s">
        <v>9061</v>
      </c>
      <c r="B4153" s="2" t="s">
        <v>9062</v>
      </c>
      <c r="C4153" s="2" t="s">
        <v>950</v>
      </c>
      <c r="D4153" s="2" t="s">
        <v>968</v>
      </c>
      <c r="E4153" s="2"/>
      <c r="F4153" s="2" t="str">
        <f>"9788410703346"</f>
        <v>9788410703346</v>
      </c>
    </row>
    <row r="4154" spans="1:6" s="3" customFormat="1" ht="29.1" customHeight="1" x14ac:dyDescent="0.25">
      <c r="A4154" s="2" t="s">
        <v>9063</v>
      </c>
      <c r="B4154" s="2" t="s">
        <v>9064</v>
      </c>
      <c r="C4154" s="2" t="s">
        <v>950</v>
      </c>
      <c r="D4154" s="2" t="s">
        <v>1544</v>
      </c>
      <c r="E4154" s="2"/>
      <c r="F4154" s="2" t="str">
        <f>"9788410703339"</f>
        <v>9788410703339</v>
      </c>
    </row>
    <row r="4155" spans="1:6" s="3" customFormat="1" ht="29.1" customHeight="1" x14ac:dyDescent="0.25">
      <c r="A4155" s="2" t="s">
        <v>9065</v>
      </c>
      <c r="B4155" s="2" t="s">
        <v>9066</v>
      </c>
      <c r="C4155" s="2" t="s">
        <v>950</v>
      </c>
      <c r="D4155" s="2" t="s">
        <v>951</v>
      </c>
      <c r="E4155" s="2"/>
      <c r="F4155" s="2" t="str">
        <f>"9788410703322"</f>
        <v>9788410703322</v>
      </c>
    </row>
    <row r="4156" spans="1:6" s="3" customFormat="1" ht="29.1" customHeight="1" x14ac:dyDescent="0.25">
      <c r="A4156" s="2" t="s">
        <v>9067</v>
      </c>
      <c r="B4156" s="2" t="s">
        <v>9068</v>
      </c>
      <c r="C4156" s="2" t="s">
        <v>950</v>
      </c>
      <c r="D4156" s="2" t="s">
        <v>52</v>
      </c>
      <c r="E4156" s="2"/>
      <c r="F4156" s="2" t="str">
        <f>"9788410703292"</f>
        <v>9788410703292</v>
      </c>
    </row>
    <row r="4157" spans="1:6" s="3" customFormat="1" ht="29.1" customHeight="1" x14ac:dyDescent="0.25">
      <c r="A4157" s="2" t="s">
        <v>9069</v>
      </c>
      <c r="B4157" s="2" t="s">
        <v>9070</v>
      </c>
      <c r="C4157" s="2" t="s">
        <v>950</v>
      </c>
      <c r="D4157" s="2" t="s">
        <v>490</v>
      </c>
      <c r="E4157" s="2"/>
      <c r="F4157" s="2" t="str">
        <f>"9788410703285"</f>
        <v>9788410703285</v>
      </c>
    </row>
    <row r="4158" spans="1:6" s="3" customFormat="1" ht="29.1" customHeight="1" x14ac:dyDescent="0.25">
      <c r="A4158" s="2" t="s">
        <v>9071</v>
      </c>
      <c r="B4158" s="2" t="s">
        <v>9072</v>
      </c>
      <c r="C4158" s="2" t="s">
        <v>950</v>
      </c>
      <c r="D4158" s="2" t="s">
        <v>951</v>
      </c>
      <c r="E4158" s="2"/>
      <c r="F4158" s="2" t="str">
        <f>"9788410703278"</f>
        <v>9788410703278</v>
      </c>
    </row>
    <row r="4159" spans="1:6" s="3" customFormat="1" ht="29.1" customHeight="1" x14ac:dyDescent="0.25">
      <c r="A4159" s="2" t="s">
        <v>9073</v>
      </c>
      <c r="B4159" s="2" t="s">
        <v>9074</v>
      </c>
      <c r="C4159" s="2" t="s">
        <v>950</v>
      </c>
      <c r="D4159" s="2" t="s">
        <v>52</v>
      </c>
      <c r="E4159" s="2"/>
      <c r="F4159" s="2" t="str">
        <f>"9788410703261"</f>
        <v>9788410703261</v>
      </c>
    </row>
    <row r="4160" spans="1:6" s="3" customFormat="1" ht="29.1" customHeight="1" x14ac:dyDescent="0.25">
      <c r="A4160" s="2" t="s">
        <v>9075</v>
      </c>
      <c r="B4160" s="2" t="s">
        <v>9076</v>
      </c>
      <c r="C4160" s="2" t="s">
        <v>950</v>
      </c>
      <c r="D4160" s="2" t="s">
        <v>490</v>
      </c>
      <c r="E4160" s="2"/>
      <c r="F4160" s="2" t="str">
        <f>"9788410702493"</f>
        <v>9788410702493</v>
      </c>
    </row>
    <row r="4161" spans="1:6" s="3" customFormat="1" ht="29.1" customHeight="1" x14ac:dyDescent="0.25">
      <c r="A4161" s="2" t="s">
        <v>9077</v>
      </c>
      <c r="B4161" s="2" t="s">
        <v>9078</v>
      </c>
      <c r="C4161" s="2" t="s">
        <v>950</v>
      </c>
      <c r="D4161" s="2" t="s">
        <v>1557</v>
      </c>
      <c r="E4161" s="2"/>
      <c r="F4161" s="2" t="str">
        <f>"9788410702486"</f>
        <v>9788410702486</v>
      </c>
    </row>
    <row r="4162" spans="1:6" s="3" customFormat="1" ht="29.1" customHeight="1" x14ac:dyDescent="0.25">
      <c r="A4162" s="2" t="s">
        <v>9079</v>
      </c>
      <c r="B4162" s="2" t="s">
        <v>9080</v>
      </c>
      <c r="C4162" s="2" t="s">
        <v>950</v>
      </c>
      <c r="D4162" s="2" t="s">
        <v>3253</v>
      </c>
      <c r="E4162" s="2"/>
      <c r="F4162" s="2" t="str">
        <f>"9788410702455"</f>
        <v>9788410702455</v>
      </c>
    </row>
    <row r="4163" spans="1:6" s="3" customFormat="1" ht="29.1" customHeight="1" x14ac:dyDescent="0.25">
      <c r="A4163" s="2" t="s">
        <v>9081</v>
      </c>
      <c r="B4163" s="2" t="s">
        <v>9082</v>
      </c>
      <c r="C4163" s="2" t="s">
        <v>950</v>
      </c>
      <c r="D4163" s="2" t="s">
        <v>490</v>
      </c>
      <c r="E4163" s="2"/>
      <c r="F4163" s="2" t="str">
        <f>"9788410702448"</f>
        <v>9788410702448</v>
      </c>
    </row>
    <row r="4164" spans="1:6" s="3" customFormat="1" ht="29.1" customHeight="1" x14ac:dyDescent="0.25">
      <c r="A4164" s="2" t="s">
        <v>9083</v>
      </c>
      <c r="B4164" s="2" t="s">
        <v>9084</v>
      </c>
      <c r="C4164" s="2" t="s">
        <v>950</v>
      </c>
      <c r="D4164" s="2" t="s">
        <v>636</v>
      </c>
      <c r="E4164" s="2"/>
      <c r="F4164" s="2" t="str">
        <f>"9788410702431"</f>
        <v>9788410702431</v>
      </c>
    </row>
    <row r="4165" spans="1:6" s="3" customFormat="1" ht="29.1" customHeight="1" x14ac:dyDescent="0.25">
      <c r="A4165" s="2" t="s">
        <v>9085</v>
      </c>
      <c r="B4165" s="2" t="s">
        <v>9086</v>
      </c>
      <c r="C4165" s="2" t="s">
        <v>950</v>
      </c>
      <c r="D4165" s="2" t="s">
        <v>1245</v>
      </c>
      <c r="E4165" s="2"/>
      <c r="F4165" s="2" t="str">
        <f>"9788410702424"</f>
        <v>9788410702424</v>
      </c>
    </row>
    <row r="4166" spans="1:6" s="3" customFormat="1" ht="29.1" customHeight="1" x14ac:dyDescent="0.25">
      <c r="A4166" s="2" t="s">
        <v>9087</v>
      </c>
      <c r="B4166" s="2" t="s">
        <v>9088</v>
      </c>
      <c r="C4166" s="2" t="s">
        <v>950</v>
      </c>
      <c r="D4166" s="2" t="s">
        <v>78</v>
      </c>
      <c r="E4166" s="2"/>
      <c r="F4166" s="2" t="str">
        <f>"9788410702295"</f>
        <v>9788410702295</v>
      </c>
    </row>
    <row r="4167" spans="1:6" s="3" customFormat="1" ht="29.1" customHeight="1" x14ac:dyDescent="0.25">
      <c r="A4167" s="2" t="s">
        <v>9089</v>
      </c>
      <c r="B4167" s="2" t="s">
        <v>9090</v>
      </c>
      <c r="C4167" s="2" t="s">
        <v>950</v>
      </c>
      <c r="D4167" s="2" t="s">
        <v>2648</v>
      </c>
      <c r="E4167" s="2"/>
      <c r="F4167" s="2" t="str">
        <f>"9788410700628"</f>
        <v>9788410700628</v>
      </c>
    </row>
    <row r="4168" spans="1:6" s="3" customFormat="1" ht="29.1" customHeight="1" x14ac:dyDescent="0.25">
      <c r="A4168" s="2" t="s">
        <v>9091</v>
      </c>
      <c r="B4168" s="2" t="s">
        <v>9092</v>
      </c>
      <c r="C4168" s="2" t="s">
        <v>950</v>
      </c>
      <c r="D4168" s="2" t="s">
        <v>490</v>
      </c>
      <c r="E4168" s="2"/>
      <c r="F4168" s="2" t="str">
        <f>"9788410700611"</f>
        <v>9788410700611</v>
      </c>
    </row>
    <row r="4169" spans="1:6" s="3" customFormat="1" ht="29.1" customHeight="1" x14ac:dyDescent="0.25">
      <c r="A4169" s="2" t="s">
        <v>9093</v>
      </c>
      <c r="B4169" s="2" t="s">
        <v>9094</v>
      </c>
      <c r="C4169" s="2" t="s">
        <v>950</v>
      </c>
      <c r="D4169" s="2" t="s">
        <v>550</v>
      </c>
      <c r="E4169" s="2"/>
      <c r="F4169" s="2" t="str">
        <f>"9788410700604"</f>
        <v>9788410700604</v>
      </c>
    </row>
    <row r="4170" spans="1:6" s="3" customFormat="1" ht="29.1" customHeight="1" x14ac:dyDescent="0.25">
      <c r="A4170" s="2" t="s">
        <v>9095</v>
      </c>
      <c r="B4170" s="2" t="s">
        <v>9096</v>
      </c>
      <c r="C4170" s="2" t="s">
        <v>950</v>
      </c>
      <c r="D4170" s="2" t="s">
        <v>951</v>
      </c>
      <c r="E4170" s="2"/>
      <c r="F4170" s="2" t="str">
        <f>"9788410700598"</f>
        <v>9788410700598</v>
      </c>
    </row>
    <row r="4171" spans="1:6" s="3" customFormat="1" ht="29.1" customHeight="1" x14ac:dyDescent="0.25">
      <c r="A4171" s="2" t="s">
        <v>9097</v>
      </c>
      <c r="B4171" s="2" t="s">
        <v>9098</v>
      </c>
      <c r="C4171" s="2" t="s">
        <v>950</v>
      </c>
      <c r="D4171" s="2" t="s">
        <v>52</v>
      </c>
      <c r="E4171" s="2"/>
      <c r="F4171" s="2" t="str">
        <f>"9788410700581"</f>
        <v>9788410700581</v>
      </c>
    </row>
    <row r="4172" spans="1:6" s="3" customFormat="1" ht="29.1" customHeight="1" x14ac:dyDescent="0.25">
      <c r="A4172" s="2" t="s">
        <v>9099</v>
      </c>
      <c r="B4172" s="2" t="s">
        <v>9100</v>
      </c>
      <c r="C4172" s="2" t="s">
        <v>950</v>
      </c>
      <c r="D4172" s="2" t="s">
        <v>413</v>
      </c>
      <c r="E4172" s="2"/>
      <c r="F4172" s="2" t="str">
        <f>"9788410700567"</f>
        <v>9788410700567</v>
      </c>
    </row>
    <row r="4173" spans="1:6" s="3" customFormat="1" ht="29.1" customHeight="1" x14ac:dyDescent="0.25">
      <c r="A4173" s="2" t="s">
        <v>9101</v>
      </c>
      <c r="B4173" s="2" t="s">
        <v>9102</v>
      </c>
      <c r="C4173" s="2" t="s">
        <v>950</v>
      </c>
      <c r="D4173" s="2" t="s">
        <v>162</v>
      </c>
      <c r="E4173" s="2"/>
      <c r="F4173" s="2" t="str">
        <f>"9788410700550"</f>
        <v>9788410700550</v>
      </c>
    </row>
    <row r="4174" spans="1:6" s="3" customFormat="1" ht="29.1" customHeight="1" x14ac:dyDescent="0.25">
      <c r="A4174" s="2" t="s">
        <v>143</v>
      </c>
      <c r="B4174" s="2" t="s">
        <v>9103</v>
      </c>
      <c r="C4174" s="2" t="s">
        <v>5</v>
      </c>
      <c r="D4174" s="2" t="s">
        <v>144</v>
      </c>
      <c r="E4174" s="2" t="str">
        <f>"9783031785719"</f>
        <v>9783031785719</v>
      </c>
      <c r="F4174" s="2" t="str">
        <f>"9783031785726"</f>
        <v>9783031785726</v>
      </c>
    </row>
    <row r="4175" spans="1:6" s="3" customFormat="1" ht="29.1" customHeight="1" x14ac:dyDescent="0.25">
      <c r="A4175" s="2" t="s">
        <v>9104</v>
      </c>
      <c r="B4175" s="2" t="s">
        <v>9105</v>
      </c>
      <c r="C4175" s="2" t="s">
        <v>5</v>
      </c>
      <c r="D4175" s="2" t="s">
        <v>4190</v>
      </c>
      <c r="E4175" s="2" t="str">
        <f>"9783031780615"</f>
        <v>9783031780615</v>
      </c>
      <c r="F4175" s="2" t="str">
        <f>"9783031780622"</f>
        <v>9783031780622</v>
      </c>
    </row>
    <row r="4176" spans="1:6" s="3" customFormat="1" ht="29.1" customHeight="1" x14ac:dyDescent="0.25">
      <c r="A4176" s="2" t="s">
        <v>9106</v>
      </c>
      <c r="B4176" s="2" t="s">
        <v>9107</v>
      </c>
      <c r="C4176" s="2" t="s">
        <v>149</v>
      </c>
      <c r="D4176" s="2" t="s">
        <v>4742</v>
      </c>
      <c r="E4176" s="2" t="str">
        <f>"9781805114192"</f>
        <v>9781805114192</v>
      </c>
      <c r="F4176" s="2" t="str">
        <f>"9781805114215"</f>
        <v>9781805114215</v>
      </c>
    </row>
    <row r="4177" spans="1:6" s="3" customFormat="1" ht="29.1" customHeight="1" x14ac:dyDescent="0.25">
      <c r="A4177" s="2" t="s">
        <v>9108</v>
      </c>
      <c r="B4177" s="2" t="s">
        <v>9109</v>
      </c>
      <c r="C4177" s="2" t="s">
        <v>149</v>
      </c>
      <c r="D4177" s="2" t="s">
        <v>553</v>
      </c>
      <c r="E4177" s="2" t="str">
        <f>"9781805114048"</f>
        <v>9781805114048</v>
      </c>
      <c r="F4177" s="2" t="str">
        <f>"9781805114062"</f>
        <v>9781805114062</v>
      </c>
    </row>
    <row r="4178" spans="1:6" s="3" customFormat="1" ht="29.1" customHeight="1" x14ac:dyDescent="0.25">
      <c r="A4178" s="2" t="s">
        <v>9110</v>
      </c>
      <c r="B4178" s="2" t="s">
        <v>9111</v>
      </c>
      <c r="C4178" s="2" t="s">
        <v>149</v>
      </c>
      <c r="D4178" s="2" t="s">
        <v>504</v>
      </c>
      <c r="E4178" s="2" t="str">
        <f>"9781800649378"</f>
        <v>9781800649378</v>
      </c>
      <c r="F4178" s="2" t="str">
        <f>"9781800649392"</f>
        <v>9781800649392</v>
      </c>
    </row>
    <row r="4179" spans="1:6" s="3" customFormat="1" ht="29.1" customHeight="1" x14ac:dyDescent="0.25">
      <c r="A4179" s="2" t="s">
        <v>9112</v>
      </c>
      <c r="B4179" s="2" t="s">
        <v>9114</v>
      </c>
      <c r="C4179" s="2" t="s">
        <v>149</v>
      </c>
      <c r="D4179" s="2" t="s">
        <v>9113</v>
      </c>
      <c r="E4179" s="2" t="str">
        <f>"9781685712068"</f>
        <v>9781685712068</v>
      </c>
      <c r="F4179" s="2" t="str">
        <f>"9781685712075"</f>
        <v>9781685712075</v>
      </c>
    </row>
    <row r="4180" spans="1:6" s="3" customFormat="1" ht="29.1" customHeight="1" x14ac:dyDescent="0.25">
      <c r="A4180" s="2" t="s">
        <v>9115</v>
      </c>
      <c r="B4180" s="2" t="s">
        <v>9116</v>
      </c>
      <c r="C4180" s="2" t="s">
        <v>149</v>
      </c>
      <c r="D4180" s="2" t="s">
        <v>2016</v>
      </c>
      <c r="E4180" s="2" t="str">
        <f>"9781928502869"</f>
        <v>9781928502869</v>
      </c>
      <c r="F4180" s="2" t="str">
        <f>"9781928502876"</f>
        <v>9781928502876</v>
      </c>
    </row>
    <row r="4181" spans="1:6" s="3" customFormat="1" ht="29.1" customHeight="1" x14ac:dyDescent="0.25">
      <c r="A4181" s="2" t="s">
        <v>9117</v>
      </c>
      <c r="B4181" s="2" t="s">
        <v>9118</v>
      </c>
      <c r="C4181" s="2" t="s">
        <v>29</v>
      </c>
      <c r="D4181" s="2" t="s">
        <v>192</v>
      </c>
      <c r="E4181" s="2" t="str">
        <f>"9789004707757"</f>
        <v>9789004707757</v>
      </c>
      <c r="F4181" s="2" t="str">
        <f>"9789004707764"</f>
        <v>9789004707764</v>
      </c>
    </row>
    <row r="4182" spans="1:6" s="3" customFormat="1" ht="29.1" customHeight="1" x14ac:dyDescent="0.25">
      <c r="A4182" s="2" t="s">
        <v>9119</v>
      </c>
      <c r="B4182" s="2" t="s">
        <v>9120</v>
      </c>
      <c r="C4182" s="2" t="s">
        <v>29</v>
      </c>
      <c r="D4182" s="2" t="s">
        <v>509</v>
      </c>
      <c r="E4182" s="2" t="str">
        <f>"9789004722712"</f>
        <v>9789004722712</v>
      </c>
      <c r="F4182" s="2" t="str">
        <f>"9789004722729"</f>
        <v>9789004722729</v>
      </c>
    </row>
    <row r="4183" spans="1:6" s="3" customFormat="1" ht="29.1" customHeight="1" x14ac:dyDescent="0.25">
      <c r="A4183" s="2" t="s">
        <v>9121</v>
      </c>
      <c r="B4183" s="2" t="s">
        <v>9122</v>
      </c>
      <c r="C4183" s="2" t="s">
        <v>29</v>
      </c>
      <c r="D4183" s="2" t="s">
        <v>183</v>
      </c>
      <c r="E4183" s="2" t="str">
        <f>"9789004713376"</f>
        <v>9789004713376</v>
      </c>
      <c r="F4183" s="2" t="str">
        <f>"9789004713383"</f>
        <v>9789004713383</v>
      </c>
    </row>
    <row r="4184" spans="1:6" s="3" customFormat="1" ht="29.1" customHeight="1" x14ac:dyDescent="0.25">
      <c r="A4184" s="2" t="s">
        <v>9123</v>
      </c>
      <c r="B4184" s="2" t="s">
        <v>9124</v>
      </c>
      <c r="C4184" s="2" t="s">
        <v>195</v>
      </c>
      <c r="D4184" s="2" t="s">
        <v>2488</v>
      </c>
      <c r="E4184" s="2" t="str">
        <f>"9783111381466"</f>
        <v>9783111381466</v>
      </c>
      <c r="F4184" s="2" t="str">
        <f>"9783111381831"</f>
        <v>9783111381831</v>
      </c>
    </row>
    <row r="4185" spans="1:6" s="3" customFormat="1" ht="29.1" customHeight="1" x14ac:dyDescent="0.25">
      <c r="A4185" s="2" t="s">
        <v>9125</v>
      </c>
      <c r="B4185" s="2" t="s">
        <v>9126</v>
      </c>
      <c r="C4185" s="2" t="s">
        <v>195</v>
      </c>
      <c r="D4185" s="2" t="s">
        <v>465</v>
      </c>
      <c r="E4185" s="2" t="str">
        <f>"9783111326269"</f>
        <v>9783111326269</v>
      </c>
      <c r="F4185" s="2" t="str">
        <f>"9783111367187"</f>
        <v>9783111367187</v>
      </c>
    </row>
    <row r="4186" spans="1:6" s="3" customFormat="1" ht="29.1" customHeight="1" x14ac:dyDescent="0.25">
      <c r="A4186" s="2" t="s">
        <v>9127</v>
      </c>
      <c r="B4186" s="2" t="s">
        <v>9128</v>
      </c>
      <c r="C4186" s="2" t="s">
        <v>195</v>
      </c>
      <c r="D4186" s="2" t="s">
        <v>7460</v>
      </c>
      <c r="E4186" s="2" t="str">
        <f>"9783111068473"</f>
        <v>9783111068473</v>
      </c>
      <c r="F4186" s="2" t="str">
        <f>"9783111068787"</f>
        <v>9783111068787</v>
      </c>
    </row>
    <row r="4187" spans="1:6" s="3" customFormat="1" ht="29.1" customHeight="1" x14ac:dyDescent="0.25">
      <c r="A4187" s="2" t="s">
        <v>9129</v>
      </c>
      <c r="B4187" s="2" t="s">
        <v>9130</v>
      </c>
      <c r="C4187" s="2" t="s">
        <v>5</v>
      </c>
      <c r="D4187" s="2" t="s">
        <v>5228</v>
      </c>
      <c r="E4187" s="2" t="str">
        <f>"9783031740961"</f>
        <v>9783031740961</v>
      </c>
      <c r="F4187" s="2" t="str">
        <f>"9783031740978"</f>
        <v>9783031740978</v>
      </c>
    </row>
    <row r="4188" spans="1:6" s="3" customFormat="1" ht="29.1" customHeight="1" x14ac:dyDescent="0.25">
      <c r="A4188" s="2" t="s">
        <v>9131</v>
      </c>
      <c r="B4188" s="2" t="s">
        <v>9132</v>
      </c>
      <c r="C4188" s="2" t="s">
        <v>3513</v>
      </c>
      <c r="D4188" s="2" t="s">
        <v>2587</v>
      </c>
      <c r="E4188" s="2"/>
      <c r="F4188" s="2" t="str">
        <f>"9788382112580"</f>
        <v>9788382112580</v>
      </c>
    </row>
    <row r="4189" spans="1:6" s="3" customFormat="1" ht="29.1" customHeight="1" x14ac:dyDescent="0.25">
      <c r="A4189" s="2" t="s">
        <v>9133</v>
      </c>
      <c r="B4189" s="2" t="s">
        <v>9134</v>
      </c>
      <c r="C4189" s="2" t="s">
        <v>556</v>
      </c>
      <c r="D4189" s="2" t="s">
        <v>78</v>
      </c>
      <c r="E4189" s="2" t="str">
        <f>"9783837662931"</f>
        <v>9783837662931</v>
      </c>
      <c r="F4189" s="2" t="str">
        <f>"9783839462935"</f>
        <v>9783839462935</v>
      </c>
    </row>
    <row r="4190" spans="1:6" s="3" customFormat="1" ht="29.1" customHeight="1" x14ac:dyDescent="0.25">
      <c r="A4190" s="2" t="s">
        <v>9135</v>
      </c>
      <c r="B4190" s="2" t="s">
        <v>9136</v>
      </c>
      <c r="C4190" s="2" t="s">
        <v>556</v>
      </c>
      <c r="D4190" s="2" t="s">
        <v>490</v>
      </c>
      <c r="E4190" s="2" t="str">
        <f>"9783837676402"</f>
        <v>9783837676402</v>
      </c>
      <c r="F4190" s="2" t="str">
        <f>"9783839476406"</f>
        <v>9783839476406</v>
      </c>
    </row>
    <row r="4191" spans="1:6" s="3" customFormat="1" ht="29.1" customHeight="1" x14ac:dyDescent="0.25">
      <c r="A4191" s="2" t="s">
        <v>9137</v>
      </c>
      <c r="B4191" s="2" t="s">
        <v>9138</v>
      </c>
      <c r="C4191" s="2" t="s">
        <v>556</v>
      </c>
      <c r="D4191" s="2" t="s">
        <v>3185</v>
      </c>
      <c r="E4191" s="2" t="str">
        <f>"9783837675948"</f>
        <v>9783837675948</v>
      </c>
      <c r="F4191" s="2" t="str">
        <f>"9783839475942"</f>
        <v>9783839475942</v>
      </c>
    </row>
    <row r="4192" spans="1:6" s="3" customFormat="1" ht="29.1" customHeight="1" x14ac:dyDescent="0.25">
      <c r="A4192" s="2" t="s">
        <v>9139</v>
      </c>
      <c r="B4192" s="2" t="s">
        <v>9140</v>
      </c>
      <c r="C4192" s="2" t="s">
        <v>556</v>
      </c>
      <c r="D4192" s="2" t="s">
        <v>6578</v>
      </c>
      <c r="E4192" s="2" t="str">
        <f>"9783837676099"</f>
        <v>9783837676099</v>
      </c>
      <c r="F4192" s="2" t="str">
        <f>"9783839476093"</f>
        <v>9783839476093</v>
      </c>
    </row>
    <row r="4193" spans="1:6" s="3" customFormat="1" ht="29.1" customHeight="1" x14ac:dyDescent="0.25">
      <c r="A4193" s="2" t="s">
        <v>9141</v>
      </c>
      <c r="B4193" s="2" t="s">
        <v>9142</v>
      </c>
      <c r="C4193" s="2" t="s">
        <v>556</v>
      </c>
      <c r="D4193" s="2" t="s">
        <v>1109</v>
      </c>
      <c r="E4193" s="2" t="str">
        <f>"9783837669268"</f>
        <v>9783837669268</v>
      </c>
      <c r="F4193" s="2" t="str">
        <f>"9783839469262"</f>
        <v>9783839469262</v>
      </c>
    </row>
    <row r="4194" spans="1:6" s="3" customFormat="1" ht="29.1" customHeight="1" x14ac:dyDescent="0.25">
      <c r="A4194" s="2" t="s">
        <v>9143</v>
      </c>
      <c r="B4194" s="2" t="s">
        <v>9144</v>
      </c>
      <c r="C4194" s="2" t="s">
        <v>556</v>
      </c>
      <c r="D4194" s="2" t="s">
        <v>855</v>
      </c>
      <c r="E4194" s="2" t="str">
        <f>"9783837662818"</f>
        <v>9783837662818</v>
      </c>
      <c r="F4194" s="2" t="str">
        <f>"9783839462812"</f>
        <v>9783839462812</v>
      </c>
    </row>
    <row r="4195" spans="1:6" s="3" customFormat="1" ht="29.1" customHeight="1" x14ac:dyDescent="0.25">
      <c r="A4195" s="2" t="s">
        <v>9145</v>
      </c>
      <c r="B4195" s="2" t="s">
        <v>9147</v>
      </c>
      <c r="C4195" s="2" t="s">
        <v>556</v>
      </c>
      <c r="D4195" s="2" t="s">
        <v>9146</v>
      </c>
      <c r="E4195" s="2" t="str">
        <f>"9783837675405"</f>
        <v>9783837675405</v>
      </c>
      <c r="F4195" s="2" t="str">
        <f>"9783839475409"</f>
        <v>9783839475409</v>
      </c>
    </row>
    <row r="4196" spans="1:6" s="3" customFormat="1" ht="29.1" customHeight="1" x14ac:dyDescent="0.25">
      <c r="A4196" s="2" t="s">
        <v>9148</v>
      </c>
      <c r="B4196" s="2" t="s">
        <v>9149</v>
      </c>
      <c r="C4196" s="2" t="s">
        <v>556</v>
      </c>
      <c r="D4196" s="2" t="s">
        <v>215</v>
      </c>
      <c r="E4196" s="2" t="str">
        <f>"9783837673715"</f>
        <v>9783837673715</v>
      </c>
      <c r="F4196" s="2" t="str">
        <f>"9783839473719"</f>
        <v>9783839473719</v>
      </c>
    </row>
    <row r="4197" spans="1:6" s="3" customFormat="1" ht="29.1" customHeight="1" x14ac:dyDescent="0.25">
      <c r="A4197" s="2" t="s">
        <v>9150</v>
      </c>
      <c r="B4197" s="2" t="s">
        <v>9151</v>
      </c>
      <c r="C4197" s="2" t="s">
        <v>556</v>
      </c>
      <c r="D4197" s="2" t="s">
        <v>712</v>
      </c>
      <c r="E4197" s="2" t="str">
        <f>"9783837674620"</f>
        <v>9783837674620</v>
      </c>
      <c r="F4197" s="2" t="str">
        <f>"9783839474624"</f>
        <v>9783839474624</v>
      </c>
    </row>
    <row r="4198" spans="1:6" s="3" customFormat="1" ht="29.1" customHeight="1" x14ac:dyDescent="0.25">
      <c r="A4198" s="2" t="s">
        <v>9152</v>
      </c>
      <c r="B4198" s="2" t="s">
        <v>9153</v>
      </c>
      <c r="C4198" s="2" t="s">
        <v>556</v>
      </c>
      <c r="D4198" s="2" t="s">
        <v>699</v>
      </c>
      <c r="E4198" s="2" t="str">
        <f>"9783837676747"</f>
        <v>9783837676747</v>
      </c>
      <c r="F4198" s="2" t="str">
        <f>"9783839476741"</f>
        <v>9783839476741</v>
      </c>
    </row>
    <row r="4199" spans="1:6" s="3" customFormat="1" ht="29.1" customHeight="1" x14ac:dyDescent="0.25">
      <c r="A4199" s="2" t="s">
        <v>9154</v>
      </c>
      <c r="B4199" s="2" t="s">
        <v>9155</v>
      </c>
      <c r="C4199" s="2" t="s">
        <v>556</v>
      </c>
      <c r="D4199" s="2" t="s">
        <v>5724</v>
      </c>
      <c r="E4199" s="2" t="str">
        <f>"9783837676686"</f>
        <v>9783837676686</v>
      </c>
      <c r="F4199" s="2" t="str">
        <f>"9783839476680"</f>
        <v>9783839476680</v>
      </c>
    </row>
    <row r="4200" spans="1:6" s="3" customFormat="1" ht="29.1" customHeight="1" x14ac:dyDescent="0.25">
      <c r="A4200" s="2" t="s">
        <v>9156</v>
      </c>
      <c r="B4200" s="2" t="s">
        <v>9157</v>
      </c>
      <c r="C4200" s="2" t="s">
        <v>556</v>
      </c>
      <c r="D4200" s="2" t="s">
        <v>1422</v>
      </c>
      <c r="E4200" s="2" t="str">
        <f>"9783837672343"</f>
        <v>9783837672343</v>
      </c>
      <c r="F4200" s="2" t="str">
        <f>"9783839472347"</f>
        <v>9783839472347</v>
      </c>
    </row>
    <row r="4201" spans="1:6" s="3" customFormat="1" ht="29.1" customHeight="1" x14ac:dyDescent="0.25">
      <c r="A4201" s="2" t="s">
        <v>9158</v>
      </c>
      <c r="B4201" s="2" t="s">
        <v>9159</v>
      </c>
      <c r="C4201" s="2" t="s">
        <v>556</v>
      </c>
      <c r="D4201" s="2" t="s">
        <v>101</v>
      </c>
      <c r="E4201" s="2" t="str">
        <f>"9783837665840"</f>
        <v>9783837665840</v>
      </c>
      <c r="F4201" s="2" t="str">
        <f>"9783839465844"</f>
        <v>9783839465844</v>
      </c>
    </row>
    <row r="4202" spans="1:6" s="3" customFormat="1" ht="29.1" customHeight="1" x14ac:dyDescent="0.25">
      <c r="A4202" s="2" t="s">
        <v>9160</v>
      </c>
      <c r="B4202" s="2" t="s">
        <v>9161</v>
      </c>
      <c r="C4202" s="2" t="s">
        <v>556</v>
      </c>
      <c r="D4202" s="2" t="s">
        <v>712</v>
      </c>
      <c r="E4202" s="2" t="str">
        <f>"9783837672008"</f>
        <v>9783837672008</v>
      </c>
      <c r="F4202" s="2" t="str">
        <f>"9783839472002"</f>
        <v>9783839472002</v>
      </c>
    </row>
    <row r="4203" spans="1:6" s="3" customFormat="1" ht="29.1" customHeight="1" x14ac:dyDescent="0.25">
      <c r="A4203" s="2" t="s">
        <v>9162</v>
      </c>
      <c r="B4203" s="2" t="s">
        <v>9164</v>
      </c>
      <c r="C4203" s="2" t="s">
        <v>556</v>
      </c>
      <c r="D4203" s="2" t="s">
        <v>9163</v>
      </c>
      <c r="E4203" s="2" t="str">
        <f>"9783837675184"</f>
        <v>9783837675184</v>
      </c>
      <c r="F4203" s="2" t="str">
        <f>"9783839475188"</f>
        <v>9783839475188</v>
      </c>
    </row>
    <row r="4204" spans="1:6" s="3" customFormat="1" ht="29.1" customHeight="1" x14ac:dyDescent="0.25">
      <c r="A4204" s="2" t="s">
        <v>9165</v>
      </c>
      <c r="B4204" s="2" t="s">
        <v>9166</v>
      </c>
      <c r="C4204" s="2" t="s">
        <v>556</v>
      </c>
      <c r="D4204" s="2" t="s">
        <v>5719</v>
      </c>
      <c r="E4204" s="2" t="str">
        <f>"9783837675771"</f>
        <v>9783837675771</v>
      </c>
      <c r="F4204" s="2" t="str">
        <f>"9783732875771"</f>
        <v>9783732875771</v>
      </c>
    </row>
    <row r="4205" spans="1:6" s="3" customFormat="1" ht="29.1" customHeight="1" x14ac:dyDescent="0.25">
      <c r="A4205" s="2" t="s">
        <v>9167</v>
      </c>
      <c r="B4205" s="2" t="s">
        <v>9168</v>
      </c>
      <c r="C4205" s="2" t="s">
        <v>556</v>
      </c>
      <c r="D4205" s="2" t="s">
        <v>4030</v>
      </c>
      <c r="E4205" s="2" t="str">
        <f>"9783837675177"</f>
        <v>9783837675177</v>
      </c>
      <c r="F4205" s="2" t="str">
        <f>"9783839475171"</f>
        <v>9783839475171</v>
      </c>
    </row>
    <row r="4206" spans="1:6" s="3" customFormat="1" ht="29.1" customHeight="1" x14ac:dyDescent="0.25">
      <c r="A4206" s="2" t="s">
        <v>9169</v>
      </c>
      <c r="B4206" s="2" t="s">
        <v>9170</v>
      </c>
      <c r="C4206" s="2" t="s">
        <v>556</v>
      </c>
      <c r="D4206" s="2" t="s">
        <v>249</v>
      </c>
      <c r="E4206" s="2" t="str">
        <f>"9783837674958"</f>
        <v>9783837674958</v>
      </c>
      <c r="F4206" s="2" t="str">
        <f>"9783839474952"</f>
        <v>9783839474952</v>
      </c>
    </row>
    <row r="4207" spans="1:6" s="3" customFormat="1" ht="29.1" customHeight="1" x14ac:dyDescent="0.25">
      <c r="A4207" s="2" t="s">
        <v>9171</v>
      </c>
      <c r="B4207" s="2" t="s">
        <v>9172</v>
      </c>
      <c r="C4207" s="2" t="s">
        <v>556</v>
      </c>
      <c r="D4207" s="2" t="s">
        <v>284</v>
      </c>
      <c r="E4207" s="2" t="str">
        <f>"9783837673814"</f>
        <v>9783837673814</v>
      </c>
      <c r="F4207" s="2" t="str">
        <f>"9783732873814"</f>
        <v>9783732873814</v>
      </c>
    </row>
    <row r="4208" spans="1:6" s="3" customFormat="1" ht="29.1" customHeight="1" x14ac:dyDescent="0.25">
      <c r="A4208" s="2" t="s">
        <v>9173</v>
      </c>
      <c r="B4208" s="2" t="s">
        <v>9175</v>
      </c>
      <c r="C4208" s="2" t="s">
        <v>556</v>
      </c>
      <c r="D4208" s="2" t="s">
        <v>9174</v>
      </c>
      <c r="E4208" s="2" t="str">
        <f>"9783837668353"</f>
        <v>9783837668353</v>
      </c>
      <c r="F4208" s="2" t="str">
        <f>"9783839468357"</f>
        <v>9783839468357</v>
      </c>
    </row>
    <row r="4209" spans="1:6" s="3" customFormat="1" ht="29.1" customHeight="1" x14ac:dyDescent="0.25">
      <c r="A4209" s="2" t="s">
        <v>9176</v>
      </c>
      <c r="B4209" s="2" t="s">
        <v>9177</v>
      </c>
      <c r="C4209" s="2" t="s">
        <v>556</v>
      </c>
      <c r="D4209" s="2" t="s">
        <v>636</v>
      </c>
      <c r="E4209" s="2" t="str">
        <f>"9783837675047"</f>
        <v>9783837675047</v>
      </c>
      <c r="F4209" s="2" t="str">
        <f>"9783839475041"</f>
        <v>9783839475041</v>
      </c>
    </row>
    <row r="4210" spans="1:6" s="3" customFormat="1" ht="29.1" customHeight="1" x14ac:dyDescent="0.25">
      <c r="A4210" s="2" t="s">
        <v>9178</v>
      </c>
      <c r="B4210" s="2" t="s">
        <v>9179</v>
      </c>
      <c r="C4210" s="2" t="s">
        <v>556</v>
      </c>
      <c r="D4210" s="2" t="s">
        <v>446</v>
      </c>
      <c r="E4210" s="2" t="str">
        <f>"9783837675955"</f>
        <v>9783837675955</v>
      </c>
      <c r="F4210" s="2" t="str">
        <f>"9783839475959"</f>
        <v>9783839475959</v>
      </c>
    </row>
    <row r="4211" spans="1:6" s="3" customFormat="1" ht="29.1" customHeight="1" x14ac:dyDescent="0.25">
      <c r="A4211" s="2" t="s">
        <v>9180</v>
      </c>
      <c r="B4211" s="2" t="s">
        <v>9181</v>
      </c>
      <c r="C4211" s="2" t="s">
        <v>556</v>
      </c>
      <c r="D4211" s="2" t="s">
        <v>5806</v>
      </c>
      <c r="E4211" s="2" t="str">
        <f>"9783837671186"</f>
        <v>9783837671186</v>
      </c>
      <c r="F4211" s="2" t="str">
        <f>"9783839471180"</f>
        <v>9783839471180</v>
      </c>
    </row>
    <row r="4212" spans="1:6" s="3" customFormat="1" ht="29.1" customHeight="1" x14ac:dyDescent="0.25">
      <c r="A4212" s="2" t="s">
        <v>9182</v>
      </c>
      <c r="B4212" s="2" t="s">
        <v>9183</v>
      </c>
      <c r="C4212" s="2" t="s">
        <v>556</v>
      </c>
      <c r="D4212" s="2" t="s">
        <v>636</v>
      </c>
      <c r="E4212" s="2" t="str">
        <f>"9783837670004"</f>
        <v>9783837670004</v>
      </c>
      <c r="F4212" s="2" t="str">
        <f>"9783839470008"</f>
        <v>9783839470008</v>
      </c>
    </row>
    <row r="4213" spans="1:6" s="3" customFormat="1" ht="29.1" customHeight="1" x14ac:dyDescent="0.25">
      <c r="A4213" s="2" t="s">
        <v>9184</v>
      </c>
      <c r="B4213" s="2" t="s">
        <v>9185</v>
      </c>
      <c r="C4213" s="2" t="s">
        <v>556</v>
      </c>
      <c r="D4213" s="2" t="s">
        <v>2336</v>
      </c>
      <c r="E4213" s="2" t="str">
        <f>"9783837675511"</f>
        <v>9783837675511</v>
      </c>
      <c r="F4213" s="2" t="str">
        <f>"9783839475515"</f>
        <v>9783839475515</v>
      </c>
    </row>
    <row r="4214" spans="1:6" s="3" customFormat="1" ht="29.1" customHeight="1" x14ac:dyDescent="0.25">
      <c r="A4214" s="2" t="s">
        <v>9186</v>
      </c>
      <c r="B4214" s="2" t="s">
        <v>9187</v>
      </c>
      <c r="C4214" s="2" t="s">
        <v>556</v>
      </c>
      <c r="D4214" s="2" t="s">
        <v>15</v>
      </c>
      <c r="E4214" s="2" t="str">
        <f>"9783837668308"</f>
        <v>9783837668308</v>
      </c>
      <c r="F4214" s="2" t="str">
        <f>"9783839468302"</f>
        <v>9783839468302</v>
      </c>
    </row>
    <row r="4215" spans="1:6" s="3" customFormat="1" ht="29.1" customHeight="1" x14ac:dyDescent="0.25">
      <c r="A4215" s="2" t="s">
        <v>9188</v>
      </c>
      <c r="B4215" s="2" t="s">
        <v>9189</v>
      </c>
      <c r="C4215" s="2" t="s">
        <v>556</v>
      </c>
      <c r="D4215" s="2" t="s">
        <v>1183</v>
      </c>
      <c r="E4215" s="2" t="str">
        <f>"9783837675108"</f>
        <v>9783837675108</v>
      </c>
      <c r="F4215" s="2" t="str">
        <f>"9783839475102"</f>
        <v>9783839475102</v>
      </c>
    </row>
    <row r="4216" spans="1:6" s="3" customFormat="1" ht="29.1" customHeight="1" x14ac:dyDescent="0.25">
      <c r="A4216" s="2" t="s">
        <v>9190</v>
      </c>
      <c r="B4216" s="2" t="s">
        <v>9191</v>
      </c>
      <c r="C4216" s="2" t="s">
        <v>556</v>
      </c>
      <c r="D4216" s="2" t="s">
        <v>1245</v>
      </c>
      <c r="E4216" s="2" t="str">
        <f>"9783837675252"</f>
        <v>9783837675252</v>
      </c>
      <c r="F4216" s="2" t="str">
        <f>"9783839475256"</f>
        <v>9783839475256</v>
      </c>
    </row>
    <row r="4217" spans="1:6" s="3" customFormat="1" ht="29.1" customHeight="1" x14ac:dyDescent="0.25">
      <c r="A4217" s="2" t="s">
        <v>9192</v>
      </c>
      <c r="B4217" s="2" t="s">
        <v>9193</v>
      </c>
      <c r="C4217" s="2" t="s">
        <v>556</v>
      </c>
      <c r="D4217" s="2" t="s">
        <v>4030</v>
      </c>
      <c r="E4217" s="2" t="str">
        <f>"9783837672237"</f>
        <v>9783837672237</v>
      </c>
      <c r="F4217" s="2" t="str">
        <f>"9783839472231"</f>
        <v>9783839472231</v>
      </c>
    </row>
    <row r="4218" spans="1:6" s="3" customFormat="1" ht="29.1" customHeight="1" x14ac:dyDescent="0.25">
      <c r="A4218" s="2" t="s">
        <v>9194</v>
      </c>
      <c r="B4218" s="2" t="s">
        <v>9195</v>
      </c>
      <c r="C4218" s="2" t="s">
        <v>556</v>
      </c>
      <c r="D4218" s="2" t="s">
        <v>75</v>
      </c>
      <c r="E4218" s="2" t="str">
        <f>"9783837674491"</f>
        <v>9783837674491</v>
      </c>
      <c r="F4218" s="2" t="str">
        <f>"9783839474495"</f>
        <v>9783839474495</v>
      </c>
    </row>
    <row r="4219" spans="1:6" s="3" customFormat="1" ht="29.1" customHeight="1" x14ac:dyDescent="0.25">
      <c r="A4219" s="2" t="s">
        <v>9196</v>
      </c>
      <c r="B4219" s="2" t="s">
        <v>9197</v>
      </c>
      <c r="C4219" s="2" t="s">
        <v>29</v>
      </c>
      <c r="D4219" s="2" t="s">
        <v>4071</v>
      </c>
      <c r="E4219" s="2" t="str">
        <f>"9789004504004"</f>
        <v>9789004504004</v>
      </c>
      <c r="F4219" s="2" t="str">
        <f>"9789004504011"</f>
        <v>9789004504011</v>
      </c>
    </row>
    <row r="4220" spans="1:6" s="3" customFormat="1" ht="29.1" customHeight="1" x14ac:dyDescent="0.25">
      <c r="A4220" s="2" t="s">
        <v>9198</v>
      </c>
      <c r="B4220" s="2" t="s">
        <v>9199</v>
      </c>
      <c r="C4220" s="2" t="s">
        <v>29</v>
      </c>
      <c r="D4220" s="2" t="s">
        <v>509</v>
      </c>
      <c r="E4220" s="2" t="str">
        <f>"9789004716155"</f>
        <v>9789004716155</v>
      </c>
      <c r="F4220" s="2" t="str">
        <f>"9789004716162"</f>
        <v>9789004716162</v>
      </c>
    </row>
    <row r="4221" spans="1:6" s="3" customFormat="1" ht="29.1" customHeight="1" x14ac:dyDescent="0.25">
      <c r="A4221" s="2" t="s">
        <v>9200</v>
      </c>
      <c r="B4221" s="2" t="s">
        <v>9201</v>
      </c>
      <c r="C4221" s="2" t="s">
        <v>4104</v>
      </c>
      <c r="D4221" s="2" t="s">
        <v>1598</v>
      </c>
      <c r="E4221" s="2" t="str">
        <f>"9780197267738"</f>
        <v>9780197267738</v>
      </c>
      <c r="F4221" s="2" t="str">
        <f>"9780198930921"</f>
        <v>9780198930921</v>
      </c>
    </row>
    <row r="4222" spans="1:6" s="3" customFormat="1" ht="29.1" customHeight="1" x14ac:dyDescent="0.25">
      <c r="A4222" s="2" t="s">
        <v>9202</v>
      </c>
      <c r="B4222" s="2" t="s">
        <v>9203</v>
      </c>
      <c r="C4222" s="2" t="s">
        <v>927</v>
      </c>
      <c r="D4222" s="2" t="s">
        <v>270</v>
      </c>
      <c r="E4222" s="2" t="str">
        <f>"9780472057306"</f>
        <v>9780472057306</v>
      </c>
      <c r="F4222" s="2" t="str">
        <f>"9780472904914"</f>
        <v>9780472904914</v>
      </c>
    </row>
    <row r="4223" spans="1:6" s="3" customFormat="1" ht="29.1" customHeight="1" x14ac:dyDescent="0.25">
      <c r="A4223" s="2" t="s">
        <v>9204</v>
      </c>
      <c r="B4223" s="2" t="s">
        <v>9206</v>
      </c>
      <c r="C4223" s="2" t="s">
        <v>5</v>
      </c>
      <c r="D4223" s="2" t="s">
        <v>9205</v>
      </c>
      <c r="E4223" s="2" t="str">
        <f>"9789819778867"</f>
        <v>9789819778867</v>
      </c>
      <c r="F4223" s="2" t="str">
        <f>"9789819778874"</f>
        <v>9789819778874</v>
      </c>
    </row>
    <row r="4224" spans="1:6" s="3" customFormat="1" ht="29.1" customHeight="1" x14ac:dyDescent="0.25">
      <c r="A4224" s="2" t="s">
        <v>9207</v>
      </c>
      <c r="B4224" s="2" t="s">
        <v>9208</v>
      </c>
      <c r="C4224" s="2" t="s">
        <v>36</v>
      </c>
      <c r="D4224" s="2" t="s">
        <v>3943</v>
      </c>
      <c r="E4224" s="2" t="str">
        <f>"9781529229868"</f>
        <v>9781529229868</v>
      </c>
      <c r="F4224" s="2" t="str">
        <f>"9781529229882"</f>
        <v>9781529229882</v>
      </c>
    </row>
    <row r="4225" spans="1:6" s="3" customFormat="1" ht="29.1" customHeight="1" x14ac:dyDescent="0.25">
      <c r="A4225" s="2" t="s">
        <v>9209</v>
      </c>
      <c r="B4225" s="2" t="s">
        <v>9210</v>
      </c>
      <c r="C4225" s="2" t="s">
        <v>5</v>
      </c>
      <c r="D4225" s="2" t="s">
        <v>1913</v>
      </c>
      <c r="E4225" s="2" t="str">
        <f>"9783031761126"</f>
        <v>9783031761126</v>
      </c>
      <c r="F4225" s="2" t="str">
        <f>"9783031761133"</f>
        <v>9783031761133</v>
      </c>
    </row>
    <row r="4226" spans="1:6" s="3" customFormat="1" ht="29.1" customHeight="1" x14ac:dyDescent="0.25">
      <c r="A4226" s="2" t="s">
        <v>9211</v>
      </c>
      <c r="B4226" s="2" t="s">
        <v>9212</v>
      </c>
      <c r="C4226" s="2" t="s">
        <v>384</v>
      </c>
      <c r="D4226" s="2" t="s">
        <v>2587</v>
      </c>
      <c r="E4226" s="2"/>
      <c r="F4226" s="2" t="str">
        <f>"9798991590235"</f>
        <v>9798991590235</v>
      </c>
    </row>
    <row r="4227" spans="1:6" s="3" customFormat="1" ht="29.1" customHeight="1" x14ac:dyDescent="0.25">
      <c r="A4227" s="2" t="s">
        <v>9213</v>
      </c>
      <c r="B4227" s="2" t="s">
        <v>9214</v>
      </c>
      <c r="C4227" s="2" t="s">
        <v>384</v>
      </c>
      <c r="D4227" s="2" t="s">
        <v>5719</v>
      </c>
      <c r="E4227" s="2"/>
      <c r="F4227" s="2" t="str">
        <f>"9798991590228"</f>
        <v>9798991590228</v>
      </c>
    </row>
    <row r="4228" spans="1:6" s="3" customFormat="1" ht="29.1" customHeight="1" x14ac:dyDescent="0.25">
      <c r="A4228" s="2" t="s">
        <v>9215</v>
      </c>
      <c r="B4228" s="2" t="s">
        <v>9216</v>
      </c>
      <c r="C4228" s="2" t="s">
        <v>384</v>
      </c>
      <c r="D4228" s="2" t="s">
        <v>12</v>
      </c>
      <c r="E4228" s="2"/>
      <c r="F4228" s="2" t="str">
        <f>"9798991590211"</f>
        <v>9798991590211</v>
      </c>
    </row>
    <row r="4229" spans="1:6" s="3" customFormat="1" ht="29.1" customHeight="1" x14ac:dyDescent="0.25">
      <c r="A4229" s="2" t="s">
        <v>9217</v>
      </c>
      <c r="B4229" s="2" t="s">
        <v>9218</v>
      </c>
      <c r="C4229" s="2" t="s">
        <v>5</v>
      </c>
      <c r="D4229" s="2" t="s">
        <v>9</v>
      </c>
      <c r="E4229" s="2" t="str">
        <f>"9783658466985"</f>
        <v>9783658466985</v>
      </c>
      <c r="F4229" s="2" t="str">
        <f>"9783658466992"</f>
        <v>9783658466992</v>
      </c>
    </row>
    <row r="4230" spans="1:6" s="3" customFormat="1" ht="29.1" customHeight="1" x14ac:dyDescent="0.25">
      <c r="A4230" s="2" t="s">
        <v>9219</v>
      </c>
      <c r="B4230" s="2" t="s">
        <v>9220</v>
      </c>
      <c r="C4230" s="2" t="s">
        <v>5</v>
      </c>
      <c r="D4230" s="2" t="s">
        <v>3198</v>
      </c>
      <c r="E4230" s="2" t="str">
        <f>"9783031776496"</f>
        <v>9783031776496</v>
      </c>
      <c r="F4230" s="2" t="str">
        <f>"9783031776502"</f>
        <v>9783031776502</v>
      </c>
    </row>
    <row r="4231" spans="1:6" s="3" customFormat="1" ht="29.1" customHeight="1" x14ac:dyDescent="0.25">
      <c r="A4231" s="2" t="s">
        <v>9221</v>
      </c>
      <c r="B4231" s="2" t="s">
        <v>9222</v>
      </c>
      <c r="C4231" s="2" t="s">
        <v>55</v>
      </c>
      <c r="D4231" s="2" t="s">
        <v>5794</v>
      </c>
      <c r="E4231" s="2" t="str">
        <f>"9781526174727"</f>
        <v>9781526174727</v>
      </c>
      <c r="F4231" s="2" t="str">
        <f>"9781526174734"</f>
        <v>9781526174734</v>
      </c>
    </row>
    <row r="4232" spans="1:6" s="3" customFormat="1" ht="29.1" customHeight="1" x14ac:dyDescent="0.25">
      <c r="A4232" s="2" t="s">
        <v>9223</v>
      </c>
      <c r="B4232" s="2" t="s">
        <v>9224</v>
      </c>
      <c r="C4232" s="2" t="s">
        <v>124</v>
      </c>
      <c r="D4232" s="2" t="s">
        <v>1127</v>
      </c>
      <c r="E4232" s="2" t="str">
        <f>"9781032730271"</f>
        <v>9781032730271</v>
      </c>
      <c r="F4232" s="2" t="str">
        <f>"9781003463443"</f>
        <v>9781003463443</v>
      </c>
    </row>
    <row r="4233" spans="1:6" s="3" customFormat="1" ht="29.1" customHeight="1" x14ac:dyDescent="0.25">
      <c r="A4233" s="2" t="s">
        <v>9225</v>
      </c>
      <c r="B4233" s="2" t="s">
        <v>9226</v>
      </c>
      <c r="C4233" s="2" t="s">
        <v>124</v>
      </c>
      <c r="D4233" s="2" t="s">
        <v>2877</v>
      </c>
      <c r="E4233" s="2" t="str">
        <f>"9781032502748"</f>
        <v>9781032502748</v>
      </c>
      <c r="F4233" s="2" t="str">
        <f>"9781003435105"</f>
        <v>9781003435105</v>
      </c>
    </row>
    <row r="4234" spans="1:6" s="3" customFormat="1" ht="29.1" customHeight="1" x14ac:dyDescent="0.25">
      <c r="A4234" s="2" t="s">
        <v>9227</v>
      </c>
      <c r="B4234" s="2" t="s">
        <v>9228</v>
      </c>
      <c r="C4234" s="2" t="s">
        <v>124</v>
      </c>
      <c r="D4234" s="2" t="s">
        <v>7180</v>
      </c>
      <c r="E4234" s="2" t="str">
        <f>"9781032938882"</f>
        <v>9781032938882</v>
      </c>
      <c r="F4234" s="2" t="str">
        <f>"9781003568087"</f>
        <v>9781003568087</v>
      </c>
    </row>
    <row r="4235" spans="1:6" s="3" customFormat="1" ht="29.1" customHeight="1" x14ac:dyDescent="0.25">
      <c r="A4235" s="2" t="s">
        <v>9229</v>
      </c>
      <c r="B4235" s="2" t="s">
        <v>9230</v>
      </c>
      <c r="C4235" s="2" t="s">
        <v>124</v>
      </c>
      <c r="D4235" s="2" t="s">
        <v>553</v>
      </c>
      <c r="E4235" s="2" t="str">
        <f>"9781032950075"</f>
        <v>9781032950075</v>
      </c>
      <c r="F4235" s="2" t="str">
        <f>"9781003582809"</f>
        <v>9781003582809</v>
      </c>
    </row>
    <row r="4236" spans="1:6" s="3" customFormat="1" ht="29.1" customHeight="1" x14ac:dyDescent="0.25">
      <c r="A4236" s="2" t="s">
        <v>9231</v>
      </c>
      <c r="B4236" s="2" t="s">
        <v>9232</v>
      </c>
      <c r="C4236" s="2" t="s">
        <v>124</v>
      </c>
      <c r="D4236" s="2" t="s">
        <v>2016</v>
      </c>
      <c r="E4236" s="2" t="str">
        <f>"9781032551227"</f>
        <v>9781032551227</v>
      </c>
      <c r="F4236" s="2" t="str">
        <f>"9781003429111"</f>
        <v>9781003429111</v>
      </c>
    </row>
    <row r="4237" spans="1:6" s="3" customFormat="1" ht="29.1" customHeight="1" x14ac:dyDescent="0.25">
      <c r="A4237" s="2" t="s">
        <v>9233</v>
      </c>
      <c r="B4237" s="2" t="s">
        <v>9234</v>
      </c>
      <c r="C4237" s="2" t="s">
        <v>5</v>
      </c>
      <c r="D4237" s="2" t="s">
        <v>297</v>
      </c>
      <c r="E4237" s="2" t="str">
        <f>"9782384763511"</f>
        <v>9782384763511</v>
      </c>
      <c r="F4237" s="2" t="str">
        <f>"9782384763528"</f>
        <v>9782384763528</v>
      </c>
    </row>
    <row r="4238" spans="1:6" s="3" customFormat="1" ht="29.1" customHeight="1" x14ac:dyDescent="0.25">
      <c r="A4238" s="2" t="s">
        <v>9235</v>
      </c>
      <c r="B4238" s="2" t="s">
        <v>9236</v>
      </c>
      <c r="C4238" s="2" t="s">
        <v>5</v>
      </c>
      <c r="D4238" s="2" t="s">
        <v>553</v>
      </c>
      <c r="E4238" s="2" t="str">
        <f>"9783031670107"</f>
        <v>9783031670107</v>
      </c>
      <c r="F4238" s="2" t="str">
        <f>"9783031670114"</f>
        <v>9783031670114</v>
      </c>
    </row>
    <row r="4239" spans="1:6" s="3" customFormat="1" ht="29.1" customHeight="1" x14ac:dyDescent="0.25">
      <c r="A4239" s="2" t="s">
        <v>9237</v>
      </c>
      <c r="B4239" s="2" t="s">
        <v>9238</v>
      </c>
      <c r="C4239" s="2" t="s">
        <v>62</v>
      </c>
      <c r="D4239" s="2" t="s">
        <v>3963</v>
      </c>
      <c r="E4239" s="2" t="str">
        <f>"9783428193882"</f>
        <v>9783428193882</v>
      </c>
      <c r="F4239" s="2" t="str">
        <f>"9783428593880"</f>
        <v>9783428593880</v>
      </c>
    </row>
    <row r="4240" spans="1:6" s="3" customFormat="1" ht="29.1" customHeight="1" x14ac:dyDescent="0.25">
      <c r="A4240" s="2" t="s">
        <v>9239</v>
      </c>
      <c r="B4240" s="2" t="s">
        <v>9240</v>
      </c>
      <c r="C4240" s="2" t="s">
        <v>62</v>
      </c>
      <c r="D4240" s="2" t="s">
        <v>3963</v>
      </c>
      <c r="E4240" s="2" t="str">
        <f>"9783428193813"</f>
        <v>9783428193813</v>
      </c>
      <c r="F4240" s="2" t="str">
        <f>"9783428593811"</f>
        <v>9783428593811</v>
      </c>
    </row>
    <row r="4241" spans="1:6" s="3" customFormat="1" ht="29.1" customHeight="1" x14ac:dyDescent="0.25">
      <c r="A4241" s="2" t="s">
        <v>9241</v>
      </c>
      <c r="B4241" s="2" t="s">
        <v>9242</v>
      </c>
      <c r="C4241" s="2" t="s">
        <v>62</v>
      </c>
      <c r="D4241" s="2" t="s">
        <v>81</v>
      </c>
      <c r="E4241" s="2" t="str">
        <f>"9783428193370"</f>
        <v>9783428193370</v>
      </c>
      <c r="F4241" s="2" t="str">
        <f>"9783428593378"</f>
        <v>9783428593378</v>
      </c>
    </row>
    <row r="4242" spans="1:6" s="3" customFormat="1" ht="29.1" customHeight="1" x14ac:dyDescent="0.25">
      <c r="A4242" s="2" t="s">
        <v>9243</v>
      </c>
      <c r="B4242" s="2" t="s">
        <v>9245</v>
      </c>
      <c r="C4242" s="2" t="s">
        <v>62</v>
      </c>
      <c r="D4242" s="2" t="s">
        <v>9244</v>
      </c>
      <c r="E4242" s="2" t="str">
        <f>"9783428193004"</f>
        <v>9783428193004</v>
      </c>
      <c r="F4242" s="2" t="str">
        <f>"9783428593002"</f>
        <v>9783428593002</v>
      </c>
    </row>
    <row r="4243" spans="1:6" s="3" customFormat="1" ht="29.1" customHeight="1" x14ac:dyDescent="0.25">
      <c r="A4243" s="2" t="s">
        <v>9246</v>
      </c>
      <c r="B4243" s="2" t="s">
        <v>9247</v>
      </c>
      <c r="C4243" s="2" t="s">
        <v>62</v>
      </c>
      <c r="D4243" s="2" t="s">
        <v>125</v>
      </c>
      <c r="E4243" s="2" t="str">
        <f>"9783428192519"</f>
        <v>9783428192519</v>
      </c>
      <c r="F4243" s="2" t="str">
        <f>"9783428592517"</f>
        <v>9783428592517</v>
      </c>
    </row>
    <row r="4244" spans="1:6" s="3" customFormat="1" ht="29.1" customHeight="1" x14ac:dyDescent="0.25">
      <c r="A4244" s="2" t="s">
        <v>9248</v>
      </c>
      <c r="B4244" s="2" t="s">
        <v>9249</v>
      </c>
      <c r="C4244" s="2" t="s">
        <v>5</v>
      </c>
      <c r="D4244" s="2" t="s">
        <v>5588</v>
      </c>
      <c r="E4244" s="2" t="str">
        <f>"9783031775208"</f>
        <v>9783031775208</v>
      </c>
      <c r="F4244" s="2" t="str">
        <f>"9783031775215"</f>
        <v>9783031775215</v>
      </c>
    </row>
    <row r="4245" spans="1:6" s="3" customFormat="1" ht="29.1" customHeight="1" x14ac:dyDescent="0.25">
      <c r="A4245" s="2" t="s">
        <v>9250</v>
      </c>
      <c r="B4245" s="2" t="s">
        <v>9251</v>
      </c>
      <c r="C4245" s="2" t="s">
        <v>5</v>
      </c>
      <c r="D4245" s="2" t="s">
        <v>98</v>
      </c>
      <c r="E4245" s="2" t="str">
        <f>"9783031747786"</f>
        <v>9783031747786</v>
      </c>
      <c r="F4245" s="2" t="str">
        <f>"9783031747793"</f>
        <v>9783031747793</v>
      </c>
    </row>
    <row r="4246" spans="1:6" s="3" customFormat="1" ht="29.1" customHeight="1" x14ac:dyDescent="0.25">
      <c r="A4246" s="2" t="s">
        <v>9252</v>
      </c>
      <c r="B4246" s="2" t="s">
        <v>9253</v>
      </c>
      <c r="C4246" s="2" t="s">
        <v>248</v>
      </c>
      <c r="D4246" s="2" t="s">
        <v>2752</v>
      </c>
      <c r="E4246" s="2" t="str">
        <f>"9783847427551"</f>
        <v>9783847427551</v>
      </c>
      <c r="F4246" s="2" t="str">
        <f>"9783847419259"</f>
        <v>9783847419259</v>
      </c>
    </row>
    <row r="4247" spans="1:6" s="3" customFormat="1" ht="29.1" customHeight="1" x14ac:dyDescent="0.25">
      <c r="A4247" s="2" t="s">
        <v>9254</v>
      </c>
      <c r="B4247" s="2" t="s">
        <v>9255</v>
      </c>
      <c r="C4247" s="2" t="s">
        <v>248</v>
      </c>
      <c r="D4247" s="2" t="s">
        <v>1416</v>
      </c>
      <c r="E4247" s="2" t="str">
        <f>"9783966650885"</f>
        <v>9783966650885</v>
      </c>
      <c r="F4247" s="2" t="str">
        <f>"9783966659109"</f>
        <v>9783966659109</v>
      </c>
    </row>
    <row r="4248" spans="1:6" s="3" customFormat="1" ht="29.1" customHeight="1" x14ac:dyDescent="0.25">
      <c r="A4248" s="2" t="s">
        <v>9256</v>
      </c>
      <c r="B4248" s="2" t="s">
        <v>9257</v>
      </c>
      <c r="C4248" s="2" t="s">
        <v>248</v>
      </c>
      <c r="D4248" s="2" t="s">
        <v>1025</v>
      </c>
      <c r="E4248" s="2" t="str">
        <f>"9783966650861"</f>
        <v>9783966650861</v>
      </c>
      <c r="F4248" s="2" t="str">
        <f>"9783966659123"</f>
        <v>9783966659123</v>
      </c>
    </row>
    <row r="4249" spans="1:6" s="3" customFormat="1" ht="29.1" customHeight="1" x14ac:dyDescent="0.25">
      <c r="A4249" s="2" t="s">
        <v>9258</v>
      </c>
      <c r="B4249" s="2" t="s">
        <v>9259</v>
      </c>
      <c r="C4249" s="2" t="s">
        <v>248</v>
      </c>
      <c r="D4249" s="2" t="s">
        <v>37</v>
      </c>
      <c r="E4249" s="2" t="str">
        <f>"9783966650946"</f>
        <v>9783966650946</v>
      </c>
      <c r="F4249" s="2" t="str">
        <f>"9783966659017"</f>
        <v>9783966659017</v>
      </c>
    </row>
    <row r="4250" spans="1:6" s="3" customFormat="1" ht="29.1" customHeight="1" x14ac:dyDescent="0.25">
      <c r="A4250" s="2" t="s">
        <v>9260</v>
      </c>
      <c r="B4250" s="2" t="s">
        <v>9261</v>
      </c>
      <c r="C4250" s="2" t="s">
        <v>29</v>
      </c>
      <c r="D4250" s="2" t="s">
        <v>218</v>
      </c>
      <c r="E4250" s="2" t="str">
        <f>"9783506795083"</f>
        <v>9783506795083</v>
      </c>
      <c r="F4250" s="2" t="str">
        <f>"9783657795086"</f>
        <v>9783657795086</v>
      </c>
    </row>
    <row r="4251" spans="1:6" s="3" customFormat="1" ht="29.1" customHeight="1" x14ac:dyDescent="0.25">
      <c r="A4251" s="2" t="s">
        <v>9262</v>
      </c>
      <c r="B4251" s="2" t="s">
        <v>9263</v>
      </c>
      <c r="C4251" s="2" t="s">
        <v>29</v>
      </c>
      <c r="D4251" s="2" t="s">
        <v>4064</v>
      </c>
      <c r="E4251" s="2" t="str">
        <f>"9783506796868"</f>
        <v>9783506796868</v>
      </c>
      <c r="F4251" s="2" t="str">
        <f>"9783657796861"</f>
        <v>9783657796861</v>
      </c>
    </row>
    <row r="4252" spans="1:6" s="3" customFormat="1" ht="29.1" customHeight="1" x14ac:dyDescent="0.25">
      <c r="A4252" s="2" t="s">
        <v>9264</v>
      </c>
      <c r="B4252" s="2" t="s">
        <v>9266</v>
      </c>
      <c r="C4252" s="2" t="s">
        <v>29</v>
      </c>
      <c r="D4252" s="2" t="s">
        <v>9265</v>
      </c>
      <c r="E4252" s="2" t="str">
        <f>"9783506797087"</f>
        <v>9783506797087</v>
      </c>
      <c r="F4252" s="2" t="str">
        <f>"9783657797080"</f>
        <v>9783657797080</v>
      </c>
    </row>
    <row r="4253" spans="1:6" s="3" customFormat="1" ht="29.1" customHeight="1" x14ac:dyDescent="0.25">
      <c r="A4253" s="2" t="s">
        <v>9267</v>
      </c>
      <c r="B4253" s="2" t="s">
        <v>9269</v>
      </c>
      <c r="C4253" s="2" t="s">
        <v>927</v>
      </c>
      <c r="D4253" s="2" t="s">
        <v>9268</v>
      </c>
      <c r="E4253" s="2" t="str">
        <f>"9780472039647"</f>
        <v>9780472039647</v>
      </c>
      <c r="F4253" s="2" t="str">
        <f>"9780472904358"</f>
        <v>9780472904358</v>
      </c>
    </row>
    <row r="4254" spans="1:6" s="3" customFormat="1" ht="29.1" customHeight="1" x14ac:dyDescent="0.25">
      <c r="A4254" s="2" t="s">
        <v>9270</v>
      </c>
      <c r="B4254" s="2" t="s">
        <v>9271</v>
      </c>
      <c r="C4254" s="2" t="s">
        <v>5</v>
      </c>
      <c r="D4254" s="2" t="s">
        <v>270</v>
      </c>
      <c r="E4254" s="2" t="str">
        <f>"9789819782086"</f>
        <v>9789819782086</v>
      </c>
      <c r="F4254" s="2" t="str">
        <f>"9789819782093"</f>
        <v>9789819782093</v>
      </c>
    </row>
    <row r="4255" spans="1:6" s="3" customFormat="1" ht="29.1" customHeight="1" x14ac:dyDescent="0.25">
      <c r="A4255" s="2" t="s">
        <v>9272</v>
      </c>
      <c r="B4255" s="2" t="s">
        <v>9273</v>
      </c>
      <c r="C4255" s="2" t="s">
        <v>5</v>
      </c>
      <c r="D4255" s="2" t="s">
        <v>5588</v>
      </c>
      <c r="E4255" s="2" t="str">
        <f>"9783031546761"</f>
        <v>9783031546761</v>
      </c>
      <c r="F4255" s="2" t="str">
        <f>"9783031546778"</f>
        <v>9783031546778</v>
      </c>
    </row>
    <row r="4256" spans="1:6" s="3" customFormat="1" ht="29.1" customHeight="1" x14ac:dyDescent="0.25">
      <c r="A4256" s="2" t="s">
        <v>9274</v>
      </c>
      <c r="B4256" s="2" t="s">
        <v>9275</v>
      </c>
      <c r="C4256" s="2" t="s">
        <v>124</v>
      </c>
      <c r="D4256" s="2" t="s">
        <v>270</v>
      </c>
      <c r="E4256" s="2" t="str">
        <f>"9781032902999"</f>
        <v>9781032902999</v>
      </c>
      <c r="F4256" s="2" t="str">
        <f>"9781003559467"</f>
        <v>9781003559467</v>
      </c>
    </row>
    <row r="4257" spans="1:6" s="3" customFormat="1" ht="29.1" customHeight="1" x14ac:dyDescent="0.25">
      <c r="A4257" s="2" t="s">
        <v>9276</v>
      </c>
      <c r="B4257" s="2" t="s">
        <v>9277</v>
      </c>
      <c r="C4257" s="2" t="s">
        <v>20</v>
      </c>
      <c r="D4257" s="2" t="s">
        <v>553</v>
      </c>
      <c r="E4257" s="2" t="str">
        <f>"9783763977031"</f>
        <v>9783763977031</v>
      </c>
      <c r="F4257" s="2" t="str">
        <f>"9783763977048"</f>
        <v>9783763977048</v>
      </c>
    </row>
    <row r="4258" spans="1:6" s="3" customFormat="1" ht="29.1" customHeight="1" x14ac:dyDescent="0.25">
      <c r="A4258" s="2" t="s">
        <v>9278</v>
      </c>
      <c r="B4258" s="2" t="s">
        <v>9279</v>
      </c>
      <c r="C4258" s="2" t="s">
        <v>927</v>
      </c>
      <c r="D4258" s="2" t="s">
        <v>210</v>
      </c>
      <c r="E4258" s="2" t="str">
        <f>"9780472076840"</f>
        <v>9780472076840</v>
      </c>
      <c r="F4258" s="2" t="str">
        <f>"9780472222056"</f>
        <v>9780472222056</v>
      </c>
    </row>
    <row r="4259" spans="1:6" s="3" customFormat="1" ht="29.1" customHeight="1" x14ac:dyDescent="0.25">
      <c r="A4259" s="2" t="s">
        <v>9280</v>
      </c>
      <c r="B4259" s="2" t="s">
        <v>9281</v>
      </c>
      <c r="C4259" s="2" t="s">
        <v>5</v>
      </c>
      <c r="D4259" s="2" t="s">
        <v>537</v>
      </c>
      <c r="E4259" s="2" t="str">
        <f>"9783031751202"</f>
        <v>9783031751202</v>
      </c>
      <c r="F4259" s="2" t="str">
        <f>"9783031751219"</f>
        <v>9783031751219</v>
      </c>
    </row>
    <row r="4260" spans="1:6" s="3" customFormat="1" ht="29.1" customHeight="1" x14ac:dyDescent="0.25">
      <c r="A4260" s="2" t="s">
        <v>9282</v>
      </c>
      <c r="B4260" s="2" t="s">
        <v>9283</v>
      </c>
      <c r="C4260" s="2" t="s">
        <v>2242</v>
      </c>
      <c r="D4260" s="2" t="s">
        <v>9</v>
      </c>
      <c r="E4260" s="2"/>
      <c r="F4260" s="2" t="str">
        <f>"9788024465579"</f>
        <v>9788024465579</v>
      </c>
    </row>
    <row r="4261" spans="1:6" s="3" customFormat="1" ht="29.1" customHeight="1" x14ac:dyDescent="0.25">
      <c r="A4261" s="2" t="s">
        <v>9284</v>
      </c>
      <c r="B4261" s="2" t="s">
        <v>9285</v>
      </c>
      <c r="C4261" s="2" t="s">
        <v>2242</v>
      </c>
      <c r="D4261" s="2" t="s">
        <v>2877</v>
      </c>
      <c r="E4261" s="2"/>
      <c r="F4261" s="2" t="str">
        <f>"9788024465166"</f>
        <v>9788024465166</v>
      </c>
    </row>
    <row r="4262" spans="1:6" s="3" customFormat="1" ht="29.1" customHeight="1" x14ac:dyDescent="0.25">
      <c r="A4262" s="2" t="s">
        <v>9286</v>
      </c>
      <c r="B4262" s="2" t="s">
        <v>9287</v>
      </c>
      <c r="C4262" s="2" t="s">
        <v>2242</v>
      </c>
      <c r="D4262" s="2" t="s">
        <v>135</v>
      </c>
      <c r="E4262" s="2"/>
      <c r="F4262" s="2" t="str">
        <f>"9788024465357"</f>
        <v>9788024465357</v>
      </c>
    </row>
    <row r="4263" spans="1:6" s="3" customFormat="1" ht="29.1" customHeight="1" x14ac:dyDescent="0.25">
      <c r="A4263" s="2" t="s">
        <v>9288</v>
      </c>
      <c r="B4263" s="2" t="s">
        <v>9289</v>
      </c>
      <c r="C4263" s="2" t="s">
        <v>2242</v>
      </c>
      <c r="D4263" s="2" t="s">
        <v>6</v>
      </c>
      <c r="E4263" s="2" t="str">
        <f>"9788024464800"</f>
        <v>9788024464800</v>
      </c>
      <c r="F4263" s="2" t="str">
        <f>"9788024464817"</f>
        <v>9788024464817</v>
      </c>
    </row>
    <row r="4264" spans="1:6" s="3" customFormat="1" ht="29.1" customHeight="1" x14ac:dyDescent="0.25">
      <c r="A4264" s="2" t="s">
        <v>9290</v>
      </c>
      <c r="B4264" s="2" t="s">
        <v>9291</v>
      </c>
      <c r="C4264" s="2" t="s">
        <v>2242</v>
      </c>
      <c r="D4264" s="2" t="s">
        <v>249</v>
      </c>
      <c r="E4264" s="2"/>
      <c r="F4264" s="2" t="str">
        <f>"9788024465104"</f>
        <v>9788024465104</v>
      </c>
    </row>
    <row r="4265" spans="1:6" s="3" customFormat="1" ht="29.1" customHeight="1" x14ac:dyDescent="0.25">
      <c r="A4265" s="2" t="s">
        <v>9292</v>
      </c>
      <c r="B4265" s="2" t="s">
        <v>9293</v>
      </c>
      <c r="C4265" s="2" t="s">
        <v>605</v>
      </c>
      <c r="D4265" s="2" t="s">
        <v>606</v>
      </c>
      <c r="E4265" s="2" t="str">
        <f>"9789657838075"</f>
        <v>9789657838075</v>
      </c>
      <c r="F4265" s="2" t="str">
        <f>"9789657838082"</f>
        <v>9789657838082</v>
      </c>
    </row>
    <row r="4266" spans="1:6" s="3" customFormat="1" ht="29.1" customHeight="1" x14ac:dyDescent="0.25">
      <c r="A4266" s="2" t="s">
        <v>9294</v>
      </c>
      <c r="B4266" s="2" t="s">
        <v>9296</v>
      </c>
      <c r="C4266" s="2" t="s">
        <v>264</v>
      </c>
      <c r="D4266" s="2" t="s">
        <v>9295</v>
      </c>
      <c r="E4266" s="2" t="str">
        <f>"9781032851761"</f>
        <v>9781032851761</v>
      </c>
      <c r="F4266" s="2" t="str">
        <f>"9781003518518"</f>
        <v>9781003518518</v>
      </c>
    </row>
    <row r="4267" spans="1:6" s="3" customFormat="1" ht="29.1" customHeight="1" x14ac:dyDescent="0.25">
      <c r="A4267" s="2" t="s">
        <v>9297</v>
      </c>
      <c r="B4267" s="2" t="s">
        <v>9298</v>
      </c>
      <c r="C4267" s="2" t="s">
        <v>124</v>
      </c>
      <c r="D4267" s="2" t="s">
        <v>791</v>
      </c>
      <c r="E4267" s="2" t="str">
        <f>"9781032540467"</f>
        <v>9781032540467</v>
      </c>
      <c r="F4267" s="2" t="str">
        <f>"9781003414896"</f>
        <v>9781003414896</v>
      </c>
    </row>
    <row r="4268" spans="1:6" s="3" customFormat="1" ht="29.1" customHeight="1" x14ac:dyDescent="0.25">
      <c r="A4268" s="2" t="s">
        <v>9299</v>
      </c>
      <c r="B4268" s="2" t="s">
        <v>9300</v>
      </c>
      <c r="C4268" s="2" t="s">
        <v>124</v>
      </c>
      <c r="D4268" s="2" t="s">
        <v>758</v>
      </c>
      <c r="E4268" s="2" t="str">
        <f>"9781032905280"</f>
        <v>9781032905280</v>
      </c>
      <c r="F4268" s="2" t="str">
        <f>"9781003558439"</f>
        <v>9781003558439</v>
      </c>
    </row>
    <row r="4269" spans="1:6" s="3" customFormat="1" ht="29.1" customHeight="1" x14ac:dyDescent="0.25">
      <c r="A4269" s="2" t="s">
        <v>9301</v>
      </c>
      <c r="B4269" s="2" t="s">
        <v>9302</v>
      </c>
      <c r="C4269" s="2" t="s">
        <v>124</v>
      </c>
      <c r="D4269" s="2" t="s">
        <v>5686</v>
      </c>
      <c r="E4269" s="2" t="str">
        <f>"9781032637280"</f>
        <v>9781032637280</v>
      </c>
      <c r="F4269" s="2" t="str">
        <f>"9781032637310"</f>
        <v>9781032637310</v>
      </c>
    </row>
    <row r="4270" spans="1:6" s="3" customFormat="1" ht="29.1" customHeight="1" x14ac:dyDescent="0.25">
      <c r="A4270" s="2" t="s">
        <v>9303</v>
      </c>
      <c r="B4270" s="2" t="s">
        <v>9304</v>
      </c>
      <c r="C4270" s="2" t="s">
        <v>124</v>
      </c>
      <c r="D4270" s="2" t="s">
        <v>2391</v>
      </c>
      <c r="E4270" s="2" t="str">
        <f>"9781032792255"</f>
        <v>9781032792255</v>
      </c>
      <c r="F4270" s="2" t="str">
        <f>"9781003491071"</f>
        <v>9781003491071</v>
      </c>
    </row>
    <row r="4271" spans="1:6" s="3" customFormat="1" ht="29.1" customHeight="1" x14ac:dyDescent="0.25">
      <c r="A4271" s="2" t="s">
        <v>9305</v>
      </c>
      <c r="B4271" s="2" t="s">
        <v>9306</v>
      </c>
      <c r="C4271" s="2" t="s">
        <v>124</v>
      </c>
      <c r="D4271" s="2" t="s">
        <v>186</v>
      </c>
      <c r="E4271" s="2" t="str">
        <f>"9781032772028"</f>
        <v>9781032772028</v>
      </c>
      <c r="F4271" s="2" t="str">
        <f>"9781003481805"</f>
        <v>9781003481805</v>
      </c>
    </row>
    <row r="4272" spans="1:6" s="3" customFormat="1" ht="29.1" customHeight="1" x14ac:dyDescent="0.25">
      <c r="A4272" s="2" t="s">
        <v>9307</v>
      </c>
      <c r="B4272" s="2" t="s">
        <v>9308</v>
      </c>
      <c r="C4272" s="2" t="s">
        <v>124</v>
      </c>
      <c r="D4272" s="2" t="s">
        <v>647</v>
      </c>
      <c r="E4272" s="2" t="str">
        <f>"9781032597294"</f>
        <v>9781032597294</v>
      </c>
      <c r="F4272" s="2" t="str">
        <f>"9781003459149"</f>
        <v>9781003459149</v>
      </c>
    </row>
    <row r="4273" spans="1:6" s="3" customFormat="1" ht="29.1" customHeight="1" x14ac:dyDescent="0.25">
      <c r="A4273" s="2" t="s">
        <v>9309</v>
      </c>
      <c r="B4273" s="2" t="s">
        <v>9310</v>
      </c>
      <c r="C4273" s="2" t="s">
        <v>124</v>
      </c>
      <c r="D4273" s="2" t="s">
        <v>1669</v>
      </c>
      <c r="E4273" s="2" t="str">
        <f>"9781032737577"</f>
        <v>9781032737577</v>
      </c>
      <c r="F4273" s="2" t="str">
        <f>"9781003465805"</f>
        <v>9781003465805</v>
      </c>
    </row>
    <row r="4274" spans="1:6" s="3" customFormat="1" ht="29.1" customHeight="1" x14ac:dyDescent="0.25">
      <c r="A4274" s="2" t="s">
        <v>9311</v>
      </c>
      <c r="B4274" s="2" t="s">
        <v>9313</v>
      </c>
      <c r="C4274" s="2" t="s">
        <v>124</v>
      </c>
      <c r="D4274" s="2" t="s">
        <v>9312</v>
      </c>
      <c r="E4274" s="2" t="str">
        <f>"9781041011125"</f>
        <v>9781041011125</v>
      </c>
      <c r="F4274" s="2" t="str">
        <f>"9781003613190"</f>
        <v>9781003613190</v>
      </c>
    </row>
    <row r="4275" spans="1:6" s="3" customFormat="1" ht="29.1" customHeight="1" x14ac:dyDescent="0.25">
      <c r="A4275" s="2" t="s">
        <v>9314</v>
      </c>
      <c r="B4275" s="2" t="s">
        <v>9315</v>
      </c>
      <c r="C4275" s="2" t="s">
        <v>124</v>
      </c>
      <c r="D4275" s="2" t="s">
        <v>4210</v>
      </c>
      <c r="E4275" s="2" t="str">
        <f>"9781032624709"</f>
        <v>9781032624709</v>
      </c>
      <c r="F4275" s="2" t="str">
        <f>"9781032624723"</f>
        <v>9781032624723</v>
      </c>
    </row>
    <row r="4276" spans="1:6" s="3" customFormat="1" ht="29.1" customHeight="1" x14ac:dyDescent="0.25">
      <c r="A4276" s="2" t="s">
        <v>9316</v>
      </c>
      <c r="B4276" s="2" t="s">
        <v>9318</v>
      </c>
      <c r="C4276" s="2" t="s">
        <v>124</v>
      </c>
      <c r="D4276" s="2" t="s">
        <v>9317</v>
      </c>
      <c r="E4276" s="2" t="str">
        <f>"9781032828541"</f>
        <v>9781032828541</v>
      </c>
      <c r="F4276" s="2" t="str">
        <f>"9781003506676"</f>
        <v>9781003506676</v>
      </c>
    </row>
    <row r="4277" spans="1:6" s="3" customFormat="1" ht="29.1" customHeight="1" x14ac:dyDescent="0.25">
      <c r="A4277" s="2" t="s">
        <v>9319</v>
      </c>
      <c r="B4277" s="2" t="s">
        <v>9320</v>
      </c>
      <c r="C4277" s="2" t="s">
        <v>124</v>
      </c>
      <c r="D4277" s="2" t="s">
        <v>78</v>
      </c>
      <c r="E4277" s="2" t="str">
        <f>"9781032333045"</f>
        <v>9781032333045</v>
      </c>
      <c r="F4277" s="2" t="str">
        <f>"9781003319030"</f>
        <v>9781003319030</v>
      </c>
    </row>
    <row r="4278" spans="1:6" s="3" customFormat="1" ht="29.1" customHeight="1" x14ac:dyDescent="0.25">
      <c r="A4278" s="2" t="s">
        <v>9321</v>
      </c>
      <c r="B4278" s="2" t="s">
        <v>9322</v>
      </c>
      <c r="C4278" s="2" t="s">
        <v>124</v>
      </c>
      <c r="D4278" s="2" t="s">
        <v>1127</v>
      </c>
      <c r="E4278" s="2" t="str">
        <f>"9781032812113"</f>
        <v>9781032812113</v>
      </c>
      <c r="F4278" s="2" t="str">
        <f>"9781003498650"</f>
        <v>9781003498650</v>
      </c>
    </row>
    <row r="4279" spans="1:6" s="3" customFormat="1" ht="29.1" customHeight="1" x14ac:dyDescent="0.25">
      <c r="A4279" s="2" t="s">
        <v>9323</v>
      </c>
      <c r="B4279" s="2" t="s">
        <v>9324</v>
      </c>
      <c r="C4279" s="2" t="s">
        <v>124</v>
      </c>
      <c r="D4279" s="2" t="s">
        <v>2019</v>
      </c>
      <c r="E4279" s="2" t="str">
        <f>"9781032465913"</f>
        <v>9781032465913</v>
      </c>
      <c r="F4279" s="2" t="str">
        <f>"9781003382447"</f>
        <v>9781003382447</v>
      </c>
    </row>
    <row r="4280" spans="1:6" s="3" customFormat="1" ht="29.1" customHeight="1" x14ac:dyDescent="0.25">
      <c r="A4280" s="2" t="s">
        <v>9325</v>
      </c>
      <c r="B4280" s="2" t="s">
        <v>9326</v>
      </c>
      <c r="C4280" s="2" t="s">
        <v>124</v>
      </c>
      <c r="D4280" s="2" t="s">
        <v>413</v>
      </c>
      <c r="E4280" s="2" t="str">
        <f>"9781032766652"</f>
        <v>9781032766652</v>
      </c>
      <c r="F4280" s="2" t="str">
        <f>"9781003479550"</f>
        <v>9781003479550</v>
      </c>
    </row>
    <row r="4281" spans="1:6" s="3" customFormat="1" ht="29.1" customHeight="1" x14ac:dyDescent="0.25">
      <c r="A4281" s="2" t="s">
        <v>9327</v>
      </c>
      <c r="B4281" s="2" t="s">
        <v>9328</v>
      </c>
      <c r="C4281" s="2" t="s">
        <v>124</v>
      </c>
      <c r="D4281" s="2" t="s">
        <v>459</v>
      </c>
      <c r="E4281" s="2" t="str">
        <f>"9781032766850"</f>
        <v>9781032766850</v>
      </c>
      <c r="F4281" s="2" t="str">
        <f>"9781003486541"</f>
        <v>9781003486541</v>
      </c>
    </row>
    <row r="4282" spans="1:6" s="3" customFormat="1" ht="29.1" customHeight="1" x14ac:dyDescent="0.25">
      <c r="A4282" s="2" t="s">
        <v>9329</v>
      </c>
      <c r="B4282" s="2" t="s">
        <v>9330</v>
      </c>
      <c r="C4282" s="2" t="s">
        <v>124</v>
      </c>
      <c r="D4282" s="2" t="s">
        <v>984</v>
      </c>
      <c r="E4282" s="2" t="str">
        <f>"9781032889207"</f>
        <v>9781032889207</v>
      </c>
      <c r="F4282" s="2" t="str">
        <f>"9781003540366"</f>
        <v>9781003540366</v>
      </c>
    </row>
    <row r="4283" spans="1:6" s="3" customFormat="1" ht="29.1" customHeight="1" x14ac:dyDescent="0.25">
      <c r="A4283" s="2" t="s">
        <v>9331</v>
      </c>
      <c r="B4283" s="2" t="s">
        <v>9332</v>
      </c>
      <c r="C4283" s="2" t="s">
        <v>124</v>
      </c>
      <c r="D4283" s="2" t="s">
        <v>1121</v>
      </c>
      <c r="E4283" s="2" t="str">
        <f>"9781032160535"</f>
        <v>9781032160535</v>
      </c>
      <c r="F4283" s="2" t="str">
        <f>"9781003246909"</f>
        <v>9781003246909</v>
      </c>
    </row>
    <row r="4284" spans="1:6" s="3" customFormat="1" ht="29.1" customHeight="1" x14ac:dyDescent="0.25">
      <c r="A4284" s="2" t="s">
        <v>9333</v>
      </c>
      <c r="B4284" s="2" t="s">
        <v>9334</v>
      </c>
      <c r="C4284" s="2" t="s">
        <v>124</v>
      </c>
      <c r="D4284" s="2" t="s">
        <v>183</v>
      </c>
      <c r="E4284" s="2" t="str">
        <f>"9781032161556"</f>
        <v>9781032161556</v>
      </c>
      <c r="F4284" s="2" t="str">
        <f>"9781003247302"</f>
        <v>9781003247302</v>
      </c>
    </row>
    <row r="4285" spans="1:6" s="3" customFormat="1" ht="29.1" customHeight="1" x14ac:dyDescent="0.25">
      <c r="A4285" s="2" t="s">
        <v>9335</v>
      </c>
      <c r="B4285" s="2" t="s">
        <v>9336</v>
      </c>
      <c r="C4285" s="2" t="s">
        <v>124</v>
      </c>
      <c r="D4285" s="2" t="s">
        <v>1733</v>
      </c>
      <c r="E4285" s="2" t="str">
        <f>"9781032739540"</f>
        <v>9781032739540</v>
      </c>
      <c r="F4285" s="2" t="str">
        <f>"9781003466918"</f>
        <v>9781003466918</v>
      </c>
    </row>
    <row r="4286" spans="1:6" s="3" customFormat="1" ht="29.1" customHeight="1" x14ac:dyDescent="0.25">
      <c r="A4286" s="2" t="s">
        <v>9337</v>
      </c>
      <c r="B4286" s="2" t="s">
        <v>9338</v>
      </c>
      <c r="C4286" s="2" t="s">
        <v>124</v>
      </c>
      <c r="D4286" s="2" t="s">
        <v>141</v>
      </c>
      <c r="E4286" s="2" t="str">
        <f>"9781032866345"</f>
        <v>9781032866345</v>
      </c>
      <c r="F4286" s="2" t="str">
        <f>"9781003530947"</f>
        <v>9781003530947</v>
      </c>
    </row>
    <row r="4287" spans="1:6" s="3" customFormat="1" ht="29.1" customHeight="1" x14ac:dyDescent="0.25">
      <c r="A4287" s="2" t="s">
        <v>9339</v>
      </c>
      <c r="B4287" s="2" t="s">
        <v>9340</v>
      </c>
      <c r="C4287" s="2" t="s">
        <v>124</v>
      </c>
      <c r="D4287" s="2" t="s">
        <v>125</v>
      </c>
      <c r="E4287" s="2" t="str">
        <f>"9781032467450"</f>
        <v>9781032467450</v>
      </c>
      <c r="F4287" s="2" t="str">
        <f>"9781003383062"</f>
        <v>9781003383062</v>
      </c>
    </row>
    <row r="4288" spans="1:6" s="3" customFormat="1" ht="29.1" customHeight="1" x14ac:dyDescent="0.25">
      <c r="A4288" s="2" t="s">
        <v>9341</v>
      </c>
      <c r="B4288" s="2" t="s">
        <v>9342</v>
      </c>
      <c r="C4288" s="2" t="s">
        <v>124</v>
      </c>
      <c r="D4288" s="2" t="s">
        <v>1077</v>
      </c>
      <c r="E4288" s="2" t="str">
        <f>"9781032844640"</f>
        <v>9781032844640</v>
      </c>
      <c r="F4288" s="2" t="str">
        <f>"9781003515494"</f>
        <v>9781003515494</v>
      </c>
    </row>
    <row r="4289" spans="1:6" s="3" customFormat="1" ht="29.1" customHeight="1" x14ac:dyDescent="0.25">
      <c r="A4289" s="2" t="s">
        <v>9343</v>
      </c>
      <c r="B4289" s="2" t="s">
        <v>9344</v>
      </c>
      <c r="C4289" s="2" t="s">
        <v>5</v>
      </c>
      <c r="D4289" s="2" t="s">
        <v>72</v>
      </c>
      <c r="E4289" s="2" t="str">
        <f>"9782384763498"</f>
        <v>9782384763498</v>
      </c>
      <c r="F4289" s="2" t="str">
        <f>"9782384763504"</f>
        <v>9782384763504</v>
      </c>
    </row>
    <row r="4290" spans="1:6" s="3" customFormat="1" ht="29.1" customHeight="1" x14ac:dyDescent="0.25">
      <c r="A4290" s="2" t="s">
        <v>9345</v>
      </c>
      <c r="B4290" s="2" t="s">
        <v>9346</v>
      </c>
      <c r="C4290" s="2" t="s">
        <v>124</v>
      </c>
      <c r="D4290" s="2" t="s">
        <v>968</v>
      </c>
      <c r="E4290" s="2" t="str">
        <f>"9781032583778"</f>
        <v>9781032583778</v>
      </c>
      <c r="F4290" s="2" t="str">
        <f>"9781003449560"</f>
        <v>9781003449560</v>
      </c>
    </row>
    <row r="4291" spans="1:6" s="3" customFormat="1" ht="29.1" customHeight="1" x14ac:dyDescent="0.25">
      <c r="A4291" s="2" t="s">
        <v>9347</v>
      </c>
      <c r="B4291" s="2" t="s">
        <v>9348</v>
      </c>
      <c r="C4291" s="2" t="s">
        <v>124</v>
      </c>
      <c r="D4291" s="2" t="s">
        <v>758</v>
      </c>
      <c r="E4291" s="2" t="str">
        <f>"9781032770574"</f>
        <v>9781032770574</v>
      </c>
      <c r="F4291" s="2" t="str">
        <f>"9781003481041"</f>
        <v>9781003481041</v>
      </c>
    </row>
    <row r="4292" spans="1:6" s="3" customFormat="1" ht="29.1" customHeight="1" x14ac:dyDescent="0.25">
      <c r="A4292" s="2" t="s">
        <v>9349</v>
      </c>
      <c r="B4292" s="2" t="s">
        <v>9350</v>
      </c>
      <c r="C4292" s="2" t="s">
        <v>124</v>
      </c>
      <c r="D4292" s="2" t="s">
        <v>674</v>
      </c>
      <c r="E4292" s="2" t="str">
        <f>"9781032840864"</f>
        <v>9781032840864</v>
      </c>
      <c r="F4292" s="2" t="str">
        <f>"9781003511137"</f>
        <v>9781003511137</v>
      </c>
    </row>
    <row r="4293" spans="1:6" s="3" customFormat="1" ht="29.1" customHeight="1" x14ac:dyDescent="0.25">
      <c r="A4293" s="2" t="s">
        <v>9351</v>
      </c>
      <c r="B4293" s="2" t="s">
        <v>9352</v>
      </c>
      <c r="C4293" s="2" t="s">
        <v>124</v>
      </c>
      <c r="D4293" s="2" t="s">
        <v>183</v>
      </c>
      <c r="E4293" s="2" t="str">
        <f>"9781032331942"</f>
        <v>9781032331942</v>
      </c>
      <c r="F4293" s="2" t="str">
        <f>"9781003318668"</f>
        <v>9781003318668</v>
      </c>
    </row>
    <row r="4294" spans="1:6" s="3" customFormat="1" ht="29.1" customHeight="1" x14ac:dyDescent="0.25">
      <c r="A4294" s="2" t="s">
        <v>9353</v>
      </c>
      <c r="B4294" s="2" t="s">
        <v>9354</v>
      </c>
      <c r="C4294" s="2" t="s">
        <v>124</v>
      </c>
      <c r="D4294" s="2" t="s">
        <v>183</v>
      </c>
      <c r="E4294" s="2" t="str">
        <f>"9781032658995"</f>
        <v>9781032658995</v>
      </c>
      <c r="F4294" s="2" t="str">
        <f>"9781003529729"</f>
        <v>9781003529729</v>
      </c>
    </row>
    <row r="4295" spans="1:6" s="3" customFormat="1" ht="29.1" customHeight="1" x14ac:dyDescent="0.25">
      <c r="A4295" s="2" t="s">
        <v>9355</v>
      </c>
      <c r="B4295" s="2" t="s">
        <v>9356</v>
      </c>
      <c r="C4295" s="2" t="s">
        <v>124</v>
      </c>
      <c r="D4295" s="2" t="s">
        <v>1466</v>
      </c>
      <c r="E4295" s="2" t="str">
        <f>"9781032691817"</f>
        <v>9781032691817</v>
      </c>
      <c r="F4295" s="2" t="str">
        <f>"9781032691848"</f>
        <v>9781032691848</v>
      </c>
    </row>
    <row r="4296" spans="1:6" s="3" customFormat="1" ht="29.1" customHeight="1" x14ac:dyDescent="0.25">
      <c r="A4296" s="2" t="s">
        <v>9357</v>
      </c>
      <c r="B4296" s="2" t="s">
        <v>9358</v>
      </c>
      <c r="C4296" s="2" t="s">
        <v>124</v>
      </c>
      <c r="D4296" s="2" t="s">
        <v>606</v>
      </c>
      <c r="E4296" s="2" t="str">
        <f>"9781032658124"</f>
        <v>9781032658124</v>
      </c>
      <c r="F4296" s="2" t="str">
        <f>"9781032658148"</f>
        <v>9781032658148</v>
      </c>
    </row>
    <row r="4297" spans="1:6" s="3" customFormat="1" ht="29.1" customHeight="1" x14ac:dyDescent="0.25">
      <c r="A4297" s="2" t="s">
        <v>9359</v>
      </c>
      <c r="B4297" s="2" t="s">
        <v>9360</v>
      </c>
      <c r="C4297" s="2" t="s">
        <v>239</v>
      </c>
      <c r="D4297" s="2" t="s">
        <v>653</v>
      </c>
      <c r="E4297" s="2" t="str">
        <f>"9780520404328"</f>
        <v>9780520404328</v>
      </c>
      <c r="F4297" s="2" t="str">
        <f>"9780520404335"</f>
        <v>9780520404335</v>
      </c>
    </row>
    <row r="4298" spans="1:6" s="3" customFormat="1" ht="29.1" customHeight="1" x14ac:dyDescent="0.25">
      <c r="A4298" s="2" t="s">
        <v>9361</v>
      </c>
      <c r="B4298" s="2" t="s">
        <v>9362</v>
      </c>
      <c r="C4298" s="2" t="s">
        <v>5</v>
      </c>
      <c r="D4298" s="2" t="s">
        <v>4002</v>
      </c>
      <c r="E4298" s="2" t="str">
        <f>"9789819601721"</f>
        <v>9789819601721</v>
      </c>
      <c r="F4298" s="2" t="str">
        <f>"9789819601738"</f>
        <v>9789819601738</v>
      </c>
    </row>
    <row r="4299" spans="1:6" s="3" customFormat="1" ht="29.1" customHeight="1" x14ac:dyDescent="0.25">
      <c r="A4299" s="2" t="s">
        <v>9363</v>
      </c>
      <c r="B4299" s="2" t="s">
        <v>9364</v>
      </c>
      <c r="C4299" s="2" t="s">
        <v>5</v>
      </c>
      <c r="D4299" s="2" t="s">
        <v>101</v>
      </c>
      <c r="E4299" s="2" t="str">
        <f>"9789819748235"</f>
        <v>9789819748235</v>
      </c>
      <c r="F4299" s="2" t="str">
        <f>"9789819748242"</f>
        <v>9789819748242</v>
      </c>
    </row>
    <row r="4300" spans="1:6" s="3" customFormat="1" ht="29.1" customHeight="1" x14ac:dyDescent="0.25">
      <c r="A4300" s="2" t="s">
        <v>9365</v>
      </c>
      <c r="B4300" s="2" t="s">
        <v>9366</v>
      </c>
      <c r="C4300" s="2" t="s">
        <v>5</v>
      </c>
      <c r="D4300" s="2" t="s">
        <v>183</v>
      </c>
      <c r="E4300" s="2" t="str">
        <f>"9783031538087"</f>
        <v>9783031538087</v>
      </c>
      <c r="F4300" s="2" t="str">
        <f>"9783031538094"</f>
        <v>9783031538094</v>
      </c>
    </row>
    <row r="4301" spans="1:6" s="3" customFormat="1" ht="29.1" customHeight="1" x14ac:dyDescent="0.25">
      <c r="A4301" s="2" t="s">
        <v>486</v>
      </c>
      <c r="B4301" s="2" t="s">
        <v>9367</v>
      </c>
      <c r="C4301" s="2" t="s">
        <v>5</v>
      </c>
      <c r="D4301" s="2" t="s">
        <v>487</v>
      </c>
      <c r="E4301" s="2" t="str">
        <f>"9783031727801"</f>
        <v>9783031727801</v>
      </c>
      <c r="F4301" s="2" t="str">
        <f>"9783031727818"</f>
        <v>9783031727818</v>
      </c>
    </row>
    <row r="4302" spans="1:6" s="3" customFormat="1" ht="29.1" customHeight="1" x14ac:dyDescent="0.25">
      <c r="A4302" s="2" t="s">
        <v>9368</v>
      </c>
      <c r="B4302" s="2" t="s">
        <v>9369</v>
      </c>
      <c r="C4302" s="2" t="s">
        <v>5</v>
      </c>
      <c r="D4302" s="2" t="s">
        <v>2877</v>
      </c>
      <c r="E4302" s="2" t="str">
        <f>"9783031760327"</f>
        <v>9783031760327</v>
      </c>
      <c r="F4302" s="2" t="str">
        <f>"9783031760334"</f>
        <v>9783031760334</v>
      </c>
    </row>
    <row r="4303" spans="1:6" s="3" customFormat="1" ht="29.1" customHeight="1" x14ac:dyDescent="0.25">
      <c r="A4303" s="2" t="s">
        <v>9370</v>
      </c>
      <c r="B4303" s="2" t="s">
        <v>9371</v>
      </c>
      <c r="C4303" s="2" t="s">
        <v>5</v>
      </c>
      <c r="D4303" s="2" t="s">
        <v>81</v>
      </c>
      <c r="E4303" s="2" t="str">
        <f>"9783031748882"</f>
        <v>9783031748882</v>
      </c>
      <c r="F4303" s="2" t="str">
        <f>"9783031748899"</f>
        <v>9783031748899</v>
      </c>
    </row>
    <row r="4304" spans="1:6" s="3" customFormat="1" ht="29.1" customHeight="1" x14ac:dyDescent="0.25">
      <c r="A4304" s="2" t="s">
        <v>9372</v>
      </c>
      <c r="B4304" s="2" t="s">
        <v>9373</v>
      </c>
      <c r="C4304" s="2" t="s">
        <v>36</v>
      </c>
      <c r="D4304" s="2" t="s">
        <v>192</v>
      </c>
      <c r="E4304" s="2" t="str">
        <f>"9781529237917"</f>
        <v>9781529237917</v>
      </c>
      <c r="F4304" s="2" t="str">
        <f>"9781529237924"</f>
        <v>9781529237924</v>
      </c>
    </row>
    <row r="4305" spans="1:6" s="3" customFormat="1" ht="29.1" customHeight="1" x14ac:dyDescent="0.25">
      <c r="A4305" s="2" t="s">
        <v>9374</v>
      </c>
      <c r="B4305" s="2" t="s">
        <v>9375</v>
      </c>
      <c r="C4305" s="2" t="s">
        <v>757</v>
      </c>
      <c r="D4305" s="2" t="s">
        <v>297</v>
      </c>
      <c r="E4305" s="2" t="str">
        <f>"9783038978701"</f>
        <v>9783038978701</v>
      </c>
      <c r="F4305" s="2" t="str">
        <f>"9783038978718"</f>
        <v>9783038978718</v>
      </c>
    </row>
    <row r="4306" spans="1:6" s="3" customFormat="1" ht="29.1" customHeight="1" x14ac:dyDescent="0.25">
      <c r="A4306" s="2" t="s">
        <v>9376</v>
      </c>
      <c r="B4306" s="2" t="s">
        <v>9377</v>
      </c>
      <c r="C4306" s="2" t="s">
        <v>757</v>
      </c>
      <c r="D4306" s="2" t="s">
        <v>4229</v>
      </c>
      <c r="E4306" s="2" t="str">
        <f>"9783036569239"</f>
        <v>9783036569239</v>
      </c>
      <c r="F4306" s="2" t="str">
        <f>"9783036569222"</f>
        <v>9783036569222</v>
      </c>
    </row>
    <row r="4307" spans="1:6" s="3" customFormat="1" ht="29.1" customHeight="1" x14ac:dyDescent="0.25">
      <c r="A4307" s="2" t="s">
        <v>9378</v>
      </c>
      <c r="B4307" s="2" t="s">
        <v>9380</v>
      </c>
      <c r="C4307" s="2" t="s">
        <v>757</v>
      </c>
      <c r="D4307" s="2" t="s">
        <v>9379</v>
      </c>
      <c r="E4307" s="2" t="str">
        <f>"9783036597331"</f>
        <v>9783036597331</v>
      </c>
      <c r="F4307" s="2" t="str">
        <f>"9783036597324"</f>
        <v>9783036597324</v>
      </c>
    </row>
    <row r="4308" spans="1:6" s="3" customFormat="1" ht="29.1" customHeight="1" x14ac:dyDescent="0.25">
      <c r="A4308" s="2" t="s">
        <v>9381</v>
      </c>
      <c r="B4308" s="2" t="s">
        <v>9382</v>
      </c>
      <c r="C4308" s="2" t="s">
        <v>757</v>
      </c>
      <c r="D4308" s="2" t="s">
        <v>863</v>
      </c>
      <c r="E4308" s="2" t="str">
        <f>"9783036582672"</f>
        <v>9783036582672</v>
      </c>
      <c r="F4308" s="2" t="str">
        <f>"9783036582665"</f>
        <v>9783036582665</v>
      </c>
    </row>
    <row r="4309" spans="1:6" s="3" customFormat="1" ht="29.1" customHeight="1" x14ac:dyDescent="0.25">
      <c r="A4309" s="2" t="s">
        <v>9383</v>
      </c>
      <c r="B4309" s="2" t="s">
        <v>9384</v>
      </c>
      <c r="C4309" s="2" t="s">
        <v>595</v>
      </c>
      <c r="D4309" s="2" t="s">
        <v>270</v>
      </c>
      <c r="E4309" s="2" t="str">
        <f>"9783034345866"</f>
        <v>9783034345866</v>
      </c>
      <c r="F4309" s="2" t="str">
        <f>"9783034348065"</f>
        <v>9783034348065</v>
      </c>
    </row>
    <row r="4310" spans="1:6" s="3" customFormat="1" ht="29.1" customHeight="1" x14ac:dyDescent="0.25">
      <c r="A4310" s="2" t="s">
        <v>9385</v>
      </c>
      <c r="B4310" s="2" t="s">
        <v>9386</v>
      </c>
      <c r="C4310" s="2" t="s">
        <v>29</v>
      </c>
      <c r="D4310" s="2" t="s">
        <v>1432</v>
      </c>
      <c r="E4310" s="2" t="str">
        <f>"9789004726222"</f>
        <v>9789004726222</v>
      </c>
      <c r="F4310" s="2" t="str">
        <f>"9789004726239"</f>
        <v>9789004726239</v>
      </c>
    </row>
    <row r="4311" spans="1:6" s="3" customFormat="1" ht="29.1" customHeight="1" x14ac:dyDescent="0.25">
      <c r="A4311" s="2" t="s">
        <v>9385</v>
      </c>
      <c r="B4311" s="2" t="s">
        <v>9386</v>
      </c>
      <c r="C4311" s="2" t="s">
        <v>29</v>
      </c>
      <c r="D4311" s="2" t="s">
        <v>1432</v>
      </c>
      <c r="E4311" s="2" t="str">
        <f>"9789004726246"</f>
        <v>9789004726246</v>
      </c>
      <c r="F4311" s="2" t="str">
        <f>"9789004726253"</f>
        <v>9789004726253</v>
      </c>
    </row>
    <row r="4312" spans="1:6" s="3" customFormat="1" ht="29.1" customHeight="1" x14ac:dyDescent="0.25">
      <c r="A4312" s="2" t="s">
        <v>9387</v>
      </c>
      <c r="B4312" s="2"/>
      <c r="C4312" s="2" t="s">
        <v>195</v>
      </c>
      <c r="D4312" s="2" t="s">
        <v>186</v>
      </c>
      <c r="E4312" s="2"/>
      <c r="F4312" s="2" t="str">
        <f>"9788367405850"</f>
        <v>9788367405850</v>
      </c>
    </row>
    <row r="4313" spans="1:6" s="3" customFormat="1" ht="29.1" customHeight="1" x14ac:dyDescent="0.25">
      <c r="A4313" s="2" t="s">
        <v>9388</v>
      </c>
      <c r="B4313" s="2"/>
      <c r="C4313" s="2" t="s">
        <v>195</v>
      </c>
      <c r="D4313" s="2" t="s">
        <v>186</v>
      </c>
      <c r="E4313" s="2"/>
      <c r="F4313" s="2" t="str">
        <f>"9788367405843"</f>
        <v>9788367405843</v>
      </c>
    </row>
    <row r="4314" spans="1:6" s="3" customFormat="1" ht="29.1" customHeight="1" x14ac:dyDescent="0.25">
      <c r="A4314" s="2" t="s">
        <v>9389</v>
      </c>
      <c r="B4314" s="2"/>
      <c r="C4314" s="2" t="s">
        <v>195</v>
      </c>
      <c r="D4314" s="2" t="s">
        <v>186</v>
      </c>
      <c r="E4314" s="2"/>
      <c r="F4314" s="2" t="str">
        <f>"9788367405331"</f>
        <v>9788367405331</v>
      </c>
    </row>
    <row r="4315" spans="1:6" s="3" customFormat="1" ht="29.1" customHeight="1" x14ac:dyDescent="0.25">
      <c r="A4315" s="2" t="s">
        <v>9390</v>
      </c>
      <c r="B4315" s="2"/>
      <c r="C4315" s="2" t="s">
        <v>195</v>
      </c>
      <c r="D4315" s="2" t="s">
        <v>4739</v>
      </c>
      <c r="E4315" s="2"/>
      <c r="F4315" s="2" t="str">
        <f>"9788367405720"</f>
        <v>9788367405720</v>
      </c>
    </row>
    <row r="4316" spans="1:6" s="3" customFormat="1" ht="29.1" customHeight="1" x14ac:dyDescent="0.25">
      <c r="A4316" s="2" t="s">
        <v>9390</v>
      </c>
      <c r="B4316" s="2"/>
      <c r="C4316" s="2" t="s">
        <v>195</v>
      </c>
      <c r="D4316" s="2" t="s">
        <v>342</v>
      </c>
      <c r="E4316" s="2"/>
      <c r="F4316" s="2" t="str">
        <f>"9788367405713"</f>
        <v>9788367405713</v>
      </c>
    </row>
    <row r="4317" spans="1:6" s="3" customFormat="1" ht="29.1" customHeight="1" x14ac:dyDescent="0.25">
      <c r="A4317" s="2" t="s">
        <v>9391</v>
      </c>
      <c r="B4317" s="2"/>
      <c r="C4317" s="2" t="s">
        <v>195</v>
      </c>
      <c r="D4317" s="2" t="s">
        <v>9392</v>
      </c>
      <c r="E4317" s="2"/>
      <c r="F4317" s="2" t="str">
        <f>"9788367405782"</f>
        <v>9788367405782</v>
      </c>
    </row>
    <row r="4318" spans="1:6" s="3" customFormat="1" ht="29.1" customHeight="1" x14ac:dyDescent="0.25">
      <c r="A4318" s="2" t="s">
        <v>9393</v>
      </c>
      <c r="B4318" s="2" t="s">
        <v>7830</v>
      </c>
      <c r="C4318" s="2" t="s">
        <v>195</v>
      </c>
      <c r="D4318" s="2" t="s">
        <v>1959</v>
      </c>
      <c r="E4318" s="2"/>
      <c r="F4318" s="2" t="str">
        <f>"9788367405355"</f>
        <v>9788367405355</v>
      </c>
    </row>
    <row r="4319" spans="1:6" s="3" customFormat="1" ht="29.1" customHeight="1" x14ac:dyDescent="0.25">
      <c r="A4319" s="2" t="s">
        <v>9394</v>
      </c>
      <c r="B4319" s="2" t="s">
        <v>9396</v>
      </c>
      <c r="C4319" s="2" t="s">
        <v>195</v>
      </c>
      <c r="D4319" s="2" t="s">
        <v>9395</v>
      </c>
      <c r="E4319" s="2" t="str">
        <f>"9788366675957"</f>
        <v>9788366675957</v>
      </c>
      <c r="F4319" s="2" t="str">
        <f>"9788366675940"</f>
        <v>9788366675940</v>
      </c>
    </row>
    <row r="4320" spans="1:6" s="3" customFormat="1" ht="29.1" customHeight="1" x14ac:dyDescent="0.25">
      <c r="A4320" s="2" t="s">
        <v>9397</v>
      </c>
      <c r="B4320" s="2" t="s">
        <v>9398</v>
      </c>
      <c r="C4320" s="2" t="s">
        <v>195</v>
      </c>
      <c r="D4320" s="2" t="s">
        <v>186</v>
      </c>
      <c r="E4320" s="2"/>
      <c r="F4320" s="2" t="str">
        <f>"9788367405546"</f>
        <v>9788367405546</v>
      </c>
    </row>
    <row r="4321" spans="1:6" s="3" customFormat="1" ht="29.1" customHeight="1" x14ac:dyDescent="0.25">
      <c r="A4321" s="2" t="s">
        <v>9399</v>
      </c>
      <c r="B4321" s="2"/>
      <c r="C4321" s="2" t="s">
        <v>195</v>
      </c>
      <c r="D4321" s="2" t="s">
        <v>9392</v>
      </c>
      <c r="E4321" s="2"/>
      <c r="F4321" s="2" t="str">
        <f>"9788367405386"</f>
        <v>9788367405386</v>
      </c>
    </row>
    <row r="4322" spans="1:6" s="3" customFormat="1" ht="29.1" customHeight="1" x14ac:dyDescent="0.25">
      <c r="A4322" s="2" t="s">
        <v>9400</v>
      </c>
      <c r="B4322" s="2"/>
      <c r="C4322" s="2" t="s">
        <v>195</v>
      </c>
      <c r="D4322" s="2" t="s">
        <v>186</v>
      </c>
      <c r="E4322" s="2"/>
      <c r="F4322" s="2" t="str">
        <f>"9788367405287"</f>
        <v>9788367405287</v>
      </c>
    </row>
    <row r="4323" spans="1:6" s="3" customFormat="1" ht="29.1" customHeight="1" x14ac:dyDescent="0.25">
      <c r="A4323" s="2" t="s">
        <v>9401</v>
      </c>
      <c r="B4323" s="2"/>
      <c r="C4323" s="2" t="s">
        <v>195</v>
      </c>
      <c r="D4323" s="2" t="s">
        <v>477</v>
      </c>
      <c r="E4323" s="2"/>
      <c r="F4323" s="2" t="str">
        <f>"9788367405201"</f>
        <v>9788367405201</v>
      </c>
    </row>
    <row r="4324" spans="1:6" s="3" customFormat="1" ht="29.1" customHeight="1" x14ac:dyDescent="0.25">
      <c r="A4324" s="2" t="s">
        <v>9402</v>
      </c>
      <c r="B4324" s="2"/>
      <c r="C4324" s="2" t="s">
        <v>195</v>
      </c>
      <c r="D4324" s="2" t="s">
        <v>1959</v>
      </c>
      <c r="E4324" s="2"/>
      <c r="F4324" s="2" t="str">
        <f>"9788366675896"</f>
        <v>9788366675896</v>
      </c>
    </row>
    <row r="4325" spans="1:6" s="3" customFormat="1" ht="29.1" customHeight="1" x14ac:dyDescent="0.25">
      <c r="A4325" s="2" t="s">
        <v>9403</v>
      </c>
      <c r="B4325" s="2" t="s">
        <v>9404</v>
      </c>
      <c r="C4325" s="2" t="s">
        <v>195</v>
      </c>
      <c r="D4325" s="2" t="s">
        <v>297</v>
      </c>
      <c r="E4325" s="2"/>
      <c r="F4325" s="2" t="str">
        <f>"9788366675407"</f>
        <v>9788366675407</v>
      </c>
    </row>
    <row r="4326" spans="1:6" s="3" customFormat="1" ht="29.1" customHeight="1" x14ac:dyDescent="0.25">
      <c r="A4326" s="2" t="s">
        <v>9405</v>
      </c>
      <c r="B4326" s="2"/>
      <c r="C4326" s="2" t="s">
        <v>195</v>
      </c>
      <c r="D4326" s="2" t="s">
        <v>4739</v>
      </c>
      <c r="E4326" s="2"/>
      <c r="F4326" s="2" t="str">
        <f>"9788367405195"</f>
        <v>9788367405195</v>
      </c>
    </row>
    <row r="4327" spans="1:6" s="3" customFormat="1" ht="29.1" customHeight="1" x14ac:dyDescent="0.25">
      <c r="A4327" s="2" t="s">
        <v>9406</v>
      </c>
      <c r="B4327" s="2" t="s">
        <v>9407</v>
      </c>
      <c r="C4327" s="2" t="s">
        <v>195</v>
      </c>
      <c r="D4327" s="2" t="s">
        <v>334</v>
      </c>
      <c r="E4327" s="2"/>
      <c r="F4327" s="2" t="str">
        <f>"9788366675513"</f>
        <v>9788366675513</v>
      </c>
    </row>
    <row r="4328" spans="1:6" s="3" customFormat="1" ht="29.1" customHeight="1" x14ac:dyDescent="0.25">
      <c r="A4328" s="2" t="s">
        <v>9408</v>
      </c>
      <c r="B4328" s="2" t="s">
        <v>9409</v>
      </c>
      <c r="C4328" s="2" t="s">
        <v>195</v>
      </c>
      <c r="D4328" s="2" t="s">
        <v>682</v>
      </c>
      <c r="E4328" s="2"/>
      <c r="F4328" s="2" t="str">
        <f>"9788366675193"</f>
        <v>9788366675193</v>
      </c>
    </row>
    <row r="4329" spans="1:6" s="3" customFormat="1" ht="29.1" customHeight="1" x14ac:dyDescent="0.25">
      <c r="A4329" s="2" t="s">
        <v>9410</v>
      </c>
      <c r="B4329" s="2" t="s">
        <v>9411</v>
      </c>
      <c r="C4329" s="2" t="s">
        <v>195</v>
      </c>
      <c r="D4329" s="2" t="s">
        <v>2030</v>
      </c>
      <c r="E4329" s="2" t="str">
        <f>"9783110567304"</f>
        <v>9783110567304</v>
      </c>
      <c r="F4329" s="2" t="str">
        <f>"9783110567311"</f>
        <v>9783110567311</v>
      </c>
    </row>
    <row r="4330" spans="1:6" s="3" customFormat="1" ht="29.1" customHeight="1" x14ac:dyDescent="0.25">
      <c r="A4330" s="2" t="s">
        <v>9412</v>
      </c>
      <c r="B4330" s="2" t="s">
        <v>9413</v>
      </c>
      <c r="C4330" s="2" t="s">
        <v>195</v>
      </c>
      <c r="D4330" s="2" t="s">
        <v>960</v>
      </c>
      <c r="E4330" s="2" t="str">
        <f>"9783035629088"</f>
        <v>9783035629088</v>
      </c>
      <c r="F4330" s="2" t="str">
        <f>"9783035629187"</f>
        <v>9783035629187</v>
      </c>
    </row>
    <row r="4331" spans="1:6" s="3" customFormat="1" ht="29.1" customHeight="1" x14ac:dyDescent="0.25">
      <c r="A4331" s="2" t="s">
        <v>9414</v>
      </c>
      <c r="B4331" s="2" t="s">
        <v>9416</v>
      </c>
      <c r="C4331" s="2" t="s">
        <v>195</v>
      </c>
      <c r="D4331" s="2" t="s">
        <v>9415</v>
      </c>
      <c r="E4331" s="2" t="str">
        <f>"9783035629071"</f>
        <v>9783035629071</v>
      </c>
      <c r="F4331" s="2" t="str">
        <f>"9783035629132"</f>
        <v>9783035629132</v>
      </c>
    </row>
    <row r="4332" spans="1:6" s="3" customFormat="1" ht="29.1" customHeight="1" x14ac:dyDescent="0.25">
      <c r="A4332" s="2" t="s">
        <v>9417</v>
      </c>
      <c r="B4332" s="2" t="s">
        <v>9418</v>
      </c>
      <c r="C4332" s="2" t="s">
        <v>195</v>
      </c>
      <c r="D4332" s="2" t="s">
        <v>4908</v>
      </c>
      <c r="E4332" s="2" t="str">
        <f>"9783035628500"</f>
        <v>9783035628500</v>
      </c>
      <c r="F4332" s="2" t="str">
        <f>"9783035628524"</f>
        <v>9783035628524</v>
      </c>
    </row>
    <row r="4333" spans="1:6" s="3" customFormat="1" ht="29.1" customHeight="1" x14ac:dyDescent="0.25">
      <c r="A4333" s="2" t="s">
        <v>9419</v>
      </c>
      <c r="B4333" s="2" t="s">
        <v>9421</v>
      </c>
      <c r="C4333" s="2" t="s">
        <v>195</v>
      </c>
      <c r="D4333" s="2" t="s">
        <v>9420</v>
      </c>
      <c r="E4333" s="2" t="str">
        <f>"9783035628111"</f>
        <v>9783035628111</v>
      </c>
      <c r="F4333" s="2" t="str">
        <f>"9783035628128"</f>
        <v>9783035628128</v>
      </c>
    </row>
    <row r="4334" spans="1:6" s="3" customFormat="1" ht="29.1" customHeight="1" x14ac:dyDescent="0.25">
      <c r="A4334" s="2" t="s">
        <v>9422</v>
      </c>
      <c r="B4334" s="2" t="s">
        <v>9423</v>
      </c>
      <c r="C4334" s="2" t="s">
        <v>195</v>
      </c>
      <c r="D4334" s="2" t="s">
        <v>9420</v>
      </c>
      <c r="E4334" s="2" t="str">
        <f>"9783035627671"</f>
        <v>9783035627671</v>
      </c>
      <c r="F4334" s="2" t="str">
        <f>"9783035627695"</f>
        <v>9783035627695</v>
      </c>
    </row>
    <row r="4335" spans="1:6" s="3" customFormat="1" ht="29.1" customHeight="1" x14ac:dyDescent="0.25">
      <c r="A4335" s="2" t="s">
        <v>9424</v>
      </c>
      <c r="B4335" s="2" t="s">
        <v>9425</v>
      </c>
      <c r="C4335" s="2" t="s">
        <v>195</v>
      </c>
      <c r="D4335" s="2" t="s">
        <v>9420</v>
      </c>
      <c r="E4335" s="2" t="str">
        <f>"9783035627657"</f>
        <v>9783035627657</v>
      </c>
      <c r="F4335" s="2" t="str">
        <f>"9783035627701"</f>
        <v>9783035627701</v>
      </c>
    </row>
    <row r="4336" spans="1:6" s="3" customFormat="1" ht="29.1" customHeight="1" x14ac:dyDescent="0.25">
      <c r="A4336" s="2" t="s">
        <v>9426</v>
      </c>
      <c r="B4336" s="2" t="s">
        <v>9427</v>
      </c>
      <c r="C4336" s="2" t="s">
        <v>195</v>
      </c>
      <c r="D4336" s="2" t="s">
        <v>4908</v>
      </c>
      <c r="E4336" s="2" t="str">
        <f>"9783035627350"</f>
        <v>9783035627350</v>
      </c>
      <c r="F4336" s="2" t="str">
        <f>"9783035627398"</f>
        <v>9783035627398</v>
      </c>
    </row>
    <row r="4337" spans="1:6" s="3" customFormat="1" ht="29.1" customHeight="1" x14ac:dyDescent="0.25">
      <c r="A4337" s="2" t="s">
        <v>9428</v>
      </c>
      <c r="B4337" s="2" t="s">
        <v>9429</v>
      </c>
      <c r="C4337" s="2" t="s">
        <v>195</v>
      </c>
      <c r="D4337" s="2" t="s">
        <v>1816</v>
      </c>
      <c r="E4337" s="2" t="str">
        <f>"9783035626803"</f>
        <v>9783035626803</v>
      </c>
      <c r="F4337" s="2" t="str">
        <f>"9783035626827"</f>
        <v>9783035626827</v>
      </c>
    </row>
    <row r="4338" spans="1:6" s="3" customFormat="1" ht="29.1" customHeight="1" x14ac:dyDescent="0.25">
      <c r="A4338" s="2" t="s">
        <v>9430</v>
      </c>
      <c r="B4338" s="2" t="s">
        <v>9431</v>
      </c>
      <c r="C4338" s="2" t="s">
        <v>195</v>
      </c>
      <c r="D4338" s="2" t="s">
        <v>1816</v>
      </c>
      <c r="E4338" s="2" t="str">
        <f>"9783035626742"</f>
        <v>9783035626742</v>
      </c>
      <c r="F4338" s="2" t="str">
        <f>"9783035626704"</f>
        <v>9783035626704</v>
      </c>
    </row>
    <row r="4339" spans="1:6" s="3" customFormat="1" ht="29.1" customHeight="1" x14ac:dyDescent="0.25">
      <c r="A4339" s="2" t="s">
        <v>9432</v>
      </c>
      <c r="B4339" s="2" t="s">
        <v>9434</v>
      </c>
      <c r="C4339" s="2" t="s">
        <v>195</v>
      </c>
      <c r="D4339" s="2" t="s">
        <v>9433</v>
      </c>
      <c r="E4339" s="2" t="str">
        <f>"9783035624298"</f>
        <v>9783035624298</v>
      </c>
      <c r="F4339" s="2" t="str">
        <f>"9783035624304"</f>
        <v>9783035624304</v>
      </c>
    </row>
    <row r="4340" spans="1:6" s="3" customFormat="1" ht="29.1" customHeight="1" x14ac:dyDescent="0.25">
      <c r="A4340" s="2" t="s">
        <v>9435</v>
      </c>
      <c r="B4340" s="2" t="s">
        <v>9437</v>
      </c>
      <c r="C4340" s="2" t="s">
        <v>195</v>
      </c>
      <c r="D4340" s="2" t="s">
        <v>9436</v>
      </c>
      <c r="E4340" s="2" t="str">
        <f>"9783035626971"</f>
        <v>9783035626971</v>
      </c>
      <c r="F4340" s="2" t="str">
        <f>"9783035627015"</f>
        <v>9783035627015</v>
      </c>
    </row>
    <row r="4341" spans="1:6" s="3" customFormat="1" ht="29.1" customHeight="1" x14ac:dyDescent="0.25">
      <c r="A4341" s="2" t="s">
        <v>9438</v>
      </c>
      <c r="B4341" s="2" t="s">
        <v>9439</v>
      </c>
      <c r="C4341" s="2" t="s">
        <v>195</v>
      </c>
      <c r="D4341" s="2" t="s">
        <v>1127</v>
      </c>
      <c r="E4341" s="2" t="str">
        <f>"9783986121563"</f>
        <v>9783986121563</v>
      </c>
      <c r="F4341" s="2" t="str">
        <f>"9783986121556"</f>
        <v>9783986121556</v>
      </c>
    </row>
    <row r="4342" spans="1:6" s="3" customFormat="1" ht="29.1" customHeight="1" x14ac:dyDescent="0.25">
      <c r="A4342" s="2" t="s">
        <v>9440</v>
      </c>
      <c r="B4342" s="2" t="s">
        <v>9439</v>
      </c>
      <c r="C4342" s="2" t="s">
        <v>195</v>
      </c>
      <c r="D4342" s="2" t="s">
        <v>9441</v>
      </c>
      <c r="E4342" s="2" t="str">
        <f>"9783986120467"</f>
        <v>9783986120467</v>
      </c>
      <c r="F4342" s="2" t="str">
        <f>"9783986120474"</f>
        <v>9783986120474</v>
      </c>
    </row>
    <row r="4343" spans="1:6" s="3" customFormat="1" ht="29.1" customHeight="1" x14ac:dyDescent="0.25">
      <c r="A4343" s="2" t="s">
        <v>9442</v>
      </c>
      <c r="B4343" s="2" t="s">
        <v>9443</v>
      </c>
      <c r="C4343" s="2" t="s">
        <v>195</v>
      </c>
      <c r="D4343" s="2" t="s">
        <v>1816</v>
      </c>
      <c r="E4343" s="2" t="str">
        <f>"9783868597769"</f>
        <v>9783868597769</v>
      </c>
      <c r="F4343" s="2" t="str">
        <f>"9783868597806"</f>
        <v>9783868597806</v>
      </c>
    </row>
    <row r="4344" spans="1:6" s="3" customFormat="1" ht="29.1" customHeight="1" x14ac:dyDescent="0.25">
      <c r="A4344" s="2" t="s">
        <v>9444</v>
      </c>
      <c r="B4344" s="2" t="s">
        <v>9445</v>
      </c>
      <c r="C4344" s="2" t="s">
        <v>556</v>
      </c>
      <c r="D4344" s="2" t="s">
        <v>1082</v>
      </c>
      <c r="E4344" s="2" t="str">
        <f>"9783837675399"</f>
        <v>9783837675399</v>
      </c>
      <c r="F4344" s="2" t="str">
        <f>"9783839475393"</f>
        <v>9783839475393</v>
      </c>
    </row>
    <row r="4345" spans="1:6" s="3" customFormat="1" ht="29.1" customHeight="1" x14ac:dyDescent="0.25">
      <c r="A4345" s="2" t="s">
        <v>9446</v>
      </c>
      <c r="B4345" s="2" t="s">
        <v>9447</v>
      </c>
      <c r="C4345" s="2" t="s">
        <v>124</v>
      </c>
      <c r="D4345" s="2" t="s">
        <v>30</v>
      </c>
      <c r="E4345" s="2" t="str">
        <f>"9781032786032"</f>
        <v>9781032786032</v>
      </c>
      <c r="F4345" s="2" t="str">
        <f>"9781003492276"</f>
        <v>9781003492276</v>
      </c>
    </row>
    <row r="4346" spans="1:6" s="3" customFormat="1" ht="29.1" customHeight="1" x14ac:dyDescent="0.25">
      <c r="A4346" s="2" t="s">
        <v>9448</v>
      </c>
      <c r="B4346" s="2" t="s">
        <v>9449</v>
      </c>
      <c r="C4346" s="2" t="s">
        <v>2133</v>
      </c>
      <c r="D4346" s="2" t="s">
        <v>66</v>
      </c>
      <c r="E4346" s="2" t="str">
        <f>"9781760466855"</f>
        <v>9781760466855</v>
      </c>
      <c r="F4346" s="2" t="str">
        <f>"9781760466862"</f>
        <v>9781760466862</v>
      </c>
    </row>
    <row r="4347" spans="1:6" s="3" customFormat="1" ht="29.1" customHeight="1" x14ac:dyDescent="0.25">
      <c r="A4347" s="2" t="s">
        <v>9450</v>
      </c>
      <c r="B4347" s="2" t="s">
        <v>9451</v>
      </c>
      <c r="C4347" s="2" t="s">
        <v>595</v>
      </c>
      <c r="D4347" s="2" t="s">
        <v>465</v>
      </c>
      <c r="E4347" s="2" t="str">
        <f>"9783631917107"</f>
        <v>9783631917107</v>
      </c>
      <c r="F4347" s="2" t="str">
        <f>"9783631917183"</f>
        <v>9783631917183</v>
      </c>
    </row>
    <row r="4348" spans="1:6" s="3" customFormat="1" ht="29.1" customHeight="1" x14ac:dyDescent="0.25">
      <c r="A4348" s="2" t="s">
        <v>9452</v>
      </c>
      <c r="B4348" s="2" t="s">
        <v>9453</v>
      </c>
      <c r="C4348" s="2" t="s">
        <v>5</v>
      </c>
      <c r="D4348" s="2" t="s">
        <v>281</v>
      </c>
      <c r="E4348" s="2" t="str">
        <f>"9783031696251"</f>
        <v>9783031696251</v>
      </c>
      <c r="F4348" s="2" t="str">
        <f>"9783031696268"</f>
        <v>9783031696268</v>
      </c>
    </row>
    <row r="4349" spans="1:6" s="3" customFormat="1" ht="29.1" customHeight="1" x14ac:dyDescent="0.25">
      <c r="A4349" s="2" t="s">
        <v>9454</v>
      </c>
      <c r="B4349" s="2" t="s">
        <v>9455</v>
      </c>
      <c r="C4349" s="2" t="s">
        <v>927</v>
      </c>
      <c r="D4349" s="2" t="s">
        <v>2208</v>
      </c>
      <c r="E4349" s="2" t="str">
        <f>"9780472057245"</f>
        <v>9780472057245</v>
      </c>
      <c r="F4349" s="2" t="str">
        <f>"9780472904860"</f>
        <v>9780472904860</v>
      </c>
    </row>
    <row r="4350" spans="1:6" s="3" customFormat="1" ht="29.1" customHeight="1" x14ac:dyDescent="0.25">
      <c r="A4350" s="2" t="s">
        <v>9456</v>
      </c>
      <c r="B4350" s="2" t="s">
        <v>9457</v>
      </c>
      <c r="C4350" s="2" t="s">
        <v>927</v>
      </c>
      <c r="D4350" s="2" t="s">
        <v>4517</v>
      </c>
      <c r="E4350" s="2" t="str">
        <f>"9780472133598"</f>
        <v>9780472133598</v>
      </c>
      <c r="F4350" s="2" t="str">
        <f>"9780472904853"</f>
        <v>9780472904853</v>
      </c>
    </row>
    <row r="4351" spans="1:6" s="3" customFormat="1" ht="29.1" customHeight="1" x14ac:dyDescent="0.25">
      <c r="A4351" s="2" t="s">
        <v>9458</v>
      </c>
      <c r="B4351" s="2" t="s">
        <v>9459</v>
      </c>
      <c r="C4351" s="2" t="s">
        <v>5</v>
      </c>
      <c r="D4351" s="2" t="s">
        <v>791</v>
      </c>
      <c r="E4351" s="2" t="str">
        <f>"9783031756894"</f>
        <v>9783031756894</v>
      </c>
      <c r="F4351" s="2" t="str">
        <f>"9783031756900"</f>
        <v>9783031756900</v>
      </c>
    </row>
    <row r="4352" spans="1:6" s="3" customFormat="1" ht="29.1" customHeight="1" x14ac:dyDescent="0.25">
      <c r="A4352" s="2" t="s">
        <v>9385</v>
      </c>
      <c r="B4352" s="2" t="s">
        <v>9460</v>
      </c>
      <c r="C4352" s="2" t="s">
        <v>29</v>
      </c>
      <c r="D4352" s="2" t="s">
        <v>1432</v>
      </c>
      <c r="E4352" s="2" t="str">
        <f>"9789004700390"</f>
        <v>9789004700390</v>
      </c>
      <c r="F4352" s="2" t="str">
        <f>"9789004700406"</f>
        <v>9789004700406</v>
      </c>
    </row>
    <row r="4353" spans="1:6" s="3" customFormat="1" ht="29.1" customHeight="1" x14ac:dyDescent="0.25">
      <c r="A4353" s="2" t="s">
        <v>9385</v>
      </c>
      <c r="B4353" s="2" t="s">
        <v>9461</v>
      </c>
      <c r="C4353" s="2" t="s">
        <v>29</v>
      </c>
      <c r="D4353" s="2" t="s">
        <v>1432</v>
      </c>
      <c r="E4353" s="2" t="str">
        <f>"9789004700352"</f>
        <v>9789004700352</v>
      </c>
      <c r="F4353" s="2" t="str">
        <f>"9789004700369"</f>
        <v>9789004700369</v>
      </c>
    </row>
    <row r="4354" spans="1:6" s="3" customFormat="1" ht="29.1" customHeight="1" x14ac:dyDescent="0.25">
      <c r="A4354" s="2" t="s">
        <v>9385</v>
      </c>
      <c r="B4354" s="2" t="s">
        <v>9386</v>
      </c>
      <c r="C4354" s="2" t="s">
        <v>29</v>
      </c>
      <c r="D4354" s="2" t="s">
        <v>1432</v>
      </c>
      <c r="E4354" s="2" t="str">
        <f>"9789004700376"</f>
        <v>9789004700376</v>
      </c>
      <c r="F4354" s="2" t="str">
        <f>"9789004700383"</f>
        <v>9789004700383</v>
      </c>
    </row>
    <row r="4355" spans="1:6" s="3" customFormat="1" ht="29.1" customHeight="1" x14ac:dyDescent="0.25">
      <c r="A4355" s="2" t="s">
        <v>9385</v>
      </c>
      <c r="B4355" s="2" t="s">
        <v>9386</v>
      </c>
      <c r="C4355" s="2" t="s">
        <v>29</v>
      </c>
      <c r="D4355" s="2" t="s">
        <v>1432</v>
      </c>
      <c r="E4355" s="2" t="str">
        <f>"9789004726208"</f>
        <v>9789004726208</v>
      </c>
      <c r="F4355" s="2" t="str">
        <f>"9789004726215"</f>
        <v>9789004726215</v>
      </c>
    </row>
    <row r="4356" spans="1:6" s="3" customFormat="1" ht="29.1" customHeight="1" x14ac:dyDescent="0.25">
      <c r="A4356" s="2" t="s">
        <v>9385</v>
      </c>
      <c r="B4356" s="2" t="s">
        <v>9462</v>
      </c>
      <c r="C4356" s="2" t="s">
        <v>29</v>
      </c>
      <c r="D4356" s="2" t="s">
        <v>1432</v>
      </c>
      <c r="E4356" s="2" t="str">
        <f>"9789004506121"</f>
        <v>9789004506121</v>
      </c>
      <c r="F4356" s="2" t="str">
        <f>"9789004506138"</f>
        <v>9789004506138</v>
      </c>
    </row>
    <row r="4357" spans="1:6" s="3" customFormat="1" ht="29.1" customHeight="1" x14ac:dyDescent="0.25">
      <c r="A4357" s="2" t="s">
        <v>9463</v>
      </c>
      <c r="B4357" s="2" t="s">
        <v>9464</v>
      </c>
      <c r="C4357" s="2" t="s">
        <v>927</v>
      </c>
      <c r="D4357" s="2" t="s">
        <v>270</v>
      </c>
      <c r="E4357" s="2" t="str">
        <f>"9780472057252"</f>
        <v>9780472057252</v>
      </c>
      <c r="F4357" s="2" t="str">
        <f>"9780472222070"</f>
        <v>9780472222070</v>
      </c>
    </row>
    <row r="4358" spans="1:6" s="3" customFormat="1" ht="29.1" customHeight="1" x14ac:dyDescent="0.25">
      <c r="A4358" s="2" t="s">
        <v>9465</v>
      </c>
      <c r="B4358" s="2" t="s">
        <v>9466</v>
      </c>
      <c r="C4358" s="2" t="s">
        <v>8853</v>
      </c>
      <c r="D4358" s="2" t="s">
        <v>3693</v>
      </c>
      <c r="E4358" s="2" t="str">
        <f>"9784866582467"</f>
        <v>9784866582467</v>
      </c>
      <c r="F4358" s="2" t="str">
        <f>"9784866581118"</f>
        <v>9784866581118</v>
      </c>
    </row>
    <row r="4359" spans="1:6" s="3" customFormat="1" ht="29.1" customHeight="1" x14ac:dyDescent="0.25">
      <c r="A4359" s="2" t="s">
        <v>9467</v>
      </c>
      <c r="B4359" s="2" t="s">
        <v>9468</v>
      </c>
      <c r="C4359" s="2" t="s">
        <v>8853</v>
      </c>
      <c r="D4359" s="2" t="s">
        <v>1895</v>
      </c>
      <c r="E4359" s="2" t="str">
        <f>"9784866580661"</f>
        <v>9784866580661</v>
      </c>
      <c r="F4359" s="2" t="str">
        <f>"9784866580951"</f>
        <v>9784866580951</v>
      </c>
    </row>
    <row r="4360" spans="1:6" s="3" customFormat="1" ht="29.1" customHeight="1" x14ac:dyDescent="0.25">
      <c r="A4360" s="2" t="s">
        <v>9469</v>
      </c>
      <c r="B4360" s="2" t="s">
        <v>9470</v>
      </c>
      <c r="C4360" s="2" t="s">
        <v>5</v>
      </c>
      <c r="D4360" s="2" t="s">
        <v>3198</v>
      </c>
      <c r="E4360" s="2" t="str">
        <f>"9783031774287"</f>
        <v>9783031774287</v>
      </c>
      <c r="F4360" s="2" t="str">
        <f>"9783031774294"</f>
        <v>9783031774294</v>
      </c>
    </row>
    <row r="4361" spans="1:6" s="3" customFormat="1" ht="29.1" customHeight="1" x14ac:dyDescent="0.25">
      <c r="A4361" s="2" t="s">
        <v>9471</v>
      </c>
      <c r="B4361" s="2"/>
      <c r="C4361" s="2" t="s">
        <v>5</v>
      </c>
      <c r="D4361" s="2" t="s">
        <v>1245</v>
      </c>
      <c r="E4361" s="2" t="str">
        <f>"9789819999668"</f>
        <v>9789819999668</v>
      </c>
      <c r="F4361" s="2" t="str">
        <f>"9789819999675"</f>
        <v>9789819999675</v>
      </c>
    </row>
    <row r="4362" spans="1:6" s="3" customFormat="1" ht="29.1" customHeight="1" x14ac:dyDescent="0.25">
      <c r="A4362" s="2" t="s">
        <v>9472</v>
      </c>
      <c r="B4362" s="2" t="s">
        <v>9474</v>
      </c>
      <c r="C4362" s="2" t="s">
        <v>8449</v>
      </c>
      <c r="D4362" s="2" t="s">
        <v>9473</v>
      </c>
      <c r="E4362" s="2"/>
      <c r="F4362" s="2" t="str">
        <f>"9780821425909"</f>
        <v>9780821425909</v>
      </c>
    </row>
    <row r="4363" spans="1:6" s="3" customFormat="1" ht="29.1" customHeight="1" x14ac:dyDescent="0.25">
      <c r="A4363" s="2" t="s">
        <v>9475</v>
      </c>
      <c r="B4363" s="2" t="s">
        <v>9476</v>
      </c>
      <c r="C4363" s="2" t="s">
        <v>8449</v>
      </c>
      <c r="D4363" s="2" t="s">
        <v>9473</v>
      </c>
      <c r="E4363" s="2"/>
      <c r="F4363" s="2" t="str">
        <f>"9780821425848"</f>
        <v>9780821425848</v>
      </c>
    </row>
    <row r="4364" spans="1:6" s="3" customFormat="1" ht="29.1" customHeight="1" x14ac:dyDescent="0.25">
      <c r="A4364" s="2" t="s">
        <v>9477</v>
      </c>
      <c r="B4364" s="2" t="s">
        <v>9478</v>
      </c>
      <c r="C4364" s="2" t="s">
        <v>5</v>
      </c>
      <c r="D4364" s="2" t="s">
        <v>1189</v>
      </c>
      <c r="E4364" s="2" t="str">
        <f>"9789819775200"</f>
        <v>9789819775200</v>
      </c>
      <c r="F4364" s="2" t="str">
        <f>"9789819775217"</f>
        <v>9789819775217</v>
      </c>
    </row>
    <row r="4365" spans="1:6" s="3" customFormat="1" ht="29.1" customHeight="1" x14ac:dyDescent="0.25">
      <c r="A4365" s="2" t="s">
        <v>9479</v>
      </c>
      <c r="B4365" s="2" t="s">
        <v>9480</v>
      </c>
      <c r="C4365" s="2" t="s">
        <v>5</v>
      </c>
      <c r="D4365" s="2" t="s">
        <v>8343</v>
      </c>
      <c r="E4365" s="2" t="str">
        <f>"9783031559716"</f>
        <v>9783031559716</v>
      </c>
      <c r="F4365" s="2" t="str">
        <f>"9783031559723"</f>
        <v>9783031559723</v>
      </c>
    </row>
    <row r="4366" spans="1:6" s="3" customFormat="1" ht="29.1" customHeight="1" x14ac:dyDescent="0.25">
      <c r="A4366" s="2" t="s">
        <v>9481</v>
      </c>
      <c r="B4366" s="2" t="s">
        <v>9482</v>
      </c>
      <c r="C4366" s="2" t="s">
        <v>5</v>
      </c>
      <c r="D4366" s="2" t="s">
        <v>168</v>
      </c>
      <c r="E4366" s="2" t="str">
        <f>"9783031757167"</f>
        <v>9783031757167</v>
      </c>
      <c r="F4366" s="2" t="str">
        <f>"9783031757174"</f>
        <v>9783031757174</v>
      </c>
    </row>
    <row r="4367" spans="1:6" s="3" customFormat="1" ht="29.1" customHeight="1" x14ac:dyDescent="0.25">
      <c r="A4367" s="2" t="s">
        <v>9483</v>
      </c>
      <c r="B4367" s="2" t="s">
        <v>9484</v>
      </c>
      <c r="C4367" s="2" t="s">
        <v>5</v>
      </c>
      <c r="D4367" s="2" t="s">
        <v>5032</v>
      </c>
      <c r="E4367" s="2" t="str">
        <f>"9783031760846"</f>
        <v>9783031760846</v>
      </c>
      <c r="F4367" s="2" t="str">
        <f>"9783031760853"</f>
        <v>9783031760853</v>
      </c>
    </row>
    <row r="4368" spans="1:6" s="3" customFormat="1" ht="29.1" customHeight="1" x14ac:dyDescent="0.25">
      <c r="A4368" s="2" t="s">
        <v>9485</v>
      </c>
      <c r="B4368" s="2" t="s">
        <v>9486</v>
      </c>
      <c r="C4368" s="2" t="s">
        <v>5</v>
      </c>
      <c r="D4368" s="2" t="s">
        <v>836</v>
      </c>
      <c r="E4368" s="2" t="str">
        <f>"9783031746604"</f>
        <v>9783031746604</v>
      </c>
      <c r="F4368" s="2" t="str">
        <f>"9783031746611"</f>
        <v>9783031746611</v>
      </c>
    </row>
    <row r="4369" spans="1:6" s="3" customFormat="1" ht="29.1" customHeight="1" x14ac:dyDescent="0.25">
      <c r="A4369" s="2" t="s">
        <v>9487</v>
      </c>
      <c r="B4369" s="2" t="s">
        <v>9488</v>
      </c>
      <c r="C4369" s="2" t="s">
        <v>5</v>
      </c>
      <c r="D4369" s="2" t="s">
        <v>2237</v>
      </c>
      <c r="E4369" s="2" t="str">
        <f>"9789464635942"</f>
        <v>9789464635942</v>
      </c>
      <c r="F4369" s="2" t="str">
        <f>"9789464635935"</f>
        <v>9789464635935</v>
      </c>
    </row>
    <row r="4370" spans="1:6" s="3" customFormat="1" ht="29.1" customHeight="1" x14ac:dyDescent="0.25">
      <c r="A4370" s="2" t="s">
        <v>9489</v>
      </c>
      <c r="B4370" s="2" t="s">
        <v>9490</v>
      </c>
      <c r="C4370" s="2" t="s">
        <v>5</v>
      </c>
      <c r="D4370" s="2" t="s">
        <v>894</v>
      </c>
      <c r="E4370" s="2" t="str">
        <f>"9783031783609"</f>
        <v>9783031783609</v>
      </c>
      <c r="F4370" s="2" t="str">
        <f>"9783031783616"</f>
        <v>9783031783616</v>
      </c>
    </row>
    <row r="4371" spans="1:6" s="3" customFormat="1" ht="29.1" customHeight="1" x14ac:dyDescent="0.25">
      <c r="A4371" s="2" t="s">
        <v>9491</v>
      </c>
      <c r="B4371" s="2" t="s">
        <v>9492</v>
      </c>
      <c r="C4371" s="2" t="s">
        <v>2188</v>
      </c>
      <c r="D4371" s="2" t="s">
        <v>81</v>
      </c>
      <c r="E4371" s="2" t="str">
        <f>"9788323243915"</f>
        <v>9788323243915</v>
      </c>
      <c r="F4371" s="2" t="str">
        <f>"9788323243922"</f>
        <v>9788323243922</v>
      </c>
    </row>
    <row r="4372" spans="1:6" s="3" customFormat="1" ht="29.1" customHeight="1" x14ac:dyDescent="0.25">
      <c r="A4372" s="2" t="s">
        <v>9493</v>
      </c>
      <c r="B4372" s="2" t="s">
        <v>9494</v>
      </c>
      <c r="C4372" s="2" t="s">
        <v>2188</v>
      </c>
      <c r="D4372" s="2" t="s">
        <v>210</v>
      </c>
      <c r="E4372" s="2" t="str">
        <f>"9788323243519"</f>
        <v>9788323243519</v>
      </c>
      <c r="F4372" s="2" t="str">
        <f>"9788323243526"</f>
        <v>9788323243526</v>
      </c>
    </row>
    <row r="4373" spans="1:6" s="3" customFormat="1" ht="29.1" customHeight="1" x14ac:dyDescent="0.25">
      <c r="A4373" s="2" t="s">
        <v>9495</v>
      </c>
      <c r="B4373" s="2" t="s">
        <v>9496</v>
      </c>
      <c r="C4373" s="2" t="s">
        <v>595</v>
      </c>
      <c r="D4373" s="2" t="s">
        <v>876</v>
      </c>
      <c r="E4373" s="2" t="str">
        <f>"9782807607316"</f>
        <v>9782807607316</v>
      </c>
      <c r="F4373" s="2" t="str">
        <f>"9782807612914"</f>
        <v>9782807612914</v>
      </c>
    </row>
    <row r="4374" spans="1:6" s="3" customFormat="1" ht="29.1" customHeight="1" x14ac:dyDescent="0.25">
      <c r="A4374" s="2" t="s">
        <v>9497</v>
      </c>
      <c r="B4374" s="2" t="s">
        <v>9498</v>
      </c>
      <c r="C4374" s="2" t="s">
        <v>5</v>
      </c>
      <c r="D4374" s="2" t="s">
        <v>1809</v>
      </c>
      <c r="E4374" s="2" t="str">
        <f>"9783031734496"</f>
        <v>9783031734496</v>
      </c>
      <c r="F4374" s="2" t="str">
        <f>"9783031734502"</f>
        <v>9783031734502</v>
      </c>
    </row>
    <row r="4375" spans="1:6" s="3" customFormat="1" ht="29.1" customHeight="1" x14ac:dyDescent="0.25">
      <c r="A4375" s="2" t="s">
        <v>9499</v>
      </c>
      <c r="B4375" s="2" t="s">
        <v>9500</v>
      </c>
      <c r="C4375" s="2" t="s">
        <v>5</v>
      </c>
      <c r="D4375" s="2" t="s">
        <v>547</v>
      </c>
      <c r="E4375" s="2" t="str">
        <f>"9783031708817"</f>
        <v>9783031708817</v>
      </c>
      <c r="F4375" s="2" t="str">
        <f>"9783031708824"</f>
        <v>9783031708824</v>
      </c>
    </row>
    <row r="4376" spans="1:6" s="3" customFormat="1" ht="29.1" customHeight="1" x14ac:dyDescent="0.25">
      <c r="A4376" s="2" t="s">
        <v>9501</v>
      </c>
      <c r="B4376" s="2" t="s">
        <v>9503</v>
      </c>
      <c r="C4376" s="2" t="s">
        <v>5</v>
      </c>
      <c r="D4376" s="2" t="s">
        <v>9502</v>
      </c>
      <c r="E4376" s="2" t="str">
        <f>"9783031786143"</f>
        <v>9783031786143</v>
      </c>
      <c r="F4376" s="2" t="str">
        <f>"9783031786150"</f>
        <v>9783031786150</v>
      </c>
    </row>
    <row r="4377" spans="1:6" s="3" customFormat="1" ht="29.1" customHeight="1" x14ac:dyDescent="0.25">
      <c r="A4377" s="2" t="s">
        <v>9504</v>
      </c>
      <c r="B4377" s="2" t="s">
        <v>9505</v>
      </c>
      <c r="C4377" s="2" t="s">
        <v>5</v>
      </c>
      <c r="D4377" s="2" t="s">
        <v>95</v>
      </c>
      <c r="E4377" s="2" t="str">
        <f>"9789819791477"</f>
        <v>9789819791477</v>
      </c>
      <c r="F4377" s="2" t="str">
        <f>"9789819791484"</f>
        <v>9789819791484</v>
      </c>
    </row>
    <row r="4378" spans="1:6" s="3" customFormat="1" ht="29.1" customHeight="1" x14ac:dyDescent="0.25">
      <c r="A4378" s="2" t="s">
        <v>9506</v>
      </c>
      <c r="B4378" s="2" t="s">
        <v>9507</v>
      </c>
      <c r="C4378" s="2" t="s">
        <v>5</v>
      </c>
      <c r="D4378" s="2" t="s">
        <v>183</v>
      </c>
      <c r="E4378" s="2" t="str">
        <f>"9789819796625"</f>
        <v>9789819796625</v>
      </c>
      <c r="F4378" s="2" t="str">
        <f>"9789819796632"</f>
        <v>9789819796632</v>
      </c>
    </row>
    <row r="4379" spans="1:6" s="3" customFormat="1" ht="29.1" customHeight="1" x14ac:dyDescent="0.25">
      <c r="A4379" s="2" t="s">
        <v>9508</v>
      </c>
      <c r="B4379" s="2" t="s">
        <v>9509</v>
      </c>
      <c r="C4379" s="2" t="s">
        <v>29</v>
      </c>
      <c r="D4379" s="2" t="s">
        <v>9</v>
      </c>
      <c r="E4379" s="2" t="str">
        <f>"9789004714533"</f>
        <v>9789004714533</v>
      </c>
      <c r="F4379" s="2" t="str">
        <f>"9789004714540"</f>
        <v>9789004714540</v>
      </c>
    </row>
    <row r="4380" spans="1:6" s="3" customFormat="1" ht="29.1" customHeight="1" x14ac:dyDescent="0.25">
      <c r="A4380" s="2" t="s">
        <v>9510</v>
      </c>
      <c r="B4380" s="2" t="s">
        <v>9511</v>
      </c>
      <c r="C4380" s="2" t="s">
        <v>5</v>
      </c>
      <c r="D4380" s="2" t="s">
        <v>2178</v>
      </c>
      <c r="E4380" s="2" t="str">
        <f>"9789819606122"</f>
        <v>9789819606122</v>
      </c>
      <c r="F4380" s="2" t="str">
        <f>"9789819606139"</f>
        <v>9789819606139</v>
      </c>
    </row>
    <row r="4381" spans="1:6" s="3" customFormat="1" ht="29.1" customHeight="1" x14ac:dyDescent="0.25">
      <c r="A4381" s="2" t="s">
        <v>9512</v>
      </c>
      <c r="B4381" s="2" t="s">
        <v>9513</v>
      </c>
      <c r="C4381" s="2" t="s">
        <v>5</v>
      </c>
      <c r="D4381" s="2" t="s">
        <v>9</v>
      </c>
      <c r="E4381" s="2" t="str">
        <f>"9783658460136"</f>
        <v>9783658460136</v>
      </c>
      <c r="F4381" s="2" t="str">
        <f>"9783658460143"</f>
        <v>9783658460143</v>
      </c>
    </row>
    <row r="4382" spans="1:6" s="3" customFormat="1" ht="29.1" customHeight="1" x14ac:dyDescent="0.25">
      <c r="A4382" s="2" t="s">
        <v>9514</v>
      </c>
      <c r="B4382" s="2" t="s">
        <v>9515</v>
      </c>
      <c r="C4382" s="2" t="s">
        <v>5</v>
      </c>
      <c r="D4382" s="2" t="s">
        <v>3086</v>
      </c>
      <c r="E4382" s="2" t="str">
        <f>"9782384763535"</f>
        <v>9782384763535</v>
      </c>
      <c r="F4382" s="2" t="str">
        <f>"9782384763542"</f>
        <v>9782384763542</v>
      </c>
    </row>
    <row r="4383" spans="1:6" s="3" customFormat="1" ht="29.1" customHeight="1" x14ac:dyDescent="0.25">
      <c r="A4383" s="2" t="s">
        <v>9516</v>
      </c>
      <c r="B4383" s="2" t="s">
        <v>9517</v>
      </c>
      <c r="C4383" s="2" t="s">
        <v>5</v>
      </c>
      <c r="D4383" s="2" t="s">
        <v>682</v>
      </c>
      <c r="E4383" s="2" t="str">
        <f>"9782384763436"</f>
        <v>9782384763436</v>
      </c>
      <c r="F4383" s="2" t="str">
        <f>"9782384763443"</f>
        <v>9782384763443</v>
      </c>
    </row>
    <row r="4384" spans="1:6" s="3" customFormat="1" ht="29.1" customHeight="1" x14ac:dyDescent="0.25">
      <c r="A4384" s="2" t="s">
        <v>9518</v>
      </c>
      <c r="B4384" s="2" t="s">
        <v>9519</v>
      </c>
      <c r="C4384" s="2" t="s">
        <v>5</v>
      </c>
      <c r="D4384" s="2" t="s">
        <v>9</v>
      </c>
      <c r="E4384" s="2" t="str">
        <f>"9782384763375"</f>
        <v>9782384763375</v>
      </c>
      <c r="F4384" s="2" t="str">
        <f>"9782384763382"</f>
        <v>9782384763382</v>
      </c>
    </row>
    <row r="4385" spans="1:6" s="3" customFormat="1" ht="29.1" customHeight="1" x14ac:dyDescent="0.25">
      <c r="A4385" s="2" t="s">
        <v>9520</v>
      </c>
      <c r="B4385" s="2" t="s">
        <v>9521</v>
      </c>
      <c r="C4385" s="2" t="s">
        <v>5</v>
      </c>
      <c r="D4385" s="2" t="s">
        <v>141</v>
      </c>
      <c r="E4385" s="2" t="str">
        <f>"9789464636376"</f>
        <v>9789464636376</v>
      </c>
      <c r="F4385" s="2" t="str">
        <f>"9789464636383"</f>
        <v>9789464636383</v>
      </c>
    </row>
    <row r="4386" spans="1:6" s="3" customFormat="1" ht="29.1" customHeight="1" x14ac:dyDescent="0.25">
      <c r="A4386" s="2" t="s">
        <v>9522</v>
      </c>
      <c r="B4386" s="2" t="s">
        <v>9523</v>
      </c>
      <c r="C4386" s="2" t="s">
        <v>5</v>
      </c>
      <c r="D4386" s="2" t="s">
        <v>477</v>
      </c>
      <c r="E4386" s="2" t="str">
        <f>"9789464636253"</f>
        <v>9789464636253</v>
      </c>
      <c r="F4386" s="2" t="str">
        <f>"9789464636260"</f>
        <v>9789464636260</v>
      </c>
    </row>
    <row r="4387" spans="1:6" s="3" customFormat="1" ht="29.1" customHeight="1" x14ac:dyDescent="0.25">
      <c r="A4387" s="2" t="s">
        <v>9524</v>
      </c>
      <c r="B4387" s="2" t="s">
        <v>9525</v>
      </c>
      <c r="C4387" s="2" t="s">
        <v>5</v>
      </c>
      <c r="D4387" s="2" t="s">
        <v>297</v>
      </c>
      <c r="E4387" s="2" t="str">
        <f>"9783031759444"</f>
        <v>9783031759444</v>
      </c>
      <c r="F4387" s="2" t="str">
        <f>"9783031759451"</f>
        <v>9783031759451</v>
      </c>
    </row>
    <row r="4388" spans="1:6" s="3" customFormat="1" ht="29.1" customHeight="1" x14ac:dyDescent="0.25">
      <c r="A4388" s="2" t="s">
        <v>9526</v>
      </c>
      <c r="B4388" s="2" t="s">
        <v>9527</v>
      </c>
      <c r="C4388" s="2" t="s">
        <v>5</v>
      </c>
      <c r="D4388" s="2" t="s">
        <v>69</v>
      </c>
      <c r="E4388" s="2" t="str">
        <f>"9783031717802"</f>
        <v>9783031717802</v>
      </c>
      <c r="F4388" s="2" t="str">
        <f>"9783031717819"</f>
        <v>9783031717819</v>
      </c>
    </row>
    <row r="4389" spans="1:6" s="3" customFormat="1" ht="29.1" customHeight="1" x14ac:dyDescent="0.25">
      <c r="A4389" s="2" t="s">
        <v>9528</v>
      </c>
      <c r="B4389" s="2" t="s">
        <v>9529</v>
      </c>
      <c r="C4389" s="2" t="s">
        <v>5</v>
      </c>
      <c r="D4389" s="2" t="s">
        <v>636</v>
      </c>
      <c r="E4389" s="2" t="str">
        <f>"9783031594885"</f>
        <v>9783031594885</v>
      </c>
      <c r="F4389" s="2" t="str">
        <f>"9783031594892"</f>
        <v>9783031594892</v>
      </c>
    </row>
    <row r="4390" spans="1:6" s="3" customFormat="1" ht="29.1" customHeight="1" x14ac:dyDescent="0.25">
      <c r="A4390" s="2" t="s">
        <v>9530</v>
      </c>
      <c r="B4390" s="2" t="s">
        <v>9531</v>
      </c>
      <c r="C4390" s="2" t="s">
        <v>5</v>
      </c>
      <c r="D4390" s="2" t="s">
        <v>232</v>
      </c>
      <c r="E4390" s="2" t="str">
        <f>"9783031748691"</f>
        <v>9783031748691</v>
      </c>
      <c r="F4390" s="2" t="str">
        <f>"9783031748707"</f>
        <v>9783031748707</v>
      </c>
    </row>
    <row r="4391" spans="1:6" s="3" customFormat="1" ht="29.1" customHeight="1" x14ac:dyDescent="0.25">
      <c r="A4391" s="2" t="s">
        <v>9532</v>
      </c>
      <c r="B4391" s="2" t="s">
        <v>9533</v>
      </c>
      <c r="C4391" s="2" t="s">
        <v>5</v>
      </c>
      <c r="D4391" s="2" t="s">
        <v>98</v>
      </c>
      <c r="E4391" s="2" t="str">
        <f>"9783031760587"</f>
        <v>9783031760587</v>
      </c>
      <c r="F4391" s="2" t="str">
        <f>"9783031760594"</f>
        <v>9783031760594</v>
      </c>
    </row>
    <row r="4392" spans="1:6" s="3" customFormat="1" ht="29.1" customHeight="1" x14ac:dyDescent="0.25">
      <c r="A4392" s="2" t="s">
        <v>9534</v>
      </c>
      <c r="B4392" s="2" t="s">
        <v>9535</v>
      </c>
      <c r="C4392" s="2" t="s">
        <v>5</v>
      </c>
      <c r="D4392" s="2" t="s">
        <v>9</v>
      </c>
      <c r="E4392" s="2" t="str">
        <f>"9782384763450"</f>
        <v>9782384763450</v>
      </c>
      <c r="F4392" s="2" t="str">
        <f>"9782384763467"</f>
        <v>9782384763467</v>
      </c>
    </row>
    <row r="4393" spans="1:6" s="3" customFormat="1" ht="29.1" customHeight="1" x14ac:dyDescent="0.25">
      <c r="A4393" s="2" t="s">
        <v>9536</v>
      </c>
      <c r="B4393" s="2" t="s">
        <v>9537</v>
      </c>
      <c r="C4393" s="2" t="s">
        <v>5</v>
      </c>
      <c r="D4393" s="2" t="s">
        <v>9</v>
      </c>
      <c r="E4393" s="2" t="str">
        <f>"9782384763344"</f>
        <v>9782384763344</v>
      </c>
      <c r="F4393" s="2" t="str">
        <f>"9782384763351"</f>
        <v>9782384763351</v>
      </c>
    </row>
    <row r="4394" spans="1:6" s="3" customFormat="1" ht="29.1" customHeight="1" x14ac:dyDescent="0.25">
      <c r="A4394" s="2" t="s">
        <v>9538</v>
      </c>
      <c r="B4394" s="2" t="s">
        <v>9539</v>
      </c>
      <c r="C4394" s="2" t="s">
        <v>5</v>
      </c>
      <c r="D4394" s="2" t="s">
        <v>454</v>
      </c>
      <c r="E4394" s="2" t="str">
        <f>"9789464636277"</f>
        <v>9789464636277</v>
      </c>
      <c r="F4394" s="2" t="str">
        <f>"9789464636284"</f>
        <v>9789464636284</v>
      </c>
    </row>
    <row r="4395" spans="1:6" s="3" customFormat="1" ht="29.1" customHeight="1" x14ac:dyDescent="0.25">
      <c r="A4395" s="2" t="s">
        <v>9540</v>
      </c>
      <c r="B4395" s="2" t="s">
        <v>9541</v>
      </c>
      <c r="C4395" s="2" t="s">
        <v>5</v>
      </c>
      <c r="D4395" s="2" t="s">
        <v>44</v>
      </c>
      <c r="E4395" s="2" t="str">
        <f>"9789464636178"</f>
        <v>9789464636178</v>
      </c>
      <c r="F4395" s="2" t="str">
        <f>"9789464636185"</f>
        <v>9789464636185</v>
      </c>
    </row>
    <row r="4396" spans="1:6" s="3" customFormat="1" ht="29.1" customHeight="1" x14ac:dyDescent="0.25">
      <c r="A4396" s="2" t="s">
        <v>9542</v>
      </c>
      <c r="B4396" s="2" t="s">
        <v>9543</v>
      </c>
      <c r="C4396" s="2" t="s">
        <v>5</v>
      </c>
      <c r="D4396" s="2" t="s">
        <v>207</v>
      </c>
      <c r="E4396" s="2" t="str">
        <f>"9789464636338"</f>
        <v>9789464636338</v>
      </c>
      <c r="F4396" s="2" t="str">
        <f>"9789464636345"</f>
        <v>9789464636345</v>
      </c>
    </row>
    <row r="4397" spans="1:6" s="3" customFormat="1" ht="29.1" customHeight="1" x14ac:dyDescent="0.25">
      <c r="A4397" s="2" t="s">
        <v>9544</v>
      </c>
      <c r="B4397" s="2" t="s">
        <v>9546</v>
      </c>
      <c r="C4397" s="2" t="s">
        <v>5</v>
      </c>
      <c r="D4397" s="2" t="s">
        <v>9545</v>
      </c>
      <c r="E4397" s="2" t="str">
        <f>"9789819787265"</f>
        <v>9789819787265</v>
      </c>
      <c r="F4397" s="2" t="str">
        <f>"9789819787272"</f>
        <v>9789819787272</v>
      </c>
    </row>
    <row r="4398" spans="1:6" s="3" customFormat="1" ht="29.1" customHeight="1" x14ac:dyDescent="0.25">
      <c r="A4398" s="2" t="s">
        <v>9547</v>
      </c>
      <c r="B4398" s="2" t="s">
        <v>9548</v>
      </c>
      <c r="C4398" s="2" t="s">
        <v>5</v>
      </c>
      <c r="D4398" s="2" t="s">
        <v>4210</v>
      </c>
      <c r="E4398" s="2" t="str">
        <f>"9783031730412"</f>
        <v>9783031730412</v>
      </c>
      <c r="F4398" s="2" t="str">
        <f>"9783031730429"</f>
        <v>9783031730429</v>
      </c>
    </row>
    <row r="4399" spans="1:6" s="3" customFormat="1" ht="29.1" customHeight="1" x14ac:dyDescent="0.25">
      <c r="A4399" s="2" t="s">
        <v>9549</v>
      </c>
      <c r="B4399" s="2" t="s">
        <v>9551</v>
      </c>
      <c r="C4399" s="2" t="s">
        <v>5</v>
      </c>
      <c r="D4399" s="2" t="s">
        <v>9550</v>
      </c>
      <c r="E4399" s="2" t="str">
        <f>"9789819791552"</f>
        <v>9789819791552</v>
      </c>
      <c r="F4399" s="2" t="str">
        <f>"9789819791569"</f>
        <v>9789819791569</v>
      </c>
    </row>
    <row r="4400" spans="1:6" s="3" customFormat="1" ht="29.1" customHeight="1" x14ac:dyDescent="0.25">
      <c r="A4400" s="2" t="s">
        <v>9552</v>
      </c>
      <c r="B4400" s="2" t="s">
        <v>9553</v>
      </c>
      <c r="C4400" s="2" t="s">
        <v>5</v>
      </c>
      <c r="D4400" s="2" t="s">
        <v>210</v>
      </c>
      <c r="E4400" s="2" t="str">
        <f>"9783031759635"</f>
        <v>9783031759635</v>
      </c>
      <c r="F4400" s="2" t="str">
        <f>"9783031759642"</f>
        <v>9783031759642</v>
      </c>
    </row>
    <row r="4401" spans="1:6" s="3" customFormat="1" ht="29.1" customHeight="1" x14ac:dyDescent="0.25">
      <c r="A4401" s="2" t="s">
        <v>9554</v>
      </c>
      <c r="B4401" s="2" t="s">
        <v>9555</v>
      </c>
      <c r="C4401" s="2" t="s">
        <v>5</v>
      </c>
      <c r="D4401" s="2" t="s">
        <v>141</v>
      </c>
      <c r="E4401" s="2" t="str">
        <f>"9789464636079"</f>
        <v>9789464636079</v>
      </c>
      <c r="F4401" s="2" t="str">
        <f>"9789464636086"</f>
        <v>9789464636086</v>
      </c>
    </row>
    <row r="4402" spans="1:6" s="3" customFormat="1" ht="29.1" customHeight="1" x14ac:dyDescent="0.25">
      <c r="A4402" s="2" t="s">
        <v>9556</v>
      </c>
      <c r="B4402" s="2" t="s">
        <v>9557</v>
      </c>
      <c r="C4402" s="2" t="s">
        <v>5</v>
      </c>
      <c r="D4402" s="2" t="s">
        <v>547</v>
      </c>
      <c r="E4402" s="2" t="str">
        <f>"9789819776702"</f>
        <v>9789819776702</v>
      </c>
      <c r="F4402" s="2" t="str">
        <f>"9789819776719"</f>
        <v>9789819776719</v>
      </c>
    </row>
    <row r="4403" spans="1:6" s="3" customFormat="1" ht="29.1" customHeight="1" x14ac:dyDescent="0.25">
      <c r="A4403" s="2" t="s">
        <v>9558</v>
      </c>
      <c r="B4403" s="2" t="s">
        <v>9559</v>
      </c>
      <c r="C4403" s="2" t="s">
        <v>29</v>
      </c>
      <c r="D4403" s="2" t="s">
        <v>9</v>
      </c>
      <c r="E4403" s="2" t="str">
        <f>"9789004714823"</f>
        <v>9789004714823</v>
      </c>
      <c r="F4403" s="2" t="str">
        <f>"9789004714847"</f>
        <v>9789004714847</v>
      </c>
    </row>
    <row r="4404" spans="1:6" s="3" customFormat="1" ht="29.1" customHeight="1" x14ac:dyDescent="0.25">
      <c r="A4404" s="2" t="s">
        <v>9560</v>
      </c>
      <c r="B4404" s="2" t="s">
        <v>9561</v>
      </c>
      <c r="C4404" s="2" t="s">
        <v>5</v>
      </c>
      <c r="D4404" s="2" t="s">
        <v>9</v>
      </c>
      <c r="E4404" s="2" t="str">
        <f>"9782384763320"</f>
        <v>9782384763320</v>
      </c>
      <c r="F4404" s="2" t="str">
        <f>"9782384763337"</f>
        <v>9782384763337</v>
      </c>
    </row>
    <row r="4405" spans="1:6" s="3" customFormat="1" ht="29.1" customHeight="1" x14ac:dyDescent="0.25">
      <c r="A4405" s="2" t="s">
        <v>9562</v>
      </c>
      <c r="B4405" s="2" t="s">
        <v>9563</v>
      </c>
      <c r="C4405" s="2" t="s">
        <v>5</v>
      </c>
      <c r="D4405" s="2" t="s">
        <v>342</v>
      </c>
      <c r="E4405" s="2" t="str">
        <f>"9789464636314"</f>
        <v>9789464636314</v>
      </c>
      <c r="F4405" s="2" t="str">
        <f>"9789464636321"</f>
        <v>9789464636321</v>
      </c>
    </row>
    <row r="4406" spans="1:6" s="3" customFormat="1" ht="29.1" customHeight="1" x14ac:dyDescent="0.25">
      <c r="A4406" s="2" t="s">
        <v>9564</v>
      </c>
      <c r="B4406" s="2" t="s">
        <v>9565</v>
      </c>
      <c r="C4406" s="2" t="s">
        <v>5</v>
      </c>
      <c r="D4406" s="2" t="s">
        <v>4739</v>
      </c>
      <c r="E4406" s="2" t="str">
        <f>"9789464636239"</f>
        <v>9789464636239</v>
      </c>
      <c r="F4406" s="2" t="str">
        <f>"9789464636246"</f>
        <v>9789464636246</v>
      </c>
    </row>
    <row r="4407" spans="1:6" s="3" customFormat="1" ht="29.1" customHeight="1" x14ac:dyDescent="0.25">
      <c r="A4407" s="2" t="s">
        <v>9566</v>
      </c>
      <c r="B4407" s="2" t="s">
        <v>9567</v>
      </c>
      <c r="C4407" s="2" t="s">
        <v>5</v>
      </c>
      <c r="D4407" s="2" t="s">
        <v>297</v>
      </c>
      <c r="E4407" s="2" t="str">
        <f>"9782384763399"</f>
        <v>9782384763399</v>
      </c>
      <c r="F4407" s="2" t="str">
        <f>"9782384763405"</f>
        <v>9782384763405</v>
      </c>
    </row>
    <row r="4408" spans="1:6" s="3" customFormat="1" ht="29.1" customHeight="1" x14ac:dyDescent="0.25">
      <c r="A4408" s="2" t="s">
        <v>9568</v>
      </c>
      <c r="B4408" s="2" t="s">
        <v>9569</v>
      </c>
      <c r="C4408" s="2" t="s">
        <v>5</v>
      </c>
      <c r="D4408" s="2" t="s">
        <v>650</v>
      </c>
      <c r="E4408" s="2" t="str">
        <f>"9789464636192"</f>
        <v>9789464636192</v>
      </c>
      <c r="F4408" s="2" t="str">
        <f>"9789464636208"</f>
        <v>9789464636208</v>
      </c>
    </row>
    <row r="4409" spans="1:6" s="3" customFormat="1" ht="29.1" customHeight="1" x14ac:dyDescent="0.25">
      <c r="A4409" s="2" t="s">
        <v>9570</v>
      </c>
      <c r="B4409" s="2" t="s">
        <v>9571</v>
      </c>
      <c r="C4409" s="2" t="s">
        <v>5</v>
      </c>
      <c r="D4409" s="2" t="s">
        <v>2435</v>
      </c>
      <c r="E4409" s="2" t="str">
        <f>"9783031124945"</f>
        <v>9783031124945</v>
      </c>
      <c r="F4409" s="2" t="str">
        <f>"9783031124952"</f>
        <v>9783031124952</v>
      </c>
    </row>
    <row r="4410" spans="1:6" s="3" customFormat="1" ht="29.1" customHeight="1" x14ac:dyDescent="0.25">
      <c r="A4410" s="2" t="s">
        <v>9572</v>
      </c>
      <c r="B4410" s="2" t="s">
        <v>9573</v>
      </c>
      <c r="C4410" s="2" t="s">
        <v>5</v>
      </c>
      <c r="D4410" s="2" t="s">
        <v>1422</v>
      </c>
      <c r="E4410" s="2" t="str">
        <f>"9789819743032"</f>
        <v>9789819743032</v>
      </c>
      <c r="F4410" s="2" t="str">
        <f>"9789819743049"</f>
        <v>9789819743049</v>
      </c>
    </row>
    <row r="4411" spans="1:6" s="3" customFormat="1" ht="29.1" customHeight="1" x14ac:dyDescent="0.25">
      <c r="A4411" s="2" t="s">
        <v>9574</v>
      </c>
      <c r="B4411" s="2" t="s">
        <v>9576</v>
      </c>
      <c r="C4411" s="2" t="s">
        <v>29</v>
      </c>
      <c r="D4411" s="2" t="s">
        <v>9575</v>
      </c>
      <c r="E4411" s="2" t="str">
        <f>"9789004703001"</f>
        <v>9789004703001</v>
      </c>
      <c r="F4411" s="2" t="str">
        <f>"9789004703056"</f>
        <v>9789004703056</v>
      </c>
    </row>
    <row r="4412" spans="1:6" s="3" customFormat="1" ht="29.1" customHeight="1" x14ac:dyDescent="0.25">
      <c r="A4412" s="2" t="s">
        <v>9577</v>
      </c>
      <c r="B4412" s="2" t="s">
        <v>9578</v>
      </c>
      <c r="C4412" s="2" t="s">
        <v>5</v>
      </c>
      <c r="D4412" s="2" t="s">
        <v>5032</v>
      </c>
      <c r="E4412" s="2" t="str">
        <f>"9783031763977"</f>
        <v>9783031763977</v>
      </c>
      <c r="F4412" s="2" t="str">
        <f>"9783031763984"</f>
        <v>9783031763984</v>
      </c>
    </row>
    <row r="4413" spans="1:6" s="3" customFormat="1" ht="29.1" customHeight="1" x14ac:dyDescent="0.25">
      <c r="A4413" s="2" t="s">
        <v>9579</v>
      </c>
      <c r="B4413" s="2" t="s">
        <v>9580</v>
      </c>
      <c r="C4413" s="2" t="s">
        <v>5</v>
      </c>
      <c r="D4413" s="2" t="s">
        <v>1189</v>
      </c>
      <c r="E4413" s="2" t="str">
        <f>"9782384763283"</f>
        <v>9782384763283</v>
      </c>
      <c r="F4413" s="2" t="str">
        <f>"9782384763290"</f>
        <v>9782384763290</v>
      </c>
    </row>
    <row r="4414" spans="1:6" s="3" customFormat="1" ht="29.1" customHeight="1" x14ac:dyDescent="0.25">
      <c r="A4414" s="2" t="s">
        <v>9581</v>
      </c>
      <c r="B4414" s="2" t="s">
        <v>9582</v>
      </c>
      <c r="C4414" s="2" t="s">
        <v>5</v>
      </c>
      <c r="D4414" s="2" t="s">
        <v>33</v>
      </c>
      <c r="E4414" s="2" t="str">
        <f>"9782384763207"</f>
        <v>9782384763207</v>
      </c>
      <c r="F4414" s="2" t="str">
        <f>"9782384763214"</f>
        <v>9782384763214</v>
      </c>
    </row>
    <row r="4415" spans="1:6" s="3" customFormat="1" ht="29.1" customHeight="1" x14ac:dyDescent="0.25">
      <c r="A4415" s="2" t="s">
        <v>9583</v>
      </c>
      <c r="B4415" s="2" t="s">
        <v>9584</v>
      </c>
      <c r="C4415" s="2" t="s">
        <v>5</v>
      </c>
      <c r="D4415" s="2" t="s">
        <v>81</v>
      </c>
      <c r="E4415" s="2" t="str">
        <f>"9782384763146"</f>
        <v>9782384763146</v>
      </c>
      <c r="F4415" s="2" t="str">
        <f>"9782384763153"</f>
        <v>9782384763153</v>
      </c>
    </row>
    <row r="4416" spans="1:6" s="3" customFormat="1" ht="29.1" customHeight="1" x14ac:dyDescent="0.25">
      <c r="A4416" s="2" t="s">
        <v>9585</v>
      </c>
      <c r="B4416" s="2" t="s">
        <v>9586</v>
      </c>
      <c r="C4416" s="2" t="s">
        <v>5</v>
      </c>
      <c r="D4416" s="2" t="s">
        <v>4500</v>
      </c>
      <c r="E4416" s="2" t="str">
        <f>"9789464636017"</f>
        <v>9789464636017</v>
      </c>
      <c r="F4416" s="2" t="str">
        <f>"9789464636024"</f>
        <v>9789464636024</v>
      </c>
    </row>
    <row r="4417" spans="1:6" s="3" customFormat="1" ht="29.1" customHeight="1" x14ac:dyDescent="0.25">
      <c r="A4417" s="2" t="s">
        <v>9587</v>
      </c>
      <c r="B4417" s="2" t="s">
        <v>9588</v>
      </c>
      <c r="C4417" s="2" t="s">
        <v>5</v>
      </c>
      <c r="D4417" s="2" t="s">
        <v>44</v>
      </c>
      <c r="E4417" s="2" t="str">
        <f>"9789464636055"</f>
        <v>9789464636055</v>
      </c>
      <c r="F4417" s="2" t="str">
        <f>"9789464636062"</f>
        <v>9789464636062</v>
      </c>
    </row>
    <row r="4418" spans="1:6" s="3" customFormat="1" ht="29.1" customHeight="1" x14ac:dyDescent="0.25">
      <c r="A4418" s="2" t="s">
        <v>9589</v>
      </c>
      <c r="B4418" s="2" t="s">
        <v>9590</v>
      </c>
      <c r="C4418" s="2" t="s">
        <v>5</v>
      </c>
      <c r="D4418" s="2" t="s">
        <v>2752</v>
      </c>
      <c r="E4418" s="2" t="str">
        <f>"9783658464059"</f>
        <v>9783658464059</v>
      </c>
      <c r="F4418" s="2" t="str">
        <f>"9783658464066"</f>
        <v>9783658464066</v>
      </c>
    </row>
    <row r="4419" spans="1:6" s="3" customFormat="1" ht="29.1" customHeight="1" x14ac:dyDescent="0.25">
      <c r="A4419" s="2" t="s">
        <v>9591</v>
      </c>
      <c r="B4419" s="2" t="s">
        <v>9592</v>
      </c>
      <c r="C4419" s="2" t="s">
        <v>5</v>
      </c>
      <c r="D4419" s="2" t="s">
        <v>44</v>
      </c>
      <c r="E4419" s="2" t="str">
        <f>"9789819794539"</f>
        <v>9789819794539</v>
      </c>
      <c r="F4419" s="2" t="str">
        <f>"9789819794546"</f>
        <v>9789819794546</v>
      </c>
    </row>
    <row r="4420" spans="1:6" s="3" customFormat="1" ht="29.1" customHeight="1" x14ac:dyDescent="0.25">
      <c r="A4420" s="2" t="s">
        <v>9593</v>
      </c>
      <c r="B4420" s="2" t="s">
        <v>9594</v>
      </c>
      <c r="C4420" s="2" t="s">
        <v>5</v>
      </c>
      <c r="D4420" s="2" t="s">
        <v>3958</v>
      </c>
      <c r="E4420" s="2" t="str">
        <f>"9783658450878"</f>
        <v>9783658450878</v>
      </c>
      <c r="F4420" s="2" t="str">
        <f>"9783658450885"</f>
        <v>9783658450885</v>
      </c>
    </row>
    <row r="4421" spans="1:6" s="3" customFormat="1" ht="29.1" customHeight="1" x14ac:dyDescent="0.25">
      <c r="A4421" s="2" t="s">
        <v>9595</v>
      </c>
      <c r="B4421" s="2" t="s">
        <v>9596</v>
      </c>
      <c r="C4421" s="2" t="s">
        <v>5</v>
      </c>
      <c r="D4421" s="2" t="s">
        <v>347</v>
      </c>
      <c r="E4421" s="2" t="str">
        <f>"9783031532931"</f>
        <v>9783031532931</v>
      </c>
      <c r="F4421" s="2" t="str">
        <f>"9783031532948"</f>
        <v>9783031532948</v>
      </c>
    </row>
    <row r="4422" spans="1:6" s="3" customFormat="1" ht="29.1" customHeight="1" x14ac:dyDescent="0.25">
      <c r="A4422" s="2" t="s">
        <v>9597</v>
      </c>
      <c r="B4422" s="2" t="s">
        <v>9598</v>
      </c>
      <c r="C4422" s="2" t="s">
        <v>305</v>
      </c>
      <c r="D4422" s="2" t="s">
        <v>2587</v>
      </c>
      <c r="E4422" s="2"/>
      <c r="F4422" s="2" t="str">
        <f>"9786219681254"</f>
        <v>9786219681254</v>
      </c>
    </row>
    <row r="4423" spans="1:6" s="3" customFormat="1" ht="29.1" customHeight="1" x14ac:dyDescent="0.25">
      <c r="A4423" s="2" t="s">
        <v>9599</v>
      </c>
      <c r="B4423" s="2" t="s">
        <v>9601</v>
      </c>
      <c r="C4423" s="2" t="s">
        <v>305</v>
      </c>
      <c r="D4423" s="2" t="s">
        <v>9600</v>
      </c>
      <c r="E4423" s="2"/>
      <c r="F4423" s="2" t="str">
        <f>"9786218438019"</f>
        <v>9786218438019</v>
      </c>
    </row>
    <row r="4424" spans="1:6" s="3" customFormat="1" ht="29.1" customHeight="1" x14ac:dyDescent="0.25">
      <c r="A4424" s="2" t="s">
        <v>9602</v>
      </c>
      <c r="B4424" s="2" t="s">
        <v>9601</v>
      </c>
      <c r="C4424" s="2" t="s">
        <v>305</v>
      </c>
      <c r="D4424" s="2" t="s">
        <v>1449</v>
      </c>
      <c r="E4424" s="2"/>
      <c r="F4424" s="2" t="str">
        <f>"9786218438002"</f>
        <v>9786218438002</v>
      </c>
    </row>
    <row r="4425" spans="1:6" s="3" customFormat="1" ht="29.1" customHeight="1" x14ac:dyDescent="0.25">
      <c r="A4425" s="2" t="s">
        <v>9603</v>
      </c>
      <c r="B4425" s="2" t="s">
        <v>9604</v>
      </c>
      <c r="C4425" s="2" t="s">
        <v>305</v>
      </c>
      <c r="D4425" s="2" t="s">
        <v>2260</v>
      </c>
      <c r="E4425" s="2"/>
      <c r="F4425" s="2" t="str">
        <f>"9786219685290"</f>
        <v>9786219685290</v>
      </c>
    </row>
    <row r="4426" spans="1:6" s="3" customFormat="1" ht="29.1" customHeight="1" x14ac:dyDescent="0.25">
      <c r="A4426" s="2" t="s">
        <v>9605</v>
      </c>
      <c r="B4426" s="2" t="s">
        <v>9604</v>
      </c>
      <c r="C4426" s="2" t="s">
        <v>305</v>
      </c>
      <c r="D4426" s="2" t="s">
        <v>1416</v>
      </c>
      <c r="E4426" s="2"/>
      <c r="F4426" s="2" t="str">
        <f>"9786219685283"</f>
        <v>9786219685283</v>
      </c>
    </row>
    <row r="4427" spans="1:6" s="3" customFormat="1" ht="29.1" customHeight="1" x14ac:dyDescent="0.25">
      <c r="A4427" s="2" t="s">
        <v>9606</v>
      </c>
      <c r="B4427" s="2" t="s">
        <v>9601</v>
      </c>
      <c r="C4427" s="2" t="s">
        <v>305</v>
      </c>
      <c r="D4427" s="2" t="s">
        <v>1768</v>
      </c>
      <c r="E4427" s="2"/>
      <c r="F4427" s="2" t="str">
        <f>"9786219685276"</f>
        <v>9786219685276</v>
      </c>
    </row>
    <row r="4428" spans="1:6" s="3" customFormat="1" ht="29.1" customHeight="1" x14ac:dyDescent="0.25">
      <c r="A4428" s="2" t="s">
        <v>9607</v>
      </c>
      <c r="B4428" s="2" t="s">
        <v>9601</v>
      </c>
      <c r="C4428" s="2" t="s">
        <v>305</v>
      </c>
      <c r="D4428" s="2" t="s">
        <v>984</v>
      </c>
      <c r="E4428" s="2"/>
      <c r="F4428" s="2" t="str">
        <f>"9786219685269"</f>
        <v>9786219685269</v>
      </c>
    </row>
    <row r="4429" spans="1:6" s="3" customFormat="1" ht="29.1" customHeight="1" x14ac:dyDescent="0.25">
      <c r="A4429" s="2" t="s">
        <v>9608</v>
      </c>
      <c r="B4429" s="2" t="s">
        <v>9609</v>
      </c>
      <c r="C4429" s="2" t="s">
        <v>305</v>
      </c>
      <c r="D4429" s="2" t="s">
        <v>4138</v>
      </c>
      <c r="E4429" s="2"/>
      <c r="F4429" s="2" t="str">
        <f>"9786219685252"</f>
        <v>9786219685252</v>
      </c>
    </row>
    <row r="4430" spans="1:6" s="3" customFormat="1" ht="29.1" customHeight="1" x14ac:dyDescent="0.25">
      <c r="A4430" s="2" t="s">
        <v>9610</v>
      </c>
      <c r="B4430" s="2" t="s">
        <v>9611</v>
      </c>
      <c r="C4430" s="2" t="s">
        <v>305</v>
      </c>
      <c r="D4430" s="2" t="s">
        <v>52</v>
      </c>
      <c r="E4430" s="2"/>
      <c r="F4430" s="2" t="str">
        <f>"9786219685245"</f>
        <v>9786219685245</v>
      </c>
    </row>
    <row r="4431" spans="1:6" s="3" customFormat="1" ht="29.1" customHeight="1" x14ac:dyDescent="0.25">
      <c r="A4431" s="2" t="s">
        <v>9612</v>
      </c>
      <c r="B4431" s="2" t="s">
        <v>9613</v>
      </c>
      <c r="C4431" s="2" t="s">
        <v>305</v>
      </c>
      <c r="D4431" s="2" t="s">
        <v>550</v>
      </c>
      <c r="E4431" s="2"/>
      <c r="F4431" s="2" t="str">
        <f>"9786219685221"</f>
        <v>9786219685221</v>
      </c>
    </row>
    <row r="4432" spans="1:6" s="3" customFormat="1" ht="29.1" customHeight="1" x14ac:dyDescent="0.25">
      <c r="A4432" s="2" t="s">
        <v>9614</v>
      </c>
      <c r="B4432" s="2" t="s">
        <v>9615</v>
      </c>
      <c r="C4432" s="2" t="s">
        <v>305</v>
      </c>
      <c r="D4432" s="2" t="s">
        <v>284</v>
      </c>
      <c r="E4432" s="2"/>
      <c r="F4432" s="2" t="str">
        <f>"9786219685214"</f>
        <v>9786219685214</v>
      </c>
    </row>
    <row r="4433" spans="1:6" s="3" customFormat="1" ht="29.1" customHeight="1" x14ac:dyDescent="0.25">
      <c r="A4433" s="2" t="s">
        <v>9616</v>
      </c>
      <c r="B4433" s="2" t="s">
        <v>9617</v>
      </c>
      <c r="C4433" s="2" t="s">
        <v>305</v>
      </c>
      <c r="D4433" s="2" t="s">
        <v>984</v>
      </c>
      <c r="E4433" s="2"/>
      <c r="F4433" s="2" t="str">
        <f>"9786219685207"</f>
        <v>9786219685207</v>
      </c>
    </row>
    <row r="4434" spans="1:6" s="3" customFormat="1" ht="29.1" customHeight="1" x14ac:dyDescent="0.25">
      <c r="A4434" s="2" t="s">
        <v>9618</v>
      </c>
      <c r="B4434" s="2" t="s">
        <v>9619</v>
      </c>
      <c r="C4434" s="2" t="s">
        <v>305</v>
      </c>
      <c r="D4434" s="2" t="s">
        <v>5480</v>
      </c>
      <c r="E4434" s="2"/>
      <c r="F4434" s="2" t="str">
        <f>"9786219681292"</f>
        <v>9786219681292</v>
      </c>
    </row>
    <row r="4435" spans="1:6" s="3" customFormat="1" ht="29.1" customHeight="1" x14ac:dyDescent="0.25">
      <c r="A4435" s="2" t="s">
        <v>9620</v>
      </c>
      <c r="B4435" s="2" t="s">
        <v>9621</v>
      </c>
      <c r="C4435" s="2" t="s">
        <v>305</v>
      </c>
      <c r="D4435" s="2" t="s">
        <v>984</v>
      </c>
      <c r="E4435" s="2"/>
      <c r="F4435" s="2" t="str">
        <f>"9786219681285"</f>
        <v>9786219681285</v>
      </c>
    </row>
    <row r="4436" spans="1:6" s="3" customFormat="1" ht="29.1" customHeight="1" x14ac:dyDescent="0.25">
      <c r="A4436" s="2" t="s">
        <v>9622</v>
      </c>
      <c r="B4436" s="2" t="s">
        <v>9623</v>
      </c>
      <c r="C4436" s="2" t="s">
        <v>305</v>
      </c>
      <c r="D4436" s="2" t="s">
        <v>694</v>
      </c>
      <c r="E4436" s="2"/>
      <c r="F4436" s="2" t="str">
        <f>"9786219681278"</f>
        <v>9786219681278</v>
      </c>
    </row>
    <row r="4437" spans="1:6" s="3" customFormat="1" ht="29.1" customHeight="1" x14ac:dyDescent="0.25">
      <c r="A4437" s="2" t="s">
        <v>9624</v>
      </c>
      <c r="B4437" s="2" t="s">
        <v>9626</v>
      </c>
      <c r="C4437" s="2" t="s">
        <v>305</v>
      </c>
      <c r="D4437" s="2" t="s">
        <v>9625</v>
      </c>
      <c r="E4437" s="2"/>
      <c r="F4437" s="2" t="str">
        <f>"9786219681261"</f>
        <v>9786219681261</v>
      </c>
    </row>
    <row r="4438" spans="1:6" s="3" customFormat="1" ht="29.1" customHeight="1" x14ac:dyDescent="0.25">
      <c r="A4438" s="2" t="s">
        <v>9627</v>
      </c>
      <c r="B4438" s="2" t="s">
        <v>9629</v>
      </c>
      <c r="C4438" s="2" t="s">
        <v>305</v>
      </c>
      <c r="D4438" s="2" t="s">
        <v>9628</v>
      </c>
      <c r="E4438" s="2"/>
      <c r="F4438" s="2" t="str">
        <f>"9786219681230"</f>
        <v>9786219681230</v>
      </c>
    </row>
    <row r="4439" spans="1:6" s="3" customFormat="1" ht="29.1" customHeight="1" x14ac:dyDescent="0.25">
      <c r="A4439" s="2" t="s">
        <v>9630</v>
      </c>
      <c r="B4439" s="2" t="s">
        <v>9632</v>
      </c>
      <c r="C4439" s="2" t="s">
        <v>305</v>
      </c>
      <c r="D4439" s="2" t="s">
        <v>9631</v>
      </c>
      <c r="E4439" s="2"/>
      <c r="F4439" s="2" t="str">
        <f>"9786219681223"</f>
        <v>9786219681223</v>
      </c>
    </row>
    <row r="4440" spans="1:6" s="3" customFormat="1" ht="29.1" customHeight="1" x14ac:dyDescent="0.25">
      <c r="A4440" s="2" t="s">
        <v>9633</v>
      </c>
      <c r="B4440" s="2" t="s">
        <v>9634</v>
      </c>
      <c r="C4440" s="2" t="s">
        <v>305</v>
      </c>
      <c r="D4440" s="2" t="s">
        <v>2587</v>
      </c>
      <c r="E4440" s="2"/>
      <c r="F4440" s="2" t="str">
        <f>"9786219681209"</f>
        <v>9786219681209</v>
      </c>
    </row>
    <row r="4441" spans="1:6" s="3" customFormat="1" ht="29.1" customHeight="1" x14ac:dyDescent="0.25">
      <c r="A4441" s="2" t="s">
        <v>9635</v>
      </c>
      <c r="B4441" s="2" t="s">
        <v>9636</v>
      </c>
      <c r="C4441" s="2" t="s">
        <v>5</v>
      </c>
      <c r="D4441" s="2" t="s">
        <v>490</v>
      </c>
      <c r="E4441" s="2" t="str">
        <f>"9783662698211"</f>
        <v>9783662698211</v>
      </c>
      <c r="F4441" s="2" t="str">
        <f>"9783662698228"</f>
        <v>9783662698228</v>
      </c>
    </row>
    <row r="4442" spans="1:6" s="3" customFormat="1" ht="29.1" customHeight="1" x14ac:dyDescent="0.25">
      <c r="A4442" s="2" t="s">
        <v>9637</v>
      </c>
      <c r="B4442" s="2" t="s">
        <v>9638</v>
      </c>
      <c r="C4442" s="2" t="s">
        <v>5</v>
      </c>
      <c r="D4442" s="2" t="s">
        <v>183</v>
      </c>
      <c r="E4442" s="2" t="str">
        <f>"9789819780655"</f>
        <v>9789819780655</v>
      </c>
      <c r="F4442" s="2" t="str">
        <f>"9789819780662"</f>
        <v>9789819780662</v>
      </c>
    </row>
    <row r="4443" spans="1:6" s="3" customFormat="1" ht="29.1" customHeight="1" x14ac:dyDescent="0.25">
      <c r="A4443" s="2" t="s">
        <v>9639</v>
      </c>
      <c r="B4443" s="2" t="s">
        <v>9640</v>
      </c>
      <c r="C4443" s="2" t="s">
        <v>5</v>
      </c>
      <c r="D4443" s="2" t="s">
        <v>141</v>
      </c>
      <c r="E4443" s="2" t="str">
        <f>"9789464636130"</f>
        <v>9789464636130</v>
      </c>
      <c r="F4443" s="2" t="str">
        <f>"9789464636147"</f>
        <v>9789464636147</v>
      </c>
    </row>
    <row r="4444" spans="1:6" s="3" customFormat="1" ht="29.1" customHeight="1" x14ac:dyDescent="0.25">
      <c r="A4444" s="2" t="s">
        <v>9641</v>
      </c>
      <c r="B4444" s="2" t="s">
        <v>9642</v>
      </c>
      <c r="C4444" s="2" t="s">
        <v>5</v>
      </c>
      <c r="D4444" s="2" t="s">
        <v>381</v>
      </c>
      <c r="E4444" s="2" t="str">
        <f>"9783031785894"</f>
        <v>9783031785894</v>
      </c>
      <c r="F4444" s="2" t="str">
        <f>"9783031785900"</f>
        <v>9783031785900</v>
      </c>
    </row>
    <row r="4445" spans="1:6" s="3" customFormat="1" ht="29.1" customHeight="1" x14ac:dyDescent="0.25">
      <c r="A4445" s="2" t="s">
        <v>9643</v>
      </c>
      <c r="B4445" s="2" t="s">
        <v>9644</v>
      </c>
      <c r="C4445" s="2" t="s">
        <v>5</v>
      </c>
      <c r="D4445" s="2" t="s">
        <v>4172</v>
      </c>
      <c r="E4445" s="2" t="str">
        <f>"9783658466015"</f>
        <v>9783658466015</v>
      </c>
      <c r="F4445" s="2" t="str">
        <f>"9783658466022"</f>
        <v>9783658466022</v>
      </c>
    </row>
    <row r="4446" spans="1:6" s="3" customFormat="1" ht="29.1" customHeight="1" x14ac:dyDescent="0.25">
      <c r="A4446" s="2" t="s">
        <v>9645</v>
      </c>
      <c r="B4446" s="2" t="s">
        <v>9646</v>
      </c>
      <c r="C4446" s="2" t="s">
        <v>5</v>
      </c>
      <c r="D4446" s="2" t="s">
        <v>12</v>
      </c>
      <c r="E4446" s="2" t="str">
        <f>"9783031701566"</f>
        <v>9783031701566</v>
      </c>
      <c r="F4446" s="2" t="str">
        <f>"9783031701573"</f>
        <v>9783031701573</v>
      </c>
    </row>
    <row r="4447" spans="1:6" s="3" customFormat="1" ht="29.1" customHeight="1" x14ac:dyDescent="0.25">
      <c r="A4447" s="2" t="s">
        <v>9647</v>
      </c>
      <c r="B4447" s="2" t="s">
        <v>9648</v>
      </c>
      <c r="C4447" s="2" t="s">
        <v>5</v>
      </c>
      <c r="D4447" s="2" t="s">
        <v>89</v>
      </c>
      <c r="E4447" s="2" t="str">
        <f>"9783031701528"</f>
        <v>9783031701528</v>
      </c>
      <c r="F4447" s="2" t="str">
        <f>"9783031701535"</f>
        <v>9783031701535</v>
      </c>
    </row>
    <row r="4448" spans="1:6" s="3" customFormat="1" ht="29.1" customHeight="1" x14ac:dyDescent="0.25">
      <c r="A4448" s="2" t="s">
        <v>9649</v>
      </c>
      <c r="B4448" s="2" t="s">
        <v>9650</v>
      </c>
      <c r="C4448" s="2" t="s">
        <v>36</v>
      </c>
      <c r="D4448" s="2" t="s">
        <v>501</v>
      </c>
      <c r="E4448" s="2" t="str">
        <f>"9781529233247"</f>
        <v>9781529233247</v>
      </c>
      <c r="F4448" s="2" t="str">
        <f>"9781529233254"</f>
        <v>9781529233254</v>
      </c>
    </row>
    <row r="4449" spans="1:6" s="3" customFormat="1" ht="29.1" customHeight="1" x14ac:dyDescent="0.25">
      <c r="A4449" s="2" t="s">
        <v>9651</v>
      </c>
      <c r="B4449" s="2" t="s">
        <v>6834</v>
      </c>
      <c r="C4449" s="2" t="s">
        <v>6834</v>
      </c>
      <c r="D4449" s="2" t="s">
        <v>9652</v>
      </c>
      <c r="E4449" s="2"/>
      <c r="F4449" s="2"/>
    </row>
    <row r="4450" spans="1:6" s="3" customFormat="1" ht="29.1" customHeight="1" x14ac:dyDescent="0.25">
      <c r="A4450" s="2" t="s">
        <v>9653</v>
      </c>
      <c r="B4450" s="2" t="s">
        <v>6834</v>
      </c>
      <c r="C4450" s="2" t="s">
        <v>6834</v>
      </c>
      <c r="D4450" s="2" t="s">
        <v>9652</v>
      </c>
      <c r="E4450" s="2"/>
      <c r="F4450" s="2"/>
    </row>
    <row r="4451" spans="1:6" s="3" customFormat="1" ht="29.1" customHeight="1" x14ac:dyDescent="0.25">
      <c r="A4451" s="2" t="s">
        <v>9654</v>
      </c>
      <c r="B4451" s="2" t="s">
        <v>6834</v>
      </c>
      <c r="C4451" s="2" t="s">
        <v>6834</v>
      </c>
      <c r="D4451" s="2" t="s">
        <v>9625</v>
      </c>
      <c r="E4451" s="2" t="str">
        <f>"9789280536683"</f>
        <v>9789280536683</v>
      </c>
      <c r="F4451" s="2" t="str">
        <f>"9789280536690"</f>
        <v>9789280536690</v>
      </c>
    </row>
    <row r="4452" spans="1:6" s="3" customFormat="1" ht="29.1" customHeight="1" x14ac:dyDescent="0.25">
      <c r="A4452" s="2" t="s">
        <v>9655</v>
      </c>
      <c r="B4452" s="2" t="s">
        <v>6834</v>
      </c>
      <c r="C4452" s="2" t="s">
        <v>6834</v>
      </c>
      <c r="D4452" s="2" t="s">
        <v>9656</v>
      </c>
      <c r="E4452" s="2" t="str">
        <f>"9789280536805"</f>
        <v>9789280536805</v>
      </c>
      <c r="F4452" s="2" t="str">
        <f>"9789280536812"</f>
        <v>9789280536812</v>
      </c>
    </row>
    <row r="4453" spans="1:6" s="3" customFormat="1" ht="29.1" customHeight="1" x14ac:dyDescent="0.25">
      <c r="A4453" s="2" t="s">
        <v>9657</v>
      </c>
      <c r="B4453" s="2" t="s">
        <v>6834</v>
      </c>
      <c r="C4453" s="2" t="s">
        <v>6834</v>
      </c>
      <c r="D4453" s="2" t="s">
        <v>6511</v>
      </c>
      <c r="E4453" s="2" t="str">
        <f>"9789280536881"</f>
        <v>9789280536881</v>
      </c>
      <c r="F4453" s="2" t="str">
        <f>"9789280536898"</f>
        <v>9789280536898</v>
      </c>
    </row>
    <row r="4454" spans="1:6" s="3" customFormat="1" ht="29.1" customHeight="1" x14ac:dyDescent="0.25">
      <c r="A4454" s="2" t="s">
        <v>9658</v>
      </c>
      <c r="B4454" s="2" t="s">
        <v>6834</v>
      </c>
      <c r="C4454" s="2" t="s">
        <v>6834</v>
      </c>
      <c r="D4454" s="2" t="s">
        <v>6837</v>
      </c>
      <c r="E4454" s="2" t="str">
        <f>"9789280536904"</f>
        <v>9789280536904</v>
      </c>
      <c r="F4454" s="2" t="str">
        <f>"9789280536911"</f>
        <v>9789280536911</v>
      </c>
    </row>
    <row r="4455" spans="1:6" s="3" customFormat="1" ht="29.1" customHeight="1" x14ac:dyDescent="0.25">
      <c r="A4455" s="2" t="s">
        <v>9659</v>
      </c>
      <c r="B4455" s="2" t="s">
        <v>6834</v>
      </c>
      <c r="C4455" s="2" t="s">
        <v>6834</v>
      </c>
      <c r="D4455" s="2" t="s">
        <v>9656</v>
      </c>
      <c r="E4455" s="2"/>
      <c r="F4455" s="2"/>
    </row>
    <row r="4456" spans="1:6" s="3" customFormat="1" ht="29.1" customHeight="1" x14ac:dyDescent="0.25">
      <c r="A4456" s="2" t="s">
        <v>9660</v>
      </c>
      <c r="B4456" s="2" t="s">
        <v>6834</v>
      </c>
      <c r="C4456" s="2" t="s">
        <v>6834</v>
      </c>
      <c r="D4456" s="2" t="s">
        <v>9656</v>
      </c>
      <c r="E4456" s="2"/>
      <c r="F4456" s="2"/>
    </row>
    <row r="4457" spans="1:6" s="3" customFormat="1" ht="29.1" customHeight="1" x14ac:dyDescent="0.25">
      <c r="A4457" s="2" t="s">
        <v>9661</v>
      </c>
      <c r="B4457" s="2" t="s">
        <v>6834</v>
      </c>
      <c r="C4457" s="2" t="s">
        <v>6834</v>
      </c>
      <c r="D4457" s="2" t="s">
        <v>9656</v>
      </c>
      <c r="E4457" s="2"/>
      <c r="F4457" s="2"/>
    </row>
    <row r="4458" spans="1:6" s="3" customFormat="1" ht="29.1" customHeight="1" x14ac:dyDescent="0.25">
      <c r="A4458" s="2" t="s">
        <v>9662</v>
      </c>
      <c r="B4458" s="2" t="s">
        <v>6834</v>
      </c>
      <c r="C4458" s="2" t="s">
        <v>6834</v>
      </c>
      <c r="D4458" s="2" t="s">
        <v>6837</v>
      </c>
      <c r="E4458" s="2" t="str">
        <f>"9789280536089"</f>
        <v>9789280536089</v>
      </c>
      <c r="F4458" s="2" t="str">
        <f>"9789280536096"</f>
        <v>9789280536096</v>
      </c>
    </row>
    <row r="4459" spans="1:6" s="3" customFormat="1" ht="29.1" customHeight="1" x14ac:dyDescent="0.25">
      <c r="A4459" s="2" t="s">
        <v>9663</v>
      </c>
      <c r="B4459" s="2" t="s">
        <v>6834</v>
      </c>
      <c r="C4459" s="2" t="s">
        <v>6834</v>
      </c>
      <c r="D4459" s="2" t="s">
        <v>52</v>
      </c>
      <c r="E4459" s="2"/>
      <c r="F4459" s="2"/>
    </row>
    <row r="4460" spans="1:6" s="3" customFormat="1" ht="29.1" customHeight="1" x14ac:dyDescent="0.25">
      <c r="A4460" s="2" t="s">
        <v>9664</v>
      </c>
      <c r="B4460" s="2" t="s">
        <v>6834</v>
      </c>
      <c r="C4460" s="2" t="s">
        <v>6834</v>
      </c>
      <c r="D4460" s="2" t="s">
        <v>6835</v>
      </c>
      <c r="E4460" s="2"/>
      <c r="F4460" s="2"/>
    </row>
    <row r="4461" spans="1:6" s="3" customFormat="1" ht="29.1" customHeight="1" x14ac:dyDescent="0.25">
      <c r="A4461" s="2" t="s">
        <v>9665</v>
      </c>
      <c r="B4461" s="2" t="s">
        <v>6834</v>
      </c>
      <c r="C4461" s="2" t="s">
        <v>6834</v>
      </c>
      <c r="D4461" s="2" t="s">
        <v>6835</v>
      </c>
      <c r="E4461" s="2"/>
      <c r="F4461" s="2"/>
    </row>
    <row r="4462" spans="1:6" s="3" customFormat="1" ht="29.1" customHeight="1" x14ac:dyDescent="0.25">
      <c r="A4462" s="2" t="s">
        <v>9666</v>
      </c>
      <c r="B4462" s="2" t="s">
        <v>6834</v>
      </c>
      <c r="C4462" s="2" t="s">
        <v>6834</v>
      </c>
      <c r="D4462" s="2" t="s">
        <v>6835</v>
      </c>
      <c r="E4462" s="2"/>
      <c r="F4462" s="2"/>
    </row>
    <row r="4463" spans="1:6" s="3" customFormat="1" ht="29.1" customHeight="1" x14ac:dyDescent="0.25">
      <c r="A4463" s="2" t="s">
        <v>9667</v>
      </c>
      <c r="B4463" s="2" t="s">
        <v>6834</v>
      </c>
      <c r="C4463" s="2" t="s">
        <v>6834</v>
      </c>
      <c r="D4463" s="2" t="s">
        <v>7269</v>
      </c>
      <c r="E4463" s="2"/>
      <c r="F4463" s="2"/>
    </row>
    <row r="4464" spans="1:6" s="3" customFormat="1" ht="29.1" customHeight="1" x14ac:dyDescent="0.25">
      <c r="A4464" s="2" t="s">
        <v>9668</v>
      </c>
      <c r="B4464" s="2" t="s">
        <v>6834</v>
      </c>
      <c r="C4464" s="2" t="s">
        <v>6834</v>
      </c>
      <c r="D4464" s="2" t="s">
        <v>7269</v>
      </c>
      <c r="E4464" s="2"/>
      <c r="F4464" s="2"/>
    </row>
    <row r="4465" spans="1:6" s="3" customFormat="1" ht="29.1" customHeight="1" x14ac:dyDescent="0.25">
      <c r="A4465" s="2" t="s">
        <v>9669</v>
      </c>
      <c r="B4465" s="2" t="s">
        <v>6834</v>
      </c>
      <c r="C4465" s="2" t="s">
        <v>6834</v>
      </c>
      <c r="D4465" s="2" t="s">
        <v>9652</v>
      </c>
      <c r="E4465" s="2"/>
      <c r="F4465" s="2"/>
    </row>
    <row r="4466" spans="1:6" s="3" customFormat="1" ht="29.1" customHeight="1" x14ac:dyDescent="0.25">
      <c r="A4466" s="2" t="s">
        <v>9670</v>
      </c>
      <c r="B4466" s="2" t="s">
        <v>6834</v>
      </c>
      <c r="C4466" s="2" t="s">
        <v>6834</v>
      </c>
      <c r="D4466" s="2" t="s">
        <v>9671</v>
      </c>
      <c r="E4466" s="2"/>
      <c r="F4466" s="2"/>
    </row>
    <row r="4467" spans="1:6" s="3" customFormat="1" ht="29.1" customHeight="1" x14ac:dyDescent="0.25">
      <c r="A4467" s="2" t="s">
        <v>9672</v>
      </c>
      <c r="B4467" s="2" t="s">
        <v>6834</v>
      </c>
      <c r="C4467" s="2" t="s">
        <v>6834</v>
      </c>
      <c r="D4467" s="2" t="s">
        <v>6837</v>
      </c>
      <c r="E4467" s="2"/>
      <c r="F4467" s="2"/>
    </row>
    <row r="4468" spans="1:6" s="3" customFormat="1" ht="29.1" customHeight="1" x14ac:dyDescent="0.25">
      <c r="A4468" s="2" t="s">
        <v>9673</v>
      </c>
      <c r="B4468" s="2" t="s">
        <v>6834</v>
      </c>
      <c r="C4468" s="2" t="s">
        <v>6834</v>
      </c>
      <c r="D4468" s="2" t="s">
        <v>6837</v>
      </c>
      <c r="E4468" s="2" t="str">
        <f>"9789280536461"</f>
        <v>9789280536461</v>
      </c>
      <c r="F4468" s="2" t="str">
        <f>"9789280536478"</f>
        <v>9789280536478</v>
      </c>
    </row>
    <row r="4469" spans="1:6" s="3" customFormat="1" ht="29.1" customHeight="1" x14ac:dyDescent="0.25">
      <c r="A4469" s="2" t="s">
        <v>9674</v>
      </c>
      <c r="B4469" s="2" t="s">
        <v>6834</v>
      </c>
      <c r="C4469" s="2" t="s">
        <v>6834</v>
      </c>
      <c r="D4469" s="2" t="s">
        <v>6837</v>
      </c>
      <c r="E4469" s="2"/>
      <c r="F4469" s="2"/>
    </row>
    <row r="4470" spans="1:6" s="3" customFormat="1" ht="29.1" customHeight="1" x14ac:dyDescent="0.25">
      <c r="A4470" s="2" t="s">
        <v>9675</v>
      </c>
      <c r="B4470" s="2" t="s">
        <v>6834</v>
      </c>
      <c r="C4470" s="2" t="s">
        <v>6834</v>
      </c>
      <c r="D4470" s="2" t="s">
        <v>6837</v>
      </c>
      <c r="E4470" s="2"/>
      <c r="F4470" s="2"/>
    </row>
    <row r="4471" spans="1:6" s="3" customFormat="1" ht="29.1" customHeight="1" x14ac:dyDescent="0.25">
      <c r="A4471" s="2" t="s">
        <v>9676</v>
      </c>
      <c r="B4471" s="2" t="s">
        <v>6834</v>
      </c>
      <c r="C4471" s="2" t="s">
        <v>6834</v>
      </c>
      <c r="D4471" s="2" t="s">
        <v>6837</v>
      </c>
      <c r="E4471" s="2"/>
      <c r="F4471" s="2"/>
    </row>
    <row r="4472" spans="1:6" s="3" customFormat="1" ht="29.1" customHeight="1" x14ac:dyDescent="0.25">
      <c r="A4472" s="2" t="s">
        <v>9677</v>
      </c>
      <c r="B4472" s="2" t="s">
        <v>9678</v>
      </c>
      <c r="C4472" s="2" t="s">
        <v>6834</v>
      </c>
      <c r="D4472" s="2" t="s">
        <v>6835</v>
      </c>
      <c r="E4472" s="2"/>
      <c r="F4472" s="2"/>
    </row>
    <row r="4473" spans="1:6" s="3" customFormat="1" ht="29.1" customHeight="1" x14ac:dyDescent="0.25">
      <c r="A4473" s="2" t="s">
        <v>9679</v>
      </c>
      <c r="B4473" s="2" t="s">
        <v>9680</v>
      </c>
      <c r="C4473" s="2" t="s">
        <v>29</v>
      </c>
      <c r="D4473" s="2" t="s">
        <v>408</v>
      </c>
      <c r="E4473" s="2" t="str">
        <f>"9789004715783"</f>
        <v>9789004715783</v>
      </c>
      <c r="F4473" s="2" t="str">
        <f>"9789004715837"</f>
        <v>9789004715837</v>
      </c>
    </row>
    <row r="4474" spans="1:6" s="3" customFormat="1" ht="29.1" customHeight="1" x14ac:dyDescent="0.25">
      <c r="A4474" s="2" t="s">
        <v>9681</v>
      </c>
      <c r="B4474" s="2" t="s">
        <v>9682</v>
      </c>
      <c r="C4474" s="2" t="s">
        <v>29</v>
      </c>
      <c r="D4474" s="2" t="s">
        <v>192</v>
      </c>
      <c r="E4474" s="2" t="str">
        <f>"9789004537859"</f>
        <v>9789004537859</v>
      </c>
      <c r="F4474" s="2" t="str">
        <f>"9789004538368"</f>
        <v>9789004538368</v>
      </c>
    </row>
    <row r="4475" spans="1:6" s="3" customFormat="1" ht="29.1" customHeight="1" x14ac:dyDescent="0.25">
      <c r="A4475" s="2" t="s">
        <v>9683</v>
      </c>
      <c r="B4475" s="2" t="s">
        <v>9684</v>
      </c>
      <c r="C4475" s="2" t="s">
        <v>29</v>
      </c>
      <c r="D4475" s="2" t="s">
        <v>210</v>
      </c>
      <c r="E4475" s="2" t="str">
        <f>"9789004707528"</f>
        <v>9789004707528</v>
      </c>
      <c r="F4475" s="2" t="str">
        <f>"9789004715363"</f>
        <v>9789004715363</v>
      </c>
    </row>
    <row r="4476" spans="1:6" s="3" customFormat="1" ht="29.1" customHeight="1" x14ac:dyDescent="0.25">
      <c r="A4476" s="2" t="s">
        <v>9685</v>
      </c>
      <c r="B4476" s="2" t="s">
        <v>9686</v>
      </c>
      <c r="C4476" s="2" t="s">
        <v>5</v>
      </c>
      <c r="D4476" s="2" t="s">
        <v>297</v>
      </c>
      <c r="E4476" s="2" t="str">
        <f>"9782384763221"</f>
        <v>9782384763221</v>
      </c>
      <c r="F4476" s="2" t="str">
        <f>"9782384763238"</f>
        <v>9782384763238</v>
      </c>
    </row>
    <row r="4477" spans="1:6" s="3" customFormat="1" ht="29.1" customHeight="1" x14ac:dyDescent="0.25">
      <c r="A4477" s="2" t="s">
        <v>9687</v>
      </c>
      <c r="B4477" s="2" t="s">
        <v>9688</v>
      </c>
      <c r="C4477" s="2" t="s">
        <v>5</v>
      </c>
      <c r="D4477" s="2" t="s">
        <v>9205</v>
      </c>
      <c r="E4477" s="2" t="str">
        <f>"9783658458881"</f>
        <v>9783658458881</v>
      </c>
      <c r="F4477" s="2" t="str">
        <f>"9783658458898"</f>
        <v>9783658458898</v>
      </c>
    </row>
    <row r="4478" spans="1:6" s="3" customFormat="1" ht="29.1" customHeight="1" x14ac:dyDescent="0.25">
      <c r="A4478" s="2" t="s">
        <v>9689</v>
      </c>
      <c r="B4478" s="2" t="s">
        <v>9690</v>
      </c>
      <c r="C4478" s="2" t="s">
        <v>927</v>
      </c>
      <c r="D4478" s="2" t="s">
        <v>297</v>
      </c>
      <c r="E4478" s="2" t="str">
        <f>"9780472057191"</f>
        <v>9780472057191</v>
      </c>
      <c r="F4478" s="2" t="str">
        <f>"9780472904815"</f>
        <v>9780472904815</v>
      </c>
    </row>
    <row r="4479" spans="1:6" s="3" customFormat="1" ht="29.1" customHeight="1" x14ac:dyDescent="0.25">
      <c r="A4479" s="2" t="s">
        <v>9691</v>
      </c>
      <c r="B4479" s="2" t="s">
        <v>9692</v>
      </c>
      <c r="C4479" s="2" t="s">
        <v>5</v>
      </c>
      <c r="D4479" s="2" t="s">
        <v>9</v>
      </c>
      <c r="E4479" s="2" t="str">
        <f>"9782384763306"</f>
        <v>9782384763306</v>
      </c>
      <c r="F4479" s="2" t="str">
        <f>"9782384763313"</f>
        <v>9782384763313</v>
      </c>
    </row>
    <row r="4480" spans="1:6" s="3" customFormat="1" ht="29.1" customHeight="1" x14ac:dyDescent="0.25">
      <c r="A4480" s="2" t="s">
        <v>9693</v>
      </c>
      <c r="B4480" s="2" t="s">
        <v>9694</v>
      </c>
      <c r="C4480" s="2" t="s">
        <v>5</v>
      </c>
      <c r="D4480" s="2" t="s">
        <v>2237</v>
      </c>
      <c r="E4480" s="2" t="str">
        <f>"9789464636154"</f>
        <v>9789464636154</v>
      </c>
      <c r="F4480" s="2" t="str">
        <f>"9789464636161"</f>
        <v>9789464636161</v>
      </c>
    </row>
    <row r="4481" spans="1:6" s="3" customFormat="1" ht="29.1" customHeight="1" x14ac:dyDescent="0.25">
      <c r="A4481" s="2" t="s">
        <v>9695</v>
      </c>
      <c r="B4481" s="2" t="s">
        <v>9696</v>
      </c>
      <c r="C4481" s="2" t="s">
        <v>746</v>
      </c>
      <c r="D4481" s="2" t="s">
        <v>4185</v>
      </c>
      <c r="E4481" s="2" t="str">
        <f>"9781803278414"</f>
        <v>9781803278414</v>
      </c>
      <c r="F4481" s="2" t="str">
        <f>"9781803278421"</f>
        <v>9781803278421</v>
      </c>
    </row>
    <row r="4482" spans="1:6" s="3" customFormat="1" ht="29.1" customHeight="1" x14ac:dyDescent="0.25">
      <c r="A4482" s="2" t="s">
        <v>9697</v>
      </c>
      <c r="B4482" s="2" t="s">
        <v>9698</v>
      </c>
      <c r="C4482" s="2" t="s">
        <v>746</v>
      </c>
      <c r="D4482" s="2" t="s">
        <v>606</v>
      </c>
      <c r="E4482" s="2" t="str">
        <f>"9781803277400"</f>
        <v>9781803277400</v>
      </c>
      <c r="F4482" s="2" t="str">
        <f>"9781803277417"</f>
        <v>9781803277417</v>
      </c>
    </row>
    <row r="4483" spans="1:6" s="3" customFormat="1" ht="29.1" customHeight="1" x14ac:dyDescent="0.25">
      <c r="A4483" s="2" t="s">
        <v>9699</v>
      </c>
      <c r="B4483" s="2" t="s">
        <v>9700</v>
      </c>
      <c r="C4483" s="2" t="s">
        <v>885</v>
      </c>
      <c r="D4483" s="2" t="s">
        <v>1245</v>
      </c>
      <c r="E4483" s="2" t="str">
        <f>"9781487548841"</f>
        <v>9781487548841</v>
      </c>
      <c r="F4483" s="2" t="str">
        <f>"9781487550226"</f>
        <v>9781487550226</v>
      </c>
    </row>
    <row r="4484" spans="1:6" s="3" customFormat="1" ht="29.1" customHeight="1" x14ac:dyDescent="0.25">
      <c r="A4484" s="2" t="s">
        <v>9701</v>
      </c>
      <c r="B4484" s="2" t="s">
        <v>9702</v>
      </c>
      <c r="C4484" s="2" t="s">
        <v>885</v>
      </c>
      <c r="D4484" s="2" t="s">
        <v>436</v>
      </c>
      <c r="E4484" s="2" t="str">
        <f>"9781487557256"</f>
        <v>9781487557256</v>
      </c>
      <c r="F4484" s="2" t="str">
        <f>"9781487557263"</f>
        <v>9781487557263</v>
      </c>
    </row>
    <row r="4485" spans="1:6" s="3" customFormat="1" ht="29.1" customHeight="1" x14ac:dyDescent="0.25">
      <c r="A4485" s="2" t="s">
        <v>9703</v>
      </c>
      <c r="B4485" s="2" t="s">
        <v>9704</v>
      </c>
      <c r="C4485" s="2" t="s">
        <v>316</v>
      </c>
      <c r="D4485" s="2" t="s">
        <v>2237</v>
      </c>
      <c r="E4485" s="2" t="str">
        <f>"9783036407067"</f>
        <v>9783036407067</v>
      </c>
      <c r="F4485" s="2" t="str">
        <f>"9783036417066"</f>
        <v>9783036417066</v>
      </c>
    </row>
    <row r="4486" spans="1:6" s="3" customFormat="1" ht="29.1" customHeight="1" x14ac:dyDescent="0.25">
      <c r="A4486" s="2" t="s">
        <v>9705</v>
      </c>
      <c r="B4486" s="2"/>
      <c r="C4486" s="2" t="s">
        <v>59</v>
      </c>
      <c r="D4486" s="2" t="s">
        <v>373</v>
      </c>
      <c r="E4486" s="2"/>
      <c r="F4486" s="2" t="str">
        <f>"9782759239726"</f>
        <v>9782759239726</v>
      </c>
    </row>
    <row r="4487" spans="1:6" s="3" customFormat="1" ht="29.1" customHeight="1" x14ac:dyDescent="0.25">
      <c r="A4487" s="2" t="s">
        <v>9706</v>
      </c>
      <c r="B4487" s="2" t="s">
        <v>9707</v>
      </c>
      <c r="C4487" s="2" t="s">
        <v>2133</v>
      </c>
      <c r="D4487" s="2" t="s">
        <v>4783</v>
      </c>
      <c r="E4487" s="2" t="str">
        <f>"9781760466770"</f>
        <v>9781760466770</v>
      </c>
      <c r="F4487" s="2" t="str">
        <f>"9781760466787"</f>
        <v>9781760466787</v>
      </c>
    </row>
    <row r="4488" spans="1:6" s="3" customFormat="1" ht="29.1" customHeight="1" x14ac:dyDescent="0.25">
      <c r="A4488" s="2" t="s">
        <v>9708</v>
      </c>
      <c r="B4488" s="2" t="s">
        <v>9709</v>
      </c>
      <c r="C4488" s="2" t="s">
        <v>20</v>
      </c>
      <c r="D4488" s="2" t="s">
        <v>981</v>
      </c>
      <c r="E4488" s="2" t="str">
        <f>"9783763973958"</f>
        <v>9783763973958</v>
      </c>
      <c r="F4488" s="2" t="str">
        <f>"9783763974368"</f>
        <v>9783763974368</v>
      </c>
    </row>
    <row r="4489" spans="1:6" s="3" customFormat="1" ht="29.1" customHeight="1" x14ac:dyDescent="0.25">
      <c r="A4489" s="2" t="s">
        <v>5066</v>
      </c>
      <c r="B4489" s="2" t="s">
        <v>9710</v>
      </c>
      <c r="C4489" s="2" t="s">
        <v>20</v>
      </c>
      <c r="D4489" s="2" t="s">
        <v>24</v>
      </c>
      <c r="E4489" s="2"/>
      <c r="F4489" s="2" t="str">
        <f>"9783763977949"</f>
        <v>9783763977949</v>
      </c>
    </row>
    <row r="4490" spans="1:6" s="3" customFormat="1" ht="29.1" customHeight="1" x14ac:dyDescent="0.25">
      <c r="A4490" s="2" t="s">
        <v>9711</v>
      </c>
      <c r="B4490" s="2" t="s">
        <v>9712</v>
      </c>
      <c r="C4490" s="2" t="s">
        <v>20</v>
      </c>
      <c r="D4490" s="2" t="s">
        <v>9</v>
      </c>
      <c r="E4490" s="2" t="str">
        <f>"9783763977550"</f>
        <v>9783763977550</v>
      </c>
      <c r="F4490" s="2" t="str">
        <f>"9783763977567"</f>
        <v>9783763977567</v>
      </c>
    </row>
    <row r="4491" spans="1:6" s="3" customFormat="1" ht="29.1" customHeight="1" x14ac:dyDescent="0.25">
      <c r="A4491" s="2" t="s">
        <v>9713</v>
      </c>
      <c r="B4491" s="2" t="s">
        <v>9714</v>
      </c>
      <c r="C4491" s="2" t="s">
        <v>20</v>
      </c>
      <c r="D4491" s="2" t="s">
        <v>135</v>
      </c>
      <c r="E4491" s="2"/>
      <c r="F4491" s="2" t="str">
        <f>"9783763978083"</f>
        <v>9783763978083</v>
      </c>
    </row>
    <row r="4492" spans="1:6" s="3" customFormat="1" ht="29.1" customHeight="1" x14ac:dyDescent="0.25">
      <c r="A4492" s="2" t="s">
        <v>9715</v>
      </c>
      <c r="B4492" s="2" t="s">
        <v>9717</v>
      </c>
      <c r="C4492" s="2" t="s">
        <v>9716</v>
      </c>
      <c r="D4492" s="2" t="s">
        <v>297</v>
      </c>
      <c r="E4492" s="2" t="str">
        <f>"9781439925805"</f>
        <v>9781439925805</v>
      </c>
      <c r="F4492" s="2" t="str">
        <f>"9781439925829"</f>
        <v>9781439925829</v>
      </c>
    </row>
    <row r="4493" spans="1:6" s="3" customFormat="1" ht="29.1" customHeight="1" x14ac:dyDescent="0.25">
      <c r="A4493" s="2" t="s">
        <v>9718</v>
      </c>
      <c r="B4493" s="2" t="s">
        <v>9719</v>
      </c>
      <c r="C4493" s="2" t="s">
        <v>5</v>
      </c>
      <c r="D4493" s="2" t="s">
        <v>113</v>
      </c>
      <c r="E4493" s="2" t="str">
        <f>"9783031612237"</f>
        <v>9783031612237</v>
      </c>
      <c r="F4493" s="2" t="str">
        <f>"9783031612244"</f>
        <v>9783031612244</v>
      </c>
    </row>
    <row r="4494" spans="1:6" s="3" customFormat="1" ht="29.1" customHeight="1" x14ac:dyDescent="0.25">
      <c r="A4494" s="2" t="s">
        <v>9720</v>
      </c>
      <c r="B4494" s="2" t="s">
        <v>9721</v>
      </c>
      <c r="C4494" s="2" t="s">
        <v>5</v>
      </c>
      <c r="D4494" s="2" t="s">
        <v>15</v>
      </c>
      <c r="E4494" s="2" t="str">
        <f>"9782384763245"</f>
        <v>9782384763245</v>
      </c>
      <c r="F4494" s="2" t="str">
        <f>"9782384763252"</f>
        <v>9782384763252</v>
      </c>
    </row>
    <row r="4495" spans="1:6" s="3" customFormat="1" ht="29.1" customHeight="1" x14ac:dyDescent="0.25">
      <c r="A4495" s="2" t="s">
        <v>9722</v>
      </c>
      <c r="B4495" s="2" t="s">
        <v>9723</v>
      </c>
      <c r="C4495" s="2" t="s">
        <v>5</v>
      </c>
      <c r="D4495" s="2" t="s">
        <v>186</v>
      </c>
      <c r="E4495" s="2" t="str">
        <f>"9789464635973"</f>
        <v>9789464635973</v>
      </c>
      <c r="F4495" s="2" t="str">
        <f>"9789464635980"</f>
        <v>9789464635980</v>
      </c>
    </row>
    <row r="4496" spans="1:6" s="3" customFormat="1" ht="29.1" customHeight="1" x14ac:dyDescent="0.25">
      <c r="A4496" s="2" t="s">
        <v>9724</v>
      </c>
      <c r="B4496" s="2" t="s">
        <v>9725</v>
      </c>
      <c r="C4496" s="2" t="s">
        <v>5</v>
      </c>
      <c r="D4496" s="2" t="s">
        <v>2237</v>
      </c>
      <c r="E4496" s="2" t="str">
        <f>"9789464636031"</f>
        <v>9789464636031</v>
      </c>
      <c r="F4496" s="2" t="str">
        <f>"9789464636048"</f>
        <v>9789464636048</v>
      </c>
    </row>
    <row r="4497" spans="1:6" s="3" customFormat="1" ht="29.1" customHeight="1" x14ac:dyDescent="0.25">
      <c r="A4497" s="2" t="s">
        <v>9726</v>
      </c>
      <c r="B4497" s="2" t="s">
        <v>9727</v>
      </c>
      <c r="C4497" s="2" t="s">
        <v>5</v>
      </c>
      <c r="D4497" s="2" t="s">
        <v>183</v>
      </c>
      <c r="E4497" s="2" t="str">
        <f>"9783031697920"</f>
        <v>9783031697920</v>
      </c>
      <c r="F4497" s="2" t="str">
        <f>"9783031697937"</f>
        <v>9783031697937</v>
      </c>
    </row>
    <row r="4498" spans="1:6" s="3" customFormat="1" ht="29.1" customHeight="1" x14ac:dyDescent="0.25">
      <c r="A4498" s="2" t="s">
        <v>9728</v>
      </c>
      <c r="B4498" s="2" t="s">
        <v>9729</v>
      </c>
      <c r="C4498" s="2" t="s">
        <v>149</v>
      </c>
      <c r="D4498" s="2" t="s">
        <v>215</v>
      </c>
      <c r="E4498" s="2" t="str">
        <f>"9781805113997"</f>
        <v>9781805113997</v>
      </c>
      <c r="F4498" s="2" t="str">
        <f>"9781805114017"</f>
        <v>9781805114017</v>
      </c>
    </row>
    <row r="4499" spans="1:6" s="3" customFormat="1" ht="29.1" customHeight="1" x14ac:dyDescent="0.25">
      <c r="A4499" s="2" t="s">
        <v>9730</v>
      </c>
      <c r="B4499" s="2" t="s">
        <v>9731</v>
      </c>
      <c r="C4499" s="2" t="s">
        <v>20</v>
      </c>
      <c r="D4499" s="2" t="s">
        <v>1025</v>
      </c>
      <c r="E4499" s="2" t="str">
        <f>"9783763977710"</f>
        <v>9783763977710</v>
      </c>
      <c r="F4499" s="2" t="str">
        <f>"9783763977727"</f>
        <v>9783763977727</v>
      </c>
    </row>
    <row r="4500" spans="1:6" s="3" customFormat="1" ht="29.1" customHeight="1" x14ac:dyDescent="0.25">
      <c r="A4500" s="2" t="s">
        <v>9732</v>
      </c>
      <c r="B4500" s="2" t="s">
        <v>9733</v>
      </c>
      <c r="C4500" s="2" t="s">
        <v>20</v>
      </c>
      <c r="D4500" s="2" t="s">
        <v>9</v>
      </c>
      <c r="E4500" s="2" t="str">
        <f>"9783763976355"</f>
        <v>9783763976355</v>
      </c>
      <c r="F4500" s="2" t="str">
        <f>"9783763976362"</f>
        <v>9783763976362</v>
      </c>
    </row>
    <row r="4501" spans="1:6" s="3" customFormat="1" ht="29.1" customHeight="1" x14ac:dyDescent="0.25">
      <c r="A4501" s="2" t="s">
        <v>9734</v>
      </c>
      <c r="B4501" s="2" t="s">
        <v>9735</v>
      </c>
      <c r="C4501" s="2" t="s">
        <v>29</v>
      </c>
      <c r="D4501" s="2" t="s">
        <v>183</v>
      </c>
      <c r="E4501" s="2" t="str">
        <f>"9789004691896"</f>
        <v>9789004691896</v>
      </c>
      <c r="F4501" s="2" t="str">
        <f>"9789004691926"</f>
        <v>9789004691926</v>
      </c>
    </row>
    <row r="4502" spans="1:6" s="3" customFormat="1" ht="29.1" customHeight="1" x14ac:dyDescent="0.25">
      <c r="A4502" s="2" t="s">
        <v>9736</v>
      </c>
      <c r="B4502" s="2" t="s">
        <v>9737</v>
      </c>
      <c r="C4502" s="2" t="s">
        <v>29</v>
      </c>
      <c r="D4502" s="2" t="s">
        <v>183</v>
      </c>
      <c r="E4502" s="2" t="str">
        <f>"9789004691902"</f>
        <v>9789004691902</v>
      </c>
      <c r="F4502" s="2" t="str">
        <f>"9789004691919"</f>
        <v>9789004691919</v>
      </c>
    </row>
    <row r="4503" spans="1:6" s="3" customFormat="1" ht="29.1" customHeight="1" x14ac:dyDescent="0.25">
      <c r="A4503" s="2" t="s">
        <v>9738</v>
      </c>
      <c r="B4503" s="2" t="s">
        <v>9740</v>
      </c>
      <c r="C4503" s="2" t="s">
        <v>29</v>
      </c>
      <c r="D4503" s="2" t="s">
        <v>9739</v>
      </c>
      <c r="E4503" s="2" t="str">
        <f>"9789004692954"</f>
        <v>9789004692954</v>
      </c>
      <c r="F4503" s="2" t="str">
        <f>"9789004706804"</f>
        <v>9789004706804</v>
      </c>
    </row>
    <row r="4504" spans="1:6" s="3" customFormat="1" ht="29.1" customHeight="1" x14ac:dyDescent="0.25">
      <c r="A4504" s="2" t="s">
        <v>9741</v>
      </c>
      <c r="B4504" s="2" t="s">
        <v>9742</v>
      </c>
      <c r="C4504" s="2" t="s">
        <v>29</v>
      </c>
      <c r="D4504" s="2" t="s">
        <v>4160</v>
      </c>
      <c r="E4504" s="2" t="str">
        <f>"9789004689312"</f>
        <v>9789004689312</v>
      </c>
      <c r="F4504" s="2" t="str">
        <f>"9789004689329"</f>
        <v>9789004689329</v>
      </c>
    </row>
    <row r="4505" spans="1:6" s="3" customFormat="1" ht="29.1" customHeight="1" x14ac:dyDescent="0.25">
      <c r="A4505" s="2" t="s">
        <v>9743</v>
      </c>
      <c r="B4505" s="2" t="s">
        <v>9638</v>
      </c>
      <c r="C4505" s="2" t="s">
        <v>5</v>
      </c>
      <c r="D4505" s="2" t="s">
        <v>183</v>
      </c>
      <c r="E4505" s="2" t="str">
        <f>"9789819780617"</f>
        <v>9789819780617</v>
      </c>
      <c r="F4505" s="2" t="str">
        <f>"9789819780624"</f>
        <v>9789819780624</v>
      </c>
    </row>
    <row r="4506" spans="1:6" s="3" customFormat="1" ht="29.1" customHeight="1" x14ac:dyDescent="0.25">
      <c r="A4506" s="2" t="s">
        <v>9744</v>
      </c>
      <c r="B4506" s="2" t="s">
        <v>9745</v>
      </c>
      <c r="C4506" s="2" t="s">
        <v>5</v>
      </c>
      <c r="D4506" s="2" t="s">
        <v>501</v>
      </c>
      <c r="E4506" s="2" t="str">
        <f>"9783031751769"</f>
        <v>9783031751769</v>
      </c>
      <c r="F4506" s="2" t="str">
        <f>"9783031751776"</f>
        <v>9783031751776</v>
      </c>
    </row>
    <row r="4507" spans="1:6" s="3" customFormat="1" ht="29.1" customHeight="1" x14ac:dyDescent="0.25">
      <c r="A4507" s="2" t="s">
        <v>9746</v>
      </c>
      <c r="B4507" s="2" t="s">
        <v>9747</v>
      </c>
      <c r="C4507" s="2" t="s">
        <v>5</v>
      </c>
      <c r="D4507" s="2" t="s">
        <v>7132</v>
      </c>
      <c r="E4507" s="2" t="str">
        <f>"9783031649868"</f>
        <v>9783031649868</v>
      </c>
      <c r="F4507" s="2" t="str">
        <f>"9783031649875"</f>
        <v>9783031649875</v>
      </c>
    </row>
    <row r="4508" spans="1:6" s="3" customFormat="1" ht="29.1" customHeight="1" x14ac:dyDescent="0.25">
      <c r="A4508" s="2" t="s">
        <v>9748</v>
      </c>
      <c r="B4508" s="2" t="s">
        <v>9749</v>
      </c>
      <c r="C4508" s="2" t="s">
        <v>5</v>
      </c>
      <c r="D4508" s="2" t="s">
        <v>9</v>
      </c>
      <c r="E4508" s="2" t="str">
        <f>"9783658452148"</f>
        <v>9783658452148</v>
      </c>
      <c r="F4508" s="2" t="str">
        <f>"9783658452155"</f>
        <v>9783658452155</v>
      </c>
    </row>
    <row r="4509" spans="1:6" s="3" customFormat="1" ht="29.1" customHeight="1" x14ac:dyDescent="0.25">
      <c r="A4509" s="2" t="s">
        <v>9750</v>
      </c>
      <c r="B4509" s="2" t="s">
        <v>9751</v>
      </c>
      <c r="C4509" s="2" t="s">
        <v>5</v>
      </c>
      <c r="D4509" s="2" t="s">
        <v>894</v>
      </c>
      <c r="E4509" s="2" t="str">
        <f>"9783658452025"</f>
        <v>9783658452025</v>
      </c>
      <c r="F4509" s="2" t="str">
        <f>"9783658452032"</f>
        <v>9783658452032</v>
      </c>
    </row>
    <row r="4510" spans="1:6" s="3" customFormat="1" ht="29.1" customHeight="1" x14ac:dyDescent="0.25">
      <c r="A4510" s="2" t="s">
        <v>1296</v>
      </c>
      <c r="B4510" s="2" t="s">
        <v>9752</v>
      </c>
      <c r="C4510" s="2" t="s">
        <v>1070</v>
      </c>
      <c r="D4510" s="2" t="s">
        <v>1275</v>
      </c>
      <c r="E4510" s="2" t="str">
        <f>"9783318072983"</f>
        <v>9783318072983</v>
      </c>
      <c r="F4510" s="2" t="str">
        <f>"9783318073928"</f>
        <v>9783318073928</v>
      </c>
    </row>
    <row r="4511" spans="1:6" s="3" customFormat="1" ht="29.1" customHeight="1" x14ac:dyDescent="0.25">
      <c r="A4511" s="2" t="s">
        <v>1264</v>
      </c>
      <c r="B4511" s="2" t="s">
        <v>1266</v>
      </c>
      <c r="C4511" s="2" t="s">
        <v>1070</v>
      </c>
      <c r="D4511" s="2" t="s">
        <v>1265</v>
      </c>
      <c r="E4511" s="2"/>
      <c r="F4511" s="2" t="str">
        <f>"9783318073812"</f>
        <v>9783318073812</v>
      </c>
    </row>
    <row r="4512" spans="1:6" s="3" customFormat="1" ht="29.1" customHeight="1" x14ac:dyDescent="0.25">
      <c r="A4512" s="2" t="s">
        <v>9753</v>
      </c>
      <c r="B4512" s="2" t="s">
        <v>9754</v>
      </c>
      <c r="C4512" s="2" t="s">
        <v>29</v>
      </c>
      <c r="D4512" s="2" t="s">
        <v>1432</v>
      </c>
      <c r="E4512" s="2" t="str">
        <f>"9789004720534"</f>
        <v>9789004720534</v>
      </c>
      <c r="F4512" s="2" t="str">
        <f>"9789004720527"</f>
        <v>9789004720527</v>
      </c>
    </row>
    <row r="4513" spans="1:6" s="3" customFormat="1" ht="29.1" customHeight="1" x14ac:dyDescent="0.25">
      <c r="A4513" s="2" t="s">
        <v>9755</v>
      </c>
      <c r="B4513" s="2" t="s">
        <v>9756</v>
      </c>
      <c r="C4513" s="2" t="s">
        <v>55</v>
      </c>
      <c r="D4513" s="2" t="s">
        <v>674</v>
      </c>
      <c r="E4513" s="2" t="str">
        <f>"9781526170347"</f>
        <v>9781526170347</v>
      </c>
      <c r="F4513" s="2" t="str">
        <f>"9781526170330"</f>
        <v>9781526170330</v>
      </c>
    </row>
    <row r="4514" spans="1:6" s="3" customFormat="1" ht="29.1" customHeight="1" x14ac:dyDescent="0.25">
      <c r="A4514" s="2" t="s">
        <v>9757</v>
      </c>
      <c r="B4514" s="2" t="s">
        <v>9758</v>
      </c>
      <c r="C4514" s="2" t="s">
        <v>36</v>
      </c>
      <c r="D4514" s="2" t="s">
        <v>5806</v>
      </c>
      <c r="E4514" s="2"/>
      <c r="F4514" s="2" t="str">
        <f>"9781447375548"</f>
        <v>9781447375548</v>
      </c>
    </row>
    <row r="4515" spans="1:6" s="3" customFormat="1" ht="29.1" customHeight="1" x14ac:dyDescent="0.25">
      <c r="A4515" s="2" t="s">
        <v>9759</v>
      </c>
      <c r="B4515" s="2" t="s">
        <v>9760</v>
      </c>
      <c r="C4515" s="2" t="s">
        <v>5</v>
      </c>
      <c r="D4515" s="2" t="s">
        <v>249</v>
      </c>
      <c r="E4515" s="2" t="str">
        <f>"9782384763269"</f>
        <v>9782384763269</v>
      </c>
      <c r="F4515" s="2" t="str">
        <f>"9782384763276"</f>
        <v>9782384763276</v>
      </c>
    </row>
    <row r="4516" spans="1:6" s="3" customFormat="1" ht="29.1" customHeight="1" x14ac:dyDescent="0.25">
      <c r="A4516" s="2" t="s">
        <v>9761</v>
      </c>
      <c r="B4516" s="2" t="s">
        <v>9762</v>
      </c>
      <c r="C4516" s="2" t="s">
        <v>149</v>
      </c>
      <c r="D4516" s="2" t="s">
        <v>4657</v>
      </c>
      <c r="E4516" s="2" t="str">
        <f>"9781685712525"</f>
        <v>9781685712525</v>
      </c>
      <c r="F4516" s="2" t="str">
        <f>"9781685712532"</f>
        <v>9781685712532</v>
      </c>
    </row>
    <row r="4517" spans="1:6" s="3" customFormat="1" ht="29.1" customHeight="1" x14ac:dyDescent="0.25">
      <c r="A4517" s="2" t="s">
        <v>9763</v>
      </c>
      <c r="B4517" s="2" t="s">
        <v>9764</v>
      </c>
      <c r="C4517" s="2" t="s">
        <v>5</v>
      </c>
      <c r="D4517" s="2" t="s">
        <v>650</v>
      </c>
      <c r="E4517" s="2" t="str">
        <f>"9783031781506"</f>
        <v>9783031781506</v>
      </c>
      <c r="F4517" s="2" t="str">
        <f>"9783031781513"</f>
        <v>9783031781513</v>
      </c>
    </row>
    <row r="4518" spans="1:6" s="3" customFormat="1" ht="29.1" customHeight="1" x14ac:dyDescent="0.25">
      <c r="A4518" s="2" t="s">
        <v>9765</v>
      </c>
      <c r="B4518" s="2" t="s">
        <v>9766</v>
      </c>
      <c r="C4518" s="2" t="s">
        <v>149</v>
      </c>
      <c r="D4518" s="2" t="s">
        <v>5758</v>
      </c>
      <c r="E4518" s="2" t="str">
        <f>"9781805114383"</f>
        <v>9781805114383</v>
      </c>
      <c r="F4518" s="2" t="str">
        <f>"9781805114406"</f>
        <v>9781805114406</v>
      </c>
    </row>
    <row r="4519" spans="1:6" s="3" customFormat="1" ht="29.1" customHeight="1" x14ac:dyDescent="0.25">
      <c r="A4519" s="2" t="s">
        <v>9767</v>
      </c>
      <c r="B4519" s="2" t="s">
        <v>9768</v>
      </c>
      <c r="C4519" s="2" t="s">
        <v>149</v>
      </c>
      <c r="D4519" s="2" t="s">
        <v>2749</v>
      </c>
      <c r="E4519" s="2" t="str">
        <f>"9781805113218"</f>
        <v>9781805113218</v>
      </c>
      <c r="F4519" s="2" t="str">
        <f>"9781805113232"</f>
        <v>9781805113232</v>
      </c>
    </row>
    <row r="4520" spans="1:6" s="3" customFormat="1" ht="29.1" customHeight="1" x14ac:dyDescent="0.25">
      <c r="A4520" s="2" t="s">
        <v>9769</v>
      </c>
      <c r="B4520" s="2" t="s">
        <v>9770</v>
      </c>
      <c r="C4520" s="2" t="s">
        <v>5</v>
      </c>
      <c r="D4520" s="2" t="s">
        <v>712</v>
      </c>
      <c r="E4520" s="2" t="str">
        <f>"9789464635959"</f>
        <v>9789464635959</v>
      </c>
      <c r="F4520" s="2" t="str">
        <f>"9789464635966"</f>
        <v>9789464635966</v>
      </c>
    </row>
    <row r="4521" spans="1:6" s="3" customFormat="1" ht="29.1" customHeight="1" x14ac:dyDescent="0.25">
      <c r="A4521" s="2" t="s">
        <v>9771</v>
      </c>
      <c r="B4521" s="2" t="s">
        <v>9772</v>
      </c>
      <c r="C4521" s="2" t="s">
        <v>5</v>
      </c>
      <c r="D4521" s="2" t="s">
        <v>636</v>
      </c>
      <c r="E4521" s="2" t="str">
        <f>"9783031721229"</f>
        <v>9783031721229</v>
      </c>
      <c r="F4521" s="2" t="str">
        <f>"9783031721236"</f>
        <v>9783031721236</v>
      </c>
    </row>
    <row r="4522" spans="1:6" s="3" customFormat="1" ht="29.1" customHeight="1" x14ac:dyDescent="0.25">
      <c r="A4522" s="2" t="s">
        <v>9773</v>
      </c>
      <c r="B4522" s="2" t="s">
        <v>3526</v>
      </c>
      <c r="C4522" s="2" t="s">
        <v>5</v>
      </c>
      <c r="D4522" s="2" t="s">
        <v>297</v>
      </c>
      <c r="E4522" s="2" t="str">
        <f>"9789819792214"</f>
        <v>9789819792214</v>
      </c>
      <c r="F4522" s="2" t="str">
        <f>"9789819792221"</f>
        <v>9789819792221</v>
      </c>
    </row>
    <row r="4523" spans="1:6" s="3" customFormat="1" ht="29.1" customHeight="1" x14ac:dyDescent="0.25">
      <c r="A4523" s="2" t="s">
        <v>9774</v>
      </c>
      <c r="B4523" s="2" t="s">
        <v>9775</v>
      </c>
      <c r="C4523" s="2" t="s">
        <v>5</v>
      </c>
      <c r="D4523" s="2" t="s">
        <v>33</v>
      </c>
      <c r="E4523" s="2" t="str">
        <f>"9782384763184"</f>
        <v>9782384763184</v>
      </c>
      <c r="F4523" s="2" t="str">
        <f>"9782384763191"</f>
        <v>9782384763191</v>
      </c>
    </row>
    <row r="4524" spans="1:6" s="3" customFormat="1" ht="29.1" customHeight="1" x14ac:dyDescent="0.25">
      <c r="A4524" s="2" t="s">
        <v>9776</v>
      </c>
      <c r="B4524" s="2" t="s">
        <v>9777</v>
      </c>
      <c r="C4524" s="2" t="s">
        <v>5</v>
      </c>
      <c r="D4524" s="2" t="s">
        <v>889</v>
      </c>
      <c r="E4524" s="2" t="str">
        <f>"9789464636093"</f>
        <v>9789464636093</v>
      </c>
      <c r="F4524" s="2" t="str">
        <f>"9789464636109"</f>
        <v>9789464636109</v>
      </c>
    </row>
    <row r="4525" spans="1:6" s="3" customFormat="1" ht="29.1" customHeight="1" x14ac:dyDescent="0.25">
      <c r="A4525" s="2" t="s">
        <v>9778</v>
      </c>
      <c r="B4525" s="2" t="s">
        <v>9779</v>
      </c>
      <c r="C4525" s="2" t="s">
        <v>5</v>
      </c>
      <c r="D4525" s="2" t="s">
        <v>2391</v>
      </c>
      <c r="E4525" s="2" t="str">
        <f>"9783658462185"</f>
        <v>9783658462185</v>
      </c>
      <c r="F4525" s="2" t="str">
        <f>"9783658462192"</f>
        <v>9783658462192</v>
      </c>
    </row>
    <row r="4526" spans="1:6" s="3" customFormat="1" ht="29.1" customHeight="1" x14ac:dyDescent="0.25">
      <c r="A4526" s="2" t="s">
        <v>9780</v>
      </c>
      <c r="B4526" s="2" t="s">
        <v>9781</v>
      </c>
      <c r="C4526" s="2" t="s">
        <v>5</v>
      </c>
      <c r="D4526" s="2" t="s">
        <v>3963</v>
      </c>
      <c r="E4526" s="2" t="str">
        <f>"9783662699072"</f>
        <v>9783662699072</v>
      </c>
      <c r="F4526" s="2" t="str">
        <f>"9783662699089"</f>
        <v>9783662699089</v>
      </c>
    </row>
    <row r="4527" spans="1:6" s="3" customFormat="1" ht="29.1" customHeight="1" x14ac:dyDescent="0.25">
      <c r="A4527" s="2" t="s">
        <v>9782</v>
      </c>
      <c r="B4527" s="2" t="s">
        <v>1474</v>
      </c>
      <c r="C4527" s="2" t="s">
        <v>1070</v>
      </c>
      <c r="D4527" s="2" t="s">
        <v>1265</v>
      </c>
      <c r="E4527" s="2"/>
      <c r="F4527" s="2"/>
    </row>
    <row r="4528" spans="1:6" s="3" customFormat="1" ht="29.1" customHeight="1" x14ac:dyDescent="0.25">
      <c r="A4528" s="2" t="s">
        <v>9783</v>
      </c>
      <c r="B4528" s="2" t="s">
        <v>1474</v>
      </c>
      <c r="C4528" s="2" t="s">
        <v>1070</v>
      </c>
      <c r="D4528" s="2" t="s">
        <v>1265</v>
      </c>
      <c r="E4528" s="2"/>
      <c r="F4528" s="2"/>
    </row>
    <row r="4529" spans="1:6" s="3" customFormat="1" ht="29.1" customHeight="1" x14ac:dyDescent="0.25">
      <c r="A4529" s="2" t="s">
        <v>9784</v>
      </c>
      <c r="B4529" s="2" t="s">
        <v>9785</v>
      </c>
      <c r="C4529" s="2" t="s">
        <v>1070</v>
      </c>
      <c r="D4529" s="2" t="s">
        <v>1071</v>
      </c>
      <c r="E4529" s="2"/>
      <c r="F4529" s="2" t="str">
        <f>"9783318065862"</f>
        <v>9783318065862</v>
      </c>
    </row>
    <row r="4530" spans="1:6" s="3" customFormat="1" ht="29.1" customHeight="1" x14ac:dyDescent="0.25">
      <c r="A4530" s="2" t="s">
        <v>1280</v>
      </c>
      <c r="B4530" s="2" t="s">
        <v>9786</v>
      </c>
      <c r="C4530" s="2" t="s">
        <v>1070</v>
      </c>
      <c r="D4530" s="2" t="s">
        <v>813</v>
      </c>
      <c r="E4530" s="2" t="str">
        <f>"9783318060805"</f>
        <v>9783318060805</v>
      </c>
      <c r="F4530" s="2" t="str">
        <f>"9783318073836"</f>
        <v>9783318073836</v>
      </c>
    </row>
    <row r="4531" spans="1:6" s="3" customFormat="1" ht="29.1" customHeight="1" x14ac:dyDescent="0.25">
      <c r="A4531" s="2" t="s">
        <v>1380</v>
      </c>
      <c r="B4531" s="2" t="s">
        <v>9787</v>
      </c>
      <c r="C4531" s="2" t="s">
        <v>1070</v>
      </c>
      <c r="D4531" s="2" t="s">
        <v>1265</v>
      </c>
      <c r="E4531" s="2" t="str">
        <f>"9783318072549"</f>
        <v>9783318072549</v>
      </c>
      <c r="F4531" s="2" t="str">
        <f>"9783318073225"</f>
        <v>9783318073225</v>
      </c>
    </row>
    <row r="4532" spans="1:6" s="3" customFormat="1" ht="29.1" customHeight="1" x14ac:dyDescent="0.25">
      <c r="A4532" s="2" t="s">
        <v>1379</v>
      </c>
      <c r="B4532" s="2" t="s">
        <v>9788</v>
      </c>
      <c r="C4532" s="2" t="s">
        <v>1070</v>
      </c>
      <c r="D4532" s="2" t="s">
        <v>1275</v>
      </c>
      <c r="E4532" s="2" t="str">
        <f>"9783318072921"</f>
        <v>9783318072921</v>
      </c>
      <c r="F4532" s="2" t="str">
        <f>"9783318073799"</f>
        <v>9783318073799</v>
      </c>
    </row>
    <row r="4533" spans="1:6" s="3" customFormat="1" ht="29.1" customHeight="1" x14ac:dyDescent="0.25">
      <c r="A4533" s="2" t="s">
        <v>1377</v>
      </c>
      <c r="B4533" s="2" t="s">
        <v>9789</v>
      </c>
      <c r="C4533" s="2" t="s">
        <v>1070</v>
      </c>
      <c r="D4533" s="2" t="s">
        <v>1272</v>
      </c>
      <c r="E4533" s="2" t="str">
        <f>"9783318072501"</f>
        <v>9783318072501</v>
      </c>
      <c r="F4533" s="2" t="str">
        <f>"9783318073171"</f>
        <v>9783318073171</v>
      </c>
    </row>
    <row r="4534" spans="1:6" s="3" customFormat="1" ht="29.1" customHeight="1" x14ac:dyDescent="0.25">
      <c r="A4534" s="2" t="s">
        <v>1375</v>
      </c>
      <c r="B4534" s="2" t="s">
        <v>9790</v>
      </c>
      <c r="C4534" s="2" t="s">
        <v>1070</v>
      </c>
      <c r="D4534" s="2" t="s">
        <v>1265</v>
      </c>
      <c r="E4534" s="2" t="str">
        <f>"9783318072938"</f>
        <v>9783318072938</v>
      </c>
      <c r="F4534" s="2" t="str">
        <f>"9783318073201"</f>
        <v>9783318073201</v>
      </c>
    </row>
    <row r="4535" spans="1:6" s="3" customFormat="1" ht="29.1" customHeight="1" x14ac:dyDescent="0.25">
      <c r="A4535" s="2" t="s">
        <v>1374</v>
      </c>
      <c r="B4535" s="2"/>
      <c r="C4535" s="2" t="s">
        <v>1070</v>
      </c>
      <c r="D4535" s="2" t="s">
        <v>1265</v>
      </c>
      <c r="E4535" s="2" t="str">
        <f>"9783318072952"</f>
        <v>9783318072952</v>
      </c>
      <c r="F4535" s="2" t="str">
        <f>"9783318073607"</f>
        <v>9783318073607</v>
      </c>
    </row>
    <row r="4536" spans="1:6" s="3" customFormat="1" ht="29.1" customHeight="1" x14ac:dyDescent="0.25">
      <c r="A4536" s="2" t="s">
        <v>1370</v>
      </c>
      <c r="B4536" s="2" t="s">
        <v>9791</v>
      </c>
      <c r="C4536" s="2" t="s">
        <v>1070</v>
      </c>
      <c r="D4536" s="2" t="s">
        <v>1071</v>
      </c>
      <c r="E4536" s="2" t="str">
        <f>"9783318072907"</f>
        <v>9783318072907</v>
      </c>
      <c r="F4536" s="2" t="str">
        <f>"9783318073492"</f>
        <v>9783318073492</v>
      </c>
    </row>
    <row r="4537" spans="1:6" s="3" customFormat="1" ht="29.1" customHeight="1" x14ac:dyDescent="0.25">
      <c r="A4537" s="2" t="s">
        <v>9792</v>
      </c>
      <c r="B4537" s="2" t="s">
        <v>9793</v>
      </c>
      <c r="C4537" s="2" t="s">
        <v>1070</v>
      </c>
      <c r="D4537" s="2" t="s">
        <v>1272</v>
      </c>
      <c r="E4537" s="2" t="str">
        <f>"9783318072518"</f>
        <v>9783318072518</v>
      </c>
      <c r="F4537" s="2" t="str">
        <f>"9783318073119"</f>
        <v>9783318073119</v>
      </c>
    </row>
    <row r="4538" spans="1:6" s="3" customFormat="1" ht="29.1" customHeight="1" x14ac:dyDescent="0.25">
      <c r="A4538" s="2" t="s">
        <v>1369</v>
      </c>
      <c r="B4538" s="2" t="s">
        <v>2068</v>
      </c>
      <c r="C4538" s="2" t="s">
        <v>9794</v>
      </c>
      <c r="D4538" s="2" t="s">
        <v>1265</v>
      </c>
      <c r="E4538" s="2" t="str">
        <f>"9783318072617"</f>
        <v>9783318072617</v>
      </c>
      <c r="F4538" s="2" t="str">
        <f>"9783318073331"</f>
        <v>9783318073331</v>
      </c>
    </row>
    <row r="4539" spans="1:6" s="3" customFormat="1" ht="29.1" customHeight="1" x14ac:dyDescent="0.25">
      <c r="A4539" s="2" t="s">
        <v>9795</v>
      </c>
      <c r="B4539" s="2" t="s">
        <v>9796</v>
      </c>
      <c r="C4539" s="2" t="s">
        <v>927</v>
      </c>
      <c r="D4539" s="2" t="s">
        <v>2208</v>
      </c>
      <c r="E4539" s="2" t="str">
        <f>"9780472054374"</f>
        <v>9780472054374</v>
      </c>
      <c r="F4539" s="2" t="str">
        <f>"9780472904846"</f>
        <v>9780472904846</v>
      </c>
    </row>
    <row r="4540" spans="1:6" s="3" customFormat="1" ht="29.1" customHeight="1" x14ac:dyDescent="0.25">
      <c r="A4540" s="2" t="s">
        <v>9797</v>
      </c>
      <c r="B4540" s="2" t="s">
        <v>9798</v>
      </c>
      <c r="C4540" s="2" t="s">
        <v>927</v>
      </c>
      <c r="D4540" s="2" t="s">
        <v>270</v>
      </c>
      <c r="E4540" s="2" t="str">
        <f>"9780472057139"</f>
        <v>9780472057139</v>
      </c>
      <c r="F4540" s="2" t="str">
        <f>"9780472904754"</f>
        <v>9780472904754</v>
      </c>
    </row>
    <row r="4541" spans="1:6" s="3" customFormat="1" ht="29.1" customHeight="1" x14ac:dyDescent="0.25">
      <c r="A4541" s="2" t="s">
        <v>9799</v>
      </c>
      <c r="B4541" s="2" t="s">
        <v>9800</v>
      </c>
      <c r="C4541" s="2" t="s">
        <v>195</v>
      </c>
      <c r="D4541" s="2" t="s">
        <v>210</v>
      </c>
      <c r="E4541" s="2" t="str">
        <f>"9783111262536"</f>
        <v>9783111262536</v>
      </c>
      <c r="F4541" s="2" t="str">
        <f>"9783111460727"</f>
        <v>9783111460727</v>
      </c>
    </row>
    <row r="4542" spans="1:6" s="3" customFormat="1" ht="29.1" customHeight="1" x14ac:dyDescent="0.25">
      <c r="A4542" s="2" t="s">
        <v>9801</v>
      </c>
      <c r="B4542" s="2" t="s">
        <v>9802</v>
      </c>
      <c r="C4542" s="2" t="s">
        <v>20</v>
      </c>
      <c r="D4542" s="2" t="s">
        <v>135</v>
      </c>
      <c r="E4542" s="2"/>
      <c r="F4542" s="2" t="str">
        <f>"9783763977857"</f>
        <v>9783763977857</v>
      </c>
    </row>
    <row r="4543" spans="1:6" s="3" customFormat="1" ht="29.1" customHeight="1" x14ac:dyDescent="0.25">
      <c r="A4543" s="2" t="s">
        <v>9803</v>
      </c>
      <c r="B4543" s="2" t="s">
        <v>9804</v>
      </c>
      <c r="C4543" s="2" t="s">
        <v>29</v>
      </c>
      <c r="D4543" s="2" t="s">
        <v>4155</v>
      </c>
      <c r="E4543" s="2" t="str">
        <f>"9789004716230"</f>
        <v>9789004716230</v>
      </c>
      <c r="F4543" s="2" t="str">
        <f>"9789004716247"</f>
        <v>9789004716247</v>
      </c>
    </row>
    <row r="4544" spans="1:6" s="3" customFormat="1" ht="29.1" customHeight="1" x14ac:dyDescent="0.25">
      <c r="A4544" s="2" t="s">
        <v>9805</v>
      </c>
      <c r="B4544" s="2" t="s">
        <v>9806</v>
      </c>
      <c r="C4544" s="2" t="s">
        <v>29</v>
      </c>
      <c r="D4544" s="2" t="s">
        <v>183</v>
      </c>
      <c r="E4544" s="2" t="str">
        <f>"9789004715752"</f>
        <v>9789004715752</v>
      </c>
      <c r="F4544" s="2" t="str">
        <f>"9789004715769"</f>
        <v>9789004715769</v>
      </c>
    </row>
    <row r="4545" spans="1:6" s="3" customFormat="1" ht="29.1" customHeight="1" x14ac:dyDescent="0.25">
      <c r="A4545" s="2" t="s">
        <v>9807</v>
      </c>
      <c r="B4545" s="2" t="s">
        <v>9808</v>
      </c>
      <c r="C4545" s="2" t="s">
        <v>20</v>
      </c>
      <c r="D4545" s="2" t="s">
        <v>21</v>
      </c>
      <c r="E4545" s="2" t="str">
        <f>"9783763974078"</f>
        <v>9783763974078</v>
      </c>
      <c r="F4545" s="2" t="str">
        <f>"9783763974061"</f>
        <v>9783763974061</v>
      </c>
    </row>
    <row r="4546" spans="1:6" s="3" customFormat="1" ht="29.1" customHeight="1" x14ac:dyDescent="0.25">
      <c r="A4546" s="2" t="s">
        <v>9809</v>
      </c>
      <c r="B4546" s="2" t="s">
        <v>9811</v>
      </c>
      <c r="C4546" s="2" t="s">
        <v>5</v>
      </c>
      <c r="D4546" s="2" t="s">
        <v>9810</v>
      </c>
      <c r="E4546" s="2" t="str">
        <f>"9789464635997"</f>
        <v>9789464635997</v>
      </c>
      <c r="F4546" s="2" t="str">
        <f>"9789464636000"</f>
        <v>9789464636000</v>
      </c>
    </row>
    <row r="4547" spans="1:6" s="3" customFormat="1" ht="29.1" customHeight="1" x14ac:dyDescent="0.25">
      <c r="A4547" s="2" t="s">
        <v>9812</v>
      </c>
      <c r="B4547" s="2" t="s">
        <v>9813</v>
      </c>
      <c r="C4547" s="2" t="s">
        <v>556</v>
      </c>
      <c r="D4547" s="2" t="s">
        <v>1162</v>
      </c>
      <c r="E4547" s="2" t="str">
        <f>"9783837674736"</f>
        <v>9783837674736</v>
      </c>
      <c r="F4547" s="2" t="str">
        <f>"9783839474730"</f>
        <v>9783839474730</v>
      </c>
    </row>
    <row r="4548" spans="1:6" s="3" customFormat="1" ht="29.1" customHeight="1" x14ac:dyDescent="0.25">
      <c r="A4548" s="2" t="s">
        <v>9814</v>
      </c>
      <c r="B4548" s="2" t="s">
        <v>9815</v>
      </c>
      <c r="C4548" s="2" t="s">
        <v>239</v>
      </c>
      <c r="D4548" s="2" t="s">
        <v>636</v>
      </c>
      <c r="E4548" s="2" t="str">
        <f>"9780520387935"</f>
        <v>9780520387935</v>
      </c>
      <c r="F4548" s="2" t="str">
        <f>"9780520387942"</f>
        <v>9780520387942</v>
      </c>
    </row>
    <row r="4549" spans="1:6" s="3" customFormat="1" ht="29.1" customHeight="1" x14ac:dyDescent="0.25">
      <c r="A4549" s="2" t="s">
        <v>9816</v>
      </c>
      <c r="B4549" s="2" t="s">
        <v>9817</v>
      </c>
      <c r="C4549" s="2" t="s">
        <v>5</v>
      </c>
      <c r="D4549" s="2" t="s">
        <v>192</v>
      </c>
      <c r="E4549" s="2" t="str">
        <f>"9783031738753"</f>
        <v>9783031738753</v>
      </c>
      <c r="F4549" s="2" t="str">
        <f>"9783031738760"</f>
        <v>9783031738760</v>
      </c>
    </row>
    <row r="4550" spans="1:6" s="3" customFormat="1" ht="29.1" customHeight="1" x14ac:dyDescent="0.25">
      <c r="A4550" s="2" t="s">
        <v>9818</v>
      </c>
      <c r="B4550" s="2" t="s">
        <v>9819</v>
      </c>
      <c r="C4550" s="2" t="s">
        <v>59</v>
      </c>
      <c r="D4550" s="2" t="s">
        <v>547</v>
      </c>
      <c r="E4550" s="2"/>
      <c r="F4550" s="2" t="str">
        <f>"9782759240159"</f>
        <v>9782759240159</v>
      </c>
    </row>
    <row r="4551" spans="1:6" s="3" customFormat="1" ht="29.1" customHeight="1" x14ac:dyDescent="0.25">
      <c r="A4551" s="2" t="s">
        <v>9820</v>
      </c>
      <c r="B4551" s="2"/>
      <c r="C4551" s="2" t="s">
        <v>59</v>
      </c>
      <c r="D4551" s="2" t="s">
        <v>6994</v>
      </c>
      <c r="E4551" s="2"/>
      <c r="F4551" s="2" t="str">
        <f>"9782759240302"</f>
        <v>9782759240302</v>
      </c>
    </row>
    <row r="4552" spans="1:6" s="3" customFormat="1" ht="29.1" customHeight="1" x14ac:dyDescent="0.25">
      <c r="A4552" s="2" t="s">
        <v>9821</v>
      </c>
      <c r="B4552" s="2"/>
      <c r="C4552" s="2" t="s">
        <v>59</v>
      </c>
      <c r="D4552" s="2" t="s">
        <v>1768</v>
      </c>
      <c r="E4552" s="2"/>
      <c r="F4552" s="2" t="str">
        <f>"9782759236107"</f>
        <v>9782759236107</v>
      </c>
    </row>
    <row r="4553" spans="1:6" s="3" customFormat="1" ht="29.1" customHeight="1" x14ac:dyDescent="0.25">
      <c r="A4553" s="2" t="s">
        <v>9822</v>
      </c>
      <c r="B4553" s="2" t="s">
        <v>9823</v>
      </c>
      <c r="C4553" s="2" t="s">
        <v>29</v>
      </c>
      <c r="D4553" s="2" t="s">
        <v>5021</v>
      </c>
      <c r="E4553" s="2" t="str">
        <f>"9789004712102"</f>
        <v>9789004712102</v>
      </c>
      <c r="F4553" s="2" t="str">
        <f>"9789004712119"</f>
        <v>9789004712119</v>
      </c>
    </row>
    <row r="4554" spans="1:6" s="3" customFormat="1" ht="29.1" customHeight="1" x14ac:dyDescent="0.25">
      <c r="A4554" s="2" t="s">
        <v>9824</v>
      </c>
      <c r="B4554" s="2" t="s">
        <v>9825</v>
      </c>
      <c r="C4554" s="2" t="s">
        <v>20</v>
      </c>
      <c r="D4554" s="2" t="s">
        <v>9</v>
      </c>
      <c r="E4554" s="2" t="str">
        <f>"9783763977574"</f>
        <v>9783763977574</v>
      </c>
      <c r="F4554" s="2" t="str">
        <f>"9783763977581"</f>
        <v>9783763977581</v>
      </c>
    </row>
    <row r="4555" spans="1:6" s="3" customFormat="1" ht="29.1" customHeight="1" x14ac:dyDescent="0.25">
      <c r="A4555" s="2" t="s">
        <v>9826</v>
      </c>
      <c r="B4555" s="2" t="s">
        <v>9827</v>
      </c>
      <c r="C4555" s="2" t="s">
        <v>5</v>
      </c>
      <c r="D4555" s="2" t="s">
        <v>9</v>
      </c>
      <c r="E4555" s="2" t="str">
        <f>"9782384763023"</f>
        <v>9782384763023</v>
      </c>
      <c r="F4555" s="2" t="str">
        <f>"9782384763030"</f>
        <v>9782384763030</v>
      </c>
    </row>
    <row r="4556" spans="1:6" s="3" customFormat="1" ht="29.1" customHeight="1" x14ac:dyDescent="0.25">
      <c r="A4556" s="2" t="s">
        <v>9828</v>
      </c>
      <c r="B4556" s="2" t="s">
        <v>9829</v>
      </c>
      <c r="C4556" s="2" t="s">
        <v>5</v>
      </c>
      <c r="D4556" s="2" t="s">
        <v>694</v>
      </c>
      <c r="E4556" s="2" t="str">
        <f>"9789464635843"</f>
        <v>9789464635843</v>
      </c>
      <c r="F4556" s="2" t="str">
        <f>"9789464635850"</f>
        <v>9789464635850</v>
      </c>
    </row>
    <row r="4557" spans="1:6" s="3" customFormat="1" ht="29.1" customHeight="1" x14ac:dyDescent="0.25">
      <c r="A4557" s="2" t="s">
        <v>9830</v>
      </c>
      <c r="B4557" s="2" t="s">
        <v>9831</v>
      </c>
      <c r="C4557" s="2" t="s">
        <v>5</v>
      </c>
      <c r="D4557" s="2" t="s">
        <v>192</v>
      </c>
      <c r="E4557" s="2" t="str">
        <f>"9783031716522"</f>
        <v>9783031716522</v>
      </c>
      <c r="F4557" s="2" t="str">
        <f>"9783031716539"</f>
        <v>9783031716539</v>
      </c>
    </row>
    <row r="4558" spans="1:6" s="3" customFormat="1" ht="29.1" customHeight="1" x14ac:dyDescent="0.25">
      <c r="A4558" s="2" t="s">
        <v>9832</v>
      </c>
      <c r="B4558" s="2" t="s">
        <v>9833</v>
      </c>
      <c r="C4558" s="2" t="s">
        <v>2461</v>
      </c>
      <c r="D4558" s="2" t="s">
        <v>56</v>
      </c>
      <c r="E4558" s="2" t="str">
        <f>"9786289630541"</f>
        <v>9786289630541</v>
      </c>
      <c r="F4558" s="2" t="str">
        <f>"9786289630558"</f>
        <v>9786289630558</v>
      </c>
    </row>
    <row r="4559" spans="1:6" s="3" customFormat="1" ht="29.1" customHeight="1" x14ac:dyDescent="0.25">
      <c r="A4559" s="2" t="s">
        <v>5066</v>
      </c>
      <c r="B4559" s="2" t="s">
        <v>9834</v>
      </c>
      <c r="C4559" s="2" t="s">
        <v>20</v>
      </c>
      <c r="D4559" s="2" t="s">
        <v>24</v>
      </c>
      <c r="E4559" s="2"/>
      <c r="F4559" s="2" t="str">
        <f>"9783763977116"</f>
        <v>9783763977116</v>
      </c>
    </row>
    <row r="4560" spans="1:6" s="3" customFormat="1" ht="29.1" customHeight="1" x14ac:dyDescent="0.25">
      <c r="A4560" s="2" t="s">
        <v>9835</v>
      </c>
      <c r="B4560" s="2" t="s">
        <v>9836</v>
      </c>
      <c r="C4560" s="2" t="s">
        <v>20</v>
      </c>
      <c r="D4560" s="2" t="s">
        <v>9</v>
      </c>
      <c r="E4560" s="2"/>
      <c r="F4560" s="2" t="str">
        <f>"9783763978045"</f>
        <v>9783763978045</v>
      </c>
    </row>
    <row r="4561" spans="1:6" s="3" customFormat="1" ht="29.1" customHeight="1" x14ac:dyDescent="0.25">
      <c r="A4561" s="2" t="s">
        <v>9835</v>
      </c>
      <c r="B4561" s="2" t="s">
        <v>9836</v>
      </c>
      <c r="C4561" s="2" t="s">
        <v>20</v>
      </c>
      <c r="D4561" s="2" t="s">
        <v>9</v>
      </c>
      <c r="E4561" s="2" t="str">
        <f>"9783763978038"</f>
        <v>9783763978038</v>
      </c>
      <c r="F4561" s="2" t="str">
        <f>"9783763978021"</f>
        <v>9783763978021</v>
      </c>
    </row>
    <row r="4562" spans="1:6" s="3" customFormat="1" ht="29.1" customHeight="1" x14ac:dyDescent="0.25">
      <c r="A4562" s="2" t="s">
        <v>9837</v>
      </c>
      <c r="B4562" s="2" t="s">
        <v>9838</v>
      </c>
      <c r="C4562" s="2" t="s">
        <v>59</v>
      </c>
      <c r="D4562" s="2" t="s">
        <v>2083</v>
      </c>
      <c r="E4562" s="2"/>
      <c r="F4562" s="2" t="str">
        <f>"9782759240012"</f>
        <v>9782759240012</v>
      </c>
    </row>
    <row r="4563" spans="1:6" s="3" customFormat="1" ht="29.1" customHeight="1" x14ac:dyDescent="0.25">
      <c r="A4563" s="2" t="s">
        <v>9839</v>
      </c>
      <c r="B4563" s="2" t="s">
        <v>9841</v>
      </c>
      <c r="C4563" s="2" t="s">
        <v>59</v>
      </c>
      <c r="D4563" s="2" t="s">
        <v>9840</v>
      </c>
      <c r="E4563" s="2"/>
      <c r="F4563" s="2" t="str">
        <f>"9782759239894"</f>
        <v>9782759239894</v>
      </c>
    </row>
    <row r="4564" spans="1:6" s="3" customFormat="1" ht="29.1" customHeight="1" x14ac:dyDescent="0.25">
      <c r="A4564" s="2" t="s">
        <v>9842</v>
      </c>
      <c r="B4564" s="2"/>
      <c r="C4564" s="2" t="s">
        <v>59</v>
      </c>
      <c r="D4564" s="2" t="s">
        <v>9843</v>
      </c>
      <c r="E4564" s="2"/>
      <c r="F4564" s="2" t="str">
        <f>"9782759239764"</f>
        <v>9782759239764</v>
      </c>
    </row>
    <row r="4565" spans="1:6" s="3" customFormat="1" ht="29.1" customHeight="1" x14ac:dyDescent="0.25">
      <c r="A4565" s="2" t="s">
        <v>9844</v>
      </c>
      <c r="B4565" s="2" t="s">
        <v>9845</v>
      </c>
      <c r="C4565" s="2" t="s">
        <v>20</v>
      </c>
      <c r="D4565" s="2" t="s">
        <v>9</v>
      </c>
      <c r="E4565" s="2" t="str">
        <f>"9783763977994"</f>
        <v>9783763977994</v>
      </c>
      <c r="F4565" s="2" t="str">
        <f>"9783763978007"</f>
        <v>9783763978007</v>
      </c>
    </row>
    <row r="4566" spans="1:6" s="3" customFormat="1" ht="29.1" customHeight="1" x14ac:dyDescent="0.25">
      <c r="A4566" s="2" t="s">
        <v>9846</v>
      </c>
      <c r="B4566" s="2" t="s">
        <v>9847</v>
      </c>
      <c r="C4566" s="2" t="s">
        <v>20</v>
      </c>
      <c r="D4566" s="2" t="s">
        <v>2980</v>
      </c>
      <c r="E4566" s="2"/>
      <c r="F4566" s="2" t="str">
        <f>"9783763978014"</f>
        <v>9783763978014</v>
      </c>
    </row>
    <row r="4567" spans="1:6" s="3" customFormat="1" ht="29.1" customHeight="1" x14ac:dyDescent="0.25">
      <c r="A4567" s="2" t="s">
        <v>9848</v>
      </c>
      <c r="B4567" s="2" t="s">
        <v>9849</v>
      </c>
      <c r="C4567" s="2" t="s">
        <v>20</v>
      </c>
      <c r="D4567" s="2" t="s">
        <v>553</v>
      </c>
      <c r="E4567" s="2" t="str">
        <f>"9783763977345"</f>
        <v>9783763977345</v>
      </c>
      <c r="F4567" s="2" t="str">
        <f>"9783763977352"</f>
        <v>9783763977352</v>
      </c>
    </row>
    <row r="4568" spans="1:6" s="3" customFormat="1" ht="29.1" customHeight="1" x14ac:dyDescent="0.25">
      <c r="A4568" s="2" t="s">
        <v>9850</v>
      </c>
      <c r="B4568" s="2" t="s">
        <v>9851</v>
      </c>
      <c r="C4568" s="2" t="s">
        <v>20</v>
      </c>
      <c r="D4568" s="2" t="s">
        <v>24</v>
      </c>
      <c r="E4568" s="2" t="str">
        <f>"9783763977482"</f>
        <v>9783763977482</v>
      </c>
      <c r="F4568" s="2" t="str">
        <f>"9783763977642"</f>
        <v>9783763977642</v>
      </c>
    </row>
    <row r="4569" spans="1:6" s="3" customFormat="1" ht="29.1" customHeight="1" x14ac:dyDescent="0.25">
      <c r="A4569" s="2" t="s">
        <v>9852</v>
      </c>
      <c r="B4569" s="2" t="s">
        <v>9853</v>
      </c>
      <c r="C4569" s="2" t="s">
        <v>20</v>
      </c>
      <c r="D4569" s="2" t="s">
        <v>24</v>
      </c>
      <c r="E4569" s="2" t="str">
        <f>"9783763976119"</f>
        <v>9783763976119</v>
      </c>
      <c r="F4569" s="2" t="str">
        <f>"9783763976126"</f>
        <v>9783763976126</v>
      </c>
    </row>
    <row r="4570" spans="1:6" s="3" customFormat="1" ht="29.1" customHeight="1" x14ac:dyDescent="0.25">
      <c r="A4570" s="2" t="s">
        <v>9854</v>
      </c>
      <c r="B4570" s="2" t="s">
        <v>9855</v>
      </c>
      <c r="C4570" s="2" t="s">
        <v>20</v>
      </c>
      <c r="D4570" s="2" t="s">
        <v>9</v>
      </c>
      <c r="E4570" s="2" t="str">
        <f>"9783763974429"</f>
        <v>9783763974429</v>
      </c>
      <c r="F4570" s="2" t="str">
        <f>"9783763974436"</f>
        <v>9783763974436</v>
      </c>
    </row>
    <row r="4571" spans="1:6" s="3" customFormat="1" ht="29.1" customHeight="1" x14ac:dyDescent="0.25">
      <c r="A4571" s="2" t="s">
        <v>9856</v>
      </c>
      <c r="B4571" s="2" t="s">
        <v>9857</v>
      </c>
      <c r="C4571" s="2" t="s">
        <v>20</v>
      </c>
      <c r="D4571" s="2" t="s">
        <v>24</v>
      </c>
      <c r="E4571" s="2"/>
      <c r="F4571" s="2" t="str">
        <f>"9783763976003"</f>
        <v>9783763976003</v>
      </c>
    </row>
    <row r="4572" spans="1:6" s="3" customFormat="1" ht="29.1" customHeight="1" x14ac:dyDescent="0.25">
      <c r="A4572" s="2" t="s">
        <v>9858</v>
      </c>
      <c r="B4572" s="2" t="s">
        <v>9859</v>
      </c>
      <c r="C4572" s="2" t="s">
        <v>20</v>
      </c>
      <c r="D4572" s="2" t="s">
        <v>596</v>
      </c>
      <c r="E4572" s="2" t="str">
        <f>"9783763973934"</f>
        <v>9783763973934</v>
      </c>
      <c r="F4572" s="2" t="str">
        <f>"9783763974375"</f>
        <v>9783763974375</v>
      </c>
    </row>
    <row r="4573" spans="1:6" s="3" customFormat="1" ht="29.1" customHeight="1" x14ac:dyDescent="0.25">
      <c r="A4573" s="2" t="s">
        <v>9860</v>
      </c>
      <c r="B4573" s="2" t="s">
        <v>9861</v>
      </c>
      <c r="C4573" s="2" t="s">
        <v>5</v>
      </c>
      <c r="D4573" s="2" t="s">
        <v>4262</v>
      </c>
      <c r="E4573" s="2" t="str">
        <f>"9789819762378"</f>
        <v>9789819762378</v>
      </c>
      <c r="F4573" s="2" t="str">
        <f>"9789819762385"</f>
        <v>9789819762385</v>
      </c>
    </row>
    <row r="4574" spans="1:6" s="3" customFormat="1" ht="29.1" customHeight="1" x14ac:dyDescent="0.25">
      <c r="A4574" s="2" t="s">
        <v>9863</v>
      </c>
      <c r="B4574" s="2" t="s">
        <v>9864</v>
      </c>
      <c r="C4574" s="2" t="s">
        <v>5</v>
      </c>
      <c r="D4574" s="2" t="s">
        <v>1840</v>
      </c>
      <c r="E4574" s="2" t="str">
        <f>"9783658465810"</f>
        <v>9783658465810</v>
      </c>
      <c r="F4574" s="2" t="str">
        <f>"9783658465827"</f>
        <v>9783658465827</v>
      </c>
    </row>
    <row r="4575" spans="1:6" s="3" customFormat="1" ht="29.1" customHeight="1" x14ac:dyDescent="0.25">
      <c r="A4575" s="2" t="s">
        <v>9865</v>
      </c>
      <c r="B4575" s="2" t="s">
        <v>9866</v>
      </c>
      <c r="C4575" s="2" t="s">
        <v>5</v>
      </c>
      <c r="D4575" s="2" t="s">
        <v>192</v>
      </c>
      <c r="E4575" s="2" t="str">
        <f>"9789819760947"</f>
        <v>9789819760947</v>
      </c>
      <c r="F4575" s="2" t="str">
        <f>"9789819760954"</f>
        <v>9789819760954</v>
      </c>
    </row>
    <row r="4576" spans="1:6" s="3" customFormat="1" ht="29.1" customHeight="1" x14ac:dyDescent="0.25">
      <c r="A4576" s="2" t="s">
        <v>9867</v>
      </c>
      <c r="B4576" s="2" t="s">
        <v>9868</v>
      </c>
      <c r="C4576" s="2" t="s">
        <v>5</v>
      </c>
      <c r="D4576" s="2" t="s">
        <v>86</v>
      </c>
      <c r="E4576" s="2" t="str">
        <f>"9783031691539"</f>
        <v>9783031691539</v>
      </c>
      <c r="F4576" s="2" t="str">
        <f>"9783031691546"</f>
        <v>9783031691546</v>
      </c>
    </row>
    <row r="4577" spans="1:6" s="3" customFormat="1" ht="29.1" customHeight="1" x14ac:dyDescent="0.25">
      <c r="A4577" s="2" t="s">
        <v>9869</v>
      </c>
      <c r="B4577" s="2" t="s">
        <v>9870</v>
      </c>
      <c r="C4577" s="2" t="s">
        <v>556</v>
      </c>
      <c r="D4577" s="2" t="s">
        <v>446</v>
      </c>
      <c r="E4577" s="2" t="str">
        <f>"9783837674811"</f>
        <v>9783837674811</v>
      </c>
      <c r="F4577" s="2" t="str">
        <f>"9783839474815"</f>
        <v>9783839474815</v>
      </c>
    </row>
    <row r="4578" spans="1:6" s="3" customFormat="1" ht="29.1" customHeight="1" x14ac:dyDescent="0.25">
      <c r="A4578" s="2" t="s">
        <v>9871</v>
      </c>
      <c r="B4578" s="2" t="s">
        <v>9872</v>
      </c>
      <c r="C4578" s="2" t="s">
        <v>556</v>
      </c>
      <c r="D4578" s="2" t="s">
        <v>75</v>
      </c>
      <c r="E4578" s="2" t="str">
        <f>"9783837672350"</f>
        <v>9783837672350</v>
      </c>
      <c r="F4578" s="2" t="str">
        <f>"9783839472354"</f>
        <v>9783839472354</v>
      </c>
    </row>
    <row r="4579" spans="1:6" s="3" customFormat="1" ht="29.1" customHeight="1" x14ac:dyDescent="0.25">
      <c r="A4579" s="2" t="s">
        <v>9873</v>
      </c>
      <c r="B4579" s="2" t="s">
        <v>9874</v>
      </c>
      <c r="C4579" s="2" t="s">
        <v>556</v>
      </c>
      <c r="D4579" s="2" t="s">
        <v>674</v>
      </c>
      <c r="E4579" s="2" t="str">
        <f>"9783837671568"</f>
        <v>9783837671568</v>
      </c>
      <c r="F4579" s="2" t="str">
        <f>"9783839471562"</f>
        <v>9783839471562</v>
      </c>
    </row>
    <row r="4580" spans="1:6" s="3" customFormat="1" ht="29.1" customHeight="1" x14ac:dyDescent="0.25">
      <c r="A4580" s="2" t="s">
        <v>9875</v>
      </c>
      <c r="B4580" s="2" t="s">
        <v>9876</v>
      </c>
      <c r="C4580" s="2" t="s">
        <v>556</v>
      </c>
      <c r="D4580" s="2" t="s">
        <v>4030</v>
      </c>
      <c r="E4580" s="2" t="str">
        <f>"9783837675450"</f>
        <v>9783837675450</v>
      </c>
      <c r="F4580" s="2" t="str">
        <f>"9783839475454"</f>
        <v>9783839475454</v>
      </c>
    </row>
    <row r="4581" spans="1:6" s="3" customFormat="1" ht="29.1" customHeight="1" x14ac:dyDescent="0.25">
      <c r="A4581" s="2" t="s">
        <v>9877</v>
      </c>
      <c r="B4581" s="2" t="s">
        <v>9879</v>
      </c>
      <c r="C4581" s="2" t="s">
        <v>556</v>
      </c>
      <c r="D4581" s="2" t="s">
        <v>9878</v>
      </c>
      <c r="E4581" s="2" t="str">
        <f>"9783837674453"</f>
        <v>9783837674453</v>
      </c>
      <c r="F4581" s="2" t="str">
        <f>"9783839474457"</f>
        <v>9783839474457</v>
      </c>
    </row>
    <row r="4582" spans="1:6" s="3" customFormat="1" ht="29.1" customHeight="1" x14ac:dyDescent="0.25">
      <c r="A4582" s="2" t="s">
        <v>9880</v>
      </c>
      <c r="B4582" s="2" t="s">
        <v>9881</v>
      </c>
      <c r="C4582" s="2" t="s">
        <v>556</v>
      </c>
      <c r="D4582" s="2" t="s">
        <v>2587</v>
      </c>
      <c r="E4582" s="2" t="str">
        <f>"9783837672992"</f>
        <v>9783837672992</v>
      </c>
      <c r="F4582" s="2" t="str">
        <f>"9783839472996"</f>
        <v>9783839472996</v>
      </c>
    </row>
    <row r="4583" spans="1:6" s="3" customFormat="1" ht="29.1" customHeight="1" x14ac:dyDescent="0.25">
      <c r="A4583" s="2" t="s">
        <v>9882</v>
      </c>
      <c r="B4583" s="2" t="s">
        <v>9883</v>
      </c>
      <c r="C4583" s="2" t="s">
        <v>556</v>
      </c>
      <c r="D4583" s="2" t="s">
        <v>1262</v>
      </c>
      <c r="E4583" s="2" t="str">
        <f>"9783837674279"</f>
        <v>9783837674279</v>
      </c>
      <c r="F4583" s="2" t="str">
        <f>"9783839474273"</f>
        <v>9783839474273</v>
      </c>
    </row>
    <row r="4584" spans="1:6" s="3" customFormat="1" ht="29.1" customHeight="1" x14ac:dyDescent="0.25">
      <c r="A4584" s="2" t="s">
        <v>9884</v>
      </c>
      <c r="B4584" s="2" t="s">
        <v>9885</v>
      </c>
      <c r="C4584" s="2" t="s">
        <v>556</v>
      </c>
      <c r="D4584" s="2" t="s">
        <v>4030</v>
      </c>
      <c r="E4584" s="2" t="str">
        <f>"9783837672848"</f>
        <v>9783837672848</v>
      </c>
      <c r="F4584" s="2" t="str">
        <f>"9783732872848"</f>
        <v>9783732872848</v>
      </c>
    </row>
    <row r="4585" spans="1:6" s="3" customFormat="1" ht="29.1" customHeight="1" x14ac:dyDescent="0.25">
      <c r="A4585" s="2" t="s">
        <v>9886</v>
      </c>
      <c r="B4585" s="2" t="s">
        <v>9887</v>
      </c>
      <c r="C4585" s="2" t="s">
        <v>556</v>
      </c>
      <c r="D4585" s="2" t="s">
        <v>2488</v>
      </c>
      <c r="E4585" s="2" t="str">
        <f>"9783837673005"</f>
        <v>9783837673005</v>
      </c>
      <c r="F4585" s="2" t="str">
        <f>"9783839473009"</f>
        <v>9783839473009</v>
      </c>
    </row>
    <row r="4586" spans="1:6" s="3" customFormat="1" ht="29.1" customHeight="1" x14ac:dyDescent="0.25">
      <c r="A4586" s="2" t="s">
        <v>9888</v>
      </c>
      <c r="B4586" s="2" t="s">
        <v>9890</v>
      </c>
      <c r="C4586" s="2" t="s">
        <v>556</v>
      </c>
      <c r="D4586" s="2" t="s">
        <v>9889</v>
      </c>
      <c r="E4586" s="2" t="str">
        <f>"9783837672763"</f>
        <v>9783837672763</v>
      </c>
      <c r="F4586" s="2" t="str">
        <f>"9783839472767"</f>
        <v>9783839472767</v>
      </c>
    </row>
    <row r="4587" spans="1:6" s="3" customFormat="1" ht="29.1" customHeight="1" x14ac:dyDescent="0.25">
      <c r="A4587" s="2" t="s">
        <v>9891</v>
      </c>
      <c r="B4587" s="2" t="s">
        <v>9892</v>
      </c>
      <c r="C4587" s="2" t="s">
        <v>556</v>
      </c>
      <c r="D4587" s="2" t="s">
        <v>3245</v>
      </c>
      <c r="E4587" s="2" t="str">
        <f>"9783837672831"</f>
        <v>9783837672831</v>
      </c>
      <c r="F4587" s="2" t="str">
        <f>"9783839472835"</f>
        <v>9783839472835</v>
      </c>
    </row>
    <row r="4588" spans="1:6" s="3" customFormat="1" ht="29.1" customHeight="1" x14ac:dyDescent="0.25">
      <c r="A4588" s="2" t="s">
        <v>9893</v>
      </c>
      <c r="B4588" s="2" t="s">
        <v>9895</v>
      </c>
      <c r="C4588" s="2" t="s">
        <v>556</v>
      </c>
      <c r="D4588" s="2" t="s">
        <v>9894</v>
      </c>
      <c r="E4588" s="2" t="str">
        <f>"9783837672701"</f>
        <v>9783837672701</v>
      </c>
      <c r="F4588" s="2" t="str">
        <f>"9783839472705"</f>
        <v>9783839472705</v>
      </c>
    </row>
    <row r="4589" spans="1:6" s="3" customFormat="1" ht="29.1" customHeight="1" x14ac:dyDescent="0.25">
      <c r="A4589" s="2" t="s">
        <v>9896</v>
      </c>
      <c r="B4589" s="2" t="s">
        <v>9897</v>
      </c>
      <c r="C4589" s="2" t="s">
        <v>556</v>
      </c>
      <c r="D4589" s="2" t="s">
        <v>490</v>
      </c>
      <c r="E4589" s="2" t="str">
        <f>"9783837668964"</f>
        <v>9783837668964</v>
      </c>
      <c r="F4589" s="2" t="str">
        <f>"9783839468968"</f>
        <v>9783839468968</v>
      </c>
    </row>
    <row r="4590" spans="1:6" s="3" customFormat="1" ht="29.1" customHeight="1" x14ac:dyDescent="0.25">
      <c r="A4590" s="2" t="s">
        <v>9898</v>
      </c>
      <c r="B4590" s="2" t="s">
        <v>9900</v>
      </c>
      <c r="C4590" s="2" t="s">
        <v>556</v>
      </c>
      <c r="D4590" s="2" t="s">
        <v>9899</v>
      </c>
      <c r="E4590" s="2" t="str">
        <f>"9783837675696"</f>
        <v>9783837675696</v>
      </c>
      <c r="F4590" s="2" t="str">
        <f>"9783839475690"</f>
        <v>9783839475690</v>
      </c>
    </row>
    <row r="4591" spans="1:6" s="3" customFormat="1" ht="29.1" customHeight="1" x14ac:dyDescent="0.25">
      <c r="A4591" s="2" t="s">
        <v>9901</v>
      </c>
      <c r="B4591" s="2" t="s">
        <v>9902</v>
      </c>
      <c r="C4591" s="2" t="s">
        <v>556</v>
      </c>
      <c r="D4591" s="2" t="s">
        <v>1637</v>
      </c>
      <c r="E4591" s="2" t="str">
        <f>"9783837671940"</f>
        <v>9783837671940</v>
      </c>
      <c r="F4591" s="2" t="str">
        <f>"9783839471944"</f>
        <v>9783839471944</v>
      </c>
    </row>
    <row r="4592" spans="1:6" s="3" customFormat="1" ht="29.1" customHeight="1" x14ac:dyDescent="0.25">
      <c r="A4592" s="2" t="s">
        <v>9903</v>
      </c>
      <c r="B4592" s="2" t="s">
        <v>9904</v>
      </c>
      <c r="C4592" s="2" t="s">
        <v>556</v>
      </c>
      <c r="D4592" s="2" t="s">
        <v>1262</v>
      </c>
      <c r="E4592" s="2" t="str">
        <f>"9783837671735"</f>
        <v>9783837671735</v>
      </c>
      <c r="F4592" s="2" t="str">
        <f>"9783839471739"</f>
        <v>9783839471739</v>
      </c>
    </row>
    <row r="4593" spans="1:6" s="3" customFormat="1" ht="29.1" customHeight="1" x14ac:dyDescent="0.25">
      <c r="A4593" s="2" t="s">
        <v>9905</v>
      </c>
      <c r="B4593" s="2" t="s">
        <v>9906</v>
      </c>
      <c r="C4593" s="2" t="s">
        <v>556</v>
      </c>
      <c r="D4593" s="2" t="s">
        <v>712</v>
      </c>
      <c r="E4593" s="2" t="str">
        <f>"9783837661200"</f>
        <v>9783837661200</v>
      </c>
      <c r="F4593" s="2" t="str">
        <f>"9783732861200"</f>
        <v>9783732861200</v>
      </c>
    </row>
    <row r="4594" spans="1:6" s="3" customFormat="1" ht="29.1" customHeight="1" x14ac:dyDescent="0.25">
      <c r="A4594" s="2" t="s">
        <v>9907</v>
      </c>
      <c r="B4594" s="2" t="s">
        <v>9908</v>
      </c>
      <c r="C4594" s="2" t="s">
        <v>556</v>
      </c>
      <c r="D4594" s="2" t="s">
        <v>5060</v>
      </c>
      <c r="E4594" s="2" t="str">
        <f>"9783837671377"</f>
        <v>9783837671377</v>
      </c>
      <c r="F4594" s="2" t="str">
        <f>"9783732871377"</f>
        <v>9783732871377</v>
      </c>
    </row>
    <row r="4595" spans="1:6" s="3" customFormat="1" ht="29.1" customHeight="1" x14ac:dyDescent="0.25">
      <c r="A4595" s="2" t="s">
        <v>9909</v>
      </c>
      <c r="B4595" s="2" t="s">
        <v>9910</v>
      </c>
      <c r="C4595" s="2" t="s">
        <v>556</v>
      </c>
      <c r="D4595" s="2" t="s">
        <v>1560</v>
      </c>
      <c r="E4595" s="2" t="str">
        <f>"9783837668377"</f>
        <v>9783837668377</v>
      </c>
      <c r="F4595" s="2" t="str">
        <f>"9783839468371"</f>
        <v>9783839468371</v>
      </c>
    </row>
    <row r="4596" spans="1:6" s="3" customFormat="1" ht="29.1" customHeight="1" x14ac:dyDescent="0.25">
      <c r="A4596" s="2" t="s">
        <v>9911</v>
      </c>
      <c r="B4596" s="2" t="s">
        <v>9912</v>
      </c>
      <c r="C4596" s="2" t="s">
        <v>556</v>
      </c>
      <c r="D4596" s="2" t="s">
        <v>202</v>
      </c>
      <c r="E4596" s="2" t="str">
        <f>"9783837657555"</f>
        <v>9783837657555</v>
      </c>
      <c r="F4596" s="2" t="str">
        <f>"9783839457559"</f>
        <v>9783839457559</v>
      </c>
    </row>
    <row r="4597" spans="1:6" s="3" customFormat="1" ht="29.1" customHeight="1" x14ac:dyDescent="0.25">
      <c r="A4597" s="2" t="s">
        <v>9913</v>
      </c>
      <c r="B4597" s="2" t="s">
        <v>9914</v>
      </c>
      <c r="C4597" s="2" t="s">
        <v>556</v>
      </c>
      <c r="D4597" s="2" t="s">
        <v>2019</v>
      </c>
      <c r="E4597" s="2" t="str">
        <f>"9783837656855"</f>
        <v>9783837656855</v>
      </c>
      <c r="F4597" s="2" t="str">
        <f>"9783839456859"</f>
        <v>9783839456859</v>
      </c>
    </row>
    <row r="4598" spans="1:6" s="3" customFormat="1" ht="29.1" customHeight="1" x14ac:dyDescent="0.25">
      <c r="A4598" s="2" t="s">
        <v>9915</v>
      </c>
      <c r="B4598" s="2" t="s">
        <v>9916</v>
      </c>
      <c r="C4598" s="2" t="s">
        <v>556</v>
      </c>
      <c r="D4598" s="2" t="s">
        <v>1262</v>
      </c>
      <c r="E4598" s="2" t="str">
        <f>"9783837675610"</f>
        <v>9783837675610</v>
      </c>
      <c r="F4598" s="2" t="str">
        <f>"9783839475614"</f>
        <v>9783839475614</v>
      </c>
    </row>
    <row r="4599" spans="1:6" s="3" customFormat="1" ht="29.1" customHeight="1" x14ac:dyDescent="0.25">
      <c r="A4599" s="2" t="s">
        <v>9917</v>
      </c>
      <c r="B4599" s="2" t="s">
        <v>9918</v>
      </c>
      <c r="C4599" s="2" t="s">
        <v>556</v>
      </c>
      <c r="D4599" s="2" t="s">
        <v>1162</v>
      </c>
      <c r="E4599" s="2" t="str">
        <f>"9783837675474"</f>
        <v>9783837675474</v>
      </c>
      <c r="F4599" s="2" t="str">
        <f>"9783732875474"</f>
        <v>9783732875474</v>
      </c>
    </row>
    <row r="4600" spans="1:6" s="3" customFormat="1" ht="29.1" customHeight="1" x14ac:dyDescent="0.25">
      <c r="A4600" s="2" t="s">
        <v>9919</v>
      </c>
      <c r="B4600" s="2" t="s">
        <v>9920</v>
      </c>
      <c r="C4600" s="2" t="s">
        <v>556</v>
      </c>
      <c r="D4600" s="2" t="s">
        <v>1127</v>
      </c>
      <c r="E4600" s="2" t="str">
        <f>"9783837674675"</f>
        <v>9783837674675</v>
      </c>
      <c r="F4600" s="2" t="str">
        <f>"9783839474679"</f>
        <v>9783839474679</v>
      </c>
    </row>
    <row r="4601" spans="1:6" s="3" customFormat="1" ht="29.1" customHeight="1" x14ac:dyDescent="0.25">
      <c r="A4601" s="2" t="s">
        <v>9921</v>
      </c>
      <c r="B4601" s="2" t="s">
        <v>9922</v>
      </c>
      <c r="C4601" s="2" t="s">
        <v>556</v>
      </c>
      <c r="D4601" s="2" t="s">
        <v>1183</v>
      </c>
      <c r="E4601" s="2" t="str">
        <f>"9783837674316"</f>
        <v>9783837674316</v>
      </c>
      <c r="F4601" s="2" t="str">
        <f>"9783839474310"</f>
        <v>9783839474310</v>
      </c>
    </row>
    <row r="4602" spans="1:6" s="3" customFormat="1" ht="29.1" customHeight="1" x14ac:dyDescent="0.25">
      <c r="A4602" s="2" t="s">
        <v>9923</v>
      </c>
      <c r="B4602" s="2" t="s">
        <v>9924</v>
      </c>
      <c r="C4602" s="2" t="s">
        <v>556</v>
      </c>
      <c r="D4602" s="2" t="s">
        <v>1717</v>
      </c>
      <c r="E4602" s="2" t="str">
        <f>"9783837673586"</f>
        <v>9783837673586</v>
      </c>
      <c r="F4602" s="2" t="str">
        <f>"9783839473580"</f>
        <v>9783839473580</v>
      </c>
    </row>
    <row r="4603" spans="1:6" s="3" customFormat="1" ht="29.1" customHeight="1" x14ac:dyDescent="0.25">
      <c r="A4603" s="2" t="s">
        <v>9925</v>
      </c>
      <c r="B4603" s="2" t="s">
        <v>9926</v>
      </c>
      <c r="C4603" s="2" t="s">
        <v>556</v>
      </c>
      <c r="D4603" s="2" t="s">
        <v>636</v>
      </c>
      <c r="E4603" s="2" t="str">
        <f>"9783837672695"</f>
        <v>9783837672695</v>
      </c>
      <c r="F4603" s="2" t="str">
        <f>"9783839472699"</f>
        <v>9783839472699</v>
      </c>
    </row>
    <row r="4604" spans="1:6" s="3" customFormat="1" ht="29.1" customHeight="1" x14ac:dyDescent="0.25">
      <c r="A4604" s="2" t="s">
        <v>9927</v>
      </c>
      <c r="B4604" s="2" t="s">
        <v>9928</v>
      </c>
      <c r="C4604" s="2" t="s">
        <v>556</v>
      </c>
      <c r="D4604" s="2" t="s">
        <v>107</v>
      </c>
      <c r="E4604" s="2" t="str">
        <f>"9783837672947"</f>
        <v>9783837672947</v>
      </c>
      <c r="F4604" s="2" t="str">
        <f>"9783839472941"</f>
        <v>9783839472941</v>
      </c>
    </row>
    <row r="4605" spans="1:6" s="3" customFormat="1" ht="29.1" customHeight="1" x14ac:dyDescent="0.25">
      <c r="A4605" s="2" t="s">
        <v>9929</v>
      </c>
      <c r="B4605" s="2" t="s">
        <v>9930</v>
      </c>
      <c r="C4605" s="2" t="s">
        <v>556</v>
      </c>
      <c r="D4605" s="2" t="s">
        <v>1155</v>
      </c>
      <c r="E4605" s="2" t="str">
        <f>"9783837669435"</f>
        <v>9783837669435</v>
      </c>
      <c r="F4605" s="2" t="str">
        <f>"9783732869435"</f>
        <v>9783732869435</v>
      </c>
    </row>
    <row r="4606" spans="1:6" s="3" customFormat="1" ht="29.1" customHeight="1" x14ac:dyDescent="0.25">
      <c r="A4606" s="2" t="s">
        <v>9931</v>
      </c>
      <c r="B4606" s="2" t="s">
        <v>9932</v>
      </c>
      <c r="C4606" s="2" t="s">
        <v>556</v>
      </c>
      <c r="D4606" s="2" t="s">
        <v>647</v>
      </c>
      <c r="E4606" s="2" t="str">
        <f>"9783837639605"</f>
        <v>9783837639605</v>
      </c>
      <c r="F4606" s="2" t="str">
        <f>"9783839439609"</f>
        <v>9783839439609</v>
      </c>
    </row>
    <row r="4607" spans="1:6" s="3" customFormat="1" ht="29.1" customHeight="1" x14ac:dyDescent="0.25">
      <c r="A4607" s="2" t="s">
        <v>9933</v>
      </c>
      <c r="B4607" s="2" t="s">
        <v>9934</v>
      </c>
      <c r="C4607" s="2" t="s">
        <v>556</v>
      </c>
      <c r="D4607" s="2" t="s">
        <v>1162</v>
      </c>
      <c r="E4607" s="2" t="str">
        <f>"9783837665970"</f>
        <v>9783837665970</v>
      </c>
      <c r="F4607" s="2" t="str">
        <f>"9783839465974"</f>
        <v>9783839465974</v>
      </c>
    </row>
    <row r="4608" spans="1:6" s="3" customFormat="1" ht="29.1" customHeight="1" x14ac:dyDescent="0.25">
      <c r="A4608" s="2" t="s">
        <v>9935</v>
      </c>
      <c r="B4608" s="2" t="s">
        <v>9936</v>
      </c>
      <c r="C4608" s="2" t="s">
        <v>556</v>
      </c>
      <c r="D4608" s="2" t="s">
        <v>1109</v>
      </c>
      <c r="E4608" s="2" t="str">
        <f>"9783837673869"</f>
        <v>9783837673869</v>
      </c>
      <c r="F4608" s="2" t="str">
        <f>"9783839473863"</f>
        <v>9783839473863</v>
      </c>
    </row>
    <row r="4609" spans="1:6" s="3" customFormat="1" ht="29.1" customHeight="1" x14ac:dyDescent="0.25">
      <c r="A4609" s="2" t="s">
        <v>9937</v>
      </c>
      <c r="B4609" s="2" t="s">
        <v>9938</v>
      </c>
      <c r="C4609" s="2" t="s">
        <v>556</v>
      </c>
      <c r="D4609" s="2" t="s">
        <v>1127</v>
      </c>
      <c r="E4609" s="2" t="str">
        <f>"9783837673661"</f>
        <v>9783837673661</v>
      </c>
      <c r="F4609" s="2" t="str">
        <f>"9783839473665"</f>
        <v>9783839473665</v>
      </c>
    </row>
    <row r="4610" spans="1:6" s="3" customFormat="1" ht="29.1" customHeight="1" x14ac:dyDescent="0.25">
      <c r="A4610" s="2" t="s">
        <v>9939</v>
      </c>
      <c r="B4610" s="2" t="s">
        <v>9940</v>
      </c>
      <c r="C4610" s="2" t="s">
        <v>556</v>
      </c>
      <c r="D4610" s="2" t="s">
        <v>553</v>
      </c>
      <c r="E4610" s="2" t="str">
        <f>"9783837675719"</f>
        <v>9783837675719</v>
      </c>
      <c r="F4610" s="2" t="str">
        <f>"9783839475713"</f>
        <v>9783839475713</v>
      </c>
    </row>
    <row r="4611" spans="1:6" s="3" customFormat="1" ht="29.1" customHeight="1" x14ac:dyDescent="0.25">
      <c r="A4611" s="2" t="s">
        <v>9941</v>
      </c>
      <c r="B4611" s="2" t="s">
        <v>9942</v>
      </c>
      <c r="C4611" s="2" t="s">
        <v>556</v>
      </c>
      <c r="D4611" s="2" t="s">
        <v>1127</v>
      </c>
      <c r="E4611" s="2" t="str">
        <f>"9783837674644"</f>
        <v>9783837674644</v>
      </c>
      <c r="F4611" s="2" t="str">
        <f>"9783839474648"</f>
        <v>9783839474648</v>
      </c>
    </row>
    <row r="4612" spans="1:6" s="3" customFormat="1" ht="29.1" customHeight="1" x14ac:dyDescent="0.25">
      <c r="A4612" s="2" t="s">
        <v>9943</v>
      </c>
      <c r="B4612" s="2" t="s">
        <v>9944</v>
      </c>
      <c r="C4612" s="2" t="s">
        <v>556</v>
      </c>
      <c r="D4612" s="2" t="s">
        <v>1437</v>
      </c>
      <c r="E4612" s="2" t="str">
        <f>"9783837675337"</f>
        <v>9783837675337</v>
      </c>
      <c r="F4612" s="2" t="str">
        <f>"9783839475331"</f>
        <v>9783839475331</v>
      </c>
    </row>
    <row r="4613" spans="1:6" s="3" customFormat="1" ht="29.1" customHeight="1" x14ac:dyDescent="0.25">
      <c r="A4613" s="2" t="s">
        <v>9945</v>
      </c>
      <c r="B4613" s="2" t="s">
        <v>9946</v>
      </c>
      <c r="C4613" s="2" t="s">
        <v>556</v>
      </c>
      <c r="D4613" s="2" t="s">
        <v>647</v>
      </c>
      <c r="E4613" s="2" t="str">
        <f>"9783837674224"</f>
        <v>9783837674224</v>
      </c>
      <c r="F4613" s="2" t="str">
        <f>"9783839474228"</f>
        <v>9783839474228</v>
      </c>
    </row>
    <row r="4614" spans="1:6" s="3" customFormat="1" ht="29.1" customHeight="1" x14ac:dyDescent="0.25">
      <c r="A4614" s="2" t="s">
        <v>9947</v>
      </c>
      <c r="B4614" s="2" t="s">
        <v>9948</v>
      </c>
      <c r="C4614" s="2" t="s">
        <v>556</v>
      </c>
      <c r="D4614" s="2" t="s">
        <v>647</v>
      </c>
      <c r="E4614" s="2" t="str">
        <f>"9783837674200"</f>
        <v>9783837674200</v>
      </c>
      <c r="F4614" s="2" t="str">
        <f>"9783839474204"</f>
        <v>9783839474204</v>
      </c>
    </row>
    <row r="4615" spans="1:6" s="3" customFormat="1" ht="29.1" customHeight="1" x14ac:dyDescent="0.25">
      <c r="A4615" s="2" t="s">
        <v>9949</v>
      </c>
      <c r="B4615" s="2" t="s">
        <v>9950</v>
      </c>
      <c r="C4615" s="2" t="s">
        <v>556</v>
      </c>
      <c r="D4615" s="2" t="s">
        <v>2336</v>
      </c>
      <c r="E4615" s="2" t="str">
        <f>"9783837672527"</f>
        <v>9783837672527</v>
      </c>
      <c r="F4615" s="2" t="str">
        <f>"9783839472521"</f>
        <v>9783839472521</v>
      </c>
    </row>
    <row r="4616" spans="1:6" s="3" customFormat="1" ht="29.1" customHeight="1" x14ac:dyDescent="0.25">
      <c r="A4616" s="2" t="s">
        <v>9951</v>
      </c>
      <c r="B4616" s="2" t="s">
        <v>9952</v>
      </c>
      <c r="C4616" s="2" t="s">
        <v>556</v>
      </c>
      <c r="D4616" s="2" t="s">
        <v>78</v>
      </c>
      <c r="E4616" s="2" t="str">
        <f>"9783837672435"</f>
        <v>9783837672435</v>
      </c>
      <c r="F4616" s="2" t="str">
        <f>"9783839472439"</f>
        <v>9783839472439</v>
      </c>
    </row>
    <row r="4617" spans="1:6" s="3" customFormat="1" ht="29.1" customHeight="1" x14ac:dyDescent="0.25">
      <c r="A4617" s="2" t="s">
        <v>9953</v>
      </c>
      <c r="B4617" s="2" t="s">
        <v>9954</v>
      </c>
      <c r="C4617" s="2" t="s">
        <v>556</v>
      </c>
      <c r="D4617" s="2" t="s">
        <v>699</v>
      </c>
      <c r="E4617" s="2" t="str">
        <f>"9783837665123"</f>
        <v>9783837665123</v>
      </c>
      <c r="F4617" s="2" t="str">
        <f>"9783839465127"</f>
        <v>9783839465127</v>
      </c>
    </row>
    <row r="4618" spans="1:6" s="3" customFormat="1" ht="29.1" customHeight="1" x14ac:dyDescent="0.25">
      <c r="A4618" s="2" t="s">
        <v>9955</v>
      </c>
      <c r="B4618" s="2" t="s">
        <v>9956</v>
      </c>
      <c r="C4618" s="2" t="s">
        <v>556</v>
      </c>
      <c r="D4618" s="2" t="s">
        <v>1056</v>
      </c>
      <c r="E4618" s="2" t="str">
        <f>"9783837675016"</f>
        <v>9783837675016</v>
      </c>
      <c r="F4618" s="2" t="str">
        <f>"9783839475010"</f>
        <v>9783839475010</v>
      </c>
    </row>
    <row r="4619" spans="1:6" s="3" customFormat="1" ht="29.1" customHeight="1" x14ac:dyDescent="0.25">
      <c r="A4619" s="2" t="s">
        <v>9957</v>
      </c>
      <c r="B4619" s="2" t="s">
        <v>9958</v>
      </c>
      <c r="C4619" s="2" t="s">
        <v>556</v>
      </c>
      <c r="D4619" s="2" t="s">
        <v>712</v>
      </c>
      <c r="E4619" s="2" t="str">
        <f>"9783837675535"</f>
        <v>9783837675535</v>
      </c>
      <c r="F4619" s="2" t="str">
        <f>"9783839475539"</f>
        <v>9783839475539</v>
      </c>
    </row>
    <row r="4620" spans="1:6" s="3" customFormat="1" ht="29.1" customHeight="1" x14ac:dyDescent="0.25">
      <c r="A4620" s="2" t="s">
        <v>9959</v>
      </c>
      <c r="B4620" s="2" t="s">
        <v>9960</v>
      </c>
      <c r="C4620" s="2" t="s">
        <v>556</v>
      </c>
      <c r="D4620" s="2" t="s">
        <v>7293</v>
      </c>
      <c r="E4620" s="2" t="str">
        <f>"9783837674828"</f>
        <v>9783837674828</v>
      </c>
      <c r="F4620" s="2" t="str">
        <f>"9783839474822"</f>
        <v>9783839474822</v>
      </c>
    </row>
    <row r="4621" spans="1:6" s="3" customFormat="1" ht="29.1" customHeight="1" x14ac:dyDescent="0.25">
      <c r="A4621" s="2" t="s">
        <v>9961</v>
      </c>
      <c r="B4621" s="2" t="s">
        <v>9962</v>
      </c>
      <c r="C4621" s="2" t="s">
        <v>556</v>
      </c>
      <c r="D4621" s="2" t="s">
        <v>712</v>
      </c>
      <c r="E4621" s="2" t="str">
        <f>"9783837673722"</f>
        <v>9783837673722</v>
      </c>
      <c r="F4621" s="2" t="str">
        <f>"9783839473726"</f>
        <v>9783839473726</v>
      </c>
    </row>
    <row r="4622" spans="1:6" s="3" customFormat="1" ht="29.1" customHeight="1" x14ac:dyDescent="0.25">
      <c r="A4622" s="2" t="s">
        <v>9963</v>
      </c>
      <c r="B4622" s="2" t="s">
        <v>9964</v>
      </c>
      <c r="C4622" s="2" t="s">
        <v>556</v>
      </c>
      <c r="D4622" s="2" t="s">
        <v>1141</v>
      </c>
      <c r="E4622" s="2" t="str">
        <f>"9783837675139"</f>
        <v>9783837675139</v>
      </c>
      <c r="F4622" s="2" t="str">
        <f>"9783839475133"</f>
        <v>9783839475133</v>
      </c>
    </row>
    <row r="4623" spans="1:6" s="3" customFormat="1" ht="29.1" customHeight="1" x14ac:dyDescent="0.25">
      <c r="A4623" s="2" t="s">
        <v>9965</v>
      </c>
      <c r="B4623" s="2" t="s">
        <v>9966</v>
      </c>
      <c r="C4623" s="2" t="s">
        <v>556</v>
      </c>
      <c r="D4623" s="2" t="s">
        <v>4030</v>
      </c>
      <c r="E4623" s="2" t="str">
        <f>"9783837674910"</f>
        <v>9783837674910</v>
      </c>
      <c r="F4623" s="2" t="str">
        <f>"9783839474914"</f>
        <v>9783839474914</v>
      </c>
    </row>
    <row r="4624" spans="1:6" s="3" customFormat="1" ht="29.1" customHeight="1" x14ac:dyDescent="0.25">
      <c r="A4624" s="2" t="s">
        <v>9967</v>
      </c>
      <c r="B4624" s="2" t="s">
        <v>9969</v>
      </c>
      <c r="C4624" s="2" t="s">
        <v>556</v>
      </c>
      <c r="D4624" s="2" t="s">
        <v>9968</v>
      </c>
      <c r="E4624" s="2" t="str">
        <f>"9783837675641"</f>
        <v>9783837675641</v>
      </c>
      <c r="F4624" s="2" t="str">
        <f>"9783839475645"</f>
        <v>9783839475645</v>
      </c>
    </row>
    <row r="4625" spans="1:6" s="3" customFormat="1" ht="29.1" customHeight="1" x14ac:dyDescent="0.25">
      <c r="A4625" s="2" t="s">
        <v>9970</v>
      </c>
      <c r="B4625" s="2" t="s">
        <v>9971</v>
      </c>
      <c r="C4625" s="2" t="s">
        <v>556</v>
      </c>
      <c r="D4625" s="2" t="s">
        <v>4030</v>
      </c>
      <c r="E4625" s="2" t="str">
        <f>"9783837672817"</f>
        <v>9783837672817</v>
      </c>
      <c r="F4625" s="2" t="str">
        <f>"9783839472811"</f>
        <v>9783839472811</v>
      </c>
    </row>
    <row r="4626" spans="1:6" s="3" customFormat="1" ht="29.1" customHeight="1" x14ac:dyDescent="0.25">
      <c r="A4626" s="2" t="s">
        <v>9972</v>
      </c>
      <c r="B4626" s="2" t="s">
        <v>9973</v>
      </c>
      <c r="C4626" s="2" t="s">
        <v>556</v>
      </c>
      <c r="D4626" s="2" t="s">
        <v>4071</v>
      </c>
      <c r="E4626" s="2" t="str">
        <f>"9783837672923"</f>
        <v>9783837672923</v>
      </c>
      <c r="F4626" s="2" t="str">
        <f>"9783839472927"</f>
        <v>9783839472927</v>
      </c>
    </row>
    <row r="4627" spans="1:6" s="3" customFormat="1" ht="29.1" customHeight="1" x14ac:dyDescent="0.25">
      <c r="A4627" s="2" t="s">
        <v>9974</v>
      </c>
      <c r="B4627" s="2" t="s">
        <v>9975</v>
      </c>
      <c r="C4627" s="2" t="s">
        <v>556</v>
      </c>
      <c r="D4627" s="2" t="s">
        <v>636</v>
      </c>
      <c r="E4627" s="2" t="str">
        <f>"9783837675412"</f>
        <v>9783837675412</v>
      </c>
      <c r="F4627" s="2" t="str">
        <f>"9783839475416"</f>
        <v>9783839475416</v>
      </c>
    </row>
    <row r="4628" spans="1:6" s="3" customFormat="1" ht="29.1" customHeight="1" x14ac:dyDescent="0.25">
      <c r="A4628" s="2" t="s">
        <v>9976</v>
      </c>
      <c r="B4628" s="2" t="s">
        <v>9977</v>
      </c>
      <c r="C4628" s="2" t="s">
        <v>556</v>
      </c>
      <c r="D4628" s="2" t="s">
        <v>1109</v>
      </c>
      <c r="E4628" s="2" t="str">
        <f>"9783837668902"</f>
        <v>9783837668902</v>
      </c>
      <c r="F4628" s="2" t="str">
        <f>"9783732868902"</f>
        <v>9783732868902</v>
      </c>
    </row>
    <row r="4629" spans="1:6" s="3" customFormat="1" ht="29.1" customHeight="1" x14ac:dyDescent="0.25">
      <c r="A4629" s="2" t="s">
        <v>9978</v>
      </c>
      <c r="B4629" s="2" t="s">
        <v>9979</v>
      </c>
      <c r="C4629" s="2" t="s">
        <v>556</v>
      </c>
      <c r="D4629" s="2" t="s">
        <v>5671</v>
      </c>
      <c r="E4629" s="2" t="str">
        <f>"9783837675870"</f>
        <v>9783837675870</v>
      </c>
      <c r="F4629" s="2" t="str">
        <f>"9783839475874"</f>
        <v>9783839475874</v>
      </c>
    </row>
    <row r="4630" spans="1:6" s="3" customFormat="1" ht="29.1" customHeight="1" x14ac:dyDescent="0.25">
      <c r="A4630" s="2" t="s">
        <v>9980</v>
      </c>
      <c r="B4630" s="2" t="s">
        <v>9981</v>
      </c>
      <c r="C4630" s="2" t="s">
        <v>556</v>
      </c>
      <c r="D4630" s="2" t="s">
        <v>1944</v>
      </c>
      <c r="E4630" s="2" t="str">
        <f>"9783837668155"</f>
        <v>9783837668155</v>
      </c>
      <c r="F4630" s="2" t="str">
        <f>"9783839468159"</f>
        <v>9783839468159</v>
      </c>
    </row>
    <row r="4631" spans="1:6" s="3" customFormat="1" ht="29.1" customHeight="1" x14ac:dyDescent="0.25">
      <c r="A4631" s="2" t="s">
        <v>9982</v>
      </c>
      <c r="B4631" s="2" t="s">
        <v>9983</v>
      </c>
      <c r="C4631" s="2" t="s">
        <v>556</v>
      </c>
      <c r="D4631" s="2" t="s">
        <v>1944</v>
      </c>
      <c r="E4631" s="2" t="str">
        <f>"9783837676518"</f>
        <v>9783837676518</v>
      </c>
      <c r="F4631" s="2" t="str">
        <f>"9783839476512"</f>
        <v>9783839476512</v>
      </c>
    </row>
    <row r="4632" spans="1:6" s="3" customFormat="1" ht="29.1" customHeight="1" x14ac:dyDescent="0.25">
      <c r="A4632" s="2" t="s">
        <v>9984</v>
      </c>
      <c r="B4632" s="2" t="s">
        <v>9985</v>
      </c>
      <c r="C4632" s="2" t="s">
        <v>556</v>
      </c>
      <c r="D4632" s="2" t="s">
        <v>37</v>
      </c>
      <c r="E4632" s="2" t="str">
        <f>"9783837672916"</f>
        <v>9783837672916</v>
      </c>
      <c r="F4632" s="2" t="str">
        <f>"9783839472910"</f>
        <v>9783839472910</v>
      </c>
    </row>
    <row r="4633" spans="1:6" s="3" customFormat="1" ht="29.1" customHeight="1" x14ac:dyDescent="0.25">
      <c r="A4633" s="2" t="s">
        <v>9986</v>
      </c>
      <c r="B4633" s="2" t="s">
        <v>9987</v>
      </c>
      <c r="C4633" s="2" t="s">
        <v>556</v>
      </c>
      <c r="D4633" s="2" t="s">
        <v>712</v>
      </c>
      <c r="E4633" s="2" t="str">
        <f>"9783837672077"</f>
        <v>9783837672077</v>
      </c>
      <c r="F4633" s="2" t="str">
        <f>"9783839472071"</f>
        <v>9783839472071</v>
      </c>
    </row>
    <row r="4634" spans="1:6" s="3" customFormat="1" ht="29.1" customHeight="1" x14ac:dyDescent="0.25">
      <c r="A4634" s="2" t="s">
        <v>9988</v>
      </c>
      <c r="B4634" s="2" t="s">
        <v>9989</v>
      </c>
      <c r="C4634" s="2" t="s">
        <v>556</v>
      </c>
      <c r="D4634" s="2" t="s">
        <v>183</v>
      </c>
      <c r="E4634" s="2" t="str">
        <f>"9783837671575"</f>
        <v>9783837671575</v>
      </c>
      <c r="F4634" s="2" t="str">
        <f>"9783839471579"</f>
        <v>9783839471579</v>
      </c>
    </row>
    <row r="4635" spans="1:6" s="3" customFormat="1" ht="29.1" customHeight="1" x14ac:dyDescent="0.25">
      <c r="A4635" s="2" t="s">
        <v>9990</v>
      </c>
      <c r="B4635" s="2" t="s">
        <v>9991</v>
      </c>
      <c r="C4635" s="2" t="s">
        <v>556</v>
      </c>
      <c r="D4635" s="2" t="s">
        <v>6795</v>
      </c>
      <c r="E4635" s="2" t="str">
        <f>"9783837668117"</f>
        <v>9783837668117</v>
      </c>
      <c r="F4635" s="2" t="str">
        <f>"9783839468111"</f>
        <v>9783839468111</v>
      </c>
    </row>
    <row r="4636" spans="1:6" s="3" customFormat="1" ht="29.1" customHeight="1" x14ac:dyDescent="0.25">
      <c r="A4636" s="2" t="s">
        <v>9992</v>
      </c>
      <c r="B4636" s="2" t="s">
        <v>9993</v>
      </c>
      <c r="C4636" s="2" t="s">
        <v>556</v>
      </c>
      <c r="D4636" s="2" t="s">
        <v>791</v>
      </c>
      <c r="E4636" s="2" t="str">
        <f>"9783837670813"</f>
        <v>9783837670813</v>
      </c>
      <c r="F4636" s="2" t="str">
        <f>"9783732870813"</f>
        <v>9783732870813</v>
      </c>
    </row>
    <row r="4637" spans="1:6" s="3" customFormat="1" ht="29.1" customHeight="1" x14ac:dyDescent="0.25">
      <c r="A4637" s="2" t="s">
        <v>9994</v>
      </c>
      <c r="B4637" s="2" t="s">
        <v>9995</v>
      </c>
      <c r="C4637" s="2" t="s">
        <v>556</v>
      </c>
      <c r="D4637" s="2" t="s">
        <v>135</v>
      </c>
      <c r="E4637" s="2" t="str">
        <f>"9783837669930"</f>
        <v>9783837669930</v>
      </c>
      <c r="F4637" s="2" t="str">
        <f>"9783839469934"</f>
        <v>9783839469934</v>
      </c>
    </row>
    <row r="4638" spans="1:6" s="3" customFormat="1" ht="29.1" customHeight="1" x14ac:dyDescent="0.25">
      <c r="A4638" s="2" t="s">
        <v>9996</v>
      </c>
      <c r="B4638" s="2" t="s">
        <v>9997</v>
      </c>
      <c r="C4638" s="2" t="s">
        <v>149</v>
      </c>
      <c r="D4638" s="2" t="s">
        <v>2016</v>
      </c>
      <c r="E4638" s="2" t="str">
        <f>"9781067253509"</f>
        <v>9781067253509</v>
      </c>
      <c r="F4638" s="2" t="str">
        <f>"9781067253516"</f>
        <v>9781067253516</v>
      </c>
    </row>
    <row r="4639" spans="1:6" s="3" customFormat="1" ht="29.1" customHeight="1" x14ac:dyDescent="0.25">
      <c r="A4639" s="2" t="s">
        <v>9998</v>
      </c>
      <c r="B4639" s="2" t="s">
        <v>9999</v>
      </c>
      <c r="C4639" s="2" t="s">
        <v>239</v>
      </c>
      <c r="D4639" s="2" t="s">
        <v>879</v>
      </c>
      <c r="E4639" s="2" t="str">
        <f>"9780520402539"</f>
        <v>9780520402539</v>
      </c>
      <c r="F4639" s="2" t="str">
        <f>"9780520402546"</f>
        <v>9780520402546</v>
      </c>
    </row>
    <row r="4640" spans="1:6" s="3" customFormat="1" ht="29.1" customHeight="1" x14ac:dyDescent="0.25">
      <c r="A4640" s="2" t="s">
        <v>10000</v>
      </c>
      <c r="B4640" s="2" t="s">
        <v>826</v>
      </c>
      <c r="C4640" s="2" t="s">
        <v>248</v>
      </c>
      <c r="D4640" s="2" t="s">
        <v>21</v>
      </c>
      <c r="E4640" s="2" t="str">
        <f>"9783847430544"</f>
        <v>9783847430544</v>
      </c>
      <c r="F4640" s="2" t="str">
        <f>"9783847419860"</f>
        <v>9783847419860</v>
      </c>
    </row>
    <row r="4641" spans="1:6" s="3" customFormat="1" ht="29.1" customHeight="1" x14ac:dyDescent="0.25">
      <c r="A4641" s="2" t="s">
        <v>10001</v>
      </c>
      <c r="B4641" s="2" t="s">
        <v>10002</v>
      </c>
      <c r="C4641" s="2" t="s">
        <v>5</v>
      </c>
      <c r="D4641" s="2" t="s">
        <v>101</v>
      </c>
      <c r="E4641" s="2" t="str">
        <f>"9783662701881"</f>
        <v>9783662701881</v>
      </c>
      <c r="F4641" s="2" t="str">
        <f>"9783662701898"</f>
        <v>9783662701898</v>
      </c>
    </row>
    <row r="4642" spans="1:6" s="3" customFormat="1" ht="29.1" customHeight="1" x14ac:dyDescent="0.25">
      <c r="A4642" s="2" t="s">
        <v>1373</v>
      </c>
      <c r="B4642" s="2"/>
      <c r="C4642" s="2" t="s">
        <v>1070</v>
      </c>
      <c r="D4642" s="2" t="s">
        <v>1265</v>
      </c>
      <c r="E4642" s="2" t="str">
        <f>"9783318072945"</f>
        <v>9783318072945</v>
      </c>
      <c r="F4642" s="2" t="str">
        <f>"9783318073621"</f>
        <v>9783318073621</v>
      </c>
    </row>
    <row r="4643" spans="1:6" s="3" customFormat="1" ht="29.1" customHeight="1" x14ac:dyDescent="0.25">
      <c r="A4643" s="2" t="s">
        <v>10003</v>
      </c>
      <c r="B4643" s="2" t="s">
        <v>10004</v>
      </c>
      <c r="C4643" s="2" t="s">
        <v>5</v>
      </c>
      <c r="D4643" s="2" t="s">
        <v>3817</v>
      </c>
      <c r="E4643" s="2" t="str">
        <f>"9789819602735"</f>
        <v>9789819602735</v>
      </c>
      <c r="F4643" s="2" t="str">
        <f>"9789819602742"</f>
        <v>9789819602742</v>
      </c>
    </row>
    <row r="4644" spans="1:6" s="3" customFormat="1" ht="29.1" customHeight="1" x14ac:dyDescent="0.25">
      <c r="A4644" s="2" t="s">
        <v>10005</v>
      </c>
      <c r="B4644" s="2" t="s">
        <v>10006</v>
      </c>
      <c r="C4644" s="2" t="s">
        <v>5</v>
      </c>
      <c r="D4644" s="2" t="s">
        <v>553</v>
      </c>
      <c r="E4644" s="2" t="str">
        <f>"9789819728220"</f>
        <v>9789819728220</v>
      </c>
      <c r="F4644" s="2" t="str">
        <f>"9789819728237"</f>
        <v>9789819728237</v>
      </c>
    </row>
    <row r="4645" spans="1:6" s="3" customFormat="1" ht="29.1" customHeight="1" x14ac:dyDescent="0.25">
      <c r="A4645" s="2" t="s">
        <v>10007</v>
      </c>
      <c r="B4645" s="2" t="s">
        <v>10008</v>
      </c>
      <c r="C4645" s="2" t="s">
        <v>5</v>
      </c>
      <c r="D4645" s="2" t="s">
        <v>317</v>
      </c>
      <c r="E4645" s="2" t="str">
        <f>"9789464635805"</f>
        <v>9789464635805</v>
      </c>
      <c r="F4645" s="2" t="str">
        <f>"9789464635812"</f>
        <v>9789464635812</v>
      </c>
    </row>
    <row r="4646" spans="1:6" s="3" customFormat="1" ht="29.1" customHeight="1" x14ac:dyDescent="0.25">
      <c r="A4646" s="2" t="s">
        <v>10009</v>
      </c>
      <c r="B4646" s="2" t="s">
        <v>10010</v>
      </c>
      <c r="C4646" s="2" t="s">
        <v>5</v>
      </c>
      <c r="D4646" s="2" t="s">
        <v>636</v>
      </c>
      <c r="E4646" s="2" t="str">
        <f>"9782384763122"</f>
        <v>9782384763122</v>
      </c>
      <c r="F4646" s="2" t="str">
        <f>"9782384763139"</f>
        <v>9782384763139</v>
      </c>
    </row>
    <row r="4647" spans="1:6" s="3" customFormat="1" ht="29.1" customHeight="1" x14ac:dyDescent="0.25">
      <c r="A4647" s="2" t="s">
        <v>10011</v>
      </c>
      <c r="B4647" s="2" t="s">
        <v>10012</v>
      </c>
      <c r="C4647" s="2" t="s">
        <v>5</v>
      </c>
      <c r="D4647" s="2" t="s">
        <v>98</v>
      </c>
      <c r="E4647" s="2" t="str">
        <f>"9782384763085"</f>
        <v>9782384763085</v>
      </c>
      <c r="F4647" s="2" t="str">
        <f>"9782384763092"</f>
        <v>9782384763092</v>
      </c>
    </row>
    <row r="4648" spans="1:6" s="3" customFormat="1" ht="29.1" customHeight="1" x14ac:dyDescent="0.25">
      <c r="A4648" s="2" t="s">
        <v>10013</v>
      </c>
      <c r="B4648" s="2" t="s">
        <v>10014</v>
      </c>
      <c r="C4648" s="2" t="s">
        <v>5</v>
      </c>
      <c r="D4648" s="2" t="s">
        <v>183</v>
      </c>
      <c r="E4648" s="2" t="str">
        <f>"9783031723612"</f>
        <v>9783031723612</v>
      </c>
      <c r="F4648" s="2" t="str">
        <f>"9783031723629"</f>
        <v>9783031723629</v>
      </c>
    </row>
    <row r="4649" spans="1:6" s="3" customFormat="1" ht="29.1" customHeight="1" x14ac:dyDescent="0.25">
      <c r="A4649" s="2" t="s">
        <v>10015</v>
      </c>
      <c r="B4649" s="2" t="s">
        <v>10016</v>
      </c>
      <c r="C4649" s="2" t="s">
        <v>264</v>
      </c>
      <c r="D4649" s="2" t="s">
        <v>44</v>
      </c>
      <c r="E4649" s="2" t="str">
        <f>"9781032770482"</f>
        <v>9781032770482</v>
      </c>
      <c r="F4649" s="2" t="str">
        <f>"9781040354674"</f>
        <v>9781040354674</v>
      </c>
    </row>
    <row r="4650" spans="1:6" s="3" customFormat="1" ht="29.1" customHeight="1" x14ac:dyDescent="0.25">
      <c r="A4650" s="2" t="s">
        <v>10017</v>
      </c>
      <c r="B4650" s="2" t="s">
        <v>10018</v>
      </c>
      <c r="C4650" s="2" t="s">
        <v>4269</v>
      </c>
      <c r="D4650" s="2" t="s">
        <v>7199</v>
      </c>
      <c r="E4650" s="2"/>
      <c r="F4650" s="2" t="str">
        <f>"9786256276062"</f>
        <v>9786256276062</v>
      </c>
    </row>
    <row r="4651" spans="1:6" s="3" customFormat="1" ht="29.1" customHeight="1" x14ac:dyDescent="0.25">
      <c r="A4651" s="2" t="s">
        <v>10019</v>
      </c>
      <c r="B4651" s="2" t="s">
        <v>10020</v>
      </c>
      <c r="C4651" s="2" t="s">
        <v>4269</v>
      </c>
      <c r="D4651" s="2" t="s">
        <v>249</v>
      </c>
      <c r="E4651" s="2"/>
      <c r="F4651" s="2" t="str">
        <f>"9786256276093"</f>
        <v>9786256276093</v>
      </c>
    </row>
    <row r="4652" spans="1:6" s="3" customFormat="1" ht="29.1" customHeight="1" x14ac:dyDescent="0.25">
      <c r="A4652" s="2" t="s">
        <v>10021</v>
      </c>
      <c r="B4652" s="2" t="s">
        <v>10022</v>
      </c>
      <c r="C4652" s="2" t="s">
        <v>4269</v>
      </c>
      <c r="D4652" s="2" t="s">
        <v>712</v>
      </c>
      <c r="E4652" s="2"/>
      <c r="F4652" s="2" t="str">
        <f>"9786256276086"</f>
        <v>9786256276086</v>
      </c>
    </row>
    <row r="4653" spans="1:6" s="3" customFormat="1" ht="29.1" customHeight="1" x14ac:dyDescent="0.25">
      <c r="A4653" s="2" t="s">
        <v>10023</v>
      </c>
      <c r="B4653" s="2" t="s">
        <v>10024</v>
      </c>
      <c r="C4653" s="2" t="s">
        <v>927</v>
      </c>
      <c r="D4653" s="2" t="s">
        <v>210</v>
      </c>
      <c r="E4653" s="2" t="str">
        <f>"9780472057153"</f>
        <v>9780472057153</v>
      </c>
      <c r="F4653" s="2" t="str">
        <f>"9780472904792"</f>
        <v>9780472904792</v>
      </c>
    </row>
    <row r="4654" spans="1:6" s="3" customFormat="1" ht="29.1" customHeight="1" x14ac:dyDescent="0.25">
      <c r="A4654" s="2" t="s">
        <v>10025</v>
      </c>
      <c r="B4654" s="2" t="s">
        <v>10026</v>
      </c>
      <c r="C4654" s="2" t="s">
        <v>927</v>
      </c>
      <c r="D4654" s="2" t="s">
        <v>33</v>
      </c>
      <c r="E4654" s="2" t="str">
        <f>"9780472057207"</f>
        <v>9780472057207</v>
      </c>
      <c r="F4654" s="2" t="str">
        <f>"9780472904822"</f>
        <v>9780472904822</v>
      </c>
    </row>
    <row r="4655" spans="1:6" s="3" customFormat="1" ht="29.1" customHeight="1" x14ac:dyDescent="0.25">
      <c r="A4655" s="2" t="s">
        <v>10027</v>
      </c>
      <c r="B4655" s="2" t="s">
        <v>10028</v>
      </c>
      <c r="C4655" s="2" t="s">
        <v>5</v>
      </c>
      <c r="D4655" s="2" t="s">
        <v>1924</v>
      </c>
      <c r="E4655" s="2" t="str">
        <f>"9783031704833"</f>
        <v>9783031704833</v>
      </c>
      <c r="F4655" s="2" t="str">
        <f>"9783031704840"</f>
        <v>9783031704840</v>
      </c>
    </row>
    <row r="4656" spans="1:6" s="3" customFormat="1" ht="29.1" customHeight="1" x14ac:dyDescent="0.25">
      <c r="A4656" s="2" t="s">
        <v>10029</v>
      </c>
      <c r="B4656" s="2" t="s">
        <v>10030</v>
      </c>
      <c r="C4656" s="2" t="s">
        <v>5</v>
      </c>
      <c r="D4656" s="2" t="s">
        <v>8604</v>
      </c>
      <c r="E4656" s="2" t="str">
        <f>"9783031693618"</f>
        <v>9783031693618</v>
      </c>
      <c r="F4656" s="2" t="str">
        <f>"9783031693625"</f>
        <v>9783031693625</v>
      </c>
    </row>
    <row r="4657" spans="1:6" s="3" customFormat="1" ht="29.1" customHeight="1" x14ac:dyDescent="0.25">
      <c r="A4657" s="2" t="s">
        <v>10031</v>
      </c>
      <c r="B4657" s="2" t="s">
        <v>10032</v>
      </c>
      <c r="C4657" s="2" t="s">
        <v>29</v>
      </c>
      <c r="D4657" s="2" t="s">
        <v>689</v>
      </c>
      <c r="E4657" s="2" t="str">
        <f>"9789004459465"</f>
        <v>9789004459465</v>
      </c>
      <c r="F4657" s="2" t="str">
        <f>"9789004459472"</f>
        <v>9789004459472</v>
      </c>
    </row>
    <row r="4658" spans="1:6" s="3" customFormat="1" ht="29.1" customHeight="1" x14ac:dyDescent="0.25">
      <c r="A4658" s="2" t="s">
        <v>10033</v>
      </c>
      <c r="B4658" s="2" t="s">
        <v>10034</v>
      </c>
      <c r="C4658" s="2" t="s">
        <v>2133</v>
      </c>
      <c r="D4658" s="2" t="s">
        <v>1256</v>
      </c>
      <c r="E4658" s="2" t="str">
        <f>"9781760466671"</f>
        <v>9781760466671</v>
      </c>
      <c r="F4658" s="2" t="str">
        <f>"9781760466688"</f>
        <v>9781760466688</v>
      </c>
    </row>
    <row r="4659" spans="1:6" s="3" customFormat="1" ht="29.1" customHeight="1" x14ac:dyDescent="0.25">
      <c r="A4659" s="2" t="s">
        <v>10035</v>
      </c>
      <c r="B4659" s="2" t="s">
        <v>10036</v>
      </c>
      <c r="C4659" s="2" t="s">
        <v>5</v>
      </c>
      <c r="D4659" s="2" t="s">
        <v>4180</v>
      </c>
      <c r="E4659" s="2" t="str">
        <f>"9783031730894"</f>
        <v>9783031730894</v>
      </c>
      <c r="F4659" s="2" t="str">
        <f>"9783031730900"</f>
        <v>9783031730900</v>
      </c>
    </row>
    <row r="4660" spans="1:6" s="3" customFormat="1" ht="29.1" customHeight="1" x14ac:dyDescent="0.25">
      <c r="A4660" s="2" t="s">
        <v>10037</v>
      </c>
      <c r="B4660" s="2" t="s">
        <v>10039</v>
      </c>
      <c r="C4660" s="2" t="s">
        <v>5</v>
      </c>
      <c r="D4660" s="2" t="s">
        <v>10038</v>
      </c>
      <c r="E4660" s="2" t="str">
        <f>"9783031678950"</f>
        <v>9783031678950</v>
      </c>
      <c r="F4660" s="2" t="str">
        <f>"9783031678967"</f>
        <v>9783031678967</v>
      </c>
    </row>
    <row r="4661" spans="1:6" s="3" customFormat="1" ht="29.1" customHeight="1" x14ac:dyDescent="0.25">
      <c r="A4661" s="2" t="s">
        <v>10040</v>
      </c>
      <c r="B4661" s="2" t="s">
        <v>10041</v>
      </c>
      <c r="C4661" s="2" t="s">
        <v>732</v>
      </c>
      <c r="D4661" s="2" t="s">
        <v>1162</v>
      </c>
      <c r="E4661" s="2" t="str">
        <f>"9781991269072"</f>
        <v>9781991269072</v>
      </c>
      <c r="F4661" s="2" t="str">
        <f>"9781991270078"</f>
        <v>9781991270078</v>
      </c>
    </row>
    <row r="4662" spans="1:6" s="3" customFormat="1" ht="29.1" customHeight="1" x14ac:dyDescent="0.25">
      <c r="A4662" s="2" t="s">
        <v>10042</v>
      </c>
      <c r="B4662" s="2" t="s">
        <v>10043</v>
      </c>
      <c r="C4662" s="2" t="s">
        <v>732</v>
      </c>
      <c r="D4662" s="2" t="s">
        <v>2019</v>
      </c>
      <c r="E4662" s="2" t="str">
        <f>"9781779953179"</f>
        <v>9781779953179</v>
      </c>
      <c r="F4662" s="2" t="str">
        <f>"9781779953186"</f>
        <v>9781779953186</v>
      </c>
    </row>
    <row r="4663" spans="1:6" s="3" customFormat="1" ht="29.1" customHeight="1" x14ac:dyDescent="0.25">
      <c r="A4663" s="2" t="s">
        <v>10044</v>
      </c>
      <c r="B4663" s="2" t="s">
        <v>10045</v>
      </c>
      <c r="C4663" s="2" t="s">
        <v>732</v>
      </c>
      <c r="D4663" s="2" t="s">
        <v>5588</v>
      </c>
      <c r="E4663" s="2" t="str">
        <f>"9781991269096"</f>
        <v>9781991269096</v>
      </c>
      <c r="F4663" s="2" t="str">
        <f>"9781991270092"</f>
        <v>9781991270092</v>
      </c>
    </row>
    <row r="4664" spans="1:6" s="3" customFormat="1" ht="29.1" customHeight="1" x14ac:dyDescent="0.25">
      <c r="A4664" s="2" t="s">
        <v>10046</v>
      </c>
      <c r="B4664" s="2" t="s">
        <v>10047</v>
      </c>
      <c r="C4664" s="2" t="s">
        <v>732</v>
      </c>
      <c r="D4664" s="2" t="s">
        <v>3270</v>
      </c>
      <c r="E4664" s="2" t="str">
        <f>"9781779953209"</f>
        <v>9781779953209</v>
      </c>
      <c r="F4664" s="2" t="str">
        <f>"9781779953216"</f>
        <v>9781779953216</v>
      </c>
    </row>
    <row r="4665" spans="1:6" s="3" customFormat="1" ht="29.1" customHeight="1" x14ac:dyDescent="0.25">
      <c r="A4665" s="2" t="s">
        <v>10048</v>
      </c>
      <c r="B4665" s="2" t="s">
        <v>10049</v>
      </c>
      <c r="C4665" s="2" t="s">
        <v>732</v>
      </c>
      <c r="D4665" s="2" t="s">
        <v>5115</v>
      </c>
      <c r="E4665" s="2" t="str">
        <f>"9781991269089"</f>
        <v>9781991269089</v>
      </c>
      <c r="F4665" s="2" t="str">
        <f>"9781991270085"</f>
        <v>9781991270085</v>
      </c>
    </row>
    <row r="4666" spans="1:6" s="3" customFormat="1" ht="29.1" customHeight="1" x14ac:dyDescent="0.25">
      <c r="A4666" s="2" t="s">
        <v>10050</v>
      </c>
      <c r="B4666" s="2" t="s">
        <v>10051</v>
      </c>
      <c r="C4666" s="2" t="s">
        <v>732</v>
      </c>
      <c r="D4666" s="2" t="s">
        <v>5060</v>
      </c>
      <c r="E4666" s="2" t="str">
        <f>"9781990982064"</f>
        <v>9781990982064</v>
      </c>
      <c r="F4666" s="2" t="str">
        <f>"9781990982071"</f>
        <v>9781990982071</v>
      </c>
    </row>
    <row r="4667" spans="1:6" s="3" customFormat="1" ht="29.1" customHeight="1" x14ac:dyDescent="0.25">
      <c r="A4667" s="2" t="s">
        <v>10052</v>
      </c>
      <c r="B4667" s="2" t="s">
        <v>10053</v>
      </c>
      <c r="C4667" s="2" t="s">
        <v>732</v>
      </c>
      <c r="D4667" s="2" t="s">
        <v>4013</v>
      </c>
      <c r="E4667" s="2" t="str">
        <f>"9781779953117"</f>
        <v>9781779953117</v>
      </c>
      <c r="F4667" s="2" t="str">
        <f>"9781779953124"</f>
        <v>9781779953124</v>
      </c>
    </row>
    <row r="4668" spans="1:6" s="3" customFormat="1" ht="29.1" customHeight="1" x14ac:dyDescent="0.25">
      <c r="A4668" s="2" t="s">
        <v>10054</v>
      </c>
      <c r="B4668" s="2" t="s">
        <v>10055</v>
      </c>
      <c r="C4668" s="2" t="s">
        <v>732</v>
      </c>
      <c r="D4668" s="2" t="s">
        <v>4019</v>
      </c>
      <c r="E4668" s="2" t="str">
        <f>"9781991269065"</f>
        <v>9781991269065</v>
      </c>
      <c r="F4668" s="2" t="str">
        <f>"9781991270061"</f>
        <v>9781991270061</v>
      </c>
    </row>
    <row r="4669" spans="1:6" s="3" customFormat="1" ht="29.1" customHeight="1" x14ac:dyDescent="0.25">
      <c r="A4669" s="2" t="s">
        <v>10056</v>
      </c>
      <c r="B4669" s="2" t="s">
        <v>10057</v>
      </c>
      <c r="C4669" s="2" t="s">
        <v>732</v>
      </c>
      <c r="D4669" s="2" t="s">
        <v>138</v>
      </c>
      <c r="E4669" s="2" t="str">
        <f>"9781779953087"</f>
        <v>9781779953087</v>
      </c>
      <c r="F4669" s="2" t="str">
        <f>"9781779953094"</f>
        <v>9781779953094</v>
      </c>
    </row>
    <row r="4670" spans="1:6" s="3" customFormat="1" ht="29.1" customHeight="1" x14ac:dyDescent="0.25">
      <c r="A4670" s="2" t="s">
        <v>10058</v>
      </c>
      <c r="B4670" s="2"/>
      <c r="C4670" s="2" t="s">
        <v>59</v>
      </c>
      <c r="D4670" s="2" t="s">
        <v>12</v>
      </c>
      <c r="E4670" s="2"/>
      <c r="F4670" s="2" t="str">
        <f>"9782759239368"</f>
        <v>9782759239368</v>
      </c>
    </row>
    <row r="4671" spans="1:6" s="3" customFormat="1" ht="29.1" customHeight="1" x14ac:dyDescent="0.25">
      <c r="A4671" s="2" t="s">
        <v>10058</v>
      </c>
      <c r="B4671" s="2"/>
      <c r="C4671" s="2" t="s">
        <v>59</v>
      </c>
      <c r="D4671" s="2" t="s">
        <v>12</v>
      </c>
      <c r="E4671" s="2"/>
      <c r="F4671" s="2" t="str">
        <f>"9782759239351"</f>
        <v>9782759239351</v>
      </c>
    </row>
    <row r="4672" spans="1:6" s="3" customFormat="1" ht="29.1" customHeight="1" x14ac:dyDescent="0.25">
      <c r="A4672" s="2" t="s">
        <v>10059</v>
      </c>
      <c r="B4672" s="2" t="s">
        <v>10060</v>
      </c>
      <c r="C4672" s="2" t="s">
        <v>59</v>
      </c>
      <c r="D4672" s="2" t="s">
        <v>5480</v>
      </c>
      <c r="E4672" s="2"/>
      <c r="F4672" s="2" t="str">
        <f>"9782759240425"</f>
        <v>9782759240425</v>
      </c>
    </row>
    <row r="4673" spans="1:6" s="3" customFormat="1" ht="29.1" customHeight="1" x14ac:dyDescent="0.25">
      <c r="A4673" s="2" t="s">
        <v>10061</v>
      </c>
      <c r="B4673" s="2" t="s">
        <v>10062</v>
      </c>
      <c r="C4673" s="2" t="s">
        <v>4104</v>
      </c>
      <c r="D4673" s="2" t="s">
        <v>7132</v>
      </c>
      <c r="E4673" s="2" t="str">
        <f>"9780197267585"</f>
        <v>9780197267585</v>
      </c>
      <c r="F4673" s="2" t="str">
        <f>"9780198908654"</f>
        <v>9780198908654</v>
      </c>
    </row>
    <row r="4674" spans="1:6" s="3" customFormat="1" ht="29.1" customHeight="1" x14ac:dyDescent="0.25">
      <c r="A4674" s="2" t="s">
        <v>10063</v>
      </c>
      <c r="B4674" s="2" t="s">
        <v>10065</v>
      </c>
      <c r="C4674" s="2" t="s">
        <v>5</v>
      </c>
      <c r="D4674" s="2" t="s">
        <v>10064</v>
      </c>
      <c r="E4674" s="2" t="str">
        <f>"9783031690037"</f>
        <v>9783031690037</v>
      </c>
      <c r="F4674" s="2" t="str">
        <f>"9783031690044"</f>
        <v>9783031690044</v>
      </c>
    </row>
    <row r="4675" spans="1:6" s="3" customFormat="1" ht="29.1" customHeight="1" x14ac:dyDescent="0.25">
      <c r="A4675" s="2" t="s">
        <v>10066</v>
      </c>
      <c r="B4675" s="2" t="s">
        <v>10067</v>
      </c>
      <c r="C4675" s="2" t="s">
        <v>5</v>
      </c>
      <c r="D4675" s="2" t="s">
        <v>2822</v>
      </c>
      <c r="E4675" s="2" t="str">
        <f>"9783031609534"</f>
        <v>9783031609534</v>
      </c>
      <c r="F4675" s="2" t="str">
        <f>"9783031609541"</f>
        <v>9783031609541</v>
      </c>
    </row>
    <row r="4676" spans="1:6" s="3" customFormat="1" ht="29.1" customHeight="1" x14ac:dyDescent="0.25">
      <c r="A4676" s="2" t="s">
        <v>10068</v>
      </c>
      <c r="B4676" s="2" t="s">
        <v>10069</v>
      </c>
      <c r="C4676" s="2" t="s">
        <v>5</v>
      </c>
      <c r="D4676" s="2" t="s">
        <v>192</v>
      </c>
      <c r="E4676" s="2" t="str">
        <f>"9783031740206"</f>
        <v>9783031740206</v>
      </c>
      <c r="F4676" s="2" t="str">
        <f>"9783031740213"</f>
        <v>9783031740213</v>
      </c>
    </row>
    <row r="4677" spans="1:6" s="3" customFormat="1" ht="29.1" customHeight="1" x14ac:dyDescent="0.25">
      <c r="A4677" s="2" t="s">
        <v>10070</v>
      </c>
      <c r="B4677" s="2" t="s">
        <v>10071</v>
      </c>
      <c r="C4677" s="2" t="s">
        <v>7395</v>
      </c>
      <c r="D4677" s="2" t="s">
        <v>3536</v>
      </c>
      <c r="E4677" s="2" t="str">
        <f>"9780295753294"</f>
        <v>9780295753294</v>
      </c>
      <c r="F4677" s="2" t="str">
        <f>"9780295753317"</f>
        <v>9780295753317</v>
      </c>
    </row>
    <row r="4678" spans="1:6" s="3" customFormat="1" ht="29.1" customHeight="1" x14ac:dyDescent="0.25">
      <c r="A4678" s="2" t="s">
        <v>10072</v>
      </c>
      <c r="B4678" s="2" t="s">
        <v>10073</v>
      </c>
      <c r="C4678" s="2" t="s">
        <v>20</v>
      </c>
      <c r="D4678" s="2" t="s">
        <v>24</v>
      </c>
      <c r="E4678" s="2"/>
      <c r="F4678" s="2" t="str">
        <f>"9783763977024"</f>
        <v>9783763977024</v>
      </c>
    </row>
    <row r="4679" spans="1:6" s="3" customFormat="1" ht="29.1" customHeight="1" x14ac:dyDescent="0.25">
      <c r="A4679" s="2" t="s">
        <v>10074</v>
      </c>
      <c r="B4679" s="2" t="s">
        <v>10075</v>
      </c>
      <c r="C4679" s="2" t="s">
        <v>20</v>
      </c>
      <c r="D4679" s="2" t="s">
        <v>135</v>
      </c>
      <c r="E4679" s="2" t="str">
        <f>"9783763974580"</f>
        <v>9783763974580</v>
      </c>
      <c r="F4679" s="2" t="str">
        <f>"9783763974597"</f>
        <v>9783763974597</v>
      </c>
    </row>
    <row r="4680" spans="1:6" s="3" customFormat="1" ht="29.1" customHeight="1" x14ac:dyDescent="0.25">
      <c r="A4680" s="2" t="s">
        <v>10076</v>
      </c>
      <c r="B4680" s="2" t="s">
        <v>10077</v>
      </c>
      <c r="C4680" s="2" t="s">
        <v>20</v>
      </c>
      <c r="D4680" s="2" t="s">
        <v>24</v>
      </c>
      <c r="E4680" s="2" t="str">
        <f>"9783763974139"</f>
        <v>9783763974139</v>
      </c>
      <c r="F4680" s="2" t="str">
        <f>"9783763974207"</f>
        <v>9783763974207</v>
      </c>
    </row>
    <row r="4681" spans="1:6" s="3" customFormat="1" ht="29.1" customHeight="1" x14ac:dyDescent="0.25">
      <c r="A4681" s="2" t="s">
        <v>10078</v>
      </c>
      <c r="B4681" s="2" t="s">
        <v>10079</v>
      </c>
      <c r="C4681" s="2" t="s">
        <v>20</v>
      </c>
      <c r="D4681" s="2" t="s">
        <v>9</v>
      </c>
      <c r="E4681" s="2" t="str">
        <f>"9783763977444"</f>
        <v>9783763977444</v>
      </c>
      <c r="F4681" s="2" t="str">
        <f>"9783763977451"</f>
        <v>9783763977451</v>
      </c>
    </row>
    <row r="4682" spans="1:6" s="3" customFormat="1" ht="29.1" customHeight="1" x14ac:dyDescent="0.25">
      <c r="A4682" s="2" t="s">
        <v>10080</v>
      </c>
      <c r="B4682" s="2" t="s">
        <v>664</v>
      </c>
      <c r="C4682" s="2" t="s">
        <v>20</v>
      </c>
      <c r="D4682" s="2" t="s">
        <v>297</v>
      </c>
      <c r="E4682" s="2" t="str">
        <f>"9783763976010"</f>
        <v>9783763976010</v>
      </c>
      <c r="F4682" s="2" t="str">
        <f>"9783763976027"</f>
        <v>9783763976027</v>
      </c>
    </row>
    <row r="4683" spans="1:6" s="3" customFormat="1" ht="29.1" customHeight="1" x14ac:dyDescent="0.25">
      <c r="A4683" s="2" t="s">
        <v>10081</v>
      </c>
      <c r="B4683" s="2" t="s">
        <v>10082</v>
      </c>
      <c r="C4683" s="2" t="s">
        <v>20</v>
      </c>
      <c r="D4683" s="2" t="s">
        <v>135</v>
      </c>
      <c r="E4683" s="2" t="str">
        <f>"9783763974573"</f>
        <v>9783763974573</v>
      </c>
      <c r="F4683" s="2" t="str">
        <f>"9783763974566"</f>
        <v>9783763974566</v>
      </c>
    </row>
    <row r="4684" spans="1:6" s="3" customFormat="1" ht="29.1" customHeight="1" x14ac:dyDescent="0.25">
      <c r="A4684" s="2" t="s">
        <v>10083</v>
      </c>
      <c r="B4684" s="2" t="s">
        <v>10084</v>
      </c>
      <c r="C4684" s="2" t="s">
        <v>20</v>
      </c>
      <c r="D4684" s="2" t="s">
        <v>2260</v>
      </c>
      <c r="E4684" s="2" t="str">
        <f>"9783763973750"</f>
        <v>9783763973750</v>
      </c>
      <c r="F4684" s="2" t="str">
        <f>"9783763973767"</f>
        <v>9783763973767</v>
      </c>
    </row>
    <row r="4685" spans="1:6" s="3" customFormat="1" ht="29.1" customHeight="1" x14ac:dyDescent="0.25">
      <c r="A4685" s="2" t="s">
        <v>10085</v>
      </c>
      <c r="B4685" s="2" t="s">
        <v>10086</v>
      </c>
      <c r="C4685" s="2" t="s">
        <v>20</v>
      </c>
      <c r="D4685" s="2" t="s">
        <v>614</v>
      </c>
      <c r="E4685" s="2" t="str">
        <f>"9783763971343"</f>
        <v>9783763971343</v>
      </c>
      <c r="F4685" s="2" t="str">
        <f>"9783763970032"</f>
        <v>9783763970032</v>
      </c>
    </row>
    <row r="4686" spans="1:6" s="3" customFormat="1" ht="29.1" customHeight="1" x14ac:dyDescent="0.25">
      <c r="A4686" s="2" t="s">
        <v>10087</v>
      </c>
      <c r="B4686" s="2" t="s">
        <v>10088</v>
      </c>
      <c r="C4686" s="2" t="s">
        <v>20</v>
      </c>
      <c r="D4686" s="2" t="s">
        <v>9</v>
      </c>
      <c r="E4686" s="2" t="str">
        <f>"9783763972920"</f>
        <v>9783763972920</v>
      </c>
      <c r="F4686" s="2" t="str">
        <f>"9783763974252"</f>
        <v>9783763974252</v>
      </c>
    </row>
    <row r="4687" spans="1:6" s="3" customFormat="1" ht="29.1" customHeight="1" x14ac:dyDescent="0.25">
      <c r="A4687" s="2" t="s">
        <v>10089</v>
      </c>
      <c r="B4687" s="2" t="s">
        <v>10090</v>
      </c>
      <c r="C4687" s="2" t="s">
        <v>20</v>
      </c>
      <c r="D4687" s="2" t="s">
        <v>596</v>
      </c>
      <c r="E4687" s="2" t="str">
        <f>"9783763976980"</f>
        <v>9783763976980</v>
      </c>
      <c r="F4687" s="2" t="str">
        <f>"9783763976997"</f>
        <v>9783763976997</v>
      </c>
    </row>
    <row r="4688" spans="1:6" s="3" customFormat="1" ht="29.1" customHeight="1" x14ac:dyDescent="0.25">
      <c r="A4688" s="2" t="s">
        <v>10091</v>
      </c>
      <c r="B4688" s="2" t="s">
        <v>10092</v>
      </c>
      <c r="C4688" s="2" t="s">
        <v>20</v>
      </c>
      <c r="D4688" s="2" t="s">
        <v>24</v>
      </c>
      <c r="E4688" s="2" t="str">
        <f>"9783763975686"</f>
        <v>9783763975686</v>
      </c>
      <c r="F4688" s="2" t="str">
        <f>"9783763975693"</f>
        <v>9783763975693</v>
      </c>
    </row>
    <row r="4689" spans="1:6" s="3" customFormat="1" ht="29.1" customHeight="1" x14ac:dyDescent="0.25">
      <c r="A4689" s="2" t="s">
        <v>10093</v>
      </c>
      <c r="B4689" s="2" t="s">
        <v>10094</v>
      </c>
      <c r="C4689" s="2" t="s">
        <v>20</v>
      </c>
      <c r="D4689" s="2" t="s">
        <v>596</v>
      </c>
      <c r="E4689" s="2" t="str">
        <f>"9783763976133"</f>
        <v>9783763976133</v>
      </c>
      <c r="F4689" s="2" t="str">
        <f>"9783763976140"</f>
        <v>9783763976140</v>
      </c>
    </row>
    <row r="4690" spans="1:6" s="3" customFormat="1" ht="29.1" customHeight="1" x14ac:dyDescent="0.25">
      <c r="A4690" s="2" t="s">
        <v>10095</v>
      </c>
      <c r="B4690" s="2" t="s">
        <v>10096</v>
      </c>
      <c r="C4690" s="2" t="s">
        <v>20</v>
      </c>
      <c r="D4690" s="2" t="s">
        <v>24</v>
      </c>
      <c r="E4690" s="2" t="str">
        <f>"9783763971640"</f>
        <v>9783763971640</v>
      </c>
      <c r="F4690" s="2" t="str">
        <f>"9783763971657"</f>
        <v>9783763971657</v>
      </c>
    </row>
    <row r="4691" spans="1:6" s="3" customFormat="1" ht="29.1" customHeight="1" x14ac:dyDescent="0.25">
      <c r="A4691" s="2" t="s">
        <v>10097</v>
      </c>
      <c r="B4691" s="2" t="s">
        <v>10098</v>
      </c>
      <c r="C4691" s="2" t="s">
        <v>20</v>
      </c>
      <c r="D4691" s="2" t="s">
        <v>553</v>
      </c>
      <c r="E4691" s="2" t="str">
        <f>"9783763974498"</f>
        <v>9783763974498</v>
      </c>
      <c r="F4691" s="2" t="str">
        <f>"9783763974504"</f>
        <v>9783763974504</v>
      </c>
    </row>
    <row r="4692" spans="1:6" s="3" customFormat="1" ht="29.1" customHeight="1" x14ac:dyDescent="0.25">
      <c r="A4692" s="2" t="s">
        <v>10099</v>
      </c>
      <c r="B4692" s="2" t="s">
        <v>10100</v>
      </c>
      <c r="C4692" s="2" t="s">
        <v>20</v>
      </c>
      <c r="D4692" s="2" t="s">
        <v>3607</v>
      </c>
      <c r="E4692" s="2" t="str">
        <f>"9783763973941"</f>
        <v>9783763973941</v>
      </c>
      <c r="F4692" s="2" t="str">
        <f>"9783763974382"</f>
        <v>9783763974382</v>
      </c>
    </row>
    <row r="4693" spans="1:6" s="3" customFormat="1" ht="29.1" customHeight="1" x14ac:dyDescent="0.25">
      <c r="A4693" s="2" t="s">
        <v>10101</v>
      </c>
      <c r="B4693" s="2" t="s">
        <v>10102</v>
      </c>
      <c r="C4693" s="2" t="s">
        <v>20</v>
      </c>
      <c r="D4693" s="2" t="s">
        <v>297</v>
      </c>
      <c r="E4693" s="2" t="str">
        <f>"9783763976881"</f>
        <v>9783763976881</v>
      </c>
      <c r="F4693" s="2" t="str">
        <f>"9783763976874"</f>
        <v>9783763976874</v>
      </c>
    </row>
    <row r="4694" spans="1:6" s="3" customFormat="1" ht="29.1" customHeight="1" x14ac:dyDescent="0.25">
      <c r="A4694" s="2" t="s">
        <v>10103</v>
      </c>
      <c r="B4694" s="2" t="s">
        <v>10104</v>
      </c>
      <c r="C4694" s="2" t="s">
        <v>20</v>
      </c>
      <c r="D4694" s="2" t="s">
        <v>998</v>
      </c>
      <c r="E4694" s="2" t="str">
        <f>"9783763977147"</f>
        <v>9783763977147</v>
      </c>
      <c r="F4694" s="2" t="str">
        <f>"9783763977154"</f>
        <v>9783763977154</v>
      </c>
    </row>
    <row r="4695" spans="1:6" s="3" customFormat="1" ht="29.1" customHeight="1" x14ac:dyDescent="0.25">
      <c r="A4695" s="2" t="s">
        <v>10105</v>
      </c>
      <c r="B4695" s="2" t="s">
        <v>10106</v>
      </c>
      <c r="C4695" s="2" t="s">
        <v>20</v>
      </c>
      <c r="D4695" s="2" t="s">
        <v>24</v>
      </c>
      <c r="E4695" s="2" t="str">
        <f>"9783763974603"</f>
        <v>9783763974603</v>
      </c>
      <c r="F4695" s="2" t="str">
        <f>"9783763974610"</f>
        <v>9783763974610</v>
      </c>
    </row>
    <row r="4696" spans="1:6" s="3" customFormat="1" ht="29.1" customHeight="1" x14ac:dyDescent="0.25">
      <c r="A4696" s="2" t="s">
        <v>10107</v>
      </c>
      <c r="B4696" s="2" t="s">
        <v>10108</v>
      </c>
      <c r="C4696" s="2" t="s">
        <v>20</v>
      </c>
      <c r="D4696" s="2" t="s">
        <v>24</v>
      </c>
      <c r="E4696" s="2" t="str">
        <f>"9783763976522"</f>
        <v>9783763976522</v>
      </c>
      <c r="F4696" s="2" t="str">
        <f>"9783763976539"</f>
        <v>9783763976539</v>
      </c>
    </row>
    <row r="4697" spans="1:6" s="3" customFormat="1" ht="29.1" customHeight="1" x14ac:dyDescent="0.25">
      <c r="A4697" s="2" t="s">
        <v>10109</v>
      </c>
      <c r="B4697" s="2" t="s">
        <v>10110</v>
      </c>
      <c r="C4697" s="2" t="s">
        <v>20</v>
      </c>
      <c r="D4697" s="2" t="s">
        <v>24</v>
      </c>
      <c r="E4697" s="2" t="str">
        <f>"9783763976799"</f>
        <v>9783763976799</v>
      </c>
      <c r="F4697" s="2" t="str">
        <f>"9783763976805"</f>
        <v>9783763976805</v>
      </c>
    </row>
    <row r="4698" spans="1:6" s="3" customFormat="1" ht="29.1" customHeight="1" x14ac:dyDescent="0.25">
      <c r="A4698" s="2" t="s">
        <v>10111</v>
      </c>
      <c r="B4698" s="2" t="s">
        <v>10112</v>
      </c>
      <c r="C4698" s="2" t="s">
        <v>20</v>
      </c>
      <c r="D4698" s="2" t="s">
        <v>24</v>
      </c>
      <c r="E4698" s="2" t="str">
        <f>"9783763973927"</f>
        <v>9783763973927</v>
      </c>
      <c r="F4698" s="2" t="str">
        <f>"9783763974337"</f>
        <v>9783763974337</v>
      </c>
    </row>
    <row r="4699" spans="1:6" s="3" customFormat="1" ht="29.1" customHeight="1" x14ac:dyDescent="0.25">
      <c r="A4699" s="2" t="s">
        <v>10113</v>
      </c>
      <c r="B4699" s="2" t="s">
        <v>10114</v>
      </c>
      <c r="C4699" s="2" t="s">
        <v>20</v>
      </c>
      <c r="D4699" s="2" t="s">
        <v>278</v>
      </c>
      <c r="E4699" s="2" t="str">
        <f>"9783763976683"</f>
        <v>9783763976683</v>
      </c>
      <c r="F4699" s="2" t="str">
        <f>"9783763976690"</f>
        <v>9783763976690</v>
      </c>
    </row>
    <row r="4700" spans="1:6" s="3" customFormat="1" ht="29.1" customHeight="1" x14ac:dyDescent="0.25">
      <c r="A4700" s="2" t="s">
        <v>10115</v>
      </c>
      <c r="B4700" s="2" t="s">
        <v>10116</v>
      </c>
      <c r="C4700" s="2" t="s">
        <v>20</v>
      </c>
      <c r="D4700" s="2" t="s">
        <v>553</v>
      </c>
      <c r="E4700" s="2" t="str">
        <f>"9783763973972"</f>
        <v>9783763973972</v>
      </c>
      <c r="F4700" s="2" t="str">
        <f>"9783763973989"</f>
        <v>9783763973989</v>
      </c>
    </row>
    <row r="4701" spans="1:6" s="3" customFormat="1" ht="29.1" customHeight="1" x14ac:dyDescent="0.25">
      <c r="A4701" s="2" t="s">
        <v>10117</v>
      </c>
      <c r="B4701" s="2" t="s">
        <v>10118</v>
      </c>
      <c r="C4701" s="2" t="s">
        <v>20</v>
      </c>
      <c r="D4701" s="2" t="s">
        <v>1133</v>
      </c>
      <c r="E4701" s="2" t="str">
        <f>"9783763977093"</f>
        <v>9783763977093</v>
      </c>
      <c r="F4701" s="2" t="str">
        <f>"9783763976744"</f>
        <v>9783763976744</v>
      </c>
    </row>
    <row r="4702" spans="1:6" s="3" customFormat="1" ht="29.1" customHeight="1" x14ac:dyDescent="0.25">
      <c r="A4702" s="2" t="s">
        <v>10119</v>
      </c>
      <c r="B4702" s="2" t="s">
        <v>10120</v>
      </c>
      <c r="C4702" s="2" t="s">
        <v>20</v>
      </c>
      <c r="D4702" s="2" t="s">
        <v>24</v>
      </c>
      <c r="E4702" s="2" t="str">
        <f>"9783763971695"</f>
        <v>9783763971695</v>
      </c>
      <c r="F4702" s="2" t="str">
        <f>"9783763971701"</f>
        <v>9783763971701</v>
      </c>
    </row>
    <row r="4703" spans="1:6" s="3" customFormat="1" ht="29.1" customHeight="1" x14ac:dyDescent="0.25">
      <c r="A4703" s="2" t="s">
        <v>10121</v>
      </c>
      <c r="B4703" s="2" t="s">
        <v>10122</v>
      </c>
      <c r="C4703" s="2" t="s">
        <v>20</v>
      </c>
      <c r="D4703" s="2" t="s">
        <v>24</v>
      </c>
      <c r="E4703" s="2"/>
      <c r="F4703" s="2" t="str">
        <f>"9783763976201"</f>
        <v>9783763976201</v>
      </c>
    </row>
    <row r="4704" spans="1:6" s="3" customFormat="1" ht="29.1" customHeight="1" x14ac:dyDescent="0.25">
      <c r="A4704" s="2" t="s">
        <v>10123</v>
      </c>
      <c r="B4704" s="2" t="s">
        <v>10124</v>
      </c>
      <c r="C4704" s="2" t="s">
        <v>20</v>
      </c>
      <c r="D4704" s="2" t="s">
        <v>553</v>
      </c>
      <c r="E4704" s="2" t="str">
        <f>"9783763977185"</f>
        <v>9783763977185</v>
      </c>
      <c r="F4704" s="2" t="str">
        <f>"9783763977192"</f>
        <v>9783763977192</v>
      </c>
    </row>
    <row r="4705" spans="1:6" s="3" customFormat="1" ht="29.1" customHeight="1" x14ac:dyDescent="0.25">
      <c r="A4705" s="2" t="s">
        <v>10125</v>
      </c>
      <c r="B4705" s="2" t="s">
        <v>10126</v>
      </c>
      <c r="C4705" s="2" t="s">
        <v>20</v>
      </c>
      <c r="D4705" s="2" t="s">
        <v>5658</v>
      </c>
      <c r="E4705" s="2"/>
      <c r="F4705" s="2" t="str">
        <f>"9783763977338"</f>
        <v>9783763977338</v>
      </c>
    </row>
    <row r="4706" spans="1:6" s="3" customFormat="1" ht="29.1" customHeight="1" x14ac:dyDescent="0.25">
      <c r="A4706" s="2" t="s">
        <v>10127</v>
      </c>
      <c r="B4706" s="2" t="s">
        <v>10128</v>
      </c>
      <c r="C4706" s="2" t="s">
        <v>20</v>
      </c>
      <c r="D4706" s="2" t="s">
        <v>2178</v>
      </c>
      <c r="E4706" s="2" t="str">
        <f>"9783763972586"</f>
        <v>9783763972586</v>
      </c>
      <c r="F4706" s="2" t="str">
        <f>"9783763972593"</f>
        <v>9783763972593</v>
      </c>
    </row>
    <row r="4707" spans="1:6" s="3" customFormat="1" ht="29.1" customHeight="1" x14ac:dyDescent="0.25">
      <c r="A4707" s="2" t="s">
        <v>10129</v>
      </c>
      <c r="B4707" s="2" t="s">
        <v>10130</v>
      </c>
      <c r="C4707" s="2" t="s">
        <v>20</v>
      </c>
      <c r="D4707" s="2" t="s">
        <v>836</v>
      </c>
      <c r="E4707" s="2" t="str">
        <f>"9783763976171"</f>
        <v>9783763976171</v>
      </c>
      <c r="F4707" s="2" t="str">
        <f>"9783763976188"</f>
        <v>9783763976188</v>
      </c>
    </row>
    <row r="4708" spans="1:6" s="3" customFormat="1" ht="29.1" customHeight="1" x14ac:dyDescent="0.25">
      <c r="A4708" s="2" t="s">
        <v>10131</v>
      </c>
      <c r="B4708" s="2" t="s">
        <v>10132</v>
      </c>
      <c r="C4708" s="2" t="s">
        <v>20</v>
      </c>
      <c r="D4708" s="2" t="s">
        <v>24</v>
      </c>
      <c r="E4708" s="2" t="str">
        <f>"9783763966882"</f>
        <v>9783763966882</v>
      </c>
      <c r="F4708" s="2" t="str">
        <f>"9783763966899"</f>
        <v>9783763966899</v>
      </c>
    </row>
    <row r="4709" spans="1:6" s="3" customFormat="1" ht="29.1" customHeight="1" x14ac:dyDescent="0.25">
      <c r="A4709" s="2" t="s">
        <v>10133</v>
      </c>
      <c r="B4709" s="2" t="s">
        <v>10134</v>
      </c>
      <c r="C4709" s="2" t="s">
        <v>20</v>
      </c>
      <c r="D4709" s="2" t="s">
        <v>24</v>
      </c>
      <c r="E4709" s="2" t="str">
        <f>"9783763973309"</f>
        <v>9783763973309</v>
      </c>
      <c r="F4709" s="2" t="str">
        <f>"9783763973316"</f>
        <v>9783763973316</v>
      </c>
    </row>
    <row r="4710" spans="1:6" s="3" customFormat="1" ht="29.1" customHeight="1" x14ac:dyDescent="0.25">
      <c r="A4710" s="2" t="s">
        <v>10135</v>
      </c>
      <c r="B4710" s="2" t="s">
        <v>10136</v>
      </c>
      <c r="C4710" s="2" t="s">
        <v>20</v>
      </c>
      <c r="D4710" s="2" t="s">
        <v>9</v>
      </c>
      <c r="E4710" s="2"/>
      <c r="F4710" s="2" t="str">
        <f>"9783763974344"</f>
        <v>9783763974344</v>
      </c>
    </row>
    <row r="4711" spans="1:6" s="3" customFormat="1" ht="29.1" customHeight="1" x14ac:dyDescent="0.25">
      <c r="A4711" s="2" t="s">
        <v>10137</v>
      </c>
      <c r="B4711" s="2" t="s">
        <v>10138</v>
      </c>
      <c r="C4711" s="2" t="s">
        <v>20</v>
      </c>
      <c r="D4711" s="2" t="s">
        <v>553</v>
      </c>
      <c r="E4711" s="2" t="str">
        <f>"9783763973569"</f>
        <v>9783763973569</v>
      </c>
      <c r="F4711" s="2" t="str">
        <f>"9783763973576"</f>
        <v>9783763973576</v>
      </c>
    </row>
    <row r="4712" spans="1:6" s="3" customFormat="1" ht="29.1" customHeight="1" x14ac:dyDescent="0.25">
      <c r="A4712" s="2" t="s">
        <v>10139</v>
      </c>
      <c r="B4712" s="2" t="s">
        <v>10140</v>
      </c>
      <c r="C4712" s="2" t="s">
        <v>20</v>
      </c>
      <c r="D4712" s="2" t="s">
        <v>24</v>
      </c>
      <c r="E4712" s="2" t="str">
        <f>"9783763971329"</f>
        <v>9783763971329</v>
      </c>
      <c r="F4712" s="2" t="str">
        <f>"9783763971336"</f>
        <v>9783763971336</v>
      </c>
    </row>
    <row r="4713" spans="1:6" s="3" customFormat="1" ht="29.1" customHeight="1" x14ac:dyDescent="0.25">
      <c r="A4713" s="2" t="s">
        <v>10141</v>
      </c>
      <c r="B4713" s="2" t="s">
        <v>10142</v>
      </c>
      <c r="C4713" s="2" t="s">
        <v>20</v>
      </c>
      <c r="D4713" s="2" t="s">
        <v>3607</v>
      </c>
      <c r="E4713" s="2" t="str">
        <f>"9783763971817"</f>
        <v>9783763971817</v>
      </c>
      <c r="F4713" s="2" t="str">
        <f>"9783763971824"</f>
        <v>9783763971824</v>
      </c>
    </row>
    <row r="4714" spans="1:6" s="3" customFormat="1" ht="29.1" customHeight="1" x14ac:dyDescent="0.25">
      <c r="A4714" s="2" t="s">
        <v>10143</v>
      </c>
      <c r="B4714" s="2" t="s">
        <v>10144</v>
      </c>
      <c r="C4714" s="2" t="s">
        <v>239</v>
      </c>
      <c r="D4714" s="2" t="s">
        <v>636</v>
      </c>
      <c r="E4714" s="2" t="str">
        <f>"9780520402485"</f>
        <v>9780520402485</v>
      </c>
      <c r="F4714" s="2" t="str">
        <f>"9780520402492"</f>
        <v>9780520402492</v>
      </c>
    </row>
    <row r="4715" spans="1:6" s="3" customFormat="1" ht="29.1" customHeight="1" x14ac:dyDescent="0.25">
      <c r="A4715" s="2" t="s">
        <v>10145</v>
      </c>
      <c r="B4715" s="2" t="s">
        <v>10146</v>
      </c>
      <c r="C4715" s="2" t="s">
        <v>5</v>
      </c>
      <c r="D4715" s="2" t="s">
        <v>1141</v>
      </c>
      <c r="E4715" s="2" t="str">
        <f>"9783031695131"</f>
        <v>9783031695131</v>
      </c>
      <c r="F4715" s="2" t="str">
        <f>"9783031695148"</f>
        <v>9783031695148</v>
      </c>
    </row>
    <row r="4716" spans="1:6" s="3" customFormat="1" ht="29.1" customHeight="1" x14ac:dyDescent="0.25">
      <c r="A4716" s="2" t="s">
        <v>10147</v>
      </c>
      <c r="B4716" s="2" t="s">
        <v>10148</v>
      </c>
      <c r="C4716" s="2" t="s">
        <v>5</v>
      </c>
      <c r="D4716" s="2" t="s">
        <v>321</v>
      </c>
      <c r="E4716" s="2" t="str">
        <f>"9783031598753"</f>
        <v>9783031598753</v>
      </c>
      <c r="F4716" s="2" t="str">
        <f>"9783031598760"</f>
        <v>9783031598760</v>
      </c>
    </row>
    <row r="4717" spans="1:6" s="3" customFormat="1" ht="29.1" customHeight="1" x14ac:dyDescent="0.25">
      <c r="A4717" s="2" t="s">
        <v>10149</v>
      </c>
      <c r="B4717" s="2" t="s">
        <v>10150</v>
      </c>
      <c r="C4717" s="2" t="s">
        <v>264</v>
      </c>
      <c r="D4717" s="2" t="s">
        <v>4341</v>
      </c>
      <c r="E4717" s="2" t="str">
        <f>"9781032874685"</f>
        <v>9781032874685</v>
      </c>
      <c r="F4717" s="2" t="str">
        <f>"9781040345726"</f>
        <v>9781040345726</v>
      </c>
    </row>
    <row r="4718" spans="1:6" s="3" customFormat="1" ht="29.1" customHeight="1" x14ac:dyDescent="0.25">
      <c r="A4718" s="2" t="s">
        <v>10151</v>
      </c>
      <c r="B4718" s="2" t="s">
        <v>10152</v>
      </c>
      <c r="C4718" s="2" t="s">
        <v>124</v>
      </c>
      <c r="D4718" s="2" t="s">
        <v>270</v>
      </c>
      <c r="E4718" s="2" t="str">
        <f>"9781032787473"</f>
        <v>9781032787473</v>
      </c>
      <c r="F4718" s="2" t="str">
        <f>"9781040343258"</f>
        <v>9781040343258</v>
      </c>
    </row>
    <row r="4719" spans="1:6" s="3" customFormat="1" ht="29.1" customHeight="1" x14ac:dyDescent="0.25">
      <c r="A4719" s="2" t="s">
        <v>10153</v>
      </c>
      <c r="B4719" s="2" t="s">
        <v>10154</v>
      </c>
      <c r="C4719" s="2" t="s">
        <v>124</v>
      </c>
      <c r="D4719" s="2" t="s">
        <v>10038</v>
      </c>
      <c r="E4719" s="2" t="str">
        <f>"9781032903019"</f>
        <v>9781032903019</v>
      </c>
      <c r="F4719" s="2" t="str">
        <f>"9781040350447"</f>
        <v>9781040350447</v>
      </c>
    </row>
    <row r="4720" spans="1:6" s="3" customFormat="1" ht="29.1" customHeight="1" x14ac:dyDescent="0.25">
      <c r="A4720" s="2" t="s">
        <v>10155</v>
      </c>
      <c r="B4720" s="2" t="s">
        <v>10156</v>
      </c>
      <c r="C4720" s="2" t="s">
        <v>124</v>
      </c>
      <c r="D4720" s="2" t="s">
        <v>30</v>
      </c>
      <c r="E4720" s="2" t="str">
        <f>"9781032308012"</f>
        <v>9781032308012</v>
      </c>
      <c r="F4720" s="2" t="str">
        <f>"9781040349755"</f>
        <v>9781040349755</v>
      </c>
    </row>
    <row r="4721" spans="1:6" s="3" customFormat="1" ht="29.1" customHeight="1" x14ac:dyDescent="0.25">
      <c r="A4721" s="2" t="s">
        <v>10157</v>
      </c>
      <c r="B4721" s="2" t="s">
        <v>10158</v>
      </c>
      <c r="C4721" s="2" t="s">
        <v>124</v>
      </c>
      <c r="D4721" s="2" t="s">
        <v>2980</v>
      </c>
      <c r="E4721" s="2" t="str">
        <f>"9781032900865"</f>
        <v>9781032900865</v>
      </c>
      <c r="F4721" s="2" t="str">
        <f>"9781040348949"</f>
        <v>9781040348949</v>
      </c>
    </row>
    <row r="4722" spans="1:6" s="3" customFormat="1" ht="29.1" customHeight="1" x14ac:dyDescent="0.25">
      <c r="A4722" s="2" t="s">
        <v>10159</v>
      </c>
      <c r="B4722" s="2" t="s">
        <v>10160</v>
      </c>
      <c r="C4722" s="2" t="s">
        <v>124</v>
      </c>
      <c r="D4722" s="2" t="s">
        <v>189</v>
      </c>
      <c r="E4722" s="2" t="str">
        <f>"9781032710716"</f>
        <v>9781032710716</v>
      </c>
      <c r="F4722" s="2" t="str">
        <f>"9781040343166"</f>
        <v>9781040343166</v>
      </c>
    </row>
    <row r="4723" spans="1:6" s="3" customFormat="1" ht="29.1" customHeight="1" x14ac:dyDescent="0.25">
      <c r="A4723" s="2" t="s">
        <v>10161</v>
      </c>
      <c r="B4723" s="2" t="s">
        <v>10163</v>
      </c>
      <c r="C4723" s="2" t="s">
        <v>124</v>
      </c>
      <c r="D4723" s="2" t="s">
        <v>10162</v>
      </c>
      <c r="E4723" s="2" t="str">
        <f>"9781032886282"</f>
        <v>9781032886282</v>
      </c>
      <c r="F4723" s="2" t="str">
        <f>"9781040343340"</f>
        <v>9781040343340</v>
      </c>
    </row>
    <row r="4724" spans="1:6" s="3" customFormat="1" ht="29.1" customHeight="1" x14ac:dyDescent="0.25">
      <c r="A4724" s="2" t="s">
        <v>10164</v>
      </c>
      <c r="B4724" s="2" t="s">
        <v>10165</v>
      </c>
      <c r="C4724" s="2" t="s">
        <v>124</v>
      </c>
      <c r="D4724" s="2" t="s">
        <v>270</v>
      </c>
      <c r="E4724" s="2" t="str">
        <f>"9781032914442"</f>
        <v>9781032914442</v>
      </c>
      <c r="F4724" s="2" t="str">
        <f>"9781040343180"</f>
        <v>9781040343180</v>
      </c>
    </row>
    <row r="4725" spans="1:6" s="3" customFormat="1" ht="29.1" customHeight="1" x14ac:dyDescent="0.25">
      <c r="A4725" s="2" t="s">
        <v>10166</v>
      </c>
      <c r="B4725" s="2" t="s">
        <v>10167</v>
      </c>
      <c r="C4725" s="2" t="s">
        <v>124</v>
      </c>
      <c r="D4725" s="2" t="s">
        <v>168</v>
      </c>
      <c r="E4725" s="2" t="str">
        <f>"9781032850078"</f>
        <v>9781032850078</v>
      </c>
      <c r="F4725" s="2" t="str">
        <f>"9781040341179"</f>
        <v>9781040341179</v>
      </c>
    </row>
    <row r="4726" spans="1:6" s="3" customFormat="1" ht="29.1" customHeight="1" x14ac:dyDescent="0.25">
      <c r="A4726" s="2" t="s">
        <v>10168</v>
      </c>
      <c r="B4726" s="2" t="s">
        <v>10169</v>
      </c>
      <c r="C4726" s="2" t="s">
        <v>124</v>
      </c>
      <c r="D4726" s="2" t="s">
        <v>791</v>
      </c>
      <c r="E4726" s="2" t="str">
        <f>"9781032287652"</f>
        <v>9781032287652</v>
      </c>
      <c r="F4726" s="2" t="str">
        <f>"9781040345481"</f>
        <v>9781040345481</v>
      </c>
    </row>
    <row r="4727" spans="1:6" s="3" customFormat="1" ht="29.1" customHeight="1" x14ac:dyDescent="0.25">
      <c r="A4727" s="2" t="s">
        <v>10170</v>
      </c>
      <c r="B4727" s="2" t="s">
        <v>10171</v>
      </c>
      <c r="C4727" s="2" t="s">
        <v>124</v>
      </c>
      <c r="D4727" s="2" t="s">
        <v>6578</v>
      </c>
      <c r="E4727" s="2" t="str">
        <f>"9781032048000"</f>
        <v>9781032048000</v>
      </c>
      <c r="F4727" s="2" t="str">
        <f>"9781040348543"</f>
        <v>9781040348543</v>
      </c>
    </row>
    <row r="4728" spans="1:6" s="3" customFormat="1" ht="29.1" customHeight="1" x14ac:dyDescent="0.25">
      <c r="A4728" s="2" t="s">
        <v>10172</v>
      </c>
      <c r="B4728" s="2" t="s">
        <v>10173</v>
      </c>
      <c r="C4728" s="2" t="s">
        <v>124</v>
      </c>
      <c r="D4728" s="2" t="s">
        <v>6692</v>
      </c>
      <c r="E4728" s="2" t="str">
        <f>"9781032117829"</f>
        <v>9781032117829</v>
      </c>
      <c r="F4728" s="2" t="str">
        <f>"9781040351994"</f>
        <v>9781040351994</v>
      </c>
    </row>
    <row r="4729" spans="1:6" s="3" customFormat="1" ht="29.1" customHeight="1" x14ac:dyDescent="0.25">
      <c r="A4729" s="2" t="s">
        <v>10174</v>
      </c>
      <c r="B4729" s="2" t="s">
        <v>10175</v>
      </c>
      <c r="C4729" s="2" t="s">
        <v>124</v>
      </c>
      <c r="D4729" s="2" t="s">
        <v>270</v>
      </c>
      <c r="E4729" s="2" t="str">
        <f>"9781032866314"</f>
        <v>9781032866314</v>
      </c>
      <c r="F4729" s="2" t="str">
        <f>"9781040342534"</f>
        <v>9781040342534</v>
      </c>
    </row>
    <row r="4730" spans="1:6" s="3" customFormat="1" ht="29.1" customHeight="1" x14ac:dyDescent="0.25">
      <c r="A4730" s="2" t="s">
        <v>10176</v>
      </c>
      <c r="B4730" s="2" t="s">
        <v>10178</v>
      </c>
      <c r="C4730" s="2" t="s">
        <v>29</v>
      </c>
      <c r="D4730" s="2" t="s">
        <v>10177</v>
      </c>
      <c r="E4730" s="2" t="str">
        <f>"9789004705586"</f>
        <v>9789004705586</v>
      </c>
      <c r="F4730" s="2" t="str">
        <f>"9789004716063"</f>
        <v>9789004716063</v>
      </c>
    </row>
    <row r="4731" spans="1:6" s="3" customFormat="1" ht="29.1" customHeight="1" x14ac:dyDescent="0.25">
      <c r="A4731" s="2" t="s">
        <v>10179</v>
      </c>
      <c r="B4731" s="2" t="s">
        <v>10180</v>
      </c>
      <c r="C4731" s="2" t="s">
        <v>29</v>
      </c>
      <c r="D4731" s="2" t="s">
        <v>462</v>
      </c>
      <c r="E4731" s="2" t="str">
        <f>"9789004547766"</f>
        <v>9789004547766</v>
      </c>
      <c r="F4731" s="2" t="str">
        <f>"9789004711822"</f>
        <v>9789004711822</v>
      </c>
    </row>
    <row r="4732" spans="1:6" s="3" customFormat="1" ht="29.1" customHeight="1" x14ac:dyDescent="0.25">
      <c r="A4732" s="2" t="s">
        <v>10181</v>
      </c>
      <c r="B4732" s="2" t="s">
        <v>10182</v>
      </c>
      <c r="C4732" s="2" t="s">
        <v>29</v>
      </c>
      <c r="D4732" s="2" t="s">
        <v>2208</v>
      </c>
      <c r="E4732" s="2" t="str">
        <f>"9789004716131"</f>
        <v>9789004716131</v>
      </c>
      <c r="F4732" s="2" t="str">
        <f>"9789004716148"</f>
        <v>9789004716148</v>
      </c>
    </row>
    <row r="4733" spans="1:6" s="3" customFormat="1" ht="29.1" customHeight="1" x14ac:dyDescent="0.25">
      <c r="A4733" s="2" t="s">
        <v>10183</v>
      </c>
      <c r="B4733" s="2" t="s">
        <v>10184</v>
      </c>
      <c r="C4733" s="2" t="s">
        <v>5</v>
      </c>
      <c r="D4733" s="2" t="s">
        <v>52</v>
      </c>
      <c r="E4733" s="2" t="str">
        <f>"9789464635775"</f>
        <v>9789464635775</v>
      </c>
      <c r="F4733" s="2" t="str">
        <f>"9789464635782"</f>
        <v>9789464635782</v>
      </c>
    </row>
    <row r="4734" spans="1:6" s="3" customFormat="1" ht="29.1" customHeight="1" x14ac:dyDescent="0.25">
      <c r="A4734" s="2" t="s">
        <v>10185</v>
      </c>
      <c r="B4734" s="2" t="s">
        <v>10186</v>
      </c>
      <c r="C4734" s="2" t="s">
        <v>5</v>
      </c>
      <c r="D4734" s="2" t="s">
        <v>44</v>
      </c>
      <c r="E4734" s="2" t="str">
        <f>"9789464635904"</f>
        <v>9789464635904</v>
      </c>
      <c r="F4734" s="2" t="str">
        <f>"9789464635911"</f>
        <v>9789464635911</v>
      </c>
    </row>
    <row r="4735" spans="1:6" s="3" customFormat="1" ht="29.1" customHeight="1" x14ac:dyDescent="0.25">
      <c r="A4735" s="2" t="s">
        <v>10187</v>
      </c>
      <c r="B4735" s="2" t="s">
        <v>10188</v>
      </c>
      <c r="C4735" s="2" t="s">
        <v>5</v>
      </c>
      <c r="D4735" s="2" t="s">
        <v>636</v>
      </c>
      <c r="E4735" s="2" t="str">
        <f>"9783031717642"</f>
        <v>9783031717642</v>
      </c>
      <c r="F4735" s="2" t="str">
        <f>"9783031717659"</f>
        <v>9783031717659</v>
      </c>
    </row>
    <row r="4736" spans="1:6" s="3" customFormat="1" ht="29.1" customHeight="1" x14ac:dyDescent="0.25">
      <c r="A4736" s="2" t="s">
        <v>10189</v>
      </c>
      <c r="B4736" s="2" t="s">
        <v>10190</v>
      </c>
      <c r="C4736" s="2" t="s">
        <v>5</v>
      </c>
      <c r="D4736" s="2" t="s">
        <v>192</v>
      </c>
      <c r="E4736" s="2" t="str">
        <f>"9783031715976"</f>
        <v>9783031715976</v>
      </c>
      <c r="F4736" s="2" t="str">
        <f>"9783031715983"</f>
        <v>9783031715983</v>
      </c>
    </row>
    <row r="4737" spans="1:6" s="3" customFormat="1" ht="29.1" customHeight="1" x14ac:dyDescent="0.25">
      <c r="A4737" s="2" t="s">
        <v>10191</v>
      </c>
      <c r="B4737" s="2" t="s">
        <v>10192</v>
      </c>
      <c r="C4737" s="2" t="s">
        <v>5</v>
      </c>
      <c r="D4737" s="2" t="s">
        <v>1927</v>
      </c>
      <c r="E4737" s="2" t="str">
        <f>"9783031691836"</f>
        <v>9783031691836</v>
      </c>
      <c r="F4737" s="2" t="str">
        <f>"9783031691843"</f>
        <v>9783031691843</v>
      </c>
    </row>
    <row r="4738" spans="1:6" s="3" customFormat="1" ht="29.1" customHeight="1" x14ac:dyDescent="0.25">
      <c r="A4738" s="2" t="s">
        <v>10193</v>
      </c>
      <c r="B4738" s="2" t="s">
        <v>10194</v>
      </c>
      <c r="C4738" s="2" t="s">
        <v>5</v>
      </c>
      <c r="D4738" s="2" t="s">
        <v>9</v>
      </c>
      <c r="E4738" s="2" t="str">
        <f>"9782384763108"</f>
        <v>9782384763108</v>
      </c>
      <c r="F4738" s="2" t="str">
        <f>"9782384763115"</f>
        <v>9782384763115</v>
      </c>
    </row>
    <row r="4739" spans="1:6" s="3" customFormat="1" ht="29.1" customHeight="1" x14ac:dyDescent="0.25">
      <c r="A4739" s="2" t="s">
        <v>10195</v>
      </c>
      <c r="B4739" s="2" t="s">
        <v>10196</v>
      </c>
      <c r="C4739" s="2" t="s">
        <v>5</v>
      </c>
      <c r="D4739" s="2" t="s">
        <v>342</v>
      </c>
      <c r="E4739" s="2" t="str">
        <f>"9789464635881"</f>
        <v>9789464635881</v>
      </c>
      <c r="F4739" s="2" t="str">
        <f>"9789464635898"</f>
        <v>9789464635898</v>
      </c>
    </row>
    <row r="4740" spans="1:6" s="3" customFormat="1" ht="29.1" customHeight="1" x14ac:dyDescent="0.25">
      <c r="A4740" s="2" t="s">
        <v>10197</v>
      </c>
      <c r="B4740" s="2" t="s">
        <v>10198</v>
      </c>
      <c r="C4740" s="2" t="s">
        <v>5</v>
      </c>
      <c r="D4740" s="2" t="s">
        <v>44</v>
      </c>
      <c r="E4740" s="2" t="str">
        <f>"9789464635867"</f>
        <v>9789464635867</v>
      </c>
      <c r="F4740" s="2" t="str">
        <f>"9789464635874"</f>
        <v>9789464635874</v>
      </c>
    </row>
    <row r="4741" spans="1:6" s="3" customFormat="1" ht="29.1" customHeight="1" x14ac:dyDescent="0.25">
      <c r="A4741" s="2" t="s">
        <v>10199</v>
      </c>
      <c r="B4741" s="2" t="s">
        <v>10200</v>
      </c>
      <c r="C4741" s="2" t="s">
        <v>5</v>
      </c>
      <c r="D4741" s="2" t="s">
        <v>855</v>
      </c>
      <c r="E4741" s="2" t="str">
        <f>"9789819776191"</f>
        <v>9789819776191</v>
      </c>
      <c r="F4741" s="2" t="str">
        <f>"9789819776207"</f>
        <v>9789819776207</v>
      </c>
    </row>
    <row r="4742" spans="1:6" s="3" customFormat="1" ht="29.1" customHeight="1" x14ac:dyDescent="0.25">
      <c r="A4742" s="2" t="s">
        <v>10201</v>
      </c>
      <c r="B4742" s="2" t="s">
        <v>10202</v>
      </c>
      <c r="C4742" s="2" t="s">
        <v>5</v>
      </c>
      <c r="D4742" s="2" t="s">
        <v>69</v>
      </c>
      <c r="E4742" s="2" t="str">
        <f>"9783031673092"</f>
        <v>9783031673092</v>
      </c>
      <c r="F4742" s="2" t="str">
        <f>"9783031673108"</f>
        <v>9783031673108</v>
      </c>
    </row>
    <row r="4743" spans="1:6" s="3" customFormat="1" ht="29.1" customHeight="1" x14ac:dyDescent="0.25">
      <c r="A4743" s="2" t="s">
        <v>10203</v>
      </c>
      <c r="B4743" s="2" t="s">
        <v>10204</v>
      </c>
      <c r="C4743" s="2" t="s">
        <v>746</v>
      </c>
      <c r="D4743" s="2" t="s">
        <v>606</v>
      </c>
      <c r="E4743" s="2" t="str">
        <f>"9781803278872"</f>
        <v>9781803278872</v>
      </c>
      <c r="F4743" s="2" t="str">
        <f>"9781803278889"</f>
        <v>9781803278889</v>
      </c>
    </row>
    <row r="4744" spans="1:6" s="3" customFormat="1" ht="29.1" customHeight="1" x14ac:dyDescent="0.25">
      <c r="A4744" s="2" t="s">
        <v>10205</v>
      </c>
      <c r="B4744" s="2" t="s">
        <v>10206</v>
      </c>
      <c r="C4744" s="2" t="s">
        <v>746</v>
      </c>
      <c r="D4744" s="2" t="s">
        <v>606</v>
      </c>
      <c r="E4744" s="2" t="str">
        <f>"9781803278858"</f>
        <v>9781803278858</v>
      </c>
      <c r="F4744" s="2" t="str">
        <f>"9781803278865"</f>
        <v>9781803278865</v>
      </c>
    </row>
    <row r="4745" spans="1:6" s="3" customFormat="1" ht="29.1" customHeight="1" x14ac:dyDescent="0.25">
      <c r="A4745" s="2" t="s">
        <v>10207</v>
      </c>
      <c r="B4745" s="2" t="s">
        <v>10208</v>
      </c>
      <c r="C4745" s="2" t="s">
        <v>746</v>
      </c>
      <c r="D4745" s="2" t="s">
        <v>606</v>
      </c>
      <c r="E4745" s="2" t="str">
        <f>"9781803279053"</f>
        <v>9781803279053</v>
      </c>
      <c r="F4745" s="2" t="str">
        <f>"9781803279060"</f>
        <v>9781803279060</v>
      </c>
    </row>
    <row r="4746" spans="1:6" s="3" customFormat="1" ht="29.1" customHeight="1" x14ac:dyDescent="0.25">
      <c r="A4746" s="2" t="s">
        <v>10209</v>
      </c>
      <c r="B4746" s="2"/>
      <c r="C4746" s="2" t="s">
        <v>746</v>
      </c>
      <c r="D4746" s="2" t="s">
        <v>2433</v>
      </c>
      <c r="E4746" s="2" t="str">
        <f>"9781803278919"</f>
        <v>9781803278919</v>
      </c>
      <c r="F4746" s="2" t="str">
        <f>"9781803278926"</f>
        <v>9781803278926</v>
      </c>
    </row>
    <row r="4747" spans="1:6" s="3" customFormat="1" ht="29.1" customHeight="1" x14ac:dyDescent="0.25">
      <c r="A4747" s="2" t="s">
        <v>10210</v>
      </c>
      <c r="B4747" s="2" t="s">
        <v>10211</v>
      </c>
      <c r="C4747" s="2" t="s">
        <v>5059</v>
      </c>
      <c r="D4747" s="2" t="s">
        <v>606</v>
      </c>
      <c r="E4747" s="2" t="str">
        <f>"9781743324172"</f>
        <v>9781743324172</v>
      </c>
      <c r="F4747" s="2" t="str">
        <f>"9781743326060"</f>
        <v>9781743326060</v>
      </c>
    </row>
    <row r="4748" spans="1:6" s="3" customFormat="1" ht="29.1" customHeight="1" x14ac:dyDescent="0.25">
      <c r="A4748" s="2" t="s">
        <v>10212</v>
      </c>
      <c r="B4748" s="2" t="s">
        <v>10213</v>
      </c>
      <c r="C4748" s="2" t="s">
        <v>5</v>
      </c>
      <c r="D4748" s="2" t="s">
        <v>9</v>
      </c>
      <c r="E4748" s="2" t="str">
        <f>"9789464635539"</f>
        <v>9789464635539</v>
      </c>
      <c r="F4748" s="2" t="str">
        <f>"9789464635546"</f>
        <v>9789464635546</v>
      </c>
    </row>
    <row r="4749" spans="1:6" s="3" customFormat="1" ht="29.1" customHeight="1" x14ac:dyDescent="0.25">
      <c r="A4749" s="2" t="s">
        <v>10214</v>
      </c>
      <c r="B4749" s="2" t="s">
        <v>10215</v>
      </c>
      <c r="C4749" s="2" t="s">
        <v>5</v>
      </c>
      <c r="D4749" s="2" t="s">
        <v>855</v>
      </c>
      <c r="E4749" s="2" t="str">
        <f>"9783031748806"</f>
        <v>9783031748806</v>
      </c>
      <c r="F4749" s="2" t="str">
        <f>"9783031748813"</f>
        <v>9783031748813</v>
      </c>
    </row>
    <row r="4750" spans="1:6" s="3" customFormat="1" ht="29.1" customHeight="1" x14ac:dyDescent="0.25">
      <c r="A4750" s="2" t="s">
        <v>10216</v>
      </c>
      <c r="B4750" s="2" t="s">
        <v>10218</v>
      </c>
      <c r="C4750" s="2" t="s">
        <v>5</v>
      </c>
      <c r="D4750" s="2" t="s">
        <v>10217</v>
      </c>
      <c r="E4750" s="2" t="str">
        <f>"9783031736278"</f>
        <v>9783031736278</v>
      </c>
      <c r="F4750" s="2" t="str">
        <f>"9783031736285"</f>
        <v>9783031736285</v>
      </c>
    </row>
    <row r="4751" spans="1:6" s="3" customFormat="1" ht="29.1" customHeight="1" x14ac:dyDescent="0.25">
      <c r="A4751" s="2" t="s">
        <v>10219</v>
      </c>
      <c r="B4751" s="2" t="s">
        <v>10220</v>
      </c>
      <c r="C4751" s="2" t="s">
        <v>149</v>
      </c>
      <c r="D4751" s="2" t="s">
        <v>636</v>
      </c>
      <c r="E4751" s="2" t="str">
        <f>"9781917341004"</f>
        <v>9781917341004</v>
      </c>
      <c r="F4751" s="2" t="str">
        <f>"9781917341011"</f>
        <v>9781917341011</v>
      </c>
    </row>
    <row r="4752" spans="1:6" s="3" customFormat="1" ht="29.1" customHeight="1" x14ac:dyDescent="0.25">
      <c r="A4752" s="2" t="s">
        <v>10221</v>
      </c>
      <c r="B4752" s="2" t="s">
        <v>10222</v>
      </c>
      <c r="C4752" s="2" t="s">
        <v>149</v>
      </c>
      <c r="D4752" s="2" t="s">
        <v>636</v>
      </c>
      <c r="E4752" s="2" t="str">
        <f>"9781685711740"</f>
        <v>9781685711740</v>
      </c>
      <c r="F4752" s="2" t="str">
        <f>"9781685711757"</f>
        <v>9781685711757</v>
      </c>
    </row>
    <row r="4753" spans="1:6" s="3" customFormat="1" ht="29.1" customHeight="1" x14ac:dyDescent="0.25">
      <c r="A4753" s="2" t="s">
        <v>10223</v>
      </c>
      <c r="B4753" s="2" t="s">
        <v>10224</v>
      </c>
      <c r="C4753" s="2" t="s">
        <v>149</v>
      </c>
      <c r="D4753" s="2" t="s">
        <v>1043</v>
      </c>
      <c r="E4753" s="2" t="str">
        <f>"9781685711207"</f>
        <v>9781685711207</v>
      </c>
      <c r="F4753" s="2" t="str">
        <f>"9781685711214"</f>
        <v>9781685711214</v>
      </c>
    </row>
    <row r="4754" spans="1:6" s="3" customFormat="1" ht="29.1" customHeight="1" x14ac:dyDescent="0.25">
      <c r="A4754" s="2" t="s">
        <v>10225</v>
      </c>
      <c r="B4754" s="2" t="s">
        <v>10226</v>
      </c>
      <c r="C4754" s="2" t="s">
        <v>2133</v>
      </c>
      <c r="D4754" s="2" t="s">
        <v>175</v>
      </c>
      <c r="E4754" s="2" t="str">
        <f>"9781760466633"</f>
        <v>9781760466633</v>
      </c>
      <c r="F4754" s="2" t="str">
        <f>"9781760466640"</f>
        <v>9781760466640</v>
      </c>
    </row>
    <row r="4755" spans="1:6" s="3" customFormat="1" ht="29.1" customHeight="1" x14ac:dyDescent="0.25">
      <c r="A4755" s="2" t="s">
        <v>10227</v>
      </c>
      <c r="B4755" s="2" t="s">
        <v>10228</v>
      </c>
      <c r="C4755" s="2" t="s">
        <v>2133</v>
      </c>
      <c r="D4755" s="2" t="s">
        <v>636</v>
      </c>
      <c r="E4755" s="2" t="str">
        <f>"9781760466572"</f>
        <v>9781760466572</v>
      </c>
      <c r="F4755" s="2" t="str">
        <f>"9781760466589"</f>
        <v>9781760466589</v>
      </c>
    </row>
    <row r="4756" spans="1:6" s="3" customFormat="1" ht="29.1" customHeight="1" x14ac:dyDescent="0.25">
      <c r="A4756" s="2" t="s">
        <v>10229</v>
      </c>
      <c r="B4756" s="2" t="s">
        <v>10230</v>
      </c>
      <c r="C4756" s="2" t="s">
        <v>29</v>
      </c>
      <c r="D4756" s="2" t="s">
        <v>606</v>
      </c>
      <c r="E4756" s="2" t="str">
        <f>"9789004545168"</f>
        <v>9789004545168</v>
      </c>
      <c r="F4756" s="2" t="str">
        <f>"9789004712171"</f>
        <v>9789004712171</v>
      </c>
    </row>
    <row r="4757" spans="1:6" s="3" customFormat="1" ht="29.1" customHeight="1" x14ac:dyDescent="0.25">
      <c r="A4757" s="2" t="s">
        <v>10231</v>
      </c>
      <c r="B4757" s="2" t="s">
        <v>10233</v>
      </c>
      <c r="C4757" s="2" t="s">
        <v>239</v>
      </c>
      <c r="D4757" s="2" t="s">
        <v>10232</v>
      </c>
      <c r="E4757" s="2" t="str">
        <f>"9780520399211"</f>
        <v>9780520399211</v>
      </c>
      <c r="F4757" s="2" t="str">
        <f>"9780520399228"</f>
        <v>9780520399228</v>
      </c>
    </row>
    <row r="4758" spans="1:6" s="3" customFormat="1" ht="29.1" customHeight="1" x14ac:dyDescent="0.25">
      <c r="A4758" s="2" t="s">
        <v>10234</v>
      </c>
      <c r="B4758" s="2" t="s">
        <v>10235</v>
      </c>
      <c r="C4758" s="2" t="s">
        <v>29</v>
      </c>
      <c r="D4758" s="2" t="s">
        <v>1432</v>
      </c>
      <c r="E4758" s="2" t="str">
        <f>"9789004707115"</f>
        <v>9789004707115</v>
      </c>
      <c r="F4758" s="2" t="str">
        <f>"9789004707122"</f>
        <v>9789004707122</v>
      </c>
    </row>
    <row r="4759" spans="1:6" s="3" customFormat="1" ht="29.1" customHeight="1" x14ac:dyDescent="0.25">
      <c r="A4759" s="2" t="s">
        <v>10234</v>
      </c>
      <c r="B4759" s="2" t="s">
        <v>10235</v>
      </c>
      <c r="C4759" s="2" t="s">
        <v>29</v>
      </c>
      <c r="D4759" s="2" t="s">
        <v>1432</v>
      </c>
      <c r="E4759" s="2" t="str">
        <f>"9789004707092"</f>
        <v>9789004707092</v>
      </c>
      <c r="F4759" s="2" t="str">
        <f>"9789004707108"</f>
        <v>9789004707108</v>
      </c>
    </row>
    <row r="4760" spans="1:6" s="3" customFormat="1" ht="29.1" customHeight="1" x14ac:dyDescent="0.25">
      <c r="A4760" s="2" t="s">
        <v>10234</v>
      </c>
      <c r="B4760" s="2" t="s">
        <v>10235</v>
      </c>
      <c r="C4760" s="2" t="s">
        <v>29</v>
      </c>
      <c r="D4760" s="2" t="s">
        <v>1432</v>
      </c>
      <c r="E4760" s="2" t="str">
        <f>"9789004707078"</f>
        <v>9789004707078</v>
      </c>
      <c r="F4760" s="2" t="str">
        <f>"9789004707085"</f>
        <v>9789004707085</v>
      </c>
    </row>
    <row r="4761" spans="1:6" s="3" customFormat="1" ht="29.1" customHeight="1" x14ac:dyDescent="0.25">
      <c r="A4761" s="2" t="s">
        <v>10234</v>
      </c>
      <c r="B4761" s="2" t="s">
        <v>10235</v>
      </c>
      <c r="C4761" s="2" t="s">
        <v>29</v>
      </c>
      <c r="D4761" s="2" t="s">
        <v>1432</v>
      </c>
      <c r="E4761" s="2" t="str">
        <f>"9789004695702"</f>
        <v>9789004695702</v>
      </c>
      <c r="F4761" s="2" t="str">
        <f>"9789004707061"</f>
        <v>9789004707061</v>
      </c>
    </row>
    <row r="4762" spans="1:6" s="3" customFormat="1" ht="29.1" customHeight="1" x14ac:dyDescent="0.25">
      <c r="A4762" s="2" t="s">
        <v>10236</v>
      </c>
      <c r="B4762" s="2" t="s">
        <v>10237</v>
      </c>
      <c r="C4762" s="2" t="s">
        <v>7395</v>
      </c>
      <c r="D4762" s="2" t="s">
        <v>49</v>
      </c>
      <c r="E4762" s="2" t="str">
        <f>"9780295752921"</f>
        <v>9780295752921</v>
      </c>
      <c r="F4762" s="2" t="str">
        <f>"9780295752945"</f>
        <v>9780295752945</v>
      </c>
    </row>
    <row r="4763" spans="1:6" s="3" customFormat="1" ht="29.1" customHeight="1" x14ac:dyDescent="0.25">
      <c r="A4763" s="2" t="s">
        <v>10238</v>
      </c>
      <c r="B4763" s="2" t="s">
        <v>10239</v>
      </c>
      <c r="C4763" s="2" t="s">
        <v>5</v>
      </c>
      <c r="D4763" s="2" t="s">
        <v>9</v>
      </c>
      <c r="E4763" s="2" t="str">
        <f>"9789464635676"</f>
        <v>9789464635676</v>
      </c>
      <c r="F4763" s="2" t="str">
        <f>"9789464635683"</f>
        <v>9789464635683</v>
      </c>
    </row>
    <row r="4764" spans="1:6" s="3" customFormat="1" ht="29.1" customHeight="1" x14ac:dyDescent="0.25">
      <c r="A4764" s="2" t="s">
        <v>10240</v>
      </c>
      <c r="B4764" s="2" t="s">
        <v>10241</v>
      </c>
      <c r="C4764" s="2" t="s">
        <v>5</v>
      </c>
      <c r="D4764" s="2" t="s">
        <v>1278</v>
      </c>
      <c r="E4764" s="2" t="str">
        <f>"9783031731051"</f>
        <v>9783031731051</v>
      </c>
      <c r="F4764" s="2" t="str">
        <f>"9783031731068"</f>
        <v>9783031731068</v>
      </c>
    </row>
    <row r="4765" spans="1:6" s="3" customFormat="1" ht="29.1" customHeight="1" x14ac:dyDescent="0.25">
      <c r="A4765" s="2" t="s">
        <v>10242</v>
      </c>
      <c r="B4765" s="2" t="s">
        <v>10243</v>
      </c>
      <c r="C4765" s="2" t="s">
        <v>5059</v>
      </c>
      <c r="D4765" s="2" t="s">
        <v>1228</v>
      </c>
      <c r="E4765" s="2" t="str">
        <f>"9781920899950"</f>
        <v>9781920899950</v>
      </c>
      <c r="F4765" s="2" t="str">
        <f>"9781743324288"</f>
        <v>9781743324288</v>
      </c>
    </row>
    <row r="4766" spans="1:6" s="3" customFormat="1" ht="29.1" customHeight="1" x14ac:dyDescent="0.25">
      <c r="A4766" s="2" t="s">
        <v>10244</v>
      </c>
      <c r="B4766" s="2" t="s">
        <v>10245</v>
      </c>
      <c r="C4766" s="2" t="s">
        <v>5059</v>
      </c>
      <c r="D4766" s="2" t="s">
        <v>3536</v>
      </c>
      <c r="E4766" s="2" t="str">
        <f>"9781743323878"</f>
        <v>9781743323878</v>
      </c>
      <c r="F4766" s="2" t="str">
        <f>"9781743324936"</f>
        <v>9781743324936</v>
      </c>
    </row>
    <row r="4767" spans="1:6" s="3" customFormat="1" ht="29.1" customHeight="1" x14ac:dyDescent="0.25">
      <c r="A4767" s="2" t="s">
        <v>10246</v>
      </c>
      <c r="B4767" s="2" t="s">
        <v>10247</v>
      </c>
      <c r="C4767" s="2" t="s">
        <v>5</v>
      </c>
      <c r="D4767" s="2" t="s">
        <v>270</v>
      </c>
      <c r="E4767" s="2" t="str">
        <f>"9783658461485"</f>
        <v>9783658461485</v>
      </c>
      <c r="F4767" s="2" t="str">
        <f>"9783658461492"</f>
        <v>9783658461492</v>
      </c>
    </row>
    <row r="4768" spans="1:6" s="3" customFormat="1" ht="29.1" customHeight="1" x14ac:dyDescent="0.25">
      <c r="A4768" s="2" t="s">
        <v>10248</v>
      </c>
      <c r="B4768" s="2" t="s">
        <v>10249</v>
      </c>
      <c r="C4768" s="2" t="s">
        <v>5</v>
      </c>
      <c r="D4768" s="2" t="s">
        <v>1717</v>
      </c>
      <c r="E4768" s="2" t="str">
        <f>"9789819721955"</f>
        <v>9789819721955</v>
      </c>
      <c r="F4768" s="2" t="str">
        <f>"9789819721962"</f>
        <v>9789819721962</v>
      </c>
    </row>
    <row r="4769" spans="1:6" s="3" customFormat="1" ht="29.1" customHeight="1" x14ac:dyDescent="0.25">
      <c r="A4769" s="2" t="s">
        <v>10250</v>
      </c>
      <c r="B4769" s="2" t="s">
        <v>10251</v>
      </c>
      <c r="C4769" s="2" t="s">
        <v>29</v>
      </c>
      <c r="D4769" s="2" t="s">
        <v>192</v>
      </c>
      <c r="E4769" s="2" t="str">
        <f>"9789004681217"</f>
        <v>9789004681217</v>
      </c>
      <c r="F4769" s="2" t="str">
        <f>"9789004681224"</f>
        <v>9789004681224</v>
      </c>
    </row>
    <row r="4770" spans="1:6" s="3" customFormat="1" ht="29.1" customHeight="1" x14ac:dyDescent="0.25">
      <c r="A4770" s="2" t="s">
        <v>10252</v>
      </c>
      <c r="B4770" s="2" t="s">
        <v>10253</v>
      </c>
      <c r="C4770" s="2" t="s">
        <v>29</v>
      </c>
      <c r="D4770" s="2" t="s">
        <v>4071</v>
      </c>
      <c r="E4770" s="2" t="str">
        <f>"9789004714359"</f>
        <v>9789004714359</v>
      </c>
      <c r="F4770" s="2" t="str">
        <f>"9789004714366"</f>
        <v>9789004714366</v>
      </c>
    </row>
    <row r="4771" spans="1:6" s="3" customFormat="1" ht="29.1" customHeight="1" x14ac:dyDescent="0.25">
      <c r="A4771" s="2" t="s">
        <v>10254</v>
      </c>
      <c r="B4771" s="2" t="s">
        <v>10255</v>
      </c>
      <c r="C4771" s="2" t="s">
        <v>29</v>
      </c>
      <c r="D4771" s="2" t="s">
        <v>5032</v>
      </c>
      <c r="E4771" s="2" t="str">
        <f>"9789004680609"</f>
        <v>9789004680609</v>
      </c>
      <c r="F4771" s="2" t="str">
        <f>"9789004715448"</f>
        <v>9789004715448</v>
      </c>
    </row>
    <row r="4772" spans="1:6" s="3" customFormat="1" ht="29.1" customHeight="1" x14ac:dyDescent="0.25">
      <c r="A4772" s="2" t="s">
        <v>10256</v>
      </c>
      <c r="B4772" s="2" t="s">
        <v>10257</v>
      </c>
      <c r="C4772" s="2" t="s">
        <v>59</v>
      </c>
      <c r="D4772" s="2" t="s">
        <v>758</v>
      </c>
      <c r="E4772" s="2"/>
      <c r="F4772" s="2" t="str">
        <f>"9782759239856"</f>
        <v>9782759239856</v>
      </c>
    </row>
    <row r="4773" spans="1:6" s="3" customFormat="1" ht="29.1" customHeight="1" x14ac:dyDescent="0.25">
      <c r="A4773" s="2" t="s">
        <v>8548</v>
      </c>
      <c r="B4773" s="2" t="s">
        <v>8549</v>
      </c>
      <c r="C4773" s="2" t="s">
        <v>59</v>
      </c>
      <c r="D4773" s="2" t="s">
        <v>2435</v>
      </c>
      <c r="E4773" s="2"/>
      <c r="F4773" s="2" t="str">
        <f>"9782759238767"</f>
        <v>9782759238767</v>
      </c>
    </row>
    <row r="4774" spans="1:6" s="3" customFormat="1" ht="29.1" customHeight="1" x14ac:dyDescent="0.25">
      <c r="A4774" s="2" t="s">
        <v>10258</v>
      </c>
      <c r="B4774" s="2" t="s">
        <v>10259</v>
      </c>
      <c r="C4774" s="2" t="s">
        <v>4104</v>
      </c>
      <c r="D4774" s="2" t="s">
        <v>712</v>
      </c>
      <c r="E4774" s="2" t="str">
        <f>"9780197267714"</f>
        <v>9780197267714</v>
      </c>
      <c r="F4774" s="2" t="str">
        <f>"9780198930891"</f>
        <v>9780198930891</v>
      </c>
    </row>
    <row r="4775" spans="1:6" s="3" customFormat="1" ht="29.1" customHeight="1" x14ac:dyDescent="0.25">
      <c r="A4775" s="2" t="s">
        <v>10260</v>
      </c>
      <c r="B4775" s="2" t="s">
        <v>10261</v>
      </c>
      <c r="C4775" s="2" t="s">
        <v>5</v>
      </c>
      <c r="D4775" s="2" t="s">
        <v>44</v>
      </c>
      <c r="E4775" s="2" t="str">
        <f>"9789819740895"</f>
        <v>9789819740895</v>
      </c>
      <c r="F4775" s="2" t="str">
        <f>"9789819740901"</f>
        <v>9789819740901</v>
      </c>
    </row>
    <row r="4776" spans="1:6" s="3" customFormat="1" ht="29.1" customHeight="1" x14ac:dyDescent="0.25">
      <c r="A4776" s="2" t="s">
        <v>10262</v>
      </c>
      <c r="B4776" s="2" t="s">
        <v>10263</v>
      </c>
      <c r="C4776" s="2" t="s">
        <v>5</v>
      </c>
      <c r="D4776" s="2" t="s">
        <v>6994</v>
      </c>
      <c r="E4776" s="2" t="str">
        <f>"9789819766628"</f>
        <v>9789819766628</v>
      </c>
      <c r="F4776" s="2" t="str">
        <f>"9789819766635"</f>
        <v>9789819766635</v>
      </c>
    </row>
    <row r="4777" spans="1:6" s="3" customFormat="1" ht="29.1" customHeight="1" x14ac:dyDescent="0.25">
      <c r="A4777" s="2" t="s">
        <v>10264</v>
      </c>
      <c r="B4777" s="2" t="s">
        <v>10265</v>
      </c>
      <c r="C4777" s="2" t="s">
        <v>5</v>
      </c>
      <c r="D4777" s="2" t="s">
        <v>889</v>
      </c>
      <c r="E4777" s="2" t="str">
        <f>"9783031717925"</f>
        <v>9783031717925</v>
      </c>
      <c r="F4777" s="2" t="str">
        <f>"9783031717932"</f>
        <v>9783031717932</v>
      </c>
    </row>
    <row r="4778" spans="1:6" s="3" customFormat="1" ht="29.1" customHeight="1" x14ac:dyDescent="0.25">
      <c r="A4778" s="2" t="s">
        <v>10266</v>
      </c>
      <c r="B4778" s="2" t="s">
        <v>10267</v>
      </c>
      <c r="C4778" s="2" t="s">
        <v>149</v>
      </c>
      <c r="D4778" s="2" t="s">
        <v>1209</v>
      </c>
      <c r="E4778" s="2" t="str">
        <f>"9781805114581"</f>
        <v>9781805114581</v>
      </c>
      <c r="F4778" s="2" t="str">
        <f>"9781805114604"</f>
        <v>9781805114604</v>
      </c>
    </row>
    <row r="4779" spans="1:6" s="3" customFormat="1" ht="29.1" customHeight="1" x14ac:dyDescent="0.25">
      <c r="A4779" s="2" t="s">
        <v>10268</v>
      </c>
      <c r="B4779" s="2" t="s">
        <v>10270</v>
      </c>
      <c r="C4779" s="2" t="s">
        <v>149</v>
      </c>
      <c r="D4779" s="2" t="s">
        <v>10269</v>
      </c>
      <c r="E4779" s="2" t="str">
        <f>"9781805114352"</f>
        <v>9781805114352</v>
      </c>
      <c r="F4779" s="2" t="str">
        <f>"9781805114376"</f>
        <v>9781805114376</v>
      </c>
    </row>
    <row r="4780" spans="1:6" s="3" customFormat="1" ht="29.1" customHeight="1" x14ac:dyDescent="0.25">
      <c r="A4780" s="2" t="s">
        <v>10271</v>
      </c>
      <c r="B4780" s="2" t="s">
        <v>10272</v>
      </c>
      <c r="C4780" s="2" t="s">
        <v>149</v>
      </c>
      <c r="D4780" s="2" t="s">
        <v>699</v>
      </c>
      <c r="E4780" s="2" t="str">
        <f>"9781805113942"</f>
        <v>9781805113942</v>
      </c>
      <c r="F4780" s="2" t="str">
        <f>"9781805113966"</f>
        <v>9781805113966</v>
      </c>
    </row>
    <row r="4781" spans="1:6" s="3" customFormat="1" ht="29.1" customHeight="1" x14ac:dyDescent="0.25">
      <c r="A4781" s="2" t="s">
        <v>10273</v>
      </c>
      <c r="B4781" s="2" t="s">
        <v>10274</v>
      </c>
      <c r="C4781" s="2" t="s">
        <v>62</v>
      </c>
      <c r="D4781" s="2" t="s">
        <v>66</v>
      </c>
      <c r="E4781" s="2" t="str">
        <f>"9783428189236"</f>
        <v>9783428189236</v>
      </c>
      <c r="F4781" s="2" t="str">
        <f>"9783428589234"</f>
        <v>9783428589234</v>
      </c>
    </row>
    <row r="4782" spans="1:6" s="3" customFormat="1" ht="29.1" customHeight="1" x14ac:dyDescent="0.25">
      <c r="A4782" s="2" t="s">
        <v>10275</v>
      </c>
      <c r="B4782" s="2" t="s">
        <v>10276</v>
      </c>
      <c r="C4782" s="2" t="s">
        <v>5</v>
      </c>
      <c r="D4782" s="2" t="s">
        <v>192</v>
      </c>
      <c r="E4782" s="2" t="str">
        <f>"9789819758371"</f>
        <v>9789819758371</v>
      </c>
      <c r="F4782" s="2" t="str">
        <f>"9789819758388"</f>
        <v>9789819758388</v>
      </c>
    </row>
    <row r="4783" spans="1:6" s="3" customFormat="1" ht="29.1" customHeight="1" x14ac:dyDescent="0.25">
      <c r="A4783" s="2" t="s">
        <v>10277</v>
      </c>
      <c r="B4783" s="2" t="s">
        <v>10278</v>
      </c>
      <c r="C4783" s="2" t="s">
        <v>5</v>
      </c>
      <c r="D4783" s="2" t="s">
        <v>515</v>
      </c>
      <c r="E4783" s="2" t="str">
        <f>"9783031658006"</f>
        <v>9783031658006</v>
      </c>
      <c r="F4783" s="2" t="str">
        <f>"9783031658013"</f>
        <v>9783031658013</v>
      </c>
    </row>
    <row r="4784" spans="1:6" s="3" customFormat="1" ht="29.1" customHeight="1" x14ac:dyDescent="0.25">
      <c r="A4784" s="2" t="s">
        <v>10279</v>
      </c>
      <c r="B4784" s="2" t="s">
        <v>10280</v>
      </c>
      <c r="C4784" s="2" t="s">
        <v>59</v>
      </c>
      <c r="D4784" s="2" t="s">
        <v>547</v>
      </c>
      <c r="E4784" s="2"/>
      <c r="F4784" s="2" t="str">
        <f>"9782759240364"</f>
        <v>9782759240364</v>
      </c>
    </row>
    <row r="4785" spans="1:6" s="3" customFormat="1" ht="29.1" customHeight="1" x14ac:dyDescent="0.25">
      <c r="A4785" s="2" t="s">
        <v>10281</v>
      </c>
      <c r="B4785" s="2" t="s">
        <v>10282</v>
      </c>
      <c r="C4785" s="2" t="s">
        <v>5</v>
      </c>
      <c r="D4785" s="2" t="s">
        <v>9</v>
      </c>
      <c r="E4785" s="2" t="str">
        <f>"9782384763009"</f>
        <v>9782384763009</v>
      </c>
      <c r="F4785" s="2" t="str">
        <f>"9782384763016"</f>
        <v>9782384763016</v>
      </c>
    </row>
    <row r="4786" spans="1:6" s="3" customFormat="1" ht="29.1" customHeight="1" x14ac:dyDescent="0.25">
      <c r="A4786" s="2" t="s">
        <v>10283</v>
      </c>
      <c r="B4786" s="2" t="s">
        <v>10284</v>
      </c>
      <c r="C4786" s="2" t="s">
        <v>5</v>
      </c>
      <c r="D4786" s="2" t="s">
        <v>5228</v>
      </c>
      <c r="E4786" s="2" t="str">
        <f>"9789464635829"</f>
        <v>9789464635829</v>
      </c>
      <c r="F4786" s="2" t="str">
        <f>"9789464635836"</f>
        <v>9789464635836</v>
      </c>
    </row>
    <row r="4787" spans="1:6" s="3" customFormat="1" ht="29.1" customHeight="1" x14ac:dyDescent="0.25">
      <c r="A4787" s="2" t="s">
        <v>10285</v>
      </c>
      <c r="B4787" s="2" t="s">
        <v>10286</v>
      </c>
      <c r="C4787" s="2" t="s">
        <v>5</v>
      </c>
      <c r="D4787" s="2" t="s">
        <v>553</v>
      </c>
      <c r="E4787" s="2" t="str">
        <f>"9783031663154"</f>
        <v>9783031663154</v>
      </c>
      <c r="F4787" s="2" t="str">
        <f>"9783031663161"</f>
        <v>9783031663161</v>
      </c>
    </row>
    <row r="4788" spans="1:6" s="3" customFormat="1" ht="29.1" customHeight="1" x14ac:dyDescent="0.25">
      <c r="A4788" s="2" t="s">
        <v>10287</v>
      </c>
      <c r="B4788" s="2" t="s">
        <v>10288</v>
      </c>
      <c r="C4788" s="2" t="s">
        <v>29</v>
      </c>
      <c r="D4788" s="2" t="s">
        <v>408</v>
      </c>
      <c r="E4788" s="2" t="str">
        <f>"9789004705845"</f>
        <v>9789004705845</v>
      </c>
      <c r="F4788" s="2" t="str">
        <f>"9789004705852"</f>
        <v>9789004705852</v>
      </c>
    </row>
    <row r="4789" spans="1:6" s="3" customFormat="1" ht="29.1" customHeight="1" x14ac:dyDescent="0.25">
      <c r="A4789" s="2" t="s">
        <v>10289</v>
      </c>
      <c r="B4789" s="2" t="s">
        <v>10290</v>
      </c>
      <c r="C4789" s="2" t="s">
        <v>239</v>
      </c>
      <c r="D4789" s="2" t="s">
        <v>4185</v>
      </c>
      <c r="E4789" s="2" t="str">
        <f>"9780520413146"</f>
        <v>9780520413146</v>
      </c>
      <c r="F4789" s="2" t="str">
        <f>"9780520413153"</f>
        <v>9780520413153</v>
      </c>
    </row>
    <row r="4790" spans="1:6" s="3" customFormat="1" ht="29.1" customHeight="1" x14ac:dyDescent="0.25">
      <c r="A4790" s="2" t="s">
        <v>10291</v>
      </c>
      <c r="B4790" s="2" t="s">
        <v>10292</v>
      </c>
      <c r="C4790" s="2" t="s">
        <v>5</v>
      </c>
      <c r="D4790" s="2" t="s">
        <v>98</v>
      </c>
      <c r="E4790" s="2" t="str">
        <f>"9789464635690"</f>
        <v>9789464635690</v>
      </c>
      <c r="F4790" s="2" t="str">
        <f>"9789464635706"</f>
        <v>9789464635706</v>
      </c>
    </row>
    <row r="4791" spans="1:6" s="3" customFormat="1" ht="29.1" customHeight="1" x14ac:dyDescent="0.25">
      <c r="A4791" s="2" t="s">
        <v>10293</v>
      </c>
      <c r="B4791" s="2" t="s">
        <v>10294</v>
      </c>
      <c r="C4791" s="2" t="s">
        <v>5</v>
      </c>
      <c r="D4791" s="2" t="s">
        <v>4229</v>
      </c>
      <c r="E4791" s="2" t="str">
        <f>"9783031616006"</f>
        <v>9783031616006</v>
      </c>
      <c r="F4791" s="2" t="str">
        <f>"9783031616013"</f>
        <v>9783031616013</v>
      </c>
    </row>
    <row r="4792" spans="1:6" s="3" customFormat="1" ht="29.1" customHeight="1" x14ac:dyDescent="0.25">
      <c r="A4792" s="2" t="s">
        <v>10295</v>
      </c>
      <c r="B4792" s="2" t="s">
        <v>10296</v>
      </c>
      <c r="C4792" s="2" t="s">
        <v>5</v>
      </c>
      <c r="D4792" s="2" t="s">
        <v>850</v>
      </c>
      <c r="E4792" s="2" t="str">
        <f>"9789819780693"</f>
        <v>9789819780693</v>
      </c>
      <c r="F4792" s="2" t="str">
        <f>"9789819780709"</f>
        <v>9789819780709</v>
      </c>
    </row>
    <row r="4793" spans="1:6" s="3" customFormat="1" ht="29.1" customHeight="1" x14ac:dyDescent="0.25">
      <c r="A4793" s="2" t="s">
        <v>10297</v>
      </c>
      <c r="B4793" s="2" t="s">
        <v>10298</v>
      </c>
      <c r="C4793" s="2" t="s">
        <v>5</v>
      </c>
      <c r="D4793" s="2" t="s">
        <v>347</v>
      </c>
      <c r="E4793" s="2" t="str">
        <f>"9783031634390"</f>
        <v>9783031634390</v>
      </c>
      <c r="F4793" s="2" t="str">
        <f>"9783031634406"</f>
        <v>9783031634406</v>
      </c>
    </row>
    <row r="4794" spans="1:6" s="3" customFormat="1" ht="29.1" customHeight="1" x14ac:dyDescent="0.25">
      <c r="A4794" s="2" t="s">
        <v>9385</v>
      </c>
      <c r="B4794" s="2" t="s">
        <v>9386</v>
      </c>
      <c r="C4794" s="2" t="s">
        <v>29</v>
      </c>
      <c r="D4794" s="2" t="s">
        <v>1432</v>
      </c>
      <c r="E4794" s="2" t="str">
        <f>"9789004506145"</f>
        <v>9789004506145</v>
      </c>
      <c r="F4794" s="2" t="str">
        <f>"9789004506152"</f>
        <v>9789004506152</v>
      </c>
    </row>
    <row r="4795" spans="1:6" s="3" customFormat="1" ht="29.1" customHeight="1" x14ac:dyDescent="0.25">
      <c r="A4795" s="2" t="s">
        <v>10299</v>
      </c>
      <c r="B4795" s="2" t="s">
        <v>10300</v>
      </c>
      <c r="C4795" s="2" t="s">
        <v>8104</v>
      </c>
      <c r="D4795" s="2" t="s">
        <v>636</v>
      </c>
      <c r="E4795" s="2" t="str">
        <f>"9781805399742"</f>
        <v>9781805399742</v>
      </c>
      <c r="F4795" s="2" t="str">
        <f>"9781805399759"</f>
        <v>9781805399759</v>
      </c>
    </row>
    <row r="4796" spans="1:6" s="3" customFormat="1" ht="29.1" customHeight="1" x14ac:dyDescent="0.25">
      <c r="A4796" s="2" t="s">
        <v>10301</v>
      </c>
      <c r="B4796" s="2" t="s">
        <v>10302</v>
      </c>
      <c r="C4796" s="2" t="s">
        <v>8104</v>
      </c>
      <c r="D4796" s="2" t="s">
        <v>636</v>
      </c>
      <c r="E4796" s="2" t="str">
        <f>"9781805399810"</f>
        <v>9781805399810</v>
      </c>
      <c r="F4796" s="2" t="str">
        <f>"9781805399827"</f>
        <v>9781805399827</v>
      </c>
    </row>
    <row r="4797" spans="1:6" s="3" customFormat="1" ht="29.1" customHeight="1" x14ac:dyDescent="0.25">
      <c r="A4797" s="2" t="s">
        <v>10303</v>
      </c>
      <c r="B4797" s="2" t="s">
        <v>10304</v>
      </c>
      <c r="C4797" s="2" t="s">
        <v>5</v>
      </c>
      <c r="D4797" s="2" t="s">
        <v>9</v>
      </c>
      <c r="E4797" s="2" t="str">
        <f>"9789464635737"</f>
        <v>9789464635737</v>
      </c>
      <c r="F4797" s="2" t="str">
        <f>"9789464635744"</f>
        <v>9789464635744</v>
      </c>
    </row>
    <row r="4798" spans="1:6" s="3" customFormat="1" ht="29.1" customHeight="1" x14ac:dyDescent="0.25">
      <c r="A4798" s="2" t="s">
        <v>10305</v>
      </c>
      <c r="B4798" s="2" t="s">
        <v>10306</v>
      </c>
      <c r="C4798" s="2" t="s">
        <v>5</v>
      </c>
      <c r="D4798" s="2" t="s">
        <v>1988</v>
      </c>
      <c r="E4798" s="2" t="str">
        <f>"9783031714436"</f>
        <v>9783031714436</v>
      </c>
      <c r="F4798" s="2" t="str">
        <f>"9783031714443"</f>
        <v>9783031714443</v>
      </c>
    </row>
    <row r="4799" spans="1:6" s="3" customFormat="1" ht="29.1" customHeight="1" x14ac:dyDescent="0.25">
      <c r="A4799" s="2" t="s">
        <v>10307</v>
      </c>
      <c r="B4799" s="2" t="s">
        <v>10308</v>
      </c>
      <c r="C4799" s="2" t="s">
        <v>5</v>
      </c>
      <c r="D4799" s="2" t="s">
        <v>3817</v>
      </c>
      <c r="E4799" s="2" t="str">
        <f>"9789819755837"</f>
        <v>9789819755837</v>
      </c>
      <c r="F4799" s="2" t="str">
        <f>"9789819755844"</f>
        <v>9789819755844</v>
      </c>
    </row>
    <row r="4800" spans="1:6" s="3" customFormat="1" ht="29.1" customHeight="1" x14ac:dyDescent="0.25">
      <c r="A4800" s="2" t="s">
        <v>9385</v>
      </c>
      <c r="B4800" s="2" t="s">
        <v>9386</v>
      </c>
      <c r="C4800" s="2" t="s">
        <v>29</v>
      </c>
      <c r="D4800" s="2" t="s">
        <v>1432</v>
      </c>
      <c r="E4800" s="2" t="str">
        <f>"9789004127586"</f>
        <v>9789004127586</v>
      </c>
      <c r="F4800" s="2" t="str">
        <f>"9789004708495"</f>
        <v>9789004708495</v>
      </c>
    </row>
    <row r="4801" spans="1:6" s="3" customFormat="1" ht="29.1" customHeight="1" x14ac:dyDescent="0.25">
      <c r="A4801" s="2" t="s">
        <v>10309</v>
      </c>
      <c r="B4801" s="2" t="s">
        <v>10310</v>
      </c>
      <c r="C4801" s="2" t="s">
        <v>29</v>
      </c>
      <c r="D4801" s="2" t="s">
        <v>192</v>
      </c>
      <c r="E4801" s="2" t="str">
        <f>"9789004718111"</f>
        <v>9789004718111</v>
      </c>
      <c r="F4801" s="2" t="str">
        <f>"9789004718128"</f>
        <v>9789004718128</v>
      </c>
    </row>
    <row r="4802" spans="1:6" s="3" customFormat="1" ht="29.1" customHeight="1" x14ac:dyDescent="0.25">
      <c r="A4802" s="2" t="s">
        <v>10311</v>
      </c>
      <c r="B4802" s="2" t="s">
        <v>10312</v>
      </c>
      <c r="C4802" s="2" t="s">
        <v>29</v>
      </c>
      <c r="D4802" s="2" t="s">
        <v>1432</v>
      </c>
      <c r="E4802" s="2" t="str">
        <f>"9789004528901"</f>
        <v>9789004528901</v>
      </c>
      <c r="F4802" s="2" t="str">
        <f>"9789004711839"</f>
        <v>9789004711839</v>
      </c>
    </row>
    <row r="4803" spans="1:6" s="3" customFormat="1" ht="29.1" customHeight="1" x14ac:dyDescent="0.25">
      <c r="A4803" s="2" t="s">
        <v>10313</v>
      </c>
      <c r="B4803" s="2" t="s">
        <v>10314</v>
      </c>
      <c r="C4803" s="2" t="s">
        <v>29</v>
      </c>
      <c r="D4803" s="2" t="s">
        <v>150</v>
      </c>
      <c r="E4803" s="2" t="str">
        <f>"9783506796288"</f>
        <v>9783506796288</v>
      </c>
      <c r="F4803" s="2" t="str">
        <f>"9783657796281"</f>
        <v>9783657796281</v>
      </c>
    </row>
    <row r="4804" spans="1:6" s="3" customFormat="1" ht="29.1" customHeight="1" x14ac:dyDescent="0.25">
      <c r="A4804" s="2" t="s">
        <v>10315</v>
      </c>
      <c r="B4804" s="2" t="s">
        <v>10317</v>
      </c>
      <c r="C4804" s="2" t="s">
        <v>10316</v>
      </c>
      <c r="D4804" s="2" t="s">
        <v>712</v>
      </c>
      <c r="E4804" s="2"/>
      <c r="F4804" s="2" t="str">
        <f>"9786050715484"</f>
        <v>9786050715484</v>
      </c>
    </row>
    <row r="4805" spans="1:6" s="3" customFormat="1" ht="29.1" customHeight="1" x14ac:dyDescent="0.25">
      <c r="A4805" s="2" t="s">
        <v>10318</v>
      </c>
      <c r="B4805" s="2" t="s">
        <v>10319</v>
      </c>
      <c r="C4805" s="2" t="s">
        <v>10316</v>
      </c>
      <c r="D4805" s="2" t="s">
        <v>4160</v>
      </c>
      <c r="E4805" s="2"/>
      <c r="F4805" s="2" t="str">
        <f>"9786050715811"</f>
        <v>9786050715811</v>
      </c>
    </row>
    <row r="4806" spans="1:6" s="3" customFormat="1" ht="29.1" customHeight="1" x14ac:dyDescent="0.25">
      <c r="A4806" s="2" t="s">
        <v>10320</v>
      </c>
      <c r="B4806" s="2" t="s">
        <v>10321</v>
      </c>
      <c r="C4806" s="2" t="s">
        <v>10316</v>
      </c>
      <c r="D4806" s="2" t="s">
        <v>636</v>
      </c>
      <c r="E4806" s="2"/>
      <c r="F4806" s="2" t="str">
        <f>"9786050715927"</f>
        <v>9786050715927</v>
      </c>
    </row>
    <row r="4807" spans="1:6" s="3" customFormat="1" ht="29.1" customHeight="1" x14ac:dyDescent="0.25">
      <c r="A4807" s="2" t="s">
        <v>10322</v>
      </c>
      <c r="B4807" s="2" t="s">
        <v>10323</v>
      </c>
      <c r="C4807" s="2" t="s">
        <v>10316</v>
      </c>
      <c r="D4807" s="2" t="s">
        <v>6744</v>
      </c>
      <c r="E4807" s="2"/>
      <c r="F4807" s="2" t="str">
        <f>"9786050716337"</f>
        <v>9786050716337</v>
      </c>
    </row>
    <row r="4808" spans="1:6" s="3" customFormat="1" ht="29.1" customHeight="1" x14ac:dyDescent="0.25">
      <c r="A4808" s="2" t="s">
        <v>10324</v>
      </c>
      <c r="B4808" s="2" t="s">
        <v>10325</v>
      </c>
      <c r="C4808" s="2" t="s">
        <v>10316</v>
      </c>
      <c r="D4808" s="2" t="s">
        <v>633</v>
      </c>
      <c r="E4808" s="2"/>
      <c r="F4808" s="2" t="str">
        <f>"9786050715477"</f>
        <v>9786050715477</v>
      </c>
    </row>
    <row r="4809" spans="1:6" s="3" customFormat="1" ht="29.1" customHeight="1" x14ac:dyDescent="0.25">
      <c r="A4809" s="2" t="s">
        <v>10326</v>
      </c>
      <c r="B4809" s="2" t="s">
        <v>10327</v>
      </c>
      <c r="C4809" s="2" t="s">
        <v>10316</v>
      </c>
      <c r="D4809" s="2" t="s">
        <v>636</v>
      </c>
      <c r="E4809" s="2"/>
      <c r="F4809" s="2" t="str">
        <f>"9786050717525"</f>
        <v>9786050717525</v>
      </c>
    </row>
    <row r="4810" spans="1:6" s="3" customFormat="1" ht="29.1" customHeight="1" x14ac:dyDescent="0.25">
      <c r="A4810" s="2" t="s">
        <v>10328</v>
      </c>
      <c r="B4810" s="2" t="s">
        <v>10330</v>
      </c>
      <c r="C4810" s="2" t="s">
        <v>10316</v>
      </c>
      <c r="D4810" s="2" t="s">
        <v>10329</v>
      </c>
      <c r="E4810" s="2"/>
      <c r="F4810" s="2" t="str">
        <f>"9786050717501"</f>
        <v>9786050717501</v>
      </c>
    </row>
    <row r="4811" spans="1:6" s="3" customFormat="1" ht="29.1" customHeight="1" x14ac:dyDescent="0.25">
      <c r="A4811" s="2" t="s">
        <v>10331</v>
      </c>
      <c r="B4811" s="2" t="s">
        <v>10332</v>
      </c>
      <c r="C4811" s="2" t="s">
        <v>10316</v>
      </c>
      <c r="D4811" s="2" t="s">
        <v>1162</v>
      </c>
      <c r="E4811" s="2"/>
      <c r="F4811" s="2" t="str">
        <f>"9786050717495"</f>
        <v>9786050717495</v>
      </c>
    </row>
    <row r="4812" spans="1:6" s="3" customFormat="1" ht="29.1" customHeight="1" x14ac:dyDescent="0.25">
      <c r="A4812" s="2" t="s">
        <v>10333</v>
      </c>
      <c r="B4812" s="2" t="s">
        <v>10334</v>
      </c>
      <c r="C4812" s="2" t="s">
        <v>10316</v>
      </c>
      <c r="D4812" s="2" t="s">
        <v>207</v>
      </c>
      <c r="E4812" s="2"/>
      <c r="F4812" s="2" t="str">
        <f>"9786050714678"</f>
        <v>9786050714678</v>
      </c>
    </row>
    <row r="4813" spans="1:6" s="3" customFormat="1" ht="29.1" customHeight="1" x14ac:dyDescent="0.25">
      <c r="A4813" s="2" t="s">
        <v>10335</v>
      </c>
      <c r="B4813" s="2" t="s">
        <v>10337</v>
      </c>
      <c r="C4813" s="2" t="s">
        <v>10316</v>
      </c>
      <c r="D4813" s="2" t="s">
        <v>10336</v>
      </c>
      <c r="E4813" s="2" t="str">
        <f>"9786050716030"</f>
        <v>9786050716030</v>
      </c>
      <c r="F4813" s="2" t="str">
        <f>"9786050715507"</f>
        <v>9786050715507</v>
      </c>
    </row>
    <row r="4814" spans="1:6" s="3" customFormat="1" ht="29.1" customHeight="1" x14ac:dyDescent="0.25">
      <c r="A4814" s="2" t="s">
        <v>10338</v>
      </c>
      <c r="B4814" s="2" t="s">
        <v>10339</v>
      </c>
      <c r="C4814" s="2" t="s">
        <v>10316</v>
      </c>
      <c r="D4814" s="2" t="s">
        <v>1228</v>
      </c>
      <c r="E4814" s="2"/>
      <c r="F4814" s="2" t="str">
        <f>"9786050715460"</f>
        <v>9786050715460</v>
      </c>
    </row>
    <row r="4815" spans="1:6" s="3" customFormat="1" ht="29.1" customHeight="1" x14ac:dyDescent="0.25">
      <c r="A4815" s="2" t="s">
        <v>10340</v>
      </c>
      <c r="B4815" s="2" t="s">
        <v>10341</v>
      </c>
      <c r="C4815" s="2" t="s">
        <v>10316</v>
      </c>
      <c r="D4815" s="2" t="s">
        <v>5144</v>
      </c>
      <c r="E4815" s="2" t="str">
        <f>"9786050717518"</f>
        <v>9786050717518</v>
      </c>
      <c r="F4815" s="2" t="str">
        <f>"9786050715491"</f>
        <v>9786050715491</v>
      </c>
    </row>
    <row r="4816" spans="1:6" s="3" customFormat="1" ht="29.1" customHeight="1" x14ac:dyDescent="0.25">
      <c r="A4816" s="2" t="s">
        <v>10342</v>
      </c>
      <c r="B4816" s="2" t="s">
        <v>10343</v>
      </c>
      <c r="C4816" s="2" t="s">
        <v>10316</v>
      </c>
      <c r="D4816" s="2" t="s">
        <v>446</v>
      </c>
      <c r="E4816" s="2" t="str">
        <f>"9786050716054"</f>
        <v>9786050716054</v>
      </c>
      <c r="F4816" s="2" t="str">
        <f>"9786050715613"</f>
        <v>9786050715613</v>
      </c>
    </row>
    <row r="4817" spans="1:6" s="3" customFormat="1" ht="29.1" customHeight="1" x14ac:dyDescent="0.25">
      <c r="A4817" s="2" t="s">
        <v>10344</v>
      </c>
      <c r="B4817" s="2" t="s">
        <v>10345</v>
      </c>
      <c r="C4817" s="2" t="s">
        <v>10316</v>
      </c>
      <c r="D4817" s="2" t="s">
        <v>3098</v>
      </c>
      <c r="E4817" s="2"/>
      <c r="F4817" s="2" t="str">
        <f>"9786050715637"</f>
        <v>9786050715637</v>
      </c>
    </row>
    <row r="4818" spans="1:6" s="3" customFormat="1" ht="29.1" customHeight="1" x14ac:dyDescent="0.25">
      <c r="A4818" s="2" t="s">
        <v>10346</v>
      </c>
      <c r="B4818" s="2" t="s">
        <v>10347</v>
      </c>
      <c r="C4818" s="2" t="s">
        <v>10316</v>
      </c>
      <c r="D4818" s="2" t="s">
        <v>1498</v>
      </c>
      <c r="E4818" s="2"/>
      <c r="F4818" s="2" t="str">
        <f>"9786050715606"</f>
        <v>9786050715606</v>
      </c>
    </row>
    <row r="4819" spans="1:6" s="3" customFormat="1" ht="29.1" customHeight="1" x14ac:dyDescent="0.25">
      <c r="A4819" s="2" t="s">
        <v>10348</v>
      </c>
      <c r="B4819" s="2" t="s">
        <v>10349</v>
      </c>
      <c r="C4819" s="2" t="s">
        <v>10316</v>
      </c>
      <c r="D4819" s="2" t="s">
        <v>9550</v>
      </c>
      <c r="E4819" s="2"/>
      <c r="F4819" s="2" t="str">
        <f>"9786050715620"</f>
        <v>9786050715620</v>
      </c>
    </row>
    <row r="4820" spans="1:6" s="3" customFormat="1" ht="29.1" customHeight="1" x14ac:dyDescent="0.25">
      <c r="A4820" s="2" t="s">
        <v>10350</v>
      </c>
      <c r="B4820" s="2" t="s">
        <v>10351</v>
      </c>
      <c r="C4820" s="2" t="s">
        <v>10316</v>
      </c>
      <c r="D4820" s="2" t="s">
        <v>202</v>
      </c>
      <c r="E4820" s="2"/>
      <c r="F4820" s="2" t="str">
        <f>"9786050715668"</f>
        <v>9786050715668</v>
      </c>
    </row>
    <row r="4821" spans="1:6" s="3" customFormat="1" ht="29.1" customHeight="1" x14ac:dyDescent="0.25">
      <c r="A4821" s="2" t="s">
        <v>10352</v>
      </c>
      <c r="B4821" s="2" t="s">
        <v>10353</v>
      </c>
      <c r="C4821" s="2" t="s">
        <v>10316</v>
      </c>
      <c r="D4821" s="2" t="s">
        <v>2019</v>
      </c>
      <c r="E4821" s="2"/>
      <c r="F4821" s="2" t="str">
        <f>"9786050715675"</f>
        <v>9786050715675</v>
      </c>
    </row>
    <row r="4822" spans="1:6" s="3" customFormat="1" ht="29.1" customHeight="1" x14ac:dyDescent="0.25">
      <c r="A4822" s="2" t="s">
        <v>10354</v>
      </c>
      <c r="B4822" s="2" t="s">
        <v>10355</v>
      </c>
      <c r="C4822" s="2" t="s">
        <v>10316</v>
      </c>
      <c r="D4822" s="2" t="s">
        <v>1162</v>
      </c>
      <c r="E4822" s="2"/>
      <c r="F4822" s="2" t="str">
        <f>"9786050715682"</f>
        <v>9786050715682</v>
      </c>
    </row>
    <row r="4823" spans="1:6" s="3" customFormat="1" ht="29.1" customHeight="1" x14ac:dyDescent="0.25">
      <c r="A4823" s="2" t="s">
        <v>10356</v>
      </c>
      <c r="B4823" s="2" t="s">
        <v>10357</v>
      </c>
      <c r="C4823" s="2" t="s">
        <v>10316</v>
      </c>
      <c r="D4823" s="2" t="s">
        <v>353</v>
      </c>
      <c r="E4823" s="2"/>
      <c r="F4823" s="2" t="str">
        <f>"9786050715828"</f>
        <v>9786050715828</v>
      </c>
    </row>
    <row r="4824" spans="1:6" s="3" customFormat="1" ht="29.1" customHeight="1" x14ac:dyDescent="0.25">
      <c r="A4824" s="2" t="s">
        <v>10358</v>
      </c>
      <c r="B4824" s="2" t="s">
        <v>10360</v>
      </c>
      <c r="C4824" s="2" t="s">
        <v>10316</v>
      </c>
      <c r="D4824" s="2" t="s">
        <v>10359</v>
      </c>
      <c r="E4824" s="2"/>
      <c r="F4824" s="2" t="str">
        <f>"9786050715804"</f>
        <v>9786050715804</v>
      </c>
    </row>
    <row r="4825" spans="1:6" s="3" customFormat="1" ht="29.1" customHeight="1" x14ac:dyDescent="0.25">
      <c r="A4825" s="2" t="s">
        <v>10361</v>
      </c>
      <c r="B4825" s="2" t="s">
        <v>10362</v>
      </c>
      <c r="C4825" s="2" t="s">
        <v>10316</v>
      </c>
      <c r="D4825" s="2" t="s">
        <v>2045</v>
      </c>
      <c r="E4825" s="2"/>
      <c r="F4825" s="2" t="str">
        <f>"9786050715903"</f>
        <v>9786050715903</v>
      </c>
    </row>
    <row r="4826" spans="1:6" s="3" customFormat="1" ht="29.1" customHeight="1" x14ac:dyDescent="0.25">
      <c r="A4826" s="2" t="s">
        <v>10363</v>
      </c>
      <c r="B4826" s="2" t="s">
        <v>10364</v>
      </c>
      <c r="C4826" s="2" t="s">
        <v>10316</v>
      </c>
      <c r="D4826" s="2" t="s">
        <v>4288</v>
      </c>
      <c r="E4826" s="2"/>
      <c r="F4826" s="2" t="str">
        <f>"9786050715934"</f>
        <v>9786050715934</v>
      </c>
    </row>
    <row r="4827" spans="1:6" s="3" customFormat="1" ht="29.1" customHeight="1" x14ac:dyDescent="0.25">
      <c r="A4827" s="2" t="s">
        <v>10365</v>
      </c>
      <c r="B4827" s="2" t="s">
        <v>10366</v>
      </c>
      <c r="C4827" s="2" t="s">
        <v>10316</v>
      </c>
      <c r="D4827" s="2" t="s">
        <v>6972</v>
      </c>
      <c r="E4827" s="2"/>
      <c r="F4827" s="2" t="str">
        <f>"9786050715972"</f>
        <v>9786050715972</v>
      </c>
    </row>
    <row r="4828" spans="1:6" s="3" customFormat="1" ht="29.1" customHeight="1" x14ac:dyDescent="0.25">
      <c r="A4828" s="2" t="s">
        <v>10367</v>
      </c>
      <c r="B4828" s="2" t="s">
        <v>10368</v>
      </c>
      <c r="C4828" s="2" t="s">
        <v>10316</v>
      </c>
      <c r="D4828" s="2" t="s">
        <v>2587</v>
      </c>
      <c r="E4828" s="2"/>
      <c r="F4828" s="2" t="str">
        <f>"9786050715941"</f>
        <v>9786050715941</v>
      </c>
    </row>
    <row r="4829" spans="1:6" s="3" customFormat="1" ht="29.1" customHeight="1" x14ac:dyDescent="0.25">
      <c r="A4829" s="2" t="s">
        <v>10369</v>
      </c>
      <c r="B4829" s="2" t="s">
        <v>10370</v>
      </c>
      <c r="C4829" s="2" t="s">
        <v>10316</v>
      </c>
      <c r="D4829" s="2" t="s">
        <v>509</v>
      </c>
      <c r="E4829" s="2"/>
      <c r="F4829" s="2" t="str">
        <f>"9786050715965"</f>
        <v>9786050715965</v>
      </c>
    </row>
    <row r="4830" spans="1:6" s="3" customFormat="1" ht="29.1" customHeight="1" x14ac:dyDescent="0.25">
      <c r="A4830" s="2" t="s">
        <v>10371</v>
      </c>
      <c r="B4830" s="2" t="s">
        <v>10372</v>
      </c>
      <c r="C4830" s="2" t="s">
        <v>10316</v>
      </c>
      <c r="D4830" s="2" t="s">
        <v>249</v>
      </c>
      <c r="E4830" s="2"/>
      <c r="F4830" s="2" t="str">
        <f>"9786050715958"</f>
        <v>9786050715958</v>
      </c>
    </row>
    <row r="4831" spans="1:6" s="3" customFormat="1" ht="29.1" customHeight="1" x14ac:dyDescent="0.25">
      <c r="A4831" s="2" t="s">
        <v>10373</v>
      </c>
      <c r="B4831" s="2" t="s">
        <v>10374</v>
      </c>
      <c r="C4831" s="2" t="s">
        <v>10316</v>
      </c>
      <c r="D4831" s="2" t="s">
        <v>1097</v>
      </c>
      <c r="E4831" s="2"/>
      <c r="F4831" s="2" t="str">
        <f>"9786050715989"</f>
        <v>9786050715989</v>
      </c>
    </row>
    <row r="4832" spans="1:6" s="3" customFormat="1" ht="29.1" customHeight="1" x14ac:dyDescent="0.25">
      <c r="A4832" s="2" t="s">
        <v>10375</v>
      </c>
      <c r="B4832" s="2" t="s">
        <v>10376</v>
      </c>
      <c r="C4832" s="2" t="s">
        <v>10316</v>
      </c>
      <c r="D4832" s="2" t="s">
        <v>674</v>
      </c>
      <c r="E4832" s="2"/>
      <c r="F4832" s="2" t="str">
        <f>"9786050716122"</f>
        <v>9786050716122</v>
      </c>
    </row>
    <row r="4833" spans="1:6" s="3" customFormat="1" ht="29.1" customHeight="1" x14ac:dyDescent="0.25">
      <c r="A4833" s="2" t="s">
        <v>10377</v>
      </c>
      <c r="B4833" s="2" t="s">
        <v>10378</v>
      </c>
      <c r="C4833" s="2" t="s">
        <v>10316</v>
      </c>
      <c r="D4833" s="2" t="s">
        <v>2587</v>
      </c>
      <c r="E4833" s="2"/>
      <c r="F4833" s="2" t="str">
        <f>"9786050716108"</f>
        <v>9786050716108</v>
      </c>
    </row>
    <row r="4834" spans="1:6" s="3" customFormat="1" ht="29.1" customHeight="1" x14ac:dyDescent="0.25">
      <c r="A4834" s="2" t="s">
        <v>10379</v>
      </c>
      <c r="B4834" s="2" t="s">
        <v>10380</v>
      </c>
      <c r="C4834" s="2" t="s">
        <v>10316</v>
      </c>
      <c r="D4834" s="2" t="s">
        <v>324</v>
      </c>
      <c r="E4834" s="2"/>
      <c r="F4834" s="2" t="str">
        <f>"9786050716139"</f>
        <v>9786050716139</v>
      </c>
    </row>
    <row r="4835" spans="1:6" s="3" customFormat="1" ht="29.1" customHeight="1" x14ac:dyDescent="0.25">
      <c r="A4835" s="2" t="s">
        <v>10381</v>
      </c>
      <c r="B4835" s="2" t="s">
        <v>10382</v>
      </c>
      <c r="C4835" s="2" t="s">
        <v>10316</v>
      </c>
      <c r="D4835" s="2" t="s">
        <v>104</v>
      </c>
      <c r="E4835" s="2"/>
      <c r="F4835" s="2" t="str">
        <f>"9786050716146"</f>
        <v>9786050716146</v>
      </c>
    </row>
    <row r="4836" spans="1:6" s="3" customFormat="1" ht="29.1" customHeight="1" x14ac:dyDescent="0.25">
      <c r="A4836" s="2" t="s">
        <v>10383</v>
      </c>
      <c r="B4836" s="2" t="s">
        <v>10384</v>
      </c>
      <c r="C4836" s="2" t="s">
        <v>10316</v>
      </c>
      <c r="D4836" s="2" t="s">
        <v>767</v>
      </c>
      <c r="E4836" s="2"/>
      <c r="F4836" s="2" t="str">
        <f>"9786050716153"</f>
        <v>9786050716153</v>
      </c>
    </row>
    <row r="4837" spans="1:6" s="3" customFormat="1" ht="29.1" customHeight="1" x14ac:dyDescent="0.25">
      <c r="A4837" s="2" t="s">
        <v>10385</v>
      </c>
      <c r="B4837" s="2" t="s">
        <v>10386</v>
      </c>
      <c r="C4837" s="2" t="s">
        <v>10316</v>
      </c>
      <c r="D4837" s="2" t="s">
        <v>636</v>
      </c>
      <c r="E4837" s="2"/>
      <c r="F4837" s="2" t="str">
        <f>"9786050716115"</f>
        <v>9786050716115</v>
      </c>
    </row>
    <row r="4838" spans="1:6" s="3" customFormat="1" ht="29.1" customHeight="1" x14ac:dyDescent="0.25">
      <c r="A4838" s="2" t="s">
        <v>10387</v>
      </c>
      <c r="B4838" s="2" t="s">
        <v>10388</v>
      </c>
      <c r="C4838" s="2" t="s">
        <v>10316</v>
      </c>
      <c r="D4838" s="2" t="s">
        <v>2462</v>
      </c>
      <c r="E4838" s="2"/>
      <c r="F4838" s="2" t="str">
        <f>"9786050716184"</f>
        <v>9786050716184</v>
      </c>
    </row>
    <row r="4839" spans="1:6" s="3" customFormat="1" ht="29.1" customHeight="1" x14ac:dyDescent="0.25">
      <c r="A4839" s="2" t="s">
        <v>10389</v>
      </c>
      <c r="B4839" s="2" t="s">
        <v>10390</v>
      </c>
      <c r="C4839" s="2" t="s">
        <v>10316</v>
      </c>
      <c r="D4839" s="2" t="s">
        <v>1071</v>
      </c>
      <c r="E4839" s="2"/>
      <c r="F4839" s="2" t="str">
        <f>"9786050716214"</f>
        <v>9786050716214</v>
      </c>
    </row>
    <row r="4840" spans="1:6" s="3" customFormat="1" ht="29.1" customHeight="1" x14ac:dyDescent="0.25">
      <c r="A4840" s="2" t="s">
        <v>10391</v>
      </c>
      <c r="B4840" s="2" t="s">
        <v>10392</v>
      </c>
      <c r="C4840" s="2" t="s">
        <v>10316</v>
      </c>
      <c r="D4840" s="2" t="s">
        <v>1162</v>
      </c>
      <c r="E4840" s="2"/>
      <c r="F4840" s="2" t="str">
        <f>"9786050716221"</f>
        <v>9786050716221</v>
      </c>
    </row>
    <row r="4841" spans="1:6" s="3" customFormat="1" ht="29.1" customHeight="1" x14ac:dyDescent="0.25">
      <c r="A4841" s="2" t="s">
        <v>10393</v>
      </c>
      <c r="B4841" s="2" t="s">
        <v>10394</v>
      </c>
      <c r="C4841" s="2" t="s">
        <v>10316</v>
      </c>
      <c r="D4841" s="2" t="s">
        <v>192</v>
      </c>
      <c r="E4841" s="2"/>
      <c r="F4841" s="2" t="str">
        <f>"9786050716320"</f>
        <v>9786050716320</v>
      </c>
    </row>
    <row r="4842" spans="1:6" s="3" customFormat="1" ht="29.1" customHeight="1" x14ac:dyDescent="0.25">
      <c r="A4842" s="2" t="s">
        <v>10395</v>
      </c>
      <c r="B4842" s="2" t="s">
        <v>10397</v>
      </c>
      <c r="C4842" s="2" t="s">
        <v>10316</v>
      </c>
      <c r="D4842" s="2" t="s">
        <v>10396</v>
      </c>
      <c r="E4842" s="2"/>
      <c r="F4842" s="2" t="str">
        <f>"9786050716306"</f>
        <v>9786050716306</v>
      </c>
    </row>
    <row r="4843" spans="1:6" s="3" customFormat="1" ht="29.1" customHeight="1" x14ac:dyDescent="0.25">
      <c r="A4843" s="2" t="s">
        <v>10398</v>
      </c>
      <c r="B4843" s="2" t="s">
        <v>10399</v>
      </c>
      <c r="C4843" s="2" t="s">
        <v>10316</v>
      </c>
      <c r="D4843" s="2" t="s">
        <v>1999</v>
      </c>
      <c r="E4843" s="2"/>
      <c r="F4843" s="2" t="str">
        <f>"9786050716344"</f>
        <v>9786050716344</v>
      </c>
    </row>
    <row r="4844" spans="1:6" s="3" customFormat="1" ht="29.1" customHeight="1" x14ac:dyDescent="0.25">
      <c r="A4844" s="2" t="s">
        <v>10400</v>
      </c>
      <c r="B4844" s="2" t="s">
        <v>10401</v>
      </c>
      <c r="C4844" s="2" t="s">
        <v>10316</v>
      </c>
      <c r="D4844" s="2" t="s">
        <v>1162</v>
      </c>
      <c r="E4844" s="2"/>
      <c r="F4844" s="2" t="str">
        <f>"9786050716351"</f>
        <v>9786050716351</v>
      </c>
    </row>
    <row r="4845" spans="1:6" s="3" customFormat="1" ht="29.1" customHeight="1" x14ac:dyDescent="0.25">
      <c r="A4845" s="2" t="s">
        <v>10402</v>
      </c>
      <c r="B4845" s="2" t="s">
        <v>10403</v>
      </c>
      <c r="C4845" s="2" t="s">
        <v>10316</v>
      </c>
      <c r="D4845" s="2" t="s">
        <v>9550</v>
      </c>
      <c r="E4845" s="2"/>
      <c r="F4845" s="2" t="str">
        <f>"9786050710236"</f>
        <v>9786050710236</v>
      </c>
    </row>
    <row r="4846" spans="1:6" s="3" customFormat="1" ht="29.1" customHeight="1" x14ac:dyDescent="0.25">
      <c r="A4846" s="2" t="s">
        <v>10404</v>
      </c>
      <c r="B4846" s="2" t="s">
        <v>10405</v>
      </c>
      <c r="C4846" s="2" t="s">
        <v>10316</v>
      </c>
      <c r="D4846" s="2" t="s">
        <v>606</v>
      </c>
      <c r="E4846" s="2"/>
      <c r="F4846" s="2" t="str">
        <f>"9786050716313"</f>
        <v>9786050716313</v>
      </c>
    </row>
    <row r="4847" spans="1:6" s="3" customFormat="1" ht="29.1" customHeight="1" x14ac:dyDescent="0.25">
      <c r="A4847" s="2" t="s">
        <v>10406</v>
      </c>
      <c r="B4847" s="2" t="s">
        <v>10408</v>
      </c>
      <c r="C4847" s="2" t="s">
        <v>10316</v>
      </c>
      <c r="D4847" s="2" t="s">
        <v>10407</v>
      </c>
      <c r="E4847" s="2"/>
      <c r="F4847" s="2" t="str">
        <f>"9786050716290"</f>
        <v>9786050716290</v>
      </c>
    </row>
    <row r="4848" spans="1:6" s="3" customFormat="1" ht="29.1" customHeight="1" x14ac:dyDescent="0.25">
      <c r="A4848" s="2" t="s">
        <v>10409</v>
      </c>
      <c r="B4848" s="2" t="s">
        <v>10411</v>
      </c>
      <c r="C4848" s="2" t="s">
        <v>239</v>
      </c>
      <c r="D4848" s="2" t="s">
        <v>10410</v>
      </c>
      <c r="E4848" s="2" t="str">
        <f>"9780520402362"</f>
        <v>9780520402362</v>
      </c>
      <c r="F4848" s="2" t="str">
        <f>"9780520402379"</f>
        <v>9780520402379</v>
      </c>
    </row>
    <row r="4849" spans="1:6" s="3" customFormat="1" ht="29.1" customHeight="1" x14ac:dyDescent="0.25">
      <c r="A4849" s="2" t="s">
        <v>10412</v>
      </c>
      <c r="B4849" s="2" t="s">
        <v>10413</v>
      </c>
      <c r="C4849" s="2" t="s">
        <v>5</v>
      </c>
      <c r="D4849" s="2" t="s">
        <v>5228</v>
      </c>
      <c r="E4849" s="2" t="str">
        <f>"9783031644504"</f>
        <v>9783031644504</v>
      </c>
      <c r="F4849" s="2" t="str">
        <f>"9783031644511"</f>
        <v>9783031644511</v>
      </c>
    </row>
    <row r="4850" spans="1:6" s="3" customFormat="1" ht="29.1" customHeight="1" x14ac:dyDescent="0.25">
      <c r="A4850" s="2" t="s">
        <v>10414</v>
      </c>
      <c r="B4850" s="2" t="s">
        <v>10415</v>
      </c>
      <c r="C4850" s="2" t="s">
        <v>5</v>
      </c>
      <c r="D4850" s="2" t="s">
        <v>1262</v>
      </c>
      <c r="E4850" s="2" t="str">
        <f>"9783031698354"</f>
        <v>9783031698354</v>
      </c>
      <c r="F4850" s="2" t="str">
        <f>"9783031698361"</f>
        <v>9783031698361</v>
      </c>
    </row>
    <row r="4851" spans="1:6" s="3" customFormat="1" ht="29.1" customHeight="1" x14ac:dyDescent="0.25">
      <c r="A4851" s="2" t="s">
        <v>10416</v>
      </c>
      <c r="B4851" s="2" t="s">
        <v>10417</v>
      </c>
      <c r="C4851" s="2" t="s">
        <v>316</v>
      </c>
      <c r="D4851" s="2" t="s">
        <v>650</v>
      </c>
      <c r="E4851" s="2" t="str">
        <f>"9783036406916"</f>
        <v>9783036406916</v>
      </c>
      <c r="F4851" s="2" t="str">
        <f>"9783036416915"</f>
        <v>9783036416915</v>
      </c>
    </row>
    <row r="4852" spans="1:6" s="3" customFormat="1" ht="29.1" customHeight="1" x14ac:dyDescent="0.25">
      <c r="A4852" s="2" t="s">
        <v>10418</v>
      </c>
      <c r="B4852" s="2" t="s">
        <v>10419</v>
      </c>
      <c r="C4852" s="2" t="s">
        <v>316</v>
      </c>
      <c r="D4852" s="2" t="s">
        <v>650</v>
      </c>
      <c r="E4852" s="2" t="str">
        <f>"9783036403809"</f>
        <v>9783036403809</v>
      </c>
      <c r="F4852" s="2" t="str">
        <f>"9783036413808"</f>
        <v>9783036413808</v>
      </c>
    </row>
    <row r="4853" spans="1:6" s="3" customFormat="1" ht="29.1" customHeight="1" x14ac:dyDescent="0.25">
      <c r="A4853" s="2" t="s">
        <v>9385</v>
      </c>
      <c r="B4853" s="2" t="s">
        <v>9386</v>
      </c>
      <c r="C4853" s="2" t="s">
        <v>29</v>
      </c>
      <c r="D4853" s="2" t="s">
        <v>1432</v>
      </c>
      <c r="E4853" s="2" t="str">
        <f>"9789004505988"</f>
        <v>9789004505988</v>
      </c>
      <c r="F4853" s="2" t="str">
        <f>"9789004505995"</f>
        <v>9789004505995</v>
      </c>
    </row>
    <row r="4854" spans="1:6" s="3" customFormat="1" ht="29.1" customHeight="1" x14ac:dyDescent="0.25">
      <c r="A4854" s="2" t="s">
        <v>10420</v>
      </c>
      <c r="B4854" s="2" t="s">
        <v>10421</v>
      </c>
      <c r="C4854" s="2" t="s">
        <v>29</v>
      </c>
      <c r="D4854" s="2" t="s">
        <v>1025</v>
      </c>
      <c r="E4854" s="2" t="str">
        <f>"9783506797032"</f>
        <v>9783506797032</v>
      </c>
      <c r="F4854" s="2" t="str">
        <f>"9783657797035"</f>
        <v>9783657797035</v>
      </c>
    </row>
    <row r="4855" spans="1:6" s="3" customFormat="1" ht="29.1" customHeight="1" x14ac:dyDescent="0.25">
      <c r="A4855" s="2" t="s">
        <v>10422</v>
      </c>
      <c r="B4855" s="2" t="s">
        <v>10423</v>
      </c>
      <c r="C4855" s="2" t="s">
        <v>5</v>
      </c>
      <c r="D4855" s="2" t="s">
        <v>2877</v>
      </c>
      <c r="E4855" s="2" t="str">
        <f>"9783031686306"</f>
        <v>9783031686306</v>
      </c>
      <c r="F4855" s="2" t="str">
        <f>"9783031686313"</f>
        <v>9783031686313</v>
      </c>
    </row>
    <row r="4856" spans="1:6" s="3" customFormat="1" ht="29.1" customHeight="1" x14ac:dyDescent="0.25">
      <c r="A4856" s="2" t="s">
        <v>10424</v>
      </c>
      <c r="B4856" s="2" t="s">
        <v>10425</v>
      </c>
      <c r="C4856" s="2" t="s">
        <v>5</v>
      </c>
      <c r="D4856" s="2" t="s">
        <v>232</v>
      </c>
      <c r="E4856" s="2" t="str">
        <f>"9783031706592"</f>
        <v>9783031706592</v>
      </c>
      <c r="F4856" s="2" t="str">
        <f>"9783031706608"</f>
        <v>9783031706608</v>
      </c>
    </row>
    <row r="4857" spans="1:6" s="3" customFormat="1" ht="29.1" customHeight="1" x14ac:dyDescent="0.25">
      <c r="A4857" s="2" t="s">
        <v>10426</v>
      </c>
      <c r="B4857" s="2" t="s">
        <v>10427</v>
      </c>
      <c r="C4857" s="2" t="s">
        <v>5</v>
      </c>
      <c r="D4857" s="2" t="s">
        <v>984</v>
      </c>
      <c r="E4857" s="2" t="str">
        <f>"9783031710636"</f>
        <v>9783031710636</v>
      </c>
      <c r="F4857" s="2" t="str">
        <f>"9783031710643"</f>
        <v>9783031710643</v>
      </c>
    </row>
    <row r="4858" spans="1:6" s="3" customFormat="1" ht="29.1" customHeight="1" x14ac:dyDescent="0.25">
      <c r="A4858" s="2" t="s">
        <v>10428</v>
      </c>
      <c r="B4858" s="2" t="s">
        <v>10429</v>
      </c>
      <c r="C4858" s="2" t="s">
        <v>927</v>
      </c>
      <c r="D4858" s="2" t="s">
        <v>2208</v>
      </c>
      <c r="E4858" s="2" t="str">
        <f>"9780472057184"</f>
        <v>9780472057184</v>
      </c>
      <c r="F4858" s="2" t="str">
        <f>"9780472904808"</f>
        <v>9780472904808</v>
      </c>
    </row>
    <row r="4859" spans="1:6" s="3" customFormat="1" ht="29.1" customHeight="1" x14ac:dyDescent="0.25">
      <c r="A4859" s="2" t="s">
        <v>10430</v>
      </c>
      <c r="B4859" s="2" t="s">
        <v>10431</v>
      </c>
      <c r="C4859" s="2" t="s">
        <v>5</v>
      </c>
      <c r="D4859" s="2" t="s">
        <v>141</v>
      </c>
      <c r="E4859" s="2" t="str">
        <f>"9789464635751"</f>
        <v>9789464635751</v>
      </c>
      <c r="F4859" s="2" t="str">
        <f>"9789464635768"</f>
        <v>9789464635768</v>
      </c>
    </row>
    <row r="4860" spans="1:6" s="3" customFormat="1" ht="29.1" customHeight="1" x14ac:dyDescent="0.25">
      <c r="A4860" s="2" t="s">
        <v>10432</v>
      </c>
      <c r="B4860" s="2" t="s">
        <v>10434</v>
      </c>
      <c r="C4860" s="2" t="s">
        <v>5</v>
      </c>
      <c r="D4860" s="2" t="s">
        <v>10433</v>
      </c>
      <c r="E4860" s="2" t="str">
        <f>"9789464635577"</f>
        <v>9789464635577</v>
      </c>
      <c r="F4860" s="2" t="str">
        <f>"9789464635584"</f>
        <v>9789464635584</v>
      </c>
    </row>
    <row r="4861" spans="1:6" s="3" customFormat="1" ht="29.1" customHeight="1" x14ac:dyDescent="0.25">
      <c r="A4861" s="2" t="s">
        <v>10435</v>
      </c>
      <c r="B4861" s="2" t="s">
        <v>10436</v>
      </c>
      <c r="C4861" s="2" t="s">
        <v>5</v>
      </c>
      <c r="D4861" s="2" t="s">
        <v>78</v>
      </c>
      <c r="E4861" s="2" t="str">
        <f>"9783658460815"</f>
        <v>9783658460815</v>
      </c>
      <c r="F4861" s="2" t="str">
        <f>"9783658460822"</f>
        <v>9783658460822</v>
      </c>
    </row>
    <row r="4862" spans="1:6" s="3" customFormat="1" ht="29.1" customHeight="1" x14ac:dyDescent="0.25">
      <c r="A4862" s="2" t="s">
        <v>10437</v>
      </c>
      <c r="B4862" s="2" t="s">
        <v>10438</v>
      </c>
      <c r="C4862" s="2" t="s">
        <v>5</v>
      </c>
      <c r="D4862" s="2" t="s">
        <v>1988</v>
      </c>
      <c r="E4862" s="2" t="str">
        <f>"9783031688805"</f>
        <v>9783031688805</v>
      </c>
      <c r="F4862" s="2" t="str">
        <f>"9783031688812"</f>
        <v>9783031688812</v>
      </c>
    </row>
    <row r="4863" spans="1:6" s="3" customFormat="1" ht="29.1" customHeight="1" x14ac:dyDescent="0.25">
      <c r="A4863" s="2" t="s">
        <v>10439</v>
      </c>
      <c r="B4863" s="2" t="s">
        <v>10440</v>
      </c>
      <c r="C4863" s="2" t="s">
        <v>5</v>
      </c>
      <c r="D4863" s="2" t="s">
        <v>712</v>
      </c>
      <c r="E4863" s="2" t="str">
        <f>"9783031721946"</f>
        <v>9783031721946</v>
      </c>
      <c r="F4863" s="2" t="str">
        <f>"9783031721953"</f>
        <v>9783031721953</v>
      </c>
    </row>
    <row r="4864" spans="1:6" s="3" customFormat="1" ht="29.1" customHeight="1" x14ac:dyDescent="0.25">
      <c r="A4864" s="2" t="s">
        <v>10441</v>
      </c>
      <c r="B4864" s="2" t="s">
        <v>10442</v>
      </c>
      <c r="C4864" s="2" t="s">
        <v>5</v>
      </c>
      <c r="D4864" s="2" t="s">
        <v>210</v>
      </c>
      <c r="E4864" s="2" t="str">
        <f>"9782384763061"</f>
        <v>9782384763061</v>
      </c>
      <c r="F4864" s="2" t="str">
        <f>"9782384763078"</f>
        <v>9782384763078</v>
      </c>
    </row>
    <row r="4865" spans="1:6" s="3" customFormat="1" ht="29.1" customHeight="1" x14ac:dyDescent="0.25">
      <c r="A4865" s="2" t="s">
        <v>10443</v>
      </c>
      <c r="B4865" s="2" t="s">
        <v>10445</v>
      </c>
      <c r="C4865" s="2" t="s">
        <v>5</v>
      </c>
      <c r="D4865" s="2" t="s">
        <v>10444</v>
      </c>
      <c r="E4865" s="2" t="str">
        <f>"9789464635713"</f>
        <v>9789464635713</v>
      </c>
      <c r="F4865" s="2" t="str">
        <f>"9789464635720"</f>
        <v>9789464635720</v>
      </c>
    </row>
    <row r="4866" spans="1:6" s="3" customFormat="1" ht="29.1" customHeight="1" x14ac:dyDescent="0.25">
      <c r="A4866" s="2" t="s">
        <v>10446</v>
      </c>
      <c r="B4866" s="2" t="s">
        <v>10448</v>
      </c>
      <c r="C4866" s="2" t="s">
        <v>5</v>
      </c>
      <c r="D4866" s="2" t="s">
        <v>10447</v>
      </c>
      <c r="E4866" s="2" t="str">
        <f>"9783662691380"</f>
        <v>9783662691380</v>
      </c>
      <c r="F4866" s="2" t="str">
        <f>"9783662691397"</f>
        <v>9783662691397</v>
      </c>
    </row>
    <row r="4867" spans="1:6" s="3" customFormat="1" ht="29.1" customHeight="1" x14ac:dyDescent="0.25">
      <c r="A4867" s="2" t="s">
        <v>10449</v>
      </c>
      <c r="B4867" s="2" t="s">
        <v>10450</v>
      </c>
      <c r="C4867" s="2" t="s">
        <v>5</v>
      </c>
      <c r="D4867" s="2" t="s">
        <v>9</v>
      </c>
      <c r="E4867" s="2" t="str">
        <f>"9783031694448"</f>
        <v>9783031694448</v>
      </c>
      <c r="F4867" s="2" t="str">
        <f>"9783031694455"</f>
        <v>9783031694455</v>
      </c>
    </row>
    <row r="4868" spans="1:6" s="3" customFormat="1" ht="29.1" customHeight="1" x14ac:dyDescent="0.25">
      <c r="A4868" s="2" t="s">
        <v>10451</v>
      </c>
      <c r="B4868" s="2" t="s">
        <v>10452</v>
      </c>
      <c r="C4868" s="2" t="s">
        <v>5</v>
      </c>
      <c r="D4868" s="2" t="s">
        <v>712</v>
      </c>
      <c r="E4868" s="2" t="str">
        <f>"9783031588594"</f>
        <v>9783031588594</v>
      </c>
      <c r="F4868" s="2" t="str">
        <f>"9783031588600"</f>
        <v>9783031588600</v>
      </c>
    </row>
    <row r="4869" spans="1:6" s="3" customFormat="1" ht="29.1" customHeight="1" x14ac:dyDescent="0.25">
      <c r="A4869" s="2" t="s">
        <v>10453</v>
      </c>
      <c r="B4869" s="2" t="s">
        <v>10454</v>
      </c>
      <c r="C4869" s="2" t="s">
        <v>5</v>
      </c>
      <c r="D4869" s="2" t="s">
        <v>606</v>
      </c>
      <c r="E4869" s="2" t="str">
        <f>"9783031527791"</f>
        <v>9783031527791</v>
      </c>
      <c r="F4869" s="2" t="str">
        <f>"9783031527807"</f>
        <v>9783031527807</v>
      </c>
    </row>
    <row r="4870" spans="1:6" s="3" customFormat="1" ht="29.1" customHeight="1" x14ac:dyDescent="0.25">
      <c r="A4870" s="2" t="s">
        <v>10455</v>
      </c>
      <c r="B4870" s="2" t="s">
        <v>10456</v>
      </c>
      <c r="C4870" s="2" t="s">
        <v>29</v>
      </c>
      <c r="D4870" s="2" t="s">
        <v>522</v>
      </c>
      <c r="E4870" s="2" t="str">
        <f>"9783957433312"</f>
        <v>9783957433312</v>
      </c>
      <c r="F4870" s="2" t="str">
        <f>"9783969753316"</f>
        <v>9783969753316</v>
      </c>
    </row>
    <row r="4871" spans="1:6" s="3" customFormat="1" ht="29.1" customHeight="1" x14ac:dyDescent="0.25">
      <c r="A4871" s="2" t="s">
        <v>10457</v>
      </c>
      <c r="B4871" s="2" t="s">
        <v>10459</v>
      </c>
      <c r="C4871" s="2" t="s">
        <v>29</v>
      </c>
      <c r="D4871" s="2" t="s">
        <v>10458</v>
      </c>
      <c r="E4871" s="2" t="str">
        <f>"9789004363434"</f>
        <v>9789004363434</v>
      </c>
      <c r="F4871" s="2" t="str">
        <f>"9789004424692"</f>
        <v>9789004424692</v>
      </c>
    </row>
    <row r="4872" spans="1:6" s="3" customFormat="1" ht="29.1" customHeight="1" x14ac:dyDescent="0.25">
      <c r="A4872" s="2" t="s">
        <v>10460</v>
      </c>
      <c r="B4872" s="2" t="s">
        <v>10461</v>
      </c>
      <c r="C4872" s="2" t="s">
        <v>29</v>
      </c>
      <c r="D4872" s="2" t="s">
        <v>818</v>
      </c>
      <c r="E4872" s="2" t="str">
        <f>"9789004708365"</f>
        <v>9789004708365</v>
      </c>
      <c r="F4872" s="2" t="str">
        <f>"9789004708631"</f>
        <v>9789004708631</v>
      </c>
    </row>
    <row r="4873" spans="1:6" s="3" customFormat="1" ht="29.1" customHeight="1" x14ac:dyDescent="0.25">
      <c r="A4873" s="2" t="s">
        <v>9385</v>
      </c>
      <c r="B4873" s="2" t="s">
        <v>9386</v>
      </c>
      <c r="C4873" s="2" t="s">
        <v>29</v>
      </c>
      <c r="D4873" s="2" t="s">
        <v>1432</v>
      </c>
      <c r="E4873" s="2" t="str">
        <f>"9789004506169"</f>
        <v>9789004506169</v>
      </c>
      <c r="F4873" s="2" t="str">
        <f>"9789004506176"</f>
        <v>9789004506176</v>
      </c>
    </row>
    <row r="4874" spans="1:6" s="3" customFormat="1" ht="29.1" customHeight="1" x14ac:dyDescent="0.25">
      <c r="A4874" s="2" t="s">
        <v>9385</v>
      </c>
      <c r="B4874" s="2" t="s">
        <v>9386</v>
      </c>
      <c r="C4874" s="2" t="s">
        <v>29</v>
      </c>
      <c r="D4874" s="2" t="s">
        <v>1432</v>
      </c>
      <c r="E4874" s="2" t="str">
        <f>"9789004708471"</f>
        <v>9789004708471</v>
      </c>
      <c r="F4874" s="2" t="str">
        <f>"9789004708488"</f>
        <v>9789004708488</v>
      </c>
    </row>
    <row r="4875" spans="1:6" s="3" customFormat="1" ht="29.1" customHeight="1" x14ac:dyDescent="0.25">
      <c r="A4875" s="2" t="s">
        <v>9385</v>
      </c>
      <c r="B4875" s="2" t="s">
        <v>9386</v>
      </c>
      <c r="C4875" s="2" t="s">
        <v>29</v>
      </c>
      <c r="D4875" s="2" t="s">
        <v>1432</v>
      </c>
      <c r="E4875" s="2" t="str">
        <f>"9789004708457"</f>
        <v>9789004708457</v>
      </c>
      <c r="F4875" s="2" t="str">
        <f>"9789004708464"</f>
        <v>9789004708464</v>
      </c>
    </row>
    <row r="4876" spans="1:6" s="3" customFormat="1" ht="29.1" customHeight="1" x14ac:dyDescent="0.25">
      <c r="A4876" s="2" t="s">
        <v>10462</v>
      </c>
      <c r="B4876" s="2" t="s">
        <v>10463</v>
      </c>
      <c r="C4876" s="2" t="s">
        <v>29</v>
      </c>
      <c r="D4876" s="2" t="s">
        <v>210</v>
      </c>
      <c r="E4876" s="2" t="str">
        <f>"9789004707542"</f>
        <v>9789004707542</v>
      </c>
      <c r="F4876" s="2" t="str">
        <f>"9789004712126"</f>
        <v>9789004712126</v>
      </c>
    </row>
    <row r="4877" spans="1:6" s="3" customFormat="1" ht="29.1" customHeight="1" x14ac:dyDescent="0.25">
      <c r="A4877" s="2" t="s">
        <v>10464</v>
      </c>
      <c r="B4877" s="2" t="s">
        <v>10465</v>
      </c>
      <c r="C4877" s="2" t="s">
        <v>927</v>
      </c>
      <c r="D4877" s="2" t="s">
        <v>186</v>
      </c>
      <c r="E4877" s="2" t="str">
        <f>"9780472057269"</f>
        <v>9780472057269</v>
      </c>
      <c r="F4877" s="2" t="str">
        <f>"9780472904877"</f>
        <v>9780472904877</v>
      </c>
    </row>
    <row r="4878" spans="1:6" s="3" customFormat="1" ht="29.1" customHeight="1" x14ac:dyDescent="0.25">
      <c r="A4878" s="2" t="s">
        <v>10466</v>
      </c>
      <c r="B4878" s="2" t="s">
        <v>10467</v>
      </c>
      <c r="C4878" s="2" t="s">
        <v>5</v>
      </c>
      <c r="D4878" s="2" t="s">
        <v>4019</v>
      </c>
      <c r="E4878" s="2" t="str">
        <f>"9789819774142"</f>
        <v>9789819774142</v>
      </c>
      <c r="F4878" s="2" t="str">
        <f>"9789819774159"</f>
        <v>9789819774159</v>
      </c>
    </row>
    <row r="4879" spans="1:6" s="3" customFormat="1" ht="29.1" customHeight="1" x14ac:dyDescent="0.25">
      <c r="A4879" s="2" t="s">
        <v>10468</v>
      </c>
      <c r="B4879" s="2" t="s">
        <v>10469</v>
      </c>
      <c r="C4879" s="2" t="s">
        <v>5</v>
      </c>
      <c r="D4879" s="2" t="s">
        <v>331</v>
      </c>
      <c r="E4879" s="2" t="str">
        <f>"9783031644702"</f>
        <v>9783031644702</v>
      </c>
      <c r="F4879" s="2" t="str">
        <f>"9783031644719"</f>
        <v>9783031644719</v>
      </c>
    </row>
    <row r="4880" spans="1:6" s="3" customFormat="1" ht="29.1" customHeight="1" x14ac:dyDescent="0.25">
      <c r="A4880" s="2" t="s">
        <v>10470</v>
      </c>
      <c r="B4880" s="2" t="s">
        <v>10472</v>
      </c>
      <c r="C4880" s="2" t="s">
        <v>5</v>
      </c>
      <c r="D4880" s="2" t="s">
        <v>10471</v>
      </c>
      <c r="E4880" s="2" t="str">
        <f>"9782384763047"</f>
        <v>9782384763047</v>
      </c>
      <c r="F4880" s="2" t="str">
        <f>"9782384763054"</f>
        <v>9782384763054</v>
      </c>
    </row>
    <row r="4881" spans="1:6" s="3" customFormat="1" ht="29.1" customHeight="1" x14ac:dyDescent="0.25">
      <c r="A4881" s="2" t="s">
        <v>10473</v>
      </c>
      <c r="B4881" s="2" t="s">
        <v>10474</v>
      </c>
      <c r="C4881" s="2" t="s">
        <v>746</v>
      </c>
      <c r="D4881" s="2" t="s">
        <v>606</v>
      </c>
      <c r="E4881" s="2" t="str">
        <f>"9781803278551"</f>
        <v>9781803278551</v>
      </c>
      <c r="F4881" s="2" t="str">
        <f>"9781803278568"</f>
        <v>9781803278568</v>
      </c>
    </row>
    <row r="4882" spans="1:6" s="3" customFormat="1" ht="29.1" customHeight="1" x14ac:dyDescent="0.25">
      <c r="A4882" s="2" t="s">
        <v>10475</v>
      </c>
      <c r="B4882" s="2" t="s">
        <v>10476</v>
      </c>
      <c r="C4882" s="2" t="s">
        <v>746</v>
      </c>
      <c r="D4882" s="2" t="s">
        <v>4185</v>
      </c>
      <c r="E4882" s="2" t="str">
        <f>"9781803278438"</f>
        <v>9781803278438</v>
      </c>
      <c r="F4882" s="2" t="str">
        <f>"9781803278445"</f>
        <v>9781803278445</v>
      </c>
    </row>
    <row r="4883" spans="1:6" s="3" customFormat="1" ht="29.1" customHeight="1" x14ac:dyDescent="0.25">
      <c r="A4883" s="2" t="s">
        <v>10477</v>
      </c>
      <c r="B4883" s="2" t="s">
        <v>10478</v>
      </c>
      <c r="C4883" s="2" t="s">
        <v>5</v>
      </c>
      <c r="D4883" s="2" t="s">
        <v>144</v>
      </c>
      <c r="E4883" s="2" t="str">
        <f>"9783642380815"</f>
        <v>9783642380815</v>
      </c>
      <c r="F4883" s="2" t="str">
        <f>"9783642380822"</f>
        <v>9783642380822</v>
      </c>
    </row>
    <row r="4884" spans="1:6" s="3" customFormat="1" ht="29.1" customHeight="1" x14ac:dyDescent="0.25">
      <c r="A4884" s="2" t="s">
        <v>10477</v>
      </c>
      <c r="B4884" s="2" t="s">
        <v>10479</v>
      </c>
      <c r="C4884" s="2" t="s">
        <v>5</v>
      </c>
      <c r="D4884" s="2" t="s">
        <v>144</v>
      </c>
      <c r="E4884" s="2" t="str">
        <f>"9783642302404"</f>
        <v>9783642302404</v>
      </c>
      <c r="F4884" s="2" t="str">
        <f>"9783642302411"</f>
        <v>9783642302411</v>
      </c>
    </row>
    <row r="4885" spans="1:6" s="3" customFormat="1" ht="29.1" customHeight="1" x14ac:dyDescent="0.25">
      <c r="A4885" s="2" t="s">
        <v>10480</v>
      </c>
      <c r="B4885" s="2" t="s">
        <v>10481</v>
      </c>
      <c r="C4885" s="2" t="s">
        <v>5</v>
      </c>
      <c r="D4885" s="2" t="s">
        <v>5588</v>
      </c>
      <c r="E4885" s="2" t="str">
        <f>"9789819737512"</f>
        <v>9789819737512</v>
      </c>
      <c r="F4885" s="2" t="str">
        <f>"9789819737529"</f>
        <v>9789819737529</v>
      </c>
    </row>
    <row r="4886" spans="1:6" s="3" customFormat="1" ht="29.1" customHeight="1" x14ac:dyDescent="0.25">
      <c r="A4886" s="2" t="s">
        <v>10482</v>
      </c>
      <c r="B4886" s="2" t="s">
        <v>10483</v>
      </c>
      <c r="C4886" s="2" t="s">
        <v>5</v>
      </c>
      <c r="D4886" s="2" t="s">
        <v>855</v>
      </c>
      <c r="E4886" s="2" t="str">
        <f>"9783031666964"</f>
        <v>9783031666964</v>
      </c>
      <c r="F4886" s="2" t="str">
        <f>"9783031666971"</f>
        <v>9783031666971</v>
      </c>
    </row>
    <row r="4887" spans="1:6" s="3" customFormat="1" ht="29.1" customHeight="1" x14ac:dyDescent="0.25">
      <c r="A4887" s="2" t="s">
        <v>1475</v>
      </c>
      <c r="B4887" s="2" t="s">
        <v>10484</v>
      </c>
      <c r="C4887" s="2" t="s">
        <v>1070</v>
      </c>
      <c r="D4887" s="2" t="s">
        <v>1265</v>
      </c>
      <c r="E4887" s="2" t="str">
        <f>"9783318072976"</f>
        <v>9783318072976</v>
      </c>
      <c r="F4887" s="2" t="str">
        <f>"9783318073850"</f>
        <v>9783318073850</v>
      </c>
    </row>
    <row r="4888" spans="1:6" s="3" customFormat="1" ht="29.1" customHeight="1" x14ac:dyDescent="0.25">
      <c r="A4888" s="2" t="s">
        <v>10485</v>
      </c>
      <c r="B4888" s="2" t="s">
        <v>10487</v>
      </c>
      <c r="C4888" s="2" t="s">
        <v>59</v>
      </c>
      <c r="D4888" s="2" t="s">
        <v>10486</v>
      </c>
      <c r="E4888" s="2"/>
      <c r="F4888" s="2" t="str">
        <f>"9782759239665"</f>
        <v>9782759239665</v>
      </c>
    </row>
    <row r="4889" spans="1:6" s="3" customFormat="1" ht="29.1" customHeight="1" x14ac:dyDescent="0.25">
      <c r="A4889" s="2" t="s">
        <v>10488</v>
      </c>
      <c r="B4889" s="2" t="s">
        <v>10489</v>
      </c>
      <c r="C4889" s="2" t="s">
        <v>29</v>
      </c>
      <c r="D4889" s="2" t="s">
        <v>4064</v>
      </c>
      <c r="E4889" s="2" t="str">
        <f>"9783506790767"</f>
        <v>9783506790767</v>
      </c>
      <c r="F4889" s="2" t="str">
        <f>"9783657790760"</f>
        <v>9783657790760</v>
      </c>
    </row>
    <row r="4890" spans="1:6" s="3" customFormat="1" ht="29.1" customHeight="1" x14ac:dyDescent="0.25">
      <c r="A4890" s="2" t="s">
        <v>10490</v>
      </c>
      <c r="B4890" s="2" t="s">
        <v>10491</v>
      </c>
      <c r="C4890" s="2" t="s">
        <v>29</v>
      </c>
      <c r="D4890" s="2" t="s">
        <v>4429</v>
      </c>
      <c r="E4890" s="2" t="str">
        <f>"9783506791313"</f>
        <v>9783506791313</v>
      </c>
      <c r="F4890" s="2" t="str">
        <f>"9783657791316"</f>
        <v>9783657791316</v>
      </c>
    </row>
    <row r="4891" spans="1:6" s="3" customFormat="1" ht="29.1" customHeight="1" x14ac:dyDescent="0.25">
      <c r="A4891" s="2" t="s">
        <v>10492</v>
      </c>
      <c r="B4891" s="2" t="s">
        <v>10494</v>
      </c>
      <c r="C4891" s="2" t="s">
        <v>677</v>
      </c>
      <c r="D4891" s="2" t="s">
        <v>10493</v>
      </c>
      <c r="E4891" s="2"/>
      <c r="F4891" s="2" t="str">
        <f>"9789493296732"</f>
        <v>9789493296732</v>
      </c>
    </row>
    <row r="4892" spans="1:6" s="3" customFormat="1" ht="29.1" customHeight="1" x14ac:dyDescent="0.25">
      <c r="A4892" s="2" t="s">
        <v>10495</v>
      </c>
      <c r="B4892" s="2" t="s">
        <v>10496</v>
      </c>
      <c r="C4892" s="2" t="s">
        <v>5</v>
      </c>
      <c r="D4892" s="2" t="s">
        <v>86</v>
      </c>
      <c r="E4892" s="2" t="str">
        <f>"9783031640599"</f>
        <v>9783031640599</v>
      </c>
      <c r="F4892" s="2" t="str">
        <f>"9783031640605"</f>
        <v>9783031640605</v>
      </c>
    </row>
    <row r="4893" spans="1:6" s="3" customFormat="1" ht="29.1" customHeight="1" x14ac:dyDescent="0.25">
      <c r="A4893" s="2" t="s">
        <v>10497</v>
      </c>
      <c r="B4893" s="2" t="s">
        <v>10498</v>
      </c>
      <c r="C4893" s="2" t="s">
        <v>264</v>
      </c>
      <c r="D4893" s="2" t="s">
        <v>724</v>
      </c>
      <c r="E4893" s="2" t="str">
        <f>"9788770046657"</f>
        <v>9788770046657</v>
      </c>
      <c r="F4893" s="2" t="str">
        <f>"9781040300169"</f>
        <v>9781040300169</v>
      </c>
    </row>
    <row r="4894" spans="1:6" s="3" customFormat="1" ht="29.1" customHeight="1" x14ac:dyDescent="0.25">
      <c r="A4894" s="2" t="s">
        <v>9385</v>
      </c>
      <c r="B4894" s="2" t="s">
        <v>10499</v>
      </c>
      <c r="C4894" s="2" t="s">
        <v>29</v>
      </c>
      <c r="D4894" s="2" t="s">
        <v>1432</v>
      </c>
      <c r="E4894" s="2" t="str">
        <f>"9789004706606"</f>
        <v>9789004706606</v>
      </c>
      <c r="F4894" s="2" t="str">
        <f>"9789004706613"</f>
        <v>9789004706613</v>
      </c>
    </row>
    <row r="4895" spans="1:6" s="3" customFormat="1" ht="29.1" customHeight="1" x14ac:dyDescent="0.25">
      <c r="A4895" s="2" t="s">
        <v>10500</v>
      </c>
      <c r="B4895" s="2" t="s">
        <v>10501</v>
      </c>
      <c r="C4895" s="2" t="s">
        <v>5</v>
      </c>
      <c r="D4895" s="2" t="s">
        <v>5228</v>
      </c>
      <c r="E4895" s="2" t="str">
        <f>"9789464635614"</f>
        <v>9789464635614</v>
      </c>
      <c r="F4895" s="2" t="str">
        <f>"9789464635621"</f>
        <v>9789464635621</v>
      </c>
    </row>
    <row r="4896" spans="1:6" s="3" customFormat="1" ht="29.1" customHeight="1" x14ac:dyDescent="0.25">
      <c r="A4896" s="2" t="s">
        <v>10502</v>
      </c>
      <c r="B4896" s="2" t="s">
        <v>10503</v>
      </c>
      <c r="C4896" s="2" t="s">
        <v>5</v>
      </c>
      <c r="D4896" s="2" t="s">
        <v>189</v>
      </c>
      <c r="E4896" s="2" t="str">
        <f>"9783031664335"</f>
        <v>9783031664335</v>
      </c>
      <c r="F4896" s="2" t="str">
        <f>"9783031664342"</f>
        <v>9783031664342</v>
      </c>
    </row>
    <row r="4897" spans="1:6" s="3" customFormat="1" ht="29.1" customHeight="1" x14ac:dyDescent="0.25">
      <c r="A4897" s="2" t="s">
        <v>10504</v>
      </c>
      <c r="B4897" s="2" t="s">
        <v>10505</v>
      </c>
      <c r="C4897" s="2" t="s">
        <v>5</v>
      </c>
      <c r="D4897" s="2" t="s">
        <v>192</v>
      </c>
      <c r="E4897" s="2" t="str">
        <f>"9783031653803"</f>
        <v>9783031653803</v>
      </c>
      <c r="F4897" s="2" t="str">
        <f>"9783031653810"</f>
        <v>9783031653810</v>
      </c>
    </row>
    <row r="4898" spans="1:6" s="3" customFormat="1" ht="29.1" customHeight="1" x14ac:dyDescent="0.25">
      <c r="A4898" s="2" t="s">
        <v>10506</v>
      </c>
      <c r="B4898" s="2" t="s">
        <v>10507</v>
      </c>
      <c r="C4898" s="2" t="s">
        <v>5</v>
      </c>
      <c r="D4898" s="2" t="s">
        <v>294</v>
      </c>
      <c r="E4898" s="2" t="str">
        <f>"9783031695797"</f>
        <v>9783031695797</v>
      </c>
      <c r="F4898" s="2" t="str">
        <f>"9783031695803"</f>
        <v>9783031695803</v>
      </c>
    </row>
    <row r="4899" spans="1:6" s="3" customFormat="1" ht="29.1" customHeight="1" x14ac:dyDescent="0.25">
      <c r="A4899" s="2" t="s">
        <v>10508</v>
      </c>
      <c r="B4899" s="2" t="s">
        <v>10509</v>
      </c>
      <c r="C4899" s="2" t="s">
        <v>5</v>
      </c>
      <c r="D4899" s="2" t="s">
        <v>81</v>
      </c>
      <c r="E4899" s="2" t="str">
        <f>"9783031704505"</f>
        <v>9783031704505</v>
      </c>
      <c r="F4899" s="2" t="str">
        <f>"9783031704512"</f>
        <v>9783031704512</v>
      </c>
    </row>
    <row r="4900" spans="1:6" s="3" customFormat="1" ht="29.1" customHeight="1" x14ac:dyDescent="0.25">
      <c r="A4900" s="2" t="s">
        <v>10510</v>
      </c>
      <c r="B4900" s="2" t="s">
        <v>10511</v>
      </c>
      <c r="C4900" s="2" t="s">
        <v>5</v>
      </c>
      <c r="D4900" s="2" t="s">
        <v>30</v>
      </c>
      <c r="E4900" s="2" t="str">
        <f>"9783031626333"</f>
        <v>9783031626333</v>
      </c>
      <c r="F4900" s="2" t="str">
        <f>"9783031626340"</f>
        <v>9783031626340</v>
      </c>
    </row>
    <row r="4901" spans="1:6" s="3" customFormat="1" ht="29.1" customHeight="1" x14ac:dyDescent="0.25">
      <c r="A4901" s="2" t="s">
        <v>10512</v>
      </c>
      <c r="B4901" s="2" t="s">
        <v>10513</v>
      </c>
      <c r="C4901" s="2" t="s">
        <v>5</v>
      </c>
      <c r="D4901" s="2" t="s">
        <v>6994</v>
      </c>
      <c r="E4901" s="2" t="str">
        <f>"9789819784004"</f>
        <v>9789819784004</v>
      </c>
      <c r="F4901" s="2" t="str">
        <f>"9789819784011"</f>
        <v>9789819784011</v>
      </c>
    </row>
    <row r="4902" spans="1:6" s="3" customFormat="1" ht="29.1" customHeight="1" x14ac:dyDescent="0.25">
      <c r="A4902" s="2" t="s">
        <v>10514</v>
      </c>
      <c r="B4902" s="2" t="s">
        <v>10515</v>
      </c>
      <c r="C4902" s="2" t="s">
        <v>5</v>
      </c>
      <c r="D4902" s="2" t="s">
        <v>1895</v>
      </c>
      <c r="E4902" s="2" t="str">
        <f>"9783031719950"</f>
        <v>9783031719950</v>
      </c>
      <c r="F4902" s="2" t="str">
        <f>"9783031719967"</f>
        <v>9783031719967</v>
      </c>
    </row>
    <row r="4903" spans="1:6" s="3" customFormat="1" ht="29.1" customHeight="1" x14ac:dyDescent="0.25">
      <c r="A4903" s="2" t="s">
        <v>10516</v>
      </c>
      <c r="B4903" s="2" t="s">
        <v>10517</v>
      </c>
      <c r="C4903" s="2" t="s">
        <v>5</v>
      </c>
      <c r="D4903" s="2" t="s">
        <v>183</v>
      </c>
      <c r="E4903" s="2" t="str">
        <f>"9783658462680"</f>
        <v>9783658462680</v>
      </c>
      <c r="F4903" s="2" t="str">
        <f>"9783658462697"</f>
        <v>9783658462697</v>
      </c>
    </row>
    <row r="4904" spans="1:6" s="3" customFormat="1" ht="29.1" customHeight="1" x14ac:dyDescent="0.25">
      <c r="A4904" s="2" t="s">
        <v>10518</v>
      </c>
      <c r="B4904" s="2" t="s">
        <v>10519</v>
      </c>
      <c r="C4904" s="2" t="s">
        <v>2242</v>
      </c>
      <c r="D4904" s="2" t="s">
        <v>2237</v>
      </c>
      <c r="E4904" s="2" t="str">
        <f>"9788024465173"</f>
        <v>9788024465173</v>
      </c>
      <c r="F4904" s="2" t="str">
        <f>"9788024465180"</f>
        <v>9788024465180</v>
      </c>
    </row>
    <row r="4905" spans="1:6" s="3" customFormat="1" ht="29.1" customHeight="1" x14ac:dyDescent="0.25">
      <c r="A4905" s="2" t="s">
        <v>10520</v>
      </c>
      <c r="B4905" s="2" t="s">
        <v>10521</v>
      </c>
      <c r="C4905" s="2" t="s">
        <v>248</v>
      </c>
      <c r="D4905" s="2" t="s">
        <v>836</v>
      </c>
      <c r="E4905" s="2" t="str">
        <f>"9783847427278"</f>
        <v>9783847427278</v>
      </c>
      <c r="F4905" s="2" t="str">
        <f>"9783847419617"</f>
        <v>9783847419617</v>
      </c>
    </row>
    <row r="4906" spans="1:6" s="3" customFormat="1" ht="29.1" customHeight="1" x14ac:dyDescent="0.25">
      <c r="A4906" s="2" t="s">
        <v>10522</v>
      </c>
      <c r="B4906" s="2" t="s">
        <v>10523</v>
      </c>
      <c r="C4906" s="2" t="s">
        <v>248</v>
      </c>
      <c r="D4906" s="2" t="s">
        <v>2752</v>
      </c>
      <c r="E4906" s="2" t="str">
        <f>"9783847430162"</f>
        <v>9783847430162</v>
      </c>
      <c r="F4906" s="2" t="str">
        <f>"9783847419532"</f>
        <v>9783847419532</v>
      </c>
    </row>
    <row r="4907" spans="1:6" s="3" customFormat="1" ht="29.1" customHeight="1" x14ac:dyDescent="0.25">
      <c r="A4907" s="2" t="s">
        <v>10524</v>
      </c>
      <c r="B4907" s="2" t="s">
        <v>10525</v>
      </c>
      <c r="C4907" s="2" t="s">
        <v>248</v>
      </c>
      <c r="D4907" s="2" t="s">
        <v>836</v>
      </c>
      <c r="E4907" s="2" t="str">
        <f>"9783847430612"</f>
        <v>9783847430612</v>
      </c>
      <c r="F4907" s="2" t="str">
        <f>"9783847419952"</f>
        <v>9783847419952</v>
      </c>
    </row>
    <row r="4908" spans="1:6" s="3" customFormat="1" ht="29.1" customHeight="1" x14ac:dyDescent="0.25">
      <c r="A4908" s="2" t="s">
        <v>10526</v>
      </c>
      <c r="B4908" s="2" t="s">
        <v>10527</v>
      </c>
      <c r="C4908" s="2" t="s">
        <v>5</v>
      </c>
      <c r="D4908" s="2" t="s">
        <v>98</v>
      </c>
      <c r="E4908" s="2" t="str">
        <f>"9783031769252"</f>
        <v>9783031769252</v>
      </c>
      <c r="F4908" s="2" t="str">
        <f>"9783031769269"</f>
        <v>9783031769269</v>
      </c>
    </row>
    <row r="4909" spans="1:6" s="3" customFormat="1" ht="29.1" customHeight="1" x14ac:dyDescent="0.25">
      <c r="A4909" s="2" t="s">
        <v>10528</v>
      </c>
      <c r="B4909" s="2" t="s">
        <v>10529</v>
      </c>
      <c r="C4909" s="2" t="s">
        <v>5</v>
      </c>
      <c r="D4909" s="2" t="s">
        <v>1560</v>
      </c>
      <c r="E4909" s="2" t="str">
        <f>"9783031748653"</f>
        <v>9783031748653</v>
      </c>
      <c r="F4909" s="2" t="str">
        <f>"9783031748660"</f>
        <v>9783031748660</v>
      </c>
    </row>
    <row r="4910" spans="1:6" s="3" customFormat="1" ht="29.1" customHeight="1" x14ac:dyDescent="0.25">
      <c r="A4910" s="2" t="s">
        <v>10530</v>
      </c>
      <c r="B4910" s="2" t="s">
        <v>10531</v>
      </c>
      <c r="C4910" s="2" t="s">
        <v>5</v>
      </c>
      <c r="D4910" s="2" t="s">
        <v>2749</v>
      </c>
      <c r="E4910" s="2" t="str">
        <f>"9789819784257"</f>
        <v>9789819784257</v>
      </c>
      <c r="F4910" s="2" t="str">
        <f>"9789819784264"</f>
        <v>9789819784264</v>
      </c>
    </row>
    <row r="4911" spans="1:6" s="3" customFormat="1" ht="29.1" customHeight="1" x14ac:dyDescent="0.25">
      <c r="A4911" s="2" t="s">
        <v>10532</v>
      </c>
      <c r="B4911" s="2" t="s">
        <v>10533</v>
      </c>
      <c r="C4911" s="2" t="s">
        <v>5</v>
      </c>
      <c r="D4911" s="2" t="s">
        <v>317</v>
      </c>
      <c r="E4911" s="2" t="str">
        <f>"9783031729546"</f>
        <v>9783031729546</v>
      </c>
      <c r="F4911" s="2" t="str">
        <f>"9783031729553"</f>
        <v>9783031729553</v>
      </c>
    </row>
    <row r="4912" spans="1:6" s="3" customFormat="1" ht="29.1" customHeight="1" x14ac:dyDescent="0.25">
      <c r="A4912" s="2" t="s">
        <v>10534</v>
      </c>
      <c r="B4912" s="2" t="s">
        <v>10535</v>
      </c>
      <c r="C4912" s="2" t="s">
        <v>5</v>
      </c>
      <c r="D4912" s="2" t="s">
        <v>727</v>
      </c>
      <c r="E4912" s="2" t="str">
        <f>"9783031704871"</f>
        <v>9783031704871</v>
      </c>
      <c r="F4912" s="2" t="str">
        <f>"9783031704888"</f>
        <v>9783031704888</v>
      </c>
    </row>
    <row r="4913" spans="1:6" s="3" customFormat="1" ht="29.1" customHeight="1" x14ac:dyDescent="0.25">
      <c r="A4913" s="2" t="s">
        <v>10536</v>
      </c>
      <c r="B4913" s="2" t="s">
        <v>10537</v>
      </c>
      <c r="C4913" s="2" t="s">
        <v>4104</v>
      </c>
      <c r="D4913" s="2" t="s">
        <v>5635</v>
      </c>
      <c r="E4913" s="2" t="str">
        <f>"9781836243137"</f>
        <v>9781836243137</v>
      </c>
      <c r="F4913" s="2" t="str">
        <f>"9781836243205"</f>
        <v>9781836243205</v>
      </c>
    </row>
    <row r="4914" spans="1:6" s="3" customFormat="1" ht="29.1" customHeight="1" x14ac:dyDescent="0.25">
      <c r="A4914" s="2" t="s">
        <v>10538</v>
      </c>
      <c r="B4914" s="2" t="s">
        <v>10539</v>
      </c>
      <c r="C4914" s="2" t="s">
        <v>29</v>
      </c>
      <c r="D4914" s="2" t="s">
        <v>192</v>
      </c>
      <c r="E4914" s="2" t="str">
        <f>"9789004688537"</f>
        <v>9789004688537</v>
      </c>
      <c r="F4914" s="2" t="str">
        <f>"9789004688544"</f>
        <v>9789004688544</v>
      </c>
    </row>
    <row r="4915" spans="1:6" s="3" customFormat="1" ht="29.1" customHeight="1" x14ac:dyDescent="0.25">
      <c r="A4915" s="2" t="s">
        <v>10540</v>
      </c>
      <c r="B4915" s="2" t="s">
        <v>10541</v>
      </c>
      <c r="C4915" s="2" t="s">
        <v>29</v>
      </c>
      <c r="D4915" s="2" t="s">
        <v>210</v>
      </c>
      <c r="E4915" s="2" t="str">
        <f>"9789004707559"</f>
        <v>9789004707559</v>
      </c>
      <c r="F4915" s="2" t="str">
        <f>"9789004714236"</f>
        <v>9789004714236</v>
      </c>
    </row>
    <row r="4916" spans="1:6" s="3" customFormat="1" ht="29.1" customHeight="1" x14ac:dyDescent="0.25">
      <c r="A4916" s="2" t="s">
        <v>10542</v>
      </c>
      <c r="B4916" s="2" t="s">
        <v>10543</v>
      </c>
      <c r="C4916" s="2" t="s">
        <v>677</v>
      </c>
      <c r="D4916" s="2" t="s">
        <v>1292</v>
      </c>
      <c r="E4916" s="2"/>
      <c r="F4916" s="2" t="str">
        <f>"9789493296527"</f>
        <v>9789493296527</v>
      </c>
    </row>
    <row r="4917" spans="1:6" s="3" customFormat="1" ht="29.1" customHeight="1" x14ac:dyDescent="0.25">
      <c r="A4917" s="2" t="s">
        <v>10544</v>
      </c>
      <c r="B4917" s="2" t="s">
        <v>10546</v>
      </c>
      <c r="C4917" s="2" t="s">
        <v>5</v>
      </c>
      <c r="D4917" s="2" t="s">
        <v>10545</v>
      </c>
      <c r="E4917" s="2" t="str">
        <f>"9789819772506"</f>
        <v>9789819772506</v>
      </c>
      <c r="F4917" s="2" t="str">
        <f>"9789819772513"</f>
        <v>9789819772513</v>
      </c>
    </row>
    <row r="4918" spans="1:6" s="3" customFormat="1" ht="29.1" customHeight="1" x14ac:dyDescent="0.25">
      <c r="A4918" s="2" t="s">
        <v>10547</v>
      </c>
      <c r="B4918" s="2" t="s">
        <v>10548</v>
      </c>
      <c r="C4918" s="2" t="s">
        <v>746</v>
      </c>
      <c r="D4918" s="2" t="s">
        <v>606</v>
      </c>
      <c r="E4918" s="2" t="str">
        <f>"9781803277691"</f>
        <v>9781803277691</v>
      </c>
      <c r="F4918" s="2" t="str">
        <f>"9781803277707"</f>
        <v>9781803277707</v>
      </c>
    </row>
    <row r="4919" spans="1:6" s="3" customFormat="1" ht="29.1" customHeight="1" x14ac:dyDescent="0.25">
      <c r="A4919" s="2" t="s">
        <v>10549</v>
      </c>
      <c r="B4919" s="2" t="s">
        <v>10551</v>
      </c>
      <c r="C4919" s="2" t="s">
        <v>8047</v>
      </c>
      <c r="D4919" s="2" t="s">
        <v>10550</v>
      </c>
      <c r="E4919" s="2" t="str">
        <f>"9781646022946"</f>
        <v>9781646022946</v>
      </c>
      <c r="F4919" s="2" t="str">
        <f>"9781646023028"</f>
        <v>9781646023028</v>
      </c>
    </row>
    <row r="4920" spans="1:6" s="3" customFormat="1" ht="29.1" customHeight="1" x14ac:dyDescent="0.25">
      <c r="A4920" s="2" t="s">
        <v>10552</v>
      </c>
      <c r="B4920" s="2" t="s">
        <v>10553</v>
      </c>
      <c r="C4920" s="2" t="s">
        <v>677</v>
      </c>
      <c r="D4920" s="2" t="s">
        <v>4739</v>
      </c>
      <c r="E4920" s="2"/>
      <c r="F4920" s="2" t="str">
        <f>"9789493296824"</f>
        <v>9789493296824</v>
      </c>
    </row>
    <row r="4921" spans="1:6" s="3" customFormat="1" ht="29.1" customHeight="1" x14ac:dyDescent="0.25">
      <c r="A4921" s="2" t="s">
        <v>10554</v>
      </c>
      <c r="B4921" s="2" t="s">
        <v>10555</v>
      </c>
      <c r="C4921" s="2" t="s">
        <v>8040</v>
      </c>
      <c r="D4921" s="2" t="s">
        <v>1895</v>
      </c>
      <c r="E4921" s="2" t="str">
        <f>"9781800416291"</f>
        <v>9781800416291</v>
      </c>
      <c r="F4921" s="2" t="str">
        <f>"9781800416314"</f>
        <v>9781800416314</v>
      </c>
    </row>
    <row r="4922" spans="1:6" s="3" customFormat="1" ht="29.1" customHeight="1" x14ac:dyDescent="0.25">
      <c r="A4922" s="2" t="s">
        <v>10556</v>
      </c>
      <c r="B4922" s="2" t="s">
        <v>10557</v>
      </c>
      <c r="C4922" s="2" t="s">
        <v>5</v>
      </c>
      <c r="D4922" s="2" t="s">
        <v>2005</v>
      </c>
      <c r="E4922" s="2" t="str">
        <f>"9783031671166"</f>
        <v>9783031671166</v>
      </c>
      <c r="F4922" s="2" t="str">
        <f>"9783031671173"</f>
        <v>9783031671173</v>
      </c>
    </row>
    <row r="4923" spans="1:6" s="3" customFormat="1" ht="29.1" customHeight="1" x14ac:dyDescent="0.25">
      <c r="A4923" s="2" t="s">
        <v>10558</v>
      </c>
      <c r="B4923" s="2" t="s">
        <v>10559</v>
      </c>
      <c r="C4923" s="2" t="s">
        <v>20</v>
      </c>
      <c r="D4923" s="2" t="s">
        <v>9</v>
      </c>
      <c r="E4923" s="2" t="str">
        <f>"9783763976331"</f>
        <v>9783763976331</v>
      </c>
      <c r="F4923" s="2" t="str">
        <f>"9783763976348"</f>
        <v>9783763976348</v>
      </c>
    </row>
    <row r="4924" spans="1:6" s="3" customFormat="1" ht="29.1" customHeight="1" x14ac:dyDescent="0.25">
      <c r="A4924" s="2" t="s">
        <v>10560</v>
      </c>
      <c r="B4924" s="2" t="s">
        <v>10561</v>
      </c>
      <c r="C4924" s="2" t="s">
        <v>149</v>
      </c>
      <c r="D4924" s="2" t="s">
        <v>135</v>
      </c>
      <c r="E4924" s="2" t="str">
        <f>"9781805113744"</f>
        <v>9781805113744</v>
      </c>
      <c r="F4924" s="2" t="str">
        <f>"9781805113768"</f>
        <v>9781805113768</v>
      </c>
    </row>
    <row r="4925" spans="1:6" s="3" customFormat="1" ht="29.1" customHeight="1" x14ac:dyDescent="0.25">
      <c r="A4925" s="2" t="s">
        <v>10562</v>
      </c>
      <c r="B4925" s="2" t="s">
        <v>10564</v>
      </c>
      <c r="C4925" s="2" t="s">
        <v>29</v>
      </c>
      <c r="D4925" s="2" t="s">
        <v>10563</v>
      </c>
      <c r="E4925" s="2" t="str">
        <f>"9783506756329"</f>
        <v>9783506756329</v>
      </c>
      <c r="F4925" s="2" t="str">
        <f>"9783657756322"</f>
        <v>9783657756322</v>
      </c>
    </row>
    <row r="4926" spans="1:6" s="3" customFormat="1" ht="29.1" customHeight="1" x14ac:dyDescent="0.25">
      <c r="A4926" s="2" t="s">
        <v>10565</v>
      </c>
      <c r="B4926" s="2" t="s">
        <v>10566</v>
      </c>
      <c r="C4926" s="2" t="s">
        <v>149</v>
      </c>
      <c r="D4926" s="2" t="s">
        <v>653</v>
      </c>
      <c r="E4926" s="2" t="str">
        <f>"9781805113874"</f>
        <v>9781805113874</v>
      </c>
      <c r="F4926" s="2" t="str">
        <f>"9781805112976"</f>
        <v>9781805112976</v>
      </c>
    </row>
    <row r="4927" spans="1:6" s="3" customFormat="1" ht="29.1" customHeight="1" x14ac:dyDescent="0.25">
      <c r="A4927" s="2" t="s">
        <v>10567</v>
      </c>
      <c r="B4927" s="2" t="s">
        <v>10568</v>
      </c>
      <c r="C4927" s="2" t="s">
        <v>149</v>
      </c>
      <c r="D4927" s="2" t="s">
        <v>689</v>
      </c>
      <c r="E4927" s="2" t="str">
        <f>"9781685712020"</f>
        <v>9781685712020</v>
      </c>
      <c r="F4927" s="2" t="str">
        <f>"9781685712037"</f>
        <v>9781685712037</v>
      </c>
    </row>
    <row r="4928" spans="1:6" s="3" customFormat="1" ht="29.1" customHeight="1" x14ac:dyDescent="0.25">
      <c r="A4928" s="2" t="s">
        <v>9385</v>
      </c>
      <c r="B4928" s="2" t="s">
        <v>9386</v>
      </c>
      <c r="C4928" s="2" t="s">
        <v>29</v>
      </c>
      <c r="D4928" s="2" t="s">
        <v>1432</v>
      </c>
      <c r="E4928" s="2" t="str">
        <f>"9789004706521"</f>
        <v>9789004706521</v>
      </c>
      <c r="F4928" s="2" t="str">
        <f>"9789004706538"</f>
        <v>9789004706538</v>
      </c>
    </row>
    <row r="4929" spans="1:6" s="3" customFormat="1" ht="29.1" customHeight="1" x14ac:dyDescent="0.25">
      <c r="A4929" s="2" t="s">
        <v>10569</v>
      </c>
      <c r="B4929" s="2" t="s">
        <v>10570</v>
      </c>
      <c r="C4929" s="2" t="s">
        <v>29</v>
      </c>
      <c r="D4929" s="2" t="s">
        <v>218</v>
      </c>
      <c r="E4929" s="2" t="str">
        <f>"9783506791429"</f>
        <v>9783506791429</v>
      </c>
      <c r="F4929" s="2" t="str">
        <f>"9783657791422"</f>
        <v>9783657791422</v>
      </c>
    </row>
    <row r="4930" spans="1:6" s="3" customFormat="1" ht="29.1" customHeight="1" x14ac:dyDescent="0.25">
      <c r="A4930" s="2" t="s">
        <v>10571</v>
      </c>
      <c r="B4930" s="2" t="s">
        <v>10572</v>
      </c>
      <c r="C4930" s="2" t="s">
        <v>124</v>
      </c>
      <c r="D4930" s="2" t="s">
        <v>2255</v>
      </c>
      <c r="E4930" s="2" t="str">
        <f>"9781032869391"</f>
        <v>9781032869391</v>
      </c>
      <c r="F4930" s="2" t="str">
        <f>"9781040327258"</f>
        <v>9781040327258</v>
      </c>
    </row>
    <row r="4931" spans="1:6" s="3" customFormat="1" ht="29.1" customHeight="1" x14ac:dyDescent="0.25">
      <c r="A4931" s="2" t="s">
        <v>10573</v>
      </c>
      <c r="B4931" s="2" t="s">
        <v>10574</v>
      </c>
      <c r="C4931" s="2" t="s">
        <v>5</v>
      </c>
      <c r="D4931" s="2" t="s">
        <v>75</v>
      </c>
      <c r="E4931" s="2" t="str">
        <f>"9783031599927"</f>
        <v>9783031599927</v>
      </c>
      <c r="F4931" s="2" t="str">
        <f>"9783031599934"</f>
        <v>9783031599934</v>
      </c>
    </row>
    <row r="4932" spans="1:6" s="3" customFormat="1" ht="29.1" customHeight="1" x14ac:dyDescent="0.25">
      <c r="A4932" s="2" t="s">
        <v>10575</v>
      </c>
      <c r="B4932" s="2" t="s">
        <v>10576</v>
      </c>
      <c r="C4932" s="2" t="s">
        <v>124</v>
      </c>
      <c r="D4932" s="2" t="s">
        <v>125</v>
      </c>
      <c r="E4932" s="2" t="str">
        <f>"9781032361765"</f>
        <v>9781032361765</v>
      </c>
      <c r="F4932" s="2" t="str">
        <f>"9781040332290"</f>
        <v>9781040332290</v>
      </c>
    </row>
    <row r="4933" spans="1:6" s="3" customFormat="1" ht="29.1" customHeight="1" x14ac:dyDescent="0.25">
      <c r="A4933" s="2" t="s">
        <v>10577</v>
      </c>
      <c r="B4933" s="2" t="s">
        <v>10579</v>
      </c>
      <c r="C4933" s="2" t="s">
        <v>124</v>
      </c>
      <c r="D4933" s="2" t="s">
        <v>10578</v>
      </c>
      <c r="E4933" s="2" t="str">
        <f>"9781032854878"</f>
        <v>9781032854878</v>
      </c>
      <c r="F4933" s="2" t="str">
        <f>"9781040335857"</f>
        <v>9781040335857</v>
      </c>
    </row>
    <row r="4934" spans="1:6" s="3" customFormat="1" ht="29.1" customHeight="1" x14ac:dyDescent="0.25">
      <c r="A4934" s="2" t="s">
        <v>10580</v>
      </c>
      <c r="B4934" s="2" t="s">
        <v>10581</v>
      </c>
      <c r="C4934" s="2" t="s">
        <v>124</v>
      </c>
      <c r="D4934" s="2" t="s">
        <v>4919</v>
      </c>
      <c r="E4934" s="2" t="str">
        <f>"9780367655365"</f>
        <v>9780367655365</v>
      </c>
      <c r="F4934" s="2" t="str">
        <f>"9781040335703"</f>
        <v>9781040335703</v>
      </c>
    </row>
    <row r="4935" spans="1:6" s="3" customFormat="1" ht="29.1" customHeight="1" x14ac:dyDescent="0.25">
      <c r="A4935" s="2" t="s">
        <v>10582</v>
      </c>
      <c r="B4935" s="2" t="s">
        <v>10583</v>
      </c>
      <c r="C4935" s="2" t="s">
        <v>124</v>
      </c>
      <c r="D4935" s="2" t="s">
        <v>3889</v>
      </c>
      <c r="E4935" s="2" t="str">
        <f>"9781032906522"</f>
        <v>9781032906522</v>
      </c>
      <c r="F4935" s="2" t="str">
        <f>"9781040336526"</f>
        <v>9781040336526</v>
      </c>
    </row>
    <row r="4936" spans="1:6" s="3" customFormat="1" ht="29.1" customHeight="1" x14ac:dyDescent="0.25">
      <c r="A4936" s="2" t="s">
        <v>10584</v>
      </c>
      <c r="B4936" s="2" t="s">
        <v>10585</v>
      </c>
      <c r="C4936" s="2" t="s">
        <v>124</v>
      </c>
      <c r="D4936" s="2" t="s">
        <v>462</v>
      </c>
      <c r="E4936" s="2" t="str">
        <f>"9781032647906"</f>
        <v>9781032647906</v>
      </c>
      <c r="F4936" s="2" t="str">
        <f>"9781040338049"</f>
        <v>9781040338049</v>
      </c>
    </row>
    <row r="4937" spans="1:6" s="3" customFormat="1" ht="29.1" customHeight="1" x14ac:dyDescent="0.25">
      <c r="A4937" s="2" t="s">
        <v>10586</v>
      </c>
      <c r="B4937" s="2" t="s">
        <v>10587</v>
      </c>
      <c r="C4937" s="2" t="s">
        <v>124</v>
      </c>
      <c r="D4937" s="2" t="s">
        <v>162</v>
      </c>
      <c r="E4937" s="2" t="str">
        <f>"9781032689036"</f>
        <v>9781032689036</v>
      </c>
      <c r="F4937" s="2" t="str">
        <f>"9781040331880"</f>
        <v>9781040331880</v>
      </c>
    </row>
    <row r="4938" spans="1:6" s="3" customFormat="1" ht="29.1" customHeight="1" x14ac:dyDescent="0.25">
      <c r="A4938" s="2" t="s">
        <v>10588</v>
      </c>
      <c r="B4938" s="2" t="s">
        <v>10589</v>
      </c>
      <c r="C4938" s="2" t="s">
        <v>124</v>
      </c>
      <c r="D4938" s="2" t="s">
        <v>712</v>
      </c>
      <c r="E4938" s="2" t="str">
        <f>"9781032941035"</f>
        <v>9781032941035</v>
      </c>
      <c r="F4938" s="2" t="str">
        <f>"9781040328675"</f>
        <v>9781040328675</v>
      </c>
    </row>
    <row r="4939" spans="1:6" s="3" customFormat="1" ht="29.1" customHeight="1" x14ac:dyDescent="0.25">
      <c r="A4939" s="2" t="s">
        <v>10590</v>
      </c>
      <c r="B4939" s="2" t="s">
        <v>10591</v>
      </c>
      <c r="C4939" s="2" t="s">
        <v>124</v>
      </c>
      <c r="D4939" s="2" t="s">
        <v>2877</v>
      </c>
      <c r="E4939" s="2" t="str">
        <f>"9781032504902"</f>
        <v>9781032504902</v>
      </c>
      <c r="F4939" s="2" t="str">
        <f>"9781040337448"</f>
        <v>9781040337448</v>
      </c>
    </row>
    <row r="4940" spans="1:6" s="3" customFormat="1" ht="29.1" customHeight="1" x14ac:dyDescent="0.25">
      <c r="A4940" s="2" t="s">
        <v>10592</v>
      </c>
      <c r="B4940" s="2" t="s">
        <v>10593</v>
      </c>
      <c r="C4940" s="2" t="s">
        <v>124</v>
      </c>
      <c r="D4940" s="2" t="s">
        <v>5060</v>
      </c>
      <c r="E4940" s="2" t="str">
        <f>"9781032214924"</f>
        <v>9781032214924</v>
      </c>
      <c r="F4940" s="2" t="str">
        <f>"9781040332108"</f>
        <v>9781040332108</v>
      </c>
    </row>
    <row r="4941" spans="1:6" s="3" customFormat="1" ht="29.1" customHeight="1" x14ac:dyDescent="0.25">
      <c r="A4941" s="2" t="s">
        <v>10594</v>
      </c>
      <c r="B4941" s="2" t="s">
        <v>10595</v>
      </c>
      <c r="C4941" s="2" t="s">
        <v>124</v>
      </c>
      <c r="D4941" s="2" t="s">
        <v>553</v>
      </c>
      <c r="E4941" s="2" t="str">
        <f>"9781032872889"</f>
        <v>9781032872889</v>
      </c>
      <c r="F4941" s="2" t="str">
        <f>"9781040329290"</f>
        <v>9781040329290</v>
      </c>
    </row>
    <row r="4942" spans="1:6" s="3" customFormat="1" ht="29.1" customHeight="1" x14ac:dyDescent="0.25">
      <c r="A4942" s="2" t="s">
        <v>10596</v>
      </c>
      <c r="B4942" s="2"/>
      <c r="C4942" s="2" t="s">
        <v>59</v>
      </c>
      <c r="D4942" s="2" t="s">
        <v>2433</v>
      </c>
      <c r="E4942" s="2"/>
      <c r="F4942" s="2" t="str">
        <f>"9782759238101"</f>
        <v>9782759238101</v>
      </c>
    </row>
    <row r="4943" spans="1:6" s="3" customFormat="1" ht="29.1" customHeight="1" x14ac:dyDescent="0.25">
      <c r="A4943" s="2" t="s">
        <v>10597</v>
      </c>
      <c r="B4943" s="2" t="s">
        <v>10598</v>
      </c>
      <c r="C4943" s="2" t="s">
        <v>20</v>
      </c>
      <c r="D4943" s="2" t="s">
        <v>7079</v>
      </c>
      <c r="E4943" s="2" t="str">
        <f>"9783763942374"</f>
        <v>9783763942374</v>
      </c>
      <c r="F4943" s="2" t="str">
        <f>"9783763942381"</f>
        <v>9783763942381</v>
      </c>
    </row>
    <row r="4944" spans="1:6" s="3" customFormat="1" ht="29.1" customHeight="1" x14ac:dyDescent="0.25">
      <c r="A4944" s="2" t="s">
        <v>10599</v>
      </c>
      <c r="B4944" s="2" t="s">
        <v>10600</v>
      </c>
      <c r="C4944" s="2" t="s">
        <v>20</v>
      </c>
      <c r="D4944" s="2" t="s">
        <v>1025</v>
      </c>
      <c r="E4944" s="2" t="str">
        <f>"9783763961597"</f>
        <v>9783763961597</v>
      </c>
      <c r="F4944" s="2" t="str">
        <f>"9783763971367"</f>
        <v>9783763971367</v>
      </c>
    </row>
    <row r="4945" spans="1:6" s="3" customFormat="1" ht="29.1" customHeight="1" x14ac:dyDescent="0.25">
      <c r="A4945" s="2" t="s">
        <v>10601</v>
      </c>
      <c r="B4945" s="2" t="s">
        <v>10602</v>
      </c>
      <c r="C4945" s="2" t="s">
        <v>20</v>
      </c>
      <c r="D4945" s="2" t="s">
        <v>24</v>
      </c>
      <c r="E4945" s="2" t="str">
        <f>"9783763951390"</f>
        <v>9783763951390</v>
      </c>
      <c r="F4945" s="2" t="str">
        <f>"9783763951406"</f>
        <v>9783763951406</v>
      </c>
    </row>
    <row r="4946" spans="1:6" s="3" customFormat="1" ht="29.1" customHeight="1" x14ac:dyDescent="0.25">
      <c r="A4946" s="2" t="s">
        <v>10603</v>
      </c>
      <c r="B4946" s="2" t="s">
        <v>10604</v>
      </c>
      <c r="C4946" s="2" t="s">
        <v>20</v>
      </c>
      <c r="D4946" s="2" t="s">
        <v>21</v>
      </c>
      <c r="E4946" s="2" t="str">
        <f>"9783763970094"</f>
        <v>9783763970094</v>
      </c>
      <c r="F4946" s="2" t="str">
        <f>"9783763970438"</f>
        <v>9783763970438</v>
      </c>
    </row>
    <row r="4947" spans="1:6" s="3" customFormat="1" ht="29.1" customHeight="1" x14ac:dyDescent="0.25">
      <c r="A4947" s="2" t="s">
        <v>10605</v>
      </c>
      <c r="B4947" s="2" t="s">
        <v>10606</v>
      </c>
      <c r="C4947" s="2" t="s">
        <v>20</v>
      </c>
      <c r="D4947" s="2" t="s">
        <v>1390</v>
      </c>
      <c r="E4947" s="2" t="str">
        <f>"9783763962167"</f>
        <v>9783763962167</v>
      </c>
      <c r="F4947" s="2" t="str">
        <f>"9783763966066"</f>
        <v>9783763966066</v>
      </c>
    </row>
    <row r="4948" spans="1:6" s="3" customFormat="1" ht="29.1" customHeight="1" x14ac:dyDescent="0.25">
      <c r="A4948" s="2" t="s">
        <v>10607</v>
      </c>
      <c r="B4948" s="2" t="s">
        <v>3610</v>
      </c>
      <c r="C4948" s="2" t="s">
        <v>20</v>
      </c>
      <c r="D4948" s="2" t="s">
        <v>596</v>
      </c>
      <c r="E4948" s="2" t="str">
        <f>"9783763973521"</f>
        <v>9783763973521</v>
      </c>
      <c r="F4948" s="2" t="str">
        <f>"9783763973538"</f>
        <v>9783763973538</v>
      </c>
    </row>
    <row r="4949" spans="1:6" s="3" customFormat="1" ht="29.1" customHeight="1" x14ac:dyDescent="0.25">
      <c r="A4949" s="2" t="s">
        <v>10608</v>
      </c>
      <c r="B4949" s="2" t="s">
        <v>10609</v>
      </c>
      <c r="C4949" s="2" t="s">
        <v>20</v>
      </c>
      <c r="D4949" s="2" t="s">
        <v>24</v>
      </c>
      <c r="E4949" s="2" t="str">
        <f>"9783763971374"</f>
        <v>9783763971374</v>
      </c>
      <c r="F4949" s="2" t="str">
        <f>"9783763971381"</f>
        <v>9783763971381</v>
      </c>
    </row>
    <row r="4950" spans="1:6" s="3" customFormat="1" ht="29.1" customHeight="1" x14ac:dyDescent="0.25">
      <c r="A4950" s="2" t="s">
        <v>10610</v>
      </c>
      <c r="B4950" s="2" t="s">
        <v>10612</v>
      </c>
      <c r="C4950" s="2" t="s">
        <v>20</v>
      </c>
      <c r="D4950" s="2" t="s">
        <v>10611</v>
      </c>
      <c r="E4950" s="2" t="str">
        <f>"9783763967704"</f>
        <v>9783763967704</v>
      </c>
      <c r="F4950" s="2" t="str">
        <f>"9783763967711"</f>
        <v>9783763967711</v>
      </c>
    </row>
    <row r="4951" spans="1:6" s="3" customFormat="1" ht="29.1" customHeight="1" x14ac:dyDescent="0.25">
      <c r="A4951" s="2" t="s">
        <v>10613</v>
      </c>
      <c r="B4951" s="2" t="s">
        <v>10614</v>
      </c>
      <c r="C4951" s="2" t="s">
        <v>20</v>
      </c>
      <c r="D4951" s="2" t="s">
        <v>135</v>
      </c>
      <c r="E4951" s="2"/>
      <c r="F4951" s="2" t="str">
        <f>"9783763975303"</f>
        <v>9783763975303</v>
      </c>
    </row>
    <row r="4952" spans="1:6" s="3" customFormat="1" ht="29.1" customHeight="1" x14ac:dyDescent="0.25">
      <c r="A4952" s="2" t="s">
        <v>10615</v>
      </c>
      <c r="B4952" s="2" t="s">
        <v>10616</v>
      </c>
      <c r="C4952" s="2" t="s">
        <v>20</v>
      </c>
      <c r="D4952" s="2" t="s">
        <v>24</v>
      </c>
      <c r="E4952" s="2" t="str">
        <f>"9783763972876"</f>
        <v>9783763972876</v>
      </c>
      <c r="F4952" s="2" t="str">
        <f>"9783763972883"</f>
        <v>9783763972883</v>
      </c>
    </row>
    <row r="4953" spans="1:6" s="3" customFormat="1" ht="29.1" customHeight="1" x14ac:dyDescent="0.25">
      <c r="A4953" s="2" t="s">
        <v>10617</v>
      </c>
      <c r="B4953" s="2" t="s">
        <v>10618</v>
      </c>
      <c r="C4953" s="2" t="s">
        <v>20</v>
      </c>
      <c r="D4953" s="2" t="s">
        <v>2045</v>
      </c>
      <c r="E4953" s="2" t="str">
        <f>"9783763966462"</f>
        <v>9783763966462</v>
      </c>
      <c r="F4953" s="2" t="str">
        <f>"9783763966479"</f>
        <v>9783763966479</v>
      </c>
    </row>
    <row r="4954" spans="1:6" s="3" customFormat="1" ht="29.1" customHeight="1" x14ac:dyDescent="0.25">
      <c r="A4954" s="2" t="s">
        <v>10619</v>
      </c>
      <c r="B4954" s="2" t="s">
        <v>10620</v>
      </c>
      <c r="C4954" s="2" t="s">
        <v>20</v>
      </c>
      <c r="D4954" s="2" t="s">
        <v>9</v>
      </c>
      <c r="E4954" s="2" t="str">
        <f>"9783763970292"</f>
        <v>9783763970292</v>
      </c>
      <c r="F4954" s="2" t="str">
        <f>"9783763970919"</f>
        <v>9783763970919</v>
      </c>
    </row>
    <row r="4955" spans="1:6" s="3" customFormat="1" ht="29.1" customHeight="1" x14ac:dyDescent="0.25">
      <c r="A4955" s="2" t="s">
        <v>10621</v>
      </c>
      <c r="B4955" s="2" t="s">
        <v>10622</v>
      </c>
      <c r="C4955" s="2" t="s">
        <v>20</v>
      </c>
      <c r="D4955" s="2" t="s">
        <v>24</v>
      </c>
      <c r="E4955" s="2" t="str">
        <f>"9783763972852"</f>
        <v>9783763972852</v>
      </c>
      <c r="F4955" s="2" t="str">
        <f>"9783763973064"</f>
        <v>9783763973064</v>
      </c>
    </row>
    <row r="4956" spans="1:6" s="3" customFormat="1" ht="29.1" customHeight="1" x14ac:dyDescent="0.25">
      <c r="A4956" s="2" t="s">
        <v>10623</v>
      </c>
      <c r="B4956" s="2" t="s">
        <v>10624</v>
      </c>
      <c r="C4956" s="2" t="s">
        <v>20</v>
      </c>
      <c r="D4956" s="2" t="s">
        <v>24</v>
      </c>
      <c r="E4956" s="2" t="str">
        <f>"9783763960385"</f>
        <v>9783763960385</v>
      </c>
      <c r="F4956" s="2" t="str">
        <f>"9783763970452"</f>
        <v>9783763970452</v>
      </c>
    </row>
    <row r="4957" spans="1:6" s="3" customFormat="1" ht="29.1" customHeight="1" x14ac:dyDescent="0.25">
      <c r="A4957" s="2" t="s">
        <v>10625</v>
      </c>
      <c r="B4957" s="2" t="s">
        <v>10626</v>
      </c>
      <c r="C4957" s="2" t="s">
        <v>20</v>
      </c>
      <c r="D4957" s="2" t="s">
        <v>24</v>
      </c>
      <c r="E4957" s="2" t="str">
        <f>"9783763967728"</f>
        <v>9783763967728</v>
      </c>
      <c r="F4957" s="2" t="str">
        <f>"9783763967735"</f>
        <v>9783763967735</v>
      </c>
    </row>
    <row r="4958" spans="1:6" s="3" customFormat="1" ht="29.1" customHeight="1" x14ac:dyDescent="0.25">
      <c r="A4958" s="2" t="s">
        <v>10627</v>
      </c>
      <c r="B4958" s="2" t="s">
        <v>10628</v>
      </c>
      <c r="C4958" s="2" t="s">
        <v>20</v>
      </c>
      <c r="D4958" s="2" t="s">
        <v>9</v>
      </c>
      <c r="E4958" s="2" t="str">
        <f>"9783763970339"</f>
        <v>9783763970339</v>
      </c>
      <c r="F4958" s="2" t="str">
        <f>"9783763971527"</f>
        <v>9783763971527</v>
      </c>
    </row>
    <row r="4959" spans="1:6" s="3" customFormat="1" ht="29.1" customHeight="1" x14ac:dyDescent="0.25">
      <c r="A4959" s="2" t="s">
        <v>10629</v>
      </c>
      <c r="B4959" s="2" t="s">
        <v>10630</v>
      </c>
      <c r="C4959" s="2" t="s">
        <v>20</v>
      </c>
      <c r="D4959" s="2" t="s">
        <v>24</v>
      </c>
      <c r="E4959" s="2" t="str">
        <f>"9783763970582"</f>
        <v>9783763970582</v>
      </c>
      <c r="F4959" s="2" t="str">
        <f>"9783763971794"</f>
        <v>9783763971794</v>
      </c>
    </row>
    <row r="4960" spans="1:6" s="3" customFormat="1" ht="29.1" customHeight="1" x14ac:dyDescent="0.25">
      <c r="A4960" s="2" t="s">
        <v>10631</v>
      </c>
      <c r="B4960" s="2" t="s">
        <v>10632</v>
      </c>
      <c r="C4960" s="2" t="s">
        <v>20</v>
      </c>
      <c r="D4960" s="2" t="s">
        <v>24</v>
      </c>
      <c r="E4960" s="2" t="str">
        <f>"9783763970506"</f>
        <v>9783763970506</v>
      </c>
      <c r="F4960" s="2" t="str">
        <f>"9783763971534"</f>
        <v>9783763971534</v>
      </c>
    </row>
    <row r="4961" spans="1:6" s="3" customFormat="1" ht="29.1" customHeight="1" x14ac:dyDescent="0.25">
      <c r="A4961" s="2" t="s">
        <v>10633</v>
      </c>
      <c r="B4961" s="2" t="s">
        <v>10635</v>
      </c>
      <c r="C4961" s="2" t="s">
        <v>20</v>
      </c>
      <c r="D4961" s="2" t="s">
        <v>10634</v>
      </c>
      <c r="E4961" s="2" t="str">
        <f>"9783763977796"</f>
        <v>9783763977796</v>
      </c>
      <c r="F4961" s="2" t="str">
        <f>"9783763977802"</f>
        <v>9783763977802</v>
      </c>
    </row>
    <row r="4962" spans="1:6" s="3" customFormat="1" ht="29.1" customHeight="1" x14ac:dyDescent="0.25">
      <c r="A4962" s="2" t="s">
        <v>10636</v>
      </c>
      <c r="B4962" s="2" t="s">
        <v>10637</v>
      </c>
      <c r="C4962" s="2" t="s">
        <v>20</v>
      </c>
      <c r="D4962" s="2" t="s">
        <v>24</v>
      </c>
      <c r="E4962" s="2" t="str">
        <f>"9783763976591"</f>
        <v>9783763976591</v>
      </c>
      <c r="F4962" s="2" t="str">
        <f>"9783763976584"</f>
        <v>9783763976584</v>
      </c>
    </row>
    <row r="4963" spans="1:6" s="3" customFormat="1" ht="29.1" customHeight="1" x14ac:dyDescent="0.25">
      <c r="A4963" s="2" t="s">
        <v>10638</v>
      </c>
      <c r="B4963" s="2" t="s">
        <v>10639</v>
      </c>
      <c r="C4963" s="2" t="s">
        <v>20</v>
      </c>
      <c r="D4963" s="2" t="s">
        <v>24</v>
      </c>
      <c r="E4963" s="2" t="str">
        <f>"9783763972746"</f>
        <v>9783763972746</v>
      </c>
      <c r="F4963" s="2" t="str">
        <f>"9783763972753"</f>
        <v>9783763972753</v>
      </c>
    </row>
    <row r="4964" spans="1:6" s="3" customFormat="1" ht="29.1" customHeight="1" x14ac:dyDescent="0.25">
      <c r="A4964" s="2" t="s">
        <v>10640</v>
      </c>
      <c r="B4964" s="2" t="s">
        <v>10641</v>
      </c>
      <c r="C4964" s="2" t="s">
        <v>20</v>
      </c>
      <c r="D4964" s="2" t="s">
        <v>24</v>
      </c>
      <c r="E4964" s="2"/>
      <c r="F4964" s="2" t="str">
        <f>"9783763969920"</f>
        <v>9783763969920</v>
      </c>
    </row>
    <row r="4965" spans="1:6" s="3" customFormat="1" ht="29.1" customHeight="1" x14ac:dyDescent="0.25">
      <c r="A4965" s="2" t="s">
        <v>10642</v>
      </c>
      <c r="B4965" s="2" t="s">
        <v>10643</v>
      </c>
      <c r="C4965" s="2" t="s">
        <v>20</v>
      </c>
      <c r="D4965" s="2" t="s">
        <v>9</v>
      </c>
      <c r="E4965" s="2" t="str">
        <f>"9783763974658"</f>
        <v>9783763974658</v>
      </c>
      <c r="F4965" s="2" t="str">
        <f>"9783763974665"</f>
        <v>9783763974665</v>
      </c>
    </row>
    <row r="4966" spans="1:6" s="3" customFormat="1" ht="29.1" customHeight="1" x14ac:dyDescent="0.25">
      <c r="A4966" s="2" t="s">
        <v>10644</v>
      </c>
      <c r="B4966" s="2" t="s">
        <v>10645</v>
      </c>
      <c r="C4966" s="2" t="s">
        <v>20</v>
      </c>
      <c r="D4966" s="2" t="s">
        <v>1927</v>
      </c>
      <c r="E4966" s="2" t="str">
        <f>"9783763966943"</f>
        <v>9783763966943</v>
      </c>
      <c r="F4966" s="2" t="str">
        <f>"9783763966950"</f>
        <v>9783763966950</v>
      </c>
    </row>
    <row r="4967" spans="1:6" s="3" customFormat="1" ht="29.1" customHeight="1" x14ac:dyDescent="0.25">
      <c r="A4967" s="2" t="s">
        <v>10646</v>
      </c>
      <c r="B4967" s="2" t="s">
        <v>10647</v>
      </c>
      <c r="C4967" s="2" t="s">
        <v>20</v>
      </c>
      <c r="D4967" s="2" t="s">
        <v>24</v>
      </c>
      <c r="E4967" s="2" t="str">
        <f>"9783763966905"</f>
        <v>9783763966905</v>
      </c>
      <c r="F4967" s="2" t="str">
        <f>"9783763966912"</f>
        <v>9783763966912</v>
      </c>
    </row>
    <row r="4968" spans="1:6" s="3" customFormat="1" ht="29.1" customHeight="1" x14ac:dyDescent="0.25">
      <c r="A4968" s="2" t="s">
        <v>10648</v>
      </c>
      <c r="B4968" s="2" t="s">
        <v>10649</v>
      </c>
      <c r="C4968" s="2" t="s">
        <v>20</v>
      </c>
      <c r="D4968" s="2" t="s">
        <v>24</v>
      </c>
      <c r="E4968" s="2" t="str">
        <f>"9783763971411"</f>
        <v>9783763971411</v>
      </c>
      <c r="F4968" s="2" t="str">
        <f>"9783763971428"</f>
        <v>9783763971428</v>
      </c>
    </row>
    <row r="4969" spans="1:6" s="3" customFormat="1" ht="29.1" customHeight="1" x14ac:dyDescent="0.25">
      <c r="A4969" s="2" t="s">
        <v>5066</v>
      </c>
      <c r="B4969" s="2" t="s">
        <v>10650</v>
      </c>
      <c r="C4969" s="2" t="s">
        <v>20</v>
      </c>
      <c r="D4969" s="2" t="s">
        <v>24</v>
      </c>
      <c r="E4969" s="2"/>
      <c r="F4969" s="2" t="str">
        <f>"9783763970681"</f>
        <v>9783763970681</v>
      </c>
    </row>
    <row r="4970" spans="1:6" s="3" customFormat="1" ht="29.1" customHeight="1" x14ac:dyDescent="0.25">
      <c r="A4970" s="2" t="s">
        <v>10651</v>
      </c>
      <c r="B4970" s="2" t="s">
        <v>10652</v>
      </c>
      <c r="C4970" s="2" t="s">
        <v>20</v>
      </c>
      <c r="D4970" s="2" t="s">
        <v>553</v>
      </c>
      <c r="E4970" s="2"/>
      <c r="F4970" s="2" t="str">
        <f>"9783763970179"</f>
        <v>9783763970179</v>
      </c>
    </row>
    <row r="4971" spans="1:6" s="3" customFormat="1" ht="29.1" customHeight="1" x14ac:dyDescent="0.25">
      <c r="A4971" s="2" t="s">
        <v>10653</v>
      </c>
      <c r="B4971" s="2" t="s">
        <v>10654</v>
      </c>
      <c r="C4971" s="2" t="s">
        <v>20</v>
      </c>
      <c r="D4971" s="2" t="s">
        <v>537</v>
      </c>
      <c r="E4971" s="2" t="str">
        <f>"9783763962419"</f>
        <v>9783763962419</v>
      </c>
      <c r="F4971" s="2" t="str">
        <f>"9783763970575"</f>
        <v>9783763970575</v>
      </c>
    </row>
    <row r="4972" spans="1:6" s="3" customFormat="1" ht="29.1" customHeight="1" x14ac:dyDescent="0.25">
      <c r="A4972" s="2" t="s">
        <v>10655</v>
      </c>
      <c r="B4972" s="2" t="s">
        <v>10656</v>
      </c>
      <c r="C4972" s="2" t="s">
        <v>20</v>
      </c>
      <c r="D4972" s="2" t="s">
        <v>553</v>
      </c>
      <c r="E4972" s="2" t="str">
        <f>"9783763972722"</f>
        <v>9783763972722</v>
      </c>
      <c r="F4972" s="2" t="str">
        <f>"9783763972784"</f>
        <v>9783763972784</v>
      </c>
    </row>
    <row r="4973" spans="1:6" s="3" customFormat="1" ht="29.1" customHeight="1" x14ac:dyDescent="0.25">
      <c r="A4973" s="2" t="s">
        <v>10657</v>
      </c>
      <c r="B4973" s="2" t="s">
        <v>10658</v>
      </c>
      <c r="C4973" s="2" t="s">
        <v>20</v>
      </c>
      <c r="D4973" s="2" t="s">
        <v>7079</v>
      </c>
      <c r="E4973" s="2" t="str">
        <f>"9783763967094"</f>
        <v>9783763967094</v>
      </c>
      <c r="F4973" s="2" t="str">
        <f>"9783763971350"</f>
        <v>9783763971350</v>
      </c>
    </row>
    <row r="4974" spans="1:6" s="3" customFormat="1" ht="29.1" customHeight="1" x14ac:dyDescent="0.25">
      <c r="A4974" s="2" t="s">
        <v>10659</v>
      </c>
      <c r="B4974" s="2" t="s">
        <v>10660</v>
      </c>
      <c r="C4974" s="2" t="s">
        <v>20</v>
      </c>
      <c r="D4974" s="2" t="s">
        <v>24</v>
      </c>
      <c r="E4974" s="2" t="str">
        <f>"9783763970698"</f>
        <v>9783763970698</v>
      </c>
      <c r="F4974" s="2" t="str">
        <f>"9783763970704"</f>
        <v>9783763970704</v>
      </c>
    </row>
    <row r="4975" spans="1:6" s="3" customFormat="1" ht="29.1" customHeight="1" x14ac:dyDescent="0.25">
      <c r="A4975" s="2" t="s">
        <v>10661</v>
      </c>
      <c r="B4975" s="2" t="s">
        <v>10662</v>
      </c>
      <c r="C4975" s="2" t="s">
        <v>20</v>
      </c>
      <c r="D4975" s="2" t="s">
        <v>2260</v>
      </c>
      <c r="E4975" s="2" t="str">
        <f>"9783763919598"</f>
        <v>9783763919598</v>
      </c>
      <c r="F4975" s="2" t="str">
        <f>"9783763946334"</f>
        <v>9783763946334</v>
      </c>
    </row>
    <row r="4976" spans="1:6" s="3" customFormat="1" ht="29.1" customHeight="1" x14ac:dyDescent="0.25">
      <c r="A4976" s="2" t="s">
        <v>10663</v>
      </c>
      <c r="B4976" s="2" t="s">
        <v>10664</v>
      </c>
      <c r="C4976" s="2" t="s">
        <v>20</v>
      </c>
      <c r="D4976" s="2" t="s">
        <v>24</v>
      </c>
      <c r="E4976" s="2" t="str">
        <f>"9783763962501"</f>
        <v>9783763962501</v>
      </c>
      <c r="F4976" s="2" t="str">
        <f>"9783763970100"</f>
        <v>9783763970100</v>
      </c>
    </row>
    <row r="4977" spans="1:6" s="3" customFormat="1" ht="29.1" customHeight="1" x14ac:dyDescent="0.25">
      <c r="A4977" s="2" t="s">
        <v>10665</v>
      </c>
      <c r="B4977" s="2" t="s">
        <v>10656</v>
      </c>
      <c r="C4977" s="2" t="s">
        <v>20</v>
      </c>
      <c r="D4977" s="2" t="s">
        <v>553</v>
      </c>
      <c r="E4977" s="2" t="str">
        <f>"9783763967551"</f>
        <v>9783763967551</v>
      </c>
      <c r="F4977" s="2" t="str">
        <f>"9783763967568"</f>
        <v>9783763967568</v>
      </c>
    </row>
    <row r="4978" spans="1:6" s="3" customFormat="1" ht="29.1" customHeight="1" x14ac:dyDescent="0.25">
      <c r="A4978" s="2" t="s">
        <v>10666</v>
      </c>
      <c r="B4978" s="2" t="s">
        <v>10667</v>
      </c>
      <c r="C4978" s="2" t="s">
        <v>20</v>
      </c>
      <c r="D4978" s="2" t="s">
        <v>24</v>
      </c>
      <c r="E4978" s="2" t="str">
        <f>"9783763949243"</f>
        <v>9783763949243</v>
      </c>
      <c r="F4978" s="2" t="str">
        <f>"9783763949250"</f>
        <v>9783763949250</v>
      </c>
    </row>
    <row r="4979" spans="1:6" s="3" customFormat="1" ht="29.1" customHeight="1" x14ac:dyDescent="0.25">
      <c r="A4979" s="2" t="s">
        <v>10668</v>
      </c>
      <c r="B4979" s="2" t="s">
        <v>10669</v>
      </c>
      <c r="C4979" s="2" t="s">
        <v>20</v>
      </c>
      <c r="D4979" s="2" t="s">
        <v>24</v>
      </c>
      <c r="E4979" s="2" t="str">
        <f>"9783763936663"</f>
        <v>9783763936663</v>
      </c>
      <c r="F4979" s="2" t="str">
        <f>"9783763946198"</f>
        <v>9783763946198</v>
      </c>
    </row>
    <row r="4980" spans="1:6" s="3" customFormat="1" ht="29.1" customHeight="1" x14ac:dyDescent="0.25">
      <c r="A4980" s="2" t="s">
        <v>10670</v>
      </c>
      <c r="B4980" s="2" t="s">
        <v>10671</v>
      </c>
      <c r="C4980" s="2" t="s">
        <v>20</v>
      </c>
      <c r="D4980" s="2" t="s">
        <v>6618</v>
      </c>
      <c r="E4980" s="2"/>
      <c r="F4980" s="2" t="str">
        <f>"9783898969109"</f>
        <v>9783898969109</v>
      </c>
    </row>
    <row r="4981" spans="1:6" s="3" customFormat="1" ht="29.1" customHeight="1" x14ac:dyDescent="0.25">
      <c r="A4981" s="2" t="s">
        <v>10672</v>
      </c>
      <c r="B4981" s="2" t="s">
        <v>10673</v>
      </c>
      <c r="C4981" s="2" t="s">
        <v>20</v>
      </c>
      <c r="D4981" s="2" t="s">
        <v>183</v>
      </c>
      <c r="E4981" s="2"/>
      <c r="F4981" s="2" t="str">
        <f>"9783763973712"</f>
        <v>9783763973712</v>
      </c>
    </row>
    <row r="4982" spans="1:6" s="3" customFormat="1" ht="29.1" customHeight="1" x14ac:dyDescent="0.25">
      <c r="A4982" s="2" t="s">
        <v>10674</v>
      </c>
      <c r="B4982" s="2" t="s">
        <v>10675</v>
      </c>
      <c r="C4982" s="2" t="s">
        <v>20</v>
      </c>
      <c r="D4982" s="2" t="s">
        <v>596</v>
      </c>
      <c r="E4982" s="2" t="str">
        <f>"9783763976706"</f>
        <v>9783763976706</v>
      </c>
      <c r="F4982" s="2" t="str">
        <f>"9783763976713"</f>
        <v>9783763976713</v>
      </c>
    </row>
    <row r="4983" spans="1:6" s="3" customFormat="1" ht="29.1" customHeight="1" x14ac:dyDescent="0.25">
      <c r="A4983" s="2" t="s">
        <v>10676</v>
      </c>
      <c r="B4983" s="2" t="s">
        <v>10677</v>
      </c>
      <c r="C4983" s="2" t="s">
        <v>20</v>
      </c>
      <c r="D4983" s="2" t="s">
        <v>21</v>
      </c>
      <c r="E4983" s="2" t="str">
        <f>"9783763935741"</f>
        <v>9783763935741</v>
      </c>
      <c r="F4983" s="2" t="str">
        <f>"9783763944958"</f>
        <v>9783763944958</v>
      </c>
    </row>
    <row r="4984" spans="1:6" s="3" customFormat="1" ht="29.1" customHeight="1" x14ac:dyDescent="0.25">
      <c r="A4984" s="2" t="s">
        <v>10678</v>
      </c>
      <c r="B4984" s="2" t="s">
        <v>10679</v>
      </c>
      <c r="C4984" s="2" t="s">
        <v>20</v>
      </c>
      <c r="D4984" s="2" t="s">
        <v>24</v>
      </c>
      <c r="E4984" s="2" t="str">
        <f>"9783763919475"</f>
        <v>9783763919475</v>
      </c>
      <c r="F4984" s="2" t="str">
        <f>"9783763946426"</f>
        <v>9783763946426</v>
      </c>
    </row>
    <row r="4985" spans="1:6" s="3" customFormat="1" ht="29.1" customHeight="1" x14ac:dyDescent="0.25">
      <c r="A4985" s="2" t="s">
        <v>10680</v>
      </c>
      <c r="B4985" s="2" t="s">
        <v>10681</v>
      </c>
      <c r="C4985" s="2" t="s">
        <v>20</v>
      </c>
      <c r="D4985" s="2" t="s">
        <v>2271</v>
      </c>
      <c r="E4985" s="2" t="str">
        <f>"9783763938797"</f>
        <v>9783763938797</v>
      </c>
      <c r="F4985" s="2" t="str">
        <f>"9783763945719"</f>
        <v>9783763945719</v>
      </c>
    </row>
    <row r="4986" spans="1:6" s="3" customFormat="1" ht="29.1" customHeight="1" x14ac:dyDescent="0.25">
      <c r="A4986" s="2" t="s">
        <v>10682</v>
      </c>
      <c r="B4986" s="2" t="s">
        <v>10683</v>
      </c>
      <c r="C4986" s="2" t="s">
        <v>20</v>
      </c>
      <c r="D4986" s="2" t="s">
        <v>24</v>
      </c>
      <c r="E4986" s="2" t="str">
        <f>"9783763935383"</f>
        <v>9783763935383</v>
      </c>
      <c r="F4986" s="2" t="str">
        <f>"9783763945061"</f>
        <v>9783763945061</v>
      </c>
    </row>
    <row r="4987" spans="1:6" s="3" customFormat="1" ht="29.1" customHeight="1" x14ac:dyDescent="0.25">
      <c r="A4987" s="2" t="s">
        <v>10684</v>
      </c>
      <c r="B4987" s="2" t="s">
        <v>10686</v>
      </c>
      <c r="C4987" s="2" t="s">
        <v>20</v>
      </c>
      <c r="D4987" s="2" t="s">
        <v>10685</v>
      </c>
      <c r="E4987" s="2" t="str">
        <f>"9783763919642"</f>
        <v>9783763919642</v>
      </c>
      <c r="F4987" s="2" t="str">
        <f>"9783763942411"</f>
        <v>9783763942411</v>
      </c>
    </row>
    <row r="4988" spans="1:6" s="3" customFormat="1" ht="29.1" customHeight="1" x14ac:dyDescent="0.25">
      <c r="A4988" s="2" t="s">
        <v>10687</v>
      </c>
      <c r="B4988" s="2" t="s">
        <v>10688</v>
      </c>
      <c r="C4988" s="2" t="s">
        <v>20</v>
      </c>
      <c r="D4988" s="2" t="s">
        <v>24</v>
      </c>
      <c r="E4988" s="2" t="str">
        <f>"9783763919505"</f>
        <v>9783763919505</v>
      </c>
      <c r="F4988" s="2" t="str">
        <f>"9783763946402"</f>
        <v>9783763946402</v>
      </c>
    </row>
    <row r="4989" spans="1:6" s="3" customFormat="1" ht="29.1" customHeight="1" x14ac:dyDescent="0.25">
      <c r="A4989" s="2" t="s">
        <v>10689</v>
      </c>
      <c r="B4989" s="2" t="s">
        <v>10690</v>
      </c>
      <c r="C4989" s="2" t="s">
        <v>20</v>
      </c>
      <c r="D4989" s="2" t="s">
        <v>2260</v>
      </c>
      <c r="E4989" s="2" t="str">
        <f>"9783763919451"</f>
        <v>9783763919451</v>
      </c>
      <c r="F4989" s="2" t="str">
        <f>"9783763945627"</f>
        <v>9783763945627</v>
      </c>
    </row>
    <row r="4990" spans="1:6" s="3" customFormat="1" ht="29.1" customHeight="1" x14ac:dyDescent="0.25">
      <c r="A4990" s="2" t="s">
        <v>10691</v>
      </c>
      <c r="B4990" s="2" t="s">
        <v>10692</v>
      </c>
      <c r="C4990" s="2" t="s">
        <v>20</v>
      </c>
      <c r="D4990" s="2" t="s">
        <v>24</v>
      </c>
      <c r="E4990" s="2" t="str">
        <f>"9783763972616"</f>
        <v>9783763972616</v>
      </c>
      <c r="F4990" s="2" t="str">
        <f>"9783763973200"</f>
        <v>9783763973200</v>
      </c>
    </row>
    <row r="4991" spans="1:6" s="3" customFormat="1" ht="29.1" customHeight="1" x14ac:dyDescent="0.25">
      <c r="A4991" s="2" t="s">
        <v>10693</v>
      </c>
      <c r="B4991" s="2" t="s">
        <v>10647</v>
      </c>
      <c r="C4991" s="2" t="s">
        <v>20</v>
      </c>
      <c r="D4991" s="2" t="s">
        <v>24</v>
      </c>
      <c r="E4991" s="2" t="str">
        <f>"9783763973187"</f>
        <v>9783763973187</v>
      </c>
      <c r="F4991" s="2" t="str">
        <f>"9783763973194"</f>
        <v>9783763973194</v>
      </c>
    </row>
    <row r="4992" spans="1:6" s="3" customFormat="1" ht="29.1" customHeight="1" x14ac:dyDescent="0.25">
      <c r="A4992" s="2" t="s">
        <v>10694</v>
      </c>
      <c r="B4992" s="2" t="s">
        <v>10695</v>
      </c>
      <c r="C4992" s="2" t="s">
        <v>20</v>
      </c>
      <c r="D4992" s="2" t="s">
        <v>24</v>
      </c>
      <c r="E4992" s="2" t="str">
        <f>"9783763972838"</f>
        <v>9783763972838</v>
      </c>
      <c r="F4992" s="2" t="str">
        <f>"9783763972845"</f>
        <v>9783763972845</v>
      </c>
    </row>
    <row r="4993" spans="1:6" s="3" customFormat="1" ht="29.1" customHeight="1" x14ac:dyDescent="0.25">
      <c r="A4993" s="2" t="s">
        <v>10696</v>
      </c>
      <c r="B4993" s="2" t="s">
        <v>10697</v>
      </c>
      <c r="C4993" s="2" t="s">
        <v>20</v>
      </c>
      <c r="D4993" s="2" t="s">
        <v>24</v>
      </c>
      <c r="E4993" s="2" t="str">
        <f>"9783763972388"</f>
        <v>9783763972388</v>
      </c>
      <c r="F4993" s="2" t="str">
        <f>"9783763972456"</f>
        <v>9783763972456</v>
      </c>
    </row>
    <row r="4994" spans="1:6" s="3" customFormat="1" ht="29.1" customHeight="1" x14ac:dyDescent="0.25">
      <c r="A4994" s="2" t="s">
        <v>10698</v>
      </c>
      <c r="B4994" s="2" t="s">
        <v>10656</v>
      </c>
      <c r="C4994" s="2" t="s">
        <v>20</v>
      </c>
      <c r="D4994" s="2" t="s">
        <v>3958</v>
      </c>
      <c r="E4994" s="2" t="str">
        <f>"9783763972791"</f>
        <v>9783763972791</v>
      </c>
      <c r="F4994" s="2" t="str">
        <f>"9783763972807"</f>
        <v>9783763972807</v>
      </c>
    </row>
    <row r="4995" spans="1:6" s="3" customFormat="1" ht="29.1" customHeight="1" x14ac:dyDescent="0.25">
      <c r="A4995" s="2" t="s">
        <v>10699</v>
      </c>
      <c r="B4995" s="2" t="s">
        <v>10700</v>
      </c>
      <c r="C4995" s="2" t="s">
        <v>20</v>
      </c>
      <c r="D4995" s="2" t="s">
        <v>9</v>
      </c>
      <c r="E4995" s="2" t="str">
        <f>"9783763971305"</f>
        <v>9783763971305</v>
      </c>
      <c r="F4995" s="2" t="str">
        <f>"9783763971312"</f>
        <v>9783763971312</v>
      </c>
    </row>
    <row r="4996" spans="1:6" s="3" customFormat="1" ht="29.1" customHeight="1" x14ac:dyDescent="0.25">
      <c r="A4996" s="2" t="s">
        <v>10701</v>
      </c>
      <c r="B4996" s="2" t="s">
        <v>10702</v>
      </c>
      <c r="C4996" s="2" t="s">
        <v>20</v>
      </c>
      <c r="D4996" s="2" t="s">
        <v>135</v>
      </c>
      <c r="E4996" s="2" t="str">
        <f>"9783763972982"</f>
        <v>9783763972982</v>
      </c>
      <c r="F4996" s="2" t="str">
        <f>"9783763972999"</f>
        <v>9783763972999</v>
      </c>
    </row>
    <row r="4997" spans="1:6" s="3" customFormat="1" ht="29.1" customHeight="1" x14ac:dyDescent="0.25">
      <c r="A4997" s="2" t="s">
        <v>10703</v>
      </c>
      <c r="B4997" s="2" t="s">
        <v>10704</v>
      </c>
      <c r="C4997" s="2" t="s">
        <v>20</v>
      </c>
      <c r="D4997" s="2" t="s">
        <v>9</v>
      </c>
      <c r="E4997" s="2" t="str">
        <f>"9783763971503"</f>
        <v>9783763971503</v>
      </c>
      <c r="F4997" s="2" t="str">
        <f>"9783763971510"</f>
        <v>9783763971510</v>
      </c>
    </row>
    <row r="4998" spans="1:6" s="3" customFormat="1" ht="29.1" customHeight="1" x14ac:dyDescent="0.25">
      <c r="A4998" s="2" t="s">
        <v>10705</v>
      </c>
      <c r="B4998" s="2" t="s">
        <v>10656</v>
      </c>
      <c r="C4998" s="2" t="s">
        <v>20</v>
      </c>
      <c r="D4998" s="2" t="s">
        <v>3958</v>
      </c>
      <c r="E4998" s="2" t="str">
        <f>"9783763967599"</f>
        <v>9783763967599</v>
      </c>
      <c r="F4998" s="2" t="str">
        <f>"9783763967605"</f>
        <v>9783763967605</v>
      </c>
    </row>
    <row r="4999" spans="1:6" s="3" customFormat="1" ht="29.1" customHeight="1" x14ac:dyDescent="0.25">
      <c r="A4999" s="2" t="s">
        <v>10706</v>
      </c>
      <c r="B4999" s="2" t="s">
        <v>10707</v>
      </c>
      <c r="C4999" s="2" t="s">
        <v>20</v>
      </c>
      <c r="D4999" s="2" t="s">
        <v>7079</v>
      </c>
      <c r="E4999" s="2" t="str">
        <f>"9783763962150"</f>
        <v>9783763962150</v>
      </c>
      <c r="F4999" s="2" t="str">
        <f>"9783763966073"</f>
        <v>9783763966073</v>
      </c>
    </row>
    <row r="5000" spans="1:6" s="3" customFormat="1" ht="29.1" customHeight="1" x14ac:dyDescent="0.25">
      <c r="A5000" s="2" t="s">
        <v>10708</v>
      </c>
      <c r="B5000" s="2" t="s">
        <v>10709</v>
      </c>
      <c r="C5000" s="2" t="s">
        <v>20</v>
      </c>
      <c r="D5000" s="2" t="s">
        <v>21</v>
      </c>
      <c r="E5000" s="2" t="str">
        <f>"9783763936502"</f>
        <v>9783763936502</v>
      </c>
      <c r="F5000" s="2" t="str">
        <f>"9783763944491"</f>
        <v>9783763944491</v>
      </c>
    </row>
    <row r="5001" spans="1:6" s="3" customFormat="1" ht="29.1" customHeight="1" x14ac:dyDescent="0.25">
      <c r="A5001" s="2" t="s">
        <v>10710</v>
      </c>
      <c r="B5001" s="2" t="s">
        <v>10711</v>
      </c>
      <c r="C5001" s="2" t="s">
        <v>20</v>
      </c>
      <c r="D5001" s="2" t="s">
        <v>24</v>
      </c>
      <c r="E5001" s="2"/>
      <c r="F5001" s="2" t="str">
        <f>"9783763966233"</f>
        <v>9783763966233</v>
      </c>
    </row>
    <row r="5002" spans="1:6" s="3" customFormat="1" ht="29.1" customHeight="1" x14ac:dyDescent="0.25">
      <c r="A5002" s="2" t="s">
        <v>10712</v>
      </c>
      <c r="B5002" s="2" t="s">
        <v>10713</v>
      </c>
      <c r="C5002" s="2" t="s">
        <v>20</v>
      </c>
      <c r="D5002" s="2" t="s">
        <v>2271</v>
      </c>
      <c r="E5002" s="2" t="str">
        <f>"9783763935666"</f>
        <v>9783763935666</v>
      </c>
      <c r="F5002" s="2" t="str">
        <f>"9783763944989"</f>
        <v>9783763944989</v>
      </c>
    </row>
    <row r="5003" spans="1:6" s="3" customFormat="1" ht="29.1" customHeight="1" x14ac:dyDescent="0.25">
      <c r="A5003" s="2" t="s">
        <v>10714</v>
      </c>
      <c r="B5003" s="2" t="s">
        <v>10715</v>
      </c>
      <c r="C5003" s="2" t="s">
        <v>20</v>
      </c>
      <c r="D5003" s="2" t="s">
        <v>24</v>
      </c>
      <c r="E5003" s="2" t="str">
        <f>"9783763970315"</f>
        <v>9783763970315</v>
      </c>
      <c r="F5003" s="2" t="str">
        <f>"9783763970322"</f>
        <v>9783763970322</v>
      </c>
    </row>
    <row r="5004" spans="1:6" s="3" customFormat="1" ht="29.1" customHeight="1" x14ac:dyDescent="0.25">
      <c r="A5004" s="2" t="s">
        <v>10716</v>
      </c>
      <c r="B5004" s="2" t="s">
        <v>664</v>
      </c>
      <c r="C5004" s="2" t="s">
        <v>20</v>
      </c>
      <c r="D5004" s="2" t="s">
        <v>297</v>
      </c>
      <c r="E5004" s="2" t="str">
        <f>"9783763972715"</f>
        <v>9783763972715</v>
      </c>
      <c r="F5004" s="2" t="str">
        <f>"9783763973149"</f>
        <v>9783763973149</v>
      </c>
    </row>
    <row r="5005" spans="1:6" s="3" customFormat="1" ht="29.1" customHeight="1" x14ac:dyDescent="0.25">
      <c r="A5005" s="2" t="s">
        <v>10717</v>
      </c>
      <c r="B5005" s="2" t="s">
        <v>10718</v>
      </c>
      <c r="C5005" s="2" t="s">
        <v>20</v>
      </c>
      <c r="D5005" s="2" t="s">
        <v>24</v>
      </c>
      <c r="E5005" s="2" t="str">
        <f>"9783763970544"</f>
        <v>9783763970544</v>
      </c>
      <c r="F5005" s="2" t="str">
        <f>"9783763971855"</f>
        <v>9783763971855</v>
      </c>
    </row>
    <row r="5006" spans="1:6" s="3" customFormat="1" ht="29.1" customHeight="1" x14ac:dyDescent="0.25">
      <c r="A5006" s="2" t="s">
        <v>10719</v>
      </c>
      <c r="B5006" s="2" t="s">
        <v>9836</v>
      </c>
      <c r="C5006" s="2" t="s">
        <v>20</v>
      </c>
      <c r="D5006" s="2" t="s">
        <v>3958</v>
      </c>
      <c r="E5006" s="2"/>
      <c r="F5006" s="2" t="str">
        <f>"9783763976492"</f>
        <v>9783763976492</v>
      </c>
    </row>
    <row r="5007" spans="1:6" s="3" customFormat="1" ht="29.1" customHeight="1" x14ac:dyDescent="0.25">
      <c r="A5007" s="2" t="s">
        <v>10720</v>
      </c>
      <c r="B5007" s="2" t="s">
        <v>10721</v>
      </c>
      <c r="C5007" s="2" t="s">
        <v>20</v>
      </c>
      <c r="D5007" s="2" t="s">
        <v>24</v>
      </c>
      <c r="E5007" s="2"/>
      <c r="F5007" s="2" t="str">
        <f>"9783763974443"</f>
        <v>9783763974443</v>
      </c>
    </row>
    <row r="5008" spans="1:6" s="3" customFormat="1" ht="29.1" customHeight="1" x14ac:dyDescent="0.25">
      <c r="A5008" s="2" t="s">
        <v>10722</v>
      </c>
      <c r="B5008" s="2" t="s">
        <v>10723</v>
      </c>
      <c r="C5008" s="2" t="s">
        <v>20</v>
      </c>
      <c r="D5008" s="2" t="s">
        <v>9</v>
      </c>
      <c r="E5008" s="2" t="str">
        <f>"9783763974184"</f>
        <v>9783763974184</v>
      </c>
      <c r="F5008" s="2" t="str">
        <f>"9783763974191"</f>
        <v>9783763974191</v>
      </c>
    </row>
    <row r="5009" spans="1:6" s="3" customFormat="1" ht="29.1" customHeight="1" x14ac:dyDescent="0.25">
      <c r="A5009" s="2" t="s">
        <v>10724</v>
      </c>
      <c r="B5009" s="2" t="s">
        <v>10726</v>
      </c>
      <c r="C5009" s="2" t="s">
        <v>20</v>
      </c>
      <c r="D5009" s="2" t="s">
        <v>10725</v>
      </c>
      <c r="E5009" s="2" t="str">
        <f>"9783763970568"</f>
        <v>9783763970568</v>
      </c>
      <c r="F5009" s="2" t="str">
        <f>"9783763972494"</f>
        <v>9783763972494</v>
      </c>
    </row>
    <row r="5010" spans="1:6" s="3" customFormat="1" ht="29.1" customHeight="1" x14ac:dyDescent="0.25">
      <c r="A5010" s="2" t="s">
        <v>10727</v>
      </c>
      <c r="B5010" s="2" t="s">
        <v>10728</v>
      </c>
      <c r="C5010" s="2" t="s">
        <v>20</v>
      </c>
      <c r="D5010" s="2" t="s">
        <v>24</v>
      </c>
      <c r="E5010" s="2" t="str">
        <f>"9783763952397"</f>
        <v>9783763952397</v>
      </c>
      <c r="F5010" s="2" t="str">
        <f>"9783763965762"</f>
        <v>9783763965762</v>
      </c>
    </row>
    <row r="5011" spans="1:6" s="3" customFormat="1" ht="29.1" customHeight="1" x14ac:dyDescent="0.25">
      <c r="A5011" s="2" t="s">
        <v>10729</v>
      </c>
      <c r="B5011" s="2" t="s">
        <v>10730</v>
      </c>
      <c r="C5011" s="2" t="s">
        <v>20</v>
      </c>
      <c r="D5011" s="2" t="s">
        <v>24</v>
      </c>
      <c r="E5011" s="2"/>
      <c r="F5011" s="2" t="str">
        <f>"9783763970049"</f>
        <v>9783763970049</v>
      </c>
    </row>
    <row r="5012" spans="1:6" s="3" customFormat="1" ht="29.1" customHeight="1" x14ac:dyDescent="0.25">
      <c r="A5012" s="2" t="s">
        <v>10731</v>
      </c>
      <c r="B5012" s="2" t="s">
        <v>10732</v>
      </c>
      <c r="C5012" s="2" t="s">
        <v>20</v>
      </c>
      <c r="D5012" s="2" t="s">
        <v>2980</v>
      </c>
      <c r="E5012" s="2" t="str">
        <f>"9783763970421"</f>
        <v>9783763970421</v>
      </c>
      <c r="F5012" s="2" t="str">
        <f>"9783763970414"</f>
        <v>9783763970414</v>
      </c>
    </row>
    <row r="5013" spans="1:6" s="3" customFormat="1" ht="29.1" customHeight="1" x14ac:dyDescent="0.25">
      <c r="A5013" s="2" t="s">
        <v>10731</v>
      </c>
      <c r="B5013" s="2" t="s">
        <v>10732</v>
      </c>
      <c r="C5013" s="2" t="s">
        <v>20</v>
      </c>
      <c r="D5013" s="2" t="s">
        <v>2980</v>
      </c>
      <c r="E5013" s="2"/>
      <c r="F5013" s="2" t="str">
        <f>"9783763970773"</f>
        <v>9783763970773</v>
      </c>
    </row>
    <row r="5014" spans="1:6" s="3" customFormat="1" ht="29.1" customHeight="1" x14ac:dyDescent="0.25">
      <c r="A5014" s="2" t="s">
        <v>5066</v>
      </c>
      <c r="B5014" s="2" t="s">
        <v>10733</v>
      </c>
      <c r="C5014" s="2" t="s">
        <v>20</v>
      </c>
      <c r="D5014" s="2" t="s">
        <v>24</v>
      </c>
      <c r="E5014" s="2"/>
      <c r="F5014" s="2" t="str">
        <f>"9783763973514"</f>
        <v>9783763973514</v>
      </c>
    </row>
    <row r="5015" spans="1:6" s="3" customFormat="1" ht="29.1" customHeight="1" x14ac:dyDescent="0.25">
      <c r="A5015" s="2" t="s">
        <v>10734</v>
      </c>
      <c r="B5015" s="2" t="s">
        <v>10735</v>
      </c>
      <c r="C5015" s="2" t="s">
        <v>20</v>
      </c>
      <c r="D5015" s="2" t="s">
        <v>21</v>
      </c>
      <c r="E5015" s="2" t="str">
        <f>"9783763976058"</f>
        <v>9783763976058</v>
      </c>
      <c r="F5015" s="2" t="str">
        <f>"9783763976065"</f>
        <v>9783763976065</v>
      </c>
    </row>
    <row r="5016" spans="1:6" s="3" customFormat="1" ht="29.1" customHeight="1" x14ac:dyDescent="0.25">
      <c r="A5016" s="2" t="s">
        <v>10736</v>
      </c>
      <c r="B5016" s="2" t="s">
        <v>10737</v>
      </c>
      <c r="C5016" s="2" t="s">
        <v>20</v>
      </c>
      <c r="D5016" s="2" t="s">
        <v>135</v>
      </c>
      <c r="E5016" s="2"/>
      <c r="F5016" s="2" t="str">
        <f>"9783763966967"</f>
        <v>9783763966967</v>
      </c>
    </row>
    <row r="5017" spans="1:6" s="3" customFormat="1" ht="29.1" customHeight="1" x14ac:dyDescent="0.25">
      <c r="A5017" s="2" t="s">
        <v>10738</v>
      </c>
      <c r="B5017" s="2" t="s">
        <v>10739</v>
      </c>
      <c r="C5017" s="2" t="s">
        <v>20</v>
      </c>
      <c r="D5017" s="2" t="s">
        <v>9420</v>
      </c>
      <c r="E5017" s="2" t="str">
        <f>"9783763936649"</f>
        <v>9783763936649</v>
      </c>
      <c r="F5017" s="2" t="str">
        <f>"9783763945467"</f>
        <v>9783763945467</v>
      </c>
    </row>
    <row r="5018" spans="1:6" s="3" customFormat="1" ht="29.1" customHeight="1" x14ac:dyDescent="0.25">
      <c r="A5018" s="2" t="s">
        <v>10740</v>
      </c>
      <c r="B5018" s="2" t="s">
        <v>10741</v>
      </c>
      <c r="C5018" s="2" t="s">
        <v>20</v>
      </c>
      <c r="D5018" s="2" t="s">
        <v>183</v>
      </c>
      <c r="E5018" s="2" t="str">
        <f>"9783763973439"</f>
        <v>9783763973439</v>
      </c>
      <c r="F5018" s="2" t="str">
        <f>"9783763973446"</f>
        <v>9783763973446</v>
      </c>
    </row>
    <row r="5019" spans="1:6" s="3" customFormat="1" ht="29.1" customHeight="1" x14ac:dyDescent="0.25">
      <c r="A5019" s="2" t="s">
        <v>10742</v>
      </c>
      <c r="B5019" s="2" t="s">
        <v>10743</v>
      </c>
      <c r="C5019" s="2" t="s">
        <v>20</v>
      </c>
      <c r="D5019" s="2" t="s">
        <v>135</v>
      </c>
      <c r="E5019" s="2" t="str">
        <f>"9783763976270"</f>
        <v>9783763976270</v>
      </c>
      <c r="F5019" s="2" t="str">
        <f>"9783763976287"</f>
        <v>9783763976287</v>
      </c>
    </row>
    <row r="5020" spans="1:6" s="3" customFormat="1" ht="29.1" customHeight="1" x14ac:dyDescent="0.25">
      <c r="A5020" s="2" t="s">
        <v>10744</v>
      </c>
      <c r="B5020" s="2" t="s">
        <v>10745</v>
      </c>
      <c r="C5020" s="2" t="s">
        <v>20</v>
      </c>
      <c r="D5020" s="2" t="s">
        <v>24</v>
      </c>
      <c r="E5020" s="2" t="str">
        <f>"9783763973880"</f>
        <v>9783763973880</v>
      </c>
      <c r="F5020" s="2" t="str">
        <f>"9783763973897"</f>
        <v>9783763973897</v>
      </c>
    </row>
    <row r="5021" spans="1:6" s="3" customFormat="1" ht="29.1" customHeight="1" x14ac:dyDescent="0.25">
      <c r="A5021" s="2" t="s">
        <v>10746</v>
      </c>
      <c r="B5021" s="2" t="s">
        <v>10747</v>
      </c>
      <c r="C5021" s="2" t="s">
        <v>20</v>
      </c>
      <c r="D5021" s="2" t="s">
        <v>1927</v>
      </c>
      <c r="E5021" s="2" t="str">
        <f>"9783763973262"</f>
        <v>9783763973262</v>
      </c>
      <c r="F5021" s="2" t="str">
        <f>"9783763973279"</f>
        <v>9783763973279</v>
      </c>
    </row>
    <row r="5022" spans="1:6" s="3" customFormat="1" ht="29.1" customHeight="1" x14ac:dyDescent="0.25">
      <c r="A5022" s="2" t="s">
        <v>10748</v>
      </c>
      <c r="B5022" s="2" t="s">
        <v>10656</v>
      </c>
      <c r="C5022" s="2" t="s">
        <v>20</v>
      </c>
      <c r="D5022" s="2" t="s">
        <v>3607</v>
      </c>
      <c r="E5022" s="2"/>
      <c r="F5022" s="2" t="str">
        <f>"9783763973774"</f>
        <v>9783763973774</v>
      </c>
    </row>
    <row r="5023" spans="1:6" s="3" customFormat="1" ht="29.1" customHeight="1" x14ac:dyDescent="0.25">
      <c r="A5023" s="2" t="s">
        <v>10749</v>
      </c>
      <c r="B5023" s="2" t="s">
        <v>9836</v>
      </c>
      <c r="C5023" s="2" t="s">
        <v>20</v>
      </c>
      <c r="D5023" s="2" t="s">
        <v>3607</v>
      </c>
      <c r="E5023" s="2"/>
      <c r="F5023" s="2" t="str">
        <f>"9783763973781"</f>
        <v>9783763973781</v>
      </c>
    </row>
    <row r="5024" spans="1:6" s="3" customFormat="1" ht="29.1" customHeight="1" x14ac:dyDescent="0.25">
      <c r="A5024" s="2" t="s">
        <v>10750</v>
      </c>
      <c r="B5024" s="2" t="s">
        <v>10751</v>
      </c>
      <c r="C5024" s="2" t="s">
        <v>20</v>
      </c>
      <c r="D5024" s="2" t="s">
        <v>553</v>
      </c>
      <c r="E5024" s="2" t="str">
        <f>"9783763961931"</f>
        <v>9783763961931</v>
      </c>
      <c r="F5024" s="2" t="str">
        <f>"9783763969975"</f>
        <v>9783763969975</v>
      </c>
    </row>
    <row r="5025" spans="1:6" s="3" customFormat="1" ht="29.1" customHeight="1" x14ac:dyDescent="0.25">
      <c r="A5025" s="2" t="s">
        <v>10752</v>
      </c>
      <c r="B5025" s="2" t="s">
        <v>10753</v>
      </c>
      <c r="C5025" s="2" t="s">
        <v>20</v>
      </c>
      <c r="D5025" s="2" t="s">
        <v>24</v>
      </c>
      <c r="E5025" s="2" t="str">
        <f>"9783763960033"</f>
        <v>9783763960033</v>
      </c>
      <c r="F5025" s="2" t="str">
        <f>"9783763962853"</f>
        <v>9783763962853</v>
      </c>
    </row>
    <row r="5026" spans="1:6" s="3" customFormat="1" ht="29.1" customHeight="1" x14ac:dyDescent="0.25">
      <c r="A5026" s="2" t="s">
        <v>10754</v>
      </c>
      <c r="B5026" s="2" t="s">
        <v>10756</v>
      </c>
      <c r="C5026" s="2" t="s">
        <v>20</v>
      </c>
      <c r="D5026" s="2" t="s">
        <v>10755</v>
      </c>
      <c r="E5026" s="2" t="str">
        <f>"9783763962099"</f>
        <v>9783763962099</v>
      </c>
      <c r="F5026" s="2" t="str">
        <f>"9783763966318"</f>
        <v>9783763966318</v>
      </c>
    </row>
    <row r="5027" spans="1:6" s="3" customFormat="1" ht="29.1" customHeight="1" x14ac:dyDescent="0.25">
      <c r="A5027" s="2" t="s">
        <v>10757</v>
      </c>
      <c r="B5027" s="2" t="s">
        <v>10758</v>
      </c>
      <c r="C5027" s="2" t="s">
        <v>20</v>
      </c>
      <c r="D5027" s="2" t="s">
        <v>110</v>
      </c>
      <c r="E5027" s="2" t="str">
        <f>"9783763961061"</f>
        <v>9783763961061</v>
      </c>
      <c r="F5027" s="2" t="str">
        <f>"9783763967681"</f>
        <v>9783763967681</v>
      </c>
    </row>
    <row r="5028" spans="1:6" s="3" customFormat="1" ht="29.1" customHeight="1" x14ac:dyDescent="0.25">
      <c r="A5028" s="2" t="s">
        <v>10759</v>
      </c>
      <c r="B5028" s="2" t="s">
        <v>10760</v>
      </c>
      <c r="C5028" s="2" t="s">
        <v>20</v>
      </c>
      <c r="D5028" s="2" t="s">
        <v>24</v>
      </c>
      <c r="E5028" s="2" t="str">
        <f>"9783763960637"</f>
        <v>9783763960637</v>
      </c>
      <c r="F5028" s="2" t="str">
        <f>"9783763970766"</f>
        <v>9783763970766</v>
      </c>
    </row>
    <row r="5029" spans="1:6" s="3" customFormat="1" ht="29.1" customHeight="1" x14ac:dyDescent="0.25">
      <c r="A5029" s="2" t="s">
        <v>10761</v>
      </c>
      <c r="B5029" s="2" t="s">
        <v>10762</v>
      </c>
      <c r="C5029" s="2" t="s">
        <v>20</v>
      </c>
      <c r="D5029" s="2" t="s">
        <v>553</v>
      </c>
      <c r="E5029" s="2" t="str">
        <f>"9783947793624"</f>
        <v>9783947793624</v>
      </c>
      <c r="F5029" s="2" t="str">
        <f>"9783763971718"</f>
        <v>9783763971718</v>
      </c>
    </row>
    <row r="5030" spans="1:6" s="3" customFormat="1" ht="29.1" customHeight="1" x14ac:dyDescent="0.25">
      <c r="A5030" s="2" t="s">
        <v>10763</v>
      </c>
      <c r="B5030" s="2" t="s">
        <v>10764</v>
      </c>
      <c r="C5030" s="2" t="s">
        <v>20</v>
      </c>
      <c r="D5030" s="2" t="s">
        <v>9</v>
      </c>
      <c r="E5030" s="2" t="str">
        <f>"9783763973965"</f>
        <v>9783763973965</v>
      </c>
      <c r="F5030" s="2" t="str">
        <f>"9783763974351"</f>
        <v>9783763974351</v>
      </c>
    </row>
    <row r="5031" spans="1:6" s="3" customFormat="1" ht="29.1" customHeight="1" x14ac:dyDescent="0.25">
      <c r="A5031" s="2" t="s">
        <v>10765</v>
      </c>
      <c r="B5031" s="2" t="s">
        <v>10766</v>
      </c>
      <c r="C5031" s="2" t="s">
        <v>20</v>
      </c>
      <c r="D5031" s="2" t="s">
        <v>24</v>
      </c>
      <c r="E5031" s="2" t="str">
        <f>"9783763970810"</f>
        <v>9783763970810</v>
      </c>
      <c r="F5031" s="2" t="str">
        <f>"9783763970827"</f>
        <v>9783763970827</v>
      </c>
    </row>
    <row r="5032" spans="1:6" s="3" customFormat="1" ht="29.1" customHeight="1" x14ac:dyDescent="0.25">
      <c r="A5032" s="2" t="s">
        <v>10767</v>
      </c>
      <c r="B5032" s="2" t="s">
        <v>10768</v>
      </c>
      <c r="C5032" s="2" t="s">
        <v>20</v>
      </c>
      <c r="D5032" s="2" t="s">
        <v>24</v>
      </c>
      <c r="E5032" s="2" t="str">
        <f>"9783763974528"</f>
        <v>9783763974528</v>
      </c>
      <c r="F5032" s="2" t="str">
        <f>"9783763974535"</f>
        <v>9783763974535</v>
      </c>
    </row>
    <row r="5033" spans="1:6" s="3" customFormat="1" ht="29.1" customHeight="1" x14ac:dyDescent="0.25">
      <c r="A5033" s="2" t="s">
        <v>10769</v>
      </c>
      <c r="B5033" s="2" t="s">
        <v>10770</v>
      </c>
      <c r="C5033" s="2" t="s">
        <v>20</v>
      </c>
      <c r="D5033" s="2" t="s">
        <v>21</v>
      </c>
      <c r="E5033" s="2" t="str">
        <f>"9783763971848"</f>
        <v>9783763971848</v>
      </c>
      <c r="F5033" s="2" t="str">
        <f>"9783763973507"</f>
        <v>9783763973507</v>
      </c>
    </row>
    <row r="5034" spans="1:6" s="3" customFormat="1" ht="29.1" customHeight="1" x14ac:dyDescent="0.25">
      <c r="A5034" s="2" t="s">
        <v>10771</v>
      </c>
      <c r="B5034" s="2" t="s">
        <v>10772</v>
      </c>
      <c r="C5034" s="2" t="s">
        <v>20</v>
      </c>
      <c r="D5034" s="2" t="s">
        <v>24</v>
      </c>
      <c r="E5034" s="2"/>
      <c r="F5034" s="2" t="str">
        <f>"9783763974559"</f>
        <v>9783763974559</v>
      </c>
    </row>
    <row r="5035" spans="1:6" s="3" customFormat="1" ht="29.1" customHeight="1" x14ac:dyDescent="0.25">
      <c r="A5035" s="2" t="s">
        <v>10773</v>
      </c>
      <c r="B5035" s="2" t="s">
        <v>10774</v>
      </c>
      <c r="C5035" s="2" t="s">
        <v>20</v>
      </c>
      <c r="D5035" s="2" t="s">
        <v>24</v>
      </c>
      <c r="E5035" s="2" t="str">
        <f>"9783763972821"</f>
        <v>9783763972821</v>
      </c>
      <c r="F5035" s="2" t="str">
        <f>"9783763973125"</f>
        <v>9783763973125</v>
      </c>
    </row>
    <row r="5036" spans="1:6" s="3" customFormat="1" ht="29.1" customHeight="1" x14ac:dyDescent="0.25">
      <c r="A5036" s="2" t="s">
        <v>10775</v>
      </c>
      <c r="B5036" s="2" t="s">
        <v>10776</v>
      </c>
      <c r="C5036" s="2" t="s">
        <v>20</v>
      </c>
      <c r="D5036" s="2" t="s">
        <v>5658</v>
      </c>
      <c r="E5036" s="2" t="str">
        <f>"9783763970308"</f>
        <v>9783763970308</v>
      </c>
      <c r="F5036" s="2" t="str">
        <f>"9783763972623"</f>
        <v>9783763972623</v>
      </c>
    </row>
    <row r="5037" spans="1:6" s="3" customFormat="1" ht="29.1" customHeight="1" x14ac:dyDescent="0.25">
      <c r="A5037" s="2" t="s">
        <v>10777</v>
      </c>
      <c r="B5037" s="2" t="s">
        <v>10778</v>
      </c>
      <c r="C5037" s="2" t="s">
        <v>20</v>
      </c>
      <c r="D5037" s="2" t="s">
        <v>24</v>
      </c>
      <c r="E5037" s="2" t="str">
        <f>"9783763971763"</f>
        <v>9783763971763</v>
      </c>
      <c r="F5037" s="2" t="str">
        <f>"9783763971770"</f>
        <v>9783763971770</v>
      </c>
    </row>
    <row r="5038" spans="1:6" s="3" customFormat="1" ht="29.1" customHeight="1" x14ac:dyDescent="0.25">
      <c r="A5038" s="2" t="s">
        <v>10779</v>
      </c>
      <c r="B5038" s="2" t="s">
        <v>10780</v>
      </c>
      <c r="C5038" s="2" t="s">
        <v>20</v>
      </c>
      <c r="D5038" s="2" t="s">
        <v>24</v>
      </c>
      <c r="E5038" s="2" t="str">
        <f>"9783763972432"</f>
        <v>9783763972432</v>
      </c>
      <c r="F5038" s="2" t="str">
        <f>"9783763972449"</f>
        <v>9783763972449</v>
      </c>
    </row>
    <row r="5039" spans="1:6" s="3" customFormat="1" ht="29.1" customHeight="1" x14ac:dyDescent="0.25">
      <c r="A5039" s="2" t="s">
        <v>10781</v>
      </c>
      <c r="B5039" s="2" t="s">
        <v>10782</v>
      </c>
      <c r="C5039" s="2" t="s">
        <v>20</v>
      </c>
      <c r="D5039" s="2" t="s">
        <v>10755</v>
      </c>
      <c r="E5039" s="2" t="str">
        <f>"9783763971466"</f>
        <v>9783763971466</v>
      </c>
      <c r="F5039" s="2" t="str">
        <f>"9783763972579"</f>
        <v>9783763972579</v>
      </c>
    </row>
    <row r="5040" spans="1:6" s="3" customFormat="1" ht="29.1" customHeight="1" x14ac:dyDescent="0.25">
      <c r="A5040" s="2" t="s">
        <v>10783</v>
      </c>
      <c r="B5040" s="2" t="s">
        <v>10784</v>
      </c>
      <c r="C5040" s="2" t="s">
        <v>20</v>
      </c>
      <c r="D5040" s="2" t="s">
        <v>24</v>
      </c>
      <c r="E5040" s="2" t="str">
        <f>"9783763971459"</f>
        <v>9783763971459</v>
      </c>
      <c r="F5040" s="2" t="str">
        <f>"9783763971831"</f>
        <v>9783763971831</v>
      </c>
    </row>
    <row r="5041" spans="1:6" s="3" customFormat="1" ht="29.1" customHeight="1" x14ac:dyDescent="0.25">
      <c r="A5041" s="2" t="s">
        <v>10785</v>
      </c>
      <c r="B5041" s="2" t="s">
        <v>10786</v>
      </c>
      <c r="C5041" s="2" t="s">
        <v>20</v>
      </c>
      <c r="D5041" s="2" t="s">
        <v>135</v>
      </c>
      <c r="E5041" s="2" t="str">
        <f>"9783763976966"</f>
        <v>9783763976966</v>
      </c>
      <c r="F5041" s="2" t="str">
        <f>"9783763976973"</f>
        <v>9783763976973</v>
      </c>
    </row>
    <row r="5042" spans="1:6" s="3" customFormat="1" ht="29.1" customHeight="1" x14ac:dyDescent="0.25">
      <c r="A5042" s="2" t="s">
        <v>10787</v>
      </c>
      <c r="B5042" s="2" t="s">
        <v>10788</v>
      </c>
      <c r="C5042" s="2" t="s">
        <v>20</v>
      </c>
      <c r="D5042" s="2" t="s">
        <v>24</v>
      </c>
      <c r="E5042" s="2" t="str">
        <f>"9783763974023"</f>
        <v>9783763974023</v>
      </c>
      <c r="F5042" s="2" t="str">
        <f>"9783763974030"</f>
        <v>9783763974030</v>
      </c>
    </row>
    <row r="5043" spans="1:6" s="3" customFormat="1" ht="29.1" customHeight="1" x14ac:dyDescent="0.25">
      <c r="A5043" s="2" t="s">
        <v>10789</v>
      </c>
      <c r="B5043" s="2" t="s">
        <v>10790</v>
      </c>
      <c r="C5043" s="2" t="s">
        <v>20</v>
      </c>
      <c r="D5043" s="2" t="s">
        <v>24</v>
      </c>
      <c r="E5043" s="2" t="str">
        <f>"9783763933341"</f>
        <v>9783763933341</v>
      </c>
      <c r="F5043" s="2" t="str">
        <f>"9783763945306"</f>
        <v>9783763945306</v>
      </c>
    </row>
    <row r="5044" spans="1:6" s="3" customFormat="1" ht="29.1" customHeight="1" x14ac:dyDescent="0.25">
      <c r="A5044" s="2" t="s">
        <v>10791</v>
      </c>
      <c r="B5044" s="2" t="s">
        <v>10792</v>
      </c>
      <c r="C5044" s="2" t="s">
        <v>20</v>
      </c>
      <c r="D5044" s="2" t="s">
        <v>24</v>
      </c>
      <c r="E5044" s="2" t="str">
        <f>"9783763967629"</f>
        <v>9783763967629</v>
      </c>
      <c r="F5044" s="2" t="str">
        <f>"9783763967636"</f>
        <v>9783763967636</v>
      </c>
    </row>
    <row r="5045" spans="1:6" s="3" customFormat="1" ht="29.1" customHeight="1" x14ac:dyDescent="0.25">
      <c r="A5045" s="2" t="s">
        <v>10793</v>
      </c>
      <c r="B5045" s="2" t="s">
        <v>10794</v>
      </c>
      <c r="C5045" s="2" t="s">
        <v>20</v>
      </c>
      <c r="D5045" s="2" t="s">
        <v>135</v>
      </c>
      <c r="E5045" s="2" t="str">
        <f>"9783763973026"</f>
        <v>9783763973026</v>
      </c>
      <c r="F5045" s="2" t="str">
        <f>"9783763973002"</f>
        <v>9783763973002</v>
      </c>
    </row>
    <row r="5046" spans="1:6" s="3" customFormat="1" ht="29.1" customHeight="1" x14ac:dyDescent="0.25">
      <c r="A5046" s="2" t="s">
        <v>10795</v>
      </c>
      <c r="B5046" s="2" t="s">
        <v>10796</v>
      </c>
      <c r="C5046" s="2" t="s">
        <v>20</v>
      </c>
      <c r="D5046" s="2" t="s">
        <v>9</v>
      </c>
      <c r="E5046" s="2" t="str">
        <f>"9783834021670"</f>
        <v>9783834021670</v>
      </c>
      <c r="F5046" s="2" t="str">
        <f>"9783763970551"</f>
        <v>9783763970551</v>
      </c>
    </row>
    <row r="5047" spans="1:6" s="3" customFormat="1" ht="29.1" customHeight="1" x14ac:dyDescent="0.25">
      <c r="A5047" s="2" t="s">
        <v>10797</v>
      </c>
      <c r="B5047" s="2" t="s">
        <v>10798</v>
      </c>
      <c r="C5047" s="2" t="s">
        <v>20</v>
      </c>
      <c r="D5047" s="2" t="s">
        <v>24</v>
      </c>
      <c r="E5047" s="2" t="str">
        <f>"9783763970520"</f>
        <v>9783763970520</v>
      </c>
      <c r="F5047" s="2" t="str">
        <f>"9783763971589"</f>
        <v>9783763971589</v>
      </c>
    </row>
    <row r="5048" spans="1:6" s="3" customFormat="1" ht="29.1" customHeight="1" x14ac:dyDescent="0.25">
      <c r="A5048" s="2" t="s">
        <v>10799</v>
      </c>
      <c r="B5048" s="2" t="s">
        <v>10800</v>
      </c>
      <c r="C5048" s="2" t="s">
        <v>20</v>
      </c>
      <c r="D5048" s="2" t="s">
        <v>24</v>
      </c>
      <c r="E5048" s="2" t="str">
        <f>"9783763970469"</f>
        <v>9783763970469</v>
      </c>
      <c r="F5048" s="2" t="str">
        <f>"9783763970476"</f>
        <v>9783763970476</v>
      </c>
    </row>
    <row r="5049" spans="1:6" s="3" customFormat="1" ht="29.1" customHeight="1" x14ac:dyDescent="0.25">
      <c r="A5049" s="2" t="s">
        <v>10801</v>
      </c>
      <c r="B5049" s="2" t="s">
        <v>10802</v>
      </c>
      <c r="C5049" s="2" t="s">
        <v>20</v>
      </c>
      <c r="D5049" s="2" t="s">
        <v>3650</v>
      </c>
      <c r="E5049" s="2" t="str">
        <f>"9783763958818"</f>
        <v>9783763958818</v>
      </c>
      <c r="F5049" s="2" t="str">
        <f>"9783763967025"</f>
        <v>9783763967025</v>
      </c>
    </row>
    <row r="5050" spans="1:6" s="3" customFormat="1" ht="29.1" customHeight="1" x14ac:dyDescent="0.25">
      <c r="A5050" s="2" t="s">
        <v>10803</v>
      </c>
      <c r="B5050" s="2" t="s">
        <v>10804</v>
      </c>
      <c r="C5050" s="2" t="s">
        <v>20</v>
      </c>
      <c r="D5050" s="2" t="s">
        <v>981</v>
      </c>
      <c r="E5050" s="2" t="str">
        <f>"9783763972630"</f>
        <v>9783763972630</v>
      </c>
      <c r="F5050" s="2" t="str">
        <f>"9783763972647"</f>
        <v>9783763972647</v>
      </c>
    </row>
    <row r="5051" spans="1:6" s="3" customFormat="1" ht="29.1" customHeight="1" x14ac:dyDescent="0.25">
      <c r="A5051" s="2" t="s">
        <v>10805</v>
      </c>
      <c r="B5051" s="2" t="s">
        <v>10806</v>
      </c>
      <c r="C5051" s="2" t="s">
        <v>20</v>
      </c>
      <c r="D5051" s="2" t="s">
        <v>24</v>
      </c>
      <c r="E5051" s="2" t="str">
        <f>"9783763967100"</f>
        <v>9783763967100</v>
      </c>
      <c r="F5051" s="2" t="str">
        <f>"9783763967117"</f>
        <v>9783763967117</v>
      </c>
    </row>
    <row r="5052" spans="1:6" s="3" customFormat="1" ht="29.1" customHeight="1" x14ac:dyDescent="0.25">
      <c r="A5052" s="2" t="s">
        <v>10807</v>
      </c>
      <c r="B5052" s="2" t="s">
        <v>10808</v>
      </c>
      <c r="C5052" s="2" t="s">
        <v>20</v>
      </c>
      <c r="D5052" s="2" t="s">
        <v>553</v>
      </c>
      <c r="E5052" s="2" t="str">
        <f>"9783763970162"</f>
        <v>9783763970162</v>
      </c>
      <c r="F5052" s="2" t="str">
        <f>"9783763970216"</f>
        <v>9783763970216</v>
      </c>
    </row>
    <row r="5053" spans="1:6" s="3" customFormat="1" ht="29.1" customHeight="1" x14ac:dyDescent="0.25">
      <c r="A5053" s="2" t="s">
        <v>10809</v>
      </c>
      <c r="B5053" s="2" t="s">
        <v>10811</v>
      </c>
      <c r="C5053" s="2" t="s">
        <v>20</v>
      </c>
      <c r="D5053" s="2" t="s">
        <v>10810</v>
      </c>
      <c r="E5053" s="2" t="str">
        <f>"9783763973071"</f>
        <v>9783763973071</v>
      </c>
      <c r="F5053" s="2" t="str">
        <f>"9783763973033"</f>
        <v>9783763973033</v>
      </c>
    </row>
    <row r="5054" spans="1:6" s="3" customFormat="1" ht="29.1" customHeight="1" x14ac:dyDescent="0.25">
      <c r="A5054" s="2" t="s">
        <v>10812</v>
      </c>
      <c r="B5054" s="2" t="s">
        <v>10813</v>
      </c>
      <c r="C5054" s="2" t="s">
        <v>20</v>
      </c>
      <c r="D5054" s="2" t="s">
        <v>7079</v>
      </c>
      <c r="E5054" s="2" t="str">
        <f>"9783763962426"</f>
        <v>9783763962426</v>
      </c>
      <c r="F5054" s="2" t="str">
        <f>"9783763966257"</f>
        <v>9783763966257</v>
      </c>
    </row>
    <row r="5055" spans="1:6" s="3" customFormat="1" ht="29.1" customHeight="1" x14ac:dyDescent="0.25">
      <c r="A5055" s="2" t="s">
        <v>10814</v>
      </c>
      <c r="B5055" s="2" t="s">
        <v>664</v>
      </c>
      <c r="C5055" s="2" t="s">
        <v>20</v>
      </c>
      <c r="D5055" s="2" t="s">
        <v>596</v>
      </c>
      <c r="E5055" s="2" t="str">
        <f>"9783763976560"</f>
        <v>9783763976560</v>
      </c>
      <c r="F5055" s="2" t="str">
        <f>"9783763976577"</f>
        <v>9783763976577</v>
      </c>
    </row>
    <row r="5056" spans="1:6" s="3" customFormat="1" ht="29.1" customHeight="1" x14ac:dyDescent="0.25">
      <c r="A5056" s="2" t="s">
        <v>10815</v>
      </c>
      <c r="B5056" s="2" t="s">
        <v>10816</v>
      </c>
      <c r="C5056" s="2" t="s">
        <v>20</v>
      </c>
      <c r="D5056" s="2" t="s">
        <v>24</v>
      </c>
      <c r="E5056" s="2" t="str">
        <f>"9783763973286"</f>
        <v>9783763973286</v>
      </c>
      <c r="F5056" s="2" t="str">
        <f>"9783763973293"</f>
        <v>9783763973293</v>
      </c>
    </row>
    <row r="5057" spans="1:6" s="3" customFormat="1" ht="29.1" customHeight="1" x14ac:dyDescent="0.25">
      <c r="A5057" s="2" t="s">
        <v>10817</v>
      </c>
      <c r="B5057" s="2" t="s">
        <v>10818</v>
      </c>
      <c r="C5057" s="2" t="s">
        <v>20</v>
      </c>
      <c r="D5057" s="2" t="s">
        <v>24</v>
      </c>
      <c r="E5057" s="2" t="str">
        <f>"9783763972517"</f>
        <v>9783763972517</v>
      </c>
      <c r="F5057" s="2" t="str">
        <f>"9783763972524"</f>
        <v>9783763972524</v>
      </c>
    </row>
    <row r="5058" spans="1:6" s="3" customFormat="1" ht="29.1" customHeight="1" x14ac:dyDescent="0.25">
      <c r="A5058" s="2" t="s">
        <v>10819</v>
      </c>
      <c r="B5058" s="2" t="s">
        <v>10820</v>
      </c>
      <c r="C5058" s="2" t="s">
        <v>20</v>
      </c>
      <c r="D5058" s="2" t="s">
        <v>24</v>
      </c>
      <c r="E5058" s="2" t="str">
        <f>"9783763970483"</f>
        <v>9783763970483</v>
      </c>
      <c r="F5058" s="2" t="str">
        <f>"9783763973088"</f>
        <v>9783763973088</v>
      </c>
    </row>
    <row r="5059" spans="1:6" s="3" customFormat="1" ht="29.1" customHeight="1" x14ac:dyDescent="0.25">
      <c r="A5059" s="2" t="s">
        <v>10821</v>
      </c>
      <c r="B5059" s="2" t="s">
        <v>9836</v>
      </c>
      <c r="C5059" s="2" t="s">
        <v>20</v>
      </c>
      <c r="D5059" s="2" t="s">
        <v>9</v>
      </c>
      <c r="E5059" s="2" t="str">
        <f>"9783763976232"</f>
        <v>9783763976232</v>
      </c>
      <c r="F5059" s="2" t="str">
        <f>"9783763976249"</f>
        <v>9783763976249</v>
      </c>
    </row>
    <row r="5060" spans="1:6" s="3" customFormat="1" ht="29.1" customHeight="1" x14ac:dyDescent="0.25">
      <c r="A5060" s="2" t="s">
        <v>10822</v>
      </c>
      <c r="B5060" s="2" t="s">
        <v>10079</v>
      </c>
      <c r="C5060" s="2" t="s">
        <v>20</v>
      </c>
      <c r="D5060" s="2" t="s">
        <v>9</v>
      </c>
      <c r="E5060" s="2" t="str">
        <f>"9783763971756"</f>
        <v>9783763971756</v>
      </c>
      <c r="F5060" s="2" t="str">
        <f>"9783763971749"</f>
        <v>9783763971749</v>
      </c>
    </row>
    <row r="5061" spans="1:6" s="3" customFormat="1" ht="29.1" customHeight="1" x14ac:dyDescent="0.25">
      <c r="A5061" s="2" t="s">
        <v>10823</v>
      </c>
      <c r="B5061" s="2" t="s">
        <v>10824</v>
      </c>
      <c r="C5061" s="2" t="s">
        <v>20</v>
      </c>
      <c r="D5061" s="2" t="s">
        <v>9</v>
      </c>
      <c r="E5061" s="2"/>
      <c r="F5061" s="2" t="str">
        <f>"9783763975778"</f>
        <v>9783763975778</v>
      </c>
    </row>
    <row r="5062" spans="1:6" s="3" customFormat="1" ht="29.1" customHeight="1" x14ac:dyDescent="0.25">
      <c r="A5062" s="2" t="s">
        <v>10825</v>
      </c>
      <c r="B5062" s="2" t="s">
        <v>10826</v>
      </c>
      <c r="C5062" s="2" t="s">
        <v>20</v>
      </c>
      <c r="D5062" s="2" t="s">
        <v>24</v>
      </c>
      <c r="E5062" s="2" t="str">
        <f>"9783763970285"</f>
        <v>9783763970285</v>
      </c>
      <c r="F5062" s="2" t="str">
        <f>"9783763970902"</f>
        <v>9783763970902</v>
      </c>
    </row>
    <row r="5063" spans="1:6" s="3" customFormat="1" ht="29.1" customHeight="1" x14ac:dyDescent="0.25">
      <c r="A5063" s="2" t="s">
        <v>10827</v>
      </c>
      <c r="B5063" s="2" t="s">
        <v>10828</v>
      </c>
      <c r="C5063" s="2" t="s">
        <v>20</v>
      </c>
      <c r="D5063" s="2" t="s">
        <v>10634</v>
      </c>
      <c r="E5063" s="2" t="str">
        <f>"9783763970841"</f>
        <v>9783763970841</v>
      </c>
      <c r="F5063" s="2" t="str">
        <f>"9783763970858"</f>
        <v>9783763970858</v>
      </c>
    </row>
    <row r="5064" spans="1:6" s="3" customFormat="1" ht="29.1" customHeight="1" x14ac:dyDescent="0.25">
      <c r="A5064" s="2" t="s">
        <v>10829</v>
      </c>
      <c r="B5064" s="2" t="s">
        <v>10830</v>
      </c>
      <c r="C5064" s="2" t="s">
        <v>20</v>
      </c>
      <c r="D5064" s="2" t="s">
        <v>9</v>
      </c>
      <c r="E5064" s="2" t="str">
        <f>"9783763967889"</f>
        <v>9783763967889</v>
      </c>
      <c r="F5064" s="2" t="str">
        <f>"9783763967896"</f>
        <v>9783763967896</v>
      </c>
    </row>
    <row r="5065" spans="1:6" s="3" customFormat="1" ht="29.1" customHeight="1" x14ac:dyDescent="0.25">
      <c r="A5065" s="2" t="s">
        <v>10831</v>
      </c>
      <c r="B5065" s="2" t="s">
        <v>10832</v>
      </c>
      <c r="C5065" s="2" t="s">
        <v>20</v>
      </c>
      <c r="D5065" s="2" t="s">
        <v>9</v>
      </c>
      <c r="E5065" s="2" t="str">
        <f>"9783763970148"</f>
        <v>9783763970148</v>
      </c>
      <c r="F5065" s="2" t="str">
        <f>"9783763970155"</f>
        <v>9783763970155</v>
      </c>
    </row>
    <row r="5066" spans="1:6" s="3" customFormat="1" ht="29.1" customHeight="1" x14ac:dyDescent="0.25">
      <c r="A5066" s="2" t="s">
        <v>10833</v>
      </c>
      <c r="B5066" s="2" t="s">
        <v>10834</v>
      </c>
      <c r="C5066" s="2" t="s">
        <v>20</v>
      </c>
      <c r="D5066" s="2" t="s">
        <v>9420</v>
      </c>
      <c r="E5066" s="2" t="str">
        <f>"9783763961337"</f>
        <v>9783763961337</v>
      </c>
      <c r="F5066" s="2" t="str">
        <f>"9783763966110"</f>
        <v>9783763966110</v>
      </c>
    </row>
    <row r="5067" spans="1:6" s="3" customFormat="1" ht="29.1" customHeight="1" x14ac:dyDescent="0.25">
      <c r="A5067" s="2" t="s">
        <v>10835</v>
      </c>
      <c r="B5067" s="2" t="s">
        <v>10836</v>
      </c>
      <c r="C5067" s="2" t="s">
        <v>20</v>
      </c>
      <c r="D5067" s="2" t="s">
        <v>24</v>
      </c>
      <c r="E5067" s="2" t="str">
        <f>"9783763972869"</f>
        <v>9783763972869</v>
      </c>
      <c r="F5067" s="2" t="str">
        <f>"9783763973729"</f>
        <v>9783763973729</v>
      </c>
    </row>
    <row r="5068" spans="1:6" s="3" customFormat="1" ht="29.1" customHeight="1" x14ac:dyDescent="0.25">
      <c r="A5068" s="2" t="s">
        <v>10837</v>
      </c>
      <c r="B5068" s="2" t="s">
        <v>10838</v>
      </c>
      <c r="C5068" s="2" t="s">
        <v>20</v>
      </c>
      <c r="D5068" s="2" t="s">
        <v>135</v>
      </c>
      <c r="E5068" s="2"/>
      <c r="F5068" s="2" t="str">
        <f>"9783763975419"</f>
        <v>9783763975419</v>
      </c>
    </row>
    <row r="5069" spans="1:6" s="3" customFormat="1" ht="29.1" customHeight="1" x14ac:dyDescent="0.25">
      <c r="A5069" s="2" t="s">
        <v>10839</v>
      </c>
      <c r="B5069" s="2" t="s">
        <v>10840</v>
      </c>
      <c r="C5069" s="2" t="s">
        <v>20</v>
      </c>
      <c r="D5069" s="2" t="s">
        <v>135</v>
      </c>
      <c r="E5069" s="2"/>
      <c r="F5069" s="2" t="str">
        <f>"9783763975310"</f>
        <v>9783763975310</v>
      </c>
    </row>
    <row r="5070" spans="1:6" s="3" customFormat="1" ht="29.1" customHeight="1" x14ac:dyDescent="0.25">
      <c r="A5070" s="2" t="s">
        <v>10841</v>
      </c>
      <c r="B5070" s="2" t="s">
        <v>10842</v>
      </c>
      <c r="C5070" s="2" t="s">
        <v>20</v>
      </c>
      <c r="D5070" s="2" t="s">
        <v>21</v>
      </c>
      <c r="E5070" s="2" t="str">
        <f>"9783763976096"</f>
        <v>9783763976096</v>
      </c>
      <c r="F5070" s="2" t="str">
        <f>"9783763976102"</f>
        <v>9783763976102</v>
      </c>
    </row>
    <row r="5071" spans="1:6" s="3" customFormat="1" ht="29.1" customHeight="1" x14ac:dyDescent="0.25">
      <c r="A5071" s="2" t="s">
        <v>10843</v>
      </c>
      <c r="B5071" s="2" t="s">
        <v>10844</v>
      </c>
      <c r="C5071" s="2" t="s">
        <v>20</v>
      </c>
      <c r="D5071" s="2" t="s">
        <v>135</v>
      </c>
      <c r="E5071" s="2" t="str">
        <f>"9783763968824"</f>
        <v>9783763968824</v>
      </c>
      <c r="F5071" s="2" t="str">
        <f>"9783763975358"</f>
        <v>9783763975358</v>
      </c>
    </row>
    <row r="5072" spans="1:6" s="3" customFormat="1" ht="29.1" customHeight="1" x14ac:dyDescent="0.25">
      <c r="A5072" s="2" t="s">
        <v>10845</v>
      </c>
      <c r="B5072" s="2" t="s">
        <v>10846</v>
      </c>
      <c r="C5072" s="2" t="s">
        <v>20</v>
      </c>
      <c r="D5072" s="2" t="s">
        <v>2178</v>
      </c>
      <c r="E5072" s="2" t="str">
        <f>"9783763970490"</f>
        <v>9783763970490</v>
      </c>
      <c r="F5072" s="2" t="str">
        <f>"9783763971558"</f>
        <v>9783763971558</v>
      </c>
    </row>
    <row r="5073" spans="1:6" s="3" customFormat="1" ht="29.1" customHeight="1" x14ac:dyDescent="0.25">
      <c r="A5073" s="2" t="s">
        <v>10847</v>
      </c>
      <c r="B5073" s="2" t="s">
        <v>10848</v>
      </c>
      <c r="C5073" s="2" t="s">
        <v>20</v>
      </c>
      <c r="D5073" s="2" t="s">
        <v>1198</v>
      </c>
      <c r="E5073" s="2" t="str">
        <f>"9783763968114"</f>
        <v>9783763968114</v>
      </c>
      <c r="F5073" s="2" t="str">
        <f>"9783763975334"</f>
        <v>9783763975334</v>
      </c>
    </row>
    <row r="5074" spans="1:6" s="3" customFormat="1" ht="29.1" customHeight="1" x14ac:dyDescent="0.25">
      <c r="A5074" s="2" t="s">
        <v>10849</v>
      </c>
      <c r="B5074" s="2" t="s">
        <v>10850</v>
      </c>
      <c r="C5074" s="2" t="s">
        <v>20</v>
      </c>
      <c r="D5074" s="2" t="s">
        <v>135</v>
      </c>
      <c r="E5074" s="2"/>
      <c r="F5074" s="2" t="str">
        <f>"9783763975365"</f>
        <v>9783763975365</v>
      </c>
    </row>
    <row r="5075" spans="1:6" s="3" customFormat="1" ht="29.1" customHeight="1" x14ac:dyDescent="0.25">
      <c r="A5075" s="2" t="s">
        <v>10851</v>
      </c>
      <c r="B5075" s="2" t="s">
        <v>10852</v>
      </c>
      <c r="C5075" s="2" t="s">
        <v>20</v>
      </c>
      <c r="D5075" s="2" t="s">
        <v>281</v>
      </c>
      <c r="E5075" s="2" t="str">
        <f>"9783763969999"</f>
        <v>9783763969999</v>
      </c>
      <c r="F5075" s="2" t="str">
        <f>"9783763971497"</f>
        <v>9783763971497</v>
      </c>
    </row>
    <row r="5076" spans="1:6" s="3" customFormat="1" ht="29.1" customHeight="1" x14ac:dyDescent="0.25">
      <c r="A5076" s="2" t="s">
        <v>10853</v>
      </c>
      <c r="B5076" s="2" t="s">
        <v>10854</v>
      </c>
      <c r="C5076" s="2" t="s">
        <v>20</v>
      </c>
      <c r="D5076" s="2" t="s">
        <v>135</v>
      </c>
      <c r="E5076" s="2" t="str">
        <f>"9783763968763"</f>
        <v>9783763968763</v>
      </c>
      <c r="F5076" s="2" t="str">
        <f>"9783763975341"</f>
        <v>9783763975341</v>
      </c>
    </row>
    <row r="5077" spans="1:6" s="3" customFormat="1" ht="29.1" customHeight="1" x14ac:dyDescent="0.25">
      <c r="A5077" s="2" t="s">
        <v>10670</v>
      </c>
      <c r="B5077" s="2" t="s">
        <v>10671</v>
      </c>
      <c r="C5077" s="2" t="s">
        <v>20</v>
      </c>
      <c r="D5077" s="2" t="s">
        <v>6618</v>
      </c>
      <c r="E5077" s="2"/>
      <c r="F5077" s="2" t="str">
        <f>"9783763975327"</f>
        <v>9783763975327</v>
      </c>
    </row>
    <row r="5078" spans="1:6" s="3" customFormat="1" ht="29.1" customHeight="1" x14ac:dyDescent="0.25">
      <c r="A5078" s="2" t="s">
        <v>10855</v>
      </c>
      <c r="B5078" s="2" t="s">
        <v>10856</v>
      </c>
      <c r="C5078" s="2" t="s">
        <v>20</v>
      </c>
      <c r="D5078" s="2" t="s">
        <v>553</v>
      </c>
      <c r="E5078" s="2" t="str">
        <f>"9783763970407"</f>
        <v>9783763970407</v>
      </c>
      <c r="F5078" s="2" t="str">
        <f>"9783763966516"</f>
        <v>9783763966516</v>
      </c>
    </row>
    <row r="5079" spans="1:6" s="3" customFormat="1" ht="29.1" customHeight="1" x14ac:dyDescent="0.25">
      <c r="A5079" s="2" t="s">
        <v>10857</v>
      </c>
      <c r="B5079" s="2" t="s">
        <v>10858</v>
      </c>
      <c r="C5079" s="2" t="s">
        <v>20</v>
      </c>
      <c r="D5079" s="2" t="s">
        <v>7079</v>
      </c>
      <c r="E5079" s="2" t="str">
        <f>"9783763961344"</f>
        <v>9783763961344</v>
      </c>
      <c r="F5079" s="2" t="str">
        <f>"9783763965861"</f>
        <v>9783763965861</v>
      </c>
    </row>
    <row r="5080" spans="1:6" s="3" customFormat="1" ht="29.1" customHeight="1" x14ac:dyDescent="0.25">
      <c r="A5080" s="2" t="s">
        <v>10859</v>
      </c>
      <c r="B5080" s="2" t="s">
        <v>10860</v>
      </c>
      <c r="C5080" s="2" t="s">
        <v>20</v>
      </c>
      <c r="D5080" s="2" t="s">
        <v>24</v>
      </c>
      <c r="E5080" s="2" t="str">
        <f>"9783763969784"</f>
        <v>9783763969784</v>
      </c>
      <c r="F5080" s="2" t="str">
        <f>"9783763969791"</f>
        <v>9783763969791</v>
      </c>
    </row>
    <row r="5081" spans="1:6" s="3" customFormat="1" ht="29.1" customHeight="1" x14ac:dyDescent="0.25">
      <c r="A5081" s="2" t="s">
        <v>10861</v>
      </c>
      <c r="B5081" s="2" t="s">
        <v>10862</v>
      </c>
      <c r="C5081" s="2" t="s">
        <v>20</v>
      </c>
      <c r="D5081" s="2" t="s">
        <v>24</v>
      </c>
      <c r="E5081" s="2" t="str">
        <f>"9783763973668"</f>
        <v>9783763973668</v>
      </c>
      <c r="F5081" s="2" t="str">
        <f>"9783763973675"</f>
        <v>9783763973675</v>
      </c>
    </row>
    <row r="5082" spans="1:6" s="3" customFormat="1" ht="29.1" customHeight="1" x14ac:dyDescent="0.25">
      <c r="A5082" s="2" t="s">
        <v>10863</v>
      </c>
      <c r="B5082" s="2" t="s">
        <v>10864</v>
      </c>
      <c r="C5082" s="2" t="s">
        <v>20</v>
      </c>
      <c r="D5082" s="2" t="s">
        <v>7079</v>
      </c>
      <c r="E5082" s="2" t="str">
        <f>"9783763961733"</f>
        <v>9783763961733</v>
      </c>
      <c r="F5082" s="2" t="str">
        <f>"9783763965946"</f>
        <v>9783763965946</v>
      </c>
    </row>
    <row r="5083" spans="1:6" s="3" customFormat="1" ht="29.1" customHeight="1" x14ac:dyDescent="0.25">
      <c r="A5083" s="2" t="s">
        <v>10865</v>
      </c>
      <c r="B5083" s="2" t="s">
        <v>10866</v>
      </c>
      <c r="C5083" s="2" t="s">
        <v>20</v>
      </c>
      <c r="D5083" s="2" t="s">
        <v>24</v>
      </c>
      <c r="E5083" s="2"/>
      <c r="F5083" s="2" t="str">
        <f>"9783763977055"</f>
        <v>9783763977055</v>
      </c>
    </row>
    <row r="5084" spans="1:6" s="3" customFormat="1" ht="29.1" customHeight="1" x14ac:dyDescent="0.25">
      <c r="A5084" s="2" t="s">
        <v>10867</v>
      </c>
      <c r="B5084" s="2" t="s">
        <v>9855</v>
      </c>
      <c r="C5084" s="2" t="s">
        <v>20</v>
      </c>
      <c r="D5084" s="2" t="s">
        <v>10868</v>
      </c>
      <c r="E5084" s="2" t="str">
        <f>"9783763967841"</f>
        <v>9783763967841</v>
      </c>
      <c r="F5084" s="2" t="str">
        <f>"9783763967858"</f>
        <v>9783763967858</v>
      </c>
    </row>
    <row r="5085" spans="1:6" s="3" customFormat="1" ht="29.1" customHeight="1" x14ac:dyDescent="0.25">
      <c r="A5085" s="2" t="s">
        <v>10869</v>
      </c>
      <c r="B5085" s="2" t="s">
        <v>10870</v>
      </c>
      <c r="C5085" s="2" t="s">
        <v>20</v>
      </c>
      <c r="D5085" s="2" t="s">
        <v>24</v>
      </c>
      <c r="E5085" s="2" t="str">
        <f>"9783763936908"</f>
        <v>9783763936908</v>
      </c>
      <c r="F5085" s="2" t="str">
        <f>"9783763945429"</f>
        <v>9783763945429</v>
      </c>
    </row>
    <row r="5086" spans="1:6" s="3" customFormat="1" ht="29.1" customHeight="1" x14ac:dyDescent="0.25">
      <c r="A5086" s="2" t="s">
        <v>10871</v>
      </c>
      <c r="B5086" s="2" t="s">
        <v>10872</v>
      </c>
      <c r="C5086" s="2" t="s">
        <v>20</v>
      </c>
      <c r="D5086" s="2" t="s">
        <v>24</v>
      </c>
      <c r="E5086" s="2" t="str">
        <f>"9783763960552"</f>
        <v>9783763960552</v>
      </c>
      <c r="F5086" s="2" t="str">
        <f>"9783763966523"</f>
        <v>9783763966523</v>
      </c>
    </row>
    <row r="5087" spans="1:6" s="3" customFormat="1" ht="29.1" customHeight="1" x14ac:dyDescent="0.25">
      <c r="A5087" s="2" t="s">
        <v>10657</v>
      </c>
      <c r="B5087" s="2" t="s">
        <v>10873</v>
      </c>
      <c r="C5087" s="2" t="s">
        <v>20</v>
      </c>
      <c r="D5087" s="2" t="s">
        <v>1466</v>
      </c>
      <c r="E5087" s="2" t="str">
        <f>"9783763977468"</f>
        <v>9783763977468</v>
      </c>
      <c r="F5087" s="2" t="str">
        <f>"9783763977475"</f>
        <v>9783763977475</v>
      </c>
    </row>
    <row r="5088" spans="1:6" s="3" customFormat="1" ht="29.1" customHeight="1" x14ac:dyDescent="0.25">
      <c r="A5088" s="2" t="s">
        <v>10874</v>
      </c>
      <c r="B5088" s="2" t="s">
        <v>10875</v>
      </c>
      <c r="C5088" s="2" t="s">
        <v>20</v>
      </c>
      <c r="D5088" s="2" t="s">
        <v>24</v>
      </c>
      <c r="E5088" s="2" t="str">
        <f>"9783763971800"</f>
        <v>9783763971800</v>
      </c>
      <c r="F5088" s="2" t="str">
        <f>"9783763973019"</f>
        <v>9783763973019</v>
      </c>
    </row>
    <row r="5089" spans="1:6" s="3" customFormat="1" ht="29.1" customHeight="1" x14ac:dyDescent="0.25">
      <c r="A5089" s="2" t="s">
        <v>10876</v>
      </c>
      <c r="B5089" s="2" t="s">
        <v>10877</v>
      </c>
      <c r="C5089" s="2" t="s">
        <v>62</v>
      </c>
      <c r="D5089" s="2" t="s">
        <v>6609</v>
      </c>
      <c r="E5089" s="2" t="str">
        <f>"9783428193219"</f>
        <v>9783428193219</v>
      </c>
      <c r="F5089" s="2" t="str">
        <f>"9783428593217"</f>
        <v>9783428593217</v>
      </c>
    </row>
    <row r="5090" spans="1:6" s="3" customFormat="1" ht="29.1" customHeight="1" x14ac:dyDescent="0.25">
      <c r="A5090" s="2" t="s">
        <v>10878</v>
      </c>
      <c r="B5090" s="2" t="s">
        <v>10879</v>
      </c>
      <c r="C5090" s="2" t="s">
        <v>5</v>
      </c>
      <c r="D5090" s="2" t="s">
        <v>9</v>
      </c>
      <c r="E5090" s="2" t="str">
        <f>"9783031611933"</f>
        <v>9783031611933</v>
      </c>
      <c r="F5090" s="2" t="str">
        <f>"9783031611940"</f>
        <v>9783031611940</v>
      </c>
    </row>
    <row r="5091" spans="1:6" s="3" customFormat="1" ht="29.1" customHeight="1" x14ac:dyDescent="0.25">
      <c r="A5091" s="2" t="s">
        <v>10880</v>
      </c>
      <c r="B5091" s="2" t="s">
        <v>10881</v>
      </c>
      <c r="C5091" s="2" t="s">
        <v>5</v>
      </c>
      <c r="D5091" s="2" t="s">
        <v>156</v>
      </c>
      <c r="E5091" s="2" t="str">
        <f>"9783031698637"</f>
        <v>9783031698637</v>
      </c>
      <c r="F5091" s="2" t="str">
        <f>"9783031698644"</f>
        <v>9783031698644</v>
      </c>
    </row>
    <row r="5092" spans="1:6" s="3" customFormat="1" ht="29.1" customHeight="1" x14ac:dyDescent="0.25">
      <c r="A5092" s="2" t="s">
        <v>10882</v>
      </c>
      <c r="B5092" s="2" t="s">
        <v>10884</v>
      </c>
      <c r="C5092" s="2" t="s">
        <v>5</v>
      </c>
      <c r="D5092" s="2" t="s">
        <v>10883</v>
      </c>
      <c r="E5092" s="2" t="str">
        <f>"9789819769643"</f>
        <v>9789819769643</v>
      </c>
      <c r="F5092" s="2" t="str">
        <f>"9789819769650"</f>
        <v>9789819769650</v>
      </c>
    </row>
    <row r="5093" spans="1:6" s="3" customFormat="1" ht="29.1" customHeight="1" x14ac:dyDescent="0.25">
      <c r="A5093" s="2" t="s">
        <v>10885</v>
      </c>
      <c r="B5093" s="2" t="s">
        <v>10886</v>
      </c>
      <c r="C5093" s="2" t="s">
        <v>5</v>
      </c>
      <c r="D5093" s="2" t="s">
        <v>3062</v>
      </c>
      <c r="E5093" s="2" t="str">
        <f>"9783031665813"</f>
        <v>9783031665813</v>
      </c>
      <c r="F5093" s="2" t="str">
        <f>"9783031665820"</f>
        <v>9783031665820</v>
      </c>
    </row>
    <row r="5094" spans="1:6" s="3" customFormat="1" ht="29.1" customHeight="1" x14ac:dyDescent="0.25">
      <c r="A5094" s="2" t="s">
        <v>10887</v>
      </c>
      <c r="B5094" s="2" t="s">
        <v>10889</v>
      </c>
      <c r="C5094" s="2" t="s">
        <v>29</v>
      </c>
      <c r="D5094" s="2" t="s">
        <v>10888</v>
      </c>
      <c r="E5094" s="2" t="str">
        <f>"9789004690066"</f>
        <v>9789004690066</v>
      </c>
      <c r="F5094" s="2" t="str">
        <f>"9789004690073"</f>
        <v>9789004690073</v>
      </c>
    </row>
    <row r="5095" spans="1:6" s="3" customFormat="1" ht="29.1" customHeight="1" x14ac:dyDescent="0.25">
      <c r="A5095" s="2" t="s">
        <v>10890</v>
      </c>
      <c r="B5095" s="2" t="s">
        <v>10891</v>
      </c>
      <c r="C5095" s="2" t="s">
        <v>29</v>
      </c>
      <c r="D5095" s="2" t="s">
        <v>7460</v>
      </c>
      <c r="E5095" s="2" t="str">
        <f>"9789004699823"</f>
        <v>9789004699823</v>
      </c>
      <c r="F5095" s="2" t="str">
        <f>"9789004699830"</f>
        <v>9789004699830</v>
      </c>
    </row>
    <row r="5096" spans="1:6" s="3" customFormat="1" ht="29.1" customHeight="1" x14ac:dyDescent="0.25">
      <c r="A5096" s="2" t="s">
        <v>10892</v>
      </c>
      <c r="B5096" s="2" t="s">
        <v>10893</v>
      </c>
      <c r="C5096" s="2" t="s">
        <v>5</v>
      </c>
      <c r="D5096" s="2" t="s">
        <v>9</v>
      </c>
      <c r="E5096" s="2" t="str">
        <f>"9782384762965"</f>
        <v>9782384762965</v>
      </c>
      <c r="F5096" s="2" t="str">
        <f>"9782384762972"</f>
        <v>9782384762972</v>
      </c>
    </row>
    <row r="5097" spans="1:6" s="3" customFormat="1" ht="29.1" customHeight="1" x14ac:dyDescent="0.25">
      <c r="A5097" s="2" t="s">
        <v>10894</v>
      </c>
      <c r="B5097" s="2" t="s">
        <v>10895</v>
      </c>
      <c r="C5097" s="2" t="s">
        <v>5</v>
      </c>
      <c r="D5097" s="2" t="s">
        <v>477</v>
      </c>
      <c r="E5097" s="2" t="str">
        <f>"9789464635652"</f>
        <v>9789464635652</v>
      </c>
      <c r="F5097" s="2" t="str">
        <f>"9789464635669"</f>
        <v>9789464635669</v>
      </c>
    </row>
    <row r="5098" spans="1:6" s="3" customFormat="1" ht="29.1" customHeight="1" x14ac:dyDescent="0.25">
      <c r="A5098" s="2" t="s">
        <v>10896</v>
      </c>
      <c r="B5098" s="2" t="s">
        <v>10897</v>
      </c>
      <c r="C5098" s="2" t="s">
        <v>5</v>
      </c>
      <c r="D5098" s="2" t="s">
        <v>490</v>
      </c>
      <c r="E5098" s="2" t="str">
        <f>"9789464635591"</f>
        <v>9789464635591</v>
      </c>
      <c r="F5098" s="2" t="str">
        <f>"9789464635607"</f>
        <v>9789464635607</v>
      </c>
    </row>
    <row r="5099" spans="1:6" s="3" customFormat="1" ht="29.1" customHeight="1" x14ac:dyDescent="0.25">
      <c r="A5099" s="2" t="s">
        <v>10898</v>
      </c>
      <c r="B5099" s="2" t="s">
        <v>10899</v>
      </c>
      <c r="C5099" s="2" t="s">
        <v>5</v>
      </c>
      <c r="D5099" s="2" t="s">
        <v>3817</v>
      </c>
      <c r="E5099" s="2" t="str">
        <f>"9783031718328"</f>
        <v>9783031718328</v>
      </c>
      <c r="F5099" s="2" t="str">
        <f>"9783031718335"</f>
        <v>9783031718335</v>
      </c>
    </row>
    <row r="5100" spans="1:6" s="3" customFormat="1" ht="29.1" customHeight="1" x14ac:dyDescent="0.25">
      <c r="A5100" s="2" t="s">
        <v>10900</v>
      </c>
      <c r="B5100" s="2" t="s">
        <v>10901</v>
      </c>
      <c r="C5100" s="2" t="s">
        <v>5</v>
      </c>
      <c r="D5100" s="2" t="s">
        <v>353</v>
      </c>
      <c r="E5100" s="2" t="str">
        <f>"9789819745753"</f>
        <v>9789819745753</v>
      </c>
      <c r="F5100" s="2" t="str">
        <f>"9789819745760"</f>
        <v>9789819745760</v>
      </c>
    </row>
    <row r="5101" spans="1:6" s="3" customFormat="1" ht="29.1" customHeight="1" x14ac:dyDescent="0.25">
      <c r="A5101" s="2" t="s">
        <v>10902</v>
      </c>
      <c r="B5101" s="2" t="s">
        <v>10903</v>
      </c>
      <c r="C5101" s="2" t="s">
        <v>5</v>
      </c>
      <c r="D5101" s="2" t="s">
        <v>281</v>
      </c>
      <c r="E5101" s="2" t="str">
        <f>"9783031734892"</f>
        <v>9783031734892</v>
      </c>
      <c r="F5101" s="2" t="str">
        <f>"9783031734908"</f>
        <v>9783031734908</v>
      </c>
    </row>
    <row r="5102" spans="1:6" s="3" customFormat="1" ht="29.1" customHeight="1" x14ac:dyDescent="0.25">
      <c r="A5102" s="2" t="s">
        <v>10904</v>
      </c>
      <c r="B5102" s="2" t="s">
        <v>10905</v>
      </c>
      <c r="C5102" s="2" t="s">
        <v>5</v>
      </c>
      <c r="D5102" s="2" t="s">
        <v>501</v>
      </c>
      <c r="E5102" s="2" t="str">
        <f>"9783031684746"</f>
        <v>9783031684746</v>
      </c>
      <c r="F5102" s="2" t="str">
        <f>"9783031684753"</f>
        <v>9783031684753</v>
      </c>
    </row>
    <row r="5103" spans="1:6" s="3" customFormat="1" ht="29.1" customHeight="1" x14ac:dyDescent="0.25">
      <c r="A5103" s="2" t="s">
        <v>10906</v>
      </c>
      <c r="B5103" s="2" t="s">
        <v>10907</v>
      </c>
      <c r="C5103" s="2" t="s">
        <v>5</v>
      </c>
      <c r="D5103" s="2" t="s">
        <v>9</v>
      </c>
      <c r="E5103" s="2" t="str">
        <f>"9782384762989"</f>
        <v>9782384762989</v>
      </c>
      <c r="F5103" s="2" t="str">
        <f>"9782384762996"</f>
        <v>9782384762996</v>
      </c>
    </row>
    <row r="5104" spans="1:6" s="3" customFormat="1" ht="29.1" customHeight="1" x14ac:dyDescent="0.25">
      <c r="A5104" s="2" t="s">
        <v>10908</v>
      </c>
      <c r="B5104" s="2" t="s">
        <v>10909</v>
      </c>
      <c r="C5104" s="2" t="s">
        <v>5</v>
      </c>
      <c r="D5104" s="2" t="s">
        <v>44</v>
      </c>
      <c r="E5104" s="2" t="str">
        <f>"9789464635638"</f>
        <v>9789464635638</v>
      </c>
      <c r="F5104" s="2" t="str">
        <f>"9789464635645"</f>
        <v>9789464635645</v>
      </c>
    </row>
    <row r="5105" spans="1:6" s="3" customFormat="1" ht="29.1" customHeight="1" x14ac:dyDescent="0.25">
      <c r="A5105" s="2" t="s">
        <v>10910</v>
      </c>
      <c r="B5105" s="2" t="s">
        <v>13</v>
      </c>
      <c r="C5105" s="2" t="s">
        <v>5</v>
      </c>
      <c r="D5105" s="2" t="s">
        <v>12</v>
      </c>
      <c r="E5105" s="2" t="str">
        <f>"9789819732777"</f>
        <v>9789819732777</v>
      </c>
      <c r="F5105" s="2" t="str">
        <f>"9789819732784"</f>
        <v>9789819732784</v>
      </c>
    </row>
    <row r="5106" spans="1:6" s="3" customFormat="1" ht="29.1" customHeight="1" x14ac:dyDescent="0.25">
      <c r="A5106" s="2" t="s">
        <v>10911</v>
      </c>
      <c r="B5106" s="2" t="s">
        <v>10912</v>
      </c>
      <c r="C5106" s="2" t="s">
        <v>5</v>
      </c>
      <c r="D5106" s="2" t="s">
        <v>339</v>
      </c>
      <c r="E5106" s="2" t="str">
        <f>"9783658457259"</f>
        <v>9783658457259</v>
      </c>
      <c r="F5106" s="2" t="str">
        <f>"9783658457266"</f>
        <v>9783658457266</v>
      </c>
    </row>
    <row r="5107" spans="1:6" s="3" customFormat="1" ht="29.1" customHeight="1" x14ac:dyDescent="0.25">
      <c r="A5107" s="2" t="s">
        <v>10913</v>
      </c>
      <c r="B5107" s="2" t="s">
        <v>10914</v>
      </c>
      <c r="C5107" s="2" t="s">
        <v>927</v>
      </c>
      <c r="D5107" s="2" t="s">
        <v>270</v>
      </c>
      <c r="E5107" s="2" t="str">
        <f>"9780472057092"</f>
        <v>9780472057092</v>
      </c>
      <c r="F5107" s="2" t="str">
        <f>"9780472904693"</f>
        <v>9780472904693</v>
      </c>
    </row>
    <row r="5108" spans="1:6" s="3" customFormat="1" ht="29.1" customHeight="1" x14ac:dyDescent="0.25">
      <c r="A5108" s="2" t="s">
        <v>10915</v>
      </c>
      <c r="B5108" s="2" t="s">
        <v>10916</v>
      </c>
      <c r="C5108" s="2" t="s">
        <v>239</v>
      </c>
      <c r="D5108" s="2" t="s">
        <v>202</v>
      </c>
      <c r="E5108" s="2" t="str">
        <f>"9780520402768"</f>
        <v>9780520402768</v>
      </c>
      <c r="F5108" s="2" t="str">
        <f>"9780520402775"</f>
        <v>9780520402775</v>
      </c>
    </row>
    <row r="5109" spans="1:6" s="3" customFormat="1" ht="29.1" customHeight="1" x14ac:dyDescent="0.25">
      <c r="A5109" s="2" t="s">
        <v>10917</v>
      </c>
      <c r="B5109" s="2" t="s">
        <v>10918</v>
      </c>
      <c r="C5109" s="2" t="s">
        <v>55</v>
      </c>
      <c r="D5109" s="2" t="s">
        <v>4172</v>
      </c>
      <c r="E5109" s="2"/>
      <c r="F5109" s="2" t="str">
        <f>"9781526178275"</f>
        <v>9781526178275</v>
      </c>
    </row>
    <row r="5110" spans="1:6" s="3" customFormat="1" ht="29.1" customHeight="1" x14ac:dyDescent="0.25">
      <c r="A5110" s="2" t="s">
        <v>10917</v>
      </c>
      <c r="B5110" s="2" t="s">
        <v>10918</v>
      </c>
      <c r="C5110" s="2" t="s">
        <v>55</v>
      </c>
      <c r="D5110" s="2" t="s">
        <v>4172</v>
      </c>
      <c r="E5110" s="2" t="str">
        <f>"9781526167781"</f>
        <v>9781526167781</v>
      </c>
      <c r="F5110" s="2" t="str">
        <f>"9781526167804"</f>
        <v>9781526167804</v>
      </c>
    </row>
    <row r="5111" spans="1:6" s="3" customFormat="1" ht="29.1" customHeight="1" x14ac:dyDescent="0.25">
      <c r="A5111" s="2" t="s">
        <v>10919</v>
      </c>
      <c r="B5111" s="2" t="s">
        <v>10920</v>
      </c>
      <c r="C5111" s="2" t="s">
        <v>55</v>
      </c>
      <c r="D5111" s="2" t="s">
        <v>183</v>
      </c>
      <c r="E5111" s="2" t="str">
        <f>"9781526168429"</f>
        <v>9781526168429</v>
      </c>
      <c r="F5111" s="2" t="str">
        <f>"9781526168412"</f>
        <v>9781526168412</v>
      </c>
    </row>
    <row r="5112" spans="1:6" s="3" customFormat="1" ht="29.1" customHeight="1" x14ac:dyDescent="0.25">
      <c r="A5112" s="2" t="s">
        <v>10921</v>
      </c>
      <c r="B5112" s="2" t="s">
        <v>10922</v>
      </c>
      <c r="C5112" s="2" t="s">
        <v>55</v>
      </c>
      <c r="D5112" s="2" t="s">
        <v>183</v>
      </c>
      <c r="E5112" s="2" t="str">
        <f>"9781526163189"</f>
        <v>9781526163189</v>
      </c>
      <c r="F5112" s="2" t="str">
        <f>"9781526163172"</f>
        <v>9781526163172</v>
      </c>
    </row>
    <row r="5113" spans="1:6" s="3" customFormat="1" ht="29.1" customHeight="1" x14ac:dyDescent="0.25">
      <c r="A5113" s="2" t="s">
        <v>10923</v>
      </c>
      <c r="B5113" s="2" t="s">
        <v>10924</v>
      </c>
      <c r="C5113" s="2" t="s">
        <v>29</v>
      </c>
      <c r="D5113" s="2" t="s">
        <v>210</v>
      </c>
      <c r="E5113" s="2" t="str">
        <f>"9789004710115"</f>
        <v>9789004710115</v>
      </c>
      <c r="F5113" s="2" t="str">
        <f>"9789004711815"</f>
        <v>9789004711815</v>
      </c>
    </row>
    <row r="5114" spans="1:6" s="3" customFormat="1" ht="29.1" customHeight="1" x14ac:dyDescent="0.25">
      <c r="A5114" s="2" t="s">
        <v>847</v>
      </c>
      <c r="B5114" s="2" t="s">
        <v>848</v>
      </c>
      <c r="C5114" s="2" t="s">
        <v>5</v>
      </c>
      <c r="D5114" s="2" t="s">
        <v>1902</v>
      </c>
      <c r="E5114" s="2" t="str">
        <f>"9783031737404"</f>
        <v>9783031737404</v>
      </c>
      <c r="F5114" s="2" t="str">
        <f>"9783031737411"</f>
        <v>9783031737411</v>
      </c>
    </row>
    <row r="5115" spans="1:6" s="3" customFormat="1" ht="29.1" customHeight="1" x14ac:dyDescent="0.25">
      <c r="A5115" s="2" t="s">
        <v>10925</v>
      </c>
      <c r="B5115" s="2" t="s">
        <v>10926</v>
      </c>
      <c r="C5115" s="2" t="s">
        <v>5</v>
      </c>
      <c r="D5115" s="2" t="s">
        <v>9</v>
      </c>
      <c r="E5115" s="2" t="str">
        <f>"9783658461751"</f>
        <v>9783658461751</v>
      </c>
      <c r="F5115" s="2" t="str">
        <f>"9783658461768"</f>
        <v>9783658461768</v>
      </c>
    </row>
    <row r="5116" spans="1:6" s="3" customFormat="1" ht="29.1" customHeight="1" x14ac:dyDescent="0.25">
      <c r="A5116" s="2" t="s">
        <v>10927</v>
      </c>
      <c r="B5116" s="2" t="s">
        <v>10928</v>
      </c>
      <c r="C5116" s="2" t="s">
        <v>5</v>
      </c>
      <c r="D5116" s="2" t="s">
        <v>186</v>
      </c>
      <c r="E5116" s="2" t="str">
        <f>"9789464635249"</f>
        <v>9789464635249</v>
      </c>
      <c r="F5116" s="2" t="str">
        <f>"9789464635256"</f>
        <v>9789464635256</v>
      </c>
    </row>
    <row r="5117" spans="1:6" s="3" customFormat="1" ht="29.1" customHeight="1" x14ac:dyDescent="0.25">
      <c r="A5117" s="2" t="s">
        <v>10929</v>
      </c>
      <c r="B5117" s="2" t="s">
        <v>10930</v>
      </c>
      <c r="C5117" s="2" t="s">
        <v>5</v>
      </c>
      <c r="D5117" s="2" t="s">
        <v>894</v>
      </c>
      <c r="E5117" s="2" t="str">
        <f>"9783658464110"</f>
        <v>9783658464110</v>
      </c>
      <c r="F5117" s="2" t="str">
        <f>"9783658464127"</f>
        <v>9783658464127</v>
      </c>
    </row>
    <row r="5118" spans="1:6" s="3" customFormat="1" ht="29.1" customHeight="1" x14ac:dyDescent="0.25">
      <c r="A5118" s="2" t="s">
        <v>10931</v>
      </c>
      <c r="B5118" s="2" t="s">
        <v>10932</v>
      </c>
      <c r="C5118" s="2" t="s">
        <v>5</v>
      </c>
      <c r="D5118" s="2" t="s">
        <v>12</v>
      </c>
      <c r="E5118" s="2" t="str">
        <f>"9783031699177"</f>
        <v>9783031699177</v>
      </c>
      <c r="F5118" s="2" t="str">
        <f>"9783031699184"</f>
        <v>9783031699184</v>
      </c>
    </row>
    <row r="5119" spans="1:6" s="3" customFormat="1" ht="29.1" customHeight="1" x14ac:dyDescent="0.25">
      <c r="A5119" s="2" t="s">
        <v>10933</v>
      </c>
      <c r="B5119" s="2" t="s">
        <v>10934</v>
      </c>
      <c r="C5119" s="2" t="s">
        <v>5</v>
      </c>
      <c r="D5119" s="2" t="s">
        <v>3567</v>
      </c>
      <c r="E5119" s="2" t="str">
        <f>"9783031686627"</f>
        <v>9783031686627</v>
      </c>
      <c r="F5119" s="2" t="str">
        <f>"9783031686634"</f>
        <v>9783031686634</v>
      </c>
    </row>
    <row r="5120" spans="1:6" s="3" customFormat="1" ht="29.1" customHeight="1" x14ac:dyDescent="0.25">
      <c r="A5120" s="2" t="s">
        <v>10935</v>
      </c>
      <c r="B5120" s="2" t="s">
        <v>10936</v>
      </c>
      <c r="C5120" s="2" t="s">
        <v>5</v>
      </c>
      <c r="D5120" s="2" t="s">
        <v>12</v>
      </c>
      <c r="E5120" s="2" t="str">
        <f>"9783031680533"</f>
        <v>9783031680533</v>
      </c>
      <c r="F5120" s="2" t="str">
        <f>"9783031680540"</f>
        <v>9783031680540</v>
      </c>
    </row>
    <row r="5121" spans="1:6" s="3" customFormat="1" ht="29.1" customHeight="1" x14ac:dyDescent="0.25">
      <c r="A5121" s="2" t="s">
        <v>10937</v>
      </c>
      <c r="B5121" s="2" t="s">
        <v>10939</v>
      </c>
      <c r="C5121" s="2" t="s">
        <v>149</v>
      </c>
      <c r="D5121" s="2" t="s">
        <v>10938</v>
      </c>
      <c r="E5121" s="2" t="str">
        <f>"9781685711900"</f>
        <v>9781685711900</v>
      </c>
      <c r="F5121" s="2" t="str">
        <f>"9781685711917"</f>
        <v>9781685711917</v>
      </c>
    </row>
    <row r="5122" spans="1:6" s="3" customFormat="1" ht="29.1" customHeight="1" x14ac:dyDescent="0.25">
      <c r="A5122" s="2" t="s">
        <v>10940</v>
      </c>
      <c r="B5122" s="2"/>
      <c r="C5122" s="2" t="s">
        <v>59</v>
      </c>
      <c r="D5122" s="2" t="s">
        <v>10941</v>
      </c>
      <c r="E5122" s="2"/>
      <c r="F5122" s="2" t="str">
        <f>"9782759239955"</f>
        <v>9782759239955</v>
      </c>
    </row>
    <row r="5123" spans="1:6" s="3" customFormat="1" ht="29.1" customHeight="1" x14ac:dyDescent="0.25">
      <c r="A5123" s="2" t="s">
        <v>10942</v>
      </c>
      <c r="B5123" s="2" t="s">
        <v>10943</v>
      </c>
      <c r="C5123" s="2" t="s">
        <v>5</v>
      </c>
      <c r="D5123" s="2" t="s">
        <v>633</v>
      </c>
      <c r="E5123" s="2" t="str">
        <f>"9789819779574"</f>
        <v>9789819779574</v>
      </c>
      <c r="F5123" s="2" t="str">
        <f>"9789819779581"</f>
        <v>9789819779581</v>
      </c>
    </row>
    <row r="5124" spans="1:6" s="3" customFormat="1" ht="29.1" customHeight="1" x14ac:dyDescent="0.25">
      <c r="A5124" s="2" t="s">
        <v>9385</v>
      </c>
      <c r="B5124" s="2" t="s">
        <v>10944</v>
      </c>
      <c r="C5124" s="2" t="s">
        <v>29</v>
      </c>
      <c r="D5124" s="2" t="s">
        <v>1432</v>
      </c>
      <c r="E5124" s="2" t="str">
        <f>"9789004706583"</f>
        <v>9789004706583</v>
      </c>
      <c r="F5124" s="2" t="str">
        <f>"9789004706590"</f>
        <v>9789004706590</v>
      </c>
    </row>
    <row r="5125" spans="1:6" s="3" customFormat="1" ht="29.1" customHeight="1" x14ac:dyDescent="0.25">
      <c r="A5125" s="2" t="s">
        <v>9385</v>
      </c>
      <c r="B5125" s="2" t="s">
        <v>9386</v>
      </c>
      <c r="C5125" s="2" t="s">
        <v>29</v>
      </c>
      <c r="D5125" s="2" t="s">
        <v>1432</v>
      </c>
      <c r="E5125" s="2" t="str">
        <f>"9789004706569"</f>
        <v>9789004706569</v>
      </c>
      <c r="F5125" s="2" t="str">
        <f>"9789004706576"</f>
        <v>9789004706576</v>
      </c>
    </row>
    <row r="5126" spans="1:6" s="3" customFormat="1" ht="29.1" customHeight="1" x14ac:dyDescent="0.25">
      <c r="A5126" s="2" t="s">
        <v>10945</v>
      </c>
      <c r="B5126" s="2" t="s">
        <v>10946</v>
      </c>
      <c r="C5126" s="2" t="s">
        <v>29</v>
      </c>
      <c r="D5126" s="2" t="s">
        <v>5032</v>
      </c>
      <c r="E5126" s="2" t="str">
        <f>"9789004689220"</f>
        <v>9789004689220</v>
      </c>
      <c r="F5126" s="2" t="str">
        <f>"9789004689237"</f>
        <v>9789004689237</v>
      </c>
    </row>
    <row r="5127" spans="1:6" s="3" customFormat="1" ht="29.1" customHeight="1" x14ac:dyDescent="0.25">
      <c r="A5127" s="2" t="s">
        <v>10947</v>
      </c>
      <c r="B5127" s="2" t="s">
        <v>10948</v>
      </c>
      <c r="C5127" s="2" t="s">
        <v>29</v>
      </c>
      <c r="D5127" s="2" t="s">
        <v>497</v>
      </c>
      <c r="E5127" s="2" t="str">
        <f>"9789004721739"</f>
        <v>9789004721739</v>
      </c>
      <c r="F5127" s="2" t="str">
        <f>"9789004721746"</f>
        <v>9789004721746</v>
      </c>
    </row>
    <row r="5128" spans="1:6" s="3" customFormat="1" ht="29.1" customHeight="1" x14ac:dyDescent="0.25">
      <c r="A5128" s="2" t="s">
        <v>10949</v>
      </c>
      <c r="B5128" s="2" t="s">
        <v>10951</v>
      </c>
      <c r="C5128" s="2" t="s">
        <v>29</v>
      </c>
      <c r="D5128" s="2" t="s">
        <v>10950</v>
      </c>
      <c r="E5128" s="2" t="str">
        <f>"9789004693173"</f>
        <v>9789004693173</v>
      </c>
      <c r="F5128" s="2" t="str">
        <f>"9789004523562"</f>
        <v>9789004523562</v>
      </c>
    </row>
    <row r="5129" spans="1:6" s="3" customFormat="1" ht="29.1" customHeight="1" x14ac:dyDescent="0.25">
      <c r="A5129" s="2" t="s">
        <v>10952</v>
      </c>
      <c r="B5129" s="2" t="s">
        <v>10953</v>
      </c>
      <c r="C5129" s="2" t="s">
        <v>29</v>
      </c>
      <c r="D5129" s="2" t="s">
        <v>5032</v>
      </c>
      <c r="E5129" s="2" t="str">
        <f>"9789004525115"</f>
        <v>9789004525115</v>
      </c>
      <c r="F5129" s="2" t="str">
        <f>"9789004684553"</f>
        <v>9789004684553</v>
      </c>
    </row>
    <row r="5130" spans="1:6" s="3" customFormat="1" ht="29.1" customHeight="1" x14ac:dyDescent="0.25">
      <c r="A5130" s="2" t="s">
        <v>10954</v>
      </c>
      <c r="B5130" s="2" t="s">
        <v>10955</v>
      </c>
      <c r="C5130" s="2" t="s">
        <v>29</v>
      </c>
      <c r="D5130" s="2" t="s">
        <v>509</v>
      </c>
      <c r="E5130" s="2" t="str">
        <f>"9783506796820"</f>
        <v>9783506796820</v>
      </c>
      <c r="F5130" s="2" t="str">
        <f>"9783657796823"</f>
        <v>9783657796823</v>
      </c>
    </row>
    <row r="5131" spans="1:6" s="3" customFormat="1" ht="29.1" customHeight="1" x14ac:dyDescent="0.25">
      <c r="A5131" s="2" t="s">
        <v>10956</v>
      </c>
      <c r="B5131" s="2" t="s">
        <v>10957</v>
      </c>
      <c r="C5131" s="2" t="s">
        <v>29</v>
      </c>
      <c r="D5131" s="2" t="s">
        <v>509</v>
      </c>
      <c r="E5131" s="2" t="str">
        <f>"9783506796646"</f>
        <v>9783506796646</v>
      </c>
      <c r="F5131" s="2" t="str">
        <f>"9783657796649"</f>
        <v>9783657796649</v>
      </c>
    </row>
    <row r="5132" spans="1:6" s="3" customFormat="1" ht="29.1" customHeight="1" x14ac:dyDescent="0.25">
      <c r="A5132" s="2" t="s">
        <v>10958</v>
      </c>
      <c r="B5132" s="2" t="s">
        <v>10959</v>
      </c>
      <c r="C5132" s="2" t="s">
        <v>927</v>
      </c>
      <c r="D5132" s="2" t="s">
        <v>270</v>
      </c>
      <c r="E5132" s="2" t="str">
        <f>"9780472056088"</f>
        <v>9780472056088</v>
      </c>
      <c r="F5132" s="2" t="str">
        <f>"9780472903429"</f>
        <v>9780472903429</v>
      </c>
    </row>
    <row r="5133" spans="1:6" s="3" customFormat="1" ht="29.1" customHeight="1" x14ac:dyDescent="0.25">
      <c r="A5133" s="2" t="s">
        <v>10960</v>
      </c>
      <c r="B5133" s="2" t="s">
        <v>10961</v>
      </c>
      <c r="C5133" s="2" t="s">
        <v>927</v>
      </c>
      <c r="D5133" s="2" t="s">
        <v>270</v>
      </c>
      <c r="E5133" s="2" t="str">
        <f>"9780472057054"</f>
        <v>9780472057054</v>
      </c>
      <c r="F5133" s="2" t="str">
        <f>"9780472904679"</f>
        <v>9780472904679</v>
      </c>
    </row>
    <row r="5134" spans="1:6" s="3" customFormat="1" ht="29.1" customHeight="1" x14ac:dyDescent="0.25">
      <c r="A5134" s="2" t="s">
        <v>10962</v>
      </c>
      <c r="B5134" s="2" t="s">
        <v>10963</v>
      </c>
      <c r="C5134" s="2" t="s">
        <v>131</v>
      </c>
      <c r="D5134" s="2" t="s">
        <v>465</v>
      </c>
      <c r="E5134" s="2" t="str">
        <f>"9789027215260"</f>
        <v>9789027215260</v>
      </c>
      <c r="F5134" s="2" t="str">
        <f>"9789027246585"</f>
        <v>9789027246585</v>
      </c>
    </row>
    <row r="5135" spans="1:6" s="3" customFormat="1" ht="29.1" customHeight="1" x14ac:dyDescent="0.25">
      <c r="A5135" s="2" t="s">
        <v>10964</v>
      </c>
      <c r="B5135" s="2" t="s">
        <v>10965</v>
      </c>
      <c r="C5135" s="2" t="s">
        <v>195</v>
      </c>
      <c r="D5135" s="2" t="s">
        <v>465</v>
      </c>
      <c r="E5135" s="2" t="str">
        <f>"9783111077277"</f>
        <v>9783111077277</v>
      </c>
      <c r="F5135" s="2" t="str">
        <f>"9783111077345"</f>
        <v>9783111077345</v>
      </c>
    </row>
    <row r="5136" spans="1:6" s="3" customFormat="1" ht="29.1" customHeight="1" x14ac:dyDescent="0.25">
      <c r="A5136" s="2" t="s">
        <v>10966</v>
      </c>
      <c r="B5136" s="2" t="s">
        <v>10967</v>
      </c>
      <c r="C5136" s="2" t="s">
        <v>595</v>
      </c>
      <c r="D5136" s="2" t="s">
        <v>215</v>
      </c>
      <c r="E5136" s="2" t="str">
        <f>"9783631918548"</f>
        <v>9783631918548</v>
      </c>
      <c r="F5136" s="2" t="str">
        <f>"9783631924822"</f>
        <v>9783631924822</v>
      </c>
    </row>
    <row r="5137" spans="1:6" s="3" customFormat="1" ht="29.1" customHeight="1" x14ac:dyDescent="0.25">
      <c r="A5137" s="2" t="s">
        <v>10968</v>
      </c>
      <c r="B5137" s="2" t="s">
        <v>10969</v>
      </c>
      <c r="C5137" s="2" t="s">
        <v>29</v>
      </c>
      <c r="D5137" s="2" t="s">
        <v>192</v>
      </c>
      <c r="E5137" s="2" t="str">
        <f>"9789004544154"</f>
        <v>9789004544154</v>
      </c>
      <c r="F5137" s="2" t="str">
        <f>"9789004529991"</f>
        <v>9789004529991</v>
      </c>
    </row>
    <row r="5138" spans="1:6" s="3" customFormat="1" ht="29.1" customHeight="1" x14ac:dyDescent="0.25">
      <c r="A5138" s="2" t="s">
        <v>10970</v>
      </c>
      <c r="B5138" s="2" t="s">
        <v>10971</v>
      </c>
      <c r="C5138" s="2" t="s">
        <v>29</v>
      </c>
      <c r="D5138" s="2" t="s">
        <v>33</v>
      </c>
      <c r="E5138" s="2" t="str">
        <f>"9783770568932"</f>
        <v>9783770568932</v>
      </c>
      <c r="F5138" s="2" t="str">
        <f>"9783846768938"</f>
        <v>9783846768938</v>
      </c>
    </row>
    <row r="5139" spans="1:6" s="3" customFormat="1" ht="29.1" customHeight="1" x14ac:dyDescent="0.25">
      <c r="A5139" s="2" t="s">
        <v>10972</v>
      </c>
      <c r="B5139" s="2" t="s">
        <v>10974</v>
      </c>
      <c r="C5139" s="2" t="s">
        <v>10973</v>
      </c>
      <c r="D5139" s="2" t="s">
        <v>1669</v>
      </c>
      <c r="E5139" s="2" t="str">
        <f>"9789633868225"</f>
        <v>9789633868225</v>
      </c>
      <c r="F5139" s="2" t="str">
        <f>"9789633868232"</f>
        <v>9789633868232</v>
      </c>
    </row>
    <row r="5140" spans="1:6" s="3" customFormat="1" ht="29.1" customHeight="1" x14ac:dyDescent="0.25">
      <c r="A5140" s="2" t="s">
        <v>10975</v>
      </c>
      <c r="B5140" s="2" t="s">
        <v>10976</v>
      </c>
      <c r="C5140" s="2" t="s">
        <v>5</v>
      </c>
      <c r="D5140" s="2" t="s">
        <v>694</v>
      </c>
      <c r="E5140" s="2" t="str">
        <f>"9783031698514"</f>
        <v>9783031698514</v>
      </c>
      <c r="F5140" s="2" t="str">
        <f>"9783031698521"</f>
        <v>9783031698521</v>
      </c>
    </row>
    <row r="5141" spans="1:6" s="3" customFormat="1" ht="29.1" customHeight="1" x14ac:dyDescent="0.25">
      <c r="A5141" s="2" t="s">
        <v>10977</v>
      </c>
      <c r="B5141" s="2" t="s">
        <v>10978</v>
      </c>
      <c r="C5141" s="2" t="s">
        <v>5</v>
      </c>
      <c r="D5141" s="2" t="s">
        <v>984</v>
      </c>
      <c r="E5141" s="2" t="str">
        <f>"9783031632839"</f>
        <v>9783031632839</v>
      </c>
      <c r="F5141" s="2" t="str">
        <f>"9783031632846"</f>
        <v>9783031632846</v>
      </c>
    </row>
    <row r="5142" spans="1:6" s="3" customFormat="1" ht="29.1" customHeight="1" x14ac:dyDescent="0.25">
      <c r="A5142" s="2" t="s">
        <v>10979</v>
      </c>
      <c r="B5142" s="2" t="s">
        <v>10980</v>
      </c>
      <c r="C5142" s="2" t="s">
        <v>5</v>
      </c>
      <c r="D5142" s="2" t="s">
        <v>37</v>
      </c>
      <c r="E5142" s="2" t="str">
        <f>"9783031656026"</f>
        <v>9783031656026</v>
      </c>
      <c r="F5142" s="2" t="str">
        <f>"9783031656033"</f>
        <v>9783031656033</v>
      </c>
    </row>
    <row r="5143" spans="1:6" s="3" customFormat="1" ht="29.1" customHeight="1" x14ac:dyDescent="0.25">
      <c r="A5143" s="2" t="s">
        <v>10981</v>
      </c>
      <c r="B5143" s="2" t="s">
        <v>10982</v>
      </c>
      <c r="C5143" s="2" t="s">
        <v>5</v>
      </c>
      <c r="D5143" s="2" t="s">
        <v>44</v>
      </c>
      <c r="E5143" s="2" t="str">
        <f>"9789464635553"</f>
        <v>9789464635553</v>
      </c>
      <c r="F5143" s="2" t="str">
        <f>"9789464635560"</f>
        <v>9789464635560</v>
      </c>
    </row>
    <row r="5144" spans="1:6" s="3" customFormat="1" ht="29.1" customHeight="1" x14ac:dyDescent="0.25">
      <c r="A5144" s="2" t="s">
        <v>10983</v>
      </c>
      <c r="B5144" s="2" t="s">
        <v>9521</v>
      </c>
      <c r="C5144" s="2" t="s">
        <v>5</v>
      </c>
      <c r="D5144" s="2" t="s">
        <v>98</v>
      </c>
      <c r="E5144" s="2" t="str">
        <f>"9789464635515"</f>
        <v>9789464635515</v>
      </c>
      <c r="F5144" s="2" t="str">
        <f>"9789464635522"</f>
        <v>9789464635522</v>
      </c>
    </row>
    <row r="5145" spans="1:6" s="3" customFormat="1" ht="29.1" customHeight="1" x14ac:dyDescent="0.25">
      <c r="A5145" s="2" t="s">
        <v>10984</v>
      </c>
      <c r="B5145" s="2" t="s">
        <v>10985</v>
      </c>
      <c r="C5145" s="2" t="s">
        <v>5</v>
      </c>
      <c r="D5145" s="2" t="s">
        <v>141</v>
      </c>
      <c r="E5145" s="2" t="str">
        <f>"9789464635454"</f>
        <v>9789464635454</v>
      </c>
      <c r="F5145" s="2" t="str">
        <f>"9789464635461"</f>
        <v>9789464635461</v>
      </c>
    </row>
    <row r="5146" spans="1:6" s="3" customFormat="1" ht="29.1" customHeight="1" x14ac:dyDescent="0.25">
      <c r="A5146" s="2" t="s">
        <v>10986</v>
      </c>
      <c r="B5146" s="2" t="s">
        <v>10987</v>
      </c>
      <c r="C5146" s="2" t="s">
        <v>5</v>
      </c>
      <c r="D5146" s="2" t="s">
        <v>353</v>
      </c>
      <c r="E5146" s="2" t="str">
        <f>"9789819777280"</f>
        <v>9789819777280</v>
      </c>
      <c r="F5146" s="2" t="str">
        <f>"9789819777297"</f>
        <v>9789819777297</v>
      </c>
    </row>
    <row r="5147" spans="1:6" s="3" customFormat="1" ht="29.1" customHeight="1" x14ac:dyDescent="0.25">
      <c r="A5147" s="2" t="s">
        <v>10988</v>
      </c>
      <c r="B5147" s="2" t="s">
        <v>10989</v>
      </c>
      <c r="C5147" s="2" t="s">
        <v>5</v>
      </c>
      <c r="D5147" s="2" t="s">
        <v>215</v>
      </c>
      <c r="E5147" s="2" t="str">
        <f>"9789819739325"</f>
        <v>9789819739325</v>
      </c>
      <c r="F5147" s="2" t="str">
        <f>"9789819739332"</f>
        <v>9789819739332</v>
      </c>
    </row>
    <row r="5148" spans="1:6" s="3" customFormat="1" ht="29.1" customHeight="1" x14ac:dyDescent="0.25">
      <c r="A5148" s="2" t="s">
        <v>10990</v>
      </c>
      <c r="B5148" s="2" t="s">
        <v>10991</v>
      </c>
      <c r="C5148" s="2" t="s">
        <v>5</v>
      </c>
      <c r="D5148" s="2" t="s">
        <v>633</v>
      </c>
      <c r="E5148" s="2" t="str">
        <f>"9789819774890"</f>
        <v>9789819774890</v>
      </c>
      <c r="F5148" s="2" t="str">
        <f>"9789819774906"</f>
        <v>9789819774906</v>
      </c>
    </row>
    <row r="5149" spans="1:6" s="3" customFormat="1" ht="29.1" customHeight="1" x14ac:dyDescent="0.25">
      <c r="A5149" s="2" t="s">
        <v>10992</v>
      </c>
      <c r="B5149" s="2" t="s">
        <v>10993</v>
      </c>
      <c r="C5149" s="2" t="s">
        <v>746</v>
      </c>
      <c r="D5149" s="2" t="s">
        <v>4185</v>
      </c>
      <c r="E5149" s="2" t="str">
        <f>"9781803278537"</f>
        <v>9781803278537</v>
      </c>
      <c r="F5149" s="2" t="str">
        <f>"9781803278544"</f>
        <v>9781803278544</v>
      </c>
    </row>
    <row r="5150" spans="1:6" s="3" customFormat="1" ht="29.1" customHeight="1" x14ac:dyDescent="0.25">
      <c r="A5150" s="2" t="s">
        <v>10994</v>
      </c>
      <c r="B5150" s="2" t="s">
        <v>10995</v>
      </c>
      <c r="C5150" s="2" t="s">
        <v>5</v>
      </c>
      <c r="D5150" s="2" t="s">
        <v>1867</v>
      </c>
      <c r="E5150" s="2" t="str">
        <f>"9789819747559"</f>
        <v>9789819747559</v>
      </c>
      <c r="F5150" s="2" t="str">
        <f>"9789819747566"</f>
        <v>9789819747566</v>
      </c>
    </row>
    <row r="5151" spans="1:6" s="3" customFormat="1" ht="29.1" customHeight="1" x14ac:dyDescent="0.25">
      <c r="A5151" s="2" t="s">
        <v>10996</v>
      </c>
      <c r="B5151" s="2" t="s">
        <v>10997</v>
      </c>
      <c r="C5151" s="2" t="s">
        <v>5</v>
      </c>
      <c r="D5151" s="2" t="s">
        <v>2551</v>
      </c>
      <c r="E5151" s="2" t="str">
        <f>"9783658444464"</f>
        <v>9783658444464</v>
      </c>
      <c r="F5151" s="2" t="str">
        <f>"9783658444471"</f>
        <v>9783658444471</v>
      </c>
    </row>
    <row r="5152" spans="1:6" s="3" customFormat="1" ht="29.1" customHeight="1" x14ac:dyDescent="0.25">
      <c r="A5152" s="2" t="s">
        <v>10998</v>
      </c>
      <c r="B5152" s="2" t="s">
        <v>10999</v>
      </c>
      <c r="C5152" s="2" t="s">
        <v>5</v>
      </c>
      <c r="D5152" s="2" t="s">
        <v>2237</v>
      </c>
      <c r="E5152" s="2" t="str">
        <f>"9789464635492"</f>
        <v>9789464635492</v>
      </c>
      <c r="F5152" s="2" t="str">
        <f>"9789464635508"</f>
        <v>9789464635508</v>
      </c>
    </row>
    <row r="5153" spans="1:6" s="3" customFormat="1" ht="29.1" customHeight="1" x14ac:dyDescent="0.25">
      <c r="A5153" s="2" t="s">
        <v>11000</v>
      </c>
      <c r="B5153" s="2" t="s">
        <v>11001</v>
      </c>
      <c r="C5153" s="2" t="s">
        <v>55</v>
      </c>
      <c r="D5153" s="2" t="s">
        <v>4172</v>
      </c>
      <c r="E5153" s="2"/>
      <c r="F5153" s="2" t="str">
        <f>"9781526160881"</f>
        <v>9781526160881</v>
      </c>
    </row>
    <row r="5154" spans="1:6" s="3" customFormat="1" ht="29.1" customHeight="1" x14ac:dyDescent="0.25">
      <c r="A5154" s="2" t="s">
        <v>11002</v>
      </c>
      <c r="B5154" s="2" t="s">
        <v>11003</v>
      </c>
      <c r="C5154" s="2" t="s">
        <v>55</v>
      </c>
      <c r="D5154" s="2" t="s">
        <v>7280</v>
      </c>
      <c r="E5154" s="2" t="str">
        <f>"9781526141033"</f>
        <v>9781526141033</v>
      </c>
      <c r="F5154" s="2" t="str">
        <f>"9781526141040"</f>
        <v>9781526141040</v>
      </c>
    </row>
    <row r="5155" spans="1:6" s="3" customFormat="1" ht="29.1" customHeight="1" x14ac:dyDescent="0.25">
      <c r="A5155" s="2" t="s">
        <v>11004</v>
      </c>
      <c r="B5155" s="2" t="s">
        <v>11007</v>
      </c>
      <c r="C5155" s="2" t="s">
        <v>11005</v>
      </c>
      <c r="D5155" s="2" t="s">
        <v>11006</v>
      </c>
      <c r="E5155" s="2" t="str">
        <f>"9783837933291"</f>
        <v>9783837933291</v>
      </c>
      <c r="F5155" s="2" t="str">
        <f>"9783837962017"</f>
        <v>9783837962017</v>
      </c>
    </row>
    <row r="5156" spans="1:6" s="3" customFormat="1" ht="29.1" customHeight="1" x14ac:dyDescent="0.25">
      <c r="A5156" s="2" t="s">
        <v>11008</v>
      </c>
      <c r="B5156" s="2" t="s">
        <v>11009</v>
      </c>
      <c r="C5156" s="2" t="s">
        <v>5</v>
      </c>
      <c r="D5156" s="2" t="s">
        <v>850</v>
      </c>
      <c r="E5156" s="2" t="str">
        <f>"9783031582769"</f>
        <v>9783031582769</v>
      </c>
      <c r="F5156" s="2" t="str">
        <f>"9783031582776"</f>
        <v>9783031582776</v>
      </c>
    </row>
    <row r="5157" spans="1:6" s="3" customFormat="1" ht="29.1" customHeight="1" x14ac:dyDescent="0.25">
      <c r="A5157" s="2" t="s">
        <v>11010</v>
      </c>
      <c r="B5157" s="2" t="s">
        <v>11012</v>
      </c>
      <c r="C5157" s="2" t="s">
        <v>5</v>
      </c>
      <c r="D5157" s="2" t="s">
        <v>11011</v>
      </c>
      <c r="E5157" s="2" t="str">
        <f>"9789819761203"</f>
        <v>9789819761203</v>
      </c>
      <c r="F5157" s="2" t="str">
        <f>"9789819761210"</f>
        <v>9789819761210</v>
      </c>
    </row>
    <row r="5158" spans="1:6" s="3" customFormat="1" ht="29.1" customHeight="1" x14ac:dyDescent="0.25">
      <c r="A5158" s="2" t="s">
        <v>11013</v>
      </c>
      <c r="B5158" s="2" t="s">
        <v>11014</v>
      </c>
      <c r="C5158" s="2" t="s">
        <v>5</v>
      </c>
      <c r="D5158" s="2" t="s">
        <v>98</v>
      </c>
      <c r="E5158" s="2" t="str">
        <f>"9783031721595"</f>
        <v>9783031721595</v>
      </c>
      <c r="F5158" s="2" t="str">
        <f>"9783031721601"</f>
        <v>9783031721601</v>
      </c>
    </row>
    <row r="5159" spans="1:6" s="3" customFormat="1" ht="29.1" customHeight="1" x14ac:dyDescent="0.25">
      <c r="A5159" s="2" t="s">
        <v>11015</v>
      </c>
      <c r="B5159" s="2" t="s">
        <v>11016</v>
      </c>
      <c r="C5159" s="2" t="s">
        <v>2188</v>
      </c>
      <c r="D5159" s="2" t="s">
        <v>9</v>
      </c>
      <c r="E5159" s="2" t="str">
        <f>"9788323243755"</f>
        <v>9788323243755</v>
      </c>
      <c r="F5159" s="2" t="str">
        <f>"9788323243762"</f>
        <v>9788323243762</v>
      </c>
    </row>
    <row r="5160" spans="1:6" s="3" customFormat="1" ht="29.1" customHeight="1" x14ac:dyDescent="0.25">
      <c r="A5160" s="2" t="s">
        <v>11017</v>
      </c>
      <c r="B5160" s="2" t="s">
        <v>11018</v>
      </c>
      <c r="C5160" s="2" t="s">
        <v>36</v>
      </c>
      <c r="D5160" s="2" t="s">
        <v>6559</v>
      </c>
      <c r="E5160" s="2" t="str">
        <f>"9781529230093"</f>
        <v>9781529230093</v>
      </c>
      <c r="F5160" s="2" t="str">
        <f>"9781529230123"</f>
        <v>9781529230123</v>
      </c>
    </row>
    <row r="5161" spans="1:6" s="3" customFormat="1" ht="29.1" customHeight="1" x14ac:dyDescent="0.25">
      <c r="A5161" s="2" t="s">
        <v>11019</v>
      </c>
      <c r="B5161" s="2" t="s">
        <v>11020</v>
      </c>
      <c r="C5161" s="2" t="s">
        <v>5</v>
      </c>
      <c r="D5161" s="2" t="s">
        <v>297</v>
      </c>
      <c r="E5161" s="2" t="str">
        <f>"9783031665271"</f>
        <v>9783031665271</v>
      </c>
      <c r="F5161" s="2" t="str">
        <f>"9783031665288"</f>
        <v>9783031665288</v>
      </c>
    </row>
    <row r="5162" spans="1:6" s="3" customFormat="1" ht="29.1" customHeight="1" x14ac:dyDescent="0.25">
      <c r="A5162" s="2" t="s">
        <v>11021</v>
      </c>
      <c r="B5162" s="2" t="s">
        <v>11022</v>
      </c>
      <c r="C5162" s="2" t="s">
        <v>5</v>
      </c>
      <c r="D5162" s="2" t="s">
        <v>78</v>
      </c>
      <c r="E5162" s="2" t="str">
        <f>"9783031554230"</f>
        <v>9783031554230</v>
      </c>
      <c r="F5162" s="2" t="str">
        <f>"9783031554247"</f>
        <v>9783031554247</v>
      </c>
    </row>
    <row r="5163" spans="1:6" s="3" customFormat="1" ht="29.1" customHeight="1" x14ac:dyDescent="0.25">
      <c r="A5163" s="2" t="s">
        <v>11023</v>
      </c>
      <c r="B5163" s="2" t="s">
        <v>11024</v>
      </c>
      <c r="C5163" s="2" t="s">
        <v>59</v>
      </c>
      <c r="D5163" s="2" t="s">
        <v>694</v>
      </c>
      <c r="E5163" s="2"/>
      <c r="F5163" s="2" t="str">
        <f>"9782759239306"</f>
        <v>9782759239306</v>
      </c>
    </row>
    <row r="5164" spans="1:6" s="3" customFormat="1" ht="29.1" customHeight="1" x14ac:dyDescent="0.25">
      <c r="A5164" s="2" t="s">
        <v>11025</v>
      </c>
      <c r="B5164" s="2" t="s">
        <v>11026</v>
      </c>
      <c r="C5164" s="2" t="s">
        <v>5</v>
      </c>
      <c r="D5164" s="2" t="s">
        <v>92</v>
      </c>
      <c r="E5164" s="2" t="str">
        <f>"9782384762941"</f>
        <v>9782384762941</v>
      </c>
      <c r="F5164" s="2" t="str">
        <f>"9782384762958"</f>
        <v>9782384762958</v>
      </c>
    </row>
    <row r="5165" spans="1:6" s="3" customFormat="1" ht="29.1" customHeight="1" x14ac:dyDescent="0.25">
      <c r="A5165" s="2" t="s">
        <v>11027</v>
      </c>
      <c r="B5165" s="2" t="s">
        <v>11028</v>
      </c>
      <c r="C5165" s="2" t="s">
        <v>5</v>
      </c>
      <c r="D5165" s="2" t="s">
        <v>186</v>
      </c>
      <c r="E5165" s="2" t="str">
        <f>"9789464635478"</f>
        <v>9789464635478</v>
      </c>
      <c r="F5165" s="2" t="str">
        <f>"9789464635485"</f>
        <v>9789464635485</v>
      </c>
    </row>
    <row r="5166" spans="1:6" s="3" customFormat="1" ht="29.1" customHeight="1" x14ac:dyDescent="0.25">
      <c r="A5166" s="2" t="s">
        <v>11029</v>
      </c>
      <c r="B5166" s="2" t="s">
        <v>11030</v>
      </c>
      <c r="C5166" s="2" t="s">
        <v>8059</v>
      </c>
      <c r="D5166" s="2" t="s">
        <v>270</v>
      </c>
      <c r="E5166" s="2" t="str">
        <f>"9781776489596"</f>
        <v>9781776489596</v>
      </c>
      <c r="F5166" s="2" t="str">
        <f>"9781776489602"</f>
        <v>9781776489602</v>
      </c>
    </row>
    <row r="5167" spans="1:6" s="3" customFormat="1" ht="29.1" customHeight="1" x14ac:dyDescent="0.25">
      <c r="A5167" s="2" t="s">
        <v>11031</v>
      </c>
      <c r="B5167" s="2" t="s">
        <v>11032</v>
      </c>
      <c r="C5167" s="2" t="s">
        <v>8059</v>
      </c>
      <c r="D5167" s="2" t="s">
        <v>66</v>
      </c>
      <c r="E5167" s="2" t="str">
        <f>"9781776489268"</f>
        <v>9781776489268</v>
      </c>
      <c r="F5167" s="2" t="str">
        <f>"9781776489275"</f>
        <v>9781776489275</v>
      </c>
    </row>
    <row r="5168" spans="1:6" s="3" customFormat="1" ht="29.1" customHeight="1" x14ac:dyDescent="0.25">
      <c r="A5168" s="2" t="s">
        <v>11033</v>
      </c>
      <c r="B5168" s="2" t="s">
        <v>11034</v>
      </c>
      <c r="C5168" s="2" t="s">
        <v>8059</v>
      </c>
      <c r="D5168" s="2" t="s">
        <v>297</v>
      </c>
      <c r="E5168" s="2" t="str">
        <f>"9781776489510"</f>
        <v>9781776489510</v>
      </c>
      <c r="F5168" s="2" t="str">
        <f>"9781776489527"</f>
        <v>9781776489527</v>
      </c>
    </row>
    <row r="5169" spans="1:6" s="3" customFormat="1" ht="29.1" customHeight="1" x14ac:dyDescent="0.25">
      <c r="A5169" s="2" t="s">
        <v>11035</v>
      </c>
      <c r="B5169" s="2" t="s">
        <v>11036</v>
      </c>
      <c r="C5169" s="2" t="s">
        <v>8059</v>
      </c>
      <c r="D5169" s="2" t="s">
        <v>6571</v>
      </c>
      <c r="E5169" s="2" t="str">
        <f>"9781776489671"</f>
        <v>9781776489671</v>
      </c>
      <c r="F5169" s="2" t="str">
        <f>"9781776489688"</f>
        <v>9781776489688</v>
      </c>
    </row>
    <row r="5170" spans="1:6" s="3" customFormat="1" ht="29.1" customHeight="1" x14ac:dyDescent="0.25">
      <c r="A5170" s="2" t="s">
        <v>11037</v>
      </c>
      <c r="B5170" s="2" t="s">
        <v>11039</v>
      </c>
      <c r="C5170" s="2" t="s">
        <v>8059</v>
      </c>
      <c r="D5170" s="2" t="s">
        <v>11038</v>
      </c>
      <c r="E5170" s="2" t="str">
        <f>"9781776489633"</f>
        <v>9781776489633</v>
      </c>
      <c r="F5170" s="2" t="str">
        <f>"9781776489640"</f>
        <v>9781776489640</v>
      </c>
    </row>
    <row r="5171" spans="1:6" s="3" customFormat="1" ht="29.1" customHeight="1" x14ac:dyDescent="0.25">
      <c r="A5171" s="2" t="s">
        <v>11040</v>
      </c>
      <c r="B5171" s="2" t="s">
        <v>11041</v>
      </c>
      <c r="C5171" s="2" t="s">
        <v>8059</v>
      </c>
      <c r="D5171" s="2" t="s">
        <v>5319</v>
      </c>
      <c r="E5171" s="2" t="str">
        <f>"9781776489558"</f>
        <v>9781776489558</v>
      </c>
      <c r="F5171" s="2" t="str">
        <f>"9781776489565"</f>
        <v>9781776489565</v>
      </c>
    </row>
    <row r="5172" spans="1:6" s="3" customFormat="1" ht="29.1" customHeight="1" x14ac:dyDescent="0.25">
      <c r="A5172" s="2" t="s">
        <v>11042</v>
      </c>
      <c r="B5172" s="2" t="s">
        <v>11043</v>
      </c>
      <c r="C5172" s="2" t="s">
        <v>8059</v>
      </c>
      <c r="D5172" s="2" t="s">
        <v>297</v>
      </c>
      <c r="E5172" s="2" t="str">
        <f>"9781776447442"</f>
        <v>9781776447442</v>
      </c>
      <c r="F5172" s="2" t="str">
        <f>"9781776447459"</f>
        <v>9781776447459</v>
      </c>
    </row>
    <row r="5173" spans="1:6" s="3" customFormat="1" ht="29.1" customHeight="1" x14ac:dyDescent="0.25">
      <c r="A5173" s="2" t="s">
        <v>11044</v>
      </c>
      <c r="B5173" s="2" t="s">
        <v>11043</v>
      </c>
      <c r="C5173" s="2" t="s">
        <v>8059</v>
      </c>
      <c r="D5173" s="2" t="s">
        <v>297</v>
      </c>
      <c r="E5173" s="2" t="str">
        <f>"9781776460601"</f>
        <v>9781776460601</v>
      </c>
      <c r="F5173" s="2" t="str">
        <f>"9781776460618"</f>
        <v>9781776460618</v>
      </c>
    </row>
    <row r="5174" spans="1:6" s="3" customFormat="1" ht="29.1" customHeight="1" x14ac:dyDescent="0.25">
      <c r="A5174" s="2" t="s">
        <v>11045</v>
      </c>
      <c r="B5174" s="2" t="s">
        <v>11046</v>
      </c>
      <c r="C5174" s="2" t="s">
        <v>8059</v>
      </c>
      <c r="D5174" s="2" t="s">
        <v>270</v>
      </c>
      <c r="E5174" s="2" t="str">
        <f>"9781776489305"</f>
        <v>9781776489305</v>
      </c>
      <c r="F5174" s="2" t="str">
        <f>"9781776489312"</f>
        <v>9781776489312</v>
      </c>
    </row>
    <row r="5175" spans="1:6" s="3" customFormat="1" ht="29.1" customHeight="1" x14ac:dyDescent="0.25">
      <c r="A5175" s="2" t="s">
        <v>11047</v>
      </c>
      <c r="B5175" s="2" t="s">
        <v>11049</v>
      </c>
      <c r="C5175" s="2" t="s">
        <v>149</v>
      </c>
      <c r="D5175" s="2" t="s">
        <v>11048</v>
      </c>
      <c r="E5175" s="2" t="str">
        <f>"9781805113799"</f>
        <v>9781805113799</v>
      </c>
      <c r="F5175" s="2" t="str">
        <f>"9781805113812"</f>
        <v>9781805113812</v>
      </c>
    </row>
    <row r="5176" spans="1:6" s="3" customFormat="1" ht="29.1" customHeight="1" x14ac:dyDescent="0.25">
      <c r="A5176" s="2" t="s">
        <v>11050</v>
      </c>
      <c r="B5176" s="2" t="s">
        <v>11051</v>
      </c>
      <c r="C5176" s="2" t="s">
        <v>149</v>
      </c>
      <c r="D5176" s="2" t="s">
        <v>919</v>
      </c>
      <c r="E5176" s="2" t="str">
        <f>"9781805113379"</f>
        <v>9781805113379</v>
      </c>
      <c r="F5176" s="2" t="str">
        <f>"9781805113393"</f>
        <v>9781805113393</v>
      </c>
    </row>
    <row r="5177" spans="1:6" s="3" customFormat="1" ht="29.1" customHeight="1" x14ac:dyDescent="0.25">
      <c r="A5177" s="2" t="s">
        <v>11052</v>
      </c>
      <c r="B5177" s="2" t="s">
        <v>11053</v>
      </c>
      <c r="C5177" s="2" t="s">
        <v>149</v>
      </c>
      <c r="D5177" s="2" t="s">
        <v>509</v>
      </c>
      <c r="E5177" s="2" t="str">
        <f>"9781805110903"</f>
        <v>9781805110903</v>
      </c>
      <c r="F5177" s="2" t="str">
        <f>"9781805110927"</f>
        <v>9781805110927</v>
      </c>
    </row>
    <row r="5178" spans="1:6" s="3" customFormat="1" ht="29.1" customHeight="1" x14ac:dyDescent="0.25">
      <c r="A5178" s="2" t="s">
        <v>11054</v>
      </c>
      <c r="B5178" s="2" t="s">
        <v>11055</v>
      </c>
      <c r="C5178" s="2" t="s">
        <v>5</v>
      </c>
      <c r="D5178" s="2" t="s">
        <v>78</v>
      </c>
      <c r="E5178" s="2" t="str">
        <f>"9783031722103"</f>
        <v>9783031722103</v>
      </c>
      <c r="F5178" s="2" t="str">
        <f>"9783031722110"</f>
        <v>9783031722110</v>
      </c>
    </row>
    <row r="5179" spans="1:6" s="3" customFormat="1" ht="29.1" customHeight="1" x14ac:dyDescent="0.25">
      <c r="A5179" s="2" t="s">
        <v>11056</v>
      </c>
      <c r="B5179" s="2" t="s">
        <v>11057</v>
      </c>
      <c r="C5179" s="2" t="s">
        <v>5</v>
      </c>
      <c r="D5179" s="2" t="s">
        <v>9205</v>
      </c>
      <c r="E5179" s="2" t="str">
        <f>"9783031743597"</f>
        <v>9783031743597</v>
      </c>
      <c r="F5179" s="2" t="str">
        <f>"9783031743603"</f>
        <v>9783031743603</v>
      </c>
    </row>
    <row r="5180" spans="1:6" s="3" customFormat="1" ht="29.1" customHeight="1" x14ac:dyDescent="0.25">
      <c r="A5180" s="2" t="s">
        <v>11058</v>
      </c>
      <c r="B5180" s="2" t="s">
        <v>11059</v>
      </c>
      <c r="C5180" s="2" t="s">
        <v>29</v>
      </c>
      <c r="D5180" s="2" t="s">
        <v>33</v>
      </c>
      <c r="E5180" s="2" t="str">
        <f>"9789004520561"</f>
        <v>9789004520561</v>
      </c>
      <c r="F5180" s="2" t="str">
        <f>"9789004692053"</f>
        <v>9789004692053</v>
      </c>
    </row>
    <row r="5181" spans="1:6" s="3" customFormat="1" ht="29.1" customHeight="1" x14ac:dyDescent="0.25">
      <c r="A5181" s="2" t="s">
        <v>11060</v>
      </c>
      <c r="B5181" s="2" t="s">
        <v>11061</v>
      </c>
      <c r="C5181" s="2" t="s">
        <v>5</v>
      </c>
      <c r="D5181" s="2" t="s">
        <v>727</v>
      </c>
      <c r="E5181" s="2" t="str">
        <f>"9789464635430"</f>
        <v>9789464635430</v>
      </c>
      <c r="F5181" s="2" t="str">
        <f>"9789464635447"</f>
        <v>9789464635447</v>
      </c>
    </row>
    <row r="5182" spans="1:6" s="3" customFormat="1" ht="29.1" customHeight="1" x14ac:dyDescent="0.25">
      <c r="A5182" s="2" t="s">
        <v>11062</v>
      </c>
      <c r="B5182" s="2" t="s">
        <v>11064</v>
      </c>
      <c r="C5182" s="2" t="s">
        <v>5</v>
      </c>
      <c r="D5182" s="2" t="s">
        <v>11063</v>
      </c>
      <c r="E5182" s="2" t="str">
        <f>"9783031717222"</f>
        <v>9783031717222</v>
      </c>
      <c r="F5182" s="2" t="str">
        <f>"9783031717239"</f>
        <v>9783031717239</v>
      </c>
    </row>
    <row r="5183" spans="1:6" s="3" customFormat="1" ht="29.1" customHeight="1" x14ac:dyDescent="0.25">
      <c r="A5183" s="2" t="s">
        <v>11065</v>
      </c>
      <c r="B5183" s="2" t="s">
        <v>11066</v>
      </c>
      <c r="C5183" s="2" t="s">
        <v>29</v>
      </c>
      <c r="D5183" s="2" t="s">
        <v>4071</v>
      </c>
      <c r="E5183" s="2" t="str">
        <f>"9789004681026"</f>
        <v>9789004681026</v>
      </c>
      <c r="F5183" s="2" t="str">
        <f>"9789004681033"</f>
        <v>9789004681033</v>
      </c>
    </row>
    <row r="5184" spans="1:6" s="3" customFormat="1" ht="29.1" customHeight="1" x14ac:dyDescent="0.25">
      <c r="A5184" s="2" t="s">
        <v>11067</v>
      </c>
      <c r="B5184" s="2" t="s">
        <v>11068</v>
      </c>
      <c r="C5184" s="2" t="s">
        <v>29</v>
      </c>
      <c r="D5184" s="2" t="s">
        <v>107</v>
      </c>
      <c r="E5184" s="2" t="str">
        <f>"9789004707337"</f>
        <v>9789004707337</v>
      </c>
      <c r="F5184" s="2" t="str">
        <f>"9789004707351"</f>
        <v>9789004707351</v>
      </c>
    </row>
    <row r="5185" spans="1:6" s="3" customFormat="1" ht="29.1" customHeight="1" x14ac:dyDescent="0.25">
      <c r="A5185" s="2" t="s">
        <v>11069</v>
      </c>
      <c r="B5185" s="2" t="s">
        <v>11070</v>
      </c>
      <c r="C5185" s="2" t="s">
        <v>5</v>
      </c>
      <c r="D5185" s="2" t="s">
        <v>5864</v>
      </c>
      <c r="E5185" s="2" t="str">
        <f>"9783031661181"</f>
        <v>9783031661181</v>
      </c>
      <c r="F5185" s="2" t="str">
        <f>"9783031661198"</f>
        <v>9783031661198</v>
      </c>
    </row>
    <row r="5186" spans="1:6" s="3" customFormat="1" ht="29.1" customHeight="1" x14ac:dyDescent="0.25">
      <c r="A5186" s="2" t="s">
        <v>11071</v>
      </c>
      <c r="B5186" s="2" t="s">
        <v>11072</v>
      </c>
      <c r="C5186" s="2" t="s">
        <v>5</v>
      </c>
      <c r="D5186" s="2" t="s">
        <v>454</v>
      </c>
      <c r="E5186" s="2" t="str">
        <f>"9789464635355"</f>
        <v>9789464635355</v>
      </c>
      <c r="F5186" s="2" t="str">
        <f>"9789464635362"</f>
        <v>9789464635362</v>
      </c>
    </row>
    <row r="5187" spans="1:6" s="3" customFormat="1" ht="29.1" customHeight="1" x14ac:dyDescent="0.25">
      <c r="A5187" s="2" t="s">
        <v>11073</v>
      </c>
      <c r="B5187" s="2" t="s">
        <v>11075</v>
      </c>
      <c r="C5187" s="2" t="s">
        <v>5</v>
      </c>
      <c r="D5187" s="2" t="s">
        <v>11074</v>
      </c>
      <c r="E5187" s="2" t="str">
        <f>"9783031649158"</f>
        <v>9783031649158</v>
      </c>
      <c r="F5187" s="2" t="str">
        <f>"9783031649165"</f>
        <v>9783031649165</v>
      </c>
    </row>
    <row r="5188" spans="1:6" s="3" customFormat="1" ht="29.1" customHeight="1" x14ac:dyDescent="0.25">
      <c r="A5188" s="2" t="s">
        <v>11076</v>
      </c>
      <c r="B5188" s="2" t="s">
        <v>11077</v>
      </c>
      <c r="C5188" s="2" t="s">
        <v>29</v>
      </c>
      <c r="D5188" s="2" t="s">
        <v>512</v>
      </c>
      <c r="E5188" s="2" t="str">
        <f>"9789004701489"</f>
        <v>9789004701489</v>
      </c>
      <c r="F5188" s="2" t="str">
        <f>"9789004701472"</f>
        <v>9789004701472</v>
      </c>
    </row>
    <row r="5189" spans="1:6" s="3" customFormat="1" ht="29.1" customHeight="1" x14ac:dyDescent="0.25">
      <c r="A5189" s="2" t="s">
        <v>11078</v>
      </c>
      <c r="B5189" s="2" t="s">
        <v>11079</v>
      </c>
      <c r="C5189" s="2" t="s">
        <v>149</v>
      </c>
      <c r="D5189" s="2" t="s">
        <v>1043</v>
      </c>
      <c r="E5189" s="2" t="str">
        <f>"9781685711788"</f>
        <v>9781685711788</v>
      </c>
      <c r="F5189" s="2" t="str">
        <f>"9781685711795"</f>
        <v>9781685711795</v>
      </c>
    </row>
    <row r="5190" spans="1:6" s="3" customFormat="1" ht="29.1" customHeight="1" x14ac:dyDescent="0.25">
      <c r="A5190" s="2" t="s">
        <v>11080</v>
      </c>
      <c r="B5190" s="2" t="s">
        <v>11081</v>
      </c>
      <c r="C5190" s="2" t="s">
        <v>4788</v>
      </c>
      <c r="D5190" s="2" t="s">
        <v>175</v>
      </c>
      <c r="E5190" s="2" t="str">
        <f>"9781474491624"</f>
        <v>9781474491624</v>
      </c>
      <c r="F5190" s="2" t="str">
        <f>"9781474491648"</f>
        <v>9781474491648</v>
      </c>
    </row>
    <row r="5191" spans="1:6" s="3" customFormat="1" ht="29.1" customHeight="1" x14ac:dyDescent="0.25">
      <c r="A5191" s="2" t="s">
        <v>11082</v>
      </c>
      <c r="B5191" s="2" t="s">
        <v>11083</v>
      </c>
      <c r="C5191" s="2" t="s">
        <v>4788</v>
      </c>
      <c r="D5191" s="2" t="s">
        <v>1463</v>
      </c>
      <c r="E5191" s="2" t="str">
        <f>"9781474479165"</f>
        <v>9781474479165</v>
      </c>
      <c r="F5191" s="2" t="str">
        <f>"9781474479189"</f>
        <v>9781474479189</v>
      </c>
    </row>
    <row r="5192" spans="1:6" s="3" customFormat="1" ht="29.1" customHeight="1" x14ac:dyDescent="0.25">
      <c r="A5192" s="2" t="s">
        <v>11084</v>
      </c>
      <c r="B5192" s="2" t="s">
        <v>11085</v>
      </c>
      <c r="C5192" s="2" t="s">
        <v>4788</v>
      </c>
      <c r="D5192" s="2" t="s">
        <v>1999</v>
      </c>
      <c r="E5192" s="2" t="str">
        <f>"9781399539814"</f>
        <v>9781399539814</v>
      </c>
      <c r="F5192" s="2" t="str">
        <f>"9781399539838"</f>
        <v>9781399539838</v>
      </c>
    </row>
    <row r="5193" spans="1:6" s="3" customFormat="1" ht="29.1" customHeight="1" x14ac:dyDescent="0.25">
      <c r="A5193" s="2" t="s">
        <v>11086</v>
      </c>
      <c r="B5193" s="2" t="s">
        <v>11088</v>
      </c>
      <c r="C5193" s="2" t="s">
        <v>4788</v>
      </c>
      <c r="D5193" s="2" t="s">
        <v>11087</v>
      </c>
      <c r="E5193" s="2" t="str">
        <f>"9781399538138"</f>
        <v>9781399538138</v>
      </c>
      <c r="F5193" s="2" t="str">
        <f>"9781399538152"</f>
        <v>9781399538152</v>
      </c>
    </row>
    <row r="5194" spans="1:6" s="3" customFormat="1" ht="29.1" customHeight="1" x14ac:dyDescent="0.25">
      <c r="A5194" s="2" t="s">
        <v>11089</v>
      </c>
      <c r="B5194" s="2" t="s">
        <v>11090</v>
      </c>
      <c r="C5194" s="2" t="s">
        <v>4788</v>
      </c>
      <c r="D5194" s="2" t="s">
        <v>1598</v>
      </c>
      <c r="E5194" s="2" t="str">
        <f>"9781399537537"</f>
        <v>9781399537537</v>
      </c>
      <c r="F5194" s="2" t="str">
        <f>"9781399537551"</f>
        <v>9781399537551</v>
      </c>
    </row>
    <row r="5195" spans="1:6" s="3" customFormat="1" ht="29.1" customHeight="1" x14ac:dyDescent="0.25">
      <c r="A5195" s="2" t="s">
        <v>11091</v>
      </c>
      <c r="B5195" s="2" t="s">
        <v>11092</v>
      </c>
      <c r="C5195" s="2" t="s">
        <v>4788</v>
      </c>
      <c r="D5195" s="2" t="s">
        <v>4172</v>
      </c>
      <c r="E5195" s="2" t="str">
        <f>"9781399537414"</f>
        <v>9781399537414</v>
      </c>
      <c r="F5195" s="2" t="str">
        <f>"9781399537438"</f>
        <v>9781399537438</v>
      </c>
    </row>
    <row r="5196" spans="1:6" s="3" customFormat="1" ht="29.1" customHeight="1" x14ac:dyDescent="0.25">
      <c r="A5196" s="2" t="s">
        <v>11093</v>
      </c>
      <c r="B5196" s="2" t="s">
        <v>11094</v>
      </c>
      <c r="C5196" s="2" t="s">
        <v>4788</v>
      </c>
      <c r="D5196" s="2" t="s">
        <v>1956</v>
      </c>
      <c r="E5196" s="2" t="str">
        <f>"9781399536813"</f>
        <v>9781399536813</v>
      </c>
      <c r="F5196" s="2" t="str">
        <f>"9781399536837"</f>
        <v>9781399536837</v>
      </c>
    </row>
    <row r="5197" spans="1:6" s="3" customFormat="1" ht="29.1" customHeight="1" x14ac:dyDescent="0.25">
      <c r="A5197" s="2" t="s">
        <v>11095</v>
      </c>
      <c r="B5197" s="2" t="s">
        <v>11096</v>
      </c>
      <c r="C5197" s="2" t="s">
        <v>4788</v>
      </c>
      <c r="D5197" s="2" t="s">
        <v>1162</v>
      </c>
      <c r="E5197" s="2" t="str">
        <f>"9781399534284"</f>
        <v>9781399534284</v>
      </c>
      <c r="F5197" s="2" t="str">
        <f>"9781399534307"</f>
        <v>9781399534307</v>
      </c>
    </row>
    <row r="5198" spans="1:6" s="3" customFormat="1" ht="29.1" customHeight="1" x14ac:dyDescent="0.25">
      <c r="A5198" s="2" t="s">
        <v>11097</v>
      </c>
      <c r="B5198" s="2" t="s">
        <v>11098</v>
      </c>
      <c r="C5198" s="2" t="s">
        <v>4788</v>
      </c>
      <c r="D5198" s="2" t="s">
        <v>5104</v>
      </c>
      <c r="E5198" s="2" t="str">
        <f>"9781399530187"</f>
        <v>9781399530187</v>
      </c>
      <c r="F5198" s="2" t="str">
        <f>"9781399530200"</f>
        <v>9781399530200</v>
      </c>
    </row>
    <row r="5199" spans="1:6" s="3" customFormat="1" ht="29.1" customHeight="1" x14ac:dyDescent="0.25">
      <c r="A5199" s="2" t="s">
        <v>11099</v>
      </c>
      <c r="B5199" s="2" t="s">
        <v>11100</v>
      </c>
      <c r="C5199" s="2" t="s">
        <v>4788</v>
      </c>
      <c r="D5199" s="2" t="s">
        <v>3130</v>
      </c>
      <c r="E5199" s="2" t="str">
        <f>"9781399526746"</f>
        <v>9781399526746</v>
      </c>
      <c r="F5199" s="2" t="str">
        <f>"9781399526760"</f>
        <v>9781399526760</v>
      </c>
    </row>
    <row r="5200" spans="1:6" s="3" customFormat="1" ht="29.1" customHeight="1" x14ac:dyDescent="0.25">
      <c r="A5200" s="2" t="s">
        <v>11101</v>
      </c>
      <c r="B5200" s="2" t="s">
        <v>11102</v>
      </c>
      <c r="C5200" s="2" t="s">
        <v>4788</v>
      </c>
      <c r="D5200" s="2" t="s">
        <v>207</v>
      </c>
      <c r="E5200" s="2" t="str">
        <f>"9781399526500"</f>
        <v>9781399526500</v>
      </c>
      <c r="F5200" s="2" t="str">
        <f>"9781399526524"</f>
        <v>9781399526524</v>
      </c>
    </row>
    <row r="5201" spans="1:6" s="3" customFormat="1" ht="29.1" customHeight="1" x14ac:dyDescent="0.25">
      <c r="A5201" s="2" t="s">
        <v>11103</v>
      </c>
      <c r="B5201" s="2" t="s">
        <v>11104</v>
      </c>
      <c r="C5201" s="2" t="s">
        <v>4788</v>
      </c>
      <c r="D5201" s="2" t="s">
        <v>1956</v>
      </c>
      <c r="E5201" s="2" t="str">
        <f>"9781399522052"</f>
        <v>9781399522052</v>
      </c>
      <c r="F5201" s="2" t="str">
        <f>"9781399522076"</f>
        <v>9781399522076</v>
      </c>
    </row>
    <row r="5202" spans="1:6" s="3" customFormat="1" ht="29.1" customHeight="1" x14ac:dyDescent="0.25">
      <c r="A5202" s="2" t="s">
        <v>11105</v>
      </c>
      <c r="B5202" s="2" t="s">
        <v>11106</v>
      </c>
      <c r="C5202" s="2" t="s">
        <v>4788</v>
      </c>
      <c r="D5202" s="2" t="s">
        <v>324</v>
      </c>
      <c r="E5202" s="2" t="str">
        <f>"9781399521154"</f>
        <v>9781399521154</v>
      </c>
      <c r="F5202" s="2" t="str">
        <f>"9781399521178"</f>
        <v>9781399521178</v>
      </c>
    </row>
    <row r="5203" spans="1:6" s="3" customFormat="1" ht="29.1" customHeight="1" x14ac:dyDescent="0.25">
      <c r="A5203" s="2" t="s">
        <v>11107</v>
      </c>
      <c r="B5203" s="2" t="s">
        <v>11108</v>
      </c>
      <c r="C5203" s="2" t="s">
        <v>4788</v>
      </c>
      <c r="D5203" s="2" t="s">
        <v>6997</v>
      </c>
      <c r="E5203" s="2" t="str">
        <f>"9781399501439"</f>
        <v>9781399501439</v>
      </c>
      <c r="F5203" s="2" t="str">
        <f>"9781399501453"</f>
        <v>9781399501453</v>
      </c>
    </row>
    <row r="5204" spans="1:6" s="3" customFormat="1" ht="29.1" customHeight="1" x14ac:dyDescent="0.25">
      <c r="A5204" s="2" t="s">
        <v>11109</v>
      </c>
      <c r="B5204" s="2" t="s">
        <v>11112</v>
      </c>
      <c r="C5204" s="2" t="s">
        <v>11110</v>
      </c>
      <c r="D5204" s="2" t="s">
        <v>1913</v>
      </c>
      <c r="E5204" s="2"/>
      <c r="F5204" s="2" t="str">
        <f>"9786056942709"</f>
        <v>9786056942709</v>
      </c>
    </row>
    <row r="5205" spans="1:6" s="3" customFormat="1" ht="29.1" customHeight="1" x14ac:dyDescent="0.25">
      <c r="A5205" s="2" t="s">
        <v>11113</v>
      </c>
      <c r="B5205" s="2" t="s">
        <v>11114</v>
      </c>
      <c r="C5205" s="2" t="s">
        <v>11110</v>
      </c>
      <c r="D5205" s="2" t="s">
        <v>1913</v>
      </c>
      <c r="E5205" s="2"/>
      <c r="F5205" s="2" t="str">
        <f>"9786056942723"</f>
        <v>9786056942723</v>
      </c>
    </row>
    <row r="5206" spans="1:6" s="3" customFormat="1" ht="29.1" customHeight="1" x14ac:dyDescent="0.25">
      <c r="A5206" s="2" t="s">
        <v>11115</v>
      </c>
      <c r="B5206" s="2" t="s">
        <v>11116</v>
      </c>
      <c r="C5206" s="2" t="s">
        <v>11110</v>
      </c>
      <c r="D5206" s="2" t="s">
        <v>4670</v>
      </c>
      <c r="E5206" s="2"/>
      <c r="F5206" s="2" t="str">
        <f>"9786056942747"</f>
        <v>9786056942747</v>
      </c>
    </row>
    <row r="5207" spans="1:6" s="3" customFormat="1" ht="29.1" customHeight="1" x14ac:dyDescent="0.25">
      <c r="A5207" s="2" t="s">
        <v>11117</v>
      </c>
      <c r="B5207" s="2" t="s">
        <v>11118</v>
      </c>
      <c r="C5207" s="2" t="s">
        <v>11110</v>
      </c>
      <c r="D5207" s="2" t="s">
        <v>4670</v>
      </c>
      <c r="E5207" s="2"/>
      <c r="F5207" s="2" t="str">
        <f>"9786056942761"</f>
        <v>9786056942761</v>
      </c>
    </row>
    <row r="5208" spans="1:6" s="3" customFormat="1" ht="29.1" customHeight="1" x14ac:dyDescent="0.25">
      <c r="A5208" s="2" t="s">
        <v>11119</v>
      </c>
      <c r="B5208" s="2" t="s">
        <v>11120</v>
      </c>
      <c r="C5208" s="2" t="s">
        <v>11110</v>
      </c>
      <c r="D5208" s="2" t="s">
        <v>4670</v>
      </c>
      <c r="E5208" s="2"/>
      <c r="F5208" s="2" t="str">
        <f>"9786057222916"</f>
        <v>9786057222916</v>
      </c>
    </row>
    <row r="5209" spans="1:6" s="3" customFormat="1" ht="29.1" customHeight="1" x14ac:dyDescent="0.25">
      <c r="A5209" s="2" t="s">
        <v>11121</v>
      </c>
      <c r="B5209" s="2" t="s">
        <v>11122</v>
      </c>
      <c r="C5209" s="2" t="s">
        <v>11110</v>
      </c>
      <c r="D5209" s="2" t="s">
        <v>183</v>
      </c>
      <c r="E5209" s="2"/>
      <c r="F5209" s="2" t="str">
        <f>"9786057222909"</f>
        <v>9786057222909</v>
      </c>
    </row>
    <row r="5210" spans="1:6" s="3" customFormat="1" ht="29.1" customHeight="1" x14ac:dyDescent="0.25">
      <c r="A5210" s="2" t="s">
        <v>11123</v>
      </c>
      <c r="B5210" s="2" t="s">
        <v>11124</v>
      </c>
      <c r="C5210" s="2" t="s">
        <v>11110</v>
      </c>
      <c r="D5210" s="2" t="s">
        <v>501</v>
      </c>
      <c r="E5210" s="2"/>
      <c r="F5210" s="2" t="str">
        <f>"9786259871615"</f>
        <v>9786259871615</v>
      </c>
    </row>
    <row r="5211" spans="1:6" s="3" customFormat="1" ht="29.1" customHeight="1" x14ac:dyDescent="0.25">
      <c r="A5211" s="2" t="s">
        <v>11125</v>
      </c>
      <c r="B5211" s="2" t="s">
        <v>11126</v>
      </c>
      <c r="C5211" s="2" t="s">
        <v>11110</v>
      </c>
      <c r="D5211" s="2" t="s">
        <v>3966</v>
      </c>
      <c r="E5211" s="2"/>
      <c r="F5211" s="2" t="str">
        <f>"9786259871622"</f>
        <v>9786259871622</v>
      </c>
    </row>
    <row r="5212" spans="1:6" s="3" customFormat="1" ht="29.1" customHeight="1" x14ac:dyDescent="0.25">
      <c r="A5212" s="2" t="s">
        <v>11127</v>
      </c>
      <c r="B5212" s="2" t="s">
        <v>11128</v>
      </c>
      <c r="C5212" s="2" t="s">
        <v>11110</v>
      </c>
      <c r="D5212" s="2" t="s">
        <v>3966</v>
      </c>
      <c r="E5212" s="2"/>
      <c r="F5212" s="2" t="str">
        <f>"9786057222992"</f>
        <v>9786057222992</v>
      </c>
    </row>
    <row r="5213" spans="1:6" s="3" customFormat="1" ht="29.1" customHeight="1" x14ac:dyDescent="0.25">
      <c r="A5213" s="2" t="s">
        <v>11129</v>
      </c>
      <c r="B5213" s="2" t="s">
        <v>11128</v>
      </c>
      <c r="C5213" s="2" t="s">
        <v>11110</v>
      </c>
      <c r="D5213" s="2" t="s">
        <v>3966</v>
      </c>
      <c r="E5213" s="2"/>
      <c r="F5213" s="2" t="str">
        <f>"9786057222961"</f>
        <v>9786057222961</v>
      </c>
    </row>
    <row r="5214" spans="1:6" s="3" customFormat="1" ht="29.1" customHeight="1" x14ac:dyDescent="0.25">
      <c r="A5214" s="2" t="s">
        <v>11130</v>
      </c>
      <c r="B5214" s="2" t="s">
        <v>11131</v>
      </c>
      <c r="C5214" s="2" t="s">
        <v>11110</v>
      </c>
      <c r="D5214" s="2" t="s">
        <v>5060</v>
      </c>
      <c r="E5214" s="2"/>
      <c r="F5214" s="2" t="str">
        <f>"9786056942778"</f>
        <v>9786056942778</v>
      </c>
    </row>
    <row r="5215" spans="1:6" s="3" customFormat="1" ht="29.1" customHeight="1" x14ac:dyDescent="0.25">
      <c r="A5215" s="2" t="s">
        <v>11132</v>
      </c>
      <c r="B5215" s="2" t="s">
        <v>11112</v>
      </c>
      <c r="C5215" s="2" t="s">
        <v>11110</v>
      </c>
      <c r="D5215" s="2" t="s">
        <v>1913</v>
      </c>
      <c r="E5215" s="2"/>
      <c r="F5215" s="2" t="str">
        <f>"9786050310801"</f>
        <v>9786050310801</v>
      </c>
    </row>
    <row r="5216" spans="1:6" s="3" customFormat="1" ht="29.1" customHeight="1" x14ac:dyDescent="0.25">
      <c r="A5216" s="2" t="s">
        <v>11133</v>
      </c>
      <c r="B5216" s="2" t="s">
        <v>11112</v>
      </c>
      <c r="C5216" s="2" t="s">
        <v>11110</v>
      </c>
      <c r="D5216" s="2" t="s">
        <v>1913</v>
      </c>
      <c r="E5216" s="2"/>
      <c r="F5216" s="2" t="str">
        <f>"9786056942716"</f>
        <v>9786056942716</v>
      </c>
    </row>
    <row r="5217" spans="1:6" s="3" customFormat="1" ht="29.1" customHeight="1" x14ac:dyDescent="0.25">
      <c r="A5217" s="2" t="s">
        <v>11134</v>
      </c>
      <c r="B5217" s="2" t="s">
        <v>11116</v>
      </c>
      <c r="C5217" s="2" t="s">
        <v>11110</v>
      </c>
      <c r="D5217" s="2" t="s">
        <v>4670</v>
      </c>
      <c r="E5217" s="2"/>
      <c r="F5217" s="2" t="str">
        <f>"9786056942730"</f>
        <v>9786056942730</v>
      </c>
    </row>
    <row r="5218" spans="1:6" s="3" customFormat="1" ht="29.1" customHeight="1" x14ac:dyDescent="0.25">
      <c r="A5218" s="2" t="s">
        <v>11135</v>
      </c>
      <c r="B5218" s="2" t="s">
        <v>11118</v>
      </c>
      <c r="C5218" s="2" t="s">
        <v>11110</v>
      </c>
      <c r="D5218" s="2" t="s">
        <v>4670</v>
      </c>
      <c r="E5218" s="2"/>
      <c r="F5218" s="2" t="str">
        <f>"9786056942754"</f>
        <v>9786056942754</v>
      </c>
    </row>
    <row r="5219" spans="1:6" s="3" customFormat="1" ht="29.1" customHeight="1" x14ac:dyDescent="0.25">
      <c r="A5219" s="2" t="s">
        <v>11136</v>
      </c>
      <c r="B5219" s="2" t="s">
        <v>11120</v>
      </c>
      <c r="C5219" s="2" t="s">
        <v>11110</v>
      </c>
      <c r="D5219" s="2" t="s">
        <v>4670</v>
      </c>
      <c r="E5219" s="2"/>
      <c r="F5219" s="2" t="str">
        <f>"9786056942785"</f>
        <v>9786056942785</v>
      </c>
    </row>
    <row r="5220" spans="1:6" s="3" customFormat="1" ht="29.1" customHeight="1" x14ac:dyDescent="0.25">
      <c r="A5220" s="2" t="s">
        <v>11137</v>
      </c>
      <c r="B5220" s="2" t="s">
        <v>11122</v>
      </c>
      <c r="C5220" s="2" t="s">
        <v>11110</v>
      </c>
      <c r="D5220" s="2" t="s">
        <v>183</v>
      </c>
      <c r="E5220" s="2"/>
      <c r="F5220" s="2" t="str">
        <f>"9786056942792"</f>
        <v>9786056942792</v>
      </c>
    </row>
    <row r="5221" spans="1:6" s="3" customFormat="1" ht="29.1" customHeight="1" x14ac:dyDescent="0.25">
      <c r="A5221" s="2" t="s">
        <v>11138</v>
      </c>
      <c r="B5221" s="2" t="s">
        <v>11111</v>
      </c>
      <c r="C5221" s="2" t="s">
        <v>11110</v>
      </c>
      <c r="D5221" s="2" t="s">
        <v>183</v>
      </c>
      <c r="E5221" s="2"/>
      <c r="F5221" s="2" t="str">
        <f>"9786057222923"</f>
        <v>9786057222923</v>
      </c>
    </row>
    <row r="5222" spans="1:6" s="3" customFormat="1" ht="29.1" customHeight="1" x14ac:dyDescent="0.25">
      <c r="A5222" s="2" t="s">
        <v>11139</v>
      </c>
      <c r="B5222" s="2" t="s">
        <v>11111</v>
      </c>
      <c r="C5222" s="2" t="s">
        <v>11110</v>
      </c>
      <c r="D5222" s="2" t="s">
        <v>183</v>
      </c>
      <c r="E5222" s="2"/>
      <c r="F5222" s="2" t="str">
        <f>"9786057222930"</f>
        <v>9786057222930</v>
      </c>
    </row>
    <row r="5223" spans="1:6" s="3" customFormat="1" ht="29.1" customHeight="1" x14ac:dyDescent="0.25">
      <c r="A5223" s="2" t="s">
        <v>11140</v>
      </c>
      <c r="B5223" s="2" t="s">
        <v>11141</v>
      </c>
      <c r="C5223" s="2" t="s">
        <v>11110</v>
      </c>
      <c r="D5223" s="2" t="s">
        <v>183</v>
      </c>
      <c r="E5223" s="2"/>
      <c r="F5223" s="2" t="str">
        <f>"9786057222947"</f>
        <v>9786057222947</v>
      </c>
    </row>
    <row r="5224" spans="1:6" s="3" customFormat="1" ht="29.1" customHeight="1" x14ac:dyDescent="0.25">
      <c r="A5224" s="2" t="s">
        <v>11142</v>
      </c>
      <c r="B5224" s="2" t="s">
        <v>11141</v>
      </c>
      <c r="C5224" s="2" t="s">
        <v>11110</v>
      </c>
      <c r="D5224" s="2" t="s">
        <v>183</v>
      </c>
      <c r="E5224" s="2"/>
      <c r="F5224" s="2" t="str">
        <f>"9786057222954"</f>
        <v>9786057222954</v>
      </c>
    </row>
    <row r="5225" spans="1:6" s="3" customFormat="1" ht="29.1" customHeight="1" x14ac:dyDescent="0.25">
      <c r="A5225" s="2" t="s">
        <v>11143</v>
      </c>
      <c r="B5225" s="2" t="s">
        <v>11144</v>
      </c>
      <c r="C5225" s="2" t="s">
        <v>11110</v>
      </c>
      <c r="D5225" s="2" t="s">
        <v>183</v>
      </c>
      <c r="E5225" s="2"/>
      <c r="F5225" s="2" t="str">
        <f>"9786057222978"</f>
        <v>9786057222978</v>
      </c>
    </row>
    <row r="5226" spans="1:6" s="3" customFormat="1" ht="29.1" customHeight="1" x14ac:dyDescent="0.25">
      <c r="A5226" s="2" t="s">
        <v>11145</v>
      </c>
      <c r="B5226" s="2" t="s">
        <v>11144</v>
      </c>
      <c r="C5226" s="2" t="s">
        <v>11110</v>
      </c>
      <c r="D5226" s="2" t="s">
        <v>183</v>
      </c>
      <c r="E5226" s="2"/>
      <c r="F5226" s="2" t="str">
        <f>"9786057222985"</f>
        <v>9786057222985</v>
      </c>
    </row>
    <row r="5227" spans="1:6" s="3" customFormat="1" ht="29.1" customHeight="1" x14ac:dyDescent="0.25">
      <c r="A5227" s="2" t="s">
        <v>11146</v>
      </c>
      <c r="B5227" s="2" t="s">
        <v>11147</v>
      </c>
      <c r="C5227" s="2" t="s">
        <v>11110</v>
      </c>
      <c r="D5227" s="2" t="s">
        <v>183</v>
      </c>
      <c r="E5227" s="2"/>
      <c r="F5227" s="2" t="str">
        <f>"9786259871608"</f>
        <v>9786259871608</v>
      </c>
    </row>
    <row r="5228" spans="1:6" s="3" customFormat="1" ht="29.1" customHeight="1" x14ac:dyDescent="0.25">
      <c r="A5228" s="2" t="s">
        <v>11148</v>
      </c>
      <c r="B5228" s="2" t="s">
        <v>11149</v>
      </c>
      <c r="C5228" s="2" t="s">
        <v>239</v>
      </c>
      <c r="D5228" s="2" t="s">
        <v>428</v>
      </c>
      <c r="E5228" s="2" t="str">
        <f>"9780520400481"</f>
        <v>9780520400481</v>
      </c>
      <c r="F5228" s="2" t="str">
        <f>"9780520400498"</f>
        <v>9780520400498</v>
      </c>
    </row>
    <row r="5229" spans="1:6" s="3" customFormat="1" ht="29.1" customHeight="1" x14ac:dyDescent="0.25">
      <c r="A5229" s="2" t="s">
        <v>11150</v>
      </c>
      <c r="B5229" s="2" t="s">
        <v>11151</v>
      </c>
      <c r="C5229" s="2" t="s">
        <v>5</v>
      </c>
      <c r="D5229" s="2" t="s">
        <v>850</v>
      </c>
      <c r="E5229" s="2" t="str">
        <f>"9783031609305"</f>
        <v>9783031609305</v>
      </c>
      <c r="F5229" s="2" t="str">
        <f>"9783031609312"</f>
        <v>9783031609312</v>
      </c>
    </row>
    <row r="5230" spans="1:6" s="3" customFormat="1" ht="29.1" customHeight="1" x14ac:dyDescent="0.25">
      <c r="A5230" s="2" t="s">
        <v>11152</v>
      </c>
      <c r="B5230" s="2" t="s">
        <v>11153</v>
      </c>
      <c r="C5230" s="2" t="s">
        <v>927</v>
      </c>
      <c r="D5230" s="2" t="s">
        <v>8788</v>
      </c>
      <c r="E5230" s="2" t="str">
        <f>"9780472056965"</f>
        <v>9780472056965</v>
      </c>
      <c r="F5230" s="2" t="str">
        <f>"9780472904594"</f>
        <v>9780472904594</v>
      </c>
    </row>
    <row r="5231" spans="1:6" s="3" customFormat="1" ht="29.1" customHeight="1" x14ac:dyDescent="0.25">
      <c r="A5231" s="2" t="s">
        <v>11154</v>
      </c>
      <c r="B5231" s="2" t="s">
        <v>11155</v>
      </c>
      <c r="C5231" s="2" t="s">
        <v>5</v>
      </c>
      <c r="D5231" s="2" t="s">
        <v>3817</v>
      </c>
      <c r="E5231" s="2" t="str">
        <f>"9789819791835"</f>
        <v>9789819791835</v>
      </c>
      <c r="F5231" s="2" t="str">
        <f>"9789819791842"</f>
        <v>9789819791842</v>
      </c>
    </row>
    <row r="5232" spans="1:6" s="3" customFormat="1" ht="29.1" customHeight="1" x14ac:dyDescent="0.25">
      <c r="A5232" s="2" t="s">
        <v>11156</v>
      </c>
      <c r="B5232" s="2" t="s">
        <v>11157</v>
      </c>
      <c r="C5232" s="2" t="s">
        <v>5</v>
      </c>
      <c r="D5232" s="2" t="s">
        <v>459</v>
      </c>
      <c r="E5232" s="2" t="str">
        <f>"9783031492372"</f>
        <v>9783031492372</v>
      </c>
      <c r="F5232" s="2" t="str">
        <f>"9783031492389"</f>
        <v>9783031492389</v>
      </c>
    </row>
    <row r="5233" spans="1:6" s="3" customFormat="1" ht="29.1" customHeight="1" x14ac:dyDescent="0.25">
      <c r="A5233" s="2" t="s">
        <v>11158</v>
      </c>
      <c r="B5233" s="2" t="s">
        <v>11159</v>
      </c>
      <c r="C5233" s="2" t="s">
        <v>5</v>
      </c>
      <c r="D5233" s="2" t="s">
        <v>381</v>
      </c>
      <c r="E5233" s="2" t="str">
        <f>"9789819769148"</f>
        <v>9789819769148</v>
      </c>
      <c r="F5233" s="2" t="str">
        <f>"9789819769155"</f>
        <v>9789819769155</v>
      </c>
    </row>
    <row r="5234" spans="1:6" s="3" customFormat="1" ht="29.1" customHeight="1" x14ac:dyDescent="0.25">
      <c r="A5234" s="2" t="s">
        <v>11160</v>
      </c>
      <c r="B5234" s="2" t="s">
        <v>11161</v>
      </c>
      <c r="C5234" s="2" t="s">
        <v>2188</v>
      </c>
      <c r="D5234" s="2" t="s">
        <v>81</v>
      </c>
      <c r="E5234" s="2" t="str">
        <f>"9788323242994"</f>
        <v>9788323242994</v>
      </c>
      <c r="F5234" s="2" t="str">
        <f>"9788323243007"</f>
        <v>9788323243007</v>
      </c>
    </row>
    <row r="5235" spans="1:6" s="3" customFormat="1" ht="29.1" customHeight="1" x14ac:dyDescent="0.25">
      <c r="A5235" s="2" t="s">
        <v>9385</v>
      </c>
      <c r="B5235" s="2" t="s">
        <v>11162</v>
      </c>
      <c r="C5235" s="2" t="s">
        <v>29</v>
      </c>
      <c r="D5235" s="2" t="s">
        <v>1432</v>
      </c>
      <c r="E5235" s="2" t="str">
        <f>"9789004706545"</f>
        <v>9789004706545</v>
      </c>
      <c r="F5235" s="2" t="str">
        <f>"9789004706552"</f>
        <v>9789004706552</v>
      </c>
    </row>
    <row r="5236" spans="1:6" s="3" customFormat="1" ht="29.1" customHeight="1" x14ac:dyDescent="0.25">
      <c r="A5236" s="2" t="s">
        <v>11163</v>
      </c>
      <c r="B5236" s="2" t="s">
        <v>11164</v>
      </c>
      <c r="C5236" s="2" t="s">
        <v>29</v>
      </c>
      <c r="D5236" s="2" t="s">
        <v>4064</v>
      </c>
      <c r="E5236" s="2" t="str">
        <f>"9783506796707"</f>
        <v>9783506796707</v>
      </c>
      <c r="F5236" s="2" t="str">
        <f>"9783657796700"</f>
        <v>9783657796700</v>
      </c>
    </row>
    <row r="5237" spans="1:6" s="3" customFormat="1" ht="29.1" customHeight="1" x14ac:dyDescent="0.25">
      <c r="A5237" s="2" t="s">
        <v>11165</v>
      </c>
      <c r="B5237" s="2" t="s">
        <v>11166</v>
      </c>
      <c r="C5237" s="2" t="s">
        <v>29</v>
      </c>
      <c r="D5237" s="2" t="s">
        <v>2428</v>
      </c>
      <c r="E5237" s="2" t="str">
        <f>"9783506796875"</f>
        <v>9783506796875</v>
      </c>
      <c r="F5237" s="2" t="str">
        <f>"9783657796878"</f>
        <v>9783657796878</v>
      </c>
    </row>
    <row r="5238" spans="1:6" s="3" customFormat="1" ht="29.1" customHeight="1" x14ac:dyDescent="0.25">
      <c r="A5238" s="2" t="s">
        <v>11167</v>
      </c>
      <c r="B5238" s="2" t="s">
        <v>11168</v>
      </c>
      <c r="C5238" s="2" t="s">
        <v>29</v>
      </c>
      <c r="D5238" s="2" t="s">
        <v>33</v>
      </c>
      <c r="E5238" s="2" t="str">
        <f>"9783770569120"</f>
        <v>9783770569120</v>
      </c>
      <c r="F5238" s="2" t="str">
        <f>"9783846769126"</f>
        <v>9783846769126</v>
      </c>
    </row>
    <row r="5239" spans="1:6" s="3" customFormat="1" ht="29.1" customHeight="1" x14ac:dyDescent="0.25">
      <c r="A5239" s="2" t="s">
        <v>11169</v>
      </c>
      <c r="B5239" s="2" t="s">
        <v>11170</v>
      </c>
      <c r="C5239" s="2" t="s">
        <v>29</v>
      </c>
      <c r="D5239" s="2" t="s">
        <v>33</v>
      </c>
      <c r="E5239" s="2" t="str">
        <f>"9783770568857"</f>
        <v>9783770568857</v>
      </c>
      <c r="F5239" s="2" t="str">
        <f>"9783846768853"</f>
        <v>9783846768853</v>
      </c>
    </row>
    <row r="5240" spans="1:6" s="3" customFormat="1" ht="29.1" customHeight="1" x14ac:dyDescent="0.25">
      <c r="A5240" s="2" t="s">
        <v>11171</v>
      </c>
      <c r="B5240" s="2" t="s">
        <v>11172</v>
      </c>
      <c r="C5240" s="2" t="s">
        <v>5</v>
      </c>
      <c r="D5240" s="2" t="s">
        <v>1065</v>
      </c>
      <c r="E5240" s="2" t="str">
        <f>"9783031604614"</f>
        <v>9783031604614</v>
      </c>
      <c r="F5240" s="2" t="str">
        <f>"9783031604621"</f>
        <v>9783031604621</v>
      </c>
    </row>
    <row r="5241" spans="1:6" s="3" customFormat="1" ht="29.1" customHeight="1" x14ac:dyDescent="0.25">
      <c r="A5241" s="2" t="s">
        <v>11173</v>
      </c>
      <c r="B5241" s="2" t="s">
        <v>11174</v>
      </c>
      <c r="C5241" s="2" t="s">
        <v>5</v>
      </c>
      <c r="D5241" s="2" t="s">
        <v>86</v>
      </c>
      <c r="E5241" s="2" t="str">
        <f>"9783031663314"</f>
        <v>9783031663314</v>
      </c>
      <c r="F5241" s="2" t="str">
        <f>"9783031663321"</f>
        <v>9783031663321</v>
      </c>
    </row>
    <row r="5242" spans="1:6" s="3" customFormat="1" ht="29.1" customHeight="1" x14ac:dyDescent="0.25">
      <c r="A5242" s="2" t="s">
        <v>11175</v>
      </c>
      <c r="B5242" s="2" t="s">
        <v>11176</v>
      </c>
      <c r="C5242" s="2" t="s">
        <v>5</v>
      </c>
      <c r="D5242" s="2" t="s">
        <v>1253</v>
      </c>
      <c r="E5242" s="2" t="str">
        <f>"9783662694664"</f>
        <v>9783662694664</v>
      </c>
      <c r="F5242" s="2" t="str">
        <f>"9783662694671"</f>
        <v>9783662694671</v>
      </c>
    </row>
    <row r="5243" spans="1:6" s="3" customFormat="1" ht="29.1" customHeight="1" x14ac:dyDescent="0.25">
      <c r="A5243" s="2" t="s">
        <v>11177</v>
      </c>
      <c r="B5243" s="2" t="s">
        <v>11178</v>
      </c>
      <c r="C5243" s="2" t="s">
        <v>5</v>
      </c>
      <c r="D5243" s="2" t="s">
        <v>2877</v>
      </c>
      <c r="E5243" s="2" t="str">
        <f>"9783031692833"</f>
        <v>9783031692833</v>
      </c>
      <c r="F5243" s="2" t="str">
        <f>"9783031692840"</f>
        <v>9783031692840</v>
      </c>
    </row>
    <row r="5244" spans="1:6" s="3" customFormat="1" ht="29.1" customHeight="1" x14ac:dyDescent="0.25">
      <c r="A5244" s="2" t="s">
        <v>11179</v>
      </c>
      <c r="B5244" s="2" t="s">
        <v>11180</v>
      </c>
      <c r="C5244" s="2" t="s">
        <v>5</v>
      </c>
      <c r="D5244" s="2" t="s">
        <v>2391</v>
      </c>
      <c r="E5244" s="2" t="str">
        <f>"9783031655364"</f>
        <v>9783031655364</v>
      </c>
      <c r="F5244" s="2" t="str">
        <f>"9783031655371"</f>
        <v>9783031655371</v>
      </c>
    </row>
    <row r="5245" spans="1:6" s="3" customFormat="1" ht="29.1" customHeight="1" x14ac:dyDescent="0.25">
      <c r="A5245" s="2" t="s">
        <v>11181</v>
      </c>
      <c r="B5245" s="2" t="s">
        <v>11182</v>
      </c>
      <c r="C5245" s="2" t="s">
        <v>124</v>
      </c>
      <c r="D5245" s="2" t="s">
        <v>270</v>
      </c>
      <c r="E5245" s="2" t="str">
        <f>"9781032793542"</f>
        <v>9781032793542</v>
      </c>
      <c r="F5245" s="2" t="str">
        <f>"9781040311974"</f>
        <v>9781040311974</v>
      </c>
    </row>
    <row r="5246" spans="1:6" s="3" customFormat="1" ht="29.1" customHeight="1" x14ac:dyDescent="0.25">
      <c r="A5246" s="2" t="s">
        <v>11183</v>
      </c>
      <c r="B5246" s="2" t="s">
        <v>11184</v>
      </c>
      <c r="C5246" s="2" t="s">
        <v>124</v>
      </c>
      <c r="D5246" s="2" t="s">
        <v>270</v>
      </c>
      <c r="E5246" s="2" t="str">
        <f>"9781032787190"</f>
        <v>9781032787190</v>
      </c>
      <c r="F5246" s="2" t="str">
        <f>"9781040319338"</f>
        <v>9781040319338</v>
      </c>
    </row>
    <row r="5247" spans="1:6" s="3" customFormat="1" ht="29.1" customHeight="1" x14ac:dyDescent="0.25">
      <c r="A5247" s="2" t="s">
        <v>11185</v>
      </c>
      <c r="B5247" s="2" t="s">
        <v>11186</v>
      </c>
      <c r="C5247" s="2" t="s">
        <v>124</v>
      </c>
      <c r="D5247" s="2" t="s">
        <v>1245</v>
      </c>
      <c r="E5247" s="2" t="str">
        <f>"9781032393827"</f>
        <v>9781032393827</v>
      </c>
      <c r="F5247" s="2" t="str">
        <f>"9781040325636"</f>
        <v>9781040325636</v>
      </c>
    </row>
    <row r="5248" spans="1:6" s="3" customFormat="1" ht="29.1" customHeight="1" x14ac:dyDescent="0.25">
      <c r="A5248" s="2" t="s">
        <v>11187</v>
      </c>
      <c r="B5248" s="2" t="s">
        <v>11188</v>
      </c>
      <c r="C5248" s="2" t="s">
        <v>124</v>
      </c>
      <c r="D5248" s="2" t="s">
        <v>10162</v>
      </c>
      <c r="E5248" s="2" t="str">
        <f>"9781032254593"</f>
        <v>9781032254593</v>
      </c>
      <c r="F5248" s="2" t="str">
        <f>"9781040322123"</f>
        <v>9781040322123</v>
      </c>
    </row>
    <row r="5249" spans="1:6" s="3" customFormat="1" ht="29.1" customHeight="1" x14ac:dyDescent="0.25">
      <c r="A5249" s="2" t="s">
        <v>11189</v>
      </c>
      <c r="B5249" s="2" t="s">
        <v>11190</v>
      </c>
      <c r="C5249" s="2" t="s">
        <v>124</v>
      </c>
      <c r="D5249" s="2" t="s">
        <v>1816</v>
      </c>
      <c r="E5249" s="2" t="str">
        <f>"9781032834986"</f>
        <v>9781032834986</v>
      </c>
      <c r="F5249" s="2" t="str">
        <f>"9781040320808"</f>
        <v>9781040320808</v>
      </c>
    </row>
    <row r="5250" spans="1:6" s="3" customFormat="1" ht="29.1" customHeight="1" x14ac:dyDescent="0.25">
      <c r="A5250" s="2" t="s">
        <v>11191</v>
      </c>
      <c r="B5250" s="2" t="s">
        <v>11192</v>
      </c>
      <c r="C5250" s="2" t="s">
        <v>124</v>
      </c>
      <c r="D5250" s="2" t="s">
        <v>9</v>
      </c>
      <c r="E5250" s="2" t="str">
        <f>"9781032792729"</f>
        <v>9781032792729</v>
      </c>
      <c r="F5250" s="2" t="str">
        <f>"9781040321195"</f>
        <v>9781040321195</v>
      </c>
    </row>
    <row r="5251" spans="1:6" s="3" customFormat="1" ht="29.1" customHeight="1" x14ac:dyDescent="0.25">
      <c r="A5251" s="2" t="s">
        <v>11193</v>
      </c>
      <c r="B5251" s="2" t="s">
        <v>11194</v>
      </c>
      <c r="C5251" s="2" t="s">
        <v>124</v>
      </c>
      <c r="D5251" s="2" t="s">
        <v>2168</v>
      </c>
      <c r="E5251" s="2" t="str">
        <f>"9781032940724"</f>
        <v>9781032940724</v>
      </c>
      <c r="F5251" s="2" t="str">
        <f>"9781040322383"</f>
        <v>9781040322383</v>
      </c>
    </row>
    <row r="5252" spans="1:6" s="3" customFormat="1" ht="29.1" customHeight="1" x14ac:dyDescent="0.25">
      <c r="A5252" s="2" t="s">
        <v>11195</v>
      </c>
      <c r="B5252" s="2" t="s">
        <v>11196</v>
      </c>
      <c r="C5252" s="2" t="s">
        <v>124</v>
      </c>
      <c r="D5252" s="2" t="s">
        <v>509</v>
      </c>
      <c r="E5252" s="2" t="str">
        <f>"9781032399126"</f>
        <v>9781032399126</v>
      </c>
      <c r="F5252" s="2" t="str">
        <f>"9781040324509"</f>
        <v>9781040324509</v>
      </c>
    </row>
    <row r="5253" spans="1:6" s="3" customFormat="1" ht="29.1" customHeight="1" x14ac:dyDescent="0.25">
      <c r="A5253" s="2" t="s">
        <v>11197</v>
      </c>
      <c r="B5253" s="2" t="s">
        <v>11198</v>
      </c>
      <c r="C5253" s="2" t="s">
        <v>124</v>
      </c>
      <c r="D5253" s="2" t="s">
        <v>186</v>
      </c>
      <c r="E5253" s="2" t="str">
        <f>"9780367194642"</f>
        <v>9780367194642</v>
      </c>
      <c r="F5253" s="2" t="str">
        <f>"9780429511165"</f>
        <v>9780429511165</v>
      </c>
    </row>
    <row r="5254" spans="1:6" s="3" customFormat="1" ht="29.1" customHeight="1" x14ac:dyDescent="0.25">
      <c r="A5254" s="2" t="s">
        <v>11199</v>
      </c>
      <c r="B5254" s="2" t="s">
        <v>11201</v>
      </c>
      <c r="C5254" s="2" t="s">
        <v>124</v>
      </c>
      <c r="D5254" s="2" t="s">
        <v>11200</v>
      </c>
      <c r="E5254" s="2" t="str">
        <f>"9781032719986"</f>
        <v>9781032719986</v>
      </c>
      <c r="F5254" s="2" t="str">
        <f>"9781040322741"</f>
        <v>9781040322741</v>
      </c>
    </row>
    <row r="5255" spans="1:6" s="3" customFormat="1" ht="29.1" customHeight="1" x14ac:dyDescent="0.25">
      <c r="A5255" s="2" t="s">
        <v>11202</v>
      </c>
      <c r="B5255" s="2" t="s">
        <v>11203</v>
      </c>
      <c r="C5255" s="2" t="s">
        <v>124</v>
      </c>
      <c r="D5255" s="2" t="s">
        <v>2513</v>
      </c>
      <c r="E5255" s="2" t="str">
        <f>"9781032800783"</f>
        <v>9781032800783</v>
      </c>
      <c r="F5255" s="2" t="str">
        <f>"9781040320174"</f>
        <v>9781040320174</v>
      </c>
    </row>
    <row r="5256" spans="1:6" s="3" customFormat="1" ht="29.1" customHeight="1" x14ac:dyDescent="0.25">
      <c r="A5256" s="2" t="s">
        <v>11204</v>
      </c>
      <c r="B5256" s="2" t="s">
        <v>11205</v>
      </c>
      <c r="C5256" s="2" t="s">
        <v>124</v>
      </c>
      <c r="D5256" s="2" t="s">
        <v>210</v>
      </c>
      <c r="E5256" s="2" t="str">
        <f>"9781032123776"</f>
        <v>9781032123776</v>
      </c>
      <c r="F5256" s="2" t="str">
        <f>"9781040319994"</f>
        <v>9781040319994</v>
      </c>
    </row>
    <row r="5257" spans="1:6" s="3" customFormat="1" ht="29.1" customHeight="1" x14ac:dyDescent="0.25">
      <c r="A5257" s="2" t="s">
        <v>11206</v>
      </c>
      <c r="B5257" s="2" t="s">
        <v>11207</v>
      </c>
      <c r="C5257" s="2" t="s">
        <v>124</v>
      </c>
      <c r="D5257" s="2" t="s">
        <v>339</v>
      </c>
      <c r="E5257" s="2" t="str">
        <f>"9781032379647"</f>
        <v>9781032379647</v>
      </c>
      <c r="F5257" s="2" t="str">
        <f>"9781040318799"</f>
        <v>9781040318799</v>
      </c>
    </row>
    <row r="5258" spans="1:6" s="3" customFormat="1" ht="29.1" customHeight="1" x14ac:dyDescent="0.25">
      <c r="A5258" s="2" t="s">
        <v>11208</v>
      </c>
      <c r="B5258" s="2" t="s">
        <v>11209</v>
      </c>
      <c r="C5258" s="2" t="s">
        <v>124</v>
      </c>
      <c r="D5258" s="2" t="s">
        <v>689</v>
      </c>
      <c r="E5258" s="2" t="str">
        <f>"9781032806747"</f>
        <v>9781032806747</v>
      </c>
      <c r="F5258" s="2" t="str">
        <f>"9781040323090"</f>
        <v>9781040323090</v>
      </c>
    </row>
    <row r="5259" spans="1:6" s="3" customFormat="1" ht="29.1" customHeight="1" x14ac:dyDescent="0.25">
      <c r="A5259" s="2" t="s">
        <v>11210</v>
      </c>
      <c r="B5259" s="2" t="s">
        <v>11211</v>
      </c>
      <c r="C5259" s="2" t="s">
        <v>124</v>
      </c>
      <c r="D5259" s="2" t="s">
        <v>183</v>
      </c>
      <c r="E5259" s="2" t="str">
        <f>"9781032405629"</f>
        <v>9781032405629</v>
      </c>
      <c r="F5259" s="2" t="str">
        <f>"9781040320570"</f>
        <v>9781040320570</v>
      </c>
    </row>
    <row r="5260" spans="1:6" s="3" customFormat="1" ht="29.1" customHeight="1" x14ac:dyDescent="0.25">
      <c r="A5260" s="2" t="s">
        <v>11212</v>
      </c>
      <c r="B5260" s="2" t="s">
        <v>11214</v>
      </c>
      <c r="C5260" s="2" t="s">
        <v>2242</v>
      </c>
      <c r="D5260" s="2" t="s">
        <v>11213</v>
      </c>
      <c r="E5260" s="2"/>
      <c r="F5260" s="2" t="str">
        <f>"9788024464756"</f>
        <v>9788024464756</v>
      </c>
    </row>
    <row r="5261" spans="1:6" s="3" customFormat="1" ht="29.1" customHeight="1" x14ac:dyDescent="0.25">
      <c r="A5261" s="2" t="s">
        <v>11215</v>
      </c>
      <c r="B5261" s="2" t="s">
        <v>11216</v>
      </c>
      <c r="C5261" s="2" t="s">
        <v>2242</v>
      </c>
      <c r="D5261" s="2" t="s">
        <v>2805</v>
      </c>
      <c r="E5261" s="2"/>
      <c r="F5261" s="2" t="str">
        <f>"9788024464695"</f>
        <v>9788024464695</v>
      </c>
    </row>
    <row r="5262" spans="1:6" s="3" customFormat="1" ht="29.1" customHeight="1" x14ac:dyDescent="0.25">
      <c r="A5262" s="2" t="s">
        <v>11217</v>
      </c>
      <c r="B5262" s="2" t="s">
        <v>11218</v>
      </c>
      <c r="C5262" s="2" t="s">
        <v>2242</v>
      </c>
      <c r="D5262" s="2" t="s">
        <v>459</v>
      </c>
      <c r="E5262" s="2"/>
      <c r="F5262" s="2" t="str">
        <f>"9788024465081"</f>
        <v>9788024465081</v>
      </c>
    </row>
    <row r="5263" spans="1:6" s="3" customFormat="1" ht="29.1" customHeight="1" x14ac:dyDescent="0.25">
      <c r="A5263" s="2" t="s">
        <v>11219</v>
      </c>
      <c r="B5263" s="2" t="s">
        <v>11221</v>
      </c>
      <c r="C5263" s="2" t="s">
        <v>11220</v>
      </c>
      <c r="D5263" s="2" t="s">
        <v>436</v>
      </c>
      <c r="E5263" s="2" t="str">
        <f>"9781479837533"</f>
        <v>9781479837533</v>
      </c>
      <c r="F5263" s="2" t="str">
        <f>"9781479837557"</f>
        <v>9781479837557</v>
      </c>
    </row>
    <row r="5264" spans="1:6" s="3" customFormat="1" ht="29.1" customHeight="1" x14ac:dyDescent="0.25">
      <c r="A5264" s="2" t="s">
        <v>11222</v>
      </c>
      <c r="B5264" s="2" t="s">
        <v>11223</v>
      </c>
      <c r="C5264" s="2" t="s">
        <v>11220</v>
      </c>
      <c r="D5264" s="2" t="s">
        <v>636</v>
      </c>
      <c r="E5264" s="2" t="str">
        <f>"9781479832620"</f>
        <v>9781479832620</v>
      </c>
      <c r="F5264" s="2" t="str">
        <f>"9781479832668"</f>
        <v>9781479832668</v>
      </c>
    </row>
    <row r="5265" spans="1:6" s="3" customFormat="1" ht="29.1" customHeight="1" x14ac:dyDescent="0.25">
      <c r="A5265" s="2" t="s">
        <v>11224</v>
      </c>
      <c r="B5265" s="2" t="s">
        <v>11225</v>
      </c>
      <c r="C5265" s="2" t="s">
        <v>11220</v>
      </c>
      <c r="D5265" s="2" t="s">
        <v>1637</v>
      </c>
      <c r="E5265" s="2" t="str">
        <f>"9781479833474"</f>
        <v>9781479833474</v>
      </c>
      <c r="F5265" s="2" t="str">
        <f>"9781479833511"</f>
        <v>9781479833511</v>
      </c>
    </row>
    <row r="5266" spans="1:6" s="3" customFormat="1" ht="29.1" customHeight="1" x14ac:dyDescent="0.25">
      <c r="A5266" s="2" t="s">
        <v>11226</v>
      </c>
      <c r="B5266" s="2" t="s">
        <v>11227</v>
      </c>
      <c r="C5266" s="2" t="s">
        <v>248</v>
      </c>
      <c r="D5266" s="2" t="s">
        <v>75</v>
      </c>
      <c r="E5266" s="2" t="str">
        <f>"9783966650830"</f>
        <v>9783966650830</v>
      </c>
      <c r="F5266" s="2" t="str">
        <f>"9783966659024"</f>
        <v>9783966659024</v>
      </c>
    </row>
    <row r="5267" spans="1:6" s="3" customFormat="1" ht="29.1" customHeight="1" x14ac:dyDescent="0.25">
      <c r="A5267" s="2" t="s">
        <v>11228</v>
      </c>
      <c r="B5267" s="2" t="s">
        <v>11229</v>
      </c>
      <c r="C5267" s="2" t="s">
        <v>248</v>
      </c>
      <c r="D5267" s="2" t="s">
        <v>135</v>
      </c>
      <c r="E5267" s="2" t="str">
        <f>"9783847430995"</f>
        <v>9783847430995</v>
      </c>
      <c r="F5267" s="2" t="str">
        <f>"9783847432340"</f>
        <v>9783847432340</v>
      </c>
    </row>
    <row r="5268" spans="1:6" s="3" customFormat="1" ht="29.1" customHeight="1" x14ac:dyDescent="0.25">
      <c r="A5268" s="2" t="s">
        <v>11230</v>
      </c>
      <c r="B5268" s="2" t="s">
        <v>11231</v>
      </c>
      <c r="C5268" s="2" t="s">
        <v>248</v>
      </c>
      <c r="D5268" s="2" t="s">
        <v>92</v>
      </c>
      <c r="E5268" s="2" t="str">
        <f>"9783847430971"</f>
        <v>9783847430971</v>
      </c>
      <c r="F5268" s="2" t="str">
        <f>"9783847432319"</f>
        <v>9783847432319</v>
      </c>
    </row>
    <row r="5269" spans="1:6" s="3" customFormat="1" ht="29.1" customHeight="1" x14ac:dyDescent="0.25">
      <c r="A5269" s="2" t="s">
        <v>11232</v>
      </c>
      <c r="B5269" s="2" t="s">
        <v>11233</v>
      </c>
      <c r="C5269" s="2" t="s">
        <v>248</v>
      </c>
      <c r="D5269" s="2" t="s">
        <v>490</v>
      </c>
      <c r="E5269" s="2" t="str">
        <f>"9783847430520"</f>
        <v>9783847430520</v>
      </c>
      <c r="F5269" s="2" t="str">
        <f>"9783847419846"</f>
        <v>9783847419846</v>
      </c>
    </row>
    <row r="5270" spans="1:6" s="3" customFormat="1" ht="29.1" customHeight="1" x14ac:dyDescent="0.25">
      <c r="A5270" s="2" t="s">
        <v>11234</v>
      </c>
      <c r="B5270" s="2" t="s">
        <v>11235</v>
      </c>
      <c r="C5270" s="2" t="s">
        <v>29</v>
      </c>
      <c r="D5270" s="2" t="s">
        <v>4155</v>
      </c>
      <c r="E5270" s="2" t="str">
        <f>"9789004712324"</f>
        <v>9789004712324</v>
      </c>
      <c r="F5270" s="2" t="str">
        <f>"9789004712331"</f>
        <v>9789004712331</v>
      </c>
    </row>
    <row r="5271" spans="1:6" s="3" customFormat="1" ht="29.1" customHeight="1" x14ac:dyDescent="0.25">
      <c r="A5271" s="2" t="s">
        <v>11236</v>
      </c>
      <c r="B5271" s="2" t="s">
        <v>11237</v>
      </c>
      <c r="C5271" s="2" t="s">
        <v>29</v>
      </c>
      <c r="D5271" s="2" t="s">
        <v>1432</v>
      </c>
      <c r="E5271" s="2" t="str">
        <f>"9789004693388"</f>
        <v>9789004693388</v>
      </c>
      <c r="F5271" s="2" t="str">
        <f>"9789004706880"</f>
        <v>9789004706880</v>
      </c>
    </row>
    <row r="5272" spans="1:6" s="3" customFormat="1" ht="29.1" customHeight="1" x14ac:dyDescent="0.25">
      <c r="A5272" s="2" t="s">
        <v>11238</v>
      </c>
      <c r="B5272" s="2" t="s">
        <v>11239</v>
      </c>
      <c r="C5272" s="2" t="s">
        <v>149</v>
      </c>
      <c r="D5272" s="2" t="s">
        <v>273</v>
      </c>
      <c r="E5272" s="2" t="str">
        <f>"9781805113454"</f>
        <v>9781805113454</v>
      </c>
      <c r="F5272" s="2" t="str">
        <f>"9781805113478"</f>
        <v>9781805113478</v>
      </c>
    </row>
    <row r="5273" spans="1:6" s="3" customFormat="1" ht="29.1" customHeight="1" x14ac:dyDescent="0.25">
      <c r="A5273" s="2" t="s">
        <v>11240</v>
      </c>
      <c r="B5273" s="2" t="s">
        <v>11242</v>
      </c>
      <c r="C5273" s="2" t="s">
        <v>149</v>
      </c>
      <c r="D5273" s="2" t="s">
        <v>11241</v>
      </c>
      <c r="E5273" s="2" t="str">
        <f>"9781805112846"</f>
        <v>9781805112846</v>
      </c>
      <c r="F5273" s="2" t="str">
        <f>"9781805112860"</f>
        <v>9781805112860</v>
      </c>
    </row>
    <row r="5274" spans="1:6" s="3" customFormat="1" ht="29.1" customHeight="1" x14ac:dyDescent="0.25">
      <c r="A5274" s="2" t="s">
        <v>11243</v>
      </c>
      <c r="B5274" s="2" t="s">
        <v>11244</v>
      </c>
      <c r="C5274" s="2" t="s">
        <v>149</v>
      </c>
      <c r="D5274" s="2" t="s">
        <v>6354</v>
      </c>
      <c r="E5274" s="2" t="str">
        <f>"9781805112242"</f>
        <v>9781805112242</v>
      </c>
      <c r="F5274" s="2" t="str">
        <f>"9781805112266"</f>
        <v>9781805112266</v>
      </c>
    </row>
    <row r="5275" spans="1:6" s="3" customFormat="1" ht="29.1" customHeight="1" x14ac:dyDescent="0.25">
      <c r="A5275" s="2" t="s">
        <v>11245</v>
      </c>
      <c r="B5275" s="2" t="s">
        <v>11246</v>
      </c>
      <c r="C5275" s="2" t="s">
        <v>5</v>
      </c>
      <c r="D5275" s="2" t="s">
        <v>636</v>
      </c>
      <c r="E5275" s="2" t="str">
        <f>"9783031676277"</f>
        <v>9783031676277</v>
      </c>
      <c r="F5275" s="2" t="str">
        <f>"9783031676284"</f>
        <v>9783031676284</v>
      </c>
    </row>
    <row r="5276" spans="1:6" s="3" customFormat="1" ht="29.1" customHeight="1" x14ac:dyDescent="0.25">
      <c r="A5276" s="2" t="s">
        <v>11247</v>
      </c>
      <c r="B5276" s="2" t="s">
        <v>11249</v>
      </c>
      <c r="C5276" s="2" t="s">
        <v>5</v>
      </c>
      <c r="D5276" s="2" t="s">
        <v>11248</v>
      </c>
      <c r="E5276" s="2" t="str">
        <f>"9783031649721"</f>
        <v>9783031649721</v>
      </c>
      <c r="F5276" s="2" t="str">
        <f>"9783031649738"</f>
        <v>9783031649738</v>
      </c>
    </row>
    <row r="5277" spans="1:6" s="3" customFormat="1" ht="29.1" customHeight="1" x14ac:dyDescent="0.25">
      <c r="A5277" s="2" t="s">
        <v>11250</v>
      </c>
      <c r="B5277" s="2" t="s">
        <v>11251</v>
      </c>
      <c r="C5277" s="2" t="s">
        <v>5</v>
      </c>
      <c r="D5277" s="2" t="s">
        <v>694</v>
      </c>
      <c r="E5277" s="2" t="str">
        <f>"9789464635416"</f>
        <v>9789464635416</v>
      </c>
      <c r="F5277" s="2" t="str">
        <f>"9789464635423"</f>
        <v>9789464635423</v>
      </c>
    </row>
    <row r="5278" spans="1:6" s="3" customFormat="1" ht="29.1" customHeight="1" x14ac:dyDescent="0.25">
      <c r="A5278" s="2" t="s">
        <v>11252</v>
      </c>
      <c r="B5278" s="2" t="s">
        <v>9521</v>
      </c>
      <c r="C5278" s="2" t="s">
        <v>5</v>
      </c>
      <c r="D5278" s="2" t="s">
        <v>186</v>
      </c>
      <c r="E5278" s="2" t="str">
        <f>"9789464635331"</f>
        <v>9789464635331</v>
      </c>
      <c r="F5278" s="2" t="str">
        <f>"9789464635348"</f>
        <v>9789464635348</v>
      </c>
    </row>
    <row r="5279" spans="1:6" s="3" customFormat="1" ht="29.1" customHeight="1" x14ac:dyDescent="0.25">
      <c r="A5279" s="2" t="s">
        <v>11253</v>
      </c>
      <c r="B5279" s="2" t="s">
        <v>11254</v>
      </c>
      <c r="C5279" s="2" t="s">
        <v>5</v>
      </c>
      <c r="D5279" s="2" t="s">
        <v>2861</v>
      </c>
      <c r="E5279" s="2" t="str">
        <f>"9783031719585"</f>
        <v>9783031719585</v>
      </c>
      <c r="F5279" s="2" t="str">
        <f>"9783031719592"</f>
        <v>9783031719592</v>
      </c>
    </row>
    <row r="5280" spans="1:6" s="3" customFormat="1" ht="29.1" customHeight="1" x14ac:dyDescent="0.25">
      <c r="A5280" s="2" t="s">
        <v>11255</v>
      </c>
      <c r="B5280" s="2" t="s">
        <v>11256</v>
      </c>
      <c r="C5280" s="2" t="s">
        <v>239</v>
      </c>
      <c r="D5280" s="2" t="s">
        <v>78</v>
      </c>
      <c r="E5280" s="2" t="str">
        <f>"9780520402904"</f>
        <v>9780520402904</v>
      </c>
      <c r="F5280" s="2" t="str">
        <f>"9780520402928"</f>
        <v>9780520402928</v>
      </c>
    </row>
    <row r="5281" spans="1:6" s="3" customFormat="1" ht="29.1" customHeight="1" x14ac:dyDescent="0.25">
      <c r="A5281" s="2" t="s">
        <v>11257</v>
      </c>
      <c r="B5281" s="2" t="s">
        <v>11258</v>
      </c>
      <c r="C5281" s="2" t="s">
        <v>595</v>
      </c>
      <c r="D5281" s="2" t="s">
        <v>490</v>
      </c>
      <c r="E5281" s="2" t="str">
        <f>"9782875745002"</f>
        <v>9782875745002</v>
      </c>
      <c r="F5281" s="2" t="str">
        <f>"9782875745019"</f>
        <v>9782875745019</v>
      </c>
    </row>
    <row r="5282" spans="1:6" s="3" customFormat="1" ht="29.1" customHeight="1" x14ac:dyDescent="0.25">
      <c r="A5282" s="2" t="s">
        <v>11259</v>
      </c>
      <c r="B5282" s="2" t="s">
        <v>11260</v>
      </c>
      <c r="C5282" s="2" t="s">
        <v>239</v>
      </c>
      <c r="D5282" s="2" t="s">
        <v>6692</v>
      </c>
      <c r="E5282" s="2" t="str">
        <f>"9780520404472"</f>
        <v>9780520404472</v>
      </c>
      <c r="F5282" s="2" t="str">
        <f>"9780520404489"</f>
        <v>9780520404489</v>
      </c>
    </row>
    <row r="5283" spans="1:6" s="3" customFormat="1" ht="29.1" customHeight="1" x14ac:dyDescent="0.25">
      <c r="A5283" s="2" t="s">
        <v>11261</v>
      </c>
      <c r="B5283" s="2" t="s">
        <v>11262</v>
      </c>
      <c r="C5283" s="2" t="s">
        <v>2242</v>
      </c>
      <c r="D5283" s="2" t="s">
        <v>553</v>
      </c>
      <c r="E5283" s="2"/>
      <c r="F5283" s="2" t="str">
        <f>"9788024450988"</f>
        <v>9788024450988</v>
      </c>
    </row>
    <row r="5284" spans="1:6" s="3" customFormat="1" ht="29.1" customHeight="1" x14ac:dyDescent="0.25">
      <c r="A5284" s="2" t="s">
        <v>11263</v>
      </c>
      <c r="B5284" s="2" t="s">
        <v>11264</v>
      </c>
      <c r="C5284" s="2" t="s">
        <v>2242</v>
      </c>
      <c r="D5284" s="2" t="s">
        <v>553</v>
      </c>
      <c r="E5284" s="2"/>
      <c r="F5284" s="2" t="str">
        <f>"9788024450827"</f>
        <v>9788024450827</v>
      </c>
    </row>
    <row r="5285" spans="1:6" s="3" customFormat="1" ht="29.1" customHeight="1" x14ac:dyDescent="0.25">
      <c r="A5285" s="2" t="s">
        <v>11265</v>
      </c>
      <c r="B5285" s="2" t="s">
        <v>11266</v>
      </c>
      <c r="C5285" s="2" t="s">
        <v>2242</v>
      </c>
      <c r="D5285" s="2" t="s">
        <v>553</v>
      </c>
      <c r="E5285" s="2"/>
      <c r="F5285" s="2" t="str">
        <f>"9788024450865"</f>
        <v>9788024450865</v>
      </c>
    </row>
    <row r="5286" spans="1:6" s="3" customFormat="1" ht="29.1" customHeight="1" x14ac:dyDescent="0.25">
      <c r="A5286" s="2" t="s">
        <v>11267</v>
      </c>
      <c r="B5286" s="2" t="s">
        <v>11268</v>
      </c>
      <c r="C5286" s="2" t="s">
        <v>2242</v>
      </c>
      <c r="D5286" s="2" t="s">
        <v>553</v>
      </c>
      <c r="E5286" s="2"/>
      <c r="F5286" s="2" t="str">
        <f>"9788024450858"</f>
        <v>9788024450858</v>
      </c>
    </row>
    <row r="5287" spans="1:6" s="3" customFormat="1" ht="29.1" customHeight="1" x14ac:dyDescent="0.25">
      <c r="A5287" s="2" t="s">
        <v>11269</v>
      </c>
      <c r="B5287" s="2" t="s">
        <v>11270</v>
      </c>
      <c r="C5287" s="2" t="s">
        <v>2242</v>
      </c>
      <c r="D5287" s="2" t="s">
        <v>113</v>
      </c>
      <c r="E5287" s="2"/>
      <c r="F5287" s="2" t="str">
        <f>"9788024450834"</f>
        <v>9788024450834</v>
      </c>
    </row>
    <row r="5288" spans="1:6" s="3" customFormat="1" ht="29.1" customHeight="1" x14ac:dyDescent="0.25">
      <c r="A5288" s="2" t="s">
        <v>11271</v>
      </c>
      <c r="B5288" s="2" t="s">
        <v>11272</v>
      </c>
      <c r="C5288" s="2" t="s">
        <v>2242</v>
      </c>
      <c r="D5288" s="2" t="s">
        <v>4739</v>
      </c>
      <c r="E5288" s="2"/>
      <c r="F5288" s="2" t="str">
        <f>"9788024454320"</f>
        <v>9788024454320</v>
      </c>
    </row>
    <row r="5289" spans="1:6" s="3" customFormat="1" ht="29.1" customHeight="1" x14ac:dyDescent="0.25">
      <c r="A5289" s="2" t="s">
        <v>11273</v>
      </c>
      <c r="B5289" s="2" t="s">
        <v>11275</v>
      </c>
      <c r="C5289" s="2" t="s">
        <v>2242</v>
      </c>
      <c r="D5289" s="2" t="s">
        <v>11274</v>
      </c>
      <c r="E5289" s="2"/>
      <c r="F5289" s="2" t="str">
        <f>"9788024453972"</f>
        <v>9788024453972</v>
      </c>
    </row>
    <row r="5290" spans="1:6" s="3" customFormat="1" ht="29.1" customHeight="1" x14ac:dyDescent="0.25">
      <c r="A5290" s="2" t="s">
        <v>11276</v>
      </c>
      <c r="B5290" s="2" t="s">
        <v>11278</v>
      </c>
      <c r="C5290" s="2" t="s">
        <v>2242</v>
      </c>
      <c r="D5290" s="2" t="s">
        <v>11277</v>
      </c>
      <c r="E5290" s="2"/>
      <c r="F5290" s="2" t="str">
        <f>"9788024453163"</f>
        <v>9788024453163</v>
      </c>
    </row>
    <row r="5291" spans="1:6" s="3" customFormat="1" ht="29.1" customHeight="1" x14ac:dyDescent="0.25">
      <c r="A5291" s="2" t="s">
        <v>11279</v>
      </c>
      <c r="B5291" s="2" t="s">
        <v>11281</v>
      </c>
      <c r="C5291" s="2" t="s">
        <v>2242</v>
      </c>
      <c r="D5291" s="2" t="s">
        <v>11280</v>
      </c>
      <c r="E5291" s="2"/>
      <c r="F5291" s="2" t="str">
        <f>"9788024456324"</f>
        <v>9788024456324</v>
      </c>
    </row>
    <row r="5292" spans="1:6" s="3" customFormat="1" ht="29.1" customHeight="1" x14ac:dyDescent="0.25">
      <c r="A5292" s="2" t="s">
        <v>11282</v>
      </c>
      <c r="B5292" s="2" t="s">
        <v>11283</v>
      </c>
      <c r="C5292" s="2" t="s">
        <v>2242</v>
      </c>
      <c r="D5292" s="2" t="s">
        <v>1065</v>
      </c>
      <c r="E5292" s="2"/>
      <c r="F5292" s="2" t="str">
        <f>"9788024456317"</f>
        <v>9788024456317</v>
      </c>
    </row>
    <row r="5293" spans="1:6" s="3" customFormat="1" ht="29.1" customHeight="1" x14ac:dyDescent="0.25">
      <c r="A5293" s="2" t="s">
        <v>11284</v>
      </c>
      <c r="B5293" s="2" t="s">
        <v>11285</v>
      </c>
      <c r="C5293" s="2" t="s">
        <v>2242</v>
      </c>
      <c r="D5293" s="2" t="s">
        <v>1071</v>
      </c>
      <c r="E5293" s="2"/>
      <c r="F5293" s="2" t="str">
        <f>"9788024456300"</f>
        <v>9788024456300</v>
      </c>
    </row>
    <row r="5294" spans="1:6" s="3" customFormat="1" ht="29.1" customHeight="1" x14ac:dyDescent="0.25">
      <c r="A5294" s="2" t="s">
        <v>11286</v>
      </c>
      <c r="B5294" s="2" t="s">
        <v>11270</v>
      </c>
      <c r="C5294" s="2" t="s">
        <v>2242</v>
      </c>
      <c r="D5294" s="2" t="s">
        <v>113</v>
      </c>
      <c r="E5294" s="2"/>
      <c r="F5294" s="2" t="str">
        <f>"9788024456287"</f>
        <v>9788024456287</v>
      </c>
    </row>
    <row r="5295" spans="1:6" s="3" customFormat="1" ht="29.1" customHeight="1" x14ac:dyDescent="0.25">
      <c r="A5295" s="2" t="s">
        <v>11287</v>
      </c>
      <c r="B5295" s="2" t="s">
        <v>11288</v>
      </c>
      <c r="C5295" s="2" t="s">
        <v>2242</v>
      </c>
      <c r="D5295" s="2" t="s">
        <v>113</v>
      </c>
      <c r="E5295" s="2"/>
      <c r="F5295" s="2" t="str">
        <f>"9788024456270"</f>
        <v>9788024456270</v>
      </c>
    </row>
    <row r="5296" spans="1:6" s="3" customFormat="1" ht="29.1" customHeight="1" x14ac:dyDescent="0.25">
      <c r="A5296" s="2" t="s">
        <v>11289</v>
      </c>
      <c r="B5296" s="2" t="s">
        <v>11291</v>
      </c>
      <c r="C5296" s="2" t="s">
        <v>2242</v>
      </c>
      <c r="D5296" s="2" t="s">
        <v>11290</v>
      </c>
      <c r="E5296" s="2"/>
      <c r="F5296" s="2" t="str">
        <f>"9788024456263"</f>
        <v>9788024456263</v>
      </c>
    </row>
    <row r="5297" spans="1:6" s="3" customFormat="1" ht="29.1" customHeight="1" x14ac:dyDescent="0.25">
      <c r="A5297" s="2" t="s">
        <v>11292</v>
      </c>
      <c r="B5297" s="2" t="s">
        <v>11293</v>
      </c>
      <c r="C5297" s="2" t="s">
        <v>2242</v>
      </c>
      <c r="D5297" s="2" t="s">
        <v>60</v>
      </c>
      <c r="E5297" s="2"/>
      <c r="F5297" s="2" t="str">
        <f>"9788024458533"</f>
        <v>9788024458533</v>
      </c>
    </row>
    <row r="5298" spans="1:6" s="3" customFormat="1" ht="29.1" customHeight="1" x14ac:dyDescent="0.25">
      <c r="A5298" s="2" t="s">
        <v>11294</v>
      </c>
      <c r="B5298" s="2" t="s">
        <v>11296</v>
      </c>
      <c r="C5298" s="2" t="s">
        <v>2242</v>
      </c>
      <c r="D5298" s="2" t="s">
        <v>11295</v>
      </c>
      <c r="E5298" s="2"/>
      <c r="F5298" s="2" t="str">
        <f>"9788024458397"</f>
        <v>9788024458397</v>
      </c>
    </row>
    <row r="5299" spans="1:6" s="3" customFormat="1" ht="29.1" customHeight="1" x14ac:dyDescent="0.25">
      <c r="A5299" s="2" t="s">
        <v>11297</v>
      </c>
      <c r="B5299" s="2" t="s">
        <v>11298</v>
      </c>
      <c r="C5299" s="2" t="s">
        <v>2242</v>
      </c>
      <c r="D5299" s="2" t="s">
        <v>504</v>
      </c>
      <c r="E5299" s="2"/>
      <c r="F5299" s="2" t="str">
        <f>"9788024458052"</f>
        <v>9788024458052</v>
      </c>
    </row>
    <row r="5300" spans="1:6" s="3" customFormat="1" ht="29.1" customHeight="1" x14ac:dyDescent="0.25">
      <c r="A5300" s="2" t="s">
        <v>11299</v>
      </c>
      <c r="B5300" s="2" t="s">
        <v>11293</v>
      </c>
      <c r="C5300" s="2" t="s">
        <v>2242</v>
      </c>
      <c r="D5300" s="2" t="s">
        <v>60</v>
      </c>
      <c r="E5300" s="2"/>
      <c r="F5300" s="2" t="str">
        <f>"9788024457437"</f>
        <v>9788024457437</v>
      </c>
    </row>
    <row r="5301" spans="1:6" s="3" customFormat="1" ht="29.1" customHeight="1" x14ac:dyDescent="0.25">
      <c r="A5301" s="2" t="s">
        <v>11300</v>
      </c>
      <c r="B5301" s="2" t="s">
        <v>11301</v>
      </c>
      <c r="C5301" s="2" t="s">
        <v>2242</v>
      </c>
      <c r="D5301" s="2" t="s">
        <v>2770</v>
      </c>
      <c r="E5301" s="2"/>
      <c r="F5301" s="2" t="str">
        <f>"9788024459424"</f>
        <v>9788024459424</v>
      </c>
    </row>
    <row r="5302" spans="1:6" s="3" customFormat="1" ht="29.1" customHeight="1" x14ac:dyDescent="0.25">
      <c r="A5302" s="2" t="s">
        <v>11302</v>
      </c>
      <c r="B5302" s="2" t="s">
        <v>11303</v>
      </c>
      <c r="C5302" s="2" t="s">
        <v>2242</v>
      </c>
      <c r="D5302" s="2" t="s">
        <v>8941</v>
      </c>
      <c r="E5302" s="2"/>
      <c r="F5302" s="2" t="str">
        <f>"9788024462684"</f>
        <v>9788024462684</v>
      </c>
    </row>
    <row r="5303" spans="1:6" s="3" customFormat="1" ht="29.1" customHeight="1" x14ac:dyDescent="0.25">
      <c r="A5303" s="2" t="s">
        <v>11304</v>
      </c>
      <c r="B5303" s="2" t="s">
        <v>11305</v>
      </c>
      <c r="C5303" s="2" t="s">
        <v>2242</v>
      </c>
      <c r="D5303" s="2" t="s">
        <v>7180</v>
      </c>
      <c r="E5303" s="2"/>
      <c r="F5303" s="2" t="str">
        <f>"9788024456447"</f>
        <v>9788024456447</v>
      </c>
    </row>
    <row r="5304" spans="1:6" s="3" customFormat="1" ht="29.1" customHeight="1" x14ac:dyDescent="0.25">
      <c r="A5304" s="2" t="s">
        <v>11306</v>
      </c>
      <c r="B5304" s="2" t="s">
        <v>11308</v>
      </c>
      <c r="C5304" s="2" t="s">
        <v>2242</v>
      </c>
      <c r="D5304" s="2" t="s">
        <v>11307</v>
      </c>
      <c r="E5304" s="2"/>
      <c r="F5304" s="2" t="str">
        <f>"9788024464046"</f>
        <v>9788024464046</v>
      </c>
    </row>
    <row r="5305" spans="1:6" s="3" customFormat="1" ht="29.1" customHeight="1" x14ac:dyDescent="0.25">
      <c r="A5305" s="2" t="s">
        <v>11309</v>
      </c>
      <c r="B5305" s="2" t="s">
        <v>11311</v>
      </c>
      <c r="C5305" s="2" t="s">
        <v>2242</v>
      </c>
      <c r="D5305" s="2" t="s">
        <v>11310</v>
      </c>
      <c r="E5305" s="2" t="str">
        <f>"9788024464947"</f>
        <v>9788024464947</v>
      </c>
      <c r="F5305" s="2" t="str">
        <f>"9788024464954"</f>
        <v>9788024464954</v>
      </c>
    </row>
    <row r="5306" spans="1:6" s="3" customFormat="1" ht="29.1" customHeight="1" x14ac:dyDescent="0.25">
      <c r="A5306" s="2" t="s">
        <v>11312</v>
      </c>
      <c r="B5306" s="2" t="s">
        <v>11313</v>
      </c>
      <c r="C5306" s="2" t="s">
        <v>149</v>
      </c>
      <c r="D5306" s="2" t="s">
        <v>468</v>
      </c>
      <c r="E5306" s="2" t="str">
        <f>"9781685711528"</f>
        <v>9781685711528</v>
      </c>
      <c r="F5306" s="2" t="str">
        <f>"9781685711535"</f>
        <v>9781685711535</v>
      </c>
    </row>
    <row r="5307" spans="1:6" s="3" customFormat="1" ht="29.1" customHeight="1" x14ac:dyDescent="0.25">
      <c r="A5307" s="2" t="s">
        <v>11314</v>
      </c>
      <c r="B5307" s="2" t="s">
        <v>11315</v>
      </c>
      <c r="C5307" s="2" t="s">
        <v>149</v>
      </c>
      <c r="D5307" s="2" t="s">
        <v>9113</v>
      </c>
      <c r="E5307" s="2" t="str">
        <f>"9781685711948"</f>
        <v>9781685711948</v>
      </c>
      <c r="F5307" s="2" t="str">
        <f>"9781685711955"</f>
        <v>9781685711955</v>
      </c>
    </row>
    <row r="5308" spans="1:6" s="3" customFormat="1" ht="29.1" customHeight="1" x14ac:dyDescent="0.25">
      <c r="A5308" s="2" t="s">
        <v>11316</v>
      </c>
      <c r="B5308" s="2" t="s">
        <v>523</v>
      </c>
      <c r="C5308" s="2" t="s">
        <v>149</v>
      </c>
      <c r="D5308" s="2" t="s">
        <v>522</v>
      </c>
      <c r="E5308" s="2" t="str">
        <f>"9781685710781"</f>
        <v>9781685710781</v>
      </c>
      <c r="F5308" s="2" t="str">
        <f>"9781685710798"</f>
        <v>9781685710798</v>
      </c>
    </row>
    <row r="5309" spans="1:6" s="3" customFormat="1" ht="29.1" customHeight="1" x14ac:dyDescent="0.25">
      <c r="A5309" s="2" t="s">
        <v>11317</v>
      </c>
      <c r="B5309" s="2" t="s">
        <v>11318</v>
      </c>
      <c r="C5309" s="2" t="s">
        <v>149</v>
      </c>
      <c r="D5309" s="2" t="s">
        <v>8647</v>
      </c>
      <c r="E5309" s="2" t="str">
        <f>"9781685711443"</f>
        <v>9781685711443</v>
      </c>
      <c r="F5309" s="2" t="str">
        <f>"9781685711450"</f>
        <v>9781685711450</v>
      </c>
    </row>
    <row r="5310" spans="1:6" s="3" customFormat="1" ht="29.1" customHeight="1" x14ac:dyDescent="0.25">
      <c r="A5310" s="2" t="s">
        <v>11319</v>
      </c>
      <c r="B5310" s="2" t="s">
        <v>11320</v>
      </c>
      <c r="C5310" s="2" t="s">
        <v>149</v>
      </c>
      <c r="D5310" s="2" t="s">
        <v>4294</v>
      </c>
      <c r="E5310" s="2" t="str">
        <f>"9781685711269"</f>
        <v>9781685711269</v>
      </c>
      <c r="F5310" s="2" t="str">
        <f>"9781685711276"</f>
        <v>9781685711276</v>
      </c>
    </row>
    <row r="5311" spans="1:6" s="3" customFormat="1" ht="29.1" customHeight="1" x14ac:dyDescent="0.25">
      <c r="A5311" s="2" t="s">
        <v>11321</v>
      </c>
      <c r="B5311" s="2" t="s">
        <v>11322</v>
      </c>
      <c r="C5311" s="2" t="s">
        <v>149</v>
      </c>
      <c r="D5311" s="2" t="s">
        <v>636</v>
      </c>
      <c r="E5311" s="2" t="str">
        <f>"9781685711726"</f>
        <v>9781685711726</v>
      </c>
      <c r="F5311" s="2" t="str">
        <f>"9781685711733"</f>
        <v>9781685711733</v>
      </c>
    </row>
    <row r="5312" spans="1:6" s="3" customFormat="1" ht="29.1" customHeight="1" x14ac:dyDescent="0.25">
      <c r="A5312" s="2" t="s">
        <v>11323</v>
      </c>
      <c r="B5312" s="2" t="s">
        <v>11324</v>
      </c>
      <c r="C5312" s="2" t="s">
        <v>149</v>
      </c>
      <c r="D5312" s="2" t="s">
        <v>1262</v>
      </c>
      <c r="E5312" s="2" t="str">
        <f>"9781685711429"</f>
        <v>9781685711429</v>
      </c>
      <c r="F5312" s="2" t="str">
        <f>"9781685711436"</f>
        <v>9781685711436</v>
      </c>
    </row>
    <row r="5313" spans="1:6" s="3" customFormat="1" ht="29.1" customHeight="1" x14ac:dyDescent="0.25">
      <c r="A5313" s="2" t="s">
        <v>11325</v>
      </c>
      <c r="B5313" s="2" t="s">
        <v>11326</v>
      </c>
      <c r="C5313" s="2" t="s">
        <v>149</v>
      </c>
      <c r="D5313" s="2" t="s">
        <v>4582</v>
      </c>
      <c r="E5313" s="2" t="str">
        <f>"9781685711603"</f>
        <v>9781685711603</v>
      </c>
      <c r="F5313" s="2" t="str">
        <f>"9781685711610"</f>
        <v>9781685711610</v>
      </c>
    </row>
    <row r="5314" spans="1:6" s="3" customFormat="1" ht="29.1" customHeight="1" x14ac:dyDescent="0.25">
      <c r="A5314" s="2" t="s">
        <v>11327</v>
      </c>
      <c r="B5314" s="2" t="s">
        <v>11328</v>
      </c>
      <c r="C5314" s="2" t="s">
        <v>149</v>
      </c>
      <c r="D5314" s="2" t="s">
        <v>162</v>
      </c>
      <c r="E5314" s="2" t="str">
        <f>"9781685711641"</f>
        <v>9781685711641</v>
      </c>
      <c r="F5314" s="2" t="str">
        <f>"9781685711658"</f>
        <v>9781685711658</v>
      </c>
    </row>
    <row r="5315" spans="1:6" s="3" customFormat="1" ht="29.1" customHeight="1" x14ac:dyDescent="0.25">
      <c r="A5315" s="2" t="s">
        <v>11329</v>
      </c>
      <c r="B5315" s="2" t="s">
        <v>11331</v>
      </c>
      <c r="C5315" s="2" t="s">
        <v>149</v>
      </c>
      <c r="D5315" s="2" t="s">
        <v>11330</v>
      </c>
      <c r="E5315" s="2" t="str">
        <f>"9781685712204"</f>
        <v>9781685712204</v>
      </c>
      <c r="F5315" s="2" t="str">
        <f>"9781685712211"</f>
        <v>9781685712211</v>
      </c>
    </row>
    <row r="5316" spans="1:6" s="3" customFormat="1" ht="29.1" customHeight="1" x14ac:dyDescent="0.25">
      <c r="A5316" s="2" t="s">
        <v>11332</v>
      </c>
      <c r="B5316" s="2" t="s">
        <v>11333</v>
      </c>
      <c r="C5316" s="2" t="s">
        <v>149</v>
      </c>
      <c r="D5316" s="2" t="s">
        <v>4657</v>
      </c>
      <c r="E5316" s="2" t="str">
        <f>"9781685712105"</f>
        <v>9781685712105</v>
      </c>
      <c r="F5316" s="2" t="str">
        <f>"9781685712112"</f>
        <v>9781685712112</v>
      </c>
    </row>
    <row r="5317" spans="1:6" s="3" customFormat="1" ht="29.1" customHeight="1" x14ac:dyDescent="0.25">
      <c r="A5317" s="2" t="s">
        <v>11334</v>
      </c>
      <c r="B5317" s="2" t="s">
        <v>11335</v>
      </c>
      <c r="C5317" s="2" t="s">
        <v>149</v>
      </c>
      <c r="D5317" s="2" t="s">
        <v>405</v>
      </c>
      <c r="E5317" s="2" t="str">
        <f>"9781685711481"</f>
        <v>9781685711481</v>
      </c>
      <c r="F5317" s="2" t="str">
        <f>"9781685711498"</f>
        <v>9781685711498</v>
      </c>
    </row>
    <row r="5318" spans="1:6" s="3" customFormat="1" ht="29.1" customHeight="1" x14ac:dyDescent="0.25">
      <c r="A5318" s="2" t="s">
        <v>11336</v>
      </c>
      <c r="B5318" s="2" t="s">
        <v>11337</v>
      </c>
      <c r="C5318" s="2" t="s">
        <v>239</v>
      </c>
      <c r="D5318" s="2" t="s">
        <v>6559</v>
      </c>
      <c r="E5318" s="2" t="str">
        <f>"9780520402843"</f>
        <v>9780520402843</v>
      </c>
      <c r="F5318" s="2" t="str">
        <f>"9780520402850"</f>
        <v>9780520402850</v>
      </c>
    </row>
    <row r="5319" spans="1:6" s="3" customFormat="1" ht="29.1" customHeight="1" x14ac:dyDescent="0.25">
      <c r="A5319" s="2" t="s">
        <v>11338</v>
      </c>
      <c r="B5319" s="2" t="s">
        <v>11339</v>
      </c>
      <c r="C5319" s="2" t="s">
        <v>29</v>
      </c>
      <c r="D5319" s="2" t="s">
        <v>33</v>
      </c>
      <c r="E5319" s="2" t="str">
        <f>"9789004710887"</f>
        <v>9789004710887</v>
      </c>
      <c r="F5319" s="2" t="str">
        <f>"9789004710894"</f>
        <v>9789004710894</v>
      </c>
    </row>
    <row r="5320" spans="1:6" s="3" customFormat="1" ht="29.1" customHeight="1" x14ac:dyDescent="0.25">
      <c r="A5320" s="2" t="s">
        <v>11340</v>
      </c>
      <c r="B5320" s="2" t="s">
        <v>11341</v>
      </c>
      <c r="C5320" s="2" t="s">
        <v>29</v>
      </c>
      <c r="D5320" s="2" t="s">
        <v>4117</v>
      </c>
      <c r="E5320" s="2" t="str">
        <f>"9789004694620"</f>
        <v>9789004694620</v>
      </c>
      <c r="F5320" s="2" t="str">
        <f>"9789004694637"</f>
        <v>9789004694637</v>
      </c>
    </row>
    <row r="5321" spans="1:6" s="3" customFormat="1" ht="29.1" customHeight="1" x14ac:dyDescent="0.25">
      <c r="A5321" s="2" t="s">
        <v>11342</v>
      </c>
      <c r="B5321" s="2" t="s">
        <v>11343</v>
      </c>
      <c r="C5321" s="2" t="s">
        <v>5</v>
      </c>
      <c r="D5321" s="2" t="s">
        <v>479</v>
      </c>
      <c r="E5321" s="2" t="str">
        <f>"9783031609855"</f>
        <v>9783031609855</v>
      </c>
      <c r="F5321" s="2" t="str">
        <f>"9783031609862"</f>
        <v>9783031609862</v>
      </c>
    </row>
    <row r="5322" spans="1:6" s="3" customFormat="1" ht="29.1" customHeight="1" x14ac:dyDescent="0.25">
      <c r="A5322" s="2" t="s">
        <v>11344</v>
      </c>
      <c r="B5322" s="2" t="s">
        <v>11345</v>
      </c>
      <c r="C5322" s="2" t="s">
        <v>5</v>
      </c>
      <c r="D5322" s="2" t="s">
        <v>78</v>
      </c>
      <c r="E5322" s="2" t="str">
        <f>"9783031698071"</f>
        <v>9783031698071</v>
      </c>
      <c r="F5322" s="2" t="str">
        <f>"9783031698088"</f>
        <v>9783031698088</v>
      </c>
    </row>
    <row r="5323" spans="1:6" s="3" customFormat="1" ht="29.1" customHeight="1" x14ac:dyDescent="0.25">
      <c r="A5323" s="2" t="s">
        <v>11346</v>
      </c>
      <c r="B5323" s="2" t="s">
        <v>11347</v>
      </c>
      <c r="C5323" s="2" t="s">
        <v>29</v>
      </c>
      <c r="D5323" s="2" t="s">
        <v>3185</v>
      </c>
      <c r="E5323" s="2" t="str">
        <f>"9789004536739"</f>
        <v>9789004536739</v>
      </c>
      <c r="F5323" s="2" t="str">
        <f>"9789004703759"</f>
        <v>9789004703759</v>
      </c>
    </row>
    <row r="5324" spans="1:6" s="3" customFormat="1" ht="29.1" customHeight="1" x14ac:dyDescent="0.25">
      <c r="A5324" s="2" t="s">
        <v>11348</v>
      </c>
      <c r="B5324" s="2" t="s">
        <v>11349</v>
      </c>
      <c r="C5324" s="2" t="s">
        <v>124</v>
      </c>
      <c r="D5324" s="2" t="s">
        <v>459</v>
      </c>
      <c r="E5324" s="2" t="str">
        <f>"9781032719160"</f>
        <v>9781032719160</v>
      </c>
      <c r="F5324" s="2" t="str">
        <f>"9781040314821"</f>
        <v>9781040314821</v>
      </c>
    </row>
    <row r="5325" spans="1:6" s="3" customFormat="1" ht="29.1" customHeight="1" x14ac:dyDescent="0.25">
      <c r="A5325" s="2" t="s">
        <v>11350</v>
      </c>
      <c r="B5325" s="2" t="s">
        <v>11351</v>
      </c>
      <c r="C5325" s="2" t="s">
        <v>124</v>
      </c>
      <c r="D5325" s="2" t="s">
        <v>189</v>
      </c>
      <c r="E5325" s="2" t="str">
        <f>"9781032943794"</f>
        <v>9781032943794</v>
      </c>
      <c r="F5325" s="2" t="str">
        <f>"9781040315002"</f>
        <v>9781040315002</v>
      </c>
    </row>
    <row r="5326" spans="1:6" s="3" customFormat="1" ht="29.1" customHeight="1" x14ac:dyDescent="0.25">
      <c r="A5326" s="2" t="s">
        <v>11352</v>
      </c>
      <c r="B5326" s="2" t="s">
        <v>13</v>
      </c>
      <c r="C5326" s="2" t="s">
        <v>5</v>
      </c>
      <c r="D5326" s="2" t="s">
        <v>12</v>
      </c>
      <c r="E5326" s="2" t="str">
        <f>"9789819742301"</f>
        <v>9789819742301</v>
      </c>
      <c r="F5326" s="2" t="str">
        <f>"9789819742318"</f>
        <v>9789819742318</v>
      </c>
    </row>
    <row r="5327" spans="1:6" s="3" customFormat="1" ht="29.1" customHeight="1" x14ac:dyDescent="0.25">
      <c r="A5327" s="2" t="s">
        <v>11353</v>
      </c>
      <c r="B5327" s="2" t="s">
        <v>11354</v>
      </c>
      <c r="C5327" s="2" t="s">
        <v>124</v>
      </c>
      <c r="D5327" s="2" t="s">
        <v>712</v>
      </c>
      <c r="E5327" s="2" t="str">
        <f>"9781032756011"</f>
        <v>9781032756011</v>
      </c>
      <c r="F5327" s="2" t="str">
        <f>"9781040319192"</f>
        <v>9781040319192</v>
      </c>
    </row>
    <row r="5328" spans="1:6" s="3" customFormat="1" ht="29.1" customHeight="1" x14ac:dyDescent="0.25">
      <c r="A5328" s="2" t="s">
        <v>11355</v>
      </c>
      <c r="B5328" s="2" t="s">
        <v>11356</v>
      </c>
      <c r="C5328" s="2" t="s">
        <v>149</v>
      </c>
      <c r="D5328" s="2" t="s">
        <v>2016</v>
      </c>
      <c r="E5328" s="2" t="str">
        <f>"9781928502951"</f>
        <v>9781928502951</v>
      </c>
      <c r="F5328" s="2" t="str">
        <f>"9781928502982"</f>
        <v>9781928502982</v>
      </c>
    </row>
    <row r="5329" spans="1:6" s="3" customFormat="1" ht="29.1" customHeight="1" x14ac:dyDescent="0.25">
      <c r="A5329" s="2" t="s">
        <v>11357</v>
      </c>
      <c r="B5329" s="2" t="s">
        <v>11358</v>
      </c>
      <c r="C5329" s="2" t="s">
        <v>950</v>
      </c>
      <c r="D5329" s="2" t="s">
        <v>490</v>
      </c>
      <c r="E5329" s="2"/>
      <c r="F5329" s="2" t="str">
        <f>"9788411229289"</f>
        <v>9788411229289</v>
      </c>
    </row>
    <row r="5330" spans="1:6" s="3" customFormat="1" ht="29.1" customHeight="1" x14ac:dyDescent="0.25">
      <c r="A5330" s="2" t="s">
        <v>11359</v>
      </c>
      <c r="B5330" s="2" t="s">
        <v>11360</v>
      </c>
      <c r="C5330" s="2" t="s">
        <v>950</v>
      </c>
      <c r="D5330" s="2" t="s">
        <v>490</v>
      </c>
      <c r="E5330" s="2"/>
      <c r="F5330" s="2" t="str">
        <f>"9788410705739"</f>
        <v>9788410705739</v>
      </c>
    </row>
    <row r="5331" spans="1:6" s="3" customFormat="1" ht="29.1" customHeight="1" x14ac:dyDescent="0.25">
      <c r="A5331" s="2" t="s">
        <v>11361</v>
      </c>
      <c r="B5331" s="2" t="s">
        <v>11362</v>
      </c>
      <c r="C5331" s="2" t="s">
        <v>950</v>
      </c>
      <c r="D5331" s="2" t="s">
        <v>490</v>
      </c>
      <c r="E5331" s="2"/>
      <c r="F5331" s="2" t="str">
        <f>"9788410705272"</f>
        <v>9788410705272</v>
      </c>
    </row>
    <row r="5332" spans="1:6" s="3" customFormat="1" ht="29.1" customHeight="1" x14ac:dyDescent="0.25">
      <c r="A5332" s="2" t="s">
        <v>11363</v>
      </c>
      <c r="B5332" s="2" t="s">
        <v>11364</v>
      </c>
      <c r="C5332" s="2" t="s">
        <v>149</v>
      </c>
      <c r="D5332" s="2" t="s">
        <v>903</v>
      </c>
      <c r="E5332" s="2" t="str">
        <f>"9781805113508"</f>
        <v>9781805113508</v>
      </c>
      <c r="F5332" s="2" t="str">
        <f>"9781805113522"</f>
        <v>9781805113522</v>
      </c>
    </row>
    <row r="5333" spans="1:6" s="3" customFormat="1" ht="29.1" customHeight="1" x14ac:dyDescent="0.25">
      <c r="A5333" s="2" t="s">
        <v>11365</v>
      </c>
      <c r="B5333" s="2" t="s">
        <v>5044</v>
      </c>
      <c r="C5333" s="2" t="s">
        <v>149</v>
      </c>
      <c r="D5333" s="2" t="s">
        <v>3430</v>
      </c>
      <c r="E5333" s="2" t="str">
        <f>"9781805113409"</f>
        <v>9781805113409</v>
      </c>
      <c r="F5333" s="2" t="str">
        <f>"9781805113423"</f>
        <v>9781805113423</v>
      </c>
    </row>
    <row r="5334" spans="1:6" s="3" customFormat="1" ht="29.1" customHeight="1" x14ac:dyDescent="0.25">
      <c r="A5334" s="2" t="s">
        <v>11366</v>
      </c>
      <c r="B5334" s="2" t="s">
        <v>11367</v>
      </c>
      <c r="C5334" s="2" t="s">
        <v>149</v>
      </c>
      <c r="D5334" s="2" t="s">
        <v>436</v>
      </c>
      <c r="E5334" s="2" t="str">
        <f>"9781800649972"</f>
        <v>9781800649972</v>
      </c>
      <c r="F5334" s="2" t="str">
        <f>"9781800649996"</f>
        <v>9781800649996</v>
      </c>
    </row>
    <row r="5335" spans="1:6" s="3" customFormat="1" ht="29.1" customHeight="1" x14ac:dyDescent="0.25">
      <c r="A5335" s="2" t="s">
        <v>11368</v>
      </c>
      <c r="B5335" s="2" t="s">
        <v>11369</v>
      </c>
      <c r="C5335" s="2" t="s">
        <v>950</v>
      </c>
      <c r="D5335" s="2" t="s">
        <v>75</v>
      </c>
      <c r="E5335" s="2"/>
      <c r="F5335" s="2" t="str">
        <f>"9788411709439"</f>
        <v>9788411709439</v>
      </c>
    </row>
    <row r="5336" spans="1:6" s="3" customFormat="1" ht="29.1" customHeight="1" x14ac:dyDescent="0.25">
      <c r="A5336" s="2" t="s">
        <v>11370</v>
      </c>
      <c r="B5336" s="2" t="s">
        <v>11371</v>
      </c>
      <c r="C5336" s="2" t="s">
        <v>950</v>
      </c>
      <c r="D5336" s="2" t="s">
        <v>3203</v>
      </c>
      <c r="E5336" s="2"/>
      <c r="F5336" s="2" t="str">
        <f>"9788411709378"</f>
        <v>9788411709378</v>
      </c>
    </row>
    <row r="5337" spans="1:6" s="3" customFormat="1" ht="29.1" customHeight="1" x14ac:dyDescent="0.25">
      <c r="A5337" s="2" t="s">
        <v>11372</v>
      </c>
      <c r="B5337" s="2" t="s">
        <v>11373</v>
      </c>
      <c r="C5337" s="2" t="s">
        <v>950</v>
      </c>
      <c r="D5337" s="2" t="s">
        <v>6559</v>
      </c>
      <c r="E5337" s="2"/>
      <c r="F5337" s="2" t="str">
        <f>"9788411709361"</f>
        <v>9788411709361</v>
      </c>
    </row>
    <row r="5338" spans="1:6" s="3" customFormat="1" ht="29.1" customHeight="1" x14ac:dyDescent="0.25">
      <c r="A5338" s="2" t="s">
        <v>11374</v>
      </c>
      <c r="B5338" s="2" t="s">
        <v>11375</v>
      </c>
      <c r="C5338" s="2" t="s">
        <v>950</v>
      </c>
      <c r="D5338" s="2" t="s">
        <v>52</v>
      </c>
      <c r="E5338" s="2"/>
      <c r="F5338" s="2" t="str">
        <f>"9788411709354"</f>
        <v>9788411709354</v>
      </c>
    </row>
    <row r="5339" spans="1:6" s="3" customFormat="1" ht="29.1" customHeight="1" x14ac:dyDescent="0.25">
      <c r="A5339" s="2" t="s">
        <v>11376</v>
      </c>
      <c r="B5339" s="2" t="s">
        <v>11377</v>
      </c>
      <c r="C5339" s="2" t="s">
        <v>950</v>
      </c>
      <c r="D5339" s="2" t="s">
        <v>490</v>
      </c>
      <c r="E5339" s="2"/>
      <c r="F5339" s="2" t="str">
        <f>"9788411709293"</f>
        <v>9788411709293</v>
      </c>
    </row>
    <row r="5340" spans="1:6" s="3" customFormat="1" ht="29.1" customHeight="1" x14ac:dyDescent="0.25">
      <c r="A5340" s="2" t="s">
        <v>11378</v>
      </c>
      <c r="B5340" s="2" t="s">
        <v>11379</v>
      </c>
      <c r="C5340" s="2" t="s">
        <v>950</v>
      </c>
      <c r="D5340" s="2" t="s">
        <v>52</v>
      </c>
      <c r="E5340" s="2"/>
      <c r="F5340" s="2" t="str">
        <f>"9788411709286"</f>
        <v>9788411709286</v>
      </c>
    </row>
    <row r="5341" spans="1:6" s="3" customFormat="1" ht="29.1" customHeight="1" x14ac:dyDescent="0.25">
      <c r="A5341" s="2" t="s">
        <v>11380</v>
      </c>
      <c r="B5341" s="2" t="s">
        <v>11381</v>
      </c>
      <c r="C5341" s="2" t="s">
        <v>950</v>
      </c>
      <c r="D5341" s="2" t="s">
        <v>5099</v>
      </c>
      <c r="E5341" s="2"/>
      <c r="F5341" s="2" t="str">
        <f>"9788411709194"</f>
        <v>9788411709194</v>
      </c>
    </row>
    <row r="5342" spans="1:6" s="3" customFormat="1" ht="29.1" customHeight="1" x14ac:dyDescent="0.25">
      <c r="A5342" s="2" t="s">
        <v>11382</v>
      </c>
      <c r="B5342" s="2" t="s">
        <v>11383</v>
      </c>
      <c r="C5342" s="2" t="s">
        <v>950</v>
      </c>
      <c r="D5342" s="2" t="s">
        <v>52</v>
      </c>
      <c r="E5342" s="2"/>
      <c r="F5342" s="2" t="str">
        <f>"9788411707695"</f>
        <v>9788411707695</v>
      </c>
    </row>
    <row r="5343" spans="1:6" s="3" customFormat="1" ht="29.1" customHeight="1" x14ac:dyDescent="0.25">
      <c r="A5343" s="2" t="s">
        <v>11384</v>
      </c>
      <c r="B5343" s="2" t="s">
        <v>11385</v>
      </c>
      <c r="C5343" s="2" t="s">
        <v>950</v>
      </c>
      <c r="D5343" s="2" t="s">
        <v>490</v>
      </c>
      <c r="E5343" s="2"/>
      <c r="F5343" s="2" t="str">
        <f>"9788411707688"</f>
        <v>9788411707688</v>
      </c>
    </row>
    <row r="5344" spans="1:6" s="3" customFormat="1" ht="29.1" customHeight="1" x14ac:dyDescent="0.25">
      <c r="A5344" s="2" t="s">
        <v>11386</v>
      </c>
      <c r="B5344" s="2" t="s">
        <v>11387</v>
      </c>
      <c r="C5344" s="2" t="s">
        <v>950</v>
      </c>
      <c r="D5344" s="2" t="s">
        <v>52</v>
      </c>
      <c r="E5344" s="2"/>
      <c r="F5344" s="2" t="str">
        <f>"9788411707664"</f>
        <v>9788411707664</v>
      </c>
    </row>
    <row r="5345" spans="1:6" s="3" customFormat="1" ht="29.1" customHeight="1" x14ac:dyDescent="0.25">
      <c r="A5345" s="2" t="s">
        <v>11388</v>
      </c>
      <c r="B5345" s="2" t="s">
        <v>11389</v>
      </c>
      <c r="C5345" s="2" t="s">
        <v>950</v>
      </c>
      <c r="D5345" s="2" t="s">
        <v>712</v>
      </c>
      <c r="E5345" s="2"/>
      <c r="F5345" s="2" t="str">
        <f>"9788411707657"</f>
        <v>9788411707657</v>
      </c>
    </row>
    <row r="5346" spans="1:6" s="3" customFormat="1" ht="29.1" customHeight="1" x14ac:dyDescent="0.25">
      <c r="A5346" s="2" t="s">
        <v>11390</v>
      </c>
      <c r="B5346" s="2" t="s">
        <v>11391</v>
      </c>
      <c r="C5346" s="2" t="s">
        <v>950</v>
      </c>
      <c r="D5346" s="2" t="s">
        <v>712</v>
      </c>
      <c r="E5346" s="2"/>
      <c r="F5346" s="2" t="str">
        <f>"9788411707640"</f>
        <v>9788411707640</v>
      </c>
    </row>
    <row r="5347" spans="1:6" s="3" customFormat="1" ht="29.1" customHeight="1" x14ac:dyDescent="0.25">
      <c r="A5347" s="2" t="s">
        <v>11392</v>
      </c>
      <c r="B5347" s="2" t="s">
        <v>11393</v>
      </c>
      <c r="C5347" s="2" t="s">
        <v>950</v>
      </c>
      <c r="D5347" s="2" t="s">
        <v>52</v>
      </c>
      <c r="E5347" s="2"/>
      <c r="F5347" s="2" t="str">
        <f>"9788411707633"</f>
        <v>9788411707633</v>
      </c>
    </row>
    <row r="5348" spans="1:6" s="3" customFormat="1" ht="29.1" customHeight="1" x14ac:dyDescent="0.25">
      <c r="A5348" s="2" t="s">
        <v>11394</v>
      </c>
      <c r="B5348" s="2" t="s">
        <v>11395</v>
      </c>
      <c r="C5348" s="2" t="s">
        <v>950</v>
      </c>
      <c r="D5348" s="2" t="s">
        <v>5231</v>
      </c>
      <c r="E5348" s="2"/>
      <c r="F5348" s="2" t="str">
        <f>"9788410706644"</f>
        <v>9788410706644</v>
      </c>
    </row>
    <row r="5349" spans="1:6" s="3" customFormat="1" ht="29.1" customHeight="1" x14ac:dyDescent="0.25">
      <c r="A5349" s="2" t="s">
        <v>11396</v>
      </c>
      <c r="B5349" s="2" t="s">
        <v>11397</v>
      </c>
      <c r="C5349" s="2" t="s">
        <v>950</v>
      </c>
      <c r="D5349" s="2" t="s">
        <v>490</v>
      </c>
      <c r="E5349" s="2" t="str">
        <f>"9788410706859"</f>
        <v>9788410706859</v>
      </c>
      <c r="F5349" s="2" t="str">
        <f>"9788410706521"</f>
        <v>9788410706521</v>
      </c>
    </row>
    <row r="5350" spans="1:6" s="3" customFormat="1" ht="29.1" customHeight="1" x14ac:dyDescent="0.25">
      <c r="A5350" s="2" t="s">
        <v>11398</v>
      </c>
      <c r="B5350" s="2" t="s">
        <v>11400</v>
      </c>
      <c r="C5350" s="2" t="s">
        <v>950</v>
      </c>
      <c r="D5350" s="2" t="s">
        <v>11399</v>
      </c>
      <c r="E5350" s="2"/>
      <c r="F5350" s="2" t="str">
        <f>"9788410706170"</f>
        <v>9788410706170</v>
      </c>
    </row>
    <row r="5351" spans="1:6" s="3" customFormat="1" ht="29.1" customHeight="1" x14ac:dyDescent="0.25">
      <c r="A5351" s="2" t="s">
        <v>11401</v>
      </c>
      <c r="B5351" s="2" t="s">
        <v>11403</v>
      </c>
      <c r="C5351" s="2" t="s">
        <v>950</v>
      </c>
      <c r="D5351" s="2" t="s">
        <v>11402</v>
      </c>
      <c r="E5351" s="2"/>
      <c r="F5351" s="2" t="str">
        <f>"9788410705753"</f>
        <v>9788410705753</v>
      </c>
    </row>
    <row r="5352" spans="1:6" s="3" customFormat="1" ht="29.1" customHeight="1" x14ac:dyDescent="0.25">
      <c r="A5352" s="2" t="s">
        <v>11404</v>
      </c>
      <c r="B5352" s="2" t="s">
        <v>11405</v>
      </c>
      <c r="C5352" s="2" t="s">
        <v>950</v>
      </c>
      <c r="D5352" s="2" t="s">
        <v>165</v>
      </c>
      <c r="E5352" s="2"/>
      <c r="F5352" s="2" t="str">
        <f>"9788410705357"</f>
        <v>9788410705357</v>
      </c>
    </row>
    <row r="5353" spans="1:6" s="3" customFormat="1" ht="29.1" customHeight="1" x14ac:dyDescent="0.25">
      <c r="A5353" s="2" t="s">
        <v>11406</v>
      </c>
      <c r="B5353" s="2" t="s">
        <v>11407</v>
      </c>
      <c r="C5353" s="2" t="s">
        <v>950</v>
      </c>
      <c r="D5353" s="2" t="s">
        <v>2551</v>
      </c>
      <c r="E5353" s="2"/>
      <c r="F5353" s="2" t="str">
        <f>"9788410705203"</f>
        <v>9788410705203</v>
      </c>
    </row>
    <row r="5354" spans="1:6" s="3" customFormat="1" ht="29.1" customHeight="1" x14ac:dyDescent="0.25">
      <c r="A5354" s="2" t="s">
        <v>11408</v>
      </c>
      <c r="B5354" s="2" t="s">
        <v>7217</v>
      </c>
      <c r="C5354" s="2" t="s">
        <v>950</v>
      </c>
      <c r="D5354" s="2" t="s">
        <v>11409</v>
      </c>
      <c r="E5354" s="2"/>
      <c r="F5354" s="2" t="str">
        <f>"9788410705197"</f>
        <v>9788410705197</v>
      </c>
    </row>
    <row r="5355" spans="1:6" s="3" customFormat="1" ht="29.1" customHeight="1" x14ac:dyDescent="0.25">
      <c r="A5355" s="2" t="s">
        <v>11410</v>
      </c>
      <c r="B5355" s="2" t="s">
        <v>11412</v>
      </c>
      <c r="C5355" s="2" t="s">
        <v>950</v>
      </c>
      <c r="D5355" s="2" t="s">
        <v>11411</v>
      </c>
      <c r="E5355" s="2"/>
      <c r="F5355" s="2" t="str">
        <f>"9788410704848"</f>
        <v>9788410704848</v>
      </c>
    </row>
    <row r="5356" spans="1:6" s="3" customFormat="1" ht="29.1" customHeight="1" x14ac:dyDescent="0.25">
      <c r="A5356" s="2" t="s">
        <v>11413</v>
      </c>
      <c r="B5356" s="2" t="s">
        <v>11414</v>
      </c>
      <c r="C5356" s="2" t="s">
        <v>950</v>
      </c>
      <c r="D5356" s="2" t="s">
        <v>965</v>
      </c>
      <c r="E5356" s="2"/>
      <c r="F5356" s="2" t="str">
        <f>"9788410704411"</f>
        <v>9788410704411</v>
      </c>
    </row>
    <row r="5357" spans="1:6" s="3" customFormat="1" ht="29.1" customHeight="1" x14ac:dyDescent="0.25">
      <c r="A5357" s="2" t="s">
        <v>11415</v>
      </c>
      <c r="B5357" s="2" t="s">
        <v>3952</v>
      </c>
      <c r="C5357" s="2" t="s">
        <v>950</v>
      </c>
      <c r="D5357" s="2" t="s">
        <v>11416</v>
      </c>
      <c r="E5357" s="2"/>
      <c r="F5357" s="2" t="str">
        <f>"9788410704398"</f>
        <v>9788410704398</v>
      </c>
    </row>
    <row r="5358" spans="1:6" s="3" customFormat="1" ht="29.1" customHeight="1" x14ac:dyDescent="0.25">
      <c r="A5358" s="2" t="s">
        <v>11417</v>
      </c>
      <c r="B5358" s="2" t="s">
        <v>11418</v>
      </c>
      <c r="C5358" s="2" t="s">
        <v>950</v>
      </c>
      <c r="D5358" s="2" t="s">
        <v>63</v>
      </c>
      <c r="E5358" s="2"/>
      <c r="F5358" s="2" t="str">
        <f>"9788410702981"</f>
        <v>9788410702981</v>
      </c>
    </row>
    <row r="5359" spans="1:6" s="3" customFormat="1" ht="29.1" customHeight="1" x14ac:dyDescent="0.25">
      <c r="A5359" s="2" t="s">
        <v>11419</v>
      </c>
      <c r="B5359" s="2" t="s">
        <v>11420</v>
      </c>
      <c r="C5359" s="2" t="s">
        <v>950</v>
      </c>
      <c r="D5359" s="2" t="s">
        <v>413</v>
      </c>
      <c r="E5359" s="2"/>
      <c r="F5359" s="2" t="str">
        <f>"9788410702806"</f>
        <v>9788410702806</v>
      </c>
    </row>
    <row r="5360" spans="1:6" s="3" customFormat="1" ht="29.1" customHeight="1" x14ac:dyDescent="0.25">
      <c r="A5360" s="2" t="s">
        <v>11421</v>
      </c>
      <c r="B5360" s="2" t="s">
        <v>11422</v>
      </c>
      <c r="C5360" s="2" t="s">
        <v>950</v>
      </c>
      <c r="D5360" s="2" t="s">
        <v>1697</v>
      </c>
      <c r="E5360" s="2"/>
      <c r="F5360" s="2" t="str">
        <f>"9788410700857"</f>
        <v>9788410700857</v>
      </c>
    </row>
    <row r="5361" spans="1:6" s="3" customFormat="1" ht="29.1" customHeight="1" x14ac:dyDescent="0.25">
      <c r="A5361" s="2" t="s">
        <v>11423</v>
      </c>
      <c r="B5361" s="2" t="s">
        <v>11424</v>
      </c>
      <c r="C5361" s="2" t="s">
        <v>950</v>
      </c>
      <c r="D5361" s="2" t="s">
        <v>192</v>
      </c>
      <c r="E5361" s="2"/>
      <c r="F5361" s="2" t="str">
        <f>"9788410700635"</f>
        <v>9788410700635</v>
      </c>
    </row>
    <row r="5362" spans="1:6" s="3" customFormat="1" ht="29.1" customHeight="1" x14ac:dyDescent="0.25">
      <c r="A5362" s="2" t="s">
        <v>11425</v>
      </c>
      <c r="B5362" s="2" t="s">
        <v>11427</v>
      </c>
      <c r="C5362" s="2" t="s">
        <v>149</v>
      </c>
      <c r="D5362" s="2" t="s">
        <v>11426</v>
      </c>
      <c r="E5362" s="2" t="str">
        <f>"9781800648074"</f>
        <v>9781800648074</v>
      </c>
      <c r="F5362" s="2" t="str">
        <f>"9781800648098"</f>
        <v>9781800648098</v>
      </c>
    </row>
    <row r="5363" spans="1:6" s="3" customFormat="1" ht="29.1" customHeight="1" x14ac:dyDescent="0.25">
      <c r="A5363" s="2" t="s">
        <v>11428</v>
      </c>
      <c r="B5363" s="2" t="s">
        <v>11429</v>
      </c>
      <c r="C5363" s="2" t="s">
        <v>5</v>
      </c>
      <c r="D5363" s="2" t="s">
        <v>1463</v>
      </c>
      <c r="E5363" s="2" t="str">
        <f>"9789819774463"</f>
        <v>9789819774463</v>
      </c>
      <c r="F5363" s="2" t="str">
        <f>"9789819774470"</f>
        <v>9789819774470</v>
      </c>
    </row>
    <row r="5364" spans="1:6" s="3" customFormat="1" ht="29.1" customHeight="1" x14ac:dyDescent="0.25">
      <c r="A5364" s="2" t="s">
        <v>11430</v>
      </c>
      <c r="B5364" s="2" t="s">
        <v>11431</v>
      </c>
      <c r="C5364" s="2" t="s">
        <v>5</v>
      </c>
      <c r="D5364" s="2" t="s">
        <v>7970</v>
      </c>
      <c r="E5364" s="2" t="str">
        <f>"9783031703911"</f>
        <v>9783031703911</v>
      </c>
      <c r="F5364" s="2" t="str">
        <f>"9783031703928"</f>
        <v>9783031703928</v>
      </c>
    </row>
    <row r="5365" spans="1:6" s="3" customFormat="1" ht="29.1" customHeight="1" x14ac:dyDescent="0.25">
      <c r="A5365" s="2" t="s">
        <v>11432</v>
      </c>
      <c r="B5365" s="2" t="s">
        <v>11434</v>
      </c>
      <c r="C5365" s="2" t="s">
        <v>149</v>
      </c>
      <c r="D5365" s="2" t="s">
        <v>11433</v>
      </c>
      <c r="E5365" s="2" t="str">
        <f>"9781685712327"</f>
        <v>9781685712327</v>
      </c>
      <c r="F5365" s="2" t="str">
        <f>"9781685712334"</f>
        <v>9781685712334</v>
      </c>
    </row>
    <row r="5366" spans="1:6" s="3" customFormat="1" ht="29.1" customHeight="1" x14ac:dyDescent="0.25">
      <c r="A5366" s="2" t="s">
        <v>11435</v>
      </c>
      <c r="B5366" s="2" t="s">
        <v>11436</v>
      </c>
      <c r="C5366" s="2" t="s">
        <v>149</v>
      </c>
      <c r="D5366" s="2" t="s">
        <v>4657</v>
      </c>
      <c r="E5366" s="2" t="str">
        <f>"9781685712228"</f>
        <v>9781685712228</v>
      </c>
      <c r="F5366" s="2" t="str">
        <f>"9781685712235"</f>
        <v>9781685712235</v>
      </c>
    </row>
    <row r="5367" spans="1:6" s="3" customFormat="1" ht="29.1" customHeight="1" x14ac:dyDescent="0.25">
      <c r="A5367" s="2" t="s">
        <v>11437</v>
      </c>
      <c r="B5367" s="2" t="s">
        <v>11438</v>
      </c>
      <c r="C5367" s="2" t="s">
        <v>5</v>
      </c>
      <c r="D5367" s="2" t="s">
        <v>4190</v>
      </c>
      <c r="E5367" s="2" t="str">
        <f>"9789819736140"</f>
        <v>9789819736140</v>
      </c>
      <c r="F5367" s="2" t="str">
        <f>"9789819736157"</f>
        <v>9789819736157</v>
      </c>
    </row>
    <row r="5368" spans="1:6" s="3" customFormat="1" ht="29.1" customHeight="1" x14ac:dyDescent="0.25">
      <c r="A5368" s="2" t="s">
        <v>11439</v>
      </c>
      <c r="B5368" s="2" t="s">
        <v>11441</v>
      </c>
      <c r="C5368" s="2" t="s">
        <v>2133</v>
      </c>
      <c r="D5368" s="2" t="s">
        <v>11440</v>
      </c>
      <c r="E5368" s="2" t="str">
        <f>"9781760466558"</f>
        <v>9781760466558</v>
      </c>
      <c r="F5368" s="2" t="str">
        <f>"9781760466565"</f>
        <v>9781760466565</v>
      </c>
    </row>
    <row r="5369" spans="1:6" s="3" customFormat="1" ht="29.1" customHeight="1" x14ac:dyDescent="0.25">
      <c r="A5369" s="2" t="s">
        <v>11442</v>
      </c>
      <c r="B5369" s="2" t="s">
        <v>11443</v>
      </c>
      <c r="C5369" s="2" t="s">
        <v>927</v>
      </c>
      <c r="D5369" s="2" t="s">
        <v>297</v>
      </c>
      <c r="E5369" s="2" t="str">
        <f>"9780472056910"</f>
        <v>9780472056910</v>
      </c>
      <c r="F5369" s="2" t="str">
        <f>"9780472904556"</f>
        <v>9780472904556</v>
      </c>
    </row>
    <row r="5370" spans="1:6" s="3" customFormat="1" ht="29.1" customHeight="1" x14ac:dyDescent="0.25">
      <c r="A5370" s="2" t="s">
        <v>11444</v>
      </c>
      <c r="B5370" s="2" t="s">
        <v>11445</v>
      </c>
      <c r="C5370" s="2" t="s">
        <v>927</v>
      </c>
      <c r="D5370" s="2" t="s">
        <v>210</v>
      </c>
      <c r="E5370" s="2" t="str">
        <f>"9780472056873"</f>
        <v>9780472056873</v>
      </c>
      <c r="F5370" s="2" t="str">
        <f>"9780472904518"</f>
        <v>9780472904518</v>
      </c>
    </row>
    <row r="5371" spans="1:6" s="3" customFormat="1" ht="29.1" customHeight="1" x14ac:dyDescent="0.25">
      <c r="A5371" s="2" t="s">
        <v>11446</v>
      </c>
      <c r="B5371" s="2" t="s">
        <v>11447</v>
      </c>
      <c r="C5371" s="2" t="s">
        <v>5</v>
      </c>
      <c r="D5371" s="2" t="s">
        <v>674</v>
      </c>
      <c r="E5371" s="2" t="str">
        <f>"9783031679353"</f>
        <v>9783031679353</v>
      </c>
      <c r="F5371" s="2" t="str">
        <f>"9783031679360"</f>
        <v>9783031679360</v>
      </c>
    </row>
    <row r="5372" spans="1:6" s="3" customFormat="1" ht="29.1" customHeight="1" x14ac:dyDescent="0.25">
      <c r="A5372" s="2" t="s">
        <v>11448</v>
      </c>
      <c r="B5372" s="2" t="s">
        <v>11449</v>
      </c>
      <c r="C5372" s="2" t="s">
        <v>5</v>
      </c>
      <c r="D5372" s="2" t="s">
        <v>141</v>
      </c>
      <c r="E5372" s="2" t="str">
        <f>"9789464635218"</f>
        <v>9789464635218</v>
      </c>
      <c r="F5372" s="2" t="str">
        <f>"9789464635225"</f>
        <v>9789464635225</v>
      </c>
    </row>
    <row r="5373" spans="1:6" s="3" customFormat="1" ht="29.1" customHeight="1" x14ac:dyDescent="0.25">
      <c r="A5373" s="2" t="s">
        <v>11450</v>
      </c>
      <c r="B5373" s="2" t="s">
        <v>11451</v>
      </c>
      <c r="C5373" s="2" t="s">
        <v>384</v>
      </c>
      <c r="D5373" s="2" t="s">
        <v>636</v>
      </c>
      <c r="E5373" s="2" t="str">
        <f>"9786124392719"</f>
        <v>9786124392719</v>
      </c>
      <c r="F5373" s="2" t="str">
        <f>"9798991590204"</f>
        <v>9798991590204</v>
      </c>
    </row>
    <row r="5374" spans="1:6" s="3" customFormat="1" ht="29.1" customHeight="1" x14ac:dyDescent="0.25">
      <c r="A5374" s="2" t="s">
        <v>11452</v>
      </c>
      <c r="B5374" s="2" t="s">
        <v>11453</v>
      </c>
      <c r="C5374" s="2" t="s">
        <v>384</v>
      </c>
      <c r="D5374" s="2" t="s">
        <v>8202</v>
      </c>
      <c r="E5374" s="2"/>
      <c r="F5374" s="2" t="str">
        <f>"9798987560792"</f>
        <v>9798987560792</v>
      </c>
    </row>
    <row r="5375" spans="1:6" s="3" customFormat="1" ht="29.1" customHeight="1" x14ac:dyDescent="0.25">
      <c r="A5375" s="2" t="s">
        <v>11454</v>
      </c>
      <c r="B5375" s="2" t="s">
        <v>11455</v>
      </c>
      <c r="C5375" s="2" t="s">
        <v>5</v>
      </c>
      <c r="D5375" s="2" t="s">
        <v>682</v>
      </c>
      <c r="E5375" s="2" t="str">
        <f>"9782384762927"</f>
        <v>9782384762927</v>
      </c>
      <c r="F5375" s="2" t="str">
        <f>"9782384762934"</f>
        <v>9782384762934</v>
      </c>
    </row>
    <row r="5376" spans="1:6" s="3" customFormat="1" ht="29.1" customHeight="1" x14ac:dyDescent="0.25">
      <c r="A5376" s="2" t="s">
        <v>11456</v>
      </c>
      <c r="B5376" s="2" t="s">
        <v>11457</v>
      </c>
      <c r="C5376" s="2" t="s">
        <v>5</v>
      </c>
      <c r="D5376" s="2" t="s">
        <v>850</v>
      </c>
      <c r="E5376" s="2" t="str">
        <f>"9783031599781"</f>
        <v>9783031599781</v>
      </c>
      <c r="F5376" s="2" t="str">
        <f>"9783031599798"</f>
        <v>9783031599798</v>
      </c>
    </row>
    <row r="5377" spans="1:6" s="3" customFormat="1" ht="29.1" customHeight="1" x14ac:dyDescent="0.25">
      <c r="A5377" s="2" t="s">
        <v>11458</v>
      </c>
      <c r="B5377" s="2" t="s">
        <v>11459</v>
      </c>
      <c r="C5377" s="2" t="s">
        <v>5</v>
      </c>
      <c r="D5377" s="2" t="s">
        <v>86</v>
      </c>
      <c r="E5377" s="2" t="str">
        <f>"9783031641770"</f>
        <v>9783031641770</v>
      </c>
      <c r="F5377" s="2" t="str">
        <f>"9783031641787"</f>
        <v>9783031641787</v>
      </c>
    </row>
    <row r="5378" spans="1:6" s="3" customFormat="1" ht="29.1" customHeight="1" x14ac:dyDescent="0.25">
      <c r="A5378" s="2" t="s">
        <v>11460</v>
      </c>
      <c r="B5378" s="2" t="s">
        <v>11461</v>
      </c>
      <c r="C5378" s="2" t="s">
        <v>5</v>
      </c>
      <c r="D5378" s="2" t="s">
        <v>270</v>
      </c>
      <c r="E5378" s="2" t="str">
        <f>"9783658459864"</f>
        <v>9783658459864</v>
      </c>
      <c r="F5378" s="2" t="str">
        <f>"9783658459871"</f>
        <v>9783658459871</v>
      </c>
    </row>
    <row r="5379" spans="1:6" s="3" customFormat="1" ht="29.1" customHeight="1" x14ac:dyDescent="0.25">
      <c r="A5379" s="2" t="s">
        <v>11462</v>
      </c>
      <c r="B5379" s="2" t="s">
        <v>11463</v>
      </c>
      <c r="C5379" s="2" t="s">
        <v>5</v>
      </c>
      <c r="D5379" s="2" t="s">
        <v>2045</v>
      </c>
      <c r="E5379" s="2" t="str">
        <f>"9783662697580"</f>
        <v>9783662697580</v>
      </c>
      <c r="F5379" s="2" t="str">
        <f>"9783662697597"</f>
        <v>9783662697597</v>
      </c>
    </row>
    <row r="5380" spans="1:6" s="3" customFormat="1" ht="29.1" customHeight="1" x14ac:dyDescent="0.25">
      <c r="A5380" s="2" t="s">
        <v>11464</v>
      </c>
      <c r="B5380" s="2" t="s">
        <v>11466</v>
      </c>
      <c r="C5380" s="2" t="s">
        <v>55</v>
      </c>
      <c r="D5380" s="2" t="s">
        <v>11465</v>
      </c>
      <c r="E5380" s="2" t="str">
        <f>"9781526176387"</f>
        <v>9781526176387</v>
      </c>
      <c r="F5380" s="2" t="str">
        <f>"9781526176394"</f>
        <v>9781526176394</v>
      </c>
    </row>
    <row r="5381" spans="1:6" s="3" customFormat="1" ht="29.1" customHeight="1" x14ac:dyDescent="0.25">
      <c r="A5381" s="2" t="s">
        <v>11467</v>
      </c>
      <c r="B5381" s="2" t="s">
        <v>11468</v>
      </c>
      <c r="C5381" s="2" t="s">
        <v>62</v>
      </c>
      <c r="D5381" s="2" t="s">
        <v>218</v>
      </c>
      <c r="E5381" s="2" t="str">
        <f>"9783428192960"</f>
        <v>9783428192960</v>
      </c>
      <c r="F5381" s="2" t="str">
        <f>"9783428592968"</f>
        <v>9783428592968</v>
      </c>
    </row>
    <row r="5382" spans="1:6" s="3" customFormat="1" ht="29.1" customHeight="1" x14ac:dyDescent="0.25">
      <c r="A5382" s="2" t="s">
        <v>11469</v>
      </c>
      <c r="B5382" s="2" t="s">
        <v>11470</v>
      </c>
      <c r="C5382" s="2" t="s">
        <v>5</v>
      </c>
      <c r="D5382" s="2" t="s">
        <v>2880</v>
      </c>
      <c r="E5382" s="2" t="str">
        <f>"9783031620829"</f>
        <v>9783031620829</v>
      </c>
      <c r="F5382" s="2" t="str">
        <f>"9783031620836"</f>
        <v>9783031620836</v>
      </c>
    </row>
    <row r="5383" spans="1:6" s="3" customFormat="1" ht="29.1" customHeight="1" x14ac:dyDescent="0.25">
      <c r="A5383" s="2" t="s">
        <v>11471</v>
      </c>
      <c r="B5383" s="2" t="s">
        <v>11472</v>
      </c>
      <c r="C5383" s="2" t="s">
        <v>5</v>
      </c>
      <c r="D5383" s="2" t="s">
        <v>9</v>
      </c>
      <c r="E5383" s="2" t="str">
        <f>"9782384762903"</f>
        <v>9782384762903</v>
      </c>
      <c r="F5383" s="2" t="str">
        <f>"9782384762910"</f>
        <v>9782384762910</v>
      </c>
    </row>
    <row r="5384" spans="1:6" s="3" customFormat="1" ht="29.1" customHeight="1" x14ac:dyDescent="0.25">
      <c r="A5384" s="2" t="s">
        <v>11473</v>
      </c>
      <c r="B5384" s="2" t="s">
        <v>11474</v>
      </c>
      <c r="C5384" s="2" t="s">
        <v>5</v>
      </c>
      <c r="D5384" s="2" t="s">
        <v>712</v>
      </c>
      <c r="E5384" s="2" t="str">
        <f>"9782384762842"</f>
        <v>9782384762842</v>
      </c>
      <c r="F5384" s="2" t="str">
        <f>"9782384762859"</f>
        <v>9782384762859</v>
      </c>
    </row>
    <row r="5385" spans="1:6" s="3" customFormat="1" ht="29.1" customHeight="1" x14ac:dyDescent="0.25">
      <c r="A5385" s="2" t="s">
        <v>11475</v>
      </c>
      <c r="B5385" s="2" t="s">
        <v>11476</v>
      </c>
      <c r="C5385" s="2" t="s">
        <v>5</v>
      </c>
      <c r="D5385" s="2" t="s">
        <v>515</v>
      </c>
      <c r="E5385" s="2" t="str">
        <f>"9789464635195"</f>
        <v>9789464635195</v>
      </c>
      <c r="F5385" s="2" t="str">
        <f>"9789464635201"</f>
        <v>9789464635201</v>
      </c>
    </row>
    <row r="5386" spans="1:6" s="3" customFormat="1" ht="29.1" customHeight="1" x14ac:dyDescent="0.25">
      <c r="A5386" s="2" t="s">
        <v>11477</v>
      </c>
      <c r="B5386" s="2" t="s">
        <v>11478</v>
      </c>
      <c r="C5386" s="2" t="s">
        <v>5</v>
      </c>
      <c r="D5386" s="2" t="s">
        <v>89</v>
      </c>
      <c r="E5386" s="2" t="str">
        <f>"9783031664809"</f>
        <v>9783031664809</v>
      </c>
      <c r="F5386" s="2" t="str">
        <f>"9783031664816"</f>
        <v>9783031664816</v>
      </c>
    </row>
    <row r="5387" spans="1:6" s="3" customFormat="1" ht="29.1" customHeight="1" x14ac:dyDescent="0.25">
      <c r="A5387" s="2" t="s">
        <v>11479</v>
      </c>
      <c r="B5387" s="2" t="s">
        <v>11480</v>
      </c>
      <c r="C5387" s="2" t="s">
        <v>29</v>
      </c>
      <c r="D5387" s="2" t="s">
        <v>118</v>
      </c>
      <c r="E5387" s="2" t="str">
        <f>"9789004705876"</f>
        <v>9789004705876</v>
      </c>
      <c r="F5387" s="2" t="str">
        <f>"9789004705890"</f>
        <v>9789004705890</v>
      </c>
    </row>
    <row r="5388" spans="1:6" s="3" customFormat="1" ht="29.1" customHeight="1" x14ac:dyDescent="0.25">
      <c r="A5388" s="2" t="s">
        <v>11481</v>
      </c>
      <c r="B5388" s="2" t="s">
        <v>11482</v>
      </c>
      <c r="C5388" s="2" t="s">
        <v>927</v>
      </c>
      <c r="D5388" s="2" t="s">
        <v>9</v>
      </c>
      <c r="E5388" s="2" t="str">
        <f>"9780472057115"</f>
        <v>9780472057115</v>
      </c>
      <c r="F5388" s="2" t="str">
        <f>"9780472904723"</f>
        <v>9780472904723</v>
      </c>
    </row>
    <row r="5389" spans="1:6" s="3" customFormat="1" ht="29.1" customHeight="1" x14ac:dyDescent="0.25">
      <c r="A5389" s="2" t="s">
        <v>11483</v>
      </c>
      <c r="B5389" s="2" t="s">
        <v>11484</v>
      </c>
      <c r="C5389" s="2" t="s">
        <v>927</v>
      </c>
      <c r="D5389" s="2" t="s">
        <v>270</v>
      </c>
      <c r="E5389" s="2" t="str">
        <f>"9780472057108"</f>
        <v>9780472057108</v>
      </c>
      <c r="F5389" s="2" t="str">
        <f>"9780472904709"</f>
        <v>9780472904709</v>
      </c>
    </row>
    <row r="5390" spans="1:6" s="3" customFormat="1" ht="29.1" customHeight="1" x14ac:dyDescent="0.25">
      <c r="A5390" s="2" t="s">
        <v>11485</v>
      </c>
      <c r="B5390" s="2" t="s">
        <v>11486</v>
      </c>
      <c r="C5390" s="2" t="s">
        <v>927</v>
      </c>
      <c r="D5390" s="2" t="s">
        <v>297</v>
      </c>
      <c r="E5390" s="2" t="str">
        <f>"9780472057047"</f>
        <v>9780472057047</v>
      </c>
      <c r="F5390" s="2" t="str">
        <f>"9780472904662"</f>
        <v>9780472904662</v>
      </c>
    </row>
    <row r="5391" spans="1:6" s="3" customFormat="1" ht="29.1" customHeight="1" x14ac:dyDescent="0.25">
      <c r="A5391" s="2" t="s">
        <v>11487</v>
      </c>
      <c r="B5391" s="2" t="s">
        <v>2068</v>
      </c>
      <c r="C5391" s="2" t="s">
        <v>9794</v>
      </c>
      <c r="D5391" s="2" t="s">
        <v>1265</v>
      </c>
      <c r="E5391" s="2" t="str">
        <f>"9783318072532"</f>
        <v>9783318072532</v>
      </c>
      <c r="F5391" s="2" t="str">
        <f>"9783318073263"</f>
        <v>9783318073263</v>
      </c>
    </row>
    <row r="5392" spans="1:6" s="3" customFormat="1" ht="29.1" customHeight="1" x14ac:dyDescent="0.25">
      <c r="A5392" s="2" t="s">
        <v>11488</v>
      </c>
      <c r="B5392" s="2" t="s">
        <v>11490</v>
      </c>
      <c r="C5392" s="2" t="s">
        <v>124</v>
      </c>
      <c r="D5392" s="2" t="s">
        <v>11489</v>
      </c>
      <c r="E5392" s="2" t="str">
        <f>"9781032499369"</f>
        <v>9781032499369</v>
      </c>
      <c r="F5392" s="2" t="str">
        <f>"9781040313053"</f>
        <v>9781040313053</v>
      </c>
    </row>
    <row r="5393" spans="1:6" s="3" customFormat="1" ht="29.1" customHeight="1" x14ac:dyDescent="0.25">
      <c r="A5393" s="2" t="s">
        <v>11491</v>
      </c>
      <c r="B5393" s="2" t="s">
        <v>11492</v>
      </c>
      <c r="C5393" s="2" t="s">
        <v>124</v>
      </c>
      <c r="D5393" s="2" t="s">
        <v>75</v>
      </c>
      <c r="E5393" s="2" t="str">
        <f>"9780815367895"</f>
        <v>9780815367895</v>
      </c>
      <c r="F5393" s="2" t="str">
        <f>"9781351256261"</f>
        <v>9781351256261</v>
      </c>
    </row>
    <row r="5394" spans="1:6" s="3" customFormat="1" ht="29.1" customHeight="1" x14ac:dyDescent="0.25">
      <c r="A5394" s="2" t="s">
        <v>11493</v>
      </c>
      <c r="B5394" s="2" t="s">
        <v>11494</v>
      </c>
      <c r="C5394" s="2" t="s">
        <v>124</v>
      </c>
      <c r="D5394" s="2" t="s">
        <v>758</v>
      </c>
      <c r="E5394" s="2" t="str">
        <f>"9781032649658"</f>
        <v>9781032649658</v>
      </c>
      <c r="F5394" s="2" t="str">
        <f>"9781040317440"</f>
        <v>9781040317440</v>
      </c>
    </row>
    <row r="5395" spans="1:6" s="3" customFormat="1" ht="29.1" customHeight="1" x14ac:dyDescent="0.25">
      <c r="A5395" s="2" t="s">
        <v>11495</v>
      </c>
      <c r="B5395" s="2" t="s">
        <v>11496</v>
      </c>
      <c r="C5395" s="2" t="s">
        <v>149</v>
      </c>
      <c r="D5395" s="2" t="s">
        <v>647</v>
      </c>
      <c r="E5395" s="2" t="str">
        <f>"9781912186860"</f>
        <v>9781912186860</v>
      </c>
      <c r="F5395" s="2" t="str">
        <f>"9781912186877"</f>
        <v>9781912186877</v>
      </c>
    </row>
    <row r="5396" spans="1:6" s="3" customFormat="1" ht="29.1" customHeight="1" x14ac:dyDescent="0.25">
      <c r="A5396" s="2" t="s">
        <v>11497</v>
      </c>
      <c r="B5396" s="2" t="s">
        <v>11498</v>
      </c>
      <c r="C5396" s="2" t="s">
        <v>29</v>
      </c>
      <c r="D5396" s="2" t="s">
        <v>10950</v>
      </c>
      <c r="E5396" s="2" t="str">
        <f>"9789004714304"</f>
        <v>9789004714304</v>
      </c>
      <c r="F5396" s="2" t="str">
        <f>"9789004714311"</f>
        <v>9789004714311</v>
      </c>
    </row>
    <row r="5397" spans="1:6" s="3" customFormat="1" ht="29.1" customHeight="1" x14ac:dyDescent="0.25">
      <c r="A5397" s="2" t="s">
        <v>11499</v>
      </c>
      <c r="B5397" s="2" t="s">
        <v>11500</v>
      </c>
      <c r="C5397" s="2" t="s">
        <v>5</v>
      </c>
      <c r="D5397" s="2" t="s">
        <v>553</v>
      </c>
      <c r="E5397" s="2" t="str">
        <f>"9783031663703"</f>
        <v>9783031663703</v>
      </c>
      <c r="F5397" s="2" t="str">
        <f>"9783031663710"</f>
        <v>9783031663710</v>
      </c>
    </row>
    <row r="5398" spans="1:6" s="3" customFormat="1" ht="29.1" customHeight="1" x14ac:dyDescent="0.25">
      <c r="A5398" s="2" t="s">
        <v>11501</v>
      </c>
      <c r="B5398" s="2" t="s">
        <v>11502</v>
      </c>
      <c r="C5398" s="2" t="s">
        <v>5</v>
      </c>
      <c r="D5398" s="2" t="s">
        <v>459</v>
      </c>
      <c r="E5398" s="2" t="str">
        <f>"9789819723355"</f>
        <v>9789819723355</v>
      </c>
      <c r="F5398" s="2" t="str">
        <f>"9789819723362"</f>
        <v>9789819723362</v>
      </c>
    </row>
    <row r="5399" spans="1:6" s="3" customFormat="1" ht="29.1" customHeight="1" x14ac:dyDescent="0.25">
      <c r="A5399" s="2" t="s">
        <v>11503</v>
      </c>
      <c r="B5399" s="2" t="s">
        <v>11504</v>
      </c>
      <c r="C5399" s="2" t="s">
        <v>5</v>
      </c>
      <c r="D5399" s="2" t="s">
        <v>186</v>
      </c>
      <c r="E5399" s="2" t="str">
        <f>"9789464635263"</f>
        <v>9789464635263</v>
      </c>
      <c r="F5399" s="2" t="str">
        <f>"9789464635270"</f>
        <v>9789464635270</v>
      </c>
    </row>
    <row r="5400" spans="1:6" s="3" customFormat="1" ht="29.1" customHeight="1" x14ac:dyDescent="0.25">
      <c r="A5400" s="2" t="s">
        <v>11505</v>
      </c>
      <c r="B5400" s="2" t="s">
        <v>11506</v>
      </c>
      <c r="C5400" s="2" t="s">
        <v>5</v>
      </c>
      <c r="D5400" s="2" t="s">
        <v>104</v>
      </c>
      <c r="E5400" s="2" t="str">
        <f>"9783031539459"</f>
        <v>9783031539459</v>
      </c>
      <c r="F5400" s="2" t="str">
        <f>"9783031539466"</f>
        <v>9783031539466</v>
      </c>
    </row>
    <row r="5401" spans="1:6" s="3" customFormat="1" ht="29.1" customHeight="1" x14ac:dyDescent="0.25">
      <c r="A5401" s="2" t="s">
        <v>11507</v>
      </c>
      <c r="B5401" s="2" t="s">
        <v>11508</v>
      </c>
      <c r="C5401" s="2" t="s">
        <v>5</v>
      </c>
      <c r="D5401" s="2" t="s">
        <v>6</v>
      </c>
      <c r="E5401" s="2" t="str">
        <f>"9783642256424"</f>
        <v>9783642256424</v>
      </c>
      <c r="F5401" s="2" t="str">
        <f>"9783642256431"</f>
        <v>9783642256431</v>
      </c>
    </row>
    <row r="5402" spans="1:6" s="3" customFormat="1" ht="29.1" customHeight="1" x14ac:dyDescent="0.25">
      <c r="A5402" s="2" t="s">
        <v>11509</v>
      </c>
      <c r="B5402" s="2" t="s">
        <v>11510</v>
      </c>
      <c r="C5402" s="2" t="s">
        <v>131</v>
      </c>
      <c r="D5402" s="2" t="s">
        <v>33</v>
      </c>
      <c r="E5402" s="2" t="str">
        <f>"9789027215093"</f>
        <v>9789027215093</v>
      </c>
      <c r="F5402" s="2" t="str">
        <f>"9789027246608"</f>
        <v>9789027246608</v>
      </c>
    </row>
    <row r="5403" spans="1:6" s="3" customFormat="1" ht="29.1" customHeight="1" x14ac:dyDescent="0.25">
      <c r="A5403" s="2" t="s">
        <v>11511</v>
      </c>
      <c r="B5403" s="2" t="s">
        <v>3266</v>
      </c>
      <c r="C5403" s="2" t="s">
        <v>5</v>
      </c>
      <c r="D5403" s="2" t="s">
        <v>9</v>
      </c>
      <c r="E5403" s="2" t="str">
        <f>"9782384762880"</f>
        <v>9782384762880</v>
      </c>
      <c r="F5403" s="2" t="str">
        <f>"9782384762897"</f>
        <v>9782384762897</v>
      </c>
    </row>
    <row r="5404" spans="1:6" s="3" customFormat="1" ht="29.1" customHeight="1" x14ac:dyDescent="0.25">
      <c r="A5404" s="2" t="s">
        <v>11512</v>
      </c>
      <c r="B5404" s="2" t="s">
        <v>11513</v>
      </c>
      <c r="C5404" s="2" t="s">
        <v>5</v>
      </c>
      <c r="D5404" s="2" t="s">
        <v>98</v>
      </c>
      <c r="E5404" s="2" t="str">
        <f>"9783031660993"</f>
        <v>9783031660993</v>
      </c>
      <c r="F5404" s="2" t="str">
        <f>"9783031661006"</f>
        <v>9783031661006</v>
      </c>
    </row>
    <row r="5405" spans="1:6" s="3" customFormat="1" ht="29.1" customHeight="1" x14ac:dyDescent="0.25">
      <c r="A5405" s="2" t="s">
        <v>11514</v>
      </c>
      <c r="B5405" s="2" t="s">
        <v>9638</v>
      </c>
      <c r="C5405" s="2" t="s">
        <v>5</v>
      </c>
      <c r="D5405" s="2" t="s">
        <v>1988</v>
      </c>
      <c r="E5405" s="2" t="str">
        <f>"9789819753796"</f>
        <v>9789819753796</v>
      </c>
      <c r="F5405" s="2" t="str">
        <f>"9789819753802"</f>
        <v>9789819753802</v>
      </c>
    </row>
    <row r="5406" spans="1:6" s="3" customFormat="1" ht="29.1" customHeight="1" x14ac:dyDescent="0.25">
      <c r="A5406" s="2" t="s">
        <v>11515</v>
      </c>
      <c r="B5406" s="2" t="s">
        <v>11516</v>
      </c>
      <c r="C5406" s="2" t="s">
        <v>5</v>
      </c>
      <c r="D5406" s="2" t="s">
        <v>4190</v>
      </c>
      <c r="E5406" s="2" t="str">
        <f>"9783031585876"</f>
        <v>9783031585876</v>
      </c>
      <c r="F5406" s="2" t="str">
        <f>"9783031585883"</f>
        <v>9783031585883</v>
      </c>
    </row>
    <row r="5407" spans="1:6" s="3" customFormat="1" ht="29.1" customHeight="1" x14ac:dyDescent="0.25">
      <c r="A5407" s="2" t="s">
        <v>11517</v>
      </c>
      <c r="B5407" s="2" t="s">
        <v>11518</v>
      </c>
      <c r="C5407" s="2" t="s">
        <v>5</v>
      </c>
      <c r="D5407" s="2" t="s">
        <v>78</v>
      </c>
      <c r="E5407" s="2" t="str">
        <f>"9783031678325"</f>
        <v>9783031678325</v>
      </c>
      <c r="F5407" s="2" t="str">
        <f>"9783031678332"</f>
        <v>9783031678332</v>
      </c>
    </row>
    <row r="5408" spans="1:6" s="3" customFormat="1" ht="29.1" customHeight="1" x14ac:dyDescent="0.25">
      <c r="A5408" s="2" t="s">
        <v>11519</v>
      </c>
      <c r="B5408" s="2" t="s">
        <v>11520</v>
      </c>
      <c r="C5408" s="2" t="s">
        <v>29</v>
      </c>
      <c r="D5408" s="2" t="s">
        <v>192</v>
      </c>
      <c r="E5408" s="2" t="str">
        <f>"9789004691100"</f>
        <v>9789004691100</v>
      </c>
      <c r="F5408" s="2" t="str">
        <f>"9789004691117"</f>
        <v>9789004691117</v>
      </c>
    </row>
    <row r="5409" spans="1:6" s="3" customFormat="1" ht="29.1" customHeight="1" x14ac:dyDescent="0.25">
      <c r="A5409" s="2" t="s">
        <v>11521</v>
      </c>
      <c r="B5409" s="2" t="s">
        <v>11522</v>
      </c>
      <c r="C5409" s="2" t="s">
        <v>264</v>
      </c>
      <c r="D5409" s="2" t="s">
        <v>2880</v>
      </c>
      <c r="E5409" s="2" t="str">
        <f>"9781032726960"</f>
        <v>9781032726960</v>
      </c>
      <c r="F5409" s="2" t="str">
        <f>"9781040314319"</f>
        <v>9781040314319</v>
      </c>
    </row>
    <row r="5410" spans="1:6" s="3" customFormat="1" ht="29.1" customHeight="1" x14ac:dyDescent="0.25">
      <c r="A5410" s="2" t="s">
        <v>11523</v>
      </c>
      <c r="B5410" s="2" t="s">
        <v>11524</v>
      </c>
      <c r="C5410" s="2" t="s">
        <v>7163</v>
      </c>
      <c r="D5410" s="2" t="s">
        <v>5571</v>
      </c>
      <c r="E5410" s="2" t="str">
        <f>"9781643365725"</f>
        <v>9781643365725</v>
      </c>
      <c r="F5410" s="2" t="str">
        <f>"9781643365732"</f>
        <v>9781643365732</v>
      </c>
    </row>
    <row r="5411" spans="1:6" s="3" customFormat="1" ht="29.1" customHeight="1" x14ac:dyDescent="0.25">
      <c r="A5411" s="2" t="s">
        <v>11525</v>
      </c>
      <c r="B5411" s="2" t="s">
        <v>11526</v>
      </c>
      <c r="C5411" s="2" t="s">
        <v>7163</v>
      </c>
      <c r="D5411" s="2" t="s">
        <v>647</v>
      </c>
      <c r="E5411" s="2" t="str">
        <f>"9781643365589"</f>
        <v>9781643365589</v>
      </c>
      <c r="F5411" s="2" t="str">
        <f>"9781643365817"</f>
        <v>9781643365817</v>
      </c>
    </row>
    <row r="5412" spans="1:6" s="3" customFormat="1" ht="29.1" customHeight="1" x14ac:dyDescent="0.25">
      <c r="A5412" s="2" t="s">
        <v>11527</v>
      </c>
      <c r="B5412" s="2" t="s">
        <v>11529</v>
      </c>
      <c r="C5412" s="2" t="s">
        <v>7163</v>
      </c>
      <c r="D5412" s="2" t="s">
        <v>11528</v>
      </c>
      <c r="E5412" s="2" t="str">
        <f>"9781643365572"</f>
        <v>9781643365572</v>
      </c>
      <c r="F5412" s="2" t="str">
        <f>"9781643365800"</f>
        <v>9781643365800</v>
      </c>
    </row>
    <row r="5413" spans="1:6" s="3" customFormat="1" ht="29.1" customHeight="1" x14ac:dyDescent="0.25">
      <c r="A5413" s="2" t="s">
        <v>11530</v>
      </c>
      <c r="B5413" s="2" t="s">
        <v>11531</v>
      </c>
      <c r="C5413" s="2" t="s">
        <v>248</v>
      </c>
      <c r="D5413" s="2" t="s">
        <v>9</v>
      </c>
      <c r="E5413" s="2" t="str">
        <f>"9783847430919"</f>
        <v>9783847430919</v>
      </c>
      <c r="F5413" s="2" t="str">
        <f>"9783847432241"</f>
        <v>9783847432241</v>
      </c>
    </row>
    <row r="5414" spans="1:6" s="3" customFormat="1" ht="29.1" customHeight="1" x14ac:dyDescent="0.25">
      <c r="A5414" s="2" t="s">
        <v>11532</v>
      </c>
      <c r="B5414" s="2" t="s">
        <v>11533</v>
      </c>
      <c r="C5414" s="2" t="s">
        <v>124</v>
      </c>
      <c r="D5414" s="2" t="s">
        <v>72</v>
      </c>
      <c r="E5414" s="2" t="str">
        <f>"9781032786568"</f>
        <v>9781032786568</v>
      </c>
      <c r="F5414" s="2" t="str">
        <f>"9781040313244"</f>
        <v>9781040313244</v>
      </c>
    </row>
    <row r="5415" spans="1:6" s="3" customFormat="1" ht="29.1" customHeight="1" x14ac:dyDescent="0.25">
      <c r="A5415" s="2" t="s">
        <v>11534</v>
      </c>
      <c r="B5415" s="2" t="s">
        <v>11535</v>
      </c>
      <c r="C5415" s="2" t="s">
        <v>239</v>
      </c>
      <c r="D5415" s="2" t="s">
        <v>653</v>
      </c>
      <c r="E5415" s="2" t="str">
        <f>"9780520398726"</f>
        <v>9780520398726</v>
      </c>
      <c r="F5415" s="2" t="str">
        <f>"9780520398733"</f>
        <v>9780520398733</v>
      </c>
    </row>
    <row r="5416" spans="1:6" s="3" customFormat="1" ht="29.1" customHeight="1" x14ac:dyDescent="0.25">
      <c r="A5416" s="2" t="s">
        <v>11536</v>
      </c>
      <c r="B5416" s="2" t="s">
        <v>11538</v>
      </c>
      <c r="C5416" s="2" t="s">
        <v>124</v>
      </c>
      <c r="D5416" s="2" t="s">
        <v>11537</v>
      </c>
      <c r="E5416" s="2" t="str">
        <f>"9781032835037"</f>
        <v>9781032835037</v>
      </c>
      <c r="F5416" s="2" t="str">
        <f>"9781040313176"</f>
        <v>9781040313176</v>
      </c>
    </row>
    <row r="5417" spans="1:6" s="3" customFormat="1" ht="29.1" customHeight="1" x14ac:dyDescent="0.25">
      <c r="A5417" s="2" t="s">
        <v>11539</v>
      </c>
      <c r="B5417" s="2" t="s">
        <v>11540</v>
      </c>
      <c r="C5417" s="2" t="s">
        <v>124</v>
      </c>
      <c r="D5417" s="2" t="s">
        <v>818</v>
      </c>
      <c r="E5417" s="2" t="str">
        <f>"9781032002477"</f>
        <v>9781032002477</v>
      </c>
      <c r="F5417" s="2" t="str">
        <f>"9781040298978"</f>
        <v>9781040298978</v>
      </c>
    </row>
    <row r="5418" spans="1:6" s="3" customFormat="1" ht="29.1" customHeight="1" x14ac:dyDescent="0.25">
      <c r="A5418" s="2" t="s">
        <v>11541</v>
      </c>
      <c r="B5418" s="2" t="s">
        <v>11542</v>
      </c>
      <c r="C5418" s="2" t="s">
        <v>124</v>
      </c>
      <c r="D5418" s="2" t="s">
        <v>75</v>
      </c>
      <c r="E5418" s="2" t="str">
        <f>"9781032714073"</f>
        <v>9781032714073</v>
      </c>
      <c r="F5418" s="2" t="str">
        <f>"9781040312902"</f>
        <v>9781040312902</v>
      </c>
    </row>
    <row r="5419" spans="1:6" s="3" customFormat="1" ht="29.1" customHeight="1" x14ac:dyDescent="0.25">
      <c r="A5419" s="2" t="s">
        <v>11543</v>
      </c>
      <c r="B5419" s="2" t="s">
        <v>11544</v>
      </c>
      <c r="C5419" s="2" t="s">
        <v>5</v>
      </c>
      <c r="D5419" s="2" t="s">
        <v>98</v>
      </c>
      <c r="E5419" s="2" t="str">
        <f>"9783031581946"</f>
        <v>9783031581946</v>
      </c>
      <c r="F5419" s="2" t="str">
        <f>"9783031581953"</f>
        <v>9783031581953</v>
      </c>
    </row>
    <row r="5420" spans="1:6" s="3" customFormat="1" ht="29.1" customHeight="1" x14ac:dyDescent="0.25">
      <c r="A5420" s="2" t="s">
        <v>11545</v>
      </c>
      <c r="B5420" s="2" t="s">
        <v>11546</v>
      </c>
      <c r="C5420" s="2" t="s">
        <v>5</v>
      </c>
      <c r="D5420" s="2" t="s">
        <v>490</v>
      </c>
      <c r="E5420" s="2" t="str">
        <f>"9783031609572"</f>
        <v>9783031609572</v>
      </c>
      <c r="F5420" s="2" t="str">
        <f>"9783031609589"</f>
        <v>9783031609589</v>
      </c>
    </row>
    <row r="5421" spans="1:6" s="3" customFormat="1" ht="29.1" customHeight="1" x14ac:dyDescent="0.25">
      <c r="A5421" s="2" t="s">
        <v>11547</v>
      </c>
      <c r="B5421" s="2" t="s">
        <v>11548</v>
      </c>
      <c r="C5421" s="2" t="s">
        <v>29</v>
      </c>
      <c r="D5421" s="2" t="s">
        <v>497</v>
      </c>
      <c r="E5421" s="2" t="str">
        <f>"9789004693562"</f>
        <v>9789004693562</v>
      </c>
      <c r="F5421" s="2" t="str">
        <f>"9789004693579"</f>
        <v>9789004693579</v>
      </c>
    </row>
    <row r="5422" spans="1:6" s="3" customFormat="1" ht="29.1" customHeight="1" x14ac:dyDescent="0.25">
      <c r="A5422" s="2" t="s">
        <v>11549</v>
      </c>
      <c r="B5422" s="2" t="s">
        <v>11550</v>
      </c>
      <c r="C5422" s="2" t="s">
        <v>5</v>
      </c>
      <c r="D5422" s="2" t="s">
        <v>3198</v>
      </c>
      <c r="E5422" s="2" t="str">
        <f>"9783662637630"</f>
        <v>9783662637630</v>
      </c>
      <c r="F5422" s="2" t="str">
        <f>"9783662637647"</f>
        <v>9783662637647</v>
      </c>
    </row>
    <row r="5423" spans="1:6" s="3" customFormat="1" ht="29.1" customHeight="1" x14ac:dyDescent="0.25">
      <c r="A5423" s="2" t="s">
        <v>11551</v>
      </c>
      <c r="B5423" s="2" t="s">
        <v>11552</v>
      </c>
      <c r="C5423" s="2" t="s">
        <v>5</v>
      </c>
      <c r="D5423" s="2" t="s">
        <v>342</v>
      </c>
      <c r="E5423" s="2" t="str">
        <f>"9789464635119"</f>
        <v>9789464635119</v>
      </c>
      <c r="F5423" s="2" t="str">
        <f>"9789464635126"</f>
        <v>9789464635126</v>
      </c>
    </row>
    <row r="5424" spans="1:6" s="3" customFormat="1" ht="29.1" customHeight="1" x14ac:dyDescent="0.25">
      <c r="A5424" s="2" t="s">
        <v>11553</v>
      </c>
      <c r="B5424" s="2" t="s">
        <v>11554</v>
      </c>
      <c r="C5424" s="2" t="s">
        <v>5</v>
      </c>
      <c r="D5424" s="2" t="s">
        <v>477</v>
      </c>
      <c r="E5424" s="2" t="str">
        <f>"9789464635171"</f>
        <v>9789464635171</v>
      </c>
      <c r="F5424" s="2" t="str">
        <f>"9789464635188"</f>
        <v>9789464635188</v>
      </c>
    </row>
    <row r="5425" spans="1:6" s="3" customFormat="1" ht="29.1" customHeight="1" x14ac:dyDescent="0.25">
      <c r="A5425" s="2" t="s">
        <v>11555</v>
      </c>
      <c r="B5425" s="2" t="s">
        <v>11556</v>
      </c>
      <c r="C5425" s="2" t="s">
        <v>5</v>
      </c>
      <c r="D5425" s="2" t="s">
        <v>889</v>
      </c>
      <c r="E5425" s="2" t="str">
        <f>"9789464635133"</f>
        <v>9789464635133</v>
      </c>
      <c r="F5425" s="2" t="str">
        <f>"9789464635140"</f>
        <v>9789464635140</v>
      </c>
    </row>
    <row r="5426" spans="1:6" s="3" customFormat="1" ht="29.1" customHeight="1" x14ac:dyDescent="0.25">
      <c r="A5426" s="2" t="s">
        <v>11557</v>
      </c>
      <c r="B5426" s="2"/>
      <c r="C5426" s="2" t="s">
        <v>59</v>
      </c>
      <c r="D5426" s="2" t="s">
        <v>11558</v>
      </c>
      <c r="E5426" s="2"/>
      <c r="F5426" s="2" t="str">
        <f>"9782738014665"</f>
        <v>9782738014665</v>
      </c>
    </row>
    <row r="5427" spans="1:6" s="3" customFormat="1" ht="29.1" customHeight="1" x14ac:dyDescent="0.25">
      <c r="A5427" s="2" t="s">
        <v>11559</v>
      </c>
      <c r="B5427" s="2" t="s">
        <v>11561</v>
      </c>
      <c r="C5427" s="2" t="s">
        <v>55</v>
      </c>
      <c r="D5427" s="2" t="s">
        <v>11560</v>
      </c>
      <c r="E5427" s="2" t="str">
        <f>"9781526163516"</f>
        <v>9781526163516</v>
      </c>
      <c r="F5427" s="2" t="str">
        <f>"9781526163509"</f>
        <v>9781526163509</v>
      </c>
    </row>
    <row r="5428" spans="1:6" s="3" customFormat="1" ht="29.1" customHeight="1" x14ac:dyDescent="0.25">
      <c r="A5428" s="2" t="s">
        <v>2216</v>
      </c>
      <c r="B5428" s="2" t="s">
        <v>11562</v>
      </c>
      <c r="C5428" s="2" t="s">
        <v>5</v>
      </c>
      <c r="D5428" s="2" t="s">
        <v>2217</v>
      </c>
      <c r="E5428" s="2" t="str">
        <f>"9783031722431"</f>
        <v>9783031722431</v>
      </c>
      <c r="F5428" s="2" t="str">
        <f>"9783031722448"</f>
        <v>9783031722448</v>
      </c>
    </row>
    <row r="5429" spans="1:6" s="3" customFormat="1" ht="29.1" customHeight="1" x14ac:dyDescent="0.25">
      <c r="A5429" s="2" t="s">
        <v>11563</v>
      </c>
      <c r="B5429" s="2" t="s">
        <v>11564</v>
      </c>
      <c r="C5429" s="2" t="s">
        <v>5</v>
      </c>
      <c r="D5429" s="2" t="s">
        <v>12</v>
      </c>
      <c r="E5429" s="2" t="str">
        <f>"9783031720543"</f>
        <v>9783031720543</v>
      </c>
      <c r="F5429" s="2" t="str">
        <f>"9783031720550"</f>
        <v>9783031720550</v>
      </c>
    </row>
    <row r="5430" spans="1:6" s="3" customFormat="1" ht="29.1" customHeight="1" x14ac:dyDescent="0.25">
      <c r="A5430" s="2" t="s">
        <v>11565</v>
      </c>
      <c r="B5430" s="2" t="s">
        <v>11566</v>
      </c>
      <c r="C5430" s="2" t="s">
        <v>5</v>
      </c>
      <c r="D5430" s="2" t="s">
        <v>4500</v>
      </c>
      <c r="E5430" s="2" t="str">
        <f>"9789819772544"</f>
        <v>9789819772544</v>
      </c>
      <c r="F5430" s="2" t="str">
        <f>"9789819772551"</f>
        <v>9789819772551</v>
      </c>
    </row>
    <row r="5431" spans="1:6" s="3" customFormat="1" ht="29.1" customHeight="1" x14ac:dyDescent="0.25">
      <c r="A5431" s="2" t="s">
        <v>11567</v>
      </c>
      <c r="B5431" s="2" t="s">
        <v>11568</v>
      </c>
      <c r="C5431" s="2" t="s">
        <v>5</v>
      </c>
      <c r="D5431" s="2" t="s">
        <v>3567</v>
      </c>
      <c r="E5431" s="2" t="str">
        <f>"9783031650024"</f>
        <v>9783031650024</v>
      </c>
      <c r="F5431" s="2" t="str">
        <f>"9783031650031"</f>
        <v>9783031650031</v>
      </c>
    </row>
    <row r="5432" spans="1:6" s="3" customFormat="1" ht="29.1" customHeight="1" x14ac:dyDescent="0.25">
      <c r="A5432" s="2" t="s">
        <v>11569</v>
      </c>
      <c r="B5432" s="2" t="s">
        <v>11570</v>
      </c>
      <c r="C5432" s="2" t="s">
        <v>5</v>
      </c>
      <c r="D5432" s="2" t="s">
        <v>487</v>
      </c>
      <c r="E5432" s="2" t="str">
        <f>"9781484296509"</f>
        <v>9781484296509</v>
      </c>
      <c r="F5432" s="2" t="str">
        <f>"9781484296516"</f>
        <v>9781484296516</v>
      </c>
    </row>
    <row r="5433" spans="1:6" s="3" customFormat="1" ht="29.1" customHeight="1" x14ac:dyDescent="0.25">
      <c r="A5433" s="2" t="s">
        <v>11571</v>
      </c>
      <c r="B5433" s="2" t="s">
        <v>11573</v>
      </c>
      <c r="C5433" s="2" t="s">
        <v>5</v>
      </c>
      <c r="D5433" s="2" t="s">
        <v>11572</v>
      </c>
      <c r="E5433" s="2" t="str">
        <f>"9783031618093"</f>
        <v>9783031618093</v>
      </c>
      <c r="F5433" s="2" t="str">
        <f>"9783031618109"</f>
        <v>9783031618109</v>
      </c>
    </row>
    <row r="5434" spans="1:6" s="3" customFormat="1" ht="29.1" customHeight="1" x14ac:dyDescent="0.25">
      <c r="A5434" s="2" t="s">
        <v>11574</v>
      </c>
      <c r="B5434" s="2" t="s">
        <v>11575</v>
      </c>
      <c r="C5434" s="2" t="s">
        <v>248</v>
      </c>
      <c r="D5434" s="2" t="s">
        <v>490</v>
      </c>
      <c r="E5434" s="2" t="str">
        <f>"9783847427100"</f>
        <v>9783847427100</v>
      </c>
      <c r="F5434" s="2" t="str">
        <f>"9783847418788"</f>
        <v>9783847418788</v>
      </c>
    </row>
    <row r="5435" spans="1:6" s="3" customFormat="1" ht="29.1" customHeight="1" x14ac:dyDescent="0.25">
      <c r="A5435" s="2" t="s">
        <v>11576</v>
      </c>
      <c r="B5435" s="2" t="s">
        <v>6730</v>
      </c>
      <c r="C5435" s="2" t="s">
        <v>248</v>
      </c>
      <c r="D5435" s="2" t="s">
        <v>1416</v>
      </c>
      <c r="E5435" s="2" t="str">
        <f>"9783847430476"</f>
        <v>9783847430476</v>
      </c>
      <c r="F5435" s="2" t="str">
        <f>"9783847419815"</f>
        <v>9783847419815</v>
      </c>
    </row>
    <row r="5436" spans="1:6" s="3" customFormat="1" ht="29.1" customHeight="1" x14ac:dyDescent="0.25">
      <c r="A5436" s="2" t="s">
        <v>11577</v>
      </c>
      <c r="B5436" s="2" t="s">
        <v>11578</v>
      </c>
      <c r="C5436" s="2" t="s">
        <v>248</v>
      </c>
      <c r="D5436" s="2" t="s">
        <v>24</v>
      </c>
      <c r="E5436" s="2" t="str">
        <f>"9783847427650"</f>
        <v>9783847427650</v>
      </c>
      <c r="F5436" s="2" t="str">
        <f>"9783847419877"</f>
        <v>9783847419877</v>
      </c>
    </row>
    <row r="5437" spans="1:6" s="3" customFormat="1" ht="29.1" customHeight="1" x14ac:dyDescent="0.25">
      <c r="A5437" s="2" t="s">
        <v>11579</v>
      </c>
      <c r="B5437" s="2" t="s">
        <v>11580</v>
      </c>
      <c r="C5437" s="2" t="s">
        <v>248</v>
      </c>
      <c r="D5437" s="2" t="s">
        <v>249</v>
      </c>
      <c r="E5437" s="2" t="str">
        <f>"9783847430605"</f>
        <v>9783847430605</v>
      </c>
      <c r="F5437" s="2" t="str">
        <f>"9783847419945"</f>
        <v>9783847419945</v>
      </c>
    </row>
    <row r="5438" spans="1:6" s="3" customFormat="1" ht="29.1" customHeight="1" x14ac:dyDescent="0.25">
      <c r="A5438" s="2" t="s">
        <v>11581</v>
      </c>
      <c r="B5438" s="2" t="s">
        <v>11582</v>
      </c>
      <c r="C5438" s="2" t="s">
        <v>248</v>
      </c>
      <c r="D5438" s="2" t="s">
        <v>24</v>
      </c>
      <c r="E5438" s="2" t="str">
        <f>"9783847427209"</f>
        <v>9783847427209</v>
      </c>
      <c r="F5438" s="2" t="str">
        <f>"9783847418917"</f>
        <v>9783847418917</v>
      </c>
    </row>
    <row r="5439" spans="1:6" s="3" customFormat="1" ht="29.1" customHeight="1" x14ac:dyDescent="0.25">
      <c r="A5439" s="2" t="s">
        <v>11583</v>
      </c>
      <c r="B5439" s="2" t="s">
        <v>11584</v>
      </c>
      <c r="C5439" s="2" t="s">
        <v>124</v>
      </c>
      <c r="D5439" s="2" t="s">
        <v>2016</v>
      </c>
      <c r="E5439" s="2" t="str">
        <f>"9781032566627"</f>
        <v>9781032566627</v>
      </c>
      <c r="F5439" s="2" t="str">
        <f>"9781040309711"</f>
        <v>9781040309711</v>
      </c>
    </row>
    <row r="5440" spans="1:6" s="3" customFormat="1" ht="29.1" customHeight="1" x14ac:dyDescent="0.25">
      <c r="A5440" s="2" t="s">
        <v>11585</v>
      </c>
      <c r="B5440" s="2" t="s">
        <v>11586</v>
      </c>
      <c r="C5440" s="2" t="s">
        <v>124</v>
      </c>
      <c r="D5440" s="2" t="s">
        <v>402</v>
      </c>
      <c r="E5440" s="2" t="str">
        <f>"9781032187631"</f>
        <v>9781032187631</v>
      </c>
      <c r="F5440" s="2" t="str">
        <f>"9781040121795"</f>
        <v>9781040121795</v>
      </c>
    </row>
    <row r="5441" spans="1:6" s="3" customFormat="1" ht="29.1" customHeight="1" x14ac:dyDescent="0.25">
      <c r="A5441" s="2" t="s">
        <v>11587</v>
      </c>
      <c r="B5441" s="2" t="s">
        <v>11538</v>
      </c>
      <c r="C5441" s="2" t="s">
        <v>124</v>
      </c>
      <c r="D5441" s="2" t="s">
        <v>11537</v>
      </c>
      <c r="E5441" s="2" t="str">
        <f>"9781032835549"</f>
        <v>9781032835549</v>
      </c>
      <c r="F5441" s="2" t="str">
        <f>"9781040309667"</f>
        <v>9781040309667</v>
      </c>
    </row>
    <row r="5442" spans="1:6" s="3" customFormat="1" ht="29.1" customHeight="1" x14ac:dyDescent="0.25">
      <c r="A5442" s="2" t="s">
        <v>11588</v>
      </c>
      <c r="B5442" s="2" t="s">
        <v>11589</v>
      </c>
      <c r="C5442" s="2" t="s">
        <v>124</v>
      </c>
      <c r="D5442" s="2" t="s">
        <v>727</v>
      </c>
      <c r="E5442" s="2" t="str">
        <f>"9781032958989"</f>
        <v>9781032958989</v>
      </c>
      <c r="F5442" s="2" t="str">
        <f>"9781040311578"</f>
        <v>9781040311578</v>
      </c>
    </row>
    <row r="5443" spans="1:6" s="3" customFormat="1" ht="29.1" customHeight="1" x14ac:dyDescent="0.25">
      <c r="A5443" s="2" t="s">
        <v>11590</v>
      </c>
      <c r="B5443" s="2" t="s">
        <v>11591</v>
      </c>
      <c r="C5443" s="2" t="s">
        <v>124</v>
      </c>
      <c r="D5443" s="2" t="s">
        <v>270</v>
      </c>
      <c r="E5443" s="2" t="str">
        <f>"9781032737973"</f>
        <v>9781032737973</v>
      </c>
      <c r="F5443" s="2" t="str">
        <f>"9781040311141"</f>
        <v>9781040311141</v>
      </c>
    </row>
    <row r="5444" spans="1:6" s="3" customFormat="1" ht="29.1" customHeight="1" x14ac:dyDescent="0.25">
      <c r="A5444" s="2" t="s">
        <v>11592</v>
      </c>
      <c r="B5444" s="2" t="s">
        <v>11593</v>
      </c>
      <c r="C5444" s="2" t="s">
        <v>124</v>
      </c>
      <c r="D5444" s="2" t="s">
        <v>712</v>
      </c>
      <c r="E5444" s="2" t="str">
        <f>"9780367541033"</f>
        <v>9780367541033</v>
      </c>
      <c r="F5444" s="2" t="str">
        <f>"9781040159965"</f>
        <v>9781040159965</v>
      </c>
    </row>
    <row r="5445" spans="1:6" s="3" customFormat="1" ht="29.1" customHeight="1" x14ac:dyDescent="0.25">
      <c r="A5445" s="2" t="s">
        <v>11594</v>
      </c>
      <c r="B5445" s="2" t="s">
        <v>11595</v>
      </c>
      <c r="C5445" s="2" t="s">
        <v>5</v>
      </c>
      <c r="D5445" s="2" t="s">
        <v>11048</v>
      </c>
      <c r="E5445" s="2" t="str">
        <f>"9783031636844"</f>
        <v>9783031636844</v>
      </c>
      <c r="F5445" s="2" t="str">
        <f>"9783031636851"</f>
        <v>9783031636851</v>
      </c>
    </row>
    <row r="5446" spans="1:6" s="3" customFormat="1" ht="29.1" customHeight="1" x14ac:dyDescent="0.25">
      <c r="A5446" s="2" t="s">
        <v>11596</v>
      </c>
      <c r="B5446" s="2" t="s">
        <v>11597</v>
      </c>
      <c r="C5446" s="2" t="s">
        <v>5</v>
      </c>
      <c r="D5446" s="2" t="s">
        <v>894</v>
      </c>
      <c r="E5446" s="2" t="str">
        <f>"9783031603426"</f>
        <v>9783031603426</v>
      </c>
      <c r="F5446" s="2" t="str">
        <f>"9783031603433"</f>
        <v>9783031603433</v>
      </c>
    </row>
    <row r="5447" spans="1:6" s="3" customFormat="1" ht="29.1" customHeight="1" x14ac:dyDescent="0.25">
      <c r="A5447" s="2" t="s">
        <v>11598</v>
      </c>
      <c r="B5447" s="2" t="s">
        <v>11599</v>
      </c>
      <c r="C5447" s="2" t="s">
        <v>5</v>
      </c>
      <c r="D5447" s="2" t="s">
        <v>52</v>
      </c>
      <c r="E5447" s="2" t="str">
        <f>"9783031723803"</f>
        <v>9783031723803</v>
      </c>
      <c r="F5447" s="2" t="str">
        <f>"9783031723810"</f>
        <v>9783031723810</v>
      </c>
    </row>
    <row r="5448" spans="1:6" s="3" customFormat="1" ht="29.1" customHeight="1" x14ac:dyDescent="0.25">
      <c r="A5448" s="2" t="s">
        <v>11600</v>
      </c>
      <c r="B5448" s="2" t="s">
        <v>11601</v>
      </c>
      <c r="C5448" s="2" t="s">
        <v>149</v>
      </c>
      <c r="D5448" s="2" t="s">
        <v>528</v>
      </c>
      <c r="E5448" s="2" t="str">
        <f>"9781805113614"</f>
        <v>9781805113614</v>
      </c>
      <c r="F5448" s="2" t="str">
        <f>"9781805113638"</f>
        <v>9781805113638</v>
      </c>
    </row>
    <row r="5449" spans="1:6" s="3" customFormat="1" ht="29.1" customHeight="1" x14ac:dyDescent="0.25">
      <c r="A5449" s="2" t="s">
        <v>11602</v>
      </c>
      <c r="B5449" s="2" t="s">
        <v>11604</v>
      </c>
      <c r="C5449" s="2" t="s">
        <v>149</v>
      </c>
      <c r="D5449" s="2" t="s">
        <v>11603</v>
      </c>
      <c r="E5449" s="2" t="str">
        <f>"9781805113263"</f>
        <v>9781805113263</v>
      </c>
      <c r="F5449" s="2" t="str">
        <f>"9781805113287"</f>
        <v>9781805113287</v>
      </c>
    </row>
    <row r="5450" spans="1:6" s="3" customFormat="1" ht="29.1" customHeight="1" x14ac:dyDescent="0.25">
      <c r="A5450" s="2" t="s">
        <v>11605</v>
      </c>
      <c r="B5450" s="2" t="s">
        <v>11606</v>
      </c>
      <c r="C5450" s="2" t="s">
        <v>149</v>
      </c>
      <c r="D5450" s="2" t="s">
        <v>1155</v>
      </c>
      <c r="E5450" s="2" t="str">
        <f>"9781805112907"</f>
        <v>9781805112907</v>
      </c>
      <c r="F5450" s="2" t="str">
        <f>"9781805112921"</f>
        <v>9781805112921</v>
      </c>
    </row>
    <row r="5451" spans="1:6" s="3" customFormat="1" ht="29.1" customHeight="1" x14ac:dyDescent="0.25">
      <c r="A5451" s="2" t="s">
        <v>11607</v>
      </c>
      <c r="B5451" s="2" t="s">
        <v>11608</v>
      </c>
      <c r="C5451" s="2" t="s">
        <v>149</v>
      </c>
      <c r="D5451" s="2" t="s">
        <v>107</v>
      </c>
      <c r="E5451" s="2" t="str">
        <f>"9781805111641"</f>
        <v>9781805111641</v>
      </c>
      <c r="F5451" s="2" t="str">
        <f>"9781805111665"</f>
        <v>9781805111665</v>
      </c>
    </row>
    <row r="5452" spans="1:6" s="3" customFormat="1" ht="29.1" customHeight="1" x14ac:dyDescent="0.25">
      <c r="A5452" s="2" t="s">
        <v>11609</v>
      </c>
      <c r="B5452" s="2" t="s">
        <v>11610</v>
      </c>
      <c r="C5452" s="2" t="s">
        <v>149</v>
      </c>
      <c r="D5452" s="2" t="s">
        <v>5832</v>
      </c>
      <c r="E5452" s="2" t="str">
        <f>"9781805111528"</f>
        <v>9781805111528</v>
      </c>
      <c r="F5452" s="2" t="str">
        <f>"9781805111542"</f>
        <v>9781805111542</v>
      </c>
    </row>
    <row r="5453" spans="1:6" s="3" customFormat="1" ht="29.1" customHeight="1" x14ac:dyDescent="0.25">
      <c r="A5453" s="2" t="s">
        <v>11611</v>
      </c>
      <c r="B5453" s="2" t="s">
        <v>11612</v>
      </c>
      <c r="C5453" s="2" t="s">
        <v>149</v>
      </c>
      <c r="D5453" s="2" t="s">
        <v>183</v>
      </c>
      <c r="E5453" s="2" t="str">
        <f>"9781805111146"</f>
        <v>9781805111146</v>
      </c>
      <c r="F5453" s="2" t="str">
        <f>"9781805111160"</f>
        <v>9781805111160</v>
      </c>
    </row>
    <row r="5454" spans="1:6" s="3" customFormat="1" ht="29.1" customHeight="1" x14ac:dyDescent="0.25">
      <c r="A5454" s="2" t="s">
        <v>11613</v>
      </c>
      <c r="B5454" s="2" t="s">
        <v>11614</v>
      </c>
      <c r="C5454" s="2" t="s">
        <v>316</v>
      </c>
      <c r="D5454" s="2" t="s">
        <v>2291</v>
      </c>
      <c r="E5454" s="2" t="str">
        <f>"9783036402031"</f>
        <v>9783036402031</v>
      </c>
      <c r="F5454" s="2" t="str">
        <f>"9783036412030"</f>
        <v>9783036412030</v>
      </c>
    </row>
    <row r="5455" spans="1:6" s="3" customFormat="1" ht="29.1" customHeight="1" x14ac:dyDescent="0.25">
      <c r="A5455" s="2" t="s">
        <v>11615</v>
      </c>
      <c r="B5455" s="2" t="s">
        <v>11617</v>
      </c>
      <c r="C5455" s="2" t="s">
        <v>2133</v>
      </c>
      <c r="D5455" s="2" t="s">
        <v>11616</v>
      </c>
      <c r="E5455" s="2" t="str">
        <f>"9781760466213"</f>
        <v>9781760466213</v>
      </c>
      <c r="F5455" s="2" t="str">
        <f>"9781760466220"</f>
        <v>9781760466220</v>
      </c>
    </row>
    <row r="5456" spans="1:6" s="3" customFormat="1" ht="29.1" customHeight="1" x14ac:dyDescent="0.25">
      <c r="A5456" s="2" t="s">
        <v>11618</v>
      </c>
      <c r="B5456" s="2" t="s">
        <v>11619</v>
      </c>
      <c r="C5456" s="2" t="s">
        <v>5</v>
      </c>
      <c r="D5456" s="2" t="s">
        <v>141</v>
      </c>
      <c r="E5456" s="2" t="str">
        <f>"9789464635072"</f>
        <v>9789464635072</v>
      </c>
      <c r="F5456" s="2" t="str">
        <f>"9789464635089"</f>
        <v>9789464635089</v>
      </c>
    </row>
    <row r="5457" spans="1:6" s="3" customFormat="1" ht="29.1" customHeight="1" x14ac:dyDescent="0.25">
      <c r="A5457" s="2" t="s">
        <v>11620</v>
      </c>
      <c r="B5457" s="2" t="s">
        <v>11622</v>
      </c>
      <c r="C5457" s="2" t="s">
        <v>29</v>
      </c>
      <c r="D5457" s="2" t="s">
        <v>11621</v>
      </c>
      <c r="E5457" s="2" t="str">
        <f>"9789004696518"</f>
        <v>9789004696518</v>
      </c>
      <c r="F5457" s="2" t="str">
        <f>"9789004696525"</f>
        <v>9789004696525</v>
      </c>
    </row>
    <row r="5458" spans="1:6" s="3" customFormat="1" ht="29.1" customHeight="1" x14ac:dyDescent="0.25">
      <c r="A5458" s="2" t="s">
        <v>11023</v>
      </c>
      <c r="B5458" s="2" t="s">
        <v>11024</v>
      </c>
      <c r="C5458" s="2" t="s">
        <v>59</v>
      </c>
      <c r="D5458" s="2" t="s">
        <v>694</v>
      </c>
      <c r="E5458" s="2"/>
      <c r="F5458" s="2" t="str">
        <f>"9782759239290"</f>
        <v>9782759239290</v>
      </c>
    </row>
    <row r="5459" spans="1:6" s="3" customFormat="1" ht="29.1" customHeight="1" x14ac:dyDescent="0.25">
      <c r="A5459" s="2" t="s">
        <v>11623</v>
      </c>
      <c r="B5459" s="2" t="s">
        <v>11624</v>
      </c>
      <c r="C5459" s="2" t="s">
        <v>124</v>
      </c>
      <c r="D5459" s="2" t="s">
        <v>1046</v>
      </c>
      <c r="E5459" s="2" t="str">
        <f>"9780367682217"</f>
        <v>9780367682217</v>
      </c>
      <c r="F5459" s="2" t="str">
        <f>"9781040230305"</f>
        <v>9781040230305</v>
      </c>
    </row>
    <row r="5460" spans="1:6" s="3" customFormat="1" ht="29.1" customHeight="1" x14ac:dyDescent="0.25">
      <c r="A5460" s="2" t="s">
        <v>11625</v>
      </c>
      <c r="B5460" s="2" t="s">
        <v>11626</v>
      </c>
      <c r="C5460" s="2" t="s">
        <v>124</v>
      </c>
      <c r="D5460" s="2" t="s">
        <v>33</v>
      </c>
      <c r="E5460" s="2" t="str">
        <f>"9780367482060"</f>
        <v>9780367482060</v>
      </c>
      <c r="F5460" s="2" t="str">
        <f>"9781040172001"</f>
        <v>9781040172001</v>
      </c>
    </row>
    <row r="5461" spans="1:6" s="3" customFormat="1" ht="29.1" customHeight="1" x14ac:dyDescent="0.25">
      <c r="A5461" s="2" t="s">
        <v>11627</v>
      </c>
      <c r="B5461" s="2" t="s">
        <v>11629</v>
      </c>
      <c r="C5461" s="2" t="s">
        <v>264</v>
      </c>
      <c r="D5461" s="2" t="s">
        <v>11628</v>
      </c>
      <c r="E5461" s="2" t="str">
        <f>"9781032770291"</f>
        <v>9781032770291</v>
      </c>
      <c r="F5461" s="2" t="str">
        <f>"9781040267639"</f>
        <v>9781040267639</v>
      </c>
    </row>
    <row r="5462" spans="1:6" s="3" customFormat="1" ht="29.1" customHeight="1" x14ac:dyDescent="0.25">
      <c r="A5462" s="2" t="s">
        <v>11630</v>
      </c>
      <c r="B5462" s="2" t="s">
        <v>11631</v>
      </c>
      <c r="C5462" s="2" t="s">
        <v>264</v>
      </c>
      <c r="D5462" s="2" t="s">
        <v>5032</v>
      </c>
      <c r="E5462" s="2" t="str">
        <f>"9781032690988"</f>
        <v>9781032690988</v>
      </c>
      <c r="F5462" s="2" t="str">
        <f>"9781003849308"</f>
        <v>9781003849308</v>
      </c>
    </row>
    <row r="5463" spans="1:6" s="3" customFormat="1" ht="29.1" customHeight="1" x14ac:dyDescent="0.25">
      <c r="A5463" s="2" t="s">
        <v>11632</v>
      </c>
      <c r="B5463" s="2" t="s">
        <v>11634</v>
      </c>
      <c r="C5463" s="2" t="s">
        <v>264</v>
      </c>
      <c r="D5463" s="2" t="s">
        <v>11633</v>
      </c>
      <c r="E5463" s="2" t="str">
        <f>"9781032574479"</f>
        <v>9781032574479</v>
      </c>
      <c r="F5463" s="2" t="str">
        <f>"9781040165416"</f>
        <v>9781040165416</v>
      </c>
    </row>
    <row r="5464" spans="1:6" s="3" customFormat="1" ht="29.1" customHeight="1" x14ac:dyDescent="0.25">
      <c r="A5464" s="2" t="s">
        <v>11635</v>
      </c>
      <c r="B5464" s="2" t="s">
        <v>11636</v>
      </c>
      <c r="C5464" s="2" t="s">
        <v>264</v>
      </c>
      <c r="D5464" s="2" t="s">
        <v>6</v>
      </c>
      <c r="E5464" s="2" t="str">
        <f>"9781032710501"</f>
        <v>9781032710501</v>
      </c>
      <c r="F5464" s="2" t="str">
        <f>"9781040222836"</f>
        <v>9781040222836</v>
      </c>
    </row>
    <row r="5465" spans="1:6" s="3" customFormat="1" ht="29.1" customHeight="1" x14ac:dyDescent="0.25">
      <c r="A5465" s="2" t="s">
        <v>11637</v>
      </c>
      <c r="B5465" s="2" t="s">
        <v>11638</v>
      </c>
      <c r="C5465" s="2" t="s">
        <v>264</v>
      </c>
      <c r="D5465" s="2" t="s">
        <v>44</v>
      </c>
      <c r="E5465" s="2" t="str">
        <f>"9781032706832"</f>
        <v>9781032706832</v>
      </c>
      <c r="F5465" s="2" t="str">
        <f>"9781040151877"</f>
        <v>9781040151877</v>
      </c>
    </row>
    <row r="5466" spans="1:6" s="3" customFormat="1" ht="29.1" customHeight="1" x14ac:dyDescent="0.25">
      <c r="A5466" s="2" t="s">
        <v>11639</v>
      </c>
      <c r="B5466" s="2" t="s">
        <v>11640</v>
      </c>
      <c r="C5466" s="2" t="s">
        <v>264</v>
      </c>
      <c r="D5466" s="2" t="s">
        <v>504</v>
      </c>
      <c r="E5466" s="2" t="str">
        <f>"9781032865041"</f>
        <v>9781032865041</v>
      </c>
      <c r="F5466" s="2" t="str">
        <f>"9781040261750"</f>
        <v>9781040261750</v>
      </c>
    </row>
    <row r="5467" spans="1:6" s="3" customFormat="1" ht="29.1" customHeight="1" x14ac:dyDescent="0.25">
      <c r="A5467" s="2" t="s">
        <v>11641</v>
      </c>
      <c r="B5467" s="2" t="s">
        <v>11642</v>
      </c>
      <c r="C5467" s="2" t="s">
        <v>264</v>
      </c>
      <c r="D5467" s="2" t="s">
        <v>52</v>
      </c>
      <c r="E5467" s="2" t="str">
        <f>"9781032869926"</f>
        <v>9781032869926</v>
      </c>
      <c r="F5467" s="2" t="str">
        <f>"9781040261163"</f>
        <v>9781040261163</v>
      </c>
    </row>
    <row r="5468" spans="1:6" s="3" customFormat="1" ht="29.1" customHeight="1" x14ac:dyDescent="0.25">
      <c r="A5468" s="2" t="s">
        <v>11643</v>
      </c>
      <c r="B5468" s="2" t="s">
        <v>11644</v>
      </c>
      <c r="C5468" s="2" t="s">
        <v>264</v>
      </c>
      <c r="D5468" s="2" t="s">
        <v>1959</v>
      </c>
      <c r="E5468" s="2" t="str">
        <f>"9781032902548"</f>
        <v>9781032902548</v>
      </c>
      <c r="F5468" s="2" t="str">
        <f>"9781040310830"</f>
        <v>9781040310830</v>
      </c>
    </row>
    <row r="5469" spans="1:6" s="3" customFormat="1" ht="29.1" customHeight="1" x14ac:dyDescent="0.25">
      <c r="A5469" s="2" t="s">
        <v>11645</v>
      </c>
      <c r="B5469" s="2" t="s">
        <v>11646</v>
      </c>
      <c r="C5469" s="2" t="s">
        <v>264</v>
      </c>
      <c r="D5469" s="2" t="s">
        <v>297</v>
      </c>
      <c r="E5469" s="2" t="str">
        <f>"9781032877921"</f>
        <v>9781032877921</v>
      </c>
      <c r="F5469" s="2" t="str">
        <f>"9781040225325"</f>
        <v>9781040225325</v>
      </c>
    </row>
    <row r="5470" spans="1:6" s="3" customFormat="1" ht="29.1" customHeight="1" x14ac:dyDescent="0.25">
      <c r="A5470" s="2" t="s">
        <v>11643</v>
      </c>
      <c r="B5470" s="2" t="s">
        <v>11644</v>
      </c>
      <c r="C5470" s="2" t="s">
        <v>264</v>
      </c>
      <c r="D5470" s="2" t="s">
        <v>1959</v>
      </c>
      <c r="E5470" s="2" t="str">
        <f>"9781032906690"</f>
        <v>9781032906690</v>
      </c>
      <c r="F5470" s="2" t="str">
        <f>"9781040311622"</f>
        <v>9781040311622</v>
      </c>
    </row>
    <row r="5471" spans="1:6" s="3" customFormat="1" ht="29.1" customHeight="1" x14ac:dyDescent="0.25">
      <c r="A5471" s="2" t="s">
        <v>11647</v>
      </c>
      <c r="B5471" s="2" t="s">
        <v>348</v>
      </c>
      <c r="C5471" s="2" t="s">
        <v>5</v>
      </c>
      <c r="D5471" s="2" t="s">
        <v>1071</v>
      </c>
      <c r="E5471" s="2" t="str">
        <f>"9789819967933"</f>
        <v>9789819967933</v>
      </c>
      <c r="F5471" s="2" t="str">
        <f>"9789819967940"</f>
        <v>9789819967940</v>
      </c>
    </row>
    <row r="5472" spans="1:6" s="3" customFormat="1" ht="29.1" customHeight="1" x14ac:dyDescent="0.25">
      <c r="A5472" s="2" t="s">
        <v>11648</v>
      </c>
      <c r="B5472" s="2" t="s">
        <v>11649</v>
      </c>
      <c r="C5472" s="2" t="s">
        <v>5</v>
      </c>
      <c r="D5472" s="2" t="s">
        <v>44</v>
      </c>
      <c r="E5472" s="2" t="str">
        <f>"9789819771974"</f>
        <v>9789819771974</v>
      </c>
      <c r="F5472" s="2" t="str">
        <f>"9789819771981"</f>
        <v>9789819771981</v>
      </c>
    </row>
    <row r="5473" spans="1:6" s="3" customFormat="1" ht="29.1" customHeight="1" x14ac:dyDescent="0.25">
      <c r="A5473" s="2" t="s">
        <v>11650</v>
      </c>
      <c r="B5473" s="2" t="s">
        <v>11651</v>
      </c>
      <c r="C5473" s="2" t="s">
        <v>29</v>
      </c>
      <c r="D5473" s="2" t="s">
        <v>3166</v>
      </c>
      <c r="E5473" s="2" t="str">
        <f>"9789004429765"</f>
        <v>9789004429765</v>
      </c>
      <c r="F5473" s="2" t="str">
        <f>"9789004429772"</f>
        <v>9789004429772</v>
      </c>
    </row>
    <row r="5474" spans="1:6" s="3" customFormat="1" ht="29.1" customHeight="1" x14ac:dyDescent="0.25">
      <c r="A5474" s="2" t="s">
        <v>11652</v>
      </c>
      <c r="B5474" s="2" t="s">
        <v>11653</v>
      </c>
      <c r="C5474" s="2" t="s">
        <v>124</v>
      </c>
      <c r="D5474" s="2" t="s">
        <v>353</v>
      </c>
      <c r="E5474" s="2" t="str">
        <f>"9781032490588"</f>
        <v>9781032490588</v>
      </c>
      <c r="F5474" s="2" t="str">
        <f>"9781040125335"</f>
        <v>9781040125335</v>
      </c>
    </row>
    <row r="5475" spans="1:6" s="3" customFormat="1" ht="29.1" customHeight="1" x14ac:dyDescent="0.25">
      <c r="A5475" s="2" t="s">
        <v>11654</v>
      </c>
      <c r="B5475" s="2" t="s">
        <v>11655</v>
      </c>
      <c r="C5475" s="2" t="s">
        <v>124</v>
      </c>
      <c r="D5475" s="2" t="s">
        <v>2513</v>
      </c>
      <c r="E5475" s="2" t="str">
        <f>"9781032249858"</f>
        <v>9781032249858</v>
      </c>
      <c r="F5475" s="2" t="str">
        <f>"9781040165096"</f>
        <v>9781040165096</v>
      </c>
    </row>
    <row r="5476" spans="1:6" s="3" customFormat="1" ht="29.1" customHeight="1" x14ac:dyDescent="0.25">
      <c r="A5476" s="2" t="s">
        <v>11656</v>
      </c>
      <c r="B5476" s="2" t="s">
        <v>11657</v>
      </c>
      <c r="C5476" s="2" t="s">
        <v>124</v>
      </c>
      <c r="D5476" s="2" t="s">
        <v>3656</v>
      </c>
      <c r="E5476" s="2" t="str">
        <f>"9781032748115"</f>
        <v>9781032748115</v>
      </c>
      <c r="F5476" s="2" t="str">
        <f>"9781040226995"</f>
        <v>9781040226995</v>
      </c>
    </row>
    <row r="5477" spans="1:6" s="3" customFormat="1" ht="29.1" customHeight="1" x14ac:dyDescent="0.25">
      <c r="A5477" s="2" t="s">
        <v>11658</v>
      </c>
      <c r="B5477" s="2" t="s">
        <v>11659</v>
      </c>
      <c r="C5477" s="2" t="s">
        <v>124</v>
      </c>
      <c r="D5477" s="2" t="s">
        <v>210</v>
      </c>
      <c r="E5477" s="2" t="str">
        <f>"9781032329253"</f>
        <v>9781032329253</v>
      </c>
      <c r="F5477" s="2" t="str">
        <f>"9781040133330"</f>
        <v>9781040133330</v>
      </c>
    </row>
    <row r="5478" spans="1:6" s="3" customFormat="1" ht="29.1" customHeight="1" x14ac:dyDescent="0.25">
      <c r="A5478" s="2" t="s">
        <v>11660</v>
      </c>
      <c r="B5478" s="2" t="s">
        <v>11661</v>
      </c>
      <c r="C5478" s="2" t="s">
        <v>124</v>
      </c>
      <c r="D5478" s="2" t="s">
        <v>694</v>
      </c>
      <c r="E5478" s="2" t="str">
        <f>"9781032218700"</f>
        <v>9781032218700</v>
      </c>
      <c r="F5478" s="2" t="str">
        <f>"9781040263020"</f>
        <v>9781040263020</v>
      </c>
    </row>
    <row r="5479" spans="1:6" s="3" customFormat="1" ht="29.1" customHeight="1" x14ac:dyDescent="0.25">
      <c r="A5479" s="2" t="s">
        <v>11662</v>
      </c>
      <c r="B5479" s="2" t="s">
        <v>11663</v>
      </c>
      <c r="C5479" s="2" t="s">
        <v>124</v>
      </c>
      <c r="D5479" s="2" t="s">
        <v>6972</v>
      </c>
      <c r="E5479" s="2" t="str">
        <f>"9781032875521"</f>
        <v>9781032875521</v>
      </c>
      <c r="F5479" s="2" t="str">
        <f>"9781040182987"</f>
        <v>9781040182987</v>
      </c>
    </row>
    <row r="5480" spans="1:6" s="3" customFormat="1" ht="29.1" customHeight="1" x14ac:dyDescent="0.25">
      <c r="A5480" s="2" t="s">
        <v>11664</v>
      </c>
      <c r="B5480" s="2" t="s">
        <v>11665</v>
      </c>
      <c r="C5480" s="2" t="s">
        <v>124</v>
      </c>
      <c r="D5480" s="2" t="s">
        <v>183</v>
      </c>
      <c r="E5480" s="2" t="str">
        <f>"9781032583105"</f>
        <v>9781032583105</v>
      </c>
      <c r="F5480" s="2" t="str">
        <f>"9781040276662"</f>
        <v>9781040276662</v>
      </c>
    </row>
    <row r="5481" spans="1:6" s="3" customFormat="1" ht="29.1" customHeight="1" x14ac:dyDescent="0.25">
      <c r="A5481" s="2" t="s">
        <v>11666</v>
      </c>
      <c r="B5481" s="2" t="s">
        <v>11667</v>
      </c>
      <c r="C5481" s="2" t="s">
        <v>124</v>
      </c>
      <c r="D5481" s="2" t="s">
        <v>2263</v>
      </c>
      <c r="E5481" s="2" t="str">
        <f>"9781032738291"</f>
        <v>9781032738291</v>
      </c>
      <c r="F5481" s="2" t="str">
        <f>"9781040295885"</f>
        <v>9781040295885</v>
      </c>
    </row>
    <row r="5482" spans="1:6" s="3" customFormat="1" ht="29.1" customHeight="1" x14ac:dyDescent="0.25">
      <c r="A5482" s="2" t="s">
        <v>11668</v>
      </c>
      <c r="B5482" s="2" t="s">
        <v>11670</v>
      </c>
      <c r="C5482" s="2" t="s">
        <v>124</v>
      </c>
      <c r="D5482" s="2" t="s">
        <v>11669</v>
      </c>
      <c r="E5482" s="2" t="str">
        <f>"9781032458311"</f>
        <v>9781032458311</v>
      </c>
      <c r="F5482" s="2" t="str">
        <f>"9781040275191"</f>
        <v>9781040275191</v>
      </c>
    </row>
    <row r="5483" spans="1:6" s="3" customFormat="1" ht="29.1" customHeight="1" x14ac:dyDescent="0.25">
      <c r="A5483" s="2" t="s">
        <v>11671</v>
      </c>
      <c r="B5483" s="2" t="s">
        <v>11673</v>
      </c>
      <c r="C5483" s="2" t="s">
        <v>124</v>
      </c>
      <c r="D5483" s="2" t="s">
        <v>11672</v>
      </c>
      <c r="E5483" s="2" t="str">
        <f>"9781032753652"</f>
        <v>9781032753652</v>
      </c>
      <c r="F5483" s="2" t="str">
        <f>"9781040275993"</f>
        <v>9781040275993</v>
      </c>
    </row>
    <row r="5484" spans="1:6" s="3" customFormat="1" ht="29.1" customHeight="1" x14ac:dyDescent="0.25">
      <c r="A5484" s="2" t="s">
        <v>11674</v>
      </c>
      <c r="B5484" s="2" t="s">
        <v>11675</v>
      </c>
      <c r="C5484" s="2" t="s">
        <v>5</v>
      </c>
      <c r="D5484" s="2" t="s">
        <v>44</v>
      </c>
      <c r="E5484" s="2" t="str">
        <f>"9789464635157"</f>
        <v>9789464635157</v>
      </c>
      <c r="F5484" s="2" t="str">
        <f>"9789464635164"</f>
        <v>9789464635164</v>
      </c>
    </row>
    <row r="5485" spans="1:6" s="3" customFormat="1" ht="29.1" customHeight="1" x14ac:dyDescent="0.25">
      <c r="A5485" s="2" t="s">
        <v>11676</v>
      </c>
      <c r="B5485" s="2" t="s">
        <v>11677</v>
      </c>
      <c r="C5485" s="2" t="s">
        <v>124</v>
      </c>
      <c r="D5485" s="2" t="s">
        <v>6972</v>
      </c>
      <c r="E5485" s="2" t="str">
        <f>"9781032875477"</f>
        <v>9781032875477</v>
      </c>
      <c r="F5485" s="2" t="str">
        <f>"9781040229149"</f>
        <v>9781040229149</v>
      </c>
    </row>
    <row r="5486" spans="1:6" s="3" customFormat="1" ht="29.1" customHeight="1" x14ac:dyDescent="0.25">
      <c r="A5486" s="2" t="s">
        <v>11678</v>
      </c>
      <c r="B5486" s="2" t="s">
        <v>11679</v>
      </c>
      <c r="C5486" s="2" t="s">
        <v>124</v>
      </c>
      <c r="D5486" s="2" t="s">
        <v>302</v>
      </c>
      <c r="E5486" s="2" t="str">
        <f>"9781032592053"</f>
        <v>9781032592053</v>
      </c>
      <c r="F5486" s="2" t="str">
        <f>"9781040296639"</f>
        <v>9781040296639</v>
      </c>
    </row>
    <row r="5487" spans="1:6" s="3" customFormat="1" ht="29.1" customHeight="1" x14ac:dyDescent="0.25">
      <c r="A5487" s="2" t="s">
        <v>11680</v>
      </c>
      <c r="B5487" s="2" t="s">
        <v>11681</v>
      </c>
      <c r="C5487" s="2" t="s">
        <v>124</v>
      </c>
      <c r="D5487" s="2" t="s">
        <v>189</v>
      </c>
      <c r="E5487" s="2" t="str">
        <f>"9781032692890"</f>
        <v>9781032692890</v>
      </c>
      <c r="F5487" s="2" t="str">
        <f>"9781040261583"</f>
        <v>9781040261583</v>
      </c>
    </row>
    <row r="5488" spans="1:6" s="3" customFormat="1" ht="29.1" customHeight="1" x14ac:dyDescent="0.25">
      <c r="A5488" s="2" t="s">
        <v>11682</v>
      </c>
      <c r="B5488" s="2" t="s">
        <v>11683</v>
      </c>
      <c r="C5488" s="2" t="s">
        <v>124</v>
      </c>
      <c r="D5488" s="2" t="s">
        <v>183</v>
      </c>
      <c r="E5488" s="2" t="str">
        <f>"9781032354330"</f>
        <v>9781032354330</v>
      </c>
      <c r="F5488" s="2" t="str">
        <f>"9781040297483"</f>
        <v>9781040297483</v>
      </c>
    </row>
    <row r="5489" spans="1:6" s="3" customFormat="1" ht="29.1" customHeight="1" x14ac:dyDescent="0.25">
      <c r="A5489" s="2" t="s">
        <v>11684</v>
      </c>
      <c r="B5489" s="2" t="s">
        <v>11685</v>
      </c>
      <c r="C5489" s="2" t="s">
        <v>124</v>
      </c>
      <c r="D5489" s="2" t="s">
        <v>10038</v>
      </c>
      <c r="E5489" s="2" t="str">
        <f>"9781032743011"</f>
        <v>9781032743011</v>
      </c>
      <c r="F5489" s="2" t="str">
        <f>"9781040226254"</f>
        <v>9781040226254</v>
      </c>
    </row>
    <row r="5490" spans="1:6" s="3" customFormat="1" ht="29.1" customHeight="1" x14ac:dyDescent="0.25">
      <c r="A5490" s="2" t="s">
        <v>11686</v>
      </c>
      <c r="B5490" s="2" t="s">
        <v>11687</v>
      </c>
      <c r="C5490" s="2" t="s">
        <v>124</v>
      </c>
      <c r="D5490" s="2" t="s">
        <v>606</v>
      </c>
      <c r="E5490" s="2" t="str">
        <f>"9781032573458"</f>
        <v>9781032573458</v>
      </c>
      <c r="F5490" s="2" t="str">
        <f>"9781040257579"</f>
        <v>9781040257579</v>
      </c>
    </row>
    <row r="5491" spans="1:6" s="3" customFormat="1" ht="29.1" customHeight="1" x14ac:dyDescent="0.25">
      <c r="A5491" s="2" t="s">
        <v>11688</v>
      </c>
      <c r="B5491" s="2" t="s">
        <v>11689</v>
      </c>
      <c r="C5491" s="2" t="s">
        <v>124</v>
      </c>
      <c r="D5491" s="2" t="s">
        <v>1669</v>
      </c>
      <c r="E5491" s="2" t="str">
        <f>"9781032827117"</f>
        <v>9781032827117</v>
      </c>
      <c r="F5491" s="2" t="str">
        <f>"9781040305522"</f>
        <v>9781040305522</v>
      </c>
    </row>
    <row r="5492" spans="1:6" s="3" customFormat="1" ht="29.1" customHeight="1" x14ac:dyDescent="0.25">
      <c r="A5492" s="2" t="s">
        <v>11690</v>
      </c>
      <c r="B5492" s="2" t="s">
        <v>11691</v>
      </c>
      <c r="C5492" s="2" t="s">
        <v>124</v>
      </c>
      <c r="D5492" s="2" t="s">
        <v>1669</v>
      </c>
      <c r="E5492" s="2" t="str">
        <f>"9781032162690"</f>
        <v>9781032162690</v>
      </c>
      <c r="F5492" s="2" t="str">
        <f>"9781040261323"</f>
        <v>9781040261323</v>
      </c>
    </row>
    <row r="5493" spans="1:6" s="3" customFormat="1" ht="29.1" customHeight="1" x14ac:dyDescent="0.25">
      <c r="A5493" s="2" t="s">
        <v>11692</v>
      </c>
      <c r="B5493" s="2" t="s">
        <v>11694</v>
      </c>
      <c r="C5493" s="2" t="s">
        <v>149</v>
      </c>
      <c r="D5493" s="2" t="s">
        <v>11693</v>
      </c>
      <c r="E5493" s="2" t="str">
        <f>"9781685712501"</f>
        <v>9781685712501</v>
      </c>
      <c r="F5493" s="2" t="str">
        <f>"9781685712518"</f>
        <v>9781685712518</v>
      </c>
    </row>
    <row r="5494" spans="1:6" s="3" customFormat="1" ht="29.1" customHeight="1" x14ac:dyDescent="0.25">
      <c r="A5494" s="2" t="s">
        <v>11695</v>
      </c>
      <c r="B5494" s="2" t="s">
        <v>11697</v>
      </c>
      <c r="C5494" s="2" t="s">
        <v>149</v>
      </c>
      <c r="D5494" s="2" t="s">
        <v>11696</v>
      </c>
      <c r="E5494" s="2" t="str">
        <f>"9781685712389"</f>
        <v>9781685712389</v>
      </c>
      <c r="F5494" s="2" t="str">
        <f>"9781685712396"</f>
        <v>9781685712396</v>
      </c>
    </row>
    <row r="5495" spans="1:6" s="3" customFormat="1" ht="29.1" customHeight="1" x14ac:dyDescent="0.25">
      <c r="A5495" s="2" t="s">
        <v>11698</v>
      </c>
      <c r="B5495" s="2" t="s">
        <v>11699</v>
      </c>
      <c r="C5495" s="2" t="s">
        <v>124</v>
      </c>
      <c r="D5495" s="2" t="s">
        <v>484</v>
      </c>
      <c r="E5495" s="2" t="str">
        <f>"9781032776941"</f>
        <v>9781032776941</v>
      </c>
      <c r="F5495" s="2" t="str">
        <f>"9781040296646"</f>
        <v>9781040296646</v>
      </c>
    </row>
    <row r="5496" spans="1:6" s="3" customFormat="1" ht="29.1" customHeight="1" x14ac:dyDescent="0.25">
      <c r="A5496" s="2" t="s">
        <v>11700</v>
      </c>
      <c r="B5496" s="2" t="s">
        <v>11701</v>
      </c>
      <c r="C5496" s="2" t="s">
        <v>62</v>
      </c>
      <c r="D5496" s="2" t="s">
        <v>2153</v>
      </c>
      <c r="E5496" s="2" t="str">
        <f>"9783428192038"</f>
        <v>9783428192038</v>
      </c>
      <c r="F5496" s="2" t="str">
        <f>"9783428592036"</f>
        <v>9783428592036</v>
      </c>
    </row>
    <row r="5497" spans="1:6" s="3" customFormat="1" ht="29.1" customHeight="1" x14ac:dyDescent="0.25">
      <c r="A5497" s="2" t="s">
        <v>11702</v>
      </c>
      <c r="B5497" s="2" t="s">
        <v>11703</v>
      </c>
      <c r="C5497" s="2" t="s">
        <v>124</v>
      </c>
      <c r="D5497" s="2" t="s">
        <v>606</v>
      </c>
      <c r="E5497" s="2" t="str">
        <f>"9781032391311"</f>
        <v>9781032391311</v>
      </c>
      <c r="F5497" s="2" t="str">
        <f>"9781040272749"</f>
        <v>9781040272749</v>
      </c>
    </row>
    <row r="5498" spans="1:6" s="3" customFormat="1" ht="29.1" customHeight="1" x14ac:dyDescent="0.25">
      <c r="A5498" s="2" t="s">
        <v>11704</v>
      </c>
      <c r="B5498" s="2" t="s">
        <v>11705</v>
      </c>
      <c r="C5498" s="2" t="s">
        <v>556</v>
      </c>
      <c r="D5498" s="2" t="s">
        <v>3214</v>
      </c>
      <c r="E5498" s="2" t="str">
        <f>"9783837671094"</f>
        <v>9783837671094</v>
      </c>
      <c r="F5498" s="2" t="str">
        <f>"9783732871094"</f>
        <v>9783732871094</v>
      </c>
    </row>
    <row r="5499" spans="1:6" s="3" customFormat="1" ht="29.1" customHeight="1" x14ac:dyDescent="0.25">
      <c r="A5499" s="2" t="s">
        <v>11706</v>
      </c>
      <c r="B5499" s="2" t="s">
        <v>11707</v>
      </c>
      <c r="C5499" s="2" t="s">
        <v>124</v>
      </c>
      <c r="D5499" s="2" t="s">
        <v>413</v>
      </c>
      <c r="E5499" s="2" t="str">
        <f>"9781032724379"</f>
        <v>9781032724379</v>
      </c>
      <c r="F5499" s="2" t="str">
        <f>"9781040253687"</f>
        <v>9781040253687</v>
      </c>
    </row>
    <row r="5500" spans="1:6" s="3" customFormat="1" ht="29.1" customHeight="1" x14ac:dyDescent="0.25">
      <c r="A5500" s="2" t="s">
        <v>11708</v>
      </c>
      <c r="B5500" s="2" t="s">
        <v>11709</v>
      </c>
      <c r="C5500" s="2" t="s">
        <v>124</v>
      </c>
      <c r="D5500" s="2" t="s">
        <v>1840</v>
      </c>
      <c r="E5500" s="2" t="str">
        <f>"9781032168531"</f>
        <v>9781032168531</v>
      </c>
      <c r="F5500" s="2" t="str">
        <f>"9781040165935"</f>
        <v>9781040165935</v>
      </c>
    </row>
    <row r="5501" spans="1:6" s="3" customFormat="1" ht="29.1" customHeight="1" x14ac:dyDescent="0.25">
      <c r="A5501" s="2" t="s">
        <v>11710</v>
      </c>
      <c r="B5501" s="2" t="s">
        <v>11711</v>
      </c>
      <c r="C5501" s="2" t="s">
        <v>927</v>
      </c>
      <c r="D5501" s="2" t="s">
        <v>8788</v>
      </c>
      <c r="E5501" s="2" t="str">
        <f>"9780472056262"</f>
        <v>9780472056262</v>
      </c>
      <c r="F5501" s="2" t="str">
        <f>"9780472903580"</f>
        <v>9780472903580</v>
      </c>
    </row>
    <row r="5502" spans="1:6" s="3" customFormat="1" ht="29.1" customHeight="1" x14ac:dyDescent="0.25">
      <c r="A5502" s="2" t="s">
        <v>11712</v>
      </c>
      <c r="B5502" s="2" t="s">
        <v>11713</v>
      </c>
      <c r="C5502" s="2" t="s">
        <v>124</v>
      </c>
      <c r="D5502" s="2" t="s">
        <v>10941</v>
      </c>
      <c r="E5502" s="2" t="str">
        <f>"9781032124544"</f>
        <v>9781032124544</v>
      </c>
      <c r="F5502" s="2" t="str">
        <f>"9781040257401"</f>
        <v>9781040257401</v>
      </c>
    </row>
    <row r="5503" spans="1:6" s="3" customFormat="1" ht="29.1" customHeight="1" x14ac:dyDescent="0.25">
      <c r="A5503" s="2" t="s">
        <v>11714</v>
      </c>
      <c r="B5503" s="2" t="s">
        <v>11715</v>
      </c>
      <c r="C5503" s="2" t="s">
        <v>124</v>
      </c>
      <c r="D5503" s="2" t="s">
        <v>2587</v>
      </c>
      <c r="E5503" s="2" t="str">
        <f>"9781032769301"</f>
        <v>9781032769301</v>
      </c>
      <c r="F5503" s="2" t="str">
        <f>"9781040274293"</f>
        <v>9781040274293</v>
      </c>
    </row>
    <row r="5504" spans="1:6" s="3" customFormat="1" ht="29.1" customHeight="1" x14ac:dyDescent="0.25">
      <c r="A5504" s="2" t="s">
        <v>11716</v>
      </c>
      <c r="B5504" s="2" t="s">
        <v>11717</v>
      </c>
      <c r="C5504" s="2" t="s">
        <v>124</v>
      </c>
      <c r="D5504" s="2" t="s">
        <v>2404</v>
      </c>
      <c r="E5504" s="2" t="str">
        <f>"9781032842974"</f>
        <v>9781032842974</v>
      </c>
      <c r="F5504" s="2" t="str">
        <f>"9781040270288"</f>
        <v>9781040270288</v>
      </c>
    </row>
    <row r="5505" spans="1:6" s="3" customFormat="1" ht="29.1" customHeight="1" x14ac:dyDescent="0.25">
      <c r="A5505" s="2" t="s">
        <v>11718</v>
      </c>
      <c r="B5505" s="2" t="s">
        <v>11720</v>
      </c>
      <c r="C5505" s="2" t="s">
        <v>124</v>
      </c>
      <c r="D5505" s="2" t="s">
        <v>11719</v>
      </c>
      <c r="E5505" s="2" t="str">
        <f>"9781032412795"</f>
        <v>9781032412795</v>
      </c>
      <c r="F5505" s="2" t="str">
        <f>"9781040272992"</f>
        <v>9781040272992</v>
      </c>
    </row>
    <row r="5506" spans="1:6" s="3" customFormat="1" ht="29.1" customHeight="1" x14ac:dyDescent="0.25">
      <c r="A5506" s="2" t="s">
        <v>11721</v>
      </c>
      <c r="B5506" s="2" t="s">
        <v>11722</v>
      </c>
      <c r="C5506" s="2" t="s">
        <v>239</v>
      </c>
      <c r="D5506" s="2" t="s">
        <v>636</v>
      </c>
      <c r="E5506" s="2" t="str">
        <f>"9780520404427"</f>
        <v>9780520404427</v>
      </c>
      <c r="F5506" s="2" t="str">
        <f>"9780520404434"</f>
        <v>9780520404434</v>
      </c>
    </row>
    <row r="5507" spans="1:6" s="3" customFormat="1" ht="29.1" customHeight="1" x14ac:dyDescent="0.25">
      <c r="A5507" s="2" t="s">
        <v>11723</v>
      </c>
      <c r="B5507" s="2" t="s">
        <v>11724</v>
      </c>
      <c r="C5507" s="2" t="s">
        <v>29</v>
      </c>
      <c r="D5507" s="2" t="s">
        <v>63</v>
      </c>
      <c r="E5507" s="2" t="str">
        <f>"9789004706354"</f>
        <v>9789004706354</v>
      </c>
      <c r="F5507" s="2" t="str">
        <f>"9789004706361"</f>
        <v>9789004706361</v>
      </c>
    </row>
    <row r="5508" spans="1:6" s="3" customFormat="1" ht="29.1" customHeight="1" x14ac:dyDescent="0.25">
      <c r="A5508" s="2" t="s">
        <v>11725</v>
      </c>
      <c r="B5508" s="2" t="s">
        <v>11726</v>
      </c>
      <c r="C5508" s="2" t="s">
        <v>5</v>
      </c>
      <c r="D5508" s="2" t="s">
        <v>682</v>
      </c>
      <c r="E5508" s="2" t="str">
        <f>"9782384762866"</f>
        <v>9782384762866</v>
      </c>
      <c r="F5508" s="2" t="str">
        <f>"9782384762873"</f>
        <v>9782384762873</v>
      </c>
    </row>
    <row r="5509" spans="1:6" s="3" customFormat="1" ht="29.1" customHeight="1" x14ac:dyDescent="0.25">
      <c r="A5509" s="2" t="s">
        <v>11727</v>
      </c>
      <c r="B5509" s="2" t="s">
        <v>11728</v>
      </c>
      <c r="C5509" s="2" t="s">
        <v>5</v>
      </c>
      <c r="D5509" s="2" t="s">
        <v>479</v>
      </c>
      <c r="E5509" s="2" t="str">
        <f>"9789464635096"</f>
        <v>9789464635096</v>
      </c>
      <c r="F5509" s="2" t="str">
        <f>"9789464635102"</f>
        <v>9789464635102</v>
      </c>
    </row>
    <row r="5510" spans="1:6" s="3" customFormat="1" ht="29.1" customHeight="1" x14ac:dyDescent="0.25">
      <c r="A5510" s="2" t="s">
        <v>11729</v>
      </c>
      <c r="B5510" s="2" t="s">
        <v>11730</v>
      </c>
      <c r="C5510" s="2" t="s">
        <v>5</v>
      </c>
      <c r="D5510" s="2" t="s">
        <v>1809</v>
      </c>
      <c r="E5510" s="2" t="str">
        <f>"9783031537882"</f>
        <v>9783031537882</v>
      </c>
      <c r="F5510" s="2" t="str">
        <f>"9783031537899"</f>
        <v>9783031537899</v>
      </c>
    </row>
    <row r="5511" spans="1:6" s="3" customFormat="1" ht="29.1" customHeight="1" x14ac:dyDescent="0.25">
      <c r="A5511" s="2" t="s">
        <v>11731</v>
      </c>
      <c r="B5511" s="2" t="s">
        <v>11732</v>
      </c>
      <c r="C5511" s="2" t="s">
        <v>5</v>
      </c>
      <c r="D5511" s="2" t="s">
        <v>11426</v>
      </c>
      <c r="E5511" s="2" t="str">
        <f>"9783031639647"</f>
        <v>9783031639647</v>
      </c>
      <c r="F5511" s="2" t="str">
        <f>"9783031639654"</f>
        <v>9783031639654</v>
      </c>
    </row>
    <row r="5512" spans="1:6" s="3" customFormat="1" ht="29.1" customHeight="1" x14ac:dyDescent="0.25">
      <c r="A5512" s="2" t="s">
        <v>11733</v>
      </c>
      <c r="B5512" s="2" t="s">
        <v>11734</v>
      </c>
      <c r="C5512" s="2" t="s">
        <v>29</v>
      </c>
      <c r="D5512" s="2" t="s">
        <v>413</v>
      </c>
      <c r="E5512" s="2" t="str">
        <f>"9783770568994"</f>
        <v>9783770568994</v>
      </c>
      <c r="F5512" s="2" t="str">
        <f>"9783846768990"</f>
        <v>9783846768990</v>
      </c>
    </row>
    <row r="5513" spans="1:6" s="3" customFormat="1" ht="29.1" customHeight="1" x14ac:dyDescent="0.25">
      <c r="A5513" s="2" t="s">
        <v>11735</v>
      </c>
      <c r="B5513" s="2" t="s">
        <v>11736</v>
      </c>
      <c r="C5513" s="2" t="s">
        <v>124</v>
      </c>
      <c r="D5513" s="2" t="s">
        <v>4071</v>
      </c>
      <c r="E5513" s="2" t="str">
        <f>"9781032599762"</f>
        <v>9781032599762</v>
      </c>
      <c r="F5513" s="2" t="str">
        <f>"9781040265161"</f>
        <v>9781040265161</v>
      </c>
    </row>
    <row r="5514" spans="1:6" s="3" customFormat="1" ht="29.1" customHeight="1" x14ac:dyDescent="0.25">
      <c r="A5514" s="2" t="s">
        <v>11737</v>
      </c>
      <c r="B5514" s="2" t="s">
        <v>11738</v>
      </c>
      <c r="C5514" s="2" t="s">
        <v>124</v>
      </c>
      <c r="D5514" s="2" t="s">
        <v>1155</v>
      </c>
      <c r="E5514" s="2" t="str">
        <f>"9781032055480"</f>
        <v>9781032055480</v>
      </c>
      <c r="F5514" s="2" t="str">
        <f>"9781040296479"</f>
        <v>9781040296479</v>
      </c>
    </row>
    <row r="5515" spans="1:6" s="3" customFormat="1" ht="29.1" customHeight="1" x14ac:dyDescent="0.25">
      <c r="A5515" s="2" t="s">
        <v>11739</v>
      </c>
      <c r="B5515" s="2" t="s">
        <v>11740</v>
      </c>
      <c r="C5515" s="2" t="s">
        <v>239</v>
      </c>
      <c r="D5515" s="2" t="s">
        <v>818</v>
      </c>
      <c r="E5515" s="2" t="str">
        <f>"9780520400610"</f>
        <v>9780520400610</v>
      </c>
      <c r="F5515" s="2" t="str">
        <f>"9780520400627"</f>
        <v>9780520400627</v>
      </c>
    </row>
    <row r="5516" spans="1:6" s="3" customFormat="1" ht="29.1" customHeight="1" x14ac:dyDescent="0.25">
      <c r="A5516" s="2" t="s">
        <v>11741</v>
      </c>
      <c r="B5516" s="2" t="s">
        <v>11742</v>
      </c>
      <c r="C5516" s="2" t="s">
        <v>239</v>
      </c>
      <c r="D5516" s="2" t="s">
        <v>1956</v>
      </c>
      <c r="E5516" s="2" t="str">
        <f>"9780520391840"</f>
        <v>9780520391840</v>
      </c>
      <c r="F5516" s="2" t="str">
        <f>"9780520391857"</f>
        <v>9780520391857</v>
      </c>
    </row>
    <row r="5517" spans="1:6" s="3" customFormat="1" ht="29.1" customHeight="1" x14ac:dyDescent="0.25">
      <c r="A5517" s="2" t="s">
        <v>11743</v>
      </c>
      <c r="B5517" s="2" t="s">
        <v>11745</v>
      </c>
      <c r="C5517" s="2" t="s">
        <v>239</v>
      </c>
      <c r="D5517" s="2" t="s">
        <v>11744</v>
      </c>
      <c r="E5517" s="2" t="str">
        <f>"9780520401730"</f>
        <v>9780520401730</v>
      </c>
      <c r="F5517" s="2" t="str">
        <f>"9780520401747"</f>
        <v>9780520401747</v>
      </c>
    </row>
    <row r="5518" spans="1:6" s="3" customFormat="1" ht="29.1" customHeight="1" x14ac:dyDescent="0.25">
      <c r="A5518" s="2" t="s">
        <v>11746</v>
      </c>
      <c r="B5518" s="2" t="s">
        <v>11747</v>
      </c>
      <c r="C5518" s="2" t="s">
        <v>124</v>
      </c>
      <c r="D5518" s="2" t="s">
        <v>647</v>
      </c>
      <c r="E5518" s="2" t="str">
        <f>"9781032690407"</f>
        <v>9781032690407</v>
      </c>
      <c r="F5518" s="2" t="str">
        <f>"9781040257722"</f>
        <v>9781040257722</v>
      </c>
    </row>
    <row r="5519" spans="1:6" s="3" customFormat="1" ht="29.1" customHeight="1" x14ac:dyDescent="0.25">
      <c r="A5519" s="2" t="s">
        <v>11748</v>
      </c>
      <c r="B5519" s="2" t="s">
        <v>11749</v>
      </c>
      <c r="C5519" s="2" t="s">
        <v>124</v>
      </c>
      <c r="D5519" s="2" t="s">
        <v>1201</v>
      </c>
      <c r="E5519" s="2" t="str">
        <f>"9781032582924"</f>
        <v>9781032582924</v>
      </c>
      <c r="F5519" s="2" t="str">
        <f>"9781040230466"</f>
        <v>9781040230466</v>
      </c>
    </row>
    <row r="5520" spans="1:6" s="3" customFormat="1" ht="29.1" customHeight="1" x14ac:dyDescent="0.25">
      <c r="A5520" s="2" t="s">
        <v>11750</v>
      </c>
      <c r="B5520" s="2" t="s">
        <v>11752</v>
      </c>
      <c r="C5520" s="2" t="s">
        <v>124</v>
      </c>
      <c r="D5520" s="2" t="s">
        <v>11751</v>
      </c>
      <c r="E5520" s="2" t="str">
        <f>"9781032753157"</f>
        <v>9781032753157</v>
      </c>
      <c r="F5520" s="2" t="str">
        <f>"9781040297506"</f>
        <v>9781040297506</v>
      </c>
    </row>
    <row r="5521" spans="1:6" s="3" customFormat="1" ht="29.1" customHeight="1" x14ac:dyDescent="0.25">
      <c r="A5521" s="2" t="s">
        <v>11753</v>
      </c>
      <c r="B5521" s="2" t="s">
        <v>11754</v>
      </c>
      <c r="C5521" s="2" t="s">
        <v>8104</v>
      </c>
      <c r="D5521" s="2" t="s">
        <v>636</v>
      </c>
      <c r="E5521" s="2" t="str">
        <f>"9781805399438"</f>
        <v>9781805399438</v>
      </c>
      <c r="F5521" s="2" t="str">
        <f>"9781805399445"</f>
        <v>9781805399445</v>
      </c>
    </row>
    <row r="5522" spans="1:6" s="3" customFormat="1" ht="29.1" customHeight="1" x14ac:dyDescent="0.25">
      <c r="A5522" s="2" t="s">
        <v>11755</v>
      </c>
      <c r="B5522" s="2" t="s">
        <v>11756</v>
      </c>
      <c r="C5522" s="2" t="s">
        <v>124</v>
      </c>
      <c r="D5522" s="2" t="s">
        <v>1999</v>
      </c>
      <c r="E5522" s="2" t="str">
        <f>"9781032601540"</f>
        <v>9781032601540</v>
      </c>
      <c r="F5522" s="2" t="str">
        <f>"9781040157213"</f>
        <v>9781040157213</v>
      </c>
    </row>
    <row r="5523" spans="1:6" s="3" customFormat="1" ht="29.1" customHeight="1" x14ac:dyDescent="0.25">
      <c r="A5523" s="2" t="s">
        <v>11757</v>
      </c>
      <c r="B5523" s="2" t="s">
        <v>11758</v>
      </c>
      <c r="C5523" s="2" t="s">
        <v>124</v>
      </c>
      <c r="D5523" s="2" t="s">
        <v>5794</v>
      </c>
      <c r="E5523" s="2" t="str">
        <f>"9781032799254"</f>
        <v>9781032799254</v>
      </c>
      <c r="F5523" s="2" t="str">
        <f>"9781040261026"</f>
        <v>9781040261026</v>
      </c>
    </row>
    <row r="5524" spans="1:6" s="3" customFormat="1" ht="29.1" customHeight="1" x14ac:dyDescent="0.25">
      <c r="A5524" s="2" t="s">
        <v>11759</v>
      </c>
      <c r="B5524" s="2" t="s">
        <v>11760</v>
      </c>
      <c r="C5524" s="2" t="s">
        <v>124</v>
      </c>
      <c r="D5524" s="2" t="s">
        <v>868</v>
      </c>
      <c r="E5524" s="2" t="str">
        <f>"9781032862545"</f>
        <v>9781032862545</v>
      </c>
      <c r="F5524" s="2" t="str">
        <f>"9781040256046"</f>
        <v>9781040256046</v>
      </c>
    </row>
    <row r="5525" spans="1:6" s="3" customFormat="1" ht="29.1" customHeight="1" x14ac:dyDescent="0.25">
      <c r="A5525" s="2" t="s">
        <v>11761</v>
      </c>
      <c r="B5525" s="2" t="s">
        <v>11762</v>
      </c>
      <c r="C5525" s="2" t="s">
        <v>124</v>
      </c>
      <c r="D5525" s="2" t="s">
        <v>33</v>
      </c>
      <c r="E5525" s="2" t="str">
        <f>"9781032384559"</f>
        <v>9781032384559</v>
      </c>
      <c r="F5525" s="2" t="str">
        <f>"9781040255292"</f>
        <v>9781040255292</v>
      </c>
    </row>
    <row r="5526" spans="1:6" s="3" customFormat="1" ht="29.1" customHeight="1" x14ac:dyDescent="0.25">
      <c r="A5526" s="2" t="s">
        <v>11763</v>
      </c>
      <c r="B5526" s="2" t="s">
        <v>11764</v>
      </c>
      <c r="C5526" s="2" t="s">
        <v>124</v>
      </c>
      <c r="D5526" s="2" t="s">
        <v>2391</v>
      </c>
      <c r="E5526" s="2" t="str">
        <f>"9781032728995"</f>
        <v>9781032728995</v>
      </c>
      <c r="F5526" s="2" t="str">
        <f>"9781040254424"</f>
        <v>9781040254424</v>
      </c>
    </row>
    <row r="5527" spans="1:6" s="3" customFormat="1" ht="29.1" customHeight="1" x14ac:dyDescent="0.25">
      <c r="A5527" s="2" t="s">
        <v>11765</v>
      </c>
      <c r="B5527" s="2" t="s">
        <v>11766</v>
      </c>
      <c r="C5527" s="2" t="s">
        <v>5</v>
      </c>
      <c r="D5527" s="2" t="s">
        <v>4172</v>
      </c>
      <c r="E5527" s="2" t="str">
        <f>"9783031537585"</f>
        <v>9783031537585</v>
      </c>
      <c r="F5527" s="2" t="str">
        <f>"9783031537592"</f>
        <v>9783031537592</v>
      </c>
    </row>
    <row r="5528" spans="1:6" s="3" customFormat="1" ht="29.1" customHeight="1" x14ac:dyDescent="0.25">
      <c r="A5528" s="2" t="s">
        <v>11767</v>
      </c>
      <c r="B5528" s="2" t="s">
        <v>11768</v>
      </c>
      <c r="C5528" s="2" t="s">
        <v>5</v>
      </c>
      <c r="D5528" s="2" t="s">
        <v>113</v>
      </c>
      <c r="E5528" s="2" t="str">
        <f>"9783658445119"</f>
        <v>9783658445119</v>
      </c>
      <c r="F5528" s="2" t="str">
        <f>"9783658445126"</f>
        <v>9783658445126</v>
      </c>
    </row>
    <row r="5529" spans="1:6" s="3" customFormat="1" ht="29.1" customHeight="1" x14ac:dyDescent="0.25">
      <c r="A5529" s="2" t="s">
        <v>11769</v>
      </c>
      <c r="B5529" s="2" t="s">
        <v>11770</v>
      </c>
      <c r="C5529" s="2" t="s">
        <v>124</v>
      </c>
      <c r="D5529" s="2" t="s">
        <v>2341</v>
      </c>
      <c r="E5529" s="2" t="str">
        <f>"9781032411965"</f>
        <v>9781032411965</v>
      </c>
      <c r="F5529" s="2" t="str">
        <f>"9781040269237"</f>
        <v>9781040269237</v>
      </c>
    </row>
    <row r="5530" spans="1:6" s="3" customFormat="1" ht="29.1" customHeight="1" x14ac:dyDescent="0.25">
      <c r="A5530" s="2" t="s">
        <v>11771</v>
      </c>
      <c r="B5530" s="2" t="s">
        <v>11772</v>
      </c>
      <c r="C5530" s="2" t="s">
        <v>124</v>
      </c>
      <c r="D5530" s="2" t="s">
        <v>1253</v>
      </c>
      <c r="E5530" s="2" t="str">
        <f>"9781032612089"</f>
        <v>9781032612089</v>
      </c>
      <c r="F5530" s="2" t="str">
        <f>"9781040273159"</f>
        <v>9781040273159</v>
      </c>
    </row>
    <row r="5531" spans="1:6" s="3" customFormat="1" ht="29.1" customHeight="1" x14ac:dyDescent="0.25">
      <c r="A5531" s="2" t="s">
        <v>11773</v>
      </c>
      <c r="B5531" s="2" t="s">
        <v>11774</v>
      </c>
      <c r="C5531" s="2" t="s">
        <v>124</v>
      </c>
      <c r="D5531" s="2" t="s">
        <v>9</v>
      </c>
      <c r="E5531" s="2" t="str">
        <f>"9781032162744"</f>
        <v>9781032162744</v>
      </c>
      <c r="F5531" s="2" t="str">
        <f>"9781040176566"</f>
        <v>9781040176566</v>
      </c>
    </row>
    <row r="5532" spans="1:6" s="3" customFormat="1" ht="29.1" customHeight="1" x14ac:dyDescent="0.25">
      <c r="A5532" s="2" t="s">
        <v>11775</v>
      </c>
      <c r="B5532" s="2" t="s">
        <v>11777</v>
      </c>
      <c r="C5532" s="2" t="s">
        <v>124</v>
      </c>
      <c r="D5532" s="2" t="s">
        <v>11776</v>
      </c>
      <c r="E5532" s="2" t="str">
        <f>"9781032305035"</f>
        <v>9781032305035</v>
      </c>
      <c r="F5532" s="2" t="str">
        <f>"9781040310878"</f>
        <v>9781040310878</v>
      </c>
    </row>
    <row r="5533" spans="1:6" s="3" customFormat="1" ht="29.1" customHeight="1" x14ac:dyDescent="0.25">
      <c r="A5533" s="2" t="s">
        <v>11778</v>
      </c>
      <c r="B5533" s="2" t="s">
        <v>11779</v>
      </c>
      <c r="C5533" s="2" t="s">
        <v>124</v>
      </c>
      <c r="D5533" s="2" t="s">
        <v>459</v>
      </c>
      <c r="E5533" s="2" t="str">
        <f>"9781032712963"</f>
        <v>9781032712963</v>
      </c>
      <c r="F5533" s="2" t="str">
        <f>"9781040114124"</f>
        <v>9781040114124</v>
      </c>
    </row>
    <row r="5534" spans="1:6" s="3" customFormat="1" ht="29.1" customHeight="1" x14ac:dyDescent="0.25">
      <c r="A5534" s="2" t="s">
        <v>11780</v>
      </c>
      <c r="B5534" s="2" t="s">
        <v>11781</v>
      </c>
      <c r="C5534" s="2" t="s">
        <v>124</v>
      </c>
      <c r="D5534" s="2" t="s">
        <v>9</v>
      </c>
      <c r="E5534" s="2" t="str">
        <f>"9781032278889"</f>
        <v>9781032278889</v>
      </c>
      <c r="F5534" s="2" t="str">
        <f>"9781040269206"</f>
        <v>9781040269206</v>
      </c>
    </row>
    <row r="5535" spans="1:6" s="3" customFormat="1" ht="29.1" customHeight="1" x14ac:dyDescent="0.25">
      <c r="A5535" s="2" t="s">
        <v>11782</v>
      </c>
      <c r="B5535" s="2" t="s">
        <v>11783</v>
      </c>
      <c r="C5535" s="2" t="s">
        <v>5</v>
      </c>
      <c r="D5535" s="2" t="s">
        <v>487</v>
      </c>
      <c r="E5535" s="2" t="str">
        <f>"9783031711763"</f>
        <v>9783031711763</v>
      </c>
      <c r="F5535" s="2" t="str">
        <f>"9783031711770"</f>
        <v>9783031711770</v>
      </c>
    </row>
    <row r="5536" spans="1:6" s="3" customFormat="1" ht="29.1" customHeight="1" x14ac:dyDescent="0.25">
      <c r="A5536" s="2" t="s">
        <v>11784</v>
      </c>
      <c r="B5536" s="2" t="s">
        <v>11785</v>
      </c>
      <c r="C5536" s="2" t="s">
        <v>124</v>
      </c>
      <c r="D5536" s="2" t="s">
        <v>186</v>
      </c>
      <c r="E5536" s="2" t="str">
        <f>"9781032161761"</f>
        <v>9781032161761</v>
      </c>
      <c r="F5536" s="2" t="str">
        <f>"9781040270677"</f>
        <v>9781040270677</v>
      </c>
    </row>
    <row r="5537" spans="1:6" s="3" customFormat="1" ht="29.1" customHeight="1" x14ac:dyDescent="0.25">
      <c r="A5537" s="2" t="s">
        <v>11786</v>
      </c>
      <c r="B5537" s="2" t="s">
        <v>11787</v>
      </c>
      <c r="C5537" s="2" t="s">
        <v>124</v>
      </c>
      <c r="D5537" s="2" t="s">
        <v>9312</v>
      </c>
      <c r="E5537" s="2" t="str">
        <f>"9781032803302"</f>
        <v>9781032803302</v>
      </c>
      <c r="F5537" s="2" t="str">
        <f>"9781040261385"</f>
        <v>9781040261385</v>
      </c>
    </row>
    <row r="5538" spans="1:6" s="3" customFormat="1" ht="29.1" customHeight="1" x14ac:dyDescent="0.25">
      <c r="A5538" s="2" t="s">
        <v>11788</v>
      </c>
      <c r="B5538" s="2" t="s">
        <v>11789</v>
      </c>
      <c r="C5538" s="2" t="s">
        <v>124</v>
      </c>
      <c r="D5538" s="2" t="s">
        <v>9</v>
      </c>
      <c r="E5538" s="2" t="str">
        <f>"9781032938332"</f>
        <v>9781032938332</v>
      </c>
      <c r="F5538" s="2" t="str">
        <f>"9781040297421"</f>
        <v>9781040297421</v>
      </c>
    </row>
    <row r="5539" spans="1:6" s="3" customFormat="1" ht="29.1" customHeight="1" x14ac:dyDescent="0.25">
      <c r="A5539" s="2" t="s">
        <v>1477</v>
      </c>
      <c r="B5539" s="2" t="s">
        <v>11790</v>
      </c>
      <c r="C5539" s="2" t="s">
        <v>1070</v>
      </c>
      <c r="D5539" s="2" t="s">
        <v>1285</v>
      </c>
      <c r="E5539" s="2" t="str">
        <f>"9783318072969"</f>
        <v>9783318072969</v>
      </c>
      <c r="F5539" s="2" t="str">
        <f>"9783318072655"</f>
        <v>9783318072655</v>
      </c>
    </row>
    <row r="5540" spans="1:6" s="3" customFormat="1" ht="29.1" customHeight="1" x14ac:dyDescent="0.25">
      <c r="A5540" s="2" t="s">
        <v>11791</v>
      </c>
      <c r="B5540" s="2" t="s">
        <v>11792</v>
      </c>
      <c r="C5540" s="2" t="s">
        <v>29</v>
      </c>
      <c r="D5540" s="2" t="s">
        <v>479</v>
      </c>
      <c r="E5540" s="2"/>
      <c r="F5540" s="2" t="str">
        <f>"9789004715509"</f>
        <v>9789004715509</v>
      </c>
    </row>
    <row r="5541" spans="1:6" s="3" customFormat="1" ht="29.1" customHeight="1" x14ac:dyDescent="0.25">
      <c r="A5541" s="2" t="s">
        <v>11793</v>
      </c>
      <c r="B5541" s="2" t="s">
        <v>11794</v>
      </c>
      <c r="C5541" s="2" t="s">
        <v>29</v>
      </c>
      <c r="D5541" s="2" t="s">
        <v>2326</v>
      </c>
      <c r="E5541" s="2" t="str">
        <f>"9783770568970"</f>
        <v>9783770568970</v>
      </c>
      <c r="F5541" s="2" t="str">
        <f>"9783846768976"</f>
        <v>9783846768976</v>
      </c>
    </row>
    <row r="5542" spans="1:6" s="3" customFormat="1" ht="29.1" customHeight="1" x14ac:dyDescent="0.25">
      <c r="A5542" s="2" t="s">
        <v>11795</v>
      </c>
      <c r="B5542" s="2" t="s">
        <v>11796</v>
      </c>
      <c r="C5542" s="2" t="s">
        <v>5</v>
      </c>
      <c r="D5542" s="2" t="s">
        <v>650</v>
      </c>
      <c r="E5542" s="2" t="str">
        <f>"9783031513947"</f>
        <v>9783031513947</v>
      </c>
      <c r="F5542" s="2" t="str">
        <f>"9783031513954"</f>
        <v>9783031513954</v>
      </c>
    </row>
    <row r="5543" spans="1:6" s="3" customFormat="1" ht="29.1" customHeight="1" x14ac:dyDescent="0.25">
      <c r="A5543" s="2" t="s">
        <v>11797</v>
      </c>
      <c r="B5543" s="2" t="s">
        <v>11798</v>
      </c>
      <c r="C5543" s="2" t="s">
        <v>5</v>
      </c>
      <c r="D5543" s="2" t="s">
        <v>294</v>
      </c>
      <c r="E5543" s="2" t="str">
        <f>"9783031586095"</f>
        <v>9783031586095</v>
      </c>
      <c r="F5543" s="2" t="str">
        <f>"9783031586101"</f>
        <v>9783031586101</v>
      </c>
    </row>
    <row r="5544" spans="1:6" s="3" customFormat="1" ht="29.1" customHeight="1" x14ac:dyDescent="0.25">
      <c r="A5544" s="2" t="s">
        <v>11799</v>
      </c>
      <c r="B5544" s="2" t="s">
        <v>11800</v>
      </c>
      <c r="C5544" s="2" t="s">
        <v>6834</v>
      </c>
      <c r="D5544" s="2" t="s">
        <v>6835</v>
      </c>
      <c r="E5544" s="2"/>
      <c r="F5544" s="2"/>
    </row>
    <row r="5545" spans="1:6" s="3" customFormat="1" ht="29.1" customHeight="1" x14ac:dyDescent="0.25">
      <c r="A5545" s="2" t="s">
        <v>11801</v>
      </c>
      <c r="B5545" s="2" t="s">
        <v>6834</v>
      </c>
      <c r="C5545" s="2" t="s">
        <v>6834</v>
      </c>
      <c r="D5545" s="2" t="s">
        <v>52</v>
      </c>
      <c r="E5545" s="2" t="str">
        <f>"9789280536485"</f>
        <v>9789280536485</v>
      </c>
      <c r="F5545" s="2" t="str">
        <f>"9789280536492"</f>
        <v>9789280536492</v>
      </c>
    </row>
    <row r="5546" spans="1:6" s="3" customFormat="1" ht="29.1" customHeight="1" x14ac:dyDescent="0.25">
      <c r="A5546" s="2" t="s">
        <v>11802</v>
      </c>
      <c r="B5546" s="2" t="s">
        <v>11803</v>
      </c>
      <c r="C5546" s="2" t="s">
        <v>6834</v>
      </c>
      <c r="D5546" s="2" t="s">
        <v>6835</v>
      </c>
      <c r="E5546" s="2"/>
      <c r="F5546" s="2"/>
    </row>
    <row r="5547" spans="1:6" s="3" customFormat="1" ht="29.1" customHeight="1" x14ac:dyDescent="0.25">
      <c r="A5547" s="2" t="s">
        <v>11804</v>
      </c>
      <c r="B5547" s="2" t="s">
        <v>11805</v>
      </c>
      <c r="C5547" s="2" t="s">
        <v>6834</v>
      </c>
      <c r="D5547" s="2" t="s">
        <v>6835</v>
      </c>
      <c r="E5547" s="2"/>
      <c r="F5547" s="2"/>
    </row>
    <row r="5548" spans="1:6" s="3" customFormat="1" ht="29.1" customHeight="1" x14ac:dyDescent="0.25">
      <c r="A5548" s="2" t="s">
        <v>11806</v>
      </c>
      <c r="B5548" s="2" t="s">
        <v>6834</v>
      </c>
      <c r="C5548" s="2" t="s">
        <v>6834</v>
      </c>
      <c r="D5548" s="2" t="s">
        <v>6837</v>
      </c>
      <c r="E5548" s="2" t="str">
        <f>"9789280536164"</f>
        <v>9789280536164</v>
      </c>
      <c r="F5548" s="2" t="str">
        <f>"9789280536171"</f>
        <v>9789280536171</v>
      </c>
    </row>
    <row r="5549" spans="1:6" s="3" customFormat="1" ht="29.1" customHeight="1" x14ac:dyDescent="0.25">
      <c r="A5549" s="2" t="s">
        <v>11807</v>
      </c>
      <c r="B5549" s="2" t="s">
        <v>6834</v>
      </c>
      <c r="C5549" s="2" t="s">
        <v>6834</v>
      </c>
      <c r="D5549" s="2" t="s">
        <v>6835</v>
      </c>
      <c r="E5549" s="2"/>
      <c r="F5549" s="2"/>
    </row>
    <row r="5550" spans="1:6" s="3" customFormat="1" ht="29.1" customHeight="1" x14ac:dyDescent="0.25">
      <c r="A5550" s="2" t="s">
        <v>11808</v>
      </c>
      <c r="B5550" s="2" t="s">
        <v>6834</v>
      </c>
      <c r="C5550" s="2" t="s">
        <v>6834</v>
      </c>
      <c r="D5550" s="2" t="s">
        <v>6835</v>
      </c>
      <c r="E5550" s="2"/>
      <c r="F5550" s="2"/>
    </row>
    <row r="5551" spans="1:6" s="3" customFormat="1" ht="29.1" customHeight="1" x14ac:dyDescent="0.25">
      <c r="A5551" s="2" t="s">
        <v>11809</v>
      </c>
      <c r="B5551" s="2" t="s">
        <v>6834</v>
      </c>
      <c r="C5551" s="2" t="s">
        <v>6834</v>
      </c>
      <c r="D5551" s="2" t="s">
        <v>6837</v>
      </c>
      <c r="E5551" s="2"/>
      <c r="F5551" s="2"/>
    </row>
    <row r="5552" spans="1:6" s="3" customFormat="1" ht="29.1" customHeight="1" x14ac:dyDescent="0.25">
      <c r="A5552" s="2" t="s">
        <v>11810</v>
      </c>
      <c r="B5552" s="2" t="s">
        <v>6834</v>
      </c>
      <c r="C5552" s="2" t="s">
        <v>6834</v>
      </c>
      <c r="D5552" s="2" t="s">
        <v>6837</v>
      </c>
      <c r="E5552" s="2"/>
      <c r="F5552" s="2"/>
    </row>
    <row r="5553" spans="1:6" s="3" customFormat="1" ht="29.1" customHeight="1" x14ac:dyDescent="0.25">
      <c r="A5553" s="2" t="s">
        <v>11811</v>
      </c>
      <c r="B5553" s="2" t="s">
        <v>6834</v>
      </c>
      <c r="C5553" s="2" t="s">
        <v>6834</v>
      </c>
      <c r="D5553" s="2" t="s">
        <v>6835</v>
      </c>
      <c r="E5553" s="2"/>
      <c r="F5553" s="2"/>
    </row>
    <row r="5554" spans="1:6" s="3" customFormat="1" ht="29.1" customHeight="1" x14ac:dyDescent="0.25">
      <c r="A5554" s="2" t="s">
        <v>11812</v>
      </c>
      <c r="B5554" s="2" t="s">
        <v>6834</v>
      </c>
      <c r="C5554" s="2" t="s">
        <v>6834</v>
      </c>
      <c r="D5554" s="2" t="s">
        <v>6835</v>
      </c>
      <c r="E5554" s="2"/>
      <c r="F5554" s="2"/>
    </row>
    <row r="5555" spans="1:6" s="3" customFormat="1" ht="29.1" customHeight="1" x14ac:dyDescent="0.25">
      <c r="A5555" s="2" t="s">
        <v>11813</v>
      </c>
      <c r="B5555" s="2" t="s">
        <v>6834</v>
      </c>
      <c r="C5555" s="2" t="s">
        <v>6834</v>
      </c>
      <c r="D5555" s="2" t="s">
        <v>9652</v>
      </c>
      <c r="E5555" s="2"/>
      <c r="F5555" s="2"/>
    </row>
    <row r="5556" spans="1:6" s="3" customFormat="1" ht="29.1" customHeight="1" x14ac:dyDescent="0.25">
      <c r="A5556" s="2" t="s">
        <v>11814</v>
      </c>
      <c r="B5556" s="2" t="s">
        <v>6834</v>
      </c>
      <c r="C5556" s="2" t="s">
        <v>6834</v>
      </c>
      <c r="D5556" s="2" t="s">
        <v>9652</v>
      </c>
      <c r="E5556" s="2"/>
      <c r="F5556" s="2"/>
    </row>
    <row r="5557" spans="1:6" s="3" customFormat="1" ht="29.1" customHeight="1" x14ac:dyDescent="0.25">
      <c r="A5557" s="2" t="s">
        <v>11815</v>
      </c>
      <c r="B5557" s="2" t="s">
        <v>6834</v>
      </c>
      <c r="C5557" s="2" t="s">
        <v>6834</v>
      </c>
      <c r="D5557" s="2" t="s">
        <v>9652</v>
      </c>
      <c r="E5557" s="2"/>
      <c r="F5557" s="2"/>
    </row>
    <row r="5558" spans="1:6" s="3" customFormat="1" ht="29.1" customHeight="1" x14ac:dyDescent="0.25">
      <c r="A5558" s="2" t="s">
        <v>11816</v>
      </c>
      <c r="B5558" s="2" t="s">
        <v>6834</v>
      </c>
      <c r="C5558" s="2" t="s">
        <v>6834</v>
      </c>
      <c r="D5558" s="2" t="s">
        <v>9652</v>
      </c>
      <c r="E5558" s="2"/>
      <c r="F5558" s="2"/>
    </row>
    <row r="5559" spans="1:6" s="3" customFormat="1" ht="29.1" customHeight="1" x14ac:dyDescent="0.25">
      <c r="A5559" s="2" t="s">
        <v>11817</v>
      </c>
      <c r="B5559" s="2" t="s">
        <v>6834</v>
      </c>
      <c r="C5559" s="2" t="s">
        <v>6834</v>
      </c>
      <c r="D5559" s="2" t="s">
        <v>6837</v>
      </c>
      <c r="E5559" s="2"/>
      <c r="F5559" s="2"/>
    </row>
    <row r="5560" spans="1:6" s="3" customFormat="1" ht="29.1" customHeight="1" x14ac:dyDescent="0.25">
      <c r="A5560" s="2" t="s">
        <v>11818</v>
      </c>
      <c r="B5560" s="2" t="s">
        <v>6834</v>
      </c>
      <c r="C5560" s="2" t="s">
        <v>6834</v>
      </c>
      <c r="D5560" s="2" t="s">
        <v>6837</v>
      </c>
      <c r="E5560" s="2"/>
      <c r="F5560" s="2"/>
    </row>
    <row r="5561" spans="1:6" s="3" customFormat="1" ht="29.1" customHeight="1" x14ac:dyDescent="0.25">
      <c r="A5561" s="2" t="s">
        <v>11819</v>
      </c>
      <c r="B5561" s="2" t="s">
        <v>6834</v>
      </c>
      <c r="C5561" s="2" t="s">
        <v>6834</v>
      </c>
      <c r="D5561" s="2" t="s">
        <v>6837</v>
      </c>
      <c r="E5561" s="2"/>
      <c r="F5561" s="2"/>
    </row>
    <row r="5562" spans="1:6" s="3" customFormat="1" ht="29.1" customHeight="1" x14ac:dyDescent="0.25">
      <c r="A5562" s="2" t="s">
        <v>11820</v>
      </c>
      <c r="B5562" s="2" t="s">
        <v>6834</v>
      </c>
      <c r="C5562" s="2" t="s">
        <v>6834</v>
      </c>
      <c r="D5562" s="2" t="s">
        <v>6837</v>
      </c>
      <c r="E5562" s="2" t="str">
        <f>"9789280536508"</f>
        <v>9789280536508</v>
      </c>
      <c r="F5562" s="2" t="str">
        <f>"9789280536515"</f>
        <v>9789280536515</v>
      </c>
    </row>
    <row r="5563" spans="1:6" s="3" customFormat="1" ht="29.1" customHeight="1" x14ac:dyDescent="0.25">
      <c r="A5563" s="2" t="s">
        <v>11821</v>
      </c>
      <c r="B5563" s="2" t="s">
        <v>11822</v>
      </c>
      <c r="C5563" s="2" t="s">
        <v>6834</v>
      </c>
      <c r="D5563" s="2" t="s">
        <v>6628</v>
      </c>
      <c r="E5563" s="2"/>
      <c r="F5563" s="2"/>
    </row>
    <row r="5564" spans="1:6" s="3" customFormat="1" ht="29.1" customHeight="1" x14ac:dyDescent="0.25">
      <c r="A5564" s="2" t="s">
        <v>11823</v>
      </c>
      <c r="B5564" s="2" t="s">
        <v>11824</v>
      </c>
      <c r="C5564" s="2" t="s">
        <v>6834</v>
      </c>
      <c r="D5564" s="2" t="s">
        <v>6835</v>
      </c>
      <c r="E5564" s="2"/>
      <c r="F5564" s="2"/>
    </row>
    <row r="5565" spans="1:6" s="3" customFormat="1" ht="29.1" customHeight="1" x14ac:dyDescent="0.25">
      <c r="A5565" s="2" t="s">
        <v>11825</v>
      </c>
      <c r="B5565" s="2" t="s">
        <v>11826</v>
      </c>
      <c r="C5565" s="2" t="s">
        <v>6834</v>
      </c>
      <c r="D5565" s="2" t="s">
        <v>6835</v>
      </c>
      <c r="E5565" s="2"/>
      <c r="F5565" s="2"/>
    </row>
    <row r="5566" spans="1:6" s="3" customFormat="1" ht="29.1" customHeight="1" x14ac:dyDescent="0.25">
      <c r="A5566" s="2" t="s">
        <v>11827</v>
      </c>
      <c r="B5566" s="2" t="s">
        <v>11828</v>
      </c>
      <c r="C5566" s="2" t="s">
        <v>6834</v>
      </c>
      <c r="D5566" s="2" t="s">
        <v>6835</v>
      </c>
      <c r="E5566" s="2"/>
      <c r="F5566" s="2"/>
    </row>
    <row r="5567" spans="1:6" s="3" customFormat="1" ht="29.1" customHeight="1" x14ac:dyDescent="0.25">
      <c r="A5567" s="2" t="s">
        <v>11829</v>
      </c>
      <c r="B5567" s="2" t="s">
        <v>11803</v>
      </c>
      <c r="C5567" s="2" t="s">
        <v>6834</v>
      </c>
      <c r="D5567" s="2" t="s">
        <v>11830</v>
      </c>
      <c r="E5567" s="2"/>
      <c r="F5567" s="2"/>
    </row>
    <row r="5568" spans="1:6" s="3" customFormat="1" ht="29.1" customHeight="1" x14ac:dyDescent="0.25">
      <c r="A5568" s="2" t="s">
        <v>11831</v>
      </c>
      <c r="B5568" s="2" t="s">
        <v>11828</v>
      </c>
      <c r="C5568" s="2" t="s">
        <v>6834</v>
      </c>
      <c r="D5568" s="2" t="s">
        <v>6837</v>
      </c>
      <c r="E5568" s="2"/>
      <c r="F5568" s="2"/>
    </row>
    <row r="5569" spans="1:6" s="3" customFormat="1" ht="29.1" customHeight="1" x14ac:dyDescent="0.25">
      <c r="A5569" s="2" t="s">
        <v>11832</v>
      </c>
      <c r="B5569" s="2" t="s">
        <v>6834</v>
      </c>
      <c r="C5569" s="2" t="s">
        <v>6834</v>
      </c>
      <c r="D5569" s="2" t="s">
        <v>6837</v>
      </c>
      <c r="E5569" s="2"/>
      <c r="F5569" s="2"/>
    </row>
    <row r="5570" spans="1:6" s="3" customFormat="1" ht="29.1" customHeight="1" x14ac:dyDescent="0.25">
      <c r="A5570" s="2" t="s">
        <v>11833</v>
      </c>
      <c r="B5570" s="2" t="s">
        <v>6834</v>
      </c>
      <c r="C5570" s="2" t="s">
        <v>6834</v>
      </c>
      <c r="D5570" s="2" t="s">
        <v>52</v>
      </c>
      <c r="E5570" s="2"/>
      <c r="F5570" s="2"/>
    </row>
    <row r="5571" spans="1:6" s="3" customFormat="1" ht="29.1" customHeight="1" x14ac:dyDescent="0.25">
      <c r="A5571" s="2" t="s">
        <v>11834</v>
      </c>
      <c r="B5571" s="2" t="s">
        <v>6834</v>
      </c>
      <c r="C5571" s="2" t="s">
        <v>6834</v>
      </c>
      <c r="D5571" s="2" t="s">
        <v>52</v>
      </c>
      <c r="E5571" s="2"/>
      <c r="F5571" s="2"/>
    </row>
    <row r="5572" spans="1:6" s="3" customFormat="1" ht="29.1" customHeight="1" x14ac:dyDescent="0.25">
      <c r="A5572" s="2" t="s">
        <v>11835</v>
      </c>
      <c r="B5572" s="2" t="s">
        <v>6834</v>
      </c>
      <c r="C5572" s="2" t="s">
        <v>6834</v>
      </c>
      <c r="D5572" s="2" t="s">
        <v>6837</v>
      </c>
      <c r="E5572" s="2"/>
      <c r="F5572" s="2"/>
    </row>
    <row r="5573" spans="1:6" s="3" customFormat="1" ht="29.1" customHeight="1" x14ac:dyDescent="0.25">
      <c r="A5573" s="2" t="s">
        <v>11836</v>
      </c>
      <c r="B5573" s="2" t="s">
        <v>6834</v>
      </c>
      <c r="C5573" s="2" t="s">
        <v>6834</v>
      </c>
      <c r="D5573" s="2" t="s">
        <v>9652</v>
      </c>
      <c r="E5573" s="2"/>
      <c r="F5573" s="2"/>
    </row>
    <row r="5574" spans="1:6" s="3" customFormat="1" ht="29.1" customHeight="1" x14ac:dyDescent="0.25">
      <c r="A5574" s="2" t="s">
        <v>11837</v>
      </c>
      <c r="B5574" s="2" t="s">
        <v>6834</v>
      </c>
      <c r="C5574" s="2" t="s">
        <v>6834</v>
      </c>
      <c r="D5574" s="2" t="s">
        <v>7388</v>
      </c>
      <c r="E5574" s="2"/>
      <c r="F5574" s="2"/>
    </row>
    <row r="5575" spans="1:6" s="3" customFormat="1" ht="29.1" customHeight="1" x14ac:dyDescent="0.25">
      <c r="A5575" s="2" t="s">
        <v>11838</v>
      </c>
      <c r="B5575" s="2" t="s">
        <v>6834</v>
      </c>
      <c r="C5575" s="2" t="s">
        <v>6834</v>
      </c>
      <c r="D5575" s="2" t="s">
        <v>6835</v>
      </c>
      <c r="E5575" s="2"/>
      <c r="F5575" s="2"/>
    </row>
    <row r="5576" spans="1:6" s="3" customFormat="1" ht="29.1" customHeight="1" x14ac:dyDescent="0.25">
      <c r="A5576" s="2" t="s">
        <v>11839</v>
      </c>
      <c r="B5576" s="2" t="s">
        <v>6834</v>
      </c>
      <c r="C5576" s="2" t="s">
        <v>6834</v>
      </c>
      <c r="D5576" s="2" t="s">
        <v>9652</v>
      </c>
      <c r="E5576" s="2" t="str">
        <f>"9789280536447"</f>
        <v>9789280536447</v>
      </c>
      <c r="F5576" s="2" t="str">
        <f>"9789280536454"</f>
        <v>9789280536454</v>
      </c>
    </row>
    <row r="5577" spans="1:6" s="3" customFormat="1" ht="29.1" customHeight="1" x14ac:dyDescent="0.25">
      <c r="A5577" s="2" t="s">
        <v>11840</v>
      </c>
      <c r="B5577" s="2" t="s">
        <v>6834</v>
      </c>
      <c r="C5577" s="2" t="s">
        <v>6834</v>
      </c>
      <c r="D5577" s="2" t="s">
        <v>7388</v>
      </c>
      <c r="E5577" s="2" t="str">
        <f>"9789280536423"</f>
        <v>9789280536423</v>
      </c>
      <c r="F5577" s="2" t="str">
        <f>"9789280536430"</f>
        <v>9789280536430</v>
      </c>
    </row>
    <row r="5578" spans="1:6" s="3" customFormat="1" ht="29.1" customHeight="1" x14ac:dyDescent="0.25">
      <c r="A5578" s="2" t="s">
        <v>11841</v>
      </c>
      <c r="B5578" s="2" t="s">
        <v>6834</v>
      </c>
      <c r="C5578" s="2" t="s">
        <v>6834</v>
      </c>
      <c r="D5578" s="2" t="s">
        <v>6835</v>
      </c>
      <c r="E5578" s="2" t="str">
        <f>"9789280536409"</f>
        <v>9789280536409</v>
      </c>
      <c r="F5578" s="2" t="str">
        <f>"9789280536416"</f>
        <v>9789280536416</v>
      </c>
    </row>
    <row r="5579" spans="1:6" s="3" customFormat="1" ht="29.1" customHeight="1" x14ac:dyDescent="0.25">
      <c r="A5579" s="2" t="s">
        <v>11842</v>
      </c>
      <c r="B5579" s="2" t="s">
        <v>11843</v>
      </c>
      <c r="C5579" s="2" t="s">
        <v>6834</v>
      </c>
      <c r="D5579" s="2" t="s">
        <v>6837</v>
      </c>
      <c r="E5579" s="2"/>
      <c r="F5579" s="2"/>
    </row>
    <row r="5580" spans="1:6" s="3" customFormat="1" ht="29.1" customHeight="1" x14ac:dyDescent="0.25">
      <c r="A5580" s="2" t="s">
        <v>11844</v>
      </c>
      <c r="B5580" s="2" t="s">
        <v>11845</v>
      </c>
      <c r="C5580" s="2" t="s">
        <v>6834</v>
      </c>
      <c r="D5580" s="2" t="s">
        <v>6837</v>
      </c>
      <c r="E5580" s="2"/>
      <c r="F5580" s="2"/>
    </row>
    <row r="5581" spans="1:6" s="3" customFormat="1" ht="29.1" customHeight="1" x14ac:dyDescent="0.25">
      <c r="A5581" s="2" t="s">
        <v>11846</v>
      </c>
      <c r="B5581" s="2" t="s">
        <v>11848</v>
      </c>
      <c r="C5581" s="2" t="s">
        <v>6834</v>
      </c>
      <c r="D5581" s="2" t="s">
        <v>11847</v>
      </c>
      <c r="E5581" s="2"/>
      <c r="F5581" s="2"/>
    </row>
    <row r="5582" spans="1:6" s="3" customFormat="1" ht="29.1" customHeight="1" x14ac:dyDescent="0.25">
      <c r="A5582" s="2" t="s">
        <v>11849</v>
      </c>
      <c r="B5582" s="2" t="s">
        <v>11850</v>
      </c>
      <c r="C5582" s="2" t="s">
        <v>6834</v>
      </c>
      <c r="D5582" s="2" t="s">
        <v>6837</v>
      </c>
      <c r="E5582" s="2"/>
      <c r="F5582" s="2"/>
    </row>
    <row r="5583" spans="1:6" s="3" customFormat="1" ht="29.1" customHeight="1" x14ac:dyDescent="0.25">
      <c r="A5583" s="2" t="s">
        <v>11851</v>
      </c>
      <c r="B5583" s="2" t="s">
        <v>11852</v>
      </c>
      <c r="C5583" s="2" t="s">
        <v>6834</v>
      </c>
      <c r="D5583" s="2" t="s">
        <v>6837</v>
      </c>
      <c r="E5583" s="2"/>
      <c r="F5583" s="2"/>
    </row>
    <row r="5584" spans="1:6" s="3" customFormat="1" ht="29.1" customHeight="1" x14ac:dyDescent="0.25">
      <c r="A5584" s="2" t="s">
        <v>11853</v>
      </c>
      <c r="B5584" s="2" t="s">
        <v>11854</v>
      </c>
      <c r="C5584" s="2" t="s">
        <v>6834</v>
      </c>
      <c r="D5584" s="2" t="s">
        <v>6835</v>
      </c>
      <c r="E5584" s="2"/>
      <c r="F5584" s="2"/>
    </row>
    <row r="5585" spans="1:6" s="3" customFormat="1" ht="29.1" customHeight="1" x14ac:dyDescent="0.25">
      <c r="A5585" s="2" t="s">
        <v>11855</v>
      </c>
      <c r="B5585" s="2" t="s">
        <v>11856</v>
      </c>
      <c r="C5585" s="2" t="s">
        <v>6834</v>
      </c>
      <c r="D5585" s="2" t="s">
        <v>6837</v>
      </c>
      <c r="E5585" s="2"/>
      <c r="F5585" s="2"/>
    </row>
    <row r="5586" spans="1:6" s="3" customFormat="1" ht="29.1" customHeight="1" x14ac:dyDescent="0.25">
      <c r="A5586" s="2" t="s">
        <v>11857</v>
      </c>
      <c r="B5586" s="2" t="s">
        <v>6834</v>
      </c>
      <c r="C5586" s="2" t="s">
        <v>6834</v>
      </c>
      <c r="D5586" s="2" t="s">
        <v>52</v>
      </c>
      <c r="E5586" s="2"/>
      <c r="F5586" s="2"/>
    </row>
    <row r="5587" spans="1:6" s="3" customFormat="1" ht="29.1" customHeight="1" x14ac:dyDescent="0.25">
      <c r="A5587" s="2" t="s">
        <v>11858</v>
      </c>
      <c r="B5587" s="2" t="s">
        <v>6834</v>
      </c>
      <c r="C5587" s="2" t="s">
        <v>6834</v>
      </c>
      <c r="D5587" s="2" t="s">
        <v>52</v>
      </c>
      <c r="E5587" s="2"/>
      <c r="F5587" s="2"/>
    </row>
    <row r="5588" spans="1:6" s="3" customFormat="1" ht="29.1" customHeight="1" x14ac:dyDescent="0.25">
      <c r="A5588" s="2" t="s">
        <v>11859</v>
      </c>
      <c r="B5588" s="2" t="s">
        <v>6834</v>
      </c>
      <c r="C5588" s="2" t="s">
        <v>6834</v>
      </c>
      <c r="D5588" s="2" t="s">
        <v>6837</v>
      </c>
      <c r="E5588" s="2"/>
      <c r="F5588" s="2"/>
    </row>
    <row r="5589" spans="1:6" s="3" customFormat="1" ht="29.1" customHeight="1" x14ac:dyDescent="0.25">
      <c r="A5589" s="2" t="s">
        <v>11860</v>
      </c>
      <c r="B5589" s="2" t="s">
        <v>6834</v>
      </c>
      <c r="C5589" s="2" t="s">
        <v>6834</v>
      </c>
      <c r="D5589" s="2" t="s">
        <v>6837</v>
      </c>
      <c r="E5589" s="2"/>
      <c r="F5589" s="2"/>
    </row>
    <row r="5590" spans="1:6" s="3" customFormat="1" ht="29.1" customHeight="1" x14ac:dyDescent="0.25">
      <c r="A5590" s="2" t="s">
        <v>11861</v>
      </c>
      <c r="B5590" s="2" t="s">
        <v>6834</v>
      </c>
      <c r="C5590" s="2" t="s">
        <v>6834</v>
      </c>
      <c r="D5590" s="2" t="s">
        <v>6837</v>
      </c>
      <c r="E5590" s="2"/>
      <c r="F5590" s="2"/>
    </row>
    <row r="5591" spans="1:6" s="3" customFormat="1" ht="29.1" customHeight="1" x14ac:dyDescent="0.25">
      <c r="A5591" s="2" t="s">
        <v>11862</v>
      </c>
      <c r="B5591" s="2" t="s">
        <v>6834</v>
      </c>
      <c r="C5591" s="2" t="s">
        <v>6834</v>
      </c>
      <c r="D5591" s="2" t="s">
        <v>6837</v>
      </c>
      <c r="E5591" s="2"/>
      <c r="F5591" s="2"/>
    </row>
    <row r="5592" spans="1:6" s="3" customFormat="1" ht="29.1" customHeight="1" x14ac:dyDescent="0.25">
      <c r="A5592" s="2" t="s">
        <v>11863</v>
      </c>
      <c r="B5592" s="2" t="s">
        <v>6834</v>
      </c>
      <c r="C5592" s="2" t="s">
        <v>6834</v>
      </c>
      <c r="D5592" s="2" t="s">
        <v>6837</v>
      </c>
      <c r="E5592" s="2"/>
      <c r="F5592" s="2"/>
    </row>
    <row r="5593" spans="1:6" s="3" customFormat="1" ht="29.1" customHeight="1" x14ac:dyDescent="0.25">
      <c r="A5593" s="2" t="s">
        <v>11864</v>
      </c>
      <c r="B5593" s="2" t="s">
        <v>11865</v>
      </c>
      <c r="C5593" s="2" t="s">
        <v>6834</v>
      </c>
      <c r="D5593" s="2" t="s">
        <v>6835</v>
      </c>
      <c r="E5593" s="2"/>
      <c r="F5593" s="2"/>
    </row>
    <row r="5594" spans="1:6" s="3" customFormat="1" ht="29.1" customHeight="1" x14ac:dyDescent="0.25">
      <c r="A5594" s="2" t="s">
        <v>11866</v>
      </c>
      <c r="B5594" s="2" t="s">
        <v>6834</v>
      </c>
      <c r="C5594" s="2" t="s">
        <v>6834</v>
      </c>
      <c r="D5594" s="2" t="s">
        <v>8553</v>
      </c>
      <c r="E5594" s="2" t="str">
        <f>"9789280536287"</f>
        <v>9789280536287</v>
      </c>
      <c r="F5594" s="2" t="str">
        <f>"9789280536294"</f>
        <v>9789280536294</v>
      </c>
    </row>
    <row r="5595" spans="1:6" s="3" customFormat="1" ht="29.1" customHeight="1" x14ac:dyDescent="0.25">
      <c r="A5595" s="2" t="s">
        <v>11867</v>
      </c>
      <c r="B5595" s="2" t="s">
        <v>6834</v>
      </c>
      <c r="C5595" s="2" t="s">
        <v>6834</v>
      </c>
      <c r="D5595" s="2" t="s">
        <v>52</v>
      </c>
      <c r="E5595" s="2"/>
      <c r="F5595" s="2"/>
    </row>
    <row r="5596" spans="1:6" s="3" customFormat="1" ht="29.1" customHeight="1" x14ac:dyDescent="0.25">
      <c r="A5596" s="2" t="s">
        <v>11868</v>
      </c>
      <c r="B5596" s="2" t="s">
        <v>6834</v>
      </c>
      <c r="C5596" s="2" t="s">
        <v>6834</v>
      </c>
      <c r="D5596" s="2" t="s">
        <v>52</v>
      </c>
      <c r="E5596" s="2"/>
      <c r="F5596" s="2"/>
    </row>
    <row r="5597" spans="1:6" s="3" customFormat="1" ht="29.1" customHeight="1" x14ac:dyDescent="0.25">
      <c r="A5597" s="2" t="s">
        <v>11869</v>
      </c>
      <c r="B5597" s="2" t="s">
        <v>6834</v>
      </c>
      <c r="C5597" s="2" t="s">
        <v>6834</v>
      </c>
      <c r="D5597" s="2" t="s">
        <v>6835</v>
      </c>
      <c r="E5597" s="2"/>
      <c r="F5597" s="2"/>
    </row>
    <row r="5598" spans="1:6" s="3" customFormat="1" ht="29.1" customHeight="1" x14ac:dyDescent="0.25">
      <c r="A5598" s="2" t="s">
        <v>11870</v>
      </c>
      <c r="B5598" s="2" t="s">
        <v>11871</v>
      </c>
      <c r="C5598" s="2" t="s">
        <v>6834</v>
      </c>
      <c r="D5598" s="2" t="s">
        <v>52</v>
      </c>
      <c r="E5598" s="2"/>
      <c r="F5598" s="2"/>
    </row>
    <row r="5599" spans="1:6" s="3" customFormat="1" ht="29.1" customHeight="1" x14ac:dyDescent="0.25">
      <c r="A5599" s="2" t="s">
        <v>11872</v>
      </c>
      <c r="B5599" s="2" t="s">
        <v>6834</v>
      </c>
      <c r="C5599" s="2" t="s">
        <v>6834</v>
      </c>
      <c r="D5599" s="2" t="s">
        <v>52</v>
      </c>
      <c r="E5599" s="2"/>
      <c r="F5599" s="2"/>
    </row>
    <row r="5600" spans="1:6" s="3" customFormat="1" ht="29.1" customHeight="1" x14ac:dyDescent="0.25">
      <c r="A5600" s="2" t="s">
        <v>11873</v>
      </c>
      <c r="B5600" s="2" t="s">
        <v>6834</v>
      </c>
      <c r="C5600" s="2" t="s">
        <v>6834</v>
      </c>
      <c r="D5600" s="2" t="s">
        <v>52</v>
      </c>
      <c r="E5600" s="2"/>
      <c r="F5600" s="2"/>
    </row>
    <row r="5601" spans="1:6" s="3" customFormat="1" ht="29.1" customHeight="1" x14ac:dyDescent="0.25">
      <c r="A5601" s="2" t="s">
        <v>11874</v>
      </c>
      <c r="B5601" s="2" t="s">
        <v>6834</v>
      </c>
      <c r="C5601" s="2" t="s">
        <v>6834</v>
      </c>
      <c r="D5601" s="2" t="s">
        <v>6835</v>
      </c>
      <c r="E5601" s="2"/>
      <c r="F5601" s="2"/>
    </row>
    <row r="5602" spans="1:6" s="3" customFormat="1" ht="29.1" customHeight="1" x14ac:dyDescent="0.25">
      <c r="A5602" s="2" t="s">
        <v>11875</v>
      </c>
      <c r="B5602" s="2" t="s">
        <v>6834</v>
      </c>
      <c r="C5602" s="2" t="s">
        <v>6834</v>
      </c>
      <c r="D5602" s="2" t="s">
        <v>6837</v>
      </c>
      <c r="E5602" s="2"/>
      <c r="F5602" s="2"/>
    </row>
    <row r="5603" spans="1:6" s="3" customFormat="1" ht="29.1" customHeight="1" x14ac:dyDescent="0.25">
      <c r="A5603" s="2" t="s">
        <v>11876</v>
      </c>
      <c r="B5603" s="2" t="s">
        <v>6834</v>
      </c>
      <c r="C5603" s="2" t="s">
        <v>6834</v>
      </c>
      <c r="D5603" s="2" t="s">
        <v>6835</v>
      </c>
      <c r="E5603" s="2"/>
      <c r="F5603" s="2"/>
    </row>
    <row r="5604" spans="1:6" s="3" customFormat="1" ht="29.1" customHeight="1" x14ac:dyDescent="0.25">
      <c r="A5604" s="2" t="s">
        <v>11877</v>
      </c>
      <c r="B5604" s="2" t="s">
        <v>6834</v>
      </c>
      <c r="C5604" s="2" t="s">
        <v>6834</v>
      </c>
      <c r="D5604" s="2" t="s">
        <v>6837</v>
      </c>
      <c r="E5604" s="2" t="str">
        <f>"9789280536065"</f>
        <v>9789280536065</v>
      </c>
      <c r="F5604" s="2" t="str">
        <f>"9789280536072"</f>
        <v>9789280536072</v>
      </c>
    </row>
    <row r="5605" spans="1:6" s="3" customFormat="1" ht="29.1" customHeight="1" x14ac:dyDescent="0.25">
      <c r="A5605" s="2" t="s">
        <v>11878</v>
      </c>
      <c r="B5605" s="2" t="s">
        <v>6834</v>
      </c>
      <c r="C5605" s="2" t="s">
        <v>6834</v>
      </c>
      <c r="D5605" s="2" t="s">
        <v>52</v>
      </c>
      <c r="E5605" s="2" t="str">
        <f>"9789280536041"</f>
        <v>9789280536041</v>
      </c>
      <c r="F5605" s="2" t="str">
        <f>"9789280536058"</f>
        <v>9789280536058</v>
      </c>
    </row>
    <row r="5606" spans="1:6" s="3" customFormat="1" ht="29.1" customHeight="1" x14ac:dyDescent="0.25">
      <c r="A5606" s="2" t="s">
        <v>11879</v>
      </c>
      <c r="B5606" s="2" t="s">
        <v>6834</v>
      </c>
      <c r="C5606" s="2" t="s">
        <v>6834</v>
      </c>
      <c r="D5606" s="2" t="s">
        <v>6837</v>
      </c>
      <c r="E5606" s="2"/>
      <c r="F5606" s="2"/>
    </row>
    <row r="5607" spans="1:6" s="3" customFormat="1" ht="29.1" customHeight="1" x14ac:dyDescent="0.25">
      <c r="A5607" s="2" t="s">
        <v>11880</v>
      </c>
      <c r="B5607" s="2" t="s">
        <v>11881</v>
      </c>
      <c r="C5607" s="2" t="s">
        <v>6834</v>
      </c>
      <c r="D5607" s="2" t="s">
        <v>6837</v>
      </c>
      <c r="E5607" s="2" t="str">
        <f>"9789280535921"</f>
        <v>9789280535921</v>
      </c>
      <c r="F5607" s="2" t="str">
        <f>"9789280535938"</f>
        <v>9789280535938</v>
      </c>
    </row>
    <row r="5608" spans="1:6" s="3" customFormat="1" ht="29.1" customHeight="1" x14ac:dyDescent="0.25">
      <c r="A5608" s="2" t="s">
        <v>11882</v>
      </c>
      <c r="B5608" s="2" t="s">
        <v>6834</v>
      </c>
      <c r="C5608" s="2" t="s">
        <v>6834</v>
      </c>
      <c r="D5608" s="2" t="s">
        <v>6837</v>
      </c>
      <c r="E5608" s="2"/>
      <c r="F5608" s="2"/>
    </row>
    <row r="5609" spans="1:6" s="3" customFormat="1" ht="29.1" customHeight="1" x14ac:dyDescent="0.25">
      <c r="A5609" s="2" t="s">
        <v>11883</v>
      </c>
      <c r="B5609" s="2" t="s">
        <v>6834</v>
      </c>
      <c r="C5609" s="2" t="s">
        <v>6834</v>
      </c>
      <c r="D5609" s="2" t="s">
        <v>9205</v>
      </c>
      <c r="E5609" s="2"/>
      <c r="F5609" s="2"/>
    </row>
    <row r="5610" spans="1:6" s="3" customFormat="1" ht="29.1" customHeight="1" x14ac:dyDescent="0.25">
      <c r="A5610" s="2" t="s">
        <v>11884</v>
      </c>
      <c r="B5610" s="2" t="s">
        <v>6834</v>
      </c>
      <c r="C5610" s="2" t="s">
        <v>6834</v>
      </c>
      <c r="D5610" s="2" t="s">
        <v>49</v>
      </c>
      <c r="E5610" s="2"/>
      <c r="F5610" s="2"/>
    </row>
    <row r="5611" spans="1:6" s="3" customFormat="1" ht="29.1" customHeight="1" x14ac:dyDescent="0.25">
      <c r="A5611" s="2" t="s">
        <v>11885</v>
      </c>
      <c r="B5611" s="2" t="s">
        <v>6834</v>
      </c>
      <c r="C5611" s="2" t="s">
        <v>6834</v>
      </c>
      <c r="D5611" s="2" t="s">
        <v>6837</v>
      </c>
      <c r="E5611" s="2" t="str">
        <f>"9789280535662"</f>
        <v>9789280535662</v>
      </c>
      <c r="F5611" s="2" t="str">
        <f>"9789280535679"</f>
        <v>9789280535679</v>
      </c>
    </row>
    <row r="5612" spans="1:6" s="3" customFormat="1" ht="29.1" customHeight="1" x14ac:dyDescent="0.25">
      <c r="A5612" s="2" t="s">
        <v>11886</v>
      </c>
      <c r="B5612" s="2" t="s">
        <v>11887</v>
      </c>
      <c r="C5612" s="2" t="s">
        <v>264</v>
      </c>
      <c r="D5612" s="2" t="s">
        <v>477</v>
      </c>
      <c r="E5612" s="2" t="str">
        <f>"9781032901664"</f>
        <v>9781032901664</v>
      </c>
      <c r="F5612" s="2" t="str">
        <f>"9781040306970"</f>
        <v>9781040306970</v>
      </c>
    </row>
    <row r="5613" spans="1:6" s="3" customFormat="1" ht="29.1" customHeight="1" x14ac:dyDescent="0.25">
      <c r="A5613" s="2" t="s">
        <v>11886</v>
      </c>
      <c r="B5613" s="2" t="s">
        <v>11887</v>
      </c>
      <c r="C5613" s="2" t="s">
        <v>264</v>
      </c>
      <c r="D5613" s="2" t="s">
        <v>342</v>
      </c>
      <c r="E5613" s="2" t="str">
        <f>"9781032901732"</f>
        <v>9781032901732</v>
      </c>
      <c r="F5613" s="2" t="str">
        <f>"9781040306987"</f>
        <v>9781040306987</v>
      </c>
    </row>
    <row r="5614" spans="1:6" s="3" customFormat="1" ht="29.1" customHeight="1" x14ac:dyDescent="0.25">
      <c r="A5614" s="2" t="s">
        <v>11888</v>
      </c>
      <c r="B5614" s="2" t="s">
        <v>11889</v>
      </c>
      <c r="C5614" s="2" t="s">
        <v>124</v>
      </c>
      <c r="D5614" s="2" t="s">
        <v>37</v>
      </c>
      <c r="E5614" s="2" t="str">
        <f>"9781032494951"</f>
        <v>9781032494951</v>
      </c>
      <c r="F5614" s="2" t="str">
        <f>"9781040307328"</f>
        <v>9781040307328</v>
      </c>
    </row>
    <row r="5615" spans="1:6" s="3" customFormat="1" ht="29.1" customHeight="1" x14ac:dyDescent="0.25">
      <c r="A5615" s="2" t="s">
        <v>11890</v>
      </c>
      <c r="B5615" s="2" t="s">
        <v>11891</v>
      </c>
      <c r="C5615" s="2" t="s">
        <v>124</v>
      </c>
      <c r="D5615" s="2" t="s">
        <v>210</v>
      </c>
      <c r="E5615" s="2" t="str">
        <f>"9781032318240"</f>
        <v>9781032318240</v>
      </c>
      <c r="F5615" s="2" t="str">
        <f>"9781040306727"</f>
        <v>9781040306727</v>
      </c>
    </row>
    <row r="5616" spans="1:6" s="3" customFormat="1" ht="29.1" customHeight="1" x14ac:dyDescent="0.25">
      <c r="A5616" s="2" t="s">
        <v>11892</v>
      </c>
      <c r="B5616" s="2" t="s">
        <v>11893</v>
      </c>
      <c r="C5616" s="2" t="s">
        <v>124</v>
      </c>
      <c r="D5616" s="2" t="s">
        <v>192</v>
      </c>
      <c r="E5616" s="2" t="str">
        <f>"9781032759876"</f>
        <v>9781032759876</v>
      </c>
      <c r="F5616" s="2" t="str">
        <f>"9781040302446"</f>
        <v>9781040302446</v>
      </c>
    </row>
    <row r="5617" spans="1:6" s="3" customFormat="1" ht="29.1" customHeight="1" x14ac:dyDescent="0.25">
      <c r="A5617" s="2" t="s">
        <v>11894</v>
      </c>
      <c r="B5617" s="2" t="s">
        <v>11895</v>
      </c>
      <c r="C5617" s="2" t="s">
        <v>124</v>
      </c>
      <c r="D5617" s="2" t="s">
        <v>183</v>
      </c>
      <c r="E5617" s="2" t="str">
        <f>"9781032498942"</f>
        <v>9781032498942</v>
      </c>
      <c r="F5617" s="2" t="str">
        <f>"9781040304013"</f>
        <v>9781040304013</v>
      </c>
    </row>
    <row r="5618" spans="1:6" s="3" customFormat="1" ht="29.1" customHeight="1" x14ac:dyDescent="0.25">
      <c r="A5618" s="2" t="s">
        <v>11896</v>
      </c>
      <c r="B5618" s="2" t="s">
        <v>11898</v>
      </c>
      <c r="C5618" s="2" t="s">
        <v>124</v>
      </c>
      <c r="D5618" s="2" t="s">
        <v>11897</v>
      </c>
      <c r="E5618" s="2" t="str">
        <f>"9781032377575"</f>
        <v>9781032377575</v>
      </c>
      <c r="F5618" s="2" t="str">
        <f>"9781040300077"</f>
        <v>9781040300077</v>
      </c>
    </row>
    <row r="5619" spans="1:6" s="3" customFormat="1" ht="29.1" customHeight="1" x14ac:dyDescent="0.25">
      <c r="A5619" s="2" t="s">
        <v>11899</v>
      </c>
      <c r="B5619" s="2" t="s">
        <v>11900</v>
      </c>
      <c r="C5619" s="2" t="s">
        <v>124</v>
      </c>
      <c r="D5619" s="2" t="s">
        <v>2086</v>
      </c>
      <c r="E5619" s="2" t="str">
        <f>"9781032549309"</f>
        <v>9781032549309</v>
      </c>
      <c r="F5619" s="2" t="str">
        <f>"9781040309032"</f>
        <v>9781040309032</v>
      </c>
    </row>
    <row r="5620" spans="1:6" s="3" customFormat="1" ht="29.1" customHeight="1" x14ac:dyDescent="0.25">
      <c r="A5620" s="2" t="s">
        <v>11901</v>
      </c>
      <c r="B5620" s="2" t="s">
        <v>11902</v>
      </c>
      <c r="C5620" s="2" t="s">
        <v>124</v>
      </c>
      <c r="D5620" s="2" t="s">
        <v>270</v>
      </c>
      <c r="E5620" s="2" t="str">
        <f>"9781032785165"</f>
        <v>9781032785165</v>
      </c>
      <c r="F5620" s="2" t="str">
        <f>"9781040298886"</f>
        <v>9781040298886</v>
      </c>
    </row>
    <row r="5621" spans="1:6" s="3" customFormat="1" ht="29.1" customHeight="1" x14ac:dyDescent="0.25">
      <c r="A5621" s="2" t="s">
        <v>11903</v>
      </c>
      <c r="B5621" s="2" t="s">
        <v>11904</v>
      </c>
      <c r="C5621" s="2" t="s">
        <v>124</v>
      </c>
      <c r="D5621" s="2" t="s">
        <v>647</v>
      </c>
      <c r="E5621" s="2" t="str">
        <f>"9781032466613"</f>
        <v>9781032466613</v>
      </c>
      <c r="F5621" s="2" t="str">
        <f>"9781040309018"</f>
        <v>9781040309018</v>
      </c>
    </row>
    <row r="5622" spans="1:6" s="3" customFormat="1" ht="29.1" customHeight="1" x14ac:dyDescent="0.25">
      <c r="A5622" s="2" t="s">
        <v>11905</v>
      </c>
      <c r="B5622" s="2" t="s">
        <v>11906</v>
      </c>
      <c r="C5622" s="2" t="s">
        <v>124</v>
      </c>
      <c r="D5622" s="2" t="s">
        <v>9</v>
      </c>
      <c r="E5622" s="2" t="str">
        <f>"9781032727912"</f>
        <v>9781032727912</v>
      </c>
      <c r="F5622" s="2" t="str">
        <f>"9781040299319"</f>
        <v>9781040299319</v>
      </c>
    </row>
    <row r="5623" spans="1:6" s="3" customFormat="1" ht="29.1" customHeight="1" x14ac:dyDescent="0.25">
      <c r="A5623" s="2" t="s">
        <v>11907</v>
      </c>
      <c r="B5623" s="2" t="s">
        <v>11908</v>
      </c>
      <c r="C5623" s="2" t="s">
        <v>124</v>
      </c>
      <c r="D5623" s="2" t="s">
        <v>4742</v>
      </c>
      <c r="E5623" s="2" t="str">
        <f>"9781032819495"</f>
        <v>9781032819495</v>
      </c>
      <c r="F5623" s="2" t="str">
        <f>"9781040307045"</f>
        <v>9781040307045</v>
      </c>
    </row>
    <row r="5624" spans="1:6" s="3" customFormat="1" ht="29.1" customHeight="1" x14ac:dyDescent="0.25">
      <c r="A5624" s="2" t="s">
        <v>11909</v>
      </c>
      <c r="B5624" s="2" t="s">
        <v>11910</v>
      </c>
      <c r="C5624" s="2" t="s">
        <v>124</v>
      </c>
      <c r="D5624" s="2" t="s">
        <v>639</v>
      </c>
      <c r="E5624" s="2" t="str">
        <f>"9781032602295"</f>
        <v>9781032602295</v>
      </c>
      <c r="F5624" s="2" t="str">
        <f>"9781040308073"</f>
        <v>9781040308073</v>
      </c>
    </row>
    <row r="5625" spans="1:6" s="3" customFormat="1" ht="29.1" customHeight="1" x14ac:dyDescent="0.25">
      <c r="A5625" s="2" t="s">
        <v>11911</v>
      </c>
      <c r="B5625" s="2" t="s">
        <v>11912</v>
      </c>
      <c r="C5625" s="2" t="s">
        <v>124</v>
      </c>
      <c r="D5625" s="2" t="s">
        <v>818</v>
      </c>
      <c r="E5625" s="2" t="str">
        <f>"9781032316949"</f>
        <v>9781032316949</v>
      </c>
      <c r="F5625" s="2" t="str">
        <f>"9781040306512"</f>
        <v>9781040306512</v>
      </c>
    </row>
    <row r="5626" spans="1:6" s="3" customFormat="1" ht="29.1" customHeight="1" x14ac:dyDescent="0.25">
      <c r="A5626" s="2" t="s">
        <v>11913</v>
      </c>
      <c r="B5626" s="2" t="s">
        <v>11914</v>
      </c>
      <c r="C5626" s="2" t="s">
        <v>124</v>
      </c>
      <c r="D5626" s="2" t="s">
        <v>712</v>
      </c>
      <c r="E5626" s="2" t="str">
        <f>"9781032779263"</f>
        <v>9781032779263</v>
      </c>
      <c r="F5626" s="2" t="str">
        <f>"9781040305140"</f>
        <v>9781040305140</v>
      </c>
    </row>
    <row r="5627" spans="1:6" s="3" customFormat="1" ht="29.1" customHeight="1" x14ac:dyDescent="0.25">
      <c r="A5627" s="2" t="s">
        <v>11915</v>
      </c>
      <c r="B5627" s="2" t="s">
        <v>11916</v>
      </c>
      <c r="C5627" s="2" t="s">
        <v>124</v>
      </c>
      <c r="D5627" s="2" t="s">
        <v>1082</v>
      </c>
      <c r="E5627" s="2" t="str">
        <f>"9781032547626"</f>
        <v>9781032547626</v>
      </c>
      <c r="F5627" s="2" t="str">
        <f>"9781040309308"</f>
        <v>9781040309308</v>
      </c>
    </row>
    <row r="5628" spans="1:6" s="3" customFormat="1" ht="29.1" customHeight="1" x14ac:dyDescent="0.25">
      <c r="A5628" s="2" t="s">
        <v>11917</v>
      </c>
      <c r="B5628" s="2" t="s">
        <v>11918</v>
      </c>
      <c r="C5628" s="2" t="s">
        <v>124</v>
      </c>
      <c r="D5628" s="2" t="s">
        <v>4720</v>
      </c>
      <c r="E5628" s="2" t="str">
        <f>"9781032817194"</f>
        <v>9781032817194</v>
      </c>
      <c r="F5628" s="2" t="str">
        <f>"9781040308363"</f>
        <v>9781040308363</v>
      </c>
    </row>
    <row r="5629" spans="1:6" s="3" customFormat="1" ht="29.1" customHeight="1" x14ac:dyDescent="0.25">
      <c r="A5629" s="2" t="s">
        <v>11919</v>
      </c>
      <c r="B5629" s="2" t="s">
        <v>11920</v>
      </c>
      <c r="C5629" s="2" t="s">
        <v>124</v>
      </c>
      <c r="D5629" s="2" t="s">
        <v>9</v>
      </c>
      <c r="E5629" s="2" t="str">
        <f>"9781032678528"</f>
        <v>9781032678528</v>
      </c>
      <c r="F5629" s="2" t="str">
        <f>"9781040183311"</f>
        <v>9781040183311</v>
      </c>
    </row>
    <row r="5630" spans="1:6" s="3" customFormat="1" ht="29.1" customHeight="1" x14ac:dyDescent="0.25">
      <c r="A5630" s="2" t="s">
        <v>11921</v>
      </c>
      <c r="B5630" s="2" t="s">
        <v>11922</v>
      </c>
      <c r="C5630" s="2" t="s">
        <v>124</v>
      </c>
      <c r="D5630" s="2" t="s">
        <v>6714</v>
      </c>
      <c r="E5630" s="2" t="str">
        <f>"9781032693361"</f>
        <v>9781032693361</v>
      </c>
      <c r="F5630" s="2" t="str">
        <f>"9781040188774"</f>
        <v>9781040188774</v>
      </c>
    </row>
    <row r="5631" spans="1:6" s="3" customFormat="1" ht="29.1" customHeight="1" x14ac:dyDescent="0.25">
      <c r="A5631" s="2" t="s">
        <v>11923</v>
      </c>
      <c r="B5631" s="2" t="s">
        <v>11925</v>
      </c>
      <c r="C5631" s="2" t="s">
        <v>124</v>
      </c>
      <c r="D5631" s="2" t="s">
        <v>11924</v>
      </c>
      <c r="E5631" s="2" t="str">
        <f>"9781032846910"</f>
        <v>9781032846910</v>
      </c>
      <c r="F5631" s="2" t="str">
        <f>"9781040186510"</f>
        <v>9781040186510</v>
      </c>
    </row>
    <row r="5632" spans="1:6" s="3" customFormat="1" ht="29.1" customHeight="1" x14ac:dyDescent="0.25">
      <c r="A5632" s="2" t="s">
        <v>11926</v>
      </c>
      <c r="B5632" s="2" t="s">
        <v>11927</v>
      </c>
      <c r="C5632" s="2" t="s">
        <v>124</v>
      </c>
      <c r="D5632" s="2" t="s">
        <v>509</v>
      </c>
      <c r="E5632" s="2" t="str">
        <f>"9781032427263"</f>
        <v>9781032427263</v>
      </c>
      <c r="F5632" s="2" t="str">
        <f>"9781040146842"</f>
        <v>9781040146842</v>
      </c>
    </row>
    <row r="5633" spans="1:6" s="3" customFormat="1" ht="29.1" customHeight="1" x14ac:dyDescent="0.25">
      <c r="A5633" s="2" t="s">
        <v>11928</v>
      </c>
      <c r="B5633" s="2" t="s">
        <v>11929</v>
      </c>
      <c r="C5633" s="2" t="s">
        <v>124</v>
      </c>
      <c r="D5633" s="2" t="s">
        <v>413</v>
      </c>
      <c r="E5633" s="2" t="str">
        <f>"9781032618272"</f>
        <v>9781032618272</v>
      </c>
      <c r="F5633" s="2" t="str">
        <f>"9781040144398"</f>
        <v>9781040144398</v>
      </c>
    </row>
    <row r="5634" spans="1:6" s="3" customFormat="1" ht="29.1" customHeight="1" x14ac:dyDescent="0.25">
      <c r="A5634" s="2" t="s">
        <v>11930</v>
      </c>
      <c r="B5634" s="2" t="s">
        <v>11931</v>
      </c>
      <c r="C5634" s="2" t="s">
        <v>124</v>
      </c>
      <c r="D5634" s="2" t="s">
        <v>168</v>
      </c>
      <c r="E5634" s="2" t="str">
        <f>"9781032349817"</f>
        <v>9781032349817</v>
      </c>
      <c r="F5634" s="2" t="str">
        <f>"9781040143834"</f>
        <v>9781040143834</v>
      </c>
    </row>
    <row r="5635" spans="1:6" s="3" customFormat="1" ht="29.1" customHeight="1" x14ac:dyDescent="0.25">
      <c r="A5635" s="2" t="s">
        <v>11932</v>
      </c>
      <c r="B5635" s="2" t="s">
        <v>11933</v>
      </c>
      <c r="C5635" s="2" t="s">
        <v>124</v>
      </c>
      <c r="D5635" s="2" t="s">
        <v>334</v>
      </c>
      <c r="E5635" s="2" t="str">
        <f>"9781032434940"</f>
        <v>9781032434940</v>
      </c>
      <c r="F5635" s="2" t="str">
        <f>"9781040133347"</f>
        <v>9781040133347</v>
      </c>
    </row>
    <row r="5636" spans="1:6" s="3" customFormat="1" ht="29.1" customHeight="1" x14ac:dyDescent="0.25">
      <c r="A5636" s="2" t="s">
        <v>11934</v>
      </c>
      <c r="B5636" s="2" t="s">
        <v>11935</v>
      </c>
      <c r="C5636" s="2" t="s">
        <v>124</v>
      </c>
      <c r="D5636" s="2" t="s">
        <v>858</v>
      </c>
      <c r="E5636" s="2" t="str">
        <f>"9781032516288"</f>
        <v>9781032516288</v>
      </c>
      <c r="F5636" s="2" t="str">
        <f>"9781040134542"</f>
        <v>9781040134542</v>
      </c>
    </row>
    <row r="5637" spans="1:6" s="3" customFormat="1" ht="29.1" customHeight="1" x14ac:dyDescent="0.25">
      <c r="A5637" s="2" t="s">
        <v>11936</v>
      </c>
      <c r="B5637" s="2" t="s">
        <v>11937</v>
      </c>
      <c r="C5637" s="2" t="s">
        <v>124</v>
      </c>
      <c r="D5637" s="2" t="s">
        <v>408</v>
      </c>
      <c r="E5637" s="2" t="str">
        <f>"9781032658810"</f>
        <v>9781032658810</v>
      </c>
      <c r="F5637" s="2" t="str">
        <f>"9781040133194"</f>
        <v>9781040133194</v>
      </c>
    </row>
    <row r="5638" spans="1:6" s="3" customFormat="1" ht="29.1" customHeight="1" x14ac:dyDescent="0.25">
      <c r="A5638" s="2" t="s">
        <v>11938</v>
      </c>
      <c r="B5638" s="2" t="s">
        <v>11939</v>
      </c>
      <c r="C5638" s="2" t="s">
        <v>124</v>
      </c>
      <c r="D5638" s="2" t="s">
        <v>75</v>
      </c>
      <c r="E5638" s="2" t="str">
        <f>"9781032480206"</f>
        <v>9781032480206</v>
      </c>
      <c r="F5638" s="2" t="str">
        <f>"9781040131756"</f>
        <v>9781040131756</v>
      </c>
    </row>
    <row r="5639" spans="1:6" s="3" customFormat="1" ht="29.1" customHeight="1" x14ac:dyDescent="0.25">
      <c r="A5639" s="2" t="s">
        <v>11940</v>
      </c>
      <c r="B5639" s="2" t="s">
        <v>11941</v>
      </c>
      <c r="C5639" s="2" t="s">
        <v>124</v>
      </c>
      <c r="D5639" s="2" t="s">
        <v>4045</v>
      </c>
      <c r="E5639" s="2" t="str">
        <f>"9781032669892"</f>
        <v>9781032669892</v>
      </c>
      <c r="F5639" s="2" t="str">
        <f>"9781040130049"</f>
        <v>9781040130049</v>
      </c>
    </row>
    <row r="5640" spans="1:6" s="3" customFormat="1" ht="29.1" customHeight="1" x14ac:dyDescent="0.25">
      <c r="A5640" s="2" t="s">
        <v>11942</v>
      </c>
      <c r="B5640" s="2" t="s">
        <v>11943</v>
      </c>
      <c r="C5640" s="2" t="s">
        <v>124</v>
      </c>
      <c r="D5640" s="2" t="s">
        <v>86</v>
      </c>
      <c r="E5640" s="2" t="str">
        <f>"9781032333038"</f>
        <v>9781032333038</v>
      </c>
      <c r="F5640" s="2" t="str">
        <f>"9781040116500"</f>
        <v>9781040116500</v>
      </c>
    </row>
    <row r="5641" spans="1:6" s="3" customFormat="1" ht="29.1" customHeight="1" x14ac:dyDescent="0.25">
      <c r="A5641" s="2" t="s">
        <v>11944</v>
      </c>
      <c r="B5641" s="2" t="s">
        <v>11945</v>
      </c>
      <c r="C5641" s="2" t="s">
        <v>124</v>
      </c>
      <c r="D5641" s="2" t="s">
        <v>75</v>
      </c>
      <c r="E5641" s="2" t="str">
        <f>"9781032507699"</f>
        <v>9781032507699</v>
      </c>
      <c r="F5641" s="2" t="str">
        <f>"9781040130537"</f>
        <v>9781040130537</v>
      </c>
    </row>
    <row r="5642" spans="1:6" s="3" customFormat="1" ht="29.1" customHeight="1" x14ac:dyDescent="0.25">
      <c r="A5642" s="2" t="s">
        <v>11946</v>
      </c>
      <c r="B5642" s="2" t="s">
        <v>11947</v>
      </c>
      <c r="C5642" s="2" t="s">
        <v>124</v>
      </c>
      <c r="D5642" s="2" t="s">
        <v>186</v>
      </c>
      <c r="E5642" s="2" t="str">
        <f>"9781032222585"</f>
        <v>9781032222585</v>
      </c>
      <c r="F5642" s="2" t="str">
        <f>"9781040127575"</f>
        <v>9781040127575</v>
      </c>
    </row>
    <row r="5643" spans="1:6" s="3" customFormat="1" ht="29.1" customHeight="1" x14ac:dyDescent="0.25">
      <c r="A5643" s="2" t="s">
        <v>11948</v>
      </c>
      <c r="B5643" s="2" t="s">
        <v>11949</v>
      </c>
      <c r="C5643" s="2" t="s">
        <v>124</v>
      </c>
      <c r="D5643" s="2" t="s">
        <v>2587</v>
      </c>
      <c r="E5643" s="2" t="str">
        <f>"9781032824864"</f>
        <v>9781032824864</v>
      </c>
      <c r="F5643" s="2" t="str">
        <f>"9781040126639"</f>
        <v>9781040126639</v>
      </c>
    </row>
    <row r="5644" spans="1:6" s="3" customFormat="1" ht="29.1" customHeight="1" x14ac:dyDescent="0.25">
      <c r="A5644" s="2" t="s">
        <v>11950</v>
      </c>
      <c r="B5644" s="2" t="s">
        <v>11951</v>
      </c>
      <c r="C5644" s="2" t="s">
        <v>124</v>
      </c>
      <c r="D5644" s="2" t="s">
        <v>855</v>
      </c>
      <c r="E5644" s="2" t="str">
        <f>"9781032560960"</f>
        <v>9781032560960</v>
      </c>
      <c r="F5644" s="2" t="str">
        <f>"9781040122037"</f>
        <v>9781040122037</v>
      </c>
    </row>
    <row r="5645" spans="1:6" s="3" customFormat="1" ht="29.1" customHeight="1" x14ac:dyDescent="0.25">
      <c r="A5645" s="2" t="s">
        <v>11952</v>
      </c>
      <c r="B5645" s="2" t="s">
        <v>11953</v>
      </c>
      <c r="C5645" s="2" t="s">
        <v>124</v>
      </c>
      <c r="D5645" s="2" t="s">
        <v>287</v>
      </c>
      <c r="E5645" s="2" t="str">
        <f>"9781032791173"</f>
        <v>9781032791173</v>
      </c>
      <c r="F5645" s="2" t="str">
        <f>"9781040121221"</f>
        <v>9781040121221</v>
      </c>
    </row>
    <row r="5646" spans="1:6" s="3" customFormat="1" ht="29.1" customHeight="1" x14ac:dyDescent="0.25">
      <c r="A5646" s="2" t="s">
        <v>11954</v>
      </c>
      <c r="B5646" s="2" t="s">
        <v>11955</v>
      </c>
      <c r="C5646" s="2" t="s">
        <v>124</v>
      </c>
      <c r="D5646" s="2" t="s">
        <v>408</v>
      </c>
      <c r="E5646" s="2" t="str">
        <f>"9780367860394"</f>
        <v>9780367860394</v>
      </c>
      <c r="F5646" s="2" t="str">
        <f>"9781040117606"</f>
        <v>9781040117606</v>
      </c>
    </row>
    <row r="5647" spans="1:6" s="3" customFormat="1" ht="29.1" customHeight="1" x14ac:dyDescent="0.25">
      <c r="A5647" s="2" t="s">
        <v>11956</v>
      </c>
      <c r="B5647" s="2" t="s">
        <v>11957</v>
      </c>
      <c r="C5647" s="2" t="s">
        <v>124</v>
      </c>
      <c r="D5647" s="2" t="s">
        <v>339</v>
      </c>
      <c r="E5647" s="2" t="str">
        <f>"9781032559704"</f>
        <v>9781032559704</v>
      </c>
      <c r="F5647" s="2" t="str">
        <f>"9781040115626"</f>
        <v>9781040115626</v>
      </c>
    </row>
    <row r="5648" spans="1:6" s="3" customFormat="1" ht="29.1" customHeight="1" x14ac:dyDescent="0.25">
      <c r="A5648" s="2" t="s">
        <v>11958</v>
      </c>
      <c r="B5648" s="2" t="s">
        <v>11960</v>
      </c>
      <c r="C5648" s="2" t="s">
        <v>124</v>
      </c>
      <c r="D5648" s="2" t="s">
        <v>11959</v>
      </c>
      <c r="E5648" s="2" t="str">
        <f>"9781032436616"</f>
        <v>9781032436616</v>
      </c>
      <c r="F5648" s="2" t="str">
        <f>"9781040114506"</f>
        <v>9781040114506</v>
      </c>
    </row>
    <row r="5649" spans="1:6" s="3" customFormat="1" ht="29.1" customHeight="1" x14ac:dyDescent="0.25">
      <c r="A5649" s="2" t="s">
        <v>11961</v>
      </c>
      <c r="B5649" s="2" t="s">
        <v>11962</v>
      </c>
      <c r="C5649" s="2" t="s">
        <v>124</v>
      </c>
      <c r="D5649" s="2" t="s">
        <v>6798</v>
      </c>
      <c r="E5649" s="2" t="str">
        <f>"9781032275239"</f>
        <v>9781032275239</v>
      </c>
      <c r="F5649" s="2" t="str">
        <f>"9781040107003"</f>
        <v>9781040107003</v>
      </c>
    </row>
    <row r="5650" spans="1:6" s="3" customFormat="1" ht="29.1" customHeight="1" x14ac:dyDescent="0.25">
      <c r="A5650" s="2" t="s">
        <v>11963</v>
      </c>
      <c r="B5650" s="2" t="s">
        <v>11964</v>
      </c>
      <c r="C5650" s="2" t="s">
        <v>124</v>
      </c>
      <c r="D5650" s="2" t="s">
        <v>2648</v>
      </c>
      <c r="E5650" s="2" t="str">
        <f>"9781032471396"</f>
        <v>9781032471396</v>
      </c>
      <c r="F5650" s="2" t="str">
        <f>"9781040111352"</f>
        <v>9781040111352</v>
      </c>
    </row>
    <row r="5651" spans="1:6" s="3" customFormat="1" ht="29.1" customHeight="1" x14ac:dyDescent="0.25">
      <c r="A5651" s="2" t="s">
        <v>11965</v>
      </c>
      <c r="B5651" s="2" t="s">
        <v>11966</v>
      </c>
      <c r="C5651" s="2" t="s">
        <v>124</v>
      </c>
      <c r="D5651" s="2" t="s">
        <v>712</v>
      </c>
      <c r="E5651" s="2" t="str">
        <f>"9781032743707"</f>
        <v>9781032743707</v>
      </c>
      <c r="F5651" s="2" t="str">
        <f>"9781040116388"</f>
        <v>9781040116388</v>
      </c>
    </row>
    <row r="5652" spans="1:6" s="3" customFormat="1" ht="29.1" customHeight="1" x14ac:dyDescent="0.25">
      <c r="A5652" s="2" t="s">
        <v>11967</v>
      </c>
      <c r="B5652" s="2" t="s">
        <v>11968</v>
      </c>
      <c r="C5652" s="2" t="s">
        <v>124</v>
      </c>
      <c r="D5652" s="2" t="s">
        <v>98</v>
      </c>
      <c r="E5652" s="2" t="str">
        <f>"9781032805603"</f>
        <v>9781032805603</v>
      </c>
      <c r="F5652" s="2" t="str">
        <f>"9781040115374"</f>
        <v>9781040115374</v>
      </c>
    </row>
    <row r="5653" spans="1:6" s="3" customFormat="1" ht="29.1" customHeight="1" x14ac:dyDescent="0.25">
      <c r="A5653" s="2" t="s">
        <v>11969</v>
      </c>
      <c r="B5653" s="2" t="s">
        <v>11970</v>
      </c>
      <c r="C5653" s="2" t="s">
        <v>124</v>
      </c>
      <c r="D5653" s="2" t="s">
        <v>75</v>
      </c>
      <c r="E5653" s="2" t="str">
        <f>"9781032441290"</f>
        <v>9781032441290</v>
      </c>
      <c r="F5653" s="2" t="str">
        <f>"9781040114322"</f>
        <v>9781040114322</v>
      </c>
    </row>
    <row r="5654" spans="1:6" s="3" customFormat="1" ht="29.1" customHeight="1" x14ac:dyDescent="0.25">
      <c r="A5654" s="2" t="s">
        <v>11971</v>
      </c>
      <c r="B5654" s="2" t="s">
        <v>11972</v>
      </c>
      <c r="C5654" s="2" t="s">
        <v>124</v>
      </c>
      <c r="D5654" s="2" t="s">
        <v>183</v>
      </c>
      <c r="E5654" s="2" t="str">
        <f>"9781032261126"</f>
        <v>9781032261126</v>
      </c>
      <c r="F5654" s="2" t="str">
        <f>"9781040113400"</f>
        <v>9781040113400</v>
      </c>
    </row>
    <row r="5655" spans="1:6" s="3" customFormat="1" ht="29.1" customHeight="1" x14ac:dyDescent="0.25">
      <c r="A5655" s="2" t="s">
        <v>11973</v>
      </c>
      <c r="B5655" s="2" t="s">
        <v>11974</v>
      </c>
      <c r="C5655" s="2" t="s">
        <v>124</v>
      </c>
      <c r="D5655" s="2" t="s">
        <v>297</v>
      </c>
      <c r="E5655" s="2" t="str">
        <f>"9781032705408"</f>
        <v>9781032705408</v>
      </c>
      <c r="F5655" s="2" t="str">
        <f>"9781040113264"</f>
        <v>9781040113264</v>
      </c>
    </row>
    <row r="5656" spans="1:6" s="3" customFormat="1" ht="29.1" customHeight="1" x14ac:dyDescent="0.25">
      <c r="A5656" s="2" t="s">
        <v>11975</v>
      </c>
      <c r="B5656" s="2" t="s">
        <v>11976</v>
      </c>
      <c r="C5656" s="2" t="s">
        <v>124</v>
      </c>
      <c r="D5656" s="2" t="s">
        <v>4180</v>
      </c>
      <c r="E5656" s="2" t="str">
        <f>"9781032466989"</f>
        <v>9781032466989</v>
      </c>
      <c r="F5656" s="2" t="str">
        <f>"9781040112250"</f>
        <v>9781040112250</v>
      </c>
    </row>
    <row r="5657" spans="1:6" s="3" customFormat="1" ht="29.1" customHeight="1" x14ac:dyDescent="0.25">
      <c r="A5657" s="2" t="s">
        <v>11977</v>
      </c>
      <c r="B5657" s="2" t="s">
        <v>11978</v>
      </c>
      <c r="C5657" s="2" t="s">
        <v>124</v>
      </c>
      <c r="D5657" s="2" t="s">
        <v>7280</v>
      </c>
      <c r="E5657" s="2" t="str">
        <f>"9781032356815"</f>
        <v>9781032356815</v>
      </c>
      <c r="F5657" s="2" t="str">
        <f>"9781040108703"</f>
        <v>9781040108703</v>
      </c>
    </row>
    <row r="5658" spans="1:6" s="3" customFormat="1" ht="29.1" customHeight="1" x14ac:dyDescent="0.25">
      <c r="A5658" s="2" t="s">
        <v>11979</v>
      </c>
      <c r="B5658" s="2" t="s">
        <v>11980</v>
      </c>
      <c r="C5658" s="2" t="s">
        <v>124</v>
      </c>
      <c r="D5658" s="2" t="s">
        <v>353</v>
      </c>
      <c r="E5658" s="2" t="str">
        <f>"9781032668673"</f>
        <v>9781032668673</v>
      </c>
      <c r="F5658" s="2" t="str">
        <f>"9781040108765"</f>
        <v>9781040108765</v>
      </c>
    </row>
    <row r="5659" spans="1:6" s="3" customFormat="1" ht="29.1" customHeight="1" x14ac:dyDescent="0.25">
      <c r="A5659" s="2" t="s">
        <v>11981</v>
      </c>
      <c r="B5659" s="2" t="s">
        <v>11982</v>
      </c>
      <c r="C5659" s="2" t="s">
        <v>124</v>
      </c>
      <c r="D5659" s="2" t="s">
        <v>984</v>
      </c>
      <c r="E5659" s="2" t="str">
        <f>"9781032589770"</f>
        <v>9781032589770</v>
      </c>
      <c r="F5659" s="2" t="str">
        <f>"9781040101742"</f>
        <v>9781040101742</v>
      </c>
    </row>
    <row r="5660" spans="1:6" s="3" customFormat="1" ht="29.1" customHeight="1" x14ac:dyDescent="0.25">
      <c r="A5660" s="2" t="s">
        <v>11983</v>
      </c>
      <c r="B5660" s="2" t="s">
        <v>11985</v>
      </c>
      <c r="C5660" s="2" t="s">
        <v>124</v>
      </c>
      <c r="D5660" s="2" t="s">
        <v>11984</v>
      </c>
      <c r="E5660" s="2" t="str">
        <f>"9781032754215"</f>
        <v>9781032754215</v>
      </c>
      <c r="F5660" s="2" t="str">
        <f>"9781040108598"</f>
        <v>9781040108598</v>
      </c>
    </row>
    <row r="5661" spans="1:6" s="3" customFormat="1" ht="29.1" customHeight="1" x14ac:dyDescent="0.25">
      <c r="A5661" s="2" t="s">
        <v>11986</v>
      </c>
      <c r="B5661" s="2" t="s">
        <v>11987</v>
      </c>
      <c r="C5661" s="2" t="s">
        <v>124</v>
      </c>
      <c r="D5661" s="2" t="s">
        <v>3943</v>
      </c>
      <c r="E5661" s="2" t="str">
        <f>"9781138592797"</f>
        <v>9781138592797</v>
      </c>
      <c r="F5661" s="2" t="str">
        <f>"9780429489792"</f>
        <v>9780429489792</v>
      </c>
    </row>
    <row r="5662" spans="1:6" s="3" customFormat="1" ht="29.1" customHeight="1" x14ac:dyDescent="0.25">
      <c r="A5662" s="2" t="s">
        <v>11988</v>
      </c>
      <c r="B5662" s="2" t="s">
        <v>11990</v>
      </c>
      <c r="C5662" s="2" t="s">
        <v>124</v>
      </c>
      <c r="D5662" s="2" t="s">
        <v>11989</v>
      </c>
      <c r="E5662" s="2" t="str">
        <f>"9781032543031"</f>
        <v>9781032543031</v>
      </c>
      <c r="F5662" s="2" t="str">
        <f>"9781040110195"</f>
        <v>9781040110195</v>
      </c>
    </row>
    <row r="5663" spans="1:6" s="3" customFormat="1" ht="29.1" customHeight="1" x14ac:dyDescent="0.25">
      <c r="A5663" s="2" t="s">
        <v>11991</v>
      </c>
      <c r="B5663" s="2" t="s">
        <v>11992</v>
      </c>
      <c r="C5663" s="2" t="s">
        <v>124</v>
      </c>
      <c r="D5663" s="2" t="s">
        <v>712</v>
      </c>
      <c r="E5663" s="2" t="str">
        <f>"9781032602035"</f>
        <v>9781032602035</v>
      </c>
      <c r="F5663" s="2" t="str">
        <f>"9781040109571"</f>
        <v>9781040109571</v>
      </c>
    </row>
    <row r="5664" spans="1:6" s="3" customFormat="1" ht="29.1" customHeight="1" x14ac:dyDescent="0.25">
      <c r="A5664" s="2" t="s">
        <v>11993</v>
      </c>
      <c r="B5664" s="2" t="s">
        <v>11994</v>
      </c>
      <c r="C5664" s="2" t="s">
        <v>124</v>
      </c>
      <c r="D5664" s="2" t="s">
        <v>3814</v>
      </c>
      <c r="E5664" s="2" t="str">
        <f>"9781032505671"</f>
        <v>9781032505671</v>
      </c>
      <c r="F5664" s="2" t="str">
        <f>"9781040108567"</f>
        <v>9781040108567</v>
      </c>
    </row>
    <row r="5665" spans="1:6" s="3" customFormat="1" ht="29.1" customHeight="1" x14ac:dyDescent="0.25">
      <c r="A5665" s="2" t="s">
        <v>11995</v>
      </c>
      <c r="B5665" s="2" t="s">
        <v>11996</v>
      </c>
      <c r="C5665" s="2" t="s">
        <v>124</v>
      </c>
      <c r="D5665" s="2" t="s">
        <v>189</v>
      </c>
      <c r="E5665" s="2" t="str">
        <f>"9781032596334"</f>
        <v>9781032596334</v>
      </c>
      <c r="F5665" s="2" t="str">
        <f>"9781040107478"</f>
        <v>9781040107478</v>
      </c>
    </row>
    <row r="5666" spans="1:6" s="3" customFormat="1" ht="29.1" customHeight="1" x14ac:dyDescent="0.25">
      <c r="A5666" s="2" t="s">
        <v>11997</v>
      </c>
      <c r="B5666" s="2" t="s">
        <v>11998</v>
      </c>
      <c r="C5666" s="2" t="s">
        <v>124</v>
      </c>
      <c r="D5666" s="2" t="s">
        <v>270</v>
      </c>
      <c r="E5666" s="2" t="str">
        <f>"9781032665764"</f>
        <v>9781032665764</v>
      </c>
      <c r="F5666" s="2" t="str">
        <f>"9781040106891"</f>
        <v>9781040106891</v>
      </c>
    </row>
    <row r="5667" spans="1:6" s="3" customFormat="1" ht="29.1" customHeight="1" x14ac:dyDescent="0.25">
      <c r="A5667" s="2" t="s">
        <v>11999</v>
      </c>
      <c r="B5667" s="2" t="s">
        <v>12000</v>
      </c>
      <c r="C5667" s="2" t="s">
        <v>124</v>
      </c>
      <c r="D5667" s="2" t="s">
        <v>168</v>
      </c>
      <c r="E5667" s="2" t="str">
        <f>"9781032281155"</f>
        <v>9781032281155</v>
      </c>
      <c r="F5667" s="2" t="str">
        <f>"9781040106600"</f>
        <v>9781040106600</v>
      </c>
    </row>
    <row r="5668" spans="1:6" s="3" customFormat="1" ht="29.1" customHeight="1" x14ac:dyDescent="0.25">
      <c r="A5668" s="2" t="s">
        <v>12001</v>
      </c>
      <c r="B5668" s="2" t="s">
        <v>12002</v>
      </c>
      <c r="C5668" s="2" t="s">
        <v>124</v>
      </c>
      <c r="D5668" s="2" t="s">
        <v>6692</v>
      </c>
      <c r="E5668" s="2" t="str">
        <f>"9781032785998"</f>
        <v>9781032785998</v>
      </c>
      <c r="F5668" s="2" t="str">
        <f>"9781040106112"</f>
        <v>9781040106112</v>
      </c>
    </row>
    <row r="5669" spans="1:6" s="3" customFormat="1" ht="29.1" customHeight="1" x14ac:dyDescent="0.25">
      <c r="A5669" s="2" t="s">
        <v>12003</v>
      </c>
      <c r="B5669" s="2" t="s">
        <v>12004</v>
      </c>
      <c r="C5669" s="2" t="s">
        <v>124</v>
      </c>
      <c r="D5669" s="2" t="s">
        <v>6678</v>
      </c>
      <c r="E5669" s="2" t="str">
        <f>"9781032445625"</f>
        <v>9781032445625</v>
      </c>
      <c r="F5669" s="2" t="str">
        <f>"9781040104774"</f>
        <v>9781040104774</v>
      </c>
    </row>
    <row r="5670" spans="1:6" s="3" customFormat="1" ht="29.1" customHeight="1" x14ac:dyDescent="0.25">
      <c r="A5670" s="2" t="s">
        <v>12005</v>
      </c>
      <c r="B5670" s="2" t="s">
        <v>12006</v>
      </c>
      <c r="C5670" s="2" t="s">
        <v>124</v>
      </c>
      <c r="D5670" s="2" t="s">
        <v>1209</v>
      </c>
      <c r="E5670" s="2" t="str">
        <f>"9781032726298"</f>
        <v>9781032726298</v>
      </c>
      <c r="F5670" s="2" t="str">
        <f>"9781040104163"</f>
        <v>9781040104163</v>
      </c>
    </row>
    <row r="5671" spans="1:6" s="3" customFormat="1" ht="29.1" customHeight="1" x14ac:dyDescent="0.25">
      <c r="A5671" s="2" t="s">
        <v>12007</v>
      </c>
      <c r="B5671" s="2" t="s">
        <v>12008</v>
      </c>
      <c r="C5671" s="2" t="s">
        <v>124</v>
      </c>
      <c r="D5671" s="2" t="s">
        <v>1809</v>
      </c>
      <c r="E5671" s="2" t="str">
        <f>"9781032068725"</f>
        <v>9781032068725</v>
      </c>
      <c r="F5671" s="2" t="str">
        <f>"9781040102817"</f>
        <v>9781040102817</v>
      </c>
    </row>
    <row r="5672" spans="1:6" s="3" customFormat="1" ht="29.1" customHeight="1" x14ac:dyDescent="0.25">
      <c r="A5672" s="2" t="s">
        <v>12009</v>
      </c>
      <c r="B5672" s="2" t="s">
        <v>12010</v>
      </c>
      <c r="C5672" s="2" t="s">
        <v>124</v>
      </c>
      <c r="D5672" s="2" t="s">
        <v>2587</v>
      </c>
      <c r="E5672" s="2" t="str">
        <f>"9781032281810"</f>
        <v>9781032281810</v>
      </c>
      <c r="F5672" s="2" t="str">
        <f>"9781040101339"</f>
        <v>9781040101339</v>
      </c>
    </row>
    <row r="5673" spans="1:6" s="3" customFormat="1" ht="29.1" customHeight="1" x14ac:dyDescent="0.25">
      <c r="A5673" s="2" t="s">
        <v>12011</v>
      </c>
      <c r="B5673" s="2" t="s">
        <v>12012</v>
      </c>
      <c r="C5673" s="2" t="s">
        <v>124</v>
      </c>
      <c r="D5673" s="2" t="s">
        <v>9</v>
      </c>
      <c r="E5673" s="2" t="str">
        <f>"9781032565033"</f>
        <v>9781032565033</v>
      </c>
      <c r="F5673" s="2" t="str">
        <f>"9781040093290"</f>
        <v>9781040093290</v>
      </c>
    </row>
    <row r="5674" spans="1:6" s="3" customFormat="1" ht="29.1" customHeight="1" x14ac:dyDescent="0.25">
      <c r="A5674" s="2" t="s">
        <v>12013</v>
      </c>
      <c r="B5674" s="2" t="s">
        <v>12014</v>
      </c>
      <c r="C5674" s="2" t="s">
        <v>124</v>
      </c>
      <c r="D5674" s="2" t="s">
        <v>162</v>
      </c>
      <c r="E5674" s="2" t="str">
        <f>"9781032758589"</f>
        <v>9781032758589</v>
      </c>
      <c r="F5674" s="2" t="str">
        <f>"9781040093665"</f>
        <v>9781040093665</v>
      </c>
    </row>
    <row r="5675" spans="1:6" s="3" customFormat="1" ht="29.1" customHeight="1" x14ac:dyDescent="0.25">
      <c r="A5675" s="2" t="s">
        <v>12015</v>
      </c>
      <c r="B5675" s="2" t="s">
        <v>12016</v>
      </c>
      <c r="C5675" s="2" t="s">
        <v>124</v>
      </c>
      <c r="D5675" s="2" t="s">
        <v>339</v>
      </c>
      <c r="E5675" s="2" t="str">
        <f>"9781032071510"</f>
        <v>9781032071510</v>
      </c>
      <c r="F5675" s="2" t="str">
        <f>"9781040090411"</f>
        <v>9781040090411</v>
      </c>
    </row>
    <row r="5676" spans="1:6" s="3" customFormat="1" ht="29.1" customHeight="1" x14ac:dyDescent="0.25">
      <c r="A5676" s="2" t="s">
        <v>12017</v>
      </c>
      <c r="B5676" s="2" t="s">
        <v>12018</v>
      </c>
      <c r="C5676" s="2" t="s">
        <v>124</v>
      </c>
      <c r="D5676" s="2" t="s">
        <v>431</v>
      </c>
      <c r="E5676" s="2" t="str">
        <f>"9781032625751"</f>
        <v>9781032625751</v>
      </c>
      <c r="F5676" s="2" t="str">
        <f>"9781040100578"</f>
        <v>9781040100578</v>
      </c>
    </row>
    <row r="5677" spans="1:6" s="3" customFormat="1" ht="29.1" customHeight="1" x14ac:dyDescent="0.25">
      <c r="A5677" s="2" t="s">
        <v>12019</v>
      </c>
      <c r="B5677" s="2" t="s">
        <v>12020</v>
      </c>
      <c r="C5677" s="2" t="s">
        <v>124</v>
      </c>
      <c r="D5677" s="2" t="s">
        <v>75</v>
      </c>
      <c r="E5677" s="2" t="str">
        <f>"9781032508467"</f>
        <v>9781032508467</v>
      </c>
      <c r="F5677" s="2" t="str">
        <f>"9781040100028"</f>
        <v>9781040100028</v>
      </c>
    </row>
    <row r="5678" spans="1:6" s="3" customFormat="1" ht="29.1" customHeight="1" x14ac:dyDescent="0.25">
      <c r="A5678" s="2" t="s">
        <v>12021</v>
      </c>
      <c r="B5678" s="2" t="s">
        <v>12022</v>
      </c>
      <c r="C5678" s="2" t="s">
        <v>124</v>
      </c>
      <c r="D5678" s="2" t="s">
        <v>287</v>
      </c>
      <c r="E5678" s="2" t="str">
        <f>"9781032770451"</f>
        <v>9781032770451</v>
      </c>
      <c r="F5678" s="2" t="str">
        <f>"9781040099575"</f>
        <v>9781040099575</v>
      </c>
    </row>
    <row r="5679" spans="1:6" s="3" customFormat="1" ht="29.1" customHeight="1" x14ac:dyDescent="0.25">
      <c r="A5679" s="2" t="s">
        <v>12023</v>
      </c>
      <c r="B5679" s="2" t="s">
        <v>12024</v>
      </c>
      <c r="C5679" s="2" t="s">
        <v>124</v>
      </c>
      <c r="D5679" s="2" t="s">
        <v>2150</v>
      </c>
      <c r="E5679" s="2" t="str">
        <f>"9781032385914"</f>
        <v>9781032385914</v>
      </c>
      <c r="F5679" s="2" t="str">
        <f>"9781040090756"</f>
        <v>9781040090756</v>
      </c>
    </row>
    <row r="5680" spans="1:6" s="3" customFormat="1" ht="29.1" customHeight="1" x14ac:dyDescent="0.25">
      <c r="A5680" s="2" t="s">
        <v>12025</v>
      </c>
      <c r="B5680" s="2" t="s">
        <v>12026</v>
      </c>
      <c r="C5680" s="2" t="s">
        <v>124</v>
      </c>
      <c r="D5680" s="2" t="s">
        <v>653</v>
      </c>
      <c r="E5680" s="2" t="str">
        <f>"9781032789828"</f>
        <v>9781032789828</v>
      </c>
      <c r="F5680" s="2" t="str">
        <f>"9781040093313"</f>
        <v>9781040093313</v>
      </c>
    </row>
    <row r="5681" spans="1:6" s="3" customFormat="1" ht="29.1" customHeight="1" x14ac:dyDescent="0.25">
      <c r="A5681" s="2" t="s">
        <v>12027</v>
      </c>
      <c r="B5681" s="2" t="s">
        <v>12028</v>
      </c>
      <c r="C5681" s="2" t="s">
        <v>124</v>
      </c>
      <c r="D5681" s="2" t="s">
        <v>75</v>
      </c>
      <c r="E5681" s="2" t="str">
        <f>"9781032412191"</f>
        <v>9781032412191</v>
      </c>
      <c r="F5681" s="2" t="str">
        <f>"9781040090497"</f>
        <v>9781040090497</v>
      </c>
    </row>
    <row r="5682" spans="1:6" s="3" customFormat="1" ht="29.1" customHeight="1" x14ac:dyDescent="0.25">
      <c r="A5682" s="2" t="s">
        <v>12029</v>
      </c>
      <c r="B5682" s="2" t="s">
        <v>12030</v>
      </c>
      <c r="C5682" s="2" t="s">
        <v>124</v>
      </c>
      <c r="D5682" s="2" t="s">
        <v>647</v>
      </c>
      <c r="E5682" s="2" t="str">
        <f>"9781032489346"</f>
        <v>9781032489346</v>
      </c>
      <c r="F5682" s="2" t="str">
        <f>"9781040088043"</f>
        <v>9781040088043</v>
      </c>
    </row>
    <row r="5683" spans="1:6" s="3" customFormat="1" ht="29.1" customHeight="1" x14ac:dyDescent="0.25">
      <c r="A5683" s="2" t="s">
        <v>12031</v>
      </c>
      <c r="B5683" s="2" t="s">
        <v>12032</v>
      </c>
      <c r="C5683" s="2" t="s">
        <v>124</v>
      </c>
      <c r="D5683" s="2" t="s">
        <v>647</v>
      </c>
      <c r="E5683" s="2" t="str">
        <f>"9780367429119"</f>
        <v>9780367429119</v>
      </c>
      <c r="F5683" s="2" t="str">
        <f>"9781040085509"</f>
        <v>9781040085509</v>
      </c>
    </row>
    <row r="5684" spans="1:6" s="3" customFormat="1" ht="29.1" customHeight="1" x14ac:dyDescent="0.25">
      <c r="A5684" s="2" t="s">
        <v>12033</v>
      </c>
      <c r="B5684" s="2" t="s">
        <v>12034</v>
      </c>
      <c r="C5684" s="2" t="s">
        <v>124</v>
      </c>
      <c r="D5684" s="2" t="s">
        <v>2943</v>
      </c>
      <c r="E5684" s="2" t="str">
        <f>"9781032246291"</f>
        <v>9781032246291</v>
      </c>
      <c r="F5684" s="2" t="str">
        <f>"9781040086162"</f>
        <v>9781040086162</v>
      </c>
    </row>
    <row r="5685" spans="1:6" s="3" customFormat="1" ht="29.1" customHeight="1" x14ac:dyDescent="0.25">
      <c r="A5685" s="2" t="s">
        <v>12035</v>
      </c>
      <c r="B5685" s="2" t="s">
        <v>12036</v>
      </c>
      <c r="C5685" s="2" t="s">
        <v>124</v>
      </c>
      <c r="D5685" s="2" t="s">
        <v>30</v>
      </c>
      <c r="E5685" s="2" t="str">
        <f>"9781032304809"</f>
        <v>9781032304809</v>
      </c>
      <c r="F5685" s="2" t="str">
        <f>"9781040085301"</f>
        <v>9781040085301</v>
      </c>
    </row>
    <row r="5686" spans="1:6" s="3" customFormat="1" ht="29.1" customHeight="1" x14ac:dyDescent="0.25">
      <c r="A5686" s="2" t="s">
        <v>12037</v>
      </c>
      <c r="B5686" s="2" t="s">
        <v>12038</v>
      </c>
      <c r="C5686" s="2" t="s">
        <v>124</v>
      </c>
      <c r="D5686" s="2" t="s">
        <v>2016</v>
      </c>
      <c r="E5686" s="2" t="str">
        <f>"9781032742090"</f>
        <v>9781032742090</v>
      </c>
      <c r="F5686" s="2" t="str">
        <f>"9781040037867"</f>
        <v>9781040037867</v>
      </c>
    </row>
    <row r="5687" spans="1:6" s="3" customFormat="1" ht="29.1" customHeight="1" x14ac:dyDescent="0.25">
      <c r="A5687" s="2" t="s">
        <v>12039</v>
      </c>
      <c r="B5687" s="2" t="s">
        <v>12040</v>
      </c>
      <c r="C5687" s="2" t="s">
        <v>124</v>
      </c>
      <c r="D5687" s="2" t="s">
        <v>270</v>
      </c>
      <c r="E5687" s="2" t="str">
        <f>"9781032462233"</f>
        <v>9781032462233</v>
      </c>
      <c r="F5687" s="2" t="str">
        <f>"9781040038017"</f>
        <v>9781040038017</v>
      </c>
    </row>
    <row r="5688" spans="1:6" s="3" customFormat="1" ht="29.1" customHeight="1" x14ac:dyDescent="0.25">
      <c r="A5688" s="2" t="s">
        <v>12041</v>
      </c>
      <c r="B5688" s="2" t="s">
        <v>12042</v>
      </c>
      <c r="C5688" s="2" t="s">
        <v>124</v>
      </c>
      <c r="D5688" s="2" t="s">
        <v>186</v>
      </c>
      <c r="E5688" s="2" t="str">
        <f>"9781032431505"</f>
        <v>9781032431505</v>
      </c>
      <c r="F5688" s="2" t="str">
        <f>"9781040032008"</f>
        <v>9781040032008</v>
      </c>
    </row>
    <row r="5689" spans="1:6" s="3" customFormat="1" ht="29.1" customHeight="1" x14ac:dyDescent="0.25">
      <c r="A5689" s="2" t="s">
        <v>12043</v>
      </c>
      <c r="B5689" s="2" t="s">
        <v>12044</v>
      </c>
      <c r="C5689" s="2" t="s">
        <v>124</v>
      </c>
      <c r="D5689" s="2" t="s">
        <v>2391</v>
      </c>
      <c r="E5689" s="2" t="str">
        <f>"9781032341040"</f>
        <v>9781032341040</v>
      </c>
      <c r="F5689" s="2" t="str">
        <f>"9781040030066"</f>
        <v>9781040030066</v>
      </c>
    </row>
    <row r="5690" spans="1:6" s="3" customFormat="1" ht="29.1" customHeight="1" x14ac:dyDescent="0.25">
      <c r="A5690" s="2" t="s">
        <v>12045</v>
      </c>
      <c r="B5690" s="2" t="s">
        <v>12046</v>
      </c>
      <c r="C5690" s="2" t="s">
        <v>124</v>
      </c>
      <c r="D5690" s="2" t="s">
        <v>1840</v>
      </c>
      <c r="E5690" s="2" t="str">
        <f>"9781032698182"</f>
        <v>9781032698182</v>
      </c>
      <c r="F5690" s="2" t="str">
        <f>"9781040036006"</f>
        <v>9781040036006</v>
      </c>
    </row>
    <row r="5691" spans="1:6" s="3" customFormat="1" ht="29.1" customHeight="1" x14ac:dyDescent="0.25">
      <c r="A5691" s="2" t="s">
        <v>12047</v>
      </c>
      <c r="B5691" s="2" t="s">
        <v>12048</v>
      </c>
      <c r="C5691" s="2" t="s">
        <v>124</v>
      </c>
      <c r="D5691" s="2" t="s">
        <v>270</v>
      </c>
      <c r="E5691" s="2" t="str">
        <f>"9781032442860"</f>
        <v>9781032442860</v>
      </c>
      <c r="F5691" s="2" t="str">
        <f>"9781040035085"</f>
        <v>9781040035085</v>
      </c>
    </row>
    <row r="5692" spans="1:6" s="3" customFormat="1" ht="29.1" customHeight="1" x14ac:dyDescent="0.25">
      <c r="A5692" s="2" t="s">
        <v>12049</v>
      </c>
      <c r="B5692" s="2" t="s">
        <v>12050</v>
      </c>
      <c r="C5692" s="2" t="s">
        <v>124</v>
      </c>
      <c r="D5692" s="2" t="s">
        <v>270</v>
      </c>
      <c r="E5692" s="2" t="str">
        <f>"9781138332546"</f>
        <v>9781138332546</v>
      </c>
      <c r="F5692" s="2" t="str">
        <f>"9780429822049"</f>
        <v>9780429822049</v>
      </c>
    </row>
    <row r="5693" spans="1:6" s="3" customFormat="1" ht="29.1" customHeight="1" x14ac:dyDescent="0.25">
      <c r="A5693" s="2" t="s">
        <v>12051</v>
      </c>
      <c r="B5693" s="2" t="s">
        <v>12052</v>
      </c>
      <c r="C5693" s="2" t="s">
        <v>124</v>
      </c>
      <c r="D5693" s="2" t="s">
        <v>270</v>
      </c>
      <c r="E5693" s="2" t="str">
        <f>"9781032546742"</f>
        <v>9781032546742</v>
      </c>
      <c r="F5693" s="2" t="str">
        <f>"9781040033609"</f>
        <v>9781040033609</v>
      </c>
    </row>
    <row r="5694" spans="1:6" s="3" customFormat="1" ht="29.1" customHeight="1" x14ac:dyDescent="0.25">
      <c r="A5694" s="2" t="s">
        <v>12053</v>
      </c>
      <c r="B5694" s="2" t="s">
        <v>12054</v>
      </c>
      <c r="C5694" s="2" t="s">
        <v>124</v>
      </c>
      <c r="D5694" s="2" t="s">
        <v>1694</v>
      </c>
      <c r="E5694" s="2" t="str">
        <f>"9781032536347"</f>
        <v>9781032536347</v>
      </c>
      <c r="F5694" s="2" t="str">
        <f>"9781040033265"</f>
        <v>9781040033265</v>
      </c>
    </row>
    <row r="5695" spans="1:6" s="3" customFormat="1" ht="29.1" customHeight="1" x14ac:dyDescent="0.25">
      <c r="A5695" s="2" t="s">
        <v>12055</v>
      </c>
      <c r="B5695" s="2" t="s">
        <v>12012</v>
      </c>
      <c r="C5695" s="2" t="s">
        <v>124</v>
      </c>
      <c r="D5695" s="2" t="s">
        <v>9</v>
      </c>
      <c r="E5695" s="2" t="str">
        <f>"9781032517124"</f>
        <v>9781032517124</v>
      </c>
      <c r="F5695" s="2" t="str">
        <f>"9781040031612"</f>
        <v>9781040031612</v>
      </c>
    </row>
    <row r="5696" spans="1:6" s="3" customFormat="1" ht="29.1" customHeight="1" x14ac:dyDescent="0.25">
      <c r="A5696" s="2" t="s">
        <v>12056</v>
      </c>
      <c r="B5696" s="2" t="s">
        <v>12057</v>
      </c>
      <c r="C5696" s="2" t="s">
        <v>124</v>
      </c>
      <c r="D5696" s="2" t="s">
        <v>1840</v>
      </c>
      <c r="E5696" s="2" t="str">
        <f>"9781032585581"</f>
        <v>9781032585581</v>
      </c>
      <c r="F5696" s="2" t="str">
        <f>"9781040119556"</f>
        <v>9781040119556</v>
      </c>
    </row>
    <row r="5697" spans="1:6" s="3" customFormat="1" ht="29.1" customHeight="1" x14ac:dyDescent="0.25">
      <c r="A5697" s="2" t="s">
        <v>12058</v>
      </c>
      <c r="B5697" s="2" t="s">
        <v>12059</v>
      </c>
      <c r="C5697" s="2" t="s">
        <v>124</v>
      </c>
      <c r="D5697" s="2" t="s">
        <v>9</v>
      </c>
      <c r="E5697" s="2" t="str">
        <f>"9781032498720"</f>
        <v>9781032498720</v>
      </c>
      <c r="F5697" s="2" t="str">
        <f>"9781040125823"</f>
        <v>9781040125823</v>
      </c>
    </row>
    <row r="5698" spans="1:6" s="3" customFormat="1" ht="29.1" customHeight="1" x14ac:dyDescent="0.25">
      <c r="A5698" s="2" t="s">
        <v>12060</v>
      </c>
      <c r="B5698" s="2" t="s">
        <v>12061</v>
      </c>
      <c r="C5698" s="2" t="s">
        <v>124</v>
      </c>
      <c r="D5698" s="2" t="s">
        <v>162</v>
      </c>
      <c r="E5698" s="2" t="str">
        <f>"9781032713694"</f>
        <v>9781032713694</v>
      </c>
      <c r="F5698" s="2" t="str">
        <f>"9781040153574"</f>
        <v>9781040153574</v>
      </c>
    </row>
    <row r="5699" spans="1:6" s="3" customFormat="1" ht="29.1" customHeight="1" x14ac:dyDescent="0.25">
      <c r="A5699" s="2" t="s">
        <v>12062</v>
      </c>
      <c r="B5699" s="2" t="s">
        <v>12064</v>
      </c>
      <c r="C5699" s="2" t="s">
        <v>124</v>
      </c>
      <c r="D5699" s="2" t="s">
        <v>12063</v>
      </c>
      <c r="E5699" s="2" t="str">
        <f>"9781032750422"</f>
        <v>9781032750422</v>
      </c>
      <c r="F5699" s="2" t="str">
        <f>"9781040121573"</f>
        <v>9781040121573</v>
      </c>
    </row>
    <row r="5700" spans="1:6" s="3" customFormat="1" ht="29.1" customHeight="1" x14ac:dyDescent="0.25">
      <c r="A5700" s="2" t="s">
        <v>12065</v>
      </c>
      <c r="B5700" s="2" t="s">
        <v>12066</v>
      </c>
      <c r="C5700" s="2" t="s">
        <v>124</v>
      </c>
      <c r="D5700" s="2" t="s">
        <v>9</v>
      </c>
      <c r="E5700" s="2" t="str">
        <f>"9781032377315"</f>
        <v>9781032377315</v>
      </c>
      <c r="F5700" s="2" t="str">
        <f>"9781040093603"</f>
        <v>9781040093603</v>
      </c>
    </row>
    <row r="5701" spans="1:6" s="3" customFormat="1" ht="29.1" customHeight="1" x14ac:dyDescent="0.25">
      <c r="A5701" s="2" t="s">
        <v>12067</v>
      </c>
      <c r="B5701" s="2" t="s">
        <v>12068</v>
      </c>
      <c r="C5701" s="2" t="s">
        <v>124</v>
      </c>
      <c r="D5701" s="2" t="s">
        <v>408</v>
      </c>
      <c r="E5701" s="2" t="str">
        <f>"9781032680262"</f>
        <v>9781032680262</v>
      </c>
      <c r="F5701" s="2" t="str">
        <f>"9781040135129"</f>
        <v>9781040135129</v>
      </c>
    </row>
    <row r="5702" spans="1:6" s="3" customFormat="1" ht="29.1" customHeight="1" x14ac:dyDescent="0.25">
      <c r="A5702" s="2" t="s">
        <v>12069</v>
      </c>
      <c r="B5702" s="2" t="s">
        <v>12070</v>
      </c>
      <c r="C5702" s="2" t="s">
        <v>124</v>
      </c>
      <c r="D5702" s="2" t="s">
        <v>3656</v>
      </c>
      <c r="E5702" s="2" t="str">
        <f>"9781032640259"</f>
        <v>9781032640259</v>
      </c>
      <c r="F5702" s="2" t="str">
        <f>"9781040122228"</f>
        <v>9781040122228</v>
      </c>
    </row>
    <row r="5703" spans="1:6" s="3" customFormat="1" ht="29.1" customHeight="1" x14ac:dyDescent="0.25">
      <c r="A5703" s="2" t="s">
        <v>12071</v>
      </c>
      <c r="B5703" s="2" t="s">
        <v>12072</v>
      </c>
      <c r="C5703" s="2" t="s">
        <v>124</v>
      </c>
      <c r="D5703" s="2" t="s">
        <v>1062</v>
      </c>
      <c r="E5703" s="2" t="str">
        <f>"9781032721934"</f>
        <v>9781032721934</v>
      </c>
      <c r="F5703" s="2" t="str">
        <f>"9781040038659"</f>
        <v>9781040038659</v>
      </c>
    </row>
    <row r="5704" spans="1:6" s="3" customFormat="1" ht="29.1" customHeight="1" x14ac:dyDescent="0.25">
      <c r="A5704" s="2" t="s">
        <v>12073</v>
      </c>
      <c r="B5704" s="2" t="s">
        <v>12074</v>
      </c>
      <c r="C5704" s="2" t="s">
        <v>124</v>
      </c>
      <c r="D5704" s="2" t="s">
        <v>210</v>
      </c>
      <c r="E5704" s="2" t="str">
        <f>"9781032437859"</f>
        <v>9781032437859</v>
      </c>
      <c r="F5704" s="2" t="str">
        <f>"9781040106860"</f>
        <v>9781040106860</v>
      </c>
    </row>
    <row r="5705" spans="1:6" s="3" customFormat="1" ht="29.1" customHeight="1" x14ac:dyDescent="0.25">
      <c r="A5705" s="2" t="s">
        <v>12075</v>
      </c>
      <c r="B5705" s="2" t="s">
        <v>12076</v>
      </c>
      <c r="C5705" s="2" t="s">
        <v>124</v>
      </c>
      <c r="D5705" s="2" t="s">
        <v>210</v>
      </c>
      <c r="E5705" s="2" t="str">
        <f>"9781032103266"</f>
        <v>9781032103266</v>
      </c>
      <c r="F5705" s="2" t="str">
        <f>"9781040090299"</f>
        <v>9781040090299</v>
      </c>
    </row>
    <row r="5706" spans="1:6" s="3" customFormat="1" ht="29.1" customHeight="1" x14ac:dyDescent="0.25">
      <c r="A5706" s="2" t="s">
        <v>12077</v>
      </c>
      <c r="B5706" s="2" t="s">
        <v>12078</v>
      </c>
      <c r="C5706" s="2" t="s">
        <v>124</v>
      </c>
      <c r="D5706" s="2" t="s">
        <v>9</v>
      </c>
      <c r="E5706" s="2" t="str">
        <f>"9781032749884"</f>
        <v>9781032749884</v>
      </c>
      <c r="F5706" s="2" t="str">
        <f>"9781040104354"</f>
        <v>9781040104354</v>
      </c>
    </row>
    <row r="5707" spans="1:6" s="3" customFormat="1" ht="29.1" customHeight="1" x14ac:dyDescent="0.25">
      <c r="A5707" s="2" t="s">
        <v>12079</v>
      </c>
      <c r="B5707" s="2" t="s">
        <v>12080</v>
      </c>
      <c r="C5707" s="2" t="s">
        <v>124</v>
      </c>
      <c r="D5707" s="2" t="s">
        <v>339</v>
      </c>
      <c r="E5707" s="2" t="str">
        <f>"9781032409108"</f>
        <v>9781032409108</v>
      </c>
      <c r="F5707" s="2" t="str">
        <f>"9781040028520"</f>
        <v>9781040028520</v>
      </c>
    </row>
    <row r="5708" spans="1:6" s="3" customFormat="1" ht="29.1" customHeight="1" x14ac:dyDescent="0.25">
      <c r="A5708" s="2" t="s">
        <v>12081</v>
      </c>
      <c r="B5708" s="2" t="s">
        <v>12082</v>
      </c>
      <c r="C5708" s="2" t="s">
        <v>124</v>
      </c>
      <c r="D5708" s="2" t="s">
        <v>75</v>
      </c>
      <c r="E5708" s="2" t="str">
        <f>"9780367367541"</f>
        <v>9780367367541</v>
      </c>
      <c r="F5708" s="2" t="str">
        <f>"9781040028506"</f>
        <v>9781040028506</v>
      </c>
    </row>
    <row r="5709" spans="1:6" s="3" customFormat="1" ht="29.1" customHeight="1" x14ac:dyDescent="0.25">
      <c r="A5709" s="2" t="s">
        <v>12083</v>
      </c>
      <c r="B5709" s="2" t="s">
        <v>12084</v>
      </c>
      <c r="C5709" s="2" t="s">
        <v>124</v>
      </c>
      <c r="D5709" s="2" t="s">
        <v>270</v>
      </c>
      <c r="E5709" s="2" t="str">
        <f>"9781032589534"</f>
        <v>9781032589534</v>
      </c>
      <c r="F5709" s="2" t="str">
        <f>"9781040023495"</f>
        <v>9781040023495</v>
      </c>
    </row>
    <row r="5710" spans="1:6" s="3" customFormat="1" ht="29.1" customHeight="1" x14ac:dyDescent="0.25">
      <c r="A5710" s="2" t="s">
        <v>12085</v>
      </c>
      <c r="B5710" s="2" t="s">
        <v>12086</v>
      </c>
      <c r="C5710" s="2" t="s">
        <v>124</v>
      </c>
      <c r="D5710" s="2" t="s">
        <v>4180</v>
      </c>
      <c r="E5710" s="2" t="str">
        <f>"9781032602561"</f>
        <v>9781032602561</v>
      </c>
      <c r="F5710" s="2" t="str">
        <f>"9781040022382"</f>
        <v>9781040022382</v>
      </c>
    </row>
    <row r="5711" spans="1:6" s="3" customFormat="1" ht="29.1" customHeight="1" x14ac:dyDescent="0.25">
      <c r="A5711" s="2" t="s">
        <v>12087</v>
      </c>
      <c r="B5711" s="2" t="s">
        <v>12088</v>
      </c>
      <c r="C5711" s="2" t="s">
        <v>124</v>
      </c>
      <c r="D5711" s="2" t="s">
        <v>4283</v>
      </c>
      <c r="E5711" s="2" t="str">
        <f>"9780367617561"</f>
        <v>9780367617561</v>
      </c>
      <c r="F5711" s="2" t="str">
        <f>"9781040021958"</f>
        <v>9781040021958</v>
      </c>
    </row>
    <row r="5712" spans="1:6" s="3" customFormat="1" ht="29.1" customHeight="1" x14ac:dyDescent="0.25">
      <c r="A5712" s="2" t="s">
        <v>12089</v>
      </c>
      <c r="B5712" s="2" t="s">
        <v>12090</v>
      </c>
      <c r="C5712" s="2" t="s">
        <v>124</v>
      </c>
      <c r="D5712" s="2" t="s">
        <v>4180</v>
      </c>
      <c r="E5712" s="2" t="str">
        <f>"9781032459424"</f>
        <v>9781032459424</v>
      </c>
      <c r="F5712" s="2" t="str">
        <f>"9781040018804"</f>
        <v>9781040018804</v>
      </c>
    </row>
    <row r="5713" spans="1:6" s="3" customFormat="1" ht="29.1" customHeight="1" x14ac:dyDescent="0.25">
      <c r="A5713" s="2" t="s">
        <v>12091</v>
      </c>
      <c r="B5713" s="2" t="s">
        <v>12092</v>
      </c>
      <c r="C5713" s="2" t="s">
        <v>124</v>
      </c>
      <c r="D5713" s="2" t="s">
        <v>9</v>
      </c>
      <c r="E5713" s="2" t="str">
        <f>"9781032454788"</f>
        <v>9781032454788</v>
      </c>
      <c r="F5713" s="2" t="str">
        <f>"9781040019498"</f>
        <v>9781040019498</v>
      </c>
    </row>
    <row r="5714" spans="1:6" s="3" customFormat="1" ht="29.1" customHeight="1" x14ac:dyDescent="0.25">
      <c r="A5714" s="2" t="s">
        <v>12093</v>
      </c>
      <c r="B5714" s="2" t="s">
        <v>12094</v>
      </c>
      <c r="C5714" s="2" t="s">
        <v>124</v>
      </c>
      <c r="D5714" s="2" t="s">
        <v>1253</v>
      </c>
      <c r="E5714" s="2" t="str">
        <f>"9781032612010"</f>
        <v>9781032612010</v>
      </c>
      <c r="F5714" s="2" t="str">
        <f>"9781040017494"</f>
        <v>9781040017494</v>
      </c>
    </row>
    <row r="5715" spans="1:6" s="3" customFormat="1" ht="29.1" customHeight="1" x14ac:dyDescent="0.25">
      <c r="A5715" s="2" t="s">
        <v>12095</v>
      </c>
      <c r="B5715" s="2" t="s">
        <v>12096</v>
      </c>
      <c r="C5715" s="2" t="s">
        <v>124</v>
      </c>
      <c r="D5715" s="2" t="s">
        <v>484</v>
      </c>
      <c r="E5715" s="2" t="str">
        <f>"9781032582801"</f>
        <v>9781032582801</v>
      </c>
      <c r="F5715" s="2" t="str">
        <f>"9781040016459"</f>
        <v>9781040016459</v>
      </c>
    </row>
    <row r="5716" spans="1:6" s="3" customFormat="1" ht="29.1" customHeight="1" x14ac:dyDescent="0.25">
      <c r="A5716" s="2" t="s">
        <v>12097</v>
      </c>
      <c r="B5716" s="2" t="s">
        <v>12098</v>
      </c>
      <c r="C5716" s="2" t="s">
        <v>124</v>
      </c>
      <c r="D5716" s="2" t="s">
        <v>270</v>
      </c>
      <c r="E5716" s="2" t="str">
        <f>"9781032669588"</f>
        <v>9781032669588</v>
      </c>
      <c r="F5716" s="2" t="str">
        <f>"9781040030127"</f>
        <v>9781040030127</v>
      </c>
    </row>
    <row r="5717" spans="1:6" s="3" customFormat="1" ht="29.1" customHeight="1" x14ac:dyDescent="0.25">
      <c r="A5717" s="2" t="s">
        <v>12099</v>
      </c>
      <c r="B5717" s="2" t="s">
        <v>12100</v>
      </c>
      <c r="C5717" s="2" t="s">
        <v>124</v>
      </c>
      <c r="D5717" s="2" t="s">
        <v>186</v>
      </c>
      <c r="E5717" s="2" t="str">
        <f>"9781032278308"</f>
        <v>9781032278308</v>
      </c>
      <c r="F5717" s="2" t="str">
        <f>"9781040029947"</f>
        <v>9781040029947</v>
      </c>
    </row>
    <row r="5718" spans="1:6" s="3" customFormat="1" ht="29.1" customHeight="1" x14ac:dyDescent="0.25">
      <c r="A5718" s="2" t="s">
        <v>12101</v>
      </c>
      <c r="B5718" s="2" t="s">
        <v>12102</v>
      </c>
      <c r="C5718" s="2" t="s">
        <v>124</v>
      </c>
      <c r="D5718" s="2" t="s">
        <v>183</v>
      </c>
      <c r="E5718" s="2" t="str">
        <f>"9781032547763"</f>
        <v>9781032547763</v>
      </c>
      <c r="F5718" s="2" t="str">
        <f>"9781040027820"</f>
        <v>9781040027820</v>
      </c>
    </row>
    <row r="5719" spans="1:6" s="3" customFormat="1" ht="29.1" customHeight="1" x14ac:dyDescent="0.25">
      <c r="A5719" s="2" t="s">
        <v>12103</v>
      </c>
      <c r="B5719" s="2" t="s">
        <v>12104</v>
      </c>
      <c r="C5719" s="2" t="s">
        <v>124</v>
      </c>
      <c r="D5719" s="2" t="s">
        <v>2361</v>
      </c>
      <c r="E5719" s="2" t="str">
        <f>"9781032345567"</f>
        <v>9781032345567</v>
      </c>
      <c r="F5719" s="2" t="str">
        <f>"9781040027097"</f>
        <v>9781040027097</v>
      </c>
    </row>
    <row r="5720" spans="1:6" s="3" customFormat="1" ht="29.1" customHeight="1" x14ac:dyDescent="0.25">
      <c r="A5720" s="2" t="s">
        <v>12105</v>
      </c>
      <c r="B5720" s="2" t="s">
        <v>12106</v>
      </c>
      <c r="C5720" s="2" t="s">
        <v>124</v>
      </c>
      <c r="D5720" s="2" t="s">
        <v>186</v>
      </c>
      <c r="E5720" s="2" t="str">
        <f>"9781032503516"</f>
        <v>9781032503516</v>
      </c>
      <c r="F5720" s="2" t="str">
        <f>"9781040023129"</f>
        <v>9781040023129</v>
      </c>
    </row>
    <row r="5721" spans="1:6" s="3" customFormat="1" ht="29.1" customHeight="1" x14ac:dyDescent="0.25">
      <c r="A5721" s="2" t="s">
        <v>12107</v>
      </c>
      <c r="B5721" s="2" t="s">
        <v>12108</v>
      </c>
      <c r="C5721" s="2" t="s">
        <v>124</v>
      </c>
      <c r="D5721" s="2" t="s">
        <v>189</v>
      </c>
      <c r="E5721" s="2" t="str">
        <f>"9781032376394"</f>
        <v>9781032376394</v>
      </c>
      <c r="F5721" s="2" t="str">
        <f>"9781040018934"</f>
        <v>9781040018934</v>
      </c>
    </row>
    <row r="5722" spans="1:6" s="3" customFormat="1" ht="29.1" customHeight="1" x14ac:dyDescent="0.25">
      <c r="A5722" s="2" t="s">
        <v>12109</v>
      </c>
      <c r="B5722" s="2" t="s">
        <v>12110</v>
      </c>
      <c r="C5722" s="2" t="s">
        <v>124</v>
      </c>
      <c r="D5722" s="2" t="s">
        <v>278</v>
      </c>
      <c r="E5722" s="2" t="str">
        <f>"9781032473208"</f>
        <v>9781032473208</v>
      </c>
      <c r="F5722" s="2" t="str">
        <f>"9781040012819"</f>
        <v>9781040012819</v>
      </c>
    </row>
    <row r="5723" spans="1:6" s="3" customFormat="1" ht="29.1" customHeight="1" x14ac:dyDescent="0.25">
      <c r="A5723" s="2" t="s">
        <v>12111</v>
      </c>
      <c r="B5723" s="2" t="s">
        <v>12112</v>
      </c>
      <c r="C5723" s="2" t="s">
        <v>124</v>
      </c>
      <c r="D5723" s="2" t="s">
        <v>689</v>
      </c>
      <c r="E5723" s="2" t="str">
        <f>"9781032435480"</f>
        <v>9781032435480</v>
      </c>
      <c r="F5723" s="2" t="str">
        <f>"9781040016800"</f>
        <v>9781040016800</v>
      </c>
    </row>
    <row r="5724" spans="1:6" s="3" customFormat="1" ht="29.1" customHeight="1" x14ac:dyDescent="0.25">
      <c r="A5724" s="2" t="s">
        <v>12113</v>
      </c>
      <c r="B5724" s="2" t="s">
        <v>12114</v>
      </c>
      <c r="C5724" s="2" t="s">
        <v>124</v>
      </c>
      <c r="D5724" s="2" t="s">
        <v>3963</v>
      </c>
      <c r="E5724" s="2" t="str">
        <f>"9781032599694"</f>
        <v>9781032599694</v>
      </c>
      <c r="F5724" s="2" t="str">
        <f>"9781040011195"</f>
        <v>9781040011195</v>
      </c>
    </row>
    <row r="5725" spans="1:6" s="3" customFormat="1" ht="29.1" customHeight="1" x14ac:dyDescent="0.25">
      <c r="A5725" s="2" t="s">
        <v>12115</v>
      </c>
      <c r="B5725" s="2" t="s">
        <v>12116</v>
      </c>
      <c r="C5725" s="2" t="s">
        <v>124</v>
      </c>
      <c r="D5725" s="2" t="s">
        <v>81</v>
      </c>
      <c r="E5725" s="2" t="str">
        <f>"9781032587448"</f>
        <v>9781032587448</v>
      </c>
      <c r="F5725" s="2" t="str">
        <f>"9781040010235"</f>
        <v>9781040010235</v>
      </c>
    </row>
    <row r="5726" spans="1:6" s="3" customFormat="1" ht="29.1" customHeight="1" x14ac:dyDescent="0.25">
      <c r="A5726" s="2" t="s">
        <v>12117</v>
      </c>
      <c r="B5726" s="2" t="s">
        <v>12118</v>
      </c>
      <c r="C5726" s="2" t="s">
        <v>124</v>
      </c>
      <c r="D5726" s="2" t="s">
        <v>5724</v>
      </c>
      <c r="E5726" s="2" t="str">
        <f>"9781032510194"</f>
        <v>9781032510194</v>
      </c>
      <c r="F5726" s="2" t="str">
        <f>"9781040001431"</f>
        <v>9781040001431</v>
      </c>
    </row>
    <row r="5727" spans="1:6" s="3" customFormat="1" ht="29.1" customHeight="1" x14ac:dyDescent="0.25">
      <c r="A5727" s="2" t="s">
        <v>12119</v>
      </c>
      <c r="B5727" s="2" t="s">
        <v>12121</v>
      </c>
      <c r="C5727" s="2" t="s">
        <v>124</v>
      </c>
      <c r="D5727" s="2" t="s">
        <v>12120</v>
      </c>
      <c r="E5727" s="2" t="str">
        <f>"9781032635545"</f>
        <v>9781032635545</v>
      </c>
      <c r="F5727" s="2" t="str">
        <f>"9781040012642"</f>
        <v>9781040012642</v>
      </c>
    </row>
    <row r="5728" spans="1:6" s="3" customFormat="1" ht="29.1" customHeight="1" x14ac:dyDescent="0.25">
      <c r="A5728" s="2" t="s">
        <v>12122</v>
      </c>
      <c r="B5728" s="2" t="s">
        <v>12123</v>
      </c>
      <c r="C5728" s="2" t="s">
        <v>124</v>
      </c>
      <c r="D5728" s="2" t="s">
        <v>11200</v>
      </c>
      <c r="E5728" s="2" t="str">
        <f>"9781032606606"</f>
        <v>9781032606606</v>
      </c>
      <c r="F5728" s="2" t="str">
        <f>"9781040011997"</f>
        <v>9781040011997</v>
      </c>
    </row>
    <row r="5729" spans="1:6" s="3" customFormat="1" ht="29.1" customHeight="1" x14ac:dyDescent="0.25">
      <c r="A5729" s="2" t="s">
        <v>12124</v>
      </c>
      <c r="B5729" s="2" t="s">
        <v>12125</v>
      </c>
      <c r="C5729" s="2" t="s">
        <v>124</v>
      </c>
      <c r="D5729" s="2" t="s">
        <v>1235</v>
      </c>
      <c r="E5729" s="2" t="str">
        <f>"9781032305998"</f>
        <v>9781032305998</v>
      </c>
      <c r="F5729" s="2" t="str">
        <f>"9781040011614"</f>
        <v>9781040011614</v>
      </c>
    </row>
    <row r="5730" spans="1:6" s="3" customFormat="1" ht="29.1" customHeight="1" x14ac:dyDescent="0.25">
      <c r="A5730" s="2" t="s">
        <v>12126</v>
      </c>
      <c r="B5730" s="2" t="s">
        <v>12127</v>
      </c>
      <c r="C5730" s="2" t="s">
        <v>124</v>
      </c>
      <c r="D5730" s="2" t="s">
        <v>86</v>
      </c>
      <c r="E5730" s="2" t="str">
        <f>"9781032466743"</f>
        <v>9781032466743</v>
      </c>
      <c r="F5730" s="2" t="str">
        <f>"9781040010617"</f>
        <v>9781040010617</v>
      </c>
    </row>
    <row r="5731" spans="1:6" s="3" customFormat="1" ht="29.1" customHeight="1" x14ac:dyDescent="0.25">
      <c r="A5731" s="2" t="s">
        <v>12128</v>
      </c>
      <c r="B5731" s="2" t="s">
        <v>12129</v>
      </c>
      <c r="C5731" s="2" t="s">
        <v>124</v>
      </c>
      <c r="D5731" s="2" t="s">
        <v>2147</v>
      </c>
      <c r="E5731" s="2" t="str">
        <f>"9781032432403"</f>
        <v>9781032432403</v>
      </c>
      <c r="F5731" s="2" t="str">
        <f>"9781040005163"</f>
        <v>9781040005163</v>
      </c>
    </row>
    <row r="5732" spans="1:6" s="3" customFormat="1" ht="29.1" customHeight="1" x14ac:dyDescent="0.25">
      <c r="A5732" s="2" t="s">
        <v>12130</v>
      </c>
      <c r="B5732" s="2" t="s">
        <v>12132</v>
      </c>
      <c r="C5732" s="2" t="s">
        <v>124</v>
      </c>
      <c r="D5732" s="2" t="s">
        <v>12131</v>
      </c>
      <c r="E5732" s="2" t="str">
        <f>"9781032556864"</f>
        <v>9781032556864</v>
      </c>
      <c r="F5732" s="2" t="str">
        <f>"9781040004319"</f>
        <v>9781040004319</v>
      </c>
    </row>
    <row r="5733" spans="1:6" s="3" customFormat="1" ht="29.1" customHeight="1" x14ac:dyDescent="0.25">
      <c r="A5733" s="2" t="s">
        <v>12133</v>
      </c>
      <c r="B5733" s="2" t="s">
        <v>12135</v>
      </c>
      <c r="C5733" s="2" t="s">
        <v>124</v>
      </c>
      <c r="D5733" s="2" t="s">
        <v>12134</v>
      </c>
      <c r="E5733" s="2" t="str">
        <f>"9781032037547"</f>
        <v>9781032037547</v>
      </c>
      <c r="F5733" s="2" t="str">
        <f>"9781040002780"</f>
        <v>9781040002780</v>
      </c>
    </row>
    <row r="5734" spans="1:6" s="3" customFormat="1" ht="29.1" customHeight="1" x14ac:dyDescent="0.25">
      <c r="A5734" s="2" t="s">
        <v>12136</v>
      </c>
      <c r="B5734" s="2" t="s">
        <v>12137</v>
      </c>
      <c r="C5734" s="2" t="s">
        <v>124</v>
      </c>
      <c r="D5734" s="2" t="s">
        <v>4561</v>
      </c>
      <c r="E5734" s="2" t="str">
        <f>"9781032494746"</f>
        <v>9781032494746</v>
      </c>
      <c r="F5734" s="2" t="str">
        <f>"9781003861454"</f>
        <v>9781003861454</v>
      </c>
    </row>
    <row r="5735" spans="1:6" s="3" customFormat="1" ht="29.1" customHeight="1" x14ac:dyDescent="0.25">
      <c r="A5735" s="2" t="s">
        <v>12138</v>
      </c>
      <c r="B5735" s="2" t="s">
        <v>12139</v>
      </c>
      <c r="C5735" s="2" t="s">
        <v>124</v>
      </c>
      <c r="D5735" s="2" t="s">
        <v>4002</v>
      </c>
      <c r="E5735" s="2" t="str">
        <f>"9780367774332"</f>
        <v>9780367774332</v>
      </c>
      <c r="F5735" s="2" t="str">
        <f>"9781003854968"</f>
        <v>9781003854968</v>
      </c>
    </row>
    <row r="5736" spans="1:6" s="3" customFormat="1" ht="29.1" customHeight="1" x14ac:dyDescent="0.25">
      <c r="A5736" s="2" t="s">
        <v>12140</v>
      </c>
      <c r="B5736" s="2" t="s">
        <v>12141</v>
      </c>
      <c r="C5736" s="2" t="s">
        <v>124</v>
      </c>
      <c r="D5736" s="2" t="s">
        <v>270</v>
      </c>
      <c r="E5736" s="2" t="str">
        <f>"9781032528458"</f>
        <v>9781032528458</v>
      </c>
      <c r="F5736" s="2" t="str">
        <f>"9781040000038"</f>
        <v>9781040000038</v>
      </c>
    </row>
    <row r="5737" spans="1:6" s="3" customFormat="1" ht="29.1" customHeight="1" x14ac:dyDescent="0.25">
      <c r="A5737" s="2" t="s">
        <v>12142</v>
      </c>
      <c r="B5737" s="2" t="s">
        <v>12143</v>
      </c>
      <c r="C5737" s="2" t="s">
        <v>124</v>
      </c>
      <c r="D5737" s="2" t="s">
        <v>413</v>
      </c>
      <c r="E5737" s="2" t="str">
        <f>"9781032510668"</f>
        <v>9781032510668</v>
      </c>
      <c r="F5737" s="2" t="str">
        <f>"9781040000113"</f>
        <v>9781040000113</v>
      </c>
    </row>
    <row r="5738" spans="1:6" s="3" customFormat="1" ht="29.1" customHeight="1" x14ac:dyDescent="0.25">
      <c r="A5738" s="2" t="s">
        <v>12144</v>
      </c>
      <c r="B5738" s="2" t="s">
        <v>12145</v>
      </c>
      <c r="C5738" s="2" t="s">
        <v>124</v>
      </c>
      <c r="D5738" s="2" t="s">
        <v>647</v>
      </c>
      <c r="E5738" s="2" t="str">
        <f>"9781032193984"</f>
        <v>9781032193984</v>
      </c>
      <c r="F5738" s="2" t="str">
        <f>"9781003861775"</f>
        <v>9781003861775</v>
      </c>
    </row>
    <row r="5739" spans="1:6" s="3" customFormat="1" ht="29.1" customHeight="1" x14ac:dyDescent="0.25">
      <c r="A5739" s="2" t="s">
        <v>12146</v>
      </c>
      <c r="B5739" s="2" t="s">
        <v>12147</v>
      </c>
      <c r="C5739" s="2" t="s">
        <v>124</v>
      </c>
      <c r="D5739" s="2" t="s">
        <v>107</v>
      </c>
      <c r="E5739" s="2" t="str">
        <f>"9781032442358"</f>
        <v>9781032442358</v>
      </c>
      <c r="F5739" s="2" t="str">
        <f>"9781003861713"</f>
        <v>9781003861713</v>
      </c>
    </row>
    <row r="5740" spans="1:6" s="3" customFormat="1" ht="29.1" customHeight="1" x14ac:dyDescent="0.25">
      <c r="A5740" s="2" t="s">
        <v>12148</v>
      </c>
      <c r="B5740" s="2" t="s">
        <v>12149</v>
      </c>
      <c r="C5740" s="2" t="s">
        <v>124</v>
      </c>
      <c r="D5740" s="2" t="s">
        <v>75</v>
      </c>
      <c r="E5740" s="2" t="str">
        <f>"9781032140360"</f>
        <v>9781032140360</v>
      </c>
      <c r="F5740" s="2" t="str">
        <f>"9781003861294"</f>
        <v>9781003861294</v>
      </c>
    </row>
    <row r="5741" spans="1:6" s="3" customFormat="1" ht="29.1" customHeight="1" x14ac:dyDescent="0.25">
      <c r="A5741" s="2" t="s">
        <v>12150</v>
      </c>
      <c r="B5741" s="2" t="s">
        <v>12151</v>
      </c>
      <c r="C5741" s="2" t="s">
        <v>124</v>
      </c>
      <c r="D5741" s="2" t="s">
        <v>596</v>
      </c>
      <c r="E5741" s="2" t="str">
        <f>"9781032048475"</f>
        <v>9781032048475</v>
      </c>
      <c r="F5741" s="2" t="str">
        <f>"9781003861560"</f>
        <v>9781003861560</v>
      </c>
    </row>
    <row r="5742" spans="1:6" s="3" customFormat="1" ht="29.1" customHeight="1" x14ac:dyDescent="0.25">
      <c r="A5742" s="2" t="s">
        <v>12152</v>
      </c>
      <c r="B5742" s="2" t="s">
        <v>12153</v>
      </c>
      <c r="C5742" s="2" t="s">
        <v>124</v>
      </c>
      <c r="D5742" s="2" t="s">
        <v>3062</v>
      </c>
      <c r="E5742" s="2" t="str">
        <f>"9781032195469"</f>
        <v>9781032195469</v>
      </c>
      <c r="F5742" s="2" t="str">
        <f>"9781003860242"</f>
        <v>9781003860242</v>
      </c>
    </row>
    <row r="5743" spans="1:6" s="3" customFormat="1" ht="29.1" customHeight="1" x14ac:dyDescent="0.25">
      <c r="A5743" s="2" t="s">
        <v>12154</v>
      </c>
      <c r="B5743" s="2" t="s">
        <v>12155</v>
      </c>
      <c r="C5743" s="2" t="s">
        <v>124</v>
      </c>
      <c r="D5743" s="2" t="s">
        <v>334</v>
      </c>
      <c r="E5743" s="2" t="str">
        <f>"9781032257914"</f>
        <v>9781032257914</v>
      </c>
      <c r="F5743" s="2" t="str">
        <f>"9781003859468"</f>
        <v>9781003859468</v>
      </c>
    </row>
    <row r="5744" spans="1:6" s="3" customFormat="1" ht="29.1" customHeight="1" x14ac:dyDescent="0.25">
      <c r="A5744" s="2" t="s">
        <v>12156</v>
      </c>
      <c r="B5744" s="2" t="s">
        <v>12158</v>
      </c>
      <c r="C5744" s="2" t="s">
        <v>124</v>
      </c>
      <c r="D5744" s="2" t="s">
        <v>12157</v>
      </c>
      <c r="E5744" s="2" t="str">
        <f>"9781032509792"</f>
        <v>9781032509792</v>
      </c>
      <c r="F5744" s="2" t="str">
        <f>"9781003855538"</f>
        <v>9781003855538</v>
      </c>
    </row>
    <row r="5745" spans="1:6" s="3" customFormat="1" ht="29.1" customHeight="1" x14ac:dyDescent="0.25">
      <c r="A5745" s="2" t="s">
        <v>12159</v>
      </c>
      <c r="B5745" s="2" t="s">
        <v>12160</v>
      </c>
      <c r="C5745" s="2" t="s">
        <v>124</v>
      </c>
      <c r="D5745" s="2" t="s">
        <v>2332</v>
      </c>
      <c r="E5745" s="2" t="str">
        <f>"9781032610542"</f>
        <v>9781032610542</v>
      </c>
      <c r="F5745" s="2" t="str">
        <f>"9781003852599"</f>
        <v>9781003852599</v>
      </c>
    </row>
    <row r="5746" spans="1:6" s="3" customFormat="1" ht="29.1" customHeight="1" x14ac:dyDescent="0.25">
      <c r="A5746" s="2" t="s">
        <v>12161</v>
      </c>
      <c r="B5746" s="2" t="s">
        <v>12162</v>
      </c>
      <c r="C5746" s="2" t="s">
        <v>124</v>
      </c>
      <c r="D5746" s="2" t="s">
        <v>408</v>
      </c>
      <c r="E5746" s="2" t="str">
        <f>"9781032261584"</f>
        <v>9781032261584</v>
      </c>
      <c r="F5746" s="2" t="str">
        <f>"9781003835530"</f>
        <v>9781003835530</v>
      </c>
    </row>
    <row r="5747" spans="1:6" s="3" customFormat="1" ht="29.1" customHeight="1" x14ac:dyDescent="0.25">
      <c r="A5747" s="2" t="s">
        <v>12163</v>
      </c>
      <c r="B5747" s="2" t="s">
        <v>12165</v>
      </c>
      <c r="C5747" s="2" t="s">
        <v>124</v>
      </c>
      <c r="D5747" s="2" t="s">
        <v>12164</v>
      </c>
      <c r="E5747" s="2" t="str">
        <f>"9781032584928"</f>
        <v>9781032584928</v>
      </c>
      <c r="F5747" s="2" t="str">
        <f>"9781003849438"</f>
        <v>9781003849438</v>
      </c>
    </row>
    <row r="5748" spans="1:6" s="3" customFormat="1" ht="29.1" customHeight="1" x14ac:dyDescent="0.25">
      <c r="A5748" s="2" t="s">
        <v>12166</v>
      </c>
      <c r="B5748" s="2" t="s">
        <v>12167</v>
      </c>
      <c r="C5748" s="2" t="s">
        <v>124</v>
      </c>
      <c r="D5748" s="2" t="s">
        <v>210</v>
      </c>
      <c r="E5748" s="2" t="str">
        <f>"9781032290706"</f>
        <v>9781032290706</v>
      </c>
      <c r="F5748" s="2" t="str">
        <f>"9781003838258"</f>
        <v>9781003838258</v>
      </c>
    </row>
    <row r="5749" spans="1:6" s="3" customFormat="1" ht="29.1" customHeight="1" x14ac:dyDescent="0.25">
      <c r="A5749" s="2" t="s">
        <v>12168</v>
      </c>
      <c r="B5749" s="2" t="s">
        <v>12169</v>
      </c>
      <c r="C5749" s="2" t="s">
        <v>124</v>
      </c>
      <c r="D5749" s="2" t="s">
        <v>1806</v>
      </c>
      <c r="E5749" s="2" t="str">
        <f>"9781138494763"</f>
        <v>9781138494763</v>
      </c>
      <c r="F5749" s="2" t="str">
        <f>"9781351025768"</f>
        <v>9781351025768</v>
      </c>
    </row>
    <row r="5750" spans="1:6" s="3" customFormat="1" ht="29.1" customHeight="1" x14ac:dyDescent="0.25">
      <c r="A5750" s="2" t="s">
        <v>12170</v>
      </c>
      <c r="B5750" s="2" t="s">
        <v>12171</v>
      </c>
      <c r="C5750" s="2" t="s">
        <v>124</v>
      </c>
      <c r="D5750" s="2" t="s">
        <v>186</v>
      </c>
      <c r="E5750" s="2" t="str">
        <f>"9781032501772"</f>
        <v>9781032501772</v>
      </c>
      <c r="F5750" s="2" t="str">
        <f>"9781003818076"</f>
        <v>9781003818076</v>
      </c>
    </row>
    <row r="5751" spans="1:6" s="3" customFormat="1" ht="29.1" customHeight="1" x14ac:dyDescent="0.25">
      <c r="A5751" s="2" t="s">
        <v>12172</v>
      </c>
      <c r="B5751" s="2" t="s">
        <v>12173</v>
      </c>
      <c r="C5751" s="2" t="s">
        <v>124</v>
      </c>
      <c r="D5751" s="2" t="s">
        <v>2336</v>
      </c>
      <c r="E5751" s="2" t="str">
        <f>"9781032309248"</f>
        <v>9781032309248</v>
      </c>
      <c r="F5751" s="2" t="str">
        <f>"9781000880465"</f>
        <v>9781000880465</v>
      </c>
    </row>
    <row r="5752" spans="1:6" s="3" customFormat="1" ht="29.1" customHeight="1" x14ac:dyDescent="0.25">
      <c r="A5752" s="2" t="s">
        <v>12174</v>
      </c>
      <c r="B5752" s="2" t="s">
        <v>12175</v>
      </c>
      <c r="C5752" s="2" t="s">
        <v>124</v>
      </c>
      <c r="D5752" s="2" t="s">
        <v>98</v>
      </c>
      <c r="E5752" s="2" t="str">
        <f>"9781032771496"</f>
        <v>9781032771496</v>
      </c>
      <c r="F5752" s="2" t="str">
        <f>"9781040039861"</f>
        <v>9781040039861</v>
      </c>
    </row>
    <row r="5753" spans="1:6" s="3" customFormat="1" ht="29.1" customHeight="1" x14ac:dyDescent="0.25">
      <c r="A5753" s="2" t="s">
        <v>12176</v>
      </c>
      <c r="B5753" s="2" t="s">
        <v>12177</v>
      </c>
      <c r="C5753" s="2" t="s">
        <v>124</v>
      </c>
      <c r="D5753" s="2" t="s">
        <v>413</v>
      </c>
      <c r="E5753" s="2" t="str">
        <f>"9781032760001"</f>
        <v>9781032760001</v>
      </c>
      <c r="F5753" s="2" t="str">
        <f>"9781040116203"</f>
        <v>9781040116203</v>
      </c>
    </row>
    <row r="5754" spans="1:6" s="3" customFormat="1" ht="29.1" customHeight="1" x14ac:dyDescent="0.25">
      <c r="A5754" s="2" t="s">
        <v>12178</v>
      </c>
      <c r="B5754" s="2" t="s">
        <v>12180</v>
      </c>
      <c r="C5754" s="2" t="s">
        <v>124</v>
      </c>
      <c r="D5754" s="2" t="s">
        <v>12179</v>
      </c>
      <c r="E5754" s="2" t="str">
        <f>"9781032592466"</f>
        <v>9781032592466</v>
      </c>
      <c r="F5754" s="2" t="str">
        <f>"9781040121320"</f>
        <v>9781040121320</v>
      </c>
    </row>
    <row r="5755" spans="1:6" s="3" customFormat="1" ht="29.1" customHeight="1" x14ac:dyDescent="0.25">
      <c r="A5755" s="2" t="s">
        <v>12181</v>
      </c>
      <c r="B5755" s="2" t="s">
        <v>12182</v>
      </c>
      <c r="C5755" s="2" t="s">
        <v>124</v>
      </c>
      <c r="D5755" s="2" t="s">
        <v>81</v>
      </c>
      <c r="E5755" s="2" t="str">
        <f>"9781032245256"</f>
        <v>9781032245256</v>
      </c>
      <c r="F5755" s="2" t="str">
        <f>"9781040016657"</f>
        <v>9781040016657</v>
      </c>
    </row>
    <row r="5756" spans="1:6" s="3" customFormat="1" ht="29.1" customHeight="1" x14ac:dyDescent="0.25">
      <c r="A5756" s="2" t="s">
        <v>12183</v>
      </c>
      <c r="B5756" s="2" t="s">
        <v>12184</v>
      </c>
      <c r="C5756" s="2" t="s">
        <v>124</v>
      </c>
      <c r="D5756" s="2" t="s">
        <v>1155</v>
      </c>
      <c r="E5756" s="2" t="str">
        <f>"9781032791449"</f>
        <v>9781032791449</v>
      </c>
      <c r="F5756" s="2" t="str">
        <f>"9781040117255"</f>
        <v>9781040117255</v>
      </c>
    </row>
    <row r="5757" spans="1:6" s="3" customFormat="1" ht="29.1" customHeight="1" x14ac:dyDescent="0.25">
      <c r="A5757" s="2" t="s">
        <v>12185</v>
      </c>
      <c r="B5757" s="2" t="s">
        <v>12186</v>
      </c>
      <c r="C5757" s="2" t="s">
        <v>124</v>
      </c>
      <c r="D5757" s="2" t="s">
        <v>75</v>
      </c>
      <c r="E5757" s="2" t="str">
        <f>"9781032679037"</f>
        <v>9781032679037</v>
      </c>
      <c r="F5757" s="2" t="str">
        <f>"9781040186343"</f>
        <v>9781040186343</v>
      </c>
    </row>
    <row r="5758" spans="1:6" s="3" customFormat="1" ht="29.1" customHeight="1" x14ac:dyDescent="0.25">
      <c r="A5758" s="2" t="s">
        <v>12187</v>
      </c>
      <c r="B5758" s="2" t="s">
        <v>12188</v>
      </c>
      <c r="C5758" s="2" t="s">
        <v>124</v>
      </c>
      <c r="D5758" s="2" t="s">
        <v>639</v>
      </c>
      <c r="E5758" s="2" t="str">
        <f>"9781032422794"</f>
        <v>9781032422794</v>
      </c>
      <c r="F5758" s="2" t="str">
        <f>"9781040096796"</f>
        <v>9781040096796</v>
      </c>
    </row>
    <row r="5759" spans="1:6" s="3" customFormat="1" ht="29.1" customHeight="1" x14ac:dyDescent="0.25">
      <c r="A5759" s="2" t="s">
        <v>12189</v>
      </c>
      <c r="B5759" s="2" t="s">
        <v>12190</v>
      </c>
      <c r="C5759" s="2" t="s">
        <v>124</v>
      </c>
      <c r="D5759" s="2" t="s">
        <v>297</v>
      </c>
      <c r="E5759" s="2" t="str">
        <f>"9781032573168"</f>
        <v>9781032573168</v>
      </c>
      <c r="F5759" s="2" t="str">
        <f>"9781040182796"</f>
        <v>9781040182796</v>
      </c>
    </row>
    <row r="5760" spans="1:6" s="3" customFormat="1" ht="29.1" customHeight="1" x14ac:dyDescent="0.25">
      <c r="A5760" s="2" t="s">
        <v>12191</v>
      </c>
      <c r="B5760" s="2" t="s">
        <v>12192</v>
      </c>
      <c r="C5760" s="2" t="s">
        <v>8047</v>
      </c>
      <c r="D5760" s="2" t="s">
        <v>1049</v>
      </c>
      <c r="E5760" s="2" t="str">
        <f>"9780271098777"</f>
        <v>9780271098777</v>
      </c>
      <c r="F5760" s="2" t="str">
        <f>"9780271099088"</f>
        <v>9780271099088</v>
      </c>
    </row>
    <row r="5761" spans="1:6" s="3" customFormat="1" ht="29.1" customHeight="1" x14ac:dyDescent="0.25">
      <c r="A5761" s="2" t="s">
        <v>12193</v>
      </c>
      <c r="B5761" s="2" t="s">
        <v>12195</v>
      </c>
      <c r="C5761" s="2" t="s">
        <v>124</v>
      </c>
      <c r="D5761" s="2" t="s">
        <v>12194</v>
      </c>
      <c r="E5761" s="2" t="str">
        <f>"9781032293080"</f>
        <v>9781032293080</v>
      </c>
      <c r="F5761" s="2" t="str">
        <f>"9781040043509"</f>
        <v>9781040043509</v>
      </c>
    </row>
    <row r="5762" spans="1:6" s="3" customFormat="1" ht="29.1" customHeight="1" x14ac:dyDescent="0.25">
      <c r="A5762" s="2" t="s">
        <v>12196</v>
      </c>
      <c r="B5762" s="2" t="s">
        <v>12197</v>
      </c>
      <c r="C5762" s="2" t="s">
        <v>124</v>
      </c>
      <c r="D5762" s="2" t="s">
        <v>270</v>
      </c>
      <c r="E5762" s="2" t="str">
        <f>"9781032784632"</f>
        <v>9781032784632</v>
      </c>
      <c r="F5762" s="2" t="str">
        <f>"9781040127452"</f>
        <v>9781040127452</v>
      </c>
    </row>
    <row r="5763" spans="1:6" s="3" customFormat="1" ht="29.1" customHeight="1" x14ac:dyDescent="0.25">
      <c r="A5763" s="2" t="s">
        <v>12198</v>
      </c>
      <c r="B5763" s="2" t="s">
        <v>12199</v>
      </c>
      <c r="C5763" s="2" t="s">
        <v>124</v>
      </c>
      <c r="D5763" s="2" t="s">
        <v>4045</v>
      </c>
      <c r="E5763" s="2" t="str">
        <f>"9781032361468"</f>
        <v>9781032361468</v>
      </c>
      <c r="F5763" s="2" t="str">
        <f>"9781040126189"</f>
        <v>9781040126189</v>
      </c>
    </row>
    <row r="5764" spans="1:6" s="3" customFormat="1" ht="29.1" customHeight="1" x14ac:dyDescent="0.25">
      <c r="A5764" s="2" t="s">
        <v>12200</v>
      </c>
      <c r="B5764" s="2" t="s">
        <v>12201</v>
      </c>
      <c r="C5764" s="2" t="s">
        <v>124</v>
      </c>
      <c r="D5764" s="2" t="s">
        <v>5266</v>
      </c>
      <c r="E5764" s="2" t="str">
        <f>"9781032744759"</f>
        <v>9781032744759</v>
      </c>
      <c r="F5764" s="2" t="str">
        <f>"9781040098974"</f>
        <v>9781040098974</v>
      </c>
    </row>
    <row r="5765" spans="1:6" s="3" customFormat="1" ht="29.1" customHeight="1" x14ac:dyDescent="0.25">
      <c r="A5765" s="2" t="s">
        <v>12202</v>
      </c>
      <c r="B5765" s="2" t="s">
        <v>12203</v>
      </c>
      <c r="C5765" s="2" t="s">
        <v>124</v>
      </c>
      <c r="D5765" s="2" t="s">
        <v>2513</v>
      </c>
      <c r="E5765" s="2" t="str">
        <f>"9781032756882"</f>
        <v>9781032756882</v>
      </c>
      <c r="F5765" s="2" t="str">
        <f>"9781040097434"</f>
        <v>9781040097434</v>
      </c>
    </row>
    <row r="5766" spans="1:6" s="3" customFormat="1" ht="29.1" customHeight="1" x14ac:dyDescent="0.25">
      <c r="A5766" s="2" t="s">
        <v>12204</v>
      </c>
      <c r="B5766" s="2" t="s">
        <v>12205</v>
      </c>
      <c r="C5766" s="2" t="s">
        <v>124</v>
      </c>
      <c r="D5766" s="2" t="s">
        <v>75</v>
      </c>
      <c r="E5766" s="2" t="str">
        <f>"9781032373362"</f>
        <v>9781032373362</v>
      </c>
      <c r="F5766" s="2" t="str">
        <f>"9781040118061"</f>
        <v>9781040118061</v>
      </c>
    </row>
    <row r="5767" spans="1:6" s="3" customFormat="1" ht="29.1" customHeight="1" x14ac:dyDescent="0.25">
      <c r="A5767" s="2" t="s">
        <v>12206</v>
      </c>
      <c r="B5767" s="2" t="s">
        <v>9348</v>
      </c>
      <c r="C5767" s="2" t="s">
        <v>124</v>
      </c>
      <c r="D5767" s="2" t="s">
        <v>2086</v>
      </c>
      <c r="E5767" s="2" t="str">
        <f>"9781032738406"</f>
        <v>9781032738406</v>
      </c>
      <c r="F5767" s="2" t="str">
        <f>"9781040099711"</f>
        <v>9781040099711</v>
      </c>
    </row>
    <row r="5768" spans="1:6" s="3" customFormat="1" ht="29.1" customHeight="1" x14ac:dyDescent="0.25">
      <c r="A5768" s="2" t="s">
        <v>12207</v>
      </c>
      <c r="B5768" s="2" t="s">
        <v>4376</v>
      </c>
      <c r="C5768" s="2" t="s">
        <v>124</v>
      </c>
      <c r="D5768" s="2" t="s">
        <v>3656</v>
      </c>
      <c r="E5768" s="2" t="str">
        <f>"9781032457406"</f>
        <v>9781032457406</v>
      </c>
      <c r="F5768" s="2" t="str">
        <f>"9781040117224"</f>
        <v>9781040117224</v>
      </c>
    </row>
    <row r="5769" spans="1:6" s="3" customFormat="1" ht="29.1" customHeight="1" x14ac:dyDescent="0.25">
      <c r="A5769" s="2" t="s">
        <v>12208</v>
      </c>
      <c r="B5769" s="2" t="s">
        <v>12209</v>
      </c>
      <c r="C5769" s="2" t="s">
        <v>124</v>
      </c>
      <c r="D5769" s="2" t="s">
        <v>9</v>
      </c>
      <c r="E5769" s="2" t="str">
        <f>"9781032617350"</f>
        <v>9781032617350</v>
      </c>
      <c r="F5769" s="2" t="str">
        <f>"9781040124321"</f>
        <v>9781040124321</v>
      </c>
    </row>
    <row r="5770" spans="1:6" s="3" customFormat="1" ht="29.1" customHeight="1" x14ac:dyDescent="0.25">
      <c r="A5770" s="2" t="s">
        <v>12210</v>
      </c>
      <c r="B5770" s="2" t="s">
        <v>12211</v>
      </c>
      <c r="C5770" s="2" t="s">
        <v>124</v>
      </c>
      <c r="D5770" s="2" t="s">
        <v>183</v>
      </c>
      <c r="E5770" s="2" t="str">
        <f>"9781032551692"</f>
        <v>9781032551692</v>
      </c>
      <c r="F5770" s="2" t="str">
        <f>"9781040052563"</f>
        <v>9781040052563</v>
      </c>
    </row>
    <row r="5771" spans="1:6" s="3" customFormat="1" ht="29.1" customHeight="1" x14ac:dyDescent="0.25">
      <c r="A5771" s="2" t="s">
        <v>12212</v>
      </c>
      <c r="B5771" s="2" t="s">
        <v>12213</v>
      </c>
      <c r="C5771" s="2" t="s">
        <v>124</v>
      </c>
      <c r="D5771" s="2" t="s">
        <v>183</v>
      </c>
      <c r="E5771" s="2" t="str">
        <f>"9781032384047"</f>
        <v>9781032384047</v>
      </c>
      <c r="F5771" s="2" t="str">
        <f>"9781040092576"</f>
        <v>9781040092576</v>
      </c>
    </row>
    <row r="5772" spans="1:6" s="3" customFormat="1" ht="29.1" customHeight="1" x14ac:dyDescent="0.25">
      <c r="A5772" s="2" t="s">
        <v>12214</v>
      </c>
      <c r="B5772" s="2" t="s">
        <v>12215</v>
      </c>
      <c r="C5772" s="2" t="s">
        <v>124</v>
      </c>
      <c r="D5772" s="2" t="s">
        <v>1840</v>
      </c>
      <c r="E5772" s="2" t="str">
        <f>"9781032482675"</f>
        <v>9781032482675</v>
      </c>
      <c r="F5772" s="2" t="str">
        <f>"9781040186053"</f>
        <v>9781040186053</v>
      </c>
    </row>
    <row r="5773" spans="1:6" s="3" customFormat="1" ht="29.1" customHeight="1" x14ac:dyDescent="0.25">
      <c r="A5773" s="2" t="s">
        <v>12216</v>
      </c>
      <c r="B5773" s="2" t="s">
        <v>12217</v>
      </c>
      <c r="C5773" s="2" t="s">
        <v>124</v>
      </c>
      <c r="D5773" s="2" t="s">
        <v>9015</v>
      </c>
      <c r="E5773" s="2" t="str">
        <f>"9781032224343"</f>
        <v>9781032224343</v>
      </c>
      <c r="F5773" s="2" t="str">
        <f>"9781040149270"</f>
        <v>9781040149270</v>
      </c>
    </row>
    <row r="5774" spans="1:6" s="3" customFormat="1" ht="29.1" customHeight="1" x14ac:dyDescent="0.25">
      <c r="A5774" s="2" t="s">
        <v>12218</v>
      </c>
      <c r="B5774" s="2" t="s">
        <v>12219</v>
      </c>
      <c r="C5774" s="2" t="s">
        <v>124</v>
      </c>
      <c r="D5774" s="2" t="s">
        <v>192</v>
      </c>
      <c r="E5774" s="2" t="str">
        <f>"9781032785783"</f>
        <v>9781032785783</v>
      </c>
      <c r="F5774" s="2" t="str">
        <f>"9781040222768"</f>
        <v>9781040222768</v>
      </c>
    </row>
    <row r="5775" spans="1:6" s="3" customFormat="1" ht="29.1" customHeight="1" x14ac:dyDescent="0.25">
      <c r="A5775" s="2" t="s">
        <v>12220</v>
      </c>
      <c r="B5775" s="2" t="s">
        <v>12221</v>
      </c>
      <c r="C5775" s="2" t="s">
        <v>124</v>
      </c>
      <c r="D5775" s="2" t="s">
        <v>6578</v>
      </c>
      <c r="E5775" s="2" t="str">
        <f>"9781032839721"</f>
        <v>9781032839721</v>
      </c>
      <c r="F5775" s="2" t="str">
        <f>"9781040186374"</f>
        <v>9781040186374</v>
      </c>
    </row>
    <row r="5776" spans="1:6" s="3" customFormat="1" ht="29.1" customHeight="1" x14ac:dyDescent="0.25">
      <c r="A5776" s="2" t="s">
        <v>12222</v>
      </c>
      <c r="B5776" s="2" t="s">
        <v>12223</v>
      </c>
      <c r="C5776" s="2" t="s">
        <v>5</v>
      </c>
      <c r="D5776" s="2" t="s">
        <v>9</v>
      </c>
      <c r="E5776" s="2" t="str">
        <f>"9783658457785"</f>
        <v>9783658457785</v>
      </c>
      <c r="F5776" s="2" t="str">
        <f>"9783658457792"</f>
        <v>9783658457792</v>
      </c>
    </row>
    <row r="5777" spans="1:6" s="3" customFormat="1" ht="29.1" customHeight="1" x14ac:dyDescent="0.25">
      <c r="A5777" s="2" t="s">
        <v>11782</v>
      </c>
      <c r="B5777" s="2" t="s">
        <v>12224</v>
      </c>
      <c r="C5777" s="2" t="s">
        <v>5</v>
      </c>
      <c r="D5777" s="2" t="s">
        <v>487</v>
      </c>
      <c r="E5777" s="2" t="str">
        <f>"9783031711619"</f>
        <v>9783031711619</v>
      </c>
      <c r="F5777" s="2" t="str">
        <f>"9783031711626"</f>
        <v>9783031711626</v>
      </c>
    </row>
    <row r="5778" spans="1:6" s="3" customFormat="1" ht="29.1" customHeight="1" x14ac:dyDescent="0.25">
      <c r="A5778" s="2" t="s">
        <v>12225</v>
      </c>
      <c r="B5778" s="2" t="s">
        <v>12226</v>
      </c>
      <c r="C5778" s="2" t="s">
        <v>124</v>
      </c>
      <c r="D5778" s="2" t="s">
        <v>712</v>
      </c>
      <c r="E5778" s="2" t="str">
        <f>"9781032478821"</f>
        <v>9781032478821</v>
      </c>
      <c r="F5778" s="2" t="str">
        <f>"9781040149645"</f>
        <v>9781040149645</v>
      </c>
    </row>
    <row r="5779" spans="1:6" s="3" customFormat="1" ht="29.1" customHeight="1" x14ac:dyDescent="0.25">
      <c r="A5779" s="2" t="s">
        <v>12227</v>
      </c>
      <c r="B5779" s="2" t="s">
        <v>12228</v>
      </c>
      <c r="C5779" s="2" t="s">
        <v>124</v>
      </c>
      <c r="D5779" s="2" t="s">
        <v>653</v>
      </c>
      <c r="E5779" s="2" t="str">
        <f>"9781032791418"</f>
        <v>9781032791418</v>
      </c>
      <c r="F5779" s="2" t="str">
        <f>"9781040150771"</f>
        <v>9781040150771</v>
      </c>
    </row>
    <row r="5780" spans="1:6" s="3" customFormat="1" ht="29.1" customHeight="1" x14ac:dyDescent="0.25">
      <c r="A5780" s="2" t="s">
        <v>12229</v>
      </c>
      <c r="B5780" s="2" t="s">
        <v>12230</v>
      </c>
      <c r="C5780" s="2" t="s">
        <v>124</v>
      </c>
      <c r="D5780" s="2" t="s">
        <v>72</v>
      </c>
      <c r="E5780" s="2" t="str">
        <f>"9781032510330"</f>
        <v>9781032510330</v>
      </c>
      <c r="F5780" s="2" t="str">
        <f>"9781040164822"</f>
        <v>9781040164822</v>
      </c>
    </row>
    <row r="5781" spans="1:6" s="3" customFormat="1" ht="29.1" customHeight="1" x14ac:dyDescent="0.25">
      <c r="A5781" s="2" t="s">
        <v>12231</v>
      </c>
      <c r="B5781" s="2" t="s">
        <v>12232</v>
      </c>
      <c r="C5781" s="2" t="s">
        <v>124</v>
      </c>
      <c r="D5781" s="2" t="s">
        <v>270</v>
      </c>
      <c r="E5781" s="2" t="str">
        <f>"9781032747644"</f>
        <v>9781032747644</v>
      </c>
      <c r="F5781" s="2" t="str">
        <f>"9781040159798"</f>
        <v>9781040159798</v>
      </c>
    </row>
    <row r="5782" spans="1:6" s="3" customFormat="1" ht="29.1" customHeight="1" x14ac:dyDescent="0.25">
      <c r="A5782" s="2" t="s">
        <v>12233</v>
      </c>
      <c r="B5782" s="2" t="s">
        <v>12234</v>
      </c>
      <c r="C5782" s="2" t="s">
        <v>124</v>
      </c>
      <c r="D5782" s="2" t="s">
        <v>270</v>
      </c>
      <c r="E5782" s="2" t="str">
        <f>"9781032824284"</f>
        <v>9781032824284</v>
      </c>
      <c r="F5782" s="2" t="str">
        <f>"9781040159699"</f>
        <v>9781040159699</v>
      </c>
    </row>
    <row r="5783" spans="1:6" s="3" customFormat="1" ht="29.1" customHeight="1" x14ac:dyDescent="0.25">
      <c r="A5783" s="2" t="s">
        <v>12235</v>
      </c>
      <c r="B5783" s="2" t="s">
        <v>12236</v>
      </c>
      <c r="C5783" s="2" t="s">
        <v>124</v>
      </c>
      <c r="D5783" s="2" t="s">
        <v>5266</v>
      </c>
      <c r="E5783" s="2" t="str">
        <f>"9781032813196"</f>
        <v>9781032813196</v>
      </c>
      <c r="F5783" s="2" t="str">
        <f>"9781040157152"</f>
        <v>9781040157152</v>
      </c>
    </row>
    <row r="5784" spans="1:6" s="3" customFormat="1" ht="29.1" customHeight="1" x14ac:dyDescent="0.25">
      <c r="A5784" s="2" t="s">
        <v>12237</v>
      </c>
      <c r="B5784" s="2" t="s">
        <v>12238</v>
      </c>
      <c r="C5784" s="2" t="s">
        <v>124</v>
      </c>
      <c r="D5784" s="2" t="s">
        <v>4283</v>
      </c>
      <c r="E5784" s="2" t="str">
        <f>"9781032371443"</f>
        <v>9781032371443</v>
      </c>
      <c r="F5784" s="2" t="str">
        <f>"9781040157381"</f>
        <v>9781040157381</v>
      </c>
    </row>
    <row r="5785" spans="1:6" s="3" customFormat="1" ht="29.1" customHeight="1" x14ac:dyDescent="0.25">
      <c r="A5785" s="2" t="s">
        <v>12239</v>
      </c>
      <c r="B5785" s="2" t="s">
        <v>12240</v>
      </c>
      <c r="C5785" s="2" t="s">
        <v>124</v>
      </c>
      <c r="D5785" s="2" t="s">
        <v>189</v>
      </c>
      <c r="E5785" s="2" t="str">
        <f>"9781032617923"</f>
        <v>9781032617923</v>
      </c>
      <c r="F5785" s="2" t="str">
        <f>"9781040153505"</f>
        <v>9781040153505</v>
      </c>
    </row>
    <row r="5786" spans="1:6" s="3" customFormat="1" ht="29.1" customHeight="1" x14ac:dyDescent="0.25">
      <c r="A5786" s="2" t="s">
        <v>12241</v>
      </c>
      <c r="B5786" s="2" t="s">
        <v>12242</v>
      </c>
      <c r="C5786" s="2" t="s">
        <v>124</v>
      </c>
      <c r="D5786" s="2" t="s">
        <v>459</v>
      </c>
      <c r="E5786" s="2" t="str">
        <f>"9781032494265"</f>
        <v>9781032494265</v>
      </c>
      <c r="F5786" s="2" t="str">
        <f>"9781040153444"</f>
        <v>9781040153444</v>
      </c>
    </row>
    <row r="5787" spans="1:6" s="3" customFormat="1" ht="29.1" customHeight="1" x14ac:dyDescent="0.25">
      <c r="A5787" s="2" t="s">
        <v>12243</v>
      </c>
      <c r="B5787" s="2" t="s">
        <v>12244</v>
      </c>
      <c r="C5787" s="2" t="s">
        <v>124</v>
      </c>
      <c r="D5787" s="2" t="s">
        <v>7350</v>
      </c>
      <c r="E5787" s="2" t="str">
        <f>"9781032684321"</f>
        <v>9781032684321</v>
      </c>
      <c r="F5787" s="2" t="str">
        <f>"9781040152546"</f>
        <v>9781040152546</v>
      </c>
    </row>
    <row r="5788" spans="1:6" s="3" customFormat="1" ht="29.1" customHeight="1" x14ac:dyDescent="0.25">
      <c r="A5788" s="2" t="s">
        <v>12245</v>
      </c>
      <c r="B5788" s="2" t="s">
        <v>12247</v>
      </c>
      <c r="C5788" s="2" t="s">
        <v>7395</v>
      </c>
      <c r="D5788" s="2" t="s">
        <v>12246</v>
      </c>
      <c r="E5788" s="2" t="str">
        <f>"9780700631728"</f>
        <v>9780700631728</v>
      </c>
      <c r="F5788" s="2" t="str">
        <f>"9780700631230"</f>
        <v>9780700631230</v>
      </c>
    </row>
    <row r="5789" spans="1:6" s="3" customFormat="1" ht="29.1" customHeight="1" x14ac:dyDescent="0.25">
      <c r="A5789" s="2" t="s">
        <v>12248</v>
      </c>
      <c r="B5789" s="2" t="s">
        <v>12249</v>
      </c>
      <c r="C5789" s="2" t="s">
        <v>7395</v>
      </c>
      <c r="D5789" s="2" t="s">
        <v>3224</v>
      </c>
      <c r="E5789" s="2" t="str">
        <f>"9780700631445"</f>
        <v>9780700631445</v>
      </c>
      <c r="F5789" s="2" t="str">
        <f>"9780700630813"</f>
        <v>9780700630813</v>
      </c>
    </row>
    <row r="5790" spans="1:6" s="3" customFormat="1" ht="29.1" customHeight="1" x14ac:dyDescent="0.25">
      <c r="A5790" s="2" t="s">
        <v>12250</v>
      </c>
      <c r="B5790" s="2" t="s">
        <v>12251</v>
      </c>
      <c r="C5790" s="2" t="s">
        <v>7395</v>
      </c>
      <c r="D5790" s="2" t="s">
        <v>294</v>
      </c>
      <c r="E5790" s="2" t="str">
        <f>"9780700631384"</f>
        <v>9780700631384</v>
      </c>
      <c r="F5790" s="2" t="str">
        <f>"9780700630707"</f>
        <v>9780700630707</v>
      </c>
    </row>
    <row r="5791" spans="1:6" s="3" customFormat="1" ht="29.1" customHeight="1" x14ac:dyDescent="0.25">
      <c r="A5791" s="2" t="s">
        <v>12252</v>
      </c>
      <c r="B5791" s="2" t="s">
        <v>12253</v>
      </c>
      <c r="C5791" s="2" t="s">
        <v>7395</v>
      </c>
      <c r="D5791" s="2" t="s">
        <v>1162</v>
      </c>
      <c r="E5791" s="2" t="str">
        <f>"9780700602629"</f>
        <v>9780700602629</v>
      </c>
      <c r="F5791" s="2" t="str">
        <f>"9780700630714"</f>
        <v>9780700630714</v>
      </c>
    </row>
    <row r="5792" spans="1:6" s="3" customFormat="1" ht="29.1" customHeight="1" x14ac:dyDescent="0.25">
      <c r="A5792" s="2" t="s">
        <v>12254</v>
      </c>
      <c r="B5792" s="2" t="s">
        <v>12256</v>
      </c>
      <c r="C5792" s="2" t="s">
        <v>7395</v>
      </c>
      <c r="D5792" s="2" t="s">
        <v>12255</v>
      </c>
      <c r="E5792" s="2" t="str">
        <f>"9780700631377"</f>
        <v>9780700631377</v>
      </c>
      <c r="F5792" s="2" t="str">
        <f>"9780700630691"</f>
        <v>9780700630691</v>
      </c>
    </row>
    <row r="5793" spans="1:6" s="3" customFormat="1" ht="29.1" customHeight="1" x14ac:dyDescent="0.25">
      <c r="A5793" s="2" t="s">
        <v>12257</v>
      </c>
      <c r="B5793" s="2" t="s">
        <v>12258</v>
      </c>
      <c r="C5793" s="2" t="s">
        <v>7395</v>
      </c>
      <c r="D5793" s="2" t="s">
        <v>3214</v>
      </c>
      <c r="E5793" s="2" t="str">
        <f>"9780700611072"</f>
        <v>9780700611072</v>
      </c>
      <c r="F5793" s="2" t="str">
        <f>"9780700630950"</f>
        <v>9780700630950</v>
      </c>
    </row>
    <row r="5794" spans="1:6" s="3" customFormat="1" ht="29.1" customHeight="1" x14ac:dyDescent="0.25">
      <c r="A5794" s="2" t="s">
        <v>12259</v>
      </c>
      <c r="B5794" s="2" t="s">
        <v>12260</v>
      </c>
      <c r="C5794" s="2" t="s">
        <v>7395</v>
      </c>
      <c r="D5794" s="2" t="s">
        <v>63</v>
      </c>
      <c r="E5794" s="2" t="str">
        <f>"9780700609055"</f>
        <v>9780700609055</v>
      </c>
      <c r="F5794" s="2" t="str">
        <f>"9780700630851"</f>
        <v>9780700630851</v>
      </c>
    </row>
    <row r="5795" spans="1:6" s="3" customFormat="1" ht="29.1" customHeight="1" x14ac:dyDescent="0.25">
      <c r="A5795" s="2" t="s">
        <v>12261</v>
      </c>
      <c r="B5795" s="2" t="s">
        <v>12262</v>
      </c>
      <c r="C5795" s="2" t="s">
        <v>7395</v>
      </c>
      <c r="D5795" s="2" t="s">
        <v>1162</v>
      </c>
      <c r="E5795" s="2" t="str">
        <f>"9780700611041"</f>
        <v>9780700611041</v>
      </c>
      <c r="F5795" s="2" t="str">
        <f>"9780700630875"</f>
        <v>9780700630875</v>
      </c>
    </row>
    <row r="5796" spans="1:6" s="3" customFormat="1" ht="29.1" customHeight="1" x14ac:dyDescent="0.25">
      <c r="A5796" s="2" t="s">
        <v>12263</v>
      </c>
      <c r="B5796" s="2" t="s">
        <v>12264</v>
      </c>
      <c r="C5796" s="2" t="s">
        <v>7395</v>
      </c>
      <c r="D5796" s="2" t="s">
        <v>12246</v>
      </c>
      <c r="E5796" s="2" t="str">
        <f>"9780700631490"</f>
        <v>9780700631490</v>
      </c>
      <c r="F5796" s="2" t="str">
        <f>"9780700630899"</f>
        <v>9780700630899</v>
      </c>
    </row>
    <row r="5797" spans="1:6" s="3" customFormat="1" ht="29.1" customHeight="1" x14ac:dyDescent="0.25">
      <c r="A5797" s="2" t="s">
        <v>12265</v>
      </c>
      <c r="B5797" s="2" t="s">
        <v>12266</v>
      </c>
      <c r="C5797" s="2" t="s">
        <v>7395</v>
      </c>
      <c r="D5797" s="2" t="s">
        <v>1162</v>
      </c>
      <c r="E5797" s="2" t="str">
        <f>"9780700610877"</f>
        <v>9780700610877</v>
      </c>
      <c r="F5797" s="2" t="str">
        <f>"9780700631353"</f>
        <v>9780700631353</v>
      </c>
    </row>
    <row r="5798" spans="1:6" s="3" customFormat="1" ht="29.1" customHeight="1" x14ac:dyDescent="0.25">
      <c r="A5798" s="2" t="s">
        <v>12267</v>
      </c>
      <c r="B5798" s="2" t="s">
        <v>12268</v>
      </c>
      <c r="C5798" s="2" t="s">
        <v>7395</v>
      </c>
      <c r="D5798" s="2" t="s">
        <v>791</v>
      </c>
      <c r="E5798" s="2" t="str">
        <f>"9780700607471"</f>
        <v>9780700607471</v>
      </c>
      <c r="F5798" s="2" t="str">
        <f>"9780700631278"</f>
        <v>9780700631278</v>
      </c>
    </row>
    <row r="5799" spans="1:6" s="3" customFormat="1" ht="29.1" customHeight="1" x14ac:dyDescent="0.25">
      <c r="A5799" s="2" t="s">
        <v>12269</v>
      </c>
      <c r="B5799" s="2" t="s">
        <v>12270</v>
      </c>
      <c r="C5799" s="2" t="s">
        <v>7395</v>
      </c>
      <c r="D5799" s="2" t="s">
        <v>4016</v>
      </c>
      <c r="E5799" s="2" t="str">
        <f>"9780700605521"</f>
        <v>9780700605521</v>
      </c>
      <c r="F5799" s="2" t="str">
        <f>"9780700631179"</f>
        <v>9780700631179</v>
      </c>
    </row>
    <row r="5800" spans="1:6" s="3" customFormat="1" ht="29.1" customHeight="1" x14ac:dyDescent="0.25">
      <c r="A5800" s="2" t="s">
        <v>12271</v>
      </c>
      <c r="B5800" s="2" t="s">
        <v>12272</v>
      </c>
      <c r="C5800" s="2" t="s">
        <v>7395</v>
      </c>
      <c r="D5800" s="2" t="s">
        <v>1162</v>
      </c>
      <c r="E5800" s="2" t="str">
        <f>"9780700631667"</f>
        <v>9780700631667</v>
      </c>
      <c r="F5800" s="2" t="str">
        <f>"9780700631131"</f>
        <v>9780700631131</v>
      </c>
    </row>
    <row r="5801" spans="1:6" s="3" customFormat="1" ht="29.1" customHeight="1" x14ac:dyDescent="0.25">
      <c r="A5801" s="2" t="s">
        <v>12273</v>
      </c>
      <c r="B5801" s="2" t="s">
        <v>12274</v>
      </c>
      <c r="C5801" s="2" t="s">
        <v>239</v>
      </c>
      <c r="D5801" s="2" t="s">
        <v>4185</v>
      </c>
      <c r="E5801" s="2" t="str">
        <f>"9780520402188"</f>
        <v>9780520402188</v>
      </c>
      <c r="F5801" s="2" t="str">
        <f>"9780520402195"</f>
        <v>9780520402195</v>
      </c>
    </row>
    <row r="5802" spans="1:6" s="3" customFormat="1" ht="29.1" customHeight="1" x14ac:dyDescent="0.25">
      <c r="A5802" s="2" t="s">
        <v>12275</v>
      </c>
      <c r="B5802" s="2" t="s">
        <v>12276</v>
      </c>
      <c r="C5802" s="2" t="s">
        <v>5</v>
      </c>
      <c r="D5802" s="2" t="s">
        <v>37</v>
      </c>
      <c r="E5802" s="2" t="str">
        <f>"9789819749164"</f>
        <v>9789819749164</v>
      </c>
      <c r="F5802" s="2" t="str">
        <f>"9789819749171"</f>
        <v>9789819749171</v>
      </c>
    </row>
    <row r="5803" spans="1:6" s="3" customFormat="1" ht="29.1" customHeight="1" x14ac:dyDescent="0.25">
      <c r="A5803" s="2" t="s">
        <v>12277</v>
      </c>
      <c r="B5803" s="2" t="s">
        <v>12278</v>
      </c>
      <c r="C5803" s="2" t="s">
        <v>746</v>
      </c>
      <c r="D5803" s="2" t="s">
        <v>1809</v>
      </c>
      <c r="E5803" s="2" t="str">
        <f>"9781803278179"</f>
        <v>9781803278179</v>
      </c>
      <c r="F5803" s="2" t="str">
        <f>"9781803278186"</f>
        <v>9781803278186</v>
      </c>
    </row>
    <row r="5804" spans="1:6" s="3" customFormat="1" ht="29.1" customHeight="1" x14ac:dyDescent="0.25">
      <c r="A5804" s="2" t="s">
        <v>12279</v>
      </c>
      <c r="B5804" s="2" t="s">
        <v>12280</v>
      </c>
      <c r="C5804" s="2" t="s">
        <v>746</v>
      </c>
      <c r="D5804" s="2" t="s">
        <v>606</v>
      </c>
      <c r="E5804" s="2" t="str">
        <f>"9781803278278"</f>
        <v>9781803278278</v>
      </c>
      <c r="F5804" s="2" t="str">
        <f>"9781803278285"</f>
        <v>9781803278285</v>
      </c>
    </row>
    <row r="5805" spans="1:6" s="3" customFormat="1" ht="29.1" customHeight="1" x14ac:dyDescent="0.25">
      <c r="A5805" s="2" t="s">
        <v>12281</v>
      </c>
      <c r="B5805" s="2" t="s">
        <v>12282</v>
      </c>
      <c r="C5805" s="2" t="s">
        <v>746</v>
      </c>
      <c r="D5805" s="2" t="s">
        <v>4185</v>
      </c>
      <c r="E5805" s="2" t="str">
        <f>"9781803277530"</f>
        <v>9781803277530</v>
      </c>
      <c r="F5805" s="2" t="str">
        <f>"9781803277547"</f>
        <v>9781803277547</v>
      </c>
    </row>
    <row r="5806" spans="1:6" s="3" customFormat="1" ht="29.1" customHeight="1" x14ac:dyDescent="0.25">
      <c r="A5806" s="2" t="s">
        <v>12283</v>
      </c>
      <c r="B5806" s="2" t="s">
        <v>12284</v>
      </c>
      <c r="C5806" s="2" t="s">
        <v>2133</v>
      </c>
      <c r="D5806" s="2" t="s">
        <v>78</v>
      </c>
      <c r="E5806" s="2" t="str">
        <f>"9781760466596"</f>
        <v>9781760466596</v>
      </c>
      <c r="F5806" s="2" t="str">
        <f>"9781760466602"</f>
        <v>9781760466602</v>
      </c>
    </row>
    <row r="5807" spans="1:6" s="3" customFormat="1" ht="29.1" customHeight="1" x14ac:dyDescent="0.25">
      <c r="A5807" s="2" t="s">
        <v>12285</v>
      </c>
      <c r="B5807" s="2" t="s">
        <v>12286</v>
      </c>
      <c r="C5807" s="2" t="s">
        <v>556</v>
      </c>
      <c r="D5807" s="2" t="s">
        <v>1141</v>
      </c>
      <c r="E5807" s="2" t="str">
        <f>"9783837675269"</f>
        <v>9783837675269</v>
      </c>
      <c r="F5807" s="2" t="str">
        <f>"9783839475263"</f>
        <v>9783839475263</v>
      </c>
    </row>
    <row r="5808" spans="1:6" s="3" customFormat="1" ht="29.1" customHeight="1" x14ac:dyDescent="0.25">
      <c r="A5808" s="2" t="s">
        <v>12287</v>
      </c>
      <c r="B5808" s="2" t="s">
        <v>12288</v>
      </c>
      <c r="C5808" s="2" t="s">
        <v>556</v>
      </c>
      <c r="D5808" s="2" t="s">
        <v>689</v>
      </c>
      <c r="E5808" s="2" t="str">
        <f>"9783837674972"</f>
        <v>9783837674972</v>
      </c>
      <c r="F5808" s="2" t="str">
        <f>"9783839474976"</f>
        <v>9783839474976</v>
      </c>
    </row>
    <row r="5809" spans="1:6" s="3" customFormat="1" ht="29.1" customHeight="1" x14ac:dyDescent="0.25">
      <c r="A5809" s="2" t="s">
        <v>12289</v>
      </c>
      <c r="B5809" s="2" t="s">
        <v>12290</v>
      </c>
      <c r="C5809" s="2" t="s">
        <v>556</v>
      </c>
      <c r="D5809" s="2" t="s">
        <v>1155</v>
      </c>
      <c r="E5809" s="2" t="str">
        <f>"9783837674460"</f>
        <v>9783837674460</v>
      </c>
      <c r="F5809" s="2" t="str">
        <f>"9783732874460"</f>
        <v>9783732874460</v>
      </c>
    </row>
    <row r="5810" spans="1:6" s="3" customFormat="1" ht="29.1" customHeight="1" x14ac:dyDescent="0.25">
      <c r="A5810" s="2" t="s">
        <v>12291</v>
      </c>
      <c r="B5810" s="2" t="s">
        <v>12292</v>
      </c>
      <c r="C5810" s="2" t="s">
        <v>556</v>
      </c>
      <c r="D5810" s="2" t="s">
        <v>699</v>
      </c>
      <c r="E5810" s="2" t="str">
        <f>"9783837674385"</f>
        <v>9783837674385</v>
      </c>
      <c r="F5810" s="2" t="str">
        <f>"9783839474389"</f>
        <v>9783839474389</v>
      </c>
    </row>
    <row r="5811" spans="1:6" s="3" customFormat="1" ht="29.1" customHeight="1" x14ac:dyDescent="0.25">
      <c r="A5811" s="2" t="s">
        <v>12293</v>
      </c>
      <c r="B5811" s="2" t="s">
        <v>12294</v>
      </c>
      <c r="C5811" s="2" t="s">
        <v>556</v>
      </c>
      <c r="D5811" s="2" t="s">
        <v>712</v>
      </c>
      <c r="E5811" s="2" t="str">
        <f>"9783837674231"</f>
        <v>9783837674231</v>
      </c>
      <c r="F5811" s="2" t="str">
        <f>"9783839474235"</f>
        <v>9783839474235</v>
      </c>
    </row>
    <row r="5812" spans="1:6" s="3" customFormat="1" ht="29.1" customHeight="1" x14ac:dyDescent="0.25">
      <c r="A5812" s="2" t="s">
        <v>12295</v>
      </c>
      <c r="B5812" s="2" t="s">
        <v>12296</v>
      </c>
      <c r="C5812" s="2" t="s">
        <v>556</v>
      </c>
      <c r="D5812" s="2" t="s">
        <v>689</v>
      </c>
      <c r="E5812" s="2" t="str">
        <f>"9783837674088"</f>
        <v>9783837674088</v>
      </c>
      <c r="F5812" s="2" t="str">
        <f>"9783839474082"</f>
        <v>9783839474082</v>
      </c>
    </row>
    <row r="5813" spans="1:6" s="3" customFormat="1" ht="29.1" customHeight="1" x14ac:dyDescent="0.25">
      <c r="A5813" s="2" t="s">
        <v>12297</v>
      </c>
      <c r="B5813" s="2" t="s">
        <v>12299</v>
      </c>
      <c r="C5813" s="2" t="s">
        <v>556</v>
      </c>
      <c r="D5813" s="2" t="s">
        <v>12298</v>
      </c>
      <c r="E5813" s="2" t="str">
        <f>"9783837673883"</f>
        <v>9783837673883</v>
      </c>
      <c r="F5813" s="2" t="str">
        <f>"9783839473887"</f>
        <v>9783839473887</v>
      </c>
    </row>
    <row r="5814" spans="1:6" s="3" customFormat="1" ht="29.1" customHeight="1" x14ac:dyDescent="0.25">
      <c r="A5814" s="2" t="s">
        <v>12300</v>
      </c>
      <c r="B5814" s="2" t="s">
        <v>12302</v>
      </c>
      <c r="C5814" s="2" t="s">
        <v>556</v>
      </c>
      <c r="D5814" s="2" t="s">
        <v>12301</v>
      </c>
      <c r="E5814" s="2" t="str">
        <f>"9783837673876"</f>
        <v>9783837673876</v>
      </c>
      <c r="F5814" s="2" t="str">
        <f>"9783839473870"</f>
        <v>9783839473870</v>
      </c>
    </row>
    <row r="5815" spans="1:6" s="3" customFormat="1" ht="29.1" customHeight="1" x14ac:dyDescent="0.25">
      <c r="A5815" s="2" t="s">
        <v>12303</v>
      </c>
      <c r="B5815" s="2" t="s">
        <v>12304</v>
      </c>
      <c r="C5815" s="2" t="s">
        <v>556</v>
      </c>
      <c r="D5815" s="2" t="s">
        <v>2851</v>
      </c>
      <c r="E5815" s="2" t="str">
        <f>"9783837673821"</f>
        <v>9783837673821</v>
      </c>
      <c r="F5815" s="2" t="str">
        <f>"9783732873821"</f>
        <v>9783732873821</v>
      </c>
    </row>
    <row r="5816" spans="1:6" s="3" customFormat="1" ht="29.1" customHeight="1" x14ac:dyDescent="0.25">
      <c r="A5816" s="2" t="s">
        <v>12305</v>
      </c>
      <c r="B5816" s="2" t="s">
        <v>12306</v>
      </c>
      <c r="C5816" s="2" t="s">
        <v>556</v>
      </c>
      <c r="D5816" s="2" t="s">
        <v>712</v>
      </c>
      <c r="E5816" s="2" t="str">
        <f>"9783837673791"</f>
        <v>9783837673791</v>
      </c>
      <c r="F5816" s="2" t="str">
        <f>"9783732873791"</f>
        <v>9783732873791</v>
      </c>
    </row>
    <row r="5817" spans="1:6" s="3" customFormat="1" ht="29.1" customHeight="1" x14ac:dyDescent="0.25">
      <c r="A5817" s="2" t="s">
        <v>12307</v>
      </c>
      <c r="B5817" s="2" t="s">
        <v>12308</v>
      </c>
      <c r="C5817" s="2" t="s">
        <v>556</v>
      </c>
      <c r="D5817" s="2" t="s">
        <v>712</v>
      </c>
      <c r="E5817" s="2" t="str">
        <f>"9783837673562"</f>
        <v>9783837673562</v>
      </c>
      <c r="F5817" s="2" t="str">
        <f>"9783732873562"</f>
        <v>9783732873562</v>
      </c>
    </row>
    <row r="5818" spans="1:6" s="3" customFormat="1" ht="29.1" customHeight="1" x14ac:dyDescent="0.25">
      <c r="A5818" s="2" t="s">
        <v>12309</v>
      </c>
      <c r="B5818" s="2" t="s">
        <v>12310</v>
      </c>
      <c r="C5818" s="2" t="s">
        <v>556</v>
      </c>
      <c r="D5818" s="2" t="s">
        <v>183</v>
      </c>
      <c r="E5818" s="2" t="str">
        <f>"9783837672367"</f>
        <v>9783837672367</v>
      </c>
      <c r="F5818" s="2" t="str">
        <f>"9783839472361"</f>
        <v>9783839472361</v>
      </c>
    </row>
    <row r="5819" spans="1:6" s="3" customFormat="1" ht="29.1" customHeight="1" x14ac:dyDescent="0.25">
      <c r="A5819" s="2" t="s">
        <v>12311</v>
      </c>
      <c r="B5819" s="2" t="s">
        <v>12312</v>
      </c>
      <c r="C5819" s="2" t="s">
        <v>556</v>
      </c>
      <c r="D5819" s="2" t="s">
        <v>1189</v>
      </c>
      <c r="E5819" s="2" t="str">
        <f>"9783837672152"</f>
        <v>9783837672152</v>
      </c>
      <c r="F5819" s="2" t="str">
        <f>"9783839472156"</f>
        <v>9783839472156</v>
      </c>
    </row>
    <row r="5820" spans="1:6" s="3" customFormat="1" ht="29.1" customHeight="1" x14ac:dyDescent="0.25">
      <c r="A5820" s="2" t="s">
        <v>12313</v>
      </c>
      <c r="B5820" s="2" t="s">
        <v>12314</v>
      </c>
      <c r="C5820" s="2" t="s">
        <v>556</v>
      </c>
      <c r="D5820" s="2" t="s">
        <v>6559</v>
      </c>
      <c r="E5820" s="2" t="str">
        <f>"9783837672107"</f>
        <v>9783837672107</v>
      </c>
      <c r="F5820" s="2" t="str">
        <f>"9783839472101"</f>
        <v>9783839472101</v>
      </c>
    </row>
    <row r="5821" spans="1:6" s="3" customFormat="1" ht="29.1" customHeight="1" x14ac:dyDescent="0.25">
      <c r="A5821" s="2" t="s">
        <v>12315</v>
      </c>
      <c r="B5821" s="2" t="s">
        <v>12316</v>
      </c>
      <c r="C5821" s="2" t="s">
        <v>556</v>
      </c>
      <c r="D5821" s="2" t="s">
        <v>52</v>
      </c>
      <c r="E5821" s="2" t="str">
        <f>"9783837672039"</f>
        <v>9783837672039</v>
      </c>
      <c r="F5821" s="2" t="str">
        <f>"9783839472033"</f>
        <v>9783839472033</v>
      </c>
    </row>
    <row r="5822" spans="1:6" s="3" customFormat="1" ht="29.1" customHeight="1" x14ac:dyDescent="0.25">
      <c r="A5822" s="2" t="s">
        <v>12317</v>
      </c>
      <c r="B5822" s="2" t="s">
        <v>12318</v>
      </c>
      <c r="C5822" s="2" t="s">
        <v>556</v>
      </c>
      <c r="D5822" s="2" t="s">
        <v>712</v>
      </c>
      <c r="E5822" s="2" t="str">
        <f>"9783837671957"</f>
        <v>9783837671957</v>
      </c>
      <c r="F5822" s="2" t="str">
        <f>"9783839471951"</f>
        <v>9783839471951</v>
      </c>
    </row>
    <row r="5823" spans="1:6" s="3" customFormat="1" ht="29.1" customHeight="1" x14ac:dyDescent="0.25">
      <c r="A5823" s="2" t="s">
        <v>12319</v>
      </c>
      <c r="B5823" s="2" t="s">
        <v>12320</v>
      </c>
      <c r="C5823" s="2" t="s">
        <v>556</v>
      </c>
      <c r="D5823" s="2" t="s">
        <v>4030</v>
      </c>
      <c r="E5823" s="2" t="str">
        <f>"9783837671773"</f>
        <v>9783837671773</v>
      </c>
      <c r="F5823" s="2" t="str">
        <f>"9783839471777"</f>
        <v>9783839471777</v>
      </c>
    </row>
    <row r="5824" spans="1:6" s="3" customFormat="1" ht="29.1" customHeight="1" x14ac:dyDescent="0.25">
      <c r="A5824" s="2" t="s">
        <v>12321</v>
      </c>
      <c r="B5824" s="2" t="s">
        <v>12322</v>
      </c>
      <c r="C5824" s="2" t="s">
        <v>556</v>
      </c>
      <c r="D5824" s="2" t="s">
        <v>1422</v>
      </c>
      <c r="E5824" s="2" t="str">
        <f>"9783837671698"</f>
        <v>9783837671698</v>
      </c>
      <c r="F5824" s="2" t="str">
        <f>"9783732871698"</f>
        <v>9783732871698</v>
      </c>
    </row>
    <row r="5825" spans="1:6" s="3" customFormat="1" ht="29.1" customHeight="1" x14ac:dyDescent="0.25">
      <c r="A5825" s="2" t="s">
        <v>12323</v>
      </c>
      <c r="B5825" s="2" t="s">
        <v>12324</v>
      </c>
      <c r="C5825" s="2" t="s">
        <v>556</v>
      </c>
      <c r="D5825" s="2" t="s">
        <v>78</v>
      </c>
      <c r="E5825" s="2" t="str">
        <f>"9783837671162"</f>
        <v>9783837671162</v>
      </c>
      <c r="F5825" s="2" t="str">
        <f>"9783839471166"</f>
        <v>9783839471166</v>
      </c>
    </row>
    <row r="5826" spans="1:6" s="3" customFormat="1" ht="29.1" customHeight="1" x14ac:dyDescent="0.25">
      <c r="A5826" s="2" t="s">
        <v>12325</v>
      </c>
      <c r="B5826" s="2" t="s">
        <v>12326</v>
      </c>
      <c r="C5826" s="2" t="s">
        <v>556</v>
      </c>
      <c r="D5826" s="2" t="s">
        <v>636</v>
      </c>
      <c r="E5826" s="2" t="str">
        <f>"9783837671063"</f>
        <v>9783837671063</v>
      </c>
      <c r="F5826" s="2" t="str">
        <f>"9783839471067"</f>
        <v>9783839471067</v>
      </c>
    </row>
    <row r="5827" spans="1:6" s="3" customFormat="1" ht="29.1" customHeight="1" x14ac:dyDescent="0.25">
      <c r="A5827" s="2" t="s">
        <v>12327</v>
      </c>
      <c r="B5827" s="2" t="s">
        <v>12328</v>
      </c>
      <c r="C5827" s="2" t="s">
        <v>556</v>
      </c>
      <c r="D5827" s="2" t="s">
        <v>5568</v>
      </c>
      <c r="E5827" s="2" t="str">
        <f>"9783837670523"</f>
        <v>9783837670523</v>
      </c>
      <c r="F5827" s="2" t="str">
        <f>"9783839470527"</f>
        <v>9783839470527</v>
      </c>
    </row>
    <row r="5828" spans="1:6" s="3" customFormat="1" ht="29.1" customHeight="1" x14ac:dyDescent="0.25">
      <c r="A5828" s="2" t="s">
        <v>12329</v>
      </c>
      <c r="B5828" s="2" t="s">
        <v>12330</v>
      </c>
      <c r="C5828" s="2" t="s">
        <v>556</v>
      </c>
      <c r="D5828" s="2" t="s">
        <v>2587</v>
      </c>
      <c r="E5828" s="2" t="str">
        <f>"9783837670479"</f>
        <v>9783837670479</v>
      </c>
      <c r="F5828" s="2" t="str">
        <f>"9783839470473"</f>
        <v>9783839470473</v>
      </c>
    </row>
    <row r="5829" spans="1:6" s="3" customFormat="1" ht="29.1" customHeight="1" x14ac:dyDescent="0.25">
      <c r="A5829" s="2" t="s">
        <v>12331</v>
      </c>
      <c r="B5829" s="2" t="s">
        <v>12332</v>
      </c>
      <c r="C5829" s="2" t="s">
        <v>556</v>
      </c>
      <c r="D5829" s="2" t="s">
        <v>1262</v>
      </c>
      <c r="E5829" s="2" t="str">
        <f>"9783837670394"</f>
        <v>9783837670394</v>
      </c>
      <c r="F5829" s="2" t="str">
        <f>"9783839470398"</f>
        <v>9783839470398</v>
      </c>
    </row>
    <row r="5830" spans="1:6" s="3" customFormat="1" ht="29.1" customHeight="1" x14ac:dyDescent="0.25">
      <c r="A5830" s="2" t="s">
        <v>12333</v>
      </c>
      <c r="B5830" s="2" t="s">
        <v>12334</v>
      </c>
      <c r="C5830" s="2" t="s">
        <v>556</v>
      </c>
      <c r="D5830" s="2" t="s">
        <v>2336</v>
      </c>
      <c r="E5830" s="2" t="str">
        <f>"9783837668261"</f>
        <v>9783837668261</v>
      </c>
      <c r="F5830" s="2" t="str">
        <f>"9783839468265"</f>
        <v>9783839468265</v>
      </c>
    </row>
    <row r="5831" spans="1:6" s="3" customFormat="1" ht="29.1" customHeight="1" x14ac:dyDescent="0.25">
      <c r="A5831" s="2" t="s">
        <v>12335</v>
      </c>
      <c r="B5831" s="2" t="s">
        <v>12336</v>
      </c>
      <c r="C5831" s="2" t="s">
        <v>556</v>
      </c>
      <c r="D5831" s="2" t="s">
        <v>218</v>
      </c>
      <c r="E5831" s="2" t="str">
        <f>"9783837660777"</f>
        <v>9783837660777</v>
      </c>
      <c r="F5831" s="2" t="str">
        <f>"9783839460771"</f>
        <v>9783839460771</v>
      </c>
    </row>
    <row r="5832" spans="1:6" s="3" customFormat="1" ht="29.1" customHeight="1" x14ac:dyDescent="0.25">
      <c r="A5832" s="2" t="s">
        <v>12337</v>
      </c>
      <c r="B5832" s="2" t="s">
        <v>12338</v>
      </c>
      <c r="C5832" s="2" t="s">
        <v>556</v>
      </c>
      <c r="D5832" s="2" t="s">
        <v>11426</v>
      </c>
      <c r="E5832" s="2" t="str">
        <f>"9783837658163"</f>
        <v>9783837658163</v>
      </c>
      <c r="F5832" s="2" t="str">
        <f>"9783839458167"</f>
        <v>9783839458167</v>
      </c>
    </row>
    <row r="5833" spans="1:6" s="3" customFormat="1" ht="29.1" customHeight="1" x14ac:dyDescent="0.25">
      <c r="A5833" s="2" t="s">
        <v>12339</v>
      </c>
      <c r="B5833" s="2" t="s">
        <v>12341</v>
      </c>
      <c r="C5833" s="2" t="s">
        <v>8104</v>
      </c>
      <c r="D5833" s="2" t="s">
        <v>12340</v>
      </c>
      <c r="E5833" s="2" t="str">
        <f>"9781805399612"</f>
        <v>9781805399612</v>
      </c>
      <c r="F5833" s="2" t="str">
        <f>"9781805399629"</f>
        <v>9781805399629</v>
      </c>
    </row>
    <row r="5834" spans="1:6" s="3" customFormat="1" ht="29.1" customHeight="1" x14ac:dyDescent="0.25">
      <c r="A5834" s="2" t="s">
        <v>12342</v>
      </c>
      <c r="B5834" s="2" t="s">
        <v>12343</v>
      </c>
      <c r="C5834" s="2" t="s">
        <v>5</v>
      </c>
      <c r="D5834" s="2" t="s">
        <v>1071</v>
      </c>
      <c r="E5834" s="2" t="str">
        <f>"9783031568053"</f>
        <v>9783031568053</v>
      </c>
      <c r="F5834" s="2" t="str">
        <f>"9783031568060"</f>
        <v>9783031568060</v>
      </c>
    </row>
    <row r="5835" spans="1:6" s="3" customFormat="1" ht="29.1" customHeight="1" x14ac:dyDescent="0.25">
      <c r="A5835" s="2" t="s">
        <v>12344</v>
      </c>
      <c r="B5835" s="2" t="s">
        <v>12345</v>
      </c>
      <c r="C5835" s="2" t="s">
        <v>124</v>
      </c>
      <c r="D5835" s="2" t="s">
        <v>636</v>
      </c>
      <c r="E5835" s="2" t="str">
        <f>"9781032571287"</f>
        <v>9781032571287</v>
      </c>
      <c r="F5835" s="2" t="str">
        <f>"9781003437956"</f>
        <v>9781003437956</v>
      </c>
    </row>
    <row r="5836" spans="1:6" s="3" customFormat="1" ht="29.1" customHeight="1" x14ac:dyDescent="0.25">
      <c r="A5836" s="2" t="s">
        <v>12346</v>
      </c>
      <c r="B5836" s="2" t="s">
        <v>12347</v>
      </c>
      <c r="C5836" s="2" t="s">
        <v>124</v>
      </c>
      <c r="D5836" s="2" t="s">
        <v>694</v>
      </c>
      <c r="E5836" s="2" t="str">
        <f>"9781032624006"</f>
        <v>9781032624006</v>
      </c>
      <c r="F5836" s="2" t="str">
        <f>"9781032624044"</f>
        <v>9781032624044</v>
      </c>
    </row>
    <row r="5837" spans="1:6" s="3" customFormat="1" ht="29.1" customHeight="1" x14ac:dyDescent="0.25">
      <c r="A5837" s="2" t="s">
        <v>12348</v>
      </c>
      <c r="B5837" s="2" t="s">
        <v>12349</v>
      </c>
      <c r="C5837" s="2" t="s">
        <v>316</v>
      </c>
      <c r="D5837" s="2" t="s">
        <v>650</v>
      </c>
      <c r="E5837" s="2" t="str">
        <f>"9783036404738"</f>
        <v>9783036404738</v>
      </c>
      <c r="F5837" s="2" t="str">
        <f>"9783036414737"</f>
        <v>9783036414737</v>
      </c>
    </row>
    <row r="5838" spans="1:6" s="3" customFormat="1" ht="29.1" customHeight="1" x14ac:dyDescent="0.25">
      <c r="A5838" s="2" t="s">
        <v>12350</v>
      </c>
      <c r="B5838" s="2" t="s">
        <v>12351</v>
      </c>
      <c r="C5838" s="2" t="s">
        <v>316</v>
      </c>
      <c r="D5838" s="2" t="s">
        <v>2237</v>
      </c>
      <c r="E5838" s="2" t="str">
        <f>"9783036405919"</f>
        <v>9783036405919</v>
      </c>
      <c r="F5838" s="2" t="str">
        <f>"9783036415918"</f>
        <v>9783036415918</v>
      </c>
    </row>
    <row r="5839" spans="1:6" s="3" customFormat="1" ht="29.1" customHeight="1" x14ac:dyDescent="0.25">
      <c r="A5839" s="2" t="s">
        <v>12352</v>
      </c>
      <c r="B5839" s="2" t="s">
        <v>12349</v>
      </c>
      <c r="C5839" s="2" t="s">
        <v>316</v>
      </c>
      <c r="D5839" s="2" t="s">
        <v>650</v>
      </c>
      <c r="E5839" s="2" t="str">
        <f>"9783036404714"</f>
        <v>9783036404714</v>
      </c>
      <c r="F5839" s="2" t="str">
        <f>"9783036414713"</f>
        <v>9783036414713</v>
      </c>
    </row>
    <row r="5840" spans="1:6" s="3" customFormat="1" ht="29.1" customHeight="1" x14ac:dyDescent="0.25">
      <c r="A5840" s="2" t="s">
        <v>12353</v>
      </c>
      <c r="B5840" s="2" t="s">
        <v>12354</v>
      </c>
      <c r="C5840" s="2" t="s">
        <v>316</v>
      </c>
      <c r="D5840" s="2" t="s">
        <v>2697</v>
      </c>
      <c r="E5840" s="2" t="str">
        <f>"9783036404660"</f>
        <v>9783036404660</v>
      </c>
      <c r="F5840" s="2" t="str">
        <f>"9783036414669"</f>
        <v>9783036414669</v>
      </c>
    </row>
    <row r="5841" spans="1:6" s="3" customFormat="1" ht="29.1" customHeight="1" x14ac:dyDescent="0.25">
      <c r="A5841" s="2" t="s">
        <v>12355</v>
      </c>
      <c r="B5841" s="2" t="s">
        <v>12356</v>
      </c>
      <c r="C5841" s="2" t="s">
        <v>3154</v>
      </c>
      <c r="D5841" s="2" t="s">
        <v>2834</v>
      </c>
      <c r="E5841" s="2" t="str">
        <f>"9789523691063"</f>
        <v>9789523691063</v>
      </c>
      <c r="F5841" s="2" t="str">
        <f>"9789523691070"</f>
        <v>9789523691070</v>
      </c>
    </row>
    <row r="5842" spans="1:6" s="3" customFormat="1" ht="29.1" customHeight="1" x14ac:dyDescent="0.25">
      <c r="A5842" s="2" t="s">
        <v>12357</v>
      </c>
      <c r="B5842" s="2" t="s">
        <v>12358</v>
      </c>
      <c r="C5842" s="2" t="s">
        <v>3154</v>
      </c>
      <c r="D5842" s="2" t="s">
        <v>86</v>
      </c>
      <c r="E5842" s="2" t="str">
        <f>"9789523691032"</f>
        <v>9789523691032</v>
      </c>
      <c r="F5842" s="2" t="str">
        <f>"9789523691049"</f>
        <v>9789523691049</v>
      </c>
    </row>
    <row r="5843" spans="1:6" s="3" customFormat="1" ht="29.1" customHeight="1" x14ac:dyDescent="0.25">
      <c r="A5843" s="2" t="s">
        <v>12359</v>
      </c>
      <c r="B5843" s="2" t="s">
        <v>12360</v>
      </c>
      <c r="C5843" s="2" t="s">
        <v>124</v>
      </c>
      <c r="D5843" s="2" t="s">
        <v>3407</v>
      </c>
      <c r="E5843" s="2" t="str">
        <f>"9781032883922"</f>
        <v>9781032883922</v>
      </c>
      <c r="F5843" s="2" t="str">
        <f>"9781003537533"</f>
        <v>9781003537533</v>
      </c>
    </row>
    <row r="5844" spans="1:6" s="3" customFormat="1" ht="29.1" customHeight="1" x14ac:dyDescent="0.25">
      <c r="A5844" s="2" t="s">
        <v>12361</v>
      </c>
      <c r="B5844" s="2" t="s">
        <v>12362</v>
      </c>
      <c r="C5844" s="2" t="s">
        <v>4269</v>
      </c>
      <c r="D5844" s="2" t="s">
        <v>37</v>
      </c>
      <c r="E5844" s="2"/>
      <c r="F5844" s="2" t="str">
        <f>"9786256276048"</f>
        <v>9786256276048</v>
      </c>
    </row>
    <row r="5845" spans="1:6" s="3" customFormat="1" ht="29.1" customHeight="1" x14ac:dyDescent="0.25">
      <c r="A5845" s="2" t="s">
        <v>12363</v>
      </c>
      <c r="B5845" s="2" t="s">
        <v>12364</v>
      </c>
      <c r="C5845" s="2" t="s">
        <v>124</v>
      </c>
      <c r="D5845" s="2" t="s">
        <v>270</v>
      </c>
      <c r="E5845" s="2" t="str">
        <f>"9781032893433"</f>
        <v>9781032893433</v>
      </c>
      <c r="F5845" s="2" t="str">
        <f>"9781003582632"</f>
        <v>9781003582632</v>
      </c>
    </row>
    <row r="5846" spans="1:6" s="3" customFormat="1" ht="29.1" customHeight="1" x14ac:dyDescent="0.25">
      <c r="A5846" s="2" t="s">
        <v>12365</v>
      </c>
      <c r="B5846" s="2" t="s">
        <v>12366</v>
      </c>
      <c r="C5846" s="2" t="s">
        <v>124</v>
      </c>
      <c r="D5846" s="2" t="s">
        <v>402</v>
      </c>
      <c r="E5846" s="2" t="str">
        <f>"9781032183879"</f>
        <v>9781032183879</v>
      </c>
      <c r="F5846" s="2" t="str">
        <f>"9781003259817"</f>
        <v>9781003259817</v>
      </c>
    </row>
    <row r="5847" spans="1:6" s="3" customFormat="1" ht="29.1" customHeight="1" x14ac:dyDescent="0.25">
      <c r="A5847" s="2" t="s">
        <v>12367</v>
      </c>
      <c r="B5847" s="2" t="s">
        <v>12368</v>
      </c>
      <c r="C5847" s="2" t="s">
        <v>124</v>
      </c>
      <c r="D5847" s="2" t="s">
        <v>2208</v>
      </c>
      <c r="E5847" s="2" t="str">
        <f>"9781032847597"</f>
        <v>9781032847597</v>
      </c>
      <c r="F5847" s="2" t="str">
        <f>"9781003519881"</f>
        <v>9781003519881</v>
      </c>
    </row>
    <row r="5848" spans="1:6" s="3" customFormat="1" ht="29.1" customHeight="1" x14ac:dyDescent="0.25">
      <c r="A5848" s="2" t="s">
        <v>12369</v>
      </c>
      <c r="B5848" s="2" t="s">
        <v>12370</v>
      </c>
      <c r="C5848" s="2" t="s">
        <v>124</v>
      </c>
      <c r="D5848" s="2" t="s">
        <v>402</v>
      </c>
      <c r="E5848" s="2" t="str">
        <f>"9781032332581"</f>
        <v>9781032332581</v>
      </c>
      <c r="F5848" s="2" t="str">
        <f>"9781003318866"</f>
        <v>9781003318866</v>
      </c>
    </row>
    <row r="5849" spans="1:6" s="3" customFormat="1" ht="29.1" customHeight="1" x14ac:dyDescent="0.25">
      <c r="A5849" s="2" t="s">
        <v>12371</v>
      </c>
      <c r="B5849" s="2" t="s">
        <v>12372</v>
      </c>
      <c r="C5849" s="2" t="s">
        <v>36</v>
      </c>
      <c r="D5849" s="2" t="s">
        <v>501</v>
      </c>
      <c r="E5849" s="2" t="str">
        <f>"9781529241839"</f>
        <v>9781529241839</v>
      </c>
      <c r="F5849" s="2" t="str">
        <f>"9781529241846"</f>
        <v>9781529241846</v>
      </c>
    </row>
    <row r="5850" spans="1:6" s="3" customFormat="1" ht="29.1" customHeight="1" x14ac:dyDescent="0.25">
      <c r="A5850" s="2" t="s">
        <v>12373</v>
      </c>
      <c r="B5850" s="2" t="s">
        <v>12374</v>
      </c>
      <c r="C5850" s="2" t="s">
        <v>5</v>
      </c>
      <c r="D5850" s="2" t="s">
        <v>6</v>
      </c>
      <c r="E5850" s="2" t="str">
        <f>"9783662691731"</f>
        <v>9783662691731</v>
      </c>
      <c r="F5850" s="2" t="str">
        <f>"9783662691748"</f>
        <v>9783662691748</v>
      </c>
    </row>
    <row r="5851" spans="1:6" s="3" customFormat="1" ht="29.1" customHeight="1" x14ac:dyDescent="0.25">
      <c r="A5851" s="2" t="s">
        <v>12375</v>
      </c>
      <c r="B5851" s="2" t="s">
        <v>3496</v>
      </c>
      <c r="C5851" s="2" t="s">
        <v>29</v>
      </c>
      <c r="D5851" s="2" t="s">
        <v>522</v>
      </c>
      <c r="E5851" s="2" t="str">
        <f>"9789004508675"</f>
        <v>9789004508675</v>
      </c>
      <c r="F5851" s="2" t="str">
        <f>"9789004508682"</f>
        <v>9789004508682</v>
      </c>
    </row>
    <row r="5852" spans="1:6" s="3" customFormat="1" ht="29.1" customHeight="1" x14ac:dyDescent="0.25">
      <c r="A5852" s="2" t="s">
        <v>12376</v>
      </c>
      <c r="B5852" s="2" t="s">
        <v>12377</v>
      </c>
      <c r="C5852" s="2" t="s">
        <v>5</v>
      </c>
      <c r="D5852" s="2" t="s">
        <v>674</v>
      </c>
      <c r="E5852" s="2" t="str">
        <f>"9783031609732"</f>
        <v>9783031609732</v>
      </c>
      <c r="F5852" s="2" t="str">
        <f>"9783031609749"</f>
        <v>9783031609749</v>
      </c>
    </row>
    <row r="5853" spans="1:6" s="3" customFormat="1" ht="29.1" customHeight="1" x14ac:dyDescent="0.25">
      <c r="A5853" s="2" t="s">
        <v>12378</v>
      </c>
      <c r="B5853" s="2" t="s">
        <v>12379</v>
      </c>
      <c r="C5853" s="2" t="s">
        <v>5</v>
      </c>
      <c r="D5853" s="2" t="s">
        <v>1432</v>
      </c>
      <c r="E5853" s="2" t="str">
        <f>"9789819743742"</f>
        <v>9789819743742</v>
      </c>
      <c r="F5853" s="2" t="str">
        <f>"9789819743759"</f>
        <v>9789819743759</v>
      </c>
    </row>
    <row r="5854" spans="1:6" s="3" customFormat="1" ht="29.1" customHeight="1" x14ac:dyDescent="0.25">
      <c r="A5854" s="2" t="s">
        <v>12380</v>
      </c>
      <c r="B5854" s="2" t="s">
        <v>12382</v>
      </c>
      <c r="C5854" s="2" t="s">
        <v>5</v>
      </c>
      <c r="D5854" s="2" t="s">
        <v>12381</v>
      </c>
      <c r="E5854" s="2" t="str">
        <f>"9783031583759"</f>
        <v>9783031583759</v>
      </c>
      <c r="F5854" s="2" t="str">
        <f>"9783031583766"</f>
        <v>9783031583766</v>
      </c>
    </row>
    <row r="5855" spans="1:6" s="3" customFormat="1" ht="29.1" customHeight="1" x14ac:dyDescent="0.25">
      <c r="A5855" s="2" t="s">
        <v>12383</v>
      </c>
      <c r="B5855" s="2" t="s">
        <v>12384</v>
      </c>
      <c r="C5855" s="2" t="s">
        <v>5</v>
      </c>
      <c r="D5855" s="2" t="s">
        <v>2590</v>
      </c>
      <c r="E5855" s="2" t="str">
        <f>"9783031484070"</f>
        <v>9783031484070</v>
      </c>
      <c r="F5855" s="2" t="str">
        <f>"9783031484087"</f>
        <v>9783031484087</v>
      </c>
    </row>
    <row r="5856" spans="1:6" s="3" customFormat="1" ht="29.1" customHeight="1" x14ac:dyDescent="0.25">
      <c r="A5856" s="2" t="s">
        <v>12385</v>
      </c>
      <c r="B5856" s="2" t="s">
        <v>12386</v>
      </c>
      <c r="C5856" s="2" t="s">
        <v>5</v>
      </c>
      <c r="D5856" s="2" t="s">
        <v>9</v>
      </c>
      <c r="E5856" s="2" t="str">
        <f>"9782384762828"</f>
        <v>9782384762828</v>
      </c>
      <c r="F5856" s="2" t="str">
        <f>"9782384762835"</f>
        <v>9782384762835</v>
      </c>
    </row>
    <row r="5857" spans="1:6" s="3" customFormat="1" ht="29.1" customHeight="1" x14ac:dyDescent="0.25">
      <c r="A5857" s="2" t="s">
        <v>12387</v>
      </c>
      <c r="B5857" s="2" t="s">
        <v>12388</v>
      </c>
      <c r="C5857" s="2" t="s">
        <v>5</v>
      </c>
      <c r="D5857" s="2" t="s">
        <v>183</v>
      </c>
      <c r="E5857" s="2" t="str">
        <f>"9783658444570"</f>
        <v>9783658444570</v>
      </c>
      <c r="F5857" s="2" t="str">
        <f>"9783658444587"</f>
        <v>9783658444587</v>
      </c>
    </row>
    <row r="5858" spans="1:6" s="3" customFormat="1" ht="29.1" customHeight="1" x14ac:dyDescent="0.25">
      <c r="A5858" s="2" t="s">
        <v>12389</v>
      </c>
      <c r="B5858" s="2" t="s">
        <v>12390</v>
      </c>
      <c r="C5858" s="2" t="s">
        <v>248</v>
      </c>
      <c r="D5858" s="2" t="s">
        <v>2045</v>
      </c>
      <c r="E5858" s="2" t="str">
        <f>"9783847430698"</f>
        <v>9783847430698</v>
      </c>
      <c r="F5858" s="2" t="str">
        <f>"9783847432043"</f>
        <v>9783847432043</v>
      </c>
    </row>
    <row r="5859" spans="1:6" s="3" customFormat="1" ht="29.1" customHeight="1" x14ac:dyDescent="0.25">
      <c r="A5859" s="2" t="s">
        <v>12391</v>
      </c>
      <c r="B5859" s="2" t="s">
        <v>12392</v>
      </c>
      <c r="C5859" s="2" t="s">
        <v>248</v>
      </c>
      <c r="D5859" s="2" t="s">
        <v>249</v>
      </c>
      <c r="E5859" s="2" t="str">
        <f>"9783847430780"</f>
        <v>9783847430780</v>
      </c>
      <c r="F5859" s="2" t="str">
        <f>"9783847432128"</f>
        <v>9783847432128</v>
      </c>
    </row>
    <row r="5860" spans="1:6" s="3" customFormat="1" ht="29.1" customHeight="1" x14ac:dyDescent="0.25">
      <c r="A5860" s="2" t="s">
        <v>12393</v>
      </c>
      <c r="B5860" s="2" t="s">
        <v>12394</v>
      </c>
      <c r="C5860" s="2" t="s">
        <v>248</v>
      </c>
      <c r="D5860" s="2" t="s">
        <v>2142</v>
      </c>
      <c r="E5860" s="2" t="str">
        <f>"9783847426912"</f>
        <v>9783847426912</v>
      </c>
      <c r="F5860" s="2" t="str">
        <f>"9783847418641"</f>
        <v>9783847418641</v>
      </c>
    </row>
    <row r="5861" spans="1:6" s="3" customFormat="1" ht="29.1" customHeight="1" x14ac:dyDescent="0.25">
      <c r="A5861" s="2" t="s">
        <v>12395</v>
      </c>
      <c r="B5861" s="2" t="s">
        <v>12396</v>
      </c>
      <c r="C5861" s="2" t="s">
        <v>248</v>
      </c>
      <c r="D5861" s="2" t="s">
        <v>553</v>
      </c>
      <c r="E5861" s="2" t="str">
        <f>"9783847430452"</f>
        <v>9783847430452</v>
      </c>
      <c r="F5861" s="2" t="str">
        <f>"9783847419792"</f>
        <v>9783847419792</v>
      </c>
    </row>
    <row r="5862" spans="1:6" s="3" customFormat="1" ht="29.1" customHeight="1" x14ac:dyDescent="0.25">
      <c r="A5862" s="2" t="s">
        <v>12397</v>
      </c>
      <c r="B5862" s="2" t="s">
        <v>12398</v>
      </c>
      <c r="C5862" s="2" t="s">
        <v>248</v>
      </c>
      <c r="D5862" s="2" t="s">
        <v>436</v>
      </c>
      <c r="E5862" s="2" t="str">
        <f>"9783847430803"</f>
        <v>9783847430803</v>
      </c>
      <c r="F5862" s="2" t="str">
        <f>"9783847432142"</f>
        <v>9783847432142</v>
      </c>
    </row>
    <row r="5863" spans="1:6" s="3" customFormat="1" ht="29.1" customHeight="1" x14ac:dyDescent="0.25">
      <c r="A5863" s="2" t="s">
        <v>12399</v>
      </c>
      <c r="B5863" s="2" t="s">
        <v>12400</v>
      </c>
      <c r="C5863" s="2" t="s">
        <v>248</v>
      </c>
      <c r="D5863" s="2" t="s">
        <v>836</v>
      </c>
      <c r="E5863" s="2" t="str">
        <f>"9783847427612"</f>
        <v>9783847427612</v>
      </c>
      <c r="F5863" s="2" t="str">
        <f>"9783847419327"</f>
        <v>9783847419327</v>
      </c>
    </row>
    <row r="5864" spans="1:6" s="3" customFormat="1" ht="29.1" customHeight="1" x14ac:dyDescent="0.25">
      <c r="A5864" s="2" t="s">
        <v>12401</v>
      </c>
      <c r="B5864" s="2" t="s">
        <v>12402</v>
      </c>
      <c r="C5864" s="2" t="s">
        <v>248</v>
      </c>
      <c r="D5864" s="2" t="s">
        <v>490</v>
      </c>
      <c r="E5864" s="2" t="str">
        <f>"9783847427636"</f>
        <v>9783847427636</v>
      </c>
      <c r="F5864" s="2" t="str">
        <f>"9783847419341"</f>
        <v>9783847419341</v>
      </c>
    </row>
    <row r="5865" spans="1:6" s="3" customFormat="1" ht="29.1" customHeight="1" x14ac:dyDescent="0.25">
      <c r="A5865" s="2" t="s">
        <v>12403</v>
      </c>
      <c r="B5865" s="2" t="s">
        <v>12404</v>
      </c>
      <c r="C5865" s="2" t="s">
        <v>5</v>
      </c>
      <c r="D5865" s="2" t="s">
        <v>4190</v>
      </c>
      <c r="E5865" s="2" t="str">
        <f>"9783031656705"</f>
        <v>9783031656705</v>
      </c>
      <c r="F5865" s="2" t="str">
        <f>"9783031656712"</f>
        <v>9783031656712</v>
      </c>
    </row>
    <row r="5866" spans="1:6" s="3" customFormat="1" ht="29.1" customHeight="1" x14ac:dyDescent="0.25">
      <c r="A5866" s="2" t="s">
        <v>12405</v>
      </c>
      <c r="B5866" s="2" t="s">
        <v>12406</v>
      </c>
      <c r="C5866" s="2" t="s">
        <v>5</v>
      </c>
      <c r="D5866" s="2" t="s">
        <v>682</v>
      </c>
      <c r="E5866" s="2" t="str">
        <f>"9782384762804"</f>
        <v>9782384762804</v>
      </c>
      <c r="F5866" s="2" t="str">
        <f>"9782384762811"</f>
        <v>9782384762811</v>
      </c>
    </row>
    <row r="5867" spans="1:6" s="3" customFormat="1" ht="29.1" customHeight="1" x14ac:dyDescent="0.25">
      <c r="A5867" s="2" t="s">
        <v>12407</v>
      </c>
      <c r="B5867" s="2" t="s">
        <v>12408</v>
      </c>
      <c r="C5867" s="2" t="s">
        <v>5</v>
      </c>
      <c r="D5867" s="2" t="s">
        <v>9</v>
      </c>
      <c r="E5867" s="2" t="str">
        <f>"9782384762767"</f>
        <v>9782384762767</v>
      </c>
      <c r="F5867" s="2" t="str">
        <f>"9782384762774"</f>
        <v>9782384762774</v>
      </c>
    </row>
    <row r="5868" spans="1:6" s="3" customFormat="1" ht="29.1" customHeight="1" x14ac:dyDescent="0.25">
      <c r="A5868" s="2" t="s">
        <v>12409</v>
      </c>
      <c r="B5868" s="2" t="s">
        <v>12410</v>
      </c>
      <c r="C5868" s="2" t="s">
        <v>5</v>
      </c>
      <c r="D5868" s="2" t="s">
        <v>5115</v>
      </c>
      <c r="E5868" s="2" t="str">
        <f>"9789464635010"</f>
        <v>9789464635010</v>
      </c>
      <c r="F5868" s="2" t="str">
        <f>"9789464635027"</f>
        <v>9789464635027</v>
      </c>
    </row>
    <row r="5869" spans="1:6" s="3" customFormat="1" ht="29.1" customHeight="1" x14ac:dyDescent="0.25">
      <c r="A5869" s="2" t="s">
        <v>12411</v>
      </c>
      <c r="B5869" s="2" t="s">
        <v>12412</v>
      </c>
      <c r="C5869" s="2" t="s">
        <v>5</v>
      </c>
      <c r="D5869" s="2" t="s">
        <v>342</v>
      </c>
      <c r="E5869" s="2" t="str">
        <f>"9789464635034"</f>
        <v>9789464635034</v>
      </c>
      <c r="F5869" s="2" t="str">
        <f>"9789464635041"</f>
        <v>9789464635041</v>
      </c>
    </row>
    <row r="5870" spans="1:6" s="3" customFormat="1" ht="29.1" customHeight="1" x14ac:dyDescent="0.25">
      <c r="A5870" s="2" t="s">
        <v>12413</v>
      </c>
      <c r="B5870" s="2" t="s">
        <v>12414</v>
      </c>
      <c r="C5870" s="2" t="s">
        <v>5</v>
      </c>
      <c r="D5870" s="2" t="s">
        <v>141</v>
      </c>
      <c r="E5870" s="2" t="str">
        <f>"9789464635058"</f>
        <v>9789464635058</v>
      </c>
      <c r="F5870" s="2" t="str">
        <f>"9789464635065"</f>
        <v>9789464635065</v>
      </c>
    </row>
    <row r="5871" spans="1:6" s="3" customFormat="1" ht="29.1" customHeight="1" x14ac:dyDescent="0.25">
      <c r="A5871" s="2" t="s">
        <v>12415</v>
      </c>
      <c r="B5871" s="2" t="s">
        <v>12416</v>
      </c>
      <c r="C5871" s="2" t="s">
        <v>5</v>
      </c>
      <c r="D5871" s="2" t="s">
        <v>364</v>
      </c>
      <c r="E5871" s="2" t="str">
        <f>"9783031623318"</f>
        <v>9783031623318</v>
      </c>
      <c r="F5871" s="2" t="str">
        <f>"9783031623325"</f>
        <v>9783031623325</v>
      </c>
    </row>
    <row r="5872" spans="1:6" s="3" customFormat="1" ht="29.1" customHeight="1" x14ac:dyDescent="0.25">
      <c r="A5872" s="2" t="s">
        <v>12417</v>
      </c>
      <c r="B5872" s="2" t="s">
        <v>12418</v>
      </c>
      <c r="C5872" s="2" t="s">
        <v>5</v>
      </c>
      <c r="D5872" s="2" t="s">
        <v>33</v>
      </c>
      <c r="E5872" s="2" t="str">
        <f>"9783031618413"</f>
        <v>9783031618413</v>
      </c>
      <c r="F5872" s="2" t="str">
        <f>"9783031618420"</f>
        <v>9783031618420</v>
      </c>
    </row>
    <row r="5873" spans="1:6" s="3" customFormat="1" ht="29.1" customHeight="1" x14ac:dyDescent="0.25">
      <c r="A5873" s="2" t="s">
        <v>12419</v>
      </c>
      <c r="B5873" s="2" t="s">
        <v>1896</v>
      </c>
      <c r="C5873" s="2" t="s">
        <v>5</v>
      </c>
      <c r="D5873" s="2" t="s">
        <v>8642</v>
      </c>
      <c r="E5873" s="2" t="str">
        <f>"9783031671203"</f>
        <v>9783031671203</v>
      </c>
      <c r="F5873" s="2" t="str">
        <f>"9783031671210"</f>
        <v>9783031671210</v>
      </c>
    </row>
    <row r="5874" spans="1:6" s="3" customFormat="1" ht="29.1" customHeight="1" x14ac:dyDescent="0.25">
      <c r="A5874" s="2" t="s">
        <v>12420</v>
      </c>
      <c r="B5874" s="2" t="s">
        <v>12421</v>
      </c>
      <c r="C5874" s="2" t="s">
        <v>29</v>
      </c>
      <c r="D5874" s="2" t="s">
        <v>1390</v>
      </c>
      <c r="E5874" s="2" t="str">
        <f>"9789004688278"</f>
        <v>9789004688278</v>
      </c>
      <c r="F5874" s="2" t="str">
        <f>"9789004688285"</f>
        <v>9789004688285</v>
      </c>
    </row>
    <row r="5875" spans="1:6" s="3" customFormat="1" ht="29.1" customHeight="1" x14ac:dyDescent="0.25">
      <c r="A5875" s="2" t="s">
        <v>12422</v>
      </c>
      <c r="B5875" s="2" t="s">
        <v>12423</v>
      </c>
      <c r="C5875" s="2" t="s">
        <v>29</v>
      </c>
      <c r="D5875" s="2" t="s">
        <v>462</v>
      </c>
      <c r="E5875" s="2" t="str">
        <f>"9789004682993"</f>
        <v>9789004682993</v>
      </c>
      <c r="F5875" s="2" t="str">
        <f>"9789004687318"</f>
        <v>9789004687318</v>
      </c>
    </row>
    <row r="5876" spans="1:6" s="3" customFormat="1" ht="29.1" customHeight="1" x14ac:dyDescent="0.25">
      <c r="A5876" s="2" t="s">
        <v>12424</v>
      </c>
      <c r="B5876" s="2" t="s">
        <v>12425</v>
      </c>
      <c r="C5876" s="2" t="s">
        <v>927</v>
      </c>
      <c r="D5876" s="2" t="s">
        <v>210</v>
      </c>
      <c r="E5876" s="2" t="str">
        <f>"9780472057023"</f>
        <v>9780472057023</v>
      </c>
      <c r="F5876" s="2" t="str">
        <f>"9780472904785"</f>
        <v>9780472904785</v>
      </c>
    </row>
    <row r="5877" spans="1:6" s="3" customFormat="1" ht="29.1" customHeight="1" x14ac:dyDescent="0.25">
      <c r="A5877" s="2" t="s">
        <v>12426</v>
      </c>
      <c r="B5877" s="2" t="s">
        <v>12427</v>
      </c>
      <c r="C5877" s="2" t="s">
        <v>5</v>
      </c>
      <c r="D5877" s="2" t="s">
        <v>52</v>
      </c>
      <c r="E5877" s="2" t="str">
        <f>"9789464634952"</f>
        <v>9789464634952</v>
      </c>
      <c r="F5877" s="2" t="str">
        <f>"9789464634969"</f>
        <v>9789464634969</v>
      </c>
    </row>
    <row r="5878" spans="1:6" s="3" customFormat="1" ht="29.1" customHeight="1" x14ac:dyDescent="0.25">
      <c r="A5878" s="2" t="s">
        <v>12428</v>
      </c>
      <c r="B5878" s="2" t="s">
        <v>12429</v>
      </c>
      <c r="C5878" s="2" t="s">
        <v>5</v>
      </c>
      <c r="D5878" s="2" t="s">
        <v>98</v>
      </c>
      <c r="E5878" s="2" t="str">
        <f>"9783031617485"</f>
        <v>9783031617485</v>
      </c>
      <c r="F5878" s="2" t="str">
        <f>"9783031617492"</f>
        <v>9783031617492</v>
      </c>
    </row>
    <row r="5879" spans="1:6" s="3" customFormat="1" ht="29.1" customHeight="1" x14ac:dyDescent="0.25">
      <c r="A5879" s="2" t="s">
        <v>12430</v>
      </c>
      <c r="B5879" s="2" t="s">
        <v>12431</v>
      </c>
      <c r="C5879" s="2" t="s">
        <v>5</v>
      </c>
      <c r="D5879" s="2" t="s">
        <v>2271</v>
      </c>
      <c r="E5879" s="2" t="str">
        <f>"9783658450731"</f>
        <v>9783658450731</v>
      </c>
      <c r="F5879" s="2" t="str">
        <f>"9783658450748"</f>
        <v>9783658450748</v>
      </c>
    </row>
    <row r="5880" spans="1:6" s="3" customFormat="1" ht="29.1" customHeight="1" x14ac:dyDescent="0.25">
      <c r="A5880" s="2" t="s">
        <v>12432</v>
      </c>
      <c r="B5880" s="2" t="s">
        <v>12433</v>
      </c>
      <c r="C5880" s="2" t="s">
        <v>5</v>
      </c>
      <c r="D5880" s="2" t="s">
        <v>5716</v>
      </c>
      <c r="E5880" s="2" t="str">
        <f>"9783031581519"</f>
        <v>9783031581519</v>
      </c>
      <c r="F5880" s="2" t="str">
        <f>"9783031581526"</f>
        <v>9783031581526</v>
      </c>
    </row>
    <row r="5881" spans="1:6" s="3" customFormat="1" ht="29.1" customHeight="1" x14ac:dyDescent="0.25">
      <c r="A5881" s="2" t="s">
        <v>12434</v>
      </c>
      <c r="B5881" s="2" t="s">
        <v>12435</v>
      </c>
      <c r="C5881" s="2" t="s">
        <v>5</v>
      </c>
      <c r="D5881" s="2" t="s">
        <v>4783</v>
      </c>
      <c r="E5881" s="2" t="str">
        <f>"9789819744671"</f>
        <v>9789819744671</v>
      </c>
      <c r="F5881" s="2" t="str">
        <f>"9789819744688"</f>
        <v>9789819744688</v>
      </c>
    </row>
    <row r="5882" spans="1:6" s="3" customFormat="1" ht="29.1" customHeight="1" x14ac:dyDescent="0.25">
      <c r="A5882" s="2" t="s">
        <v>12436</v>
      </c>
      <c r="B5882" s="2" t="s">
        <v>12437</v>
      </c>
      <c r="C5882" s="2" t="s">
        <v>5</v>
      </c>
      <c r="D5882" s="2" t="s">
        <v>12</v>
      </c>
      <c r="E5882" s="2" t="str">
        <f>"9783031595943"</f>
        <v>9783031595943</v>
      </c>
      <c r="F5882" s="2" t="str">
        <f>"9783031595950"</f>
        <v>9783031595950</v>
      </c>
    </row>
    <row r="5883" spans="1:6" s="3" customFormat="1" ht="29.1" customHeight="1" x14ac:dyDescent="0.25">
      <c r="A5883" s="2" t="s">
        <v>12438</v>
      </c>
      <c r="B5883" s="2" t="s">
        <v>12439</v>
      </c>
      <c r="C5883" s="2" t="s">
        <v>5</v>
      </c>
      <c r="D5883" s="2" t="s">
        <v>37</v>
      </c>
      <c r="E5883" s="2" t="str">
        <f>"9783031645938"</f>
        <v>9783031645938</v>
      </c>
      <c r="F5883" s="2" t="str">
        <f>"9783031645945"</f>
        <v>9783031645945</v>
      </c>
    </row>
    <row r="5884" spans="1:6" s="3" customFormat="1" ht="29.1" customHeight="1" x14ac:dyDescent="0.25">
      <c r="A5884" s="2" t="s">
        <v>12440</v>
      </c>
      <c r="B5884" s="2" t="s">
        <v>12441</v>
      </c>
      <c r="C5884" s="2" t="s">
        <v>5</v>
      </c>
      <c r="D5884" s="2" t="s">
        <v>168</v>
      </c>
      <c r="E5884" s="2" t="str">
        <f>"9789819732333"</f>
        <v>9789819732333</v>
      </c>
      <c r="F5884" s="2" t="str">
        <f>"9789819732340"</f>
        <v>9789819732340</v>
      </c>
    </row>
    <row r="5885" spans="1:6" s="3" customFormat="1" ht="29.1" customHeight="1" x14ac:dyDescent="0.25">
      <c r="A5885" s="2" t="s">
        <v>12442</v>
      </c>
      <c r="B5885" s="2" t="s">
        <v>12443</v>
      </c>
      <c r="C5885" s="2" t="s">
        <v>5</v>
      </c>
      <c r="D5885" s="2" t="s">
        <v>8642</v>
      </c>
      <c r="E5885" s="2" t="str">
        <f>"9783031662010"</f>
        <v>9783031662010</v>
      </c>
      <c r="F5885" s="2" t="str">
        <f>"9783031662027"</f>
        <v>9783031662027</v>
      </c>
    </row>
    <row r="5886" spans="1:6" s="3" customFormat="1" ht="29.1" customHeight="1" x14ac:dyDescent="0.25">
      <c r="A5886" s="2" t="s">
        <v>12444</v>
      </c>
      <c r="B5886" s="2" t="s">
        <v>12446</v>
      </c>
      <c r="C5886" s="2" t="s">
        <v>4197</v>
      </c>
      <c r="D5886" s="2" t="s">
        <v>12445</v>
      </c>
      <c r="E5886" s="2" t="str">
        <f>"9783985470723"</f>
        <v>9783985470723</v>
      </c>
      <c r="F5886" s="2" t="str">
        <f>"9783985475728"</f>
        <v>9783985475728</v>
      </c>
    </row>
    <row r="5887" spans="1:6" s="3" customFormat="1" ht="29.1" customHeight="1" x14ac:dyDescent="0.25">
      <c r="A5887" s="2" t="s">
        <v>12447</v>
      </c>
      <c r="B5887" s="2" t="s">
        <v>12448</v>
      </c>
      <c r="C5887" s="2" t="s">
        <v>264</v>
      </c>
      <c r="D5887" s="2" t="s">
        <v>3304</v>
      </c>
      <c r="E5887" s="2" t="str">
        <f>"9781032548166"</f>
        <v>9781032548166</v>
      </c>
      <c r="F5887" s="2" t="str">
        <f>"9781040259825"</f>
        <v>9781040259825</v>
      </c>
    </row>
    <row r="5888" spans="1:6" s="3" customFormat="1" ht="29.1" customHeight="1" x14ac:dyDescent="0.25">
      <c r="A5888" s="2" t="s">
        <v>12449</v>
      </c>
      <c r="B5888" s="2" t="s">
        <v>12451</v>
      </c>
      <c r="C5888" s="2" t="s">
        <v>264</v>
      </c>
      <c r="D5888" s="2" t="s">
        <v>12450</v>
      </c>
      <c r="E5888" s="2" t="str">
        <f>"9781032781679"</f>
        <v>9781032781679</v>
      </c>
      <c r="F5888" s="2" t="str">
        <f>"9781040271834"</f>
        <v>9781040271834</v>
      </c>
    </row>
    <row r="5889" spans="1:6" s="3" customFormat="1" ht="29.1" customHeight="1" x14ac:dyDescent="0.25">
      <c r="A5889" s="2" t="s">
        <v>12452</v>
      </c>
      <c r="B5889" s="2" t="s">
        <v>12453</v>
      </c>
      <c r="C5889" s="2" t="s">
        <v>264</v>
      </c>
      <c r="D5889" s="2" t="s">
        <v>6511</v>
      </c>
      <c r="E5889" s="2" t="str">
        <f>"9781032803722"</f>
        <v>9781032803722</v>
      </c>
      <c r="F5889" s="2" t="str">
        <f>"9781040296233"</f>
        <v>9781040296233</v>
      </c>
    </row>
    <row r="5890" spans="1:6" s="3" customFormat="1" ht="29.1" customHeight="1" x14ac:dyDescent="0.25">
      <c r="A5890" s="2" t="s">
        <v>12454</v>
      </c>
      <c r="B5890" s="2" t="s">
        <v>12455</v>
      </c>
      <c r="C5890" s="2" t="s">
        <v>124</v>
      </c>
      <c r="D5890" s="2" t="s">
        <v>75</v>
      </c>
      <c r="E5890" s="2" t="str">
        <f>"9781032855127"</f>
        <v>9781032855127</v>
      </c>
      <c r="F5890" s="2" t="str">
        <f>"9781003539681"</f>
        <v>9781003539681</v>
      </c>
    </row>
    <row r="5891" spans="1:6" s="3" customFormat="1" ht="29.1" customHeight="1" x14ac:dyDescent="0.25">
      <c r="A5891" s="2" t="s">
        <v>12456</v>
      </c>
      <c r="B5891" s="2" t="s">
        <v>12457</v>
      </c>
      <c r="C5891" s="2" t="s">
        <v>124</v>
      </c>
      <c r="D5891" s="2" t="s">
        <v>1864</v>
      </c>
      <c r="E5891" s="2" t="str">
        <f>"9781032758169"</f>
        <v>9781032758169</v>
      </c>
      <c r="F5891" s="2" t="str">
        <f>"9781003475767"</f>
        <v>9781003475767</v>
      </c>
    </row>
    <row r="5892" spans="1:6" s="3" customFormat="1" ht="29.1" customHeight="1" x14ac:dyDescent="0.25">
      <c r="A5892" s="2" t="s">
        <v>12458</v>
      </c>
      <c r="B5892" s="2" t="s">
        <v>12461</v>
      </c>
      <c r="C5892" s="2" t="s">
        <v>12459</v>
      </c>
      <c r="D5892" s="2" t="s">
        <v>12460</v>
      </c>
      <c r="E5892" s="2" t="str">
        <f>"9781803556246"</f>
        <v>9781803556246</v>
      </c>
      <c r="F5892" s="2" t="str">
        <f>"9781803556260"</f>
        <v>9781803556260</v>
      </c>
    </row>
    <row r="5893" spans="1:6" s="3" customFormat="1" ht="29.1" customHeight="1" x14ac:dyDescent="0.25">
      <c r="A5893" s="2" t="s">
        <v>12462</v>
      </c>
      <c r="B5893" s="2" t="s">
        <v>12463</v>
      </c>
      <c r="C5893" s="2" t="s">
        <v>12459</v>
      </c>
      <c r="D5893" s="2" t="s">
        <v>44</v>
      </c>
      <c r="E5893" s="2" t="str">
        <f>"9781839624124"</f>
        <v>9781839624124</v>
      </c>
      <c r="F5893" s="2" t="str">
        <f>"9781839624148"</f>
        <v>9781839624148</v>
      </c>
    </row>
    <row r="5894" spans="1:6" s="3" customFormat="1" ht="29.1" customHeight="1" x14ac:dyDescent="0.25">
      <c r="A5894" s="2" t="s">
        <v>12464</v>
      </c>
      <c r="B5894" s="2" t="s">
        <v>12466</v>
      </c>
      <c r="C5894" s="2" t="s">
        <v>12459</v>
      </c>
      <c r="D5894" s="2" t="s">
        <v>12465</v>
      </c>
      <c r="E5894" s="2" t="str">
        <f>"9781838811808"</f>
        <v>9781838811808</v>
      </c>
      <c r="F5894" s="2" t="str">
        <f>"9781838811839"</f>
        <v>9781838811839</v>
      </c>
    </row>
    <row r="5895" spans="1:6" s="3" customFormat="1" ht="29.1" customHeight="1" x14ac:dyDescent="0.25">
      <c r="A5895" s="2" t="s">
        <v>12467</v>
      </c>
      <c r="B5895" s="2" t="s">
        <v>12468</v>
      </c>
      <c r="C5895" s="2" t="s">
        <v>12459</v>
      </c>
      <c r="D5895" s="2" t="s">
        <v>8486</v>
      </c>
      <c r="E5895" s="2" t="str">
        <f>"9781839691997"</f>
        <v>9781839691997</v>
      </c>
      <c r="F5895" s="2" t="str">
        <f>"9781839692017"</f>
        <v>9781839692017</v>
      </c>
    </row>
    <row r="5896" spans="1:6" s="3" customFormat="1" ht="29.1" customHeight="1" x14ac:dyDescent="0.25">
      <c r="A5896" s="2" t="s">
        <v>12469</v>
      </c>
      <c r="B5896" s="2" t="s">
        <v>12471</v>
      </c>
      <c r="C5896" s="2" t="s">
        <v>12459</v>
      </c>
      <c r="D5896" s="2" t="s">
        <v>12470</v>
      </c>
      <c r="E5896" s="2" t="str">
        <f>"9781789845303"</f>
        <v>9781789845303</v>
      </c>
      <c r="F5896" s="2" t="str">
        <f>"9781789845563"</f>
        <v>9781789845563</v>
      </c>
    </row>
    <row r="5897" spans="1:6" s="3" customFormat="1" ht="29.1" customHeight="1" x14ac:dyDescent="0.25">
      <c r="A5897" s="2" t="s">
        <v>12472</v>
      </c>
      <c r="B5897" s="2" t="s">
        <v>12473</v>
      </c>
      <c r="C5897" s="2" t="s">
        <v>12459</v>
      </c>
      <c r="D5897" s="2" t="s">
        <v>12465</v>
      </c>
      <c r="E5897" s="2" t="str">
        <f>"9781839629709"</f>
        <v>9781839629709</v>
      </c>
      <c r="F5897" s="2" t="str">
        <f>"9781839629723"</f>
        <v>9781839629723</v>
      </c>
    </row>
    <row r="5898" spans="1:6" s="3" customFormat="1" ht="29.1" customHeight="1" x14ac:dyDescent="0.25">
      <c r="A5898" s="2" t="s">
        <v>12474</v>
      </c>
      <c r="B5898" s="2" t="s">
        <v>12476</v>
      </c>
      <c r="C5898" s="2" t="s">
        <v>12459</v>
      </c>
      <c r="D5898" s="2" t="s">
        <v>12475</v>
      </c>
      <c r="E5898" s="2" t="str">
        <f>"9781789855777"</f>
        <v>9781789855777</v>
      </c>
      <c r="F5898" s="2" t="str">
        <f>"9781839683923"</f>
        <v>9781839683923</v>
      </c>
    </row>
    <row r="5899" spans="1:6" s="3" customFormat="1" ht="29.1" customHeight="1" x14ac:dyDescent="0.25">
      <c r="A5899" s="2" t="s">
        <v>12477</v>
      </c>
      <c r="B5899" s="2" t="s">
        <v>12478</v>
      </c>
      <c r="C5899" s="2" t="s">
        <v>12459</v>
      </c>
      <c r="D5899" s="2" t="s">
        <v>2458</v>
      </c>
      <c r="E5899" s="2" t="str">
        <f>"9781839687686"</f>
        <v>9781839687686</v>
      </c>
      <c r="F5899" s="2" t="str">
        <f>"9781839687709"</f>
        <v>9781839687709</v>
      </c>
    </row>
    <row r="5900" spans="1:6" s="3" customFormat="1" ht="29.1" customHeight="1" x14ac:dyDescent="0.25">
      <c r="A5900" s="2" t="s">
        <v>12479</v>
      </c>
      <c r="B5900" s="2" t="s">
        <v>12480</v>
      </c>
      <c r="C5900" s="2" t="s">
        <v>12459</v>
      </c>
      <c r="D5900" s="2" t="s">
        <v>101</v>
      </c>
      <c r="E5900" s="2" t="str">
        <f>"9781839686269"</f>
        <v>9781839686269</v>
      </c>
      <c r="F5900" s="2" t="str">
        <f>"9781839686283"</f>
        <v>9781839686283</v>
      </c>
    </row>
    <row r="5901" spans="1:6" s="3" customFormat="1" ht="29.1" customHeight="1" x14ac:dyDescent="0.25">
      <c r="A5901" s="2" t="s">
        <v>12481</v>
      </c>
      <c r="B5901" s="2" t="s">
        <v>12482</v>
      </c>
      <c r="C5901" s="2" t="s">
        <v>12459</v>
      </c>
      <c r="D5901" s="2" t="s">
        <v>633</v>
      </c>
      <c r="E5901" s="2" t="str">
        <f>"9781789851380"</f>
        <v>9781789851380</v>
      </c>
      <c r="F5901" s="2" t="str">
        <f>"9781838803407"</f>
        <v>9781838803407</v>
      </c>
    </row>
    <row r="5902" spans="1:6" s="3" customFormat="1" ht="29.1" customHeight="1" x14ac:dyDescent="0.25">
      <c r="A5902" s="2" t="s">
        <v>12483</v>
      </c>
      <c r="B5902" s="2" t="s">
        <v>12485</v>
      </c>
      <c r="C5902" s="2" t="s">
        <v>12459</v>
      </c>
      <c r="D5902" s="2" t="s">
        <v>12484</v>
      </c>
      <c r="E5902" s="2" t="str">
        <f>"9781839683558"</f>
        <v>9781839683558</v>
      </c>
      <c r="F5902" s="2" t="str">
        <f>"9781839683572"</f>
        <v>9781839683572</v>
      </c>
    </row>
    <row r="5903" spans="1:6" s="3" customFormat="1" ht="29.1" customHeight="1" x14ac:dyDescent="0.25">
      <c r="A5903" s="2" t="s">
        <v>12486</v>
      </c>
      <c r="B5903" s="2" t="s">
        <v>12488</v>
      </c>
      <c r="C5903" s="2" t="s">
        <v>12459</v>
      </c>
      <c r="D5903" s="2" t="s">
        <v>12487</v>
      </c>
      <c r="E5903" s="2" t="str">
        <f>"9781839625268"</f>
        <v>9781839625268</v>
      </c>
      <c r="F5903" s="2" t="str">
        <f>"9781839625282"</f>
        <v>9781839625282</v>
      </c>
    </row>
    <row r="5904" spans="1:6" s="3" customFormat="1" ht="29.1" customHeight="1" x14ac:dyDescent="0.25">
      <c r="A5904" s="2" t="s">
        <v>12489</v>
      </c>
      <c r="B5904" s="2" t="s">
        <v>12490</v>
      </c>
      <c r="C5904" s="2" t="s">
        <v>12459</v>
      </c>
      <c r="D5904" s="2" t="s">
        <v>863</v>
      </c>
      <c r="E5904" s="2" t="str">
        <f>"9781838810160"</f>
        <v>9781838810160</v>
      </c>
      <c r="F5904" s="2" t="str">
        <f>"9781838810245"</f>
        <v>9781838810245</v>
      </c>
    </row>
    <row r="5905" spans="1:6" s="3" customFormat="1" ht="29.1" customHeight="1" x14ac:dyDescent="0.25">
      <c r="A5905" s="2" t="s">
        <v>12491</v>
      </c>
      <c r="B5905" s="2" t="s">
        <v>12493</v>
      </c>
      <c r="C5905" s="2" t="s">
        <v>12459</v>
      </c>
      <c r="D5905" s="2" t="s">
        <v>12492</v>
      </c>
      <c r="E5905" s="2" t="str">
        <f>"9781839625756"</f>
        <v>9781839625756</v>
      </c>
      <c r="F5905" s="2" t="str">
        <f>"9781839625770"</f>
        <v>9781839625770</v>
      </c>
    </row>
    <row r="5906" spans="1:6" s="3" customFormat="1" ht="29.1" customHeight="1" x14ac:dyDescent="0.25">
      <c r="A5906" s="2" t="s">
        <v>12494</v>
      </c>
      <c r="B5906" s="2" t="s">
        <v>12496</v>
      </c>
      <c r="C5906" s="2" t="s">
        <v>12459</v>
      </c>
      <c r="D5906" s="2" t="s">
        <v>12495</v>
      </c>
      <c r="E5906" s="2" t="str">
        <f>"9781839683480"</f>
        <v>9781839683480</v>
      </c>
      <c r="F5906" s="2" t="str">
        <f>"9781839683503"</f>
        <v>9781839683503</v>
      </c>
    </row>
    <row r="5907" spans="1:6" s="3" customFormat="1" ht="29.1" customHeight="1" x14ac:dyDescent="0.25">
      <c r="A5907" s="2" t="s">
        <v>12497</v>
      </c>
      <c r="B5907" s="2" t="s">
        <v>12498</v>
      </c>
      <c r="C5907" s="2" t="s">
        <v>12459</v>
      </c>
      <c r="D5907" s="2" t="s">
        <v>101</v>
      </c>
      <c r="E5907" s="2" t="str">
        <f>"9781803551555"</f>
        <v>9781803551555</v>
      </c>
      <c r="F5907" s="2" t="str">
        <f>"9781803551548"</f>
        <v>9781803551548</v>
      </c>
    </row>
    <row r="5908" spans="1:6" s="3" customFormat="1" ht="29.1" customHeight="1" x14ac:dyDescent="0.25">
      <c r="A5908" s="2" t="s">
        <v>12499</v>
      </c>
      <c r="B5908" s="2" t="s">
        <v>12500</v>
      </c>
      <c r="C5908" s="2" t="s">
        <v>12459</v>
      </c>
      <c r="D5908" s="2" t="s">
        <v>101</v>
      </c>
      <c r="E5908" s="2" t="str">
        <f>"9781839698361"</f>
        <v>9781839698361</v>
      </c>
      <c r="F5908" s="2" t="str">
        <f>"9781839698385"</f>
        <v>9781839698385</v>
      </c>
    </row>
    <row r="5909" spans="1:6" s="3" customFormat="1" ht="29.1" customHeight="1" x14ac:dyDescent="0.25">
      <c r="A5909" s="2" t="s">
        <v>12501</v>
      </c>
      <c r="B5909" s="2" t="s">
        <v>12502</v>
      </c>
      <c r="C5909" s="2" t="s">
        <v>12459</v>
      </c>
      <c r="D5909" s="2" t="s">
        <v>9843</v>
      </c>
      <c r="E5909" s="2" t="str">
        <f>"9781803557953"</f>
        <v>9781803557953</v>
      </c>
      <c r="F5909" s="2" t="str">
        <f>"9781803557977"</f>
        <v>9781803557977</v>
      </c>
    </row>
    <row r="5910" spans="1:6" s="3" customFormat="1" ht="29.1" customHeight="1" x14ac:dyDescent="0.25">
      <c r="A5910" s="2" t="s">
        <v>12503</v>
      </c>
      <c r="B5910" s="2" t="s">
        <v>12505</v>
      </c>
      <c r="C5910" s="2" t="s">
        <v>12459</v>
      </c>
      <c r="D5910" s="2" t="s">
        <v>12504</v>
      </c>
      <c r="E5910" s="2" t="str">
        <f>"9780854664467"</f>
        <v>9780854664467</v>
      </c>
      <c r="F5910" s="2" t="str">
        <f>"9780854664474"</f>
        <v>9780854664474</v>
      </c>
    </row>
    <row r="5911" spans="1:6" s="3" customFormat="1" ht="29.1" customHeight="1" x14ac:dyDescent="0.25">
      <c r="A5911" s="2" t="s">
        <v>12506</v>
      </c>
      <c r="B5911" s="2" t="s">
        <v>12507</v>
      </c>
      <c r="C5911" s="2" t="s">
        <v>12459</v>
      </c>
      <c r="D5911" s="2" t="s">
        <v>6212</v>
      </c>
      <c r="E5911" s="2" t="str">
        <f>"9780850140903"</f>
        <v>9780850140903</v>
      </c>
      <c r="F5911" s="2" t="str">
        <f>"9780850140927"</f>
        <v>9780850140927</v>
      </c>
    </row>
    <row r="5912" spans="1:6" s="3" customFormat="1" ht="29.1" customHeight="1" x14ac:dyDescent="0.25">
      <c r="A5912" s="2" t="s">
        <v>12508</v>
      </c>
      <c r="B5912" s="2" t="s">
        <v>12509</v>
      </c>
      <c r="C5912" s="2" t="s">
        <v>12459</v>
      </c>
      <c r="D5912" s="2" t="s">
        <v>2458</v>
      </c>
      <c r="E5912" s="2" t="str">
        <f>"9780854660834"</f>
        <v>9780854660834</v>
      </c>
      <c r="F5912" s="2" t="str">
        <f>"9780854660841"</f>
        <v>9780854660841</v>
      </c>
    </row>
    <row r="5913" spans="1:6" s="3" customFormat="1" ht="29.1" customHeight="1" x14ac:dyDescent="0.25">
      <c r="A5913" s="2" t="s">
        <v>12510</v>
      </c>
      <c r="B5913" s="2" t="s">
        <v>12511</v>
      </c>
      <c r="C5913" s="2" t="s">
        <v>12459</v>
      </c>
      <c r="D5913" s="2" t="s">
        <v>44</v>
      </c>
      <c r="E5913" s="2" t="str">
        <f>"9781837692521"</f>
        <v>9781837692521</v>
      </c>
      <c r="F5913" s="2" t="str">
        <f>"9781837692545"</f>
        <v>9781837692545</v>
      </c>
    </row>
    <row r="5914" spans="1:6" s="3" customFormat="1" ht="29.1" customHeight="1" x14ac:dyDescent="0.25">
      <c r="A5914" s="2" t="s">
        <v>12512</v>
      </c>
      <c r="B5914" s="2" t="s">
        <v>12514</v>
      </c>
      <c r="C5914" s="2" t="s">
        <v>12459</v>
      </c>
      <c r="D5914" s="2" t="s">
        <v>12513</v>
      </c>
      <c r="E5914" s="2" t="str">
        <f>"9781837693894"</f>
        <v>9781837693894</v>
      </c>
      <c r="F5914" s="2" t="str">
        <f>"9781837693900"</f>
        <v>9781837693900</v>
      </c>
    </row>
    <row r="5915" spans="1:6" s="3" customFormat="1" ht="29.1" customHeight="1" x14ac:dyDescent="0.25">
      <c r="A5915" s="2" t="s">
        <v>12515</v>
      </c>
      <c r="B5915" s="2" t="s">
        <v>12516</v>
      </c>
      <c r="C5915" s="2" t="s">
        <v>12459</v>
      </c>
      <c r="D5915" s="2" t="s">
        <v>52</v>
      </c>
      <c r="E5915" s="2" t="str">
        <f>"9781837689460"</f>
        <v>9781837689460</v>
      </c>
      <c r="F5915" s="2" t="str">
        <f>"9781837689484"</f>
        <v>9781837689484</v>
      </c>
    </row>
    <row r="5916" spans="1:6" s="3" customFormat="1" ht="29.1" customHeight="1" x14ac:dyDescent="0.25">
      <c r="A5916" s="2" t="s">
        <v>12517</v>
      </c>
      <c r="B5916" s="2" t="s">
        <v>12518</v>
      </c>
      <c r="C5916" s="2" t="s">
        <v>12459</v>
      </c>
      <c r="D5916" s="2" t="s">
        <v>141</v>
      </c>
      <c r="E5916" s="2" t="str">
        <f>"9781837689965"</f>
        <v>9781837689965</v>
      </c>
      <c r="F5916" s="2" t="str">
        <f>"9781837689989"</f>
        <v>9781837689989</v>
      </c>
    </row>
    <row r="5917" spans="1:6" s="3" customFormat="1" ht="29.1" customHeight="1" x14ac:dyDescent="0.25">
      <c r="A5917" s="2" t="s">
        <v>12519</v>
      </c>
      <c r="B5917" s="2" t="s">
        <v>12521</v>
      </c>
      <c r="C5917" s="2" t="s">
        <v>12459</v>
      </c>
      <c r="D5917" s="2" t="s">
        <v>12520</v>
      </c>
      <c r="E5917" s="2" t="str">
        <f>"9781837681471"</f>
        <v>9781837681471</v>
      </c>
      <c r="F5917" s="2" t="str">
        <f>"9781837682089"</f>
        <v>9781837682089</v>
      </c>
    </row>
    <row r="5918" spans="1:6" s="3" customFormat="1" ht="29.1" customHeight="1" x14ac:dyDescent="0.25">
      <c r="A5918" s="2" t="s">
        <v>12522</v>
      </c>
      <c r="B5918" s="2" t="s">
        <v>12523</v>
      </c>
      <c r="C5918" s="2" t="s">
        <v>12459</v>
      </c>
      <c r="D5918" s="2" t="s">
        <v>75</v>
      </c>
      <c r="E5918" s="2" t="str">
        <f>"9781837690206"</f>
        <v>9781837690206</v>
      </c>
      <c r="F5918" s="2" t="str">
        <f>"9781837690220"</f>
        <v>9781837690220</v>
      </c>
    </row>
    <row r="5919" spans="1:6" s="3" customFormat="1" ht="29.1" customHeight="1" x14ac:dyDescent="0.25">
      <c r="A5919" s="2" t="s">
        <v>12524</v>
      </c>
      <c r="B5919" s="2" t="s">
        <v>12525</v>
      </c>
      <c r="C5919" s="2" t="s">
        <v>12459</v>
      </c>
      <c r="D5919" s="2" t="s">
        <v>2045</v>
      </c>
      <c r="E5919" s="2" t="str">
        <f>"9781803566658"</f>
        <v>9781803566658</v>
      </c>
      <c r="F5919" s="2" t="str">
        <f>"9781803566672"</f>
        <v>9781803566672</v>
      </c>
    </row>
    <row r="5920" spans="1:6" s="3" customFormat="1" ht="29.1" customHeight="1" x14ac:dyDescent="0.25">
      <c r="A5920" s="2" t="s">
        <v>12526</v>
      </c>
      <c r="B5920" s="2" t="s">
        <v>12527</v>
      </c>
      <c r="C5920" s="2" t="s">
        <v>12459</v>
      </c>
      <c r="D5920" s="2" t="s">
        <v>12504</v>
      </c>
      <c r="E5920" s="2" t="str">
        <f>"9781803567082"</f>
        <v>9781803567082</v>
      </c>
      <c r="F5920" s="2" t="str">
        <f>"9781803567167"</f>
        <v>9781803567167</v>
      </c>
    </row>
    <row r="5921" spans="1:6" s="3" customFormat="1" ht="29.1" customHeight="1" x14ac:dyDescent="0.25">
      <c r="A5921" s="2" t="s">
        <v>12528</v>
      </c>
      <c r="B5921" s="2" t="s">
        <v>12530</v>
      </c>
      <c r="C5921" s="2" t="s">
        <v>12459</v>
      </c>
      <c r="D5921" s="2" t="s">
        <v>12529</v>
      </c>
      <c r="E5921" s="2" t="str">
        <f>"9781837683222"</f>
        <v>9781837683222</v>
      </c>
      <c r="F5921" s="2" t="str">
        <f>"9781837683246"</f>
        <v>9781837683246</v>
      </c>
    </row>
    <row r="5922" spans="1:6" s="3" customFormat="1" ht="29.1" customHeight="1" x14ac:dyDescent="0.25">
      <c r="A5922" s="2" t="s">
        <v>12531</v>
      </c>
      <c r="B5922" s="2" t="s">
        <v>12532</v>
      </c>
      <c r="C5922" s="2" t="s">
        <v>12459</v>
      </c>
      <c r="D5922" s="2" t="s">
        <v>388</v>
      </c>
      <c r="E5922" s="2" t="str">
        <f>"9781803569147"</f>
        <v>9781803569147</v>
      </c>
      <c r="F5922" s="2" t="str">
        <f>"9781803569161"</f>
        <v>9781803569161</v>
      </c>
    </row>
    <row r="5923" spans="1:6" s="3" customFormat="1" ht="29.1" customHeight="1" x14ac:dyDescent="0.25">
      <c r="A5923" s="2" t="s">
        <v>12533</v>
      </c>
      <c r="B5923" s="2" t="s">
        <v>12534</v>
      </c>
      <c r="C5923" s="2" t="s">
        <v>12459</v>
      </c>
      <c r="D5923" s="2" t="s">
        <v>183</v>
      </c>
      <c r="E5923" s="2" t="str">
        <f>"9781837681198"</f>
        <v>9781837681198</v>
      </c>
      <c r="F5923" s="2" t="str">
        <f>"9781837681211"</f>
        <v>9781837681211</v>
      </c>
    </row>
    <row r="5924" spans="1:6" s="3" customFormat="1" ht="29.1" customHeight="1" x14ac:dyDescent="0.25">
      <c r="A5924" s="2" t="s">
        <v>12535</v>
      </c>
      <c r="B5924" s="2" t="s">
        <v>12536</v>
      </c>
      <c r="C5924" s="2" t="s">
        <v>12459</v>
      </c>
      <c r="D5924" s="2" t="s">
        <v>479</v>
      </c>
      <c r="E5924" s="2" t="str">
        <f>"9781837685110"</f>
        <v>9781837685110</v>
      </c>
      <c r="F5924" s="2" t="str">
        <f>"9781837685134"</f>
        <v>9781837685134</v>
      </c>
    </row>
    <row r="5925" spans="1:6" s="3" customFormat="1" ht="29.1" customHeight="1" x14ac:dyDescent="0.25">
      <c r="A5925" s="2" t="s">
        <v>12537</v>
      </c>
      <c r="B5925" s="2" t="s">
        <v>12538</v>
      </c>
      <c r="C5925" s="2" t="s">
        <v>12459</v>
      </c>
      <c r="D5925" s="2" t="s">
        <v>12513</v>
      </c>
      <c r="E5925" s="2" t="str">
        <f>"9781803556789"</f>
        <v>9781803556789</v>
      </c>
      <c r="F5925" s="2" t="str">
        <f>"9781803556802"</f>
        <v>9781803556802</v>
      </c>
    </row>
    <row r="5926" spans="1:6" s="3" customFormat="1" ht="29.1" customHeight="1" x14ac:dyDescent="0.25">
      <c r="A5926" s="2" t="s">
        <v>12539</v>
      </c>
      <c r="B5926" s="2" t="s">
        <v>12540</v>
      </c>
      <c r="C5926" s="2" t="s">
        <v>12459</v>
      </c>
      <c r="D5926" s="2" t="s">
        <v>44</v>
      </c>
      <c r="E5926" s="2" t="str">
        <f>"9781837681075"</f>
        <v>9781837681075</v>
      </c>
      <c r="F5926" s="2" t="str">
        <f>"9781837681099"</f>
        <v>9781837681099</v>
      </c>
    </row>
    <row r="5927" spans="1:6" s="3" customFormat="1" ht="29.1" customHeight="1" x14ac:dyDescent="0.25">
      <c r="A5927" s="2" t="s">
        <v>12541</v>
      </c>
      <c r="B5927" s="2" t="s">
        <v>12542</v>
      </c>
      <c r="C5927" s="2" t="s">
        <v>12459</v>
      </c>
      <c r="D5927" s="2" t="s">
        <v>12465</v>
      </c>
      <c r="E5927" s="2" t="str">
        <f>"9781837681372"</f>
        <v>9781837681372</v>
      </c>
      <c r="F5927" s="2" t="str">
        <f>"9781837681396"</f>
        <v>9781837681396</v>
      </c>
    </row>
    <row r="5928" spans="1:6" s="3" customFormat="1" ht="29.1" customHeight="1" x14ac:dyDescent="0.25">
      <c r="A5928" s="2" t="s">
        <v>12543</v>
      </c>
      <c r="B5928" s="2" t="s">
        <v>12545</v>
      </c>
      <c r="C5928" s="2" t="s">
        <v>12459</v>
      </c>
      <c r="D5928" s="2" t="s">
        <v>12544</v>
      </c>
      <c r="E5928" s="2" t="str">
        <f>"9781837686407"</f>
        <v>9781837686407</v>
      </c>
      <c r="F5928" s="2" t="str">
        <f>"9781837686421"</f>
        <v>9781837686421</v>
      </c>
    </row>
    <row r="5929" spans="1:6" s="3" customFormat="1" ht="29.1" customHeight="1" x14ac:dyDescent="0.25">
      <c r="A5929" s="2" t="s">
        <v>12546</v>
      </c>
      <c r="B5929" s="2" t="s">
        <v>12547</v>
      </c>
      <c r="C5929" s="2" t="s">
        <v>12459</v>
      </c>
      <c r="D5929" s="2" t="s">
        <v>75</v>
      </c>
      <c r="E5929" s="2" t="str">
        <f>"9781839696114"</f>
        <v>9781839696114</v>
      </c>
      <c r="F5929" s="2" t="str">
        <f>"9781839696138"</f>
        <v>9781839696138</v>
      </c>
    </row>
    <row r="5930" spans="1:6" s="3" customFormat="1" ht="29.1" customHeight="1" x14ac:dyDescent="0.25">
      <c r="A5930" s="2" t="s">
        <v>12548</v>
      </c>
      <c r="B5930" s="2" t="s">
        <v>12549</v>
      </c>
      <c r="C5930" s="2" t="s">
        <v>12459</v>
      </c>
      <c r="D5930" s="2" t="s">
        <v>5199</v>
      </c>
      <c r="E5930" s="2" t="str">
        <f>"9781803556574"</f>
        <v>9781803556574</v>
      </c>
      <c r="F5930" s="2" t="str">
        <f>"9781803556598"</f>
        <v>9781803556598</v>
      </c>
    </row>
    <row r="5931" spans="1:6" s="3" customFormat="1" ht="29.1" customHeight="1" x14ac:dyDescent="0.25">
      <c r="A5931" s="2" t="s">
        <v>12550</v>
      </c>
      <c r="B5931" s="2" t="s">
        <v>12552</v>
      </c>
      <c r="C5931" s="2" t="s">
        <v>12459</v>
      </c>
      <c r="D5931" s="2" t="s">
        <v>12551</v>
      </c>
      <c r="E5931" s="2" t="str">
        <f>"9781803563442"</f>
        <v>9781803563442</v>
      </c>
      <c r="F5931" s="2" t="str">
        <f>"9781803563466"</f>
        <v>9781803563466</v>
      </c>
    </row>
    <row r="5932" spans="1:6" s="3" customFormat="1" ht="29.1" customHeight="1" x14ac:dyDescent="0.25">
      <c r="A5932" s="2" t="s">
        <v>12553</v>
      </c>
      <c r="B5932" s="2" t="s">
        <v>12554</v>
      </c>
      <c r="C5932" s="2" t="s">
        <v>12459</v>
      </c>
      <c r="D5932" s="2" t="s">
        <v>12460</v>
      </c>
      <c r="E5932" s="2" t="str">
        <f>"9781803568454"</f>
        <v>9781803568454</v>
      </c>
      <c r="F5932" s="2" t="str">
        <f>"9781803568478"</f>
        <v>9781803568478</v>
      </c>
    </row>
    <row r="5933" spans="1:6" s="3" customFormat="1" ht="29.1" customHeight="1" x14ac:dyDescent="0.25">
      <c r="A5933" s="2" t="s">
        <v>12555</v>
      </c>
      <c r="B5933" s="2" t="s">
        <v>12556</v>
      </c>
      <c r="C5933" s="2" t="s">
        <v>12459</v>
      </c>
      <c r="D5933" s="2" t="s">
        <v>468</v>
      </c>
      <c r="E5933" s="2" t="str">
        <f>"9781803566474"</f>
        <v>9781803566474</v>
      </c>
      <c r="F5933" s="2" t="str">
        <f>"9781803566498"</f>
        <v>9781803566498</v>
      </c>
    </row>
    <row r="5934" spans="1:6" s="3" customFormat="1" ht="29.1" customHeight="1" x14ac:dyDescent="0.25">
      <c r="A5934" s="2" t="s">
        <v>12557</v>
      </c>
      <c r="B5934" s="2" t="s">
        <v>12558</v>
      </c>
      <c r="C5934" s="2" t="s">
        <v>12459</v>
      </c>
      <c r="D5934" s="2" t="s">
        <v>12544</v>
      </c>
      <c r="E5934" s="2" t="str">
        <f>"9781803566689"</f>
        <v>9781803566689</v>
      </c>
      <c r="F5934" s="2" t="str">
        <f>"9781803566702"</f>
        <v>9781803566702</v>
      </c>
    </row>
    <row r="5935" spans="1:6" s="3" customFormat="1" ht="29.1" customHeight="1" x14ac:dyDescent="0.25">
      <c r="A5935" s="2" t="s">
        <v>12559</v>
      </c>
      <c r="B5935" s="2" t="s">
        <v>12560</v>
      </c>
      <c r="C5935" s="2" t="s">
        <v>12459</v>
      </c>
      <c r="D5935" s="2" t="s">
        <v>6511</v>
      </c>
      <c r="E5935" s="2" t="str">
        <f>"9781803554020"</f>
        <v>9781803554020</v>
      </c>
      <c r="F5935" s="2" t="str">
        <f>"9781803554044"</f>
        <v>9781803554044</v>
      </c>
    </row>
    <row r="5936" spans="1:6" s="3" customFormat="1" ht="29.1" customHeight="1" x14ac:dyDescent="0.25">
      <c r="A5936" s="2" t="s">
        <v>12561</v>
      </c>
      <c r="B5936" s="2" t="s">
        <v>12562</v>
      </c>
      <c r="C5936" s="2" t="s">
        <v>12459</v>
      </c>
      <c r="D5936" s="2" t="s">
        <v>232</v>
      </c>
      <c r="E5936" s="2" t="str">
        <f>"9781838802882"</f>
        <v>9781838802882</v>
      </c>
      <c r="F5936" s="2" t="str">
        <f>"9781838804633"</f>
        <v>9781838804633</v>
      </c>
    </row>
    <row r="5937" spans="1:6" s="3" customFormat="1" ht="29.1" customHeight="1" x14ac:dyDescent="0.25">
      <c r="A5937" s="2" t="s">
        <v>12563</v>
      </c>
      <c r="B5937" s="2" t="s">
        <v>12564</v>
      </c>
      <c r="C5937" s="2" t="s">
        <v>12459</v>
      </c>
      <c r="D5937" s="2" t="s">
        <v>3489</v>
      </c>
      <c r="E5937" s="2" t="str">
        <f>"9781803560830"</f>
        <v>9781803560830</v>
      </c>
      <c r="F5937" s="2" t="str">
        <f>"9781803560854"</f>
        <v>9781803560854</v>
      </c>
    </row>
    <row r="5938" spans="1:6" s="3" customFormat="1" ht="29.1" customHeight="1" x14ac:dyDescent="0.25">
      <c r="A5938" s="2" t="s">
        <v>12565</v>
      </c>
      <c r="B5938" s="2" t="s">
        <v>12567</v>
      </c>
      <c r="C5938" s="2" t="s">
        <v>12459</v>
      </c>
      <c r="D5938" s="2" t="s">
        <v>12566</v>
      </c>
      <c r="E5938" s="2" t="str">
        <f>"9781803565484"</f>
        <v>9781803565484</v>
      </c>
      <c r="F5938" s="2" t="str">
        <f>"9781803565507"</f>
        <v>9781803565507</v>
      </c>
    </row>
    <row r="5939" spans="1:6" s="3" customFormat="1" ht="29.1" customHeight="1" x14ac:dyDescent="0.25">
      <c r="A5939" s="2" t="s">
        <v>12568</v>
      </c>
      <c r="B5939" s="2" t="s">
        <v>12570</v>
      </c>
      <c r="C5939" s="2" t="s">
        <v>12459</v>
      </c>
      <c r="D5939" s="2" t="s">
        <v>12569</v>
      </c>
      <c r="E5939" s="2" t="str">
        <f>"9781803555768"</f>
        <v>9781803555768</v>
      </c>
      <c r="F5939" s="2" t="str">
        <f>"9781803555782"</f>
        <v>9781803555782</v>
      </c>
    </row>
    <row r="5940" spans="1:6" s="3" customFormat="1" ht="29.1" customHeight="1" x14ac:dyDescent="0.25">
      <c r="A5940" s="2" t="s">
        <v>12571</v>
      </c>
      <c r="B5940" s="2" t="s">
        <v>12572</v>
      </c>
      <c r="C5940" s="2" t="s">
        <v>12459</v>
      </c>
      <c r="D5940" s="2" t="s">
        <v>5060</v>
      </c>
      <c r="E5940" s="2" t="str">
        <f>"9781803566238"</f>
        <v>9781803566238</v>
      </c>
      <c r="F5940" s="2" t="str">
        <f>"9781803566252"</f>
        <v>9781803566252</v>
      </c>
    </row>
    <row r="5941" spans="1:6" s="3" customFormat="1" ht="29.1" customHeight="1" x14ac:dyDescent="0.25">
      <c r="A5941" s="2" t="s">
        <v>12573</v>
      </c>
      <c r="B5941" s="2" t="s">
        <v>12575</v>
      </c>
      <c r="C5941" s="2" t="s">
        <v>12459</v>
      </c>
      <c r="D5941" s="2" t="s">
        <v>12574</v>
      </c>
      <c r="E5941" s="2" t="str">
        <f>"9781803562810"</f>
        <v>9781803562810</v>
      </c>
      <c r="F5941" s="2" t="str">
        <f>"9781803562834"</f>
        <v>9781803562834</v>
      </c>
    </row>
    <row r="5942" spans="1:6" s="3" customFormat="1" ht="29.1" customHeight="1" x14ac:dyDescent="0.25">
      <c r="A5942" s="2" t="s">
        <v>12576</v>
      </c>
      <c r="B5942" s="2" t="s">
        <v>12578</v>
      </c>
      <c r="C5942" s="2" t="s">
        <v>12459</v>
      </c>
      <c r="D5942" s="2" t="s">
        <v>12577</v>
      </c>
      <c r="E5942" s="2" t="str">
        <f>"9781839626418"</f>
        <v>9781839626418</v>
      </c>
      <c r="F5942" s="2" t="str">
        <f>"9781839626883"</f>
        <v>9781839626883</v>
      </c>
    </row>
    <row r="5943" spans="1:6" s="3" customFormat="1" ht="29.1" customHeight="1" x14ac:dyDescent="0.25">
      <c r="A5943" s="2" t="s">
        <v>12579</v>
      </c>
      <c r="B5943" s="2" t="s">
        <v>12580</v>
      </c>
      <c r="C5943" s="2" t="s">
        <v>12459</v>
      </c>
      <c r="D5943" s="2" t="s">
        <v>8149</v>
      </c>
      <c r="E5943" s="2" t="str">
        <f>"9781803562513"</f>
        <v>9781803562513</v>
      </c>
      <c r="F5943" s="2" t="str">
        <f>"9781803562537"</f>
        <v>9781803562537</v>
      </c>
    </row>
    <row r="5944" spans="1:6" s="3" customFormat="1" ht="29.1" customHeight="1" x14ac:dyDescent="0.25">
      <c r="A5944" s="2" t="s">
        <v>12581</v>
      </c>
      <c r="B5944" s="2" t="s">
        <v>12582</v>
      </c>
      <c r="C5944" s="2" t="s">
        <v>12459</v>
      </c>
      <c r="D5944" s="2" t="s">
        <v>12</v>
      </c>
      <c r="E5944" s="2" t="str">
        <f>"9781803555584"</f>
        <v>9781803555584</v>
      </c>
      <c r="F5944" s="2" t="str">
        <f>"9781803555607"</f>
        <v>9781803555607</v>
      </c>
    </row>
    <row r="5945" spans="1:6" s="3" customFormat="1" ht="29.1" customHeight="1" x14ac:dyDescent="0.25">
      <c r="A5945" s="2" t="s">
        <v>12583</v>
      </c>
      <c r="B5945" s="2" t="s">
        <v>12585</v>
      </c>
      <c r="C5945" s="2" t="s">
        <v>12459</v>
      </c>
      <c r="D5945" s="2" t="s">
        <v>12584</v>
      </c>
      <c r="E5945" s="2" t="str">
        <f>"9781803564791"</f>
        <v>9781803564791</v>
      </c>
      <c r="F5945" s="2" t="str">
        <f>"9781803564814"</f>
        <v>9781803564814</v>
      </c>
    </row>
    <row r="5946" spans="1:6" s="3" customFormat="1" ht="29.1" customHeight="1" x14ac:dyDescent="0.25">
      <c r="A5946" s="2" t="s">
        <v>12586</v>
      </c>
      <c r="B5946" s="2" t="s">
        <v>12587</v>
      </c>
      <c r="C5946" s="2" t="s">
        <v>12459</v>
      </c>
      <c r="D5946" s="2" t="s">
        <v>12</v>
      </c>
      <c r="E5946" s="2" t="str">
        <f>"9781803567648"</f>
        <v>9781803567648</v>
      </c>
      <c r="F5946" s="2" t="str">
        <f>"9781803567662"</f>
        <v>9781803567662</v>
      </c>
    </row>
    <row r="5947" spans="1:6" s="3" customFormat="1" ht="29.1" customHeight="1" x14ac:dyDescent="0.25">
      <c r="A5947" s="2" t="s">
        <v>12588</v>
      </c>
      <c r="B5947" s="2" t="s">
        <v>12590</v>
      </c>
      <c r="C5947" s="2" t="s">
        <v>12459</v>
      </c>
      <c r="D5947" s="2" t="s">
        <v>12589</v>
      </c>
      <c r="E5947" s="2" t="str">
        <f>"9781803564043"</f>
        <v>9781803564043</v>
      </c>
      <c r="F5947" s="2" t="str">
        <f>"9781803564067"</f>
        <v>9781803564067</v>
      </c>
    </row>
    <row r="5948" spans="1:6" s="3" customFormat="1" ht="29.1" customHeight="1" x14ac:dyDescent="0.25">
      <c r="A5948" s="2" t="s">
        <v>12591</v>
      </c>
      <c r="B5948" s="2" t="s">
        <v>12592</v>
      </c>
      <c r="C5948" s="2" t="s">
        <v>12459</v>
      </c>
      <c r="D5948" s="2" t="s">
        <v>2587</v>
      </c>
      <c r="E5948" s="2" t="str">
        <f>"9781803564074"</f>
        <v>9781803564074</v>
      </c>
      <c r="F5948" s="2" t="str">
        <f>"9781803564098"</f>
        <v>9781803564098</v>
      </c>
    </row>
    <row r="5949" spans="1:6" s="3" customFormat="1" ht="29.1" customHeight="1" x14ac:dyDescent="0.25">
      <c r="A5949" s="2" t="s">
        <v>12593</v>
      </c>
      <c r="B5949" s="2" t="s">
        <v>12595</v>
      </c>
      <c r="C5949" s="2" t="s">
        <v>12459</v>
      </c>
      <c r="D5949" s="2" t="s">
        <v>12594</v>
      </c>
      <c r="E5949" s="2" t="str">
        <f>"9781803561103"</f>
        <v>9781803561103</v>
      </c>
      <c r="F5949" s="2" t="str">
        <f>"9781803561127"</f>
        <v>9781803561127</v>
      </c>
    </row>
    <row r="5950" spans="1:6" s="3" customFormat="1" ht="29.1" customHeight="1" x14ac:dyDescent="0.25">
      <c r="A5950" s="2" t="s">
        <v>12596</v>
      </c>
      <c r="B5950" s="2" t="s">
        <v>12597</v>
      </c>
      <c r="C5950" s="2" t="s">
        <v>12459</v>
      </c>
      <c r="D5950" s="2" t="s">
        <v>2433</v>
      </c>
      <c r="E5950" s="2" t="str">
        <f>"9781803567945"</f>
        <v>9781803567945</v>
      </c>
      <c r="F5950" s="2" t="str">
        <f>"9781803567969"</f>
        <v>9781803567969</v>
      </c>
    </row>
    <row r="5951" spans="1:6" s="3" customFormat="1" ht="29.1" customHeight="1" x14ac:dyDescent="0.25">
      <c r="A5951" s="2" t="s">
        <v>12598</v>
      </c>
      <c r="B5951" s="2" t="s">
        <v>12599</v>
      </c>
      <c r="C5951" s="2" t="s">
        <v>12459</v>
      </c>
      <c r="D5951" s="2" t="s">
        <v>5199</v>
      </c>
      <c r="E5951" s="2" t="str">
        <f>"9781803564678"</f>
        <v>9781803564678</v>
      </c>
      <c r="F5951" s="2" t="str">
        <f>"9781803564692"</f>
        <v>9781803564692</v>
      </c>
    </row>
    <row r="5952" spans="1:6" s="3" customFormat="1" ht="29.1" customHeight="1" x14ac:dyDescent="0.25">
      <c r="A5952" s="2" t="s">
        <v>12600</v>
      </c>
      <c r="B5952" s="2" t="s">
        <v>12601</v>
      </c>
      <c r="C5952" s="2" t="s">
        <v>12459</v>
      </c>
      <c r="D5952" s="2" t="s">
        <v>159</v>
      </c>
      <c r="E5952" s="2" t="str">
        <f>"9781803555911"</f>
        <v>9781803555911</v>
      </c>
      <c r="F5952" s="2" t="str">
        <f>"9781803555935"</f>
        <v>9781803555935</v>
      </c>
    </row>
    <row r="5953" spans="1:6" s="3" customFormat="1" ht="29.1" customHeight="1" x14ac:dyDescent="0.25">
      <c r="A5953" s="2" t="s">
        <v>12602</v>
      </c>
      <c r="B5953" s="2" t="s">
        <v>12603</v>
      </c>
      <c r="C5953" s="2" t="s">
        <v>12459</v>
      </c>
      <c r="D5953" s="2" t="s">
        <v>30</v>
      </c>
      <c r="E5953" s="2" t="str">
        <f>"9781803553061"</f>
        <v>9781803553061</v>
      </c>
      <c r="F5953" s="2" t="str">
        <f>"9781803553085"</f>
        <v>9781803553085</v>
      </c>
    </row>
    <row r="5954" spans="1:6" s="3" customFormat="1" ht="29.1" customHeight="1" x14ac:dyDescent="0.25">
      <c r="A5954" s="2" t="s">
        <v>12604</v>
      </c>
      <c r="B5954" s="2" t="s">
        <v>12606</v>
      </c>
      <c r="C5954" s="2" t="s">
        <v>12459</v>
      </c>
      <c r="D5954" s="2" t="s">
        <v>12605</v>
      </c>
      <c r="E5954" s="2" t="str">
        <f>"9781803557113"</f>
        <v>9781803557113</v>
      </c>
      <c r="F5954" s="2" t="str">
        <f>"9781803557137"</f>
        <v>9781803557137</v>
      </c>
    </row>
    <row r="5955" spans="1:6" s="3" customFormat="1" ht="29.1" customHeight="1" x14ac:dyDescent="0.25">
      <c r="A5955" s="2" t="s">
        <v>12607</v>
      </c>
      <c r="B5955" s="2" t="s">
        <v>12609</v>
      </c>
      <c r="C5955" s="2" t="s">
        <v>12459</v>
      </c>
      <c r="D5955" s="2" t="s">
        <v>12608</v>
      </c>
      <c r="E5955" s="2" t="str">
        <f>"9781803553276"</f>
        <v>9781803553276</v>
      </c>
      <c r="F5955" s="2" t="str">
        <f>"9781803553290"</f>
        <v>9781803553290</v>
      </c>
    </row>
    <row r="5956" spans="1:6" s="3" customFormat="1" ht="29.1" customHeight="1" x14ac:dyDescent="0.25">
      <c r="A5956" s="2" t="s">
        <v>12610</v>
      </c>
      <c r="B5956" s="2" t="s">
        <v>12612</v>
      </c>
      <c r="C5956" s="2" t="s">
        <v>12459</v>
      </c>
      <c r="D5956" s="2" t="s">
        <v>12611</v>
      </c>
      <c r="E5956" s="2" t="str">
        <f>"9781803560380"</f>
        <v>9781803560380</v>
      </c>
      <c r="F5956" s="2" t="str">
        <f>"9781803560403"</f>
        <v>9781803560403</v>
      </c>
    </row>
    <row r="5957" spans="1:6" s="3" customFormat="1" ht="29.1" customHeight="1" x14ac:dyDescent="0.25">
      <c r="A5957" s="2" t="s">
        <v>12613</v>
      </c>
      <c r="B5957" s="2" t="s">
        <v>12614</v>
      </c>
      <c r="C5957" s="2" t="s">
        <v>12459</v>
      </c>
      <c r="D5957" s="2" t="s">
        <v>3661</v>
      </c>
      <c r="E5957" s="2" t="str">
        <f>"9781803557083"</f>
        <v>9781803557083</v>
      </c>
      <c r="F5957" s="2" t="str">
        <f>"9781803557106"</f>
        <v>9781803557106</v>
      </c>
    </row>
    <row r="5958" spans="1:6" s="3" customFormat="1" ht="29.1" customHeight="1" x14ac:dyDescent="0.25">
      <c r="A5958" s="2" t="s">
        <v>12615</v>
      </c>
      <c r="B5958" s="2" t="s">
        <v>12616</v>
      </c>
      <c r="C5958" s="2" t="s">
        <v>12459</v>
      </c>
      <c r="D5958" s="2" t="s">
        <v>1666</v>
      </c>
      <c r="E5958" s="2" t="str">
        <f>"9781803559124"</f>
        <v>9781803559124</v>
      </c>
      <c r="F5958" s="2" t="str">
        <f>"9781803559148"</f>
        <v>9781803559148</v>
      </c>
    </row>
    <row r="5959" spans="1:6" s="3" customFormat="1" ht="29.1" customHeight="1" x14ac:dyDescent="0.25">
      <c r="A5959" s="2" t="s">
        <v>12617</v>
      </c>
      <c r="B5959" s="2" t="s">
        <v>12618</v>
      </c>
      <c r="C5959" s="2" t="s">
        <v>12459</v>
      </c>
      <c r="D5959" s="2" t="s">
        <v>104</v>
      </c>
      <c r="E5959" s="2" t="str">
        <f>"9781803557625"</f>
        <v>9781803557625</v>
      </c>
      <c r="F5959" s="2" t="str">
        <f>"9781803557649"</f>
        <v>9781803557649</v>
      </c>
    </row>
    <row r="5960" spans="1:6" s="3" customFormat="1" ht="29.1" customHeight="1" x14ac:dyDescent="0.25">
      <c r="A5960" s="2" t="s">
        <v>12619</v>
      </c>
      <c r="B5960" s="2" t="s">
        <v>12620</v>
      </c>
      <c r="C5960" s="2" t="s">
        <v>12459</v>
      </c>
      <c r="D5960" s="2" t="s">
        <v>44</v>
      </c>
      <c r="E5960" s="2" t="str">
        <f>"9781803551562"</f>
        <v>9781803551562</v>
      </c>
      <c r="F5960" s="2" t="str">
        <f>"9781803551586"</f>
        <v>9781803551586</v>
      </c>
    </row>
    <row r="5961" spans="1:6" s="3" customFormat="1" ht="29.1" customHeight="1" x14ac:dyDescent="0.25">
      <c r="A5961" s="2" t="s">
        <v>12621</v>
      </c>
      <c r="B5961" s="2" t="s">
        <v>12623</v>
      </c>
      <c r="C5961" s="2" t="s">
        <v>12459</v>
      </c>
      <c r="D5961" s="2" t="s">
        <v>12622</v>
      </c>
      <c r="E5961" s="2" t="str">
        <f>"9781803557410"</f>
        <v>9781803557410</v>
      </c>
      <c r="F5961" s="2" t="str">
        <f>"9781803557434"</f>
        <v>9781803557434</v>
      </c>
    </row>
    <row r="5962" spans="1:6" s="3" customFormat="1" ht="29.1" customHeight="1" x14ac:dyDescent="0.25">
      <c r="A5962" s="2" t="s">
        <v>12624</v>
      </c>
      <c r="B5962" s="2" t="s">
        <v>12626</v>
      </c>
      <c r="C5962" s="2" t="s">
        <v>12459</v>
      </c>
      <c r="D5962" s="2" t="s">
        <v>12625</v>
      </c>
      <c r="E5962" s="2" t="str">
        <f>"9781803558257"</f>
        <v>9781803558257</v>
      </c>
      <c r="F5962" s="2" t="str">
        <f>"9781803558271"</f>
        <v>9781803558271</v>
      </c>
    </row>
    <row r="5963" spans="1:6" s="3" customFormat="1" ht="29.1" customHeight="1" x14ac:dyDescent="0.25">
      <c r="A5963" s="2" t="s">
        <v>12627</v>
      </c>
      <c r="B5963" s="2" t="s">
        <v>12628</v>
      </c>
      <c r="C5963" s="2" t="s">
        <v>12459</v>
      </c>
      <c r="D5963" s="2" t="s">
        <v>477</v>
      </c>
      <c r="E5963" s="2" t="str">
        <f>"9781803556840"</f>
        <v>9781803556840</v>
      </c>
      <c r="F5963" s="2" t="str">
        <f>"9781803556864"</f>
        <v>9781803556864</v>
      </c>
    </row>
    <row r="5964" spans="1:6" s="3" customFormat="1" ht="29.1" customHeight="1" x14ac:dyDescent="0.25">
      <c r="A5964" s="2" t="s">
        <v>12629</v>
      </c>
      <c r="B5964" s="2" t="s">
        <v>12630</v>
      </c>
      <c r="C5964" s="2" t="s">
        <v>12459</v>
      </c>
      <c r="D5964" s="2" t="s">
        <v>863</v>
      </c>
      <c r="E5964" s="2" t="str">
        <f>"9781803556093"</f>
        <v>9781803556093</v>
      </c>
      <c r="F5964" s="2" t="str">
        <f>"9781803556116"</f>
        <v>9781803556116</v>
      </c>
    </row>
    <row r="5965" spans="1:6" s="3" customFormat="1" ht="29.1" customHeight="1" x14ac:dyDescent="0.25">
      <c r="A5965" s="2" t="s">
        <v>12631</v>
      </c>
      <c r="B5965" s="2" t="s">
        <v>12632</v>
      </c>
      <c r="C5965" s="2" t="s">
        <v>12459</v>
      </c>
      <c r="D5965" s="2" t="s">
        <v>12</v>
      </c>
      <c r="E5965" s="2" t="str">
        <f>"9781803560236"</f>
        <v>9781803560236</v>
      </c>
      <c r="F5965" s="2" t="str">
        <f>"9781803560250"</f>
        <v>9781803560250</v>
      </c>
    </row>
    <row r="5966" spans="1:6" s="3" customFormat="1" ht="29.1" customHeight="1" x14ac:dyDescent="0.25">
      <c r="A5966" s="2" t="s">
        <v>12633</v>
      </c>
      <c r="B5966" s="2" t="s">
        <v>12634</v>
      </c>
      <c r="C5966" s="2" t="s">
        <v>12459</v>
      </c>
      <c r="D5966" s="2" t="s">
        <v>12504</v>
      </c>
      <c r="E5966" s="2" t="str">
        <f>"9781803555676"</f>
        <v>9781803555676</v>
      </c>
      <c r="F5966" s="2" t="str">
        <f>"9781803555690"</f>
        <v>9781803555690</v>
      </c>
    </row>
    <row r="5967" spans="1:6" s="3" customFormat="1" ht="29.1" customHeight="1" x14ac:dyDescent="0.25">
      <c r="A5967" s="2" t="s">
        <v>12635</v>
      </c>
      <c r="B5967" s="2" t="s">
        <v>12637</v>
      </c>
      <c r="C5967" s="2" t="s">
        <v>12459</v>
      </c>
      <c r="D5967" s="2" t="s">
        <v>12636</v>
      </c>
      <c r="E5967" s="2" t="str">
        <f>"9781803555829"</f>
        <v>9781803555829</v>
      </c>
      <c r="F5967" s="2" t="str">
        <f>"9781803555843"</f>
        <v>9781803555843</v>
      </c>
    </row>
    <row r="5968" spans="1:6" s="3" customFormat="1" ht="29.1" customHeight="1" x14ac:dyDescent="0.25">
      <c r="A5968" s="2" t="s">
        <v>12638</v>
      </c>
      <c r="B5968" s="2" t="s">
        <v>12639</v>
      </c>
      <c r="C5968" s="2" t="s">
        <v>12459</v>
      </c>
      <c r="D5968" s="2" t="s">
        <v>317</v>
      </c>
      <c r="E5968" s="2" t="str">
        <f>"9781803552132"</f>
        <v>9781803552132</v>
      </c>
      <c r="F5968" s="2" t="str">
        <f>"9781803552156"</f>
        <v>9781803552156</v>
      </c>
    </row>
    <row r="5969" spans="1:6" s="3" customFormat="1" ht="29.1" customHeight="1" x14ac:dyDescent="0.25">
      <c r="A5969" s="2" t="s">
        <v>12640</v>
      </c>
      <c r="B5969" s="2" t="s">
        <v>12642</v>
      </c>
      <c r="C5969" s="2" t="s">
        <v>12459</v>
      </c>
      <c r="D5969" s="2" t="s">
        <v>12641</v>
      </c>
      <c r="E5969" s="2" t="str">
        <f>"9781803554594"</f>
        <v>9781803554594</v>
      </c>
      <c r="F5969" s="2" t="str">
        <f>"9781803554617"</f>
        <v>9781803554617</v>
      </c>
    </row>
    <row r="5970" spans="1:6" s="3" customFormat="1" ht="29.1" customHeight="1" x14ac:dyDescent="0.25">
      <c r="A5970" s="2" t="s">
        <v>12643</v>
      </c>
      <c r="B5970" s="2" t="s">
        <v>12644</v>
      </c>
      <c r="C5970" s="2" t="s">
        <v>12459</v>
      </c>
      <c r="D5970" s="2" t="s">
        <v>1313</v>
      </c>
      <c r="E5970" s="2" t="str">
        <f>"9781803555010"</f>
        <v>9781803555010</v>
      </c>
      <c r="F5970" s="2" t="str">
        <f>"9781803555034"</f>
        <v>9781803555034</v>
      </c>
    </row>
    <row r="5971" spans="1:6" s="3" customFormat="1" ht="29.1" customHeight="1" x14ac:dyDescent="0.25">
      <c r="A5971" s="2" t="s">
        <v>12645</v>
      </c>
      <c r="B5971" s="2" t="s">
        <v>12646</v>
      </c>
      <c r="C5971" s="2" t="s">
        <v>12459</v>
      </c>
      <c r="D5971" s="2" t="s">
        <v>165</v>
      </c>
      <c r="E5971" s="2" t="str">
        <f>"9781803559001"</f>
        <v>9781803559001</v>
      </c>
      <c r="F5971" s="2" t="str">
        <f>"9781803559025"</f>
        <v>9781803559025</v>
      </c>
    </row>
    <row r="5972" spans="1:6" s="3" customFormat="1" ht="29.1" customHeight="1" x14ac:dyDescent="0.25">
      <c r="A5972" s="2" t="s">
        <v>12647</v>
      </c>
      <c r="B5972" s="2" t="s">
        <v>12648</v>
      </c>
      <c r="C5972" s="2" t="s">
        <v>12459</v>
      </c>
      <c r="D5972" s="2" t="s">
        <v>7635</v>
      </c>
      <c r="E5972" s="2" t="str">
        <f>"9781803556932"</f>
        <v>9781803556932</v>
      </c>
      <c r="F5972" s="2" t="str">
        <f>"9781803556956"</f>
        <v>9781803556956</v>
      </c>
    </row>
    <row r="5973" spans="1:6" s="3" customFormat="1" ht="29.1" customHeight="1" x14ac:dyDescent="0.25">
      <c r="A5973" s="2" t="s">
        <v>12649</v>
      </c>
      <c r="B5973" s="2" t="s">
        <v>12507</v>
      </c>
      <c r="C5973" s="2" t="s">
        <v>12459</v>
      </c>
      <c r="D5973" s="2" t="s">
        <v>12650</v>
      </c>
      <c r="E5973" s="2" t="str">
        <f>"9781803558318"</f>
        <v>9781803558318</v>
      </c>
      <c r="F5973" s="2" t="str">
        <f>"9781803558332"</f>
        <v>9781803558332</v>
      </c>
    </row>
    <row r="5974" spans="1:6" s="3" customFormat="1" ht="29.1" customHeight="1" x14ac:dyDescent="0.25">
      <c r="A5974" s="2" t="s">
        <v>12651</v>
      </c>
      <c r="B5974" s="2" t="s">
        <v>12652</v>
      </c>
      <c r="C5974" s="2" t="s">
        <v>12459</v>
      </c>
      <c r="D5974" s="2" t="s">
        <v>9</v>
      </c>
      <c r="E5974" s="2" t="str">
        <f>"9781803557298"</f>
        <v>9781803557298</v>
      </c>
      <c r="F5974" s="2" t="str">
        <f>"9781803557311"</f>
        <v>9781803557311</v>
      </c>
    </row>
    <row r="5975" spans="1:6" s="3" customFormat="1" ht="29.1" customHeight="1" x14ac:dyDescent="0.25">
      <c r="A5975" s="2" t="s">
        <v>12653</v>
      </c>
      <c r="B5975" s="2" t="s">
        <v>12654</v>
      </c>
      <c r="C5975" s="2" t="s">
        <v>12459</v>
      </c>
      <c r="D5975" s="2" t="s">
        <v>11719</v>
      </c>
      <c r="E5975" s="2" t="str">
        <f>"9781803555102"</f>
        <v>9781803555102</v>
      </c>
      <c r="F5975" s="2" t="str">
        <f>"9781803555126"</f>
        <v>9781803555126</v>
      </c>
    </row>
    <row r="5976" spans="1:6" s="3" customFormat="1" ht="29.1" customHeight="1" x14ac:dyDescent="0.25">
      <c r="A5976" s="2" t="s">
        <v>12655</v>
      </c>
      <c r="B5976" s="2" t="s">
        <v>12656</v>
      </c>
      <c r="C5976" s="2" t="s">
        <v>12459</v>
      </c>
      <c r="D5976" s="2" t="s">
        <v>1228</v>
      </c>
      <c r="E5976" s="2" t="str">
        <f>"9781803561349"</f>
        <v>9781803561349</v>
      </c>
      <c r="F5976" s="2" t="str">
        <f>"9781803561363"</f>
        <v>9781803561363</v>
      </c>
    </row>
    <row r="5977" spans="1:6" s="3" customFormat="1" ht="29.1" customHeight="1" x14ac:dyDescent="0.25">
      <c r="A5977" s="2" t="s">
        <v>12657</v>
      </c>
      <c r="B5977" s="2" t="s">
        <v>12616</v>
      </c>
      <c r="C5977" s="2" t="s">
        <v>12459</v>
      </c>
      <c r="D5977" s="2" t="s">
        <v>1666</v>
      </c>
      <c r="E5977" s="2" t="str">
        <f>"9781839698248"</f>
        <v>9781839698248</v>
      </c>
      <c r="F5977" s="2" t="str">
        <f>"9781839698262"</f>
        <v>9781839698262</v>
      </c>
    </row>
    <row r="5978" spans="1:6" s="3" customFormat="1" ht="29.1" customHeight="1" x14ac:dyDescent="0.25">
      <c r="A5978" s="2" t="s">
        <v>12658</v>
      </c>
      <c r="B5978" s="2" t="s">
        <v>12660</v>
      </c>
      <c r="C5978" s="2" t="s">
        <v>12459</v>
      </c>
      <c r="D5978" s="2" t="s">
        <v>12659</v>
      </c>
      <c r="E5978" s="2" t="str">
        <f>"9781839695209"</f>
        <v>9781839695209</v>
      </c>
      <c r="F5978" s="2" t="str">
        <f>"9781839695223"</f>
        <v>9781839695223</v>
      </c>
    </row>
    <row r="5979" spans="1:6" s="3" customFormat="1" ht="29.1" customHeight="1" x14ac:dyDescent="0.25">
      <c r="A5979" s="2" t="s">
        <v>12661</v>
      </c>
      <c r="B5979" s="2" t="s">
        <v>12662</v>
      </c>
      <c r="C5979" s="2" t="s">
        <v>12459</v>
      </c>
      <c r="D5979" s="2" t="s">
        <v>2624</v>
      </c>
      <c r="E5979" s="2" t="str">
        <f>"9781839699511"</f>
        <v>9781839699511</v>
      </c>
      <c r="F5979" s="2" t="str">
        <f>"9781839699535"</f>
        <v>9781839699535</v>
      </c>
    </row>
    <row r="5980" spans="1:6" s="3" customFormat="1" ht="29.1" customHeight="1" x14ac:dyDescent="0.25">
      <c r="A5980" s="2" t="s">
        <v>12663</v>
      </c>
      <c r="B5980" s="2" t="s">
        <v>12664</v>
      </c>
      <c r="C5980" s="2" t="s">
        <v>12459</v>
      </c>
      <c r="D5980" s="2" t="s">
        <v>4229</v>
      </c>
      <c r="E5980" s="2" t="str">
        <f>"9781839626326"</f>
        <v>9781839626326</v>
      </c>
      <c r="F5980" s="2" t="str">
        <f>"9781839626340"</f>
        <v>9781839626340</v>
      </c>
    </row>
    <row r="5981" spans="1:6" s="3" customFormat="1" ht="29.1" customHeight="1" x14ac:dyDescent="0.25">
      <c r="A5981" s="2" t="s">
        <v>12665</v>
      </c>
      <c r="B5981" s="2" t="s">
        <v>12666</v>
      </c>
      <c r="C5981" s="2" t="s">
        <v>12459</v>
      </c>
      <c r="D5981" s="2" t="s">
        <v>12513</v>
      </c>
      <c r="E5981" s="2" t="str">
        <f>"9781803554235"</f>
        <v>9781803554235</v>
      </c>
      <c r="F5981" s="2" t="str">
        <f>"9781803554259"</f>
        <v>9781803554259</v>
      </c>
    </row>
    <row r="5982" spans="1:6" s="3" customFormat="1" ht="29.1" customHeight="1" x14ac:dyDescent="0.25">
      <c r="A5982" s="2" t="s">
        <v>12667</v>
      </c>
      <c r="B5982" s="2" t="s">
        <v>12669</v>
      </c>
      <c r="C5982" s="2" t="s">
        <v>12459</v>
      </c>
      <c r="D5982" s="2" t="s">
        <v>12668</v>
      </c>
      <c r="E5982" s="2" t="str">
        <f>"9781803551654"</f>
        <v>9781803551654</v>
      </c>
      <c r="F5982" s="2" t="str">
        <f>"9781803551678"</f>
        <v>9781803551678</v>
      </c>
    </row>
    <row r="5983" spans="1:6" s="3" customFormat="1" ht="29.1" customHeight="1" x14ac:dyDescent="0.25">
      <c r="A5983" s="2" t="s">
        <v>12670</v>
      </c>
      <c r="B5983" s="2" t="s">
        <v>12671</v>
      </c>
      <c r="C5983" s="2" t="s">
        <v>12459</v>
      </c>
      <c r="D5983" s="2" t="s">
        <v>1924</v>
      </c>
      <c r="E5983" s="2" t="str">
        <f>"9781839693250"</f>
        <v>9781839693250</v>
      </c>
      <c r="F5983" s="2" t="str">
        <f>"9781839693274"</f>
        <v>9781839693274</v>
      </c>
    </row>
    <row r="5984" spans="1:6" s="3" customFormat="1" ht="29.1" customHeight="1" x14ac:dyDescent="0.25">
      <c r="A5984" s="2" t="s">
        <v>12672</v>
      </c>
      <c r="B5984" s="2" t="s">
        <v>12674</v>
      </c>
      <c r="C5984" s="2" t="s">
        <v>12459</v>
      </c>
      <c r="D5984" s="2" t="s">
        <v>12673</v>
      </c>
      <c r="E5984" s="2" t="str">
        <f>"9781839698637"</f>
        <v>9781839698637</v>
      </c>
      <c r="F5984" s="2" t="str">
        <f>"9781839698651"</f>
        <v>9781839698651</v>
      </c>
    </row>
    <row r="5985" spans="1:6" s="3" customFormat="1" ht="29.1" customHeight="1" x14ac:dyDescent="0.25">
      <c r="A5985" s="2" t="s">
        <v>12675</v>
      </c>
      <c r="B5985" s="2" t="s">
        <v>12676</v>
      </c>
      <c r="C5985" s="2" t="s">
        <v>12459</v>
      </c>
      <c r="D5985" s="2" t="s">
        <v>373</v>
      </c>
      <c r="E5985" s="2" t="str">
        <f>"9781839695292"</f>
        <v>9781839695292</v>
      </c>
      <c r="F5985" s="2" t="str">
        <f>"9781839695315"</f>
        <v>9781839695315</v>
      </c>
    </row>
    <row r="5986" spans="1:6" s="3" customFormat="1" ht="29.1" customHeight="1" x14ac:dyDescent="0.25">
      <c r="A5986" s="2" t="s">
        <v>12677</v>
      </c>
      <c r="B5986" s="2" t="s">
        <v>12678</v>
      </c>
      <c r="C5986" s="2" t="s">
        <v>12459</v>
      </c>
      <c r="D5986" s="2" t="s">
        <v>9</v>
      </c>
      <c r="E5986" s="2" t="str">
        <f>"9781803550879"</f>
        <v>9781803550879</v>
      </c>
      <c r="F5986" s="2" t="str">
        <f>"9781803550893"</f>
        <v>9781803550893</v>
      </c>
    </row>
    <row r="5987" spans="1:6" s="3" customFormat="1" ht="29.1" customHeight="1" x14ac:dyDescent="0.25">
      <c r="A5987" s="2" t="s">
        <v>12679</v>
      </c>
      <c r="B5987" s="2" t="s">
        <v>12681</v>
      </c>
      <c r="C5987" s="2" t="s">
        <v>12459</v>
      </c>
      <c r="D5987" s="2" t="s">
        <v>12680</v>
      </c>
      <c r="E5987" s="2" t="str">
        <f>"9781803560779"</f>
        <v>9781803560779</v>
      </c>
      <c r="F5987" s="2" t="str">
        <f>"9781803560793"</f>
        <v>9781803560793</v>
      </c>
    </row>
    <row r="5988" spans="1:6" s="3" customFormat="1" ht="29.1" customHeight="1" x14ac:dyDescent="0.25">
      <c r="A5988" s="2" t="s">
        <v>12682</v>
      </c>
      <c r="B5988" s="2" t="s">
        <v>12532</v>
      </c>
      <c r="C5988" s="2" t="s">
        <v>12459</v>
      </c>
      <c r="D5988" s="2" t="s">
        <v>3661</v>
      </c>
      <c r="E5988" s="2" t="str">
        <f>"9781839694905"</f>
        <v>9781839694905</v>
      </c>
      <c r="F5988" s="2" t="str">
        <f>"9781839694929"</f>
        <v>9781839694929</v>
      </c>
    </row>
    <row r="5989" spans="1:6" s="3" customFormat="1" ht="29.1" customHeight="1" x14ac:dyDescent="0.25">
      <c r="A5989" s="2" t="s">
        <v>12683</v>
      </c>
      <c r="B5989" s="2" t="s">
        <v>12684</v>
      </c>
      <c r="C5989" s="2" t="s">
        <v>12459</v>
      </c>
      <c r="D5989" s="2" t="s">
        <v>12</v>
      </c>
      <c r="E5989" s="2" t="str">
        <f>"9781839625466"</f>
        <v>9781839625466</v>
      </c>
      <c r="F5989" s="2" t="str">
        <f>"9781839625480"</f>
        <v>9781839625480</v>
      </c>
    </row>
    <row r="5990" spans="1:6" s="3" customFormat="1" ht="29.1" customHeight="1" x14ac:dyDescent="0.25">
      <c r="A5990" s="2" t="s">
        <v>12685</v>
      </c>
      <c r="B5990" s="2" t="s">
        <v>12686</v>
      </c>
      <c r="C5990" s="2" t="s">
        <v>12459</v>
      </c>
      <c r="D5990" s="2" t="s">
        <v>468</v>
      </c>
      <c r="E5990" s="2" t="str">
        <f>"9781803553634"</f>
        <v>9781803553634</v>
      </c>
      <c r="F5990" s="2" t="str">
        <f>"9781803553658"</f>
        <v>9781803553658</v>
      </c>
    </row>
    <row r="5991" spans="1:6" s="3" customFormat="1" ht="29.1" customHeight="1" x14ac:dyDescent="0.25">
      <c r="A5991" s="2" t="s">
        <v>12687</v>
      </c>
      <c r="B5991" s="2" t="s">
        <v>12688</v>
      </c>
      <c r="C5991" s="2" t="s">
        <v>12459</v>
      </c>
      <c r="D5991" s="2" t="s">
        <v>1272</v>
      </c>
      <c r="E5991" s="2" t="str">
        <f>"9781803554266"</f>
        <v>9781803554266</v>
      </c>
      <c r="F5991" s="2" t="str">
        <f>"9781803554280"</f>
        <v>9781803554280</v>
      </c>
    </row>
    <row r="5992" spans="1:6" s="3" customFormat="1" ht="29.1" customHeight="1" x14ac:dyDescent="0.25">
      <c r="A5992" s="2" t="s">
        <v>12689</v>
      </c>
      <c r="B5992" s="2" t="s">
        <v>12690</v>
      </c>
      <c r="C5992" s="2" t="s">
        <v>12459</v>
      </c>
      <c r="D5992" s="2" t="s">
        <v>9205</v>
      </c>
      <c r="E5992" s="2" t="str">
        <f>"9781839693670"</f>
        <v>9781839693670</v>
      </c>
      <c r="F5992" s="2" t="str">
        <f>"9781839693694"</f>
        <v>9781839693694</v>
      </c>
    </row>
    <row r="5993" spans="1:6" s="3" customFormat="1" ht="29.1" customHeight="1" x14ac:dyDescent="0.25">
      <c r="A5993" s="2" t="s">
        <v>12691</v>
      </c>
      <c r="B5993" s="2" t="s">
        <v>12692</v>
      </c>
      <c r="C5993" s="2" t="s">
        <v>12459</v>
      </c>
      <c r="D5993" s="2" t="s">
        <v>479</v>
      </c>
      <c r="E5993" s="2" t="str">
        <f>"9781838819217"</f>
        <v>9781838819217</v>
      </c>
      <c r="F5993" s="2" t="str">
        <f>"9781838819231"</f>
        <v>9781838819231</v>
      </c>
    </row>
    <row r="5994" spans="1:6" s="3" customFormat="1" ht="29.1" customHeight="1" x14ac:dyDescent="0.25">
      <c r="A5994" s="2" t="s">
        <v>12693</v>
      </c>
      <c r="B5994" s="2" t="s">
        <v>12694</v>
      </c>
      <c r="C5994" s="2" t="s">
        <v>12459</v>
      </c>
      <c r="D5994" s="2" t="s">
        <v>12577</v>
      </c>
      <c r="E5994" s="2" t="str">
        <f>"9781839689567"</f>
        <v>9781839689567</v>
      </c>
      <c r="F5994" s="2" t="str">
        <f>"9781839689581"</f>
        <v>9781839689581</v>
      </c>
    </row>
    <row r="5995" spans="1:6" s="3" customFormat="1" ht="29.1" customHeight="1" x14ac:dyDescent="0.25">
      <c r="A5995" s="2" t="s">
        <v>12695</v>
      </c>
      <c r="B5995" s="2" t="s">
        <v>12697</v>
      </c>
      <c r="C5995" s="2" t="s">
        <v>12459</v>
      </c>
      <c r="D5995" s="2" t="s">
        <v>12696</v>
      </c>
      <c r="E5995" s="2" t="str">
        <f>"9781838811181"</f>
        <v>9781838811181</v>
      </c>
      <c r="F5995" s="2" t="str">
        <f>"9781838811204"</f>
        <v>9781838811204</v>
      </c>
    </row>
    <row r="5996" spans="1:6" s="3" customFormat="1" ht="29.1" customHeight="1" x14ac:dyDescent="0.25">
      <c r="A5996" s="2" t="s">
        <v>12698</v>
      </c>
      <c r="B5996" s="2" t="s">
        <v>12700</v>
      </c>
      <c r="C5996" s="2" t="s">
        <v>12459</v>
      </c>
      <c r="D5996" s="2" t="s">
        <v>12699</v>
      </c>
      <c r="E5996" s="2" t="str">
        <f>"9781839690051"</f>
        <v>9781839690051</v>
      </c>
      <c r="F5996" s="2" t="str">
        <f>"9781839690075"</f>
        <v>9781839690075</v>
      </c>
    </row>
    <row r="5997" spans="1:6" s="3" customFormat="1" ht="29.1" customHeight="1" x14ac:dyDescent="0.25">
      <c r="A5997" s="2" t="s">
        <v>12701</v>
      </c>
      <c r="B5997" s="2" t="s">
        <v>12702</v>
      </c>
      <c r="C5997" s="2" t="s">
        <v>12459</v>
      </c>
      <c r="D5997" s="2" t="s">
        <v>12492</v>
      </c>
      <c r="E5997" s="2" t="str">
        <f>"9781839689598"</f>
        <v>9781839689598</v>
      </c>
      <c r="F5997" s="2" t="str">
        <f>"9781839689611"</f>
        <v>9781839689611</v>
      </c>
    </row>
    <row r="5998" spans="1:6" s="3" customFormat="1" ht="29.1" customHeight="1" x14ac:dyDescent="0.25">
      <c r="A5998" s="2" t="s">
        <v>12703</v>
      </c>
      <c r="B5998" s="2" t="s">
        <v>12704</v>
      </c>
      <c r="C5998" s="2" t="s">
        <v>12459</v>
      </c>
      <c r="D5998" s="2" t="s">
        <v>1272</v>
      </c>
      <c r="E5998" s="2" t="str">
        <f>"9781839688430"</f>
        <v>9781839688430</v>
      </c>
      <c r="F5998" s="2" t="str">
        <f>"9781839688454"</f>
        <v>9781839688454</v>
      </c>
    </row>
    <row r="5999" spans="1:6" s="3" customFormat="1" ht="29.1" customHeight="1" x14ac:dyDescent="0.25">
      <c r="A5999" s="2" t="s">
        <v>12705</v>
      </c>
      <c r="B5999" s="2" t="s">
        <v>12666</v>
      </c>
      <c r="C5999" s="2" t="s">
        <v>12459</v>
      </c>
      <c r="D5999" s="2" t="s">
        <v>544</v>
      </c>
      <c r="E5999" s="2" t="str">
        <f>"9781789853131"</f>
        <v>9781789853131</v>
      </c>
      <c r="F5999" s="2" t="str">
        <f>"9781839685545"</f>
        <v>9781839685545</v>
      </c>
    </row>
    <row r="6000" spans="1:6" s="3" customFormat="1" ht="29.1" customHeight="1" x14ac:dyDescent="0.25">
      <c r="A6000" s="2" t="s">
        <v>12706</v>
      </c>
      <c r="B6000" s="2" t="s">
        <v>12707</v>
      </c>
      <c r="C6000" s="2" t="s">
        <v>12459</v>
      </c>
      <c r="D6000" s="2" t="s">
        <v>12487</v>
      </c>
      <c r="E6000" s="2" t="str">
        <f>"9781838810559"</f>
        <v>9781838810559</v>
      </c>
      <c r="F6000" s="2" t="str">
        <f>"9781838810634"</f>
        <v>9781838810634</v>
      </c>
    </row>
    <row r="6001" spans="1:6" s="3" customFormat="1" ht="29.1" customHeight="1" x14ac:dyDescent="0.25">
      <c r="A6001" s="2" t="s">
        <v>12708</v>
      </c>
      <c r="B6001" s="2" t="s">
        <v>12710</v>
      </c>
      <c r="C6001" s="2" t="s">
        <v>12459</v>
      </c>
      <c r="D6001" s="2" t="s">
        <v>12709</v>
      </c>
      <c r="E6001" s="2" t="str">
        <f>"9789535107521"</f>
        <v>9789535107521</v>
      </c>
      <c r="F6001" s="2" t="str">
        <f>"9789535157083"</f>
        <v>9789535157083</v>
      </c>
    </row>
    <row r="6002" spans="1:6" s="3" customFormat="1" ht="29.1" customHeight="1" x14ac:dyDescent="0.25">
      <c r="A6002" s="2" t="s">
        <v>12711</v>
      </c>
      <c r="B6002" s="2" t="s">
        <v>12710</v>
      </c>
      <c r="C6002" s="2" t="s">
        <v>12459</v>
      </c>
      <c r="D6002" s="2" t="s">
        <v>12709</v>
      </c>
      <c r="E6002" s="2" t="str">
        <f>"9789535107514"</f>
        <v>9789535107514</v>
      </c>
      <c r="F6002" s="2" t="str">
        <f>"9789535157076"</f>
        <v>9789535157076</v>
      </c>
    </row>
    <row r="6003" spans="1:6" s="3" customFormat="1" ht="29.1" customHeight="1" x14ac:dyDescent="0.25">
      <c r="A6003" s="2" t="s">
        <v>12712</v>
      </c>
      <c r="B6003" s="2" t="s">
        <v>12713</v>
      </c>
      <c r="C6003" s="2" t="s">
        <v>12459</v>
      </c>
      <c r="D6003" s="2" t="s">
        <v>12484</v>
      </c>
      <c r="E6003" s="2" t="str">
        <f>"9781838809843"</f>
        <v>9781838809843</v>
      </c>
      <c r="F6003" s="2" t="str">
        <f>"9781838809867"</f>
        <v>9781838809867</v>
      </c>
    </row>
    <row r="6004" spans="1:6" s="3" customFormat="1" ht="29.1" customHeight="1" x14ac:dyDescent="0.25">
      <c r="A6004" s="2" t="s">
        <v>12714</v>
      </c>
      <c r="B6004" s="2" t="s">
        <v>12715</v>
      </c>
      <c r="C6004" s="2" t="s">
        <v>12459</v>
      </c>
      <c r="D6004" s="2" t="s">
        <v>3489</v>
      </c>
      <c r="E6004" s="2" t="str">
        <f>"9781838800932"</f>
        <v>9781838800932</v>
      </c>
      <c r="F6004" s="2" t="str">
        <f>"9781838800864"</f>
        <v>9781838800864</v>
      </c>
    </row>
    <row r="6005" spans="1:6" s="3" customFormat="1" ht="29.1" customHeight="1" x14ac:dyDescent="0.25">
      <c r="A6005" s="2" t="s">
        <v>12716</v>
      </c>
      <c r="B6005" s="2" t="s">
        <v>12717</v>
      </c>
      <c r="C6005" s="2" t="s">
        <v>12459</v>
      </c>
      <c r="D6005" s="2" t="s">
        <v>3817</v>
      </c>
      <c r="E6005" s="2" t="str">
        <f>"9781839688584"</f>
        <v>9781839688584</v>
      </c>
      <c r="F6005" s="2" t="str">
        <f>"9781839688607"</f>
        <v>9781839688607</v>
      </c>
    </row>
    <row r="6006" spans="1:6" s="3" customFormat="1" ht="29.1" customHeight="1" x14ac:dyDescent="0.25">
      <c r="A6006" s="2" t="s">
        <v>12718</v>
      </c>
      <c r="B6006" s="2" t="s">
        <v>12719</v>
      </c>
      <c r="C6006" s="2" t="s">
        <v>12459</v>
      </c>
      <c r="D6006" s="2" t="s">
        <v>863</v>
      </c>
      <c r="E6006" s="2" t="str">
        <f>"9781839687952"</f>
        <v>9781839687952</v>
      </c>
      <c r="F6006" s="2" t="str">
        <f>"9781839687976"</f>
        <v>9781839687976</v>
      </c>
    </row>
    <row r="6007" spans="1:6" s="3" customFormat="1" ht="29.1" customHeight="1" x14ac:dyDescent="0.25">
      <c r="A6007" s="2" t="s">
        <v>12720</v>
      </c>
      <c r="B6007" s="2" t="s">
        <v>12721</v>
      </c>
      <c r="C6007" s="2" t="s">
        <v>12459</v>
      </c>
      <c r="D6007" s="2" t="s">
        <v>10545</v>
      </c>
      <c r="E6007" s="2" t="str">
        <f>"9781839684661"</f>
        <v>9781839684661</v>
      </c>
      <c r="F6007" s="2" t="str">
        <f>"9781839684685"</f>
        <v>9781839684685</v>
      </c>
    </row>
    <row r="6008" spans="1:6" s="3" customFormat="1" ht="29.1" customHeight="1" x14ac:dyDescent="0.25">
      <c r="A6008" s="2" t="s">
        <v>12722</v>
      </c>
      <c r="B6008" s="2" t="s">
        <v>12724</v>
      </c>
      <c r="C6008" s="2" t="s">
        <v>12459</v>
      </c>
      <c r="D6008" s="2" t="s">
        <v>12723</v>
      </c>
      <c r="E6008" s="2" t="str">
        <f>"9781839626913"</f>
        <v>9781839626913</v>
      </c>
      <c r="F6008" s="2" t="str">
        <f>"9781839626937"</f>
        <v>9781839626937</v>
      </c>
    </row>
    <row r="6009" spans="1:6" s="3" customFormat="1" ht="29.1" customHeight="1" x14ac:dyDescent="0.25">
      <c r="A6009" s="2" t="s">
        <v>12725</v>
      </c>
      <c r="B6009" s="2" t="s">
        <v>12726</v>
      </c>
      <c r="C6009" s="2" t="s">
        <v>12459</v>
      </c>
      <c r="D6009" s="2" t="s">
        <v>1557</v>
      </c>
      <c r="E6009" s="2" t="str">
        <f>"9781839625817"</f>
        <v>9781839625817</v>
      </c>
      <c r="F6009" s="2" t="str">
        <f>"9781839625831"</f>
        <v>9781839625831</v>
      </c>
    </row>
    <row r="6010" spans="1:6" s="3" customFormat="1" ht="29.1" customHeight="1" x14ac:dyDescent="0.25">
      <c r="A6010" s="2" t="s">
        <v>12727</v>
      </c>
      <c r="B6010" s="2" t="s">
        <v>12728</v>
      </c>
      <c r="C6010" s="2" t="s">
        <v>12459</v>
      </c>
      <c r="D6010" s="2" t="s">
        <v>2590</v>
      </c>
      <c r="E6010" s="2" t="str">
        <f>"9781838801878"</f>
        <v>9781838801878</v>
      </c>
      <c r="F6010" s="2" t="str">
        <f>"9781838803636"</f>
        <v>9781838803636</v>
      </c>
    </row>
    <row r="6011" spans="1:6" s="3" customFormat="1" ht="29.1" customHeight="1" x14ac:dyDescent="0.25">
      <c r="A6011" s="2" t="s">
        <v>12729</v>
      </c>
      <c r="B6011" s="2" t="s">
        <v>12731</v>
      </c>
      <c r="C6011" s="2" t="s">
        <v>12459</v>
      </c>
      <c r="D6011" s="2" t="s">
        <v>12730</v>
      </c>
      <c r="E6011" s="2" t="str">
        <f>"9781789845143"</f>
        <v>9781789845143</v>
      </c>
      <c r="F6011" s="2" t="str">
        <f>"9781838800802"</f>
        <v>9781838800802</v>
      </c>
    </row>
    <row r="6012" spans="1:6" s="3" customFormat="1" ht="29.1" customHeight="1" x14ac:dyDescent="0.25">
      <c r="A6012" s="2" t="s">
        <v>12732</v>
      </c>
      <c r="B6012" s="2" t="s">
        <v>12733</v>
      </c>
      <c r="C6012" s="2" t="s">
        <v>12459</v>
      </c>
      <c r="D6012" s="2" t="s">
        <v>6994</v>
      </c>
      <c r="E6012" s="2" t="str">
        <f>"9781789847802"</f>
        <v>9781789847802</v>
      </c>
      <c r="F6012" s="2" t="str">
        <f>"9781839683541"</f>
        <v>9781839683541</v>
      </c>
    </row>
    <row r="6013" spans="1:6" s="3" customFormat="1" ht="29.1" customHeight="1" x14ac:dyDescent="0.25">
      <c r="A6013" s="2" t="s">
        <v>12734</v>
      </c>
      <c r="B6013" s="2" t="s">
        <v>12735</v>
      </c>
      <c r="C6013" s="2" t="s">
        <v>12459</v>
      </c>
      <c r="D6013" s="2" t="s">
        <v>6511</v>
      </c>
      <c r="E6013" s="2" t="str">
        <f>"9781789856194"</f>
        <v>9781789856194</v>
      </c>
      <c r="F6013" s="2" t="str">
        <f>"9781839621178"</f>
        <v>9781839621178</v>
      </c>
    </row>
    <row r="6014" spans="1:6" s="3" customFormat="1" ht="29.1" customHeight="1" x14ac:dyDescent="0.25">
      <c r="A6014" s="2" t="s">
        <v>12736</v>
      </c>
      <c r="B6014" s="2" t="s">
        <v>12737</v>
      </c>
      <c r="C6014" s="2" t="s">
        <v>12459</v>
      </c>
      <c r="D6014" s="2" t="s">
        <v>5588</v>
      </c>
      <c r="E6014" s="2" t="str">
        <f>"9781789840278"</f>
        <v>9781789840278</v>
      </c>
      <c r="F6014" s="2" t="str">
        <f>"9781838806163"</f>
        <v>9781838806163</v>
      </c>
    </row>
    <row r="6015" spans="1:6" s="3" customFormat="1" ht="29.1" customHeight="1" x14ac:dyDescent="0.25">
      <c r="A6015" s="2" t="s">
        <v>12738</v>
      </c>
      <c r="B6015" s="2" t="s">
        <v>12739</v>
      </c>
      <c r="C6015" s="2" t="s">
        <v>12459</v>
      </c>
      <c r="D6015" s="2" t="s">
        <v>12492</v>
      </c>
      <c r="E6015" s="2" t="str">
        <f>"9781789855876"</f>
        <v>9781789855876</v>
      </c>
      <c r="F6015" s="2" t="str">
        <f>"9781839684135"</f>
        <v>9781839684135</v>
      </c>
    </row>
    <row r="6016" spans="1:6" s="3" customFormat="1" ht="29.1" customHeight="1" x14ac:dyDescent="0.25">
      <c r="A6016" s="2" t="s">
        <v>12740</v>
      </c>
      <c r="B6016" s="2" t="s">
        <v>12742</v>
      </c>
      <c r="C6016" s="2" t="s">
        <v>12459</v>
      </c>
      <c r="D6016" s="2" t="s">
        <v>12741</v>
      </c>
      <c r="E6016" s="2" t="str">
        <f>"9781789846126"</f>
        <v>9781789846126</v>
      </c>
      <c r="F6016" s="2" t="str">
        <f>"9781789856996"</f>
        <v>9781789856996</v>
      </c>
    </row>
    <row r="6017" spans="1:6" s="3" customFormat="1" ht="29.1" customHeight="1" x14ac:dyDescent="0.25">
      <c r="A6017" s="2" t="s">
        <v>12743</v>
      </c>
      <c r="B6017" s="2" t="s">
        <v>12744</v>
      </c>
      <c r="C6017" s="2" t="s">
        <v>12459</v>
      </c>
      <c r="D6017" s="2" t="s">
        <v>2008</v>
      </c>
      <c r="E6017" s="2" t="str">
        <f>"9781839682353"</f>
        <v>9781839682353</v>
      </c>
      <c r="F6017" s="2" t="str">
        <f>"9781839682377"</f>
        <v>9781839682377</v>
      </c>
    </row>
    <row r="6018" spans="1:6" s="3" customFormat="1" ht="29.1" customHeight="1" x14ac:dyDescent="0.25">
      <c r="A6018" s="2" t="s">
        <v>12745</v>
      </c>
      <c r="B6018" s="2" t="s">
        <v>12746</v>
      </c>
      <c r="C6018" s="2" t="s">
        <v>12459</v>
      </c>
      <c r="D6018" s="2" t="s">
        <v>12577</v>
      </c>
      <c r="E6018" s="2" t="str">
        <f>"9781789858013"</f>
        <v>9781789858013</v>
      </c>
      <c r="F6018" s="2" t="str">
        <f>"9781839621116"</f>
        <v>9781839621116</v>
      </c>
    </row>
    <row r="6019" spans="1:6" s="3" customFormat="1" ht="29.1" customHeight="1" x14ac:dyDescent="0.25">
      <c r="A6019" s="2" t="s">
        <v>12747</v>
      </c>
      <c r="B6019" s="2" t="s">
        <v>12748</v>
      </c>
      <c r="C6019" s="2" t="s">
        <v>12459</v>
      </c>
      <c r="D6019" s="2" t="s">
        <v>9</v>
      </c>
      <c r="E6019" s="2" t="str">
        <f>"9781838810504"</f>
        <v>9781838810504</v>
      </c>
      <c r="F6019" s="2" t="str">
        <f>"9781838810528"</f>
        <v>9781838810528</v>
      </c>
    </row>
    <row r="6020" spans="1:6" s="3" customFormat="1" ht="29.1" customHeight="1" x14ac:dyDescent="0.25">
      <c r="A6020" s="2" t="s">
        <v>12749</v>
      </c>
      <c r="B6020" s="2" t="s">
        <v>12750</v>
      </c>
      <c r="C6020" s="2" t="s">
        <v>12459</v>
      </c>
      <c r="D6020" s="2" t="s">
        <v>317</v>
      </c>
      <c r="E6020" s="2" t="str">
        <f>"9781789849608"</f>
        <v>9781789849608</v>
      </c>
      <c r="F6020" s="2" t="str">
        <f>"9781838817329"</f>
        <v>9781838817329</v>
      </c>
    </row>
    <row r="6021" spans="1:6" s="3" customFormat="1" ht="29.1" customHeight="1" x14ac:dyDescent="0.25">
      <c r="A6021" s="2" t="s">
        <v>12751</v>
      </c>
      <c r="B6021" s="2" t="s">
        <v>12752</v>
      </c>
      <c r="C6021" s="2" t="s">
        <v>12459</v>
      </c>
      <c r="D6021" s="2" t="s">
        <v>199</v>
      </c>
      <c r="E6021" s="2" t="str">
        <f>"9781789850918"</f>
        <v>9781789850918</v>
      </c>
      <c r="F6021" s="2" t="str">
        <f>"9781839620478"</f>
        <v>9781839620478</v>
      </c>
    </row>
    <row r="6022" spans="1:6" s="3" customFormat="1" ht="29.1" customHeight="1" x14ac:dyDescent="0.25">
      <c r="A6022" s="2" t="s">
        <v>12753</v>
      </c>
      <c r="B6022" s="2" t="s">
        <v>12754</v>
      </c>
      <c r="C6022" s="2" t="s">
        <v>12459</v>
      </c>
      <c r="D6022" s="2" t="s">
        <v>2030</v>
      </c>
      <c r="E6022" s="2" t="str">
        <f>"9781789844467"</f>
        <v>9781789844467</v>
      </c>
      <c r="F6022" s="2" t="str">
        <f>"9781789854169"</f>
        <v>9781789854169</v>
      </c>
    </row>
    <row r="6023" spans="1:6" s="3" customFormat="1" ht="29.1" customHeight="1" x14ac:dyDescent="0.25">
      <c r="A6023" s="2" t="s">
        <v>12755</v>
      </c>
      <c r="B6023" s="2" t="s">
        <v>12756</v>
      </c>
      <c r="C6023" s="2" t="s">
        <v>12459</v>
      </c>
      <c r="D6023" s="2" t="s">
        <v>12</v>
      </c>
      <c r="E6023" s="2" t="str">
        <f>"9781803553122"</f>
        <v>9781803553122</v>
      </c>
      <c r="F6023" s="2" t="str">
        <f>"9781803553146"</f>
        <v>9781803553146</v>
      </c>
    </row>
    <row r="6024" spans="1:6" s="3" customFormat="1" ht="29.1" customHeight="1" x14ac:dyDescent="0.25">
      <c r="A6024" s="2" t="s">
        <v>12757</v>
      </c>
      <c r="B6024" s="2" t="s">
        <v>12758</v>
      </c>
      <c r="C6024" s="2" t="s">
        <v>12459</v>
      </c>
      <c r="D6024" s="2" t="s">
        <v>7635</v>
      </c>
      <c r="E6024" s="2" t="str">
        <f>"9781803555256"</f>
        <v>9781803555256</v>
      </c>
      <c r="F6024" s="2" t="str">
        <f>"9781803555270"</f>
        <v>9781803555270</v>
      </c>
    </row>
    <row r="6025" spans="1:6" s="3" customFormat="1" ht="29.1" customHeight="1" x14ac:dyDescent="0.25">
      <c r="A6025" s="2" t="s">
        <v>12759</v>
      </c>
      <c r="B6025" s="2" t="s">
        <v>12760</v>
      </c>
      <c r="C6025" s="2" t="s">
        <v>12459</v>
      </c>
      <c r="D6025" s="2" t="s">
        <v>1278</v>
      </c>
      <c r="E6025" s="2" t="str">
        <f>"9781803560809"</f>
        <v>9781803560809</v>
      </c>
      <c r="F6025" s="2" t="str">
        <f>"9781803560823"</f>
        <v>9781803560823</v>
      </c>
    </row>
    <row r="6026" spans="1:6" s="3" customFormat="1" ht="29.1" customHeight="1" x14ac:dyDescent="0.25">
      <c r="A6026" s="2" t="s">
        <v>12761</v>
      </c>
      <c r="B6026" s="2" t="s">
        <v>12762</v>
      </c>
      <c r="C6026" s="2" t="s">
        <v>12459</v>
      </c>
      <c r="D6026" s="2" t="s">
        <v>317</v>
      </c>
      <c r="E6026" s="2" t="str">
        <f>"9781839695636"</f>
        <v>9781839695636</v>
      </c>
      <c r="F6026" s="2" t="str">
        <f>"9781839695650"</f>
        <v>9781839695650</v>
      </c>
    </row>
    <row r="6027" spans="1:6" s="3" customFormat="1" ht="29.1" customHeight="1" x14ac:dyDescent="0.25">
      <c r="A6027" s="2" t="s">
        <v>12763</v>
      </c>
      <c r="B6027" s="2" t="s">
        <v>12764</v>
      </c>
      <c r="C6027" s="2" t="s">
        <v>12459</v>
      </c>
      <c r="D6027" s="2" t="s">
        <v>183</v>
      </c>
      <c r="E6027" s="2" t="str">
        <f>"9781839692826"</f>
        <v>9781839692826</v>
      </c>
      <c r="F6027" s="2" t="str">
        <f>"9781839692840"</f>
        <v>9781839692840</v>
      </c>
    </row>
    <row r="6028" spans="1:6" s="3" customFormat="1" ht="29.1" customHeight="1" x14ac:dyDescent="0.25">
      <c r="A6028" s="2" t="s">
        <v>12765</v>
      </c>
      <c r="B6028" s="2" t="s">
        <v>12766</v>
      </c>
      <c r="C6028" s="2" t="s">
        <v>12459</v>
      </c>
      <c r="D6028" s="2" t="s">
        <v>12650</v>
      </c>
      <c r="E6028" s="2" t="str">
        <f>"9781839699573"</f>
        <v>9781839699573</v>
      </c>
      <c r="F6028" s="2" t="str">
        <f>"9781839699597"</f>
        <v>9781839699597</v>
      </c>
    </row>
    <row r="6029" spans="1:6" s="3" customFormat="1" ht="29.1" customHeight="1" x14ac:dyDescent="0.25">
      <c r="A6029" s="2" t="s">
        <v>12767</v>
      </c>
      <c r="B6029" s="2" t="s">
        <v>12768</v>
      </c>
      <c r="C6029" s="2" t="s">
        <v>12459</v>
      </c>
      <c r="D6029" s="2" t="s">
        <v>2030</v>
      </c>
      <c r="E6029" s="2" t="str">
        <f>"9781839699146"</f>
        <v>9781839699146</v>
      </c>
      <c r="F6029" s="2" t="str">
        <f>"9781839699160"</f>
        <v>9781839699160</v>
      </c>
    </row>
    <row r="6030" spans="1:6" s="3" customFormat="1" ht="29.1" customHeight="1" x14ac:dyDescent="0.25">
      <c r="A6030" s="2" t="s">
        <v>12769</v>
      </c>
      <c r="B6030" s="2" t="s">
        <v>12770</v>
      </c>
      <c r="C6030" s="2" t="s">
        <v>12459</v>
      </c>
      <c r="D6030" s="2" t="s">
        <v>7269</v>
      </c>
      <c r="E6030" s="2" t="str">
        <f>"9781839697371"</f>
        <v>9781839697371</v>
      </c>
      <c r="F6030" s="2" t="str">
        <f>"9781839697395"</f>
        <v>9781839697395</v>
      </c>
    </row>
    <row r="6031" spans="1:6" s="3" customFormat="1" ht="29.1" customHeight="1" x14ac:dyDescent="0.25">
      <c r="A6031" s="2" t="s">
        <v>12771</v>
      </c>
      <c r="B6031" s="2" t="s">
        <v>12772</v>
      </c>
      <c r="C6031" s="2" t="s">
        <v>12459</v>
      </c>
      <c r="D6031" s="2" t="s">
        <v>1666</v>
      </c>
      <c r="E6031" s="2" t="str">
        <f>"9781839696800"</f>
        <v>9781839696800</v>
      </c>
      <c r="F6031" s="2" t="str">
        <f>"9781839696824"</f>
        <v>9781839696824</v>
      </c>
    </row>
    <row r="6032" spans="1:6" s="3" customFormat="1" ht="29.1" customHeight="1" x14ac:dyDescent="0.25">
      <c r="A6032" s="2" t="s">
        <v>12773</v>
      </c>
      <c r="B6032" s="2" t="s">
        <v>12774</v>
      </c>
      <c r="C6032" s="2" t="s">
        <v>12459</v>
      </c>
      <c r="D6032" s="2" t="s">
        <v>159</v>
      </c>
      <c r="E6032" s="2" t="str">
        <f>"9781839681196"</f>
        <v>9781839681196</v>
      </c>
      <c r="F6032" s="2" t="str">
        <f>"9781839682155"</f>
        <v>9781839682155</v>
      </c>
    </row>
    <row r="6033" spans="1:6" s="3" customFormat="1" ht="29.1" customHeight="1" x14ac:dyDescent="0.25">
      <c r="A6033" s="2" t="s">
        <v>12775</v>
      </c>
      <c r="B6033" s="2" t="s">
        <v>12776</v>
      </c>
      <c r="C6033" s="2" t="s">
        <v>12459</v>
      </c>
      <c r="D6033" s="2" t="s">
        <v>12492</v>
      </c>
      <c r="E6033" s="2" t="str">
        <f>"9781839682810"</f>
        <v>9781839682810</v>
      </c>
      <c r="F6033" s="2" t="str">
        <f>"9781839682834"</f>
        <v>9781839682834</v>
      </c>
    </row>
    <row r="6034" spans="1:6" s="3" customFormat="1" ht="29.1" customHeight="1" x14ac:dyDescent="0.25">
      <c r="A6034" s="2" t="s">
        <v>12777</v>
      </c>
      <c r="B6034" s="2" t="s">
        <v>12778</v>
      </c>
      <c r="C6034" s="2" t="s">
        <v>12459</v>
      </c>
      <c r="D6034" s="2" t="s">
        <v>4291</v>
      </c>
      <c r="E6034" s="2" t="str">
        <f>"9781839682162"</f>
        <v>9781839682162</v>
      </c>
      <c r="F6034" s="2" t="str">
        <f>"9781839682469"</f>
        <v>9781839682469</v>
      </c>
    </row>
    <row r="6035" spans="1:6" s="3" customFormat="1" ht="29.1" customHeight="1" x14ac:dyDescent="0.25">
      <c r="A6035" s="2" t="s">
        <v>12779</v>
      </c>
      <c r="B6035" s="2" t="s">
        <v>12780</v>
      </c>
      <c r="C6035" s="2" t="s">
        <v>12459</v>
      </c>
      <c r="D6035" s="2" t="s">
        <v>5060</v>
      </c>
      <c r="E6035" s="2" t="str">
        <f>"9781839695667"</f>
        <v>9781839695667</v>
      </c>
      <c r="F6035" s="2" t="str">
        <f>"9781839695681"</f>
        <v>9781839695681</v>
      </c>
    </row>
    <row r="6036" spans="1:6" s="3" customFormat="1" ht="29.1" customHeight="1" x14ac:dyDescent="0.25">
      <c r="A6036" s="2" t="s">
        <v>12781</v>
      </c>
      <c r="B6036" s="2" t="s">
        <v>12782</v>
      </c>
      <c r="C6036" s="2" t="s">
        <v>12459</v>
      </c>
      <c r="D6036" s="2" t="s">
        <v>8486</v>
      </c>
      <c r="E6036" s="2" t="str">
        <f>"9781839625220"</f>
        <v>9781839625220</v>
      </c>
      <c r="F6036" s="2" t="str">
        <f>"9781839625305"</f>
        <v>9781839625305</v>
      </c>
    </row>
    <row r="6037" spans="1:6" s="3" customFormat="1" ht="29.1" customHeight="1" x14ac:dyDescent="0.25">
      <c r="A6037" s="2" t="s">
        <v>12783</v>
      </c>
      <c r="B6037" s="2" t="s">
        <v>12784</v>
      </c>
      <c r="C6037" s="2" t="s">
        <v>12459</v>
      </c>
      <c r="D6037" s="2" t="s">
        <v>1666</v>
      </c>
      <c r="E6037" s="2" t="str">
        <f>"9781839688959"</f>
        <v>9781839688959</v>
      </c>
      <c r="F6037" s="2" t="str">
        <f>"9781839688973"</f>
        <v>9781839688973</v>
      </c>
    </row>
    <row r="6038" spans="1:6" s="3" customFormat="1" ht="29.1" customHeight="1" x14ac:dyDescent="0.25">
      <c r="A6038" s="2" t="s">
        <v>12785</v>
      </c>
      <c r="B6038" s="2" t="s">
        <v>12786</v>
      </c>
      <c r="C6038" s="2" t="s">
        <v>12459</v>
      </c>
      <c r="D6038" s="2" t="s">
        <v>863</v>
      </c>
      <c r="E6038" s="2" t="str">
        <f>"9781839698279"</f>
        <v>9781839698279</v>
      </c>
      <c r="F6038" s="2" t="str">
        <f>"9781839698293"</f>
        <v>9781839698293</v>
      </c>
    </row>
    <row r="6039" spans="1:6" s="3" customFormat="1" ht="29.1" customHeight="1" x14ac:dyDescent="0.25">
      <c r="A6039" s="2" t="s">
        <v>12787</v>
      </c>
      <c r="B6039" s="2" t="s">
        <v>12788</v>
      </c>
      <c r="C6039" s="2" t="s">
        <v>12459</v>
      </c>
      <c r="D6039" s="2" t="s">
        <v>2542</v>
      </c>
      <c r="E6039" s="2" t="str">
        <f>"9781839695872"</f>
        <v>9781839695872</v>
      </c>
      <c r="F6039" s="2" t="str">
        <f>"9781839695896"</f>
        <v>9781839695896</v>
      </c>
    </row>
    <row r="6040" spans="1:6" s="3" customFormat="1" ht="29.1" customHeight="1" x14ac:dyDescent="0.25">
      <c r="A6040" s="2" t="s">
        <v>12789</v>
      </c>
      <c r="B6040" s="2" t="s">
        <v>12790</v>
      </c>
      <c r="C6040" s="2" t="s">
        <v>12459</v>
      </c>
      <c r="D6040" s="2" t="s">
        <v>12513</v>
      </c>
      <c r="E6040" s="2" t="str">
        <f>"9781839693465"</f>
        <v>9781839693465</v>
      </c>
      <c r="F6040" s="2" t="str">
        <f>"9781839693489"</f>
        <v>9781839693489</v>
      </c>
    </row>
    <row r="6041" spans="1:6" s="3" customFormat="1" ht="29.1" customHeight="1" x14ac:dyDescent="0.25">
      <c r="A6041" s="2" t="s">
        <v>12791</v>
      </c>
      <c r="B6041" s="2" t="s">
        <v>12792</v>
      </c>
      <c r="C6041" s="2" t="s">
        <v>12459</v>
      </c>
      <c r="D6041" s="2" t="s">
        <v>2433</v>
      </c>
      <c r="E6041" s="2" t="str">
        <f>"9781839686115"</f>
        <v>9781839686115</v>
      </c>
      <c r="F6041" s="2" t="str">
        <f>"9781839686139"</f>
        <v>9781839686139</v>
      </c>
    </row>
    <row r="6042" spans="1:6" s="3" customFormat="1" ht="29.1" customHeight="1" x14ac:dyDescent="0.25">
      <c r="A6042" s="2" t="s">
        <v>12793</v>
      </c>
      <c r="B6042" s="2" t="s">
        <v>12794</v>
      </c>
      <c r="C6042" s="2" t="s">
        <v>12459</v>
      </c>
      <c r="D6042" s="2" t="s">
        <v>101</v>
      </c>
      <c r="E6042" s="2" t="str">
        <f>"9781789859393"</f>
        <v>9781789859393</v>
      </c>
      <c r="F6042" s="2" t="str">
        <f>"9781839621543"</f>
        <v>9781839621543</v>
      </c>
    </row>
    <row r="6043" spans="1:6" s="3" customFormat="1" ht="29.1" customHeight="1" x14ac:dyDescent="0.25">
      <c r="A6043" s="2" t="s">
        <v>12795</v>
      </c>
      <c r="B6043" s="2" t="s">
        <v>12796</v>
      </c>
      <c r="C6043" s="2" t="s">
        <v>12459</v>
      </c>
      <c r="D6043" s="2" t="s">
        <v>44</v>
      </c>
      <c r="E6043" s="2" t="str">
        <f>"9781839627712"</f>
        <v>9781839627712</v>
      </c>
      <c r="F6043" s="2" t="str">
        <f>"9781839627903"</f>
        <v>9781839627903</v>
      </c>
    </row>
    <row r="6044" spans="1:6" s="3" customFormat="1" ht="29.1" customHeight="1" x14ac:dyDescent="0.25">
      <c r="A6044" s="2" t="s">
        <v>12797</v>
      </c>
      <c r="B6044" s="2" t="s">
        <v>12798</v>
      </c>
      <c r="C6044" s="2" t="s">
        <v>12459</v>
      </c>
      <c r="D6044" s="2" t="s">
        <v>12492</v>
      </c>
      <c r="E6044" s="2" t="str">
        <f>"9781839688645"</f>
        <v>9781839688645</v>
      </c>
      <c r="F6044" s="2" t="str">
        <f>"9781839688669"</f>
        <v>9781839688669</v>
      </c>
    </row>
    <row r="6045" spans="1:6" s="3" customFormat="1" ht="29.1" customHeight="1" x14ac:dyDescent="0.25">
      <c r="A6045" s="2" t="s">
        <v>12799</v>
      </c>
      <c r="B6045" s="2" t="s">
        <v>12461</v>
      </c>
      <c r="C6045" s="2" t="s">
        <v>12459</v>
      </c>
      <c r="D6045" s="2" t="s">
        <v>4291</v>
      </c>
      <c r="E6045" s="2" t="str">
        <f>"9781839687556"</f>
        <v>9781839687556</v>
      </c>
      <c r="F6045" s="2" t="str">
        <f>"9781839687570"</f>
        <v>9781839687570</v>
      </c>
    </row>
    <row r="6046" spans="1:6" s="3" customFormat="1" ht="29.1" customHeight="1" x14ac:dyDescent="0.25">
      <c r="A6046" s="2" t="s">
        <v>12800</v>
      </c>
      <c r="B6046" s="2" t="s">
        <v>12801</v>
      </c>
      <c r="C6046" s="2" t="s">
        <v>12459</v>
      </c>
      <c r="D6046" s="2" t="s">
        <v>4253</v>
      </c>
      <c r="E6046" s="2" t="str">
        <f>"9781789840933"</f>
        <v>9781789840933</v>
      </c>
      <c r="F6046" s="2" t="str">
        <f>"9781789855531"</f>
        <v>9781789855531</v>
      </c>
    </row>
    <row r="6047" spans="1:6" s="3" customFormat="1" ht="29.1" customHeight="1" x14ac:dyDescent="0.25">
      <c r="A6047" s="2" t="s">
        <v>12802</v>
      </c>
      <c r="B6047" s="2" t="s">
        <v>12803</v>
      </c>
      <c r="C6047" s="2" t="s">
        <v>12459</v>
      </c>
      <c r="D6047" s="2" t="s">
        <v>52</v>
      </c>
      <c r="E6047" s="2" t="str">
        <f>"9781839623745"</f>
        <v>9781839623745</v>
      </c>
      <c r="F6047" s="2" t="str">
        <f>"9781839623769"</f>
        <v>9781839623769</v>
      </c>
    </row>
    <row r="6048" spans="1:6" s="3" customFormat="1" ht="29.1" customHeight="1" x14ac:dyDescent="0.25">
      <c r="A6048" s="2" t="s">
        <v>12804</v>
      </c>
      <c r="B6048" s="2" t="s">
        <v>12805</v>
      </c>
      <c r="C6048" s="2" t="s">
        <v>12459</v>
      </c>
      <c r="D6048" s="2" t="s">
        <v>12611</v>
      </c>
      <c r="E6048" s="2" t="str">
        <f>"9781839684883"</f>
        <v>9781839684883</v>
      </c>
      <c r="F6048" s="2" t="str">
        <f>"9781839684937"</f>
        <v>9781839684937</v>
      </c>
    </row>
    <row r="6049" spans="1:6" s="3" customFormat="1" ht="29.1" customHeight="1" x14ac:dyDescent="0.25">
      <c r="A6049" s="2" t="s">
        <v>12806</v>
      </c>
      <c r="B6049" s="2" t="s">
        <v>12807</v>
      </c>
      <c r="C6049" s="2" t="s">
        <v>12459</v>
      </c>
      <c r="D6049" s="2" t="s">
        <v>3092</v>
      </c>
      <c r="E6049" s="2" t="str">
        <f>"9781839692758"</f>
        <v>9781839692758</v>
      </c>
      <c r="F6049" s="2" t="str">
        <f>"9781839692772"</f>
        <v>9781839692772</v>
      </c>
    </row>
    <row r="6050" spans="1:6" s="3" customFormat="1" ht="29.1" customHeight="1" x14ac:dyDescent="0.25">
      <c r="A6050" s="2" t="s">
        <v>12808</v>
      </c>
      <c r="B6050" s="2" t="s">
        <v>12809</v>
      </c>
      <c r="C6050" s="2" t="s">
        <v>12459</v>
      </c>
      <c r="D6050" s="2" t="s">
        <v>758</v>
      </c>
      <c r="E6050" s="2" t="str">
        <f>"9781839687204"</f>
        <v>9781839687204</v>
      </c>
      <c r="F6050" s="2" t="str">
        <f>"9781839687228"</f>
        <v>9781839687228</v>
      </c>
    </row>
    <row r="6051" spans="1:6" s="3" customFormat="1" ht="29.1" customHeight="1" x14ac:dyDescent="0.25">
      <c r="A6051" s="2" t="s">
        <v>12810</v>
      </c>
      <c r="B6051" s="2" t="s">
        <v>12811</v>
      </c>
      <c r="C6051" s="2" t="s">
        <v>12459</v>
      </c>
      <c r="D6051" s="2" t="s">
        <v>1278</v>
      </c>
      <c r="E6051" s="2" t="str">
        <f>"9781789852233"</f>
        <v>9781789852233</v>
      </c>
      <c r="F6051" s="2" t="str">
        <f>"9781789859232"</f>
        <v>9781789859232</v>
      </c>
    </row>
    <row r="6052" spans="1:6" s="3" customFormat="1" ht="29.1" customHeight="1" x14ac:dyDescent="0.25">
      <c r="A6052" s="2" t="s">
        <v>12812</v>
      </c>
      <c r="B6052" s="2" t="s">
        <v>12813</v>
      </c>
      <c r="C6052" s="2" t="s">
        <v>12459</v>
      </c>
      <c r="D6052" s="2" t="s">
        <v>12</v>
      </c>
      <c r="E6052" s="2" t="str">
        <f>"9781839626203"</f>
        <v>9781839626203</v>
      </c>
      <c r="F6052" s="2" t="str">
        <f>"9781839626289"</f>
        <v>9781839626289</v>
      </c>
    </row>
    <row r="6053" spans="1:6" s="3" customFormat="1" ht="29.1" customHeight="1" x14ac:dyDescent="0.25">
      <c r="A6053" s="2" t="s">
        <v>12814</v>
      </c>
      <c r="B6053" s="2" t="s">
        <v>12815</v>
      </c>
      <c r="C6053" s="2" t="s">
        <v>12459</v>
      </c>
      <c r="D6053" s="2" t="s">
        <v>317</v>
      </c>
      <c r="E6053" s="2" t="str">
        <f>"9781838802097"</f>
        <v>9781838802097</v>
      </c>
      <c r="F6053" s="2" t="str">
        <f>"9781838809669"</f>
        <v>9781838809669</v>
      </c>
    </row>
    <row r="6054" spans="1:6" s="3" customFormat="1" ht="29.1" customHeight="1" x14ac:dyDescent="0.25">
      <c r="A6054" s="2" t="s">
        <v>12816</v>
      </c>
      <c r="B6054" s="2" t="s">
        <v>12562</v>
      </c>
      <c r="C6054" s="2" t="s">
        <v>12459</v>
      </c>
      <c r="D6054" s="2" t="s">
        <v>1959</v>
      </c>
      <c r="E6054" s="2" t="str">
        <f>"9781839689178"</f>
        <v>9781839689178</v>
      </c>
      <c r="F6054" s="2" t="str">
        <f>"9781839689192"</f>
        <v>9781839689192</v>
      </c>
    </row>
    <row r="6055" spans="1:6" s="3" customFormat="1" ht="29.1" customHeight="1" x14ac:dyDescent="0.25">
      <c r="A6055" s="2" t="s">
        <v>12817</v>
      </c>
      <c r="B6055" s="2" t="s">
        <v>12818</v>
      </c>
      <c r="C6055" s="2" t="s">
        <v>12459</v>
      </c>
      <c r="D6055" s="2" t="s">
        <v>44</v>
      </c>
      <c r="E6055" s="2" t="str">
        <f>"9781838801991"</f>
        <v>9781838801991</v>
      </c>
      <c r="F6055" s="2" t="str">
        <f>"9781838803988"</f>
        <v>9781838803988</v>
      </c>
    </row>
    <row r="6056" spans="1:6" s="3" customFormat="1" ht="29.1" customHeight="1" x14ac:dyDescent="0.25">
      <c r="A6056" s="2" t="s">
        <v>12819</v>
      </c>
      <c r="B6056" s="2" t="s">
        <v>12820</v>
      </c>
      <c r="C6056" s="2" t="s">
        <v>12459</v>
      </c>
      <c r="D6056" s="2" t="s">
        <v>3489</v>
      </c>
      <c r="E6056" s="2" t="str">
        <f>"9781838801410"</f>
        <v>9781838801410</v>
      </c>
      <c r="F6056" s="2" t="str">
        <f>"9781838804664"</f>
        <v>9781838804664</v>
      </c>
    </row>
    <row r="6057" spans="1:6" s="3" customFormat="1" ht="29.1" customHeight="1" x14ac:dyDescent="0.25">
      <c r="A6057" s="2" t="s">
        <v>12821</v>
      </c>
      <c r="B6057" s="2" t="s">
        <v>12822</v>
      </c>
      <c r="C6057" s="2" t="s">
        <v>12459</v>
      </c>
      <c r="D6057" s="2" t="s">
        <v>12680</v>
      </c>
      <c r="E6057" s="2" t="str">
        <f>"9781838800956"</f>
        <v>9781838800956</v>
      </c>
      <c r="F6057" s="2" t="str">
        <f>"9781839626388"</f>
        <v>9781839626388</v>
      </c>
    </row>
    <row r="6058" spans="1:6" s="3" customFormat="1" ht="29.1" customHeight="1" x14ac:dyDescent="0.25">
      <c r="A6058" s="2" t="s">
        <v>12823</v>
      </c>
      <c r="B6058" s="2" t="s">
        <v>12824</v>
      </c>
      <c r="C6058" s="2" t="s">
        <v>12459</v>
      </c>
      <c r="D6058" s="2" t="s">
        <v>3817</v>
      </c>
      <c r="E6058" s="2" t="str">
        <f>"9781838800918"</f>
        <v>9781838800918</v>
      </c>
      <c r="F6058" s="2" t="str">
        <f>"9781838805463"</f>
        <v>9781838805463</v>
      </c>
    </row>
    <row r="6059" spans="1:6" s="3" customFormat="1" ht="29.1" customHeight="1" x14ac:dyDescent="0.25">
      <c r="A6059" s="2" t="s">
        <v>12825</v>
      </c>
      <c r="B6059" s="2" t="s">
        <v>12826</v>
      </c>
      <c r="C6059" s="2" t="s">
        <v>12459</v>
      </c>
      <c r="D6059" s="2" t="s">
        <v>1666</v>
      </c>
      <c r="E6059" s="2" t="str">
        <f>"9781789848908"</f>
        <v>9781789848908</v>
      </c>
      <c r="F6059" s="2" t="str">
        <f>"9781838809713"</f>
        <v>9781838809713</v>
      </c>
    </row>
    <row r="6060" spans="1:6" s="3" customFormat="1" ht="29.1" customHeight="1" x14ac:dyDescent="0.25">
      <c r="A6060" s="2" t="s">
        <v>12827</v>
      </c>
      <c r="B6060" s="2" t="s">
        <v>12828</v>
      </c>
      <c r="C6060" s="2" t="s">
        <v>12459</v>
      </c>
      <c r="D6060" s="2" t="s">
        <v>12475</v>
      </c>
      <c r="E6060" s="2" t="str">
        <f>"9781839624186"</f>
        <v>9781839624186</v>
      </c>
      <c r="F6060" s="2" t="str">
        <f>"9781839624209"</f>
        <v>9781839624209</v>
      </c>
    </row>
    <row r="6061" spans="1:6" s="3" customFormat="1" ht="29.1" customHeight="1" x14ac:dyDescent="0.25">
      <c r="A6061" s="2" t="s">
        <v>12829</v>
      </c>
      <c r="B6061" s="2" t="s">
        <v>12831</v>
      </c>
      <c r="C6061" s="2" t="s">
        <v>12459</v>
      </c>
      <c r="D6061" s="2" t="s">
        <v>12830</v>
      </c>
      <c r="E6061" s="2" t="str">
        <f>"9781838812140"</f>
        <v>9781838812140</v>
      </c>
      <c r="F6061" s="2" t="str">
        <f>"9781838818579"</f>
        <v>9781838818579</v>
      </c>
    </row>
    <row r="6062" spans="1:6" s="3" customFormat="1" ht="29.1" customHeight="1" x14ac:dyDescent="0.25">
      <c r="A6062" s="2" t="s">
        <v>12832</v>
      </c>
      <c r="B6062" s="2" t="s">
        <v>12612</v>
      </c>
      <c r="C6062" s="2" t="s">
        <v>12459</v>
      </c>
      <c r="D6062" s="2" t="s">
        <v>12659</v>
      </c>
      <c r="E6062" s="2" t="str">
        <f>"9781838807535"</f>
        <v>9781838807535</v>
      </c>
      <c r="F6062" s="2" t="str">
        <f>"9781838807580"</f>
        <v>9781838807580</v>
      </c>
    </row>
    <row r="6063" spans="1:6" s="3" customFormat="1" ht="29.1" customHeight="1" x14ac:dyDescent="0.25">
      <c r="A6063" s="2" t="s">
        <v>12833</v>
      </c>
      <c r="B6063" s="2" t="s">
        <v>12834</v>
      </c>
      <c r="C6063" s="2" t="s">
        <v>12459</v>
      </c>
      <c r="D6063" s="2" t="s">
        <v>12594</v>
      </c>
      <c r="E6063" s="2" t="str">
        <f>"9781839624582"</f>
        <v>9781839624582</v>
      </c>
      <c r="F6063" s="2" t="str">
        <f>"9781839624681"</f>
        <v>9781839624681</v>
      </c>
    </row>
    <row r="6064" spans="1:6" s="3" customFormat="1" ht="29.1" customHeight="1" x14ac:dyDescent="0.25">
      <c r="A6064" s="2" t="s">
        <v>12835</v>
      </c>
      <c r="B6064" s="2" t="s">
        <v>12836</v>
      </c>
      <c r="C6064" s="2" t="s">
        <v>12459</v>
      </c>
      <c r="D6064" s="2" t="s">
        <v>2433</v>
      </c>
      <c r="E6064" s="2" t="str">
        <f>"9781839625923"</f>
        <v>9781839625923</v>
      </c>
      <c r="F6064" s="2" t="str">
        <f>"9781839625947"</f>
        <v>9781839625947</v>
      </c>
    </row>
    <row r="6065" spans="1:6" s="3" customFormat="1" ht="29.1" customHeight="1" x14ac:dyDescent="0.25">
      <c r="A6065" s="2" t="s">
        <v>12837</v>
      </c>
      <c r="B6065" s="2" t="s">
        <v>12838</v>
      </c>
      <c r="C6065" s="2" t="s">
        <v>12459</v>
      </c>
      <c r="D6065" s="2" t="s">
        <v>10941</v>
      </c>
      <c r="E6065" s="2" t="str">
        <f>"9781839683763"</f>
        <v>9781839683763</v>
      </c>
      <c r="F6065" s="2" t="str">
        <f>"9781839683787"</f>
        <v>9781839683787</v>
      </c>
    </row>
    <row r="6066" spans="1:6" s="3" customFormat="1" ht="29.1" customHeight="1" x14ac:dyDescent="0.25">
      <c r="A6066" s="2" t="s">
        <v>12839</v>
      </c>
      <c r="B6066" s="2" t="s">
        <v>12840</v>
      </c>
      <c r="C6066" s="2" t="s">
        <v>12459</v>
      </c>
      <c r="D6066" s="2" t="s">
        <v>1666</v>
      </c>
      <c r="E6066" s="2" t="str">
        <f>"9781839625596"</f>
        <v>9781839625596</v>
      </c>
      <c r="F6066" s="2" t="str">
        <f>"9781839625619"</f>
        <v>9781839625619</v>
      </c>
    </row>
    <row r="6067" spans="1:6" s="3" customFormat="1" ht="29.1" customHeight="1" x14ac:dyDescent="0.25">
      <c r="A6067" s="2" t="s">
        <v>12841</v>
      </c>
      <c r="B6067" s="2" t="s">
        <v>12842</v>
      </c>
      <c r="C6067" s="2" t="s">
        <v>12459</v>
      </c>
      <c r="D6067" s="2" t="s">
        <v>52</v>
      </c>
      <c r="E6067" s="2" t="str">
        <f>"9781839683183"</f>
        <v>9781839683183</v>
      </c>
      <c r="F6067" s="2" t="str">
        <f>"9781839683206"</f>
        <v>9781839683206</v>
      </c>
    </row>
    <row r="6068" spans="1:6" s="3" customFormat="1" ht="29.1" customHeight="1" x14ac:dyDescent="0.25">
      <c r="A6068" s="2" t="s">
        <v>12843</v>
      </c>
      <c r="B6068" s="2" t="s">
        <v>12844</v>
      </c>
      <c r="C6068" s="2" t="s">
        <v>12459</v>
      </c>
      <c r="D6068" s="2" t="s">
        <v>72</v>
      </c>
      <c r="E6068" s="2" t="str">
        <f>"9781839688737"</f>
        <v>9781839688737</v>
      </c>
      <c r="F6068" s="2" t="str">
        <f>"9781839688751"</f>
        <v>9781839688751</v>
      </c>
    </row>
    <row r="6069" spans="1:6" s="3" customFormat="1" ht="29.1" customHeight="1" x14ac:dyDescent="0.25">
      <c r="A6069" s="2" t="s">
        <v>12845</v>
      </c>
      <c r="B6069" s="2" t="s">
        <v>12846</v>
      </c>
      <c r="C6069" s="2" t="s">
        <v>12459</v>
      </c>
      <c r="D6069" s="2" t="s">
        <v>2590</v>
      </c>
      <c r="E6069" s="2" t="str">
        <f>"9781839624322"</f>
        <v>9781839624322</v>
      </c>
      <c r="F6069" s="2" t="str">
        <f>"9781839624346"</f>
        <v>9781839624346</v>
      </c>
    </row>
    <row r="6070" spans="1:6" s="3" customFormat="1" ht="29.1" customHeight="1" x14ac:dyDescent="0.25">
      <c r="A6070" s="2" t="s">
        <v>12847</v>
      </c>
      <c r="B6070" s="2" t="s">
        <v>12848</v>
      </c>
      <c r="C6070" s="2" t="s">
        <v>12459</v>
      </c>
      <c r="D6070" s="2" t="s">
        <v>3817</v>
      </c>
      <c r="E6070" s="2" t="str">
        <f>"9781838810009"</f>
        <v>9781838810009</v>
      </c>
      <c r="F6070" s="2" t="str">
        <f>"9781838810023"</f>
        <v>9781838810023</v>
      </c>
    </row>
    <row r="6071" spans="1:6" s="3" customFormat="1" ht="29.1" customHeight="1" x14ac:dyDescent="0.25">
      <c r="A6071" s="2" t="s">
        <v>12849</v>
      </c>
      <c r="B6071" s="2" t="s">
        <v>12850</v>
      </c>
      <c r="C6071" s="2" t="s">
        <v>12459</v>
      </c>
      <c r="D6071" s="2" t="s">
        <v>52</v>
      </c>
      <c r="E6071" s="2" t="str">
        <f>"9781838805227"</f>
        <v>9781838805227</v>
      </c>
      <c r="F6071" s="2" t="str">
        <f>"9781789857221"</f>
        <v>9781789857221</v>
      </c>
    </row>
    <row r="6072" spans="1:6" s="3" customFormat="1" ht="29.1" customHeight="1" x14ac:dyDescent="0.25">
      <c r="A6072" s="2" t="s">
        <v>12851</v>
      </c>
      <c r="B6072" s="2" t="s">
        <v>12852</v>
      </c>
      <c r="C6072" s="2" t="s">
        <v>12459</v>
      </c>
      <c r="D6072" s="2" t="s">
        <v>101</v>
      </c>
      <c r="E6072" s="2" t="str">
        <f>"9781838801298"</f>
        <v>9781838801298</v>
      </c>
      <c r="F6072" s="2" t="str">
        <f>"9781839629280"</f>
        <v>9781839629280</v>
      </c>
    </row>
    <row r="6073" spans="1:6" s="3" customFormat="1" ht="29.1" customHeight="1" x14ac:dyDescent="0.25">
      <c r="A6073" s="2" t="s">
        <v>12853</v>
      </c>
      <c r="B6073" s="2" t="s">
        <v>12854</v>
      </c>
      <c r="C6073" s="2" t="s">
        <v>12459</v>
      </c>
      <c r="D6073" s="2" t="s">
        <v>1228</v>
      </c>
      <c r="E6073" s="2" t="str">
        <f>"9781838809386"</f>
        <v>9781838809386</v>
      </c>
      <c r="F6073" s="2" t="str">
        <f>"9781838809409"</f>
        <v>9781838809409</v>
      </c>
    </row>
    <row r="6074" spans="1:6" s="3" customFormat="1" ht="29.1" customHeight="1" x14ac:dyDescent="0.25">
      <c r="A6074" s="2" t="s">
        <v>12855</v>
      </c>
      <c r="B6074" s="2" t="s">
        <v>12856</v>
      </c>
      <c r="C6074" s="2" t="s">
        <v>12459</v>
      </c>
      <c r="D6074" s="2" t="s">
        <v>6511</v>
      </c>
      <c r="E6074" s="2" t="str">
        <f>"9781838803315"</f>
        <v>9781838803315</v>
      </c>
      <c r="F6074" s="2" t="str">
        <f>"9781838806170"</f>
        <v>9781838806170</v>
      </c>
    </row>
    <row r="6075" spans="1:6" s="3" customFormat="1" ht="29.1" customHeight="1" x14ac:dyDescent="0.25">
      <c r="A6075" s="2" t="s">
        <v>12857</v>
      </c>
      <c r="B6075" s="2" t="s">
        <v>12858</v>
      </c>
      <c r="C6075" s="2" t="s">
        <v>12459</v>
      </c>
      <c r="D6075" s="2" t="s">
        <v>4270</v>
      </c>
      <c r="E6075" s="2" t="str">
        <f>"9781839623417"</f>
        <v>9781839623417</v>
      </c>
      <c r="F6075" s="2" t="str">
        <f>"9781839623561"</f>
        <v>9781839623561</v>
      </c>
    </row>
    <row r="6076" spans="1:6" s="3" customFormat="1" ht="29.1" customHeight="1" x14ac:dyDescent="0.25">
      <c r="A6076" s="2" t="s">
        <v>12859</v>
      </c>
      <c r="B6076" s="2" t="s">
        <v>12860</v>
      </c>
      <c r="C6076" s="2" t="s">
        <v>12459</v>
      </c>
      <c r="D6076" s="2" t="s">
        <v>12636</v>
      </c>
      <c r="E6076" s="2" t="str">
        <f>"9781789859973"</f>
        <v>9781789859973</v>
      </c>
      <c r="F6076" s="2" t="str">
        <f>"9781839687587"</f>
        <v>9781839687587</v>
      </c>
    </row>
    <row r="6077" spans="1:6" s="3" customFormat="1" ht="29.1" customHeight="1" x14ac:dyDescent="0.25">
      <c r="A6077" s="2" t="s">
        <v>12861</v>
      </c>
      <c r="B6077" s="2" t="s">
        <v>12862</v>
      </c>
      <c r="C6077" s="2" t="s">
        <v>12459</v>
      </c>
      <c r="D6077" s="2" t="s">
        <v>12</v>
      </c>
      <c r="E6077" s="2" t="str">
        <f>"9781789858990"</f>
        <v>9781789858990</v>
      </c>
      <c r="F6077" s="2" t="str">
        <f>"9781839688195"</f>
        <v>9781839688195</v>
      </c>
    </row>
    <row r="6078" spans="1:6" s="3" customFormat="1" ht="29.1" customHeight="1" x14ac:dyDescent="0.25">
      <c r="A6078" s="2" t="s">
        <v>12863</v>
      </c>
      <c r="B6078" s="2" t="s">
        <v>12864</v>
      </c>
      <c r="C6078" s="2" t="s">
        <v>12459</v>
      </c>
      <c r="D6078" s="2" t="s">
        <v>547</v>
      </c>
      <c r="E6078" s="2" t="str">
        <f>"9789535111672"</f>
        <v>9789535111672</v>
      </c>
      <c r="F6078" s="2" t="str">
        <f>"9789535153818"</f>
        <v>9789535153818</v>
      </c>
    </row>
    <row r="6079" spans="1:6" s="3" customFormat="1" ht="29.1" customHeight="1" x14ac:dyDescent="0.25">
      <c r="A6079" s="2" t="s">
        <v>12865</v>
      </c>
      <c r="B6079" s="2" t="s">
        <v>12866</v>
      </c>
      <c r="C6079" s="2" t="s">
        <v>12459</v>
      </c>
      <c r="D6079" s="2" t="s">
        <v>2008</v>
      </c>
      <c r="E6079" s="2" t="str">
        <f>"9789535110514"</f>
        <v>9789535110514</v>
      </c>
      <c r="F6079" s="2" t="str">
        <f>"9789535163268"</f>
        <v>9789535163268</v>
      </c>
    </row>
    <row r="6080" spans="1:6" s="3" customFormat="1" ht="29.1" customHeight="1" x14ac:dyDescent="0.25">
      <c r="A6080" s="2" t="s">
        <v>12867</v>
      </c>
      <c r="B6080" s="2" t="s">
        <v>12868</v>
      </c>
      <c r="C6080" s="2" t="s">
        <v>12459</v>
      </c>
      <c r="D6080" s="2" t="s">
        <v>10545</v>
      </c>
      <c r="E6080" s="2" t="str">
        <f>"9789535111375"</f>
        <v>9789535111375</v>
      </c>
      <c r="F6080" s="2" t="str">
        <f>"9789535163411"</f>
        <v>9789535163411</v>
      </c>
    </row>
    <row r="6081" spans="1:6" s="3" customFormat="1" ht="29.1" customHeight="1" x14ac:dyDescent="0.25">
      <c r="A6081" s="2" t="s">
        <v>12869</v>
      </c>
      <c r="B6081" s="2" t="s">
        <v>12870</v>
      </c>
      <c r="C6081" s="2" t="s">
        <v>12459</v>
      </c>
      <c r="D6081" s="2" t="s">
        <v>6511</v>
      </c>
      <c r="E6081" s="2" t="str">
        <f>"9789535111061"</f>
        <v>9789535111061</v>
      </c>
      <c r="F6081" s="2" t="str">
        <f>"9789535163343"</f>
        <v>9789535163343</v>
      </c>
    </row>
    <row r="6082" spans="1:6" s="3" customFormat="1" ht="29.1" customHeight="1" x14ac:dyDescent="0.25">
      <c r="A6082" s="2" t="s">
        <v>12871</v>
      </c>
      <c r="B6082" s="2" t="s">
        <v>12873</v>
      </c>
      <c r="C6082" s="2" t="s">
        <v>12459</v>
      </c>
      <c r="D6082" s="2" t="s">
        <v>12872</v>
      </c>
      <c r="E6082" s="2" t="str">
        <f>"9789535107620"</f>
        <v>9789535107620</v>
      </c>
      <c r="F6082" s="2" t="str">
        <f>"9789535142751"</f>
        <v>9789535142751</v>
      </c>
    </row>
    <row r="6083" spans="1:6" s="3" customFormat="1" ht="29.1" customHeight="1" x14ac:dyDescent="0.25">
      <c r="A6083" s="2" t="s">
        <v>12874</v>
      </c>
      <c r="B6083" s="2" t="s">
        <v>12876</v>
      </c>
      <c r="C6083" s="2" t="s">
        <v>12459</v>
      </c>
      <c r="D6083" s="2" t="s">
        <v>12875</v>
      </c>
      <c r="E6083" s="2" t="str">
        <f>"9789535107446"</f>
        <v>9789535107446</v>
      </c>
      <c r="F6083" s="2" t="str">
        <f>"9789535142812"</f>
        <v>9789535142812</v>
      </c>
    </row>
    <row r="6084" spans="1:6" s="3" customFormat="1" ht="29.1" customHeight="1" x14ac:dyDescent="0.25">
      <c r="A6084" s="2" t="s">
        <v>12877</v>
      </c>
      <c r="B6084" s="2" t="s">
        <v>12878</v>
      </c>
      <c r="C6084" s="2" t="s">
        <v>12459</v>
      </c>
      <c r="D6084" s="2" t="s">
        <v>12492</v>
      </c>
      <c r="E6084" s="2" t="str">
        <f>"9789535107163"</f>
        <v>9789535107163</v>
      </c>
      <c r="F6084" s="2" t="str">
        <f>"9789535142850"</f>
        <v>9789535142850</v>
      </c>
    </row>
    <row r="6085" spans="1:6" s="3" customFormat="1" ht="29.1" customHeight="1" x14ac:dyDescent="0.25">
      <c r="A6085" s="2" t="s">
        <v>12879</v>
      </c>
      <c r="B6085" s="2" t="s">
        <v>12880</v>
      </c>
      <c r="C6085" s="2" t="s">
        <v>12459</v>
      </c>
      <c r="D6085" s="2" t="s">
        <v>12650</v>
      </c>
      <c r="E6085" s="2" t="str">
        <f>"9789535108108"</f>
        <v>9789535108108</v>
      </c>
      <c r="F6085" s="2" t="str">
        <f>"9789535142683"</f>
        <v>9789535142683</v>
      </c>
    </row>
    <row r="6086" spans="1:6" s="3" customFormat="1" ht="29.1" customHeight="1" x14ac:dyDescent="0.25">
      <c r="A6086" s="2" t="s">
        <v>12881</v>
      </c>
      <c r="B6086" s="2" t="s">
        <v>12882</v>
      </c>
      <c r="C6086" s="2" t="s">
        <v>12459</v>
      </c>
      <c r="D6086" s="2" t="s">
        <v>12513</v>
      </c>
      <c r="E6086" s="2" t="str">
        <f>"9789535111832"</f>
        <v>9789535111832</v>
      </c>
      <c r="F6086" s="2" t="str">
        <f>"9789535142423"</f>
        <v>9789535142423</v>
      </c>
    </row>
    <row r="6087" spans="1:6" s="3" customFormat="1" ht="29.1" customHeight="1" x14ac:dyDescent="0.25">
      <c r="A6087" s="2" t="s">
        <v>12883</v>
      </c>
      <c r="B6087" s="2" t="s">
        <v>12884</v>
      </c>
      <c r="C6087" s="2" t="s">
        <v>12459</v>
      </c>
      <c r="D6087" s="2" t="s">
        <v>2435</v>
      </c>
      <c r="E6087" s="2" t="str">
        <f>"9789535109280"</f>
        <v>9789535109280</v>
      </c>
      <c r="F6087" s="2" t="str">
        <f>"9789535162889"</f>
        <v>9789535162889</v>
      </c>
    </row>
    <row r="6088" spans="1:6" s="3" customFormat="1" ht="29.1" customHeight="1" x14ac:dyDescent="0.25">
      <c r="A6088" s="2" t="s">
        <v>12885</v>
      </c>
      <c r="B6088" s="2" t="s">
        <v>12886</v>
      </c>
      <c r="C6088" s="2" t="s">
        <v>12459</v>
      </c>
      <c r="D6088" s="2" t="s">
        <v>12492</v>
      </c>
      <c r="E6088" s="2" t="str">
        <f>"9789535108641"</f>
        <v>9789535108641</v>
      </c>
      <c r="F6088" s="2" t="str">
        <f>"9789535142645"</f>
        <v>9789535142645</v>
      </c>
    </row>
    <row r="6089" spans="1:6" s="3" customFormat="1" ht="29.1" customHeight="1" x14ac:dyDescent="0.25">
      <c r="A6089" s="2" t="s">
        <v>12887</v>
      </c>
      <c r="B6089" s="2" t="s">
        <v>12888</v>
      </c>
      <c r="C6089" s="2" t="s">
        <v>12459</v>
      </c>
      <c r="D6089" s="2" t="s">
        <v>547</v>
      </c>
      <c r="E6089" s="2" t="str">
        <f>"9789535101857"</f>
        <v>9789535101857</v>
      </c>
      <c r="F6089" s="2" t="str">
        <f>"9789535143253"</f>
        <v>9789535143253</v>
      </c>
    </row>
    <row r="6090" spans="1:6" s="3" customFormat="1" ht="29.1" customHeight="1" x14ac:dyDescent="0.25">
      <c r="A6090" s="2" t="s">
        <v>12889</v>
      </c>
      <c r="B6090" s="2" t="s">
        <v>12870</v>
      </c>
      <c r="C6090" s="2" t="s">
        <v>12459</v>
      </c>
      <c r="D6090" s="2" t="s">
        <v>6511</v>
      </c>
      <c r="E6090" s="2" t="str">
        <f>"9789535111054"</f>
        <v>9789535111054</v>
      </c>
      <c r="F6090" s="2" t="str">
        <f>"9789535163336"</f>
        <v>9789535163336</v>
      </c>
    </row>
    <row r="6091" spans="1:6" s="3" customFormat="1" ht="29.1" customHeight="1" x14ac:dyDescent="0.25">
      <c r="A6091" s="2" t="s">
        <v>12890</v>
      </c>
      <c r="B6091" s="2" t="s">
        <v>12710</v>
      </c>
      <c r="C6091" s="2" t="s">
        <v>12459</v>
      </c>
      <c r="D6091" s="2" t="s">
        <v>12709</v>
      </c>
      <c r="E6091" s="2" t="str">
        <f>"9789535107507"</f>
        <v>9789535107507</v>
      </c>
      <c r="F6091" s="2" t="str">
        <f>"9789535156666"</f>
        <v>9789535156666</v>
      </c>
    </row>
    <row r="6092" spans="1:6" s="3" customFormat="1" ht="29.1" customHeight="1" x14ac:dyDescent="0.25">
      <c r="A6092" s="2" t="s">
        <v>12891</v>
      </c>
      <c r="B6092" s="2" t="s">
        <v>12892</v>
      </c>
      <c r="C6092" s="2" t="s">
        <v>12459</v>
      </c>
      <c r="D6092" s="2" t="s">
        <v>12492</v>
      </c>
      <c r="E6092" s="2" t="str">
        <f>"9789533079059"</f>
        <v>9789533079059</v>
      </c>
      <c r="F6092" s="2" t="str">
        <f>"9789535143529"</f>
        <v>9789535143529</v>
      </c>
    </row>
    <row r="6093" spans="1:6" s="3" customFormat="1" ht="29.1" customHeight="1" x14ac:dyDescent="0.25">
      <c r="A6093" s="2" t="s">
        <v>12893</v>
      </c>
      <c r="B6093" s="2" t="s">
        <v>12894</v>
      </c>
      <c r="C6093" s="2" t="s">
        <v>12459</v>
      </c>
      <c r="D6093" s="2" t="s">
        <v>4288</v>
      </c>
      <c r="E6093" s="2" t="str">
        <f>"9789535104971"</f>
        <v>9789535104971</v>
      </c>
      <c r="F6093" s="2" t="str">
        <f>"9789535143055"</f>
        <v>9789535143055</v>
      </c>
    </row>
    <row r="6094" spans="1:6" s="3" customFormat="1" ht="29.1" customHeight="1" x14ac:dyDescent="0.25">
      <c r="A6094" s="2" t="s">
        <v>12895</v>
      </c>
      <c r="B6094" s="2" t="s">
        <v>12612</v>
      </c>
      <c r="C6094" s="2" t="s">
        <v>12459</v>
      </c>
      <c r="D6094" s="2" t="s">
        <v>12611</v>
      </c>
      <c r="E6094" s="2" t="str">
        <f>"9789535100072"</f>
        <v>9789535100072</v>
      </c>
      <c r="F6094" s="2" t="str">
        <f>"9789535152033"</f>
        <v>9789535152033</v>
      </c>
    </row>
    <row r="6095" spans="1:6" s="3" customFormat="1" ht="29.1" customHeight="1" x14ac:dyDescent="0.25">
      <c r="A6095" s="2" t="s">
        <v>12896</v>
      </c>
      <c r="B6095" s="2" t="s">
        <v>12897</v>
      </c>
      <c r="C6095" s="2" t="s">
        <v>12459</v>
      </c>
      <c r="D6095" s="2" t="s">
        <v>8338</v>
      </c>
      <c r="E6095" s="2" t="str">
        <f>"9789535105053"</f>
        <v>9789535105053</v>
      </c>
      <c r="F6095" s="2" t="str">
        <f>"9789535161967"</f>
        <v>9789535161967</v>
      </c>
    </row>
    <row r="6096" spans="1:6" s="3" customFormat="1" ht="29.1" customHeight="1" x14ac:dyDescent="0.25">
      <c r="A6096" s="2" t="s">
        <v>12898</v>
      </c>
      <c r="B6096" s="2" t="s">
        <v>12899</v>
      </c>
      <c r="C6096" s="2" t="s">
        <v>12459</v>
      </c>
      <c r="D6096" s="2" t="s">
        <v>12470</v>
      </c>
      <c r="E6096" s="2" t="str">
        <f>"9789535104537"</f>
        <v>9789535104537</v>
      </c>
      <c r="F6096" s="2" t="str">
        <f>"9789535161950"</f>
        <v>9789535161950</v>
      </c>
    </row>
    <row r="6097" spans="1:6" s="3" customFormat="1" ht="29.1" customHeight="1" x14ac:dyDescent="0.25">
      <c r="A6097" s="2" t="s">
        <v>12900</v>
      </c>
      <c r="B6097" s="2" t="s">
        <v>12902</v>
      </c>
      <c r="C6097" s="2" t="s">
        <v>12459</v>
      </c>
      <c r="D6097" s="2" t="s">
        <v>12901</v>
      </c>
      <c r="E6097" s="2" t="str">
        <f>"9789535100041"</f>
        <v>9789535100041</v>
      </c>
      <c r="F6097" s="2" t="str">
        <f>"9789535143635"</f>
        <v>9789535143635</v>
      </c>
    </row>
    <row r="6098" spans="1:6" s="3" customFormat="1" ht="29.1" customHeight="1" x14ac:dyDescent="0.25">
      <c r="A6098" s="2" t="s">
        <v>12903</v>
      </c>
      <c r="B6098" s="2" t="s">
        <v>12904</v>
      </c>
      <c r="C6098" s="2" t="s">
        <v>12459</v>
      </c>
      <c r="D6098" s="2" t="s">
        <v>7359</v>
      </c>
      <c r="E6098" s="2" t="str">
        <f>"9789535101253"</f>
        <v>9789535101253</v>
      </c>
      <c r="F6098" s="2" t="str">
        <f>"9789535168362"</f>
        <v>9789535168362</v>
      </c>
    </row>
    <row r="6099" spans="1:6" s="3" customFormat="1" ht="29.1" customHeight="1" x14ac:dyDescent="0.25">
      <c r="A6099" s="2" t="s">
        <v>12905</v>
      </c>
      <c r="B6099" s="2" t="s">
        <v>12906</v>
      </c>
      <c r="C6099" s="2" t="s">
        <v>12459</v>
      </c>
      <c r="D6099" s="2" t="s">
        <v>12544</v>
      </c>
      <c r="E6099" s="2" t="str">
        <f>"9789533076058"</f>
        <v>9789533076058</v>
      </c>
      <c r="F6099" s="2" t="str">
        <f>"9789535144304"</f>
        <v>9789535144304</v>
      </c>
    </row>
    <row r="6100" spans="1:6" s="3" customFormat="1" ht="29.1" customHeight="1" x14ac:dyDescent="0.25">
      <c r="A6100" s="2" t="s">
        <v>12907</v>
      </c>
      <c r="B6100" s="2" t="s">
        <v>12908</v>
      </c>
      <c r="C6100" s="2" t="s">
        <v>12459</v>
      </c>
      <c r="D6100" s="2" t="s">
        <v>9625</v>
      </c>
      <c r="E6100" s="2" t="str">
        <f>"9789535106951"</f>
        <v>9789535106951</v>
      </c>
      <c r="F6100" s="2" t="str">
        <f>"9789535142881"</f>
        <v>9789535142881</v>
      </c>
    </row>
    <row r="6101" spans="1:6" s="3" customFormat="1" ht="29.1" customHeight="1" x14ac:dyDescent="0.25">
      <c r="A6101" s="2" t="s">
        <v>12909</v>
      </c>
      <c r="B6101" s="2" t="s">
        <v>12910</v>
      </c>
      <c r="C6101" s="2" t="s">
        <v>12459</v>
      </c>
      <c r="D6101" s="2" t="s">
        <v>12709</v>
      </c>
      <c r="E6101" s="2" t="str">
        <f>"9789533077086"</f>
        <v>9789533077086</v>
      </c>
      <c r="F6101" s="2" t="str">
        <f>"9789535155928"</f>
        <v>9789535155928</v>
      </c>
    </row>
    <row r="6102" spans="1:6" s="3" customFormat="1" ht="29.1" customHeight="1" x14ac:dyDescent="0.25">
      <c r="A6102" s="2" t="s">
        <v>12911</v>
      </c>
      <c r="B6102" s="2" t="s">
        <v>12912</v>
      </c>
      <c r="C6102" s="2" t="s">
        <v>12459</v>
      </c>
      <c r="D6102" s="2" t="s">
        <v>12709</v>
      </c>
      <c r="E6102" s="2" t="str">
        <f>"9789533079141"</f>
        <v>9789533079141</v>
      </c>
      <c r="F6102" s="2" t="str">
        <f>"9789535155911"</f>
        <v>9789535155911</v>
      </c>
    </row>
    <row r="6103" spans="1:6" s="3" customFormat="1" ht="29.1" customHeight="1" x14ac:dyDescent="0.25">
      <c r="A6103" s="2" t="s">
        <v>12913</v>
      </c>
      <c r="B6103" s="2" t="s">
        <v>12914</v>
      </c>
      <c r="C6103" s="2" t="s">
        <v>12459</v>
      </c>
      <c r="D6103" s="2" t="s">
        <v>12709</v>
      </c>
      <c r="E6103" s="2" t="str">
        <f>"9789533076560"</f>
        <v>9789533076560</v>
      </c>
      <c r="F6103" s="2" t="str">
        <f>"9789535155904"</f>
        <v>9789535155904</v>
      </c>
    </row>
    <row r="6104" spans="1:6" s="3" customFormat="1" ht="29.1" customHeight="1" x14ac:dyDescent="0.25">
      <c r="A6104" s="2" t="s">
        <v>12915</v>
      </c>
      <c r="B6104" s="2" t="s">
        <v>12916</v>
      </c>
      <c r="C6104" s="2" t="s">
        <v>12459</v>
      </c>
      <c r="D6104" s="2" t="s">
        <v>12492</v>
      </c>
      <c r="E6104" s="2" t="str">
        <f>"9789535102960"</f>
        <v>9789535102960</v>
      </c>
      <c r="F6104" s="2" t="str">
        <f>"9789535143178"</f>
        <v>9789535143178</v>
      </c>
    </row>
    <row r="6105" spans="1:6" s="3" customFormat="1" ht="29.1" customHeight="1" x14ac:dyDescent="0.25">
      <c r="A6105" s="2" t="s">
        <v>12917</v>
      </c>
      <c r="B6105" s="2" t="s">
        <v>12612</v>
      </c>
      <c r="C6105" s="2" t="s">
        <v>12459</v>
      </c>
      <c r="D6105" s="2" t="s">
        <v>12611</v>
      </c>
      <c r="E6105" s="2" t="str">
        <f>"9789535100508"</f>
        <v>9789535100508</v>
      </c>
      <c r="F6105" s="2" t="str">
        <f>"9789535143499"</f>
        <v>9789535143499</v>
      </c>
    </row>
    <row r="6106" spans="1:6" s="3" customFormat="1" ht="29.1" customHeight="1" x14ac:dyDescent="0.25">
      <c r="A6106" s="2" t="s">
        <v>12918</v>
      </c>
      <c r="B6106" s="2" t="s">
        <v>12919</v>
      </c>
      <c r="C6106" s="2" t="s">
        <v>12459</v>
      </c>
      <c r="D6106" s="2" t="s">
        <v>9550</v>
      </c>
      <c r="E6106" s="2" t="str">
        <f>"9789533079219"</f>
        <v>9789533079219</v>
      </c>
      <c r="F6106" s="2" t="str">
        <f>"9789535143680"</f>
        <v>9789535143680</v>
      </c>
    </row>
    <row r="6107" spans="1:6" s="3" customFormat="1" ht="29.1" customHeight="1" x14ac:dyDescent="0.25">
      <c r="A6107" s="2" t="s">
        <v>12920</v>
      </c>
      <c r="B6107" s="2" t="s">
        <v>12921</v>
      </c>
      <c r="C6107" s="2" t="s">
        <v>12459</v>
      </c>
      <c r="D6107" s="2" t="s">
        <v>12611</v>
      </c>
      <c r="E6107" s="2" t="str">
        <f>"9789533078953"</f>
        <v>9789533078953</v>
      </c>
      <c r="F6107" s="2" t="str">
        <f>"9789535143574"</f>
        <v>9789535143574</v>
      </c>
    </row>
    <row r="6108" spans="1:6" s="3" customFormat="1" ht="29.1" customHeight="1" x14ac:dyDescent="0.25">
      <c r="A6108" s="2" t="s">
        <v>12922</v>
      </c>
      <c r="B6108" s="2" t="s">
        <v>12923</v>
      </c>
      <c r="C6108" s="2" t="s">
        <v>12459</v>
      </c>
      <c r="D6108" s="2" t="s">
        <v>468</v>
      </c>
      <c r="E6108" s="2" t="str">
        <f>"9789533076621"</f>
        <v>9789533076621</v>
      </c>
      <c r="F6108" s="2" t="str">
        <f>"9789535166214"</f>
        <v>9789535166214</v>
      </c>
    </row>
    <row r="6109" spans="1:6" s="3" customFormat="1" ht="29.1" customHeight="1" x14ac:dyDescent="0.25">
      <c r="A6109" s="2" t="s">
        <v>12924</v>
      </c>
      <c r="B6109" s="2" t="s">
        <v>12925</v>
      </c>
      <c r="C6109" s="2" t="s">
        <v>12459</v>
      </c>
      <c r="D6109" s="2" t="s">
        <v>3817</v>
      </c>
      <c r="E6109" s="2" t="str">
        <f>"9789533074788"</f>
        <v>9789533074788</v>
      </c>
      <c r="F6109" s="2" t="str">
        <f>"9789535144359"</f>
        <v>9789535144359</v>
      </c>
    </row>
    <row r="6110" spans="1:6" s="3" customFormat="1" ht="29.1" customHeight="1" x14ac:dyDescent="0.25">
      <c r="A6110" s="2" t="s">
        <v>12926</v>
      </c>
      <c r="B6110" s="2" t="s">
        <v>12906</v>
      </c>
      <c r="C6110" s="2" t="s">
        <v>12459</v>
      </c>
      <c r="D6110" s="2" t="s">
        <v>12544</v>
      </c>
      <c r="E6110" s="2" t="str">
        <f>"9789533076348"</f>
        <v>9789533076348</v>
      </c>
      <c r="F6110" s="2" t="str">
        <f>"9789535144212"</f>
        <v>9789535144212</v>
      </c>
    </row>
    <row r="6111" spans="1:6" s="3" customFormat="1" ht="29.1" customHeight="1" x14ac:dyDescent="0.25">
      <c r="A6111" s="2" t="s">
        <v>12927</v>
      </c>
      <c r="B6111" s="2" t="s">
        <v>12928</v>
      </c>
      <c r="C6111" s="2" t="s">
        <v>12459</v>
      </c>
      <c r="D6111" s="2" t="s">
        <v>2008</v>
      </c>
      <c r="E6111" s="2" t="str">
        <f>"9789533076638"</f>
        <v>9789533076638</v>
      </c>
      <c r="F6111" s="2" t="str">
        <f>"9789535144502"</f>
        <v>9789535144502</v>
      </c>
    </row>
    <row r="6112" spans="1:6" s="3" customFormat="1" ht="29.1" customHeight="1" x14ac:dyDescent="0.25">
      <c r="A6112" s="2" t="s">
        <v>12929</v>
      </c>
      <c r="B6112" s="2" t="s">
        <v>12930</v>
      </c>
      <c r="C6112" s="2" t="s">
        <v>12459</v>
      </c>
      <c r="D6112" s="2" t="s">
        <v>12709</v>
      </c>
      <c r="E6112" s="2" t="str">
        <f>"9789533079073"</f>
        <v>9789533079073</v>
      </c>
      <c r="F6112" s="2" t="str">
        <f>"9789535155522"</f>
        <v>9789535155522</v>
      </c>
    </row>
    <row r="6113" spans="1:6" s="3" customFormat="1" ht="29.1" customHeight="1" x14ac:dyDescent="0.25">
      <c r="A6113" s="2" t="s">
        <v>12931</v>
      </c>
      <c r="B6113" s="2" t="s">
        <v>12932</v>
      </c>
      <c r="C6113" s="2" t="s">
        <v>12459</v>
      </c>
      <c r="D6113" s="2" t="s">
        <v>6511</v>
      </c>
      <c r="E6113" s="2" t="str">
        <f>"9789533075082"</f>
        <v>9789533075082</v>
      </c>
      <c r="F6113" s="2" t="str">
        <f>"9789535144915"</f>
        <v>9789535144915</v>
      </c>
    </row>
    <row r="6114" spans="1:6" s="3" customFormat="1" ht="29.1" customHeight="1" x14ac:dyDescent="0.25">
      <c r="A6114" s="2" t="s">
        <v>12933</v>
      </c>
      <c r="B6114" s="2" t="s">
        <v>12934</v>
      </c>
      <c r="C6114" s="2" t="s">
        <v>12459</v>
      </c>
      <c r="D6114" s="2" t="s">
        <v>265</v>
      </c>
      <c r="E6114" s="2" t="str">
        <f>"9789533072432"</f>
        <v>9789533072432</v>
      </c>
      <c r="F6114" s="2" t="str">
        <f>"9789535144984"</f>
        <v>9789535144984</v>
      </c>
    </row>
    <row r="6115" spans="1:6" s="3" customFormat="1" ht="29.1" customHeight="1" x14ac:dyDescent="0.25">
      <c r="A6115" s="2" t="s">
        <v>12935</v>
      </c>
      <c r="B6115" s="2" t="s">
        <v>12936</v>
      </c>
      <c r="C6115" s="2" t="s">
        <v>12459</v>
      </c>
      <c r="D6115" s="2" t="s">
        <v>12872</v>
      </c>
      <c r="E6115" s="2" t="str">
        <f>"9789533072173"</f>
        <v>9789533072173</v>
      </c>
      <c r="F6115" s="2" t="str">
        <f>"9789535144960"</f>
        <v>9789535144960</v>
      </c>
    </row>
    <row r="6116" spans="1:6" s="3" customFormat="1" ht="29.1" customHeight="1" x14ac:dyDescent="0.25">
      <c r="A6116" s="2" t="s">
        <v>12937</v>
      </c>
      <c r="B6116" s="2" t="s">
        <v>12939</v>
      </c>
      <c r="C6116" s="2" t="s">
        <v>12459</v>
      </c>
      <c r="D6116" s="2" t="s">
        <v>12938</v>
      </c>
      <c r="E6116" s="2" t="str">
        <f>"9789533072661"</f>
        <v>9789533072661</v>
      </c>
      <c r="F6116" s="2" t="str">
        <f>"9789535145400"</f>
        <v>9789535145400</v>
      </c>
    </row>
    <row r="6117" spans="1:6" s="3" customFormat="1" ht="29.1" customHeight="1" x14ac:dyDescent="0.25">
      <c r="A6117" s="2" t="s">
        <v>12940</v>
      </c>
      <c r="B6117" s="2" t="s">
        <v>12942</v>
      </c>
      <c r="C6117" s="2" t="s">
        <v>12459</v>
      </c>
      <c r="D6117" s="2" t="s">
        <v>12941</v>
      </c>
      <c r="E6117" s="2" t="str">
        <f>"9789533072425"</f>
        <v>9789533072425</v>
      </c>
      <c r="F6117" s="2" t="str">
        <f>"9789535145387"</f>
        <v>9789535145387</v>
      </c>
    </row>
    <row r="6118" spans="1:6" s="3" customFormat="1" ht="29.1" customHeight="1" x14ac:dyDescent="0.25">
      <c r="A6118" s="2" t="s">
        <v>12943</v>
      </c>
      <c r="B6118" s="2" t="s">
        <v>12944</v>
      </c>
      <c r="C6118" s="2" t="s">
        <v>12459</v>
      </c>
      <c r="D6118" s="2" t="s">
        <v>1313</v>
      </c>
      <c r="E6118" s="2" t="str">
        <f>"9781839621987"</f>
        <v>9781839621987</v>
      </c>
      <c r="F6118" s="2" t="str">
        <f>"9781839622007"</f>
        <v>9781839622007</v>
      </c>
    </row>
    <row r="6119" spans="1:6" s="3" customFormat="1" ht="29.1" customHeight="1" x14ac:dyDescent="0.25">
      <c r="A6119" s="2" t="s">
        <v>12945</v>
      </c>
      <c r="B6119" s="2" t="s">
        <v>12946</v>
      </c>
      <c r="C6119" s="2" t="s">
        <v>12459</v>
      </c>
      <c r="D6119" s="2" t="s">
        <v>1666</v>
      </c>
      <c r="E6119" s="2" t="str">
        <f>"9781789848069"</f>
        <v>9781789848069</v>
      </c>
      <c r="F6119" s="2" t="str">
        <f>"9781789858648"</f>
        <v>9781789858648</v>
      </c>
    </row>
    <row r="6120" spans="1:6" s="3" customFormat="1" ht="29.1" customHeight="1" x14ac:dyDescent="0.25">
      <c r="A6120" s="2" t="s">
        <v>12947</v>
      </c>
      <c r="B6120" s="2" t="s">
        <v>12948</v>
      </c>
      <c r="C6120" s="2" t="s">
        <v>12459</v>
      </c>
      <c r="D6120" s="2" t="s">
        <v>12</v>
      </c>
      <c r="E6120" s="2" t="str">
        <f>"9781789845860"</f>
        <v>9781789845860</v>
      </c>
      <c r="F6120" s="2" t="str">
        <f>"9781839684425"</f>
        <v>9781839684425</v>
      </c>
    </row>
    <row r="6121" spans="1:6" s="3" customFormat="1" ht="29.1" customHeight="1" x14ac:dyDescent="0.25">
      <c r="A6121" s="2" t="s">
        <v>12949</v>
      </c>
      <c r="B6121" s="2" t="s">
        <v>12950</v>
      </c>
      <c r="C6121" s="2" t="s">
        <v>12459</v>
      </c>
      <c r="D6121" s="2" t="s">
        <v>3817</v>
      </c>
      <c r="E6121" s="2" t="str">
        <f>"9781789842838"</f>
        <v>9781789842838</v>
      </c>
      <c r="F6121" s="2" t="str">
        <f>"9781839621550"</f>
        <v>9781839621550</v>
      </c>
    </row>
    <row r="6122" spans="1:6" s="3" customFormat="1" ht="29.1" customHeight="1" x14ac:dyDescent="0.25">
      <c r="A6122" s="2" t="s">
        <v>12951</v>
      </c>
      <c r="B6122" s="2" t="s">
        <v>12952</v>
      </c>
      <c r="C6122" s="2" t="s">
        <v>12459</v>
      </c>
      <c r="D6122" s="2" t="s">
        <v>52</v>
      </c>
      <c r="E6122" s="2" t="str">
        <f>"9781789841114"</f>
        <v>9781789841114</v>
      </c>
      <c r="F6122" s="2" t="str">
        <f>"9781838807283"</f>
        <v>9781838807283</v>
      </c>
    </row>
    <row r="6123" spans="1:6" s="3" customFormat="1" ht="29.1" customHeight="1" x14ac:dyDescent="0.25">
      <c r="A6123" s="2" t="s">
        <v>12953</v>
      </c>
      <c r="B6123" s="2" t="s">
        <v>12954</v>
      </c>
      <c r="C6123" s="2" t="s">
        <v>12459</v>
      </c>
      <c r="D6123" s="2" t="s">
        <v>12520</v>
      </c>
      <c r="E6123" s="2" t="str">
        <f>"9781838819361"</f>
        <v>9781838819361</v>
      </c>
      <c r="F6123" s="2" t="str">
        <f>"9781838819385"</f>
        <v>9781838819385</v>
      </c>
    </row>
    <row r="6124" spans="1:6" s="3" customFormat="1" ht="29.1" customHeight="1" x14ac:dyDescent="0.25">
      <c r="A6124" s="2" t="s">
        <v>12955</v>
      </c>
      <c r="B6124" s="2" t="s">
        <v>12956</v>
      </c>
      <c r="C6124" s="2" t="s">
        <v>12459</v>
      </c>
      <c r="D6124" s="2" t="s">
        <v>2590</v>
      </c>
      <c r="E6124" s="2" t="str">
        <f>"9781789857894"</f>
        <v>9781789857894</v>
      </c>
      <c r="F6124" s="2" t="str">
        <f>"9781839621031"</f>
        <v>9781839621031</v>
      </c>
    </row>
    <row r="6125" spans="1:6" s="3" customFormat="1" ht="29.1" customHeight="1" x14ac:dyDescent="0.25">
      <c r="A6125" s="2" t="s">
        <v>12957</v>
      </c>
      <c r="B6125" s="2" t="s">
        <v>12958</v>
      </c>
      <c r="C6125" s="2" t="s">
        <v>12459</v>
      </c>
      <c r="D6125" s="2" t="s">
        <v>5115</v>
      </c>
      <c r="E6125" s="2" t="str">
        <f>"9781838812058"</f>
        <v>9781838812058</v>
      </c>
      <c r="F6125" s="2" t="str">
        <f>"9781838812072"</f>
        <v>9781838812072</v>
      </c>
    </row>
    <row r="6126" spans="1:6" s="3" customFormat="1" ht="29.1" customHeight="1" x14ac:dyDescent="0.25">
      <c r="A6126" s="2" t="s">
        <v>12959</v>
      </c>
      <c r="B6126" s="2" t="s">
        <v>12960</v>
      </c>
      <c r="C6126" s="2" t="s">
        <v>12459</v>
      </c>
      <c r="D6126" s="2" t="s">
        <v>12</v>
      </c>
      <c r="E6126" s="2" t="str">
        <f>"9781839690389"</f>
        <v>9781839690389</v>
      </c>
      <c r="F6126" s="2" t="str">
        <f>"9781839690402"</f>
        <v>9781839690402</v>
      </c>
    </row>
    <row r="6127" spans="1:6" s="3" customFormat="1" ht="29.1" customHeight="1" x14ac:dyDescent="0.25">
      <c r="A6127" s="2" t="s">
        <v>12961</v>
      </c>
      <c r="B6127" s="2" t="s">
        <v>12962</v>
      </c>
      <c r="C6127" s="2" t="s">
        <v>12459</v>
      </c>
      <c r="D6127" s="2" t="s">
        <v>2433</v>
      </c>
      <c r="E6127" s="2" t="str">
        <f>"9781789856675"</f>
        <v>9781789856675</v>
      </c>
      <c r="F6127" s="2" t="str">
        <f>"9781838800390"</f>
        <v>9781838800390</v>
      </c>
    </row>
    <row r="6128" spans="1:6" s="3" customFormat="1" ht="29.1" customHeight="1" x14ac:dyDescent="0.25">
      <c r="A6128" s="2" t="s">
        <v>12963</v>
      </c>
      <c r="B6128" s="2" t="s">
        <v>12964</v>
      </c>
      <c r="C6128" s="2" t="s">
        <v>12459</v>
      </c>
      <c r="D6128" s="2" t="s">
        <v>12650</v>
      </c>
      <c r="E6128" s="2" t="str">
        <f>"9781838806101"</f>
        <v>9781838806101</v>
      </c>
      <c r="F6128" s="2" t="str">
        <f>"9781838808747"</f>
        <v>9781838808747</v>
      </c>
    </row>
    <row r="6129" spans="1:6" s="3" customFormat="1" ht="29.1" customHeight="1" x14ac:dyDescent="0.25">
      <c r="A6129" s="2" t="s">
        <v>12965</v>
      </c>
      <c r="B6129" s="2" t="s">
        <v>12966</v>
      </c>
      <c r="C6129" s="2" t="s">
        <v>12459</v>
      </c>
      <c r="D6129" s="2" t="s">
        <v>12492</v>
      </c>
      <c r="E6129" s="2" t="str">
        <f>"9781838801151"</f>
        <v>9781838801151</v>
      </c>
      <c r="F6129" s="2" t="str">
        <f>"9781789856972"</f>
        <v>9781789856972</v>
      </c>
    </row>
    <row r="6130" spans="1:6" s="3" customFormat="1" ht="29.1" customHeight="1" x14ac:dyDescent="0.25">
      <c r="A6130" s="2" t="s">
        <v>12967</v>
      </c>
      <c r="B6130" s="2" t="s">
        <v>12968</v>
      </c>
      <c r="C6130" s="2" t="s">
        <v>12459</v>
      </c>
      <c r="D6130" s="2" t="s">
        <v>3567</v>
      </c>
      <c r="E6130" s="2" t="str">
        <f>"9781789854497"</f>
        <v>9781789854497</v>
      </c>
      <c r="F6130" s="2" t="str">
        <f>"9781789856439"</f>
        <v>9781789856439</v>
      </c>
    </row>
    <row r="6131" spans="1:6" s="3" customFormat="1" ht="29.1" customHeight="1" x14ac:dyDescent="0.25">
      <c r="A6131" s="2" t="s">
        <v>12969</v>
      </c>
      <c r="B6131" s="2" t="s">
        <v>12970</v>
      </c>
      <c r="C6131" s="2" t="s">
        <v>12459</v>
      </c>
      <c r="D6131" s="2" t="s">
        <v>60</v>
      </c>
      <c r="E6131" s="2" t="str">
        <f>"9781789850598"</f>
        <v>9781789850598</v>
      </c>
      <c r="F6131" s="2" t="str">
        <f>"9781839620041"</f>
        <v>9781839620041</v>
      </c>
    </row>
    <row r="6132" spans="1:6" s="3" customFormat="1" ht="29.1" customHeight="1" x14ac:dyDescent="0.25">
      <c r="A6132" s="2" t="s">
        <v>12971</v>
      </c>
      <c r="B6132" s="2" t="s">
        <v>12972</v>
      </c>
      <c r="C6132" s="2" t="s">
        <v>12459</v>
      </c>
      <c r="D6132" s="2" t="s">
        <v>2590</v>
      </c>
      <c r="E6132" s="2" t="str">
        <f>"9781789856415"</f>
        <v>9781789856415</v>
      </c>
      <c r="F6132" s="2" t="str">
        <f>"9781839685583"</f>
        <v>9781839685583</v>
      </c>
    </row>
    <row r="6133" spans="1:6" s="3" customFormat="1" ht="29.1" customHeight="1" x14ac:dyDescent="0.25">
      <c r="A6133" s="2" t="s">
        <v>12973</v>
      </c>
      <c r="B6133" s="2" t="s">
        <v>12974</v>
      </c>
      <c r="C6133" s="2" t="s">
        <v>12459</v>
      </c>
      <c r="D6133" s="2" t="s">
        <v>2104</v>
      </c>
      <c r="E6133" s="2" t="str">
        <f>"9781789238112"</f>
        <v>9781789238112</v>
      </c>
      <c r="F6133" s="2" t="str">
        <f>"9781839624858"</f>
        <v>9781839624858</v>
      </c>
    </row>
    <row r="6134" spans="1:6" s="3" customFormat="1" ht="29.1" customHeight="1" x14ac:dyDescent="0.25">
      <c r="A6134" s="2" t="s">
        <v>12975</v>
      </c>
      <c r="B6134" s="2" t="s">
        <v>12976</v>
      </c>
      <c r="C6134" s="2" t="s">
        <v>12459</v>
      </c>
      <c r="D6134" s="2" t="s">
        <v>12650</v>
      </c>
      <c r="E6134" s="2" t="str">
        <f>"9781789239751"</f>
        <v>9781789239751</v>
      </c>
      <c r="F6134" s="2" t="str">
        <f>"9781789852196"</f>
        <v>9781789852196</v>
      </c>
    </row>
    <row r="6135" spans="1:6" s="3" customFormat="1" ht="29.1" customHeight="1" x14ac:dyDescent="0.25">
      <c r="A6135" s="2" t="s">
        <v>12977</v>
      </c>
      <c r="B6135" s="2" t="s">
        <v>12807</v>
      </c>
      <c r="C6135" s="2" t="s">
        <v>12459</v>
      </c>
      <c r="D6135" s="2" t="s">
        <v>12650</v>
      </c>
      <c r="E6135" s="2" t="str">
        <f>"9781789846409"</f>
        <v>9781789846409</v>
      </c>
      <c r="F6135" s="2" t="str">
        <f>"9781838808518"</f>
        <v>9781838808518</v>
      </c>
    </row>
    <row r="6136" spans="1:6" s="3" customFormat="1" ht="29.1" customHeight="1" x14ac:dyDescent="0.25">
      <c r="A6136" s="2" t="s">
        <v>12978</v>
      </c>
      <c r="B6136" s="2" t="s">
        <v>12979</v>
      </c>
      <c r="C6136" s="2" t="s">
        <v>12459</v>
      </c>
      <c r="D6136" s="2" t="s">
        <v>159</v>
      </c>
      <c r="E6136" s="2" t="str">
        <f>"9781839626944"</f>
        <v>9781839626944</v>
      </c>
      <c r="F6136" s="2" t="str">
        <f>"9781839626968"</f>
        <v>9781839626968</v>
      </c>
    </row>
    <row r="6137" spans="1:6" s="3" customFormat="1" ht="29.1" customHeight="1" x14ac:dyDescent="0.25">
      <c r="A6137" s="2" t="s">
        <v>12980</v>
      </c>
      <c r="B6137" s="2" t="s">
        <v>12952</v>
      </c>
      <c r="C6137" s="2" t="s">
        <v>12459</v>
      </c>
      <c r="D6137" s="2" t="s">
        <v>12981</v>
      </c>
      <c r="E6137" s="2" t="str">
        <f>"9781789848021"</f>
        <v>9781789848021</v>
      </c>
      <c r="F6137" s="2" t="str">
        <f>"9781839685163"</f>
        <v>9781839685163</v>
      </c>
    </row>
    <row r="6138" spans="1:6" s="3" customFormat="1" ht="29.1" customHeight="1" x14ac:dyDescent="0.25">
      <c r="A6138" s="2" t="s">
        <v>12982</v>
      </c>
      <c r="B6138" s="2" t="s">
        <v>12983</v>
      </c>
      <c r="C6138" s="2" t="s">
        <v>12459</v>
      </c>
      <c r="D6138" s="2" t="s">
        <v>6511</v>
      </c>
      <c r="E6138" s="2" t="str">
        <f>"9781789841992"</f>
        <v>9781789841992</v>
      </c>
      <c r="F6138" s="2" t="str">
        <f>"9781839620515"</f>
        <v>9781839620515</v>
      </c>
    </row>
    <row r="6139" spans="1:6" s="3" customFormat="1" ht="29.1" customHeight="1" x14ac:dyDescent="0.25">
      <c r="A6139" s="2" t="s">
        <v>12984</v>
      </c>
      <c r="B6139" s="2" t="s">
        <v>12985</v>
      </c>
      <c r="C6139" s="2" t="s">
        <v>12459</v>
      </c>
      <c r="D6139" s="2" t="s">
        <v>12492</v>
      </c>
      <c r="E6139" s="2" t="str">
        <f>"9781789840339"</f>
        <v>9781789840339</v>
      </c>
      <c r="F6139" s="2" t="str">
        <f>"9781789856408"</f>
        <v>9781789856408</v>
      </c>
    </row>
    <row r="6140" spans="1:6" s="3" customFormat="1" ht="29.1" customHeight="1" x14ac:dyDescent="0.25">
      <c r="A6140" s="2" t="s">
        <v>12986</v>
      </c>
      <c r="B6140" s="2" t="s">
        <v>12987</v>
      </c>
      <c r="C6140" s="2" t="s">
        <v>12459</v>
      </c>
      <c r="D6140" s="2" t="s">
        <v>1666</v>
      </c>
      <c r="E6140" s="2" t="str">
        <f>"9781789847383"</f>
        <v>9781789847383</v>
      </c>
      <c r="F6140" s="2" t="str">
        <f>"9781839627033"</f>
        <v>9781839627033</v>
      </c>
    </row>
    <row r="6141" spans="1:6" s="3" customFormat="1" ht="29.1" customHeight="1" x14ac:dyDescent="0.25">
      <c r="A6141" s="2" t="s">
        <v>12988</v>
      </c>
      <c r="B6141" s="2" t="s">
        <v>12989</v>
      </c>
      <c r="C6141" s="2" t="s">
        <v>12459</v>
      </c>
      <c r="D6141" s="2" t="s">
        <v>3817</v>
      </c>
      <c r="E6141" s="2" t="str">
        <f>"9781789845907"</f>
        <v>9781789845907</v>
      </c>
      <c r="F6141" s="2" t="str">
        <f>"9781838803728"</f>
        <v>9781838803728</v>
      </c>
    </row>
    <row r="6142" spans="1:6" s="3" customFormat="1" ht="29.1" customHeight="1" x14ac:dyDescent="0.25">
      <c r="A6142" s="2" t="s">
        <v>12990</v>
      </c>
      <c r="B6142" s="2" t="s">
        <v>12991</v>
      </c>
      <c r="C6142" s="2" t="s">
        <v>12459</v>
      </c>
      <c r="D6142" s="2" t="s">
        <v>12465</v>
      </c>
      <c r="E6142" s="2" t="str">
        <f>"9781789239874"</f>
        <v>9781789239874</v>
      </c>
      <c r="F6142" s="2" t="str">
        <f>"9781839682216"</f>
        <v>9781839682216</v>
      </c>
    </row>
    <row r="6143" spans="1:6" s="3" customFormat="1" ht="29.1" customHeight="1" x14ac:dyDescent="0.25">
      <c r="A6143" s="2" t="s">
        <v>12992</v>
      </c>
      <c r="B6143" s="2" t="s">
        <v>12993</v>
      </c>
      <c r="C6143" s="2" t="s">
        <v>12459</v>
      </c>
      <c r="D6143" s="2" t="s">
        <v>12450</v>
      </c>
      <c r="E6143" s="2" t="str">
        <f>"9781789848182"</f>
        <v>9781789848182</v>
      </c>
      <c r="F6143" s="2" t="str">
        <f>"9781839620294"</f>
        <v>9781839620294</v>
      </c>
    </row>
    <row r="6144" spans="1:6" s="3" customFormat="1" ht="29.1" customHeight="1" x14ac:dyDescent="0.25">
      <c r="A6144" s="2" t="s">
        <v>12994</v>
      </c>
      <c r="B6144" s="2" t="s">
        <v>12995</v>
      </c>
      <c r="C6144" s="2" t="s">
        <v>12459</v>
      </c>
      <c r="D6144" s="2" t="s">
        <v>12450</v>
      </c>
      <c r="E6144" s="2" t="str">
        <f>"9781789854756"</f>
        <v>9781789854756</v>
      </c>
      <c r="F6144" s="2" t="str">
        <f>"9781839620584"</f>
        <v>9781839620584</v>
      </c>
    </row>
    <row r="6145" spans="1:6" s="3" customFormat="1" ht="29.1" customHeight="1" x14ac:dyDescent="0.25">
      <c r="A6145" s="2" t="s">
        <v>12996</v>
      </c>
      <c r="B6145" s="2" t="s">
        <v>12997</v>
      </c>
      <c r="C6145" s="2" t="s">
        <v>12459</v>
      </c>
      <c r="D6145" s="2" t="s">
        <v>321</v>
      </c>
      <c r="E6145" s="2" t="str">
        <f>"9781789852486"</f>
        <v>9781789852486</v>
      </c>
      <c r="F6145" s="2" t="str">
        <f>"9781789854480"</f>
        <v>9781789854480</v>
      </c>
    </row>
    <row r="6146" spans="1:6" s="3" customFormat="1" ht="29.1" customHeight="1" x14ac:dyDescent="0.25">
      <c r="A6146" s="2" t="s">
        <v>12998</v>
      </c>
      <c r="B6146" s="2" t="s">
        <v>12999</v>
      </c>
      <c r="C6146" s="2" t="s">
        <v>12459</v>
      </c>
      <c r="D6146" s="2" t="s">
        <v>12513</v>
      </c>
      <c r="E6146" s="2" t="str">
        <f>"9781839680564"</f>
        <v>9781839680564</v>
      </c>
      <c r="F6146" s="2" t="str">
        <f>"9781839680588"</f>
        <v>9781839680588</v>
      </c>
    </row>
    <row r="6147" spans="1:6" s="3" customFormat="1" ht="29.1" customHeight="1" x14ac:dyDescent="0.25">
      <c r="A6147" s="2" t="s">
        <v>13000</v>
      </c>
      <c r="B6147" s="2" t="s">
        <v>13001</v>
      </c>
      <c r="C6147" s="2" t="s">
        <v>12459</v>
      </c>
      <c r="D6147" s="2" t="s">
        <v>12625</v>
      </c>
      <c r="E6147" s="2" t="str">
        <f>"9781839684098"</f>
        <v>9781839684098</v>
      </c>
      <c r="F6147" s="2" t="str">
        <f>"9781839684111"</f>
        <v>9781839684111</v>
      </c>
    </row>
    <row r="6148" spans="1:6" s="3" customFormat="1" ht="29.1" customHeight="1" x14ac:dyDescent="0.25">
      <c r="A6148" s="2" t="s">
        <v>13002</v>
      </c>
      <c r="B6148" s="2" t="s">
        <v>13003</v>
      </c>
      <c r="C6148" s="2" t="s">
        <v>12459</v>
      </c>
      <c r="D6148" s="2" t="s">
        <v>12659</v>
      </c>
      <c r="E6148" s="2" t="str">
        <f>"9781838819873"</f>
        <v>9781838819873</v>
      </c>
      <c r="F6148" s="2" t="str">
        <f>"9781838819897"</f>
        <v>9781838819897</v>
      </c>
    </row>
    <row r="6149" spans="1:6" s="3" customFormat="1" ht="29.1" customHeight="1" x14ac:dyDescent="0.25">
      <c r="A6149" s="2" t="s">
        <v>13004</v>
      </c>
      <c r="B6149" s="2" t="s">
        <v>13005</v>
      </c>
      <c r="C6149" s="2" t="s">
        <v>12459</v>
      </c>
      <c r="D6149" s="2" t="s">
        <v>12901</v>
      </c>
      <c r="E6149" s="2" t="str">
        <f>"9781838807856"</f>
        <v>9781838807856</v>
      </c>
      <c r="F6149" s="2" t="str">
        <f>"9781838807870"</f>
        <v>9781838807870</v>
      </c>
    </row>
    <row r="6150" spans="1:6" s="3" customFormat="1" ht="29.1" customHeight="1" x14ac:dyDescent="0.25">
      <c r="A6150" s="2" t="s">
        <v>13006</v>
      </c>
      <c r="B6150" s="2" t="s">
        <v>13007</v>
      </c>
      <c r="C6150" s="2" t="s">
        <v>12459</v>
      </c>
      <c r="D6150" s="2" t="s">
        <v>2590</v>
      </c>
      <c r="E6150" s="2" t="str">
        <f>"9781789857832"</f>
        <v>9781789857832</v>
      </c>
      <c r="F6150" s="2" t="str">
        <f>"9781838806361"</f>
        <v>9781838806361</v>
      </c>
    </row>
    <row r="6151" spans="1:6" s="3" customFormat="1" ht="29.1" customHeight="1" x14ac:dyDescent="0.25">
      <c r="A6151" s="2" t="s">
        <v>13008</v>
      </c>
      <c r="B6151" s="2" t="s">
        <v>13009</v>
      </c>
      <c r="C6151" s="2" t="s">
        <v>12459</v>
      </c>
      <c r="D6151" s="2" t="s">
        <v>12460</v>
      </c>
      <c r="E6151" s="2" t="str">
        <f>"9781789851519"</f>
        <v>9781789851519</v>
      </c>
      <c r="F6151" s="2" t="str">
        <f>"9781839621352"</f>
        <v>9781839621352</v>
      </c>
    </row>
    <row r="6152" spans="1:6" s="3" customFormat="1" ht="29.1" customHeight="1" x14ac:dyDescent="0.25">
      <c r="A6152" s="2" t="s">
        <v>13010</v>
      </c>
      <c r="B6152" s="2" t="s">
        <v>13011</v>
      </c>
      <c r="C6152" s="2" t="s">
        <v>12459</v>
      </c>
      <c r="D6152" s="2" t="s">
        <v>12492</v>
      </c>
      <c r="E6152" s="2" t="str">
        <f>"9781789854954"</f>
        <v>9781789854954</v>
      </c>
      <c r="F6152" s="2" t="str">
        <f>"9781839620492"</f>
        <v>9781839620492</v>
      </c>
    </row>
    <row r="6153" spans="1:6" s="3" customFormat="1" ht="29.1" customHeight="1" x14ac:dyDescent="0.25">
      <c r="A6153" s="2" t="s">
        <v>13012</v>
      </c>
      <c r="B6153" s="2" t="s">
        <v>13013</v>
      </c>
      <c r="C6153" s="2" t="s">
        <v>12459</v>
      </c>
      <c r="D6153" s="2" t="s">
        <v>3817</v>
      </c>
      <c r="E6153" s="2" t="str">
        <f>"9781838818494"</f>
        <v>9781838818494</v>
      </c>
      <c r="F6153" s="2" t="str">
        <f>"9781838818517"</f>
        <v>9781838818517</v>
      </c>
    </row>
    <row r="6154" spans="1:6" s="3" customFormat="1" ht="29.1" customHeight="1" x14ac:dyDescent="0.25">
      <c r="A6154" s="2" t="s">
        <v>13014</v>
      </c>
      <c r="B6154" s="2" t="s">
        <v>13015</v>
      </c>
      <c r="C6154" s="2" t="s">
        <v>12459</v>
      </c>
      <c r="D6154" s="2" t="s">
        <v>12492</v>
      </c>
      <c r="E6154" s="2" t="str">
        <f>"9781789843774"</f>
        <v>9781789843774</v>
      </c>
      <c r="F6154" s="2" t="str">
        <f>"9781838817114"</f>
        <v>9781838817114</v>
      </c>
    </row>
    <row r="6155" spans="1:6" s="3" customFormat="1" ht="29.1" customHeight="1" x14ac:dyDescent="0.25">
      <c r="A6155" s="2" t="s">
        <v>13016</v>
      </c>
      <c r="B6155" s="2" t="s">
        <v>13017</v>
      </c>
      <c r="C6155" s="2" t="s">
        <v>12459</v>
      </c>
      <c r="D6155" s="2" t="s">
        <v>12465</v>
      </c>
      <c r="E6155" s="2" t="str">
        <f>"9781789233469"</f>
        <v>9781789233469</v>
      </c>
      <c r="F6155" s="2" t="str">
        <f>"9781838817077"</f>
        <v>9781838817077</v>
      </c>
    </row>
    <row r="6156" spans="1:6" s="3" customFormat="1" ht="29.1" customHeight="1" x14ac:dyDescent="0.25">
      <c r="A6156" s="2" t="s">
        <v>13018</v>
      </c>
      <c r="B6156" s="2" t="s">
        <v>13019</v>
      </c>
      <c r="C6156" s="2" t="s">
        <v>12459</v>
      </c>
      <c r="D6156" s="2" t="s">
        <v>1097</v>
      </c>
      <c r="E6156" s="2" t="str">
        <f>"9781789236422"</f>
        <v>9781789236422</v>
      </c>
      <c r="F6156" s="2" t="str">
        <f>"9781838816346"</f>
        <v>9781838816346</v>
      </c>
    </row>
    <row r="6157" spans="1:6" s="3" customFormat="1" ht="29.1" customHeight="1" x14ac:dyDescent="0.25">
      <c r="A6157" s="2" t="s">
        <v>13020</v>
      </c>
      <c r="B6157" s="2" t="s">
        <v>13021</v>
      </c>
      <c r="C6157" s="2" t="s">
        <v>12459</v>
      </c>
      <c r="D6157" s="2" t="s">
        <v>1585</v>
      </c>
      <c r="E6157" s="2" t="str">
        <f>"9781789235265"</f>
        <v>9781789235265</v>
      </c>
      <c r="F6157" s="2" t="str">
        <f>"9781838815608"</f>
        <v>9781838815608</v>
      </c>
    </row>
    <row r="6158" spans="1:6" s="3" customFormat="1" ht="29.1" customHeight="1" x14ac:dyDescent="0.25">
      <c r="A6158" s="2" t="s">
        <v>13022</v>
      </c>
      <c r="B6158" s="2" t="s">
        <v>13024</v>
      </c>
      <c r="C6158" s="2" t="s">
        <v>12459</v>
      </c>
      <c r="D6158" s="2" t="s">
        <v>13023</v>
      </c>
      <c r="E6158" s="2" t="str">
        <f>"9781789237283"</f>
        <v>9781789237283</v>
      </c>
      <c r="F6158" s="2" t="str">
        <f>"9781838815547"</f>
        <v>9781838815547</v>
      </c>
    </row>
    <row r="6159" spans="1:6" s="3" customFormat="1" ht="29.1" customHeight="1" x14ac:dyDescent="0.25">
      <c r="A6159" s="2" t="s">
        <v>13025</v>
      </c>
      <c r="B6159" s="2" t="s">
        <v>13026</v>
      </c>
      <c r="C6159" s="2" t="s">
        <v>12459</v>
      </c>
      <c r="D6159" s="2" t="s">
        <v>3055</v>
      </c>
      <c r="E6159" s="2" t="str">
        <f>"9781789234787"</f>
        <v>9781789234787</v>
      </c>
      <c r="F6159" s="2" t="str">
        <f>"9781838815462"</f>
        <v>9781838815462</v>
      </c>
    </row>
    <row r="6160" spans="1:6" s="3" customFormat="1" ht="29.1" customHeight="1" x14ac:dyDescent="0.25">
      <c r="A6160" s="2" t="s">
        <v>13027</v>
      </c>
      <c r="B6160" s="2" t="s">
        <v>13028</v>
      </c>
      <c r="C6160" s="2" t="s">
        <v>12459</v>
      </c>
      <c r="D6160" s="2" t="s">
        <v>6212</v>
      </c>
      <c r="E6160" s="2" t="str">
        <f>"9781789233322"</f>
        <v>9781789233322</v>
      </c>
      <c r="F6160" s="2" t="str">
        <f>"9781838814175"</f>
        <v>9781838814175</v>
      </c>
    </row>
    <row r="6161" spans="1:6" s="3" customFormat="1" ht="29.1" customHeight="1" x14ac:dyDescent="0.25">
      <c r="A6161" s="2" t="s">
        <v>13029</v>
      </c>
      <c r="B6161" s="2" t="s">
        <v>13030</v>
      </c>
      <c r="C6161" s="2" t="s">
        <v>12459</v>
      </c>
      <c r="D6161" s="2" t="s">
        <v>6511</v>
      </c>
      <c r="E6161" s="2" t="str">
        <f>"9781789233605"</f>
        <v>9781789233605</v>
      </c>
      <c r="F6161" s="2" t="str">
        <f>"9781838815332"</f>
        <v>9781838815332</v>
      </c>
    </row>
    <row r="6162" spans="1:6" s="3" customFormat="1" ht="29.1" customHeight="1" x14ac:dyDescent="0.25">
      <c r="A6162" s="2" t="s">
        <v>13031</v>
      </c>
      <c r="B6162" s="2" t="s">
        <v>13032</v>
      </c>
      <c r="C6162" s="2" t="s">
        <v>12459</v>
      </c>
      <c r="D6162" s="2" t="s">
        <v>633</v>
      </c>
      <c r="E6162" s="2" t="str">
        <f>"9781789232202"</f>
        <v>9781789232202</v>
      </c>
      <c r="F6162" s="2" t="str">
        <f>"9781838814731"</f>
        <v>9781838814731</v>
      </c>
    </row>
    <row r="6163" spans="1:6" s="3" customFormat="1" ht="29.1" customHeight="1" x14ac:dyDescent="0.25">
      <c r="A6163" s="2" t="s">
        <v>13033</v>
      </c>
      <c r="B6163" s="2" t="s">
        <v>13034</v>
      </c>
      <c r="C6163" s="2" t="s">
        <v>12459</v>
      </c>
      <c r="D6163" s="2" t="s">
        <v>1292</v>
      </c>
      <c r="E6163" s="2" t="str">
        <f>"9789535138556"</f>
        <v>9789535138556</v>
      </c>
      <c r="F6163" s="2" t="str">
        <f>"9789535140955"</f>
        <v>9789535140955</v>
      </c>
    </row>
    <row r="6164" spans="1:6" s="3" customFormat="1" ht="29.1" customHeight="1" x14ac:dyDescent="0.25">
      <c r="A6164" s="2" t="s">
        <v>13035</v>
      </c>
      <c r="B6164" s="2" t="s">
        <v>13036</v>
      </c>
      <c r="C6164" s="2" t="s">
        <v>12459</v>
      </c>
      <c r="D6164" s="2" t="s">
        <v>12594</v>
      </c>
      <c r="E6164" s="2" t="str">
        <f>"9781789233261"</f>
        <v>9781789233261</v>
      </c>
      <c r="F6164" s="2" t="str">
        <f>"9781838814250"</f>
        <v>9781838814250</v>
      </c>
    </row>
    <row r="6165" spans="1:6" s="3" customFormat="1" ht="29.1" customHeight="1" x14ac:dyDescent="0.25">
      <c r="A6165" s="2" t="s">
        <v>13037</v>
      </c>
      <c r="B6165" s="2" t="s">
        <v>13039</v>
      </c>
      <c r="C6165" s="2" t="s">
        <v>12459</v>
      </c>
      <c r="D6165" s="2" t="s">
        <v>13038</v>
      </c>
      <c r="E6165" s="2" t="str">
        <f>"9789535139171"</f>
        <v>9789535139171</v>
      </c>
      <c r="F6165" s="2" t="str">
        <f>"9789535140948"</f>
        <v>9789535140948</v>
      </c>
    </row>
    <row r="6166" spans="1:6" s="3" customFormat="1" ht="29.1" customHeight="1" x14ac:dyDescent="0.25">
      <c r="A6166" s="2" t="s">
        <v>13040</v>
      </c>
      <c r="B6166" s="2" t="s">
        <v>13041</v>
      </c>
      <c r="C6166" s="2" t="s">
        <v>12459</v>
      </c>
      <c r="D6166" s="2" t="s">
        <v>3817</v>
      </c>
      <c r="E6166" s="2" t="str">
        <f>"9781789232868"</f>
        <v>9781789232868</v>
      </c>
      <c r="F6166" s="2" t="str">
        <f>"9781838814502"</f>
        <v>9781838814502</v>
      </c>
    </row>
    <row r="6167" spans="1:6" s="3" customFormat="1" ht="29.1" customHeight="1" x14ac:dyDescent="0.25">
      <c r="A6167" s="2" t="s">
        <v>13042</v>
      </c>
      <c r="B6167" s="2" t="s">
        <v>12752</v>
      </c>
      <c r="C6167" s="2" t="s">
        <v>12459</v>
      </c>
      <c r="D6167" s="2" t="s">
        <v>52</v>
      </c>
      <c r="E6167" s="2" t="str">
        <f>"9781789237528"</f>
        <v>9781789237528</v>
      </c>
      <c r="F6167" s="2" t="str">
        <f>"9781838814182"</f>
        <v>9781838814182</v>
      </c>
    </row>
    <row r="6168" spans="1:6" s="3" customFormat="1" ht="29.1" customHeight="1" x14ac:dyDescent="0.25">
      <c r="A6168" s="2" t="s">
        <v>13043</v>
      </c>
      <c r="B6168" s="2" t="s">
        <v>13044</v>
      </c>
      <c r="C6168" s="2" t="s">
        <v>12459</v>
      </c>
      <c r="D6168" s="2" t="s">
        <v>101</v>
      </c>
      <c r="E6168" s="2" t="str">
        <f>"9781789235500"</f>
        <v>9781789235500</v>
      </c>
      <c r="F6168" s="2" t="str">
        <f>"9781838814137"</f>
        <v>9781838814137</v>
      </c>
    </row>
    <row r="6169" spans="1:6" s="3" customFormat="1" ht="29.1" customHeight="1" x14ac:dyDescent="0.25">
      <c r="A6169" s="2" t="s">
        <v>13045</v>
      </c>
      <c r="B6169" s="2" t="s">
        <v>12974</v>
      </c>
      <c r="C6169" s="2" t="s">
        <v>12459</v>
      </c>
      <c r="D6169" s="2" t="s">
        <v>544</v>
      </c>
      <c r="E6169" s="2" t="str">
        <f>"9781789231502"</f>
        <v>9781789231502</v>
      </c>
      <c r="F6169" s="2" t="str">
        <f>"9781838813949"</f>
        <v>9781838813949</v>
      </c>
    </row>
    <row r="6170" spans="1:6" s="3" customFormat="1" ht="29.1" customHeight="1" x14ac:dyDescent="0.25">
      <c r="A6170" s="2" t="s">
        <v>13046</v>
      </c>
      <c r="B6170" s="2" t="s">
        <v>13047</v>
      </c>
      <c r="C6170" s="2" t="s">
        <v>12459</v>
      </c>
      <c r="D6170" s="2" t="s">
        <v>12901</v>
      </c>
      <c r="E6170" s="2" t="str">
        <f>"9781789234183"</f>
        <v>9781789234183</v>
      </c>
      <c r="F6170" s="2" t="str">
        <f>"9781838812362"</f>
        <v>9781838812362</v>
      </c>
    </row>
    <row r="6171" spans="1:6" s="3" customFormat="1" ht="29.1" customHeight="1" x14ac:dyDescent="0.25">
      <c r="A6171" s="2" t="s">
        <v>13048</v>
      </c>
      <c r="B6171" s="2" t="s">
        <v>13049</v>
      </c>
      <c r="C6171" s="2" t="s">
        <v>12459</v>
      </c>
      <c r="D6171" s="2" t="s">
        <v>3092</v>
      </c>
      <c r="E6171" s="2" t="str">
        <f>"9781789847826"</f>
        <v>9781789847826</v>
      </c>
      <c r="F6171" s="2" t="str">
        <f>"9781838813864"</f>
        <v>9781838813864</v>
      </c>
    </row>
    <row r="6172" spans="1:6" s="3" customFormat="1" ht="29.1" customHeight="1" x14ac:dyDescent="0.25">
      <c r="A6172" s="2" t="s">
        <v>13050</v>
      </c>
      <c r="B6172" s="2" t="s">
        <v>13051</v>
      </c>
      <c r="C6172" s="2" t="s">
        <v>12459</v>
      </c>
      <c r="D6172" s="2" t="s">
        <v>3198</v>
      </c>
      <c r="E6172" s="2" t="str">
        <f>"9789535138419"</f>
        <v>9789535138419</v>
      </c>
      <c r="F6172" s="2" t="str">
        <f>"9789535140825"</f>
        <v>9789535140825</v>
      </c>
    </row>
    <row r="6173" spans="1:6" s="3" customFormat="1" ht="29.1" customHeight="1" x14ac:dyDescent="0.25">
      <c r="A6173" s="2" t="s">
        <v>13052</v>
      </c>
      <c r="B6173" s="2" t="s">
        <v>13053</v>
      </c>
      <c r="C6173" s="2" t="s">
        <v>12459</v>
      </c>
      <c r="D6173" s="2" t="s">
        <v>12594</v>
      </c>
      <c r="E6173" s="2" t="str">
        <f>"9781789232929"</f>
        <v>9781789232929</v>
      </c>
      <c r="F6173" s="2" t="str">
        <f>"9781838813772"</f>
        <v>9781838813772</v>
      </c>
    </row>
    <row r="6174" spans="1:6" s="3" customFormat="1" ht="29.1" customHeight="1" x14ac:dyDescent="0.25">
      <c r="A6174" s="2" t="s">
        <v>13054</v>
      </c>
      <c r="B6174" s="2" t="s">
        <v>13056</v>
      </c>
      <c r="C6174" s="2" t="s">
        <v>12459</v>
      </c>
      <c r="D6174" s="2" t="s">
        <v>13055</v>
      </c>
      <c r="E6174" s="2" t="str">
        <f>"9789535133735"</f>
        <v>9789535133735</v>
      </c>
      <c r="F6174" s="2" t="str">
        <f>"9789535147121"</f>
        <v>9789535147121</v>
      </c>
    </row>
    <row r="6175" spans="1:6" s="3" customFormat="1" ht="29.1" customHeight="1" x14ac:dyDescent="0.25">
      <c r="A6175" s="2" t="s">
        <v>13057</v>
      </c>
      <c r="B6175" s="2" t="s">
        <v>12762</v>
      </c>
      <c r="C6175" s="2" t="s">
        <v>12459</v>
      </c>
      <c r="D6175" s="2" t="s">
        <v>12574</v>
      </c>
      <c r="E6175" s="2" t="str">
        <f>"9781789230000"</f>
        <v>9781789230000</v>
      </c>
      <c r="F6175" s="2" t="str">
        <f>"9781838813635"</f>
        <v>9781838813635</v>
      </c>
    </row>
    <row r="6176" spans="1:6" s="3" customFormat="1" ht="29.1" customHeight="1" x14ac:dyDescent="0.25">
      <c r="A6176" s="2" t="s">
        <v>13058</v>
      </c>
      <c r="B6176" s="2" t="s">
        <v>12538</v>
      </c>
      <c r="C6176" s="2" t="s">
        <v>12459</v>
      </c>
      <c r="D6176" s="2" t="s">
        <v>13059</v>
      </c>
      <c r="E6176" s="2" t="str">
        <f>"9781789233148"</f>
        <v>9781789233148</v>
      </c>
      <c r="F6176" s="2" t="str">
        <f>"9781838813246"</f>
        <v>9781838813246</v>
      </c>
    </row>
    <row r="6177" spans="1:6" s="3" customFormat="1" ht="29.1" customHeight="1" x14ac:dyDescent="0.25">
      <c r="A6177" s="2" t="s">
        <v>13060</v>
      </c>
      <c r="B6177" s="2" t="s">
        <v>13061</v>
      </c>
      <c r="C6177" s="2" t="s">
        <v>12459</v>
      </c>
      <c r="D6177" s="2" t="s">
        <v>52</v>
      </c>
      <c r="E6177" s="2" t="str">
        <f>"9789535137801"</f>
        <v>9789535137801</v>
      </c>
      <c r="F6177" s="2" t="str">
        <f>"9789535140573"</f>
        <v>9789535140573</v>
      </c>
    </row>
    <row r="6178" spans="1:6" s="3" customFormat="1" ht="29.1" customHeight="1" x14ac:dyDescent="0.25">
      <c r="A6178" s="2" t="s">
        <v>13062</v>
      </c>
      <c r="B6178" s="2" t="s">
        <v>13063</v>
      </c>
      <c r="C6178" s="2" t="s">
        <v>12459</v>
      </c>
      <c r="D6178" s="2" t="s">
        <v>12875</v>
      </c>
      <c r="E6178" s="2" t="str">
        <f>"9789535139010"</f>
        <v>9789535139010</v>
      </c>
      <c r="F6178" s="2" t="str">
        <f>"9789535140566"</f>
        <v>9789535140566</v>
      </c>
    </row>
    <row r="6179" spans="1:6" s="3" customFormat="1" ht="29.1" customHeight="1" x14ac:dyDescent="0.25">
      <c r="A6179" s="2" t="s">
        <v>13064</v>
      </c>
      <c r="B6179" s="2" t="s">
        <v>13056</v>
      </c>
      <c r="C6179" s="2" t="s">
        <v>12459</v>
      </c>
      <c r="D6179" s="2" t="s">
        <v>56</v>
      </c>
      <c r="E6179" s="2" t="str">
        <f>"9789535133759"</f>
        <v>9789535133759</v>
      </c>
      <c r="F6179" s="2" t="str">
        <f>"9789535146995"</f>
        <v>9789535146995</v>
      </c>
    </row>
    <row r="6180" spans="1:6" s="3" customFormat="1" ht="29.1" customHeight="1" x14ac:dyDescent="0.25">
      <c r="A6180" s="2" t="s">
        <v>13065</v>
      </c>
      <c r="B6180" s="2" t="s">
        <v>13066</v>
      </c>
      <c r="C6180" s="2" t="s">
        <v>12459</v>
      </c>
      <c r="D6180" s="2" t="s">
        <v>12475</v>
      </c>
      <c r="E6180" s="2" t="str">
        <f>"9781789234725"</f>
        <v>9781789234725</v>
      </c>
      <c r="F6180" s="2" t="str">
        <f>"9781838812997"</f>
        <v>9781838812997</v>
      </c>
    </row>
    <row r="6181" spans="1:6" s="3" customFormat="1" ht="29.1" customHeight="1" x14ac:dyDescent="0.25">
      <c r="A6181" s="2" t="s">
        <v>13067</v>
      </c>
      <c r="B6181" s="2" t="s">
        <v>13068</v>
      </c>
      <c r="C6181" s="2" t="s">
        <v>12459</v>
      </c>
      <c r="D6181" s="2" t="s">
        <v>13055</v>
      </c>
      <c r="E6181" s="2" t="str">
        <f>"9783866112858"</f>
        <v>9783866112858</v>
      </c>
      <c r="F6181" s="2" t="str">
        <f>"9789535158127"</f>
        <v>9789535158127</v>
      </c>
    </row>
    <row r="6182" spans="1:6" s="3" customFormat="1" ht="29.1" customHeight="1" x14ac:dyDescent="0.25">
      <c r="A6182" s="2" t="s">
        <v>13069</v>
      </c>
      <c r="B6182" s="2" t="s">
        <v>13070</v>
      </c>
      <c r="C6182" s="2" t="s">
        <v>12459</v>
      </c>
      <c r="D6182" s="2" t="s">
        <v>9625</v>
      </c>
      <c r="E6182" s="2" t="str">
        <f>"9789535136217"</f>
        <v>9789535136217</v>
      </c>
      <c r="F6182" s="2" t="str">
        <f>"9789535145769"</f>
        <v>9789535145769</v>
      </c>
    </row>
    <row r="6183" spans="1:6" s="3" customFormat="1" ht="29.1" customHeight="1" x14ac:dyDescent="0.25">
      <c r="A6183" s="2" t="s">
        <v>13071</v>
      </c>
      <c r="B6183" s="2" t="s">
        <v>13072</v>
      </c>
      <c r="C6183" s="2" t="s">
        <v>12459</v>
      </c>
      <c r="D6183" s="2" t="s">
        <v>2435</v>
      </c>
      <c r="E6183" s="2" t="str">
        <f>"9789535131298"</f>
        <v>9789535131298</v>
      </c>
      <c r="F6183" s="2" t="str">
        <f>"9789535148548"</f>
        <v>9789535148548</v>
      </c>
    </row>
    <row r="6184" spans="1:6" s="3" customFormat="1" ht="29.1" customHeight="1" x14ac:dyDescent="0.25">
      <c r="A6184" s="2" t="s">
        <v>13073</v>
      </c>
      <c r="B6184" s="2" t="s">
        <v>13074</v>
      </c>
      <c r="C6184" s="2" t="s">
        <v>12459</v>
      </c>
      <c r="D6184" s="2" t="s">
        <v>12513</v>
      </c>
      <c r="E6184" s="2" t="str">
        <f>"9789535129578"</f>
        <v>9789535129578</v>
      </c>
      <c r="F6184" s="2" t="str">
        <f>"9789535150893"</f>
        <v>9789535150893</v>
      </c>
    </row>
    <row r="6185" spans="1:6" s="3" customFormat="1" ht="29.1" customHeight="1" x14ac:dyDescent="0.25">
      <c r="A6185" s="2" t="s">
        <v>13075</v>
      </c>
      <c r="B6185" s="2" t="s">
        <v>13076</v>
      </c>
      <c r="C6185" s="2" t="s">
        <v>12459</v>
      </c>
      <c r="D6185" s="2" t="s">
        <v>7359</v>
      </c>
      <c r="E6185" s="2" t="str">
        <f>"9789535134398"</f>
        <v>9789535134398</v>
      </c>
      <c r="F6185" s="2" t="str">
        <f>"9789535147183"</f>
        <v>9789535147183</v>
      </c>
    </row>
    <row r="6186" spans="1:6" s="3" customFormat="1" ht="29.1" customHeight="1" x14ac:dyDescent="0.25">
      <c r="A6186" s="2" t="s">
        <v>13077</v>
      </c>
      <c r="B6186" s="2" t="s">
        <v>13078</v>
      </c>
      <c r="C6186" s="2" t="s">
        <v>12459</v>
      </c>
      <c r="D6186" s="2" t="s">
        <v>12492</v>
      </c>
      <c r="E6186" s="2" t="str">
        <f>"9789535136491"</f>
        <v>9789535136491</v>
      </c>
      <c r="F6186" s="2" t="str">
        <f>"9789535145936"</f>
        <v>9789535145936</v>
      </c>
    </row>
    <row r="6187" spans="1:6" s="3" customFormat="1" ht="29.1" customHeight="1" x14ac:dyDescent="0.25">
      <c r="A6187" s="2" t="s">
        <v>13079</v>
      </c>
      <c r="B6187" s="2" t="s">
        <v>13080</v>
      </c>
      <c r="C6187" s="2" t="s">
        <v>12459</v>
      </c>
      <c r="D6187" s="2" t="s">
        <v>232</v>
      </c>
      <c r="E6187" s="2" t="str">
        <f>"9789535138778"</f>
        <v>9789535138778</v>
      </c>
      <c r="F6187" s="2" t="str">
        <f>"9789535139874"</f>
        <v>9789535139874</v>
      </c>
    </row>
    <row r="6188" spans="1:6" s="3" customFormat="1" ht="29.1" customHeight="1" x14ac:dyDescent="0.25">
      <c r="A6188" s="2" t="s">
        <v>13081</v>
      </c>
      <c r="B6188" s="2" t="s">
        <v>13082</v>
      </c>
      <c r="C6188" s="2" t="s">
        <v>12459</v>
      </c>
      <c r="D6188" s="2" t="s">
        <v>12492</v>
      </c>
      <c r="E6188" s="2" t="str">
        <f>"9789535134237"</f>
        <v>9789535134237</v>
      </c>
      <c r="F6188" s="2" t="str">
        <f>"9789535146971"</f>
        <v>9789535146971</v>
      </c>
    </row>
    <row r="6189" spans="1:6" s="3" customFormat="1" ht="29.1" customHeight="1" x14ac:dyDescent="0.25">
      <c r="A6189" s="2" t="s">
        <v>13083</v>
      </c>
      <c r="B6189" s="2" t="s">
        <v>13024</v>
      </c>
      <c r="C6189" s="2" t="s">
        <v>12459</v>
      </c>
      <c r="D6189" s="2" t="s">
        <v>12625</v>
      </c>
      <c r="E6189" s="2" t="str">
        <f>"9789535138099"</f>
        <v>9789535138099</v>
      </c>
      <c r="F6189" s="2" t="str">
        <f>"9789535139812"</f>
        <v>9789535139812</v>
      </c>
    </row>
    <row r="6190" spans="1:6" s="3" customFormat="1" ht="29.1" customHeight="1" x14ac:dyDescent="0.25">
      <c r="A6190" s="2" t="s">
        <v>13084</v>
      </c>
      <c r="B6190" s="2" t="s">
        <v>13085</v>
      </c>
      <c r="C6190" s="2" t="s">
        <v>12459</v>
      </c>
      <c r="D6190" s="2" t="s">
        <v>13055</v>
      </c>
      <c r="E6190" s="2" t="str">
        <f>"9783866110380"</f>
        <v>9783866110380</v>
      </c>
      <c r="F6190" s="2" t="str">
        <f>"9789535158004"</f>
        <v>9789535158004</v>
      </c>
    </row>
    <row r="6191" spans="1:6" s="3" customFormat="1" ht="29.1" customHeight="1" x14ac:dyDescent="0.25">
      <c r="A6191" s="2" t="s">
        <v>13086</v>
      </c>
      <c r="B6191" s="2" t="s">
        <v>13087</v>
      </c>
      <c r="C6191" s="2" t="s">
        <v>12459</v>
      </c>
      <c r="D6191" s="2" t="s">
        <v>2030</v>
      </c>
      <c r="E6191" s="2" t="str">
        <f>"9789535133117"</f>
        <v>9789535133117</v>
      </c>
      <c r="F6191" s="2" t="str">
        <f>"9789535147558"</f>
        <v>9789535147558</v>
      </c>
    </row>
    <row r="6192" spans="1:6" s="3" customFormat="1" ht="29.1" customHeight="1" x14ac:dyDescent="0.25">
      <c r="A6192" s="2" t="s">
        <v>13088</v>
      </c>
      <c r="B6192" s="2" t="s">
        <v>13089</v>
      </c>
      <c r="C6192" s="2" t="s">
        <v>12459</v>
      </c>
      <c r="D6192" s="2" t="s">
        <v>52</v>
      </c>
      <c r="E6192" s="2" t="str">
        <f>"9789537619244"</f>
        <v>9789537619244</v>
      </c>
      <c r="F6192" s="2" t="str">
        <f>"9789535157939"</f>
        <v>9789535157939</v>
      </c>
    </row>
    <row r="6193" spans="1:6" s="3" customFormat="1" ht="29.1" customHeight="1" x14ac:dyDescent="0.25">
      <c r="A6193" s="2" t="s">
        <v>13090</v>
      </c>
      <c r="B6193" s="2" t="s">
        <v>13074</v>
      </c>
      <c r="C6193" s="2" t="s">
        <v>12459</v>
      </c>
      <c r="D6193" s="2" t="s">
        <v>12513</v>
      </c>
      <c r="E6193" s="2" t="str">
        <f>"9789535129592"</f>
        <v>9789535129592</v>
      </c>
      <c r="F6193" s="2" t="str">
        <f>"9789535150909"</f>
        <v>9789535150909</v>
      </c>
    </row>
    <row r="6194" spans="1:6" s="3" customFormat="1" ht="29.1" customHeight="1" x14ac:dyDescent="0.25">
      <c r="A6194" s="2" t="s">
        <v>13091</v>
      </c>
      <c r="B6194" s="2" t="s">
        <v>13092</v>
      </c>
      <c r="C6194" s="2" t="s">
        <v>12459</v>
      </c>
      <c r="D6194" s="2" t="s">
        <v>544</v>
      </c>
      <c r="E6194" s="2" t="str">
        <f>"9789535130031"</f>
        <v>9789535130031</v>
      </c>
      <c r="F6194" s="2" t="str">
        <f>"9789535141037"</f>
        <v>9789535141037</v>
      </c>
    </row>
    <row r="6195" spans="1:6" s="3" customFormat="1" ht="29.1" customHeight="1" x14ac:dyDescent="0.25">
      <c r="A6195" s="2" t="s">
        <v>13093</v>
      </c>
      <c r="B6195" s="2" t="s">
        <v>13094</v>
      </c>
      <c r="C6195" s="2" t="s">
        <v>12459</v>
      </c>
      <c r="D6195" s="2" t="s">
        <v>1097</v>
      </c>
      <c r="E6195" s="2" t="str">
        <f>"9789535130574"</f>
        <v>9789535130574</v>
      </c>
      <c r="F6195" s="2" t="str">
        <f>"9789535148876"</f>
        <v>9789535148876</v>
      </c>
    </row>
    <row r="6196" spans="1:6" s="3" customFormat="1" ht="29.1" customHeight="1" x14ac:dyDescent="0.25">
      <c r="A6196" s="2" t="s">
        <v>13095</v>
      </c>
      <c r="B6196" s="2" t="s">
        <v>13097</v>
      </c>
      <c r="C6196" s="2" t="s">
        <v>12459</v>
      </c>
      <c r="D6196" s="2" t="s">
        <v>13096</v>
      </c>
      <c r="E6196" s="2" t="str">
        <f>"9789535129196"</f>
        <v>9789535129196</v>
      </c>
      <c r="F6196" s="2" t="str">
        <f>"9789535154716"</f>
        <v>9789535154716</v>
      </c>
    </row>
    <row r="6197" spans="1:6" s="3" customFormat="1" ht="29.1" customHeight="1" x14ac:dyDescent="0.25">
      <c r="A6197" s="2" t="s">
        <v>13098</v>
      </c>
      <c r="B6197" s="2" t="s">
        <v>13099</v>
      </c>
      <c r="C6197" s="2" t="s">
        <v>12459</v>
      </c>
      <c r="D6197" s="2" t="s">
        <v>12492</v>
      </c>
      <c r="E6197" s="2" t="str">
        <f>"9789535128595"</f>
        <v>9789535128595</v>
      </c>
      <c r="F6197" s="2" t="str">
        <f>"9789535154648"</f>
        <v>9789535154648</v>
      </c>
    </row>
    <row r="6198" spans="1:6" s="3" customFormat="1" ht="29.1" customHeight="1" x14ac:dyDescent="0.25">
      <c r="A6198" s="2" t="s">
        <v>13100</v>
      </c>
      <c r="B6198" s="2" t="s">
        <v>13101</v>
      </c>
      <c r="C6198" s="2" t="s">
        <v>12459</v>
      </c>
      <c r="D6198" s="2" t="s">
        <v>3817</v>
      </c>
      <c r="E6198" s="2" t="str">
        <f>"9789535129370"</f>
        <v>9789535129370</v>
      </c>
      <c r="F6198" s="2" t="str">
        <f>"9789535141099"</f>
        <v>9789535141099</v>
      </c>
    </row>
    <row r="6199" spans="1:6" s="3" customFormat="1" ht="29.1" customHeight="1" x14ac:dyDescent="0.25">
      <c r="A6199" s="2" t="s">
        <v>13102</v>
      </c>
      <c r="B6199" s="2" t="s">
        <v>13103</v>
      </c>
      <c r="C6199" s="2" t="s">
        <v>12459</v>
      </c>
      <c r="D6199" s="2" t="s">
        <v>2435</v>
      </c>
      <c r="E6199" s="2" t="str">
        <f>"9789535128816"</f>
        <v>9789535128816</v>
      </c>
      <c r="F6199" s="2" t="str">
        <f>"9789535154662"</f>
        <v>9789535154662</v>
      </c>
    </row>
    <row r="6200" spans="1:6" s="3" customFormat="1" ht="29.1" customHeight="1" x14ac:dyDescent="0.25">
      <c r="A6200" s="2" t="s">
        <v>13104</v>
      </c>
      <c r="B6200" s="2" t="s">
        <v>13039</v>
      </c>
      <c r="C6200" s="2" t="s">
        <v>12459</v>
      </c>
      <c r="D6200" s="2" t="s">
        <v>12544</v>
      </c>
      <c r="E6200" s="2" t="str">
        <f>"9789535122159"</f>
        <v>9789535122159</v>
      </c>
      <c r="F6200" s="2" t="str">
        <f>"9789535166474"</f>
        <v>9789535166474</v>
      </c>
    </row>
    <row r="6201" spans="1:6" s="3" customFormat="1" ht="29.1" customHeight="1" x14ac:dyDescent="0.25">
      <c r="A6201" s="2" t="s">
        <v>13105</v>
      </c>
      <c r="B6201" s="2" t="s">
        <v>13106</v>
      </c>
      <c r="C6201" s="2" t="s">
        <v>12459</v>
      </c>
      <c r="D6201" s="2" t="s">
        <v>9625</v>
      </c>
      <c r="E6201" s="2" t="str">
        <f>"9789535129271"</f>
        <v>9789535129271</v>
      </c>
      <c r="F6201" s="2" t="str">
        <f>"9789535154679"</f>
        <v>9789535154679</v>
      </c>
    </row>
    <row r="6202" spans="1:6" s="3" customFormat="1" ht="29.1" customHeight="1" x14ac:dyDescent="0.25">
      <c r="A6202" s="2" t="s">
        <v>13107</v>
      </c>
      <c r="B6202" s="2" t="s">
        <v>13108</v>
      </c>
      <c r="C6202" s="2" t="s">
        <v>12459</v>
      </c>
      <c r="D6202" s="2" t="s">
        <v>12872</v>
      </c>
      <c r="E6202" s="2" t="str">
        <f>"9789535124849"</f>
        <v>9789535124849</v>
      </c>
      <c r="F6202" s="2" t="str">
        <f>"9789535141891"</f>
        <v>9789535141891</v>
      </c>
    </row>
    <row r="6203" spans="1:6" s="3" customFormat="1" ht="29.1" customHeight="1" x14ac:dyDescent="0.25">
      <c r="A6203" s="2" t="s">
        <v>13109</v>
      </c>
      <c r="B6203" s="2" t="s">
        <v>13110</v>
      </c>
      <c r="C6203" s="2" t="s">
        <v>12459</v>
      </c>
      <c r="D6203" s="2" t="s">
        <v>9625</v>
      </c>
      <c r="E6203" s="2" t="str">
        <f>"9789535122500"</f>
        <v>9789535122500</v>
      </c>
      <c r="F6203" s="2" t="str">
        <f>"9789535142096"</f>
        <v>9789535142096</v>
      </c>
    </row>
    <row r="6204" spans="1:6" s="3" customFormat="1" ht="29.1" customHeight="1" x14ac:dyDescent="0.25">
      <c r="A6204" s="2" t="s">
        <v>13111</v>
      </c>
      <c r="B6204" s="2" t="s">
        <v>13112</v>
      </c>
      <c r="C6204" s="2" t="s">
        <v>12459</v>
      </c>
      <c r="D6204" s="2" t="s">
        <v>9843</v>
      </c>
      <c r="E6204" s="2" t="str">
        <f>"9789535122487"</f>
        <v>9789535122487</v>
      </c>
      <c r="F6204" s="2" t="str">
        <f>"9789535154228"</f>
        <v>9789535154228</v>
      </c>
    </row>
    <row r="6205" spans="1:6" s="3" customFormat="1" ht="29.1" customHeight="1" x14ac:dyDescent="0.25">
      <c r="A6205" s="2" t="s">
        <v>13113</v>
      </c>
      <c r="B6205" s="2" t="s">
        <v>13114</v>
      </c>
      <c r="C6205" s="2" t="s">
        <v>12459</v>
      </c>
      <c r="D6205" s="2" t="s">
        <v>5115</v>
      </c>
      <c r="E6205" s="2" t="str">
        <f>"9783902613035"</f>
        <v>9783902613035</v>
      </c>
      <c r="F6205" s="2" t="str">
        <f>"9789535158066"</f>
        <v>9789535158066</v>
      </c>
    </row>
    <row r="6206" spans="1:6" s="3" customFormat="1" ht="29.1" customHeight="1" x14ac:dyDescent="0.25">
      <c r="A6206" s="2" t="s">
        <v>13115</v>
      </c>
      <c r="B6206" s="2" t="s">
        <v>13116</v>
      </c>
      <c r="C6206" s="2" t="s">
        <v>12459</v>
      </c>
      <c r="D6206" s="2" t="s">
        <v>12513</v>
      </c>
      <c r="E6206" s="2" t="str">
        <f>"9789535122296"</f>
        <v>9789535122296</v>
      </c>
      <c r="F6206" s="2" t="str">
        <f>"9789535150596"</f>
        <v>9789535150596</v>
      </c>
    </row>
    <row r="6207" spans="1:6" s="3" customFormat="1" ht="29.1" customHeight="1" x14ac:dyDescent="0.25">
      <c r="A6207" s="2" t="s">
        <v>13117</v>
      </c>
      <c r="B6207" s="2" t="s">
        <v>13087</v>
      </c>
      <c r="C6207" s="2" t="s">
        <v>12459</v>
      </c>
      <c r="D6207" s="2" t="s">
        <v>2435</v>
      </c>
      <c r="E6207" s="2" t="str">
        <f>"9789535121794"</f>
        <v>9789535121794</v>
      </c>
      <c r="F6207" s="2" t="str">
        <f>"9789535163909"</f>
        <v>9789535163909</v>
      </c>
    </row>
    <row r="6208" spans="1:6" s="3" customFormat="1" ht="29.1" customHeight="1" x14ac:dyDescent="0.25">
      <c r="A6208" s="2" t="s">
        <v>13118</v>
      </c>
      <c r="B6208" s="2" t="s">
        <v>13119</v>
      </c>
      <c r="C6208" s="2" t="s">
        <v>12459</v>
      </c>
      <c r="D6208" s="2" t="s">
        <v>2435</v>
      </c>
      <c r="E6208" s="2" t="str">
        <f>"9789535121657"</f>
        <v>9789535121657</v>
      </c>
      <c r="F6208" s="2" t="str">
        <f>"9789535142157"</f>
        <v>9789535142157</v>
      </c>
    </row>
    <row r="6209" spans="1:6" s="3" customFormat="1" ht="29.1" customHeight="1" x14ac:dyDescent="0.25">
      <c r="A6209" s="2" t="s">
        <v>13120</v>
      </c>
      <c r="B6209" s="2" t="s">
        <v>13017</v>
      </c>
      <c r="C6209" s="2" t="s">
        <v>12459</v>
      </c>
      <c r="D6209" s="2" t="s">
        <v>3817</v>
      </c>
      <c r="E6209" s="2" t="str">
        <f>"9789535121770"</f>
        <v>9789535121770</v>
      </c>
      <c r="F6209" s="2" t="str">
        <f>"9789535163886"</f>
        <v>9789535163886</v>
      </c>
    </row>
    <row r="6210" spans="1:6" s="3" customFormat="1" ht="29.1" customHeight="1" x14ac:dyDescent="0.25">
      <c r="A6210" s="2" t="s">
        <v>13121</v>
      </c>
      <c r="B6210" s="2" t="s">
        <v>13122</v>
      </c>
      <c r="C6210" s="2" t="s">
        <v>12459</v>
      </c>
      <c r="D6210" s="2" t="s">
        <v>12487</v>
      </c>
      <c r="E6210" s="2" t="str">
        <f>"9789535121701"</f>
        <v>9789535121701</v>
      </c>
      <c r="F6210" s="2" t="str">
        <f>"9789535154068"</f>
        <v>9789535154068</v>
      </c>
    </row>
    <row r="6211" spans="1:6" s="3" customFormat="1" ht="29.1" customHeight="1" x14ac:dyDescent="0.25">
      <c r="A6211" s="2" t="s">
        <v>13123</v>
      </c>
      <c r="B6211" s="2" t="s">
        <v>13124</v>
      </c>
      <c r="C6211" s="2" t="s">
        <v>12459</v>
      </c>
      <c r="D6211" s="2" t="s">
        <v>2104</v>
      </c>
      <c r="E6211" s="2" t="str">
        <f>"9789535120285"</f>
        <v>9789535120285</v>
      </c>
      <c r="F6211" s="2" t="str">
        <f>"9789535142263"</f>
        <v>9789535142263</v>
      </c>
    </row>
    <row r="6212" spans="1:6" s="3" customFormat="1" ht="29.1" customHeight="1" x14ac:dyDescent="0.25">
      <c r="A6212" s="2" t="s">
        <v>13125</v>
      </c>
      <c r="B6212" s="2" t="s">
        <v>13126</v>
      </c>
      <c r="C6212" s="2" t="s">
        <v>12459</v>
      </c>
      <c r="D6212" s="2" t="s">
        <v>3817</v>
      </c>
      <c r="E6212" s="2" t="str">
        <f>"9789535121848"</f>
        <v>9789535121848</v>
      </c>
      <c r="F6212" s="2" t="str">
        <f>"9789535163930"</f>
        <v>9789535163930</v>
      </c>
    </row>
    <row r="6213" spans="1:6" s="3" customFormat="1" ht="29.1" customHeight="1" x14ac:dyDescent="0.25">
      <c r="A6213" s="2" t="s">
        <v>13127</v>
      </c>
      <c r="B6213" s="2" t="s">
        <v>13128</v>
      </c>
      <c r="C6213" s="2" t="s">
        <v>12459</v>
      </c>
      <c r="D6213" s="2" t="s">
        <v>12709</v>
      </c>
      <c r="E6213" s="2" t="str">
        <f>"9789533071237"</f>
        <v>9789533071237</v>
      </c>
      <c r="F6213" s="2" t="str">
        <f>"9789535159575"</f>
        <v>9789535159575</v>
      </c>
    </row>
    <row r="6214" spans="1:6" s="3" customFormat="1" ht="29.1" customHeight="1" x14ac:dyDescent="0.25">
      <c r="A6214" s="2" t="s">
        <v>13129</v>
      </c>
      <c r="B6214" s="2" t="s">
        <v>13130</v>
      </c>
      <c r="C6214" s="2" t="s">
        <v>12459</v>
      </c>
      <c r="D6214" s="2" t="s">
        <v>12659</v>
      </c>
      <c r="E6214" s="2" t="str">
        <f>"9789535112358"</f>
        <v>9789535112358</v>
      </c>
      <c r="F6214" s="2" t="str">
        <f>"9789535142355"</f>
        <v>9789535142355</v>
      </c>
    </row>
    <row r="6215" spans="1:6" s="3" customFormat="1" ht="29.1" customHeight="1" x14ac:dyDescent="0.25">
      <c r="A6215" s="2" t="s">
        <v>13131</v>
      </c>
      <c r="B6215" s="2" t="s">
        <v>13133</v>
      </c>
      <c r="C6215" s="2" t="s">
        <v>12459</v>
      </c>
      <c r="D6215" s="2" t="s">
        <v>13132</v>
      </c>
      <c r="E6215" s="2" t="str">
        <f>"9789535112396"</f>
        <v>9789535112396</v>
      </c>
      <c r="F6215" s="2" t="str">
        <f>"9789535172000"</f>
        <v>9789535172000</v>
      </c>
    </row>
    <row r="6216" spans="1:6" s="3" customFormat="1" ht="29.1" customHeight="1" x14ac:dyDescent="0.25">
      <c r="A6216" s="2" t="s">
        <v>13134</v>
      </c>
      <c r="B6216" s="2" t="s">
        <v>12880</v>
      </c>
      <c r="C6216" s="2" t="s">
        <v>12459</v>
      </c>
      <c r="D6216" s="2" t="s">
        <v>12872</v>
      </c>
      <c r="E6216" s="2" t="str">
        <f>"9789535116288"</f>
        <v>9789535116288</v>
      </c>
      <c r="F6216" s="2" t="str">
        <f>"9789535157564"</f>
        <v>9789535157564</v>
      </c>
    </row>
    <row r="6217" spans="1:6" s="3" customFormat="1" ht="29.1" customHeight="1" x14ac:dyDescent="0.25">
      <c r="A6217" s="2" t="s">
        <v>13135</v>
      </c>
      <c r="B6217" s="2" t="s">
        <v>13039</v>
      </c>
      <c r="C6217" s="2" t="s">
        <v>12459</v>
      </c>
      <c r="D6217" s="2" t="s">
        <v>12730</v>
      </c>
      <c r="E6217" s="2" t="str">
        <f>"9789535112235"</f>
        <v>9789535112235</v>
      </c>
      <c r="F6217" s="2" t="str">
        <f>"9789535163596"</f>
        <v>9789535163596</v>
      </c>
    </row>
    <row r="6218" spans="1:6" s="3" customFormat="1" ht="29.1" customHeight="1" x14ac:dyDescent="0.25">
      <c r="A6218" s="2" t="s">
        <v>13136</v>
      </c>
      <c r="B6218" s="2" t="s">
        <v>13137</v>
      </c>
      <c r="C6218" s="2" t="s">
        <v>12459</v>
      </c>
      <c r="D6218" s="2" t="s">
        <v>52</v>
      </c>
      <c r="E6218" s="2" t="str">
        <f>"9783902613097"</f>
        <v>9783902613097</v>
      </c>
      <c r="F6218" s="2" t="str">
        <f>"9789535158165"</f>
        <v>9789535158165</v>
      </c>
    </row>
    <row r="6219" spans="1:6" s="3" customFormat="1" ht="29.1" customHeight="1" x14ac:dyDescent="0.25">
      <c r="A6219" s="2" t="s">
        <v>13138</v>
      </c>
      <c r="B6219" s="2" t="s">
        <v>13140</v>
      </c>
      <c r="C6219" s="2" t="s">
        <v>12459</v>
      </c>
      <c r="D6219" s="2" t="s">
        <v>13139</v>
      </c>
      <c r="E6219" s="2" t="str">
        <f>"9789533070728"</f>
        <v>9789533070728</v>
      </c>
      <c r="F6219" s="2" t="str">
        <f>"9789535158776"</f>
        <v>9789535158776</v>
      </c>
    </row>
    <row r="6220" spans="1:6" s="3" customFormat="1" ht="29.1" customHeight="1" x14ac:dyDescent="0.25">
      <c r="A6220" s="2" t="s">
        <v>13141</v>
      </c>
      <c r="B6220" s="2" t="s">
        <v>13142</v>
      </c>
      <c r="C6220" s="2" t="s">
        <v>12459</v>
      </c>
      <c r="D6220" s="2" t="s">
        <v>12709</v>
      </c>
      <c r="E6220" s="2" t="str">
        <f>"9783902613257"</f>
        <v>9783902613257</v>
      </c>
      <c r="F6220" s="2" t="str">
        <f>"9789535158332"</f>
        <v>9789535158332</v>
      </c>
    </row>
    <row r="6221" spans="1:6" s="3" customFormat="1" ht="29.1" customHeight="1" x14ac:dyDescent="0.25">
      <c r="A6221" s="2" t="s">
        <v>13143</v>
      </c>
      <c r="B6221" s="2" t="s">
        <v>13144</v>
      </c>
      <c r="C6221" s="2" t="s">
        <v>12459</v>
      </c>
      <c r="D6221" s="2" t="s">
        <v>12709</v>
      </c>
      <c r="E6221" s="2" t="str">
        <f>"9789533071251"</f>
        <v>9789533071251</v>
      </c>
      <c r="F6221" s="2" t="str">
        <f>"9789535159223"</f>
        <v>9789535159223</v>
      </c>
    </row>
    <row r="6222" spans="1:6" s="3" customFormat="1" ht="29.1" customHeight="1" x14ac:dyDescent="0.25">
      <c r="A6222" s="2" t="s">
        <v>13145</v>
      </c>
      <c r="B6222" s="2" t="s">
        <v>13146</v>
      </c>
      <c r="C6222" s="2" t="s">
        <v>12459</v>
      </c>
      <c r="D6222" s="2" t="s">
        <v>287</v>
      </c>
      <c r="E6222" s="2" t="str">
        <f>"9789533072111"</f>
        <v>9789533072111</v>
      </c>
      <c r="F6222" s="2" t="str">
        <f>"9789535151449"</f>
        <v>9789535151449</v>
      </c>
    </row>
    <row r="6223" spans="1:6" s="3" customFormat="1" ht="29.1" customHeight="1" x14ac:dyDescent="0.25">
      <c r="A6223" s="2" t="s">
        <v>13147</v>
      </c>
      <c r="B6223" s="2" t="s">
        <v>13148</v>
      </c>
      <c r="C6223" s="2" t="s">
        <v>12459</v>
      </c>
      <c r="D6223" s="2" t="s">
        <v>2356</v>
      </c>
      <c r="E6223" s="2" t="str">
        <f>"9789537619572"</f>
        <v>9789537619572</v>
      </c>
      <c r="F6223" s="2" t="str">
        <f>"9789535164135"</f>
        <v>9789535164135</v>
      </c>
    </row>
    <row r="6224" spans="1:6" s="3" customFormat="1" ht="29.1" customHeight="1" x14ac:dyDescent="0.25">
      <c r="A6224" s="2" t="s">
        <v>13149</v>
      </c>
      <c r="B6224" s="2" t="s">
        <v>13150</v>
      </c>
      <c r="C6224" s="2" t="s">
        <v>12459</v>
      </c>
      <c r="D6224" s="2" t="s">
        <v>2985</v>
      </c>
      <c r="E6224" s="2" t="str">
        <f>"9789537619411"</f>
        <v>9789537619411</v>
      </c>
      <c r="F6224" s="2" t="str">
        <f>"9789535157410"</f>
        <v>9789535157410</v>
      </c>
    </row>
    <row r="6225" spans="1:6" s="3" customFormat="1" ht="29.1" customHeight="1" x14ac:dyDescent="0.25">
      <c r="A6225" s="2" t="s">
        <v>13151</v>
      </c>
      <c r="B6225" s="2" t="s">
        <v>13152</v>
      </c>
      <c r="C6225" s="2" t="s">
        <v>12459</v>
      </c>
      <c r="D6225" s="2" t="s">
        <v>13055</v>
      </c>
      <c r="E6225" s="2" t="str">
        <f>"9789537619138"</f>
        <v>9789537619138</v>
      </c>
      <c r="F6225" s="2" t="str">
        <f>"9789535157366"</f>
        <v>9789535157366</v>
      </c>
    </row>
    <row r="6226" spans="1:6" s="3" customFormat="1" ht="29.1" customHeight="1" x14ac:dyDescent="0.25">
      <c r="A6226" s="2" t="s">
        <v>13153</v>
      </c>
      <c r="B6226" s="2" t="s">
        <v>13154</v>
      </c>
      <c r="C6226" s="2" t="s">
        <v>12459</v>
      </c>
      <c r="D6226" s="2" t="s">
        <v>12636</v>
      </c>
      <c r="E6226" s="2" t="str">
        <f>"9789533071947"</f>
        <v>9789533071947</v>
      </c>
      <c r="F6226" s="2" t="str">
        <f>"9789535145417"</f>
        <v>9789535145417</v>
      </c>
    </row>
    <row r="6227" spans="1:6" s="3" customFormat="1" ht="29.1" customHeight="1" x14ac:dyDescent="0.25">
      <c r="A6227" s="2" t="s">
        <v>13155</v>
      </c>
      <c r="B6227" s="2" t="s">
        <v>13156</v>
      </c>
      <c r="C6227" s="2" t="s">
        <v>12459</v>
      </c>
      <c r="D6227" s="2" t="s">
        <v>12636</v>
      </c>
      <c r="E6227" s="2" t="str">
        <f>"9789533071091"</f>
        <v>9789533071091</v>
      </c>
      <c r="F6227" s="2" t="str">
        <f>"9789535145448"</f>
        <v>9789535145448</v>
      </c>
    </row>
    <row r="6228" spans="1:6" s="3" customFormat="1" ht="29.1" customHeight="1" x14ac:dyDescent="0.25">
      <c r="A6228" s="2" t="s">
        <v>13157</v>
      </c>
      <c r="B6228" s="2" t="s">
        <v>13158</v>
      </c>
      <c r="C6228" s="2" t="s">
        <v>12459</v>
      </c>
      <c r="D6228" s="2" t="s">
        <v>6212</v>
      </c>
      <c r="E6228" s="2" t="str">
        <f>"9789533070933"</f>
        <v>9789533070933</v>
      </c>
      <c r="F6228" s="2" t="str">
        <f>"9789535145493"</f>
        <v>9789535145493</v>
      </c>
    </row>
    <row r="6229" spans="1:6" s="3" customFormat="1" ht="29.1" customHeight="1" x14ac:dyDescent="0.25">
      <c r="A6229" s="2" t="s">
        <v>13159</v>
      </c>
      <c r="B6229" s="2" t="s">
        <v>13160</v>
      </c>
      <c r="C6229" s="2" t="s">
        <v>12459</v>
      </c>
      <c r="D6229" s="2" t="s">
        <v>3817</v>
      </c>
      <c r="E6229" s="2" t="str">
        <f>"9789533070520"</f>
        <v>9789533070520</v>
      </c>
      <c r="F6229" s="2" t="str">
        <f>"9789535145592"</f>
        <v>9789535145592</v>
      </c>
    </row>
    <row r="6230" spans="1:6" s="3" customFormat="1" ht="29.1" customHeight="1" x14ac:dyDescent="0.25">
      <c r="A6230" s="2" t="s">
        <v>13161</v>
      </c>
      <c r="B6230" s="2" t="s">
        <v>13162</v>
      </c>
      <c r="C6230" s="2" t="s">
        <v>12459</v>
      </c>
      <c r="D6230" s="2" t="s">
        <v>13055</v>
      </c>
      <c r="E6230" s="2" t="str">
        <f>"9789533070308"</f>
        <v>9789533070308</v>
      </c>
      <c r="F6230" s="2" t="str">
        <f>"9789535158875"</f>
        <v>9789535158875</v>
      </c>
    </row>
    <row r="6231" spans="1:6" s="3" customFormat="1" ht="29.1" customHeight="1" x14ac:dyDescent="0.25">
      <c r="A6231" s="2" t="s">
        <v>13163</v>
      </c>
      <c r="B6231" s="2" t="s">
        <v>13164</v>
      </c>
      <c r="C6231" s="2" t="s">
        <v>12459</v>
      </c>
      <c r="D6231" s="2" t="s">
        <v>12872</v>
      </c>
      <c r="E6231" s="2" t="str">
        <f>"9789533070285"</f>
        <v>9789533070285</v>
      </c>
      <c r="F6231" s="2" t="str">
        <f>"9789535145523"</f>
        <v>9789535145523</v>
      </c>
    </row>
    <row r="6232" spans="1:6" s="3" customFormat="1" ht="29.1" customHeight="1" x14ac:dyDescent="0.25">
      <c r="A6232" s="2" t="s">
        <v>13165</v>
      </c>
      <c r="B6232" s="2" t="s">
        <v>13166</v>
      </c>
      <c r="C6232" s="2" t="s">
        <v>12459</v>
      </c>
      <c r="D6232" s="2" t="s">
        <v>1908</v>
      </c>
      <c r="E6232" s="2" t="str">
        <f>"9783902613158"</f>
        <v>9783902613158</v>
      </c>
      <c r="F6232" s="2" t="str">
        <f>"9789535158141"</f>
        <v>9789535158141</v>
      </c>
    </row>
    <row r="6233" spans="1:6" s="3" customFormat="1" ht="29.1" customHeight="1" x14ac:dyDescent="0.25">
      <c r="A6233" s="2" t="s">
        <v>13167</v>
      </c>
      <c r="B6233" s="2" t="s">
        <v>13168</v>
      </c>
      <c r="C6233" s="2" t="s">
        <v>12459</v>
      </c>
      <c r="D6233" s="2" t="s">
        <v>6212</v>
      </c>
      <c r="E6233" s="2" t="str">
        <f>"9789533070254"</f>
        <v>9789533070254</v>
      </c>
      <c r="F6233" s="2" t="str">
        <f>"9789535145554"</f>
        <v>9789535145554</v>
      </c>
    </row>
    <row r="6234" spans="1:6" s="3" customFormat="1" ht="29.1" customHeight="1" x14ac:dyDescent="0.25">
      <c r="A6234" s="2" t="s">
        <v>13169</v>
      </c>
      <c r="B6234" s="2" t="s">
        <v>13170</v>
      </c>
      <c r="C6234" s="2" t="s">
        <v>12459</v>
      </c>
      <c r="D6234" s="2" t="s">
        <v>12625</v>
      </c>
      <c r="E6234" s="2" t="str">
        <f>"9789533071121"</f>
        <v>9789533071121</v>
      </c>
      <c r="F6234" s="2" t="str">
        <f>"9789535145455"</f>
        <v>9789535145455</v>
      </c>
    </row>
    <row r="6235" spans="1:6" s="3" customFormat="1" ht="29.1" customHeight="1" x14ac:dyDescent="0.25">
      <c r="A6235" s="2" t="s">
        <v>13171</v>
      </c>
      <c r="B6235" s="2" t="s">
        <v>13172</v>
      </c>
      <c r="C6235" s="2" t="s">
        <v>12459</v>
      </c>
      <c r="D6235" s="2" t="s">
        <v>6511</v>
      </c>
      <c r="E6235" s="2" t="str">
        <f>"9789535111542"</f>
        <v>9789535111542</v>
      </c>
      <c r="F6235" s="2" t="str">
        <f>"9789535163503"</f>
        <v>9789535163503</v>
      </c>
    </row>
    <row r="6236" spans="1:6" s="3" customFormat="1" ht="29.1" customHeight="1" x14ac:dyDescent="0.25">
      <c r="A6236" s="2" t="s">
        <v>13173</v>
      </c>
      <c r="B6236" s="2" t="s">
        <v>13174</v>
      </c>
      <c r="C6236" s="2" t="s">
        <v>12459</v>
      </c>
      <c r="D6236" s="2" t="s">
        <v>9625</v>
      </c>
      <c r="E6236" s="2" t="str">
        <f>"9789535107873"</f>
        <v>9789535107873</v>
      </c>
      <c r="F6236" s="2" t="str">
        <f>"9789535153313"</f>
        <v>9789535153313</v>
      </c>
    </row>
    <row r="6237" spans="1:6" s="3" customFormat="1" ht="29.1" customHeight="1" x14ac:dyDescent="0.25">
      <c r="A6237" s="2" t="s">
        <v>13175</v>
      </c>
      <c r="B6237" s="2" t="s">
        <v>13176</v>
      </c>
      <c r="C6237" s="2" t="s">
        <v>12459</v>
      </c>
      <c r="D6237" s="2" t="s">
        <v>5588</v>
      </c>
      <c r="E6237" s="2" t="str">
        <f>"9789535111344"</f>
        <v>9789535111344</v>
      </c>
      <c r="F6237" s="2" t="str">
        <f>"9789535142478"</f>
        <v>9789535142478</v>
      </c>
    </row>
    <row r="6238" spans="1:6" s="3" customFormat="1" ht="29.1" customHeight="1" x14ac:dyDescent="0.25">
      <c r="A6238" s="2" t="s">
        <v>13177</v>
      </c>
      <c r="B6238" s="2" t="s">
        <v>13179</v>
      </c>
      <c r="C6238" s="2" t="s">
        <v>12459</v>
      </c>
      <c r="D6238" s="2" t="s">
        <v>13178</v>
      </c>
      <c r="E6238" s="2" t="str">
        <f>"9789535109747"</f>
        <v>9789535109747</v>
      </c>
      <c r="F6238" s="2" t="str">
        <f>"9789535163015"</f>
        <v>9789535163015</v>
      </c>
    </row>
    <row r="6239" spans="1:6" s="3" customFormat="1" ht="29.1" customHeight="1" x14ac:dyDescent="0.25">
      <c r="A6239" s="2" t="s">
        <v>13180</v>
      </c>
      <c r="B6239" s="2" t="s">
        <v>13181</v>
      </c>
      <c r="C6239" s="2" t="s">
        <v>12459</v>
      </c>
      <c r="D6239" s="2" t="s">
        <v>1666</v>
      </c>
      <c r="E6239" s="2" t="str">
        <f>"9789535109488"</f>
        <v>9789535109488</v>
      </c>
      <c r="F6239" s="2" t="str">
        <f>"9789535153474"</f>
        <v>9789535153474</v>
      </c>
    </row>
    <row r="6240" spans="1:6" s="3" customFormat="1" ht="29.1" customHeight="1" x14ac:dyDescent="0.25">
      <c r="A6240" s="2" t="s">
        <v>13182</v>
      </c>
      <c r="B6240" s="2" t="s">
        <v>13183</v>
      </c>
      <c r="C6240" s="2" t="s">
        <v>12459</v>
      </c>
      <c r="D6240" s="2" t="s">
        <v>13096</v>
      </c>
      <c r="E6240" s="2" t="str">
        <f>"9789535109112"</f>
        <v>9789535109112</v>
      </c>
      <c r="F6240" s="2" t="str">
        <f>"9789535153450"</f>
        <v>9789535153450</v>
      </c>
    </row>
    <row r="6241" spans="1:6" s="3" customFormat="1" ht="29.1" customHeight="1" x14ac:dyDescent="0.25">
      <c r="A6241" s="2" t="s">
        <v>13184</v>
      </c>
      <c r="B6241" s="2" t="s">
        <v>13185</v>
      </c>
      <c r="C6241" s="2" t="s">
        <v>12459</v>
      </c>
      <c r="D6241" s="2" t="s">
        <v>52</v>
      </c>
      <c r="E6241" s="2" t="str">
        <f>"9783902613080"</f>
        <v>9783902613080</v>
      </c>
      <c r="F6241" s="2" t="str">
        <f>"9789535158035"</f>
        <v>9789535158035</v>
      </c>
    </row>
    <row r="6242" spans="1:6" s="3" customFormat="1" ht="29.1" customHeight="1" x14ac:dyDescent="0.25">
      <c r="A6242" s="2" t="s">
        <v>13186</v>
      </c>
      <c r="B6242" s="2" t="s">
        <v>12928</v>
      </c>
      <c r="C6242" s="2" t="s">
        <v>12459</v>
      </c>
      <c r="D6242" s="2" t="s">
        <v>2008</v>
      </c>
      <c r="E6242" s="2" t="str">
        <f>"9789533070797"</f>
        <v>9789533070797</v>
      </c>
      <c r="F6242" s="2" t="str">
        <f>"9789535145530"</f>
        <v>9789535145530</v>
      </c>
    </row>
    <row r="6243" spans="1:6" s="3" customFormat="1" ht="29.1" customHeight="1" x14ac:dyDescent="0.25">
      <c r="A6243" s="2" t="s">
        <v>13187</v>
      </c>
      <c r="B6243" s="2" t="s">
        <v>13189</v>
      </c>
      <c r="C6243" s="2" t="s">
        <v>12459</v>
      </c>
      <c r="D6243" s="2" t="s">
        <v>13188</v>
      </c>
      <c r="E6243" s="2" t="str">
        <f>"9789535110248"</f>
        <v>9789535110248</v>
      </c>
      <c r="F6243" s="2" t="str">
        <f>"9789535142546"</f>
        <v>9789535142546</v>
      </c>
    </row>
    <row r="6244" spans="1:6" s="3" customFormat="1" ht="29.1" customHeight="1" x14ac:dyDescent="0.25">
      <c r="A6244" s="2" t="s">
        <v>13190</v>
      </c>
      <c r="B6244" s="2" t="s">
        <v>13191</v>
      </c>
      <c r="C6244" s="2" t="s">
        <v>12459</v>
      </c>
      <c r="D6244" s="2" t="s">
        <v>3817</v>
      </c>
      <c r="E6244" s="2" t="str">
        <f>"9789537619527"</f>
        <v>9789537619527</v>
      </c>
      <c r="F6244" s="2" t="str">
        <f>"9789535164166"</f>
        <v>9789535164166</v>
      </c>
    </row>
    <row r="6245" spans="1:6" s="3" customFormat="1" ht="29.1" customHeight="1" x14ac:dyDescent="0.25">
      <c r="A6245" s="2" t="s">
        <v>13192</v>
      </c>
      <c r="B6245" s="2" t="s">
        <v>13193</v>
      </c>
      <c r="C6245" s="2" t="s">
        <v>12459</v>
      </c>
      <c r="D6245" s="2" t="s">
        <v>5199</v>
      </c>
      <c r="E6245" s="2" t="str">
        <f>"9789535111238"</f>
        <v>9789535111238</v>
      </c>
      <c r="F6245" s="2" t="str">
        <f>"9789535153740"</f>
        <v>9789535153740</v>
      </c>
    </row>
    <row r="6246" spans="1:6" s="3" customFormat="1" ht="29.1" customHeight="1" x14ac:dyDescent="0.25">
      <c r="A6246" s="2" t="s">
        <v>13194</v>
      </c>
      <c r="B6246" s="2" t="s">
        <v>13196</v>
      </c>
      <c r="C6246" s="2" t="s">
        <v>12459</v>
      </c>
      <c r="D6246" s="2" t="s">
        <v>13195</v>
      </c>
      <c r="E6246" s="2" t="str">
        <f>"9789537619824"</f>
        <v>9789537619824</v>
      </c>
      <c r="F6246" s="2" t="str">
        <f>"9789535145585"</f>
        <v>9789535145585</v>
      </c>
    </row>
    <row r="6247" spans="1:6" s="3" customFormat="1" ht="29.1" customHeight="1" x14ac:dyDescent="0.25">
      <c r="A6247" s="2" t="s">
        <v>13197</v>
      </c>
      <c r="B6247" s="2" t="s">
        <v>13198</v>
      </c>
      <c r="C6247" s="2" t="s">
        <v>12459</v>
      </c>
      <c r="D6247" s="2" t="s">
        <v>12872</v>
      </c>
      <c r="E6247" s="2" t="str">
        <f>"9789533070544"</f>
        <v>9789533070544</v>
      </c>
      <c r="F6247" s="2" t="str">
        <f>"9789535145547"</f>
        <v>9789535145547</v>
      </c>
    </row>
    <row r="6248" spans="1:6" s="3" customFormat="1" ht="29.1" customHeight="1" x14ac:dyDescent="0.25">
      <c r="A6248" s="2" t="s">
        <v>13199</v>
      </c>
      <c r="B6248" s="2" t="s">
        <v>13200</v>
      </c>
      <c r="C6248" s="2" t="s">
        <v>12459</v>
      </c>
      <c r="D6248" s="2" t="s">
        <v>9625</v>
      </c>
      <c r="E6248" s="2" t="str">
        <f>"9789535107767"</f>
        <v>9789535107767</v>
      </c>
      <c r="F6248" s="2" t="str">
        <f>"9789535153245"</f>
        <v>9789535153245</v>
      </c>
    </row>
    <row r="6249" spans="1:6" s="3" customFormat="1" ht="29.1" customHeight="1" x14ac:dyDescent="0.25">
      <c r="A6249" s="2" t="s">
        <v>13201</v>
      </c>
      <c r="B6249" s="2" t="s">
        <v>13202</v>
      </c>
      <c r="C6249" s="2" t="s">
        <v>12459</v>
      </c>
      <c r="D6249" s="2" t="s">
        <v>8338</v>
      </c>
      <c r="E6249" s="2" t="str">
        <f>"9789535108924"</f>
        <v>9789535108924</v>
      </c>
      <c r="F6249" s="2" t="str">
        <f>"9789535142577"</f>
        <v>9789535142577</v>
      </c>
    </row>
    <row r="6250" spans="1:6" s="3" customFormat="1" ht="29.1" customHeight="1" x14ac:dyDescent="0.25">
      <c r="A6250" s="2" t="s">
        <v>13203</v>
      </c>
      <c r="B6250" s="2" t="s">
        <v>13204</v>
      </c>
      <c r="C6250" s="2" t="s">
        <v>12459</v>
      </c>
      <c r="D6250" s="2" t="s">
        <v>12504</v>
      </c>
      <c r="E6250" s="2" t="str">
        <f>"9789535111887"</f>
        <v>9789535111887</v>
      </c>
      <c r="F6250" s="2" t="str">
        <f>"9789535142447"</f>
        <v>9789535142447</v>
      </c>
    </row>
    <row r="6251" spans="1:6" s="3" customFormat="1" ht="29.1" customHeight="1" x14ac:dyDescent="0.25">
      <c r="A6251" s="2" t="s">
        <v>13205</v>
      </c>
      <c r="B6251" s="2" t="s">
        <v>13206</v>
      </c>
      <c r="C6251" s="2" t="s">
        <v>12459</v>
      </c>
      <c r="D6251" s="2" t="s">
        <v>12872</v>
      </c>
      <c r="E6251" s="2" t="str">
        <f>"9789535111252"</f>
        <v>9789535111252</v>
      </c>
      <c r="F6251" s="2" t="str">
        <f>"9789535142492"</f>
        <v>9789535142492</v>
      </c>
    </row>
    <row r="6252" spans="1:6" s="3" customFormat="1" ht="29.1" customHeight="1" x14ac:dyDescent="0.25">
      <c r="A6252" s="2" t="s">
        <v>13207</v>
      </c>
      <c r="B6252" s="2" t="s">
        <v>13209</v>
      </c>
      <c r="C6252" s="2" t="s">
        <v>12459</v>
      </c>
      <c r="D6252" s="2" t="s">
        <v>13208</v>
      </c>
      <c r="E6252" s="2" t="str">
        <f>"9789535108054"</f>
        <v>9789535108054</v>
      </c>
      <c r="F6252" s="2" t="str">
        <f>"9789535170334"</f>
        <v>9789535170334</v>
      </c>
    </row>
    <row r="6253" spans="1:6" s="3" customFormat="1" ht="29.1" customHeight="1" x14ac:dyDescent="0.25">
      <c r="A6253" s="2" t="s">
        <v>13210</v>
      </c>
      <c r="B6253" s="2" t="s">
        <v>13212</v>
      </c>
      <c r="C6253" s="2" t="s">
        <v>12459</v>
      </c>
      <c r="D6253" s="2" t="s">
        <v>13211</v>
      </c>
      <c r="E6253" s="2" t="str">
        <f>"9789535111467"</f>
        <v>9789535111467</v>
      </c>
      <c r="F6253" s="2" t="str">
        <f>"9789535171669"</f>
        <v>9789535171669</v>
      </c>
    </row>
    <row r="6254" spans="1:6" s="3" customFormat="1" ht="29.1" customHeight="1" x14ac:dyDescent="0.25">
      <c r="A6254" s="2" t="s">
        <v>13213</v>
      </c>
      <c r="B6254" s="2" t="s">
        <v>13214</v>
      </c>
      <c r="C6254" s="2" t="s">
        <v>12459</v>
      </c>
      <c r="D6254" s="2" t="s">
        <v>3817</v>
      </c>
      <c r="E6254" s="2" t="str">
        <f>"9789535111191"</f>
        <v>9789535111191</v>
      </c>
      <c r="F6254" s="2" t="str">
        <f>"9789535163398"</f>
        <v>9789535163398</v>
      </c>
    </row>
    <row r="6255" spans="1:6" s="3" customFormat="1" ht="29.1" customHeight="1" x14ac:dyDescent="0.25">
      <c r="A6255" s="2" t="s">
        <v>13215</v>
      </c>
      <c r="B6255" s="2" t="s">
        <v>13216</v>
      </c>
      <c r="C6255" s="2" t="s">
        <v>12459</v>
      </c>
      <c r="D6255" s="2" t="s">
        <v>12475</v>
      </c>
      <c r="E6255" s="2" t="str">
        <f>"9789535107859"</f>
        <v>9789535107859</v>
      </c>
      <c r="F6255" s="2" t="str">
        <f>"9789535142720"</f>
        <v>9789535142720</v>
      </c>
    </row>
    <row r="6256" spans="1:6" s="3" customFormat="1" ht="29.1" customHeight="1" x14ac:dyDescent="0.25">
      <c r="A6256" s="2" t="s">
        <v>13217</v>
      </c>
      <c r="B6256" s="2" t="s">
        <v>13218</v>
      </c>
      <c r="C6256" s="2" t="s">
        <v>12459</v>
      </c>
      <c r="D6256" s="2" t="s">
        <v>9843</v>
      </c>
      <c r="E6256" s="2" t="str">
        <f>"9789535109556"</f>
        <v>9789535109556</v>
      </c>
      <c r="F6256" s="2" t="str">
        <f>"9789535153498"</f>
        <v>9789535153498</v>
      </c>
    </row>
    <row r="6257" spans="1:6" s="3" customFormat="1" ht="29.1" customHeight="1" x14ac:dyDescent="0.25">
      <c r="A6257" s="2" t="s">
        <v>13219</v>
      </c>
      <c r="B6257" s="2" t="s">
        <v>13220</v>
      </c>
      <c r="C6257" s="2" t="s">
        <v>12459</v>
      </c>
      <c r="D6257" s="2" t="s">
        <v>12513</v>
      </c>
      <c r="E6257" s="2" t="str">
        <f>"9789535105374"</f>
        <v>9789535105374</v>
      </c>
      <c r="F6257" s="2" t="str">
        <f>"9789535143000"</f>
        <v>9789535143000</v>
      </c>
    </row>
    <row r="6258" spans="1:6" s="3" customFormat="1" ht="29.1" customHeight="1" x14ac:dyDescent="0.25">
      <c r="A6258" s="2" t="s">
        <v>13221</v>
      </c>
      <c r="B6258" s="2" t="s">
        <v>13222</v>
      </c>
      <c r="C6258" s="2" t="s">
        <v>12459</v>
      </c>
      <c r="D6258" s="2" t="s">
        <v>12941</v>
      </c>
      <c r="E6258" s="2" t="str">
        <f>"9789535100928"</f>
        <v>9789535100928</v>
      </c>
      <c r="F6258" s="2" t="str">
        <f>"9789535143291"</f>
        <v>9789535143291</v>
      </c>
    </row>
    <row r="6259" spans="1:6" s="3" customFormat="1" ht="29.1" customHeight="1" x14ac:dyDescent="0.25">
      <c r="A6259" s="2" t="s">
        <v>13223</v>
      </c>
      <c r="B6259" s="2" t="s">
        <v>13224</v>
      </c>
      <c r="C6259" s="2" t="s">
        <v>12459</v>
      </c>
      <c r="D6259" s="2" t="s">
        <v>12544</v>
      </c>
      <c r="E6259" s="2" t="str">
        <f>"9789533072487"</f>
        <v>9789533072487</v>
      </c>
      <c r="F6259" s="2" t="str">
        <f>"9789535145196"</f>
        <v>9789535145196</v>
      </c>
    </row>
    <row r="6260" spans="1:6" s="3" customFormat="1" ht="29.1" customHeight="1" x14ac:dyDescent="0.25">
      <c r="A6260" s="2" t="s">
        <v>13225</v>
      </c>
      <c r="B6260" s="2" t="s">
        <v>13226</v>
      </c>
      <c r="C6260" s="2" t="s">
        <v>12459</v>
      </c>
      <c r="D6260" s="2" t="s">
        <v>12680</v>
      </c>
      <c r="E6260" s="2" t="str">
        <f>"9789533076201"</f>
        <v>9789533076201</v>
      </c>
      <c r="F6260" s="2" t="str">
        <f>"9789535144274"</f>
        <v>9789535144274</v>
      </c>
    </row>
    <row r="6261" spans="1:6" s="3" customFormat="1" ht="29.1" customHeight="1" x14ac:dyDescent="0.25">
      <c r="A6261" s="2" t="s">
        <v>13227</v>
      </c>
      <c r="B6261" s="2" t="s">
        <v>13228</v>
      </c>
      <c r="C6261" s="2" t="s">
        <v>12459</v>
      </c>
      <c r="D6261" s="2" t="s">
        <v>3817</v>
      </c>
      <c r="E6261" s="2" t="str">
        <f>"9789535102045"</f>
        <v>9789535102045</v>
      </c>
      <c r="F6261" s="2" t="str">
        <f>"9789535161462"</f>
        <v>9789535161462</v>
      </c>
    </row>
    <row r="6262" spans="1:6" s="3" customFormat="1" ht="29.1" customHeight="1" x14ac:dyDescent="0.25">
      <c r="A6262" s="2" t="s">
        <v>13229</v>
      </c>
      <c r="B6262" s="2" t="s">
        <v>13230</v>
      </c>
      <c r="C6262" s="2" t="s">
        <v>12459</v>
      </c>
      <c r="D6262" s="2" t="s">
        <v>13059</v>
      </c>
      <c r="E6262" s="2" t="str">
        <f>"9789533077543"</f>
        <v>9789533077543</v>
      </c>
      <c r="F6262" s="2" t="str">
        <f>"9789535143871"</f>
        <v>9789535143871</v>
      </c>
    </row>
    <row r="6263" spans="1:6" s="3" customFormat="1" ht="29.1" customHeight="1" x14ac:dyDescent="0.25">
      <c r="A6263" s="2" t="s">
        <v>13231</v>
      </c>
      <c r="B6263" s="2" t="s">
        <v>13232</v>
      </c>
      <c r="C6263" s="2" t="s">
        <v>12459</v>
      </c>
      <c r="D6263" s="2" t="s">
        <v>2435</v>
      </c>
      <c r="E6263" s="2" t="str">
        <f>"9789533079639"</f>
        <v>9789533079639</v>
      </c>
      <c r="F6263" s="2" t="str">
        <f>"9789535143758"</f>
        <v>9789535143758</v>
      </c>
    </row>
    <row r="6264" spans="1:6" s="3" customFormat="1" ht="29.1" customHeight="1" x14ac:dyDescent="0.25">
      <c r="A6264" s="2" t="s">
        <v>13233</v>
      </c>
      <c r="B6264" s="2" t="s">
        <v>13234</v>
      </c>
      <c r="C6264" s="2" t="s">
        <v>12459</v>
      </c>
      <c r="D6264" s="2" t="s">
        <v>7635</v>
      </c>
      <c r="E6264" s="2" t="str">
        <f>"9789533079172"</f>
        <v>9789533079172</v>
      </c>
      <c r="F6264" s="2" t="str">
        <f>"9789535143475"</f>
        <v>9789535143475</v>
      </c>
    </row>
    <row r="6265" spans="1:6" s="3" customFormat="1" ht="29.1" customHeight="1" x14ac:dyDescent="0.25">
      <c r="A6265" s="2" t="s">
        <v>13235</v>
      </c>
      <c r="B6265" s="2" t="s">
        <v>13236</v>
      </c>
      <c r="C6265" s="2" t="s">
        <v>12459</v>
      </c>
      <c r="D6265" s="2" t="s">
        <v>12611</v>
      </c>
      <c r="E6265" s="2" t="str">
        <f>"9789533078922"</f>
        <v>9789533078922</v>
      </c>
      <c r="F6265" s="2" t="str">
        <f>"9789535151814"</f>
        <v>9789535151814</v>
      </c>
    </row>
    <row r="6266" spans="1:6" s="3" customFormat="1" ht="29.1" customHeight="1" x14ac:dyDescent="0.25">
      <c r="A6266" s="2" t="s">
        <v>13237</v>
      </c>
      <c r="B6266" s="2" t="s">
        <v>13238</v>
      </c>
      <c r="C6266" s="2" t="s">
        <v>12459</v>
      </c>
      <c r="D6266" s="2" t="s">
        <v>3817</v>
      </c>
      <c r="E6266" s="2" t="str">
        <f>"9789533077130"</f>
        <v>9789533077130</v>
      </c>
      <c r="F6266" s="2" t="str">
        <f>"9789535144076"</f>
        <v>9789535144076</v>
      </c>
    </row>
    <row r="6267" spans="1:6" s="3" customFormat="1" ht="29.1" customHeight="1" x14ac:dyDescent="0.25">
      <c r="A6267" s="2" t="s">
        <v>13239</v>
      </c>
      <c r="B6267" s="2" t="s">
        <v>13240</v>
      </c>
      <c r="C6267" s="2" t="s">
        <v>12459</v>
      </c>
      <c r="D6267" s="2" t="s">
        <v>6212</v>
      </c>
      <c r="E6267" s="2" t="str">
        <f>"9789533074719"</f>
        <v>9789533074719</v>
      </c>
      <c r="F6267" s="2" t="str">
        <f>"9789535143765"</f>
        <v>9789535143765</v>
      </c>
    </row>
    <row r="6268" spans="1:6" s="3" customFormat="1" ht="29.1" customHeight="1" x14ac:dyDescent="0.25">
      <c r="A6268" s="2" t="s">
        <v>13241</v>
      </c>
      <c r="B6268" s="2" t="s">
        <v>13198</v>
      </c>
      <c r="C6268" s="2" t="s">
        <v>12459</v>
      </c>
      <c r="D6268" s="2" t="s">
        <v>12872</v>
      </c>
      <c r="E6268" s="2" t="str">
        <f>"9789533074993"</f>
        <v>9789533074993</v>
      </c>
      <c r="F6268" s="2" t="str">
        <f>"9789535144830"</f>
        <v>9789535144830</v>
      </c>
    </row>
    <row r="6269" spans="1:6" s="3" customFormat="1" ht="29.1" customHeight="1" x14ac:dyDescent="0.25">
      <c r="A6269" s="2" t="s">
        <v>13242</v>
      </c>
      <c r="B6269" s="2" t="s">
        <v>12866</v>
      </c>
      <c r="C6269" s="2" t="s">
        <v>12459</v>
      </c>
      <c r="D6269" s="2" t="s">
        <v>544</v>
      </c>
      <c r="E6269" s="2" t="str">
        <f>"9789533074184"</f>
        <v>9789533074184</v>
      </c>
      <c r="F6269" s="2" t="str">
        <f>"9789535144038"</f>
        <v>9789535144038</v>
      </c>
    </row>
    <row r="6270" spans="1:6" s="3" customFormat="1" ht="29.1" customHeight="1" x14ac:dyDescent="0.25">
      <c r="A6270" s="2" t="s">
        <v>13243</v>
      </c>
      <c r="B6270" s="2" t="s">
        <v>13244</v>
      </c>
      <c r="C6270" s="2" t="s">
        <v>12459</v>
      </c>
      <c r="D6270" s="2" t="s">
        <v>12492</v>
      </c>
      <c r="E6270" s="2" t="str">
        <f>"9789533073958"</f>
        <v>9789533073958</v>
      </c>
      <c r="F6270" s="2" t="str">
        <f>"9789535144229"</f>
        <v>9789535144229</v>
      </c>
    </row>
    <row r="6271" spans="1:6" s="3" customFormat="1" ht="29.1" customHeight="1" x14ac:dyDescent="0.25">
      <c r="A6271" s="2" t="s">
        <v>13245</v>
      </c>
      <c r="B6271" s="2" t="s">
        <v>13246</v>
      </c>
      <c r="C6271" s="2" t="s">
        <v>12459</v>
      </c>
      <c r="D6271" s="2" t="s">
        <v>1097</v>
      </c>
      <c r="E6271" s="2" t="str">
        <f>"9789533073941"</f>
        <v>9789533073941</v>
      </c>
      <c r="F6271" s="2" t="str">
        <f>"9789535144311"</f>
        <v>9789535144311</v>
      </c>
    </row>
    <row r="6272" spans="1:6" s="3" customFormat="1" ht="29.1" customHeight="1" x14ac:dyDescent="0.25">
      <c r="A6272" s="2" t="s">
        <v>13247</v>
      </c>
      <c r="B6272" s="2" t="s">
        <v>13248</v>
      </c>
      <c r="C6272" s="2" t="s">
        <v>12459</v>
      </c>
      <c r="D6272" s="2" t="s">
        <v>2030</v>
      </c>
      <c r="E6272" s="2" t="str">
        <f>"9789533075631"</f>
        <v>9789533075631</v>
      </c>
      <c r="F6272" s="2" t="str">
        <f>"9789535144120"</f>
        <v>9789535144120</v>
      </c>
    </row>
    <row r="6273" spans="1:6" s="3" customFormat="1" ht="29.1" customHeight="1" x14ac:dyDescent="0.25">
      <c r="A6273" s="2" t="s">
        <v>13249</v>
      </c>
      <c r="B6273" s="2" t="s">
        <v>13250</v>
      </c>
      <c r="C6273" s="2" t="s">
        <v>12459</v>
      </c>
      <c r="D6273" s="2" t="s">
        <v>544</v>
      </c>
      <c r="E6273" s="2" t="str">
        <f>"9789533072685"</f>
        <v>9789533072685</v>
      </c>
      <c r="F6273" s="2" t="str">
        <f>"9789535144670"</f>
        <v>9789535144670</v>
      </c>
    </row>
    <row r="6274" spans="1:6" s="3" customFormat="1" ht="29.1" customHeight="1" x14ac:dyDescent="0.25">
      <c r="A6274" s="2" t="s">
        <v>13251</v>
      </c>
      <c r="B6274" s="2" t="s">
        <v>13252</v>
      </c>
      <c r="C6274" s="2" t="s">
        <v>12459</v>
      </c>
      <c r="D6274" s="2" t="s">
        <v>165</v>
      </c>
      <c r="E6274" s="2" t="str">
        <f>"9789535109754"</f>
        <v>9789535109754</v>
      </c>
      <c r="F6274" s="2" t="str">
        <f>"9789535170822"</f>
        <v>9789535170822</v>
      </c>
    </row>
    <row r="6275" spans="1:6" s="3" customFormat="1" ht="29.1" customHeight="1" x14ac:dyDescent="0.25">
      <c r="A6275" s="2" t="s">
        <v>13253</v>
      </c>
      <c r="B6275" s="2" t="s">
        <v>13254</v>
      </c>
      <c r="C6275" s="2" t="s">
        <v>12459</v>
      </c>
      <c r="D6275" s="2" t="s">
        <v>12872</v>
      </c>
      <c r="E6275" s="2" t="str">
        <f>"9789533075662"</f>
        <v>9789533075662</v>
      </c>
      <c r="F6275" s="2" t="str">
        <f>"9789535144625"</f>
        <v>9789535144625</v>
      </c>
    </row>
    <row r="6276" spans="1:6" s="3" customFormat="1" ht="29.1" customHeight="1" x14ac:dyDescent="0.25">
      <c r="A6276" s="2" t="s">
        <v>13255</v>
      </c>
      <c r="B6276" s="2" t="s">
        <v>13256</v>
      </c>
      <c r="C6276" s="2" t="s">
        <v>12459</v>
      </c>
      <c r="D6276" s="2" t="s">
        <v>12611</v>
      </c>
      <c r="E6276" s="2" t="str">
        <f>"9789533074375"</f>
        <v>9789533074375</v>
      </c>
      <c r="F6276" s="2" t="str">
        <f>"9789535151548"</f>
        <v>9789535151548</v>
      </c>
    </row>
    <row r="6277" spans="1:6" s="3" customFormat="1" ht="29.1" customHeight="1" x14ac:dyDescent="0.25">
      <c r="A6277" s="2" t="s">
        <v>13257</v>
      </c>
      <c r="B6277" s="2" t="s">
        <v>13258</v>
      </c>
      <c r="C6277" s="2" t="s">
        <v>12459</v>
      </c>
      <c r="D6277" s="2" t="s">
        <v>3055</v>
      </c>
      <c r="E6277" s="2" t="str">
        <f>"9789533071657"</f>
        <v>9789533071657</v>
      </c>
      <c r="F6277" s="2" t="str">
        <f>"9789535144977"</f>
        <v>9789535144977</v>
      </c>
    </row>
    <row r="6278" spans="1:6" s="3" customFormat="1" ht="29.1" customHeight="1" x14ac:dyDescent="0.25">
      <c r="A6278" s="2" t="s">
        <v>13259</v>
      </c>
      <c r="B6278" s="2" t="s">
        <v>13224</v>
      </c>
      <c r="C6278" s="2" t="s">
        <v>12459</v>
      </c>
      <c r="D6278" s="2" t="s">
        <v>12544</v>
      </c>
      <c r="E6278" s="2" t="str">
        <f>"9789533073491"</f>
        <v>9789533073491</v>
      </c>
      <c r="F6278" s="2" t="str">
        <f>"9789535145172"</f>
        <v>9789535145172</v>
      </c>
    </row>
    <row r="6279" spans="1:6" s="3" customFormat="1" ht="29.1" customHeight="1" x14ac:dyDescent="0.25">
      <c r="A6279" s="2" t="s">
        <v>13260</v>
      </c>
      <c r="B6279" s="2" t="s">
        <v>13256</v>
      </c>
      <c r="C6279" s="2" t="s">
        <v>12459</v>
      </c>
      <c r="D6279" s="2" t="s">
        <v>12611</v>
      </c>
      <c r="E6279" s="2" t="str">
        <f>"9789533074603"</f>
        <v>9789533074603</v>
      </c>
      <c r="F6279" s="2" t="str">
        <f>"9789535145233"</f>
        <v>9789535145233</v>
      </c>
    </row>
    <row r="6280" spans="1:6" s="3" customFormat="1" ht="29.1" customHeight="1" x14ac:dyDescent="0.25">
      <c r="A6280" s="2" t="s">
        <v>13261</v>
      </c>
      <c r="B6280" s="2" t="s">
        <v>13262</v>
      </c>
      <c r="C6280" s="2" t="s">
        <v>12459</v>
      </c>
      <c r="D6280" s="2" t="s">
        <v>2030</v>
      </c>
      <c r="E6280" s="2" t="str">
        <f>"9789533075228"</f>
        <v>9789533075228</v>
      </c>
      <c r="F6280" s="2" t="str">
        <f>"9789535145202"</f>
        <v>9789535145202</v>
      </c>
    </row>
    <row r="6281" spans="1:6" s="3" customFormat="1" ht="29.1" customHeight="1" x14ac:dyDescent="0.25">
      <c r="A6281" s="2" t="s">
        <v>13263</v>
      </c>
      <c r="B6281" s="2" t="s">
        <v>13264</v>
      </c>
      <c r="C6281" s="2" t="s">
        <v>12459</v>
      </c>
      <c r="D6281" s="2" t="s">
        <v>2030</v>
      </c>
      <c r="E6281" s="2" t="str">
        <f>"9789533075440"</f>
        <v>9789533075440</v>
      </c>
      <c r="F6281" s="2" t="str">
        <f>"9789535145301"</f>
        <v>9789535145301</v>
      </c>
    </row>
    <row r="6282" spans="1:6" s="3" customFormat="1" ht="29.1" customHeight="1" x14ac:dyDescent="0.25">
      <c r="A6282" s="2" t="s">
        <v>13265</v>
      </c>
      <c r="B6282" s="2" t="s">
        <v>13266</v>
      </c>
      <c r="C6282" s="2" t="s">
        <v>12459</v>
      </c>
      <c r="D6282" s="2" t="s">
        <v>321</v>
      </c>
      <c r="E6282" s="2" t="str">
        <f>"9789533075174"</f>
        <v>9789533075174</v>
      </c>
      <c r="F6282" s="2" t="str">
        <f>"9789535145363"</f>
        <v>9789535145363</v>
      </c>
    </row>
    <row r="6283" spans="1:6" s="3" customFormat="1" ht="29.1" customHeight="1" x14ac:dyDescent="0.25">
      <c r="A6283" s="2" t="s">
        <v>13267</v>
      </c>
      <c r="B6283" s="2" t="s">
        <v>13268</v>
      </c>
      <c r="C6283" s="2" t="s">
        <v>12459</v>
      </c>
      <c r="D6283" s="2" t="s">
        <v>12492</v>
      </c>
      <c r="E6283" s="2" t="str">
        <f>"9781789840711"</f>
        <v>9781789840711</v>
      </c>
      <c r="F6283" s="2" t="str">
        <f>"9781839685507"</f>
        <v>9781839685507</v>
      </c>
    </row>
    <row r="6284" spans="1:6" s="3" customFormat="1" ht="29.1" customHeight="1" x14ac:dyDescent="0.25">
      <c r="A6284" s="2" t="s">
        <v>13269</v>
      </c>
      <c r="B6284" s="2" t="s">
        <v>13099</v>
      </c>
      <c r="C6284" s="2" t="s">
        <v>12459</v>
      </c>
      <c r="D6284" s="2" t="s">
        <v>12650</v>
      </c>
      <c r="E6284" s="2" t="str">
        <f>"9781789239195"</f>
        <v>9781789239195</v>
      </c>
      <c r="F6284" s="2" t="str">
        <f>"9781839627255"</f>
        <v>9781839627255</v>
      </c>
    </row>
    <row r="6285" spans="1:6" s="3" customFormat="1" ht="29.1" customHeight="1" x14ac:dyDescent="0.25">
      <c r="A6285" s="2" t="s">
        <v>13270</v>
      </c>
      <c r="B6285" s="2" t="s">
        <v>13271</v>
      </c>
      <c r="C6285" s="2" t="s">
        <v>927</v>
      </c>
      <c r="D6285" s="2" t="s">
        <v>2208</v>
      </c>
      <c r="E6285" s="2" t="str">
        <f>"9780472056835"</f>
        <v>9780472056835</v>
      </c>
      <c r="F6285" s="2" t="str">
        <f>"9780472904488"</f>
        <v>9780472904488</v>
      </c>
    </row>
    <row r="6286" spans="1:6" s="3" customFormat="1" ht="29.1" customHeight="1" x14ac:dyDescent="0.25">
      <c r="A6286" s="2" t="s">
        <v>13272</v>
      </c>
      <c r="B6286" s="2" t="s">
        <v>13273</v>
      </c>
      <c r="C6286" s="2" t="s">
        <v>29</v>
      </c>
      <c r="D6286" s="2" t="s">
        <v>4117</v>
      </c>
      <c r="E6286" s="2" t="str">
        <f>"9789004677999"</f>
        <v>9789004677999</v>
      </c>
      <c r="F6286" s="2" t="str">
        <f>"9789004678002"</f>
        <v>9789004678002</v>
      </c>
    </row>
    <row r="6287" spans="1:6" s="3" customFormat="1" ht="29.1" customHeight="1" x14ac:dyDescent="0.25">
      <c r="A6287" s="2" t="s">
        <v>13274</v>
      </c>
      <c r="B6287" s="2" t="s">
        <v>13275</v>
      </c>
      <c r="C6287" s="2" t="s">
        <v>5</v>
      </c>
      <c r="D6287" s="2" t="s">
        <v>33</v>
      </c>
      <c r="E6287" s="2" t="str">
        <f>"9783031620027"</f>
        <v>9783031620027</v>
      </c>
      <c r="F6287" s="2" t="str">
        <f>"9783031620034"</f>
        <v>9783031620034</v>
      </c>
    </row>
    <row r="6288" spans="1:6" s="3" customFormat="1" ht="29.1" customHeight="1" x14ac:dyDescent="0.25">
      <c r="A6288" s="2" t="s">
        <v>13276</v>
      </c>
      <c r="B6288" s="2" t="s">
        <v>13277</v>
      </c>
      <c r="C6288" s="2" t="s">
        <v>5</v>
      </c>
      <c r="D6288" s="2" t="s">
        <v>3489</v>
      </c>
      <c r="E6288" s="2" t="str">
        <f>"9789464634990"</f>
        <v>9789464634990</v>
      </c>
      <c r="F6288" s="2" t="str">
        <f>"9789464635003"</f>
        <v>9789464635003</v>
      </c>
    </row>
    <row r="6289" spans="1:6" s="3" customFormat="1" ht="29.1" customHeight="1" x14ac:dyDescent="0.25">
      <c r="A6289" s="2" t="s">
        <v>13278</v>
      </c>
      <c r="B6289" s="2" t="s">
        <v>13279</v>
      </c>
      <c r="C6289" s="2" t="s">
        <v>5</v>
      </c>
      <c r="D6289" s="2" t="s">
        <v>606</v>
      </c>
      <c r="E6289" s="2" t="str">
        <f>"9783031548154"</f>
        <v>9783031548154</v>
      </c>
      <c r="F6289" s="2" t="str">
        <f>"9783031548161"</f>
        <v>9783031548161</v>
      </c>
    </row>
    <row r="6290" spans="1:6" s="3" customFormat="1" ht="29.1" customHeight="1" x14ac:dyDescent="0.25">
      <c r="A6290" s="2" t="s">
        <v>13280</v>
      </c>
      <c r="B6290" s="2" t="s">
        <v>13281</v>
      </c>
      <c r="C6290" s="2" t="s">
        <v>239</v>
      </c>
      <c r="D6290" s="2" t="s">
        <v>636</v>
      </c>
      <c r="E6290" s="2" t="str">
        <f>"9780520392885"</f>
        <v>9780520392885</v>
      </c>
      <c r="F6290" s="2" t="str">
        <f>"9780520392892"</f>
        <v>9780520392892</v>
      </c>
    </row>
    <row r="6291" spans="1:6" s="3" customFormat="1" ht="29.1" customHeight="1" x14ac:dyDescent="0.25">
      <c r="A6291" s="2" t="s">
        <v>13282</v>
      </c>
      <c r="B6291" s="2" t="s">
        <v>13283</v>
      </c>
      <c r="C6291" s="2" t="s">
        <v>239</v>
      </c>
      <c r="D6291" s="2" t="s">
        <v>339</v>
      </c>
      <c r="E6291" s="2" t="str">
        <f>"9780520401631"</f>
        <v>9780520401631</v>
      </c>
      <c r="F6291" s="2" t="str">
        <f>"9780520401648"</f>
        <v>9780520401648</v>
      </c>
    </row>
    <row r="6292" spans="1:6" s="3" customFormat="1" ht="29.1" customHeight="1" x14ac:dyDescent="0.25">
      <c r="A6292" s="2" t="s">
        <v>13284</v>
      </c>
      <c r="B6292" s="2" t="s">
        <v>13285</v>
      </c>
      <c r="C6292" s="2" t="s">
        <v>927</v>
      </c>
      <c r="D6292" s="2" t="s">
        <v>210</v>
      </c>
      <c r="E6292" s="2" t="str">
        <f>"9780472133536"</f>
        <v>9780472133536</v>
      </c>
      <c r="F6292" s="2" t="str">
        <f>"9780472904631"</f>
        <v>9780472904631</v>
      </c>
    </row>
    <row r="6293" spans="1:6" s="3" customFormat="1" ht="29.1" customHeight="1" x14ac:dyDescent="0.25">
      <c r="A6293" s="2" t="s">
        <v>13286</v>
      </c>
      <c r="B6293" s="2" t="s">
        <v>13287</v>
      </c>
      <c r="C6293" s="2" t="s">
        <v>5</v>
      </c>
      <c r="D6293" s="2" t="s">
        <v>487</v>
      </c>
      <c r="E6293" s="2" t="str">
        <f>"9783031641350"</f>
        <v>9783031641350</v>
      </c>
      <c r="F6293" s="2" t="str">
        <f>"9783031641367"</f>
        <v>9783031641367</v>
      </c>
    </row>
    <row r="6294" spans="1:6" s="3" customFormat="1" ht="29.1" customHeight="1" x14ac:dyDescent="0.25">
      <c r="A6294" s="2" t="s">
        <v>13288</v>
      </c>
      <c r="B6294" s="2" t="s">
        <v>13289</v>
      </c>
      <c r="C6294" s="2" t="s">
        <v>5</v>
      </c>
      <c r="D6294" s="2" t="s">
        <v>270</v>
      </c>
      <c r="E6294" s="2" t="str">
        <f>"9783031648151"</f>
        <v>9783031648151</v>
      </c>
      <c r="F6294" s="2" t="str">
        <f>"9783031648168"</f>
        <v>9783031648168</v>
      </c>
    </row>
    <row r="6295" spans="1:6" s="3" customFormat="1" ht="29.1" customHeight="1" x14ac:dyDescent="0.25">
      <c r="A6295" s="2" t="s">
        <v>13291</v>
      </c>
      <c r="B6295" s="2" t="s">
        <v>13292</v>
      </c>
      <c r="C6295" s="2" t="s">
        <v>5</v>
      </c>
      <c r="D6295" s="2" t="s">
        <v>1127</v>
      </c>
      <c r="E6295" s="2" t="str">
        <f>"9789819728343"</f>
        <v>9789819728343</v>
      </c>
      <c r="F6295" s="2" t="str">
        <f>"9789819728350"</f>
        <v>9789819728350</v>
      </c>
    </row>
    <row r="6296" spans="1:6" s="3" customFormat="1" ht="29.1" customHeight="1" x14ac:dyDescent="0.25">
      <c r="A6296" s="2" t="s">
        <v>13293</v>
      </c>
      <c r="B6296" s="2" t="s">
        <v>13294</v>
      </c>
      <c r="C6296" s="2" t="s">
        <v>746</v>
      </c>
      <c r="D6296" s="2" t="s">
        <v>4185</v>
      </c>
      <c r="E6296" s="2" t="str">
        <f>"9781803277752"</f>
        <v>9781803277752</v>
      </c>
      <c r="F6296" s="2" t="str">
        <f>"9781803277769"</f>
        <v>9781803277769</v>
      </c>
    </row>
    <row r="6297" spans="1:6" s="3" customFormat="1" ht="29.1" customHeight="1" x14ac:dyDescent="0.25">
      <c r="A6297" s="2" t="s">
        <v>13295</v>
      </c>
      <c r="B6297" s="2" t="s">
        <v>13296</v>
      </c>
      <c r="C6297" s="2" t="s">
        <v>29</v>
      </c>
      <c r="D6297" s="2" t="s">
        <v>33</v>
      </c>
      <c r="E6297" s="2" t="str">
        <f>"9789004708068"</f>
        <v>9789004708068</v>
      </c>
      <c r="F6297" s="2" t="str">
        <f>"9789004708075"</f>
        <v>9789004708075</v>
      </c>
    </row>
    <row r="6298" spans="1:6" s="3" customFormat="1" ht="29.1" customHeight="1" x14ac:dyDescent="0.25">
      <c r="A6298" s="2" t="s">
        <v>13297</v>
      </c>
      <c r="B6298" s="2" t="s">
        <v>13298</v>
      </c>
      <c r="C6298" s="2" t="s">
        <v>29</v>
      </c>
      <c r="D6298" s="2" t="s">
        <v>183</v>
      </c>
      <c r="E6298" s="2" t="str">
        <f>"9789004701434"</f>
        <v>9789004701434</v>
      </c>
      <c r="F6298" s="2" t="str">
        <f>"9789004701441"</f>
        <v>9789004701441</v>
      </c>
    </row>
    <row r="6299" spans="1:6" s="3" customFormat="1" ht="29.1" customHeight="1" x14ac:dyDescent="0.25">
      <c r="A6299" s="2" t="s">
        <v>13299</v>
      </c>
      <c r="B6299" s="2" t="s">
        <v>13301</v>
      </c>
      <c r="C6299" s="2" t="s">
        <v>2133</v>
      </c>
      <c r="D6299" s="2" t="s">
        <v>13300</v>
      </c>
      <c r="E6299" s="2" t="str">
        <f>"9781760466619"</f>
        <v>9781760466619</v>
      </c>
      <c r="F6299" s="2" t="str">
        <f>"9781760466626"</f>
        <v>9781760466626</v>
      </c>
    </row>
    <row r="6300" spans="1:6" s="3" customFormat="1" ht="29.1" customHeight="1" x14ac:dyDescent="0.25">
      <c r="A6300" s="2" t="s">
        <v>13302</v>
      </c>
      <c r="B6300" s="2" t="s">
        <v>13303</v>
      </c>
      <c r="C6300" s="2" t="s">
        <v>239</v>
      </c>
      <c r="D6300" s="2" t="s">
        <v>653</v>
      </c>
      <c r="E6300" s="2" t="str">
        <f>"9780520400269"</f>
        <v>9780520400269</v>
      </c>
      <c r="F6300" s="2" t="str">
        <f>"9780520400276"</f>
        <v>9780520400276</v>
      </c>
    </row>
    <row r="6301" spans="1:6" s="3" customFormat="1" ht="29.1" customHeight="1" x14ac:dyDescent="0.25">
      <c r="A6301" s="2" t="s">
        <v>13304</v>
      </c>
      <c r="B6301" s="2" t="s">
        <v>13305</v>
      </c>
      <c r="C6301" s="2" t="s">
        <v>5</v>
      </c>
      <c r="D6301" s="2" t="s">
        <v>81</v>
      </c>
      <c r="E6301" s="2" t="str">
        <f>"9782384762781"</f>
        <v>9782384762781</v>
      </c>
      <c r="F6301" s="2" t="str">
        <f>"9782384762798"</f>
        <v>9782384762798</v>
      </c>
    </row>
    <row r="6302" spans="1:6" s="3" customFormat="1" ht="29.1" customHeight="1" x14ac:dyDescent="0.25">
      <c r="A6302" s="2" t="s">
        <v>13306</v>
      </c>
      <c r="B6302" s="2" t="s">
        <v>13307</v>
      </c>
      <c r="C6302" s="2" t="s">
        <v>5</v>
      </c>
      <c r="D6302" s="2" t="s">
        <v>3033</v>
      </c>
      <c r="E6302" s="2" t="str">
        <f>"9783662695685"</f>
        <v>9783662695685</v>
      </c>
      <c r="F6302" s="2" t="str">
        <f>"9783662695692"</f>
        <v>9783662695692</v>
      </c>
    </row>
    <row r="6303" spans="1:6" s="3" customFormat="1" ht="29.1" customHeight="1" x14ac:dyDescent="0.25">
      <c r="A6303" s="2" t="s">
        <v>13308</v>
      </c>
      <c r="B6303" s="2" t="s">
        <v>2100</v>
      </c>
      <c r="C6303" s="2" t="s">
        <v>59</v>
      </c>
      <c r="D6303" s="2" t="s">
        <v>1924</v>
      </c>
      <c r="E6303" s="2"/>
      <c r="F6303" s="2" t="str">
        <f>"9782759239320"</f>
        <v>9782759239320</v>
      </c>
    </row>
    <row r="6304" spans="1:6" s="3" customFormat="1" ht="29.1" customHeight="1" x14ac:dyDescent="0.25">
      <c r="A6304" s="2" t="s">
        <v>13309</v>
      </c>
      <c r="B6304" s="2" t="s">
        <v>13310</v>
      </c>
      <c r="C6304" s="2" t="s">
        <v>264</v>
      </c>
      <c r="D6304" s="2" t="s">
        <v>850</v>
      </c>
      <c r="E6304" s="2" t="str">
        <f>"9781032246581"</f>
        <v>9781032246581</v>
      </c>
      <c r="F6304" s="2" t="str">
        <f>"9781003861577"</f>
        <v>9781003861577</v>
      </c>
    </row>
    <row r="6305" spans="1:6" s="3" customFormat="1" ht="29.1" customHeight="1" x14ac:dyDescent="0.25">
      <c r="A6305" s="2" t="s">
        <v>13311</v>
      </c>
      <c r="B6305" s="2" t="s">
        <v>13312</v>
      </c>
      <c r="C6305" s="2" t="s">
        <v>264</v>
      </c>
      <c r="D6305" s="2" t="s">
        <v>2985</v>
      </c>
      <c r="E6305" s="2" t="str">
        <f>"9781032470269"</f>
        <v>9781032470269</v>
      </c>
      <c r="F6305" s="2" t="str">
        <f>"9781040015223"</f>
        <v>9781040015223</v>
      </c>
    </row>
    <row r="6306" spans="1:6" s="3" customFormat="1" ht="29.1" customHeight="1" x14ac:dyDescent="0.25">
      <c r="A6306" s="2" t="s">
        <v>13313</v>
      </c>
      <c r="B6306" s="2" t="s">
        <v>13314</v>
      </c>
      <c r="C6306" s="2" t="s">
        <v>264</v>
      </c>
      <c r="D6306" s="2" t="s">
        <v>44</v>
      </c>
      <c r="E6306" s="2" t="str">
        <f>"9781032538129"</f>
        <v>9781032538129</v>
      </c>
      <c r="F6306" s="2" t="str">
        <f>"9781040155912"</f>
        <v>9781040155912</v>
      </c>
    </row>
    <row r="6307" spans="1:6" s="3" customFormat="1" ht="29.1" customHeight="1" x14ac:dyDescent="0.25">
      <c r="A6307" s="2" t="s">
        <v>13315</v>
      </c>
      <c r="B6307" s="2" t="s">
        <v>13316</v>
      </c>
      <c r="C6307" s="2" t="s">
        <v>264</v>
      </c>
      <c r="D6307" s="2" t="s">
        <v>9268</v>
      </c>
      <c r="E6307" s="2" t="str">
        <f>"9781032479897"</f>
        <v>9781032479897</v>
      </c>
      <c r="F6307" s="2" t="str">
        <f>"9781040108390"</f>
        <v>9781040108390</v>
      </c>
    </row>
    <row r="6308" spans="1:6" s="3" customFormat="1" ht="29.1" customHeight="1" x14ac:dyDescent="0.25">
      <c r="A6308" s="2" t="s">
        <v>13317</v>
      </c>
      <c r="B6308" s="2" t="s">
        <v>12451</v>
      </c>
      <c r="C6308" s="2" t="s">
        <v>264</v>
      </c>
      <c r="D6308" s="2" t="s">
        <v>8286</v>
      </c>
      <c r="E6308" s="2" t="str">
        <f>"9781032766058"</f>
        <v>9781032766058</v>
      </c>
      <c r="F6308" s="2" t="str">
        <f>"9781040041024"</f>
        <v>9781040041024</v>
      </c>
    </row>
    <row r="6309" spans="1:6" s="3" customFormat="1" ht="29.1" customHeight="1" x14ac:dyDescent="0.25">
      <c r="A6309" s="2" t="s">
        <v>13318</v>
      </c>
      <c r="B6309" s="2" t="s">
        <v>13319</v>
      </c>
      <c r="C6309" s="2" t="s">
        <v>264</v>
      </c>
      <c r="D6309" s="2" t="s">
        <v>6511</v>
      </c>
      <c r="E6309" s="2" t="str">
        <f>"9781032356013"</f>
        <v>9781032356013</v>
      </c>
      <c r="F6309" s="2" t="str">
        <f>"9781040000199"</f>
        <v>9781040000199</v>
      </c>
    </row>
    <row r="6310" spans="1:6" s="3" customFormat="1" ht="29.1" customHeight="1" x14ac:dyDescent="0.25">
      <c r="A6310" s="2" t="s">
        <v>13320</v>
      </c>
      <c r="B6310" s="2" t="s">
        <v>13321</v>
      </c>
      <c r="C6310" s="2" t="s">
        <v>264</v>
      </c>
      <c r="D6310" s="2" t="s">
        <v>281</v>
      </c>
      <c r="E6310" s="2" t="str">
        <f>"9781032517056"</f>
        <v>9781032517056</v>
      </c>
      <c r="F6310" s="2" t="str">
        <f>"9781040101421"</f>
        <v>9781040101421</v>
      </c>
    </row>
    <row r="6311" spans="1:6" s="3" customFormat="1" ht="29.1" customHeight="1" x14ac:dyDescent="0.25">
      <c r="A6311" s="2" t="s">
        <v>13322</v>
      </c>
      <c r="B6311" s="2" t="s">
        <v>13323</v>
      </c>
      <c r="C6311" s="2" t="s">
        <v>264</v>
      </c>
      <c r="D6311" s="2" t="s">
        <v>1816</v>
      </c>
      <c r="E6311" s="2" t="str">
        <f>"9781032182742"</f>
        <v>9781032182742</v>
      </c>
      <c r="F6311" s="2" t="str">
        <f>"9781000985764"</f>
        <v>9781000985764</v>
      </c>
    </row>
    <row r="6312" spans="1:6" s="3" customFormat="1" ht="29.1" customHeight="1" x14ac:dyDescent="0.25">
      <c r="A6312" s="2" t="s">
        <v>13324</v>
      </c>
      <c r="B6312" s="2" t="s">
        <v>13325</v>
      </c>
      <c r="C6312" s="2" t="s">
        <v>264</v>
      </c>
      <c r="D6312" s="2" t="s">
        <v>1908</v>
      </c>
      <c r="E6312" s="2" t="str">
        <f>"9781032481739"</f>
        <v>9781032481739</v>
      </c>
      <c r="F6312" s="2" t="str">
        <f>"9781040117101"</f>
        <v>9781040117101</v>
      </c>
    </row>
    <row r="6313" spans="1:6" s="3" customFormat="1" ht="29.1" customHeight="1" x14ac:dyDescent="0.25">
      <c r="A6313" s="2" t="s">
        <v>13326</v>
      </c>
      <c r="B6313" s="2" t="s">
        <v>12451</v>
      </c>
      <c r="C6313" s="2" t="s">
        <v>264</v>
      </c>
      <c r="D6313" s="2" t="s">
        <v>12513</v>
      </c>
      <c r="E6313" s="2" t="str">
        <f>"9781032766287"</f>
        <v>9781032766287</v>
      </c>
      <c r="F6313" s="2" t="str">
        <f>"9781040037003"</f>
        <v>9781040037003</v>
      </c>
    </row>
    <row r="6314" spans="1:6" s="3" customFormat="1" ht="29.1" customHeight="1" x14ac:dyDescent="0.25">
      <c r="A6314" s="2" t="s">
        <v>13327</v>
      </c>
      <c r="B6314" s="2" t="s">
        <v>13328</v>
      </c>
      <c r="C6314" s="2" t="s">
        <v>264</v>
      </c>
      <c r="D6314" s="2" t="s">
        <v>210</v>
      </c>
      <c r="E6314" s="2" t="str">
        <f>"9781032673783"</f>
        <v>9781032673783</v>
      </c>
      <c r="F6314" s="2" t="str">
        <f>"9781040108338"</f>
        <v>9781040108338</v>
      </c>
    </row>
    <row r="6315" spans="1:6" s="3" customFormat="1" ht="29.1" customHeight="1" x14ac:dyDescent="0.25">
      <c r="A6315" s="2" t="s">
        <v>13329</v>
      </c>
      <c r="B6315" s="2" t="s">
        <v>13330</v>
      </c>
      <c r="C6315" s="2" t="s">
        <v>264</v>
      </c>
      <c r="D6315" s="2" t="s">
        <v>12625</v>
      </c>
      <c r="E6315" s="2" t="str">
        <f>"9781032262055"</f>
        <v>9781032262055</v>
      </c>
      <c r="F6315" s="2" t="str">
        <f>"9781040010730"</f>
        <v>9781040010730</v>
      </c>
    </row>
    <row r="6316" spans="1:6" s="3" customFormat="1" ht="29.1" customHeight="1" x14ac:dyDescent="0.25">
      <c r="A6316" s="2" t="s">
        <v>13331</v>
      </c>
      <c r="B6316" s="2" t="s">
        <v>13333</v>
      </c>
      <c r="C6316" s="2" t="s">
        <v>264</v>
      </c>
      <c r="D6316" s="2" t="s">
        <v>13332</v>
      </c>
      <c r="E6316" s="2" t="str">
        <f>"9781032590486"</f>
        <v>9781032590486</v>
      </c>
      <c r="F6316" s="2" t="str">
        <f>"9781040006016"</f>
        <v>9781040006016</v>
      </c>
    </row>
    <row r="6317" spans="1:6" s="3" customFormat="1" ht="29.1" customHeight="1" x14ac:dyDescent="0.25">
      <c r="A6317" s="2" t="s">
        <v>13334</v>
      </c>
      <c r="B6317" s="2" t="s">
        <v>13335</v>
      </c>
      <c r="C6317" s="2" t="s">
        <v>264</v>
      </c>
      <c r="D6317" s="2" t="s">
        <v>12</v>
      </c>
      <c r="E6317" s="2" t="str">
        <f>"9781032329284"</f>
        <v>9781032329284</v>
      </c>
      <c r="F6317" s="2" t="str">
        <f>"9781000970302"</f>
        <v>9781000970302</v>
      </c>
    </row>
    <row r="6318" spans="1:6" s="3" customFormat="1" ht="29.1" customHeight="1" x14ac:dyDescent="0.25">
      <c r="A6318" s="2" t="s">
        <v>13336</v>
      </c>
      <c r="B6318" s="2" t="s">
        <v>13337</v>
      </c>
      <c r="C6318" s="2" t="s">
        <v>1953</v>
      </c>
      <c r="D6318" s="2" t="s">
        <v>1471</v>
      </c>
      <c r="E6318" s="2"/>
      <c r="F6318" s="2" t="str">
        <f>"9798891137783"</f>
        <v>9798891137783</v>
      </c>
    </row>
    <row r="6319" spans="1:6" s="3" customFormat="1" ht="29.1" customHeight="1" x14ac:dyDescent="0.25">
      <c r="A6319" s="2" t="s">
        <v>13338</v>
      </c>
      <c r="B6319" s="2" t="s">
        <v>13339</v>
      </c>
      <c r="C6319" s="2" t="s">
        <v>1953</v>
      </c>
      <c r="D6319" s="2" t="s">
        <v>297</v>
      </c>
      <c r="E6319" s="2"/>
      <c r="F6319" s="2" t="str">
        <f>"9798891134140"</f>
        <v>9798891134140</v>
      </c>
    </row>
    <row r="6320" spans="1:6" s="3" customFormat="1" ht="29.1" customHeight="1" x14ac:dyDescent="0.25">
      <c r="A6320" s="2" t="s">
        <v>13340</v>
      </c>
      <c r="B6320" s="2" t="s">
        <v>13342</v>
      </c>
      <c r="C6320" s="2" t="s">
        <v>1953</v>
      </c>
      <c r="D6320" s="2" t="s">
        <v>13341</v>
      </c>
      <c r="E6320" s="2"/>
      <c r="F6320" s="2" t="str">
        <f>"9781629481371"</f>
        <v>9781629481371</v>
      </c>
    </row>
    <row r="6321" spans="1:6" s="3" customFormat="1" ht="29.1" customHeight="1" x14ac:dyDescent="0.25">
      <c r="A6321" s="2" t="s">
        <v>13343</v>
      </c>
      <c r="B6321" s="2" t="s">
        <v>1954</v>
      </c>
      <c r="C6321" s="2" t="s">
        <v>1953</v>
      </c>
      <c r="D6321" s="2" t="s">
        <v>141</v>
      </c>
      <c r="E6321" s="2"/>
      <c r="F6321" s="2" t="str">
        <f>"9798886971477"</f>
        <v>9798886971477</v>
      </c>
    </row>
    <row r="6322" spans="1:6" s="3" customFormat="1" ht="29.1" customHeight="1" x14ac:dyDescent="0.25">
      <c r="A6322" s="2" t="s">
        <v>13344</v>
      </c>
      <c r="B6322" s="2" t="s">
        <v>13345</v>
      </c>
      <c r="C6322" s="2" t="s">
        <v>1953</v>
      </c>
      <c r="D6322" s="2" t="s">
        <v>9473</v>
      </c>
      <c r="E6322" s="2"/>
      <c r="F6322" s="2" t="str">
        <f>"9781536198942"</f>
        <v>9781536198942</v>
      </c>
    </row>
    <row r="6323" spans="1:6" s="3" customFormat="1" ht="29.1" customHeight="1" x14ac:dyDescent="0.25">
      <c r="A6323" s="2" t="s">
        <v>13346</v>
      </c>
      <c r="B6323" s="2" t="s">
        <v>13347</v>
      </c>
      <c r="C6323" s="2" t="s">
        <v>1953</v>
      </c>
      <c r="D6323" s="2" t="s">
        <v>2880</v>
      </c>
      <c r="E6323" s="2" t="str">
        <f>"9781685072537"</f>
        <v>9781685072537</v>
      </c>
      <c r="F6323" s="2" t="str">
        <f>"9781536198607"</f>
        <v>9781536198607</v>
      </c>
    </row>
    <row r="6324" spans="1:6" s="3" customFormat="1" ht="29.1" customHeight="1" x14ac:dyDescent="0.25">
      <c r="A6324" s="2" t="s">
        <v>13348</v>
      </c>
      <c r="B6324" s="2" t="s">
        <v>13349</v>
      </c>
      <c r="C6324" s="2" t="s">
        <v>1953</v>
      </c>
      <c r="D6324" s="2" t="s">
        <v>1908</v>
      </c>
      <c r="E6324" s="2"/>
      <c r="F6324" s="2" t="str">
        <f>"9781612096254"</f>
        <v>9781612096254</v>
      </c>
    </row>
    <row r="6325" spans="1:6" s="3" customFormat="1" ht="29.1" customHeight="1" x14ac:dyDescent="0.25">
      <c r="A6325" s="2" t="s">
        <v>13350</v>
      </c>
      <c r="B6325" s="2" t="s">
        <v>13351</v>
      </c>
      <c r="C6325" s="2" t="s">
        <v>1953</v>
      </c>
      <c r="D6325" s="2" t="s">
        <v>13132</v>
      </c>
      <c r="E6325" s="2"/>
      <c r="F6325" s="2" t="str">
        <f>"9781612093703"</f>
        <v>9781612093703</v>
      </c>
    </row>
    <row r="6326" spans="1:6" s="3" customFormat="1" ht="29.1" customHeight="1" x14ac:dyDescent="0.25">
      <c r="A6326" s="2" t="s">
        <v>13352</v>
      </c>
      <c r="B6326" s="2" t="s">
        <v>13353</v>
      </c>
      <c r="C6326" s="2" t="s">
        <v>1953</v>
      </c>
      <c r="D6326" s="2" t="s">
        <v>3055</v>
      </c>
      <c r="E6326" s="2"/>
      <c r="F6326" s="2" t="str">
        <f>"9781629487632"</f>
        <v>9781629487632</v>
      </c>
    </row>
    <row r="6327" spans="1:6" s="3" customFormat="1" ht="29.1" customHeight="1" x14ac:dyDescent="0.25">
      <c r="A6327" s="2" t="s">
        <v>13354</v>
      </c>
      <c r="B6327" s="2" t="s">
        <v>13355</v>
      </c>
      <c r="C6327" s="2" t="s">
        <v>1953</v>
      </c>
      <c r="D6327" s="2" t="s">
        <v>9625</v>
      </c>
      <c r="E6327" s="2"/>
      <c r="F6327" s="2" t="str">
        <f>"9781631171307"</f>
        <v>9781631171307</v>
      </c>
    </row>
    <row r="6328" spans="1:6" s="3" customFormat="1" ht="29.1" customHeight="1" x14ac:dyDescent="0.25">
      <c r="A6328" s="2" t="s">
        <v>13356</v>
      </c>
      <c r="B6328" s="2" t="s">
        <v>13357</v>
      </c>
      <c r="C6328" s="2" t="s">
        <v>1953</v>
      </c>
      <c r="D6328" s="2" t="s">
        <v>12</v>
      </c>
      <c r="E6328" s="2"/>
      <c r="F6328" s="2" t="str">
        <f>"9781619426900"</f>
        <v>9781619426900</v>
      </c>
    </row>
    <row r="6329" spans="1:6" s="3" customFormat="1" ht="29.1" customHeight="1" x14ac:dyDescent="0.25">
      <c r="A6329" s="2" t="s">
        <v>13358</v>
      </c>
      <c r="B6329" s="2" t="s">
        <v>13359</v>
      </c>
      <c r="C6329" s="2" t="s">
        <v>1953</v>
      </c>
      <c r="D6329" s="2" t="s">
        <v>2880</v>
      </c>
      <c r="E6329" s="2"/>
      <c r="F6329" s="2" t="str">
        <f>"9781619421684"</f>
        <v>9781619421684</v>
      </c>
    </row>
    <row r="6330" spans="1:6" s="3" customFormat="1" ht="29.1" customHeight="1" x14ac:dyDescent="0.25">
      <c r="A6330" s="2" t="s">
        <v>13360</v>
      </c>
      <c r="B6330" s="2" t="s">
        <v>13361</v>
      </c>
      <c r="C6330" s="2" t="s">
        <v>1953</v>
      </c>
      <c r="D6330" s="2" t="s">
        <v>317</v>
      </c>
      <c r="E6330" s="2"/>
      <c r="F6330" s="2" t="str">
        <f>"9781619421660"</f>
        <v>9781619421660</v>
      </c>
    </row>
    <row r="6331" spans="1:6" s="3" customFormat="1" ht="29.1" customHeight="1" x14ac:dyDescent="0.25">
      <c r="A6331" s="2" t="s">
        <v>13362</v>
      </c>
      <c r="B6331" s="2" t="s">
        <v>13363</v>
      </c>
      <c r="C6331" s="2" t="s">
        <v>1953</v>
      </c>
      <c r="D6331" s="2" t="s">
        <v>2880</v>
      </c>
      <c r="E6331" s="2"/>
      <c r="F6331" s="2" t="str">
        <f>"9781619421325"</f>
        <v>9781619421325</v>
      </c>
    </row>
    <row r="6332" spans="1:6" s="3" customFormat="1" ht="29.1" customHeight="1" x14ac:dyDescent="0.25">
      <c r="A6332" s="2" t="s">
        <v>13364</v>
      </c>
      <c r="B6332" s="2" t="s">
        <v>13365</v>
      </c>
      <c r="C6332" s="2" t="s">
        <v>1953</v>
      </c>
      <c r="D6332" s="2" t="s">
        <v>813</v>
      </c>
      <c r="E6332" s="2"/>
      <c r="F6332" s="2" t="str">
        <f>"9781619422599"</f>
        <v>9781619422599</v>
      </c>
    </row>
    <row r="6333" spans="1:6" s="3" customFormat="1" ht="29.1" customHeight="1" x14ac:dyDescent="0.25">
      <c r="A6333" s="2" t="s">
        <v>13366</v>
      </c>
      <c r="B6333" s="2" t="s">
        <v>13367</v>
      </c>
      <c r="C6333" s="2" t="s">
        <v>1953</v>
      </c>
      <c r="D6333" s="2" t="s">
        <v>12492</v>
      </c>
      <c r="E6333" s="2"/>
      <c r="F6333" s="2" t="str">
        <f>"9781619422612"</f>
        <v>9781619422612</v>
      </c>
    </row>
    <row r="6334" spans="1:6" s="3" customFormat="1" ht="29.1" customHeight="1" x14ac:dyDescent="0.25">
      <c r="A6334" s="2" t="s">
        <v>13368</v>
      </c>
      <c r="B6334" s="2" t="s">
        <v>13369</v>
      </c>
      <c r="C6334" s="2" t="s">
        <v>1953</v>
      </c>
      <c r="D6334" s="2" t="s">
        <v>12487</v>
      </c>
      <c r="E6334" s="2"/>
      <c r="F6334" s="2" t="str">
        <f>"9781622571994"</f>
        <v>9781622571994</v>
      </c>
    </row>
    <row r="6335" spans="1:6" s="3" customFormat="1" ht="29.1" customHeight="1" x14ac:dyDescent="0.25">
      <c r="A6335" s="2" t="s">
        <v>13370</v>
      </c>
      <c r="B6335" s="2" t="s">
        <v>13371</v>
      </c>
      <c r="C6335" s="2" t="s">
        <v>1953</v>
      </c>
      <c r="D6335" s="2" t="s">
        <v>1071</v>
      </c>
      <c r="E6335" s="2"/>
      <c r="F6335" s="2" t="str">
        <f>"9781619420892"</f>
        <v>9781619420892</v>
      </c>
    </row>
    <row r="6336" spans="1:6" s="3" customFormat="1" ht="29.1" customHeight="1" x14ac:dyDescent="0.25">
      <c r="A6336" s="2" t="s">
        <v>13372</v>
      </c>
      <c r="B6336" s="2" t="s">
        <v>13373</v>
      </c>
      <c r="C6336" s="2" t="s">
        <v>1953</v>
      </c>
      <c r="D6336" s="2" t="s">
        <v>11248</v>
      </c>
      <c r="E6336" s="2"/>
      <c r="F6336" s="2" t="str">
        <f>"9781619420861"</f>
        <v>9781619420861</v>
      </c>
    </row>
    <row r="6337" spans="1:6" s="3" customFormat="1" ht="29.1" customHeight="1" x14ac:dyDescent="0.25">
      <c r="A6337" s="2" t="s">
        <v>13374</v>
      </c>
      <c r="B6337" s="2" t="s">
        <v>13375</v>
      </c>
      <c r="C6337" s="2" t="s">
        <v>1953</v>
      </c>
      <c r="D6337" s="2" t="s">
        <v>13023</v>
      </c>
      <c r="E6337" s="2"/>
      <c r="F6337" s="2" t="str">
        <f>"9781622572007"</f>
        <v>9781622572007</v>
      </c>
    </row>
    <row r="6338" spans="1:6" s="3" customFormat="1" ht="29.1" customHeight="1" x14ac:dyDescent="0.25">
      <c r="A6338" s="2" t="s">
        <v>13376</v>
      </c>
      <c r="B6338" s="2" t="s">
        <v>13377</v>
      </c>
      <c r="C6338" s="2" t="s">
        <v>1953</v>
      </c>
      <c r="D6338" s="2" t="s">
        <v>764</v>
      </c>
      <c r="E6338" s="2"/>
      <c r="F6338" s="2" t="str">
        <f>"9781619424715"</f>
        <v>9781619424715</v>
      </c>
    </row>
    <row r="6339" spans="1:6" s="3" customFormat="1" ht="29.1" customHeight="1" x14ac:dyDescent="0.25">
      <c r="A6339" s="2" t="s">
        <v>13378</v>
      </c>
      <c r="B6339" s="2" t="s">
        <v>13379</v>
      </c>
      <c r="C6339" s="2" t="s">
        <v>1953</v>
      </c>
      <c r="D6339" s="2" t="s">
        <v>1071</v>
      </c>
      <c r="E6339" s="2"/>
      <c r="F6339" s="2" t="str">
        <f>"9781619421066"</f>
        <v>9781619421066</v>
      </c>
    </row>
    <row r="6340" spans="1:6" s="3" customFormat="1" ht="29.1" customHeight="1" x14ac:dyDescent="0.25">
      <c r="A6340" s="2" t="s">
        <v>13380</v>
      </c>
      <c r="B6340" s="2" t="s">
        <v>13381</v>
      </c>
      <c r="C6340" s="2" t="s">
        <v>1953</v>
      </c>
      <c r="D6340" s="2" t="s">
        <v>11248</v>
      </c>
      <c r="E6340" s="2"/>
      <c r="F6340" s="2" t="str">
        <f>"9781622572014"</f>
        <v>9781622572014</v>
      </c>
    </row>
    <row r="6341" spans="1:6" s="3" customFormat="1" ht="29.1" customHeight="1" x14ac:dyDescent="0.25">
      <c r="A6341" s="2" t="s">
        <v>13382</v>
      </c>
      <c r="B6341" s="2" t="s">
        <v>13384</v>
      </c>
      <c r="C6341" s="2" t="s">
        <v>1953</v>
      </c>
      <c r="D6341" s="2" t="s">
        <v>13383</v>
      </c>
      <c r="E6341" s="2"/>
      <c r="F6341" s="2" t="str">
        <f>"9781619423602"</f>
        <v>9781619423602</v>
      </c>
    </row>
    <row r="6342" spans="1:6" s="3" customFormat="1" ht="29.1" customHeight="1" x14ac:dyDescent="0.25">
      <c r="A6342" s="2" t="s">
        <v>13385</v>
      </c>
      <c r="B6342" s="2" t="s">
        <v>13386</v>
      </c>
      <c r="C6342" s="2" t="s">
        <v>1953</v>
      </c>
      <c r="D6342" s="2" t="s">
        <v>1278</v>
      </c>
      <c r="E6342" s="2"/>
      <c r="F6342" s="2" t="str">
        <f>"9781619421639"</f>
        <v>9781619421639</v>
      </c>
    </row>
    <row r="6343" spans="1:6" s="3" customFormat="1" ht="29.1" customHeight="1" x14ac:dyDescent="0.25">
      <c r="A6343" s="2" t="s">
        <v>13387</v>
      </c>
      <c r="B6343" s="2" t="s">
        <v>13388</v>
      </c>
      <c r="C6343" s="2" t="s">
        <v>1953</v>
      </c>
      <c r="D6343" s="2" t="s">
        <v>3028</v>
      </c>
      <c r="E6343" s="2"/>
      <c r="F6343" s="2" t="str">
        <f>"9781619428751"</f>
        <v>9781619428751</v>
      </c>
    </row>
    <row r="6344" spans="1:6" s="3" customFormat="1" ht="29.1" customHeight="1" x14ac:dyDescent="0.25">
      <c r="A6344" s="2" t="s">
        <v>13389</v>
      </c>
      <c r="B6344" s="2" t="s">
        <v>13390</v>
      </c>
      <c r="C6344" s="2" t="s">
        <v>1953</v>
      </c>
      <c r="D6344" s="2" t="s">
        <v>3028</v>
      </c>
      <c r="E6344" s="2"/>
      <c r="F6344" s="2" t="str">
        <f>"9781622572038"</f>
        <v>9781622572038</v>
      </c>
    </row>
    <row r="6345" spans="1:6" s="3" customFormat="1" ht="29.1" customHeight="1" x14ac:dyDescent="0.25">
      <c r="A6345" s="2" t="s">
        <v>13391</v>
      </c>
      <c r="B6345" s="2" t="s">
        <v>13392</v>
      </c>
      <c r="C6345" s="2" t="s">
        <v>1953</v>
      </c>
      <c r="D6345" s="2" t="s">
        <v>1313</v>
      </c>
      <c r="E6345" s="2"/>
      <c r="F6345" s="2" t="str">
        <f>"9781619421677"</f>
        <v>9781619421677</v>
      </c>
    </row>
    <row r="6346" spans="1:6" s="3" customFormat="1" ht="29.1" customHeight="1" x14ac:dyDescent="0.25">
      <c r="A6346" s="2" t="s">
        <v>13393</v>
      </c>
      <c r="B6346" s="2" t="s">
        <v>13394</v>
      </c>
      <c r="C6346" s="2" t="s">
        <v>1953</v>
      </c>
      <c r="D6346" s="2" t="s">
        <v>689</v>
      </c>
      <c r="E6346" s="2"/>
      <c r="F6346" s="2" t="str">
        <f>"9781536134582"</f>
        <v>9781536134582</v>
      </c>
    </row>
    <row r="6347" spans="1:6" s="3" customFormat="1" ht="29.1" customHeight="1" x14ac:dyDescent="0.25">
      <c r="A6347" s="2" t="s">
        <v>13395</v>
      </c>
      <c r="B6347" s="2" t="s">
        <v>13396</v>
      </c>
      <c r="C6347" s="2" t="s">
        <v>1953</v>
      </c>
      <c r="D6347" s="2" t="s">
        <v>4595</v>
      </c>
      <c r="E6347" s="2"/>
      <c r="F6347" s="2" t="str">
        <f>"9781620819906"</f>
        <v>9781620819906</v>
      </c>
    </row>
    <row r="6348" spans="1:6" s="3" customFormat="1" ht="29.1" customHeight="1" x14ac:dyDescent="0.25">
      <c r="A6348" s="2" t="s">
        <v>13397</v>
      </c>
      <c r="B6348" s="2" t="s">
        <v>13398</v>
      </c>
      <c r="C6348" s="2" t="s">
        <v>1953</v>
      </c>
      <c r="D6348" s="2" t="s">
        <v>2458</v>
      </c>
      <c r="E6348" s="2"/>
      <c r="F6348" s="2" t="str">
        <f>"9798891137486"</f>
        <v>9798891137486</v>
      </c>
    </row>
    <row r="6349" spans="1:6" s="3" customFormat="1" ht="29.1" customHeight="1" x14ac:dyDescent="0.25">
      <c r="A6349" s="2" t="s">
        <v>13399</v>
      </c>
      <c r="B6349" s="2" t="s">
        <v>13401</v>
      </c>
      <c r="C6349" s="2" t="s">
        <v>1953</v>
      </c>
      <c r="D6349" s="2" t="s">
        <v>13400</v>
      </c>
      <c r="E6349" s="2"/>
      <c r="F6349" s="2" t="str">
        <f>"9798891136540"</f>
        <v>9798891136540</v>
      </c>
    </row>
    <row r="6350" spans="1:6" s="3" customFormat="1" ht="29.1" customHeight="1" x14ac:dyDescent="0.25">
      <c r="A6350" s="2" t="s">
        <v>13402</v>
      </c>
      <c r="B6350" s="2" t="s">
        <v>13403</v>
      </c>
      <c r="C6350" s="2" t="s">
        <v>5</v>
      </c>
      <c r="D6350" s="2" t="s">
        <v>297</v>
      </c>
      <c r="E6350" s="2" t="str">
        <f>"9789819734290"</f>
        <v>9789819734290</v>
      </c>
      <c r="F6350" s="2" t="str">
        <f>"9789819734306"</f>
        <v>9789819734306</v>
      </c>
    </row>
    <row r="6351" spans="1:6" s="3" customFormat="1" ht="29.1" customHeight="1" x14ac:dyDescent="0.25">
      <c r="A6351" s="2" t="s">
        <v>13404</v>
      </c>
      <c r="B6351" s="2" t="s">
        <v>13405</v>
      </c>
      <c r="C6351" s="2" t="s">
        <v>5</v>
      </c>
      <c r="D6351" s="2" t="s">
        <v>724</v>
      </c>
      <c r="E6351" s="2" t="str">
        <f>"9789819745807"</f>
        <v>9789819745807</v>
      </c>
      <c r="F6351" s="2" t="str">
        <f>"9789819745814"</f>
        <v>9789819745814</v>
      </c>
    </row>
    <row r="6352" spans="1:6" s="3" customFormat="1" ht="29.1" customHeight="1" x14ac:dyDescent="0.25">
      <c r="A6352" s="2" t="s">
        <v>13406</v>
      </c>
      <c r="B6352" s="2" t="s">
        <v>13407</v>
      </c>
      <c r="C6352" s="2" t="s">
        <v>5</v>
      </c>
      <c r="D6352" s="2" t="s">
        <v>504</v>
      </c>
      <c r="E6352" s="2" t="str">
        <f>"9789819751723"</f>
        <v>9789819751723</v>
      </c>
      <c r="F6352" s="2" t="str">
        <f>"9789819751730"</f>
        <v>9789819751730</v>
      </c>
    </row>
    <row r="6353" spans="1:6" s="3" customFormat="1" ht="29.1" customHeight="1" x14ac:dyDescent="0.25">
      <c r="A6353" s="2" t="s">
        <v>13408</v>
      </c>
      <c r="B6353" s="2" t="s">
        <v>13409</v>
      </c>
      <c r="C6353" s="2" t="s">
        <v>5</v>
      </c>
      <c r="D6353" s="2" t="s">
        <v>3445</v>
      </c>
      <c r="E6353" s="2" t="str">
        <f>"9783031653520"</f>
        <v>9783031653520</v>
      </c>
      <c r="F6353" s="2" t="str">
        <f>"9783031653537"</f>
        <v>9783031653537</v>
      </c>
    </row>
    <row r="6354" spans="1:6" s="3" customFormat="1" ht="29.1" customHeight="1" x14ac:dyDescent="0.25">
      <c r="A6354" s="2" t="s">
        <v>13410</v>
      </c>
      <c r="B6354" s="2" t="s">
        <v>13411</v>
      </c>
      <c r="C6354" s="2" t="s">
        <v>36</v>
      </c>
      <c r="D6354" s="2" t="s">
        <v>6559</v>
      </c>
      <c r="E6354" s="2" t="str">
        <f>"9781529238303"</f>
        <v>9781529238303</v>
      </c>
      <c r="F6354" s="2" t="str">
        <f>"9781529238327"</f>
        <v>9781529238327</v>
      </c>
    </row>
    <row r="6355" spans="1:6" s="3" customFormat="1" ht="29.1" customHeight="1" x14ac:dyDescent="0.25">
      <c r="A6355" s="2" t="s">
        <v>13412</v>
      </c>
      <c r="B6355" s="2" t="s">
        <v>13413</v>
      </c>
      <c r="C6355" s="2" t="s">
        <v>29</v>
      </c>
      <c r="D6355" s="2" t="s">
        <v>192</v>
      </c>
      <c r="E6355" s="2" t="str">
        <f>"9789004689336"</f>
        <v>9789004689336</v>
      </c>
      <c r="F6355" s="2" t="str">
        <f>"9789004689343"</f>
        <v>9789004689343</v>
      </c>
    </row>
    <row r="6356" spans="1:6" s="3" customFormat="1" ht="29.1" customHeight="1" x14ac:dyDescent="0.25">
      <c r="A6356" s="2" t="s">
        <v>13414</v>
      </c>
      <c r="B6356" s="2" t="s">
        <v>13415</v>
      </c>
      <c r="C6356" s="2" t="s">
        <v>8104</v>
      </c>
      <c r="D6356" s="2" t="s">
        <v>1183</v>
      </c>
      <c r="E6356" s="2" t="str">
        <f>"9781805398738"</f>
        <v>9781805398738</v>
      </c>
      <c r="F6356" s="2" t="str">
        <f>"9781805398745"</f>
        <v>9781805398745</v>
      </c>
    </row>
    <row r="6357" spans="1:6" s="3" customFormat="1" ht="29.1" customHeight="1" x14ac:dyDescent="0.25">
      <c r="A6357" s="2" t="s">
        <v>13416</v>
      </c>
      <c r="B6357" s="2" t="s">
        <v>13417</v>
      </c>
      <c r="C6357" s="2" t="s">
        <v>5</v>
      </c>
      <c r="D6357" s="2" t="s">
        <v>6</v>
      </c>
      <c r="E6357" s="2" t="str">
        <f>"9789819758210"</f>
        <v>9789819758210</v>
      </c>
      <c r="F6357" s="2" t="str">
        <f>"9789819758227"</f>
        <v>9789819758227</v>
      </c>
    </row>
    <row r="6358" spans="1:6" s="3" customFormat="1" ht="29.1" customHeight="1" x14ac:dyDescent="0.25">
      <c r="A6358" s="2" t="s">
        <v>13418</v>
      </c>
      <c r="B6358" s="2" t="s">
        <v>13419</v>
      </c>
      <c r="C6358" s="2" t="s">
        <v>124</v>
      </c>
      <c r="D6358" s="2" t="s">
        <v>1895</v>
      </c>
      <c r="E6358" s="2" t="str">
        <f>"9781032702599"</f>
        <v>9781032702599</v>
      </c>
      <c r="F6358" s="2" t="str">
        <f>"9781032702605"</f>
        <v>9781032702605</v>
      </c>
    </row>
    <row r="6359" spans="1:6" s="3" customFormat="1" ht="29.1" customHeight="1" x14ac:dyDescent="0.25">
      <c r="A6359" s="2" t="s">
        <v>13420</v>
      </c>
      <c r="B6359" s="2" t="s">
        <v>13421</v>
      </c>
      <c r="C6359" s="2" t="s">
        <v>5</v>
      </c>
      <c r="D6359" s="2" t="s">
        <v>5588</v>
      </c>
      <c r="E6359" s="2" t="str">
        <f>"9783031600487"</f>
        <v>9783031600487</v>
      </c>
      <c r="F6359" s="2" t="str">
        <f>"9783031600494"</f>
        <v>9783031600494</v>
      </c>
    </row>
    <row r="6360" spans="1:6" s="3" customFormat="1" ht="29.1" customHeight="1" x14ac:dyDescent="0.25">
      <c r="A6360" s="2" t="s">
        <v>13422</v>
      </c>
      <c r="B6360" s="2" t="s">
        <v>13423</v>
      </c>
      <c r="C6360" s="2" t="s">
        <v>124</v>
      </c>
      <c r="D6360" s="2" t="s">
        <v>270</v>
      </c>
      <c r="E6360" s="2" t="str">
        <f>"9781032613369"</f>
        <v>9781032613369</v>
      </c>
      <c r="F6360" s="2" t="str">
        <f>"9781032613383"</f>
        <v>9781032613383</v>
      </c>
    </row>
    <row r="6361" spans="1:6" s="3" customFormat="1" ht="29.1" customHeight="1" x14ac:dyDescent="0.25">
      <c r="A6361" s="2" t="s">
        <v>13424</v>
      </c>
      <c r="B6361" s="2" t="s">
        <v>13425</v>
      </c>
      <c r="C6361" s="2" t="s">
        <v>124</v>
      </c>
      <c r="D6361" s="2" t="s">
        <v>9</v>
      </c>
      <c r="E6361" s="2" t="str">
        <f>"9781032815855"</f>
        <v>9781032815855</v>
      </c>
      <c r="F6361" s="2" t="str">
        <f>"9781003547082"</f>
        <v>9781003547082</v>
      </c>
    </row>
    <row r="6362" spans="1:6" s="3" customFormat="1" ht="29.1" customHeight="1" x14ac:dyDescent="0.25">
      <c r="A6362" s="2" t="s">
        <v>13426</v>
      </c>
      <c r="B6362" s="2" t="s">
        <v>13427</v>
      </c>
      <c r="C6362" s="2" t="s">
        <v>264</v>
      </c>
      <c r="D6362" s="2" t="s">
        <v>44</v>
      </c>
      <c r="E6362" s="2" t="str">
        <f>"9781032662015"</f>
        <v>9781032662015</v>
      </c>
      <c r="F6362" s="2" t="str">
        <f>"9781040123447"</f>
        <v>9781040123447</v>
      </c>
    </row>
    <row r="6363" spans="1:6" s="3" customFormat="1" ht="29.1" customHeight="1" x14ac:dyDescent="0.25">
      <c r="A6363" s="2" t="s">
        <v>13428</v>
      </c>
      <c r="B6363" s="2" t="s">
        <v>13429</v>
      </c>
      <c r="C6363" s="2" t="s">
        <v>124</v>
      </c>
      <c r="D6363" s="2" t="s">
        <v>183</v>
      </c>
      <c r="E6363" s="2" t="str">
        <f>"9781032536118"</f>
        <v>9781032536118</v>
      </c>
      <c r="F6363" s="2" t="str">
        <f>"9781003412908"</f>
        <v>9781003412908</v>
      </c>
    </row>
    <row r="6364" spans="1:6" s="3" customFormat="1" ht="29.1" customHeight="1" x14ac:dyDescent="0.25">
      <c r="A6364" s="2" t="s">
        <v>13430</v>
      </c>
      <c r="B6364" s="2" t="s">
        <v>13431</v>
      </c>
      <c r="C6364" s="2" t="s">
        <v>5</v>
      </c>
      <c r="D6364" s="2" t="s">
        <v>98</v>
      </c>
      <c r="E6364" s="2" t="str">
        <f>"9789464634976"</f>
        <v>9789464634976</v>
      </c>
      <c r="F6364" s="2" t="str">
        <f>"9789464634983"</f>
        <v>9789464634983</v>
      </c>
    </row>
    <row r="6365" spans="1:6" s="3" customFormat="1" ht="29.1" customHeight="1" x14ac:dyDescent="0.25">
      <c r="A6365" s="2" t="s">
        <v>13432</v>
      </c>
      <c r="B6365" s="2" t="s">
        <v>13433</v>
      </c>
      <c r="C6365" s="2" t="s">
        <v>927</v>
      </c>
      <c r="D6365" s="2" t="s">
        <v>210</v>
      </c>
      <c r="E6365" s="2" t="str">
        <f>"9780472056804"</f>
        <v>9780472056804</v>
      </c>
      <c r="F6365" s="2" t="str">
        <f>"9780472904471"</f>
        <v>9780472904471</v>
      </c>
    </row>
    <row r="6366" spans="1:6" s="3" customFormat="1" ht="29.1" customHeight="1" x14ac:dyDescent="0.25">
      <c r="A6366" s="2" t="s">
        <v>13434</v>
      </c>
      <c r="B6366" s="2" t="s">
        <v>13435</v>
      </c>
      <c r="C6366" s="2" t="s">
        <v>927</v>
      </c>
      <c r="D6366" s="2" t="s">
        <v>270</v>
      </c>
      <c r="E6366" s="2" t="str">
        <f>"9780472057085"</f>
        <v>9780472057085</v>
      </c>
      <c r="F6366" s="2" t="str">
        <f>"9780472904686"</f>
        <v>9780472904686</v>
      </c>
    </row>
    <row r="6367" spans="1:6" s="3" customFormat="1" ht="29.1" customHeight="1" x14ac:dyDescent="0.25">
      <c r="A6367" s="2" t="s">
        <v>13436</v>
      </c>
      <c r="B6367" s="2" t="s">
        <v>13437</v>
      </c>
      <c r="C6367" s="2" t="s">
        <v>5</v>
      </c>
      <c r="D6367" s="2" t="s">
        <v>52</v>
      </c>
      <c r="E6367" s="2" t="str">
        <f>"9783031657931"</f>
        <v>9783031657931</v>
      </c>
      <c r="F6367" s="2" t="str">
        <f>"9783031657948"</f>
        <v>9783031657948</v>
      </c>
    </row>
    <row r="6368" spans="1:6" s="3" customFormat="1" ht="29.1" customHeight="1" x14ac:dyDescent="0.25">
      <c r="A6368" s="2" t="s">
        <v>13438</v>
      </c>
      <c r="B6368" s="2" t="s">
        <v>13439</v>
      </c>
      <c r="C6368" s="2" t="s">
        <v>927</v>
      </c>
      <c r="D6368" s="2" t="s">
        <v>33</v>
      </c>
      <c r="E6368" s="2" t="str">
        <f>"9780472056934"</f>
        <v>9780472056934</v>
      </c>
      <c r="F6368" s="2" t="str">
        <f>"9780472904570"</f>
        <v>9780472904570</v>
      </c>
    </row>
    <row r="6369" spans="1:6" s="3" customFormat="1" ht="29.1" customHeight="1" x14ac:dyDescent="0.25">
      <c r="A6369" s="2" t="s">
        <v>13440</v>
      </c>
      <c r="B6369" s="2" t="s">
        <v>13441</v>
      </c>
      <c r="C6369" s="2" t="s">
        <v>927</v>
      </c>
      <c r="D6369" s="2" t="s">
        <v>270</v>
      </c>
      <c r="E6369" s="2" t="str">
        <f>"9780472056972"</f>
        <v>9780472056972</v>
      </c>
      <c r="F6369" s="2" t="str">
        <f>"9780472904600"</f>
        <v>9780472904600</v>
      </c>
    </row>
    <row r="6370" spans="1:6" s="3" customFormat="1" ht="29.1" customHeight="1" x14ac:dyDescent="0.25">
      <c r="A6370" s="2" t="s">
        <v>13442</v>
      </c>
      <c r="B6370" s="2" t="s">
        <v>13443</v>
      </c>
      <c r="C6370" s="2" t="s">
        <v>7395</v>
      </c>
      <c r="D6370" s="2" t="s">
        <v>49</v>
      </c>
      <c r="E6370" s="2" t="str">
        <f>"9780295752808"</f>
        <v>9780295752808</v>
      </c>
      <c r="F6370" s="2" t="str">
        <f>"9780295752822"</f>
        <v>9780295752822</v>
      </c>
    </row>
    <row r="6371" spans="1:6" s="3" customFormat="1" ht="29.1" customHeight="1" x14ac:dyDescent="0.25">
      <c r="A6371" s="2" t="s">
        <v>13444</v>
      </c>
      <c r="B6371" s="2" t="s">
        <v>13445</v>
      </c>
      <c r="C6371" s="2" t="s">
        <v>264</v>
      </c>
      <c r="D6371" s="2" t="s">
        <v>7199</v>
      </c>
      <c r="E6371" s="2" t="str">
        <f>"9781032576589"</f>
        <v>9781032576589</v>
      </c>
      <c r="F6371" s="2" t="str">
        <f>"9781040265208"</f>
        <v>9781040265208</v>
      </c>
    </row>
    <row r="6372" spans="1:6" s="3" customFormat="1" ht="29.1" customHeight="1" x14ac:dyDescent="0.25">
      <c r="A6372" s="2" t="s">
        <v>13446</v>
      </c>
      <c r="B6372" s="2" t="s">
        <v>13447</v>
      </c>
      <c r="C6372" s="2" t="s">
        <v>7364</v>
      </c>
      <c r="D6372" s="2" t="s">
        <v>606</v>
      </c>
      <c r="E6372" s="2" t="str">
        <f>"9788075240804"</f>
        <v>9788075240804</v>
      </c>
      <c r="F6372" s="2" t="str">
        <f>"9788075240811"</f>
        <v>9788075240811</v>
      </c>
    </row>
    <row r="6373" spans="1:6" s="3" customFormat="1" ht="29.1" customHeight="1" x14ac:dyDescent="0.25">
      <c r="A6373" s="2" t="s">
        <v>13448</v>
      </c>
      <c r="B6373" s="2" t="s">
        <v>13449</v>
      </c>
      <c r="C6373" s="2" t="s">
        <v>7364</v>
      </c>
      <c r="D6373" s="2" t="s">
        <v>606</v>
      </c>
      <c r="E6373" s="2" t="str">
        <f>"9788075240767"</f>
        <v>9788075240767</v>
      </c>
      <c r="F6373" s="2" t="str">
        <f>"9788075240774"</f>
        <v>9788075240774</v>
      </c>
    </row>
    <row r="6374" spans="1:6" s="3" customFormat="1" ht="29.1" customHeight="1" x14ac:dyDescent="0.25">
      <c r="A6374" s="2" t="s">
        <v>13450</v>
      </c>
      <c r="B6374" s="2" t="s">
        <v>13451</v>
      </c>
      <c r="C6374" s="2" t="s">
        <v>7364</v>
      </c>
      <c r="D6374" s="2" t="s">
        <v>606</v>
      </c>
      <c r="E6374" s="2" t="str">
        <f>"9788075240729"</f>
        <v>9788075240729</v>
      </c>
      <c r="F6374" s="2" t="str">
        <f>"9788075240736"</f>
        <v>9788075240736</v>
      </c>
    </row>
    <row r="6375" spans="1:6" s="3" customFormat="1" ht="29.1" customHeight="1" x14ac:dyDescent="0.25">
      <c r="A6375" s="2" t="s">
        <v>13452</v>
      </c>
      <c r="B6375" s="2" t="s">
        <v>13453</v>
      </c>
      <c r="C6375" s="2" t="s">
        <v>7364</v>
      </c>
      <c r="D6375" s="2" t="s">
        <v>606</v>
      </c>
      <c r="E6375" s="2" t="str">
        <f>"9788028004125"</f>
        <v>9788028004125</v>
      </c>
      <c r="F6375" s="2" t="str">
        <f>"9788028004132"</f>
        <v>9788028004132</v>
      </c>
    </row>
    <row r="6376" spans="1:6" s="3" customFormat="1" ht="29.1" customHeight="1" x14ac:dyDescent="0.25">
      <c r="A6376" s="2" t="s">
        <v>13454</v>
      </c>
      <c r="B6376" s="2" t="s">
        <v>13453</v>
      </c>
      <c r="C6376" s="2" t="s">
        <v>7364</v>
      </c>
      <c r="D6376" s="2" t="s">
        <v>606</v>
      </c>
      <c r="E6376" s="2" t="str">
        <f>"9788028004101"</f>
        <v>9788028004101</v>
      </c>
      <c r="F6376" s="2" t="str">
        <f>"9788028004118"</f>
        <v>9788028004118</v>
      </c>
    </row>
    <row r="6377" spans="1:6" s="3" customFormat="1" ht="29.1" customHeight="1" x14ac:dyDescent="0.25">
      <c r="A6377" s="2" t="s">
        <v>13455</v>
      </c>
      <c r="B6377" s="2" t="s">
        <v>13456</v>
      </c>
      <c r="C6377" s="2" t="s">
        <v>7364</v>
      </c>
      <c r="D6377" s="2" t="s">
        <v>2513</v>
      </c>
      <c r="E6377" s="2" t="str">
        <f>"9788075240651"</f>
        <v>9788075240651</v>
      </c>
      <c r="F6377" s="2" t="str">
        <f>"9788075240668"</f>
        <v>9788075240668</v>
      </c>
    </row>
    <row r="6378" spans="1:6" s="3" customFormat="1" ht="29.1" customHeight="1" x14ac:dyDescent="0.25">
      <c r="A6378" s="2" t="s">
        <v>13457</v>
      </c>
      <c r="B6378" s="2" t="s">
        <v>13458</v>
      </c>
      <c r="C6378" s="2" t="s">
        <v>7364</v>
      </c>
      <c r="D6378" s="2" t="s">
        <v>606</v>
      </c>
      <c r="E6378" s="2" t="str">
        <f>"9788075240552"</f>
        <v>9788075240552</v>
      </c>
      <c r="F6378" s="2" t="str">
        <f>"9788075240576"</f>
        <v>9788075240576</v>
      </c>
    </row>
    <row r="6379" spans="1:6" s="3" customFormat="1" ht="29.1" customHeight="1" x14ac:dyDescent="0.25">
      <c r="A6379" s="2" t="s">
        <v>13459</v>
      </c>
      <c r="B6379" s="2" t="s">
        <v>13460</v>
      </c>
      <c r="C6379" s="2" t="s">
        <v>5</v>
      </c>
      <c r="D6379" s="2" t="s">
        <v>553</v>
      </c>
      <c r="E6379" s="2" t="str">
        <f>"9783031605826"</f>
        <v>9783031605826</v>
      </c>
      <c r="F6379" s="2" t="str">
        <f>"9783031605833"</f>
        <v>9783031605833</v>
      </c>
    </row>
    <row r="6380" spans="1:6" s="3" customFormat="1" ht="29.1" customHeight="1" x14ac:dyDescent="0.25">
      <c r="A6380" s="2" t="s">
        <v>13461</v>
      </c>
      <c r="B6380" s="2" t="s">
        <v>13462</v>
      </c>
      <c r="C6380" s="2" t="s">
        <v>264</v>
      </c>
      <c r="D6380" s="2" t="s">
        <v>12492</v>
      </c>
      <c r="E6380" s="2" t="str">
        <f>"9781032731087"</f>
        <v>9781032731087</v>
      </c>
      <c r="F6380" s="2" t="str">
        <f>"9781040024959"</f>
        <v>9781040024959</v>
      </c>
    </row>
    <row r="6381" spans="1:6" s="3" customFormat="1" ht="29.1" customHeight="1" x14ac:dyDescent="0.25">
      <c r="A6381" s="2" t="s">
        <v>13463</v>
      </c>
      <c r="B6381" s="2" t="s">
        <v>13464</v>
      </c>
      <c r="C6381" s="2" t="s">
        <v>131</v>
      </c>
      <c r="D6381" s="2" t="s">
        <v>1248</v>
      </c>
      <c r="E6381" s="2" t="str">
        <f>"9789027214805"</f>
        <v>9789027214805</v>
      </c>
      <c r="F6381" s="2" t="str">
        <f>"9789027246912"</f>
        <v>9789027246912</v>
      </c>
    </row>
    <row r="6382" spans="1:6" s="3" customFormat="1" ht="29.1" customHeight="1" x14ac:dyDescent="0.25">
      <c r="A6382" s="2" t="s">
        <v>13465</v>
      </c>
      <c r="B6382" s="2" t="s">
        <v>13466</v>
      </c>
      <c r="C6382" s="2" t="s">
        <v>29</v>
      </c>
      <c r="D6382" s="2" t="s">
        <v>192</v>
      </c>
      <c r="E6382" s="2" t="str">
        <f>"9789004702639"</f>
        <v>9789004702639</v>
      </c>
      <c r="F6382" s="2" t="str">
        <f>"9789004702646"</f>
        <v>9789004702646</v>
      </c>
    </row>
    <row r="6383" spans="1:6" s="3" customFormat="1" ht="29.1" customHeight="1" x14ac:dyDescent="0.25">
      <c r="A6383" s="2" t="s">
        <v>13467</v>
      </c>
      <c r="B6383" s="2" t="s">
        <v>13468</v>
      </c>
      <c r="C6383" s="2" t="s">
        <v>5</v>
      </c>
      <c r="D6383" s="2" t="s">
        <v>9</v>
      </c>
      <c r="E6383" s="2" t="str">
        <f>"9789464634938"</f>
        <v>9789464634938</v>
      </c>
      <c r="F6383" s="2" t="str">
        <f>"9789464634945"</f>
        <v>9789464634945</v>
      </c>
    </row>
    <row r="6384" spans="1:6" s="3" customFormat="1" ht="29.1" customHeight="1" x14ac:dyDescent="0.25">
      <c r="A6384" s="2" t="s">
        <v>13469</v>
      </c>
      <c r="B6384" s="2" t="s">
        <v>13470</v>
      </c>
      <c r="C6384" s="2" t="s">
        <v>5</v>
      </c>
      <c r="D6384" s="2" t="s">
        <v>528</v>
      </c>
      <c r="E6384" s="2" t="str">
        <f>"9783031655050"</f>
        <v>9783031655050</v>
      </c>
      <c r="F6384" s="2" t="str">
        <f>"9783031655067"</f>
        <v>9783031655067</v>
      </c>
    </row>
    <row r="6385" spans="1:6" s="3" customFormat="1" ht="29.1" customHeight="1" x14ac:dyDescent="0.25">
      <c r="A6385" s="2" t="s">
        <v>13471</v>
      </c>
      <c r="B6385" s="2" t="s">
        <v>13472</v>
      </c>
      <c r="C6385" s="2" t="s">
        <v>5</v>
      </c>
      <c r="D6385" s="2" t="s">
        <v>5284</v>
      </c>
      <c r="E6385" s="2" t="str">
        <f>"9789819968107"</f>
        <v>9789819968107</v>
      </c>
      <c r="F6385" s="2" t="str">
        <f>"9789819968114"</f>
        <v>9789819968114</v>
      </c>
    </row>
    <row r="6386" spans="1:6" s="3" customFormat="1" ht="29.1" customHeight="1" x14ac:dyDescent="0.25">
      <c r="A6386" s="2" t="s">
        <v>13473</v>
      </c>
      <c r="B6386" s="2" t="s">
        <v>13474</v>
      </c>
      <c r="C6386" s="2" t="s">
        <v>5</v>
      </c>
      <c r="D6386" s="2" t="s">
        <v>553</v>
      </c>
      <c r="E6386" s="2" t="str">
        <f>"9789819707744"</f>
        <v>9789819707744</v>
      </c>
      <c r="F6386" s="2" t="str">
        <f>"9789819707751"</f>
        <v>9789819707751</v>
      </c>
    </row>
    <row r="6387" spans="1:6" s="3" customFormat="1" ht="29.1" customHeight="1" x14ac:dyDescent="0.25">
      <c r="A6387" s="2" t="s">
        <v>13475</v>
      </c>
      <c r="B6387" s="2" t="s">
        <v>13476</v>
      </c>
      <c r="C6387" s="2" t="s">
        <v>248</v>
      </c>
      <c r="D6387" s="2" t="s">
        <v>2752</v>
      </c>
      <c r="E6387" s="2" t="str">
        <f>"9783847430117"</f>
        <v>9783847430117</v>
      </c>
      <c r="F6387" s="2" t="str">
        <f>"9783847419488"</f>
        <v>9783847419488</v>
      </c>
    </row>
    <row r="6388" spans="1:6" s="3" customFormat="1" ht="29.1" customHeight="1" x14ac:dyDescent="0.25">
      <c r="A6388" s="2" t="s">
        <v>13477</v>
      </c>
      <c r="B6388" s="2" t="s">
        <v>13478</v>
      </c>
      <c r="C6388" s="2" t="s">
        <v>248</v>
      </c>
      <c r="D6388" s="2" t="s">
        <v>553</v>
      </c>
      <c r="E6388" s="2" t="str">
        <f>"9783847430704"</f>
        <v>9783847430704</v>
      </c>
      <c r="F6388" s="2" t="str">
        <f>"9783847432296"</f>
        <v>9783847432296</v>
      </c>
    </row>
    <row r="6389" spans="1:6" s="3" customFormat="1" ht="29.1" customHeight="1" x14ac:dyDescent="0.25">
      <c r="A6389" s="2" t="s">
        <v>13479</v>
      </c>
      <c r="B6389" s="2" t="s">
        <v>13480</v>
      </c>
      <c r="C6389" s="2" t="s">
        <v>5</v>
      </c>
      <c r="D6389" s="2" t="s">
        <v>1988</v>
      </c>
      <c r="E6389" s="2" t="str">
        <f>"9783658434748"</f>
        <v>9783658434748</v>
      </c>
      <c r="F6389" s="2" t="str">
        <f>"9783658434755"</f>
        <v>9783658434755</v>
      </c>
    </row>
    <row r="6390" spans="1:6" s="3" customFormat="1" ht="29.1" customHeight="1" x14ac:dyDescent="0.25">
      <c r="A6390" s="2" t="s">
        <v>13481</v>
      </c>
      <c r="B6390" s="2" t="s">
        <v>13482</v>
      </c>
      <c r="C6390" s="2" t="s">
        <v>239</v>
      </c>
      <c r="D6390" s="2" t="s">
        <v>636</v>
      </c>
      <c r="E6390" s="2" t="str">
        <f>"9780520400948"</f>
        <v>9780520400948</v>
      </c>
      <c r="F6390" s="2" t="str">
        <f>"9780520400962"</f>
        <v>9780520400962</v>
      </c>
    </row>
    <row r="6391" spans="1:6" s="3" customFormat="1" ht="29.1" customHeight="1" x14ac:dyDescent="0.25">
      <c r="A6391" s="2" t="s">
        <v>13483</v>
      </c>
      <c r="B6391" s="2" t="s">
        <v>7859</v>
      </c>
      <c r="C6391" s="2" t="s">
        <v>746</v>
      </c>
      <c r="D6391" s="2" t="s">
        <v>7858</v>
      </c>
      <c r="E6391" s="2"/>
      <c r="F6391" s="2" t="str">
        <f>"9781803277745"</f>
        <v>9781803277745</v>
      </c>
    </row>
    <row r="6392" spans="1:6" s="3" customFormat="1" ht="29.1" customHeight="1" x14ac:dyDescent="0.25">
      <c r="A6392" s="2" t="s">
        <v>13484</v>
      </c>
      <c r="B6392" s="2" t="s">
        <v>13485</v>
      </c>
      <c r="C6392" s="2" t="s">
        <v>746</v>
      </c>
      <c r="D6392" s="2" t="s">
        <v>606</v>
      </c>
      <c r="E6392" s="2" t="str">
        <f>"9781803278018"</f>
        <v>9781803278018</v>
      </c>
      <c r="F6392" s="2" t="str">
        <f>"9781803278025"</f>
        <v>9781803278025</v>
      </c>
    </row>
    <row r="6393" spans="1:6" s="3" customFormat="1" ht="29.1" customHeight="1" x14ac:dyDescent="0.25">
      <c r="A6393" s="2" t="s">
        <v>13486</v>
      </c>
      <c r="B6393" s="2" t="s">
        <v>13487</v>
      </c>
      <c r="C6393" s="2" t="s">
        <v>5</v>
      </c>
      <c r="D6393" s="2" t="s">
        <v>302</v>
      </c>
      <c r="E6393" s="2" t="str">
        <f>"9783658446857"</f>
        <v>9783658446857</v>
      </c>
      <c r="F6393" s="2" t="str">
        <f>"9783658446864"</f>
        <v>9783658446864</v>
      </c>
    </row>
    <row r="6394" spans="1:6" s="3" customFormat="1" ht="29.1" customHeight="1" x14ac:dyDescent="0.25">
      <c r="A6394" s="2" t="s">
        <v>13488</v>
      </c>
      <c r="B6394" s="2" t="s">
        <v>13489</v>
      </c>
      <c r="C6394" s="2" t="s">
        <v>29</v>
      </c>
      <c r="D6394" s="2" t="s">
        <v>1432</v>
      </c>
      <c r="E6394" s="2" t="str">
        <f>"9789004695436"</f>
        <v>9789004695436</v>
      </c>
      <c r="F6394" s="2" t="str">
        <f>"9789004700833"</f>
        <v>9789004700833</v>
      </c>
    </row>
    <row r="6395" spans="1:6" s="3" customFormat="1" ht="29.1" customHeight="1" x14ac:dyDescent="0.25">
      <c r="A6395" s="2" t="s">
        <v>13490</v>
      </c>
      <c r="B6395" s="2" t="s">
        <v>13491</v>
      </c>
      <c r="C6395" s="2" t="s">
        <v>29</v>
      </c>
      <c r="D6395" s="2" t="s">
        <v>210</v>
      </c>
      <c r="E6395" s="2" t="str">
        <f>"9789004515659"</f>
        <v>9789004515659</v>
      </c>
      <c r="F6395" s="2" t="str">
        <f>"9789004700857"</f>
        <v>9789004700857</v>
      </c>
    </row>
    <row r="6396" spans="1:6" s="3" customFormat="1" ht="29.1" customHeight="1" x14ac:dyDescent="0.25">
      <c r="A6396" s="2" t="s">
        <v>13492</v>
      </c>
      <c r="B6396" s="2" t="s">
        <v>13493</v>
      </c>
      <c r="C6396" s="2" t="s">
        <v>149</v>
      </c>
      <c r="D6396" s="2" t="s">
        <v>12625</v>
      </c>
      <c r="E6396" s="2" t="str">
        <f>"9781685712181"</f>
        <v>9781685712181</v>
      </c>
      <c r="F6396" s="2" t="str">
        <f>"9781685712198"</f>
        <v>9781685712198</v>
      </c>
    </row>
    <row r="6397" spans="1:6" s="3" customFormat="1" ht="29.1" customHeight="1" x14ac:dyDescent="0.25">
      <c r="A6397" s="2" t="s">
        <v>13494</v>
      </c>
      <c r="B6397" s="2" t="s">
        <v>13495</v>
      </c>
      <c r="C6397" s="2" t="s">
        <v>149</v>
      </c>
      <c r="D6397" s="2" t="s">
        <v>3839</v>
      </c>
      <c r="E6397" s="2" t="str">
        <f>"9781685711849"</f>
        <v>9781685711849</v>
      </c>
      <c r="F6397" s="2" t="str">
        <f>"9781685711856"</f>
        <v>9781685711856</v>
      </c>
    </row>
    <row r="6398" spans="1:6" s="3" customFormat="1" ht="29.1" customHeight="1" x14ac:dyDescent="0.25">
      <c r="A6398" s="2" t="s">
        <v>13496</v>
      </c>
      <c r="B6398" s="2" t="s">
        <v>13498</v>
      </c>
      <c r="C6398" s="2" t="s">
        <v>149</v>
      </c>
      <c r="D6398" s="2" t="s">
        <v>13497</v>
      </c>
      <c r="E6398" s="2" t="str">
        <f>"9781685711566"</f>
        <v>9781685711566</v>
      </c>
      <c r="F6398" s="2" t="str">
        <f>"9781685711573"</f>
        <v>9781685711573</v>
      </c>
    </row>
    <row r="6399" spans="1:6" s="3" customFormat="1" ht="29.1" customHeight="1" x14ac:dyDescent="0.25">
      <c r="A6399" s="2" t="s">
        <v>13499</v>
      </c>
      <c r="B6399" s="2" t="s">
        <v>13500</v>
      </c>
      <c r="C6399" s="2" t="s">
        <v>149</v>
      </c>
      <c r="D6399" s="2" t="s">
        <v>6896</v>
      </c>
      <c r="E6399" s="2" t="str">
        <f>"9781685711283"</f>
        <v>9781685711283</v>
      </c>
      <c r="F6399" s="2" t="str">
        <f>"9781685711290"</f>
        <v>9781685711290</v>
      </c>
    </row>
    <row r="6400" spans="1:6" s="3" customFormat="1" ht="29.1" customHeight="1" x14ac:dyDescent="0.25">
      <c r="A6400" s="2" t="s">
        <v>13501</v>
      </c>
      <c r="B6400" s="2" t="s">
        <v>13503</v>
      </c>
      <c r="C6400" s="2" t="s">
        <v>149</v>
      </c>
      <c r="D6400" s="2" t="s">
        <v>13502</v>
      </c>
      <c r="E6400" s="2" t="str">
        <f>"9781685711108"</f>
        <v>9781685711108</v>
      </c>
      <c r="F6400" s="2" t="str">
        <f>"9781685711115"</f>
        <v>9781685711115</v>
      </c>
    </row>
    <row r="6401" spans="1:6" s="3" customFormat="1" ht="29.1" customHeight="1" x14ac:dyDescent="0.25">
      <c r="A6401" s="2" t="s">
        <v>13504</v>
      </c>
      <c r="B6401" s="2" t="s">
        <v>13505</v>
      </c>
      <c r="C6401" s="2" t="s">
        <v>149</v>
      </c>
      <c r="D6401" s="2" t="s">
        <v>636</v>
      </c>
      <c r="E6401" s="2" t="str">
        <f>"9781800648777"</f>
        <v>9781800648777</v>
      </c>
      <c r="F6401" s="2" t="str">
        <f>"9781800648791"</f>
        <v>9781800648791</v>
      </c>
    </row>
    <row r="6402" spans="1:6" s="3" customFormat="1" ht="29.1" customHeight="1" x14ac:dyDescent="0.25">
      <c r="A6402" s="2" t="s">
        <v>13506</v>
      </c>
      <c r="B6402" s="2" t="s">
        <v>13507</v>
      </c>
      <c r="C6402" s="2" t="s">
        <v>149</v>
      </c>
      <c r="D6402" s="2" t="s">
        <v>758</v>
      </c>
      <c r="E6402" s="2"/>
      <c r="F6402" s="2" t="str">
        <f>"9781805112983"</f>
        <v>9781805112983</v>
      </c>
    </row>
    <row r="6403" spans="1:6" s="3" customFormat="1" ht="29.1" customHeight="1" x14ac:dyDescent="0.25">
      <c r="A6403" s="2" t="s">
        <v>13508</v>
      </c>
      <c r="B6403" s="2" t="s">
        <v>13509</v>
      </c>
      <c r="C6403" s="2" t="s">
        <v>149</v>
      </c>
      <c r="D6403" s="2" t="s">
        <v>919</v>
      </c>
      <c r="E6403" s="2"/>
      <c r="F6403" s="2" t="str">
        <f>"9781805113867"</f>
        <v>9781805113867</v>
      </c>
    </row>
    <row r="6404" spans="1:6" s="3" customFormat="1" ht="29.1" customHeight="1" x14ac:dyDescent="0.25">
      <c r="A6404" s="2" t="s">
        <v>13510</v>
      </c>
      <c r="B6404" s="2" t="s">
        <v>13511</v>
      </c>
      <c r="C6404" s="2" t="s">
        <v>5</v>
      </c>
      <c r="D6404" s="2" t="s">
        <v>10433</v>
      </c>
      <c r="E6404" s="2" t="str">
        <f>"9783658451653"</f>
        <v>9783658451653</v>
      </c>
      <c r="F6404" s="2" t="str">
        <f>"9783658451660"</f>
        <v>9783658451660</v>
      </c>
    </row>
    <row r="6405" spans="1:6" s="3" customFormat="1" ht="29.1" customHeight="1" x14ac:dyDescent="0.25">
      <c r="A6405" s="2" t="s">
        <v>13512</v>
      </c>
      <c r="B6405" s="2" t="s">
        <v>13513</v>
      </c>
      <c r="C6405" s="2" t="s">
        <v>264</v>
      </c>
      <c r="D6405" s="2" t="s">
        <v>52</v>
      </c>
      <c r="E6405" s="2" t="str">
        <f>"9788770041027"</f>
        <v>9788770041027</v>
      </c>
      <c r="F6405" s="2" t="str">
        <f>"9781040027042"</f>
        <v>9781040027042</v>
      </c>
    </row>
    <row r="6406" spans="1:6" s="3" customFormat="1" ht="29.1" customHeight="1" x14ac:dyDescent="0.25">
      <c r="A6406" s="2" t="s">
        <v>13514</v>
      </c>
      <c r="B6406" s="2" t="s">
        <v>13515</v>
      </c>
      <c r="C6406" s="2" t="s">
        <v>264</v>
      </c>
      <c r="D6406" s="2" t="s">
        <v>2433</v>
      </c>
      <c r="E6406" s="2" t="str">
        <f>"9781032698496"</f>
        <v>9781032698496</v>
      </c>
      <c r="F6406" s="2" t="str">
        <f>"9781040026298"</f>
        <v>9781040026298</v>
      </c>
    </row>
    <row r="6407" spans="1:6" s="3" customFormat="1" ht="29.1" customHeight="1" x14ac:dyDescent="0.25">
      <c r="A6407" s="2" t="s">
        <v>13516</v>
      </c>
      <c r="B6407" s="2" t="s">
        <v>13518</v>
      </c>
      <c r="C6407" s="2" t="s">
        <v>264</v>
      </c>
      <c r="D6407" s="2" t="s">
        <v>13517</v>
      </c>
      <c r="E6407" s="2"/>
      <c r="F6407" s="2" t="str">
        <f>"9781040186497"</f>
        <v>9781040186497</v>
      </c>
    </row>
    <row r="6408" spans="1:6" s="3" customFormat="1" ht="29.1" customHeight="1" x14ac:dyDescent="0.25">
      <c r="A6408" s="2" t="s">
        <v>13519</v>
      </c>
      <c r="B6408" s="2" t="s">
        <v>13520</v>
      </c>
      <c r="C6408" s="2" t="s">
        <v>264</v>
      </c>
      <c r="D6408" s="2" t="s">
        <v>12584</v>
      </c>
      <c r="E6408" s="2" t="str">
        <f>"9781032792507"</f>
        <v>9781032792507</v>
      </c>
      <c r="F6408" s="2" t="str">
        <f>"9781040154502"</f>
        <v>9781040154502</v>
      </c>
    </row>
    <row r="6409" spans="1:6" s="3" customFormat="1" ht="29.1" customHeight="1" x14ac:dyDescent="0.25">
      <c r="A6409" s="2" t="s">
        <v>13521</v>
      </c>
      <c r="B6409" s="2" t="s">
        <v>13522</v>
      </c>
      <c r="C6409" s="2" t="s">
        <v>264</v>
      </c>
      <c r="D6409" s="2" t="s">
        <v>3661</v>
      </c>
      <c r="E6409" s="2" t="str">
        <f>"9781032743738"</f>
        <v>9781032743738</v>
      </c>
      <c r="F6409" s="2" t="str">
        <f>"9781040125724"</f>
        <v>9781040125724</v>
      </c>
    </row>
    <row r="6410" spans="1:6" s="3" customFormat="1" ht="29.1" customHeight="1" x14ac:dyDescent="0.25">
      <c r="A6410" s="2" t="s">
        <v>13523</v>
      </c>
      <c r="B6410" s="2" t="s">
        <v>13524</v>
      </c>
      <c r="C6410" s="2" t="s">
        <v>264</v>
      </c>
      <c r="D6410" s="2" t="s">
        <v>10336</v>
      </c>
      <c r="E6410" s="2" t="str">
        <f>"9781032491189"</f>
        <v>9781032491189</v>
      </c>
      <c r="F6410" s="2" t="str">
        <f>"9781040105863"</f>
        <v>9781040105863</v>
      </c>
    </row>
    <row r="6411" spans="1:6" s="3" customFormat="1" ht="29.1" customHeight="1" x14ac:dyDescent="0.25">
      <c r="A6411" s="2" t="s">
        <v>13525</v>
      </c>
      <c r="B6411" s="2" t="s">
        <v>13526</v>
      </c>
      <c r="C6411" s="2" t="s">
        <v>264</v>
      </c>
      <c r="D6411" s="2" t="s">
        <v>52</v>
      </c>
      <c r="E6411" s="2" t="str">
        <f>"9781032524306"</f>
        <v>9781032524306</v>
      </c>
      <c r="F6411" s="2" t="str">
        <f>"9781040033739"</f>
        <v>9781040033739</v>
      </c>
    </row>
    <row r="6412" spans="1:6" s="3" customFormat="1" ht="29.1" customHeight="1" x14ac:dyDescent="0.25">
      <c r="A6412" s="2" t="s">
        <v>13527</v>
      </c>
      <c r="B6412" s="2" t="s">
        <v>13528</v>
      </c>
      <c r="C6412" s="2" t="s">
        <v>264</v>
      </c>
      <c r="D6412" s="2" t="s">
        <v>342</v>
      </c>
      <c r="E6412" s="2" t="str">
        <f>"9781032748146"</f>
        <v>9781032748146</v>
      </c>
      <c r="F6412" s="2" t="str">
        <f>"9781040017234"</f>
        <v>9781040017234</v>
      </c>
    </row>
    <row r="6413" spans="1:6" s="3" customFormat="1" ht="29.1" customHeight="1" x14ac:dyDescent="0.25">
      <c r="A6413" s="2" t="s">
        <v>13529</v>
      </c>
      <c r="B6413" s="2" t="s">
        <v>13530</v>
      </c>
      <c r="C6413" s="2" t="s">
        <v>264</v>
      </c>
      <c r="D6413" s="2" t="s">
        <v>44</v>
      </c>
      <c r="E6413" s="2"/>
      <c r="F6413" s="2" t="str">
        <f>"9781040119815"</f>
        <v>9781040119815</v>
      </c>
    </row>
    <row r="6414" spans="1:6" s="3" customFormat="1" ht="29.1" customHeight="1" x14ac:dyDescent="0.25">
      <c r="A6414" s="2" t="s">
        <v>13531</v>
      </c>
      <c r="B6414" s="2" t="s">
        <v>13533</v>
      </c>
      <c r="C6414" s="2" t="s">
        <v>264</v>
      </c>
      <c r="D6414" s="2" t="s">
        <v>13532</v>
      </c>
      <c r="E6414" s="2" t="str">
        <f>"9788770041713"</f>
        <v>9788770041713</v>
      </c>
      <c r="F6414" s="2" t="str">
        <f>"9781040090961"</f>
        <v>9781040090961</v>
      </c>
    </row>
    <row r="6415" spans="1:6" s="3" customFormat="1" ht="29.1" customHeight="1" x14ac:dyDescent="0.25">
      <c r="A6415" s="2" t="s">
        <v>13534</v>
      </c>
      <c r="B6415" s="2" t="s">
        <v>13533</v>
      </c>
      <c r="C6415" s="2" t="s">
        <v>264</v>
      </c>
      <c r="D6415" s="2" t="s">
        <v>13532</v>
      </c>
      <c r="E6415" s="2" t="str">
        <f>"9788770041690"</f>
        <v>9788770041690</v>
      </c>
      <c r="F6415" s="2" t="str">
        <f>"9781040090930"</f>
        <v>9781040090930</v>
      </c>
    </row>
    <row r="6416" spans="1:6" s="3" customFormat="1" ht="29.1" customHeight="1" x14ac:dyDescent="0.25">
      <c r="A6416" s="2" t="s">
        <v>13535</v>
      </c>
      <c r="B6416" s="2" t="s">
        <v>13533</v>
      </c>
      <c r="C6416" s="2" t="s">
        <v>264</v>
      </c>
      <c r="D6416" s="2" t="s">
        <v>10329</v>
      </c>
      <c r="E6416" s="2" t="str">
        <f>"9788770041737"</f>
        <v>9788770041737</v>
      </c>
      <c r="F6416" s="2" t="str">
        <f>"9781040092446"</f>
        <v>9781040092446</v>
      </c>
    </row>
    <row r="6417" spans="1:6" s="3" customFormat="1" ht="29.1" customHeight="1" x14ac:dyDescent="0.25">
      <c r="A6417" s="2" t="s">
        <v>13536</v>
      </c>
      <c r="B6417" s="2" t="s">
        <v>13537</v>
      </c>
      <c r="C6417" s="2" t="s">
        <v>29</v>
      </c>
      <c r="D6417" s="2" t="s">
        <v>150</v>
      </c>
      <c r="E6417" s="2" t="str">
        <f>"9783506794895"</f>
        <v>9783506794895</v>
      </c>
      <c r="F6417" s="2" t="str">
        <f>"9783657794898"</f>
        <v>9783657794898</v>
      </c>
    </row>
    <row r="6418" spans="1:6" s="3" customFormat="1" ht="29.1" customHeight="1" x14ac:dyDescent="0.25">
      <c r="A6418" s="2" t="s">
        <v>13538</v>
      </c>
      <c r="B6418" s="2" t="s">
        <v>13539</v>
      </c>
      <c r="C6418" s="2" t="s">
        <v>29</v>
      </c>
      <c r="D6418" s="2" t="s">
        <v>4064</v>
      </c>
      <c r="E6418" s="2" t="str">
        <f>"9783506794611"</f>
        <v>9783506794611</v>
      </c>
      <c r="F6418" s="2" t="str">
        <f>"9783657794614"</f>
        <v>9783657794614</v>
      </c>
    </row>
    <row r="6419" spans="1:6" s="3" customFormat="1" ht="29.1" customHeight="1" x14ac:dyDescent="0.25">
      <c r="A6419" s="2" t="s">
        <v>13540</v>
      </c>
      <c r="B6419" s="2" t="s">
        <v>13541</v>
      </c>
      <c r="C6419" s="2" t="s">
        <v>149</v>
      </c>
      <c r="D6419" s="2" t="s">
        <v>4657</v>
      </c>
      <c r="E6419" s="2" t="str">
        <f>"9781685711962"</f>
        <v>9781685711962</v>
      </c>
      <c r="F6419" s="2" t="str">
        <f>"9781685711979"</f>
        <v>9781685711979</v>
      </c>
    </row>
    <row r="6420" spans="1:6" s="3" customFormat="1" ht="29.1" customHeight="1" x14ac:dyDescent="0.25">
      <c r="A6420" s="2" t="s">
        <v>13542</v>
      </c>
      <c r="B6420" s="2" t="s">
        <v>13543</v>
      </c>
      <c r="C6420" s="2" t="s">
        <v>149</v>
      </c>
      <c r="D6420" s="2" t="s">
        <v>4868</v>
      </c>
      <c r="E6420" s="2" t="str">
        <f>"9781685711221"</f>
        <v>9781685711221</v>
      </c>
      <c r="F6420" s="2" t="str">
        <f>"9781685711238"</f>
        <v>9781685711238</v>
      </c>
    </row>
    <row r="6421" spans="1:6" s="3" customFormat="1" ht="29.1" customHeight="1" x14ac:dyDescent="0.25">
      <c r="A6421" s="2" t="s">
        <v>13544</v>
      </c>
      <c r="B6421" s="2" t="s">
        <v>13545</v>
      </c>
      <c r="C6421" s="2" t="s">
        <v>9716</v>
      </c>
      <c r="D6421" s="2" t="s">
        <v>270</v>
      </c>
      <c r="E6421" s="2" t="str">
        <f>"9781439921173"</f>
        <v>9781439921173</v>
      </c>
      <c r="F6421" s="2" t="str">
        <f>"9781439921197"</f>
        <v>9781439921197</v>
      </c>
    </row>
    <row r="6422" spans="1:6" s="3" customFormat="1" ht="29.1" customHeight="1" x14ac:dyDescent="0.25">
      <c r="A6422" s="2" t="s">
        <v>13546</v>
      </c>
      <c r="B6422" s="2" t="s">
        <v>13547</v>
      </c>
      <c r="C6422" s="2" t="s">
        <v>927</v>
      </c>
      <c r="D6422" s="2" t="s">
        <v>66</v>
      </c>
      <c r="E6422" s="2" t="str">
        <f>"9780472056996"</f>
        <v>9780472056996</v>
      </c>
      <c r="F6422" s="2" t="str">
        <f>"9780472904761"</f>
        <v>9780472904761</v>
      </c>
    </row>
    <row r="6423" spans="1:6" s="3" customFormat="1" ht="29.1" customHeight="1" x14ac:dyDescent="0.25">
      <c r="A6423" s="2" t="s">
        <v>13548</v>
      </c>
      <c r="B6423" s="2" t="s">
        <v>13549</v>
      </c>
      <c r="C6423" s="2" t="s">
        <v>927</v>
      </c>
      <c r="D6423" s="2" t="s">
        <v>270</v>
      </c>
      <c r="E6423" s="2" t="str">
        <f>"9780472057016"</f>
        <v>9780472057016</v>
      </c>
      <c r="F6423" s="2" t="str">
        <f>"9780472904655"</f>
        <v>9780472904655</v>
      </c>
    </row>
    <row r="6424" spans="1:6" s="3" customFormat="1" ht="29.1" customHeight="1" x14ac:dyDescent="0.25">
      <c r="A6424" s="2" t="s">
        <v>13550</v>
      </c>
      <c r="B6424" s="2" t="s">
        <v>13551</v>
      </c>
      <c r="C6424" s="2" t="s">
        <v>927</v>
      </c>
      <c r="D6424" s="2" t="s">
        <v>270</v>
      </c>
      <c r="E6424" s="2" t="str">
        <f>"9780472056989"</f>
        <v>9780472056989</v>
      </c>
      <c r="F6424" s="2" t="str">
        <f>"9780472904617"</f>
        <v>9780472904617</v>
      </c>
    </row>
    <row r="6425" spans="1:6" s="3" customFormat="1" ht="29.1" customHeight="1" x14ac:dyDescent="0.25">
      <c r="A6425" s="2" t="s">
        <v>13552</v>
      </c>
      <c r="B6425" s="2" t="s">
        <v>13553</v>
      </c>
      <c r="C6425" s="2" t="s">
        <v>556</v>
      </c>
      <c r="D6425" s="2" t="s">
        <v>674</v>
      </c>
      <c r="E6425" s="2" t="str">
        <f>"9783837670127"</f>
        <v>9783837670127</v>
      </c>
      <c r="F6425" s="2" t="str">
        <f>"9783839470121"</f>
        <v>9783839470121</v>
      </c>
    </row>
    <row r="6426" spans="1:6" s="3" customFormat="1" ht="29.1" customHeight="1" x14ac:dyDescent="0.25">
      <c r="A6426" s="2" t="s">
        <v>13554</v>
      </c>
      <c r="B6426" s="2" t="s">
        <v>13555</v>
      </c>
      <c r="C6426" s="2" t="s">
        <v>556</v>
      </c>
      <c r="D6426" s="2" t="s">
        <v>490</v>
      </c>
      <c r="E6426" s="2" t="str">
        <f>"9783837675061"</f>
        <v>9783837675061</v>
      </c>
      <c r="F6426" s="2" t="str">
        <f>"9783839475065"</f>
        <v>9783839475065</v>
      </c>
    </row>
    <row r="6427" spans="1:6" s="3" customFormat="1" ht="29.1" customHeight="1" x14ac:dyDescent="0.25">
      <c r="A6427" s="2" t="s">
        <v>13556</v>
      </c>
      <c r="B6427" s="2" t="s">
        <v>13557</v>
      </c>
      <c r="C6427" s="2" t="s">
        <v>556</v>
      </c>
      <c r="D6427" s="2" t="s">
        <v>509</v>
      </c>
      <c r="E6427" s="2" t="str">
        <f>"9783837674798"</f>
        <v>9783837674798</v>
      </c>
      <c r="F6427" s="2" t="str">
        <f>"9783839474792"</f>
        <v>9783839474792</v>
      </c>
    </row>
    <row r="6428" spans="1:6" s="3" customFormat="1" ht="29.1" customHeight="1" x14ac:dyDescent="0.25">
      <c r="A6428" s="2" t="s">
        <v>13558</v>
      </c>
      <c r="B6428" s="2" t="s">
        <v>13559</v>
      </c>
      <c r="C6428" s="2" t="s">
        <v>556</v>
      </c>
      <c r="D6428" s="2" t="s">
        <v>259</v>
      </c>
      <c r="E6428" s="2" t="str">
        <f>"9783837674712"</f>
        <v>9783837674712</v>
      </c>
      <c r="F6428" s="2" t="str">
        <f>"9783839474716"</f>
        <v>9783839474716</v>
      </c>
    </row>
    <row r="6429" spans="1:6" s="3" customFormat="1" ht="29.1" customHeight="1" x14ac:dyDescent="0.25">
      <c r="A6429" s="2" t="s">
        <v>13560</v>
      </c>
      <c r="B6429" s="2" t="s">
        <v>13561</v>
      </c>
      <c r="C6429" s="2" t="s">
        <v>556</v>
      </c>
      <c r="D6429" s="2" t="s">
        <v>1637</v>
      </c>
      <c r="E6429" s="2" t="str">
        <f>"9783837674705"</f>
        <v>9783837674705</v>
      </c>
      <c r="F6429" s="2" t="str">
        <f>"9783839474709"</f>
        <v>9783839474709</v>
      </c>
    </row>
    <row r="6430" spans="1:6" s="3" customFormat="1" ht="29.1" customHeight="1" x14ac:dyDescent="0.25">
      <c r="A6430" s="2" t="s">
        <v>13562</v>
      </c>
      <c r="B6430" s="2" t="s">
        <v>13563</v>
      </c>
      <c r="C6430" s="2" t="s">
        <v>556</v>
      </c>
      <c r="D6430" s="2" t="s">
        <v>75</v>
      </c>
      <c r="E6430" s="2" t="str">
        <f>"9783837674309"</f>
        <v>9783837674309</v>
      </c>
      <c r="F6430" s="2" t="str">
        <f>"9783732874309"</f>
        <v>9783732874309</v>
      </c>
    </row>
    <row r="6431" spans="1:6" s="3" customFormat="1" ht="29.1" customHeight="1" x14ac:dyDescent="0.25">
      <c r="A6431" s="2" t="s">
        <v>13564</v>
      </c>
      <c r="B6431" s="2" t="s">
        <v>13565</v>
      </c>
      <c r="C6431" s="2" t="s">
        <v>556</v>
      </c>
      <c r="D6431" s="2" t="s">
        <v>52</v>
      </c>
      <c r="E6431" s="2" t="str">
        <f>"9783837674118"</f>
        <v>9783837674118</v>
      </c>
      <c r="F6431" s="2" t="str">
        <f>"9783839474112"</f>
        <v>9783839474112</v>
      </c>
    </row>
    <row r="6432" spans="1:6" s="3" customFormat="1" ht="29.1" customHeight="1" x14ac:dyDescent="0.25">
      <c r="A6432" s="2" t="s">
        <v>13566</v>
      </c>
      <c r="B6432" s="2" t="s">
        <v>13567</v>
      </c>
      <c r="C6432" s="2" t="s">
        <v>556</v>
      </c>
      <c r="D6432" s="2" t="s">
        <v>636</v>
      </c>
      <c r="E6432" s="2" t="str">
        <f>"9783837674026"</f>
        <v>9783837674026</v>
      </c>
      <c r="F6432" s="2" t="str">
        <f>"9783839474020"</f>
        <v>9783839474020</v>
      </c>
    </row>
    <row r="6433" spans="1:6" s="3" customFormat="1" ht="29.1" customHeight="1" x14ac:dyDescent="0.25">
      <c r="A6433" s="2" t="s">
        <v>13568</v>
      </c>
      <c r="B6433" s="2" t="s">
        <v>13569</v>
      </c>
      <c r="C6433" s="2" t="s">
        <v>556</v>
      </c>
      <c r="D6433" s="2" t="s">
        <v>490</v>
      </c>
      <c r="E6433" s="2" t="str">
        <f>"9783837673784"</f>
        <v>9783837673784</v>
      </c>
      <c r="F6433" s="2" t="str">
        <f>"9783839473788"</f>
        <v>9783839473788</v>
      </c>
    </row>
    <row r="6434" spans="1:6" s="3" customFormat="1" ht="29.1" customHeight="1" x14ac:dyDescent="0.25">
      <c r="A6434" s="2" t="s">
        <v>13570</v>
      </c>
      <c r="B6434" s="2" t="s">
        <v>13571</v>
      </c>
      <c r="C6434" s="2" t="s">
        <v>556</v>
      </c>
      <c r="D6434" s="2" t="s">
        <v>408</v>
      </c>
      <c r="E6434" s="2" t="str">
        <f>"9783837673685"</f>
        <v>9783837673685</v>
      </c>
      <c r="F6434" s="2" t="str">
        <f>"9783839473689"</f>
        <v>9783839473689</v>
      </c>
    </row>
    <row r="6435" spans="1:6" s="3" customFormat="1" ht="29.1" customHeight="1" x14ac:dyDescent="0.25">
      <c r="A6435" s="2" t="s">
        <v>13572</v>
      </c>
      <c r="B6435" s="2" t="s">
        <v>13573</v>
      </c>
      <c r="C6435" s="2" t="s">
        <v>556</v>
      </c>
      <c r="D6435" s="2" t="s">
        <v>4030</v>
      </c>
      <c r="E6435" s="2" t="str">
        <f>"9783837673340"</f>
        <v>9783837673340</v>
      </c>
      <c r="F6435" s="2" t="str">
        <f>"9783839473344"</f>
        <v>9783839473344</v>
      </c>
    </row>
    <row r="6436" spans="1:6" s="3" customFormat="1" ht="29.1" customHeight="1" x14ac:dyDescent="0.25">
      <c r="A6436" s="2" t="s">
        <v>13574</v>
      </c>
      <c r="B6436" s="2" t="s">
        <v>13575</v>
      </c>
      <c r="C6436" s="2" t="s">
        <v>556</v>
      </c>
      <c r="D6436" s="2" t="s">
        <v>1141</v>
      </c>
      <c r="E6436" s="2" t="str">
        <f>"9783837673197"</f>
        <v>9783837673197</v>
      </c>
      <c r="F6436" s="2" t="str">
        <f>"9783839473191"</f>
        <v>9783839473191</v>
      </c>
    </row>
    <row r="6437" spans="1:6" s="3" customFormat="1" ht="29.1" customHeight="1" x14ac:dyDescent="0.25">
      <c r="A6437" s="2" t="s">
        <v>13576</v>
      </c>
      <c r="B6437" s="2" t="s">
        <v>13577</v>
      </c>
      <c r="C6437" s="2" t="s">
        <v>556</v>
      </c>
      <c r="D6437" s="2" t="s">
        <v>2336</v>
      </c>
      <c r="E6437" s="2" t="str">
        <f>"9783837672961"</f>
        <v>9783837672961</v>
      </c>
      <c r="F6437" s="2" t="str">
        <f>"9783839472965"</f>
        <v>9783839472965</v>
      </c>
    </row>
    <row r="6438" spans="1:6" s="3" customFormat="1" ht="29.1" customHeight="1" x14ac:dyDescent="0.25">
      <c r="A6438" s="2" t="s">
        <v>13578</v>
      </c>
      <c r="B6438" s="2" t="s">
        <v>13579</v>
      </c>
      <c r="C6438" s="2" t="s">
        <v>556</v>
      </c>
      <c r="D6438" s="2" t="s">
        <v>1725</v>
      </c>
      <c r="E6438" s="2" t="str">
        <f>"9783837672497"</f>
        <v>9783837672497</v>
      </c>
      <c r="F6438" s="2" t="str">
        <f>"9783839472491"</f>
        <v>9783839472491</v>
      </c>
    </row>
    <row r="6439" spans="1:6" s="3" customFormat="1" ht="29.1" customHeight="1" x14ac:dyDescent="0.25">
      <c r="A6439" s="2" t="s">
        <v>13580</v>
      </c>
      <c r="B6439" s="2" t="s">
        <v>13581</v>
      </c>
      <c r="C6439" s="2" t="s">
        <v>556</v>
      </c>
      <c r="D6439" s="2" t="s">
        <v>52</v>
      </c>
      <c r="E6439" s="2" t="str">
        <f>"9783837672282"</f>
        <v>9783837672282</v>
      </c>
      <c r="F6439" s="2" t="str">
        <f>"9783839472286"</f>
        <v>9783839472286</v>
      </c>
    </row>
    <row r="6440" spans="1:6" s="3" customFormat="1" ht="29.1" customHeight="1" x14ac:dyDescent="0.25">
      <c r="A6440" s="2" t="s">
        <v>13582</v>
      </c>
      <c r="B6440" s="2" t="s">
        <v>13583</v>
      </c>
      <c r="C6440" s="2" t="s">
        <v>556</v>
      </c>
      <c r="D6440" s="2" t="s">
        <v>1189</v>
      </c>
      <c r="E6440" s="2" t="str">
        <f>"9783837672206"</f>
        <v>9783837672206</v>
      </c>
      <c r="F6440" s="2" t="str">
        <f>"9783839472200"</f>
        <v>9783839472200</v>
      </c>
    </row>
    <row r="6441" spans="1:6" s="3" customFormat="1" ht="29.1" customHeight="1" x14ac:dyDescent="0.25">
      <c r="A6441" s="2" t="s">
        <v>13584</v>
      </c>
      <c r="B6441" s="2" t="s">
        <v>13585</v>
      </c>
      <c r="C6441" s="2" t="s">
        <v>556</v>
      </c>
      <c r="D6441" s="2" t="s">
        <v>218</v>
      </c>
      <c r="E6441" s="2" t="str">
        <f>"9783837672176"</f>
        <v>9783837672176</v>
      </c>
      <c r="F6441" s="2" t="str">
        <f>"9783839472170"</f>
        <v>9783839472170</v>
      </c>
    </row>
    <row r="6442" spans="1:6" s="3" customFormat="1" ht="29.1" customHeight="1" x14ac:dyDescent="0.25">
      <c r="A6442" s="2" t="s">
        <v>13586</v>
      </c>
      <c r="B6442" s="2" t="s">
        <v>13587</v>
      </c>
      <c r="C6442" s="2" t="s">
        <v>556</v>
      </c>
      <c r="D6442" s="2" t="s">
        <v>175</v>
      </c>
      <c r="E6442" s="2" t="str">
        <f>"9783837672084"</f>
        <v>9783837672084</v>
      </c>
      <c r="F6442" s="2" t="str">
        <f>"9783839472088"</f>
        <v>9783839472088</v>
      </c>
    </row>
    <row r="6443" spans="1:6" s="3" customFormat="1" ht="29.1" customHeight="1" x14ac:dyDescent="0.25">
      <c r="A6443" s="2" t="s">
        <v>13588</v>
      </c>
      <c r="B6443" s="2" t="s">
        <v>13589</v>
      </c>
      <c r="C6443" s="2" t="s">
        <v>556</v>
      </c>
      <c r="D6443" s="2" t="s">
        <v>378</v>
      </c>
      <c r="E6443" s="2" t="str">
        <f>"9783837671476"</f>
        <v>9783837671476</v>
      </c>
      <c r="F6443" s="2" t="str">
        <f>"9783839471470"</f>
        <v>9783839471470</v>
      </c>
    </row>
    <row r="6444" spans="1:6" s="3" customFormat="1" ht="29.1" customHeight="1" x14ac:dyDescent="0.25">
      <c r="A6444" s="2" t="s">
        <v>13590</v>
      </c>
      <c r="B6444" s="2" t="s">
        <v>13591</v>
      </c>
      <c r="C6444" s="2" t="s">
        <v>556</v>
      </c>
      <c r="D6444" s="2" t="s">
        <v>2336</v>
      </c>
      <c r="E6444" s="2" t="str">
        <f>"9783837671230"</f>
        <v>9783837671230</v>
      </c>
      <c r="F6444" s="2" t="str">
        <f>"9783839471234"</f>
        <v>9783839471234</v>
      </c>
    </row>
    <row r="6445" spans="1:6" s="3" customFormat="1" ht="29.1" customHeight="1" x14ac:dyDescent="0.25">
      <c r="A6445" s="2" t="s">
        <v>13592</v>
      </c>
      <c r="B6445" s="2" t="s">
        <v>13593</v>
      </c>
      <c r="C6445" s="2" t="s">
        <v>556</v>
      </c>
      <c r="D6445" s="2" t="s">
        <v>636</v>
      </c>
      <c r="E6445" s="2" t="str">
        <f>"9783837671049"</f>
        <v>9783837671049</v>
      </c>
      <c r="F6445" s="2" t="str">
        <f>"9783839471043"</f>
        <v>9783839471043</v>
      </c>
    </row>
    <row r="6446" spans="1:6" s="3" customFormat="1" ht="29.1" customHeight="1" x14ac:dyDescent="0.25">
      <c r="A6446" s="2" t="s">
        <v>13594</v>
      </c>
      <c r="B6446" s="2" t="s">
        <v>13595</v>
      </c>
      <c r="C6446" s="2" t="s">
        <v>556</v>
      </c>
      <c r="D6446" s="2" t="s">
        <v>998</v>
      </c>
      <c r="E6446" s="2" t="str">
        <f>"9783837669886"</f>
        <v>9783837669886</v>
      </c>
      <c r="F6446" s="2" t="str">
        <f>"9783839469880"</f>
        <v>9783839469880</v>
      </c>
    </row>
    <row r="6447" spans="1:6" s="3" customFormat="1" ht="29.1" customHeight="1" x14ac:dyDescent="0.25">
      <c r="A6447" s="2" t="s">
        <v>13596</v>
      </c>
      <c r="B6447" s="2" t="s">
        <v>13597</v>
      </c>
      <c r="C6447" s="2" t="s">
        <v>556</v>
      </c>
      <c r="D6447" s="2" t="s">
        <v>490</v>
      </c>
      <c r="E6447" s="2" t="str">
        <f>"9783837669381"</f>
        <v>9783837669381</v>
      </c>
      <c r="F6447" s="2" t="str">
        <f>"9783839469385"</f>
        <v>9783839469385</v>
      </c>
    </row>
    <row r="6448" spans="1:6" s="3" customFormat="1" ht="29.1" customHeight="1" x14ac:dyDescent="0.25">
      <c r="A6448" s="2" t="s">
        <v>13598</v>
      </c>
      <c r="B6448" s="2" t="s">
        <v>13599</v>
      </c>
      <c r="C6448" s="2" t="s">
        <v>556</v>
      </c>
      <c r="D6448" s="2" t="s">
        <v>218</v>
      </c>
      <c r="E6448" s="2" t="str">
        <f>"9783837668636"</f>
        <v>9783837668636</v>
      </c>
      <c r="F6448" s="2" t="str">
        <f>"9783839468630"</f>
        <v>9783839468630</v>
      </c>
    </row>
    <row r="6449" spans="1:6" s="3" customFormat="1" ht="29.1" customHeight="1" x14ac:dyDescent="0.25">
      <c r="A6449" s="2" t="s">
        <v>13600</v>
      </c>
      <c r="B6449" s="2" t="s">
        <v>13601</v>
      </c>
      <c r="C6449" s="2" t="s">
        <v>8104</v>
      </c>
      <c r="D6449" s="2" t="s">
        <v>636</v>
      </c>
      <c r="E6449" s="2" t="str">
        <f>"9781805398431"</f>
        <v>9781805398431</v>
      </c>
      <c r="F6449" s="2" t="str">
        <f>"9781805398448"</f>
        <v>9781805398448</v>
      </c>
    </row>
    <row r="6450" spans="1:6" s="3" customFormat="1" ht="29.1" customHeight="1" x14ac:dyDescent="0.25">
      <c r="A6450" s="2" t="s">
        <v>13602</v>
      </c>
      <c r="B6450" s="2" t="s">
        <v>13604</v>
      </c>
      <c r="C6450" s="2" t="s">
        <v>5</v>
      </c>
      <c r="D6450" s="2" t="s">
        <v>13603</v>
      </c>
      <c r="E6450" s="2" t="str">
        <f>"9783662677414"</f>
        <v>9783662677414</v>
      </c>
      <c r="F6450" s="2" t="str">
        <f>"9783662677421"</f>
        <v>9783662677421</v>
      </c>
    </row>
    <row r="6451" spans="1:6" s="3" customFormat="1" ht="29.1" customHeight="1" x14ac:dyDescent="0.25">
      <c r="A6451" s="2" t="s">
        <v>13605</v>
      </c>
      <c r="B6451" s="2" t="s">
        <v>13606</v>
      </c>
      <c r="C6451" s="2" t="s">
        <v>5</v>
      </c>
      <c r="D6451" s="2" t="s">
        <v>2005</v>
      </c>
      <c r="E6451" s="2" t="str">
        <f>"9783031607912"</f>
        <v>9783031607912</v>
      </c>
      <c r="F6451" s="2" t="str">
        <f>"9783031607929"</f>
        <v>9783031607929</v>
      </c>
    </row>
    <row r="6452" spans="1:6" s="3" customFormat="1" ht="29.1" customHeight="1" x14ac:dyDescent="0.25">
      <c r="A6452" s="2" t="s">
        <v>13607</v>
      </c>
      <c r="B6452" s="2" t="s">
        <v>13608</v>
      </c>
      <c r="C6452" s="2" t="s">
        <v>5</v>
      </c>
      <c r="D6452" s="2" t="s">
        <v>3489</v>
      </c>
      <c r="E6452" s="2" t="str">
        <f>"9783031580055"</f>
        <v>9783031580055</v>
      </c>
      <c r="F6452" s="2" t="str">
        <f>"9783031580062"</f>
        <v>9783031580062</v>
      </c>
    </row>
    <row r="6453" spans="1:6" s="3" customFormat="1" ht="29.1" customHeight="1" x14ac:dyDescent="0.25">
      <c r="A6453" s="2" t="s">
        <v>13609</v>
      </c>
      <c r="B6453" s="2" t="s">
        <v>13610</v>
      </c>
      <c r="C6453" s="2" t="s">
        <v>8047</v>
      </c>
      <c r="D6453" s="2" t="s">
        <v>11528</v>
      </c>
      <c r="E6453" s="2" t="str">
        <f>"9780271097756"</f>
        <v>9780271097756</v>
      </c>
      <c r="F6453" s="2" t="str">
        <f>"9780271098500"</f>
        <v>9780271098500</v>
      </c>
    </row>
    <row r="6454" spans="1:6" s="3" customFormat="1" ht="29.1" customHeight="1" x14ac:dyDescent="0.25">
      <c r="A6454" s="2" t="s">
        <v>13611</v>
      </c>
      <c r="B6454" s="2" t="s">
        <v>13612</v>
      </c>
      <c r="C6454" s="2" t="s">
        <v>5</v>
      </c>
      <c r="D6454" s="2" t="s">
        <v>1065</v>
      </c>
      <c r="E6454" s="2" t="str">
        <f>"9783031623004"</f>
        <v>9783031623004</v>
      </c>
      <c r="F6454" s="2" t="str">
        <f>"9783031623011"</f>
        <v>9783031623011</v>
      </c>
    </row>
    <row r="6455" spans="1:6" s="3" customFormat="1" ht="29.1" customHeight="1" x14ac:dyDescent="0.25">
      <c r="A6455" s="2" t="s">
        <v>13613</v>
      </c>
      <c r="B6455" s="2" t="s">
        <v>13614</v>
      </c>
      <c r="C6455" s="2" t="s">
        <v>29</v>
      </c>
      <c r="D6455" s="2" t="s">
        <v>118</v>
      </c>
      <c r="E6455" s="2" t="str">
        <f>"9789004703537"</f>
        <v>9789004703537</v>
      </c>
      <c r="F6455" s="2" t="str">
        <f>"9789004703544"</f>
        <v>9789004703544</v>
      </c>
    </row>
    <row r="6456" spans="1:6" s="3" customFormat="1" ht="29.1" customHeight="1" x14ac:dyDescent="0.25">
      <c r="A6456" s="2" t="s">
        <v>13615</v>
      </c>
      <c r="B6456" s="2" t="s">
        <v>13616</v>
      </c>
      <c r="C6456" s="2" t="s">
        <v>239</v>
      </c>
      <c r="D6456" s="2" t="s">
        <v>1432</v>
      </c>
      <c r="E6456" s="2" t="str">
        <f>"9780520296336"</f>
        <v>9780520296336</v>
      </c>
      <c r="F6456" s="2" t="str">
        <f>"9780520968882"</f>
        <v>9780520968882</v>
      </c>
    </row>
    <row r="6457" spans="1:6" s="3" customFormat="1" ht="29.1" customHeight="1" x14ac:dyDescent="0.25">
      <c r="A6457" s="2" t="s">
        <v>13617</v>
      </c>
      <c r="B6457" s="2" t="s">
        <v>13619</v>
      </c>
      <c r="C6457" s="2" t="s">
        <v>239</v>
      </c>
      <c r="D6457" s="2" t="s">
        <v>13618</v>
      </c>
      <c r="E6457" s="2" t="str">
        <f>"9780520303621"</f>
        <v>9780520303621</v>
      </c>
      <c r="F6457" s="2" t="str">
        <f>"9780520972773"</f>
        <v>9780520972773</v>
      </c>
    </row>
    <row r="6458" spans="1:6" s="3" customFormat="1" ht="29.1" customHeight="1" x14ac:dyDescent="0.25">
      <c r="A6458" s="2" t="s">
        <v>13620</v>
      </c>
      <c r="B6458" s="2" t="s">
        <v>13621</v>
      </c>
      <c r="C6458" s="2" t="s">
        <v>239</v>
      </c>
      <c r="D6458" s="2" t="s">
        <v>202</v>
      </c>
      <c r="E6458" s="2" t="str">
        <f>"9780520309104"</f>
        <v>9780520309104</v>
      </c>
      <c r="F6458" s="2" t="str">
        <f>"9780520973862"</f>
        <v>9780520973862</v>
      </c>
    </row>
    <row r="6459" spans="1:6" s="3" customFormat="1" ht="29.1" customHeight="1" x14ac:dyDescent="0.25">
      <c r="A6459" s="2" t="s">
        <v>13622</v>
      </c>
      <c r="B6459" s="2" t="s">
        <v>13623</v>
      </c>
      <c r="C6459" s="2" t="s">
        <v>239</v>
      </c>
      <c r="D6459" s="2" t="s">
        <v>712</v>
      </c>
      <c r="E6459" s="2" t="str">
        <f>"9780520392472"</f>
        <v>9780520392472</v>
      </c>
      <c r="F6459" s="2" t="str">
        <f>"9780520392489"</f>
        <v>9780520392489</v>
      </c>
    </row>
    <row r="6460" spans="1:6" s="3" customFormat="1" ht="29.1" customHeight="1" x14ac:dyDescent="0.25">
      <c r="A6460" s="2" t="s">
        <v>13624</v>
      </c>
      <c r="B6460" s="2" t="s">
        <v>13625</v>
      </c>
      <c r="C6460" s="2" t="s">
        <v>62</v>
      </c>
      <c r="D6460" s="2" t="s">
        <v>2005</v>
      </c>
      <c r="E6460" s="2" t="str">
        <f>"9783428192571"</f>
        <v>9783428192571</v>
      </c>
      <c r="F6460" s="2" t="str">
        <f>"9783428592579"</f>
        <v>9783428592579</v>
      </c>
    </row>
    <row r="6461" spans="1:6" s="3" customFormat="1" ht="29.1" customHeight="1" x14ac:dyDescent="0.25">
      <c r="A6461" s="2" t="s">
        <v>13626</v>
      </c>
      <c r="B6461" s="2" t="s">
        <v>13627</v>
      </c>
      <c r="C6461" s="2" t="s">
        <v>5</v>
      </c>
      <c r="D6461" s="2" t="s">
        <v>12</v>
      </c>
      <c r="E6461" s="2" t="str">
        <f>"9789464634686"</f>
        <v>9789464634686</v>
      </c>
      <c r="F6461" s="2" t="str">
        <f>"9789464634693"</f>
        <v>9789464634693</v>
      </c>
    </row>
    <row r="6462" spans="1:6" s="3" customFormat="1" ht="29.1" customHeight="1" x14ac:dyDescent="0.25">
      <c r="A6462" s="2" t="s">
        <v>13628</v>
      </c>
      <c r="B6462" s="2" t="s">
        <v>13629</v>
      </c>
      <c r="C6462" s="2" t="s">
        <v>5</v>
      </c>
      <c r="D6462" s="2" t="s">
        <v>186</v>
      </c>
      <c r="E6462" s="2" t="str">
        <f>"9789464634877"</f>
        <v>9789464634877</v>
      </c>
      <c r="F6462" s="2" t="str">
        <f>"9789464634884"</f>
        <v>9789464634884</v>
      </c>
    </row>
    <row r="6463" spans="1:6" s="3" customFormat="1" ht="29.1" customHeight="1" x14ac:dyDescent="0.25">
      <c r="A6463" s="2" t="s">
        <v>13630</v>
      </c>
      <c r="B6463" s="2" t="s">
        <v>13631</v>
      </c>
      <c r="C6463" s="2" t="s">
        <v>5</v>
      </c>
      <c r="D6463" s="2" t="s">
        <v>52</v>
      </c>
      <c r="E6463" s="2" t="str">
        <f>"9789464634891"</f>
        <v>9789464634891</v>
      </c>
      <c r="F6463" s="2" t="str">
        <f>"9789464634907"</f>
        <v>9789464634907</v>
      </c>
    </row>
    <row r="6464" spans="1:6" s="3" customFormat="1" ht="29.1" customHeight="1" x14ac:dyDescent="0.25">
      <c r="A6464" s="2" t="s">
        <v>13632</v>
      </c>
      <c r="B6464" s="2" t="s">
        <v>13633</v>
      </c>
      <c r="C6464" s="2" t="s">
        <v>5</v>
      </c>
      <c r="D6464" s="2" t="s">
        <v>889</v>
      </c>
      <c r="E6464" s="2" t="str">
        <f>"9789464634839"</f>
        <v>9789464634839</v>
      </c>
      <c r="F6464" s="2" t="str">
        <f>"9789464634846"</f>
        <v>9789464634846</v>
      </c>
    </row>
    <row r="6465" spans="1:6" s="3" customFormat="1" ht="29.1" customHeight="1" x14ac:dyDescent="0.25">
      <c r="A6465" s="2" t="s">
        <v>13634</v>
      </c>
      <c r="B6465" s="2" t="s">
        <v>13635</v>
      </c>
      <c r="C6465" s="2" t="s">
        <v>124</v>
      </c>
      <c r="D6465" s="2" t="s">
        <v>413</v>
      </c>
      <c r="E6465" s="2" t="str">
        <f>"9781032648859"</f>
        <v>9781032648859</v>
      </c>
      <c r="F6465" s="2" t="str">
        <f>"9781032648880"</f>
        <v>9781032648880</v>
      </c>
    </row>
    <row r="6466" spans="1:6" s="3" customFormat="1" ht="29.1" customHeight="1" x14ac:dyDescent="0.25">
      <c r="A6466" s="2" t="s">
        <v>9570</v>
      </c>
      <c r="B6466" s="2" t="s">
        <v>13636</v>
      </c>
      <c r="C6466" s="2" t="s">
        <v>5</v>
      </c>
      <c r="D6466" s="2" t="s">
        <v>2435</v>
      </c>
      <c r="E6466" s="2" t="str">
        <f>"9783031290343"</f>
        <v>9783031290343</v>
      </c>
      <c r="F6466" s="2" t="str">
        <f>"9783031290350"</f>
        <v>9783031290350</v>
      </c>
    </row>
    <row r="6467" spans="1:6" s="3" customFormat="1" ht="29.1" customHeight="1" x14ac:dyDescent="0.25">
      <c r="A6467" s="2" t="s">
        <v>13637</v>
      </c>
      <c r="B6467" s="2" t="s">
        <v>13638</v>
      </c>
      <c r="C6467" s="2" t="s">
        <v>5</v>
      </c>
      <c r="D6467" s="2" t="s">
        <v>321</v>
      </c>
      <c r="E6467" s="2" t="str">
        <f>"9783031604935"</f>
        <v>9783031604935</v>
      </c>
      <c r="F6467" s="2" t="str">
        <f>"9783031604942"</f>
        <v>9783031604942</v>
      </c>
    </row>
    <row r="6468" spans="1:6" s="3" customFormat="1" ht="29.1" customHeight="1" x14ac:dyDescent="0.25">
      <c r="A6468" s="2" t="s">
        <v>13639</v>
      </c>
      <c r="B6468" s="2" t="s">
        <v>13641</v>
      </c>
      <c r="C6468" s="2" t="s">
        <v>5</v>
      </c>
      <c r="D6468" s="2" t="s">
        <v>13640</v>
      </c>
      <c r="E6468" s="2" t="str">
        <f>"9789464634853"</f>
        <v>9789464634853</v>
      </c>
      <c r="F6468" s="2" t="str">
        <f>"9789464634860"</f>
        <v>9789464634860</v>
      </c>
    </row>
    <row r="6469" spans="1:6" s="3" customFormat="1" ht="29.1" customHeight="1" x14ac:dyDescent="0.25">
      <c r="A6469" s="2" t="s">
        <v>13642</v>
      </c>
      <c r="B6469" s="2" t="s">
        <v>13643</v>
      </c>
      <c r="C6469" s="2" t="s">
        <v>5</v>
      </c>
      <c r="D6469" s="2" t="s">
        <v>78</v>
      </c>
      <c r="E6469" s="2" t="str">
        <f>"9783031656224"</f>
        <v>9783031656224</v>
      </c>
      <c r="F6469" s="2" t="str">
        <f>"9783031656231"</f>
        <v>9783031656231</v>
      </c>
    </row>
    <row r="6470" spans="1:6" s="3" customFormat="1" ht="29.1" customHeight="1" x14ac:dyDescent="0.25">
      <c r="A6470" s="2" t="s">
        <v>13644</v>
      </c>
      <c r="B6470" s="2" t="s">
        <v>13645</v>
      </c>
      <c r="C6470" s="2" t="s">
        <v>746</v>
      </c>
      <c r="D6470" s="2" t="s">
        <v>606</v>
      </c>
      <c r="E6470" s="2" t="str">
        <f>"9781803277325"</f>
        <v>9781803277325</v>
      </c>
      <c r="F6470" s="2" t="str">
        <f>"9781803277332"</f>
        <v>9781803277332</v>
      </c>
    </row>
    <row r="6471" spans="1:6" s="3" customFormat="1" ht="29.1" customHeight="1" x14ac:dyDescent="0.25">
      <c r="A6471" s="2" t="s">
        <v>13646</v>
      </c>
      <c r="B6471" s="2" t="s">
        <v>13647</v>
      </c>
      <c r="C6471" s="2" t="s">
        <v>5</v>
      </c>
      <c r="D6471" s="2" t="s">
        <v>294</v>
      </c>
      <c r="E6471" s="2" t="str">
        <f>"9783031617898"</f>
        <v>9783031617898</v>
      </c>
      <c r="F6471" s="2" t="str">
        <f>"9783031617904"</f>
        <v>9783031617904</v>
      </c>
    </row>
    <row r="6472" spans="1:6" s="3" customFormat="1" ht="29.1" customHeight="1" x14ac:dyDescent="0.25">
      <c r="A6472" s="2" t="s">
        <v>13648</v>
      </c>
      <c r="B6472" s="2" t="s">
        <v>13649</v>
      </c>
      <c r="C6472" s="2" t="s">
        <v>5</v>
      </c>
      <c r="D6472" s="2" t="s">
        <v>189</v>
      </c>
      <c r="E6472" s="2" t="str">
        <f>"9783031568138"</f>
        <v>9783031568138</v>
      </c>
      <c r="F6472" s="2" t="str">
        <f>"9783031568145"</f>
        <v>9783031568145</v>
      </c>
    </row>
    <row r="6473" spans="1:6" s="3" customFormat="1" ht="29.1" customHeight="1" x14ac:dyDescent="0.25">
      <c r="A6473" s="2" t="s">
        <v>13650</v>
      </c>
      <c r="B6473" s="2" t="s">
        <v>13651</v>
      </c>
      <c r="C6473" s="2" t="s">
        <v>5</v>
      </c>
      <c r="D6473" s="2" t="s">
        <v>183</v>
      </c>
      <c r="E6473" s="2" t="str">
        <f>"9783658436827"</f>
        <v>9783658436827</v>
      </c>
      <c r="F6473" s="2" t="str">
        <f>"9783658436834"</f>
        <v>9783658436834</v>
      </c>
    </row>
    <row r="6474" spans="1:6" s="3" customFormat="1" ht="29.1" customHeight="1" x14ac:dyDescent="0.25">
      <c r="A6474" s="2" t="s">
        <v>13652</v>
      </c>
      <c r="B6474" s="2" t="s">
        <v>13653</v>
      </c>
      <c r="C6474" s="2" t="s">
        <v>5</v>
      </c>
      <c r="D6474" s="2" t="s">
        <v>1823</v>
      </c>
      <c r="E6474" s="2" t="str">
        <f>"9789819723744"</f>
        <v>9789819723744</v>
      </c>
      <c r="F6474" s="2" t="str">
        <f>"9789819723751"</f>
        <v>9789819723751</v>
      </c>
    </row>
    <row r="6475" spans="1:6" s="3" customFormat="1" ht="29.1" customHeight="1" x14ac:dyDescent="0.25">
      <c r="A6475" s="2" t="s">
        <v>13654</v>
      </c>
      <c r="B6475" s="2" t="s">
        <v>13655</v>
      </c>
      <c r="C6475" s="2" t="s">
        <v>5</v>
      </c>
      <c r="D6475" s="2" t="s">
        <v>3304</v>
      </c>
      <c r="E6475" s="2" t="str">
        <f>"9789819724161"</f>
        <v>9789819724161</v>
      </c>
      <c r="F6475" s="2" t="str">
        <f>"9789819724178"</f>
        <v>9789819724178</v>
      </c>
    </row>
    <row r="6476" spans="1:6" s="3" customFormat="1" ht="29.1" customHeight="1" x14ac:dyDescent="0.25">
      <c r="A6476" s="2" t="s">
        <v>13656</v>
      </c>
      <c r="B6476" s="2" t="s">
        <v>13657</v>
      </c>
      <c r="C6476" s="2" t="s">
        <v>5</v>
      </c>
      <c r="D6476" s="2" t="s">
        <v>7943</v>
      </c>
      <c r="E6476" s="2" t="str">
        <f>"9783031606212"</f>
        <v>9783031606212</v>
      </c>
      <c r="F6476" s="2" t="str">
        <f>"9783031606229"</f>
        <v>9783031606229</v>
      </c>
    </row>
    <row r="6477" spans="1:6" s="3" customFormat="1" ht="29.1" customHeight="1" x14ac:dyDescent="0.25">
      <c r="A6477" s="2" t="s">
        <v>13658</v>
      </c>
      <c r="B6477" s="2" t="s">
        <v>13659</v>
      </c>
      <c r="C6477" s="2" t="s">
        <v>5</v>
      </c>
      <c r="D6477" s="2" t="s">
        <v>9</v>
      </c>
      <c r="E6477" s="2" t="str">
        <f>"9782384762743"</f>
        <v>9782384762743</v>
      </c>
      <c r="F6477" s="2" t="str">
        <f>"9782384762750"</f>
        <v>9782384762750</v>
      </c>
    </row>
    <row r="6478" spans="1:6" s="3" customFormat="1" ht="29.1" customHeight="1" x14ac:dyDescent="0.25">
      <c r="A6478" s="2" t="s">
        <v>13660</v>
      </c>
      <c r="B6478" s="2" t="s">
        <v>13661</v>
      </c>
      <c r="C6478" s="2" t="s">
        <v>5</v>
      </c>
      <c r="D6478" s="2" t="s">
        <v>297</v>
      </c>
      <c r="E6478" s="2" t="str">
        <f>"9782384762729"</f>
        <v>9782384762729</v>
      </c>
      <c r="F6478" s="2" t="str">
        <f>"9782384762736"</f>
        <v>9782384762736</v>
      </c>
    </row>
    <row r="6479" spans="1:6" s="3" customFormat="1" ht="29.1" customHeight="1" x14ac:dyDescent="0.25">
      <c r="A6479" s="2" t="s">
        <v>13662</v>
      </c>
      <c r="B6479" s="2" t="s">
        <v>13663</v>
      </c>
      <c r="C6479" s="2" t="s">
        <v>5</v>
      </c>
      <c r="D6479" s="2" t="s">
        <v>52</v>
      </c>
      <c r="E6479" s="2" t="str">
        <f>"9789464634815"</f>
        <v>9789464634815</v>
      </c>
      <c r="F6479" s="2" t="str">
        <f>"9789464634822"</f>
        <v>9789464634822</v>
      </c>
    </row>
    <row r="6480" spans="1:6" s="3" customFormat="1" ht="29.1" customHeight="1" x14ac:dyDescent="0.25">
      <c r="A6480" s="2" t="s">
        <v>13664</v>
      </c>
      <c r="B6480" s="2" t="s">
        <v>13665</v>
      </c>
      <c r="C6480" s="2" t="s">
        <v>5</v>
      </c>
      <c r="D6480" s="2" t="s">
        <v>5115</v>
      </c>
      <c r="E6480" s="2" t="str">
        <f>"9789464634624"</f>
        <v>9789464634624</v>
      </c>
      <c r="F6480" s="2" t="str">
        <f>"9789464634631"</f>
        <v>9789464634631</v>
      </c>
    </row>
    <row r="6481" spans="1:6" s="3" customFormat="1" ht="29.1" customHeight="1" x14ac:dyDescent="0.25">
      <c r="A6481" s="2" t="s">
        <v>13666</v>
      </c>
      <c r="B6481" s="2" t="s">
        <v>13667</v>
      </c>
      <c r="C6481" s="2" t="s">
        <v>5</v>
      </c>
      <c r="D6481" s="2" t="s">
        <v>44</v>
      </c>
      <c r="E6481" s="2" t="str">
        <f>"9789464634761"</f>
        <v>9789464634761</v>
      </c>
      <c r="F6481" s="2" t="str">
        <f>"9789464634754"</f>
        <v>9789464634754</v>
      </c>
    </row>
    <row r="6482" spans="1:6" s="3" customFormat="1" ht="29.1" customHeight="1" x14ac:dyDescent="0.25">
      <c r="A6482" s="2" t="s">
        <v>13668</v>
      </c>
      <c r="B6482" s="2" t="s">
        <v>13669</v>
      </c>
      <c r="C6482" s="2" t="s">
        <v>5</v>
      </c>
      <c r="D6482" s="2" t="s">
        <v>186</v>
      </c>
      <c r="E6482" s="2" t="str">
        <f>"9789464634914"</f>
        <v>9789464634914</v>
      </c>
      <c r="F6482" s="2" t="str">
        <f>"9789464634921"</f>
        <v>9789464634921</v>
      </c>
    </row>
    <row r="6483" spans="1:6" s="3" customFormat="1" ht="29.1" customHeight="1" x14ac:dyDescent="0.25">
      <c r="A6483" s="2" t="s">
        <v>13670</v>
      </c>
      <c r="B6483" s="2" t="s">
        <v>13671</v>
      </c>
      <c r="C6483" s="2" t="s">
        <v>2133</v>
      </c>
      <c r="D6483" s="2" t="s">
        <v>4059</v>
      </c>
      <c r="E6483" s="2" t="str">
        <f>"9781760466497"</f>
        <v>9781760466497</v>
      </c>
      <c r="F6483" s="2" t="str">
        <f>"9781760466503"</f>
        <v>9781760466503</v>
      </c>
    </row>
    <row r="6484" spans="1:6" s="3" customFormat="1" ht="29.1" customHeight="1" x14ac:dyDescent="0.25">
      <c r="A6484" s="2" t="s">
        <v>13672</v>
      </c>
      <c r="B6484" s="2" t="s">
        <v>13673</v>
      </c>
      <c r="C6484" s="2" t="s">
        <v>2133</v>
      </c>
      <c r="D6484" s="2" t="s">
        <v>2019</v>
      </c>
      <c r="E6484" s="2" t="str">
        <f>"9781760466510"</f>
        <v>9781760466510</v>
      </c>
      <c r="F6484" s="2" t="str">
        <f>"9781760466527"</f>
        <v>9781760466527</v>
      </c>
    </row>
    <row r="6485" spans="1:6" s="3" customFormat="1" ht="29.1" customHeight="1" x14ac:dyDescent="0.25">
      <c r="A6485" s="2" t="s">
        <v>13674</v>
      </c>
      <c r="B6485" s="2" t="s">
        <v>13675</v>
      </c>
      <c r="C6485" s="2" t="s">
        <v>4788</v>
      </c>
      <c r="D6485" s="2" t="s">
        <v>12120</v>
      </c>
      <c r="E6485" s="2" t="str">
        <f>"9781399516365"</f>
        <v>9781399516365</v>
      </c>
      <c r="F6485" s="2" t="str">
        <f>"9781399516389"</f>
        <v>9781399516389</v>
      </c>
    </row>
    <row r="6486" spans="1:6" s="3" customFormat="1" ht="29.1" customHeight="1" x14ac:dyDescent="0.25">
      <c r="A6486" s="2" t="s">
        <v>13676</v>
      </c>
      <c r="B6486" s="2" t="s">
        <v>13677</v>
      </c>
      <c r="C6486" s="2" t="s">
        <v>149</v>
      </c>
      <c r="D6486" s="2" t="s">
        <v>7589</v>
      </c>
      <c r="E6486" s="2"/>
      <c r="F6486" s="2" t="str">
        <f>"9781805112624"</f>
        <v>9781805112624</v>
      </c>
    </row>
    <row r="6487" spans="1:6" s="3" customFormat="1" ht="29.1" customHeight="1" x14ac:dyDescent="0.25">
      <c r="A6487" s="2" t="s">
        <v>13678</v>
      </c>
      <c r="B6487" s="2" t="s">
        <v>13679</v>
      </c>
      <c r="C6487" s="2" t="s">
        <v>5</v>
      </c>
      <c r="D6487" s="2" t="s">
        <v>98</v>
      </c>
      <c r="E6487" s="2" t="str">
        <f>"9783031575105"</f>
        <v>9783031575105</v>
      </c>
      <c r="F6487" s="2" t="str">
        <f>"9783031575112"</f>
        <v>9783031575112</v>
      </c>
    </row>
    <row r="6488" spans="1:6" s="3" customFormat="1" ht="29.1" customHeight="1" x14ac:dyDescent="0.25">
      <c r="A6488" s="2" t="s">
        <v>13680</v>
      </c>
      <c r="B6488" s="2" t="s">
        <v>13681</v>
      </c>
      <c r="C6488" s="2" t="s">
        <v>5</v>
      </c>
      <c r="D6488" s="2" t="s">
        <v>44</v>
      </c>
      <c r="E6488" s="2" t="str">
        <f>"9789819744138"</f>
        <v>9789819744138</v>
      </c>
      <c r="F6488" s="2" t="str">
        <f>"9789819744145"</f>
        <v>9789819744145</v>
      </c>
    </row>
    <row r="6489" spans="1:6" s="3" customFormat="1" ht="29.1" customHeight="1" x14ac:dyDescent="0.25">
      <c r="A6489" s="2" t="s">
        <v>13682</v>
      </c>
      <c r="B6489" s="2" t="s">
        <v>13683</v>
      </c>
      <c r="C6489" s="2" t="s">
        <v>5</v>
      </c>
      <c r="D6489" s="2" t="s">
        <v>889</v>
      </c>
      <c r="E6489" s="2" t="str">
        <f>"9789819758135"</f>
        <v>9789819758135</v>
      </c>
      <c r="F6489" s="2" t="str">
        <f>"9789819758142"</f>
        <v>9789819758142</v>
      </c>
    </row>
    <row r="6490" spans="1:6" s="3" customFormat="1" ht="29.1" customHeight="1" x14ac:dyDescent="0.25">
      <c r="A6490" s="2" t="s">
        <v>13684</v>
      </c>
      <c r="B6490" s="2" t="s">
        <v>13685</v>
      </c>
      <c r="C6490" s="2" t="s">
        <v>55</v>
      </c>
      <c r="D6490" s="2" t="s">
        <v>5794</v>
      </c>
      <c r="E6490" s="2" t="str">
        <f>"9781526170637"</f>
        <v>9781526170637</v>
      </c>
      <c r="F6490" s="2" t="str">
        <f>"9781526170620"</f>
        <v>9781526170620</v>
      </c>
    </row>
    <row r="6491" spans="1:6" s="3" customFormat="1" ht="29.1" customHeight="1" x14ac:dyDescent="0.25">
      <c r="A6491" s="2" t="s">
        <v>13686</v>
      </c>
      <c r="B6491" s="2" t="s">
        <v>13687</v>
      </c>
      <c r="C6491" s="2" t="s">
        <v>55</v>
      </c>
      <c r="D6491" s="2" t="s">
        <v>674</v>
      </c>
      <c r="E6491" s="2" t="str">
        <f>"9781526171214"</f>
        <v>9781526171214</v>
      </c>
      <c r="F6491" s="2" t="str">
        <f>"9781526171207"</f>
        <v>9781526171207</v>
      </c>
    </row>
    <row r="6492" spans="1:6" s="3" customFormat="1" ht="29.1" customHeight="1" x14ac:dyDescent="0.25">
      <c r="A6492" s="2" t="s">
        <v>13688</v>
      </c>
      <c r="B6492" s="2" t="s">
        <v>13689</v>
      </c>
      <c r="C6492" s="2" t="s">
        <v>5</v>
      </c>
      <c r="D6492" s="2" t="s">
        <v>92</v>
      </c>
      <c r="E6492" s="2" t="str">
        <f>"9783658443306"</f>
        <v>9783658443306</v>
      </c>
      <c r="F6492" s="2" t="str">
        <f>"9783658443313"</f>
        <v>9783658443313</v>
      </c>
    </row>
    <row r="6493" spans="1:6" s="3" customFormat="1" ht="29.1" customHeight="1" x14ac:dyDescent="0.25">
      <c r="A6493" s="2" t="s">
        <v>13690</v>
      </c>
      <c r="B6493" s="2" t="s">
        <v>13691</v>
      </c>
      <c r="C6493" s="2" t="s">
        <v>5</v>
      </c>
      <c r="D6493" s="2" t="s">
        <v>504</v>
      </c>
      <c r="E6493" s="2" t="str">
        <f>"9783031648311"</f>
        <v>9783031648311</v>
      </c>
      <c r="F6493" s="2" t="str">
        <f>"9783031648328"</f>
        <v>9783031648328</v>
      </c>
    </row>
    <row r="6494" spans="1:6" s="3" customFormat="1" ht="29.1" customHeight="1" x14ac:dyDescent="0.25">
      <c r="A6494" s="2" t="s">
        <v>13692</v>
      </c>
      <c r="B6494" s="2" t="s">
        <v>13693</v>
      </c>
      <c r="C6494" s="2" t="s">
        <v>5</v>
      </c>
      <c r="D6494" s="2" t="s">
        <v>78</v>
      </c>
      <c r="E6494" s="2" t="str">
        <f>"9783031624346"</f>
        <v>9783031624346</v>
      </c>
      <c r="F6494" s="2" t="str">
        <f>"9783031624353"</f>
        <v>9783031624353</v>
      </c>
    </row>
    <row r="6495" spans="1:6" s="3" customFormat="1" ht="29.1" customHeight="1" x14ac:dyDescent="0.25">
      <c r="A6495" s="2" t="s">
        <v>13694</v>
      </c>
      <c r="B6495" s="2" t="s">
        <v>13695</v>
      </c>
      <c r="C6495" s="2" t="s">
        <v>677</v>
      </c>
      <c r="D6495" s="2" t="s">
        <v>1292</v>
      </c>
      <c r="E6495" s="2"/>
      <c r="F6495" s="2" t="str">
        <f>"9789493296794"</f>
        <v>9789493296794</v>
      </c>
    </row>
    <row r="6496" spans="1:6" s="3" customFormat="1" ht="29.1" customHeight="1" x14ac:dyDescent="0.25">
      <c r="A6496" s="2" t="s">
        <v>13696</v>
      </c>
      <c r="B6496" s="2" t="s">
        <v>13697</v>
      </c>
      <c r="C6496" s="2" t="s">
        <v>5</v>
      </c>
      <c r="D6496" s="2" t="s">
        <v>342</v>
      </c>
      <c r="E6496" s="2" t="str">
        <f>"9789464634709"</f>
        <v>9789464634709</v>
      </c>
      <c r="F6496" s="2" t="str">
        <f>"9789464634716"</f>
        <v>9789464634716</v>
      </c>
    </row>
    <row r="6497" spans="1:6" s="3" customFormat="1" ht="29.1" customHeight="1" x14ac:dyDescent="0.25">
      <c r="A6497" s="2" t="s">
        <v>13698</v>
      </c>
      <c r="B6497" s="2" t="s">
        <v>13699</v>
      </c>
      <c r="C6497" s="2" t="s">
        <v>5</v>
      </c>
      <c r="D6497" s="2" t="s">
        <v>501</v>
      </c>
      <c r="E6497" s="2" t="str">
        <f>"9783031547652"</f>
        <v>9783031547652</v>
      </c>
      <c r="F6497" s="2" t="str">
        <f>"9783031547669"</f>
        <v>9783031547669</v>
      </c>
    </row>
    <row r="6498" spans="1:6" s="3" customFormat="1" ht="29.1" customHeight="1" x14ac:dyDescent="0.25">
      <c r="A6498" s="2" t="s">
        <v>13700</v>
      </c>
      <c r="B6498" s="2" t="s">
        <v>13701</v>
      </c>
      <c r="C6498" s="2" t="s">
        <v>5</v>
      </c>
      <c r="D6498" s="2" t="s">
        <v>836</v>
      </c>
      <c r="E6498" s="2" t="str">
        <f>"9783658437206"</f>
        <v>9783658437206</v>
      </c>
      <c r="F6498" s="2" t="str">
        <f>"9783658437213"</f>
        <v>9783658437213</v>
      </c>
    </row>
    <row r="6499" spans="1:6" s="3" customFormat="1" ht="29.1" customHeight="1" x14ac:dyDescent="0.25">
      <c r="A6499" s="2" t="s">
        <v>13702</v>
      </c>
      <c r="B6499" s="2" t="s">
        <v>13703</v>
      </c>
      <c r="C6499" s="2" t="s">
        <v>4197</v>
      </c>
      <c r="D6499" s="2" t="s">
        <v>232</v>
      </c>
      <c r="E6499" s="2" t="str">
        <f>"9783985470730"</f>
        <v>9783985470730</v>
      </c>
      <c r="F6499" s="2" t="str">
        <f>"9783985475735"</f>
        <v>9783985475735</v>
      </c>
    </row>
    <row r="6500" spans="1:6" s="3" customFormat="1" ht="29.1" customHeight="1" x14ac:dyDescent="0.25">
      <c r="A6500" s="2" t="s">
        <v>13704</v>
      </c>
      <c r="B6500" s="2" t="s">
        <v>13706</v>
      </c>
      <c r="C6500" s="2" t="s">
        <v>13705</v>
      </c>
      <c r="D6500" s="2" t="s">
        <v>339</v>
      </c>
      <c r="E6500" s="2" t="str">
        <f>"9781999613808"</f>
        <v>9781999613808</v>
      </c>
      <c r="F6500" s="2" t="str">
        <f>"9781999613860"</f>
        <v>9781999613860</v>
      </c>
    </row>
    <row r="6501" spans="1:6" s="3" customFormat="1" ht="29.1" customHeight="1" x14ac:dyDescent="0.25">
      <c r="A6501" s="2" t="s">
        <v>3706</v>
      </c>
      <c r="B6501" s="2" t="s">
        <v>13707</v>
      </c>
      <c r="C6501" s="2" t="s">
        <v>5</v>
      </c>
      <c r="D6501" s="2" t="s">
        <v>487</v>
      </c>
      <c r="E6501" s="2" t="str">
        <f>"9783031656293"</f>
        <v>9783031656293</v>
      </c>
      <c r="F6501" s="2" t="str">
        <f>"9783031656309"</f>
        <v>9783031656309</v>
      </c>
    </row>
    <row r="6502" spans="1:6" s="3" customFormat="1" ht="29.1" customHeight="1" x14ac:dyDescent="0.25">
      <c r="A6502" s="2" t="s">
        <v>3706</v>
      </c>
      <c r="B6502" s="2" t="s">
        <v>13707</v>
      </c>
      <c r="C6502" s="2" t="s">
        <v>5</v>
      </c>
      <c r="D6502" s="2" t="s">
        <v>487</v>
      </c>
      <c r="E6502" s="2" t="str">
        <f>"9783031656323"</f>
        <v>9783031656323</v>
      </c>
      <c r="F6502" s="2" t="str">
        <f>"9783031656330"</f>
        <v>9783031656330</v>
      </c>
    </row>
    <row r="6503" spans="1:6" s="3" customFormat="1" ht="29.1" customHeight="1" x14ac:dyDescent="0.25">
      <c r="A6503" s="2" t="s">
        <v>13708</v>
      </c>
      <c r="B6503" s="2" t="s">
        <v>4369</v>
      </c>
      <c r="C6503" s="2" t="s">
        <v>5</v>
      </c>
      <c r="D6503" s="2" t="s">
        <v>4368</v>
      </c>
      <c r="E6503" s="2" t="str">
        <f>"9783031638541"</f>
        <v>9783031638541</v>
      </c>
      <c r="F6503" s="2" t="str">
        <f>"9783031638558"</f>
        <v>9783031638558</v>
      </c>
    </row>
    <row r="6504" spans="1:6" s="3" customFormat="1" ht="29.1" customHeight="1" x14ac:dyDescent="0.25">
      <c r="A6504" s="2" t="s">
        <v>13709</v>
      </c>
      <c r="B6504" s="2" t="s">
        <v>13710</v>
      </c>
      <c r="C6504" s="2" t="s">
        <v>5</v>
      </c>
      <c r="D6504" s="2" t="s">
        <v>37</v>
      </c>
      <c r="E6504" s="2" t="str">
        <f>"9789819730674"</f>
        <v>9789819730674</v>
      </c>
      <c r="F6504" s="2" t="str">
        <f>"9789819730681"</f>
        <v>9789819730681</v>
      </c>
    </row>
    <row r="6505" spans="1:6" s="3" customFormat="1" ht="29.1" customHeight="1" x14ac:dyDescent="0.25">
      <c r="A6505" s="2" t="s">
        <v>13711</v>
      </c>
      <c r="B6505" s="2" t="s">
        <v>13712</v>
      </c>
      <c r="C6505" s="2" t="s">
        <v>5</v>
      </c>
      <c r="D6505" s="2" t="s">
        <v>294</v>
      </c>
      <c r="E6505" s="2" t="str">
        <f>"9783031636967"</f>
        <v>9783031636967</v>
      </c>
      <c r="F6505" s="2" t="str">
        <f>"9783031636974"</f>
        <v>9783031636974</v>
      </c>
    </row>
    <row r="6506" spans="1:6" s="3" customFormat="1" ht="29.1" customHeight="1" x14ac:dyDescent="0.25">
      <c r="A6506" s="2" t="s">
        <v>3706</v>
      </c>
      <c r="B6506" s="2" t="s">
        <v>13707</v>
      </c>
      <c r="C6506" s="2" t="s">
        <v>5</v>
      </c>
      <c r="D6506" s="2" t="s">
        <v>487</v>
      </c>
      <c r="E6506" s="2" t="str">
        <f>"9783031656262"</f>
        <v>9783031656262</v>
      </c>
      <c r="F6506" s="2" t="str">
        <f>"9783031656279"</f>
        <v>9783031656279</v>
      </c>
    </row>
    <row r="6507" spans="1:6" s="3" customFormat="1" ht="29.1" customHeight="1" x14ac:dyDescent="0.25">
      <c r="A6507" s="2" t="s">
        <v>13713</v>
      </c>
      <c r="B6507" s="2" t="s">
        <v>13714</v>
      </c>
      <c r="C6507" s="2" t="s">
        <v>5</v>
      </c>
      <c r="D6507" s="2" t="s">
        <v>183</v>
      </c>
      <c r="E6507" s="2" t="str">
        <f>"9783658453381"</f>
        <v>9783658453381</v>
      </c>
      <c r="F6507" s="2" t="str">
        <f>"9783658453398"</f>
        <v>9783658453398</v>
      </c>
    </row>
    <row r="6508" spans="1:6" s="3" customFormat="1" ht="29.1" customHeight="1" x14ac:dyDescent="0.25">
      <c r="A6508" s="2" t="s">
        <v>13715</v>
      </c>
      <c r="B6508" s="2" t="s">
        <v>13716</v>
      </c>
      <c r="C6508" s="2" t="s">
        <v>5</v>
      </c>
      <c r="D6508" s="2" t="s">
        <v>12</v>
      </c>
      <c r="E6508" s="2" t="str">
        <f>"9783031639166"</f>
        <v>9783031639166</v>
      </c>
      <c r="F6508" s="2" t="str">
        <f>"9783031639173"</f>
        <v>9783031639173</v>
      </c>
    </row>
    <row r="6509" spans="1:6" s="3" customFormat="1" ht="29.1" customHeight="1" x14ac:dyDescent="0.25">
      <c r="A6509" s="2" t="s">
        <v>13717</v>
      </c>
      <c r="B6509" s="2" t="s">
        <v>13718</v>
      </c>
      <c r="C6509" s="2" t="s">
        <v>5</v>
      </c>
      <c r="D6509" s="2" t="s">
        <v>30</v>
      </c>
      <c r="E6509" s="2" t="str">
        <f>"9782384762705"</f>
        <v>9782384762705</v>
      </c>
      <c r="F6509" s="2" t="str">
        <f>"9782384762712"</f>
        <v>9782384762712</v>
      </c>
    </row>
    <row r="6510" spans="1:6" s="3" customFormat="1" ht="29.1" customHeight="1" x14ac:dyDescent="0.25">
      <c r="A6510" s="2" t="s">
        <v>13719</v>
      </c>
      <c r="B6510" s="2" t="s">
        <v>13720</v>
      </c>
      <c r="C6510" s="2" t="s">
        <v>5</v>
      </c>
      <c r="D6510" s="2" t="s">
        <v>44</v>
      </c>
      <c r="E6510" s="2" t="str">
        <f>"9789464634792"</f>
        <v>9789464634792</v>
      </c>
      <c r="F6510" s="2" t="str">
        <f>"9789464634808"</f>
        <v>9789464634808</v>
      </c>
    </row>
    <row r="6511" spans="1:6" s="3" customFormat="1" ht="29.1" customHeight="1" x14ac:dyDescent="0.25">
      <c r="A6511" s="2" t="s">
        <v>13721</v>
      </c>
      <c r="B6511" s="2" t="s">
        <v>3627</v>
      </c>
      <c r="C6511" s="2" t="s">
        <v>5</v>
      </c>
      <c r="D6511" s="2" t="s">
        <v>141</v>
      </c>
      <c r="E6511" s="2" t="str">
        <f>"9789464634648"</f>
        <v>9789464634648</v>
      </c>
      <c r="F6511" s="2" t="str">
        <f>"9789464634655"</f>
        <v>9789464634655</v>
      </c>
    </row>
    <row r="6512" spans="1:6" s="3" customFormat="1" ht="29.1" customHeight="1" x14ac:dyDescent="0.25">
      <c r="A6512" s="2" t="s">
        <v>13722</v>
      </c>
      <c r="B6512" s="2" t="s">
        <v>13723</v>
      </c>
      <c r="C6512" s="2" t="s">
        <v>5</v>
      </c>
      <c r="D6512" s="2" t="s">
        <v>183</v>
      </c>
      <c r="E6512" s="2" t="str">
        <f>"9783031571800"</f>
        <v>9783031571800</v>
      </c>
      <c r="F6512" s="2" t="str">
        <f>"9783031571787"</f>
        <v>9783031571787</v>
      </c>
    </row>
    <row r="6513" spans="1:6" s="3" customFormat="1" ht="29.1" customHeight="1" x14ac:dyDescent="0.25">
      <c r="A6513" s="2" t="s">
        <v>13724</v>
      </c>
      <c r="B6513" s="2" t="s">
        <v>13725</v>
      </c>
      <c r="C6513" s="2" t="s">
        <v>29</v>
      </c>
      <c r="D6513" s="2" t="s">
        <v>501</v>
      </c>
      <c r="E6513" s="2" t="str">
        <f>"9789004685048"</f>
        <v>9789004685048</v>
      </c>
      <c r="F6513" s="2" t="str">
        <f>"9789004707771"</f>
        <v>9789004707771</v>
      </c>
    </row>
    <row r="6514" spans="1:6" s="3" customFormat="1" ht="29.1" customHeight="1" x14ac:dyDescent="0.25">
      <c r="A6514" s="2" t="s">
        <v>13726</v>
      </c>
      <c r="B6514" s="2" t="s">
        <v>13727</v>
      </c>
      <c r="C6514" s="2" t="s">
        <v>29</v>
      </c>
      <c r="D6514" s="2" t="s">
        <v>1541</v>
      </c>
      <c r="E6514" s="2" t="str">
        <f>"9789004692831"</f>
        <v>9789004692831</v>
      </c>
      <c r="F6514" s="2" t="str">
        <f>"9789004693784"</f>
        <v>9789004693784</v>
      </c>
    </row>
    <row r="6515" spans="1:6" s="3" customFormat="1" ht="29.1" customHeight="1" x14ac:dyDescent="0.25">
      <c r="A6515" s="2" t="s">
        <v>13728</v>
      </c>
      <c r="B6515" s="2" t="s">
        <v>13729</v>
      </c>
      <c r="C6515" s="2" t="s">
        <v>29</v>
      </c>
      <c r="D6515" s="2" t="s">
        <v>3185</v>
      </c>
      <c r="E6515" s="2" t="str">
        <f>"9789004466166"</f>
        <v>9789004466166</v>
      </c>
      <c r="F6515" s="2" t="str">
        <f>"9789004466173"</f>
        <v>9789004466173</v>
      </c>
    </row>
    <row r="6516" spans="1:6" s="3" customFormat="1" ht="29.1" customHeight="1" x14ac:dyDescent="0.25">
      <c r="A6516" s="2" t="s">
        <v>13730</v>
      </c>
      <c r="B6516" s="2" t="s">
        <v>13731</v>
      </c>
      <c r="C6516" s="2" t="s">
        <v>29</v>
      </c>
      <c r="D6516" s="2" t="s">
        <v>218</v>
      </c>
      <c r="E6516" s="2" t="str">
        <f>"9783506790965"</f>
        <v>9783506790965</v>
      </c>
      <c r="F6516" s="2" t="str">
        <f>"9783657790968"</f>
        <v>9783657790968</v>
      </c>
    </row>
    <row r="6517" spans="1:6" s="3" customFormat="1" ht="29.1" customHeight="1" x14ac:dyDescent="0.25">
      <c r="A6517" s="2" t="s">
        <v>13732</v>
      </c>
      <c r="B6517" s="2" t="s">
        <v>13733</v>
      </c>
      <c r="C6517" s="2" t="s">
        <v>8040</v>
      </c>
      <c r="D6517" s="2" t="s">
        <v>1256</v>
      </c>
      <c r="E6517" s="2" t="str">
        <f>"9781800419865"</f>
        <v>9781800419865</v>
      </c>
      <c r="F6517" s="2" t="str">
        <f>"9781800419896"</f>
        <v>9781800419896</v>
      </c>
    </row>
    <row r="6518" spans="1:6" s="3" customFormat="1" ht="29.1" customHeight="1" x14ac:dyDescent="0.25">
      <c r="A6518" s="2" t="s">
        <v>13734</v>
      </c>
      <c r="B6518" s="2"/>
      <c r="C6518" s="2" t="s">
        <v>59</v>
      </c>
      <c r="D6518" s="2" t="s">
        <v>2435</v>
      </c>
      <c r="E6518" s="2"/>
      <c r="F6518" s="2" t="str">
        <f>"9782759238071"</f>
        <v>9782759238071</v>
      </c>
    </row>
    <row r="6519" spans="1:6" s="3" customFormat="1" ht="29.1" customHeight="1" x14ac:dyDescent="0.25">
      <c r="A6519" s="2" t="s">
        <v>13735</v>
      </c>
      <c r="B6519" s="2"/>
      <c r="C6519" s="2" t="s">
        <v>59</v>
      </c>
      <c r="D6519" s="2" t="s">
        <v>841</v>
      </c>
      <c r="E6519" s="2" t="str">
        <f>"9782759237876"</f>
        <v>9782759237876</v>
      </c>
      <c r="F6519" s="2" t="str">
        <f>"9782759237883"</f>
        <v>9782759237883</v>
      </c>
    </row>
    <row r="6520" spans="1:6" s="3" customFormat="1" ht="29.1" customHeight="1" x14ac:dyDescent="0.25">
      <c r="A6520" s="2" t="s">
        <v>13736</v>
      </c>
      <c r="B6520" s="2" t="s">
        <v>13737</v>
      </c>
      <c r="C6520" s="2" t="s">
        <v>8104</v>
      </c>
      <c r="D6520" s="2" t="s">
        <v>653</v>
      </c>
      <c r="E6520" s="2" t="str">
        <f>"9781805398455"</f>
        <v>9781805398455</v>
      </c>
      <c r="F6520" s="2" t="str">
        <f>"9781805398462"</f>
        <v>9781805398462</v>
      </c>
    </row>
    <row r="6521" spans="1:6" s="3" customFormat="1" ht="29.1" customHeight="1" x14ac:dyDescent="0.25">
      <c r="A6521" s="2" t="s">
        <v>13738</v>
      </c>
      <c r="B6521" s="2" t="s">
        <v>13739</v>
      </c>
      <c r="C6521" s="2" t="s">
        <v>124</v>
      </c>
      <c r="D6521" s="2" t="s">
        <v>9</v>
      </c>
      <c r="E6521" s="2" t="str">
        <f>"9781032489728"</f>
        <v>9781032489728</v>
      </c>
      <c r="F6521" s="2" t="str">
        <f>"9781003394877"</f>
        <v>9781003394877</v>
      </c>
    </row>
    <row r="6522" spans="1:6" s="3" customFormat="1" ht="29.1" customHeight="1" x14ac:dyDescent="0.25">
      <c r="A6522" s="2" t="s">
        <v>13740</v>
      </c>
      <c r="B6522" s="2" t="s">
        <v>13741</v>
      </c>
      <c r="C6522" s="2" t="s">
        <v>124</v>
      </c>
      <c r="D6522" s="2" t="s">
        <v>501</v>
      </c>
      <c r="E6522" s="2" t="str">
        <f>"9781032624570"</f>
        <v>9781032624570</v>
      </c>
      <c r="F6522" s="2" t="str">
        <f>"9781003517016"</f>
        <v>9781003517016</v>
      </c>
    </row>
    <row r="6523" spans="1:6" s="3" customFormat="1" ht="29.1" customHeight="1" x14ac:dyDescent="0.25">
      <c r="A6523" s="2" t="s">
        <v>13742</v>
      </c>
      <c r="B6523" s="2" t="s">
        <v>13743</v>
      </c>
      <c r="C6523" s="2" t="s">
        <v>29</v>
      </c>
      <c r="D6523" s="2" t="s">
        <v>689</v>
      </c>
      <c r="E6523" s="2" t="str">
        <f>"9789004683150"</f>
        <v>9789004683150</v>
      </c>
      <c r="F6523" s="2" t="str">
        <f>"9789004683167"</f>
        <v>9789004683167</v>
      </c>
    </row>
    <row r="6524" spans="1:6" s="3" customFormat="1" ht="29.1" customHeight="1" x14ac:dyDescent="0.25">
      <c r="A6524" s="2" t="s">
        <v>13744</v>
      </c>
      <c r="B6524" s="2" t="s">
        <v>13745</v>
      </c>
      <c r="C6524" s="2" t="s">
        <v>29</v>
      </c>
      <c r="D6524" s="2" t="s">
        <v>6548</v>
      </c>
      <c r="E6524" s="2" t="str">
        <f>"9789004515925"</f>
        <v>9789004515925</v>
      </c>
      <c r="F6524" s="2" t="str">
        <f>"9789004515932"</f>
        <v>9789004515932</v>
      </c>
    </row>
    <row r="6525" spans="1:6" s="3" customFormat="1" ht="29.1" customHeight="1" x14ac:dyDescent="0.25">
      <c r="A6525" s="2" t="s">
        <v>13746</v>
      </c>
      <c r="B6525" s="2" t="s">
        <v>13747</v>
      </c>
      <c r="C6525" s="2" t="s">
        <v>5</v>
      </c>
      <c r="D6525" s="2" t="s">
        <v>44</v>
      </c>
      <c r="E6525" s="2" t="str">
        <f>"9789464634778"</f>
        <v>9789464634778</v>
      </c>
      <c r="F6525" s="2" t="str">
        <f>"9789464634785"</f>
        <v>9789464634785</v>
      </c>
    </row>
    <row r="6526" spans="1:6" s="3" customFormat="1" ht="29.1" customHeight="1" x14ac:dyDescent="0.25">
      <c r="A6526" s="2" t="s">
        <v>13748</v>
      </c>
      <c r="B6526" s="2" t="s">
        <v>13749</v>
      </c>
      <c r="C6526" s="2" t="s">
        <v>124</v>
      </c>
      <c r="D6526" s="2" t="s">
        <v>218</v>
      </c>
      <c r="E6526" s="2" t="str">
        <f>"9781032634616"</f>
        <v>9781032634616</v>
      </c>
      <c r="F6526" s="2" t="str">
        <f>"9781032634647"</f>
        <v>9781032634647</v>
      </c>
    </row>
    <row r="6527" spans="1:6" s="3" customFormat="1" ht="29.1" customHeight="1" x14ac:dyDescent="0.25">
      <c r="A6527" s="2" t="s">
        <v>13750</v>
      </c>
      <c r="B6527" s="2" t="s">
        <v>13751</v>
      </c>
      <c r="C6527" s="2" t="s">
        <v>124</v>
      </c>
      <c r="D6527" s="2" t="s">
        <v>2727</v>
      </c>
      <c r="E6527" s="2" t="str">
        <f>"9781032333854"</f>
        <v>9781032333854</v>
      </c>
      <c r="F6527" s="2" t="str">
        <f>"9781003327677"</f>
        <v>9781003327677</v>
      </c>
    </row>
    <row r="6528" spans="1:6" s="3" customFormat="1" ht="29.1" customHeight="1" x14ac:dyDescent="0.25">
      <c r="A6528" s="2" t="s">
        <v>13752</v>
      </c>
      <c r="B6528" s="2" t="s">
        <v>13753</v>
      </c>
      <c r="C6528" s="2" t="s">
        <v>124</v>
      </c>
      <c r="D6528" s="2" t="s">
        <v>7734</v>
      </c>
      <c r="E6528" s="2" t="str">
        <f>"9781032679723"</f>
        <v>9781032679723</v>
      </c>
      <c r="F6528" s="2" t="str">
        <f>"9781032679747"</f>
        <v>9781032679747</v>
      </c>
    </row>
    <row r="6529" spans="1:6" s="3" customFormat="1" ht="29.1" customHeight="1" x14ac:dyDescent="0.25">
      <c r="A6529" s="2" t="s">
        <v>13754</v>
      </c>
      <c r="B6529" s="2" t="s">
        <v>6670</v>
      </c>
      <c r="C6529" s="2" t="s">
        <v>124</v>
      </c>
      <c r="D6529" s="2" t="s">
        <v>1183</v>
      </c>
      <c r="E6529" s="2" t="str">
        <f>"9781032700960"</f>
        <v>9781032700960</v>
      </c>
      <c r="F6529" s="2" t="str">
        <f>"9781003469322"</f>
        <v>9781003469322</v>
      </c>
    </row>
    <row r="6530" spans="1:6" s="3" customFormat="1" ht="29.1" customHeight="1" x14ac:dyDescent="0.25">
      <c r="A6530" s="2" t="s">
        <v>13755</v>
      </c>
      <c r="B6530" s="2" t="s">
        <v>13756</v>
      </c>
      <c r="C6530" s="2" t="s">
        <v>5</v>
      </c>
      <c r="D6530" s="2" t="s">
        <v>3817</v>
      </c>
      <c r="E6530" s="2" t="str">
        <f>"9783031588969"</f>
        <v>9783031588969</v>
      </c>
      <c r="F6530" s="2" t="str">
        <f>"9783031588976"</f>
        <v>9783031588976</v>
      </c>
    </row>
    <row r="6531" spans="1:6" s="3" customFormat="1" ht="29.1" customHeight="1" x14ac:dyDescent="0.25">
      <c r="A6531" s="2" t="s">
        <v>13757</v>
      </c>
      <c r="B6531" s="2" t="s">
        <v>3627</v>
      </c>
      <c r="C6531" s="2" t="s">
        <v>5</v>
      </c>
      <c r="D6531" s="2" t="s">
        <v>270</v>
      </c>
      <c r="E6531" s="2" t="str">
        <f>"9782384762682"</f>
        <v>9782384762682</v>
      </c>
      <c r="F6531" s="2" t="str">
        <f>"9782384762699"</f>
        <v>9782384762699</v>
      </c>
    </row>
    <row r="6532" spans="1:6" s="3" customFormat="1" ht="29.1" customHeight="1" x14ac:dyDescent="0.25">
      <c r="A6532" s="2" t="s">
        <v>13758</v>
      </c>
      <c r="B6532" s="2" t="s">
        <v>13759</v>
      </c>
      <c r="C6532" s="2" t="s">
        <v>5</v>
      </c>
      <c r="D6532" s="2" t="s">
        <v>650</v>
      </c>
      <c r="E6532" s="2" t="str">
        <f>"9789464634723"</f>
        <v>9789464634723</v>
      </c>
      <c r="F6532" s="2" t="str">
        <f>"9789464634730"</f>
        <v>9789464634730</v>
      </c>
    </row>
    <row r="6533" spans="1:6" s="3" customFormat="1" ht="29.1" customHeight="1" x14ac:dyDescent="0.25">
      <c r="A6533" s="2" t="s">
        <v>13760</v>
      </c>
      <c r="B6533" s="2" t="s">
        <v>13761</v>
      </c>
      <c r="C6533" s="2" t="s">
        <v>5</v>
      </c>
      <c r="D6533" s="2" t="s">
        <v>186</v>
      </c>
      <c r="E6533" s="2" t="str">
        <f>"9789464634587"</f>
        <v>9789464634587</v>
      </c>
      <c r="F6533" s="2" t="str">
        <f>"9789464634594"</f>
        <v>9789464634594</v>
      </c>
    </row>
    <row r="6534" spans="1:6" s="3" customFormat="1" ht="29.1" customHeight="1" x14ac:dyDescent="0.25">
      <c r="A6534" s="2" t="s">
        <v>13762</v>
      </c>
      <c r="B6534" s="2" t="s">
        <v>13763</v>
      </c>
      <c r="C6534" s="2" t="s">
        <v>5</v>
      </c>
      <c r="D6534" s="2" t="s">
        <v>1432</v>
      </c>
      <c r="E6534" s="2" t="str">
        <f>"9789819736102"</f>
        <v>9789819736102</v>
      </c>
      <c r="F6534" s="2" t="str">
        <f>"9789819736119"</f>
        <v>9789819736119</v>
      </c>
    </row>
    <row r="6535" spans="1:6" s="3" customFormat="1" ht="29.1" customHeight="1" x14ac:dyDescent="0.25">
      <c r="A6535" s="2" t="s">
        <v>13764</v>
      </c>
      <c r="B6535" s="2" t="s">
        <v>13765</v>
      </c>
      <c r="C6535" s="2" t="s">
        <v>5</v>
      </c>
      <c r="D6535" s="2" t="s">
        <v>1913</v>
      </c>
      <c r="E6535" s="2" t="str">
        <f>"9783031553400"</f>
        <v>9783031553400</v>
      </c>
      <c r="F6535" s="2" t="str">
        <f>"9783031553417"</f>
        <v>9783031553417</v>
      </c>
    </row>
    <row r="6536" spans="1:6" s="3" customFormat="1" ht="29.1" customHeight="1" x14ac:dyDescent="0.25">
      <c r="A6536" s="2" t="s">
        <v>13766</v>
      </c>
      <c r="B6536" s="2" t="s">
        <v>13767</v>
      </c>
      <c r="C6536" s="2" t="s">
        <v>5</v>
      </c>
      <c r="D6536" s="2" t="s">
        <v>2391</v>
      </c>
      <c r="E6536" s="2" t="str">
        <f>"9783031607080"</f>
        <v>9783031607080</v>
      </c>
      <c r="F6536" s="2" t="str">
        <f>"9783031607097"</f>
        <v>9783031607097</v>
      </c>
    </row>
    <row r="6537" spans="1:6" s="3" customFormat="1" ht="29.1" customHeight="1" x14ac:dyDescent="0.25">
      <c r="A6537" s="2" t="s">
        <v>13768</v>
      </c>
      <c r="B6537" s="2" t="s">
        <v>13769</v>
      </c>
      <c r="C6537" s="2" t="s">
        <v>55</v>
      </c>
      <c r="D6537" s="2" t="s">
        <v>647</v>
      </c>
      <c r="E6537" s="2" t="str">
        <f>"9781526157416"</f>
        <v>9781526157416</v>
      </c>
      <c r="F6537" s="2" t="str">
        <f>"9781526157409"</f>
        <v>9781526157409</v>
      </c>
    </row>
    <row r="6538" spans="1:6" s="3" customFormat="1" ht="29.1" customHeight="1" x14ac:dyDescent="0.25">
      <c r="A6538" s="2" t="s">
        <v>13770</v>
      </c>
      <c r="B6538" s="2" t="s">
        <v>13771</v>
      </c>
      <c r="C6538" s="2" t="s">
        <v>131</v>
      </c>
      <c r="D6538" s="2" t="s">
        <v>175</v>
      </c>
      <c r="E6538" s="2" t="str">
        <f>"9789027214966"</f>
        <v>9789027214966</v>
      </c>
      <c r="F6538" s="2" t="str">
        <f>"9789027246776"</f>
        <v>9789027246776</v>
      </c>
    </row>
    <row r="6539" spans="1:6" s="3" customFormat="1" ht="29.1" customHeight="1" x14ac:dyDescent="0.25">
      <c r="A6539" s="2" t="s">
        <v>4250</v>
      </c>
      <c r="B6539" s="2" t="s">
        <v>4251</v>
      </c>
      <c r="C6539" s="2" t="s">
        <v>5</v>
      </c>
      <c r="D6539" s="2" t="s">
        <v>89</v>
      </c>
      <c r="E6539" s="2" t="str">
        <f>"9783031595141"</f>
        <v>9783031595141</v>
      </c>
      <c r="F6539" s="2" t="str">
        <f>"9783031595158"</f>
        <v>9783031595158</v>
      </c>
    </row>
    <row r="6540" spans="1:6" s="3" customFormat="1" ht="29.1" customHeight="1" x14ac:dyDescent="0.25">
      <c r="A6540" s="2" t="s">
        <v>13772</v>
      </c>
      <c r="B6540" s="2" t="s">
        <v>13773</v>
      </c>
      <c r="C6540" s="2" t="s">
        <v>5</v>
      </c>
      <c r="D6540" s="2" t="s">
        <v>454</v>
      </c>
      <c r="E6540" s="2" t="str">
        <f>"9789464634563"</f>
        <v>9789464634563</v>
      </c>
      <c r="F6540" s="2" t="str">
        <f>"9789464634570"</f>
        <v>9789464634570</v>
      </c>
    </row>
    <row r="6541" spans="1:6" s="3" customFormat="1" ht="29.1" customHeight="1" x14ac:dyDescent="0.25">
      <c r="A6541" s="2" t="s">
        <v>13774</v>
      </c>
      <c r="B6541" s="2" t="s">
        <v>13775</v>
      </c>
      <c r="C6541" s="2" t="s">
        <v>5</v>
      </c>
      <c r="D6541" s="2" t="s">
        <v>113</v>
      </c>
      <c r="E6541" s="2" t="str">
        <f>"9789464634662"</f>
        <v>9789464634662</v>
      </c>
      <c r="F6541" s="2" t="str">
        <f>"9789464634679"</f>
        <v>9789464634679</v>
      </c>
    </row>
    <row r="6542" spans="1:6" s="3" customFormat="1" ht="29.1" customHeight="1" x14ac:dyDescent="0.25">
      <c r="A6542" s="2" t="s">
        <v>13776</v>
      </c>
      <c r="B6542" s="2" t="s">
        <v>13777</v>
      </c>
      <c r="C6542" s="2" t="s">
        <v>5</v>
      </c>
      <c r="D6542" s="2" t="s">
        <v>4238</v>
      </c>
      <c r="E6542" s="2" t="str">
        <f>"9783031635236"</f>
        <v>9783031635236</v>
      </c>
      <c r="F6542" s="2" t="str">
        <f>"9783031635243"</f>
        <v>9783031635243</v>
      </c>
    </row>
    <row r="6543" spans="1:6" s="3" customFormat="1" ht="29.1" customHeight="1" x14ac:dyDescent="0.25">
      <c r="A6543" s="2" t="s">
        <v>13778</v>
      </c>
      <c r="B6543" s="2" t="s">
        <v>13779</v>
      </c>
      <c r="C6543" s="2" t="s">
        <v>29</v>
      </c>
      <c r="D6543" s="2" t="s">
        <v>3270</v>
      </c>
      <c r="E6543" s="2" t="str">
        <f>"9789004549081"</f>
        <v>9789004549081</v>
      </c>
      <c r="F6543" s="2" t="str">
        <f>"9789004684539"</f>
        <v>9789004684539</v>
      </c>
    </row>
    <row r="6544" spans="1:6" s="3" customFormat="1" ht="29.1" customHeight="1" x14ac:dyDescent="0.25">
      <c r="A6544" s="2" t="s">
        <v>13780</v>
      </c>
      <c r="B6544" s="2" t="s">
        <v>13781</v>
      </c>
      <c r="C6544" s="2" t="s">
        <v>3169</v>
      </c>
      <c r="D6544" s="2" t="s">
        <v>3166</v>
      </c>
      <c r="E6544" s="2" t="str">
        <f>"9781843847267"</f>
        <v>9781843847267</v>
      </c>
      <c r="F6544" s="2" t="str">
        <f>"9781805434146"</f>
        <v>9781805434146</v>
      </c>
    </row>
    <row r="6545" spans="1:6" s="3" customFormat="1" ht="29.1" customHeight="1" x14ac:dyDescent="0.25">
      <c r="A6545" s="2" t="s">
        <v>13782</v>
      </c>
      <c r="B6545" s="2" t="s">
        <v>13783</v>
      </c>
      <c r="C6545" s="2" t="s">
        <v>59</v>
      </c>
      <c r="D6545" s="2" t="s">
        <v>3817</v>
      </c>
      <c r="E6545" s="2"/>
      <c r="F6545" s="2" t="str">
        <f>"9782759239382"</f>
        <v>9782759239382</v>
      </c>
    </row>
    <row r="6546" spans="1:6" s="3" customFormat="1" ht="29.1" customHeight="1" x14ac:dyDescent="0.25">
      <c r="A6546" s="2" t="s">
        <v>13784</v>
      </c>
      <c r="B6546" s="2" t="s">
        <v>13785</v>
      </c>
      <c r="C6546" s="2" t="s">
        <v>5</v>
      </c>
      <c r="D6546" s="2" t="s">
        <v>44</v>
      </c>
      <c r="E6546" s="2" t="str">
        <f>"9789819743544"</f>
        <v>9789819743544</v>
      </c>
      <c r="F6546" s="2" t="str">
        <f>"9789819743551"</f>
        <v>9789819743551</v>
      </c>
    </row>
    <row r="6547" spans="1:6" s="3" customFormat="1" ht="29.1" customHeight="1" x14ac:dyDescent="0.25">
      <c r="A6547" s="2" t="s">
        <v>13786</v>
      </c>
      <c r="B6547" s="2" t="s">
        <v>13787</v>
      </c>
      <c r="C6547" s="2" t="s">
        <v>5</v>
      </c>
      <c r="D6547" s="2" t="s">
        <v>4783</v>
      </c>
      <c r="E6547" s="2" t="str">
        <f>"9783031653032"</f>
        <v>9783031653032</v>
      </c>
      <c r="F6547" s="2" t="str">
        <f>"9783031653049"</f>
        <v>9783031653049</v>
      </c>
    </row>
    <row r="6548" spans="1:6" s="3" customFormat="1" ht="29.1" customHeight="1" x14ac:dyDescent="0.25">
      <c r="A6548" s="2" t="s">
        <v>13788</v>
      </c>
      <c r="B6548" s="2" t="s">
        <v>13789</v>
      </c>
      <c r="C6548" s="2" t="s">
        <v>5</v>
      </c>
      <c r="D6548" s="2" t="s">
        <v>189</v>
      </c>
      <c r="E6548" s="2" t="str">
        <f>"9783031586484"</f>
        <v>9783031586484</v>
      </c>
      <c r="F6548" s="2" t="str">
        <f>"9783031586491"</f>
        <v>9783031586491</v>
      </c>
    </row>
    <row r="6549" spans="1:6" s="3" customFormat="1" ht="29.1" customHeight="1" x14ac:dyDescent="0.25">
      <c r="A6549" s="2" t="s">
        <v>13790</v>
      </c>
      <c r="B6549" s="2" t="s">
        <v>13791</v>
      </c>
      <c r="C6549" s="2" t="s">
        <v>5</v>
      </c>
      <c r="D6549" s="2" t="s">
        <v>15</v>
      </c>
      <c r="E6549" s="2" t="str">
        <f>"9783031490262"</f>
        <v>9783031490262</v>
      </c>
      <c r="F6549" s="2" t="str">
        <f>"9783031490279"</f>
        <v>9783031490279</v>
      </c>
    </row>
    <row r="6550" spans="1:6" s="3" customFormat="1" ht="29.1" customHeight="1" x14ac:dyDescent="0.25">
      <c r="A6550" s="2" t="s">
        <v>13792</v>
      </c>
      <c r="B6550" s="2" t="s">
        <v>13793</v>
      </c>
      <c r="C6550" s="2" t="s">
        <v>5</v>
      </c>
      <c r="D6550" s="2" t="s">
        <v>4262</v>
      </c>
      <c r="E6550" s="2" t="str">
        <f>"9789819751075"</f>
        <v>9789819751075</v>
      </c>
      <c r="F6550" s="2" t="str">
        <f>"9789819751082"</f>
        <v>9789819751082</v>
      </c>
    </row>
    <row r="6551" spans="1:6" s="3" customFormat="1" ht="29.1" customHeight="1" x14ac:dyDescent="0.25">
      <c r="A6551" s="2" t="s">
        <v>13794</v>
      </c>
      <c r="B6551" s="2" t="s">
        <v>13795</v>
      </c>
      <c r="C6551" s="2" t="s">
        <v>5</v>
      </c>
      <c r="D6551" s="2" t="s">
        <v>33</v>
      </c>
      <c r="E6551" s="2" t="str">
        <f>"9783031606441"</f>
        <v>9783031606441</v>
      </c>
      <c r="F6551" s="2" t="str">
        <f>"9783031606458"</f>
        <v>9783031606458</v>
      </c>
    </row>
    <row r="6552" spans="1:6" s="3" customFormat="1" ht="29.1" customHeight="1" x14ac:dyDescent="0.25">
      <c r="A6552" s="2" t="s">
        <v>13796</v>
      </c>
      <c r="B6552" s="2" t="s">
        <v>13797</v>
      </c>
      <c r="C6552" s="2" t="s">
        <v>5</v>
      </c>
      <c r="D6552" s="2" t="s">
        <v>1109</v>
      </c>
      <c r="E6552" s="2" t="str">
        <f>"9783031622403"</f>
        <v>9783031622403</v>
      </c>
      <c r="F6552" s="2" t="str">
        <f>"9783031622410"</f>
        <v>9783031622410</v>
      </c>
    </row>
    <row r="6553" spans="1:6" s="3" customFormat="1" ht="29.1" customHeight="1" x14ac:dyDescent="0.25">
      <c r="A6553" s="2" t="s">
        <v>13798</v>
      </c>
      <c r="B6553" s="2" t="s">
        <v>13799</v>
      </c>
      <c r="C6553" s="2" t="s">
        <v>2188</v>
      </c>
      <c r="D6553" s="2" t="s">
        <v>550</v>
      </c>
      <c r="E6553" s="2" t="str">
        <f>"9788323232469"</f>
        <v>9788323232469</v>
      </c>
      <c r="F6553" s="2" t="str">
        <f>"9788323243083"</f>
        <v>9788323243083</v>
      </c>
    </row>
    <row r="6554" spans="1:6" s="3" customFormat="1" ht="29.1" customHeight="1" x14ac:dyDescent="0.25">
      <c r="A6554" s="2" t="s">
        <v>13800</v>
      </c>
      <c r="B6554" s="2" t="s">
        <v>13801</v>
      </c>
      <c r="C6554" s="2" t="s">
        <v>2188</v>
      </c>
      <c r="D6554" s="2" t="s">
        <v>4210</v>
      </c>
      <c r="E6554" s="2" t="str">
        <f>"9788323230762"</f>
        <v>9788323230762</v>
      </c>
      <c r="F6554" s="2" t="str">
        <f>"9788323243090"</f>
        <v>9788323243090</v>
      </c>
    </row>
    <row r="6555" spans="1:6" s="3" customFormat="1" ht="29.1" customHeight="1" x14ac:dyDescent="0.25">
      <c r="A6555" s="2" t="s">
        <v>13802</v>
      </c>
      <c r="B6555" s="2" t="s">
        <v>13803</v>
      </c>
      <c r="C6555" s="2" t="s">
        <v>746</v>
      </c>
      <c r="D6555" s="2" t="s">
        <v>606</v>
      </c>
      <c r="E6555" s="2" t="str">
        <f>"9781803278193"</f>
        <v>9781803278193</v>
      </c>
      <c r="F6555" s="2" t="str">
        <f>"9781803278209"</f>
        <v>9781803278209</v>
      </c>
    </row>
    <row r="6556" spans="1:6" s="3" customFormat="1" ht="29.1" customHeight="1" x14ac:dyDescent="0.25">
      <c r="A6556" s="2" t="s">
        <v>13804</v>
      </c>
      <c r="B6556" s="2" t="s">
        <v>13805</v>
      </c>
      <c r="C6556" s="2" t="s">
        <v>746</v>
      </c>
      <c r="D6556" s="2" t="s">
        <v>606</v>
      </c>
      <c r="E6556" s="2" t="str">
        <f>"9781803277776"</f>
        <v>9781803277776</v>
      </c>
      <c r="F6556" s="2" t="str">
        <f>"9781803277783"</f>
        <v>9781803277783</v>
      </c>
    </row>
    <row r="6557" spans="1:6" s="3" customFormat="1" ht="29.1" customHeight="1" x14ac:dyDescent="0.25">
      <c r="A6557" s="2" t="s">
        <v>13806</v>
      </c>
      <c r="B6557" s="2" t="s">
        <v>13807</v>
      </c>
      <c r="C6557" s="2" t="s">
        <v>746</v>
      </c>
      <c r="D6557" s="2" t="s">
        <v>606</v>
      </c>
      <c r="E6557" s="2" t="str">
        <f>"9781803277998"</f>
        <v>9781803277998</v>
      </c>
      <c r="F6557" s="2" t="str">
        <f>"9781803278001"</f>
        <v>9781803278001</v>
      </c>
    </row>
    <row r="6558" spans="1:6" s="3" customFormat="1" ht="29.1" customHeight="1" x14ac:dyDescent="0.25">
      <c r="A6558" s="2" t="s">
        <v>13808</v>
      </c>
      <c r="B6558" s="2" t="s">
        <v>13809</v>
      </c>
      <c r="C6558" s="2" t="s">
        <v>746</v>
      </c>
      <c r="D6558" s="2" t="s">
        <v>4185</v>
      </c>
      <c r="E6558" s="2" t="str">
        <f>"9781803277790"</f>
        <v>9781803277790</v>
      </c>
      <c r="F6558" s="2" t="str">
        <f>"9781803277806"</f>
        <v>9781803277806</v>
      </c>
    </row>
    <row r="6559" spans="1:6" s="3" customFormat="1" ht="29.1" customHeight="1" x14ac:dyDescent="0.25">
      <c r="A6559" s="2" t="s">
        <v>13810</v>
      </c>
      <c r="B6559" s="2" t="s">
        <v>13811</v>
      </c>
      <c r="C6559" s="2" t="s">
        <v>8305</v>
      </c>
      <c r="D6559" s="2" t="s">
        <v>501</v>
      </c>
      <c r="E6559" s="2" t="str">
        <f>"9781962551212"</f>
        <v>9781962551212</v>
      </c>
      <c r="F6559" s="2" t="str">
        <f>"9781962551229"</f>
        <v>9781962551229</v>
      </c>
    </row>
    <row r="6560" spans="1:6" s="3" customFormat="1" ht="29.1" customHeight="1" x14ac:dyDescent="0.25">
      <c r="A6560" s="2" t="s">
        <v>13812</v>
      </c>
      <c r="B6560" s="2" t="s">
        <v>13813</v>
      </c>
      <c r="C6560" s="2" t="s">
        <v>29</v>
      </c>
      <c r="D6560" s="2" t="s">
        <v>9</v>
      </c>
      <c r="E6560" s="2" t="str">
        <f>"9789004699229"</f>
        <v>9789004699229</v>
      </c>
      <c r="F6560" s="2" t="str">
        <f>"9789004699236"</f>
        <v>9789004699236</v>
      </c>
    </row>
    <row r="6561" spans="1:6" s="3" customFormat="1" ht="29.1" customHeight="1" x14ac:dyDescent="0.25">
      <c r="A6561" s="2" t="s">
        <v>13814</v>
      </c>
      <c r="B6561" s="2" t="s">
        <v>13815</v>
      </c>
      <c r="C6561" s="2" t="s">
        <v>29</v>
      </c>
      <c r="D6561" s="2" t="s">
        <v>6548</v>
      </c>
      <c r="E6561" s="2" t="str">
        <f>"9789004697119"</f>
        <v>9789004697119</v>
      </c>
      <c r="F6561" s="2" t="str">
        <f>"9789004699267"</f>
        <v>9789004699267</v>
      </c>
    </row>
    <row r="6562" spans="1:6" s="3" customFormat="1" ht="29.1" customHeight="1" x14ac:dyDescent="0.25">
      <c r="A6562" s="2" t="s">
        <v>13816</v>
      </c>
      <c r="B6562" s="2" t="s">
        <v>13817</v>
      </c>
      <c r="C6562" s="2" t="s">
        <v>29</v>
      </c>
      <c r="D6562" s="2" t="s">
        <v>699</v>
      </c>
      <c r="E6562" s="2" t="str">
        <f>"9789004680197"</f>
        <v>9789004680197</v>
      </c>
      <c r="F6562" s="2" t="str">
        <f>"9789004680203"</f>
        <v>9789004680203</v>
      </c>
    </row>
    <row r="6563" spans="1:6" s="3" customFormat="1" ht="29.1" customHeight="1" x14ac:dyDescent="0.25">
      <c r="A6563" s="2" t="s">
        <v>13818</v>
      </c>
      <c r="B6563" s="2" t="s">
        <v>13819</v>
      </c>
      <c r="C6563" s="2" t="s">
        <v>2242</v>
      </c>
      <c r="D6563" s="2" t="s">
        <v>413</v>
      </c>
      <c r="E6563" s="2" t="str">
        <f>"9788024443133"</f>
        <v>9788024443133</v>
      </c>
      <c r="F6563" s="2" t="str">
        <f>"9788024464930"</f>
        <v>9788024464930</v>
      </c>
    </row>
    <row r="6564" spans="1:6" s="3" customFormat="1" ht="29.1" customHeight="1" x14ac:dyDescent="0.25">
      <c r="A6564" s="2" t="s">
        <v>13820</v>
      </c>
      <c r="B6564" s="2" t="s">
        <v>13821</v>
      </c>
      <c r="C6564" s="2" t="s">
        <v>5</v>
      </c>
      <c r="D6564" s="2" t="s">
        <v>5761</v>
      </c>
      <c r="E6564" s="2" t="str">
        <f>"9783658444488"</f>
        <v>9783658444488</v>
      </c>
      <c r="F6564" s="2" t="str">
        <f>"9783658444495"</f>
        <v>9783658444495</v>
      </c>
    </row>
    <row r="6565" spans="1:6" s="3" customFormat="1" ht="29.1" customHeight="1" x14ac:dyDescent="0.25">
      <c r="A6565" s="2" t="s">
        <v>13822</v>
      </c>
      <c r="B6565" s="2" t="s">
        <v>13823</v>
      </c>
      <c r="C6565" s="2" t="s">
        <v>5</v>
      </c>
      <c r="D6565" s="2" t="s">
        <v>9</v>
      </c>
      <c r="E6565" s="2" t="str">
        <f>"9782384762668"</f>
        <v>9782384762668</v>
      </c>
      <c r="F6565" s="2" t="str">
        <f>"9782384762675"</f>
        <v>9782384762675</v>
      </c>
    </row>
    <row r="6566" spans="1:6" s="3" customFormat="1" ht="29.1" customHeight="1" x14ac:dyDescent="0.25">
      <c r="A6566" s="2" t="s">
        <v>13824</v>
      </c>
      <c r="B6566" s="2" t="s">
        <v>13825</v>
      </c>
      <c r="C6566" s="2" t="s">
        <v>5</v>
      </c>
      <c r="D6566" s="2" t="s">
        <v>9</v>
      </c>
      <c r="E6566" s="2" t="str">
        <f>"9782384762644"</f>
        <v>9782384762644</v>
      </c>
      <c r="F6566" s="2" t="str">
        <f>"9782384762651"</f>
        <v>9782384762651</v>
      </c>
    </row>
    <row r="6567" spans="1:6" s="3" customFormat="1" ht="29.1" customHeight="1" x14ac:dyDescent="0.25">
      <c r="A6567" s="2" t="s">
        <v>13826</v>
      </c>
      <c r="B6567" s="2" t="s">
        <v>13827</v>
      </c>
      <c r="C6567" s="2" t="s">
        <v>124</v>
      </c>
      <c r="D6567" s="2" t="s">
        <v>699</v>
      </c>
      <c r="E6567" s="2" t="str">
        <f>"9781032467177"</f>
        <v>9781032467177</v>
      </c>
      <c r="F6567" s="2" t="str">
        <f>"9781003382973"</f>
        <v>9781003382973</v>
      </c>
    </row>
    <row r="6568" spans="1:6" s="3" customFormat="1" ht="29.1" customHeight="1" x14ac:dyDescent="0.25">
      <c r="A6568" s="2" t="s">
        <v>13828</v>
      </c>
      <c r="B6568" s="2" t="s">
        <v>13829</v>
      </c>
      <c r="C6568" s="2" t="s">
        <v>124</v>
      </c>
      <c r="D6568" s="2" t="s">
        <v>2433</v>
      </c>
      <c r="E6568" s="2" t="str">
        <f>"9781032737805"</f>
        <v>9781032737805</v>
      </c>
      <c r="F6568" s="2" t="str">
        <f>"9781003465874"</f>
        <v>9781003465874</v>
      </c>
    </row>
    <row r="6569" spans="1:6" s="3" customFormat="1" ht="29.1" customHeight="1" x14ac:dyDescent="0.25">
      <c r="A6569" s="2" t="s">
        <v>13830</v>
      </c>
      <c r="B6569" s="2" t="s">
        <v>13831</v>
      </c>
      <c r="C6569" s="2" t="s">
        <v>124</v>
      </c>
      <c r="D6569" s="2" t="s">
        <v>636</v>
      </c>
      <c r="E6569" s="2" t="str">
        <f>"9781032547176"</f>
        <v>9781032547176</v>
      </c>
      <c r="F6569" s="2" t="str">
        <f>"9781003426318"</f>
        <v>9781003426318</v>
      </c>
    </row>
    <row r="6570" spans="1:6" s="3" customFormat="1" ht="29.1" customHeight="1" x14ac:dyDescent="0.25">
      <c r="A6570" s="2" t="s">
        <v>13832</v>
      </c>
      <c r="B6570" s="2" t="s">
        <v>13833</v>
      </c>
      <c r="C6570" s="2" t="s">
        <v>124</v>
      </c>
      <c r="D6570" s="2" t="s">
        <v>408</v>
      </c>
      <c r="E6570" s="2" t="str">
        <f>"9781032594453"</f>
        <v>9781032594453</v>
      </c>
      <c r="F6570" s="2" t="str">
        <f>"9781003454731"</f>
        <v>9781003454731</v>
      </c>
    </row>
    <row r="6571" spans="1:6" s="3" customFormat="1" ht="29.1" customHeight="1" x14ac:dyDescent="0.25">
      <c r="A6571" s="2" t="s">
        <v>13834</v>
      </c>
      <c r="B6571" s="2" t="s">
        <v>13835</v>
      </c>
      <c r="C6571" s="2" t="s">
        <v>124</v>
      </c>
      <c r="D6571" s="2" t="s">
        <v>2086</v>
      </c>
      <c r="E6571" s="2" t="str">
        <f>"9780367607586"</f>
        <v>9780367607586</v>
      </c>
      <c r="F6571" s="2" t="str">
        <f>"9781003100379"</f>
        <v>9781003100379</v>
      </c>
    </row>
    <row r="6572" spans="1:6" s="3" customFormat="1" ht="29.1" customHeight="1" x14ac:dyDescent="0.25">
      <c r="A6572" s="2" t="s">
        <v>13836</v>
      </c>
      <c r="B6572" s="2" t="s">
        <v>13837</v>
      </c>
      <c r="C6572" s="2" t="s">
        <v>595</v>
      </c>
      <c r="D6572" s="2" t="s">
        <v>118</v>
      </c>
      <c r="E6572" s="2" t="str">
        <f>"9783631674307"</f>
        <v>9783631674307</v>
      </c>
      <c r="F6572" s="2" t="str">
        <f>"9783631709115"</f>
        <v>9783631709115</v>
      </c>
    </row>
    <row r="6573" spans="1:6" s="3" customFormat="1" ht="29.1" customHeight="1" x14ac:dyDescent="0.25">
      <c r="A6573" s="2" t="s">
        <v>13838</v>
      </c>
      <c r="B6573" s="2" t="s">
        <v>13839</v>
      </c>
      <c r="C6573" s="2" t="s">
        <v>595</v>
      </c>
      <c r="D6573" s="2" t="s">
        <v>210</v>
      </c>
      <c r="E6573" s="2" t="str">
        <f>"9783631652121"</f>
        <v>9783631652121</v>
      </c>
      <c r="F6573" s="2" t="str">
        <f>"9783631707340"</f>
        <v>9783631707340</v>
      </c>
    </row>
    <row r="6574" spans="1:6" s="3" customFormat="1" ht="29.1" customHeight="1" x14ac:dyDescent="0.25">
      <c r="A6574" s="2" t="s">
        <v>13840</v>
      </c>
      <c r="B6574" s="2" t="s">
        <v>13841</v>
      </c>
      <c r="C6574" s="2" t="s">
        <v>595</v>
      </c>
      <c r="D6574" s="2" t="s">
        <v>3062</v>
      </c>
      <c r="E6574" s="2" t="str">
        <f>"9783631641576"</f>
        <v>9783631641576</v>
      </c>
      <c r="F6574" s="2" t="str">
        <f>"9783653032154"</f>
        <v>9783653032154</v>
      </c>
    </row>
    <row r="6575" spans="1:6" s="3" customFormat="1" ht="29.1" customHeight="1" x14ac:dyDescent="0.25">
      <c r="A6575" s="2" t="s">
        <v>13842</v>
      </c>
      <c r="B6575" s="2" t="s">
        <v>13843</v>
      </c>
      <c r="C6575" s="2" t="s">
        <v>5</v>
      </c>
      <c r="D6575" s="2" t="s">
        <v>86</v>
      </c>
      <c r="E6575" s="2" t="str">
        <f>"9783031622847"</f>
        <v>9783031622847</v>
      </c>
      <c r="F6575" s="2" t="str">
        <f>"9783031622854"</f>
        <v>9783031622854</v>
      </c>
    </row>
    <row r="6576" spans="1:6" s="3" customFormat="1" ht="29.1" customHeight="1" x14ac:dyDescent="0.25">
      <c r="A6576" s="2" t="s">
        <v>13844</v>
      </c>
      <c r="B6576" s="2" t="s">
        <v>13845</v>
      </c>
      <c r="C6576" s="2" t="s">
        <v>5</v>
      </c>
      <c r="D6576" s="2" t="s">
        <v>694</v>
      </c>
      <c r="E6576" s="2" t="str">
        <f>"9783031575907"</f>
        <v>9783031575907</v>
      </c>
      <c r="F6576" s="2" t="str">
        <f>"9783031575914"</f>
        <v>9783031575914</v>
      </c>
    </row>
    <row r="6577" spans="1:6" s="3" customFormat="1" ht="29.1" customHeight="1" x14ac:dyDescent="0.25">
      <c r="A6577" s="2" t="s">
        <v>13846</v>
      </c>
      <c r="B6577" s="2" t="s">
        <v>13847</v>
      </c>
      <c r="C6577" s="2" t="s">
        <v>5</v>
      </c>
      <c r="D6577" s="2" t="s">
        <v>232</v>
      </c>
      <c r="E6577" s="2" t="str">
        <f>"9783031585159"</f>
        <v>9783031585159</v>
      </c>
      <c r="F6577" s="2" t="str">
        <f>"9783031585166"</f>
        <v>9783031585166</v>
      </c>
    </row>
    <row r="6578" spans="1:6" s="3" customFormat="1" ht="29.1" customHeight="1" x14ac:dyDescent="0.25">
      <c r="A6578" s="2" t="s">
        <v>13848</v>
      </c>
      <c r="B6578" s="2" t="s">
        <v>13849</v>
      </c>
      <c r="C6578" s="2" t="s">
        <v>5</v>
      </c>
      <c r="D6578" s="2" t="s">
        <v>52</v>
      </c>
      <c r="E6578" s="2" t="str">
        <f>"9783031635359"</f>
        <v>9783031635359</v>
      </c>
      <c r="F6578" s="2" t="str">
        <f>"9783031635366"</f>
        <v>9783031635366</v>
      </c>
    </row>
    <row r="6579" spans="1:6" s="3" customFormat="1" ht="29.1" customHeight="1" x14ac:dyDescent="0.25">
      <c r="A6579" s="2" t="s">
        <v>13850</v>
      </c>
      <c r="B6579" s="2" t="s">
        <v>13851</v>
      </c>
      <c r="C6579" s="2" t="s">
        <v>595</v>
      </c>
      <c r="D6579" s="2" t="s">
        <v>2713</v>
      </c>
      <c r="E6579" s="2" t="str">
        <f>"9783034345057"</f>
        <v>9783034345057</v>
      </c>
      <c r="F6579" s="2" t="str">
        <f>"9783034348331"</f>
        <v>9783034348331</v>
      </c>
    </row>
    <row r="6580" spans="1:6" s="3" customFormat="1" ht="29.1" customHeight="1" x14ac:dyDescent="0.25">
      <c r="A6580" s="2" t="s">
        <v>13852</v>
      </c>
      <c r="B6580" s="2" t="s">
        <v>13853</v>
      </c>
      <c r="C6580" s="2" t="s">
        <v>5050</v>
      </c>
      <c r="D6580" s="2" t="s">
        <v>868</v>
      </c>
      <c r="E6580" s="2"/>
      <c r="F6580" s="2" t="str">
        <f>"9780824894313"</f>
        <v>9780824894313</v>
      </c>
    </row>
    <row r="6581" spans="1:6" s="3" customFormat="1" ht="29.1" customHeight="1" x14ac:dyDescent="0.25">
      <c r="A6581" s="2" t="s">
        <v>13854</v>
      </c>
      <c r="B6581" s="2" t="s">
        <v>13855</v>
      </c>
      <c r="C6581" s="2" t="s">
        <v>5</v>
      </c>
      <c r="D6581" s="2" t="s">
        <v>2237</v>
      </c>
      <c r="E6581" s="2" t="str">
        <f>"9789464634600"</f>
        <v>9789464634600</v>
      </c>
      <c r="F6581" s="2" t="str">
        <f>"9789464634617"</f>
        <v>9789464634617</v>
      </c>
    </row>
    <row r="6582" spans="1:6" s="3" customFormat="1" ht="29.1" customHeight="1" x14ac:dyDescent="0.25">
      <c r="A6582" s="2" t="s">
        <v>13856</v>
      </c>
      <c r="B6582" s="2" t="s">
        <v>13857</v>
      </c>
      <c r="C6582" s="2" t="s">
        <v>4104</v>
      </c>
      <c r="D6582" s="2" t="s">
        <v>512</v>
      </c>
      <c r="E6582" s="2" t="str">
        <f>"9780197267660"</f>
        <v>9780197267660</v>
      </c>
      <c r="F6582" s="2" t="str">
        <f>"9780198922568"</f>
        <v>9780198922568</v>
      </c>
    </row>
    <row r="6583" spans="1:6" s="3" customFormat="1" ht="29.1" customHeight="1" x14ac:dyDescent="0.25">
      <c r="A6583" s="2" t="s">
        <v>13858</v>
      </c>
      <c r="B6583" s="2" t="s">
        <v>13859</v>
      </c>
      <c r="C6583" s="2" t="s">
        <v>248</v>
      </c>
      <c r="D6583" s="2" t="s">
        <v>1155</v>
      </c>
      <c r="E6583" s="2" t="str">
        <f>"9783847430407"</f>
        <v>9783847430407</v>
      </c>
      <c r="F6583" s="2" t="str">
        <f>"9783847419730"</f>
        <v>9783847419730</v>
      </c>
    </row>
    <row r="6584" spans="1:6" s="3" customFormat="1" ht="29.1" customHeight="1" x14ac:dyDescent="0.25">
      <c r="A6584" s="2" t="s">
        <v>13860</v>
      </c>
      <c r="B6584" s="2" t="s">
        <v>13861</v>
      </c>
      <c r="C6584" s="2" t="s">
        <v>248</v>
      </c>
      <c r="D6584" s="2" t="s">
        <v>9</v>
      </c>
      <c r="E6584" s="2" t="str">
        <f>"9783847427094"</f>
        <v>9783847427094</v>
      </c>
      <c r="F6584" s="2" t="str">
        <f>"9783847418795"</f>
        <v>9783847418795</v>
      </c>
    </row>
    <row r="6585" spans="1:6" s="3" customFormat="1" ht="29.1" customHeight="1" x14ac:dyDescent="0.25">
      <c r="A6585" s="2" t="s">
        <v>13862</v>
      </c>
      <c r="B6585" s="2" t="s">
        <v>13863</v>
      </c>
      <c r="C6585" s="2" t="s">
        <v>248</v>
      </c>
      <c r="D6585" s="2" t="s">
        <v>75</v>
      </c>
      <c r="E6585" s="2" t="str">
        <f>"9783966650854"</f>
        <v>9783966650854</v>
      </c>
      <c r="F6585" s="2" t="str">
        <f>"9783966659079"</f>
        <v>9783966659079</v>
      </c>
    </row>
    <row r="6586" spans="1:6" s="3" customFormat="1" ht="29.1" customHeight="1" x14ac:dyDescent="0.25">
      <c r="A6586" s="2" t="s">
        <v>13864</v>
      </c>
      <c r="B6586" s="2" t="s">
        <v>13865</v>
      </c>
      <c r="C6586" s="2" t="s">
        <v>124</v>
      </c>
      <c r="D6586" s="2" t="s">
        <v>183</v>
      </c>
      <c r="E6586" s="2" t="str">
        <f>"9781032650173"</f>
        <v>9781032650173</v>
      </c>
      <c r="F6586" s="2" t="str">
        <f>"9781032650210"</f>
        <v>9781032650210</v>
      </c>
    </row>
    <row r="6587" spans="1:6" s="3" customFormat="1" ht="29.1" customHeight="1" x14ac:dyDescent="0.25">
      <c r="A6587" s="2" t="s">
        <v>13866</v>
      </c>
      <c r="B6587" s="2" t="s">
        <v>13867</v>
      </c>
      <c r="C6587" s="2" t="s">
        <v>124</v>
      </c>
      <c r="D6587" s="2" t="s">
        <v>2208</v>
      </c>
      <c r="E6587" s="2" t="str">
        <f>"9781032574851"</f>
        <v>9781032574851</v>
      </c>
      <c r="F6587" s="2" t="str">
        <f>"9781003439639"</f>
        <v>9781003439639</v>
      </c>
    </row>
    <row r="6588" spans="1:6" s="3" customFormat="1" ht="29.1" customHeight="1" x14ac:dyDescent="0.25">
      <c r="A6588" s="2" t="s">
        <v>13868</v>
      </c>
      <c r="B6588" s="2" t="s">
        <v>13869</v>
      </c>
      <c r="C6588" s="2" t="s">
        <v>5</v>
      </c>
      <c r="D6588" s="2" t="s">
        <v>342</v>
      </c>
      <c r="E6588" s="2" t="str">
        <f>"9789464634464"</f>
        <v>9789464634464</v>
      </c>
      <c r="F6588" s="2" t="str">
        <f>"9789464634471"</f>
        <v>9789464634471</v>
      </c>
    </row>
    <row r="6589" spans="1:6" s="3" customFormat="1" ht="29.1" customHeight="1" x14ac:dyDescent="0.25">
      <c r="A6589" s="2" t="s">
        <v>13870</v>
      </c>
      <c r="B6589" s="2" t="s">
        <v>13871</v>
      </c>
      <c r="C6589" s="2" t="s">
        <v>5</v>
      </c>
      <c r="D6589" s="2" t="s">
        <v>606</v>
      </c>
      <c r="E6589" s="2" t="str">
        <f>"9783031578991"</f>
        <v>9783031578991</v>
      </c>
      <c r="F6589" s="2" t="str">
        <f>"9783031579004"</f>
        <v>9783031579004</v>
      </c>
    </row>
    <row r="6590" spans="1:6" s="3" customFormat="1" ht="29.1" customHeight="1" x14ac:dyDescent="0.25">
      <c r="A6590" s="2" t="s">
        <v>13872</v>
      </c>
      <c r="B6590" s="2" t="s">
        <v>13873</v>
      </c>
      <c r="C6590" s="2" t="s">
        <v>5</v>
      </c>
      <c r="D6590" s="2" t="s">
        <v>11847</v>
      </c>
      <c r="E6590" s="2" t="str">
        <f>"9783031616808"</f>
        <v>9783031616808</v>
      </c>
      <c r="F6590" s="2" t="str">
        <f>"9783031616815"</f>
        <v>9783031616815</v>
      </c>
    </row>
    <row r="6591" spans="1:6" s="3" customFormat="1" ht="29.1" customHeight="1" x14ac:dyDescent="0.25">
      <c r="A6591" s="2" t="s">
        <v>13874</v>
      </c>
      <c r="B6591" s="2" t="s">
        <v>13875</v>
      </c>
      <c r="C6591" s="2" t="s">
        <v>2461</v>
      </c>
      <c r="D6591" s="2" t="s">
        <v>984</v>
      </c>
      <c r="E6591" s="2"/>
      <c r="F6591" s="2" t="str">
        <f>"9789585287952"</f>
        <v>9789585287952</v>
      </c>
    </row>
    <row r="6592" spans="1:6" s="3" customFormat="1" ht="29.1" customHeight="1" x14ac:dyDescent="0.25">
      <c r="A6592" s="2" t="s">
        <v>13876</v>
      </c>
      <c r="B6592" s="2" t="s">
        <v>13877</v>
      </c>
      <c r="C6592" s="2" t="s">
        <v>2461</v>
      </c>
      <c r="D6592" s="2" t="s">
        <v>3656</v>
      </c>
      <c r="E6592" s="2"/>
      <c r="F6592" s="2" t="str">
        <f>"9789585321809"</f>
        <v>9789585321809</v>
      </c>
    </row>
    <row r="6593" spans="1:6" s="3" customFormat="1" ht="29.1" customHeight="1" x14ac:dyDescent="0.25">
      <c r="A6593" s="2" t="s">
        <v>13878</v>
      </c>
      <c r="B6593" s="2" t="s">
        <v>13879</v>
      </c>
      <c r="C6593" s="2" t="s">
        <v>2461</v>
      </c>
      <c r="D6593" s="2" t="s">
        <v>1861</v>
      </c>
      <c r="E6593" s="2"/>
      <c r="F6593" s="2" t="str">
        <f>"9789585287983"</f>
        <v>9789585287983</v>
      </c>
    </row>
    <row r="6594" spans="1:6" s="3" customFormat="1" ht="29.1" customHeight="1" x14ac:dyDescent="0.25">
      <c r="A6594" s="2" t="s">
        <v>13880</v>
      </c>
      <c r="B6594" s="2" t="s">
        <v>13881</v>
      </c>
      <c r="C6594" s="2" t="s">
        <v>2461</v>
      </c>
      <c r="D6594" s="2" t="s">
        <v>10433</v>
      </c>
      <c r="E6594" s="2"/>
      <c r="F6594" s="2" t="str">
        <f>"9789585321830"</f>
        <v>9789585321830</v>
      </c>
    </row>
    <row r="6595" spans="1:6" s="3" customFormat="1" ht="29.1" customHeight="1" x14ac:dyDescent="0.25">
      <c r="A6595" s="2" t="s">
        <v>13882</v>
      </c>
      <c r="B6595" s="2" t="s">
        <v>13884</v>
      </c>
      <c r="C6595" s="2" t="s">
        <v>2461</v>
      </c>
      <c r="D6595" s="2" t="s">
        <v>13883</v>
      </c>
      <c r="E6595" s="2"/>
      <c r="F6595" s="2" t="str">
        <f>"9789585287976"</f>
        <v>9789585287976</v>
      </c>
    </row>
    <row r="6596" spans="1:6" s="3" customFormat="1" ht="29.1" customHeight="1" x14ac:dyDescent="0.25">
      <c r="A6596" s="2" t="s">
        <v>13885</v>
      </c>
      <c r="B6596" s="2" t="s">
        <v>13887</v>
      </c>
      <c r="C6596" s="2" t="s">
        <v>2461</v>
      </c>
      <c r="D6596" s="2" t="s">
        <v>13886</v>
      </c>
      <c r="E6596" s="2"/>
      <c r="F6596" s="2" t="str">
        <f>"9789585321816"</f>
        <v>9789585321816</v>
      </c>
    </row>
    <row r="6597" spans="1:6" s="3" customFormat="1" ht="29.1" customHeight="1" x14ac:dyDescent="0.25">
      <c r="A6597" s="2" t="s">
        <v>13888</v>
      </c>
      <c r="B6597" s="2" t="s">
        <v>13889</v>
      </c>
      <c r="C6597" s="2" t="s">
        <v>2461</v>
      </c>
      <c r="D6597" s="2" t="s">
        <v>951</v>
      </c>
      <c r="E6597" s="2"/>
      <c r="F6597" s="2" t="str">
        <f>"9789585379701"</f>
        <v>9789585379701</v>
      </c>
    </row>
    <row r="6598" spans="1:6" s="3" customFormat="1" ht="29.1" customHeight="1" x14ac:dyDescent="0.25">
      <c r="A6598" s="2" t="s">
        <v>13890</v>
      </c>
      <c r="B6598" s="2" t="s">
        <v>13891</v>
      </c>
      <c r="C6598" s="2" t="s">
        <v>2461</v>
      </c>
      <c r="D6598" s="2" t="s">
        <v>553</v>
      </c>
      <c r="E6598" s="2"/>
      <c r="F6598" s="2" t="str">
        <f>"9789585379718"</f>
        <v>9789585379718</v>
      </c>
    </row>
    <row r="6599" spans="1:6" s="3" customFormat="1" ht="29.1" customHeight="1" x14ac:dyDescent="0.25">
      <c r="A6599" s="2" t="s">
        <v>13892</v>
      </c>
      <c r="B6599" s="2" t="s">
        <v>13893</v>
      </c>
      <c r="C6599" s="2" t="s">
        <v>2461</v>
      </c>
      <c r="D6599" s="2" t="s">
        <v>1717</v>
      </c>
      <c r="E6599" s="2"/>
      <c r="F6599" s="2" t="str">
        <f>"9789585379725"</f>
        <v>9789585379725</v>
      </c>
    </row>
    <row r="6600" spans="1:6" s="3" customFormat="1" ht="29.1" customHeight="1" x14ac:dyDescent="0.25">
      <c r="A6600" s="2" t="s">
        <v>13894</v>
      </c>
      <c r="B6600" s="2" t="s">
        <v>13895</v>
      </c>
      <c r="C6600" s="2" t="s">
        <v>2461</v>
      </c>
      <c r="D6600" s="2" t="s">
        <v>7199</v>
      </c>
      <c r="E6600" s="2"/>
      <c r="F6600" s="2" t="str">
        <f>"9789585379732"</f>
        <v>9789585379732</v>
      </c>
    </row>
    <row r="6601" spans="1:6" s="3" customFormat="1" ht="29.1" customHeight="1" x14ac:dyDescent="0.25">
      <c r="A6601" s="2" t="s">
        <v>13896</v>
      </c>
      <c r="B6601" s="2" t="s">
        <v>13897</v>
      </c>
      <c r="C6601" s="2" t="s">
        <v>2461</v>
      </c>
      <c r="D6601" s="2" t="s">
        <v>2178</v>
      </c>
      <c r="E6601" s="2"/>
      <c r="F6601" s="2" t="str">
        <f>"9786289538267"</f>
        <v>9786289538267</v>
      </c>
    </row>
    <row r="6602" spans="1:6" s="3" customFormat="1" ht="29.1" customHeight="1" x14ac:dyDescent="0.25">
      <c r="A6602" s="2" t="s">
        <v>13898</v>
      </c>
      <c r="B6602" s="2" t="s">
        <v>13900</v>
      </c>
      <c r="C6602" s="2" t="s">
        <v>2461</v>
      </c>
      <c r="D6602" s="2" t="s">
        <v>13899</v>
      </c>
      <c r="E6602" s="2"/>
      <c r="F6602" s="2" t="str">
        <f>"9786289585247"</f>
        <v>9786289585247</v>
      </c>
    </row>
    <row r="6603" spans="1:6" s="3" customFormat="1" ht="29.1" customHeight="1" x14ac:dyDescent="0.25">
      <c r="A6603" s="2" t="s">
        <v>13901</v>
      </c>
      <c r="B6603" s="2" t="s">
        <v>13902</v>
      </c>
      <c r="C6603" s="2" t="s">
        <v>2461</v>
      </c>
      <c r="D6603" s="2" t="s">
        <v>636</v>
      </c>
      <c r="E6603" s="2"/>
      <c r="F6603" s="2" t="str">
        <f>"9786289585292"</f>
        <v>9786289585292</v>
      </c>
    </row>
    <row r="6604" spans="1:6" s="3" customFormat="1" ht="29.1" customHeight="1" x14ac:dyDescent="0.25">
      <c r="A6604" s="2" t="s">
        <v>13903</v>
      </c>
      <c r="B6604" s="2" t="s">
        <v>13904</v>
      </c>
      <c r="C6604" s="2" t="s">
        <v>2461</v>
      </c>
      <c r="D6604" s="2" t="s">
        <v>5480</v>
      </c>
      <c r="E6604" s="2"/>
      <c r="F6604" s="2" t="str">
        <f>"9786289630503"</f>
        <v>9786289630503</v>
      </c>
    </row>
    <row r="6605" spans="1:6" s="3" customFormat="1" ht="29.1" customHeight="1" x14ac:dyDescent="0.25">
      <c r="A6605" s="2" t="s">
        <v>13905</v>
      </c>
      <c r="B6605" s="2" t="s">
        <v>13906</v>
      </c>
      <c r="C6605" s="2" t="s">
        <v>5</v>
      </c>
      <c r="D6605" s="2" t="s">
        <v>454</v>
      </c>
      <c r="E6605" s="2" t="str">
        <f>"9789464634501"</f>
        <v>9789464634501</v>
      </c>
      <c r="F6605" s="2" t="str">
        <f>"9789464634518"</f>
        <v>9789464634518</v>
      </c>
    </row>
    <row r="6606" spans="1:6" s="3" customFormat="1" ht="29.1" customHeight="1" x14ac:dyDescent="0.25">
      <c r="A6606" s="2" t="s">
        <v>13907</v>
      </c>
      <c r="B6606" s="2" t="s">
        <v>13908</v>
      </c>
      <c r="C6606" s="2" t="s">
        <v>5</v>
      </c>
      <c r="D6606" s="2" t="s">
        <v>477</v>
      </c>
      <c r="E6606" s="2" t="str">
        <f>"9789819744916"</f>
        <v>9789819744916</v>
      </c>
      <c r="F6606" s="2" t="str">
        <f>"9789819744923"</f>
        <v>9789819744923</v>
      </c>
    </row>
    <row r="6607" spans="1:6" s="3" customFormat="1" ht="29.1" customHeight="1" x14ac:dyDescent="0.25">
      <c r="A6607" s="2" t="s">
        <v>13909</v>
      </c>
      <c r="B6607" s="2" t="s">
        <v>13910</v>
      </c>
      <c r="C6607" s="2" t="s">
        <v>2133</v>
      </c>
      <c r="D6607" s="2" t="s">
        <v>818</v>
      </c>
      <c r="E6607" s="2" t="str">
        <f>"9781760466534"</f>
        <v>9781760466534</v>
      </c>
      <c r="F6607" s="2" t="str">
        <f>"9781760466541"</f>
        <v>9781760466541</v>
      </c>
    </row>
    <row r="6608" spans="1:6" s="3" customFormat="1" ht="29.1" customHeight="1" x14ac:dyDescent="0.25">
      <c r="A6608" s="2" t="s">
        <v>13911</v>
      </c>
      <c r="B6608" s="2" t="s">
        <v>13912</v>
      </c>
      <c r="C6608" s="2" t="s">
        <v>5</v>
      </c>
      <c r="D6608" s="2" t="s">
        <v>294</v>
      </c>
      <c r="E6608" s="2" t="str">
        <f>"9783031600685"</f>
        <v>9783031600685</v>
      </c>
      <c r="F6608" s="2" t="str">
        <f>"9783031600692"</f>
        <v>9783031600692</v>
      </c>
    </row>
    <row r="6609" spans="1:6" s="3" customFormat="1" ht="29.1" customHeight="1" x14ac:dyDescent="0.25">
      <c r="A6609" s="2" t="s">
        <v>13913</v>
      </c>
      <c r="B6609" s="2" t="s">
        <v>13914</v>
      </c>
      <c r="C6609" s="2" t="s">
        <v>556</v>
      </c>
      <c r="D6609" s="2" t="s">
        <v>4030</v>
      </c>
      <c r="E6609" s="2" t="str">
        <f>"9783837670868"</f>
        <v>9783837670868</v>
      </c>
      <c r="F6609" s="2" t="str">
        <f>"9783839470862"</f>
        <v>9783839470862</v>
      </c>
    </row>
    <row r="6610" spans="1:6" s="3" customFormat="1" ht="29.1" customHeight="1" x14ac:dyDescent="0.25">
      <c r="A6610" s="2" t="s">
        <v>13915</v>
      </c>
      <c r="B6610" s="2" t="s">
        <v>13916</v>
      </c>
      <c r="C6610" s="2" t="s">
        <v>556</v>
      </c>
      <c r="D6610" s="2" t="s">
        <v>490</v>
      </c>
      <c r="E6610" s="2" t="str">
        <f>"9783837662979"</f>
        <v>9783837662979</v>
      </c>
      <c r="F6610" s="2" t="str">
        <f>"9783839462973"</f>
        <v>9783839462973</v>
      </c>
    </row>
    <row r="6611" spans="1:6" s="3" customFormat="1" ht="29.1" customHeight="1" x14ac:dyDescent="0.25">
      <c r="A6611" s="2" t="s">
        <v>13917</v>
      </c>
      <c r="B6611" s="2" t="s">
        <v>13918</v>
      </c>
      <c r="C6611" s="2" t="s">
        <v>556</v>
      </c>
      <c r="D6611" s="2" t="s">
        <v>1046</v>
      </c>
      <c r="E6611" s="2" t="str">
        <f>"9783837674415"</f>
        <v>9783837674415</v>
      </c>
      <c r="F6611" s="2" t="str">
        <f>"9783839474419"</f>
        <v>9783839474419</v>
      </c>
    </row>
    <row r="6612" spans="1:6" s="3" customFormat="1" ht="29.1" customHeight="1" x14ac:dyDescent="0.25">
      <c r="A6612" s="2" t="s">
        <v>13919</v>
      </c>
      <c r="B6612" s="2" t="s">
        <v>13920</v>
      </c>
      <c r="C6612" s="2" t="s">
        <v>556</v>
      </c>
      <c r="D6612" s="2" t="s">
        <v>501</v>
      </c>
      <c r="E6612" s="2" t="str">
        <f>"9783837674217"</f>
        <v>9783837674217</v>
      </c>
      <c r="F6612" s="2" t="str">
        <f>"9783839474211"</f>
        <v>9783839474211</v>
      </c>
    </row>
    <row r="6613" spans="1:6" s="3" customFormat="1" ht="29.1" customHeight="1" x14ac:dyDescent="0.25">
      <c r="A6613" s="2" t="s">
        <v>13921</v>
      </c>
      <c r="B6613" s="2" t="s">
        <v>13922</v>
      </c>
      <c r="C6613" s="2" t="s">
        <v>556</v>
      </c>
      <c r="D6613" s="2" t="s">
        <v>1127</v>
      </c>
      <c r="E6613" s="2" t="str">
        <f>"9783837674125"</f>
        <v>9783837674125</v>
      </c>
      <c r="F6613" s="2" t="str">
        <f>"9783839474129"</f>
        <v>9783839474129</v>
      </c>
    </row>
    <row r="6614" spans="1:6" s="3" customFormat="1" ht="29.1" customHeight="1" x14ac:dyDescent="0.25">
      <c r="A6614" s="2" t="s">
        <v>13923</v>
      </c>
      <c r="B6614" s="2" t="s">
        <v>13924</v>
      </c>
      <c r="C6614" s="2" t="s">
        <v>556</v>
      </c>
      <c r="D6614" s="2" t="s">
        <v>490</v>
      </c>
      <c r="E6614" s="2" t="str">
        <f>"9783837674002"</f>
        <v>9783837674002</v>
      </c>
      <c r="F6614" s="2" t="str">
        <f>"9783839474006"</f>
        <v>9783839474006</v>
      </c>
    </row>
    <row r="6615" spans="1:6" s="3" customFormat="1" ht="29.1" customHeight="1" x14ac:dyDescent="0.25">
      <c r="A6615" s="2" t="s">
        <v>13925</v>
      </c>
      <c r="B6615" s="2" t="s">
        <v>13926</v>
      </c>
      <c r="C6615" s="2" t="s">
        <v>556</v>
      </c>
      <c r="D6615" s="2" t="s">
        <v>674</v>
      </c>
      <c r="E6615" s="2" t="str">
        <f>"9783837673890"</f>
        <v>9783837673890</v>
      </c>
      <c r="F6615" s="2" t="str">
        <f>"9783839473894"</f>
        <v>9783839473894</v>
      </c>
    </row>
    <row r="6616" spans="1:6" s="3" customFormat="1" ht="29.1" customHeight="1" x14ac:dyDescent="0.25">
      <c r="A6616" s="2" t="s">
        <v>13927</v>
      </c>
      <c r="B6616" s="2" t="s">
        <v>13928</v>
      </c>
      <c r="C6616" s="2" t="s">
        <v>556</v>
      </c>
      <c r="D6616" s="2" t="s">
        <v>2851</v>
      </c>
      <c r="E6616" s="2" t="str">
        <f>"9783837673708"</f>
        <v>9783837673708</v>
      </c>
      <c r="F6616" s="2" t="str">
        <f>"9783732873708"</f>
        <v>9783732873708</v>
      </c>
    </row>
    <row r="6617" spans="1:6" s="3" customFormat="1" ht="29.1" customHeight="1" x14ac:dyDescent="0.25">
      <c r="A6617" s="2" t="s">
        <v>13929</v>
      </c>
      <c r="B6617" s="2" t="s">
        <v>13930</v>
      </c>
      <c r="C6617" s="2" t="s">
        <v>556</v>
      </c>
      <c r="D6617" s="2" t="s">
        <v>636</v>
      </c>
      <c r="E6617" s="2" t="str">
        <f>"9783837673418"</f>
        <v>9783837673418</v>
      </c>
      <c r="F6617" s="2" t="str">
        <f>"9783839473412"</f>
        <v>9783839473412</v>
      </c>
    </row>
    <row r="6618" spans="1:6" s="3" customFormat="1" ht="29.1" customHeight="1" x14ac:dyDescent="0.25">
      <c r="A6618" s="2" t="s">
        <v>13931</v>
      </c>
      <c r="B6618" s="2" t="s">
        <v>13932</v>
      </c>
      <c r="C6618" s="2" t="s">
        <v>556</v>
      </c>
      <c r="D6618" s="2" t="s">
        <v>9889</v>
      </c>
      <c r="E6618" s="2" t="str">
        <f>"9783837673388"</f>
        <v>9783837673388</v>
      </c>
      <c r="F6618" s="2" t="str">
        <f>"9783839473382"</f>
        <v>9783839473382</v>
      </c>
    </row>
    <row r="6619" spans="1:6" s="3" customFormat="1" ht="29.1" customHeight="1" x14ac:dyDescent="0.25">
      <c r="A6619" s="2" t="s">
        <v>13933</v>
      </c>
      <c r="B6619" s="2" t="s">
        <v>13934</v>
      </c>
      <c r="C6619" s="2" t="s">
        <v>556</v>
      </c>
      <c r="D6619" s="2" t="s">
        <v>712</v>
      </c>
      <c r="E6619" s="2" t="str">
        <f>"9783837673371"</f>
        <v>9783837673371</v>
      </c>
      <c r="F6619" s="2" t="str">
        <f>"9783839473375"</f>
        <v>9783839473375</v>
      </c>
    </row>
    <row r="6620" spans="1:6" s="3" customFormat="1" ht="29.1" customHeight="1" x14ac:dyDescent="0.25">
      <c r="A6620" s="2" t="s">
        <v>13935</v>
      </c>
      <c r="B6620" s="2" t="s">
        <v>13936</v>
      </c>
      <c r="C6620" s="2" t="s">
        <v>556</v>
      </c>
      <c r="D6620" s="2" t="s">
        <v>490</v>
      </c>
      <c r="E6620" s="2" t="str">
        <f>"9783837673258"</f>
        <v>9783837673258</v>
      </c>
      <c r="F6620" s="2" t="str">
        <f>"9783839473252"</f>
        <v>9783839473252</v>
      </c>
    </row>
    <row r="6621" spans="1:6" s="3" customFormat="1" ht="29.1" customHeight="1" x14ac:dyDescent="0.25">
      <c r="A6621" s="2" t="s">
        <v>13937</v>
      </c>
      <c r="B6621" s="2" t="s">
        <v>13938</v>
      </c>
      <c r="C6621" s="2" t="s">
        <v>556</v>
      </c>
      <c r="D6621" s="2" t="s">
        <v>1198</v>
      </c>
      <c r="E6621" s="2" t="str">
        <f>"9783837673227"</f>
        <v>9783837673227</v>
      </c>
      <c r="F6621" s="2" t="str">
        <f>"9783839473221"</f>
        <v>9783839473221</v>
      </c>
    </row>
    <row r="6622" spans="1:6" s="3" customFormat="1" ht="29.1" customHeight="1" x14ac:dyDescent="0.25">
      <c r="A6622" s="2" t="s">
        <v>13939</v>
      </c>
      <c r="B6622" s="2" t="s">
        <v>13940</v>
      </c>
      <c r="C6622" s="2" t="s">
        <v>556</v>
      </c>
      <c r="D6622" s="2" t="s">
        <v>674</v>
      </c>
      <c r="E6622" s="2" t="str">
        <f>"9783837672749"</f>
        <v>9783837672749</v>
      </c>
      <c r="F6622" s="2" t="str">
        <f>"9783839472743"</f>
        <v>9783839472743</v>
      </c>
    </row>
    <row r="6623" spans="1:6" s="3" customFormat="1" ht="29.1" customHeight="1" x14ac:dyDescent="0.25">
      <c r="A6623" s="2" t="s">
        <v>13941</v>
      </c>
      <c r="B6623" s="2" t="s">
        <v>13942</v>
      </c>
      <c r="C6623" s="2" t="s">
        <v>556</v>
      </c>
      <c r="D6623" s="2" t="s">
        <v>1999</v>
      </c>
      <c r="E6623" s="2" t="str">
        <f>"9783837672534"</f>
        <v>9783837672534</v>
      </c>
      <c r="F6623" s="2" t="str">
        <f>"9783839472538"</f>
        <v>9783839472538</v>
      </c>
    </row>
    <row r="6624" spans="1:6" s="3" customFormat="1" ht="29.1" customHeight="1" x14ac:dyDescent="0.25">
      <c r="A6624" s="2" t="s">
        <v>13943</v>
      </c>
      <c r="B6624" s="2" t="s">
        <v>13944</v>
      </c>
      <c r="C6624" s="2" t="s">
        <v>556</v>
      </c>
      <c r="D6624" s="2" t="s">
        <v>674</v>
      </c>
      <c r="E6624" s="2" t="str">
        <f>"9783837672336"</f>
        <v>9783837672336</v>
      </c>
      <c r="F6624" s="2" t="str">
        <f>"9783839472330"</f>
        <v>9783839472330</v>
      </c>
    </row>
    <row r="6625" spans="1:6" s="3" customFormat="1" ht="29.1" customHeight="1" x14ac:dyDescent="0.25">
      <c r="A6625" s="2" t="s">
        <v>13945</v>
      </c>
      <c r="B6625" s="2" t="s">
        <v>13946</v>
      </c>
      <c r="C6625" s="2" t="s">
        <v>556</v>
      </c>
      <c r="D6625" s="2" t="s">
        <v>636</v>
      </c>
      <c r="E6625" s="2" t="str">
        <f>"9783837671278"</f>
        <v>9783837671278</v>
      </c>
      <c r="F6625" s="2" t="str">
        <f>"9783839471272"</f>
        <v>9783839471272</v>
      </c>
    </row>
    <row r="6626" spans="1:6" s="3" customFormat="1" ht="29.1" customHeight="1" x14ac:dyDescent="0.25">
      <c r="A6626" s="2" t="s">
        <v>13947</v>
      </c>
      <c r="B6626" s="2" t="s">
        <v>13948</v>
      </c>
      <c r="C6626" s="2" t="s">
        <v>556</v>
      </c>
      <c r="D6626" s="2" t="s">
        <v>1112</v>
      </c>
      <c r="E6626" s="2" t="str">
        <f>"9783837670585"</f>
        <v>9783837670585</v>
      </c>
      <c r="F6626" s="2" t="str">
        <f>"9783839470589"</f>
        <v>9783839470589</v>
      </c>
    </row>
    <row r="6627" spans="1:6" s="3" customFormat="1" ht="29.1" customHeight="1" x14ac:dyDescent="0.25">
      <c r="A6627" s="2" t="s">
        <v>13949</v>
      </c>
      <c r="B6627" s="2" t="s">
        <v>13950</v>
      </c>
      <c r="C6627" s="2" t="s">
        <v>556</v>
      </c>
      <c r="D6627" s="2" t="s">
        <v>674</v>
      </c>
      <c r="E6627" s="2" t="str">
        <f>"9783837670110"</f>
        <v>9783837670110</v>
      </c>
      <c r="F6627" s="2" t="str">
        <f>"9783839470114"</f>
        <v>9783839470114</v>
      </c>
    </row>
    <row r="6628" spans="1:6" s="3" customFormat="1" ht="29.1" customHeight="1" x14ac:dyDescent="0.25">
      <c r="A6628" s="2" t="s">
        <v>13951</v>
      </c>
      <c r="B6628" s="2" t="s">
        <v>13952</v>
      </c>
      <c r="C6628" s="2" t="s">
        <v>556</v>
      </c>
      <c r="D6628" s="2" t="s">
        <v>1262</v>
      </c>
      <c r="E6628" s="2" t="str">
        <f>"9783837669657"</f>
        <v>9783837669657</v>
      </c>
      <c r="F6628" s="2" t="str">
        <f>"9783839469651"</f>
        <v>9783839469651</v>
      </c>
    </row>
    <row r="6629" spans="1:6" s="3" customFormat="1" ht="29.1" customHeight="1" x14ac:dyDescent="0.25">
      <c r="A6629" s="2" t="s">
        <v>13953</v>
      </c>
      <c r="B6629" s="2" t="s">
        <v>13954</v>
      </c>
      <c r="C6629" s="2" t="s">
        <v>556</v>
      </c>
      <c r="D6629" s="2" t="s">
        <v>1127</v>
      </c>
      <c r="E6629" s="2" t="str">
        <f>"9783837669367"</f>
        <v>9783837669367</v>
      </c>
      <c r="F6629" s="2" t="str">
        <f>"9783839469361"</f>
        <v>9783839469361</v>
      </c>
    </row>
    <row r="6630" spans="1:6" s="3" customFormat="1" ht="29.1" customHeight="1" x14ac:dyDescent="0.25">
      <c r="A6630" s="2" t="s">
        <v>13955</v>
      </c>
      <c r="B6630" s="2" t="s">
        <v>13956</v>
      </c>
      <c r="C6630" s="2" t="s">
        <v>556</v>
      </c>
      <c r="D6630" s="2" t="s">
        <v>1189</v>
      </c>
      <c r="E6630" s="2" t="str">
        <f>"9783837667349"</f>
        <v>9783837667349</v>
      </c>
      <c r="F6630" s="2" t="str">
        <f>"9783839467343"</f>
        <v>9783839467343</v>
      </c>
    </row>
    <row r="6631" spans="1:6" s="3" customFormat="1" ht="29.1" customHeight="1" x14ac:dyDescent="0.25">
      <c r="A6631" s="2" t="s">
        <v>13957</v>
      </c>
      <c r="B6631" s="2" t="s">
        <v>13958</v>
      </c>
      <c r="C6631" s="2" t="s">
        <v>556</v>
      </c>
      <c r="D6631" s="2" t="s">
        <v>490</v>
      </c>
      <c r="E6631" s="2" t="str">
        <f>"9783837666793"</f>
        <v>9783837666793</v>
      </c>
      <c r="F6631" s="2" t="str">
        <f>"9783839466797"</f>
        <v>9783839466797</v>
      </c>
    </row>
    <row r="6632" spans="1:6" s="3" customFormat="1" ht="29.1" customHeight="1" x14ac:dyDescent="0.25">
      <c r="A6632" s="2" t="s">
        <v>13959</v>
      </c>
      <c r="B6632" s="2" t="s">
        <v>13960</v>
      </c>
      <c r="C6632" s="2" t="s">
        <v>556</v>
      </c>
      <c r="D6632" s="2" t="s">
        <v>5568</v>
      </c>
      <c r="E6632" s="2" t="str">
        <f>"9783837666670"</f>
        <v>9783837666670</v>
      </c>
      <c r="F6632" s="2" t="str">
        <f>"9783839466674"</f>
        <v>9783839466674</v>
      </c>
    </row>
    <row r="6633" spans="1:6" s="3" customFormat="1" ht="29.1" customHeight="1" x14ac:dyDescent="0.25">
      <c r="A6633" s="2" t="s">
        <v>13961</v>
      </c>
      <c r="B6633" s="2" t="s">
        <v>13962</v>
      </c>
      <c r="C6633" s="2" t="s">
        <v>556</v>
      </c>
      <c r="D6633" s="2" t="s">
        <v>78</v>
      </c>
      <c r="E6633" s="2" t="str">
        <f>"9783837664317"</f>
        <v>9783837664317</v>
      </c>
      <c r="F6633" s="2" t="str">
        <f>"9783839464311"</f>
        <v>9783839464311</v>
      </c>
    </row>
    <row r="6634" spans="1:6" s="3" customFormat="1" ht="29.1" customHeight="1" x14ac:dyDescent="0.25">
      <c r="A6634" s="2" t="s">
        <v>13963</v>
      </c>
      <c r="B6634" s="2" t="s">
        <v>13964</v>
      </c>
      <c r="C6634" s="2" t="s">
        <v>556</v>
      </c>
      <c r="D6634" s="2" t="s">
        <v>5806</v>
      </c>
      <c r="E6634" s="2" t="str">
        <f>"9783837660609"</f>
        <v>9783837660609</v>
      </c>
      <c r="F6634" s="2" t="str">
        <f>"9783839460603"</f>
        <v>9783839460603</v>
      </c>
    </row>
    <row r="6635" spans="1:6" s="3" customFormat="1" ht="29.1" customHeight="1" x14ac:dyDescent="0.25">
      <c r="A6635" s="2" t="s">
        <v>13965</v>
      </c>
      <c r="B6635" s="2" t="s">
        <v>13966</v>
      </c>
      <c r="C6635" s="2" t="s">
        <v>5</v>
      </c>
      <c r="D6635" s="2" t="s">
        <v>1927</v>
      </c>
      <c r="E6635" s="2" t="str">
        <f>"9783031597848"</f>
        <v>9783031597848</v>
      </c>
      <c r="F6635" s="2" t="str">
        <f>"9783031597855"</f>
        <v>9783031597855</v>
      </c>
    </row>
    <row r="6636" spans="1:6" s="3" customFormat="1" ht="29.1" customHeight="1" x14ac:dyDescent="0.25">
      <c r="A6636" s="2" t="s">
        <v>13967</v>
      </c>
      <c r="B6636" s="2" t="s">
        <v>13968</v>
      </c>
      <c r="C6636" s="2" t="s">
        <v>5</v>
      </c>
      <c r="D6636" s="2" t="s">
        <v>270</v>
      </c>
      <c r="E6636" s="2" t="str">
        <f>"9782384762460"</f>
        <v>9782384762460</v>
      </c>
      <c r="F6636" s="2" t="str">
        <f>"9782384762477"</f>
        <v>9782384762477</v>
      </c>
    </row>
    <row r="6637" spans="1:6" s="3" customFormat="1" ht="29.1" customHeight="1" x14ac:dyDescent="0.25">
      <c r="A6637" s="2" t="s">
        <v>13969</v>
      </c>
      <c r="B6637" s="2" t="s">
        <v>13970</v>
      </c>
      <c r="C6637" s="2" t="s">
        <v>5</v>
      </c>
      <c r="D6637" s="2" t="s">
        <v>3817</v>
      </c>
      <c r="E6637" s="2" t="str">
        <f>"9789464634549"</f>
        <v>9789464634549</v>
      </c>
      <c r="F6637" s="2" t="str">
        <f>"9789464634556"</f>
        <v>9789464634556</v>
      </c>
    </row>
    <row r="6638" spans="1:6" s="3" customFormat="1" ht="29.1" customHeight="1" x14ac:dyDescent="0.25">
      <c r="A6638" s="2" t="s">
        <v>13971</v>
      </c>
      <c r="B6638" s="2" t="s">
        <v>13972</v>
      </c>
      <c r="C6638" s="2" t="s">
        <v>5</v>
      </c>
      <c r="D6638" s="2" t="s">
        <v>894</v>
      </c>
      <c r="E6638" s="2" t="str">
        <f>"9783658427740"</f>
        <v>9783658427740</v>
      </c>
      <c r="F6638" s="2" t="str">
        <f>"9783658427757"</f>
        <v>9783658427757</v>
      </c>
    </row>
    <row r="6639" spans="1:6" s="3" customFormat="1" ht="29.1" customHeight="1" x14ac:dyDescent="0.25">
      <c r="A6639" s="2" t="s">
        <v>13973</v>
      </c>
      <c r="B6639" s="2" t="s">
        <v>13974</v>
      </c>
      <c r="C6639" s="2" t="s">
        <v>5</v>
      </c>
      <c r="D6639" s="2" t="s">
        <v>4720</v>
      </c>
      <c r="E6639" s="2" t="str">
        <f>"9789464634525"</f>
        <v>9789464634525</v>
      </c>
      <c r="F6639" s="2" t="str">
        <f>"9789464634532"</f>
        <v>9789464634532</v>
      </c>
    </row>
    <row r="6640" spans="1:6" s="3" customFormat="1" ht="29.1" customHeight="1" x14ac:dyDescent="0.25">
      <c r="A6640" s="2" t="s">
        <v>13975</v>
      </c>
      <c r="B6640" s="2" t="s">
        <v>13976</v>
      </c>
      <c r="C6640" s="2" t="s">
        <v>5</v>
      </c>
      <c r="D6640" s="2" t="s">
        <v>5118</v>
      </c>
      <c r="E6640" s="2" t="str">
        <f>"9783031539411"</f>
        <v>9783031539411</v>
      </c>
      <c r="F6640" s="2" t="str">
        <f>"9783031539428"</f>
        <v>9783031539428</v>
      </c>
    </row>
    <row r="6641" spans="1:6" s="3" customFormat="1" ht="29.1" customHeight="1" x14ac:dyDescent="0.25">
      <c r="A6641" s="2" t="s">
        <v>13977</v>
      </c>
      <c r="B6641" s="2" t="s">
        <v>13978</v>
      </c>
      <c r="C6641" s="2" t="s">
        <v>5</v>
      </c>
      <c r="D6641" s="2" t="s">
        <v>302</v>
      </c>
      <c r="E6641" s="2" t="str">
        <f>"9783031604546"</f>
        <v>9783031604546</v>
      </c>
      <c r="F6641" s="2" t="str">
        <f>"9783031604553"</f>
        <v>9783031604553</v>
      </c>
    </row>
    <row r="6642" spans="1:6" s="3" customFormat="1" ht="29.1" customHeight="1" x14ac:dyDescent="0.25">
      <c r="A6642" s="2" t="s">
        <v>13979</v>
      </c>
      <c r="B6642" s="2" t="s">
        <v>13980</v>
      </c>
      <c r="C6642" s="2" t="s">
        <v>5</v>
      </c>
      <c r="D6642" s="2" t="s">
        <v>674</v>
      </c>
      <c r="E6642" s="2" t="str">
        <f>"9783031622601"</f>
        <v>9783031622601</v>
      </c>
      <c r="F6642" s="2" t="str">
        <f>"9783031622618"</f>
        <v>9783031622618</v>
      </c>
    </row>
    <row r="6643" spans="1:6" s="3" customFormat="1" ht="29.1" customHeight="1" x14ac:dyDescent="0.25">
      <c r="A6643" s="2" t="s">
        <v>13981</v>
      </c>
      <c r="B6643" s="2" t="s">
        <v>13982</v>
      </c>
      <c r="C6643" s="2" t="s">
        <v>5</v>
      </c>
      <c r="D6643" s="2" t="s">
        <v>243</v>
      </c>
      <c r="E6643" s="2" t="str">
        <f>"9789819722921"</f>
        <v>9789819722921</v>
      </c>
      <c r="F6643" s="2" t="str">
        <f>"9789819722938"</f>
        <v>9789819722938</v>
      </c>
    </row>
    <row r="6644" spans="1:6" s="3" customFormat="1" ht="29.1" customHeight="1" x14ac:dyDescent="0.25">
      <c r="A6644" s="2" t="s">
        <v>13983</v>
      </c>
      <c r="B6644" s="2" t="s">
        <v>13984</v>
      </c>
      <c r="C6644" s="2" t="s">
        <v>8059</v>
      </c>
      <c r="D6644" s="2" t="s">
        <v>297</v>
      </c>
      <c r="E6644" s="2" t="str">
        <f>"9781776460526"</f>
        <v>9781776460526</v>
      </c>
      <c r="F6644" s="2" t="str">
        <f>"9781776460533"</f>
        <v>9781776460533</v>
      </c>
    </row>
    <row r="6645" spans="1:6" s="3" customFormat="1" ht="29.1" customHeight="1" x14ac:dyDescent="0.25">
      <c r="A6645" s="2" t="s">
        <v>13985</v>
      </c>
      <c r="B6645" s="2" t="s">
        <v>13987</v>
      </c>
      <c r="C6645" s="2" t="s">
        <v>8059</v>
      </c>
      <c r="D6645" s="2" t="s">
        <v>13986</v>
      </c>
      <c r="E6645" s="2" t="str">
        <f>"9781776482801"</f>
        <v>9781776482801</v>
      </c>
      <c r="F6645" s="2" t="str">
        <f>"9781776482818"</f>
        <v>9781776482818</v>
      </c>
    </row>
    <row r="6646" spans="1:6" s="3" customFormat="1" ht="29.1" customHeight="1" x14ac:dyDescent="0.25">
      <c r="A6646" s="2" t="s">
        <v>13988</v>
      </c>
      <c r="B6646" s="2" t="s">
        <v>13989</v>
      </c>
      <c r="C6646" s="2" t="s">
        <v>8059</v>
      </c>
      <c r="D6646" s="2" t="s">
        <v>3852</v>
      </c>
      <c r="E6646" s="2" t="str">
        <f>"9781776489145"</f>
        <v>9781776489145</v>
      </c>
      <c r="F6646" s="2" t="str">
        <f>"9781776489152"</f>
        <v>9781776489152</v>
      </c>
    </row>
    <row r="6647" spans="1:6" s="3" customFormat="1" ht="29.1" customHeight="1" x14ac:dyDescent="0.25">
      <c r="A6647" s="2" t="s">
        <v>13990</v>
      </c>
      <c r="B6647" s="2" t="s">
        <v>13992</v>
      </c>
      <c r="C6647" s="2" t="s">
        <v>8059</v>
      </c>
      <c r="D6647" s="2" t="s">
        <v>13991</v>
      </c>
      <c r="E6647" s="2" t="str">
        <f>"9781776482863"</f>
        <v>9781776482863</v>
      </c>
      <c r="F6647" s="2" t="str">
        <f>"9781776482870"</f>
        <v>9781776482870</v>
      </c>
    </row>
    <row r="6648" spans="1:6" s="3" customFormat="1" ht="29.1" customHeight="1" x14ac:dyDescent="0.25">
      <c r="A6648" s="2" t="s">
        <v>13993</v>
      </c>
      <c r="B6648" s="2" t="s">
        <v>13994</v>
      </c>
      <c r="C6648" s="2" t="s">
        <v>8059</v>
      </c>
      <c r="D6648" s="2" t="s">
        <v>81</v>
      </c>
      <c r="E6648" s="2" t="str">
        <f>"9781776489183"</f>
        <v>9781776489183</v>
      </c>
      <c r="F6648" s="2" t="str">
        <f>"9781776489190"</f>
        <v>9781776489190</v>
      </c>
    </row>
    <row r="6649" spans="1:6" s="3" customFormat="1" ht="29.1" customHeight="1" x14ac:dyDescent="0.25">
      <c r="A6649" s="2" t="s">
        <v>13995</v>
      </c>
      <c r="B6649" s="2" t="s">
        <v>13996</v>
      </c>
      <c r="C6649" s="2" t="s">
        <v>8059</v>
      </c>
      <c r="D6649" s="2" t="s">
        <v>402</v>
      </c>
      <c r="E6649" s="2" t="str">
        <f>"9781776489220"</f>
        <v>9781776489220</v>
      </c>
      <c r="F6649" s="2" t="str">
        <f>"9781776489237"</f>
        <v>9781776489237</v>
      </c>
    </row>
    <row r="6650" spans="1:6" s="3" customFormat="1" ht="29.1" customHeight="1" x14ac:dyDescent="0.25">
      <c r="A6650" s="2" t="s">
        <v>13997</v>
      </c>
      <c r="B6650" s="2" t="s">
        <v>13998</v>
      </c>
      <c r="C6650" s="2" t="s">
        <v>239</v>
      </c>
      <c r="D6650" s="2" t="s">
        <v>69</v>
      </c>
      <c r="E6650" s="2" t="str">
        <f>"9780520397453"</f>
        <v>9780520397453</v>
      </c>
      <c r="F6650" s="2" t="str">
        <f>"9780520397460"</f>
        <v>9780520397460</v>
      </c>
    </row>
    <row r="6651" spans="1:6" s="3" customFormat="1" ht="29.1" customHeight="1" x14ac:dyDescent="0.25">
      <c r="A6651" s="2" t="s">
        <v>13999</v>
      </c>
      <c r="B6651" s="2" t="s">
        <v>14000</v>
      </c>
      <c r="C6651" s="2" t="s">
        <v>5</v>
      </c>
      <c r="D6651" s="2" t="s">
        <v>3304</v>
      </c>
      <c r="E6651" s="2" t="str">
        <f>"9789819742233"</f>
        <v>9789819742233</v>
      </c>
      <c r="F6651" s="2" t="str">
        <f>"9789819742240"</f>
        <v>9789819742240</v>
      </c>
    </row>
    <row r="6652" spans="1:6" s="3" customFormat="1" ht="29.1" customHeight="1" x14ac:dyDescent="0.25">
      <c r="A6652" s="2" t="s">
        <v>14001</v>
      </c>
      <c r="B6652" s="2" t="s">
        <v>14002</v>
      </c>
      <c r="C6652" s="2" t="s">
        <v>5</v>
      </c>
      <c r="D6652" s="2" t="s">
        <v>165</v>
      </c>
      <c r="E6652" s="2" t="str">
        <f>"9783031506659"</f>
        <v>9783031506659</v>
      </c>
      <c r="F6652" s="2" t="str">
        <f>"9783031506666"</f>
        <v>9783031506666</v>
      </c>
    </row>
    <row r="6653" spans="1:6" s="3" customFormat="1" ht="29.1" customHeight="1" x14ac:dyDescent="0.25">
      <c r="A6653" s="2" t="s">
        <v>14003</v>
      </c>
      <c r="B6653" s="2" t="s">
        <v>14004</v>
      </c>
      <c r="C6653" s="2" t="s">
        <v>595</v>
      </c>
      <c r="D6653" s="2" t="s">
        <v>1062</v>
      </c>
      <c r="E6653" s="2" t="str">
        <f>"9782807613393"</f>
        <v>9782807613393</v>
      </c>
      <c r="F6653" s="2" t="str">
        <f>"9782807613409"</f>
        <v>9782807613409</v>
      </c>
    </row>
    <row r="6654" spans="1:6" s="3" customFormat="1" ht="29.1" customHeight="1" x14ac:dyDescent="0.25">
      <c r="A6654" s="2" t="s">
        <v>14005</v>
      </c>
      <c r="B6654" s="2" t="s">
        <v>14006</v>
      </c>
      <c r="C6654" s="2" t="s">
        <v>595</v>
      </c>
      <c r="D6654" s="2" t="s">
        <v>2491</v>
      </c>
      <c r="E6654" s="2" t="str">
        <f>"9783631775356"</f>
        <v>9783631775356</v>
      </c>
      <c r="F6654" s="2" t="str">
        <f>"9783631778661"</f>
        <v>9783631778661</v>
      </c>
    </row>
    <row r="6655" spans="1:6" s="3" customFormat="1" ht="29.1" customHeight="1" x14ac:dyDescent="0.25">
      <c r="A6655" s="2" t="s">
        <v>14007</v>
      </c>
      <c r="B6655" s="2" t="s">
        <v>14008</v>
      </c>
      <c r="C6655" s="2" t="s">
        <v>264</v>
      </c>
      <c r="D6655" s="2" t="s">
        <v>3817</v>
      </c>
      <c r="E6655" s="2" t="str">
        <f>"9781032499413"</f>
        <v>9781032499413</v>
      </c>
      <c r="F6655" s="2" t="str">
        <f>"9781003396154"</f>
        <v>9781003396154</v>
      </c>
    </row>
    <row r="6656" spans="1:6" s="3" customFormat="1" ht="29.1" customHeight="1" x14ac:dyDescent="0.25">
      <c r="A6656" s="2" t="s">
        <v>14009</v>
      </c>
      <c r="B6656" s="2" t="s">
        <v>14010</v>
      </c>
      <c r="C6656" s="2" t="s">
        <v>124</v>
      </c>
      <c r="D6656" s="2" t="s">
        <v>3966</v>
      </c>
      <c r="E6656" s="2" t="str">
        <f>"9781032795850"</f>
        <v>9781032795850</v>
      </c>
      <c r="F6656" s="2" t="str">
        <f>"9781003493518"</f>
        <v>9781003493518</v>
      </c>
    </row>
    <row r="6657" spans="1:6" s="3" customFormat="1" ht="29.1" customHeight="1" x14ac:dyDescent="0.25">
      <c r="A6657" s="2" t="s">
        <v>14011</v>
      </c>
      <c r="B6657" s="2" t="s">
        <v>14012</v>
      </c>
      <c r="C6657" s="2" t="s">
        <v>124</v>
      </c>
      <c r="D6657" s="2" t="s">
        <v>353</v>
      </c>
      <c r="E6657" s="2" t="str">
        <f>"9781032408934"</f>
        <v>9781032408934</v>
      </c>
      <c r="F6657" s="2" t="str">
        <f>"9781003355175"</f>
        <v>9781003355175</v>
      </c>
    </row>
    <row r="6658" spans="1:6" s="3" customFormat="1" ht="29.1" customHeight="1" x14ac:dyDescent="0.25">
      <c r="A6658" s="2" t="s">
        <v>14013</v>
      </c>
      <c r="B6658" s="2" t="s">
        <v>14014</v>
      </c>
      <c r="C6658" s="2" t="s">
        <v>5</v>
      </c>
      <c r="D6658" s="2" t="s">
        <v>984</v>
      </c>
      <c r="E6658" s="2" t="str">
        <f>"9783031620317"</f>
        <v>9783031620317</v>
      </c>
      <c r="F6658" s="2" t="str">
        <f>"9783031620324"</f>
        <v>9783031620324</v>
      </c>
    </row>
    <row r="6659" spans="1:6" s="3" customFormat="1" ht="29.1" customHeight="1" x14ac:dyDescent="0.25">
      <c r="A6659" s="2" t="s">
        <v>14015</v>
      </c>
      <c r="B6659" s="2" t="s">
        <v>14016</v>
      </c>
      <c r="C6659" s="2" t="s">
        <v>5</v>
      </c>
      <c r="D6659" s="2" t="s">
        <v>454</v>
      </c>
      <c r="E6659" s="2" t="str">
        <f>"9783662684085"</f>
        <v>9783662684085</v>
      </c>
      <c r="F6659" s="2" t="str">
        <f>"9783662684092"</f>
        <v>9783662684092</v>
      </c>
    </row>
    <row r="6660" spans="1:6" s="3" customFormat="1" ht="29.1" customHeight="1" x14ac:dyDescent="0.25">
      <c r="A6660" s="2" t="s">
        <v>14017</v>
      </c>
      <c r="B6660" s="2" t="s">
        <v>14018</v>
      </c>
      <c r="C6660" s="2" t="s">
        <v>5</v>
      </c>
      <c r="D6660" s="2" t="s">
        <v>1902</v>
      </c>
      <c r="E6660" s="2" t="str">
        <f>"9783031634970"</f>
        <v>9783031634970</v>
      </c>
      <c r="F6660" s="2" t="str">
        <f>"9783031634987"</f>
        <v>9783031634987</v>
      </c>
    </row>
    <row r="6661" spans="1:6" s="3" customFormat="1" ht="29.1" customHeight="1" x14ac:dyDescent="0.25">
      <c r="A6661" s="2" t="s">
        <v>14019</v>
      </c>
      <c r="B6661" s="2" t="s">
        <v>14020</v>
      </c>
      <c r="C6661" s="2" t="s">
        <v>5</v>
      </c>
      <c r="D6661" s="2" t="s">
        <v>1557</v>
      </c>
      <c r="E6661" s="2" t="str">
        <f>"9783031619342"</f>
        <v>9783031619342</v>
      </c>
      <c r="F6661" s="2" t="str">
        <f>"9783031619359"</f>
        <v>9783031619359</v>
      </c>
    </row>
    <row r="6662" spans="1:6" s="3" customFormat="1" ht="29.1" customHeight="1" x14ac:dyDescent="0.25">
      <c r="A6662" s="2" t="s">
        <v>14021</v>
      </c>
      <c r="B6662" s="2" t="s">
        <v>8232</v>
      </c>
      <c r="C6662" s="2" t="s">
        <v>5</v>
      </c>
      <c r="D6662" s="2" t="s">
        <v>183</v>
      </c>
      <c r="E6662" s="2" t="str">
        <f>"9783031604003"</f>
        <v>9783031604003</v>
      </c>
      <c r="F6662" s="2" t="str">
        <f>"9783031604010"</f>
        <v>9783031604010</v>
      </c>
    </row>
    <row r="6663" spans="1:6" s="3" customFormat="1" ht="29.1" customHeight="1" x14ac:dyDescent="0.25">
      <c r="A6663" s="2" t="s">
        <v>14022</v>
      </c>
      <c r="B6663" s="2" t="s">
        <v>14023</v>
      </c>
      <c r="C6663" s="2" t="s">
        <v>5</v>
      </c>
      <c r="D6663" s="2" t="s">
        <v>3839</v>
      </c>
      <c r="E6663" s="2" t="str">
        <f>"9783031628559"</f>
        <v>9783031628559</v>
      </c>
      <c r="F6663" s="2" t="str">
        <f>"9783031628566"</f>
        <v>9783031628566</v>
      </c>
    </row>
    <row r="6664" spans="1:6" s="3" customFormat="1" ht="29.1" customHeight="1" x14ac:dyDescent="0.25">
      <c r="A6664" s="2" t="s">
        <v>14024</v>
      </c>
      <c r="B6664" s="2" t="s">
        <v>14025</v>
      </c>
      <c r="C6664" s="2" t="s">
        <v>5</v>
      </c>
      <c r="D6664" s="2" t="s">
        <v>189</v>
      </c>
      <c r="E6664" s="2" t="str">
        <f>"9783031587467"</f>
        <v>9783031587467</v>
      </c>
      <c r="F6664" s="2" t="str">
        <f>"9783031587474"</f>
        <v>9783031587474</v>
      </c>
    </row>
    <row r="6665" spans="1:6" s="3" customFormat="1" ht="29.1" customHeight="1" x14ac:dyDescent="0.25">
      <c r="A6665" s="2" t="s">
        <v>14026</v>
      </c>
      <c r="B6665" s="2" t="s">
        <v>14027</v>
      </c>
      <c r="C6665" s="2" t="s">
        <v>5</v>
      </c>
      <c r="D6665" s="2" t="s">
        <v>487</v>
      </c>
      <c r="E6665" s="2" t="str">
        <f>"9783031618734"</f>
        <v>9783031618734</v>
      </c>
      <c r="F6665" s="2" t="str">
        <f>"9783031618741"</f>
        <v>9783031618741</v>
      </c>
    </row>
    <row r="6666" spans="1:6" s="3" customFormat="1" ht="29.1" customHeight="1" x14ac:dyDescent="0.25">
      <c r="A6666" s="2" t="s">
        <v>14028</v>
      </c>
      <c r="B6666" s="2" t="s">
        <v>14029</v>
      </c>
      <c r="C6666" s="2" t="s">
        <v>8047</v>
      </c>
      <c r="D6666" s="2" t="s">
        <v>7167</v>
      </c>
      <c r="E6666" s="2" t="str">
        <f>"9780271095431"</f>
        <v>9780271095431</v>
      </c>
      <c r="F6666" s="2" t="str">
        <f>"9780271096032"</f>
        <v>9780271096032</v>
      </c>
    </row>
    <row r="6667" spans="1:6" s="3" customFormat="1" ht="29.1" customHeight="1" x14ac:dyDescent="0.25">
      <c r="A6667" s="2" t="s">
        <v>14030</v>
      </c>
      <c r="B6667" s="2" t="s">
        <v>14031</v>
      </c>
      <c r="C6667" s="2" t="s">
        <v>8047</v>
      </c>
      <c r="D6667" s="2" t="s">
        <v>7167</v>
      </c>
      <c r="E6667" s="2" t="str">
        <f>"9780271095301"</f>
        <v>9780271095301</v>
      </c>
      <c r="F6667" s="2" t="str">
        <f>"9780271096513"</f>
        <v>9780271096513</v>
      </c>
    </row>
    <row r="6668" spans="1:6" s="3" customFormat="1" ht="29.1" customHeight="1" x14ac:dyDescent="0.25">
      <c r="A6668" s="2" t="s">
        <v>14032</v>
      </c>
      <c r="B6668" s="2" t="s">
        <v>14033</v>
      </c>
      <c r="C6668" s="2" t="s">
        <v>8047</v>
      </c>
      <c r="D6668" s="2" t="s">
        <v>3033</v>
      </c>
      <c r="E6668" s="2" t="str">
        <f>"9780271091587"</f>
        <v>9780271091587</v>
      </c>
      <c r="F6668" s="2" t="str">
        <f>"9780271091860"</f>
        <v>9780271091860</v>
      </c>
    </row>
    <row r="6669" spans="1:6" s="3" customFormat="1" ht="29.1" customHeight="1" x14ac:dyDescent="0.25">
      <c r="A6669" s="2" t="s">
        <v>14034</v>
      </c>
      <c r="B6669" s="2" t="s">
        <v>14035</v>
      </c>
      <c r="C6669" s="2" t="s">
        <v>5</v>
      </c>
      <c r="D6669" s="2" t="s">
        <v>504</v>
      </c>
      <c r="E6669" s="2" t="str">
        <f>"9789464634440"</f>
        <v>9789464634440</v>
      </c>
      <c r="F6669" s="2" t="str">
        <f>"9789464634457"</f>
        <v>9789464634457</v>
      </c>
    </row>
    <row r="6670" spans="1:6" s="3" customFormat="1" ht="29.1" customHeight="1" x14ac:dyDescent="0.25">
      <c r="A6670" s="2" t="s">
        <v>14036</v>
      </c>
      <c r="B6670" s="2" t="s">
        <v>14037</v>
      </c>
      <c r="C6670" s="2" t="s">
        <v>29</v>
      </c>
      <c r="D6670" s="2" t="s">
        <v>509</v>
      </c>
      <c r="E6670" s="2" t="str">
        <f>"9789004707245"</f>
        <v>9789004707245</v>
      </c>
      <c r="F6670" s="2" t="str">
        <f>"9789004707252"</f>
        <v>9789004707252</v>
      </c>
    </row>
    <row r="6671" spans="1:6" s="3" customFormat="1" ht="29.1" customHeight="1" x14ac:dyDescent="0.25">
      <c r="A6671" s="2" t="s">
        <v>14038</v>
      </c>
      <c r="B6671" s="2" t="s">
        <v>14039</v>
      </c>
      <c r="C6671" s="2" t="s">
        <v>29</v>
      </c>
      <c r="D6671" s="2" t="s">
        <v>215</v>
      </c>
      <c r="E6671" s="2" t="str">
        <f>"9783770568123"</f>
        <v>9783770568123</v>
      </c>
      <c r="F6671" s="2" t="str">
        <f>"9783846768129"</f>
        <v>9783846768129</v>
      </c>
    </row>
    <row r="6672" spans="1:6" s="3" customFormat="1" ht="29.1" customHeight="1" x14ac:dyDescent="0.25">
      <c r="A6672" s="2" t="s">
        <v>14040</v>
      </c>
      <c r="B6672" s="2"/>
      <c r="C6672" s="2" t="s">
        <v>62</v>
      </c>
      <c r="D6672" s="2" t="s">
        <v>431</v>
      </c>
      <c r="E6672" s="2" t="str">
        <f>"9783428192205"</f>
        <v>9783428192205</v>
      </c>
      <c r="F6672" s="2" t="str">
        <f>"9783428592203"</f>
        <v>9783428592203</v>
      </c>
    </row>
    <row r="6673" spans="1:6" s="3" customFormat="1" ht="29.1" customHeight="1" x14ac:dyDescent="0.25">
      <c r="A6673" s="2" t="s">
        <v>14041</v>
      </c>
      <c r="B6673" s="2" t="s">
        <v>14042</v>
      </c>
      <c r="C6673" s="2" t="s">
        <v>746</v>
      </c>
      <c r="D6673" s="2" t="s">
        <v>107</v>
      </c>
      <c r="E6673" s="2" t="str">
        <f>"9781803277592"</f>
        <v>9781803277592</v>
      </c>
      <c r="F6673" s="2" t="str">
        <f>"9781803277608"</f>
        <v>9781803277608</v>
      </c>
    </row>
    <row r="6674" spans="1:6" s="3" customFormat="1" ht="29.1" customHeight="1" x14ac:dyDescent="0.25">
      <c r="A6674" s="2" t="s">
        <v>14043</v>
      </c>
      <c r="B6674" s="2" t="s">
        <v>14044</v>
      </c>
      <c r="C6674" s="2" t="s">
        <v>8040</v>
      </c>
      <c r="D6674" s="2" t="s">
        <v>1895</v>
      </c>
      <c r="E6674" s="2" t="str">
        <f>"9781800418349"</f>
        <v>9781800418349</v>
      </c>
      <c r="F6674" s="2" t="str">
        <f>"9781800418370"</f>
        <v>9781800418370</v>
      </c>
    </row>
    <row r="6675" spans="1:6" s="3" customFormat="1" ht="29.1" customHeight="1" x14ac:dyDescent="0.25">
      <c r="A6675" s="2" t="s">
        <v>14045</v>
      </c>
      <c r="B6675" s="2" t="s">
        <v>14046</v>
      </c>
      <c r="C6675" s="2" t="s">
        <v>316</v>
      </c>
      <c r="D6675" s="2" t="s">
        <v>2237</v>
      </c>
      <c r="E6675" s="2" t="str">
        <f>"9783036406053"</f>
        <v>9783036406053</v>
      </c>
      <c r="F6675" s="2" t="str">
        <f>"9783036416052"</f>
        <v>9783036416052</v>
      </c>
    </row>
    <row r="6676" spans="1:6" s="3" customFormat="1" ht="29.1" customHeight="1" x14ac:dyDescent="0.25">
      <c r="A6676" s="2" t="s">
        <v>14047</v>
      </c>
      <c r="B6676" s="2" t="s">
        <v>14048</v>
      </c>
      <c r="C6676" s="2" t="s">
        <v>316</v>
      </c>
      <c r="D6676" s="2" t="s">
        <v>2697</v>
      </c>
      <c r="E6676" s="2" t="str">
        <f>"9783036406060"</f>
        <v>9783036406060</v>
      </c>
      <c r="F6676" s="2" t="str">
        <f>"9783036416069"</f>
        <v>9783036416069</v>
      </c>
    </row>
    <row r="6677" spans="1:6" s="3" customFormat="1" ht="29.1" customHeight="1" x14ac:dyDescent="0.25">
      <c r="A6677" s="2" t="s">
        <v>14049</v>
      </c>
      <c r="B6677" s="2" t="s">
        <v>14050</v>
      </c>
      <c r="C6677" s="2" t="s">
        <v>316</v>
      </c>
      <c r="D6677" s="2" t="s">
        <v>8338</v>
      </c>
      <c r="E6677" s="2" t="str">
        <f>"9783036405124"</f>
        <v>9783036405124</v>
      </c>
      <c r="F6677" s="2" t="str">
        <f>"9783036415123"</f>
        <v>9783036415123</v>
      </c>
    </row>
    <row r="6678" spans="1:6" s="3" customFormat="1" ht="29.1" customHeight="1" x14ac:dyDescent="0.25">
      <c r="A6678" s="2" t="s">
        <v>14051</v>
      </c>
      <c r="B6678" s="2" t="s">
        <v>14052</v>
      </c>
      <c r="C6678" s="2" t="s">
        <v>2133</v>
      </c>
      <c r="D6678" s="2" t="s">
        <v>13300</v>
      </c>
      <c r="E6678" s="2" t="str">
        <f>"9781760466459"</f>
        <v>9781760466459</v>
      </c>
      <c r="F6678" s="2" t="str">
        <f>"9781760466466"</f>
        <v>9781760466466</v>
      </c>
    </row>
    <row r="6679" spans="1:6" s="3" customFormat="1" ht="29.1" customHeight="1" x14ac:dyDescent="0.25">
      <c r="A6679" s="2" t="s">
        <v>14053</v>
      </c>
      <c r="B6679" s="2" t="s">
        <v>14054</v>
      </c>
      <c r="C6679" s="2" t="s">
        <v>2188</v>
      </c>
      <c r="D6679" s="2" t="s">
        <v>81</v>
      </c>
      <c r="E6679" s="2" t="str">
        <f>"9788323242956"</f>
        <v>9788323242956</v>
      </c>
      <c r="F6679" s="2" t="str">
        <f>"9788323242963"</f>
        <v>9788323242963</v>
      </c>
    </row>
    <row r="6680" spans="1:6" s="3" customFormat="1" ht="29.1" customHeight="1" x14ac:dyDescent="0.25">
      <c r="A6680" s="2" t="s">
        <v>14055</v>
      </c>
      <c r="B6680" s="2" t="s">
        <v>14057</v>
      </c>
      <c r="C6680" s="2" t="s">
        <v>2188</v>
      </c>
      <c r="D6680" s="2" t="s">
        <v>14056</v>
      </c>
      <c r="E6680" s="2" t="str">
        <f>"9788323238614"</f>
        <v>9788323238614</v>
      </c>
      <c r="F6680" s="2" t="str">
        <f>"9788323238621"</f>
        <v>9788323238621</v>
      </c>
    </row>
    <row r="6681" spans="1:6" s="3" customFormat="1" ht="29.1" customHeight="1" x14ac:dyDescent="0.25">
      <c r="A6681" s="2" t="s">
        <v>14058</v>
      </c>
      <c r="B6681" s="2" t="s">
        <v>14057</v>
      </c>
      <c r="C6681" s="2" t="s">
        <v>2188</v>
      </c>
      <c r="D6681" s="2" t="s">
        <v>14056</v>
      </c>
      <c r="E6681" s="2" t="str">
        <f>"9788323238591"</f>
        <v>9788323238591</v>
      </c>
      <c r="F6681" s="2" t="str">
        <f>"9788323238607"</f>
        <v>9788323238607</v>
      </c>
    </row>
    <row r="6682" spans="1:6" s="3" customFormat="1" ht="29.1" customHeight="1" x14ac:dyDescent="0.25">
      <c r="A6682" s="2" t="s">
        <v>14059</v>
      </c>
      <c r="B6682" s="2"/>
      <c r="C6682" s="2" t="s">
        <v>59</v>
      </c>
      <c r="D6682" s="2" t="s">
        <v>9575</v>
      </c>
      <c r="E6682" s="2"/>
      <c r="F6682" s="2" t="str">
        <f>"9782759239559"</f>
        <v>9782759239559</v>
      </c>
    </row>
    <row r="6683" spans="1:6" s="3" customFormat="1" ht="29.1" customHeight="1" x14ac:dyDescent="0.25">
      <c r="A6683" s="2" t="s">
        <v>14060</v>
      </c>
      <c r="B6683" s="2" t="s">
        <v>14061</v>
      </c>
      <c r="C6683" s="2" t="s">
        <v>36</v>
      </c>
      <c r="D6683" s="2" t="s">
        <v>6559</v>
      </c>
      <c r="E6683" s="2" t="str">
        <f>"9781529236743"</f>
        <v>9781529236743</v>
      </c>
      <c r="F6683" s="2" t="str">
        <f>"9781529236750"</f>
        <v>9781529236750</v>
      </c>
    </row>
    <row r="6684" spans="1:6" s="3" customFormat="1" ht="29.1" customHeight="1" x14ac:dyDescent="0.25">
      <c r="A6684" s="2" t="s">
        <v>14062</v>
      </c>
      <c r="B6684" s="2" t="s">
        <v>14063</v>
      </c>
      <c r="C6684" s="2" t="s">
        <v>950</v>
      </c>
      <c r="D6684" s="2" t="s">
        <v>951</v>
      </c>
      <c r="E6684" s="2"/>
      <c r="F6684" s="2" t="str">
        <f>"9788411709323"</f>
        <v>9788411709323</v>
      </c>
    </row>
    <row r="6685" spans="1:6" s="3" customFormat="1" ht="29.1" customHeight="1" x14ac:dyDescent="0.25">
      <c r="A6685" s="2" t="s">
        <v>14064</v>
      </c>
      <c r="B6685" s="2" t="s">
        <v>14065</v>
      </c>
      <c r="C6685" s="2" t="s">
        <v>950</v>
      </c>
      <c r="D6685" s="2" t="s">
        <v>284</v>
      </c>
      <c r="E6685" s="2"/>
      <c r="F6685" s="2" t="str">
        <f>"9788411709347"</f>
        <v>9788411709347</v>
      </c>
    </row>
    <row r="6686" spans="1:6" s="3" customFormat="1" ht="29.1" customHeight="1" x14ac:dyDescent="0.25">
      <c r="A6686" s="2" t="s">
        <v>14066</v>
      </c>
      <c r="B6686" s="2" t="s">
        <v>14067</v>
      </c>
      <c r="C6686" s="2" t="s">
        <v>950</v>
      </c>
      <c r="D6686" s="2" t="s">
        <v>501</v>
      </c>
      <c r="E6686" s="2"/>
      <c r="F6686" s="2" t="str">
        <f>"9788411709330"</f>
        <v>9788411709330</v>
      </c>
    </row>
    <row r="6687" spans="1:6" s="3" customFormat="1" ht="29.1" customHeight="1" x14ac:dyDescent="0.25">
      <c r="A6687" s="2" t="s">
        <v>14068</v>
      </c>
      <c r="B6687" s="2" t="s">
        <v>14069</v>
      </c>
      <c r="C6687" s="2" t="s">
        <v>950</v>
      </c>
      <c r="D6687" s="2" t="s">
        <v>2599</v>
      </c>
      <c r="E6687" s="2"/>
      <c r="F6687" s="2" t="str">
        <f>"9788411709316"</f>
        <v>9788411709316</v>
      </c>
    </row>
    <row r="6688" spans="1:6" s="3" customFormat="1" ht="29.1" customHeight="1" x14ac:dyDescent="0.25">
      <c r="A6688" s="2" t="s">
        <v>14070</v>
      </c>
      <c r="B6688" s="2" t="s">
        <v>14071</v>
      </c>
      <c r="C6688" s="2" t="s">
        <v>950</v>
      </c>
      <c r="D6688" s="2" t="s">
        <v>951</v>
      </c>
      <c r="E6688" s="2"/>
      <c r="F6688" s="2" t="str">
        <f>"9788411709309"</f>
        <v>9788411709309</v>
      </c>
    </row>
    <row r="6689" spans="1:6" s="3" customFormat="1" ht="29.1" customHeight="1" x14ac:dyDescent="0.25">
      <c r="A6689" s="2" t="s">
        <v>14072</v>
      </c>
      <c r="B6689" s="2" t="s">
        <v>14073</v>
      </c>
      <c r="C6689" s="2" t="s">
        <v>950</v>
      </c>
      <c r="D6689" s="2" t="s">
        <v>978</v>
      </c>
      <c r="E6689" s="2"/>
      <c r="F6689" s="2" t="str">
        <f>"9788411709279"</f>
        <v>9788411709279</v>
      </c>
    </row>
    <row r="6690" spans="1:6" s="3" customFormat="1" ht="29.1" customHeight="1" x14ac:dyDescent="0.25">
      <c r="A6690" s="2" t="s">
        <v>14074</v>
      </c>
      <c r="B6690" s="2" t="s">
        <v>14075</v>
      </c>
      <c r="C6690" s="2" t="s">
        <v>950</v>
      </c>
      <c r="D6690" s="2" t="s">
        <v>550</v>
      </c>
      <c r="E6690" s="2"/>
      <c r="F6690" s="2" t="str">
        <f>"9788411709262"</f>
        <v>9788411709262</v>
      </c>
    </row>
    <row r="6691" spans="1:6" s="3" customFormat="1" ht="29.1" customHeight="1" x14ac:dyDescent="0.25">
      <c r="A6691" s="2" t="s">
        <v>14076</v>
      </c>
      <c r="B6691" s="2" t="s">
        <v>14077</v>
      </c>
      <c r="C6691" s="2" t="s">
        <v>950</v>
      </c>
      <c r="D6691" s="2" t="s">
        <v>2776</v>
      </c>
      <c r="E6691" s="2"/>
      <c r="F6691" s="2" t="str">
        <f>"9788411709255"</f>
        <v>9788411709255</v>
      </c>
    </row>
    <row r="6692" spans="1:6" s="3" customFormat="1" ht="29.1" customHeight="1" x14ac:dyDescent="0.25">
      <c r="A6692" s="2" t="s">
        <v>14078</v>
      </c>
      <c r="B6692" s="2" t="s">
        <v>9098</v>
      </c>
      <c r="C6692" s="2" t="s">
        <v>950</v>
      </c>
      <c r="D6692" s="2" t="s">
        <v>951</v>
      </c>
      <c r="E6692" s="2"/>
      <c r="F6692" s="2" t="str">
        <f>"9788411709248"</f>
        <v>9788411709248</v>
      </c>
    </row>
    <row r="6693" spans="1:6" s="3" customFormat="1" ht="29.1" customHeight="1" x14ac:dyDescent="0.25">
      <c r="A6693" s="2" t="s">
        <v>14079</v>
      </c>
      <c r="B6693" s="2" t="s">
        <v>14080</v>
      </c>
      <c r="C6693" s="2" t="s">
        <v>950</v>
      </c>
      <c r="D6693" s="2" t="s">
        <v>1253</v>
      </c>
      <c r="E6693" s="2"/>
      <c r="F6693" s="2" t="str">
        <f>"9788411709231"</f>
        <v>9788411709231</v>
      </c>
    </row>
    <row r="6694" spans="1:6" s="3" customFormat="1" ht="29.1" customHeight="1" x14ac:dyDescent="0.25">
      <c r="A6694" s="2" t="s">
        <v>14081</v>
      </c>
      <c r="B6694" s="2" t="s">
        <v>14082</v>
      </c>
      <c r="C6694" s="2" t="s">
        <v>950</v>
      </c>
      <c r="D6694" s="2" t="s">
        <v>52</v>
      </c>
      <c r="E6694" s="2"/>
      <c r="F6694" s="2" t="str">
        <f>"9788411709224"</f>
        <v>9788411709224</v>
      </c>
    </row>
    <row r="6695" spans="1:6" s="3" customFormat="1" ht="29.1" customHeight="1" x14ac:dyDescent="0.25">
      <c r="A6695" s="2" t="s">
        <v>14083</v>
      </c>
      <c r="B6695" s="2" t="s">
        <v>14084</v>
      </c>
      <c r="C6695" s="2" t="s">
        <v>950</v>
      </c>
      <c r="D6695" s="2" t="s">
        <v>52</v>
      </c>
      <c r="E6695" s="2"/>
      <c r="F6695" s="2" t="str">
        <f>"9788411709200"</f>
        <v>9788411709200</v>
      </c>
    </row>
    <row r="6696" spans="1:6" s="3" customFormat="1" ht="29.1" customHeight="1" x14ac:dyDescent="0.25">
      <c r="A6696" s="2" t="s">
        <v>14085</v>
      </c>
      <c r="B6696" s="2" t="s">
        <v>14086</v>
      </c>
      <c r="C6696" s="2" t="s">
        <v>950</v>
      </c>
      <c r="D6696" s="2" t="s">
        <v>2433</v>
      </c>
      <c r="E6696" s="2"/>
      <c r="F6696" s="2" t="str">
        <f>"9788411708012"</f>
        <v>9788411708012</v>
      </c>
    </row>
    <row r="6697" spans="1:6" s="3" customFormat="1" ht="29.1" customHeight="1" x14ac:dyDescent="0.25">
      <c r="A6697" s="2" t="s">
        <v>14087</v>
      </c>
      <c r="B6697" s="2" t="s">
        <v>14088</v>
      </c>
      <c r="C6697" s="2" t="s">
        <v>950</v>
      </c>
      <c r="D6697" s="2" t="s">
        <v>509</v>
      </c>
      <c r="E6697" s="2"/>
      <c r="F6697" s="2" t="str">
        <f>"9788411707619"</f>
        <v>9788411707619</v>
      </c>
    </row>
    <row r="6698" spans="1:6" s="3" customFormat="1" ht="29.1" customHeight="1" x14ac:dyDescent="0.25">
      <c r="A6698" s="2" t="s">
        <v>14089</v>
      </c>
      <c r="B6698" s="2" t="s">
        <v>14090</v>
      </c>
      <c r="C6698" s="2" t="s">
        <v>950</v>
      </c>
      <c r="D6698" s="2" t="s">
        <v>1177</v>
      </c>
      <c r="E6698" s="2"/>
      <c r="F6698" s="2" t="str">
        <f>"9788411707602"</f>
        <v>9788411707602</v>
      </c>
    </row>
    <row r="6699" spans="1:6" s="3" customFormat="1" ht="29.1" customHeight="1" x14ac:dyDescent="0.25">
      <c r="A6699" s="2" t="s">
        <v>14091</v>
      </c>
      <c r="B6699" s="2" t="s">
        <v>14092</v>
      </c>
      <c r="C6699" s="2" t="s">
        <v>950</v>
      </c>
      <c r="D6699" s="2" t="s">
        <v>951</v>
      </c>
      <c r="E6699" s="2"/>
      <c r="F6699" s="2" t="str">
        <f>"9788411707077"</f>
        <v>9788411707077</v>
      </c>
    </row>
    <row r="6700" spans="1:6" s="3" customFormat="1" ht="29.1" customHeight="1" x14ac:dyDescent="0.25">
      <c r="A6700" s="2" t="s">
        <v>14093</v>
      </c>
      <c r="B6700" s="2" t="s">
        <v>14094</v>
      </c>
      <c r="C6700" s="2" t="s">
        <v>950</v>
      </c>
      <c r="D6700" s="2" t="s">
        <v>951</v>
      </c>
      <c r="E6700" s="2"/>
      <c r="F6700" s="2" t="str">
        <f>"9788411707060"</f>
        <v>9788411707060</v>
      </c>
    </row>
    <row r="6701" spans="1:6" s="3" customFormat="1" ht="29.1" customHeight="1" x14ac:dyDescent="0.25">
      <c r="A6701" s="2" t="s">
        <v>14095</v>
      </c>
      <c r="B6701" s="2" t="s">
        <v>14096</v>
      </c>
      <c r="C6701" s="2" t="s">
        <v>950</v>
      </c>
      <c r="D6701" s="2" t="s">
        <v>484</v>
      </c>
      <c r="E6701" s="2"/>
      <c r="F6701" s="2" t="str">
        <f>"9788411705875"</f>
        <v>9788411705875</v>
      </c>
    </row>
    <row r="6702" spans="1:6" s="3" customFormat="1" ht="29.1" customHeight="1" x14ac:dyDescent="0.25">
      <c r="A6702" s="2" t="s">
        <v>14097</v>
      </c>
      <c r="B6702" s="2" t="s">
        <v>14098</v>
      </c>
      <c r="C6702" s="2" t="s">
        <v>950</v>
      </c>
      <c r="D6702" s="2" t="s">
        <v>75</v>
      </c>
      <c r="E6702" s="2"/>
      <c r="F6702" s="2" t="str">
        <f>"9788411705868"</f>
        <v>9788411705868</v>
      </c>
    </row>
    <row r="6703" spans="1:6" s="3" customFormat="1" ht="29.1" customHeight="1" x14ac:dyDescent="0.25">
      <c r="A6703" s="2" t="s">
        <v>14099</v>
      </c>
      <c r="B6703" s="2" t="s">
        <v>14096</v>
      </c>
      <c r="C6703" s="2" t="s">
        <v>950</v>
      </c>
      <c r="D6703" s="2" t="s">
        <v>3253</v>
      </c>
      <c r="E6703" s="2"/>
      <c r="F6703" s="2" t="str">
        <f>"9788411705851"</f>
        <v>9788411705851</v>
      </c>
    </row>
    <row r="6704" spans="1:6" s="3" customFormat="1" ht="29.1" customHeight="1" x14ac:dyDescent="0.25">
      <c r="A6704" s="2" t="s">
        <v>14100</v>
      </c>
      <c r="B6704" s="2" t="s">
        <v>14101</v>
      </c>
      <c r="C6704" s="2" t="s">
        <v>950</v>
      </c>
      <c r="D6704" s="2" t="s">
        <v>490</v>
      </c>
      <c r="E6704" s="2"/>
      <c r="F6704" s="2" t="str">
        <f>"9788411705844"</f>
        <v>9788411705844</v>
      </c>
    </row>
    <row r="6705" spans="1:6" s="3" customFormat="1" ht="29.1" customHeight="1" x14ac:dyDescent="0.25">
      <c r="A6705" s="2" t="s">
        <v>14102</v>
      </c>
      <c r="B6705" s="2" t="s">
        <v>14103</v>
      </c>
      <c r="C6705" s="2" t="s">
        <v>950</v>
      </c>
      <c r="D6705" s="2" t="s">
        <v>490</v>
      </c>
      <c r="E6705" s="2"/>
      <c r="F6705" s="2" t="str">
        <f>"9788411705837"</f>
        <v>9788411705837</v>
      </c>
    </row>
    <row r="6706" spans="1:6" s="3" customFormat="1" ht="29.1" customHeight="1" x14ac:dyDescent="0.25">
      <c r="A6706" s="2" t="s">
        <v>14104</v>
      </c>
      <c r="B6706" s="2" t="s">
        <v>14105</v>
      </c>
      <c r="C6706" s="2" t="s">
        <v>950</v>
      </c>
      <c r="D6706" s="2" t="s">
        <v>110</v>
      </c>
      <c r="E6706" s="2"/>
      <c r="F6706" s="2" t="str">
        <f>"9788411705820"</f>
        <v>9788411705820</v>
      </c>
    </row>
    <row r="6707" spans="1:6" s="3" customFormat="1" ht="29.1" customHeight="1" x14ac:dyDescent="0.25">
      <c r="A6707" s="2" t="s">
        <v>14106</v>
      </c>
      <c r="B6707" s="2" t="s">
        <v>14107</v>
      </c>
      <c r="C6707" s="2" t="s">
        <v>950</v>
      </c>
      <c r="D6707" s="2" t="s">
        <v>1010</v>
      </c>
      <c r="E6707" s="2"/>
      <c r="F6707" s="2" t="str">
        <f>"9788411705813"</f>
        <v>9788411705813</v>
      </c>
    </row>
    <row r="6708" spans="1:6" s="3" customFormat="1" ht="29.1" customHeight="1" x14ac:dyDescent="0.25">
      <c r="A6708" s="2" t="s">
        <v>14108</v>
      </c>
      <c r="B6708" s="2" t="s">
        <v>14073</v>
      </c>
      <c r="C6708" s="2" t="s">
        <v>950</v>
      </c>
      <c r="D6708" s="2" t="s">
        <v>3253</v>
      </c>
      <c r="E6708" s="2"/>
      <c r="F6708" s="2" t="str">
        <f>"9788411703031"</f>
        <v>9788411703031</v>
      </c>
    </row>
    <row r="6709" spans="1:6" s="3" customFormat="1" ht="29.1" customHeight="1" x14ac:dyDescent="0.25">
      <c r="A6709" s="2" t="s">
        <v>14109</v>
      </c>
      <c r="B6709" s="2" t="s">
        <v>14110</v>
      </c>
      <c r="C6709" s="2" t="s">
        <v>950</v>
      </c>
      <c r="D6709" s="2" t="s">
        <v>4908</v>
      </c>
      <c r="E6709" s="2"/>
      <c r="F6709" s="2" t="str">
        <f>"9788411229012"</f>
        <v>9788411229012</v>
      </c>
    </row>
    <row r="6710" spans="1:6" s="3" customFormat="1" ht="29.1" customHeight="1" x14ac:dyDescent="0.25">
      <c r="A6710" s="2" t="s">
        <v>14111</v>
      </c>
      <c r="B6710" s="2" t="s">
        <v>14112</v>
      </c>
      <c r="C6710" s="2" t="s">
        <v>950</v>
      </c>
      <c r="D6710" s="2" t="s">
        <v>490</v>
      </c>
      <c r="E6710" s="2"/>
      <c r="F6710" s="2" t="str">
        <f>"9788411227254"</f>
        <v>9788411227254</v>
      </c>
    </row>
    <row r="6711" spans="1:6" s="3" customFormat="1" ht="29.1" customHeight="1" x14ac:dyDescent="0.25">
      <c r="A6711" s="2" t="s">
        <v>14113</v>
      </c>
      <c r="B6711" s="2" t="s">
        <v>14114</v>
      </c>
      <c r="C6711" s="2" t="s">
        <v>950</v>
      </c>
      <c r="D6711" s="2" t="s">
        <v>984</v>
      </c>
      <c r="E6711" s="2"/>
      <c r="F6711" s="2" t="str">
        <f>"9788410704596"</f>
        <v>9788410704596</v>
      </c>
    </row>
    <row r="6712" spans="1:6" s="3" customFormat="1" ht="29.1" customHeight="1" x14ac:dyDescent="0.25">
      <c r="A6712" s="2" t="s">
        <v>14115</v>
      </c>
      <c r="B6712" s="2" t="s">
        <v>14116</v>
      </c>
      <c r="C6712" s="2" t="s">
        <v>950</v>
      </c>
      <c r="D6712" s="2" t="s">
        <v>52</v>
      </c>
      <c r="E6712" s="2"/>
      <c r="F6712" s="2" t="str">
        <f>"9788410704381"</f>
        <v>9788410704381</v>
      </c>
    </row>
    <row r="6713" spans="1:6" s="3" customFormat="1" ht="29.1" customHeight="1" x14ac:dyDescent="0.25">
      <c r="A6713" s="2" t="s">
        <v>14117</v>
      </c>
      <c r="B6713" s="2" t="s">
        <v>14119</v>
      </c>
      <c r="C6713" s="2" t="s">
        <v>950</v>
      </c>
      <c r="D6713" s="2" t="s">
        <v>14118</v>
      </c>
      <c r="E6713" s="2"/>
      <c r="F6713" s="2" t="str">
        <f>"9788410704138"</f>
        <v>9788410704138</v>
      </c>
    </row>
    <row r="6714" spans="1:6" s="3" customFormat="1" ht="29.1" customHeight="1" x14ac:dyDescent="0.25">
      <c r="A6714" s="2" t="s">
        <v>14120</v>
      </c>
      <c r="B6714" s="2" t="s">
        <v>14121</v>
      </c>
      <c r="C6714" s="2" t="s">
        <v>950</v>
      </c>
      <c r="D6714" s="2" t="s">
        <v>836</v>
      </c>
      <c r="E6714" s="2"/>
      <c r="F6714" s="2" t="str">
        <f>"9788410704077"</f>
        <v>9788410704077</v>
      </c>
    </row>
    <row r="6715" spans="1:6" s="3" customFormat="1" ht="29.1" customHeight="1" x14ac:dyDescent="0.25">
      <c r="A6715" s="2" t="s">
        <v>14122</v>
      </c>
      <c r="B6715" s="2" t="s">
        <v>14123</v>
      </c>
      <c r="C6715" s="2" t="s">
        <v>950</v>
      </c>
      <c r="D6715" s="2" t="s">
        <v>192</v>
      </c>
      <c r="E6715" s="2"/>
      <c r="F6715" s="2" t="str">
        <f>"9788410704060"</f>
        <v>9788410704060</v>
      </c>
    </row>
    <row r="6716" spans="1:6" s="3" customFormat="1" ht="29.1" customHeight="1" x14ac:dyDescent="0.25">
      <c r="A6716" s="2" t="s">
        <v>14124</v>
      </c>
      <c r="B6716" s="2" t="s">
        <v>14125</v>
      </c>
      <c r="C6716" s="2" t="s">
        <v>950</v>
      </c>
      <c r="D6716" s="2" t="s">
        <v>72</v>
      </c>
      <c r="E6716" s="2"/>
      <c r="F6716" s="2" t="str">
        <f>"9788410703971"</f>
        <v>9788410703971</v>
      </c>
    </row>
    <row r="6717" spans="1:6" s="3" customFormat="1" ht="29.1" customHeight="1" x14ac:dyDescent="0.25">
      <c r="A6717" s="2" t="s">
        <v>14126</v>
      </c>
      <c r="B6717" s="2" t="s">
        <v>14128</v>
      </c>
      <c r="C6717" s="2" t="s">
        <v>950</v>
      </c>
      <c r="D6717" s="2" t="s">
        <v>14127</v>
      </c>
      <c r="E6717" s="2"/>
      <c r="F6717" s="2" t="str">
        <f>"9788410703520"</f>
        <v>9788410703520</v>
      </c>
    </row>
    <row r="6718" spans="1:6" s="3" customFormat="1" ht="29.1" customHeight="1" x14ac:dyDescent="0.25">
      <c r="A6718" s="2" t="s">
        <v>14129</v>
      </c>
      <c r="B6718" s="2" t="s">
        <v>14130</v>
      </c>
      <c r="C6718" s="2" t="s">
        <v>950</v>
      </c>
      <c r="D6718" s="2" t="s">
        <v>550</v>
      </c>
      <c r="E6718" s="2"/>
      <c r="F6718" s="2" t="str">
        <f>"9788410702516"</f>
        <v>9788410702516</v>
      </c>
    </row>
    <row r="6719" spans="1:6" s="3" customFormat="1" ht="29.1" customHeight="1" x14ac:dyDescent="0.25">
      <c r="A6719" s="2" t="s">
        <v>14131</v>
      </c>
      <c r="B6719" s="2" t="s">
        <v>14132</v>
      </c>
      <c r="C6719" s="2" t="s">
        <v>950</v>
      </c>
      <c r="D6719" s="2" t="s">
        <v>2825</v>
      </c>
      <c r="E6719" s="2"/>
      <c r="F6719" s="2" t="str">
        <f>"9788410702059"</f>
        <v>9788410702059</v>
      </c>
    </row>
    <row r="6720" spans="1:6" s="3" customFormat="1" ht="29.1" customHeight="1" x14ac:dyDescent="0.25">
      <c r="A6720" s="2" t="s">
        <v>14133</v>
      </c>
      <c r="B6720" s="2" t="s">
        <v>14134</v>
      </c>
      <c r="C6720" s="2" t="s">
        <v>950</v>
      </c>
      <c r="D6720" s="2" t="s">
        <v>2752</v>
      </c>
      <c r="E6720" s="2"/>
      <c r="F6720" s="2" t="str">
        <f>"9788410703254"</f>
        <v>9788410703254</v>
      </c>
    </row>
    <row r="6721" spans="1:6" s="3" customFormat="1" ht="29.1" customHeight="1" x14ac:dyDescent="0.25">
      <c r="A6721" s="2" t="s">
        <v>14135</v>
      </c>
      <c r="B6721" s="2" t="s">
        <v>14137</v>
      </c>
      <c r="C6721" s="2" t="s">
        <v>950</v>
      </c>
      <c r="D6721" s="2" t="s">
        <v>14136</v>
      </c>
      <c r="E6721" s="2"/>
      <c r="F6721" s="2" t="str">
        <f>"9788410703100"</f>
        <v>9788410703100</v>
      </c>
    </row>
    <row r="6722" spans="1:6" s="3" customFormat="1" ht="29.1" customHeight="1" x14ac:dyDescent="0.25">
      <c r="A6722" s="2" t="s">
        <v>14138</v>
      </c>
      <c r="B6722" s="2" t="s">
        <v>14139</v>
      </c>
      <c r="C6722" s="2" t="s">
        <v>950</v>
      </c>
      <c r="D6722" s="2" t="s">
        <v>125</v>
      </c>
      <c r="E6722" s="2"/>
      <c r="F6722" s="2" t="str">
        <f>"9788410703025"</f>
        <v>9788410703025</v>
      </c>
    </row>
    <row r="6723" spans="1:6" s="3" customFormat="1" ht="29.1" customHeight="1" x14ac:dyDescent="0.25">
      <c r="A6723" s="2" t="s">
        <v>14140</v>
      </c>
      <c r="B6723" s="2" t="s">
        <v>14141</v>
      </c>
      <c r="C6723" s="2" t="s">
        <v>950</v>
      </c>
      <c r="D6723" s="2" t="s">
        <v>2178</v>
      </c>
      <c r="E6723" s="2"/>
      <c r="F6723" s="2" t="str">
        <f>"9788410702936"</f>
        <v>9788410702936</v>
      </c>
    </row>
    <row r="6724" spans="1:6" s="3" customFormat="1" ht="29.1" customHeight="1" x14ac:dyDescent="0.25">
      <c r="A6724" s="2" t="s">
        <v>14142</v>
      </c>
      <c r="B6724" s="2" t="s">
        <v>14143</v>
      </c>
      <c r="C6724" s="2" t="s">
        <v>950</v>
      </c>
      <c r="D6724" s="2" t="s">
        <v>2260</v>
      </c>
      <c r="E6724" s="2"/>
      <c r="F6724" s="2" t="str">
        <f>"9788410702684"</f>
        <v>9788410702684</v>
      </c>
    </row>
    <row r="6725" spans="1:6" s="3" customFormat="1" ht="29.1" customHeight="1" x14ac:dyDescent="0.25">
      <c r="A6725" s="2" t="s">
        <v>14144</v>
      </c>
      <c r="B6725" s="2" t="s">
        <v>14145</v>
      </c>
      <c r="C6725" s="2" t="s">
        <v>950</v>
      </c>
      <c r="D6725" s="2" t="s">
        <v>3969</v>
      </c>
      <c r="E6725" s="2"/>
      <c r="F6725" s="2" t="str">
        <f>"9788410702318"</f>
        <v>9788410702318</v>
      </c>
    </row>
    <row r="6726" spans="1:6" s="3" customFormat="1" ht="29.1" customHeight="1" x14ac:dyDescent="0.25">
      <c r="A6726" s="2" t="s">
        <v>14146</v>
      </c>
      <c r="B6726" s="2" t="s">
        <v>14147</v>
      </c>
      <c r="C6726" s="2" t="s">
        <v>950</v>
      </c>
      <c r="D6726" s="2" t="s">
        <v>278</v>
      </c>
      <c r="E6726" s="2"/>
      <c r="F6726" s="2" t="str">
        <f>"9788410701854"</f>
        <v>9788410701854</v>
      </c>
    </row>
    <row r="6727" spans="1:6" s="3" customFormat="1" ht="29.1" customHeight="1" x14ac:dyDescent="0.25">
      <c r="A6727" s="2" t="s">
        <v>14148</v>
      </c>
      <c r="B6727" s="2" t="s">
        <v>14149</v>
      </c>
      <c r="C6727" s="2" t="s">
        <v>950</v>
      </c>
      <c r="D6727" s="2" t="s">
        <v>1245</v>
      </c>
      <c r="E6727" s="2"/>
      <c r="F6727" s="2" t="str">
        <f>"9788410701083"</f>
        <v>9788410701083</v>
      </c>
    </row>
    <row r="6728" spans="1:6" s="3" customFormat="1" ht="29.1" customHeight="1" x14ac:dyDescent="0.25">
      <c r="A6728" s="2" t="s">
        <v>14150</v>
      </c>
      <c r="B6728" s="2" t="s">
        <v>14151</v>
      </c>
      <c r="C6728" s="2" t="s">
        <v>950</v>
      </c>
      <c r="D6728" s="2" t="s">
        <v>712</v>
      </c>
      <c r="E6728" s="2"/>
      <c r="F6728" s="2" t="str">
        <f>"9788410700642"</f>
        <v>9788410700642</v>
      </c>
    </row>
    <row r="6729" spans="1:6" s="3" customFormat="1" ht="29.1" customHeight="1" x14ac:dyDescent="0.25">
      <c r="A6729" s="2" t="s">
        <v>14152</v>
      </c>
      <c r="B6729" s="2" t="s">
        <v>14154</v>
      </c>
      <c r="C6729" s="2" t="s">
        <v>149</v>
      </c>
      <c r="D6729" s="2" t="s">
        <v>14153</v>
      </c>
      <c r="E6729" s="2"/>
      <c r="F6729" s="2" t="str">
        <f>"9781805113041"</f>
        <v>9781805113041</v>
      </c>
    </row>
    <row r="6730" spans="1:6" s="3" customFormat="1" ht="29.1" customHeight="1" x14ac:dyDescent="0.25">
      <c r="A6730" s="2" t="s">
        <v>14155</v>
      </c>
      <c r="B6730" s="2" t="s">
        <v>14156</v>
      </c>
      <c r="C6730" s="2" t="s">
        <v>124</v>
      </c>
      <c r="D6730" s="2" t="s">
        <v>1560</v>
      </c>
      <c r="E6730" s="2" t="str">
        <f>"9781032769745"</f>
        <v>9781032769745</v>
      </c>
      <c r="F6730" s="2" t="str">
        <f>"9781003499787"</f>
        <v>9781003499787</v>
      </c>
    </row>
    <row r="6731" spans="1:6" s="3" customFormat="1" ht="29.1" customHeight="1" x14ac:dyDescent="0.25">
      <c r="A6731" s="2" t="s">
        <v>14157</v>
      </c>
      <c r="B6731" s="2" t="s">
        <v>14158</v>
      </c>
      <c r="C6731" s="2" t="s">
        <v>124</v>
      </c>
      <c r="D6731" s="2" t="s">
        <v>528</v>
      </c>
      <c r="E6731" s="2" t="str">
        <f>"9781032740829"</f>
        <v>9781032740829</v>
      </c>
      <c r="F6731" s="2" t="str">
        <f>"9781003467809"</f>
        <v>9781003467809</v>
      </c>
    </row>
    <row r="6732" spans="1:6" s="3" customFormat="1" ht="29.1" customHeight="1" x14ac:dyDescent="0.25">
      <c r="A6732" s="2" t="s">
        <v>14159</v>
      </c>
      <c r="B6732" s="2" t="s">
        <v>14160</v>
      </c>
      <c r="C6732" s="2" t="s">
        <v>124</v>
      </c>
      <c r="D6732" s="2" t="s">
        <v>1560</v>
      </c>
      <c r="E6732" s="2" t="str">
        <f>"9781032711256"</f>
        <v>9781032711256</v>
      </c>
      <c r="F6732" s="2" t="str">
        <f>"9781032711270"</f>
        <v>9781032711270</v>
      </c>
    </row>
    <row r="6733" spans="1:6" s="3" customFormat="1" ht="29.1" customHeight="1" x14ac:dyDescent="0.25">
      <c r="A6733" s="2" t="s">
        <v>14161</v>
      </c>
      <c r="B6733" s="2" t="s">
        <v>14162</v>
      </c>
      <c r="C6733" s="2" t="s">
        <v>124</v>
      </c>
      <c r="D6733" s="2" t="s">
        <v>501</v>
      </c>
      <c r="E6733" s="2" t="str">
        <f>"9781032835136"</f>
        <v>9781032835136</v>
      </c>
      <c r="F6733" s="2" t="str">
        <f>"9781003509684"</f>
        <v>9781003509684</v>
      </c>
    </row>
    <row r="6734" spans="1:6" s="3" customFormat="1" ht="29.1" customHeight="1" x14ac:dyDescent="0.25">
      <c r="A6734" s="2" t="s">
        <v>14163</v>
      </c>
      <c r="B6734" s="2" t="s">
        <v>14164</v>
      </c>
      <c r="C6734" s="2" t="s">
        <v>124</v>
      </c>
      <c r="D6734" s="2" t="s">
        <v>2086</v>
      </c>
      <c r="E6734" s="2" t="str">
        <f>"9781032442440"</f>
        <v>9781032442440</v>
      </c>
      <c r="F6734" s="2" t="str">
        <f>"9781003371175"</f>
        <v>9781003371175</v>
      </c>
    </row>
    <row r="6735" spans="1:6" s="3" customFormat="1" ht="29.1" customHeight="1" x14ac:dyDescent="0.25">
      <c r="A6735" s="2" t="s">
        <v>14165</v>
      </c>
      <c r="B6735" s="2" t="s">
        <v>14166</v>
      </c>
      <c r="C6735" s="2" t="s">
        <v>55</v>
      </c>
      <c r="D6735" s="2" t="s">
        <v>4172</v>
      </c>
      <c r="E6735" s="2"/>
      <c r="F6735" s="2" t="str">
        <f>"9781526178329"</f>
        <v>9781526178329</v>
      </c>
    </row>
    <row r="6736" spans="1:6" s="3" customFormat="1" ht="29.1" customHeight="1" x14ac:dyDescent="0.25">
      <c r="A6736" s="2" t="s">
        <v>14165</v>
      </c>
      <c r="B6736" s="2" t="s">
        <v>14166</v>
      </c>
      <c r="C6736" s="2" t="s">
        <v>55</v>
      </c>
      <c r="D6736" s="2" t="s">
        <v>4172</v>
      </c>
      <c r="E6736" s="2"/>
      <c r="F6736" s="2" t="str">
        <f>"9781526178336"</f>
        <v>9781526178336</v>
      </c>
    </row>
    <row r="6737" spans="1:6" s="3" customFormat="1" ht="29.1" customHeight="1" x14ac:dyDescent="0.25">
      <c r="A6737" s="2" t="s">
        <v>14167</v>
      </c>
      <c r="B6737" s="2" t="s">
        <v>14168</v>
      </c>
      <c r="C6737" s="2" t="s">
        <v>757</v>
      </c>
      <c r="D6737" s="2" t="s">
        <v>767</v>
      </c>
      <c r="E6737" s="2" t="str">
        <f>"9783725806980"</f>
        <v>9783725806980</v>
      </c>
      <c r="F6737" s="2" t="str">
        <f>"9783725806973"</f>
        <v>9783725806973</v>
      </c>
    </row>
    <row r="6738" spans="1:6" s="3" customFormat="1" ht="29.1" customHeight="1" x14ac:dyDescent="0.25">
      <c r="A6738" s="2" t="s">
        <v>14169</v>
      </c>
      <c r="B6738" s="2" t="s">
        <v>14170</v>
      </c>
      <c r="C6738" s="2" t="s">
        <v>264</v>
      </c>
      <c r="D6738" s="2" t="s">
        <v>650</v>
      </c>
      <c r="E6738" s="2" t="str">
        <f>"9781032527772"</f>
        <v>9781032527772</v>
      </c>
      <c r="F6738" s="2" t="str">
        <f>"9781003415695"</f>
        <v>9781003415695</v>
      </c>
    </row>
    <row r="6739" spans="1:6" s="3" customFormat="1" ht="29.1" customHeight="1" x14ac:dyDescent="0.25">
      <c r="A6739" s="2" t="s">
        <v>14171</v>
      </c>
      <c r="B6739" s="2" t="s">
        <v>14172</v>
      </c>
      <c r="C6739" s="2" t="s">
        <v>124</v>
      </c>
      <c r="D6739" s="2" t="s">
        <v>2513</v>
      </c>
      <c r="E6739" s="2" t="str">
        <f>"9781032592886"</f>
        <v>9781032592886</v>
      </c>
      <c r="F6739" s="2" t="str">
        <f>"9781003454007"</f>
        <v>9781003454007</v>
      </c>
    </row>
    <row r="6740" spans="1:6" s="3" customFormat="1" ht="29.1" customHeight="1" x14ac:dyDescent="0.25">
      <c r="A6740" s="2" t="s">
        <v>14173</v>
      </c>
      <c r="B6740" s="2" t="s">
        <v>14174</v>
      </c>
      <c r="C6740" s="2" t="s">
        <v>124</v>
      </c>
      <c r="D6740" s="2" t="s">
        <v>183</v>
      </c>
      <c r="E6740" s="2" t="str">
        <f>"9781032628448"</f>
        <v>9781032628448</v>
      </c>
      <c r="F6740" s="2" t="str">
        <f>"9781003535546"</f>
        <v>9781003535546</v>
      </c>
    </row>
    <row r="6741" spans="1:6" s="3" customFormat="1" ht="29.1" customHeight="1" x14ac:dyDescent="0.25">
      <c r="A6741" s="2" t="s">
        <v>14175</v>
      </c>
      <c r="B6741" s="2" t="s">
        <v>14176</v>
      </c>
      <c r="C6741" s="2" t="s">
        <v>124</v>
      </c>
      <c r="D6741" s="2" t="s">
        <v>4180</v>
      </c>
      <c r="E6741" s="2" t="str">
        <f>"9780367700676"</f>
        <v>9780367700676</v>
      </c>
      <c r="F6741" s="2" t="str">
        <f>"9781003144441"</f>
        <v>9781003144441</v>
      </c>
    </row>
    <row r="6742" spans="1:6" s="3" customFormat="1" ht="29.1" customHeight="1" x14ac:dyDescent="0.25">
      <c r="A6742" s="2" t="s">
        <v>14177</v>
      </c>
      <c r="B6742" s="2" t="s">
        <v>14178</v>
      </c>
      <c r="C6742" s="2" t="s">
        <v>124</v>
      </c>
      <c r="D6742" s="2" t="s">
        <v>8788</v>
      </c>
      <c r="E6742" s="2" t="str">
        <f>"9781032720357"</f>
        <v>9781032720357</v>
      </c>
      <c r="F6742" s="2" t="str">
        <f>"9781003426448"</f>
        <v>9781003426448</v>
      </c>
    </row>
    <row r="6743" spans="1:6" s="3" customFormat="1" ht="29.1" customHeight="1" x14ac:dyDescent="0.25">
      <c r="A6743" s="2" t="s">
        <v>14179</v>
      </c>
      <c r="B6743" s="2" t="s">
        <v>14180</v>
      </c>
      <c r="C6743" s="2" t="s">
        <v>124</v>
      </c>
      <c r="D6743" s="2" t="s">
        <v>2433</v>
      </c>
      <c r="E6743" s="2" t="str">
        <f>"9781032508344"</f>
        <v>9781032508344</v>
      </c>
      <c r="F6743" s="2" t="str">
        <f>"9781003399889"</f>
        <v>9781003399889</v>
      </c>
    </row>
    <row r="6744" spans="1:6" s="3" customFormat="1" ht="29.1" customHeight="1" x14ac:dyDescent="0.25">
      <c r="A6744" s="2" t="s">
        <v>14181</v>
      </c>
      <c r="B6744" s="2" t="s">
        <v>14182</v>
      </c>
      <c r="C6744" s="2" t="s">
        <v>124</v>
      </c>
      <c r="D6744" s="2" t="s">
        <v>413</v>
      </c>
      <c r="E6744" s="2" t="str">
        <f>"9781032846309"</f>
        <v>9781032846309</v>
      </c>
      <c r="F6744" s="2" t="str">
        <f>"9781003514237"</f>
        <v>9781003514237</v>
      </c>
    </row>
    <row r="6745" spans="1:6" s="3" customFormat="1" ht="29.1" customHeight="1" x14ac:dyDescent="0.25">
      <c r="A6745" s="2" t="s">
        <v>14183</v>
      </c>
      <c r="B6745" s="2" t="s">
        <v>14184</v>
      </c>
      <c r="C6745" s="2" t="s">
        <v>124</v>
      </c>
      <c r="D6745" s="2" t="s">
        <v>75</v>
      </c>
      <c r="E6745" s="2" t="str">
        <f>"9781032594460"</f>
        <v>9781032594460</v>
      </c>
      <c r="F6745" s="2" t="str">
        <f>"9781032638669"</f>
        <v>9781032638669</v>
      </c>
    </row>
    <row r="6746" spans="1:6" s="3" customFormat="1" ht="29.1" customHeight="1" x14ac:dyDescent="0.25">
      <c r="A6746" s="2" t="s">
        <v>14185</v>
      </c>
      <c r="B6746" s="2" t="s">
        <v>14186</v>
      </c>
      <c r="C6746" s="2" t="s">
        <v>124</v>
      </c>
      <c r="D6746" s="2" t="s">
        <v>528</v>
      </c>
      <c r="E6746" s="2" t="str">
        <f>"9781032564678"</f>
        <v>9781032564678</v>
      </c>
      <c r="F6746" s="2" t="str">
        <f>"9781003449041"</f>
        <v>9781003449041</v>
      </c>
    </row>
    <row r="6747" spans="1:6" s="3" customFormat="1" ht="29.1" customHeight="1" x14ac:dyDescent="0.25">
      <c r="A6747" s="2" t="s">
        <v>14187</v>
      </c>
      <c r="B6747" s="2" t="s">
        <v>14188</v>
      </c>
      <c r="C6747" s="2" t="s">
        <v>124</v>
      </c>
      <c r="D6747" s="2" t="s">
        <v>2404</v>
      </c>
      <c r="E6747" s="2" t="str">
        <f>"9780367367848"</f>
        <v>9780367367848</v>
      </c>
      <c r="F6747" s="2" t="str">
        <f>"9780429351464"</f>
        <v>9780429351464</v>
      </c>
    </row>
    <row r="6748" spans="1:6" s="3" customFormat="1" ht="29.1" customHeight="1" x14ac:dyDescent="0.25">
      <c r="A6748" s="2" t="s">
        <v>14189</v>
      </c>
      <c r="B6748" s="2" t="s">
        <v>14190</v>
      </c>
      <c r="C6748" s="2" t="s">
        <v>29</v>
      </c>
      <c r="D6748" s="2" t="s">
        <v>183</v>
      </c>
      <c r="E6748" s="2" t="str">
        <f>"9789004690752"</f>
        <v>9789004690752</v>
      </c>
      <c r="F6748" s="2" t="str">
        <f>"9789004692268"</f>
        <v>9789004692268</v>
      </c>
    </row>
    <row r="6749" spans="1:6" s="3" customFormat="1" ht="29.1" customHeight="1" x14ac:dyDescent="0.25">
      <c r="A6749" s="2" t="s">
        <v>14191</v>
      </c>
      <c r="B6749" s="2" t="s">
        <v>14192</v>
      </c>
      <c r="C6749" s="2" t="s">
        <v>124</v>
      </c>
      <c r="D6749" s="2" t="s">
        <v>2899</v>
      </c>
      <c r="E6749" s="2" t="str">
        <f>"9781032871592"</f>
        <v>9781032871592</v>
      </c>
      <c r="F6749" s="2" t="str">
        <f>"9781003531197"</f>
        <v>9781003531197</v>
      </c>
    </row>
    <row r="6750" spans="1:6" s="3" customFormat="1" ht="29.1" customHeight="1" x14ac:dyDescent="0.25">
      <c r="A6750" s="2" t="s">
        <v>14193</v>
      </c>
      <c r="B6750" s="2" t="s">
        <v>14194</v>
      </c>
      <c r="C6750" s="2" t="s">
        <v>124</v>
      </c>
      <c r="D6750" s="2" t="s">
        <v>3958</v>
      </c>
      <c r="E6750" s="2" t="str">
        <f>"9781032552897"</f>
        <v>9781032552897</v>
      </c>
      <c r="F6750" s="2" t="str">
        <f>"9781003429968"</f>
        <v>9781003429968</v>
      </c>
    </row>
    <row r="6751" spans="1:6" s="3" customFormat="1" ht="29.1" customHeight="1" x14ac:dyDescent="0.25">
      <c r="A6751" s="2" t="s">
        <v>14195</v>
      </c>
      <c r="B6751" s="2" t="s">
        <v>14196</v>
      </c>
      <c r="C6751" s="2" t="s">
        <v>2133</v>
      </c>
      <c r="D6751" s="2" t="s">
        <v>270</v>
      </c>
      <c r="E6751" s="2" t="str">
        <f>"9781760466473"</f>
        <v>9781760466473</v>
      </c>
      <c r="F6751" s="2" t="str">
        <f>"9781760466480"</f>
        <v>9781760466480</v>
      </c>
    </row>
    <row r="6752" spans="1:6" s="3" customFormat="1" ht="29.1" customHeight="1" x14ac:dyDescent="0.25">
      <c r="A6752" s="2" t="s">
        <v>14197</v>
      </c>
      <c r="B6752" s="2" t="s">
        <v>14200</v>
      </c>
      <c r="C6752" s="2" t="s">
        <v>14198</v>
      </c>
      <c r="D6752" s="2" t="s">
        <v>14199</v>
      </c>
      <c r="E6752" s="2" t="str">
        <f>"9781548254599"</f>
        <v>9781548254599</v>
      </c>
      <c r="F6752" s="2" t="str">
        <f>"9781961039049"</f>
        <v>9781961039049</v>
      </c>
    </row>
    <row r="6753" spans="1:6" s="3" customFormat="1" ht="29.1" customHeight="1" x14ac:dyDescent="0.25">
      <c r="A6753" s="2" t="s">
        <v>14201</v>
      </c>
      <c r="B6753" s="2" t="s">
        <v>14200</v>
      </c>
      <c r="C6753" s="2" t="s">
        <v>14198</v>
      </c>
      <c r="D6753" s="2" t="s">
        <v>14202</v>
      </c>
      <c r="E6753" s="2" t="str">
        <f>"9781961039018"</f>
        <v>9781961039018</v>
      </c>
      <c r="F6753" s="2" t="str">
        <f>"9781961039025"</f>
        <v>9781961039025</v>
      </c>
    </row>
    <row r="6754" spans="1:6" s="3" customFormat="1" ht="29.1" customHeight="1" x14ac:dyDescent="0.25">
      <c r="A6754" s="2" t="s">
        <v>14203</v>
      </c>
      <c r="B6754" s="2" t="s">
        <v>14204</v>
      </c>
      <c r="C6754" s="2" t="s">
        <v>5</v>
      </c>
      <c r="D6754" s="2" t="s">
        <v>984</v>
      </c>
      <c r="E6754" s="2" t="str">
        <f>"9783658449261"</f>
        <v>9783658449261</v>
      </c>
      <c r="F6754" s="2" t="str">
        <f>"9783658449278"</f>
        <v>9783658449278</v>
      </c>
    </row>
    <row r="6755" spans="1:6" s="3" customFormat="1" ht="29.1" customHeight="1" x14ac:dyDescent="0.25">
      <c r="A6755" s="2" t="s">
        <v>14205</v>
      </c>
      <c r="B6755" s="2" t="s">
        <v>1090</v>
      </c>
      <c r="C6755" s="2" t="s">
        <v>59</v>
      </c>
      <c r="D6755" s="2" t="s">
        <v>1089</v>
      </c>
      <c r="E6755" s="2"/>
      <c r="F6755" s="2" t="str">
        <f>"9782759238668"</f>
        <v>9782759238668</v>
      </c>
    </row>
    <row r="6756" spans="1:6" s="3" customFormat="1" ht="29.1" customHeight="1" x14ac:dyDescent="0.25">
      <c r="A6756" s="2" t="s">
        <v>14206</v>
      </c>
      <c r="B6756" s="2" t="s">
        <v>14207</v>
      </c>
      <c r="C6756" s="2" t="s">
        <v>5</v>
      </c>
      <c r="D6756" s="2" t="s">
        <v>1416</v>
      </c>
      <c r="E6756" s="2" t="str">
        <f>"9783031580550"</f>
        <v>9783031580550</v>
      </c>
      <c r="F6756" s="2" t="str">
        <f>"9783031580567"</f>
        <v>9783031580567</v>
      </c>
    </row>
    <row r="6757" spans="1:6" s="3" customFormat="1" ht="29.1" customHeight="1" x14ac:dyDescent="0.25">
      <c r="A6757" s="2" t="s">
        <v>14208</v>
      </c>
      <c r="B6757" s="2" t="s">
        <v>14209</v>
      </c>
      <c r="C6757" s="2" t="s">
        <v>8104</v>
      </c>
      <c r="D6757" s="2" t="s">
        <v>4415</v>
      </c>
      <c r="E6757" s="2" t="str">
        <f>"9781805397748"</f>
        <v>9781805397748</v>
      </c>
      <c r="F6757" s="2" t="str">
        <f>"9781805396383"</f>
        <v>9781805396383</v>
      </c>
    </row>
    <row r="6758" spans="1:6" s="3" customFormat="1" ht="29.1" customHeight="1" x14ac:dyDescent="0.25">
      <c r="A6758" s="2" t="s">
        <v>14210</v>
      </c>
      <c r="B6758" s="2" t="s">
        <v>14211</v>
      </c>
      <c r="C6758" s="2" t="s">
        <v>5</v>
      </c>
      <c r="D6758" s="2" t="s">
        <v>141</v>
      </c>
      <c r="E6758" s="2" t="str">
        <f>"9789464634426"</f>
        <v>9789464634426</v>
      </c>
      <c r="F6758" s="2" t="str">
        <f>"9789464634433"</f>
        <v>9789464634433</v>
      </c>
    </row>
    <row r="6759" spans="1:6" s="3" customFormat="1" ht="29.1" customHeight="1" x14ac:dyDescent="0.25">
      <c r="A6759" s="2" t="s">
        <v>14212</v>
      </c>
      <c r="B6759" s="2" t="s">
        <v>551</v>
      </c>
      <c r="C6759" s="2" t="s">
        <v>5</v>
      </c>
      <c r="D6759" s="2" t="s">
        <v>550</v>
      </c>
      <c r="E6759" s="2" t="str">
        <f>"9783031544637"</f>
        <v>9783031544637</v>
      </c>
      <c r="F6759" s="2" t="str">
        <f>"9783031544644"</f>
        <v>9783031544644</v>
      </c>
    </row>
    <row r="6760" spans="1:6" s="3" customFormat="1" ht="29.1" customHeight="1" x14ac:dyDescent="0.25">
      <c r="A6760" s="2" t="s">
        <v>14213</v>
      </c>
      <c r="B6760" s="2" t="s">
        <v>14214</v>
      </c>
      <c r="C6760" s="2" t="s">
        <v>5</v>
      </c>
      <c r="D6760" s="2" t="s">
        <v>2391</v>
      </c>
      <c r="E6760" s="2" t="str">
        <f>"9783031526060"</f>
        <v>9783031526060</v>
      </c>
      <c r="F6760" s="2" t="str">
        <f>"9783031526077"</f>
        <v>9783031526077</v>
      </c>
    </row>
    <row r="6761" spans="1:6" s="3" customFormat="1" ht="29.1" customHeight="1" x14ac:dyDescent="0.25">
      <c r="A6761" s="2" t="s">
        <v>14215</v>
      </c>
      <c r="B6761" s="2" t="s">
        <v>14216</v>
      </c>
      <c r="C6761" s="2" t="s">
        <v>149</v>
      </c>
      <c r="D6761" s="2" t="s">
        <v>107</v>
      </c>
      <c r="E6761" s="2"/>
      <c r="F6761" s="2" t="str">
        <f>"9781805112686"</f>
        <v>9781805112686</v>
      </c>
    </row>
    <row r="6762" spans="1:6" s="3" customFormat="1" ht="29.1" customHeight="1" x14ac:dyDescent="0.25">
      <c r="A6762" s="2" t="s">
        <v>14217</v>
      </c>
      <c r="B6762" s="2" t="s">
        <v>14218</v>
      </c>
      <c r="C6762" s="2" t="s">
        <v>149</v>
      </c>
      <c r="D6762" s="2" t="s">
        <v>1598</v>
      </c>
      <c r="E6762" s="2"/>
      <c r="F6762" s="2" t="str">
        <f>"9781805112204"</f>
        <v>9781805112204</v>
      </c>
    </row>
    <row r="6763" spans="1:6" s="3" customFormat="1" ht="29.1" customHeight="1" x14ac:dyDescent="0.25">
      <c r="A6763" s="2" t="s">
        <v>14219</v>
      </c>
      <c r="B6763" s="2" t="s">
        <v>14220</v>
      </c>
      <c r="C6763" s="2" t="s">
        <v>2242</v>
      </c>
      <c r="D6763" s="2" t="s">
        <v>9</v>
      </c>
      <c r="E6763" s="2"/>
      <c r="F6763" s="2" t="str">
        <f>"9788024464602"</f>
        <v>9788024464602</v>
      </c>
    </row>
    <row r="6764" spans="1:6" s="3" customFormat="1" ht="29.1" customHeight="1" x14ac:dyDescent="0.25">
      <c r="A6764" s="2" t="s">
        <v>14221</v>
      </c>
      <c r="B6764" s="2" t="s">
        <v>14222</v>
      </c>
      <c r="C6764" s="2" t="s">
        <v>2242</v>
      </c>
      <c r="D6764" s="2" t="s">
        <v>653</v>
      </c>
      <c r="E6764" s="2" t="str">
        <f>"9788024463476"</f>
        <v>9788024463476</v>
      </c>
      <c r="F6764" s="2" t="str">
        <f>"9788024463483"</f>
        <v>9788024463483</v>
      </c>
    </row>
    <row r="6765" spans="1:6" s="3" customFormat="1" ht="29.1" customHeight="1" x14ac:dyDescent="0.25">
      <c r="A6765" s="2" t="s">
        <v>14223</v>
      </c>
      <c r="B6765" s="2" t="s">
        <v>14224</v>
      </c>
      <c r="C6765" s="2" t="s">
        <v>927</v>
      </c>
      <c r="D6765" s="2" t="s">
        <v>270</v>
      </c>
      <c r="E6765" s="2" t="str">
        <f>"9780472056880"</f>
        <v>9780472056880</v>
      </c>
      <c r="F6765" s="2" t="str">
        <f>"9780472904532"</f>
        <v>9780472904532</v>
      </c>
    </row>
    <row r="6766" spans="1:6" s="3" customFormat="1" ht="29.1" customHeight="1" x14ac:dyDescent="0.25">
      <c r="A6766" s="2" t="s">
        <v>14225</v>
      </c>
      <c r="B6766" s="2" t="s">
        <v>14226</v>
      </c>
      <c r="C6766" s="2" t="s">
        <v>927</v>
      </c>
      <c r="D6766" s="2" t="s">
        <v>270</v>
      </c>
      <c r="E6766" s="2" t="str">
        <f>"9780472056941"</f>
        <v>9780472056941</v>
      </c>
      <c r="F6766" s="2" t="str">
        <f>"9780472904587"</f>
        <v>9780472904587</v>
      </c>
    </row>
    <row r="6767" spans="1:6" s="3" customFormat="1" ht="29.1" customHeight="1" x14ac:dyDescent="0.25">
      <c r="A6767" s="2" t="s">
        <v>14227</v>
      </c>
      <c r="B6767" s="2" t="s">
        <v>14228</v>
      </c>
      <c r="C6767" s="2" t="s">
        <v>5</v>
      </c>
      <c r="D6767" s="2" t="s">
        <v>9</v>
      </c>
      <c r="E6767" s="2" t="str">
        <f>"9783031561719"</f>
        <v>9783031561719</v>
      </c>
      <c r="F6767" s="2" t="str">
        <f>"9783031561726"</f>
        <v>9783031561726</v>
      </c>
    </row>
    <row r="6768" spans="1:6" s="3" customFormat="1" ht="29.1" customHeight="1" x14ac:dyDescent="0.25">
      <c r="A6768" s="2" t="s">
        <v>14229</v>
      </c>
      <c r="B6768" s="2" t="s">
        <v>14230</v>
      </c>
      <c r="C6768" s="2" t="s">
        <v>5</v>
      </c>
      <c r="D6768" s="2" t="s">
        <v>378</v>
      </c>
      <c r="E6768" s="2" t="str">
        <f>"9783031591341"</f>
        <v>9783031591341</v>
      </c>
      <c r="F6768" s="2" t="str">
        <f>"9783031591358"</f>
        <v>9783031591358</v>
      </c>
    </row>
    <row r="6769" spans="1:6" s="3" customFormat="1" ht="29.1" customHeight="1" x14ac:dyDescent="0.25">
      <c r="A6769" s="2" t="s">
        <v>14231</v>
      </c>
      <c r="B6769" s="2" t="s">
        <v>14232</v>
      </c>
      <c r="C6769" s="2" t="s">
        <v>62</v>
      </c>
      <c r="D6769" s="2" t="s">
        <v>3581</v>
      </c>
      <c r="E6769" s="2" t="str">
        <f>"9783428188895"</f>
        <v>9783428188895</v>
      </c>
      <c r="F6769" s="2" t="str">
        <f>"9783428588893"</f>
        <v>9783428588893</v>
      </c>
    </row>
    <row r="6770" spans="1:6" s="3" customFormat="1" ht="29.1" customHeight="1" x14ac:dyDescent="0.25">
      <c r="A6770" s="2" t="s">
        <v>14233</v>
      </c>
      <c r="B6770" s="2" t="s">
        <v>14234</v>
      </c>
      <c r="C6770" s="2" t="s">
        <v>5</v>
      </c>
      <c r="D6770" s="2" t="s">
        <v>1988</v>
      </c>
      <c r="E6770" s="2" t="str">
        <f>"9789819705184"</f>
        <v>9789819705184</v>
      </c>
      <c r="F6770" s="2" t="str">
        <f>"9789819705191"</f>
        <v>9789819705191</v>
      </c>
    </row>
    <row r="6771" spans="1:6" s="3" customFormat="1" ht="29.1" customHeight="1" x14ac:dyDescent="0.25">
      <c r="A6771" s="2" t="s">
        <v>14235</v>
      </c>
      <c r="B6771" s="2" t="s">
        <v>14236</v>
      </c>
      <c r="C6771" s="2" t="s">
        <v>5</v>
      </c>
      <c r="D6771" s="2" t="s">
        <v>2880</v>
      </c>
      <c r="E6771" s="2" t="str">
        <f>"9783031513732"</f>
        <v>9783031513732</v>
      </c>
      <c r="F6771" s="2" t="str">
        <f>"9783031513749"</f>
        <v>9783031513749</v>
      </c>
    </row>
    <row r="6772" spans="1:6" s="3" customFormat="1" ht="29.1" customHeight="1" x14ac:dyDescent="0.25">
      <c r="A6772" s="2" t="s">
        <v>14237</v>
      </c>
      <c r="B6772" s="2" t="s">
        <v>14239</v>
      </c>
      <c r="C6772" s="2" t="s">
        <v>14238</v>
      </c>
      <c r="D6772" s="2" t="s">
        <v>353</v>
      </c>
      <c r="E6772" s="2" t="str">
        <f>"9781912186235"</f>
        <v>9781912186235</v>
      </c>
      <c r="F6772" s="2" t="str">
        <f>"9781912186631"</f>
        <v>9781912186631</v>
      </c>
    </row>
    <row r="6773" spans="1:6" s="3" customFormat="1" ht="29.1" customHeight="1" x14ac:dyDescent="0.25">
      <c r="A6773" s="2" t="s">
        <v>14240</v>
      </c>
      <c r="B6773" s="2" t="s">
        <v>14241</v>
      </c>
      <c r="C6773" s="2" t="s">
        <v>5</v>
      </c>
      <c r="D6773" s="2" t="s">
        <v>682</v>
      </c>
      <c r="E6773" s="2" t="str">
        <f>"9782384762583"</f>
        <v>9782384762583</v>
      </c>
      <c r="F6773" s="2" t="str">
        <f>"9782384762590"</f>
        <v>9782384762590</v>
      </c>
    </row>
    <row r="6774" spans="1:6" s="3" customFormat="1" ht="29.1" customHeight="1" x14ac:dyDescent="0.25">
      <c r="A6774" s="2" t="s">
        <v>14242</v>
      </c>
      <c r="B6774" s="2" t="s">
        <v>14243</v>
      </c>
      <c r="C6774" s="2" t="s">
        <v>5</v>
      </c>
      <c r="D6774" s="2" t="s">
        <v>4500</v>
      </c>
      <c r="E6774" s="2" t="str">
        <f>"9783031470615"</f>
        <v>9783031470615</v>
      </c>
      <c r="F6774" s="2" t="str">
        <f>"9783031470622"</f>
        <v>9783031470622</v>
      </c>
    </row>
    <row r="6775" spans="1:6" s="3" customFormat="1" ht="29.1" customHeight="1" x14ac:dyDescent="0.25">
      <c r="A6775" s="2" t="s">
        <v>14244</v>
      </c>
      <c r="B6775" s="2" t="s">
        <v>7105</v>
      </c>
      <c r="C6775" s="2" t="s">
        <v>5</v>
      </c>
      <c r="D6775" s="2" t="s">
        <v>501</v>
      </c>
      <c r="E6775" s="2" t="str">
        <f>"9789819725571"</f>
        <v>9789819725571</v>
      </c>
      <c r="F6775" s="2" t="str">
        <f>"9789819725588"</f>
        <v>9789819725588</v>
      </c>
    </row>
    <row r="6776" spans="1:6" s="3" customFormat="1" ht="29.1" customHeight="1" x14ac:dyDescent="0.25">
      <c r="A6776" s="2" t="s">
        <v>14245</v>
      </c>
      <c r="B6776" s="2" t="s">
        <v>14246</v>
      </c>
      <c r="C6776" s="2" t="s">
        <v>2133</v>
      </c>
      <c r="D6776" s="2" t="s">
        <v>3394</v>
      </c>
      <c r="E6776" s="2" t="str">
        <f>"9781760466374"</f>
        <v>9781760466374</v>
      </c>
      <c r="F6776" s="2" t="str">
        <f>"9781760466381"</f>
        <v>9781760466381</v>
      </c>
    </row>
    <row r="6777" spans="1:6" s="3" customFormat="1" ht="29.1" customHeight="1" x14ac:dyDescent="0.25">
      <c r="A6777" s="2" t="s">
        <v>14059</v>
      </c>
      <c r="B6777" s="2"/>
      <c r="C6777" s="2" t="s">
        <v>59</v>
      </c>
      <c r="D6777" s="2" t="s">
        <v>9575</v>
      </c>
      <c r="E6777" s="2"/>
      <c r="F6777" s="2" t="str">
        <f>"9782759239542"</f>
        <v>9782759239542</v>
      </c>
    </row>
    <row r="6778" spans="1:6" s="3" customFormat="1" ht="29.1" customHeight="1" x14ac:dyDescent="0.25">
      <c r="A6778" s="2" t="s">
        <v>14247</v>
      </c>
      <c r="B6778" s="2" t="s">
        <v>14248</v>
      </c>
      <c r="C6778" s="2" t="s">
        <v>5</v>
      </c>
      <c r="D6778" s="2" t="s">
        <v>636</v>
      </c>
      <c r="E6778" s="2" t="str">
        <f>"9782384762606"</f>
        <v>9782384762606</v>
      </c>
      <c r="F6778" s="2" t="str">
        <f>"9782384762613"</f>
        <v>9782384762613</v>
      </c>
    </row>
    <row r="6779" spans="1:6" s="3" customFormat="1" ht="29.1" customHeight="1" x14ac:dyDescent="0.25">
      <c r="A6779" s="2" t="s">
        <v>14249</v>
      </c>
      <c r="B6779" s="2" t="s">
        <v>6759</v>
      </c>
      <c r="C6779" s="2" t="s">
        <v>5</v>
      </c>
      <c r="D6779" s="2" t="s">
        <v>186</v>
      </c>
      <c r="E6779" s="2" t="str">
        <f>"9789464634402"</f>
        <v>9789464634402</v>
      </c>
      <c r="F6779" s="2" t="str">
        <f>"9789464634419"</f>
        <v>9789464634419</v>
      </c>
    </row>
    <row r="6780" spans="1:6" s="3" customFormat="1" ht="29.1" customHeight="1" x14ac:dyDescent="0.25">
      <c r="A6780" s="2" t="s">
        <v>14250</v>
      </c>
      <c r="B6780" s="2" t="s">
        <v>14251</v>
      </c>
      <c r="C6780" s="2" t="s">
        <v>5</v>
      </c>
      <c r="D6780" s="2" t="s">
        <v>249</v>
      </c>
      <c r="E6780" s="2" t="str">
        <f>"9783658450304"</f>
        <v>9783658450304</v>
      </c>
      <c r="F6780" s="2" t="str">
        <f>"9783658450311"</f>
        <v>9783658450311</v>
      </c>
    </row>
    <row r="6781" spans="1:6" s="3" customFormat="1" ht="29.1" customHeight="1" x14ac:dyDescent="0.25">
      <c r="A6781" s="2" t="s">
        <v>14252</v>
      </c>
      <c r="B6781" s="2" t="s">
        <v>14253</v>
      </c>
      <c r="C6781" s="2" t="s">
        <v>5</v>
      </c>
      <c r="D6781" s="2" t="s">
        <v>52</v>
      </c>
      <c r="E6781" s="2" t="str">
        <f>"9783031540486"</f>
        <v>9783031540486</v>
      </c>
      <c r="F6781" s="2" t="str">
        <f>"9783031540493"</f>
        <v>9783031540493</v>
      </c>
    </row>
    <row r="6782" spans="1:6" s="3" customFormat="1" ht="29.1" customHeight="1" x14ac:dyDescent="0.25">
      <c r="A6782" s="2" t="s">
        <v>14254</v>
      </c>
      <c r="B6782" s="2"/>
      <c r="C6782" s="2" t="s">
        <v>59</v>
      </c>
      <c r="D6782" s="2" t="s">
        <v>1768</v>
      </c>
      <c r="E6782" s="2"/>
      <c r="F6782" s="2" t="str">
        <f>"9782759238958"</f>
        <v>9782759238958</v>
      </c>
    </row>
    <row r="6783" spans="1:6" s="3" customFormat="1" ht="29.1" customHeight="1" x14ac:dyDescent="0.25">
      <c r="A6783" s="2" t="s">
        <v>14255</v>
      </c>
      <c r="B6783" s="2" t="s">
        <v>14257</v>
      </c>
      <c r="C6783" s="2" t="s">
        <v>3154</v>
      </c>
      <c r="D6783" s="2" t="s">
        <v>14256</v>
      </c>
      <c r="E6783" s="2" t="str">
        <f>"9789523691001"</f>
        <v>9789523691001</v>
      </c>
      <c r="F6783" s="2" t="str">
        <f>"9789523691018"</f>
        <v>9789523691018</v>
      </c>
    </row>
    <row r="6784" spans="1:6" s="3" customFormat="1" ht="29.1" customHeight="1" x14ac:dyDescent="0.25">
      <c r="A6784" s="2" t="s">
        <v>14258</v>
      </c>
      <c r="B6784" s="2" t="s">
        <v>14260</v>
      </c>
      <c r="C6784" s="2" t="s">
        <v>3154</v>
      </c>
      <c r="D6784" s="2" t="s">
        <v>14259</v>
      </c>
      <c r="E6784" s="2" t="str">
        <f>"9789523690974"</f>
        <v>9789523690974</v>
      </c>
      <c r="F6784" s="2" t="str">
        <f>"9789523690981"</f>
        <v>9789523690981</v>
      </c>
    </row>
    <row r="6785" spans="1:6" s="3" customFormat="1" ht="29.1" customHeight="1" x14ac:dyDescent="0.25">
      <c r="A6785" s="2" t="s">
        <v>14261</v>
      </c>
      <c r="B6785" s="2" t="s">
        <v>14263</v>
      </c>
      <c r="C6785" s="2" t="s">
        <v>3154</v>
      </c>
      <c r="D6785" s="2" t="s">
        <v>14262</v>
      </c>
      <c r="E6785" s="2" t="str">
        <f>"9789523690943"</f>
        <v>9789523690943</v>
      </c>
      <c r="F6785" s="2" t="str">
        <f>"9789523690950"</f>
        <v>9789523690950</v>
      </c>
    </row>
    <row r="6786" spans="1:6" s="3" customFormat="1" ht="29.1" customHeight="1" x14ac:dyDescent="0.25">
      <c r="A6786" s="2" t="s">
        <v>14264</v>
      </c>
      <c r="B6786" s="2" t="s">
        <v>14266</v>
      </c>
      <c r="C6786" s="2" t="s">
        <v>3154</v>
      </c>
      <c r="D6786" s="2" t="s">
        <v>14265</v>
      </c>
      <c r="E6786" s="2" t="str">
        <f>"9789523690912"</f>
        <v>9789523690912</v>
      </c>
      <c r="F6786" s="2" t="str">
        <f>"9789523690929"</f>
        <v>9789523690929</v>
      </c>
    </row>
    <row r="6787" spans="1:6" s="3" customFormat="1" ht="29.1" customHeight="1" x14ac:dyDescent="0.25">
      <c r="A6787" s="2" t="s">
        <v>14267</v>
      </c>
      <c r="B6787" s="2" t="s">
        <v>14268</v>
      </c>
      <c r="C6787" s="2" t="s">
        <v>3154</v>
      </c>
      <c r="D6787" s="2" t="s">
        <v>7180</v>
      </c>
      <c r="E6787" s="2" t="str">
        <f>"9789523690882"</f>
        <v>9789523690882</v>
      </c>
      <c r="F6787" s="2" t="str">
        <f>"9789523690899"</f>
        <v>9789523690899</v>
      </c>
    </row>
    <row r="6788" spans="1:6" s="3" customFormat="1" ht="29.1" customHeight="1" x14ac:dyDescent="0.25">
      <c r="A6788" s="2" t="s">
        <v>14269</v>
      </c>
      <c r="B6788" s="2" t="s">
        <v>14270</v>
      </c>
      <c r="C6788" s="2" t="s">
        <v>3154</v>
      </c>
      <c r="D6788" s="2" t="s">
        <v>189</v>
      </c>
      <c r="E6788" s="2" t="str">
        <f>"9789523690820"</f>
        <v>9789523690820</v>
      </c>
      <c r="F6788" s="2" t="str">
        <f>"9789523690837"</f>
        <v>9789523690837</v>
      </c>
    </row>
    <row r="6789" spans="1:6" s="3" customFormat="1" ht="29.1" customHeight="1" x14ac:dyDescent="0.25">
      <c r="A6789" s="2" t="s">
        <v>14271</v>
      </c>
      <c r="B6789" s="2" t="s">
        <v>14272</v>
      </c>
      <c r="C6789" s="2" t="s">
        <v>3154</v>
      </c>
      <c r="D6789" s="2" t="s">
        <v>606</v>
      </c>
      <c r="E6789" s="2" t="str">
        <f>"9789523690851"</f>
        <v>9789523690851</v>
      </c>
      <c r="F6789" s="2" t="str">
        <f>"9789523690868"</f>
        <v>9789523690868</v>
      </c>
    </row>
    <row r="6790" spans="1:6" s="3" customFormat="1" ht="29.1" customHeight="1" x14ac:dyDescent="0.25">
      <c r="A6790" s="2" t="s">
        <v>14273</v>
      </c>
      <c r="B6790" s="2" t="s">
        <v>14274</v>
      </c>
      <c r="C6790" s="2" t="s">
        <v>5</v>
      </c>
      <c r="D6790" s="2" t="s">
        <v>2045</v>
      </c>
      <c r="E6790" s="2" t="str">
        <f>"9789464634389"</f>
        <v>9789464634389</v>
      </c>
      <c r="F6790" s="2" t="str">
        <f>"9789464634396"</f>
        <v>9789464634396</v>
      </c>
    </row>
    <row r="6791" spans="1:6" s="3" customFormat="1" ht="29.1" customHeight="1" x14ac:dyDescent="0.25">
      <c r="A6791" s="2" t="s">
        <v>14275</v>
      </c>
      <c r="B6791" s="2" t="s">
        <v>14276</v>
      </c>
      <c r="C6791" s="2" t="s">
        <v>5</v>
      </c>
      <c r="D6791" s="2" t="s">
        <v>11572</v>
      </c>
      <c r="E6791" s="2" t="str">
        <f>"9783031585630"</f>
        <v>9783031585630</v>
      </c>
      <c r="F6791" s="2" t="str">
        <f>"9783031585647"</f>
        <v>9783031585647</v>
      </c>
    </row>
    <row r="6792" spans="1:6" s="3" customFormat="1" ht="29.1" customHeight="1" x14ac:dyDescent="0.25">
      <c r="A6792" s="2" t="s">
        <v>14277</v>
      </c>
      <c r="B6792" s="2" t="s">
        <v>14278</v>
      </c>
      <c r="C6792" s="2" t="s">
        <v>29</v>
      </c>
      <c r="D6792" s="2" t="s">
        <v>210</v>
      </c>
      <c r="E6792" s="2" t="str">
        <f>"9789004695610"</f>
        <v>9789004695610</v>
      </c>
      <c r="F6792" s="2" t="str">
        <f>"9789004695627"</f>
        <v>9789004695627</v>
      </c>
    </row>
    <row r="6793" spans="1:6" s="3" customFormat="1" ht="29.1" customHeight="1" x14ac:dyDescent="0.25">
      <c r="A6793" s="2" t="s">
        <v>14279</v>
      </c>
      <c r="B6793" s="2" t="s">
        <v>14280</v>
      </c>
      <c r="C6793" s="2" t="s">
        <v>29</v>
      </c>
      <c r="D6793" s="2" t="s">
        <v>4117</v>
      </c>
      <c r="E6793" s="2" t="str">
        <f>"9789004506244"</f>
        <v>9789004506244</v>
      </c>
      <c r="F6793" s="2" t="str">
        <f>"9789004506251"</f>
        <v>9789004506251</v>
      </c>
    </row>
    <row r="6794" spans="1:6" s="3" customFormat="1" ht="29.1" customHeight="1" x14ac:dyDescent="0.25">
      <c r="A6794" s="2" t="s">
        <v>14281</v>
      </c>
      <c r="B6794" s="2" t="s">
        <v>14282</v>
      </c>
      <c r="C6794" s="2" t="s">
        <v>29</v>
      </c>
      <c r="D6794" s="2" t="s">
        <v>509</v>
      </c>
      <c r="E6794" s="2" t="str">
        <f>"9789004352346"</f>
        <v>9789004352346</v>
      </c>
      <c r="F6794" s="2" t="str">
        <f>"9789004352353"</f>
        <v>9789004352353</v>
      </c>
    </row>
    <row r="6795" spans="1:6" s="3" customFormat="1" ht="29.1" customHeight="1" x14ac:dyDescent="0.25">
      <c r="A6795" s="2" t="s">
        <v>1372</v>
      </c>
      <c r="B6795" s="2" t="s">
        <v>2068</v>
      </c>
      <c r="C6795" s="2" t="s">
        <v>9794</v>
      </c>
      <c r="D6795" s="2" t="s">
        <v>1265</v>
      </c>
      <c r="E6795" s="2" t="str">
        <f>"9783318072600"</f>
        <v>9783318072600</v>
      </c>
      <c r="F6795" s="2" t="str">
        <f>"9783318073287"</f>
        <v>9783318073287</v>
      </c>
    </row>
    <row r="6796" spans="1:6" s="3" customFormat="1" ht="29.1" customHeight="1" x14ac:dyDescent="0.25">
      <c r="A6796" s="2" t="s">
        <v>14283</v>
      </c>
      <c r="B6796" s="2" t="s">
        <v>14284</v>
      </c>
      <c r="C6796" s="2" t="s">
        <v>14238</v>
      </c>
      <c r="D6796" s="2" t="s">
        <v>791</v>
      </c>
      <c r="E6796" s="2" t="str">
        <f>"9781912186747"</f>
        <v>9781912186747</v>
      </c>
      <c r="F6796" s="2" t="str">
        <f>"9781912186730"</f>
        <v>9781912186730</v>
      </c>
    </row>
    <row r="6797" spans="1:6" s="3" customFormat="1" ht="29.1" customHeight="1" x14ac:dyDescent="0.25">
      <c r="A6797" s="2" t="s">
        <v>14285</v>
      </c>
      <c r="B6797" s="2" t="s">
        <v>14286</v>
      </c>
      <c r="C6797" s="2" t="s">
        <v>14238</v>
      </c>
      <c r="D6797" s="2" t="s">
        <v>758</v>
      </c>
      <c r="E6797" s="2" t="str">
        <f>"9781912186143"</f>
        <v>9781912186143</v>
      </c>
      <c r="F6797" s="2" t="str">
        <f>"9781912186198"</f>
        <v>9781912186198</v>
      </c>
    </row>
    <row r="6798" spans="1:6" s="3" customFormat="1" ht="29.1" customHeight="1" x14ac:dyDescent="0.25">
      <c r="A6798" s="2" t="s">
        <v>14287</v>
      </c>
      <c r="B6798" s="2" t="s">
        <v>14289</v>
      </c>
      <c r="C6798" s="2" t="s">
        <v>14238</v>
      </c>
      <c r="D6798" s="2" t="s">
        <v>14288</v>
      </c>
      <c r="E6798" s="2" t="str">
        <f>"9781874267942"</f>
        <v>9781874267942</v>
      </c>
      <c r="F6798" s="2" t="str">
        <f>"9781912186013"</f>
        <v>9781912186013</v>
      </c>
    </row>
    <row r="6799" spans="1:6" s="3" customFormat="1" ht="29.1" customHeight="1" x14ac:dyDescent="0.25">
      <c r="A6799" s="2" t="s">
        <v>14290</v>
      </c>
      <c r="B6799" s="2" t="s">
        <v>14291</v>
      </c>
      <c r="C6799" s="2" t="s">
        <v>14238</v>
      </c>
      <c r="D6799" s="2" t="s">
        <v>841</v>
      </c>
      <c r="E6799" s="2" t="str">
        <f>"9781912186648"</f>
        <v>9781912186648</v>
      </c>
      <c r="F6799" s="2" t="str">
        <f>"9781912186655"</f>
        <v>9781912186655</v>
      </c>
    </row>
    <row r="6800" spans="1:6" s="3" customFormat="1" ht="29.1" customHeight="1" x14ac:dyDescent="0.25">
      <c r="A6800" s="2" t="s">
        <v>14292</v>
      </c>
      <c r="B6800" s="2" t="s">
        <v>14293</v>
      </c>
      <c r="C6800" s="2" t="s">
        <v>14238</v>
      </c>
      <c r="D6800" s="2" t="s">
        <v>8087</v>
      </c>
      <c r="E6800" s="2" t="str">
        <f>"9781912186266"</f>
        <v>9781912186266</v>
      </c>
      <c r="F6800" s="2" t="str">
        <f>"9781912186624"</f>
        <v>9781912186624</v>
      </c>
    </row>
    <row r="6801" spans="1:6" s="3" customFormat="1" ht="29.1" customHeight="1" x14ac:dyDescent="0.25">
      <c r="A6801" s="2" t="s">
        <v>14294</v>
      </c>
      <c r="B6801" s="2" t="s">
        <v>14296</v>
      </c>
      <c r="C6801" s="2" t="s">
        <v>14238</v>
      </c>
      <c r="D6801" s="2" t="s">
        <v>14295</v>
      </c>
      <c r="E6801" s="2" t="str">
        <f>"9781912186556"</f>
        <v>9781912186556</v>
      </c>
      <c r="F6801" s="2" t="str">
        <f>"9781912186600"</f>
        <v>9781912186600</v>
      </c>
    </row>
    <row r="6802" spans="1:6" s="3" customFormat="1" ht="29.1" customHeight="1" x14ac:dyDescent="0.25">
      <c r="A6802" s="2" t="s">
        <v>14297</v>
      </c>
      <c r="B6802" s="2" t="s">
        <v>14298</v>
      </c>
      <c r="C6802" s="2" t="s">
        <v>14238</v>
      </c>
      <c r="D6802" s="2" t="s">
        <v>758</v>
      </c>
      <c r="E6802" s="2" t="str">
        <f>"9781912186785"</f>
        <v>9781912186785</v>
      </c>
      <c r="F6802" s="2" t="str">
        <f>"9781912186792"</f>
        <v>9781912186792</v>
      </c>
    </row>
    <row r="6803" spans="1:6" s="3" customFormat="1" ht="29.1" customHeight="1" x14ac:dyDescent="0.25">
      <c r="A6803" s="2" t="s">
        <v>14299</v>
      </c>
      <c r="B6803" s="2" t="s">
        <v>14301</v>
      </c>
      <c r="C6803" s="2" t="s">
        <v>14238</v>
      </c>
      <c r="D6803" s="2" t="s">
        <v>14300</v>
      </c>
      <c r="E6803" s="2" t="str">
        <f>"9781912186716"</f>
        <v>9781912186716</v>
      </c>
      <c r="F6803" s="2" t="str">
        <f>"9781912186723"</f>
        <v>9781912186723</v>
      </c>
    </row>
    <row r="6804" spans="1:6" s="3" customFormat="1" ht="29.1" customHeight="1" x14ac:dyDescent="0.25">
      <c r="A6804" s="2" t="s">
        <v>14302</v>
      </c>
      <c r="B6804" s="2" t="s">
        <v>14303</v>
      </c>
      <c r="C6804" s="2" t="s">
        <v>14238</v>
      </c>
      <c r="D6804" s="2" t="s">
        <v>758</v>
      </c>
      <c r="E6804" s="2" t="str">
        <f>"9781912186761"</f>
        <v>9781912186761</v>
      </c>
      <c r="F6804" s="2" t="str">
        <f>"9781912186778"</f>
        <v>9781912186778</v>
      </c>
    </row>
    <row r="6805" spans="1:6" s="3" customFormat="1" ht="29.1" customHeight="1" x14ac:dyDescent="0.25">
      <c r="A6805" s="2" t="s">
        <v>14304</v>
      </c>
      <c r="B6805" s="2" t="s">
        <v>14305</v>
      </c>
      <c r="C6805" s="2" t="s">
        <v>14238</v>
      </c>
      <c r="D6805" s="2" t="s">
        <v>218</v>
      </c>
      <c r="E6805" s="2" t="str">
        <f>"9781874267614"</f>
        <v>9781874267614</v>
      </c>
      <c r="F6805" s="2" t="str">
        <f>"9781912186334"</f>
        <v>9781912186334</v>
      </c>
    </row>
    <row r="6806" spans="1:6" s="3" customFormat="1" ht="29.1" customHeight="1" x14ac:dyDescent="0.25">
      <c r="A6806" s="2" t="s">
        <v>14306</v>
      </c>
      <c r="B6806" s="2" t="s">
        <v>14307</v>
      </c>
      <c r="C6806" s="2" t="s">
        <v>149</v>
      </c>
      <c r="D6806" s="2" t="s">
        <v>4422</v>
      </c>
      <c r="E6806" s="2" t="str">
        <f>"9781912186839"</f>
        <v>9781912186839</v>
      </c>
      <c r="F6806" s="2" t="str">
        <f>"9781912186822"</f>
        <v>9781912186822</v>
      </c>
    </row>
    <row r="6807" spans="1:6" s="3" customFormat="1" ht="29.1" customHeight="1" x14ac:dyDescent="0.25">
      <c r="A6807" s="2" t="s">
        <v>14308</v>
      </c>
      <c r="B6807" s="2" t="s">
        <v>14310</v>
      </c>
      <c r="C6807" s="2" t="s">
        <v>14238</v>
      </c>
      <c r="D6807" s="2" t="s">
        <v>14309</v>
      </c>
      <c r="E6807" s="2" t="str">
        <f>"9781874267690"</f>
        <v>9781874267690</v>
      </c>
      <c r="F6807" s="2" t="str">
        <f>"9781912186310"</f>
        <v>9781912186310</v>
      </c>
    </row>
    <row r="6808" spans="1:6" s="3" customFormat="1" ht="29.1" customHeight="1" x14ac:dyDescent="0.25">
      <c r="A6808" s="2" t="s">
        <v>14311</v>
      </c>
      <c r="B6808" s="2" t="s">
        <v>14312</v>
      </c>
      <c r="C6808" s="2" t="s">
        <v>14238</v>
      </c>
      <c r="D6808" s="2" t="s">
        <v>758</v>
      </c>
      <c r="E6808" s="2" t="str">
        <f>"9781874267911"</f>
        <v>9781874267911</v>
      </c>
      <c r="F6808" s="2" t="str">
        <f>"9781912186365"</f>
        <v>9781912186365</v>
      </c>
    </row>
    <row r="6809" spans="1:6" s="3" customFormat="1" ht="29.1" customHeight="1" x14ac:dyDescent="0.25">
      <c r="A6809" s="2" t="s">
        <v>14313</v>
      </c>
      <c r="B6809" s="2" t="s">
        <v>14314</v>
      </c>
      <c r="C6809" s="2" t="s">
        <v>327</v>
      </c>
      <c r="D6809" s="2" t="s">
        <v>1717</v>
      </c>
      <c r="E6809" s="2" t="str">
        <f>"9788383314594"</f>
        <v>9788383314594</v>
      </c>
      <c r="F6809" s="2" t="str">
        <f>"9788383314600"</f>
        <v>9788383314600</v>
      </c>
    </row>
    <row r="6810" spans="1:6" s="3" customFormat="1" ht="29.1" customHeight="1" x14ac:dyDescent="0.25">
      <c r="A6810" s="2" t="s">
        <v>14315</v>
      </c>
      <c r="B6810" s="2" t="s">
        <v>14316</v>
      </c>
      <c r="C6810" s="2" t="s">
        <v>5</v>
      </c>
      <c r="D6810" s="2" t="s">
        <v>3172</v>
      </c>
      <c r="E6810" s="2" t="str">
        <f>"9783031487224"</f>
        <v>9783031487224</v>
      </c>
      <c r="F6810" s="2" t="str">
        <f>"9783031487231"</f>
        <v>9783031487231</v>
      </c>
    </row>
    <row r="6811" spans="1:6" s="3" customFormat="1" ht="29.1" customHeight="1" x14ac:dyDescent="0.25">
      <c r="A6811" s="2" t="s">
        <v>14317</v>
      </c>
      <c r="B6811" s="2" t="s">
        <v>14318</v>
      </c>
      <c r="C6811" s="2" t="s">
        <v>5</v>
      </c>
      <c r="D6811" s="2" t="s">
        <v>889</v>
      </c>
      <c r="E6811" s="2" t="str">
        <f>"9783031600524"</f>
        <v>9783031600524</v>
      </c>
      <c r="F6811" s="2" t="str">
        <f>"9783031600531"</f>
        <v>9783031600531</v>
      </c>
    </row>
    <row r="6812" spans="1:6" s="3" customFormat="1" ht="29.1" customHeight="1" x14ac:dyDescent="0.25">
      <c r="A6812" s="2" t="s">
        <v>14319</v>
      </c>
      <c r="B6812" s="2" t="s">
        <v>14320</v>
      </c>
      <c r="C6812" s="2" t="s">
        <v>149</v>
      </c>
      <c r="D6812" s="2" t="s">
        <v>297</v>
      </c>
      <c r="E6812" s="2"/>
      <c r="F6812" s="2" t="str">
        <f>"9781800641723"</f>
        <v>9781800641723</v>
      </c>
    </row>
    <row r="6813" spans="1:6" s="3" customFormat="1" ht="29.1" customHeight="1" x14ac:dyDescent="0.25">
      <c r="A6813" s="2" t="s">
        <v>14321</v>
      </c>
      <c r="B6813" s="2" t="s">
        <v>14322</v>
      </c>
      <c r="C6813" s="2" t="s">
        <v>149</v>
      </c>
      <c r="D6813" s="2" t="s">
        <v>4238</v>
      </c>
      <c r="E6813" s="2"/>
      <c r="F6813" s="2" t="str">
        <f>"9781805111962"</f>
        <v>9781805111962</v>
      </c>
    </row>
    <row r="6814" spans="1:6" s="3" customFormat="1" ht="29.1" customHeight="1" x14ac:dyDescent="0.25">
      <c r="A6814" s="2" t="s">
        <v>14323</v>
      </c>
      <c r="B6814" s="2" t="s">
        <v>14324</v>
      </c>
      <c r="C6814" s="2" t="s">
        <v>149</v>
      </c>
      <c r="D6814" s="2" t="s">
        <v>968</v>
      </c>
      <c r="E6814" s="2"/>
      <c r="F6814" s="2" t="str">
        <f>"9781805113188"</f>
        <v>9781805113188</v>
      </c>
    </row>
    <row r="6815" spans="1:6" s="3" customFormat="1" ht="29.1" customHeight="1" x14ac:dyDescent="0.25">
      <c r="A6815" s="2" t="s">
        <v>14325</v>
      </c>
      <c r="B6815" s="2" t="s">
        <v>14326</v>
      </c>
      <c r="C6815" s="2" t="s">
        <v>248</v>
      </c>
      <c r="D6815" s="2" t="s">
        <v>1155</v>
      </c>
      <c r="E6815" s="2" t="str">
        <f>"9783847427049"</f>
        <v>9783847427049</v>
      </c>
      <c r="F6815" s="2" t="str">
        <f>"9783847418733"</f>
        <v>9783847418733</v>
      </c>
    </row>
    <row r="6816" spans="1:6" s="3" customFormat="1" ht="29.1" customHeight="1" x14ac:dyDescent="0.25">
      <c r="A6816" s="2" t="s">
        <v>14327</v>
      </c>
      <c r="B6816" s="2" t="s">
        <v>14328</v>
      </c>
      <c r="C6816" s="2" t="s">
        <v>248</v>
      </c>
      <c r="D6816" s="2" t="s">
        <v>75</v>
      </c>
      <c r="E6816" s="2" t="str">
        <f>"9783847427216"</f>
        <v>9783847427216</v>
      </c>
      <c r="F6816" s="2" t="str">
        <f>"9783847418924"</f>
        <v>9783847418924</v>
      </c>
    </row>
    <row r="6817" spans="1:6" s="3" customFormat="1" ht="29.1" customHeight="1" x14ac:dyDescent="0.25">
      <c r="A6817" s="2" t="s">
        <v>14329</v>
      </c>
      <c r="B6817" s="2" t="s">
        <v>14330</v>
      </c>
      <c r="C6817" s="2" t="s">
        <v>5</v>
      </c>
      <c r="D6817" s="2" t="s">
        <v>689</v>
      </c>
      <c r="E6817" s="2" t="str">
        <f>"9783031594267"</f>
        <v>9783031594267</v>
      </c>
      <c r="F6817" s="2" t="str">
        <f>"9783031594274"</f>
        <v>9783031594274</v>
      </c>
    </row>
    <row r="6818" spans="1:6" s="3" customFormat="1" ht="29.1" customHeight="1" x14ac:dyDescent="0.25">
      <c r="A6818" s="2" t="s">
        <v>14331</v>
      </c>
      <c r="B6818" s="2" t="s">
        <v>14332</v>
      </c>
      <c r="C6818" s="2" t="s">
        <v>2188</v>
      </c>
      <c r="D6818" s="2" t="s">
        <v>3328</v>
      </c>
      <c r="E6818" s="2" t="str">
        <f>"9788323224624"</f>
        <v>9788323224624</v>
      </c>
      <c r="F6818" s="2" t="str">
        <f>"9788323243069"</f>
        <v>9788323243069</v>
      </c>
    </row>
    <row r="6819" spans="1:6" s="3" customFormat="1" ht="29.1" customHeight="1" x14ac:dyDescent="0.25">
      <c r="A6819" s="2" t="s">
        <v>14333</v>
      </c>
      <c r="B6819" s="2" t="s">
        <v>14334</v>
      </c>
      <c r="C6819" s="2" t="s">
        <v>2188</v>
      </c>
      <c r="D6819" s="2" t="s">
        <v>3155</v>
      </c>
      <c r="E6819" s="2" t="str">
        <f>"9788323226888"</f>
        <v>9788323226888</v>
      </c>
      <c r="F6819" s="2" t="str">
        <f>"9788323243052"</f>
        <v>9788323243052</v>
      </c>
    </row>
    <row r="6820" spans="1:6" s="3" customFormat="1" ht="29.1" customHeight="1" x14ac:dyDescent="0.25">
      <c r="A6820" s="2" t="s">
        <v>14335</v>
      </c>
      <c r="B6820" s="2" t="s">
        <v>14336</v>
      </c>
      <c r="C6820" s="2" t="s">
        <v>2188</v>
      </c>
      <c r="D6820" s="2" t="s">
        <v>81</v>
      </c>
      <c r="E6820" s="2" t="str">
        <f>"9788323242536"</f>
        <v>9788323242536</v>
      </c>
      <c r="F6820" s="2" t="str">
        <f>"9788323242543"</f>
        <v>9788323242543</v>
      </c>
    </row>
    <row r="6821" spans="1:6" s="3" customFormat="1" ht="29.1" customHeight="1" x14ac:dyDescent="0.25">
      <c r="A6821" s="2" t="s">
        <v>14337</v>
      </c>
      <c r="B6821" s="2" t="s">
        <v>14338</v>
      </c>
      <c r="C6821" s="2" t="s">
        <v>36</v>
      </c>
      <c r="D6821" s="2" t="s">
        <v>791</v>
      </c>
      <c r="E6821" s="2" t="str">
        <f>"9781529242102"</f>
        <v>9781529242102</v>
      </c>
      <c r="F6821" s="2" t="str">
        <f>"9781529242126"</f>
        <v>9781529242126</v>
      </c>
    </row>
    <row r="6822" spans="1:6" s="3" customFormat="1" ht="29.1" customHeight="1" x14ac:dyDescent="0.25">
      <c r="A6822" s="2" t="s">
        <v>14339</v>
      </c>
      <c r="B6822" s="2" t="s">
        <v>14340</v>
      </c>
      <c r="C6822" s="2" t="s">
        <v>36</v>
      </c>
      <c r="D6822" s="2" t="s">
        <v>712</v>
      </c>
      <c r="E6822" s="2" t="str">
        <f>"9781529239515"</f>
        <v>9781529239515</v>
      </c>
      <c r="F6822" s="2" t="str">
        <f>"9781529239539"</f>
        <v>9781529239539</v>
      </c>
    </row>
    <row r="6823" spans="1:6" s="3" customFormat="1" ht="29.1" customHeight="1" x14ac:dyDescent="0.25">
      <c r="A6823" s="2" t="s">
        <v>14341</v>
      </c>
      <c r="B6823" s="2" t="s">
        <v>14342</v>
      </c>
      <c r="C6823" s="2" t="s">
        <v>36</v>
      </c>
      <c r="D6823" s="2" t="s">
        <v>78</v>
      </c>
      <c r="E6823" s="2" t="str">
        <f>"9781529235753"</f>
        <v>9781529235753</v>
      </c>
      <c r="F6823" s="2" t="str">
        <f>"9781529235760"</f>
        <v>9781529235760</v>
      </c>
    </row>
    <row r="6824" spans="1:6" s="3" customFormat="1" ht="29.1" customHeight="1" x14ac:dyDescent="0.25">
      <c r="A6824" s="2" t="s">
        <v>14343</v>
      </c>
      <c r="B6824" s="2" t="s">
        <v>14344</v>
      </c>
      <c r="C6824" s="2" t="s">
        <v>36</v>
      </c>
      <c r="D6824" s="2" t="s">
        <v>1077</v>
      </c>
      <c r="E6824" s="2" t="str">
        <f>"9781529235241"</f>
        <v>9781529235241</v>
      </c>
      <c r="F6824" s="2" t="str">
        <f>"9781529235265"</f>
        <v>9781529235265</v>
      </c>
    </row>
    <row r="6825" spans="1:6" s="3" customFormat="1" ht="29.1" customHeight="1" x14ac:dyDescent="0.25">
      <c r="A6825" s="2" t="s">
        <v>14345</v>
      </c>
      <c r="B6825" s="2" t="s">
        <v>14346</v>
      </c>
      <c r="C6825" s="2" t="s">
        <v>36</v>
      </c>
      <c r="D6825" s="2" t="s">
        <v>6559</v>
      </c>
      <c r="E6825" s="2" t="str">
        <f>"9781529233544"</f>
        <v>9781529233544</v>
      </c>
      <c r="F6825" s="2" t="str">
        <f>"9781529233551"</f>
        <v>9781529233551</v>
      </c>
    </row>
    <row r="6826" spans="1:6" s="3" customFormat="1" ht="29.1" customHeight="1" x14ac:dyDescent="0.25">
      <c r="A6826" s="2" t="s">
        <v>14347</v>
      </c>
      <c r="B6826" s="2" t="s">
        <v>14348</v>
      </c>
      <c r="C6826" s="2" t="s">
        <v>36</v>
      </c>
      <c r="D6826" s="2" t="s">
        <v>15</v>
      </c>
      <c r="E6826" s="2" t="str">
        <f>"9781529232356"</f>
        <v>9781529232356</v>
      </c>
      <c r="F6826" s="2" t="str">
        <f>"9781529232363"</f>
        <v>9781529232363</v>
      </c>
    </row>
    <row r="6827" spans="1:6" s="3" customFormat="1" ht="29.1" customHeight="1" x14ac:dyDescent="0.25">
      <c r="A6827" s="2" t="s">
        <v>14349</v>
      </c>
      <c r="B6827" s="2" t="s">
        <v>14350</v>
      </c>
      <c r="C6827" s="2" t="s">
        <v>36</v>
      </c>
      <c r="D6827" s="2" t="s">
        <v>674</v>
      </c>
      <c r="E6827" s="2" t="str">
        <f>"9781529232226"</f>
        <v>9781529232226</v>
      </c>
      <c r="F6827" s="2" t="str">
        <f>"9781529232233"</f>
        <v>9781529232233</v>
      </c>
    </row>
    <row r="6828" spans="1:6" s="3" customFormat="1" ht="29.1" customHeight="1" x14ac:dyDescent="0.25">
      <c r="A6828" s="2" t="s">
        <v>14351</v>
      </c>
      <c r="B6828" s="2" t="s">
        <v>14353</v>
      </c>
      <c r="C6828" s="2" t="s">
        <v>36</v>
      </c>
      <c r="D6828" s="2" t="s">
        <v>14352</v>
      </c>
      <c r="E6828" s="2" t="str">
        <f>"9781529231861"</f>
        <v>9781529231861</v>
      </c>
      <c r="F6828" s="2" t="str">
        <f>"9781529231878"</f>
        <v>9781529231878</v>
      </c>
    </row>
    <row r="6829" spans="1:6" s="3" customFormat="1" ht="29.1" customHeight="1" x14ac:dyDescent="0.25">
      <c r="A6829" s="2" t="s">
        <v>14354</v>
      </c>
      <c r="B6829" s="2" t="s">
        <v>14356</v>
      </c>
      <c r="C6829" s="2" t="s">
        <v>36</v>
      </c>
      <c r="D6829" s="2" t="s">
        <v>14355</v>
      </c>
      <c r="E6829" s="2" t="str">
        <f>"9781529230475"</f>
        <v>9781529230475</v>
      </c>
      <c r="F6829" s="2" t="str">
        <f>"9781529230499"</f>
        <v>9781529230499</v>
      </c>
    </row>
    <row r="6830" spans="1:6" s="3" customFormat="1" ht="29.1" customHeight="1" x14ac:dyDescent="0.25">
      <c r="A6830" s="2" t="s">
        <v>14357</v>
      </c>
      <c r="B6830" s="2" t="s">
        <v>14358</v>
      </c>
      <c r="C6830" s="2" t="s">
        <v>36</v>
      </c>
      <c r="D6830" s="2" t="s">
        <v>882</v>
      </c>
      <c r="E6830" s="2" t="str">
        <f>"9781529229288"</f>
        <v>9781529229288</v>
      </c>
      <c r="F6830" s="2" t="str">
        <f>"9781529229295"</f>
        <v>9781529229295</v>
      </c>
    </row>
    <row r="6831" spans="1:6" s="3" customFormat="1" ht="29.1" customHeight="1" x14ac:dyDescent="0.25">
      <c r="A6831" s="2" t="s">
        <v>14359</v>
      </c>
      <c r="B6831" s="2" t="s">
        <v>14360</v>
      </c>
      <c r="C6831" s="2" t="s">
        <v>36</v>
      </c>
      <c r="D6831" s="2" t="s">
        <v>5806</v>
      </c>
      <c r="E6831" s="2" t="str">
        <f>"9781529229042"</f>
        <v>9781529229042</v>
      </c>
      <c r="F6831" s="2" t="str">
        <f>"9781529229066"</f>
        <v>9781529229066</v>
      </c>
    </row>
    <row r="6832" spans="1:6" s="3" customFormat="1" ht="29.1" customHeight="1" x14ac:dyDescent="0.25">
      <c r="A6832" s="2" t="s">
        <v>14361</v>
      </c>
      <c r="B6832" s="2" t="s">
        <v>14362</v>
      </c>
      <c r="C6832" s="2" t="s">
        <v>36</v>
      </c>
      <c r="D6832" s="2" t="s">
        <v>4002</v>
      </c>
      <c r="E6832" s="2" t="str">
        <f>"9781529228953"</f>
        <v>9781529228953</v>
      </c>
      <c r="F6832" s="2" t="str">
        <f>"9781529228977"</f>
        <v>9781529228977</v>
      </c>
    </row>
    <row r="6833" spans="1:6" s="3" customFormat="1" ht="29.1" customHeight="1" x14ac:dyDescent="0.25">
      <c r="A6833" s="2" t="s">
        <v>14363</v>
      </c>
      <c r="B6833" s="2" t="s">
        <v>14365</v>
      </c>
      <c r="C6833" s="2" t="s">
        <v>36</v>
      </c>
      <c r="D6833" s="2" t="s">
        <v>14364</v>
      </c>
      <c r="E6833" s="2" t="str">
        <f>"9781529228915"</f>
        <v>9781529228915</v>
      </c>
      <c r="F6833" s="2" t="str">
        <f>"9781529228939"</f>
        <v>9781529228939</v>
      </c>
    </row>
    <row r="6834" spans="1:6" s="3" customFormat="1" ht="29.1" customHeight="1" x14ac:dyDescent="0.25">
      <c r="A6834" s="2" t="s">
        <v>14366</v>
      </c>
      <c r="B6834" s="2" t="s">
        <v>14367</v>
      </c>
      <c r="C6834" s="2" t="s">
        <v>36</v>
      </c>
      <c r="D6834" s="2" t="s">
        <v>6559</v>
      </c>
      <c r="E6834" s="2" t="str">
        <f>"9781529228625"</f>
        <v>9781529228625</v>
      </c>
      <c r="F6834" s="2" t="str">
        <f>"9781529228649"</f>
        <v>9781529228649</v>
      </c>
    </row>
    <row r="6835" spans="1:6" s="3" customFormat="1" ht="29.1" customHeight="1" x14ac:dyDescent="0.25">
      <c r="A6835" s="2" t="s">
        <v>14368</v>
      </c>
      <c r="B6835" s="2" t="s">
        <v>14369</v>
      </c>
      <c r="C6835" s="2" t="s">
        <v>36</v>
      </c>
      <c r="D6835" s="2" t="s">
        <v>791</v>
      </c>
      <c r="E6835" s="2" t="str">
        <f>"9781529228007"</f>
        <v>9781529228007</v>
      </c>
      <c r="F6835" s="2" t="str">
        <f>"9781529228021"</f>
        <v>9781529228021</v>
      </c>
    </row>
    <row r="6836" spans="1:6" s="3" customFormat="1" ht="29.1" customHeight="1" x14ac:dyDescent="0.25">
      <c r="A6836" s="2" t="s">
        <v>14370</v>
      </c>
      <c r="B6836" s="2" t="s">
        <v>14371</v>
      </c>
      <c r="C6836" s="2" t="s">
        <v>36</v>
      </c>
      <c r="D6836" s="2" t="s">
        <v>4190</v>
      </c>
      <c r="E6836" s="2" t="str">
        <f>"9781529226058"</f>
        <v>9781529226058</v>
      </c>
      <c r="F6836" s="2" t="str">
        <f>"9781529226072"</f>
        <v>9781529226072</v>
      </c>
    </row>
    <row r="6837" spans="1:6" s="3" customFormat="1" ht="29.1" customHeight="1" x14ac:dyDescent="0.25">
      <c r="A6837" s="2" t="s">
        <v>14372</v>
      </c>
      <c r="B6837" s="2" t="s">
        <v>14373</v>
      </c>
      <c r="C6837" s="2" t="s">
        <v>36</v>
      </c>
      <c r="D6837" s="2" t="s">
        <v>674</v>
      </c>
      <c r="E6837" s="2" t="str">
        <f>"9781529225624"</f>
        <v>9781529225624</v>
      </c>
      <c r="F6837" s="2" t="str">
        <f>"9781529225648"</f>
        <v>9781529225648</v>
      </c>
    </row>
    <row r="6838" spans="1:6" s="3" customFormat="1" ht="29.1" customHeight="1" x14ac:dyDescent="0.25">
      <c r="A6838" s="2" t="s">
        <v>14374</v>
      </c>
      <c r="B6838" s="2" t="s">
        <v>14375</v>
      </c>
      <c r="C6838" s="2" t="s">
        <v>36</v>
      </c>
      <c r="D6838" s="2" t="s">
        <v>207</v>
      </c>
      <c r="E6838" s="2" t="str">
        <f>"9781529222487"</f>
        <v>9781529222487</v>
      </c>
      <c r="F6838" s="2" t="str">
        <f>"9781529222517"</f>
        <v>9781529222517</v>
      </c>
    </row>
    <row r="6839" spans="1:6" s="3" customFormat="1" ht="29.1" customHeight="1" x14ac:dyDescent="0.25">
      <c r="A6839" s="2" t="s">
        <v>14376</v>
      </c>
      <c r="B6839" s="2" t="s">
        <v>14377</v>
      </c>
      <c r="C6839" s="2" t="s">
        <v>36</v>
      </c>
      <c r="D6839" s="2" t="s">
        <v>4045</v>
      </c>
      <c r="E6839" s="2" t="str">
        <f>"9781529241105"</f>
        <v>9781529241105</v>
      </c>
      <c r="F6839" s="2" t="str">
        <f>"9781529241129"</f>
        <v>9781529241129</v>
      </c>
    </row>
    <row r="6840" spans="1:6" s="3" customFormat="1" ht="29.1" customHeight="1" x14ac:dyDescent="0.25">
      <c r="A6840" s="2" t="s">
        <v>14378</v>
      </c>
      <c r="B6840" s="2" t="s">
        <v>6562</v>
      </c>
      <c r="C6840" s="2" t="s">
        <v>36</v>
      </c>
      <c r="D6840" s="2" t="s">
        <v>1209</v>
      </c>
      <c r="E6840" s="2" t="str">
        <f>"9781529234404"</f>
        <v>9781529234404</v>
      </c>
      <c r="F6840" s="2" t="str">
        <f>"9781529234435"</f>
        <v>9781529234435</v>
      </c>
    </row>
    <row r="6841" spans="1:6" s="3" customFormat="1" ht="29.1" customHeight="1" x14ac:dyDescent="0.25">
      <c r="A6841" s="2" t="s">
        <v>14379</v>
      </c>
      <c r="B6841" s="2" t="s">
        <v>14380</v>
      </c>
      <c r="C6841" s="2" t="s">
        <v>36</v>
      </c>
      <c r="D6841" s="2" t="s">
        <v>378</v>
      </c>
      <c r="E6841" s="2" t="str">
        <f>"9781529225426"</f>
        <v>9781529225426</v>
      </c>
      <c r="F6841" s="2" t="str">
        <f>"9781529225440"</f>
        <v>9781529225440</v>
      </c>
    </row>
    <row r="6842" spans="1:6" s="3" customFormat="1" ht="29.1" customHeight="1" x14ac:dyDescent="0.25">
      <c r="A6842" s="2" t="s">
        <v>14381</v>
      </c>
      <c r="B6842" s="2" t="s">
        <v>14382</v>
      </c>
      <c r="C6842" s="2" t="s">
        <v>36</v>
      </c>
      <c r="D6842" s="2" t="s">
        <v>72</v>
      </c>
      <c r="E6842" s="2" t="str">
        <f>"9781447373575"</f>
        <v>9781447373575</v>
      </c>
      <c r="F6842" s="2" t="str">
        <f>"9781447373605"</f>
        <v>9781447373605</v>
      </c>
    </row>
    <row r="6843" spans="1:6" s="3" customFormat="1" ht="29.1" customHeight="1" x14ac:dyDescent="0.25">
      <c r="A6843" s="2" t="s">
        <v>14383</v>
      </c>
      <c r="B6843" s="2" t="s">
        <v>14384</v>
      </c>
      <c r="C6843" s="2" t="s">
        <v>36</v>
      </c>
      <c r="D6843" s="2" t="s">
        <v>72</v>
      </c>
      <c r="E6843" s="2" t="str">
        <f>"9781447369189"</f>
        <v>9781447369189</v>
      </c>
      <c r="F6843" s="2" t="str">
        <f>"9781447369219"</f>
        <v>9781447369219</v>
      </c>
    </row>
    <row r="6844" spans="1:6" s="3" customFormat="1" ht="29.1" customHeight="1" x14ac:dyDescent="0.25">
      <c r="A6844" s="2" t="s">
        <v>14385</v>
      </c>
      <c r="B6844" s="2" t="s">
        <v>14386</v>
      </c>
      <c r="C6844" s="2" t="s">
        <v>36</v>
      </c>
      <c r="D6844" s="2" t="s">
        <v>2139</v>
      </c>
      <c r="E6844" s="2" t="str">
        <f>"9781447368540"</f>
        <v>9781447368540</v>
      </c>
      <c r="F6844" s="2" t="str">
        <f>"9781447368571"</f>
        <v>9781447368571</v>
      </c>
    </row>
    <row r="6845" spans="1:6" s="3" customFormat="1" ht="29.1" customHeight="1" x14ac:dyDescent="0.25">
      <c r="A6845" s="2" t="s">
        <v>14387</v>
      </c>
      <c r="B6845" s="2" t="s">
        <v>14388</v>
      </c>
      <c r="C6845" s="2" t="s">
        <v>36</v>
      </c>
      <c r="D6845" s="2" t="s">
        <v>72</v>
      </c>
      <c r="E6845" s="2" t="str">
        <f>"9781447365709"</f>
        <v>9781447365709</v>
      </c>
      <c r="F6845" s="2" t="str">
        <f>"9781447365723"</f>
        <v>9781447365723</v>
      </c>
    </row>
    <row r="6846" spans="1:6" s="3" customFormat="1" ht="29.1" customHeight="1" x14ac:dyDescent="0.25">
      <c r="A6846" s="2" t="s">
        <v>14389</v>
      </c>
      <c r="B6846" s="2" t="s">
        <v>14390</v>
      </c>
      <c r="C6846" s="2" t="s">
        <v>36</v>
      </c>
      <c r="D6846" s="2" t="s">
        <v>249</v>
      </c>
      <c r="E6846" s="2" t="str">
        <f>"9781447371236"</f>
        <v>9781447371236</v>
      </c>
      <c r="F6846" s="2" t="str">
        <f>"9781447371250"</f>
        <v>9781447371250</v>
      </c>
    </row>
    <row r="6847" spans="1:6" s="3" customFormat="1" ht="29.1" customHeight="1" x14ac:dyDescent="0.25">
      <c r="A6847" s="2" t="s">
        <v>14391</v>
      </c>
      <c r="B6847" s="2" t="s">
        <v>14392</v>
      </c>
      <c r="C6847" s="2" t="s">
        <v>36</v>
      </c>
      <c r="D6847" s="2" t="s">
        <v>5806</v>
      </c>
      <c r="E6847" s="2" t="str">
        <f>"9781447370604"</f>
        <v>9781447370604</v>
      </c>
      <c r="F6847" s="2" t="str">
        <f>"9781447370611"</f>
        <v>9781447370611</v>
      </c>
    </row>
    <row r="6848" spans="1:6" s="3" customFormat="1" ht="29.1" customHeight="1" x14ac:dyDescent="0.25">
      <c r="A6848" s="2" t="s">
        <v>14393</v>
      </c>
      <c r="B6848" s="2" t="s">
        <v>14394</v>
      </c>
      <c r="C6848" s="2" t="s">
        <v>36</v>
      </c>
      <c r="D6848" s="2" t="s">
        <v>15</v>
      </c>
      <c r="E6848" s="2"/>
      <c r="F6848" s="2" t="str">
        <f>"9781447370130"</f>
        <v>9781447370130</v>
      </c>
    </row>
    <row r="6849" spans="1:6" s="3" customFormat="1" ht="29.1" customHeight="1" x14ac:dyDescent="0.25">
      <c r="A6849" s="2" t="s">
        <v>14395</v>
      </c>
      <c r="B6849" s="2" t="s">
        <v>14396</v>
      </c>
      <c r="C6849" s="2" t="s">
        <v>36</v>
      </c>
      <c r="D6849" s="2" t="s">
        <v>2361</v>
      </c>
      <c r="E6849" s="2" t="str">
        <f>"9781447369226"</f>
        <v>9781447369226</v>
      </c>
      <c r="F6849" s="2" t="str">
        <f>"9781447369233"</f>
        <v>9781447369233</v>
      </c>
    </row>
    <row r="6850" spans="1:6" s="3" customFormat="1" ht="29.1" customHeight="1" x14ac:dyDescent="0.25">
      <c r="A6850" s="2" t="s">
        <v>14397</v>
      </c>
      <c r="B6850" s="2" t="s">
        <v>14398</v>
      </c>
      <c r="C6850" s="2" t="s">
        <v>36</v>
      </c>
      <c r="D6850" s="2" t="s">
        <v>15</v>
      </c>
      <c r="E6850" s="2" t="str">
        <f>"9781447369110"</f>
        <v>9781447369110</v>
      </c>
      <c r="F6850" s="2" t="str">
        <f>"9781447369127"</f>
        <v>9781447369127</v>
      </c>
    </row>
    <row r="6851" spans="1:6" s="3" customFormat="1" ht="29.1" customHeight="1" x14ac:dyDescent="0.25">
      <c r="A6851" s="2" t="s">
        <v>14399</v>
      </c>
      <c r="B6851" s="2" t="s">
        <v>14400</v>
      </c>
      <c r="C6851" s="2" t="s">
        <v>36</v>
      </c>
      <c r="D6851" s="2" t="s">
        <v>2361</v>
      </c>
      <c r="E6851" s="2" t="str">
        <f>"9781447368878"</f>
        <v>9781447368878</v>
      </c>
      <c r="F6851" s="2" t="str">
        <f>"9781447368892"</f>
        <v>9781447368892</v>
      </c>
    </row>
    <row r="6852" spans="1:6" s="3" customFormat="1" ht="29.1" customHeight="1" x14ac:dyDescent="0.25">
      <c r="A6852" s="2" t="s">
        <v>14401</v>
      </c>
      <c r="B6852" s="2" t="s">
        <v>14402</v>
      </c>
      <c r="C6852" s="2" t="s">
        <v>36</v>
      </c>
      <c r="D6852" s="2" t="s">
        <v>868</v>
      </c>
      <c r="E6852" s="2" t="str">
        <f>"9781447368847"</f>
        <v>9781447368847</v>
      </c>
      <c r="F6852" s="2" t="str">
        <f>"9781447368861"</f>
        <v>9781447368861</v>
      </c>
    </row>
    <row r="6853" spans="1:6" s="3" customFormat="1" ht="29.1" customHeight="1" x14ac:dyDescent="0.25">
      <c r="A6853" s="2" t="s">
        <v>14403</v>
      </c>
      <c r="B6853" s="2" t="s">
        <v>14404</v>
      </c>
      <c r="C6853" s="2" t="s">
        <v>36</v>
      </c>
      <c r="D6853" s="2" t="s">
        <v>998</v>
      </c>
      <c r="E6853" s="2" t="str">
        <f>"9781447367994"</f>
        <v>9781447367994</v>
      </c>
      <c r="F6853" s="2" t="str">
        <f>"9781447368014"</f>
        <v>9781447368014</v>
      </c>
    </row>
    <row r="6854" spans="1:6" s="3" customFormat="1" ht="29.1" customHeight="1" x14ac:dyDescent="0.25">
      <c r="A6854" s="2" t="s">
        <v>14405</v>
      </c>
      <c r="B6854" s="2" t="s">
        <v>14406</v>
      </c>
      <c r="C6854" s="2" t="s">
        <v>36</v>
      </c>
      <c r="D6854" s="2" t="s">
        <v>2139</v>
      </c>
      <c r="E6854" s="2" t="str">
        <f>"9781447367444"</f>
        <v>9781447367444</v>
      </c>
      <c r="F6854" s="2" t="str">
        <f>"9781447367468"</f>
        <v>9781447367468</v>
      </c>
    </row>
    <row r="6855" spans="1:6" s="3" customFormat="1" ht="29.1" customHeight="1" x14ac:dyDescent="0.25">
      <c r="A6855" s="2" t="s">
        <v>14407</v>
      </c>
      <c r="B6855" s="2" t="s">
        <v>14408</v>
      </c>
      <c r="C6855" s="2" t="s">
        <v>36</v>
      </c>
      <c r="D6855" s="2" t="s">
        <v>101</v>
      </c>
      <c r="E6855" s="2" t="str">
        <f>"9781447367338"</f>
        <v>9781447367338</v>
      </c>
      <c r="F6855" s="2" t="str">
        <f>"9781447367352"</f>
        <v>9781447367352</v>
      </c>
    </row>
    <row r="6856" spans="1:6" s="3" customFormat="1" ht="29.1" customHeight="1" x14ac:dyDescent="0.25">
      <c r="A6856" s="2" t="s">
        <v>14409</v>
      </c>
      <c r="B6856" s="2" t="s">
        <v>14410</v>
      </c>
      <c r="C6856" s="2" t="s">
        <v>36</v>
      </c>
      <c r="D6856" s="2" t="s">
        <v>294</v>
      </c>
      <c r="E6856" s="2" t="str">
        <f>"9781447367161"</f>
        <v>9781447367161</v>
      </c>
      <c r="F6856" s="2" t="str">
        <f>"9781447367185"</f>
        <v>9781447367185</v>
      </c>
    </row>
    <row r="6857" spans="1:6" s="3" customFormat="1" ht="29.1" customHeight="1" x14ac:dyDescent="0.25">
      <c r="A6857" s="2" t="s">
        <v>14411</v>
      </c>
      <c r="B6857" s="2" t="s">
        <v>14412</v>
      </c>
      <c r="C6857" s="2" t="s">
        <v>36</v>
      </c>
      <c r="D6857" s="2" t="s">
        <v>1694</v>
      </c>
      <c r="E6857" s="2" t="str">
        <f>"9781447367055"</f>
        <v>9781447367055</v>
      </c>
      <c r="F6857" s="2" t="str">
        <f>"9781447367079"</f>
        <v>9781447367079</v>
      </c>
    </row>
    <row r="6858" spans="1:6" s="3" customFormat="1" ht="29.1" customHeight="1" x14ac:dyDescent="0.25">
      <c r="A6858" s="2" t="s">
        <v>14413</v>
      </c>
      <c r="B6858" s="2" t="s">
        <v>14414</v>
      </c>
      <c r="C6858" s="2" t="s">
        <v>36</v>
      </c>
      <c r="D6858" s="2" t="s">
        <v>249</v>
      </c>
      <c r="E6858" s="2" t="str">
        <f>"9781447366287"</f>
        <v>9781447366287</v>
      </c>
      <c r="F6858" s="2" t="str">
        <f>"9781447366317"</f>
        <v>9781447366317</v>
      </c>
    </row>
    <row r="6859" spans="1:6" s="3" customFormat="1" ht="29.1" customHeight="1" x14ac:dyDescent="0.25">
      <c r="A6859" s="2" t="s">
        <v>14415</v>
      </c>
      <c r="B6859" s="2" t="s">
        <v>14416</v>
      </c>
      <c r="C6859" s="2" t="s">
        <v>36</v>
      </c>
      <c r="D6859" s="2" t="s">
        <v>2139</v>
      </c>
      <c r="E6859" s="2" t="str">
        <f>"9781447366164"</f>
        <v>9781447366164</v>
      </c>
      <c r="F6859" s="2" t="str">
        <f>"9781447366188"</f>
        <v>9781447366188</v>
      </c>
    </row>
    <row r="6860" spans="1:6" s="3" customFormat="1" ht="29.1" customHeight="1" x14ac:dyDescent="0.25">
      <c r="A6860" s="2" t="s">
        <v>14417</v>
      </c>
      <c r="B6860" s="2" t="s">
        <v>14418</v>
      </c>
      <c r="C6860" s="2" t="s">
        <v>327</v>
      </c>
      <c r="D6860" s="2" t="s">
        <v>81</v>
      </c>
      <c r="E6860" s="2" t="str">
        <f>"9788383311890"</f>
        <v>9788383311890</v>
      </c>
      <c r="F6860" s="2" t="str">
        <f>"9788383314075"</f>
        <v>9788383314075</v>
      </c>
    </row>
    <row r="6861" spans="1:6" s="3" customFormat="1" ht="29.1" customHeight="1" x14ac:dyDescent="0.25">
      <c r="A6861" s="2" t="s">
        <v>14419</v>
      </c>
      <c r="B6861" s="2" t="s">
        <v>14420</v>
      </c>
      <c r="C6861" s="2" t="s">
        <v>327</v>
      </c>
      <c r="D6861" s="2" t="s">
        <v>1806</v>
      </c>
      <c r="E6861" s="2" t="str">
        <f>"9788383314266"</f>
        <v>9788383314266</v>
      </c>
      <c r="F6861" s="2" t="str">
        <f>"9788383314273"</f>
        <v>9788383314273</v>
      </c>
    </row>
    <row r="6862" spans="1:6" s="3" customFormat="1" ht="29.1" customHeight="1" x14ac:dyDescent="0.25">
      <c r="A6862" s="2" t="s">
        <v>14421</v>
      </c>
      <c r="B6862" s="2" t="s">
        <v>14422</v>
      </c>
      <c r="C6862" s="2" t="s">
        <v>327</v>
      </c>
      <c r="D6862" s="2" t="s">
        <v>334</v>
      </c>
      <c r="E6862" s="2" t="str">
        <f>"9788381425810"</f>
        <v>9788381425810</v>
      </c>
      <c r="F6862" s="2" t="str">
        <f>"9788381425827"</f>
        <v>9788381425827</v>
      </c>
    </row>
    <row r="6863" spans="1:6" s="3" customFormat="1" ht="29.1" customHeight="1" x14ac:dyDescent="0.25">
      <c r="A6863" s="2" t="s">
        <v>14423</v>
      </c>
      <c r="B6863" s="2" t="s">
        <v>14424</v>
      </c>
      <c r="C6863" s="2" t="s">
        <v>327</v>
      </c>
      <c r="D6863" s="2" t="s">
        <v>7436</v>
      </c>
      <c r="E6863" s="2" t="str">
        <f>"9788383314143"</f>
        <v>9788383314143</v>
      </c>
      <c r="F6863" s="2" t="str">
        <f>"9788383314150"</f>
        <v>9788383314150</v>
      </c>
    </row>
    <row r="6864" spans="1:6" s="3" customFormat="1" ht="29.1" customHeight="1" x14ac:dyDescent="0.25">
      <c r="A6864" s="2" t="s">
        <v>14425</v>
      </c>
      <c r="B6864" s="2" t="s">
        <v>14426</v>
      </c>
      <c r="C6864" s="2" t="s">
        <v>327</v>
      </c>
      <c r="D6864" s="2" t="s">
        <v>5635</v>
      </c>
      <c r="E6864" s="2" t="str">
        <f>"9788383314402"</f>
        <v>9788383314402</v>
      </c>
      <c r="F6864" s="2" t="str">
        <f>"9788383314419"</f>
        <v>9788383314419</v>
      </c>
    </row>
    <row r="6865" spans="1:6" s="3" customFormat="1" ht="29.1" customHeight="1" x14ac:dyDescent="0.25">
      <c r="A6865" s="2" t="s">
        <v>14427</v>
      </c>
      <c r="B6865" s="2" t="s">
        <v>14429</v>
      </c>
      <c r="C6865" s="2" t="s">
        <v>327</v>
      </c>
      <c r="D6865" s="2" t="s">
        <v>14428</v>
      </c>
      <c r="E6865" s="2" t="str">
        <f>"9788383313818"</f>
        <v>9788383313818</v>
      </c>
      <c r="F6865" s="2" t="str">
        <f>"9788383313825"</f>
        <v>9788383313825</v>
      </c>
    </row>
    <row r="6866" spans="1:6" s="3" customFormat="1" ht="29.1" customHeight="1" x14ac:dyDescent="0.25">
      <c r="A6866" s="2" t="s">
        <v>14430</v>
      </c>
      <c r="B6866" s="2" t="s">
        <v>14431</v>
      </c>
      <c r="C6866" s="2" t="s">
        <v>327</v>
      </c>
      <c r="D6866" s="2" t="s">
        <v>3149</v>
      </c>
      <c r="E6866" s="2" t="str">
        <f>"9788383313979"</f>
        <v>9788383313979</v>
      </c>
      <c r="F6866" s="2" t="str">
        <f>"9788383313986"</f>
        <v>9788383313986</v>
      </c>
    </row>
    <row r="6867" spans="1:6" s="3" customFormat="1" ht="29.1" customHeight="1" x14ac:dyDescent="0.25">
      <c r="A6867" s="2" t="s">
        <v>14432</v>
      </c>
      <c r="B6867" s="2" t="s">
        <v>14433</v>
      </c>
      <c r="C6867" s="2" t="s">
        <v>5</v>
      </c>
      <c r="D6867" s="2" t="s">
        <v>44</v>
      </c>
      <c r="E6867" s="2" t="str">
        <f>"9789464634341"</f>
        <v>9789464634341</v>
      </c>
      <c r="F6867" s="2" t="str">
        <f>"9789464634358"</f>
        <v>9789464634358</v>
      </c>
    </row>
    <row r="6868" spans="1:6" s="3" customFormat="1" ht="29.1" customHeight="1" x14ac:dyDescent="0.25">
      <c r="A6868" s="2" t="s">
        <v>14434</v>
      </c>
      <c r="B6868" s="2" t="s">
        <v>14435</v>
      </c>
      <c r="C6868" s="2" t="s">
        <v>55</v>
      </c>
      <c r="D6868" s="2" t="s">
        <v>674</v>
      </c>
      <c r="E6868" s="2" t="str">
        <f>"9781526175649"</f>
        <v>9781526175649</v>
      </c>
      <c r="F6868" s="2" t="str">
        <f>"9781526175656"</f>
        <v>9781526175656</v>
      </c>
    </row>
    <row r="6869" spans="1:6" s="3" customFormat="1" ht="29.1" customHeight="1" x14ac:dyDescent="0.25">
      <c r="A6869" s="2" t="s">
        <v>14436</v>
      </c>
      <c r="B6869" s="2" t="s">
        <v>14437</v>
      </c>
      <c r="C6869" s="2" t="s">
        <v>55</v>
      </c>
      <c r="D6869" s="2" t="s">
        <v>1422</v>
      </c>
      <c r="E6869" s="2" t="str">
        <f>"9781526168344"</f>
        <v>9781526168344</v>
      </c>
      <c r="F6869" s="2" t="str">
        <f>"9781526168375"</f>
        <v>9781526168375</v>
      </c>
    </row>
    <row r="6870" spans="1:6" s="3" customFormat="1" ht="29.1" customHeight="1" x14ac:dyDescent="0.25">
      <c r="A6870" s="2" t="s">
        <v>14438</v>
      </c>
      <c r="B6870" s="2" t="s">
        <v>14439</v>
      </c>
      <c r="C6870" s="2" t="s">
        <v>55</v>
      </c>
      <c r="D6870" s="2" t="s">
        <v>328</v>
      </c>
      <c r="E6870" s="2" t="str">
        <f>"9781526175991"</f>
        <v>9781526175991</v>
      </c>
      <c r="F6870" s="2" t="str">
        <f>"9781526175984"</f>
        <v>9781526175984</v>
      </c>
    </row>
    <row r="6871" spans="1:6" s="3" customFormat="1" ht="29.1" customHeight="1" x14ac:dyDescent="0.25">
      <c r="A6871" s="2" t="s">
        <v>14440</v>
      </c>
      <c r="B6871" s="2" t="s">
        <v>14441</v>
      </c>
      <c r="C6871" s="2" t="s">
        <v>2133</v>
      </c>
      <c r="D6871" s="2" t="s">
        <v>95</v>
      </c>
      <c r="E6871" s="2" t="str">
        <f>"9781760466350"</f>
        <v>9781760466350</v>
      </c>
      <c r="F6871" s="2" t="str">
        <f>"9781760466367"</f>
        <v>9781760466367</v>
      </c>
    </row>
    <row r="6872" spans="1:6" s="3" customFormat="1" ht="29.1" customHeight="1" x14ac:dyDescent="0.25">
      <c r="A6872" s="2" t="s">
        <v>14442</v>
      </c>
      <c r="B6872" s="2" t="s">
        <v>14443</v>
      </c>
      <c r="C6872" s="2" t="s">
        <v>5</v>
      </c>
      <c r="D6872" s="2" t="s">
        <v>490</v>
      </c>
      <c r="E6872" s="2" t="str">
        <f>"9789819718474"</f>
        <v>9789819718474</v>
      </c>
      <c r="F6872" s="2" t="str">
        <f>"9789819718481"</f>
        <v>9789819718481</v>
      </c>
    </row>
    <row r="6873" spans="1:6" s="3" customFormat="1" ht="29.1" customHeight="1" x14ac:dyDescent="0.25">
      <c r="A6873" s="2" t="s">
        <v>14444</v>
      </c>
      <c r="B6873" s="2" t="s">
        <v>14445</v>
      </c>
      <c r="C6873" s="2" t="s">
        <v>5</v>
      </c>
      <c r="D6873" s="2" t="s">
        <v>297</v>
      </c>
      <c r="E6873" s="2" t="str">
        <f>"9782384762545"</f>
        <v>9782384762545</v>
      </c>
      <c r="F6873" s="2" t="str">
        <f>"9782384762552"</f>
        <v>9782384762552</v>
      </c>
    </row>
    <row r="6874" spans="1:6" s="3" customFormat="1" ht="29.1" customHeight="1" x14ac:dyDescent="0.25">
      <c r="A6874" s="2" t="s">
        <v>14446</v>
      </c>
      <c r="B6874" s="2" t="s">
        <v>3357</v>
      </c>
      <c r="C6874" s="2" t="s">
        <v>5</v>
      </c>
      <c r="D6874" s="2" t="s">
        <v>2391</v>
      </c>
      <c r="E6874" s="2" t="str">
        <f>"9789464634365"</f>
        <v>9789464634365</v>
      </c>
      <c r="F6874" s="2" t="str">
        <f>"9789464634372"</f>
        <v>9789464634372</v>
      </c>
    </row>
    <row r="6875" spans="1:6" s="3" customFormat="1" ht="29.1" customHeight="1" x14ac:dyDescent="0.25">
      <c r="A6875" s="2" t="s">
        <v>14447</v>
      </c>
      <c r="B6875" s="2" t="s">
        <v>14448</v>
      </c>
      <c r="C6875" s="2" t="s">
        <v>2242</v>
      </c>
      <c r="D6875" s="2" t="s">
        <v>653</v>
      </c>
      <c r="E6875" s="2"/>
      <c r="F6875" s="2" t="str">
        <f>"9788024464503"</f>
        <v>9788024464503</v>
      </c>
    </row>
    <row r="6876" spans="1:6" s="3" customFormat="1" ht="29.1" customHeight="1" x14ac:dyDescent="0.25">
      <c r="A6876" s="2" t="s">
        <v>14449</v>
      </c>
      <c r="B6876" s="2" t="s">
        <v>14450</v>
      </c>
      <c r="C6876" s="2" t="s">
        <v>2242</v>
      </c>
      <c r="D6876" s="2" t="s">
        <v>30</v>
      </c>
      <c r="E6876" s="2"/>
      <c r="F6876" s="2" t="str">
        <f>"9788024463810"</f>
        <v>9788024463810</v>
      </c>
    </row>
    <row r="6877" spans="1:6" s="3" customFormat="1" ht="29.1" customHeight="1" x14ac:dyDescent="0.25">
      <c r="A6877" s="2" t="s">
        <v>14451</v>
      </c>
      <c r="B6877" s="2" t="s">
        <v>14452</v>
      </c>
      <c r="C6877" s="2" t="s">
        <v>2242</v>
      </c>
      <c r="D6877" s="2" t="s">
        <v>596</v>
      </c>
      <c r="E6877" s="2" t="str">
        <f>"9788024464305"</f>
        <v>9788024464305</v>
      </c>
      <c r="F6877" s="2" t="str">
        <f>"9788024464312"</f>
        <v>9788024464312</v>
      </c>
    </row>
    <row r="6878" spans="1:6" s="3" customFormat="1" ht="29.1" customHeight="1" x14ac:dyDescent="0.25">
      <c r="A6878" s="2" t="s">
        <v>14453</v>
      </c>
      <c r="B6878" s="2" t="s">
        <v>14454</v>
      </c>
      <c r="C6878" s="2" t="s">
        <v>595</v>
      </c>
      <c r="D6878" s="2" t="s">
        <v>9</v>
      </c>
      <c r="E6878" s="2"/>
      <c r="F6878" s="2" t="str">
        <f>"9781803743431"</f>
        <v>9781803743431</v>
      </c>
    </row>
    <row r="6879" spans="1:6" s="3" customFormat="1" ht="29.1" customHeight="1" x14ac:dyDescent="0.25">
      <c r="A6879" s="2" t="s">
        <v>14455</v>
      </c>
      <c r="B6879" s="2" t="s">
        <v>14456</v>
      </c>
      <c r="C6879" s="2" t="s">
        <v>264</v>
      </c>
      <c r="D6879" s="2" t="s">
        <v>52</v>
      </c>
      <c r="E6879" s="2" t="str">
        <f>"9781032855509"</f>
        <v>9781032855509</v>
      </c>
      <c r="F6879" s="2" t="str">
        <f>"9781003530459"</f>
        <v>9781003530459</v>
      </c>
    </row>
    <row r="6880" spans="1:6" s="3" customFormat="1" ht="29.1" customHeight="1" x14ac:dyDescent="0.25">
      <c r="A6880" s="2" t="s">
        <v>14457</v>
      </c>
      <c r="B6880" s="2" t="s">
        <v>14458</v>
      </c>
      <c r="C6880" s="2" t="s">
        <v>264</v>
      </c>
      <c r="D6880" s="2" t="s">
        <v>5115</v>
      </c>
      <c r="E6880" s="2" t="str">
        <f>"9781032832104"</f>
        <v>9781032832104</v>
      </c>
      <c r="F6880" s="2" t="str">
        <f>"9781003528999"</f>
        <v>9781003528999</v>
      </c>
    </row>
    <row r="6881" spans="1:6" s="3" customFormat="1" ht="29.1" customHeight="1" x14ac:dyDescent="0.25">
      <c r="A6881" s="2" t="s">
        <v>14459</v>
      </c>
      <c r="B6881" s="2" t="s">
        <v>14460</v>
      </c>
      <c r="C6881" s="2" t="s">
        <v>264</v>
      </c>
      <c r="D6881" s="2" t="s">
        <v>52</v>
      </c>
      <c r="E6881" s="2" t="str">
        <f>"9781032624563"</f>
        <v>9781032624563</v>
      </c>
      <c r="F6881" s="2" t="str">
        <f>"9781032625829"</f>
        <v>9781032625829</v>
      </c>
    </row>
    <row r="6882" spans="1:6" s="3" customFormat="1" ht="29.1" customHeight="1" x14ac:dyDescent="0.25">
      <c r="A6882" s="2" t="s">
        <v>14461</v>
      </c>
      <c r="B6882" s="2" t="s">
        <v>14462</v>
      </c>
      <c r="C6882" s="2" t="s">
        <v>264</v>
      </c>
      <c r="D6882" s="2" t="s">
        <v>6511</v>
      </c>
      <c r="E6882" s="2" t="str">
        <f>"9781032356099"</f>
        <v>9781032356099</v>
      </c>
      <c r="F6882" s="2" t="str">
        <f>"9781003327646"</f>
        <v>9781003327646</v>
      </c>
    </row>
    <row r="6883" spans="1:6" s="3" customFormat="1" ht="29.1" customHeight="1" x14ac:dyDescent="0.25">
      <c r="A6883" s="2" t="s">
        <v>14463</v>
      </c>
      <c r="B6883" s="2" t="s">
        <v>14464</v>
      </c>
      <c r="C6883" s="2" t="s">
        <v>264</v>
      </c>
      <c r="D6883" s="2" t="s">
        <v>5588</v>
      </c>
      <c r="E6883" s="2" t="str">
        <f>"9781032430270"</f>
        <v>9781032430270</v>
      </c>
      <c r="F6883" s="2" t="str">
        <f>"9781003371021"</f>
        <v>9781003371021</v>
      </c>
    </row>
    <row r="6884" spans="1:6" s="3" customFormat="1" ht="29.1" customHeight="1" x14ac:dyDescent="0.25">
      <c r="A6884" s="2" t="s">
        <v>14465</v>
      </c>
      <c r="B6884" s="2" t="s">
        <v>14466</v>
      </c>
      <c r="C6884" s="2" t="s">
        <v>8104</v>
      </c>
      <c r="D6884" s="2" t="s">
        <v>636</v>
      </c>
      <c r="E6884" s="2" t="str">
        <f>"9781805398226"</f>
        <v>9781805398226</v>
      </c>
      <c r="F6884" s="2" t="str">
        <f>"9781805398233"</f>
        <v>9781805398233</v>
      </c>
    </row>
    <row r="6885" spans="1:6" s="3" customFormat="1" ht="29.1" customHeight="1" x14ac:dyDescent="0.25">
      <c r="A6885" s="2" t="s">
        <v>14467</v>
      </c>
      <c r="B6885" s="2" t="s">
        <v>14468</v>
      </c>
      <c r="C6885" s="2" t="s">
        <v>8104</v>
      </c>
      <c r="D6885" s="2" t="s">
        <v>636</v>
      </c>
      <c r="E6885" s="2" t="str">
        <f>"9781805397809"</f>
        <v>9781805397809</v>
      </c>
      <c r="F6885" s="2" t="str">
        <f>"9781805397816"</f>
        <v>9781805397816</v>
      </c>
    </row>
    <row r="6886" spans="1:6" s="3" customFormat="1" ht="29.1" customHeight="1" x14ac:dyDescent="0.25">
      <c r="A6886" s="2" t="s">
        <v>14469</v>
      </c>
      <c r="B6886" s="2" t="s">
        <v>14470</v>
      </c>
      <c r="C6886" s="2" t="s">
        <v>124</v>
      </c>
      <c r="D6886" s="2" t="s">
        <v>606</v>
      </c>
      <c r="E6886" s="2" t="str">
        <f>"9781032647623"</f>
        <v>9781032647623</v>
      </c>
      <c r="F6886" s="2" t="str">
        <f>"9781032647760"</f>
        <v>9781032647760</v>
      </c>
    </row>
    <row r="6887" spans="1:6" s="3" customFormat="1" ht="29.1" customHeight="1" x14ac:dyDescent="0.25">
      <c r="A6887" s="2" t="s">
        <v>14471</v>
      </c>
      <c r="B6887" s="2" t="s">
        <v>14472</v>
      </c>
      <c r="C6887" s="2" t="s">
        <v>124</v>
      </c>
      <c r="D6887" s="2" t="s">
        <v>2752</v>
      </c>
      <c r="E6887" s="2" t="str">
        <f>"9781032279961"</f>
        <v>9781032279961</v>
      </c>
      <c r="F6887" s="2" t="str">
        <f>"9781003294894"</f>
        <v>9781003294894</v>
      </c>
    </row>
    <row r="6888" spans="1:6" s="3" customFormat="1" ht="29.1" customHeight="1" x14ac:dyDescent="0.25">
      <c r="A6888" s="2" t="s">
        <v>14473</v>
      </c>
      <c r="B6888" s="2" t="s">
        <v>14474</v>
      </c>
      <c r="C6888" s="2" t="s">
        <v>124</v>
      </c>
      <c r="D6888" s="2" t="s">
        <v>647</v>
      </c>
      <c r="E6888" s="2" t="str">
        <f>"9781032597324"</f>
        <v>9781032597324</v>
      </c>
      <c r="F6888" s="2" t="str">
        <f>"9781003459163"</f>
        <v>9781003459163</v>
      </c>
    </row>
    <row r="6889" spans="1:6" s="3" customFormat="1" ht="29.1" customHeight="1" x14ac:dyDescent="0.25">
      <c r="A6889" s="2" t="s">
        <v>14475</v>
      </c>
      <c r="B6889" s="2" t="s">
        <v>14476</v>
      </c>
      <c r="C6889" s="2" t="s">
        <v>124</v>
      </c>
      <c r="D6889" s="2" t="s">
        <v>1560</v>
      </c>
      <c r="E6889" s="2" t="str">
        <f>"9781032542850"</f>
        <v>9781032542850</v>
      </c>
      <c r="F6889" s="2" t="str">
        <f>"9781003416159"</f>
        <v>9781003416159</v>
      </c>
    </row>
    <row r="6890" spans="1:6" s="3" customFormat="1" ht="29.1" customHeight="1" x14ac:dyDescent="0.25">
      <c r="A6890" s="2" t="s">
        <v>14477</v>
      </c>
      <c r="B6890" s="2" t="s">
        <v>14478</v>
      </c>
      <c r="C6890" s="2" t="s">
        <v>124</v>
      </c>
      <c r="D6890" s="2" t="s">
        <v>606</v>
      </c>
      <c r="E6890" s="2" t="str">
        <f>"9781032395586"</f>
        <v>9781032395586</v>
      </c>
      <c r="F6890" s="2" t="str">
        <f>"9781003350293"</f>
        <v>9781003350293</v>
      </c>
    </row>
    <row r="6891" spans="1:6" s="3" customFormat="1" ht="29.1" customHeight="1" x14ac:dyDescent="0.25">
      <c r="A6891" s="2" t="s">
        <v>14479</v>
      </c>
      <c r="B6891" s="2" t="s">
        <v>14480</v>
      </c>
      <c r="C6891" s="2" t="s">
        <v>124</v>
      </c>
      <c r="D6891" s="2" t="s">
        <v>95</v>
      </c>
      <c r="E6891" s="2" t="str">
        <f>"9781032846453"</f>
        <v>9781032846453</v>
      </c>
      <c r="F6891" s="2" t="str">
        <f>"9781003515364"</f>
        <v>9781003515364</v>
      </c>
    </row>
    <row r="6892" spans="1:6" s="3" customFormat="1" ht="29.1" customHeight="1" x14ac:dyDescent="0.25">
      <c r="A6892" s="2" t="s">
        <v>14481</v>
      </c>
      <c r="B6892" s="2" t="s">
        <v>14156</v>
      </c>
      <c r="C6892" s="2" t="s">
        <v>124</v>
      </c>
      <c r="D6892" s="2" t="s">
        <v>6692</v>
      </c>
      <c r="E6892" s="2" t="str">
        <f>"9781032780108"</f>
        <v>9781032780108</v>
      </c>
      <c r="F6892" s="2" t="str">
        <f>"9781003521228"</f>
        <v>9781003521228</v>
      </c>
    </row>
    <row r="6893" spans="1:6" s="3" customFormat="1" ht="29.1" customHeight="1" x14ac:dyDescent="0.25">
      <c r="A6893" s="2" t="s">
        <v>14482</v>
      </c>
      <c r="B6893" s="2" t="s">
        <v>14483</v>
      </c>
      <c r="C6893" s="2" t="s">
        <v>124</v>
      </c>
      <c r="D6893" s="2" t="s">
        <v>9</v>
      </c>
      <c r="E6893" s="2" t="str">
        <f>"9781032544106"</f>
        <v>9781032544106</v>
      </c>
      <c r="F6893" s="2" t="str">
        <f>"9781003428985"</f>
        <v>9781003428985</v>
      </c>
    </row>
    <row r="6894" spans="1:6" s="3" customFormat="1" ht="29.1" customHeight="1" x14ac:dyDescent="0.25">
      <c r="A6894" s="2" t="s">
        <v>14484</v>
      </c>
      <c r="B6894" s="2" t="s">
        <v>14485</v>
      </c>
      <c r="C6894" s="2" t="s">
        <v>124</v>
      </c>
      <c r="D6894" s="2" t="s">
        <v>183</v>
      </c>
      <c r="E6894" s="2" t="str">
        <f>"9781032847771"</f>
        <v>9781032847771</v>
      </c>
      <c r="F6894" s="2" t="str">
        <f>"9781003514930"</f>
        <v>9781003514930</v>
      </c>
    </row>
    <row r="6895" spans="1:6" s="3" customFormat="1" ht="29.1" customHeight="1" x14ac:dyDescent="0.25">
      <c r="A6895" s="2" t="s">
        <v>14486</v>
      </c>
      <c r="B6895" s="2" t="s">
        <v>14487</v>
      </c>
      <c r="C6895" s="2" t="s">
        <v>124</v>
      </c>
      <c r="D6895" s="2" t="s">
        <v>2147</v>
      </c>
      <c r="E6895" s="2" t="str">
        <f>"9781032587721"</f>
        <v>9781032587721</v>
      </c>
      <c r="F6895" s="2" t="str">
        <f>"9781003455127"</f>
        <v>9781003455127</v>
      </c>
    </row>
    <row r="6896" spans="1:6" s="3" customFormat="1" ht="29.1" customHeight="1" x14ac:dyDescent="0.25">
      <c r="A6896" s="2" t="s">
        <v>14488</v>
      </c>
      <c r="B6896" s="2" t="s">
        <v>14489</v>
      </c>
      <c r="C6896" s="2" t="s">
        <v>124</v>
      </c>
      <c r="D6896" s="2" t="s">
        <v>189</v>
      </c>
      <c r="E6896" s="2" t="str">
        <f>"9781032797694"</f>
        <v>9781032797694</v>
      </c>
      <c r="F6896" s="2" t="str">
        <f>"9781003493785"</f>
        <v>9781003493785</v>
      </c>
    </row>
    <row r="6897" spans="1:6" s="3" customFormat="1" ht="29.1" customHeight="1" x14ac:dyDescent="0.25">
      <c r="A6897" s="2" t="s">
        <v>14490</v>
      </c>
      <c r="B6897" s="2" t="s">
        <v>14491</v>
      </c>
      <c r="C6897" s="2" t="s">
        <v>124</v>
      </c>
      <c r="D6897" s="2" t="s">
        <v>647</v>
      </c>
      <c r="E6897" s="2" t="str">
        <f>"9780367457679"</f>
        <v>9780367457679</v>
      </c>
      <c r="F6897" s="2" t="str">
        <f>"9781003025177"</f>
        <v>9781003025177</v>
      </c>
    </row>
    <row r="6898" spans="1:6" s="3" customFormat="1" ht="29.1" customHeight="1" x14ac:dyDescent="0.25">
      <c r="A6898" s="2" t="s">
        <v>14492</v>
      </c>
      <c r="B6898" s="2" t="s">
        <v>14493</v>
      </c>
      <c r="C6898" s="2" t="s">
        <v>124</v>
      </c>
      <c r="D6898" s="2" t="s">
        <v>98</v>
      </c>
      <c r="E6898" s="2" t="str">
        <f>"9781032248295"</f>
        <v>9781032248295</v>
      </c>
      <c r="F6898" s="2" t="str">
        <f>"9781003280316"</f>
        <v>9781003280316</v>
      </c>
    </row>
    <row r="6899" spans="1:6" s="3" customFormat="1" ht="29.1" customHeight="1" x14ac:dyDescent="0.25">
      <c r="A6899" s="2" t="s">
        <v>14494</v>
      </c>
      <c r="B6899" s="2" t="s">
        <v>14495</v>
      </c>
      <c r="C6899" s="2" t="s">
        <v>124</v>
      </c>
      <c r="D6899" s="2" t="s">
        <v>1209</v>
      </c>
      <c r="E6899" s="2" t="str">
        <f>"9781032583853"</f>
        <v>9781032583853</v>
      </c>
      <c r="F6899" s="2" t="str">
        <f>"9781003449850"</f>
        <v>9781003449850</v>
      </c>
    </row>
    <row r="6900" spans="1:6" s="3" customFormat="1" ht="29.1" customHeight="1" x14ac:dyDescent="0.25">
      <c r="A6900" s="2" t="s">
        <v>14496</v>
      </c>
      <c r="B6900" s="2" t="s">
        <v>14497</v>
      </c>
      <c r="C6900" s="2" t="s">
        <v>124</v>
      </c>
      <c r="D6900" s="2" t="s">
        <v>270</v>
      </c>
      <c r="E6900" s="2" t="str">
        <f>"9781032843896"</f>
        <v>9781032843896</v>
      </c>
      <c r="F6900" s="2" t="str">
        <f>"9781003512493"</f>
        <v>9781003512493</v>
      </c>
    </row>
    <row r="6901" spans="1:6" s="3" customFormat="1" ht="29.1" customHeight="1" x14ac:dyDescent="0.25">
      <c r="A6901" s="2" t="s">
        <v>14498</v>
      </c>
      <c r="B6901" s="2" t="s">
        <v>14499</v>
      </c>
      <c r="C6901" s="2" t="s">
        <v>124</v>
      </c>
      <c r="D6901" s="2" t="s">
        <v>192</v>
      </c>
      <c r="E6901" s="2" t="str">
        <f>"9781032857176"</f>
        <v>9781032857176</v>
      </c>
      <c r="F6901" s="2" t="str">
        <f>"9781003519522"</f>
        <v>9781003519522</v>
      </c>
    </row>
    <row r="6902" spans="1:6" s="3" customFormat="1" ht="29.1" customHeight="1" x14ac:dyDescent="0.25">
      <c r="A6902" s="2" t="s">
        <v>14500</v>
      </c>
      <c r="B6902" s="2" t="s">
        <v>14501</v>
      </c>
      <c r="C6902" s="2" t="s">
        <v>124</v>
      </c>
      <c r="D6902" s="2" t="s">
        <v>653</v>
      </c>
      <c r="E6902" s="2" t="str">
        <f>"9781032856827"</f>
        <v>9781032856827</v>
      </c>
      <c r="F6902" s="2" t="str">
        <f>"9781003519409"</f>
        <v>9781003519409</v>
      </c>
    </row>
    <row r="6903" spans="1:6" s="3" customFormat="1" ht="29.1" customHeight="1" x14ac:dyDescent="0.25">
      <c r="A6903" s="2" t="s">
        <v>14502</v>
      </c>
      <c r="B6903" s="2" t="s">
        <v>14503</v>
      </c>
      <c r="C6903" s="2" t="s">
        <v>124</v>
      </c>
      <c r="D6903" s="2" t="s">
        <v>1956</v>
      </c>
      <c r="E6903" s="2" t="str">
        <f>"9781032618517"</f>
        <v>9781032618517</v>
      </c>
      <c r="F6903" s="2" t="str">
        <f>"9781032618609"</f>
        <v>9781032618609</v>
      </c>
    </row>
    <row r="6904" spans="1:6" s="3" customFormat="1" ht="29.1" customHeight="1" x14ac:dyDescent="0.25">
      <c r="A6904" s="2" t="s">
        <v>14504</v>
      </c>
      <c r="B6904" s="2" t="s">
        <v>14505</v>
      </c>
      <c r="C6904" s="2" t="s">
        <v>124</v>
      </c>
      <c r="D6904" s="2" t="s">
        <v>2433</v>
      </c>
      <c r="E6904" s="2" t="str">
        <f>"9781032882697"</f>
        <v>9781032882697</v>
      </c>
      <c r="F6904" s="2" t="str">
        <f>"9781003536987"</f>
        <v>9781003536987</v>
      </c>
    </row>
    <row r="6905" spans="1:6" s="3" customFormat="1" ht="29.1" customHeight="1" x14ac:dyDescent="0.25">
      <c r="A6905" s="2" t="s">
        <v>14506</v>
      </c>
      <c r="B6905" s="2" t="s">
        <v>14508</v>
      </c>
      <c r="C6905" s="2" t="s">
        <v>124</v>
      </c>
      <c r="D6905" s="2" t="s">
        <v>14507</v>
      </c>
      <c r="E6905" s="2" t="str">
        <f>"9781032611198"</f>
        <v>9781032611198</v>
      </c>
      <c r="F6905" s="2" t="str">
        <f>"9781003462118"</f>
        <v>9781003462118</v>
      </c>
    </row>
    <row r="6906" spans="1:6" s="3" customFormat="1" ht="29.1" customHeight="1" x14ac:dyDescent="0.25">
      <c r="A6906" s="2" t="s">
        <v>14509</v>
      </c>
      <c r="B6906" s="2" t="s">
        <v>14510</v>
      </c>
      <c r="C6906" s="2" t="s">
        <v>124</v>
      </c>
      <c r="D6906" s="2" t="s">
        <v>270</v>
      </c>
      <c r="E6906" s="2" t="str">
        <f>"9781032848709"</f>
        <v>9781032848709</v>
      </c>
      <c r="F6906" s="2" t="str">
        <f>"9781003517467"</f>
        <v>9781003517467</v>
      </c>
    </row>
    <row r="6907" spans="1:6" s="3" customFormat="1" ht="29.1" customHeight="1" x14ac:dyDescent="0.25">
      <c r="A6907" s="2" t="s">
        <v>14511</v>
      </c>
      <c r="B6907" s="2" t="s">
        <v>14512</v>
      </c>
      <c r="C6907" s="2" t="s">
        <v>124</v>
      </c>
      <c r="D6907" s="2" t="s">
        <v>413</v>
      </c>
      <c r="E6907" s="2" t="str">
        <f>"9781032632735"</f>
        <v>9781032632735</v>
      </c>
      <c r="F6907" s="2" t="str">
        <f>"9781032632940"</f>
        <v>9781032632940</v>
      </c>
    </row>
    <row r="6908" spans="1:6" s="3" customFormat="1" ht="29.1" customHeight="1" x14ac:dyDescent="0.25">
      <c r="A6908" s="2" t="s">
        <v>14513</v>
      </c>
      <c r="B6908" s="2" t="s">
        <v>14514</v>
      </c>
      <c r="C6908" s="2" t="s">
        <v>124</v>
      </c>
      <c r="D6908" s="2" t="s">
        <v>1228</v>
      </c>
      <c r="E6908" s="2" t="str">
        <f>"9781032545141"</f>
        <v>9781032545141</v>
      </c>
      <c r="F6908" s="2" t="str">
        <f>"9781003425250"</f>
        <v>9781003425250</v>
      </c>
    </row>
    <row r="6909" spans="1:6" s="3" customFormat="1" ht="29.1" customHeight="1" x14ac:dyDescent="0.25">
      <c r="A6909" s="2" t="s">
        <v>14515</v>
      </c>
      <c r="B6909" s="2" t="s">
        <v>14516</v>
      </c>
      <c r="C6909" s="2" t="s">
        <v>124</v>
      </c>
      <c r="D6909" s="2" t="s">
        <v>413</v>
      </c>
      <c r="E6909" s="2" t="str">
        <f>"9781032672212"</f>
        <v>9781032672212</v>
      </c>
      <c r="F6909" s="2" t="str">
        <f>"9781032672250"</f>
        <v>9781032672250</v>
      </c>
    </row>
    <row r="6910" spans="1:6" s="3" customFormat="1" ht="29.1" customHeight="1" x14ac:dyDescent="0.25">
      <c r="A6910" s="2" t="s">
        <v>14517</v>
      </c>
      <c r="B6910" s="2" t="s">
        <v>14518</v>
      </c>
      <c r="C6910" s="2" t="s">
        <v>1953</v>
      </c>
      <c r="D6910" s="2" t="s">
        <v>2237</v>
      </c>
      <c r="E6910" s="2"/>
      <c r="F6910" s="2" t="str">
        <f>"9798891137752"</f>
        <v>9798891137752</v>
      </c>
    </row>
    <row r="6911" spans="1:6" s="3" customFormat="1" ht="29.1" customHeight="1" x14ac:dyDescent="0.25">
      <c r="A6911" s="2" t="s">
        <v>14519</v>
      </c>
      <c r="B6911" s="2" t="s">
        <v>14520</v>
      </c>
      <c r="C6911" s="2" t="s">
        <v>124</v>
      </c>
      <c r="D6911" s="2" t="s">
        <v>270</v>
      </c>
      <c r="E6911" s="2" t="str">
        <f>"9781032486628"</f>
        <v>9781032486628</v>
      </c>
      <c r="F6911" s="2" t="str">
        <f>"9781003390152"</f>
        <v>9781003390152</v>
      </c>
    </row>
    <row r="6912" spans="1:6" s="3" customFormat="1" ht="29.1" customHeight="1" x14ac:dyDescent="0.25">
      <c r="A6912" s="2" t="s">
        <v>14521</v>
      </c>
      <c r="B6912" s="2" t="s">
        <v>14522</v>
      </c>
      <c r="C6912" s="2" t="s">
        <v>124</v>
      </c>
      <c r="D6912" s="2" t="s">
        <v>818</v>
      </c>
      <c r="E6912" s="2" t="str">
        <f>"9781032382555"</f>
        <v>9781032382555</v>
      </c>
      <c r="F6912" s="2" t="str">
        <f>"9781003370024"</f>
        <v>9781003370024</v>
      </c>
    </row>
    <row r="6913" spans="1:6" s="3" customFormat="1" ht="29.1" customHeight="1" x14ac:dyDescent="0.25">
      <c r="A6913" s="2" t="s">
        <v>14523</v>
      </c>
      <c r="B6913" s="2" t="s">
        <v>14524</v>
      </c>
      <c r="C6913" s="2" t="s">
        <v>595</v>
      </c>
      <c r="D6913" s="2" t="s">
        <v>334</v>
      </c>
      <c r="E6913" s="2" t="str">
        <f>"9781800793217"</f>
        <v>9781800793217</v>
      </c>
      <c r="F6913" s="2" t="str">
        <f>"9781800793224"</f>
        <v>9781800793224</v>
      </c>
    </row>
    <row r="6914" spans="1:6" s="3" customFormat="1" ht="29.1" customHeight="1" x14ac:dyDescent="0.25">
      <c r="A6914" s="2" t="s">
        <v>14525</v>
      </c>
      <c r="B6914" s="2" t="s">
        <v>14526</v>
      </c>
      <c r="C6914" s="2" t="s">
        <v>595</v>
      </c>
      <c r="D6914" s="2" t="s">
        <v>636</v>
      </c>
      <c r="E6914" s="2" t="str">
        <f>"9783631884461"</f>
        <v>9783631884461</v>
      </c>
      <c r="F6914" s="2" t="str">
        <f>"9783631884478"</f>
        <v>9783631884478</v>
      </c>
    </row>
    <row r="6915" spans="1:6" s="3" customFormat="1" ht="29.1" customHeight="1" x14ac:dyDescent="0.25">
      <c r="A6915" s="2" t="s">
        <v>14527</v>
      </c>
      <c r="B6915" s="2" t="s">
        <v>14528</v>
      </c>
      <c r="C6915" s="2" t="s">
        <v>595</v>
      </c>
      <c r="D6915" s="2" t="s">
        <v>334</v>
      </c>
      <c r="E6915" s="2" t="str">
        <f>"9783631881316"</f>
        <v>9783631881316</v>
      </c>
      <c r="F6915" s="2" t="str">
        <f>"9783631881323"</f>
        <v>9783631881323</v>
      </c>
    </row>
    <row r="6916" spans="1:6" s="3" customFormat="1" ht="29.1" customHeight="1" x14ac:dyDescent="0.25">
      <c r="A6916" s="2" t="s">
        <v>14529</v>
      </c>
      <c r="B6916" s="2" t="s">
        <v>14530</v>
      </c>
      <c r="C6916" s="2" t="s">
        <v>2188</v>
      </c>
      <c r="D6916" s="2" t="s">
        <v>192</v>
      </c>
      <c r="E6916" s="2"/>
      <c r="F6916" s="2" t="str">
        <f>"9788323238225"</f>
        <v>9788323238225</v>
      </c>
    </row>
    <row r="6917" spans="1:6" s="3" customFormat="1" ht="29.1" customHeight="1" x14ac:dyDescent="0.25">
      <c r="A6917" s="2" t="s">
        <v>14531</v>
      </c>
      <c r="B6917" s="2" t="s">
        <v>14532</v>
      </c>
      <c r="C6917" s="2" t="s">
        <v>2188</v>
      </c>
      <c r="D6917" s="2" t="s">
        <v>550</v>
      </c>
      <c r="E6917" s="2" t="str">
        <f>"9788323235798"</f>
        <v>9788323235798</v>
      </c>
      <c r="F6917" s="2" t="str">
        <f>"9788323243076"</f>
        <v>9788323243076</v>
      </c>
    </row>
    <row r="6918" spans="1:6" s="3" customFormat="1" ht="29.1" customHeight="1" x14ac:dyDescent="0.25">
      <c r="A6918" s="2" t="s">
        <v>14533</v>
      </c>
      <c r="B6918" s="2" t="s">
        <v>14534</v>
      </c>
      <c r="C6918" s="2" t="s">
        <v>5</v>
      </c>
      <c r="D6918" s="2" t="s">
        <v>1878</v>
      </c>
      <c r="E6918" s="2" t="str">
        <f>"9783031551192"</f>
        <v>9783031551192</v>
      </c>
      <c r="F6918" s="2" t="str">
        <f>"9783031551208"</f>
        <v>9783031551208</v>
      </c>
    </row>
    <row r="6919" spans="1:6" s="3" customFormat="1" ht="29.1" customHeight="1" x14ac:dyDescent="0.25">
      <c r="A6919" s="2" t="s">
        <v>14535</v>
      </c>
      <c r="B6919" s="2" t="s">
        <v>14536</v>
      </c>
      <c r="C6919" s="2" t="s">
        <v>5</v>
      </c>
      <c r="D6919" s="2" t="s">
        <v>8604</v>
      </c>
      <c r="E6919" s="2" t="str">
        <f>"9783031575068"</f>
        <v>9783031575068</v>
      </c>
      <c r="F6919" s="2" t="str">
        <f>"9783031575075"</f>
        <v>9783031575075</v>
      </c>
    </row>
    <row r="6920" spans="1:6" s="3" customFormat="1" ht="29.1" customHeight="1" x14ac:dyDescent="0.25">
      <c r="A6920" s="2" t="s">
        <v>14537</v>
      </c>
      <c r="B6920" s="2" t="s">
        <v>14538</v>
      </c>
      <c r="C6920" s="2" t="s">
        <v>5</v>
      </c>
      <c r="D6920" s="2" t="s">
        <v>712</v>
      </c>
      <c r="E6920" s="2" t="str">
        <f>"9783031544880"</f>
        <v>9783031544880</v>
      </c>
      <c r="F6920" s="2" t="str">
        <f>"9783031544897"</f>
        <v>9783031544897</v>
      </c>
    </row>
    <row r="6921" spans="1:6" s="3" customFormat="1" ht="29.1" customHeight="1" x14ac:dyDescent="0.25">
      <c r="A6921" s="2" t="s">
        <v>14539</v>
      </c>
      <c r="B6921" s="2" t="s">
        <v>14540</v>
      </c>
      <c r="C6921" s="2" t="s">
        <v>5</v>
      </c>
      <c r="D6921" s="2" t="s">
        <v>3489</v>
      </c>
      <c r="E6921" s="2" t="str">
        <f>"9783031605598"</f>
        <v>9783031605598</v>
      </c>
      <c r="F6921" s="2" t="str">
        <f>"9783031605604"</f>
        <v>9783031605604</v>
      </c>
    </row>
    <row r="6922" spans="1:6" s="3" customFormat="1" ht="29.1" customHeight="1" x14ac:dyDescent="0.25">
      <c r="A6922" s="2" t="s">
        <v>14541</v>
      </c>
      <c r="B6922" s="2" t="s">
        <v>14542</v>
      </c>
      <c r="C6922" s="2" t="s">
        <v>29</v>
      </c>
      <c r="D6922" s="2" t="s">
        <v>3345</v>
      </c>
      <c r="E6922" s="2" t="str">
        <f>"9789004696723"</f>
        <v>9789004696723</v>
      </c>
      <c r="F6922" s="2" t="str">
        <f>"9789004696532"</f>
        <v>9789004696532</v>
      </c>
    </row>
    <row r="6923" spans="1:6" s="3" customFormat="1" ht="29.1" customHeight="1" x14ac:dyDescent="0.25">
      <c r="A6923" s="2" t="s">
        <v>14543</v>
      </c>
      <c r="B6923" s="2" t="s">
        <v>14544</v>
      </c>
      <c r="C6923" s="2" t="s">
        <v>29</v>
      </c>
      <c r="D6923" s="2" t="s">
        <v>512</v>
      </c>
      <c r="E6923" s="2" t="str">
        <f>"9789004699052"</f>
        <v>9789004699052</v>
      </c>
      <c r="F6923" s="2" t="str">
        <f>"9789004701878"</f>
        <v>9789004701878</v>
      </c>
    </row>
    <row r="6924" spans="1:6" s="3" customFormat="1" ht="29.1" customHeight="1" x14ac:dyDescent="0.25">
      <c r="A6924" s="2" t="s">
        <v>14545</v>
      </c>
      <c r="B6924" s="2" t="s">
        <v>14546</v>
      </c>
      <c r="C6924" s="2" t="s">
        <v>29</v>
      </c>
      <c r="D6924" s="2" t="s">
        <v>192</v>
      </c>
      <c r="E6924" s="2" t="str">
        <f>"9789004696419"</f>
        <v>9789004696419</v>
      </c>
      <c r="F6924" s="2" t="str">
        <f>"9789004696426"</f>
        <v>9789004696426</v>
      </c>
    </row>
    <row r="6925" spans="1:6" s="3" customFormat="1" ht="29.1" customHeight="1" x14ac:dyDescent="0.25">
      <c r="A6925" s="2" t="s">
        <v>14547</v>
      </c>
      <c r="B6925" s="2" t="s">
        <v>14548</v>
      </c>
      <c r="C6925" s="2" t="s">
        <v>239</v>
      </c>
      <c r="D6925" s="2" t="s">
        <v>1189</v>
      </c>
      <c r="E6925" s="2" t="str">
        <f>"9780520402386"</f>
        <v>9780520402386</v>
      </c>
      <c r="F6925" s="2" t="str">
        <f>"9780520402393"</f>
        <v>9780520402393</v>
      </c>
    </row>
    <row r="6926" spans="1:6" s="3" customFormat="1" ht="29.1" customHeight="1" x14ac:dyDescent="0.25">
      <c r="A6926" s="2" t="s">
        <v>14549</v>
      </c>
      <c r="B6926" s="2" t="s">
        <v>14550</v>
      </c>
      <c r="C6926" s="2" t="s">
        <v>29</v>
      </c>
      <c r="D6926" s="2" t="s">
        <v>192</v>
      </c>
      <c r="E6926" s="2" t="str">
        <f>"9789004433779"</f>
        <v>9789004433779</v>
      </c>
      <c r="F6926" s="2" t="str">
        <f>"9789004433786"</f>
        <v>9789004433786</v>
      </c>
    </row>
    <row r="6927" spans="1:6" s="3" customFormat="1" ht="29.1" customHeight="1" x14ac:dyDescent="0.25">
      <c r="A6927" s="2" t="s">
        <v>14551</v>
      </c>
      <c r="B6927" s="2" t="s">
        <v>14552</v>
      </c>
      <c r="C6927" s="2" t="s">
        <v>29</v>
      </c>
      <c r="D6927" s="2" t="s">
        <v>192</v>
      </c>
      <c r="E6927" s="2" t="str">
        <f>"9789004379763"</f>
        <v>9789004379763</v>
      </c>
      <c r="F6927" s="2" t="str">
        <f>"9789004379770"</f>
        <v>9789004379770</v>
      </c>
    </row>
    <row r="6928" spans="1:6" s="3" customFormat="1" ht="29.1" customHeight="1" x14ac:dyDescent="0.25">
      <c r="A6928" s="2" t="s">
        <v>14553</v>
      </c>
      <c r="B6928" s="2" t="s">
        <v>14552</v>
      </c>
      <c r="C6928" s="2" t="s">
        <v>29</v>
      </c>
      <c r="D6928" s="2" t="s">
        <v>192</v>
      </c>
      <c r="E6928" s="2" t="str">
        <f>"9789004379725"</f>
        <v>9789004379725</v>
      </c>
      <c r="F6928" s="2" t="str">
        <f>"9789004379732"</f>
        <v>9789004379732</v>
      </c>
    </row>
    <row r="6929" spans="1:6" s="3" customFormat="1" ht="29.1" customHeight="1" x14ac:dyDescent="0.25">
      <c r="A6929" s="2" t="s">
        <v>14554</v>
      </c>
      <c r="B6929" s="2" t="s">
        <v>14552</v>
      </c>
      <c r="C6929" s="2" t="s">
        <v>29</v>
      </c>
      <c r="D6929" s="2" t="s">
        <v>192</v>
      </c>
      <c r="E6929" s="2" t="str">
        <f>"9789004379701"</f>
        <v>9789004379701</v>
      </c>
      <c r="F6929" s="2" t="str">
        <f>"9789004379718"</f>
        <v>9789004379718</v>
      </c>
    </row>
    <row r="6930" spans="1:6" s="3" customFormat="1" ht="29.1" customHeight="1" x14ac:dyDescent="0.25">
      <c r="A6930" s="2" t="s">
        <v>14555</v>
      </c>
      <c r="B6930" s="2" t="s">
        <v>14552</v>
      </c>
      <c r="C6930" s="2" t="s">
        <v>29</v>
      </c>
      <c r="D6930" s="2" t="s">
        <v>192</v>
      </c>
      <c r="E6930" s="2" t="str">
        <f>"9789004379749"</f>
        <v>9789004379749</v>
      </c>
      <c r="F6930" s="2" t="str">
        <f>"9789004379756"</f>
        <v>9789004379756</v>
      </c>
    </row>
    <row r="6931" spans="1:6" s="3" customFormat="1" ht="29.1" customHeight="1" x14ac:dyDescent="0.25">
      <c r="A6931" s="2" t="s">
        <v>14556</v>
      </c>
      <c r="B6931" s="2" t="s">
        <v>14552</v>
      </c>
      <c r="C6931" s="2" t="s">
        <v>29</v>
      </c>
      <c r="D6931" s="2" t="s">
        <v>192</v>
      </c>
      <c r="E6931" s="2" t="str">
        <f>"9789004379688"</f>
        <v>9789004379688</v>
      </c>
      <c r="F6931" s="2" t="str">
        <f>"9789004379695"</f>
        <v>9789004379695</v>
      </c>
    </row>
    <row r="6932" spans="1:6" s="3" customFormat="1" ht="29.1" customHeight="1" x14ac:dyDescent="0.25">
      <c r="A6932" s="2" t="s">
        <v>14557</v>
      </c>
      <c r="B6932" s="2" t="s">
        <v>14558</v>
      </c>
      <c r="C6932" s="2" t="s">
        <v>29</v>
      </c>
      <c r="D6932" s="2" t="s">
        <v>192</v>
      </c>
      <c r="E6932" s="2" t="str">
        <f>"9789004433816"</f>
        <v>9789004433816</v>
      </c>
      <c r="F6932" s="2" t="str">
        <f>"9789004433823"</f>
        <v>9789004433823</v>
      </c>
    </row>
    <row r="6933" spans="1:6" s="3" customFormat="1" ht="29.1" customHeight="1" x14ac:dyDescent="0.25">
      <c r="A6933" s="2" t="s">
        <v>14559</v>
      </c>
      <c r="B6933" s="2" t="s">
        <v>14560</v>
      </c>
      <c r="C6933" s="2" t="s">
        <v>29</v>
      </c>
      <c r="D6933" s="2" t="s">
        <v>192</v>
      </c>
      <c r="E6933" s="2" t="str">
        <f>"9789004433793"</f>
        <v>9789004433793</v>
      </c>
      <c r="F6933" s="2" t="str">
        <f>"9789004433809"</f>
        <v>9789004433809</v>
      </c>
    </row>
    <row r="6934" spans="1:6" s="3" customFormat="1" ht="29.1" customHeight="1" x14ac:dyDescent="0.25">
      <c r="A6934" s="2" t="s">
        <v>14561</v>
      </c>
      <c r="B6934" s="2" t="s">
        <v>14562</v>
      </c>
      <c r="C6934" s="2" t="s">
        <v>29</v>
      </c>
      <c r="D6934" s="2" t="s">
        <v>9</v>
      </c>
      <c r="E6934" s="2" t="str">
        <f>"9789462095472"</f>
        <v>9789462095472</v>
      </c>
      <c r="F6934" s="2" t="str">
        <f>"9789462095489"</f>
        <v>9789462095489</v>
      </c>
    </row>
    <row r="6935" spans="1:6" s="3" customFormat="1" ht="29.1" customHeight="1" x14ac:dyDescent="0.25">
      <c r="A6935" s="2" t="s">
        <v>14563</v>
      </c>
      <c r="B6935" s="2" t="s">
        <v>10310</v>
      </c>
      <c r="C6935" s="2" t="s">
        <v>29</v>
      </c>
      <c r="D6935" s="2" t="s">
        <v>192</v>
      </c>
      <c r="E6935" s="2" t="str">
        <f>"9789004365902"</f>
        <v>9789004365902</v>
      </c>
      <c r="F6935" s="2" t="str">
        <f>"9789004379633"</f>
        <v>9789004379633</v>
      </c>
    </row>
    <row r="6936" spans="1:6" s="3" customFormat="1" ht="29.1" customHeight="1" x14ac:dyDescent="0.25">
      <c r="A6936" s="2" t="s">
        <v>14564</v>
      </c>
      <c r="B6936" s="2" t="s">
        <v>14565</v>
      </c>
      <c r="C6936" s="2" t="s">
        <v>29</v>
      </c>
      <c r="D6936" s="2" t="s">
        <v>218</v>
      </c>
      <c r="E6936" s="2" t="str">
        <f>"9789004386587"</f>
        <v>9789004386587</v>
      </c>
      <c r="F6936" s="2" t="str">
        <f>"9789004386617"</f>
        <v>9789004386617</v>
      </c>
    </row>
    <row r="6937" spans="1:6" s="3" customFormat="1" ht="29.1" customHeight="1" x14ac:dyDescent="0.25">
      <c r="A6937" s="2" t="s">
        <v>14566</v>
      </c>
      <c r="B6937" s="2" t="s">
        <v>10310</v>
      </c>
      <c r="C6937" s="2" t="s">
        <v>29</v>
      </c>
      <c r="D6937" s="2" t="s">
        <v>192</v>
      </c>
      <c r="E6937" s="2" t="str">
        <f>"9789004344549"</f>
        <v>9789004344549</v>
      </c>
      <c r="F6937" s="2" t="str">
        <f>"9789004344556"</f>
        <v>9789004344556</v>
      </c>
    </row>
    <row r="6938" spans="1:6" s="3" customFormat="1" ht="29.1" customHeight="1" x14ac:dyDescent="0.25">
      <c r="A6938" s="2" t="s">
        <v>14567</v>
      </c>
      <c r="B6938" s="2" t="s">
        <v>14568</v>
      </c>
      <c r="C6938" s="2" t="s">
        <v>29</v>
      </c>
      <c r="D6938" s="2" t="s">
        <v>192</v>
      </c>
      <c r="E6938" s="2" t="str">
        <f>"9789004351592"</f>
        <v>9789004351592</v>
      </c>
      <c r="F6938" s="2" t="str">
        <f>"9789004351608"</f>
        <v>9789004351608</v>
      </c>
    </row>
    <row r="6939" spans="1:6" s="3" customFormat="1" ht="29.1" customHeight="1" x14ac:dyDescent="0.25">
      <c r="A6939" s="2" t="s">
        <v>14569</v>
      </c>
      <c r="B6939" s="2" t="s">
        <v>14570</v>
      </c>
      <c r="C6939" s="2" t="s">
        <v>29</v>
      </c>
      <c r="D6939" s="2" t="s">
        <v>192</v>
      </c>
      <c r="E6939" s="2" t="str">
        <f>"9789004349162"</f>
        <v>9789004349162</v>
      </c>
      <c r="F6939" s="2" t="str">
        <f>"9789004349179"</f>
        <v>9789004349179</v>
      </c>
    </row>
    <row r="6940" spans="1:6" s="3" customFormat="1" ht="29.1" customHeight="1" x14ac:dyDescent="0.25">
      <c r="A6940" s="2" t="s">
        <v>14571</v>
      </c>
      <c r="B6940" s="2" t="s">
        <v>14572</v>
      </c>
      <c r="C6940" s="2" t="s">
        <v>29</v>
      </c>
      <c r="D6940" s="2" t="s">
        <v>192</v>
      </c>
      <c r="E6940" s="2" t="str">
        <f>"9789004336445"</f>
        <v>9789004336445</v>
      </c>
      <c r="F6940" s="2" t="str">
        <f>"9789004336452"</f>
        <v>9789004336452</v>
      </c>
    </row>
    <row r="6941" spans="1:6" s="3" customFormat="1" ht="29.1" customHeight="1" x14ac:dyDescent="0.25">
      <c r="A6941" s="2" t="s">
        <v>14573</v>
      </c>
      <c r="B6941" s="2" t="s">
        <v>14575</v>
      </c>
      <c r="C6941" s="2" t="s">
        <v>29</v>
      </c>
      <c r="D6941" s="2" t="s">
        <v>14574</v>
      </c>
      <c r="E6941" s="2" t="str">
        <f>"9789004693289"</f>
        <v>9789004693289</v>
      </c>
      <c r="F6941" s="2" t="str">
        <f>"9789004693296"</f>
        <v>9789004693296</v>
      </c>
    </row>
    <row r="6942" spans="1:6" s="3" customFormat="1" ht="29.1" customHeight="1" x14ac:dyDescent="0.25">
      <c r="A6942" s="2" t="s">
        <v>14576</v>
      </c>
      <c r="B6942" s="2" t="s">
        <v>14577</v>
      </c>
      <c r="C6942" s="2" t="s">
        <v>29</v>
      </c>
      <c r="D6942" s="2" t="s">
        <v>192</v>
      </c>
      <c r="E6942" s="2" t="str">
        <f>"9789004434264"</f>
        <v>9789004434264</v>
      </c>
      <c r="F6942" s="2" t="str">
        <f>"9789004434271"</f>
        <v>9789004434271</v>
      </c>
    </row>
    <row r="6943" spans="1:6" s="3" customFormat="1" ht="29.1" customHeight="1" x14ac:dyDescent="0.25">
      <c r="A6943" s="2" t="s">
        <v>14578</v>
      </c>
      <c r="B6943" s="2" t="s">
        <v>14579</v>
      </c>
      <c r="C6943" s="2" t="s">
        <v>29</v>
      </c>
      <c r="D6943" s="2" t="s">
        <v>9</v>
      </c>
      <c r="E6943" s="2" t="str">
        <f>"9789462095830"</f>
        <v>9789462095830</v>
      </c>
      <c r="F6943" s="2" t="str">
        <f>"9789462095847"</f>
        <v>9789462095847</v>
      </c>
    </row>
    <row r="6944" spans="1:6" s="3" customFormat="1" ht="29.1" customHeight="1" x14ac:dyDescent="0.25">
      <c r="A6944" s="2" t="s">
        <v>14580</v>
      </c>
      <c r="B6944" s="2" t="s">
        <v>14581</v>
      </c>
      <c r="C6944" s="2" t="s">
        <v>29</v>
      </c>
      <c r="D6944" s="2" t="s">
        <v>24</v>
      </c>
      <c r="E6944" s="2" t="str">
        <f>"9789004420748"</f>
        <v>9789004420748</v>
      </c>
      <c r="F6944" s="2" t="str">
        <f>"9789004420755"</f>
        <v>9789004420755</v>
      </c>
    </row>
    <row r="6945" spans="1:6" s="3" customFormat="1" ht="29.1" customHeight="1" x14ac:dyDescent="0.25">
      <c r="A6945" s="2" t="s">
        <v>14582</v>
      </c>
      <c r="B6945" s="2" t="s">
        <v>14583</v>
      </c>
      <c r="C6945" s="2" t="s">
        <v>29</v>
      </c>
      <c r="D6945" s="2" t="s">
        <v>509</v>
      </c>
      <c r="E6945" s="2" t="str">
        <f>"9789004421080"</f>
        <v>9789004421080</v>
      </c>
      <c r="F6945" s="2" t="str">
        <f>"9789004423374"</f>
        <v>9789004423374</v>
      </c>
    </row>
    <row r="6946" spans="1:6" s="3" customFormat="1" ht="29.1" customHeight="1" x14ac:dyDescent="0.25">
      <c r="A6946" s="2" t="s">
        <v>14584</v>
      </c>
      <c r="B6946" s="2" t="s">
        <v>14585</v>
      </c>
      <c r="C6946" s="2" t="s">
        <v>29</v>
      </c>
      <c r="D6946" s="2" t="s">
        <v>24</v>
      </c>
      <c r="E6946" s="2" t="str">
        <f>"9789004420267"</f>
        <v>9789004420267</v>
      </c>
      <c r="F6946" s="2" t="str">
        <f>"9789004420274"</f>
        <v>9789004420274</v>
      </c>
    </row>
    <row r="6947" spans="1:6" s="3" customFormat="1" ht="29.1" customHeight="1" x14ac:dyDescent="0.25">
      <c r="A6947" s="2" t="s">
        <v>14586</v>
      </c>
      <c r="B6947" s="2" t="s">
        <v>14587</v>
      </c>
      <c r="C6947" s="2" t="s">
        <v>29</v>
      </c>
      <c r="D6947" s="2" t="s">
        <v>24</v>
      </c>
      <c r="E6947" s="2" t="str">
        <f>"9789004413313"</f>
        <v>9789004413313</v>
      </c>
      <c r="F6947" s="2" t="str">
        <f>"9789004413320"</f>
        <v>9789004413320</v>
      </c>
    </row>
    <row r="6948" spans="1:6" s="3" customFormat="1" ht="29.1" customHeight="1" x14ac:dyDescent="0.25">
      <c r="A6948" s="2" t="s">
        <v>14588</v>
      </c>
      <c r="B6948" s="2" t="s">
        <v>14589</v>
      </c>
      <c r="C6948" s="2" t="s">
        <v>29</v>
      </c>
      <c r="D6948" s="2" t="s">
        <v>192</v>
      </c>
      <c r="E6948" s="2" t="str">
        <f>"9789004409866"</f>
        <v>9789004409866</v>
      </c>
      <c r="F6948" s="2" t="str">
        <f>"9789004409873"</f>
        <v>9789004409873</v>
      </c>
    </row>
    <row r="6949" spans="1:6" s="3" customFormat="1" ht="29.1" customHeight="1" x14ac:dyDescent="0.25">
      <c r="A6949" s="2" t="s">
        <v>14590</v>
      </c>
      <c r="B6949" s="2" t="s">
        <v>14591</v>
      </c>
      <c r="C6949" s="2" t="s">
        <v>29</v>
      </c>
      <c r="D6949" s="2" t="s">
        <v>192</v>
      </c>
      <c r="E6949" s="2" t="str">
        <f>"9789004396661"</f>
        <v>9789004396661</v>
      </c>
      <c r="F6949" s="2" t="str">
        <f>"9789004407411"</f>
        <v>9789004407411</v>
      </c>
    </row>
    <row r="6950" spans="1:6" s="3" customFormat="1" ht="29.1" customHeight="1" x14ac:dyDescent="0.25">
      <c r="A6950" s="2" t="s">
        <v>14592</v>
      </c>
      <c r="B6950" s="2" t="s">
        <v>14593</v>
      </c>
      <c r="C6950" s="2" t="s">
        <v>29</v>
      </c>
      <c r="D6950" s="2" t="s">
        <v>1162</v>
      </c>
      <c r="E6950" s="2" t="str">
        <f>"9789004348806"</f>
        <v>9789004348806</v>
      </c>
      <c r="F6950" s="2" t="str">
        <f>"9789004390430"</f>
        <v>9789004390430</v>
      </c>
    </row>
    <row r="6951" spans="1:6" s="3" customFormat="1" ht="29.1" customHeight="1" x14ac:dyDescent="0.25">
      <c r="A6951" s="2" t="s">
        <v>14594</v>
      </c>
      <c r="B6951" s="2" t="s">
        <v>14595</v>
      </c>
      <c r="C6951" s="2" t="s">
        <v>29</v>
      </c>
      <c r="D6951" s="2" t="s">
        <v>462</v>
      </c>
      <c r="E6951" s="2" t="str">
        <f>"9789004389038"</f>
        <v>9789004389038</v>
      </c>
      <c r="F6951" s="2" t="str">
        <f>"9789004389045"</f>
        <v>9789004389045</v>
      </c>
    </row>
    <row r="6952" spans="1:6" s="3" customFormat="1" ht="29.1" customHeight="1" x14ac:dyDescent="0.25">
      <c r="A6952" s="2" t="s">
        <v>14596</v>
      </c>
      <c r="B6952" s="2" t="s">
        <v>14597</v>
      </c>
      <c r="C6952" s="2" t="s">
        <v>29</v>
      </c>
      <c r="D6952" s="2" t="s">
        <v>5910</v>
      </c>
      <c r="E6952" s="2" t="str">
        <f>"9789004393769"</f>
        <v>9789004393769</v>
      </c>
      <c r="F6952" s="2" t="str">
        <f>"9789004393868"</f>
        <v>9789004393868</v>
      </c>
    </row>
    <row r="6953" spans="1:6" s="3" customFormat="1" ht="29.1" customHeight="1" x14ac:dyDescent="0.25">
      <c r="A6953" s="2" t="s">
        <v>14598</v>
      </c>
      <c r="B6953" s="2" t="s">
        <v>14599</v>
      </c>
      <c r="C6953" s="2" t="s">
        <v>29</v>
      </c>
      <c r="D6953" s="2" t="s">
        <v>596</v>
      </c>
      <c r="E6953" s="2" t="str">
        <f>"9789004411937"</f>
        <v>9789004411937</v>
      </c>
      <c r="F6953" s="2" t="str">
        <f>"9789004411944"</f>
        <v>9789004411944</v>
      </c>
    </row>
    <row r="6954" spans="1:6" s="3" customFormat="1" ht="29.1" customHeight="1" x14ac:dyDescent="0.25">
      <c r="A6954" s="2" t="s">
        <v>14600</v>
      </c>
      <c r="B6954" s="2" t="s">
        <v>14601</v>
      </c>
      <c r="C6954" s="2" t="s">
        <v>29</v>
      </c>
      <c r="D6954" s="2" t="s">
        <v>3270</v>
      </c>
      <c r="E6954" s="2" t="str">
        <f>"9789004399655"</f>
        <v>9789004399655</v>
      </c>
      <c r="F6954" s="2" t="str">
        <f>"9789004402560"</f>
        <v>9789004402560</v>
      </c>
    </row>
    <row r="6955" spans="1:6" s="3" customFormat="1" ht="29.1" customHeight="1" x14ac:dyDescent="0.25">
      <c r="A6955" s="2" t="s">
        <v>14602</v>
      </c>
      <c r="B6955" s="2" t="s">
        <v>14591</v>
      </c>
      <c r="C6955" s="2" t="s">
        <v>29</v>
      </c>
      <c r="D6955" s="2" t="s">
        <v>192</v>
      </c>
      <c r="E6955" s="2" t="str">
        <f>"9789004398016"</f>
        <v>9789004398016</v>
      </c>
      <c r="F6955" s="2" t="str">
        <f>"9789004408326"</f>
        <v>9789004408326</v>
      </c>
    </row>
    <row r="6956" spans="1:6" s="3" customFormat="1" ht="29.1" customHeight="1" x14ac:dyDescent="0.25">
      <c r="A6956" s="2" t="s">
        <v>14603</v>
      </c>
      <c r="B6956" s="2" t="s">
        <v>14604</v>
      </c>
      <c r="C6956" s="2" t="s">
        <v>29</v>
      </c>
      <c r="D6956" s="2" t="s">
        <v>4783</v>
      </c>
      <c r="E6956" s="2" t="str">
        <f>"9789004399006"</f>
        <v>9789004399006</v>
      </c>
      <c r="F6956" s="2" t="str">
        <f>"9789004399013"</f>
        <v>9789004399013</v>
      </c>
    </row>
    <row r="6957" spans="1:6" s="3" customFormat="1" ht="29.1" customHeight="1" x14ac:dyDescent="0.25">
      <c r="A6957" s="2" t="s">
        <v>14605</v>
      </c>
      <c r="B6957" s="2" t="s">
        <v>14606</v>
      </c>
      <c r="C6957" s="2" t="s">
        <v>29</v>
      </c>
      <c r="D6957" s="2" t="s">
        <v>937</v>
      </c>
      <c r="E6957" s="2" t="str">
        <f>"9789004346734"</f>
        <v>9789004346734</v>
      </c>
      <c r="F6957" s="2" t="str">
        <f>"9789004399297"</f>
        <v>9789004399297</v>
      </c>
    </row>
    <row r="6958" spans="1:6" s="3" customFormat="1" ht="29.1" customHeight="1" x14ac:dyDescent="0.25">
      <c r="A6958" s="2" t="s">
        <v>14607</v>
      </c>
      <c r="B6958" s="2" t="s">
        <v>14608</v>
      </c>
      <c r="C6958" s="2" t="s">
        <v>29</v>
      </c>
      <c r="D6958" s="2" t="s">
        <v>689</v>
      </c>
      <c r="E6958" s="2" t="str">
        <f>"9789004356184"</f>
        <v>9789004356184</v>
      </c>
      <c r="F6958" s="2" t="str">
        <f>"9789004391192"</f>
        <v>9789004391192</v>
      </c>
    </row>
    <row r="6959" spans="1:6" s="3" customFormat="1" ht="29.1" customHeight="1" x14ac:dyDescent="0.25">
      <c r="A6959" s="2" t="s">
        <v>14609</v>
      </c>
      <c r="B6959" s="2" t="s">
        <v>14610</v>
      </c>
      <c r="C6959" s="2" t="s">
        <v>29</v>
      </c>
      <c r="D6959" s="2" t="s">
        <v>1432</v>
      </c>
      <c r="E6959" s="2" t="str">
        <f>"9789004392120"</f>
        <v>9789004392120</v>
      </c>
      <c r="F6959" s="2" t="str">
        <f>"9789004392137"</f>
        <v>9789004392137</v>
      </c>
    </row>
    <row r="6960" spans="1:6" s="3" customFormat="1" ht="29.1" customHeight="1" x14ac:dyDescent="0.25">
      <c r="A6960" s="2" t="s">
        <v>14611</v>
      </c>
      <c r="B6960" s="2" t="s">
        <v>14612</v>
      </c>
      <c r="C6960" s="2" t="s">
        <v>29</v>
      </c>
      <c r="D6960" s="2" t="s">
        <v>192</v>
      </c>
      <c r="E6960" s="2" t="str">
        <f>"9789004389977"</f>
        <v>9789004389977</v>
      </c>
      <c r="F6960" s="2" t="str">
        <f>"9789004389984"</f>
        <v>9789004389984</v>
      </c>
    </row>
    <row r="6961" spans="1:6" s="3" customFormat="1" ht="29.1" customHeight="1" x14ac:dyDescent="0.25">
      <c r="A6961" s="2" t="s">
        <v>14613</v>
      </c>
      <c r="B6961" s="2" t="s">
        <v>14614</v>
      </c>
      <c r="C6961" s="2" t="s">
        <v>29</v>
      </c>
      <c r="D6961" s="2" t="s">
        <v>8199</v>
      </c>
      <c r="E6961" s="2" t="str">
        <f>"9789004394858"</f>
        <v>9789004394858</v>
      </c>
      <c r="F6961" s="2" t="str">
        <f>"9789004394872"</f>
        <v>9789004394872</v>
      </c>
    </row>
    <row r="6962" spans="1:6" s="3" customFormat="1" ht="29.1" customHeight="1" x14ac:dyDescent="0.25">
      <c r="A6962" s="2" t="s">
        <v>14615</v>
      </c>
      <c r="B6962" s="2" t="s">
        <v>14616</v>
      </c>
      <c r="C6962" s="2" t="s">
        <v>29</v>
      </c>
      <c r="D6962" s="2" t="s">
        <v>210</v>
      </c>
      <c r="E6962" s="2" t="str">
        <f>"9789004372467"</f>
        <v>9789004372467</v>
      </c>
      <c r="F6962" s="2" t="str">
        <f>"9789004383098"</f>
        <v>9789004383098</v>
      </c>
    </row>
    <row r="6963" spans="1:6" s="3" customFormat="1" ht="29.1" customHeight="1" x14ac:dyDescent="0.25">
      <c r="A6963" s="2" t="s">
        <v>14617</v>
      </c>
      <c r="B6963" s="2" t="s">
        <v>14618</v>
      </c>
      <c r="C6963" s="2" t="s">
        <v>29</v>
      </c>
      <c r="D6963" s="2" t="s">
        <v>428</v>
      </c>
      <c r="E6963" s="2" t="str">
        <f>"9789004387812"</f>
        <v>9789004387812</v>
      </c>
      <c r="F6963" s="2" t="str">
        <f>"9789004387850"</f>
        <v>9789004387850</v>
      </c>
    </row>
    <row r="6964" spans="1:6" s="3" customFormat="1" ht="29.1" customHeight="1" x14ac:dyDescent="0.25">
      <c r="A6964" s="2" t="s">
        <v>14619</v>
      </c>
      <c r="B6964" s="2" t="s">
        <v>14620</v>
      </c>
      <c r="C6964" s="2" t="s">
        <v>29</v>
      </c>
      <c r="D6964" s="2" t="s">
        <v>9</v>
      </c>
      <c r="E6964" s="2" t="str">
        <f>"9789463511421"</f>
        <v>9789463511421</v>
      </c>
      <c r="F6964" s="2" t="str">
        <f>"9789463511438"</f>
        <v>9789463511438</v>
      </c>
    </row>
    <row r="6965" spans="1:6" s="3" customFormat="1" ht="29.1" customHeight="1" x14ac:dyDescent="0.25">
      <c r="A6965" s="2" t="s">
        <v>14621</v>
      </c>
      <c r="B6965" s="2" t="s">
        <v>14623</v>
      </c>
      <c r="C6965" s="2" t="s">
        <v>29</v>
      </c>
      <c r="D6965" s="2" t="s">
        <v>14622</v>
      </c>
      <c r="E6965" s="2" t="str">
        <f>"9789004377677"</f>
        <v>9789004377677</v>
      </c>
      <c r="F6965" s="2" t="str">
        <f>"9789004378162"</f>
        <v>9789004378162</v>
      </c>
    </row>
    <row r="6966" spans="1:6" s="3" customFormat="1" ht="29.1" customHeight="1" x14ac:dyDescent="0.25">
      <c r="A6966" s="2" t="s">
        <v>14624</v>
      </c>
      <c r="B6966" s="2" t="s">
        <v>14625</v>
      </c>
      <c r="C6966" s="2" t="s">
        <v>29</v>
      </c>
      <c r="D6966" s="2" t="s">
        <v>606</v>
      </c>
      <c r="E6966" s="2" t="str">
        <f>"9789004346741"</f>
        <v>9789004346741</v>
      </c>
      <c r="F6966" s="2" t="str">
        <f>"9789004375086"</f>
        <v>9789004375086</v>
      </c>
    </row>
    <row r="6967" spans="1:6" s="3" customFormat="1" ht="29.1" customHeight="1" x14ac:dyDescent="0.25">
      <c r="A6967" s="2" t="s">
        <v>14626</v>
      </c>
      <c r="B6967" s="2" t="s">
        <v>14627</v>
      </c>
      <c r="C6967" s="2" t="s">
        <v>29</v>
      </c>
      <c r="D6967" s="2" t="s">
        <v>606</v>
      </c>
      <c r="E6967" s="2" t="str">
        <f>"9789004373631"</f>
        <v>9789004373631</v>
      </c>
      <c r="F6967" s="2" t="str">
        <f>"9789004375314"</f>
        <v>9789004375314</v>
      </c>
    </row>
    <row r="6968" spans="1:6" s="3" customFormat="1" ht="29.1" customHeight="1" x14ac:dyDescent="0.25">
      <c r="A6968" s="2" t="s">
        <v>14628</v>
      </c>
      <c r="B6968" s="2" t="s">
        <v>14629</v>
      </c>
      <c r="C6968" s="2" t="s">
        <v>29</v>
      </c>
      <c r="D6968" s="2" t="s">
        <v>192</v>
      </c>
      <c r="E6968" s="2" t="str">
        <f>"9789004345690"</f>
        <v>9789004345690</v>
      </c>
      <c r="F6968" s="2" t="str">
        <f>"9789004345706"</f>
        <v>9789004345706</v>
      </c>
    </row>
    <row r="6969" spans="1:6" s="3" customFormat="1" ht="29.1" customHeight="1" x14ac:dyDescent="0.25">
      <c r="A6969" s="2" t="s">
        <v>14630</v>
      </c>
      <c r="B6969" s="2" t="s">
        <v>14631</v>
      </c>
      <c r="C6969" s="2" t="s">
        <v>29</v>
      </c>
      <c r="D6969" s="2" t="s">
        <v>192</v>
      </c>
      <c r="E6969" s="2" t="str">
        <f>"9789004351660"</f>
        <v>9789004351660</v>
      </c>
      <c r="F6969" s="2" t="str">
        <f>"9789004351677"</f>
        <v>9789004351677</v>
      </c>
    </row>
    <row r="6970" spans="1:6" s="3" customFormat="1" ht="29.1" customHeight="1" x14ac:dyDescent="0.25">
      <c r="A6970" s="2" t="s">
        <v>14632</v>
      </c>
      <c r="B6970" s="2" t="s">
        <v>14633</v>
      </c>
      <c r="C6970" s="2" t="s">
        <v>29</v>
      </c>
      <c r="D6970" s="2" t="s">
        <v>192</v>
      </c>
      <c r="E6970" s="2" t="str">
        <f>"9789004349520"</f>
        <v>9789004349520</v>
      </c>
      <c r="F6970" s="2" t="str">
        <f>"9789004349551"</f>
        <v>9789004349551</v>
      </c>
    </row>
    <row r="6971" spans="1:6" s="3" customFormat="1" ht="29.1" customHeight="1" x14ac:dyDescent="0.25">
      <c r="A6971" s="2" t="s">
        <v>14634</v>
      </c>
      <c r="B6971" s="2" t="s">
        <v>14635</v>
      </c>
      <c r="C6971" s="2" t="s">
        <v>29</v>
      </c>
      <c r="D6971" s="2" t="s">
        <v>192</v>
      </c>
      <c r="E6971" s="2" t="str">
        <f>"9789004341470"</f>
        <v>9789004341470</v>
      </c>
      <c r="F6971" s="2" t="str">
        <f>"9789004341487"</f>
        <v>9789004341487</v>
      </c>
    </row>
    <row r="6972" spans="1:6" s="3" customFormat="1" ht="29.1" customHeight="1" x14ac:dyDescent="0.25">
      <c r="A6972" s="2" t="s">
        <v>14636</v>
      </c>
      <c r="B6972" s="2" t="s">
        <v>14637</v>
      </c>
      <c r="C6972" s="2" t="s">
        <v>29</v>
      </c>
      <c r="D6972" s="2" t="s">
        <v>218</v>
      </c>
      <c r="E6972" s="2" t="str">
        <f>"9789004335455"</f>
        <v>9789004335455</v>
      </c>
      <c r="F6972" s="2" t="str">
        <f>"9789004335462"</f>
        <v>9789004335462</v>
      </c>
    </row>
    <row r="6973" spans="1:6" s="3" customFormat="1" ht="29.1" customHeight="1" x14ac:dyDescent="0.25">
      <c r="A6973" s="2" t="s">
        <v>14638</v>
      </c>
      <c r="B6973" s="2" t="s">
        <v>14639</v>
      </c>
      <c r="C6973" s="2" t="s">
        <v>29</v>
      </c>
      <c r="D6973" s="2" t="s">
        <v>4700</v>
      </c>
      <c r="E6973" s="2" t="str">
        <f>"9789004322066"</f>
        <v>9789004322066</v>
      </c>
      <c r="F6973" s="2" t="str">
        <f>"9789004322073"</f>
        <v>9789004322073</v>
      </c>
    </row>
    <row r="6974" spans="1:6" s="3" customFormat="1" ht="29.1" customHeight="1" x14ac:dyDescent="0.25">
      <c r="A6974" s="2" t="s">
        <v>14640</v>
      </c>
      <c r="B6974" s="2" t="s">
        <v>14641</v>
      </c>
      <c r="C6974" s="2" t="s">
        <v>29</v>
      </c>
      <c r="D6974" s="2" t="s">
        <v>218</v>
      </c>
      <c r="E6974" s="2" t="str">
        <f>"9789004292000"</f>
        <v>9789004292000</v>
      </c>
      <c r="F6974" s="2" t="str">
        <f>"9789004292017"</f>
        <v>9789004292017</v>
      </c>
    </row>
    <row r="6975" spans="1:6" s="3" customFormat="1" ht="29.1" customHeight="1" x14ac:dyDescent="0.25">
      <c r="A6975" s="2" t="s">
        <v>14642</v>
      </c>
      <c r="B6975" s="2" t="s">
        <v>14643</v>
      </c>
      <c r="C6975" s="2" t="s">
        <v>29</v>
      </c>
      <c r="D6975" s="2" t="s">
        <v>218</v>
      </c>
      <c r="E6975" s="2" t="str">
        <f>"9789004315730"</f>
        <v>9789004315730</v>
      </c>
      <c r="F6975" s="2" t="str">
        <f>"9789004325838"</f>
        <v>9789004325838</v>
      </c>
    </row>
    <row r="6976" spans="1:6" s="3" customFormat="1" ht="29.1" customHeight="1" x14ac:dyDescent="0.25">
      <c r="A6976" s="2" t="s">
        <v>14644</v>
      </c>
      <c r="B6976" s="2" t="s">
        <v>14645</v>
      </c>
      <c r="C6976" s="2" t="s">
        <v>927</v>
      </c>
      <c r="D6976" s="2" t="s">
        <v>8788</v>
      </c>
      <c r="E6976" s="2" t="str">
        <f>"9780472056163"</f>
        <v>9780472056163</v>
      </c>
      <c r="F6976" s="2" t="str">
        <f>"9780472903504"</f>
        <v>9780472903504</v>
      </c>
    </row>
    <row r="6977" spans="1:6" s="3" customFormat="1" ht="29.1" customHeight="1" x14ac:dyDescent="0.25">
      <c r="A6977" s="2" t="s">
        <v>14646</v>
      </c>
      <c r="B6977" s="2" t="s">
        <v>14647</v>
      </c>
      <c r="C6977" s="2" t="s">
        <v>239</v>
      </c>
      <c r="D6977" s="2" t="s">
        <v>49</v>
      </c>
      <c r="E6977" s="2" t="str">
        <f>"9780520401815"</f>
        <v>9780520401815</v>
      </c>
      <c r="F6977" s="2" t="str">
        <f>"9780520401822"</f>
        <v>9780520401822</v>
      </c>
    </row>
    <row r="6978" spans="1:6" s="3" customFormat="1" ht="29.1" customHeight="1" x14ac:dyDescent="0.25">
      <c r="A6978" s="2" t="s">
        <v>14648</v>
      </c>
      <c r="B6978" s="2" t="s">
        <v>14650</v>
      </c>
      <c r="C6978" s="2" t="s">
        <v>14649</v>
      </c>
      <c r="D6978" s="2" t="s">
        <v>3878</v>
      </c>
      <c r="E6978" s="2" t="str">
        <f>"9798986259574"</f>
        <v>9798986259574</v>
      </c>
      <c r="F6978" s="2" t="str">
        <f>"9798986259567"</f>
        <v>9798986259567</v>
      </c>
    </row>
    <row r="6979" spans="1:6" s="3" customFormat="1" ht="29.1" customHeight="1" x14ac:dyDescent="0.25">
      <c r="A6979" s="2" t="s">
        <v>14651</v>
      </c>
      <c r="B6979" s="2" t="s">
        <v>14652</v>
      </c>
      <c r="C6979" s="2" t="s">
        <v>14649</v>
      </c>
      <c r="D6979" s="2" t="s">
        <v>9146</v>
      </c>
      <c r="E6979" s="2" t="str">
        <f>"9798986259475"</f>
        <v>9798986259475</v>
      </c>
      <c r="F6979" s="2" t="str">
        <f>"9798986259468"</f>
        <v>9798986259468</v>
      </c>
    </row>
    <row r="6980" spans="1:6" s="3" customFormat="1" ht="29.1" customHeight="1" x14ac:dyDescent="0.25">
      <c r="A6980" s="2" t="s">
        <v>14653</v>
      </c>
      <c r="B6980" s="2" t="s">
        <v>14654</v>
      </c>
      <c r="C6980" s="2" t="s">
        <v>14649</v>
      </c>
      <c r="D6980" s="2" t="s">
        <v>5671</v>
      </c>
      <c r="E6980" s="2" t="str">
        <f>"9798986259598"</f>
        <v>9798986259598</v>
      </c>
      <c r="F6980" s="2" t="str">
        <f>"9798986259581"</f>
        <v>9798986259581</v>
      </c>
    </row>
    <row r="6981" spans="1:6" s="3" customFormat="1" ht="29.1" customHeight="1" x14ac:dyDescent="0.25">
      <c r="A6981" s="2" t="s">
        <v>14655</v>
      </c>
      <c r="B6981" s="2" t="s">
        <v>14656</v>
      </c>
      <c r="C6981" s="2" t="s">
        <v>14649</v>
      </c>
      <c r="D6981" s="2" t="s">
        <v>4742</v>
      </c>
      <c r="E6981" s="2" t="str">
        <f>"9798986259512"</f>
        <v>9798986259512</v>
      </c>
      <c r="F6981" s="2" t="str">
        <f>"9798986259505"</f>
        <v>9798986259505</v>
      </c>
    </row>
    <row r="6982" spans="1:6" s="3" customFormat="1" ht="29.1" customHeight="1" x14ac:dyDescent="0.25">
      <c r="A6982" s="2" t="s">
        <v>14657</v>
      </c>
      <c r="B6982" s="2" t="s">
        <v>14658</v>
      </c>
      <c r="C6982" s="2" t="s">
        <v>14649</v>
      </c>
      <c r="D6982" s="2" t="s">
        <v>3713</v>
      </c>
      <c r="E6982" s="2" t="str">
        <f>"9798986259536"</f>
        <v>9798986259536</v>
      </c>
      <c r="F6982" s="2" t="str">
        <f>"9798986259529"</f>
        <v>9798986259529</v>
      </c>
    </row>
    <row r="6983" spans="1:6" s="3" customFormat="1" ht="29.1" customHeight="1" x14ac:dyDescent="0.25">
      <c r="A6983" s="2" t="s">
        <v>14659</v>
      </c>
      <c r="B6983" s="2" t="s">
        <v>14660</v>
      </c>
      <c r="C6983" s="2" t="s">
        <v>14649</v>
      </c>
      <c r="D6983" s="2" t="s">
        <v>3878</v>
      </c>
      <c r="E6983" s="2" t="str">
        <f>"9798986259550"</f>
        <v>9798986259550</v>
      </c>
      <c r="F6983" s="2" t="str">
        <f>"9798986259543"</f>
        <v>9798986259543</v>
      </c>
    </row>
    <row r="6984" spans="1:6" s="3" customFormat="1" ht="29.1" customHeight="1" x14ac:dyDescent="0.25">
      <c r="A6984" s="2" t="s">
        <v>14661</v>
      </c>
      <c r="B6984" s="2" t="s">
        <v>14662</v>
      </c>
      <c r="C6984" s="2" t="s">
        <v>14649</v>
      </c>
      <c r="D6984" s="2" t="s">
        <v>3878</v>
      </c>
      <c r="E6984" s="2" t="str">
        <f>"9798986259451"</f>
        <v>9798986259451</v>
      </c>
      <c r="F6984" s="2" t="str">
        <f>"9798986259444"</f>
        <v>9798986259444</v>
      </c>
    </row>
    <row r="6985" spans="1:6" s="3" customFormat="1" ht="29.1" customHeight="1" x14ac:dyDescent="0.25">
      <c r="A6985" s="2" t="s">
        <v>14663</v>
      </c>
      <c r="B6985" s="2" t="s">
        <v>14664</v>
      </c>
      <c r="C6985" s="2" t="s">
        <v>14649</v>
      </c>
      <c r="D6985" s="2" t="s">
        <v>876</v>
      </c>
      <c r="E6985" s="2" t="str">
        <f>"9798985340419"</f>
        <v>9798985340419</v>
      </c>
      <c r="F6985" s="2" t="str">
        <f>"9798985340402"</f>
        <v>9798985340402</v>
      </c>
    </row>
    <row r="6986" spans="1:6" s="3" customFormat="1" ht="29.1" customHeight="1" x14ac:dyDescent="0.25">
      <c r="A6986" s="2" t="s">
        <v>14665</v>
      </c>
      <c r="B6986" s="2" t="s">
        <v>14666</v>
      </c>
      <c r="C6986" s="2" t="s">
        <v>14649</v>
      </c>
      <c r="D6986" s="2" t="s">
        <v>2433</v>
      </c>
      <c r="E6986" s="2" t="str">
        <f>"9798986259499"</f>
        <v>9798986259499</v>
      </c>
      <c r="F6986" s="2" t="str">
        <f>"9798986259482"</f>
        <v>9798986259482</v>
      </c>
    </row>
    <row r="6987" spans="1:6" s="3" customFormat="1" ht="29.1" customHeight="1" x14ac:dyDescent="0.25">
      <c r="A6987" s="2" t="s">
        <v>14667</v>
      </c>
      <c r="B6987" s="2" t="s">
        <v>14668</v>
      </c>
      <c r="C6987" s="2" t="s">
        <v>14649</v>
      </c>
      <c r="D6987" s="2" t="s">
        <v>9146</v>
      </c>
      <c r="E6987" s="2" t="str">
        <f>"9798985340488"</f>
        <v>9798985340488</v>
      </c>
      <c r="F6987" s="2" t="str">
        <f>"9798985340495"</f>
        <v>9798985340495</v>
      </c>
    </row>
    <row r="6988" spans="1:6" s="3" customFormat="1" ht="29.1" customHeight="1" x14ac:dyDescent="0.25">
      <c r="A6988" s="2" t="s">
        <v>14669</v>
      </c>
      <c r="B6988" s="2" t="s">
        <v>14670</v>
      </c>
      <c r="C6988" s="2" t="s">
        <v>14649</v>
      </c>
      <c r="D6988" s="2" t="s">
        <v>3878</v>
      </c>
      <c r="E6988" s="2" t="str">
        <f>"9798986259420"</f>
        <v>9798986259420</v>
      </c>
      <c r="F6988" s="2" t="str">
        <f>"9798986259437"</f>
        <v>9798986259437</v>
      </c>
    </row>
    <row r="6989" spans="1:6" s="3" customFormat="1" ht="29.1" customHeight="1" x14ac:dyDescent="0.25">
      <c r="A6989" s="2" t="s">
        <v>14671</v>
      </c>
      <c r="B6989" s="2" t="s">
        <v>14672</v>
      </c>
      <c r="C6989" s="2" t="s">
        <v>14649</v>
      </c>
      <c r="D6989" s="2" t="s">
        <v>8591</v>
      </c>
      <c r="E6989" s="2" t="str">
        <f>"9798986259413"</f>
        <v>9798986259413</v>
      </c>
      <c r="F6989" s="2" t="str">
        <f>"9798986259406"</f>
        <v>9798986259406</v>
      </c>
    </row>
    <row r="6990" spans="1:6" s="3" customFormat="1" ht="29.1" customHeight="1" x14ac:dyDescent="0.25">
      <c r="A6990" s="2" t="s">
        <v>14673</v>
      </c>
      <c r="B6990" s="2" t="s">
        <v>14674</v>
      </c>
      <c r="C6990" s="2" t="s">
        <v>14649</v>
      </c>
      <c r="D6990" s="2" t="s">
        <v>8591</v>
      </c>
      <c r="E6990" s="2" t="str">
        <f>"9798985340471"</f>
        <v>9798985340471</v>
      </c>
      <c r="F6990" s="2" t="str">
        <f>"9798985340464"</f>
        <v>9798985340464</v>
      </c>
    </row>
    <row r="6991" spans="1:6" s="3" customFormat="1" ht="29.1" customHeight="1" x14ac:dyDescent="0.25">
      <c r="A6991" s="2" t="s">
        <v>14675</v>
      </c>
      <c r="B6991" s="2" t="s">
        <v>14676</v>
      </c>
      <c r="C6991" s="2" t="s">
        <v>14649</v>
      </c>
      <c r="D6991" s="2" t="s">
        <v>9146</v>
      </c>
      <c r="E6991" s="2" t="str">
        <f>"9798985340426"</f>
        <v>9798985340426</v>
      </c>
      <c r="F6991" s="2" t="str">
        <f>"9798985340433"</f>
        <v>9798985340433</v>
      </c>
    </row>
    <row r="6992" spans="1:6" s="3" customFormat="1" ht="29.1" customHeight="1" x14ac:dyDescent="0.25">
      <c r="A6992" s="2" t="s">
        <v>14677</v>
      </c>
      <c r="B6992" s="2" t="s">
        <v>14678</v>
      </c>
      <c r="C6992" s="2" t="s">
        <v>14649</v>
      </c>
      <c r="D6992" s="2" t="s">
        <v>408</v>
      </c>
      <c r="E6992" s="2" t="str">
        <f>"9798985340341"</f>
        <v>9798985340341</v>
      </c>
      <c r="F6992" s="2" t="str">
        <f>"9798985340358"</f>
        <v>9798985340358</v>
      </c>
    </row>
    <row r="6993" spans="1:6" s="3" customFormat="1" ht="29.1" customHeight="1" x14ac:dyDescent="0.25">
      <c r="A6993" s="2" t="s">
        <v>14679</v>
      </c>
      <c r="B6993" s="2" t="s">
        <v>14680</v>
      </c>
      <c r="C6993" s="2" t="s">
        <v>14649</v>
      </c>
      <c r="D6993" s="2" t="s">
        <v>3878</v>
      </c>
      <c r="E6993" s="2" t="str">
        <f>"9798985340365"</f>
        <v>9798985340365</v>
      </c>
      <c r="F6993" s="2" t="str">
        <f>"9798985340372"</f>
        <v>9798985340372</v>
      </c>
    </row>
    <row r="6994" spans="1:6" s="3" customFormat="1" ht="29.1" customHeight="1" x14ac:dyDescent="0.25">
      <c r="A6994" s="2" t="s">
        <v>14681</v>
      </c>
      <c r="B6994" s="2" t="s">
        <v>14682</v>
      </c>
      <c r="C6994" s="2" t="s">
        <v>14649</v>
      </c>
      <c r="D6994" s="2" t="s">
        <v>3878</v>
      </c>
      <c r="E6994" s="2" t="str">
        <f>"9798985340327"</f>
        <v>9798985340327</v>
      </c>
      <c r="F6994" s="2" t="str">
        <f>"9798985340334"</f>
        <v>9798985340334</v>
      </c>
    </row>
    <row r="6995" spans="1:6" s="3" customFormat="1" ht="29.1" customHeight="1" x14ac:dyDescent="0.25">
      <c r="A6995" s="2" t="s">
        <v>14683</v>
      </c>
      <c r="B6995" s="2" t="s">
        <v>14684</v>
      </c>
      <c r="C6995" s="2" t="s">
        <v>14649</v>
      </c>
      <c r="D6995" s="2" t="s">
        <v>14262</v>
      </c>
      <c r="E6995" s="2" t="str">
        <f>"9781737040569"</f>
        <v>9781737040569</v>
      </c>
      <c r="F6995" s="2" t="str">
        <f>"9781737040576"</f>
        <v>9781737040576</v>
      </c>
    </row>
    <row r="6996" spans="1:6" s="3" customFormat="1" ht="29.1" customHeight="1" x14ac:dyDescent="0.25">
      <c r="A6996" s="2" t="s">
        <v>14685</v>
      </c>
      <c r="B6996" s="2" t="s">
        <v>14687</v>
      </c>
      <c r="C6996" s="2" t="s">
        <v>14649</v>
      </c>
      <c r="D6996" s="2" t="s">
        <v>14686</v>
      </c>
      <c r="E6996" s="2" t="str">
        <f>"9781732003187"</f>
        <v>9781732003187</v>
      </c>
      <c r="F6996" s="2" t="str">
        <f>"9781737040552"</f>
        <v>9781737040552</v>
      </c>
    </row>
    <row r="6997" spans="1:6" s="3" customFormat="1" ht="29.1" customHeight="1" x14ac:dyDescent="0.25">
      <c r="A6997" s="2" t="s">
        <v>14688</v>
      </c>
      <c r="B6997" s="2" t="s">
        <v>14689</v>
      </c>
      <c r="C6997" s="2" t="s">
        <v>14649</v>
      </c>
      <c r="D6997" s="2" t="s">
        <v>3878</v>
      </c>
      <c r="E6997" s="2" t="str">
        <f>"9781732003170"</f>
        <v>9781732003170</v>
      </c>
      <c r="F6997" s="2" t="str">
        <f>"9781737040545"</f>
        <v>9781737040545</v>
      </c>
    </row>
    <row r="6998" spans="1:6" s="3" customFormat="1" ht="29.1" customHeight="1" x14ac:dyDescent="0.25">
      <c r="A6998" s="2" t="s">
        <v>14690</v>
      </c>
      <c r="B6998" s="2" t="s">
        <v>14691</v>
      </c>
      <c r="C6998" s="2" t="s">
        <v>14649</v>
      </c>
      <c r="D6998" s="2" t="s">
        <v>1565</v>
      </c>
      <c r="E6998" s="2" t="str">
        <f>"9781732003132"</f>
        <v>9781732003132</v>
      </c>
      <c r="F6998" s="2" t="str">
        <f>"9781732003040"</f>
        <v>9781732003040</v>
      </c>
    </row>
    <row r="6999" spans="1:6" s="3" customFormat="1" ht="29.1" customHeight="1" x14ac:dyDescent="0.25">
      <c r="A6999" s="2" t="s">
        <v>14692</v>
      </c>
      <c r="B6999" s="2" t="s">
        <v>14693</v>
      </c>
      <c r="C6999" s="2" t="s">
        <v>14649</v>
      </c>
      <c r="D6999" s="2" t="s">
        <v>192</v>
      </c>
      <c r="E6999" s="2" t="str">
        <f>"9781732003002"</f>
        <v>9781732003002</v>
      </c>
      <c r="F6999" s="2" t="str">
        <f>"9781737040521"</f>
        <v>9781737040521</v>
      </c>
    </row>
    <row r="7000" spans="1:6" s="3" customFormat="1" ht="29.1" customHeight="1" x14ac:dyDescent="0.25">
      <c r="A7000" s="2" t="s">
        <v>14694</v>
      </c>
      <c r="B7000" s="2" t="s">
        <v>14695</v>
      </c>
      <c r="C7000" s="2" t="s">
        <v>14649</v>
      </c>
      <c r="D7000" s="2" t="s">
        <v>1228</v>
      </c>
      <c r="E7000" s="2" t="str">
        <f>"9781732003125"</f>
        <v>9781732003125</v>
      </c>
      <c r="F7000" s="2" t="str">
        <f>"9781737040514"</f>
        <v>9781737040514</v>
      </c>
    </row>
    <row r="7001" spans="1:6" s="3" customFormat="1" ht="29.1" customHeight="1" x14ac:dyDescent="0.25">
      <c r="A7001" s="2" t="s">
        <v>14696</v>
      </c>
      <c r="B7001" s="2" t="s">
        <v>14697</v>
      </c>
      <c r="C7001" s="2" t="s">
        <v>14649</v>
      </c>
      <c r="D7001" s="2" t="s">
        <v>5104</v>
      </c>
      <c r="E7001" s="2" t="str">
        <f>"9781732003088"</f>
        <v>9781732003088</v>
      </c>
      <c r="F7001" s="2" t="str">
        <f>"9781737040507"</f>
        <v>9781737040507</v>
      </c>
    </row>
    <row r="7002" spans="1:6" s="3" customFormat="1" ht="29.1" customHeight="1" x14ac:dyDescent="0.25">
      <c r="A7002" s="2" t="s">
        <v>14698</v>
      </c>
      <c r="B7002" s="2" t="s">
        <v>14676</v>
      </c>
      <c r="C7002" s="2" t="s">
        <v>14649</v>
      </c>
      <c r="D7002" s="2" t="s">
        <v>501</v>
      </c>
      <c r="E7002" s="2" t="str">
        <f>"9781732003057"</f>
        <v>9781732003057</v>
      </c>
      <c r="F7002" s="2" t="str">
        <f>"9781737040491"</f>
        <v>9781737040491</v>
      </c>
    </row>
    <row r="7003" spans="1:6" s="3" customFormat="1" ht="29.1" customHeight="1" x14ac:dyDescent="0.25">
      <c r="A7003" s="2" t="s">
        <v>14699</v>
      </c>
      <c r="B7003" s="2" t="s">
        <v>14700</v>
      </c>
      <c r="C7003" s="2" t="s">
        <v>14649</v>
      </c>
      <c r="D7003" s="2" t="s">
        <v>1565</v>
      </c>
      <c r="E7003" s="2" t="str">
        <f>"9781732003156"</f>
        <v>9781732003156</v>
      </c>
      <c r="F7003" s="2" t="str">
        <f>"9781737040484"</f>
        <v>9781737040484</v>
      </c>
    </row>
    <row r="7004" spans="1:6" s="3" customFormat="1" ht="29.1" customHeight="1" x14ac:dyDescent="0.25">
      <c r="A7004" s="2" t="s">
        <v>14701</v>
      </c>
      <c r="B7004" s="2" t="s">
        <v>14702</v>
      </c>
      <c r="C7004" s="2" t="s">
        <v>14649</v>
      </c>
      <c r="D7004" s="2" t="s">
        <v>3878</v>
      </c>
      <c r="E7004" s="2" t="str">
        <f>"9781732003149"</f>
        <v>9781732003149</v>
      </c>
      <c r="F7004" s="2" t="str">
        <f>"9781737040477"</f>
        <v>9781737040477</v>
      </c>
    </row>
    <row r="7005" spans="1:6" s="3" customFormat="1" ht="29.1" customHeight="1" x14ac:dyDescent="0.25">
      <c r="A7005" s="2" t="s">
        <v>14703</v>
      </c>
      <c r="B7005" s="2" t="s">
        <v>14704</v>
      </c>
      <c r="C7005" s="2" t="s">
        <v>14649</v>
      </c>
      <c r="D7005" s="2" t="s">
        <v>12625</v>
      </c>
      <c r="E7005" s="2" t="str">
        <f>"9780160953613"</f>
        <v>9780160953613</v>
      </c>
      <c r="F7005" s="2" t="str">
        <f>"9781737040460"</f>
        <v>9781737040460</v>
      </c>
    </row>
    <row r="7006" spans="1:6" s="3" customFormat="1" ht="29.1" customHeight="1" x14ac:dyDescent="0.25">
      <c r="A7006" s="2" t="s">
        <v>14705</v>
      </c>
      <c r="B7006" s="2" t="s">
        <v>14706</v>
      </c>
      <c r="C7006" s="2" t="s">
        <v>14649</v>
      </c>
      <c r="D7006" s="2" t="s">
        <v>3878</v>
      </c>
      <c r="E7006" s="2" t="str">
        <f>"9781732003194"</f>
        <v>9781732003194</v>
      </c>
      <c r="F7006" s="2" t="str">
        <f>"9781737040453"</f>
        <v>9781737040453</v>
      </c>
    </row>
    <row r="7007" spans="1:6" s="3" customFormat="1" ht="29.1" customHeight="1" x14ac:dyDescent="0.25">
      <c r="A7007" s="2" t="s">
        <v>14707</v>
      </c>
      <c r="B7007" s="2" t="s">
        <v>14708</v>
      </c>
      <c r="C7007" s="2" t="s">
        <v>14649</v>
      </c>
      <c r="D7007" s="2" t="s">
        <v>14262</v>
      </c>
      <c r="E7007" s="2" t="str">
        <f>"9781732003095"</f>
        <v>9781732003095</v>
      </c>
      <c r="F7007" s="2" t="str">
        <f>"9781737040446"</f>
        <v>9781737040446</v>
      </c>
    </row>
    <row r="7008" spans="1:6" s="3" customFormat="1" ht="29.1" customHeight="1" x14ac:dyDescent="0.25">
      <c r="A7008" s="2" t="s">
        <v>14709</v>
      </c>
      <c r="B7008" s="2" t="s">
        <v>14710</v>
      </c>
      <c r="C7008" s="2" t="s">
        <v>14649</v>
      </c>
      <c r="D7008" s="2" t="s">
        <v>183</v>
      </c>
      <c r="E7008" s="2" t="str">
        <f>"9780160955242"</f>
        <v>9780160955242</v>
      </c>
      <c r="F7008" s="2" t="str">
        <f>"9781737040439"</f>
        <v>9781737040439</v>
      </c>
    </row>
    <row r="7009" spans="1:6" s="3" customFormat="1" ht="29.1" customHeight="1" x14ac:dyDescent="0.25">
      <c r="A7009" s="2" t="s">
        <v>14711</v>
      </c>
      <c r="B7009" s="2" t="s">
        <v>14712</v>
      </c>
      <c r="C7009" s="2" t="s">
        <v>14649</v>
      </c>
      <c r="D7009" s="2" t="s">
        <v>14262</v>
      </c>
      <c r="E7009" s="2" t="str">
        <f>"9780160954344"</f>
        <v>9780160954344</v>
      </c>
      <c r="F7009" s="2" t="str">
        <f>"9781737040422"</f>
        <v>9781737040422</v>
      </c>
    </row>
    <row r="7010" spans="1:6" s="3" customFormat="1" ht="29.1" customHeight="1" x14ac:dyDescent="0.25">
      <c r="A7010" s="2" t="s">
        <v>14713</v>
      </c>
      <c r="B7010" s="2" t="s">
        <v>14714</v>
      </c>
      <c r="C7010" s="2" t="s">
        <v>14649</v>
      </c>
      <c r="D7010" s="2" t="s">
        <v>12255</v>
      </c>
      <c r="E7010" s="2" t="str">
        <f>"9780997317497"</f>
        <v>9780997317497</v>
      </c>
      <c r="F7010" s="2" t="str">
        <f>"9781737040415"</f>
        <v>9781737040415</v>
      </c>
    </row>
    <row r="7011" spans="1:6" s="3" customFormat="1" ht="29.1" customHeight="1" x14ac:dyDescent="0.25">
      <c r="A7011" s="2" t="s">
        <v>14715</v>
      </c>
      <c r="B7011" s="2" t="s">
        <v>14716</v>
      </c>
      <c r="C7011" s="2" t="s">
        <v>14649</v>
      </c>
      <c r="D7011" s="2" t="s">
        <v>6149</v>
      </c>
      <c r="E7011" s="2" t="str">
        <f>"9781732003163"</f>
        <v>9781732003163</v>
      </c>
      <c r="F7011" s="2" t="str">
        <f>"9781737040408"</f>
        <v>9781737040408</v>
      </c>
    </row>
    <row r="7012" spans="1:6" s="3" customFormat="1" ht="29.1" customHeight="1" x14ac:dyDescent="0.25">
      <c r="A7012" s="2" t="s">
        <v>14717</v>
      </c>
      <c r="B7012" s="2" t="s">
        <v>14718</v>
      </c>
      <c r="C7012" s="2" t="s">
        <v>264</v>
      </c>
      <c r="D7012" s="2" t="s">
        <v>2880</v>
      </c>
      <c r="E7012" s="2" t="str">
        <f>"9781032565941"</f>
        <v>9781032565941</v>
      </c>
      <c r="F7012" s="2" t="str">
        <f>"9781003436263"</f>
        <v>9781003436263</v>
      </c>
    </row>
    <row r="7013" spans="1:6" s="3" customFormat="1" ht="29.1" customHeight="1" x14ac:dyDescent="0.25">
      <c r="A7013" s="2" t="s">
        <v>14719</v>
      </c>
      <c r="B7013" s="2" t="s">
        <v>14720</v>
      </c>
      <c r="C7013" s="2" t="s">
        <v>5</v>
      </c>
      <c r="D7013" s="2" t="s">
        <v>4172</v>
      </c>
      <c r="E7013" s="2" t="str">
        <f>"9789819996544"</f>
        <v>9789819996544</v>
      </c>
      <c r="F7013" s="2" t="str">
        <f>"9789819996551"</f>
        <v>9789819996551</v>
      </c>
    </row>
    <row r="7014" spans="1:6" s="3" customFormat="1" ht="29.1" customHeight="1" x14ac:dyDescent="0.25">
      <c r="A7014" s="2" t="s">
        <v>14721</v>
      </c>
      <c r="B7014" s="2" t="s">
        <v>14722</v>
      </c>
      <c r="C7014" s="2" t="s">
        <v>124</v>
      </c>
      <c r="D7014" s="2" t="s">
        <v>33</v>
      </c>
      <c r="E7014" s="2" t="str">
        <f>"9781032549729"</f>
        <v>9781032549729</v>
      </c>
      <c r="F7014" s="2" t="str">
        <f>"9781003428350"</f>
        <v>9781003428350</v>
      </c>
    </row>
    <row r="7015" spans="1:6" s="3" customFormat="1" ht="29.1" customHeight="1" x14ac:dyDescent="0.25">
      <c r="A7015" s="2" t="s">
        <v>14723</v>
      </c>
      <c r="B7015" s="2" t="s">
        <v>14724</v>
      </c>
      <c r="C7015" s="2" t="s">
        <v>5</v>
      </c>
      <c r="D7015" s="2" t="s">
        <v>192</v>
      </c>
      <c r="E7015" s="2" t="str">
        <f>"9783031564512"</f>
        <v>9783031564512</v>
      </c>
      <c r="F7015" s="2" t="str">
        <f>"9783031564529"</f>
        <v>9783031564529</v>
      </c>
    </row>
    <row r="7016" spans="1:6" s="3" customFormat="1" ht="29.1" customHeight="1" x14ac:dyDescent="0.25">
      <c r="A7016" s="2" t="s">
        <v>14725</v>
      </c>
      <c r="B7016" s="2" t="s">
        <v>14726</v>
      </c>
      <c r="C7016" s="2" t="s">
        <v>5</v>
      </c>
      <c r="D7016" s="2" t="s">
        <v>44</v>
      </c>
      <c r="E7016" s="2" t="str">
        <f>"9789464634280"</f>
        <v>9789464634280</v>
      </c>
      <c r="F7016" s="2" t="str">
        <f>"9789464634297"</f>
        <v>9789464634297</v>
      </c>
    </row>
    <row r="7017" spans="1:6" s="3" customFormat="1" ht="29.1" customHeight="1" x14ac:dyDescent="0.25">
      <c r="A7017" s="2" t="s">
        <v>14727</v>
      </c>
      <c r="B7017" s="2" t="s">
        <v>14728</v>
      </c>
      <c r="C7017" s="2" t="s">
        <v>5</v>
      </c>
      <c r="D7017" s="2" t="s">
        <v>6994</v>
      </c>
      <c r="E7017" s="2" t="str">
        <f>"9783031581434"</f>
        <v>9783031581434</v>
      </c>
      <c r="F7017" s="2" t="str">
        <f>"9783031581441"</f>
        <v>9783031581441</v>
      </c>
    </row>
    <row r="7018" spans="1:6" s="3" customFormat="1" ht="29.1" customHeight="1" x14ac:dyDescent="0.25">
      <c r="A7018" s="2" t="s">
        <v>14729</v>
      </c>
      <c r="B7018" s="2" t="s">
        <v>14730</v>
      </c>
      <c r="C7018" s="2" t="s">
        <v>124</v>
      </c>
      <c r="D7018" s="2" t="s">
        <v>15</v>
      </c>
      <c r="E7018" s="2" t="str">
        <f>"9780367000363"</f>
        <v>9780367000363</v>
      </c>
      <c r="F7018" s="2" t="str">
        <f>"9780429444869"</f>
        <v>9780429444869</v>
      </c>
    </row>
    <row r="7019" spans="1:6" s="3" customFormat="1" ht="29.1" customHeight="1" x14ac:dyDescent="0.25">
      <c r="A7019" s="2" t="s">
        <v>14731</v>
      </c>
      <c r="B7019" s="2" t="s">
        <v>14732</v>
      </c>
      <c r="C7019" s="2" t="s">
        <v>248</v>
      </c>
      <c r="D7019" s="2" t="s">
        <v>75</v>
      </c>
      <c r="E7019" s="2" t="str">
        <f>"9783847425809"</f>
        <v>9783847425809</v>
      </c>
      <c r="F7019" s="2" t="str">
        <f>"9783847417385"</f>
        <v>9783847417385</v>
      </c>
    </row>
    <row r="7020" spans="1:6" s="3" customFormat="1" ht="29.1" customHeight="1" x14ac:dyDescent="0.25">
      <c r="A7020" s="2" t="s">
        <v>14733</v>
      </c>
      <c r="B7020" s="2" t="s">
        <v>14734</v>
      </c>
      <c r="C7020" s="2" t="s">
        <v>124</v>
      </c>
      <c r="D7020" s="2" t="s">
        <v>278</v>
      </c>
      <c r="E7020" s="2" t="str">
        <f>"9781032428888"</f>
        <v>9781032428888</v>
      </c>
      <c r="F7020" s="2" t="str">
        <f>"9781003364757"</f>
        <v>9781003364757</v>
      </c>
    </row>
    <row r="7021" spans="1:6" s="3" customFormat="1" ht="29.1" customHeight="1" x14ac:dyDescent="0.25">
      <c r="A7021" s="2" t="s">
        <v>14735</v>
      </c>
      <c r="B7021" s="2" t="s">
        <v>14736</v>
      </c>
      <c r="C7021" s="2" t="s">
        <v>2133</v>
      </c>
      <c r="D7021" s="2" t="s">
        <v>636</v>
      </c>
      <c r="E7021" s="2" t="str">
        <f>"9781760466336"</f>
        <v>9781760466336</v>
      </c>
      <c r="F7021" s="2" t="str">
        <f>"9781760466343"</f>
        <v>9781760466343</v>
      </c>
    </row>
    <row r="7022" spans="1:6" s="3" customFormat="1" ht="29.1" customHeight="1" x14ac:dyDescent="0.25">
      <c r="A7022" s="2" t="s">
        <v>14737</v>
      </c>
      <c r="B7022" s="2" t="s">
        <v>14738</v>
      </c>
      <c r="C7022" s="2" t="s">
        <v>2133</v>
      </c>
      <c r="D7022" s="2" t="s">
        <v>636</v>
      </c>
      <c r="E7022" s="2" t="str">
        <f>"9781760466411"</f>
        <v>9781760466411</v>
      </c>
      <c r="F7022" s="2" t="str">
        <f>"9781760466428"</f>
        <v>9781760466428</v>
      </c>
    </row>
    <row r="7023" spans="1:6" s="3" customFormat="1" ht="29.1" customHeight="1" x14ac:dyDescent="0.25">
      <c r="A7023" s="2" t="s">
        <v>14739</v>
      </c>
      <c r="B7023" s="2" t="s">
        <v>14740</v>
      </c>
      <c r="C7023" s="2" t="s">
        <v>927</v>
      </c>
      <c r="D7023" s="2" t="s">
        <v>297</v>
      </c>
      <c r="E7023" s="2" t="str">
        <f>"9780472056798"</f>
        <v>9780472056798</v>
      </c>
      <c r="F7023" s="2" t="str">
        <f>"9780472904464"</f>
        <v>9780472904464</v>
      </c>
    </row>
    <row r="7024" spans="1:6" s="3" customFormat="1" ht="29.1" customHeight="1" x14ac:dyDescent="0.25">
      <c r="A7024" s="2" t="s">
        <v>14741</v>
      </c>
      <c r="B7024" s="2" t="s">
        <v>14742</v>
      </c>
      <c r="C7024" s="2" t="s">
        <v>927</v>
      </c>
      <c r="D7024" s="2" t="s">
        <v>297</v>
      </c>
      <c r="E7024" s="2" t="str">
        <f>"9780472039692"</f>
        <v>9780472039692</v>
      </c>
      <c r="F7024" s="2" t="str">
        <f>"9780472904563"</f>
        <v>9780472904563</v>
      </c>
    </row>
    <row r="7025" spans="1:6" s="3" customFormat="1" ht="29.1" customHeight="1" x14ac:dyDescent="0.25">
      <c r="A7025" s="2" t="s">
        <v>14743</v>
      </c>
      <c r="B7025" s="2" t="s">
        <v>14744</v>
      </c>
      <c r="C7025" s="2" t="s">
        <v>5</v>
      </c>
      <c r="D7025" s="2" t="s">
        <v>9</v>
      </c>
      <c r="E7025" s="2" t="str">
        <f>"9782384762415"</f>
        <v>9782384762415</v>
      </c>
      <c r="F7025" s="2" t="str">
        <f>"9782384762422"</f>
        <v>9782384762422</v>
      </c>
    </row>
    <row r="7026" spans="1:6" s="3" customFormat="1" ht="29.1" customHeight="1" x14ac:dyDescent="0.25">
      <c r="A7026" s="2" t="s">
        <v>14745</v>
      </c>
      <c r="B7026" s="2" t="s">
        <v>14746</v>
      </c>
      <c r="C7026" s="2" t="s">
        <v>5</v>
      </c>
      <c r="D7026" s="2" t="s">
        <v>78</v>
      </c>
      <c r="E7026" s="2" t="str">
        <f>"9783031583469"</f>
        <v>9783031583469</v>
      </c>
      <c r="F7026" s="2" t="str">
        <f>"9783031583476"</f>
        <v>9783031583476</v>
      </c>
    </row>
    <row r="7027" spans="1:6" s="3" customFormat="1" ht="29.1" customHeight="1" x14ac:dyDescent="0.25">
      <c r="A7027" s="2" t="s">
        <v>14747</v>
      </c>
      <c r="B7027" s="2" t="s">
        <v>14748</v>
      </c>
      <c r="C7027" s="2" t="s">
        <v>384</v>
      </c>
      <c r="D7027" s="2" t="s">
        <v>2178</v>
      </c>
      <c r="E7027" s="2"/>
      <c r="F7027" s="2" t="str">
        <f>"9798987560785"</f>
        <v>9798987560785</v>
      </c>
    </row>
    <row r="7028" spans="1:6" s="3" customFormat="1" ht="29.1" customHeight="1" x14ac:dyDescent="0.25">
      <c r="A7028" s="2" t="s">
        <v>14749</v>
      </c>
      <c r="B7028" s="2" t="s">
        <v>14750</v>
      </c>
      <c r="C7028" s="2" t="s">
        <v>5</v>
      </c>
      <c r="D7028" s="2" t="s">
        <v>528</v>
      </c>
      <c r="E7028" s="2" t="str">
        <f>"9783031548918"</f>
        <v>9783031548918</v>
      </c>
      <c r="F7028" s="2" t="str">
        <f>"9783031548925"</f>
        <v>9783031548925</v>
      </c>
    </row>
    <row r="7029" spans="1:6" s="3" customFormat="1" ht="29.1" customHeight="1" x14ac:dyDescent="0.25">
      <c r="A7029" s="2" t="s">
        <v>14751</v>
      </c>
      <c r="B7029" s="2" t="s">
        <v>14752</v>
      </c>
      <c r="C7029" s="2" t="s">
        <v>5</v>
      </c>
      <c r="D7029" s="2" t="s">
        <v>694</v>
      </c>
      <c r="E7029" s="2" t="str">
        <f>"9789819732470"</f>
        <v>9789819732470</v>
      </c>
      <c r="F7029" s="2" t="str">
        <f>"9789819732487"</f>
        <v>9789819732487</v>
      </c>
    </row>
    <row r="7030" spans="1:6" s="3" customFormat="1" ht="29.1" customHeight="1" x14ac:dyDescent="0.25">
      <c r="A7030" s="2" t="s">
        <v>14753</v>
      </c>
      <c r="B7030" s="2" t="s">
        <v>14754</v>
      </c>
      <c r="C7030" s="2" t="s">
        <v>5</v>
      </c>
      <c r="D7030" s="2" t="s">
        <v>207</v>
      </c>
      <c r="E7030" s="2" t="str">
        <f>"9789819728664"</f>
        <v>9789819728664</v>
      </c>
      <c r="F7030" s="2" t="str">
        <f>"9789819728671"</f>
        <v>9789819728671</v>
      </c>
    </row>
    <row r="7031" spans="1:6" s="3" customFormat="1" ht="29.1" customHeight="1" x14ac:dyDescent="0.25">
      <c r="A7031" s="2" t="s">
        <v>14755</v>
      </c>
      <c r="B7031" s="2" t="s">
        <v>14756</v>
      </c>
      <c r="C7031" s="2" t="s">
        <v>5</v>
      </c>
      <c r="D7031" s="2" t="s">
        <v>2749</v>
      </c>
      <c r="E7031" s="2" t="str">
        <f>"9783031564871"</f>
        <v>9783031564871</v>
      </c>
      <c r="F7031" s="2" t="str">
        <f>"9783031564888"</f>
        <v>9783031564888</v>
      </c>
    </row>
    <row r="7032" spans="1:6" s="3" customFormat="1" ht="29.1" customHeight="1" x14ac:dyDescent="0.25">
      <c r="A7032" s="2" t="s">
        <v>14757</v>
      </c>
      <c r="B7032" s="2" t="s">
        <v>14758</v>
      </c>
      <c r="C7032" s="2" t="s">
        <v>5</v>
      </c>
      <c r="D7032" s="2" t="s">
        <v>141</v>
      </c>
      <c r="E7032" s="2" t="str">
        <f>"9789464634327"</f>
        <v>9789464634327</v>
      </c>
      <c r="F7032" s="2" t="str">
        <f>"9789464634334"</f>
        <v>9789464634334</v>
      </c>
    </row>
    <row r="7033" spans="1:6" s="3" customFormat="1" ht="29.1" customHeight="1" x14ac:dyDescent="0.25">
      <c r="A7033" s="2" t="s">
        <v>14759</v>
      </c>
      <c r="B7033" s="2" t="s">
        <v>14760</v>
      </c>
      <c r="C7033" s="2" t="s">
        <v>5</v>
      </c>
      <c r="D7033" s="2" t="s">
        <v>3489</v>
      </c>
      <c r="E7033" s="2" t="str">
        <f>"9783031533969"</f>
        <v>9783031533969</v>
      </c>
      <c r="F7033" s="2" t="str">
        <f>"9783031533976"</f>
        <v>9783031533976</v>
      </c>
    </row>
    <row r="7034" spans="1:6" s="3" customFormat="1" ht="29.1" customHeight="1" x14ac:dyDescent="0.25">
      <c r="A7034" s="2" t="s">
        <v>14761</v>
      </c>
      <c r="B7034" s="2" t="s">
        <v>14762</v>
      </c>
      <c r="C7034" s="2" t="s">
        <v>5</v>
      </c>
      <c r="D7034" s="2" t="s">
        <v>294</v>
      </c>
      <c r="E7034" s="2" t="str">
        <f>"9783031593352"</f>
        <v>9783031593352</v>
      </c>
      <c r="F7034" s="2" t="str">
        <f>"9783031593369"</f>
        <v>9783031593369</v>
      </c>
    </row>
    <row r="7035" spans="1:6" s="3" customFormat="1" ht="29.1" customHeight="1" x14ac:dyDescent="0.25">
      <c r="A7035" s="2" t="s">
        <v>14763</v>
      </c>
      <c r="B7035" s="2" t="s">
        <v>14764</v>
      </c>
      <c r="C7035" s="2" t="s">
        <v>149</v>
      </c>
      <c r="D7035" s="2" t="s">
        <v>1823</v>
      </c>
      <c r="E7035" s="2"/>
      <c r="F7035" s="2" t="str">
        <f>"9781805112747"</f>
        <v>9781805112747</v>
      </c>
    </row>
    <row r="7036" spans="1:6" s="3" customFormat="1" ht="29.1" customHeight="1" x14ac:dyDescent="0.25">
      <c r="A7036" s="2" t="s">
        <v>14765</v>
      </c>
      <c r="B7036" s="2" t="s">
        <v>14767</v>
      </c>
      <c r="C7036" s="2" t="s">
        <v>149</v>
      </c>
      <c r="D7036" s="2" t="s">
        <v>14766</v>
      </c>
      <c r="E7036" s="2"/>
      <c r="F7036" s="2" t="str">
        <f>"9781805111511"</f>
        <v>9781805111511</v>
      </c>
    </row>
    <row r="7037" spans="1:6" s="3" customFormat="1" ht="29.1" customHeight="1" x14ac:dyDescent="0.25">
      <c r="A7037" s="2" t="s">
        <v>14768</v>
      </c>
      <c r="B7037" s="2" t="s">
        <v>14769</v>
      </c>
      <c r="C7037" s="2" t="s">
        <v>5</v>
      </c>
      <c r="D7037" s="2" t="s">
        <v>712</v>
      </c>
      <c r="E7037" s="2" t="str">
        <f>"9789819717262"</f>
        <v>9789819717262</v>
      </c>
      <c r="F7037" s="2" t="str">
        <f>"9789819717279"</f>
        <v>9789819717279</v>
      </c>
    </row>
    <row r="7038" spans="1:6" s="3" customFormat="1" ht="29.1" customHeight="1" x14ac:dyDescent="0.25">
      <c r="A7038" s="2" t="s">
        <v>14770</v>
      </c>
      <c r="B7038" s="2" t="s">
        <v>14771</v>
      </c>
      <c r="C7038" s="2" t="s">
        <v>149</v>
      </c>
      <c r="D7038" s="2" t="s">
        <v>1141</v>
      </c>
      <c r="E7038" s="2"/>
      <c r="F7038" s="2" t="str">
        <f>"9781800643840"</f>
        <v>9781800643840</v>
      </c>
    </row>
    <row r="7039" spans="1:6" s="3" customFormat="1" ht="29.1" customHeight="1" x14ac:dyDescent="0.25">
      <c r="A7039" s="2" t="s">
        <v>14772</v>
      </c>
      <c r="B7039" s="2" t="s">
        <v>14773</v>
      </c>
      <c r="C7039" s="2" t="s">
        <v>29</v>
      </c>
      <c r="D7039" s="2" t="s">
        <v>459</v>
      </c>
      <c r="E7039" s="2" t="str">
        <f>"9789004376618"</f>
        <v>9789004376618</v>
      </c>
      <c r="F7039" s="2" t="str">
        <f>"9789004376632"</f>
        <v>9789004376632</v>
      </c>
    </row>
    <row r="7040" spans="1:6" s="3" customFormat="1" ht="29.1" customHeight="1" x14ac:dyDescent="0.25">
      <c r="A7040" s="2" t="s">
        <v>14774</v>
      </c>
      <c r="B7040" s="2" t="s">
        <v>14773</v>
      </c>
      <c r="C7040" s="2" t="s">
        <v>29</v>
      </c>
      <c r="D7040" s="2" t="s">
        <v>459</v>
      </c>
      <c r="E7040" s="2" t="str">
        <f>"9789004376601"</f>
        <v>9789004376601</v>
      </c>
      <c r="F7040" s="2" t="str">
        <f>"9789004376625"</f>
        <v>9789004376625</v>
      </c>
    </row>
    <row r="7041" spans="1:6" s="3" customFormat="1" ht="29.1" customHeight="1" x14ac:dyDescent="0.25">
      <c r="A7041" s="2" t="s">
        <v>14775</v>
      </c>
      <c r="B7041" s="2" t="s">
        <v>14776</v>
      </c>
      <c r="C7041" s="2" t="s">
        <v>556</v>
      </c>
      <c r="D7041" s="2" t="s">
        <v>4030</v>
      </c>
      <c r="E7041" s="2" t="str">
        <f>"9783837674729"</f>
        <v>9783837674729</v>
      </c>
      <c r="F7041" s="2" t="str">
        <f>"9783839474723"</f>
        <v>9783839474723</v>
      </c>
    </row>
    <row r="7042" spans="1:6" s="3" customFormat="1" ht="29.1" customHeight="1" x14ac:dyDescent="0.25">
      <c r="A7042" s="2" t="s">
        <v>14777</v>
      </c>
      <c r="B7042" s="2" t="s">
        <v>14778</v>
      </c>
      <c r="C7042" s="2" t="s">
        <v>556</v>
      </c>
      <c r="D7042" s="2" t="s">
        <v>13899</v>
      </c>
      <c r="E7042" s="2" t="str">
        <f>"9783837668131"</f>
        <v>9783837668131</v>
      </c>
      <c r="F7042" s="2" t="str">
        <f>"9783839468135"</f>
        <v>9783839468135</v>
      </c>
    </row>
    <row r="7043" spans="1:6" s="3" customFormat="1" ht="29.1" customHeight="1" x14ac:dyDescent="0.25">
      <c r="A7043" s="2" t="s">
        <v>14779</v>
      </c>
      <c r="B7043" s="2" t="s">
        <v>14780</v>
      </c>
      <c r="C7043" s="2" t="s">
        <v>556</v>
      </c>
      <c r="D7043" s="2" t="s">
        <v>12298</v>
      </c>
      <c r="E7043" s="2" t="str">
        <f>"9783837667288"</f>
        <v>9783837667288</v>
      </c>
      <c r="F7043" s="2" t="str">
        <f>"9783839467282"</f>
        <v>9783839467282</v>
      </c>
    </row>
    <row r="7044" spans="1:6" s="3" customFormat="1" ht="29.1" customHeight="1" x14ac:dyDescent="0.25">
      <c r="A7044" s="2" t="s">
        <v>14781</v>
      </c>
      <c r="B7044" s="2" t="s">
        <v>14782</v>
      </c>
      <c r="C7044" s="2" t="s">
        <v>556</v>
      </c>
      <c r="D7044" s="2" t="s">
        <v>215</v>
      </c>
      <c r="E7044" s="2" t="str">
        <f>"9783837674255"</f>
        <v>9783837674255</v>
      </c>
      <c r="F7044" s="2" t="str">
        <f>"9783839474259"</f>
        <v>9783839474259</v>
      </c>
    </row>
    <row r="7045" spans="1:6" s="3" customFormat="1" ht="29.1" customHeight="1" x14ac:dyDescent="0.25">
      <c r="A7045" s="2" t="s">
        <v>14783</v>
      </c>
      <c r="B7045" s="2" t="s">
        <v>14784</v>
      </c>
      <c r="C7045" s="2" t="s">
        <v>556</v>
      </c>
      <c r="D7045" s="2" t="s">
        <v>951</v>
      </c>
      <c r="E7045" s="2" t="str">
        <f>"9783837674248"</f>
        <v>9783837674248</v>
      </c>
      <c r="F7045" s="2" t="str">
        <f>"9783839474242"</f>
        <v>9783839474242</v>
      </c>
    </row>
    <row r="7046" spans="1:6" s="3" customFormat="1" ht="29.1" customHeight="1" x14ac:dyDescent="0.25">
      <c r="A7046" s="2" t="s">
        <v>14785</v>
      </c>
      <c r="B7046" s="2" t="s">
        <v>14786</v>
      </c>
      <c r="C7046" s="2" t="s">
        <v>556</v>
      </c>
      <c r="D7046" s="2" t="s">
        <v>446</v>
      </c>
      <c r="E7046" s="2" t="str">
        <f>"9783837674071"</f>
        <v>9783837674071</v>
      </c>
      <c r="F7046" s="2" t="str">
        <f>"9783839474075"</f>
        <v>9783839474075</v>
      </c>
    </row>
    <row r="7047" spans="1:6" s="3" customFormat="1" ht="29.1" customHeight="1" x14ac:dyDescent="0.25">
      <c r="A7047" s="2" t="s">
        <v>14787</v>
      </c>
      <c r="B7047" s="2" t="s">
        <v>14788</v>
      </c>
      <c r="C7047" s="2" t="s">
        <v>556</v>
      </c>
      <c r="D7047" s="2" t="s">
        <v>1001</v>
      </c>
      <c r="E7047" s="2" t="str">
        <f>"9783837673852"</f>
        <v>9783837673852</v>
      </c>
      <c r="F7047" s="2" t="str">
        <f>"9783839473856"</f>
        <v>9783839473856</v>
      </c>
    </row>
    <row r="7048" spans="1:6" s="3" customFormat="1" ht="29.1" customHeight="1" x14ac:dyDescent="0.25">
      <c r="A7048" s="2" t="s">
        <v>14789</v>
      </c>
      <c r="B7048" s="2" t="s">
        <v>14790</v>
      </c>
      <c r="C7048" s="2" t="s">
        <v>556</v>
      </c>
      <c r="D7048" s="2" t="s">
        <v>4133</v>
      </c>
      <c r="E7048" s="2" t="str">
        <f>"9783837673159"</f>
        <v>9783837673159</v>
      </c>
      <c r="F7048" s="2" t="str">
        <f>"9783732873159"</f>
        <v>9783732873159</v>
      </c>
    </row>
    <row r="7049" spans="1:6" s="3" customFormat="1" ht="29.1" customHeight="1" x14ac:dyDescent="0.25">
      <c r="A7049" s="2" t="s">
        <v>14791</v>
      </c>
      <c r="B7049" s="2" t="s">
        <v>14792</v>
      </c>
      <c r="C7049" s="2" t="s">
        <v>556</v>
      </c>
      <c r="D7049" s="2" t="s">
        <v>490</v>
      </c>
      <c r="E7049" s="2" t="str">
        <f>"9783837673111"</f>
        <v>9783837673111</v>
      </c>
      <c r="F7049" s="2" t="str">
        <f>"9783839473115"</f>
        <v>9783839473115</v>
      </c>
    </row>
    <row r="7050" spans="1:6" s="3" customFormat="1" ht="29.1" customHeight="1" x14ac:dyDescent="0.25">
      <c r="A7050" s="2" t="s">
        <v>14793</v>
      </c>
      <c r="B7050" s="2" t="s">
        <v>14794</v>
      </c>
      <c r="C7050" s="2" t="s">
        <v>556</v>
      </c>
      <c r="D7050" s="2" t="s">
        <v>78</v>
      </c>
      <c r="E7050" s="2" t="str">
        <f>"9783837673029"</f>
        <v>9783837673029</v>
      </c>
      <c r="F7050" s="2" t="str">
        <f>"9783839473023"</f>
        <v>9783839473023</v>
      </c>
    </row>
    <row r="7051" spans="1:6" s="3" customFormat="1" ht="29.1" customHeight="1" x14ac:dyDescent="0.25">
      <c r="A7051" s="2" t="s">
        <v>14795</v>
      </c>
      <c r="B7051" s="2" t="s">
        <v>14796</v>
      </c>
      <c r="C7051" s="2" t="s">
        <v>556</v>
      </c>
      <c r="D7051" s="2" t="s">
        <v>501</v>
      </c>
      <c r="E7051" s="2" t="str">
        <f>"9783837672930"</f>
        <v>9783837672930</v>
      </c>
      <c r="F7051" s="2" t="str">
        <f>"9783732872930"</f>
        <v>9783732872930</v>
      </c>
    </row>
    <row r="7052" spans="1:6" s="3" customFormat="1" ht="29.1" customHeight="1" x14ac:dyDescent="0.25">
      <c r="A7052" s="2" t="s">
        <v>14797</v>
      </c>
      <c r="B7052" s="2" t="s">
        <v>14798</v>
      </c>
      <c r="C7052" s="2" t="s">
        <v>556</v>
      </c>
      <c r="D7052" s="2" t="s">
        <v>1162</v>
      </c>
      <c r="E7052" s="2" t="str">
        <f>"9783837672732"</f>
        <v>9783837672732</v>
      </c>
      <c r="F7052" s="2" t="str">
        <f>"9783732872732"</f>
        <v>9783732872732</v>
      </c>
    </row>
    <row r="7053" spans="1:6" s="3" customFormat="1" ht="29.1" customHeight="1" x14ac:dyDescent="0.25">
      <c r="A7053" s="2" t="s">
        <v>14799</v>
      </c>
      <c r="B7053" s="2" t="s">
        <v>14800</v>
      </c>
      <c r="C7053" s="2" t="s">
        <v>556</v>
      </c>
      <c r="D7053" s="2" t="s">
        <v>1141</v>
      </c>
      <c r="E7053" s="2" t="str">
        <f>"9783837672688"</f>
        <v>9783837672688</v>
      </c>
      <c r="F7053" s="2" t="str">
        <f>"9783839472682"</f>
        <v>9783839472682</v>
      </c>
    </row>
    <row r="7054" spans="1:6" s="3" customFormat="1" ht="29.1" customHeight="1" x14ac:dyDescent="0.25">
      <c r="A7054" s="2" t="s">
        <v>14801</v>
      </c>
      <c r="B7054" s="2" t="s">
        <v>14802</v>
      </c>
      <c r="C7054" s="2" t="s">
        <v>556</v>
      </c>
      <c r="D7054" s="2" t="s">
        <v>636</v>
      </c>
      <c r="E7054" s="2" t="str">
        <f>"9783837672428"</f>
        <v>9783837672428</v>
      </c>
      <c r="F7054" s="2" t="str">
        <f>"9783839472422"</f>
        <v>9783839472422</v>
      </c>
    </row>
    <row r="7055" spans="1:6" s="3" customFormat="1" ht="29.1" customHeight="1" x14ac:dyDescent="0.25">
      <c r="A7055" s="2" t="s">
        <v>14803</v>
      </c>
      <c r="B7055" s="2" t="s">
        <v>14804</v>
      </c>
      <c r="C7055" s="2" t="s">
        <v>556</v>
      </c>
      <c r="D7055" s="2" t="s">
        <v>1840</v>
      </c>
      <c r="E7055" s="2" t="str">
        <f>"9783837671766"</f>
        <v>9783837671766</v>
      </c>
      <c r="F7055" s="2" t="str">
        <f>"9783732871766"</f>
        <v>9783732871766</v>
      </c>
    </row>
    <row r="7056" spans="1:6" s="3" customFormat="1" ht="29.1" customHeight="1" x14ac:dyDescent="0.25">
      <c r="A7056" s="2" t="s">
        <v>14805</v>
      </c>
      <c r="B7056" s="2" t="s">
        <v>14806</v>
      </c>
      <c r="C7056" s="2" t="s">
        <v>556</v>
      </c>
      <c r="D7056" s="2" t="s">
        <v>1669</v>
      </c>
      <c r="E7056" s="2" t="str">
        <f>"9783837671544"</f>
        <v>9783837671544</v>
      </c>
      <c r="F7056" s="2" t="str">
        <f>"9783839471548"</f>
        <v>9783839471548</v>
      </c>
    </row>
    <row r="7057" spans="1:6" s="3" customFormat="1" ht="29.1" customHeight="1" x14ac:dyDescent="0.25">
      <c r="A7057" s="2" t="s">
        <v>14807</v>
      </c>
      <c r="B7057" s="2" t="s">
        <v>14808</v>
      </c>
      <c r="C7057" s="2" t="s">
        <v>556</v>
      </c>
      <c r="D7057" s="2" t="s">
        <v>324</v>
      </c>
      <c r="E7057" s="2" t="str">
        <f>"9783837671131"</f>
        <v>9783837671131</v>
      </c>
      <c r="F7057" s="2" t="str">
        <f>"9783839471135"</f>
        <v>9783839471135</v>
      </c>
    </row>
    <row r="7058" spans="1:6" s="3" customFormat="1" ht="29.1" customHeight="1" x14ac:dyDescent="0.25">
      <c r="A7058" s="2" t="s">
        <v>14809</v>
      </c>
      <c r="B7058" s="2" t="s">
        <v>14810</v>
      </c>
      <c r="C7058" s="2" t="s">
        <v>556</v>
      </c>
      <c r="D7058" s="2" t="s">
        <v>501</v>
      </c>
      <c r="E7058" s="2" t="str">
        <f>"9783837671056"</f>
        <v>9783837671056</v>
      </c>
      <c r="F7058" s="2" t="str">
        <f>"9783732871056"</f>
        <v>9783732871056</v>
      </c>
    </row>
    <row r="7059" spans="1:6" s="3" customFormat="1" ht="29.1" customHeight="1" x14ac:dyDescent="0.25">
      <c r="A7059" s="2" t="s">
        <v>14811</v>
      </c>
      <c r="B7059" s="2" t="s">
        <v>14812</v>
      </c>
      <c r="C7059" s="2" t="s">
        <v>556</v>
      </c>
      <c r="D7059" s="2" t="s">
        <v>2462</v>
      </c>
      <c r="E7059" s="2" t="str">
        <f>"9783837670318"</f>
        <v>9783837670318</v>
      </c>
      <c r="F7059" s="2" t="str">
        <f>"9783732870318"</f>
        <v>9783732870318</v>
      </c>
    </row>
    <row r="7060" spans="1:6" s="3" customFormat="1" ht="29.1" customHeight="1" x14ac:dyDescent="0.25">
      <c r="A7060" s="2" t="s">
        <v>14813</v>
      </c>
      <c r="B7060" s="2" t="s">
        <v>14814</v>
      </c>
      <c r="C7060" s="2" t="s">
        <v>556</v>
      </c>
      <c r="D7060" s="2" t="s">
        <v>636</v>
      </c>
      <c r="E7060" s="2" t="str">
        <f>"9783837669893"</f>
        <v>9783837669893</v>
      </c>
      <c r="F7060" s="2" t="str">
        <f>"9783839469897"</f>
        <v>9783839469897</v>
      </c>
    </row>
    <row r="7061" spans="1:6" s="3" customFormat="1" ht="29.1" customHeight="1" x14ac:dyDescent="0.25">
      <c r="A7061" s="2" t="s">
        <v>14815</v>
      </c>
      <c r="B7061" s="2" t="s">
        <v>14817</v>
      </c>
      <c r="C7061" s="2" t="s">
        <v>556</v>
      </c>
      <c r="D7061" s="2" t="s">
        <v>14816</v>
      </c>
      <c r="E7061" s="2" t="str">
        <f>"9783837669299"</f>
        <v>9783837669299</v>
      </c>
      <c r="F7061" s="2" t="str">
        <f>"9783839469293"</f>
        <v>9783839469293</v>
      </c>
    </row>
    <row r="7062" spans="1:6" s="3" customFormat="1" ht="29.1" customHeight="1" x14ac:dyDescent="0.25">
      <c r="A7062" s="2" t="s">
        <v>14818</v>
      </c>
      <c r="B7062" s="2" t="s">
        <v>14819</v>
      </c>
      <c r="C7062" s="2" t="s">
        <v>556</v>
      </c>
      <c r="D7062" s="2" t="s">
        <v>3523</v>
      </c>
      <c r="E7062" s="2" t="str">
        <f>"9783837668803"</f>
        <v>9783837668803</v>
      </c>
      <c r="F7062" s="2" t="str">
        <f>"9783839468807"</f>
        <v>9783839468807</v>
      </c>
    </row>
    <row r="7063" spans="1:6" s="3" customFormat="1" ht="29.1" customHeight="1" x14ac:dyDescent="0.25">
      <c r="A7063" s="2" t="s">
        <v>14820</v>
      </c>
      <c r="B7063" s="2" t="s">
        <v>14821</v>
      </c>
      <c r="C7063" s="2" t="s">
        <v>556</v>
      </c>
      <c r="D7063" s="2" t="s">
        <v>1141</v>
      </c>
      <c r="E7063" s="2" t="str">
        <f>"9783837667011"</f>
        <v>9783837667011</v>
      </c>
      <c r="F7063" s="2" t="str">
        <f>"9783732867011"</f>
        <v>9783732867011</v>
      </c>
    </row>
    <row r="7064" spans="1:6" s="3" customFormat="1" ht="29.1" customHeight="1" x14ac:dyDescent="0.25">
      <c r="A7064" s="2" t="s">
        <v>14822</v>
      </c>
      <c r="B7064" s="2" t="s">
        <v>14823</v>
      </c>
      <c r="C7064" s="2" t="s">
        <v>556</v>
      </c>
      <c r="D7064" s="2" t="s">
        <v>1162</v>
      </c>
      <c r="E7064" s="2" t="str">
        <f>"9783837664706"</f>
        <v>9783837664706</v>
      </c>
      <c r="F7064" s="2" t="str">
        <f>"9783839464700"</f>
        <v>9783839464700</v>
      </c>
    </row>
    <row r="7065" spans="1:6" s="3" customFormat="1" ht="29.1" customHeight="1" x14ac:dyDescent="0.25">
      <c r="A7065" s="2" t="s">
        <v>14824</v>
      </c>
      <c r="B7065" s="2" t="s">
        <v>14825</v>
      </c>
      <c r="C7065" s="2" t="s">
        <v>556</v>
      </c>
      <c r="D7065" s="2" t="s">
        <v>490</v>
      </c>
      <c r="E7065" s="2" t="str">
        <f>"9783837661651"</f>
        <v>9783837661651</v>
      </c>
      <c r="F7065" s="2" t="str">
        <f>"9783839461655"</f>
        <v>9783839461655</v>
      </c>
    </row>
    <row r="7066" spans="1:6" s="3" customFormat="1" ht="29.1" customHeight="1" x14ac:dyDescent="0.25">
      <c r="A7066" s="2" t="s">
        <v>14826</v>
      </c>
      <c r="B7066" s="2"/>
      <c r="C7066" s="2" t="s">
        <v>59</v>
      </c>
      <c r="D7066" s="2" t="s">
        <v>14827</v>
      </c>
      <c r="E7066" s="2"/>
      <c r="F7066" s="2" t="str">
        <f>"9782759238798"</f>
        <v>9782759238798</v>
      </c>
    </row>
    <row r="7067" spans="1:6" s="3" customFormat="1" ht="29.1" customHeight="1" x14ac:dyDescent="0.25">
      <c r="A7067" s="2" t="s">
        <v>14828</v>
      </c>
      <c r="B7067" s="2"/>
      <c r="C7067" s="2" t="s">
        <v>59</v>
      </c>
      <c r="D7067" s="2" t="s">
        <v>764</v>
      </c>
      <c r="E7067" s="2"/>
      <c r="F7067" s="2" t="str">
        <f>"9782759237708"</f>
        <v>9782759237708</v>
      </c>
    </row>
    <row r="7068" spans="1:6" s="3" customFormat="1" ht="29.1" customHeight="1" x14ac:dyDescent="0.25">
      <c r="A7068" s="2" t="s">
        <v>14829</v>
      </c>
      <c r="B7068" s="2" t="s">
        <v>14830</v>
      </c>
      <c r="C7068" s="2" t="s">
        <v>5</v>
      </c>
      <c r="D7068" s="2" t="s">
        <v>52</v>
      </c>
      <c r="E7068" s="2" t="str">
        <f>"9783031548260"</f>
        <v>9783031548260</v>
      </c>
      <c r="F7068" s="2" t="str">
        <f>"9783031548277"</f>
        <v>9783031548277</v>
      </c>
    </row>
    <row r="7069" spans="1:6" s="3" customFormat="1" ht="29.1" customHeight="1" x14ac:dyDescent="0.25">
      <c r="A7069" s="2" t="s">
        <v>14831</v>
      </c>
      <c r="B7069" s="2" t="s">
        <v>14832</v>
      </c>
      <c r="C7069" s="2" t="s">
        <v>5</v>
      </c>
      <c r="D7069" s="2" t="s">
        <v>6511</v>
      </c>
      <c r="E7069" s="2" t="str">
        <f>"9783031548598"</f>
        <v>9783031548598</v>
      </c>
      <c r="F7069" s="2" t="str">
        <f>"9783031548604"</f>
        <v>9783031548604</v>
      </c>
    </row>
    <row r="7070" spans="1:6" s="3" customFormat="1" ht="29.1" customHeight="1" x14ac:dyDescent="0.25">
      <c r="A7070" s="2" t="s">
        <v>14828</v>
      </c>
      <c r="B7070" s="2"/>
      <c r="C7070" s="2" t="s">
        <v>59</v>
      </c>
      <c r="D7070" s="2" t="s">
        <v>764</v>
      </c>
      <c r="E7070" s="2"/>
      <c r="F7070" s="2" t="str">
        <f>"9782759237715"</f>
        <v>9782759237715</v>
      </c>
    </row>
    <row r="7071" spans="1:6" s="3" customFormat="1" ht="29.1" customHeight="1" x14ac:dyDescent="0.25">
      <c r="A7071" s="2" t="s">
        <v>14833</v>
      </c>
      <c r="B7071" s="2" t="s">
        <v>14834</v>
      </c>
      <c r="C7071" s="2" t="s">
        <v>29</v>
      </c>
      <c r="D7071" s="2" t="s">
        <v>5695</v>
      </c>
      <c r="E7071" s="2" t="str">
        <f>"9789004355262"</f>
        <v>9789004355262</v>
      </c>
      <c r="F7071" s="2" t="str">
        <f>"9789004359499"</f>
        <v>9789004359499</v>
      </c>
    </row>
    <row r="7072" spans="1:6" s="3" customFormat="1" ht="29.1" customHeight="1" x14ac:dyDescent="0.25">
      <c r="A7072" s="2" t="s">
        <v>14835</v>
      </c>
      <c r="B7072" s="2" t="s">
        <v>14836</v>
      </c>
      <c r="C7072" s="2" t="s">
        <v>29</v>
      </c>
      <c r="D7072" s="2" t="s">
        <v>3155</v>
      </c>
      <c r="E7072" s="2" t="str">
        <f>"9789004342545"</f>
        <v>9789004342545</v>
      </c>
      <c r="F7072" s="2" t="str">
        <f>"9789004375888"</f>
        <v>9789004375888</v>
      </c>
    </row>
    <row r="7073" spans="1:6" s="3" customFormat="1" ht="29.1" customHeight="1" x14ac:dyDescent="0.25">
      <c r="A7073" s="2" t="s">
        <v>14838</v>
      </c>
      <c r="B7073" s="2" t="s">
        <v>14839</v>
      </c>
      <c r="C7073" s="2" t="s">
        <v>29</v>
      </c>
      <c r="D7073" s="2" t="s">
        <v>3155</v>
      </c>
      <c r="E7073" s="2" t="str">
        <f>"9789004342569"</f>
        <v>9789004342569</v>
      </c>
      <c r="F7073" s="2" t="str">
        <f>"9789004375871"</f>
        <v>9789004375871</v>
      </c>
    </row>
    <row r="7074" spans="1:6" s="3" customFormat="1" ht="29.1" customHeight="1" x14ac:dyDescent="0.25">
      <c r="A7074" s="2" t="s">
        <v>14840</v>
      </c>
      <c r="B7074" s="2" t="s">
        <v>14841</v>
      </c>
      <c r="C7074" s="2" t="s">
        <v>29</v>
      </c>
      <c r="D7074" s="2" t="s">
        <v>509</v>
      </c>
      <c r="E7074" s="2" t="str">
        <f>"9789004377684"</f>
        <v>9789004377684</v>
      </c>
      <c r="F7074" s="2" t="str">
        <f>"9789004378216"</f>
        <v>9789004378216</v>
      </c>
    </row>
    <row r="7075" spans="1:6" s="3" customFormat="1" ht="29.1" customHeight="1" x14ac:dyDescent="0.25">
      <c r="A7075" s="2" t="s">
        <v>14842</v>
      </c>
      <c r="B7075" s="2" t="s">
        <v>14844</v>
      </c>
      <c r="C7075" s="2" t="s">
        <v>29</v>
      </c>
      <c r="D7075" s="2" t="s">
        <v>14843</v>
      </c>
      <c r="E7075" s="2" t="str">
        <f>"9789004697751"</f>
        <v>9789004697751</v>
      </c>
      <c r="F7075" s="2" t="str">
        <f>"9789004697768"</f>
        <v>9789004697768</v>
      </c>
    </row>
    <row r="7076" spans="1:6" s="3" customFormat="1" ht="29.1" customHeight="1" x14ac:dyDescent="0.25">
      <c r="A7076" s="2" t="s">
        <v>14845</v>
      </c>
      <c r="B7076" s="2" t="s">
        <v>14846</v>
      </c>
      <c r="C7076" s="2" t="s">
        <v>29</v>
      </c>
      <c r="D7076" s="2" t="s">
        <v>1432</v>
      </c>
      <c r="E7076" s="2" t="str">
        <f>"9789004328143"</f>
        <v>9789004328143</v>
      </c>
      <c r="F7076" s="2" t="str">
        <f>"9789004338623"</f>
        <v>9789004338623</v>
      </c>
    </row>
    <row r="7077" spans="1:6" s="3" customFormat="1" ht="29.1" customHeight="1" x14ac:dyDescent="0.25">
      <c r="A7077" s="2" t="s">
        <v>14847</v>
      </c>
      <c r="B7077" s="2" t="s">
        <v>14848</v>
      </c>
      <c r="C7077" s="2" t="s">
        <v>29</v>
      </c>
      <c r="D7077" s="2" t="s">
        <v>4160</v>
      </c>
      <c r="E7077" s="2" t="str">
        <f>"9789004327580"</f>
        <v>9789004327580</v>
      </c>
      <c r="F7077" s="2" t="str">
        <f>"9789004327597"</f>
        <v>9789004327597</v>
      </c>
    </row>
    <row r="7078" spans="1:6" s="3" customFormat="1" ht="29.1" customHeight="1" x14ac:dyDescent="0.25">
      <c r="A7078" s="2" t="s">
        <v>14849</v>
      </c>
      <c r="B7078" s="2" t="s">
        <v>14850</v>
      </c>
      <c r="C7078" s="2" t="s">
        <v>8104</v>
      </c>
      <c r="D7078" s="2" t="s">
        <v>636</v>
      </c>
      <c r="E7078" s="2" t="str">
        <f>"9781805398103"</f>
        <v>9781805398103</v>
      </c>
      <c r="F7078" s="2" t="str">
        <f>"9781805398110"</f>
        <v>9781805398110</v>
      </c>
    </row>
    <row r="7079" spans="1:6" s="3" customFormat="1" ht="29.1" customHeight="1" x14ac:dyDescent="0.25">
      <c r="A7079" s="2" t="s">
        <v>14851</v>
      </c>
      <c r="B7079" s="2" t="s">
        <v>14852</v>
      </c>
      <c r="C7079" s="2" t="s">
        <v>5</v>
      </c>
      <c r="D7079" s="2" t="s">
        <v>207</v>
      </c>
      <c r="E7079" s="2" t="str">
        <f>"9783031570254"</f>
        <v>9783031570254</v>
      </c>
      <c r="F7079" s="2" t="str">
        <f>"9783031570261"</f>
        <v>9783031570261</v>
      </c>
    </row>
    <row r="7080" spans="1:6" s="3" customFormat="1" ht="29.1" customHeight="1" x14ac:dyDescent="0.25">
      <c r="A7080" s="2" t="s">
        <v>14853</v>
      </c>
      <c r="B7080" s="2" t="s">
        <v>14769</v>
      </c>
      <c r="C7080" s="2" t="s">
        <v>5</v>
      </c>
      <c r="D7080" s="2" t="s">
        <v>413</v>
      </c>
      <c r="E7080" s="2" t="str">
        <f>"9789819722686"</f>
        <v>9789819722686</v>
      </c>
      <c r="F7080" s="2" t="str">
        <f>"9789819722693"</f>
        <v>9789819722693</v>
      </c>
    </row>
    <row r="7081" spans="1:6" s="3" customFormat="1" ht="29.1" customHeight="1" x14ac:dyDescent="0.25">
      <c r="A7081" s="2" t="s">
        <v>14854</v>
      </c>
      <c r="B7081" s="2" t="s">
        <v>14855</v>
      </c>
      <c r="C7081" s="2" t="s">
        <v>5</v>
      </c>
      <c r="D7081" s="2" t="s">
        <v>4190</v>
      </c>
      <c r="E7081" s="2" t="str">
        <f>"9789819712144"</f>
        <v>9789819712144</v>
      </c>
      <c r="F7081" s="2" t="str">
        <f>"9789819712151"</f>
        <v>9789819712151</v>
      </c>
    </row>
    <row r="7082" spans="1:6" s="3" customFormat="1" ht="29.1" customHeight="1" x14ac:dyDescent="0.25">
      <c r="A7082" s="2" t="s">
        <v>14856</v>
      </c>
      <c r="B7082" s="2" t="s">
        <v>14857</v>
      </c>
      <c r="C7082" s="2" t="s">
        <v>5</v>
      </c>
      <c r="D7082" s="2" t="s">
        <v>490</v>
      </c>
      <c r="E7082" s="2" t="str">
        <f>"9783031516160"</f>
        <v>9783031516160</v>
      </c>
      <c r="F7082" s="2" t="str">
        <f>"9783031516177"</f>
        <v>9783031516177</v>
      </c>
    </row>
    <row r="7083" spans="1:6" s="3" customFormat="1" ht="29.1" customHeight="1" x14ac:dyDescent="0.25">
      <c r="A7083" s="2" t="s">
        <v>14858</v>
      </c>
      <c r="B7083" s="2" t="s">
        <v>14859</v>
      </c>
      <c r="C7083" s="2" t="s">
        <v>746</v>
      </c>
      <c r="D7083" s="2" t="s">
        <v>107</v>
      </c>
      <c r="E7083" s="2" t="str">
        <f>"9781803277080"</f>
        <v>9781803277080</v>
      </c>
      <c r="F7083" s="2" t="str">
        <f>"9781803277097"</f>
        <v>9781803277097</v>
      </c>
    </row>
    <row r="7084" spans="1:6" s="3" customFormat="1" ht="29.1" customHeight="1" x14ac:dyDescent="0.25">
      <c r="A7084" s="2" t="s">
        <v>14860</v>
      </c>
      <c r="B7084" s="2" t="s">
        <v>14861</v>
      </c>
      <c r="C7084" s="2" t="s">
        <v>29</v>
      </c>
      <c r="D7084" s="2" t="s">
        <v>408</v>
      </c>
      <c r="E7084" s="2" t="str">
        <f>"9789004409729"</f>
        <v>9789004409729</v>
      </c>
      <c r="F7084" s="2" t="str">
        <f>"9789004409736"</f>
        <v>9789004409736</v>
      </c>
    </row>
    <row r="7085" spans="1:6" s="3" customFormat="1" ht="29.1" customHeight="1" x14ac:dyDescent="0.25">
      <c r="A7085" s="2" t="s">
        <v>14862</v>
      </c>
      <c r="B7085" s="2" t="s">
        <v>14863</v>
      </c>
      <c r="C7085" s="2" t="s">
        <v>29</v>
      </c>
      <c r="D7085" s="2" t="s">
        <v>509</v>
      </c>
      <c r="E7085" s="2" t="str">
        <f>"9789004298927"</f>
        <v>9789004298927</v>
      </c>
      <c r="F7085" s="2" t="str">
        <f>"9789004389397"</f>
        <v>9789004389397</v>
      </c>
    </row>
    <row r="7086" spans="1:6" s="3" customFormat="1" ht="29.1" customHeight="1" x14ac:dyDescent="0.25">
      <c r="A7086" s="2" t="s">
        <v>14864</v>
      </c>
      <c r="B7086" s="2" t="s">
        <v>14866</v>
      </c>
      <c r="C7086" s="2" t="s">
        <v>29</v>
      </c>
      <c r="D7086" s="2" t="s">
        <v>14865</v>
      </c>
      <c r="E7086" s="2" t="str">
        <f>"9783506795076"</f>
        <v>9783506795076</v>
      </c>
      <c r="F7086" s="2" t="str">
        <f>"9783657795079"</f>
        <v>9783657795079</v>
      </c>
    </row>
    <row r="7087" spans="1:6" s="3" customFormat="1" ht="29.1" customHeight="1" x14ac:dyDescent="0.25">
      <c r="A7087" s="2" t="s">
        <v>14867</v>
      </c>
      <c r="B7087" s="2" t="s">
        <v>14868</v>
      </c>
      <c r="C7087" s="2" t="s">
        <v>29</v>
      </c>
      <c r="D7087" s="2" t="s">
        <v>33</v>
      </c>
      <c r="E7087" s="2" t="str">
        <f>"9789004440777"</f>
        <v>9789004440777</v>
      </c>
      <c r="F7087" s="2" t="str">
        <f>"9789004440791"</f>
        <v>9789004440791</v>
      </c>
    </row>
    <row r="7088" spans="1:6" s="3" customFormat="1" ht="29.1" customHeight="1" x14ac:dyDescent="0.25">
      <c r="A7088" s="2" t="s">
        <v>14869</v>
      </c>
      <c r="B7088" s="2" t="s">
        <v>14870</v>
      </c>
      <c r="C7088" s="2" t="s">
        <v>29</v>
      </c>
      <c r="D7088" s="2" t="s">
        <v>150</v>
      </c>
      <c r="E7088" s="2" t="str">
        <f>"9783506794659"</f>
        <v>9783506794659</v>
      </c>
      <c r="F7088" s="2" t="str">
        <f>"9783657794652"</f>
        <v>9783657794652</v>
      </c>
    </row>
    <row r="7089" spans="1:6" s="3" customFormat="1" ht="29.1" customHeight="1" x14ac:dyDescent="0.25">
      <c r="A7089" s="2" t="s">
        <v>14871</v>
      </c>
      <c r="B7089" s="2" t="s">
        <v>14872</v>
      </c>
      <c r="C7089" s="2" t="s">
        <v>29</v>
      </c>
      <c r="D7089" s="2" t="s">
        <v>689</v>
      </c>
      <c r="E7089" s="2" t="str">
        <f>"9783957433107"</f>
        <v>9783957433107</v>
      </c>
      <c r="F7089" s="2" t="str">
        <f>"9783969753101"</f>
        <v>9783969753101</v>
      </c>
    </row>
    <row r="7090" spans="1:6" s="3" customFormat="1" ht="29.1" customHeight="1" x14ac:dyDescent="0.25">
      <c r="A7090" s="2" t="s">
        <v>14873</v>
      </c>
      <c r="B7090" s="2" t="s">
        <v>14874</v>
      </c>
      <c r="C7090" s="2" t="s">
        <v>124</v>
      </c>
      <c r="D7090" s="2" t="s">
        <v>3523</v>
      </c>
      <c r="E7090" s="2" t="str">
        <f>"9781032646770"</f>
        <v>9781032646770</v>
      </c>
      <c r="F7090" s="2" t="str">
        <f>"9781032646824"</f>
        <v>9781032646824</v>
      </c>
    </row>
    <row r="7091" spans="1:6" s="3" customFormat="1" ht="29.1" customHeight="1" x14ac:dyDescent="0.25">
      <c r="A7091" s="2" t="s">
        <v>14875</v>
      </c>
      <c r="B7091" s="2" t="s">
        <v>14876</v>
      </c>
      <c r="C7091" s="2" t="s">
        <v>124</v>
      </c>
      <c r="D7091" s="2" t="s">
        <v>2433</v>
      </c>
      <c r="E7091" s="2" t="str">
        <f>"9781032368245"</f>
        <v>9781032368245</v>
      </c>
      <c r="F7091" s="2" t="str">
        <f>"9781003333982"</f>
        <v>9781003333982</v>
      </c>
    </row>
    <row r="7092" spans="1:6" s="3" customFormat="1" ht="29.1" customHeight="1" x14ac:dyDescent="0.25">
      <c r="A7092" s="2" t="s">
        <v>14877</v>
      </c>
      <c r="B7092" s="2" t="s">
        <v>14878</v>
      </c>
      <c r="C7092" s="2" t="s">
        <v>124</v>
      </c>
      <c r="D7092" s="2" t="s">
        <v>1944</v>
      </c>
      <c r="E7092" s="2" t="str">
        <f>"9781032462875"</f>
        <v>9781032462875</v>
      </c>
      <c r="F7092" s="2" t="str">
        <f>"9781003380955"</f>
        <v>9781003380955</v>
      </c>
    </row>
    <row r="7093" spans="1:6" s="3" customFormat="1" ht="29.1" customHeight="1" x14ac:dyDescent="0.25">
      <c r="A7093" s="2" t="s">
        <v>14879</v>
      </c>
      <c r="B7093" s="2" t="s">
        <v>14880</v>
      </c>
      <c r="C7093" s="2" t="s">
        <v>5</v>
      </c>
      <c r="D7093" s="2" t="s">
        <v>454</v>
      </c>
      <c r="E7093" s="2" t="str">
        <f>"9789464634303"</f>
        <v>9789464634303</v>
      </c>
      <c r="F7093" s="2" t="str">
        <f>"9789464634310"</f>
        <v>9789464634310</v>
      </c>
    </row>
    <row r="7094" spans="1:6" s="3" customFormat="1" ht="29.1" customHeight="1" x14ac:dyDescent="0.25">
      <c r="A7094" s="2" t="s">
        <v>6214</v>
      </c>
      <c r="B7094" s="2" t="s">
        <v>14881</v>
      </c>
      <c r="C7094" s="2" t="s">
        <v>5</v>
      </c>
      <c r="D7094" s="2" t="s">
        <v>487</v>
      </c>
      <c r="E7094" s="2" t="str">
        <f>"9783031611537"</f>
        <v>9783031611537</v>
      </c>
      <c r="F7094" s="2" t="str">
        <f>"9783031611544"</f>
        <v>9783031611544</v>
      </c>
    </row>
    <row r="7095" spans="1:6" s="3" customFormat="1" ht="29.1" customHeight="1" x14ac:dyDescent="0.25">
      <c r="A7095" s="2" t="s">
        <v>14882</v>
      </c>
      <c r="B7095" s="2" t="s">
        <v>14883</v>
      </c>
      <c r="C7095" s="2" t="s">
        <v>29</v>
      </c>
      <c r="D7095" s="2" t="s">
        <v>270</v>
      </c>
      <c r="E7095" s="2" t="str">
        <f>"9789004366664"</f>
        <v>9789004366664</v>
      </c>
      <c r="F7095" s="2" t="str">
        <f>"9789004366671"</f>
        <v>9789004366671</v>
      </c>
    </row>
    <row r="7096" spans="1:6" s="3" customFormat="1" ht="29.1" customHeight="1" x14ac:dyDescent="0.25">
      <c r="A7096" s="2" t="s">
        <v>14884</v>
      </c>
      <c r="B7096" s="2" t="s">
        <v>14885</v>
      </c>
      <c r="C7096" s="2" t="s">
        <v>29</v>
      </c>
      <c r="D7096" s="2" t="s">
        <v>33</v>
      </c>
      <c r="E7096" s="2" t="str">
        <f>"9789004328976"</f>
        <v>9789004328976</v>
      </c>
      <c r="F7096" s="2" t="str">
        <f>"9789004333147"</f>
        <v>9789004333147</v>
      </c>
    </row>
    <row r="7097" spans="1:6" s="3" customFormat="1" ht="29.1" customHeight="1" x14ac:dyDescent="0.25">
      <c r="A7097" s="2" t="s">
        <v>14886</v>
      </c>
      <c r="B7097" s="2" t="s">
        <v>14887</v>
      </c>
      <c r="C7097" s="2" t="s">
        <v>55</v>
      </c>
      <c r="D7097" s="2" t="s">
        <v>183</v>
      </c>
      <c r="E7097" s="2"/>
      <c r="F7097" s="2" t="str">
        <f>"9781526180056"</f>
        <v>9781526180056</v>
      </c>
    </row>
    <row r="7098" spans="1:6" s="3" customFormat="1" ht="29.1" customHeight="1" x14ac:dyDescent="0.25">
      <c r="A7098" s="2" t="s">
        <v>14886</v>
      </c>
      <c r="B7098" s="2" t="s">
        <v>14887</v>
      </c>
      <c r="C7098" s="2" t="s">
        <v>55</v>
      </c>
      <c r="D7098" s="2" t="s">
        <v>183</v>
      </c>
      <c r="E7098" s="2"/>
      <c r="F7098" s="2" t="str">
        <f>"9781526180032"</f>
        <v>9781526180032</v>
      </c>
    </row>
    <row r="7099" spans="1:6" s="3" customFormat="1" ht="29.1" customHeight="1" x14ac:dyDescent="0.25">
      <c r="A7099" s="2" t="s">
        <v>14888</v>
      </c>
      <c r="B7099" s="2" t="s">
        <v>14889</v>
      </c>
      <c r="C7099" s="2" t="s">
        <v>55</v>
      </c>
      <c r="D7099" s="2" t="s">
        <v>183</v>
      </c>
      <c r="E7099" s="2" t="str">
        <f>"9781526172594"</f>
        <v>9781526172594</v>
      </c>
      <c r="F7099" s="2" t="str">
        <f>"9781526172587"</f>
        <v>9781526172587</v>
      </c>
    </row>
    <row r="7100" spans="1:6" s="3" customFormat="1" ht="29.1" customHeight="1" x14ac:dyDescent="0.25">
      <c r="A7100" s="2" t="s">
        <v>14890</v>
      </c>
      <c r="B7100" s="2" t="s">
        <v>14891</v>
      </c>
      <c r="C7100" s="2" t="s">
        <v>55</v>
      </c>
      <c r="D7100" s="2" t="s">
        <v>183</v>
      </c>
      <c r="E7100" s="2"/>
      <c r="F7100" s="2" t="str">
        <f>"9781526178633"</f>
        <v>9781526178633</v>
      </c>
    </row>
    <row r="7101" spans="1:6" s="3" customFormat="1" ht="29.1" customHeight="1" x14ac:dyDescent="0.25">
      <c r="A7101" s="2" t="s">
        <v>14890</v>
      </c>
      <c r="B7101" s="2" t="s">
        <v>14891</v>
      </c>
      <c r="C7101" s="2" t="s">
        <v>55</v>
      </c>
      <c r="D7101" s="2" t="s">
        <v>183</v>
      </c>
      <c r="E7101" s="2"/>
      <c r="F7101" s="2" t="str">
        <f>"9781526178657"</f>
        <v>9781526178657</v>
      </c>
    </row>
    <row r="7102" spans="1:6" s="3" customFormat="1" ht="29.1" customHeight="1" x14ac:dyDescent="0.25">
      <c r="A7102" s="2" t="s">
        <v>14892</v>
      </c>
      <c r="B7102" s="2" t="s">
        <v>14893</v>
      </c>
      <c r="C7102" s="2" t="s">
        <v>55</v>
      </c>
      <c r="D7102" s="2" t="s">
        <v>528</v>
      </c>
      <c r="E7102" s="2" t="str">
        <f>"9781526172402"</f>
        <v>9781526172402</v>
      </c>
      <c r="F7102" s="2" t="str">
        <f>"9781526172419"</f>
        <v>9781526172419</v>
      </c>
    </row>
    <row r="7103" spans="1:6" s="3" customFormat="1" ht="29.1" customHeight="1" x14ac:dyDescent="0.25">
      <c r="A7103" s="2" t="s">
        <v>14894</v>
      </c>
      <c r="B7103" s="2" t="s">
        <v>14895</v>
      </c>
      <c r="C7103" s="2" t="s">
        <v>29</v>
      </c>
      <c r="D7103" s="2" t="s">
        <v>6669</v>
      </c>
      <c r="E7103" s="2" t="str">
        <f>"9789004548688"</f>
        <v>9789004548688</v>
      </c>
      <c r="F7103" s="2" t="str">
        <f>"9789004703599"</f>
        <v>9789004703599</v>
      </c>
    </row>
    <row r="7104" spans="1:6" s="3" customFormat="1" ht="29.1" customHeight="1" x14ac:dyDescent="0.25">
      <c r="A7104" s="2" t="s">
        <v>14896</v>
      </c>
      <c r="B7104" s="2" t="s">
        <v>14897</v>
      </c>
      <c r="C7104" s="2" t="s">
        <v>5</v>
      </c>
      <c r="D7104" s="2" t="s">
        <v>3062</v>
      </c>
      <c r="E7104" s="2" t="str">
        <f>"9783031572159"</f>
        <v>9783031572159</v>
      </c>
      <c r="F7104" s="2" t="str">
        <f>"9783031572166"</f>
        <v>9783031572166</v>
      </c>
    </row>
    <row r="7105" spans="1:6" s="3" customFormat="1" ht="29.1" customHeight="1" x14ac:dyDescent="0.25">
      <c r="A7105" s="2" t="s">
        <v>14898</v>
      </c>
      <c r="B7105" s="2" t="s">
        <v>14899</v>
      </c>
      <c r="C7105" s="2" t="s">
        <v>124</v>
      </c>
      <c r="D7105" s="2" t="s">
        <v>653</v>
      </c>
      <c r="E7105" s="2" t="str">
        <f>"9781032632681"</f>
        <v>9781032632681</v>
      </c>
      <c r="F7105" s="2" t="str">
        <f>"9781032632780"</f>
        <v>9781032632780</v>
      </c>
    </row>
    <row r="7106" spans="1:6" s="3" customFormat="1" ht="29.1" customHeight="1" x14ac:dyDescent="0.25">
      <c r="A7106" s="2" t="s">
        <v>14900</v>
      </c>
      <c r="B7106" s="2" t="s">
        <v>14901</v>
      </c>
      <c r="C7106" s="2" t="s">
        <v>5</v>
      </c>
      <c r="D7106" s="2" t="s">
        <v>141</v>
      </c>
      <c r="E7106" s="2" t="str">
        <f>"9789464634013"</f>
        <v>9789464634013</v>
      </c>
      <c r="F7106" s="2" t="str">
        <f>"9789464634020"</f>
        <v>9789464634020</v>
      </c>
    </row>
    <row r="7107" spans="1:6" s="3" customFormat="1" ht="29.1" customHeight="1" x14ac:dyDescent="0.25">
      <c r="A7107" s="2" t="s">
        <v>14902</v>
      </c>
      <c r="B7107" s="2" t="s">
        <v>14903</v>
      </c>
      <c r="C7107" s="2" t="s">
        <v>5</v>
      </c>
      <c r="D7107" s="2" t="s">
        <v>6994</v>
      </c>
      <c r="E7107" s="2" t="str">
        <f>"9783031547898"</f>
        <v>9783031547898</v>
      </c>
      <c r="F7107" s="2" t="str">
        <f>"9783031547904"</f>
        <v>9783031547904</v>
      </c>
    </row>
    <row r="7108" spans="1:6" s="3" customFormat="1" ht="29.1" customHeight="1" x14ac:dyDescent="0.25">
      <c r="A7108" s="2" t="s">
        <v>14904</v>
      </c>
      <c r="B7108" s="2" t="s">
        <v>14905</v>
      </c>
      <c r="C7108" s="2" t="s">
        <v>595</v>
      </c>
      <c r="D7108" s="2" t="s">
        <v>162</v>
      </c>
      <c r="E7108" s="2" t="str">
        <f>"9782875749598"</f>
        <v>9782875749598</v>
      </c>
      <c r="F7108" s="2" t="str">
        <f>"9782875749604"</f>
        <v>9782875749604</v>
      </c>
    </row>
    <row r="7109" spans="1:6" s="3" customFormat="1" ht="29.1" customHeight="1" x14ac:dyDescent="0.25">
      <c r="A7109" s="2" t="s">
        <v>14906</v>
      </c>
      <c r="B7109" s="2" t="s">
        <v>14907</v>
      </c>
      <c r="C7109" s="2" t="s">
        <v>595</v>
      </c>
      <c r="D7109" s="2" t="s">
        <v>110</v>
      </c>
      <c r="E7109" s="2" t="str">
        <f>"9782875749796"</f>
        <v>9782875749796</v>
      </c>
      <c r="F7109" s="2" t="str">
        <f>"9782875749802"</f>
        <v>9782875749802</v>
      </c>
    </row>
    <row r="7110" spans="1:6" s="3" customFormat="1" ht="29.1" customHeight="1" x14ac:dyDescent="0.25">
      <c r="A7110" s="2" t="s">
        <v>14908</v>
      </c>
      <c r="B7110" s="2" t="s">
        <v>14909</v>
      </c>
      <c r="C7110" s="2" t="s">
        <v>595</v>
      </c>
      <c r="D7110" s="2" t="s">
        <v>446</v>
      </c>
      <c r="E7110" s="2" t="str">
        <f>"9782875749161"</f>
        <v>9782875749161</v>
      </c>
      <c r="F7110" s="2" t="str">
        <f>"9782875749178"</f>
        <v>9782875749178</v>
      </c>
    </row>
    <row r="7111" spans="1:6" s="3" customFormat="1" ht="29.1" customHeight="1" x14ac:dyDescent="0.25">
      <c r="A7111" s="2" t="s">
        <v>14910</v>
      </c>
      <c r="B7111" s="2" t="s">
        <v>14911</v>
      </c>
      <c r="C7111" s="2" t="s">
        <v>595</v>
      </c>
      <c r="D7111" s="2" t="s">
        <v>8199</v>
      </c>
      <c r="E7111" s="2" t="str">
        <f>"9783034348164"</f>
        <v>9783034348164</v>
      </c>
      <c r="F7111" s="2" t="str">
        <f>"9783034348171"</f>
        <v>9783034348171</v>
      </c>
    </row>
    <row r="7112" spans="1:6" s="3" customFormat="1" ht="29.1" customHeight="1" x14ac:dyDescent="0.25">
      <c r="A7112" s="2" t="s">
        <v>14912</v>
      </c>
      <c r="B7112" s="2" t="s">
        <v>14913</v>
      </c>
      <c r="C7112" s="2" t="s">
        <v>595</v>
      </c>
      <c r="D7112" s="2" t="s">
        <v>37</v>
      </c>
      <c r="E7112" s="2" t="str">
        <f>"9783631895733"</f>
        <v>9783631895733</v>
      </c>
      <c r="F7112" s="2" t="str">
        <f>"9783631895740"</f>
        <v>9783631895740</v>
      </c>
    </row>
    <row r="7113" spans="1:6" s="3" customFormat="1" ht="29.1" customHeight="1" x14ac:dyDescent="0.25">
      <c r="A7113" s="2" t="s">
        <v>14914</v>
      </c>
      <c r="B7113" s="2" t="s">
        <v>14915</v>
      </c>
      <c r="C7113" s="2" t="s">
        <v>595</v>
      </c>
      <c r="D7113" s="2" t="s">
        <v>215</v>
      </c>
      <c r="E7113" s="2" t="str">
        <f>"9783631851739"</f>
        <v>9783631851739</v>
      </c>
      <c r="F7113" s="2" t="str">
        <f>"9783631894750"</f>
        <v>9783631894750</v>
      </c>
    </row>
    <row r="7114" spans="1:6" s="3" customFormat="1" ht="29.1" customHeight="1" x14ac:dyDescent="0.25">
      <c r="A7114" s="2" t="s">
        <v>14916</v>
      </c>
      <c r="B7114" s="2" t="s">
        <v>14917</v>
      </c>
      <c r="C7114" s="2" t="s">
        <v>5</v>
      </c>
      <c r="D7114" s="2" t="s">
        <v>12513</v>
      </c>
      <c r="E7114" s="2" t="str">
        <f>"9789819716180"</f>
        <v>9789819716180</v>
      </c>
      <c r="F7114" s="2" t="str">
        <f>"9789819716197"</f>
        <v>9789819716197</v>
      </c>
    </row>
    <row r="7115" spans="1:6" s="3" customFormat="1" ht="29.1" customHeight="1" x14ac:dyDescent="0.25">
      <c r="A7115" s="2" t="s">
        <v>14918</v>
      </c>
      <c r="B7115" s="2" t="s">
        <v>14919</v>
      </c>
      <c r="C7115" s="2" t="s">
        <v>5</v>
      </c>
      <c r="D7115" s="2" t="s">
        <v>9</v>
      </c>
      <c r="E7115" s="2" t="str">
        <f>"9782384762521"</f>
        <v>9782384762521</v>
      </c>
      <c r="F7115" s="2" t="str">
        <f>"9782384762538"</f>
        <v>9782384762538</v>
      </c>
    </row>
    <row r="7116" spans="1:6" s="3" customFormat="1" ht="29.1" customHeight="1" x14ac:dyDescent="0.25">
      <c r="A7116" s="2" t="s">
        <v>14920</v>
      </c>
      <c r="B7116" s="2" t="s">
        <v>14921</v>
      </c>
      <c r="C7116" s="2" t="s">
        <v>5</v>
      </c>
      <c r="D7116" s="2" t="s">
        <v>9</v>
      </c>
      <c r="E7116" s="2" t="str">
        <f>"9782384762255"</f>
        <v>9782384762255</v>
      </c>
      <c r="F7116" s="2" t="str">
        <f>"9782384762262"</f>
        <v>9782384762262</v>
      </c>
    </row>
    <row r="7117" spans="1:6" s="3" customFormat="1" ht="29.1" customHeight="1" x14ac:dyDescent="0.25">
      <c r="A7117" s="2" t="s">
        <v>14922</v>
      </c>
      <c r="B7117" s="2" t="s">
        <v>4369</v>
      </c>
      <c r="C7117" s="2" t="s">
        <v>5</v>
      </c>
      <c r="D7117" s="2" t="s">
        <v>4368</v>
      </c>
      <c r="E7117" s="2" t="str">
        <f>"9783031553592"</f>
        <v>9783031553592</v>
      </c>
      <c r="F7117" s="2" t="str">
        <f>"9783031553608"</f>
        <v>9783031553608</v>
      </c>
    </row>
    <row r="7118" spans="1:6" s="3" customFormat="1" ht="29.1" customHeight="1" x14ac:dyDescent="0.25">
      <c r="A7118" s="2" t="s">
        <v>14923</v>
      </c>
      <c r="B7118" s="2" t="s">
        <v>14924</v>
      </c>
      <c r="C7118" s="2" t="s">
        <v>5</v>
      </c>
      <c r="D7118" s="2" t="s">
        <v>95</v>
      </c>
      <c r="E7118" s="2" t="str">
        <f>"9789819967094"</f>
        <v>9789819967094</v>
      </c>
      <c r="F7118" s="2" t="str">
        <f>"9789819967100"</f>
        <v>9789819967100</v>
      </c>
    </row>
    <row r="7119" spans="1:6" s="3" customFormat="1" ht="29.1" customHeight="1" x14ac:dyDescent="0.25">
      <c r="A7119" s="2" t="s">
        <v>14925</v>
      </c>
      <c r="B7119" s="2" t="s">
        <v>14926</v>
      </c>
      <c r="C7119" s="2" t="s">
        <v>5</v>
      </c>
      <c r="D7119" s="2" t="s">
        <v>270</v>
      </c>
      <c r="E7119" s="2" t="str">
        <f>"9783658435783"</f>
        <v>9783658435783</v>
      </c>
      <c r="F7119" s="2" t="str">
        <f>"9783658435790"</f>
        <v>9783658435790</v>
      </c>
    </row>
    <row r="7120" spans="1:6" s="3" customFormat="1" ht="29.1" customHeight="1" x14ac:dyDescent="0.25">
      <c r="A7120" s="2" t="s">
        <v>14927</v>
      </c>
      <c r="B7120" s="2" t="s">
        <v>14928</v>
      </c>
      <c r="C7120" s="2" t="s">
        <v>5</v>
      </c>
      <c r="D7120" s="2" t="s">
        <v>294</v>
      </c>
      <c r="E7120" s="2" t="str">
        <f>"9783031520952"</f>
        <v>9783031520952</v>
      </c>
      <c r="F7120" s="2" t="str">
        <f>"9783031520969"</f>
        <v>9783031520969</v>
      </c>
    </row>
    <row r="7121" spans="1:6" s="3" customFormat="1" ht="29.1" customHeight="1" x14ac:dyDescent="0.25">
      <c r="A7121" s="2" t="s">
        <v>14929</v>
      </c>
      <c r="B7121" s="2" t="s">
        <v>14930</v>
      </c>
      <c r="C7121" s="2" t="s">
        <v>5</v>
      </c>
      <c r="D7121" s="2" t="s">
        <v>98</v>
      </c>
      <c r="E7121" s="2" t="str">
        <f>"9783031510625"</f>
        <v>9783031510625</v>
      </c>
      <c r="F7121" s="2" t="str">
        <f>"9783031510632"</f>
        <v>9783031510632</v>
      </c>
    </row>
    <row r="7122" spans="1:6" s="3" customFormat="1" ht="29.1" customHeight="1" x14ac:dyDescent="0.25">
      <c r="A7122" s="2" t="s">
        <v>14931</v>
      </c>
      <c r="B7122" s="2" t="s">
        <v>14932</v>
      </c>
      <c r="C7122" s="2" t="s">
        <v>5</v>
      </c>
      <c r="D7122" s="2" t="s">
        <v>537</v>
      </c>
      <c r="E7122" s="2" t="str">
        <f>"9789464633955"</f>
        <v>9789464633955</v>
      </c>
      <c r="F7122" s="2" t="str">
        <f>"9789464633962"</f>
        <v>9789464633962</v>
      </c>
    </row>
    <row r="7123" spans="1:6" s="3" customFormat="1" ht="29.1" customHeight="1" x14ac:dyDescent="0.25">
      <c r="A7123" s="2" t="s">
        <v>14933</v>
      </c>
      <c r="B7123" s="2" t="s">
        <v>14934</v>
      </c>
      <c r="C7123" s="2" t="s">
        <v>5</v>
      </c>
      <c r="D7123" s="2" t="s">
        <v>249</v>
      </c>
      <c r="E7123" s="2" t="str">
        <f>"9782384762569"</f>
        <v>9782384762569</v>
      </c>
      <c r="F7123" s="2" t="str">
        <f>"9782384762576"</f>
        <v>9782384762576</v>
      </c>
    </row>
    <row r="7124" spans="1:6" s="3" customFormat="1" ht="29.1" customHeight="1" x14ac:dyDescent="0.25">
      <c r="A7124" s="2" t="s">
        <v>14935</v>
      </c>
      <c r="B7124" s="2" t="s">
        <v>14936</v>
      </c>
      <c r="C7124" s="2" t="s">
        <v>29</v>
      </c>
      <c r="D7124" s="2" t="s">
        <v>1432</v>
      </c>
      <c r="E7124" s="2" t="str">
        <f>"9789004375734"</f>
        <v>9789004375734</v>
      </c>
      <c r="F7124" s="2" t="str">
        <f>"9789004375741"</f>
        <v>9789004375741</v>
      </c>
    </row>
    <row r="7125" spans="1:6" s="3" customFormat="1" ht="29.1" customHeight="1" x14ac:dyDescent="0.25">
      <c r="A7125" s="2" t="s">
        <v>14937</v>
      </c>
      <c r="B7125" s="2" t="s">
        <v>14938</v>
      </c>
      <c r="C7125" s="2" t="s">
        <v>29</v>
      </c>
      <c r="D7125" s="2" t="s">
        <v>210</v>
      </c>
      <c r="E7125" s="2" t="str">
        <f>"9789004315709"</f>
        <v>9789004315709</v>
      </c>
      <c r="F7125" s="2" t="str">
        <f>"9789004315716"</f>
        <v>9789004315716</v>
      </c>
    </row>
    <row r="7126" spans="1:6" s="3" customFormat="1" ht="29.1" customHeight="1" x14ac:dyDescent="0.25">
      <c r="A7126" s="2" t="s">
        <v>14939</v>
      </c>
      <c r="B7126" s="2" t="s">
        <v>14940</v>
      </c>
      <c r="C7126" s="2" t="s">
        <v>29</v>
      </c>
      <c r="D7126" s="2" t="s">
        <v>1432</v>
      </c>
      <c r="E7126" s="2" t="str">
        <f>"9789004323346"</f>
        <v>9789004323346</v>
      </c>
      <c r="F7126" s="2" t="str">
        <f>"9789004323353"</f>
        <v>9789004323353</v>
      </c>
    </row>
    <row r="7127" spans="1:6" s="3" customFormat="1" ht="29.1" customHeight="1" x14ac:dyDescent="0.25">
      <c r="A7127" s="2" t="s">
        <v>14941</v>
      </c>
      <c r="B7127" s="2" t="s">
        <v>14942</v>
      </c>
      <c r="C7127" s="2" t="s">
        <v>677</v>
      </c>
      <c r="D7127" s="2" t="s">
        <v>689</v>
      </c>
      <c r="E7127" s="2"/>
      <c r="F7127" s="2" t="str">
        <f>"9789493296398"</f>
        <v>9789493296398</v>
      </c>
    </row>
    <row r="7128" spans="1:6" s="3" customFormat="1" ht="29.1" customHeight="1" x14ac:dyDescent="0.25">
      <c r="A7128" s="2" t="s">
        <v>14943</v>
      </c>
      <c r="B7128" s="2" t="s">
        <v>14944</v>
      </c>
      <c r="C7128" s="2" t="s">
        <v>677</v>
      </c>
      <c r="D7128" s="2" t="s">
        <v>5832</v>
      </c>
      <c r="E7128" s="2"/>
      <c r="F7128" s="2" t="str">
        <f>"9789493296381"</f>
        <v>9789493296381</v>
      </c>
    </row>
    <row r="7129" spans="1:6" s="3" customFormat="1" ht="29.1" customHeight="1" x14ac:dyDescent="0.25">
      <c r="A7129" s="2" t="s">
        <v>14945</v>
      </c>
      <c r="B7129" s="2" t="s">
        <v>14947</v>
      </c>
      <c r="C7129" s="2" t="s">
        <v>677</v>
      </c>
      <c r="D7129" s="2" t="s">
        <v>14946</v>
      </c>
      <c r="E7129" s="2"/>
      <c r="F7129" s="2" t="str">
        <f>"9789493296367"</f>
        <v>9789493296367</v>
      </c>
    </row>
    <row r="7130" spans="1:6" s="3" customFormat="1" ht="29.1" customHeight="1" x14ac:dyDescent="0.25">
      <c r="A7130" s="2" t="s">
        <v>14948</v>
      </c>
      <c r="B7130" s="2" t="s">
        <v>14610</v>
      </c>
      <c r="C7130" s="2" t="s">
        <v>5</v>
      </c>
      <c r="D7130" s="2" t="s">
        <v>689</v>
      </c>
      <c r="E7130" s="2" t="str">
        <f>"9783031594045"</f>
        <v>9783031594045</v>
      </c>
      <c r="F7130" s="2" t="str">
        <f>"9783031594052"</f>
        <v>9783031594052</v>
      </c>
    </row>
    <row r="7131" spans="1:6" s="3" customFormat="1" ht="29.1" customHeight="1" x14ac:dyDescent="0.25">
      <c r="A7131" s="2" t="s">
        <v>14949</v>
      </c>
      <c r="B7131" s="2" t="s">
        <v>14950</v>
      </c>
      <c r="C7131" s="2" t="s">
        <v>124</v>
      </c>
      <c r="D7131" s="2" t="s">
        <v>3966</v>
      </c>
      <c r="E7131" s="2" t="str">
        <f>"9781032549330"</f>
        <v>9781032549330</v>
      </c>
      <c r="F7131" s="2" t="str">
        <f>"9781003428176"</f>
        <v>9781003428176</v>
      </c>
    </row>
    <row r="7132" spans="1:6" s="3" customFormat="1" ht="29.1" customHeight="1" x14ac:dyDescent="0.25">
      <c r="A7132" s="2" t="s">
        <v>14951</v>
      </c>
      <c r="B7132" s="2" t="s">
        <v>14952</v>
      </c>
      <c r="C7132" s="2" t="s">
        <v>5</v>
      </c>
      <c r="D7132" s="2" t="s">
        <v>501</v>
      </c>
      <c r="E7132" s="2" t="str">
        <f>"9783031567711"</f>
        <v>9783031567711</v>
      </c>
      <c r="F7132" s="2" t="str">
        <f>"9783031567728"</f>
        <v>9783031567728</v>
      </c>
    </row>
    <row r="7133" spans="1:6" s="3" customFormat="1" ht="29.1" customHeight="1" x14ac:dyDescent="0.25">
      <c r="A7133" s="2" t="s">
        <v>14953</v>
      </c>
      <c r="B7133" s="2" t="s">
        <v>14954</v>
      </c>
      <c r="C7133" s="2" t="s">
        <v>4104</v>
      </c>
      <c r="D7133" s="2" t="s">
        <v>150</v>
      </c>
      <c r="E7133" s="2" t="str">
        <f>"9780197267424"</f>
        <v>9780197267424</v>
      </c>
      <c r="F7133" s="2" t="str">
        <f>"9780198926573"</f>
        <v>9780198926573</v>
      </c>
    </row>
    <row r="7134" spans="1:6" s="3" customFormat="1" ht="29.1" customHeight="1" x14ac:dyDescent="0.25">
      <c r="A7134" s="2" t="s">
        <v>14955</v>
      </c>
      <c r="B7134" s="2" t="s">
        <v>14956</v>
      </c>
      <c r="C7134" s="2" t="s">
        <v>4104</v>
      </c>
      <c r="D7134" s="2" t="s">
        <v>509</v>
      </c>
      <c r="E7134" s="2" t="str">
        <f>"9780197267431"</f>
        <v>9780197267431</v>
      </c>
      <c r="F7134" s="2" t="str">
        <f>"9780198926627"</f>
        <v>9780198926627</v>
      </c>
    </row>
    <row r="7135" spans="1:6" s="3" customFormat="1" ht="29.1" customHeight="1" x14ac:dyDescent="0.25">
      <c r="A7135" s="2" t="s">
        <v>14957</v>
      </c>
      <c r="B7135" s="2" t="s">
        <v>14958</v>
      </c>
      <c r="C7135" s="2" t="s">
        <v>4104</v>
      </c>
      <c r="D7135" s="2" t="s">
        <v>183</v>
      </c>
      <c r="E7135" s="2" t="str">
        <f>"9780197267080"</f>
        <v>9780197267080</v>
      </c>
      <c r="F7135" s="2" t="str">
        <f>"9780198926634"</f>
        <v>9780198926634</v>
      </c>
    </row>
    <row r="7136" spans="1:6" s="3" customFormat="1" ht="29.1" customHeight="1" x14ac:dyDescent="0.25">
      <c r="A7136" s="2" t="s">
        <v>14959</v>
      </c>
      <c r="B7136" s="2" t="s">
        <v>14960</v>
      </c>
      <c r="C7136" s="2" t="s">
        <v>8047</v>
      </c>
      <c r="D7136" s="2" t="s">
        <v>3155</v>
      </c>
      <c r="E7136" s="2" t="str">
        <f>"9780271096988"</f>
        <v>9780271096988</v>
      </c>
      <c r="F7136" s="2" t="str">
        <f>"9780271098661"</f>
        <v>9780271098661</v>
      </c>
    </row>
    <row r="7137" spans="1:6" s="3" customFormat="1" ht="29.1" customHeight="1" x14ac:dyDescent="0.25">
      <c r="A7137" s="2" t="s">
        <v>14962</v>
      </c>
      <c r="B7137" s="2" t="s">
        <v>14963</v>
      </c>
      <c r="C7137" s="2" t="s">
        <v>239</v>
      </c>
      <c r="D7137" s="2" t="s">
        <v>69</v>
      </c>
      <c r="E7137" s="2" t="str">
        <f>"9780520400757"</f>
        <v>9780520400757</v>
      </c>
      <c r="F7137" s="2" t="str">
        <f>"9780520400764"</f>
        <v>9780520400764</v>
      </c>
    </row>
    <row r="7138" spans="1:6" s="3" customFormat="1" ht="29.1" customHeight="1" x14ac:dyDescent="0.25">
      <c r="A7138" s="2" t="s">
        <v>14964</v>
      </c>
      <c r="B7138" s="2" t="s">
        <v>14965</v>
      </c>
      <c r="C7138" s="2" t="s">
        <v>5</v>
      </c>
      <c r="D7138" s="2" t="s">
        <v>210</v>
      </c>
      <c r="E7138" s="2" t="str">
        <f>"9782384762507"</f>
        <v>9782384762507</v>
      </c>
      <c r="F7138" s="2" t="str">
        <f>"9782384762514"</f>
        <v>9782384762514</v>
      </c>
    </row>
    <row r="7139" spans="1:6" s="3" customFormat="1" ht="29.1" customHeight="1" x14ac:dyDescent="0.25">
      <c r="A7139" s="2" t="s">
        <v>14966</v>
      </c>
      <c r="B7139" s="2" t="s">
        <v>14967</v>
      </c>
      <c r="C7139" s="2" t="s">
        <v>5</v>
      </c>
      <c r="D7139" s="2" t="s">
        <v>141</v>
      </c>
      <c r="E7139" s="2" t="str">
        <f>"9789464634242"</f>
        <v>9789464634242</v>
      </c>
      <c r="F7139" s="2" t="str">
        <f>"9789464634259"</f>
        <v>9789464634259</v>
      </c>
    </row>
    <row r="7140" spans="1:6" s="3" customFormat="1" ht="29.1" customHeight="1" x14ac:dyDescent="0.25">
      <c r="A7140" s="2" t="s">
        <v>14968</v>
      </c>
      <c r="B7140" s="2" t="s">
        <v>14969</v>
      </c>
      <c r="C7140" s="2" t="s">
        <v>5</v>
      </c>
      <c r="D7140" s="2" t="s">
        <v>186</v>
      </c>
      <c r="E7140" s="2" t="str">
        <f>"9789464633993"</f>
        <v>9789464633993</v>
      </c>
      <c r="F7140" s="2" t="str">
        <f>"9789464634006"</f>
        <v>9789464634006</v>
      </c>
    </row>
    <row r="7141" spans="1:6" s="3" customFormat="1" ht="29.1" customHeight="1" x14ac:dyDescent="0.25">
      <c r="A7141" s="2" t="s">
        <v>14970</v>
      </c>
      <c r="B7141" s="2" t="s">
        <v>14971</v>
      </c>
      <c r="C7141" s="2" t="s">
        <v>5</v>
      </c>
      <c r="D7141" s="2" t="s">
        <v>101</v>
      </c>
      <c r="E7141" s="2" t="str">
        <f>"9789464634266"</f>
        <v>9789464634266</v>
      </c>
      <c r="F7141" s="2" t="str">
        <f>"9789464634273"</f>
        <v>9789464634273</v>
      </c>
    </row>
    <row r="7142" spans="1:6" s="3" customFormat="1" ht="29.1" customHeight="1" x14ac:dyDescent="0.25">
      <c r="A7142" s="2" t="s">
        <v>14972</v>
      </c>
      <c r="B7142" s="2" t="s">
        <v>14973</v>
      </c>
      <c r="C7142" s="2" t="s">
        <v>556</v>
      </c>
      <c r="D7142" s="2" t="s">
        <v>7293</v>
      </c>
      <c r="E7142" s="2" t="str">
        <f>"9783837671421"</f>
        <v>9783837671421</v>
      </c>
      <c r="F7142" s="2" t="str">
        <f>"9783839471425"</f>
        <v>9783839471425</v>
      </c>
    </row>
    <row r="7143" spans="1:6" s="3" customFormat="1" ht="29.1" customHeight="1" x14ac:dyDescent="0.25">
      <c r="A7143" s="2" t="s">
        <v>14974</v>
      </c>
      <c r="B7143" s="2" t="s">
        <v>14975</v>
      </c>
      <c r="C7143" s="2" t="s">
        <v>556</v>
      </c>
      <c r="D7143" s="2" t="s">
        <v>1840</v>
      </c>
      <c r="E7143" s="2" t="str">
        <f>"9783837669114"</f>
        <v>9783837669114</v>
      </c>
      <c r="F7143" s="2" t="str">
        <f>"9783839469118"</f>
        <v>9783839469118</v>
      </c>
    </row>
    <row r="7144" spans="1:6" s="3" customFormat="1" ht="29.1" customHeight="1" x14ac:dyDescent="0.25">
      <c r="A7144" s="2" t="s">
        <v>14976</v>
      </c>
      <c r="B7144" s="2" t="s">
        <v>14977</v>
      </c>
      <c r="C7144" s="2" t="s">
        <v>556</v>
      </c>
      <c r="D7144" s="2" t="s">
        <v>6103</v>
      </c>
      <c r="E7144" s="2" t="str">
        <f>"9783837674873"</f>
        <v>9783837674873</v>
      </c>
      <c r="F7144" s="2" t="str">
        <f>"9783732874873"</f>
        <v>9783732874873</v>
      </c>
    </row>
    <row r="7145" spans="1:6" s="3" customFormat="1" ht="29.1" customHeight="1" x14ac:dyDescent="0.25">
      <c r="A7145" s="2" t="s">
        <v>14978</v>
      </c>
      <c r="B7145" s="2" t="s">
        <v>14979</v>
      </c>
      <c r="C7145" s="2" t="s">
        <v>556</v>
      </c>
      <c r="D7145" s="2" t="s">
        <v>636</v>
      </c>
      <c r="E7145" s="2" t="str">
        <f>"9783837673807"</f>
        <v>9783837673807</v>
      </c>
      <c r="F7145" s="2" t="str">
        <f>"9783839473801"</f>
        <v>9783839473801</v>
      </c>
    </row>
    <row r="7146" spans="1:6" s="3" customFormat="1" ht="29.1" customHeight="1" x14ac:dyDescent="0.25">
      <c r="A7146" s="2" t="s">
        <v>14980</v>
      </c>
      <c r="B7146" s="2" t="s">
        <v>14981</v>
      </c>
      <c r="C7146" s="2" t="s">
        <v>556</v>
      </c>
      <c r="D7146" s="2" t="s">
        <v>459</v>
      </c>
      <c r="E7146" s="2" t="str">
        <f>"9783837673265"</f>
        <v>9783837673265</v>
      </c>
      <c r="F7146" s="2" t="str">
        <f>"9783839473269"</f>
        <v>9783839473269</v>
      </c>
    </row>
    <row r="7147" spans="1:6" s="3" customFormat="1" ht="29.1" customHeight="1" x14ac:dyDescent="0.25">
      <c r="A7147" s="2" t="s">
        <v>14982</v>
      </c>
      <c r="B7147" s="2" t="s">
        <v>14983</v>
      </c>
      <c r="C7147" s="2" t="s">
        <v>556</v>
      </c>
      <c r="D7147" s="2" t="s">
        <v>1162</v>
      </c>
      <c r="E7147" s="2" t="str">
        <f>"9783837673234"</f>
        <v>9783837673234</v>
      </c>
      <c r="F7147" s="2" t="str">
        <f>"9783839473238"</f>
        <v>9783839473238</v>
      </c>
    </row>
    <row r="7148" spans="1:6" s="3" customFormat="1" ht="29.1" customHeight="1" x14ac:dyDescent="0.25">
      <c r="A7148" s="2" t="s">
        <v>14984</v>
      </c>
      <c r="B7148" s="2" t="s">
        <v>14985</v>
      </c>
      <c r="C7148" s="2" t="s">
        <v>556</v>
      </c>
      <c r="D7148" s="2" t="s">
        <v>6113</v>
      </c>
      <c r="E7148" s="2" t="str">
        <f>"9783837673173"</f>
        <v>9783837673173</v>
      </c>
      <c r="F7148" s="2" t="str">
        <f>"9783839473177"</f>
        <v>9783839473177</v>
      </c>
    </row>
    <row r="7149" spans="1:6" s="3" customFormat="1" ht="29.1" customHeight="1" x14ac:dyDescent="0.25">
      <c r="A7149" s="2" t="s">
        <v>14986</v>
      </c>
      <c r="B7149" s="2" t="s">
        <v>14987</v>
      </c>
      <c r="C7149" s="2" t="s">
        <v>556</v>
      </c>
      <c r="D7149" s="2" t="s">
        <v>3224</v>
      </c>
      <c r="E7149" s="2" t="str">
        <f>"9783837673067"</f>
        <v>9783837673067</v>
      </c>
      <c r="F7149" s="2" t="str">
        <f>"9783732873067"</f>
        <v>9783732873067</v>
      </c>
    </row>
    <row r="7150" spans="1:6" s="3" customFormat="1" ht="29.1" customHeight="1" x14ac:dyDescent="0.25">
      <c r="A7150" s="2" t="s">
        <v>14988</v>
      </c>
      <c r="B7150" s="2" t="s">
        <v>14989</v>
      </c>
      <c r="C7150" s="2" t="s">
        <v>556</v>
      </c>
      <c r="D7150" s="2" t="s">
        <v>1209</v>
      </c>
      <c r="E7150" s="2" t="str">
        <f>"9783837672787"</f>
        <v>9783837672787</v>
      </c>
      <c r="F7150" s="2" t="str">
        <f>"9783732872787"</f>
        <v>9783732872787</v>
      </c>
    </row>
    <row r="7151" spans="1:6" s="3" customFormat="1" ht="29.1" customHeight="1" x14ac:dyDescent="0.25">
      <c r="A7151" s="2" t="s">
        <v>14990</v>
      </c>
      <c r="B7151" s="2" t="s">
        <v>14991</v>
      </c>
      <c r="C7151" s="2" t="s">
        <v>556</v>
      </c>
      <c r="D7151" s="2" t="s">
        <v>3345</v>
      </c>
      <c r="E7151" s="2" t="str">
        <f>"9783837672480"</f>
        <v>9783837672480</v>
      </c>
      <c r="F7151" s="2" t="str">
        <f>"9783839472484"</f>
        <v>9783839472484</v>
      </c>
    </row>
    <row r="7152" spans="1:6" s="3" customFormat="1" ht="29.1" customHeight="1" x14ac:dyDescent="0.25">
      <c r="A7152" s="2" t="s">
        <v>14992</v>
      </c>
      <c r="B7152" s="2" t="s">
        <v>14993</v>
      </c>
      <c r="C7152" s="2" t="s">
        <v>556</v>
      </c>
      <c r="D7152" s="2" t="s">
        <v>78</v>
      </c>
      <c r="E7152" s="2" t="str">
        <f>"9783837672305"</f>
        <v>9783837672305</v>
      </c>
      <c r="F7152" s="2" t="str">
        <f>"9783839472309"</f>
        <v>9783839472309</v>
      </c>
    </row>
    <row r="7153" spans="1:6" s="3" customFormat="1" ht="29.1" customHeight="1" x14ac:dyDescent="0.25">
      <c r="A7153" s="2" t="s">
        <v>14994</v>
      </c>
      <c r="B7153" s="2" t="s">
        <v>14995</v>
      </c>
      <c r="C7153" s="2" t="s">
        <v>556</v>
      </c>
      <c r="D7153" s="2" t="s">
        <v>1162</v>
      </c>
      <c r="E7153" s="2" t="str">
        <f>"9783837672022"</f>
        <v>9783837672022</v>
      </c>
      <c r="F7153" s="2" t="str">
        <f>"9783732872022"</f>
        <v>9783732872022</v>
      </c>
    </row>
    <row r="7154" spans="1:6" s="3" customFormat="1" ht="29.1" customHeight="1" x14ac:dyDescent="0.25">
      <c r="A7154" s="2" t="s">
        <v>14996</v>
      </c>
      <c r="B7154" s="2" t="s">
        <v>14997</v>
      </c>
      <c r="C7154" s="2" t="s">
        <v>556</v>
      </c>
      <c r="D7154" s="2" t="s">
        <v>712</v>
      </c>
      <c r="E7154" s="2" t="str">
        <f>"9783837671308"</f>
        <v>9783837671308</v>
      </c>
      <c r="F7154" s="2" t="str">
        <f>"9783732871308"</f>
        <v>9783732871308</v>
      </c>
    </row>
    <row r="7155" spans="1:6" s="3" customFormat="1" ht="29.1" customHeight="1" x14ac:dyDescent="0.25">
      <c r="A7155" s="2" t="s">
        <v>14998</v>
      </c>
      <c r="B7155" s="2" t="s">
        <v>14999</v>
      </c>
      <c r="C7155" s="2" t="s">
        <v>556</v>
      </c>
      <c r="D7155" s="2" t="s">
        <v>75</v>
      </c>
      <c r="E7155" s="2" t="str">
        <f>"9783837671261"</f>
        <v>9783837671261</v>
      </c>
      <c r="F7155" s="2" t="str">
        <f>"9783839471265"</f>
        <v>9783839471265</v>
      </c>
    </row>
    <row r="7156" spans="1:6" s="3" customFormat="1" ht="29.1" customHeight="1" x14ac:dyDescent="0.25">
      <c r="A7156" s="2" t="s">
        <v>15000</v>
      </c>
      <c r="B7156" s="2" t="s">
        <v>15001</v>
      </c>
      <c r="C7156" s="2" t="s">
        <v>556</v>
      </c>
      <c r="D7156" s="2" t="s">
        <v>1155</v>
      </c>
      <c r="E7156" s="2" t="str">
        <f>"9783837670783"</f>
        <v>9783837670783</v>
      </c>
      <c r="F7156" s="2" t="str">
        <f>"9783732870783"</f>
        <v>9783732870783</v>
      </c>
    </row>
    <row r="7157" spans="1:6" s="3" customFormat="1" ht="29.1" customHeight="1" x14ac:dyDescent="0.25">
      <c r="A7157" s="2" t="s">
        <v>15002</v>
      </c>
      <c r="B7157" s="2" t="s">
        <v>15003</v>
      </c>
      <c r="C7157" s="2" t="s">
        <v>556</v>
      </c>
      <c r="D7157" s="2" t="s">
        <v>378</v>
      </c>
      <c r="E7157" s="2" t="str">
        <f>"9783837670462"</f>
        <v>9783837670462</v>
      </c>
      <c r="F7157" s="2" t="str">
        <f>"9783839470466"</f>
        <v>9783839470466</v>
      </c>
    </row>
    <row r="7158" spans="1:6" s="3" customFormat="1" ht="29.1" customHeight="1" x14ac:dyDescent="0.25">
      <c r="A7158" s="2" t="s">
        <v>15004</v>
      </c>
      <c r="B7158" s="2" t="s">
        <v>15005</v>
      </c>
      <c r="C7158" s="2" t="s">
        <v>556</v>
      </c>
      <c r="D7158" s="2" t="s">
        <v>37</v>
      </c>
      <c r="E7158" s="2" t="str">
        <f>"9783837670028"</f>
        <v>9783837670028</v>
      </c>
      <c r="F7158" s="2" t="str">
        <f>"9783839470022"</f>
        <v>9783839470022</v>
      </c>
    </row>
    <row r="7159" spans="1:6" s="3" customFormat="1" ht="29.1" customHeight="1" x14ac:dyDescent="0.25">
      <c r="A7159" s="2" t="s">
        <v>15006</v>
      </c>
      <c r="B7159" s="2" t="s">
        <v>15008</v>
      </c>
      <c r="C7159" s="2" t="s">
        <v>556</v>
      </c>
      <c r="D7159" s="2" t="s">
        <v>15007</v>
      </c>
      <c r="E7159" s="2" t="str">
        <f>"9783837669671"</f>
        <v>9783837669671</v>
      </c>
      <c r="F7159" s="2" t="str">
        <f>"9783839469675"</f>
        <v>9783839469675</v>
      </c>
    </row>
    <row r="7160" spans="1:6" s="3" customFormat="1" ht="29.1" customHeight="1" x14ac:dyDescent="0.25">
      <c r="A7160" s="2" t="s">
        <v>15009</v>
      </c>
      <c r="B7160" s="2" t="s">
        <v>15010</v>
      </c>
      <c r="C7160" s="2" t="s">
        <v>556</v>
      </c>
      <c r="D7160" s="2" t="s">
        <v>712</v>
      </c>
      <c r="E7160" s="2" t="str">
        <f>"9783837669220"</f>
        <v>9783837669220</v>
      </c>
      <c r="F7160" s="2" t="str">
        <f>"9783839469224"</f>
        <v>9783839469224</v>
      </c>
    </row>
    <row r="7161" spans="1:6" s="3" customFormat="1" ht="29.1" customHeight="1" x14ac:dyDescent="0.25">
      <c r="A7161" s="2" t="s">
        <v>15011</v>
      </c>
      <c r="B7161" s="2" t="s">
        <v>15012</v>
      </c>
      <c r="C7161" s="2" t="s">
        <v>556</v>
      </c>
      <c r="D7161" s="2" t="s">
        <v>2587</v>
      </c>
      <c r="E7161" s="2" t="str">
        <f>"9783837669107"</f>
        <v>9783837669107</v>
      </c>
      <c r="F7161" s="2" t="str">
        <f>"9783839469101"</f>
        <v>9783839469101</v>
      </c>
    </row>
    <row r="7162" spans="1:6" s="3" customFormat="1" ht="29.1" customHeight="1" x14ac:dyDescent="0.25">
      <c r="A7162" s="2" t="s">
        <v>15013</v>
      </c>
      <c r="B7162" s="2" t="s">
        <v>15014</v>
      </c>
      <c r="C7162" s="2" t="s">
        <v>556</v>
      </c>
      <c r="D7162" s="2" t="s">
        <v>689</v>
      </c>
      <c r="E7162" s="2" t="str">
        <f>"9783837669053"</f>
        <v>9783837669053</v>
      </c>
      <c r="F7162" s="2" t="str">
        <f>"9783839469057"</f>
        <v>9783839469057</v>
      </c>
    </row>
    <row r="7163" spans="1:6" s="3" customFormat="1" ht="29.1" customHeight="1" x14ac:dyDescent="0.25">
      <c r="A7163" s="2" t="s">
        <v>15015</v>
      </c>
      <c r="B7163" s="2" t="s">
        <v>15016</v>
      </c>
      <c r="C7163" s="2" t="s">
        <v>556</v>
      </c>
      <c r="D7163" s="2" t="s">
        <v>1944</v>
      </c>
      <c r="E7163" s="2" t="str">
        <f>"9783837668315"</f>
        <v>9783837668315</v>
      </c>
      <c r="F7163" s="2" t="str">
        <f>"9783839468319"</f>
        <v>9783839468319</v>
      </c>
    </row>
    <row r="7164" spans="1:6" s="3" customFormat="1" ht="29.1" customHeight="1" x14ac:dyDescent="0.25">
      <c r="A7164" s="2" t="s">
        <v>15017</v>
      </c>
      <c r="B7164" s="2" t="s">
        <v>15018</v>
      </c>
      <c r="C7164" s="2" t="s">
        <v>556</v>
      </c>
      <c r="D7164" s="2" t="s">
        <v>75</v>
      </c>
      <c r="E7164" s="2" t="str">
        <f>"9783837668148"</f>
        <v>9783837668148</v>
      </c>
      <c r="F7164" s="2" t="str">
        <f>"9783839468142"</f>
        <v>9783839468142</v>
      </c>
    </row>
    <row r="7165" spans="1:6" s="3" customFormat="1" ht="29.1" customHeight="1" x14ac:dyDescent="0.25">
      <c r="A7165" s="2" t="s">
        <v>15019</v>
      </c>
      <c r="B7165" s="2" t="s">
        <v>15020</v>
      </c>
      <c r="C7165" s="2" t="s">
        <v>556</v>
      </c>
      <c r="D7165" s="2" t="s">
        <v>2361</v>
      </c>
      <c r="E7165" s="2" t="str">
        <f>"9783837667622"</f>
        <v>9783837667622</v>
      </c>
      <c r="F7165" s="2" t="str">
        <f>"9783839467626"</f>
        <v>9783839467626</v>
      </c>
    </row>
    <row r="7166" spans="1:6" s="3" customFormat="1" ht="29.1" customHeight="1" x14ac:dyDescent="0.25">
      <c r="A7166" s="2" t="s">
        <v>15021</v>
      </c>
      <c r="B7166" s="2" t="s">
        <v>15022</v>
      </c>
      <c r="C7166" s="2" t="s">
        <v>556</v>
      </c>
      <c r="D7166" s="2" t="s">
        <v>98</v>
      </c>
      <c r="E7166" s="2" t="str">
        <f>"9783837666991"</f>
        <v>9783837666991</v>
      </c>
      <c r="F7166" s="2" t="str">
        <f>"9783839466995"</f>
        <v>9783839466995</v>
      </c>
    </row>
    <row r="7167" spans="1:6" s="3" customFormat="1" ht="29.1" customHeight="1" x14ac:dyDescent="0.25">
      <c r="A7167" s="2" t="s">
        <v>15023</v>
      </c>
      <c r="B7167" s="2" t="s">
        <v>15024</v>
      </c>
      <c r="C7167" s="2" t="s">
        <v>3725</v>
      </c>
      <c r="D7167" s="2" t="s">
        <v>459</v>
      </c>
      <c r="E7167" s="2"/>
      <c r="F7167" s="2" t="str">
        <f>"9783961104703"</f>
        <v>9783961104703</v>
      </c>
    </row>
    <row r="7168" spans="1:6" s="3" customFormat="1" ht="29.1" customHeight="1" x14ac:dyDescent="0.25">
      <c r="A7168" s="2" t="s">
        <v>15025</v>
      </c>
      <c r="B7168" s="2" t="s">
        <v>15026</v>
      </c>
      <c r="C7168" s="2" t="s">
        <v>3725</v>
      </c>
      <c r="D7168" s="2" t="s">
        <v>459</v>
      </c>
      <c r="E7168" s="2"/>
      <c r="F7168" s="2" t="str">
        <f>"9783961104727"</f>
        <v>9783961104727</v>
      </c>
    </row>
    <row r="7169" spans="1:6" s="3" customFormat="1" ht="29.1" customHeight="1" x14ac:dyDescent="0.25">
      <c r="A7169" s="2" t="s">
        <v>15027</v>
      </c>
      <c r="B7169" s="2" t="s">
        <v>15028</v>
      </c>
      <c r="C7169" s="2" t="s">
        <v>3725</v>
      </c>
      <c r="D7169" s="2" t="s">
        <v>459</v>
      </c>
      <c r="E7169" s="2"/>
      <c r="F7169" s="2" t="str">
        <f>"9783961104673"</f>
        <v>9783961104673</v>
      </c>
    </row>
    <row r="7170" spans="1:6" s="3" customFormat="1" ht="29.1" customHeight="1" x14ac:dyDescent="0.25">
      <c r="A7170" s="2" t="s">
        <v>15029</v>
      </c>
      <c r="B7170" s="2" t="s">
        <v>15030</v>
      </c>
      <c r="C7170" s="2" t="s">
        <v>3725</v>
      </c>
      <c r="D7170" s="2" t="s">
        <v>459</v>
      </c>
      <c r="E7170" s="2"/>
      <c r="F7170" s="2" t="str">
        <f>"9783961104321"</f>
        <v>9783961104321</v>
      </c>
    </row>
    <row r="7171" spans="1:6" s="3" customFormat="1" ht="29.1" customHeight="1" x14ac:dyDescent="0.25">
      <c r="A7171" s="2" t="s">
        <v>15031</v>
      </c>
      <c r="B7171" s="2" t="s">
        <v>15032</v>
      </c>
      <c r="C7171" s="2" t="s">
        <v>3725</v>
      </c>
      <c r="D7171" s="2" t="s">
        <v>459</v>
      </c>
      <c r="E7171" s="2"/>
      <c r="F7171" s="2" t="str">
        <f>"9783961104697"</f>
        <v>9783961104697</v>
      </c>
    </row>
    <row r="7172" spans="1:6" s="3" customFormat="1" ht="29.1" customHeight="1" x14ac:dyDescent="0.25">
      <c r="A7172" s="2" t="s">
        <v>15033</v>
      </c>
      <c r="B7172" s="2" t="s">
        <v>15034</v>
      </c>
      <c r="C7172" s="2" t="s">
        <v>3725</v>
      </c>
      <c r="D7172" s="2" t="s">
        <v>459</v>
      </c>
      <c r="E7172" s="2"/>
      <c r="F7172" s="2" t="str">
        <f>"9783961104369"</f>
        <v>9783961104369</v>
      </c>
    </row>
    <row r="7173" spans="1:6" s="3" customFormat="1" ht="29.1" customHeight="1" x14ac:dyDescent="0.25">
      <c r="A7173" s="2" t="s">
        <v>15035</v>
      </c>
      <c r="B7173" s="2" t="s">
        <v>15036</v>
      </c>
      <c r="C7173" s="2" t="s">
        <v>3725</v>
      </c>
      <c r="D7173" s="2" t="s">
        <v>459</v>
      </c>
      <c r="E7173" s="2"/>
      <c r="F7173" s="2" t="str">
        <f>"9783961104352"</f>
        <v>9783961104352</v>
      </c>
    </row>
    <row r="7174" spans="1:6" s="3" customFormat="1" ht="29.1" customHeight="1" x14ac:dyDescent="0.25">
      <c r="A7174" s="2" t="s">
        <v>15037</v>
      </c>
      <c r="B7174" s="2" t="s">
        <v>15038</v>
      </c>
      <c r="C7174" s="2" t="s">
        <v>3725</v>
      </c>
      <c r="D7174" s="2" t="s">
        <v>459</v>
      </c>
      <c r="E7174" s="2"/>
      <c r="F7174" s="2" t="str">
        <f>"9783961104345"</f>
        <v>9783961104345</v>
      </c>
    </row>
    <row r="7175" spans="1:6" s="3" customFormat="1" ht="29.1" customHeight="1" x14ac:dyDescent="0.25">
      <c r="A7175" s="2" t="s">
        <v>15039</v>
      </c>
      <c r="B7175" s="2" t="s">
        <v>15040</v>
      </c>
      <c r="C7175" s="2" t="s">
        <v>3725</v>
      </c>
      <c r="D7175" s="2" t="s">
        <v>459</v>
      </c>
      <c r="E7175" s="2"/>
      <c r="F7175" s="2" t="str">
        <f>"9783961104338"</f>
        <v>9783961104338</v>
      </c>
    </row>
    <row r="7176" spans="1:6" s="3" customFormat="1" ht="29.1" customHeight="1" x14ac:dyDescent="0.25">
      <c r="A7176" s="2" t="s">
        <v>15041</v>
      </c>
      <c r="B7176" s="2" t="s">
        <v>15042</v>
      </c>
      <c r="C7176" s="2" t="s">
        <v>3725</v>
      </c>
      <c r="D7176" s="2" t="s">
        <v>459</v>
      </c>
      <c r="E7176" s="2"/>
      <c r="F7176" s="2" t="str">
        <f>"9783961104314"</f>
        <v>9783961104314</v>
      </c>
    </row>
    <row r="7177" spans="1:6" s="3" customFormat="1" ht="29.1" customHeight="1" x14ac:dyDescent="0.25">
      <c r="A7177" s="2" t="s">
        <v>15043</v>
      </c>
      <c r="B7177" s="2" t="s">
        <v>15044</v>
      </c>
      <c r="C7177" s="2" t="s">
        <v>2188</v>
      </c>
      <c r="D7177" s="2" t="s">
        <v>3214</v>
      </c>
      <c r="E7177" s="2" t="str">
        <f>"9788323226499"</f>
        <v>9788323226499</v>
      </c>
      <c r="F7177" s="2" t="str">
        <f>"9788323243045"</f>
        <v>9788323243045</v>
      </c>
    </row>
    <row r="7178" spans="1:6" s="3" customFormat="1" ht="29.1" customHeight="1" x14ac:dyDescent="0.25">
      <c r="A7178" s="2" t="s">
        <v>15045</v>
      </c>
      <c r="B7178" s="2" t="s">
        <v>15046</v>
      </c>
      <c r="C7178" s="2" t="s">
        <v>5</v>
      </c>
      <c r="D7178" s="2" t="s">
        <v>13038</v>
      </c>
      <c r="E7178" s="2" t="str">
        <f>"9789464634228"</f>
        <v>9789464634228</v>
      </c>
      <c r="F7178" s="2" t="str">
        <f>"9789464634235"</f>
        <v>9789464634235</v>
      </c>
    </row>
    <row r="7179" spans="1:6" s="3" customFormat="1" ht="29.1" customHeight="1" x14ac:dyDescent="0.25">
      <c r="A7179" s="2" t="s">
        <v>15047</v>
      </c>
      <c r="B7179" s="2" t="s">
        <v>15048</v>
      </c>
      <c r="C7179" s="2" t="s">
        <v>5</v>
      </c>
      <c r="D7179" s="2" t="s">
        <v>101</v>
      </c>
      <c r="E7179" s="2" t="str">
        <f>"9789464634204"</f>
        <v>9789464634204</v>
      </c>
      <c r="F7179" s="2" t="str">
        <f>"9789464634211"</f>
        <v>9789464634211</v>
      </c>
    </row>
    <row r="7180" spans="1:6" s="3" customFormat="1" ht="29.1" customHeight="1" x14ac:dyDescent="0.25">
      <c r="A7180" s="2" t="s">
        <v>15049</v>
      </c>
      <c r="B7180" s="2" t="s">
        <v>15050</v>
      </c>
      <c r="C7180" s="2" t="s">
        <v>5</v>
      </c>
      <c r="D7180" s="2" t="s">
        <v>653</v>
      </c>
      <c r="E7180" s="2" t="str">
        <f>"9789819990924"</f>
        <v>9789819990924</v>
      </c>
      <c r="F7180" s="2" t="str">
        <f>"9789819990931"</f>
        <v>9789819990931</v>
      </c>
    </row>
    <row r="7181" spans="1:6" s="3" customFormat="1" ht="29.1" customHeight="1" x14ac:dyDescent="0.25">
      <c r="A7181" s="2" t="s">
        <v>15051</v>
      </c>
      <c r="B7181" s="2" t="s">
        <v>15053</v>
      </c>
      <c r="C7181" s="2" t="s">
        <v>15052</v>
      </c>
      <c r="D7181" s="2" t="s">
        <v>33</v>
      </c>
      <c r="E7181" s="2" t="str">
        <f>"9781503614888"</f>
        <v>9781503614888</v>
      </c>
      <c r="F7181" s="2" t="str">
        <f>"9781503639393"</f>
        <v>9781503639393</v>
      </c>
    </row>
    <row r="7182" spans="1:6" s="3" customFormat="1" ht="29.1" customHeight="1" x14ac:dyDescent="0.25">
      <c r="A7182" s="2" t="s">
        <v>15054</v>
      </c>
      <c r="B7182" s="2" t="s">
        <v>15056</v>
      </c>
      <c r="C7182" s="2" t="s">
        <v>264</v>
      </c>
      <c r="D7182" s="2" t="s">
        <v>15055</v>
      </c>
      <c r="E7182" s="2" t="str">
        <f>"9781032358130"</f>
        <v>9781032358130</v>
      </c>
      <c r="F7182" s="2" t="str">
        <f>"9781003328728"</f>
        <v>9781003328728</v>
      </c>
    </row>
    <row r="7183" spans="1:6" s="3" customFormat="1" ht="29.1" customHeight="1" x14ac:dyDescent="0.25">
      <c r="A7183" s="2" t="s">
        <v>15057</v>
      </c>
      <c r="B7183" s="2" t="s">
        <v>15058</v>
      </c>
      <c r="C7183" s="2" t="s">
        <v>239</v>
      </c>
      <c r="D7183" s="2" t="s">
        <v>3245</v>
      </c>
      <c r="E7183" s="2" t="str">
        <f>"9780520382855"</f>
        <v>9780520382855</v>
      </c>
      <c r="F7183" s="2" t="str">
        <f>"9780520382862"</f>
        <v>9780520382862</v>
      </c>
    </row>
    <row r="7184" spans="1:6" s="3" customFormat="1" ht="29.1" customHeight="1" x14ac:dyDescent="0.25">
      <c r="A7184" s="2" t="s">
        <v>15059</v>
      </c>
      <c r="B7184" s="2" t="s">
        <v>15060</v>
      </c>
      <c r="C7184" s="2" t="s">
        <v>239</v>
      </c>
      <c r="D7184" s="2" t="s">
        <v>658</v>
      </c>
      <c r="E7184" s="2" t="str">
        <f>"9780520346321"</f>
        <v>9780520346321</v>
      </c>
      <c r="F7184" s="2" t="str">
        <f>"9780520975804"</f>
        <v>9780520975804</v>
      </c>
    </row>
    <row r="7185" spans="1:6" s="3" customFormat="1" ht="29.1" customHeight="1" x14ac:dyDescent="0.25">
      <c r="A7185" s="2" t="s">
        <v>15061</v>
      </c>
      <c r="B7185" s="2" t="s">
        <v>15062</v>
      </c>
      <c r="C7185" s="2" t="s">
        <v>239</v>
      </c>
      <c r="D7185" s="2" t="s">
        <v>636</v>
      </c>
      <c r="E7185" s="2" t="str">
        <f>"9780520399235"</f>
        <v>9780520399235</v>
      </c>
      <c r="F7185" s="2" t="str">
        <f>"9780520399242"</f>
        <v>9780520399242</v>
      </c>
    </row>
    <row r="7186" spans="1:6" s="3" customFormat="1" ht="29.1" customHeight="1" x14ac:dyDescent="0.25">
      <c r="A7186" s="2" t="s">
        <v>15063</v>
      </c>
      <c r="B7186" s="2" t="s">
        <v>15064</v>
      </c>
      <c r="C7186" s="2" t="s">
        <v>3513</v>
      </c>
      <c r="D7186" s="2" t="s">
        <v>6965</v>
      </c>
      <c r="E7186" s="2" t="str">
        <f>"9788382112160"</f>
        <v>9788382112160</v>
      </c>
      <c r="F7186" s="2" t="str">
        <f>"9788382112177"</f>
        <v>9788382112177</v>
      </c>
    </row>
    <row r="7187" spans="1:6" s="3" customFormat="1" ht="29.1" customHeight="1" x14ac:dyDescent="0.25">
      <c r="A7187" s="2" t="s">
        <v>15065</v>
      </c>
      <c r="B7187" s="2" t="s">
        <v>15066</v>
      </c>
      <c r="C7187" s="2" t="s">
        <v>29</v>
      </c>
      <c r="D7187" s="2" t="s">
        <v>1432</v>
      </c>
      <c r="E7187" s="2" t="str">
        <f>"9789004691339"</f>
        <v>9789004691339</v>
      </c>
      <c r="F7187" s="2" t="str">
        <f>"9789004691377"</f>
        <v>9789004691377</v>
      </c>
    </row>
    <row r="7188" spans="1:6" s="3" customFormat="1" ht="29.1" customHeight="1" x14ac:dyDescent="0.25">
      <c r="A7188" s="2" t="s">
        <v>15067</v>
      </c>
      <c r="B7188" s="2" t="s">
        <v>15068</v>
      </c>
      <c r="C7188" s="2" t="s">
        <v>29</v>
      </c>
      <c r="D7188" s="2" t="s">
        <v>4013</v>
      </c>
      <c r="E7188" s="2" t="str">
        <f>"9789004372917"</f>
        <v>9789004372917</v>
      </c>
      <c r="F7188" s="2" t="str">
        <f>"9789004409965"</f>
        <v>9789004409965</v>
      </c>
    </row>
    <row r="7189" spans="1:6" s="3" customFormat="1" ht="29.1" customHeight="1" x14ac:dyDescent="0.25">
      <c r="A7189" s="2" t="s">
        <v>15069</v>
      </c>
      <c r="B7189" s="2" t="s">
        <v>15070</v>
      </c>
      <c r="C7189" s="2" t="s">
        <v>5</v>
      </c>
      <c r="D7189" s="2" t="s">
        <v>159</v>
      </c>
      <c r="E7189" s="2" t="str">
        <f>"9783031552717"</f>
        <v>9783031552717</v>
      </c>
      <c r="F7189" s="2" t="str">
        <f>"9783031552724"</f>
        <v>9783031552724</v>
      </c>
    </row>
    <row r="7190" spans="1:6" s="3" customFormat="1" ht="29.1" customHeight="1" x14ac:dyDescent="0.25">
      <c r="A7190" s="2" t="s">
        <v>15071</v>
      </c>
      <c r="B7190" s="2" t="s">
        <v>15072</v>
      </c>
      <c r="C7190" s="2" t="s">
        <v>5</v>
      </c>
      <c r="D7190" s="2" t="s">
        <v>12</v>
      </c>
      <c r="E7190" s="2" t="str">
        <f>"9783031579370"</f>
        <v>9783031579370</v>
      </c>
      <c r="F7190" s="2" t="str">
        <f>"9783031579387"</f>
        <v>9783031579387</v>
      </c>
    </row>
    <row r="7191" spans="1:6" s="3" customFormat="1" ht="29.1" customHeight="1" x14ac:dyDescent="0.25">
      <c r="A7191" s="2" t="s">
        <v>15073</v>
      </c>
      <c r="B7191" s="2" t="s">
        <v>15074</v>
      </c>
      <c r="C7191" s="2" t="s">
        <v>5</v>
      </c>
      <c r="D7191" s="2" t="s">
        <v>9</v>
      </c>
      <c r="E7191" s="2" t="str">
        <f>"9782384762446"</f>
        <v>9782384762446</v>
      </c>
      <c r="F7191" s="2" t="str">
        <f>"9782384762453"</f>
        <v>9782384762453</v>
      </c>
    </row>
    <row r="7192" spans="1:6" s="3" customFormat="1" ht="29.1" customHeight="1" x14ac:dyDescent="0.25">
      <c r="A7192" s="2" t="s">
        <v>15075</v>
      </c>
      <c r="B7192" s="2" t="s">
        <v>15076</v>
      </c>
      <c r="C7192" s="2" t="s">
        <v>5</v>
      </c>
      <c r="D7192" s="2" t="s">
        <v>2307</v>
      </c>
      <c r="E7192" s="2" t="str">
        <f>"9782384762231"</f>
        <v>9782384762231</v>
      </c>
      <c r="F7192" s="2" t="str">
        <f>"9782384762248"</f>
        <v>9782384762248</v>
      </c>
    </row>
    <row r="7193" spans="1:6" s="3" customFormat="1" ht="29.1" customHeight="1" x14ac:dyDescent="0.25">
      <c r="A7193" s="2" t="s">
        <v>15077</v>
      </c>
      <c r="B7193" s="2" t="s">
        <v>15078</v>
      </c>
      <c r="C7193" s="2" t="s">
        <v>5</v>
      </c>
      <c r="D7193" s="2" t="s">
        <v>606</v>
      </c>
      <c r="E7193" s="2" t="str">
        <f>"9783031579592"</f>
        <v>9783031579592</v>
      </c>
      <c r="F7193" s="2" t="str">
        <f>"9783031579608"</f>
        <v>9783031579608</v>
      </c>
    </row>
    <row r="7194" spans="1:6" s="3" customFormat="1" ht="29.1" customHeight="1" x14ac:dyDescent="0.25">
      <c r="A7194" s="2" t="s">
        <v>15079</v>
      </c>
      <c r="B7194" s="2" t="s">
        <v>15080</v>
      </c>
      <c r="C7194" s="2" t="s">
        <v>5</v>
      </c>
      <c r="D7194" s="2" t="s">
        <v>1437</v>
      </c>
      <c r="E7194" s="2" t="str">
        <f>"9783658444143"</f>
        <v>9783658444143</v>
      </c>
      <c r="F7194" s="2" t="str">
        <f>"9783658444150"</f>
        <v>9783658444150</v>
      </c>
    </row>
    <row r="7195" spans="1:6" s="3" customFormat="1" ht="29.1" customHeight="1" x14ac:dyDescent="0.25">
      <c r="A7195" s="2" t="s">
        <v>15081</v>
      </c>
      <c r="B7195" s="2" t="s">
        <v>15082</v>
      </c>
      <c r="C7195" s="2" t="s">
        <v>5</v>
      </c>
      <c r="D7195" s="2" t="s">
        <v>3445</v>
      </c>
      <c r="E7195" s="2" t="str">
        <f>"9783031560187"</f>
        <v>9783031560187</v>
      </c>
      <c r="F7195" s="2" t="str">
        <f>"9783031560194"</f>
        <v>9783031560194</v>
      </c>
    </row>
    <row r="7196" spans="1:6" s="3" customFormat="1" ht="29.1" customHeight="1" x14ac:dyDescent="0.25">
      <c r="A7196" s="2" t="s">
        <v>15083</v>
      </c>
      <c r="B7196" s="2" t="s">
        <v>15084</v>
      </c>
      <c r="C7196" s="2" t="s">
        <v>2188</v>
      </c>
      <c r="D7196" s="2" t="s">
        <v>1390</v>
      </c>
      <c r="E7196" s="2" t="str">
        <f>"9788323242215"</f>
        <v>9788323242215</v>
      </c>
      <c r="F7196" s="2" t="str">
        <f>"9788323242222"</f>
        <v>9788323242222</v>
      </c>
    </row>
    <row r="7197" spans="1:6" s="3" customFormat="1" ht="29.1" customHeight="1" x14ac:dyDescent="0.25">
      <c r="A7197" s="2" t="s">
        <v>15085</v>
      </c>
      <c r="B7197" s="2" t="s">
        <v>15086</v>
      </c>
      <c r="C7197" s="2" t="s">
        <v>5</v>
      </c>
      <c r="D7197" s="2" t="s">
        <v>183</v>
      </c>
      <c r="E7197" s="2" t="str">
        <f>"9783031535178"</f>
        <v>9783031535178</v>
      </c>
      <c r="F7197" s="2" t="str">
        <f>"9783031535185"</f>
        <v>9783031535185</v>
      </c>
    </row>
    <row r="7198" spans="1:6" s="3" customFormat="1" ht="29.1" customHeight="1" x14ac:dyDescent="0.25">
      <c r="A7198" s="2" t="s">
        <v>15087</v>
      </c>
      <c r="B7198" s="2" t="s">
        <v>15088</v>
      </c>
      <c r="C7198" s="2" t="s">
        <v>5</v>
      </c>
      <c r="D7198" s="2" t="s">
        <v>4190</v>
      </c>
      <c r="E7198" s="2" t="str">
        <f>"9783031557033"</f>
        <v>9783031557033</v>
      </c>
      <c r="F7198" s="2" t="str">
        <f>"9783031557040"</f>
        <v>9783031557040</v>
      </c>
    </row>
    <row r="7199" spans="1:6" s="3" customFormat="1" ht="29.1" customHeight="1" x14ac:dyDescent="0.25">
      <c r="A7199" s="2" t="s">
        <v>15089</v>
      </c>
      <c r="B7199" s="2" t="s">
        <v>15090</v>
      </c>
      <c r="C7199" s="2" t="s">
        <v>2133</v>
      </c>
      <c r="D7199" s="2" t="s">
        <v>636</v>
      </c>
      <c r="E7199" s="2" t="str">
        <f>"9781760466398"</f>
        <v>9781760466398</v>
      </c>
      <c r="F7199" s="2" t="str">
        <f>"9781760466404"</f>
        <v>9781760466404</v>
      </c>
    </row>
    <row r="7200" spans="1:6" s="3" customFormat="1" ht="29.1" customHeight="1" x14ac:dyDescent="0.25">
      <c r="A7200" s="2" t="s">
        <v>15091</v>
      </c>
      <c r="B7200" s="2" t="s">
        <v>15092</v>
      </c>
      <c r="C7200" s="2" t="s">
        <v>29</v>
      </c>
      <c r="D7200" s="2" t="s">
        <v>1155</v>
      </c>
      <c r="E7200" s="2" t="str">
        <f>"9789067182836"</f>
        <v>9789067182836</v>
      </c>
      <c r="F7200" s="2" t="str">
        <f>"9789004260436"</f>
        <v>9789004260436</v>
      </c>
    </row>
    <row r="7201" spans="1:6" s="3" customFormat="1" ht="29.1" customHeight="1" x14ac:dyDescent="0.25">
      <c r="A7201" s="2" t="s">
        <v>15093</v>
      </c>
      <c r="B7201" s="2" t="s">
        <v>15094</v>
      </c>
      <c r="C7201" s="2" t="s">
        <v>5</v>
      </c>
      <c r="D7201" s="2" t="s">
        <v>3489</v>
      </c>
      <c r="E7201" s="2" t="str">
        <f>"9783031569944"</f>
        <v>9783031569944</v>
      </c>
      <c r="F7201" s="2" t="str">
        <f>"9783031569951"</f>
        <v>9783031569951</v>
      </c>
    </row>
    <row r="7202" spans="1:6" s="3" customFormat="1" ht="29.1" customHeight="1" x14ac:dyDescent="0.25">
      <c r="A7202" s="2" t="s">
        <v>15095</v>
      </c>
      <c r="B7202" s="2" t="s">
        <v>15096</v>
      </c>
      <c r="C7202" s="2" t="s">
        <v>5</v>
      </c>
      <c r="D7202" s="2" t="s">
        <v>9</v>
      </c>
      <c r="E7202" s="2" t="str">
        <f>"9782384762484"</f>
        <v>9782384762484</v>
      </c>
      <c r="F7202" s="2" t="str">
        <f>"9782384762491"</f>
        <v>9782384762491</v>
      </c>
    </row>
    <row r="7203" spans="1:6" s="3" customFormat="1" ht="29.1" customHeight="1" x14ac:dyDescent="0.25">
      <c r="A7203" s="2" t="s">
        <v>15097</v>
      </c>
      <c r="B7203" s="2" t="s">
        <v>15098</v>
      </c>
      <c r="C7203" s="2" t="s">
        <v>5</v>
      </c>
      <c r="D7203" s="2" t="s">
        <v>636</v>
      </c>
      <c r="E7203" s="2" t="str">
        <f>"9782384762279"</f>
        <v>9782384762279</v>
      </c>
      <c r="F7203" s="2" t="str">
        <f>"9782384762286"</f>
        <v>9782384762286</v>
      </c>
    </row>
    <row r="7204" spans="1:6" s="3" customFormat="1" ht="29.1" customHeight="1" x14ac:dyDescent="0.25">
      <c r="A7204" s="2" t="s">
        <v>15099</v>
      </c>
      <c r="B7204" s="2" t="s">
        <v>15100</v>
      </c>
      <c r="C7204" s="2" t="s">
        <v>5</v>
      </c>
      <c r="D7204" s="2" t="s">
        <v>2435</v>
      </c>
      <c r="E7204" s="2" t="str">
        <f>"9789819707584"</f>
        <v>9789819707584</v>
      </c>
      <c r="F7204" s="2" t="str">
        <f>"9789819707591"</f>
        <v>9789819707591</v>
      </c>
    </row>
    <row r="7205" spans="1:6" s="3" customFormat="1" ht="29.1" customHeight="1" x14ac:dyDescent="0.25">
      <c r="A7205" s="2" t="s">
        <v>15101</v>
      </c>
      <c r="B7205" s="2" t="s">
        <v>15102</v>
      </c>
      <c r="C7205" s="2" t="s">
        <v>29</v>
      </c>
      <c r="D7205" s="2" t="s">
        <v>4002</v>
      </c>
      <c r="E7205" s="2" t="str">
        <f>"9789004387928"</f>
        <v>9789004387928</v>
      </c>
      <c r="F7205" s="2" t="str">
        <f>"9789004387942"</f>
        <v>9789004387942</v>
      </c>
    </row>
    <row r="7206" spans="1:6" s="3" customFormat="1" ht="29.1" customHeight="1" x14ac:dyDescent="0.25">
      <c r="A7206" s="2" t="s">
        <v>15103</v>
      </c>
      <c r="B7206" s="2" t="s">
        <v>15104</v>
      </c>
      <c r="C7206" s="2" t="s">
        <v>29</v>
      </c>
      <c r="D7206" s="2" t="s">
        <v>4783</v>
      </c>
      <c r="E7206" s="2" t="str">
        <f>"9789004322448"</f>
        <v>9789004322448</v>
      </c>
      <c r="F7206" s="2" t="str">
        <f>"9789004356368"</f>
        <v>9789004356368</v>
      </c>
    </row>
    <row r="7207" spans="1:6" s="3" customFormat="1" ht="29.1" customHeight="1" x14ac:dyDescent="0.25">
      <c r="A7207" s="2" t="s">
        <v>15105</v>
      </c>
      <c r="B7207" s="2" t="s">
        <v>15106</v>
      </c>
      <c r="C7207" s="2" t="s">
        <v>29</v>
      </c>
      <c r="D7207" s="2" t="s">
        <v>1432</v>
      </c>
      <c r="E7207" s="2" t="str">
        <f>"9789004322905"</f>
        <v>9789004322905</v>
      </c>
      <c r="F7207" s="2" t="str">
        <f>"9789004323285"</f>
        <v>9789004323285</v>
      </c>
    </row>
    <row r="7208" spans="1:6" s="3" customFormat="1" ht="29.1" customHeight="1" x14ac:dyDescent="0.25">
      <c r="A7208" s="2" t="s">
        <v>15107</v>
      </c>
      <c r="B7208" s="2" t="s">
        <v>15108</v>
      </c>
      <c r="C7208" s="2" t="s">
        <v>29</v>
      </c>
      <c r="D7208" s="2" t="s">
        <v>1162</v>
      </c>
      <c r="E7208" s="2" t="str">
        <f>"9789067182898"</f>
        <v>9789067182898</v>
      </c>
      <c r="F7208" s="2" t="str">
        <f>"9789004260443"</f>
        <v>9789004260443</v>
      </c>
    </row>
    <row r="7209" spans="1:6" s="3" customFormat="1" ht="29.1" customHeight="1" x14ac:dyDescent="0.25">
      <c r="A7209" s="2" t="s">
        <v>15109</v>
      </c>
      <c r="B7209" s="2" t="s">
        <v>15110</v>
      </c>
      <c r="C7209" s="2" t="s">
        <v>5</v>
      </c>
      <c r="D7209" s="2" t="s">
        <v>9</v>
      </c>
      <c r="E7209" s="2" t="str">
        <f>"9782384762316"</f>
        <v>9782384762316</v>
      </c>
      <c r="F7209" s="2" t="str">
        <f>"9782384762323"</f>
        <v>9782384762323</v>
      </c>
    </row>
    <row r="7210" spans="1:6" s="3" customFormat="1" ht="29.1" customHeight="1" x14ac:dyDescent="0.25">
      <c r="A7210" s="2" t="s">
        <v>15111</v>
      </c>
      <c r="B7210" s="2" t="s">
        <v>15112</v>
      </c>
      <c r="C7210" s="2" t="s">
        <v>124</v>
      </c>
      <c r="D7210" s="2" t="s">
        <v>2361</v>
      </c>
      <c r="E7210" s="2" t="str">
        <f>"9781032591490"</f>
        <v>9781032591490</v>
      </c>
      <c r="F7210" s="2" t="str">
        <f>"9781003453222"</f>
        <v>9781003453222</v>
      </c>
    </row>
    <row r="7211" spans="1:6" s="3" customFormat="1" ht="29.1" customHeight="1" x14ac:dyDescent="0.25">
      <c r="A7211" s="2" t="s">
        <v>15113</v>
      </c>
      <c r="B7211" s="2" t="s">
        <v>15114</v>
      </c>
      <c r="C7211" s="2" t="s">
        <v>29</v>
      </c>
      <c r="D7211" s="2" t="s">
        <v>509</v>
      </c>
      <c r="E7211" s="2" t="str">
        <f>"9789004347144"</f>
        <v>9789004347144</v>
      </c>
      <c r="F7211" s="2" t="str">
        <f>"9789004347151"</f>
        <v>9789004347151</v>
      </c>
    </row>
    <row r="7212" spans="1:6" s="3" customFormat="1" ht="29.1" customHeight="1" x14ac:dyDescent="0.25">
      <c r="A7212" s="2" t="s">
        <v>15115</v>
      </c>
      <c r="B7212" s="2" t="s">
        <v>15116</v>
      </c>
      <c r="C7212" s="2" t="s">
        <v>29</v>
      </c>
      <c r="D7212" s="2" t="s">
        <v>3889</v>
      </c>
      <c r="E7212" s="2" t="str">
        <f>"9789004460331"</f>
        <v>9789004460331</v>
      </c>
      <c r="F7212" s="2" t="str">
        <f>"9789004460348"</f>
        <v>9789004460348</v>
      </c>
    </row>
    <row r="7213" spans="1:6" s="3" customFormat="1" ht="29.1" customHeight="1" x14ac:dyDescent="0.25">
      <c r="A7213" s="2" t="s">
        <v>15117</v>
      </c>
      <c r="B7213" s="2" t="s">
        <v>15118</v>
      </c>
      <c r="C7213" s="2" t="s">
        <v>29</v>
      </c>
      <c r="D7213" s="2" t="s">
        <v>3889</v>
      </c>
      <c r="E7213" s="2" t="str">
        <f>"9789004428102"</f>
        <v>9789004428102</v>
      </c>
      <c r="F7213" s="2" t="str">
        <f>"9789004433175"</f>
        <v>9789004433175</v>
      </c>
    </row>
    <row r="7214" spans="1:6" s="3" customFormat="1" ht="29.1" customHeight="1" x14ac:dyDescent="0.25">
      <c r="A7214" s="2" t="s">
        <v>15119</v>
      </c>
      <c r="B7214" s="2" t="s">
        <v>15120</v>
      </c>
      <c r="C7214" s="2" t="s">
        <v>29</v>
      </c>
      <c r="D7214" s="2" t="s">
        <v>33</v>
      </c>
      <c r="E7214" s="2" t="str">
        <f>"9783770568475"</f>
        <v>9783770568475</v>
      </c>
      <c r="F7214" s="2" t="str">
        <f>"9783846768471"</f>
        <v>9783846768471</v>
      </c>
    </row>
    <row r="7215" spans="1:6" s="3" customFormat="1" ht="29.1" customHeight="1" x14ac:dyDescent="0.25">
      <c r="A7215" s="2" t="s">
        <v>15121</v>
      </c>
      <c r="B7215" s="2" t="s">
        <v>15122</v>
      </c>
      <c r="C7215" s="2" t="s">
        <v>55</v>
      </c>
      <c r="D7215" s="2" t="s">
        <v>1466</v>
      </c>
      <c r="E7215" s="2" t="str">
        <f>"9789198557800"</f>
        <v>9789198557800</v>
      </c>
      <c r="F7215" s="2" t="str">
        <f>"9789198557817"</f>
        <v>9789198557817</v>
      </c>
    </row>
    <row r="7216" spans="1:6" s="3" customFormat="1" ht="29.1" customHeight="1" x14ac:dyDescent="0.25">
      <c r="A7216" s="2" t="s">
        <v>15123</v>
      </c>
      <c r="B7216" s="2" t="s">
        <v>15124</v>
      </c>
      <c r="C7216" s="2" t="s">
        <v>248</v>
      </c>
      <c r="D7216" s="2" t="s">
        <v>249</v>
      </c>
      <c r="E7216" s="2" t="str">
        <f>"9783847430063"</f>
        <v>9783847430063</v>
      </c>
      <c r="F7216" s="2" t="str">
        <f>"9783847419433"</f>
        <v>9783847419433</v>
      </c>
    </row>
    <row r="7217" spans="1:6" s="3" customFormat="1" ht="29.1" customHeight="1" x14ac:dyDescent="0.25">
      <c r="A7217" s="2" t="s">
        <v>15125</v>
      </c>
      <c r="B7217" s="2" t="s">
        <v>15126</v>
      </c>
      <c r="C7217" s="2" t="s">
        <v>149</v>
      </c>
      <c r="D7217" s="2" t="s">
        <v>11465</v>
      </c>
      <c r="E7217" s="2"/>
      <c r="F7217" s="2" t="str">
        <f>"9781805112419"</f>
        <v>9781805112419</v>
      </c>
    </row>
    <row r="7218" spans="1:6" s="3" customFormat="1" ht="29.1" customHeight="1" x14ac:dyDescent="0.25">
      <c r="A7218" s="2" t="s">
        <v>15127</v>
      </c>
      <c r="B7218" s="2" t="s">
        <v>15128</v>
      </c>
      <c r="C7218" s="2" t="s">
        <v>5</v>
      </c>
      <c r="D7218" s="2" t="s">
        <v>15</v>
      </c>
      <c r="E7218" s="2" t="str">
        <f>"9783031532320"</f>
        <v>9783031532320</v>
      </c>
      <c r="F7218" s="2" t="str">
        <f>"9783031532337"</f>
        <v>9783031532337</v>
      </c>
    </row>
    <row r="7219" spans="1:6" s="3" customFormat="1" ht="29.1" customHeight="1" x14ac:dyDescent="0.25">
      <c r="A7219" s="2" t="s">
        <v>15129</v>
      </c>
      <c r="B7219" s="2" t="s">
        <v>15130</v>
      </c>
      <c r="C7219" s="2" t="s">
        <v>5</v>
      </c>
      <c r="D7219" s="2" t="s">
        <v>6511</v>
      </c>
      <c r="E7219" s="2" t="str">
        <f>"9789464634143"</f>
        <v>9789464634143</v>
      </c>
      <c r="F7219" s="2" t="str">
        <f>"9789464634150"</f>
        <v>9789464634150</v>
      </c>
    </row>
    <row r="7220" spans="1:6" s="3" customFormat="1" ht="29.1" customHeight="1" x14ac:dyDescent="0.25">
      <c r="A7220" s="2" t="s">
        <v>15131</v>
      </c>
      <c r="B7220" s="2" t="s">
        <v>15132</v>
      </c>
      <c r="C7220" s="2" t="s">
        <v>5</v>
      </c>
      <c r="D7220" s="2" t="s">
        <v>186</v>
      </c>
      <c r="E7220" s="2" t="str">
        <f>"9789464634105"</f>
        <v>9789464634105</v>
      </c>
      <c r="F7220" s="2" t="str">
        <f>"9789464634112"</f>
        <v>9789464634112</v>
      </c>
    </row>
    <row r="7221" spans="1:6" s="3" customFormat="1" ht="29.1" customHeight="1" x14ac:dyDescent="0.25">
      <c r="A7221" s="2" t="s">
        <v>15133</v>
      </c>
      <c r="B7221" s="2" t="s">
        <v>15134</v>
      </c>
      <c r="C7221" s="2" t="s">
        <v>5</v>
      </c>
      <c r="D7221" s="2" t="s">
        <v>3958</v>
      </c>
      <c r="E7221" s="2" t="str">
        <f>"9783031546990"</f>
        <v>9783031546990</v>
      </c>
      <c r="F7221" s="2" t="str">
        <f>"9783031547003"</f>
        <v>9783031547003</v>
      </c>
    </row>
    <row r="7222" spans="1:6" s="3" customFormat="1" ht="29.1" customHeight="1" x14ac:dyDescent="0.25">
      <c r="A7222" s="2" t="s">
        <v>15135</v>
      </c>
      <c r="B7222" s="2" t="s">
        <v>15137</v>
      </c>
      <c r="C7222" s="2" t="s">
        <v>36</v>
      </c>
      <c r="D7222" s="2" t="s">
        <v>15136</v>
      </c>
      <c r="E7222" s="2" t="str">
        <f>"9781529241730"</f>
        <v>9781529241730</v>
      </c>
      <c r="F7222" s="2" t="str">
        <f>"9781529241754"</f>
        <v>9781529241754</v>
      </c>
    </row>
    <row r="7223" spans="1:6" s="3" customFormat="1" ht="29.1" customHeight="1" x14ac:dyDescent="0.25">
      <c r="A7223" s="2" t="s">
        <v>15138</v>
      </c>
      <c r="B7223" s="2" t="s">
        <v>2026</v>
      </c>
      <c r="C7223" s="2" t="s">
        <v>5</v>
      </c>
      <c r="D7223" s="2" t="s">
        <v>606</v>
      </c>
      <c r="E7223" s="2" t="str">
        <f>"9783031579523"</f>
        <v>9783031579523</v>
      </c>
      <c r="F7223" s="2" t="str">
        <f>"9783031579530"</f>
        <v>9783031579530</v>
      </c>
    </row>
    <row r="7224" spans="1:6" s="3" customFormat="1" ht="29.1" customHeight="1" x14ac:dyDescent="0.25">
      <c r="A7224" s="2" t="s">
        <v>15139</v>
      </c>
      <c r="B7224" s="2" t="s">
        <v>15140</v>
      </c>
      <c r="C7224" s="2" t="s">
        <v>5</v>
      </c>
      <c r="D7224" s="2" t="s">
        <v>606</v>
      </c>
      <c r="E7224" s="2" t="str">
        <f>"9783031546372"</f>
        <v>9783031546372</v>
      </c>
      <c r="F7224" s="2" t="str">
        <f>"9783031546389"</f>
        <v>9783031546389</v>
      </c>
    </row>
    <row r="7225" spans="1:6" s="3" customFormat="1" ht="29.1" customHeight="1" x14ac:dyDescent="0.25">
      <c r="A7225" s="2" t="s">
        <v>15141</v>
      </c>
      <c r="B7225" s="2" t="s">
        <v>15142</v>
      </c>
      <c r="C7225" s="2" t="s">
        <v>5</v>
      </c>
      <c r="D7225" s="2" t="s">
        <v>12709</v>
      </c>
      <c r="E7225" s="2" t="str">
        <f>"9789464634129"</f>
        <v>9789464634129</v>
      </c>
      <c r="F7225" s="2" t="str">
        <f>"9789464634136"</f>
        <v>9789464634136</v>
      </c>
    </row>
    <row r="7226" spans="1:6" s="3" customFormat="1" ht="29.1" customHeight="1" x14ac:dyDescent="0.25">
      <c r="A7226" s="2" t="s">
        <v>15143</v>
      </c>
      <c r="B7226" s="2" t="s">
        <v>15144</v>
      </c>
      <c r="C7226" s="2" t="s">
        <v>5</v>
      </c>
      <c r="D7226" s="2" t="s">
        <v>477</v>
      </c>
      <c r="E7226" s="2" t="str">
        <f>"9789464634051"</f>
        <v>9789464634051</v>
      </c>
      <c r="F7226" s="2" t="str">
        <f>"9789464634068"</f>
        <v>9789464634068</v>
      </c>
    </row>
    <row r="7227" spans="1:6" s="3" customFormat="1" ht="29.1" customHeight="1" x14ac:dyDescent="0.25">
      <c r="A7227" s="2" t="s">
        <v>15145</v>
      </c>
      <c r="B7227" s="2" t="s">
        <v>8574</v>
      </c>
      <c r="C7227" s="2" t="s">
        <v>5</v>
      </c>
      <c r="D7227" s="2" t="s">
        <v>378</v>
      </c>
      <c r="E7227" s="2" t="str">
        <f>"9783658433789"</f>
        <v>9783658433789</v>
      </c>
      <c r="F7227" s="2" t="str">
        <f>"9783658433796"</f>
        <v>9783658433796</v>
      </c>
    </row>
    <row r="7228" spans="1:6" s="3" customFormat="1" ht="29.1" customHeight="1" x14ac:dyDescent="0.25">
      <c r="A7228" s="2" t="s">
        <v>15146</v>
      </c>
      <c r="B7228" s="2" t="s">
        <v>15147</v>
      </c>
      <c r="C7228" s="2" t="s">
        <v>5</v>
      </c>
      <c r="D7228" s="2" t="s">
        <v>281</v>
      </c>
      <c r="E7228" s="2" t="str">
        <f>"9783031577994"</f>
        <v>9783031577994</v>
      </c>
      <c r="F7228" s="2" t="str">
        <f>"9783031578007"</f>
        <v>9783031578007</v>
      </c>
    </row>
    <row r="7229" spans="1:6" s="3" customFormat="1" ht="29.1" customHeight="1" x14ac:dyDescent="0.25">
      <c r="A7229" s="2" t="s">
        <v>15148</v>
      </c>
      <c r="B7229" s="2" t="s">
        <v>15149</v>
      </c>
      <c r="C7229" s="2" t="s">
        <v>5</v>
      </c>
      <c r="D7229" s="2" t="s">
        <v>12699</v>
      </c>
      <c r="E7229" s="2" t="str">
        <f>"9783031578915"</f>
        <v>9783031578915</v>
      </c>
      <c r="F7229" s="2" t="str">
        <f>"9783031578922"</f>
        <v>9783031578922</v>
      </c>
    </row>
    <row r="7230" spans="1:6" s="3" customFormat="1" ht="29.1" customHeight="1" x14ac:dyDescent="0.25">
      <c r="A7230" s="2" t="s">
        <v>15150</v>
      </c>
      <c r="B7230" s="2" t="s">
        <v>15151</v>
      </c>
      <c r="C7230" s="2" t="s">
        <v>29</v>
      </c>
      <c r="D7230" s="2" t="s">
        <v>1432</v>
      </c>
      <c r="E7230" s="2" t="str">
        <f>"9789004410527"</f>
        <v>9789004410527</v>
      </c>
      <c r="F7230" s="2" t="str">
        <f>"9789004545601"</f>
        <v>9789004545601</v>
      </c>
    </row>
    <row r="7231" spans="1:6" s="3" customFormat="1" ht="29.1" customHeight="1" x14ac:dyDescent="0.25">
      <c r="A7231" s="2" t="s">
        <v>15150</v>
      </c>
      <c r="B7231" s="2" t="s">
        <v>15151</v>
      </c>
      <c r="C7231" s="2" t="s">
        <v>29</v>
      </c>
      <c r="D7231" s="2" t="s">
        <v>1432</v>
      </c>
      <c r="E7231" s="2" t="str">
        <f>"9789004410541"</f>
        <v>9789004410541</v>
      </c>
      <c r="F7231" s="2" t="str">
        <f>"9789004545571"</f>
        <v>9789004545571</v>
      </c>
    </row>
    <row r="7232" spans="1:6" s="3" customFormat="1" ht="29.1" customHeight="1" x14ac:dyDescent="0.25">
      <c r="A7232" s="2" t="s">
        <v>15152</v>
      </c>
      <c r="B7232" s="2" t="s">
        <v>15153</v>
      </c>
      <c r="C7232" s="2" t="s">
        <v>29</v>
      </c>
      <c r="D7232" s="2" t="s">
        <v>6669</v>
      </c>
      <c r="E7232" s="2" t="str">
        <f>"9789004683723"</f>
        <v>9789004683723</v>
      </c>
      <c r="F7232" s="2" t="str">
        <f>"9789004697928"</f>
        <v>9789004697928</v>
      </c>
    </row>
    <row r="7233" spans="1:6" s="3" customFormat="1" ht="29.1" customHeight="1" x14ac:dyDescent="0.25">
      <c r="A7233" s="2" t="s">
        <v>15154</v>
      </c>
      <c r="B7233" s="2" t="s">
        <v>15155</v>
      </c>
      <c r="C7233" s="2" t="s">
        <v>124</v>
      </c>
      <c r="D7233" s="2" t="s">
        <v>125</v>
      </c>
      <c r="E7233" s="2" t="str">
        <f>"9781032680187"</f>
        <v>9781032680187</v>
      </c>
      <c r="F7233" s="2" t="str">
        <f>"9781032680194"</f>
        <v>9781032680194</v>
      </c>
    </row>
    <row r="7234" spans="1:6" s="3" customFormat="1" ht="29.1" customHeight="1" x14ac:dyDescent="0.25">
      <c r="A7234" s="2" t="s">
        <v>15156</v>
      </c>
      <c r="B7234" s="2" t="s">
        <v>15157</v>
      </c>
      <c r="C7234" s="2" t="s">
        <v>4104</v>
      </c>
      <c r="D7234" s="2" t="s">
        <v>484</v>
      </c>
      <c r="E7234" s="2" t="str">
        <f>"9780197267370"</f>
        <v>9780197267370</v>
      </c>
      <c r="F7234" s="2" t="str">
        <f>"9780198926467"</f>
        <v>9780198926467</v>
      </c>
    </row>
    <row r="7235" spans="1:6" s="3" customFormat="1" ht="29.1" customHeight="1" x14ac:dyDescent="0.25">
      <c r="A7235" s="2" t="s">
        <v>15158</v>
      </c>
      <c r="B7235" s="2" t="s">
        <v>15159</v>
      </c>
      <c r="C7235" s="2" t="s">
        <v>4104</v>
      </c>
      <c r="D7235" s="2" t="s">
        <v>1043</v>
      </c>
      <c r="E7235" s="2" t="str">
        <f>"9780197267110"</f>
        <v>9780197267110</v>
      </c>
      <c r="F7235" s="2" t="str">
        <f>"9780198926474"</f>
        <v>9780198926474</v>
      </c>
    </row>
    <row r="7236" spans="1:6" s="3" customFormat="1" ht="29.1" customHeight="1" x14ac:dyDescent="0.25">
      <c r="A7236" s="2" t="s">
        <v>15160</v>
      </c>
      <c r="B7236" s="2" t="s">
        <v>15161</v>
      </c>
      <c r="C7236" s="2" t="s">
        <v>2133</v>
      </c>
      <c r="D7236" s="2" t="s">
        <v>606</v>
      </c>
      <c r="E7236" s="2" t="str">
        <f>"9781760466435"</f>
        <v>9781760466435</v>
      </c>
      <c r="F7236" s="2" t="str">
        <f>"9781760466442"</f>
        <v>9781760466442</v>
      </c>
    </row>
    <row r="7237" spans="1:6" s="3" customFormat="1" ht="29.1" customHeight="1" x14ac:dyDescent="0.25">
      <c r="A7237" s="2" t="s">
        <v>15162</v>
      </c>
      <c r="B7237" s="2" t="s">
        <v>15163</v>
      </c>
      <c r="C7237" s="2" t="s">
        <v>2133</v>
      </c>
      <c r="D7237" s="2" t="s">
        <v>636</v>
      </c>
      <c r="E7237" s="2" t="str">
        <f>"9781760466275"</f>
        <v>9781760466275</v>
      </c>
      <c r="F7237" s="2" t="str">
        <f>"9781760466282"</f>
        <v>9781760466282</v>
      </c>
    </row>
    <row r="7238" spans="1:6" s="3" customFormat="1" ht="29.1" customHeight="1" x14ac:dyDescent="0.25">
      <c r="A7238" s="2" t="s">
        <v>15164</v>
      </c>
      <c r="B7238" s="2" t="s">
        <v>15165</v>
      </c>
      <c r="C7238" s="2" t="s">
        <v>927</v>
      </c>
      <c r="D7238" s="2" t="s">
        <v>2208</v>
      </c>
      <c r="E7238" s="2" t="str">
        <f>"9780472065721"</f>
        <v>9780472065721</v>
      </c>
      <c r="F7238" s="2" t="str">
        <f>"9780472904204"</f>
        <v>9780472904204</v>
      </c>
    </row>
    <row r="7239" spans="1:6" s="3" customFormat="1" ht="29.1" customHeight="1" x14ac:dyDescent="0.25">
      <c r="A7239" s="2" t="s">
        <v>15166</v>
      </c>
      <c r="B7239" s="2" t="s">
        <v>15167</v>
      </c>
      <c r="C7239" s="2" t="s">
        <v>927</v>
      </c>
      <c r="D7239" s="2" t="s">
        <v>270</v>
      </c>
      <c r="E7239" s="2" t="str">
        <f>"9780472039685"</f>
        <v>9780472039685</v>
      </c>
      <c r="F7239" s="2" t="str">
        <f>"9780472904716"</f>
        <v>9780472904716</v>
      </c>
    </row>
    <row r="7240" spans="1:6" s="3" customFormat="1" ht="29.1" customHeight="1" x14ac:dyDescent="0.25">
      <c r="A7240" s="2" t="s">
        <v>15168</v>
      </c>
      <c r="B7240" s="2" t="s">
        <v>15169</v>
      </c>
      <c r="C7240" s="2" t="s">
        <v>4197</v>
      </c>
      <c r="D7240" s="2" t="s">
        <v>515</v>
      </c>
      <c r="E7240" s="2" t="str">
        <f>"9783985470709"</f>
        <v>9783985470709</v>
      </c>
      <c r="F7240" s="2" t="str">
        <f>"9783985475704"</f>
        <v>9783985475704</v>
      </c>
    </row>
    <row r="7241" spans="1:6" s="3" customFormat="1" ht="29.1" customHeight="1" x14ac:dyDescent="0.25">
      <c r="A7241" s="2" t="s">
        <v>15170</v>
      </c>
      <c r="B7241" s="2" t="s">
        <v>15171</v>
      </c>
      <c r="C7241" s="2" t="s">
        <v>29</v>
      </c>
      <c r="D7241" s="2" t="s">
        <v>14574</v>
      </c>
      <c r="E7241" s="2" t="str">
        <f>"9789004367531"</f>
        <v>9789004367531</v>
      </c>
      <c r="F7241" s="2" t="str">
        <f>"9789004392489"</f>
        <v>9789004392489</v>
      </c>
    </row>
    <row r="7242" spans="1:6" s="3" customFormat="1" ht="29.1" customHeight="1" x14ac:dyDescent="0.25">
      <c r="A7242" s="2" t="s">
        <v>15172</v>
      </c>
      <c r="B7242" s="2" t="s">
        <v>15173</v>
      </c>
      <c r="C7242" s="2" t="s">
        <v>29</v>
      </c>
      <c r="D7242" s="2" t="s">
        <v>33</v>
      </c>
      <c r="E7242" s="2" t="str">
        <f>"9789004340534"</f>
        <v>9789004340534</v>
      </c>
      <c r="F7242" s="2" t="str">
        <f>"9789004340541"</f>
        <v>9789004340541</v>
      </c>
    </row>
    <row r="7243" spans="1:6" s="3" customFormat="1" ht="29.1" customHeight="1" x14ac:dyDescent="0.25">
      <c r="A7243" s="2" t="s">
        <v>15174</v>
      </c>
      <c r="B7243" s="2" t="s">
        <v>15175</v>
      </c>
      <c r="C7243" s="2" t="s">
        <v>5</v>
      </c>
      <c r="D7243" s="2" t="s">
        <v>5228</v>
      </c>
      <c r="E7243" s="2" t="str">
        <f>"9789464634167"</f>
        <v>9789464634167</v>
      </c>
      <c r="F7243" s="2" t="str">
        <f>"9789464634174"</f>
        <v>9789464634174</v>
      </c>
    </row>
    <row r="7244" spans="1:6" s="3" customFormat="1" ht="29.1" customHeight="1" x14ac:dyDescent="0.25">
      <c r="A7244" s="2" t="s">
        <v>15176</v>
      </c>
      <c r="B7244" s="2" t="s">
        <v>15177</v>
      </c>
      <c r="C7244" s="2" t="s">
        <v>5</v>
      </c>
      <c r="D7244" s="2" t="s">
        <v>186</v>
      </c>
      <c r="E7244" s="2" t="str">
        <f>"9789464634075"</f>
        <v>9789464634075</v>
      </c>
      <c r="F7244" s="2" t="str">
        <f>"9789464634082"</f>
        <v>9789464634082</v>
      </c>
    </row>
    <row r="7245" spans="1:6" s="3" customFormat="1" ht="29.1" customHeight="1" x14ac:dyDescent="0.25">
      <c r="A7245" s="2" t="s">
        <v>15178</v>
      </c>
      <c r="B7245" s="2" t="s">
        <v>15179</v>
      </c>
      <c r="C7245" s="2" t="s">
        <v>29</v>
      </c>
      <c r="D7245" s="2" t="s">
        <v>33</v>
      </c>
      <c r="E7245" s="2" t="str">
        <f>"9789004337169"</f>
        <v>9789004337169</v>
      </c>
      <c r="F7245" s="2" t="str">
        <f>"9789004337176"</f>
        <v>9789004337176</v>
      </c>
    </row>
    <row r="7246" spans="1:6" s="3" customFormat="1" ht="29.1" customHeight="1" x14ac:dyDescent="0.25">
      <c r="A7246" s="2" t="s">
        <v>15180</v>
      </c>
      <c r="B7246" s="2" t="s">
        <v>15182</v>
      </c>
      <c r="C7246" s="2" t="s">
        <v>15181</v>
      </c>
      <c r="D7246" s="2" t="s">
        <v>1402</v>
      </c>
      <c r="E7246" s="2" t="str">
        <f>"9789633867532"</f>
        <v>9789633867532</v>
      </c>
      <c r="F7246" s="2" t="str">
        <f>"9789633867549"</f>
        <v>9789633867549</v>
      </c>
    </row>
    <row r="7247" spans="1:6" s="3" customFormat="1" ht="29.1" customHeight="1" x14ac:dyDescent="0.25">
      <c r="A7247" s="2" t="s">
        <v>15183</v>
      </c>
      <c r="B7247" s="2" t="s">
        <v>15185</v>
      </c>
      <c r="C7247" s="2" t="s">
        <v>5</v>
      </c>
      <c r="D7247" s="2" t="s">
        <v>15184</v>
      </c>
      <c r="E7247" s="2" t="str">
        <f>"9789464634181"</f>
        <v>9789464634181</v>
      </c>
      <c r="F7247" s="2" t="str">
        <f>"9789464634198"</f>
        <v>9789464634198</v>
      </c>
    </row>
    <row r="7248" spans="1:6" s="3" customFormat="1" ht="29.1" customHeight="1" x14ac:dyDescent="0.25">
      <c r="A7248" s="2" t="s">
        <v>15186</v>
      </c>
      <c r="B7248" s="2" t="s">
        <v>15187</v>
      </c>
      <c r="C7248" s="2" t="s">
        <v>29</v>
      </c>
      <c r="D7248" s="2" t="s">
        <v>3185</v>
      </c>
      <c r="E7248" s="2" t="str">
        <f>"9789004383289"</f>
        <v>9789004383289</v>
      </c>
      <c r="F7248" s="2" t="str">
        <f>"9789004383302"</f>
        <v>9789004383302</v>
      </c>
    </row>
    <row r="7249" spans="1:6" s="3" customFormat="1" ht="29.1" customHeight="1" x14ac:dyDescent="0.25">
      <c r="A7249" s="2" t="s">
        <v>15188</v>
      </c>
      <c r="B7249" s="2" t="s">
        <v>15189</v>
      </c>
      <c r="C7249" s="2" t="s">
        <v>5</v>
      </c>
      <c r="D7249" s="2" t="s">
        <v>52</v>
      </c>
      <c r="E7249" s="2" t="str">
        <f>"9789819707782"</f>
        <v>9789819707782</v>
      </c>
      <c r="F7249" s="2" t="str">
        <f>"9789819707799"</f>
        <v>9789819707799</v>
      </c>
    </row>
    <row r="7250" spans="1:6" s="3" customFormat="1" ht="29.1" customHeight="1" x14ac:dyDescent="0.25">
      <c r="A7250" s="2" t="s">
        <v>15190</v>
      </c>
      <c r="B7250" s="2" t="s">
        <v>15192</v>
      </c>
      <c r="C7250" s="2" t="s">
        <v>5</v>
      </c>
      <c r="D7250" s="2" t="s">
        <v>15191</v>
      </c>
      <c r="E7250" s="2" t="str">
        <f>"9783031590900"</f>
        <v>9783031590900</v>
      </c>
      <c r="F7250" s="2" t="str">
        <f>"9783031590917"</f>
        <v>9783031590917</v>
      </c>
    </row>
    <row r="7251" spans="1:6" s="3" customFormat="1" ht="29.1" customHeight="1" x14ac:dyDescent="0.25">
      <c r="A7251" s="2" t="s">
        <v>15190</v>
      </c>
      <c r="B7251" s="2" t="s">
        <v>15192</v>
      </c>
      <c r="C7251" s="2" t="s">
        <v>5</v>
      </c>
      <c r="D7251" s="2" t="s">
        <v>15191</v>
      </c>
      <c r="E7251" s="2" t="str">
        <f>"9783031590795"</f>
        <v>9783031590795</v>
      </c>
      <c r="F7251" s="2" t="str">
        <f>"9783031590801"</f>
        <v>9783031590801</v>
      </c>
    </row>
    <row r="7252" spans="1:6" s="3" customFormat="1" ht="29.1" customHeight="1" x14ac:dyDescent="0.25">
      <c r="A7252" s="2" t="s">
        <v>15193</v>
      </c>
      <c r="B7252" s="2" t="s">
        <v>15194</v>
      </c>
      <c r="C7252" s="2" t="s">
        <v>62</v>
      </c>
      <c r="D7252" s="2" t="s">
        <v>8553</v>
      </c>
      <c r="E7252" s="2" t="str">
        <f>"9783428189540"</f>
        <v>9783428189540</v>
      </c>
      <c r="F7252" s="2" t="str">
        <f>"9783428589548"</f>
        <v>9783428589548</v>
      </c>
    </row>
    <row r="7253" spans="1:6" s="3" customFormat="1" ht="29.1" customHeight="1" x14ac:dyDescent="0.25">
      <c r="A7253" s="2" t="s">
        <v>15195</v>
      </c>
      <c r="B7253" s="2" t="s">
        <v>15196</v>
      </c>
      <c r="C7253" s="2" t="s">
        <v>5</v>
      </c>
      <c r="D7253" s="2" t="s">
        <v>2391</v>
      </c>
      <c r="E7253" s="2" t="str">
        <f>"9783031588389"</f>
        <v>9783031588389</v>
      </c>
      <c r="F7253" s="2" t="str">
        <f>"9783031588396"</f>
        <v>9783031588396</v>
      </c>
    </row>
    <row r="7254" spans="1:6" s="3" customFormat="1" ht="29.1" customHeight="1" x14ac:dyDescent="0.25">
      <c r="A7254" s="2" t="s">
        <v>15197</v>
      </c>
      <c r="B7254" s="2" t="s">
        <v>15198</v>
      </c>
      <c r="C7254" s="2" t="s">
        <v>5</v>
      </c>
      <c r="D7254" s="2" t="s">
        <v>3958</v>
      </c>
      <c r="E7254" s="2" t="str">
        <f>"9783658434137"</f>
        <v>9783658434137</v>
      </c>
      <c r="F7254" s="2" t="str">
        <f>"9783658434144"</f>
        <v>9783658434144</v>
      </c>
    </row>
    <row r="7255" spans="1:6" s="3" customFormat="1" ht="29.1" customHeight="1" x14ac:dyDescent="0.25">
      <c r="A7255" s="2" t="s">
        <v>15199</v>
      </c>
      <c r="B7255" s="2" t="s">
        <v>15200</v>
      </c>
      <c r="C7255" s="2" t="s">
        <v>5</v>
      </c>
      <c r="D7255" s="2" t="s">
        <v>78</v>
      </c>
      <c r="E7255" s="2" t="str">
        <f>"9783031556791"</f>
        <v>9783031556791</v>
      </c>
      <c r="F7255" s="2" t="str">
        <f>"9783031556807"</f>
        <v>9783031556807</v>
      </c>
    </row>
    <row r="7256" spans="1:6" s="3" customFormat="1" ht="29.1" customHeight="1" x14ac:dyDescent="0.25">
      <c r="A7256" s="2" t="s">
        <v>15201</v>
      </c>
      <c r="B7256" s="2" t="s">
        <v>15202</v>
      </c>
      <c r="C7256" s="2" t="s">
        <v>5</v>
      </c>
      <c r="D7256" s="2" t="s">
        <v>12594</v>
      </c>
      <c r="E7256" s="2" t="str">
        <f>"9783031409295"</f>
        <v>9783031409295</v>
      </c>
      <c r="F7256" s="2" t="str">
        <f>"9783031409301"</f>
        <v>9783031409301</v>
      </c>
    </row>
    <row r="7257" spans="1:6" s="3" customFormat="1" ht="29.1" customHeight="1" x14ac:dyDescent="0.25">
      <c r="A7257" s="2" t="s">
        <v>15203</v>
      </c>
      <c r="B7257" s="2" t="s">
        <v>15204</v>
      </c>
      <c r="C7257" s="2" t="s">
        <v>239</v>
      </c>
      <c r="D7257" s="2" t="s">
        <v>606</v>
      </c>
      <c r="E7257" s="2" t="str">
        <f>"9780520290525"</f>
        <v>9780520290525</v>
      </c>
      <c r="F7257" s="2" t="str">
        <f>"9780520964952"</f>
        <v>9780520964952</v>
      </c>
    </row>
    <row r="7258" spans="1:6" s="3" customFormat="1" ht="29.1" customHeight="1" x14ac:dyDescent="0.25">
      <c r="A7258" s="2" t="s">
        <v>15205</v>
      </c>
      <c r="B7258" s="2"/>
      <c r="C7258" s="2" t="s">
        <v>59</v>
      </c>
      <c r="D7258" s="2" t="s">
        <v>8087</v>
      </c>
      <c r="E7258" s="2"/>
      <c r="F7258" s="2" t="str">
        <f>"9782759238507"</f>
        <v>9782759238507</v>
      </c>
    </row>
    <row r="7259" spans="1:6" s="3" customFormat="1" ht="29.1" customHeight="1" x14ac:dyDescent="0.25">
      <c r="A7259" s="2" t="s">
        <v>15206</v>
      </c>
      <c r="B7259" s="2" t="s">
        <v>15207</v>
      </c>
      <c r="C7259" s="2" t="s">
        <v>124</v>
      </c>
      <c r="D7259" s="2" t="s">
        <v>353</v>
      </c>
      <c r="E7259" s="2" t="str">
        <f>"9781032695846"</f>
        <v>9781032695846</v>
      </c>
      <c r="F7259" s="2" t="str">
        <f>"9781032695891"</f>
        <v>9781032695891</v>
      </c>
    </row>
    <row r="7260" spans="1:6" s="3" customFormat="1" ht="29.1" customHeight="1" x14ac:dyDescent="0.25">
      <c r="A7260" s="2" t="s">
        <v>15208</v>
      </c>
      <c r="B7260" s="2" t="s">
        <v>15209</v>
      </c>
      <c r="C7260" s="2" t="s">
        <v>29</v>
      </c>
      <c r="D7260" s="2" t="s">
        <v>192</v>
      </c>
      <c r="E7260" s="2" t="str">
        <f>"9789004690837"</f>
        <v>9789004690837</v>
      </c>
      <c r="F7260" s="2" t="str">
        <f>"9789004694569"</f>
        <v>9789004694569</v>
      </c>
    </row>
    <row r="7261" spans="1:6" s="3" customFormat="1" ht="29.1" customHeight="1" x14ac:dyDescent="0.25">
      <c r="A7261" s="2" t="s">
        <v>9385</v>
      </c>
      <c r="B7261" s="2" t="s">
        <v>9386</v>
      </c>
      <c r="C7261" s="2" t="s">
        <v>29</v>
      </c>
      <c r="D7261" s="2" t="s">
        <v>1432</v>
      </c>
      <c r="E7261" s="2" t="str">
        <f>"9789004700550"</f>
        <v>9789004700550</v>
      </c>
      <c r="F7261" s="2" t="str">
        <f>"9789004700567"</f>
        <v>9789004700567</v>
      </c>
    </row>
    <row r="7262" spans="1:6" s="3" customFormat="1" ht="29.1" customHeight="1" x14ac:dyDescent="0.25">
      <c r="A7262" s="2" t="s">
        <v>15210</v>
      </c>
      <c r="B7262" s="2" t="s">
        <v>15211</v>
      </c>
      <c r="C7262" s="2" t="s">
        <v>29</v>
      </c>
      <c r="D7262" s="2" t="s">
        <v>3889</v>
      </c>
      <c r="E7262" s="2" t="str">
        <f>"9789004692930"</f>
        <v>9789004692930</v>
      </c>
      <c r="F7262" s="2" t="str">
        <f>"9789004692947"</f>
        <v>9789004692947</v>
      </c>
    </row>
    <row r="7263" spans="1:6" s="3" customFormat="1" ht="29.1" customHeight="1" x14ac:dyDescent="0.25">
      <c r="A7263" s="2" t="s">
        <v>15212</v>
      </c>
      <c r="B7263" s="2" t="s">
        <v>15213</v>
      </c>
      <c r="C7263" s="2" t="s">
        <v>29</v>
      </c>
      <c r="D7263" s="2" t="s">
        <v>4030</v>
      </c>
      <c r="E7263" s="2" t="str">
        <f>"9789004686700"</f>
        <v>9789004686700</v>
      </c>
      <c r="F7263" s="2" t="str">
        <f>"9789004693142"</f>
        <v>9789004693142</v>
      </c>
    </row>
    <row r="7264" spans="1:6" s="3" customFormat="1" ht="29.1" customHeight="1" x14ac:dyDescent="0.25">
      <c r="A7264" s="2" t="s">
        <v>15214</v>
      </c>
      <c r="B7264" s="2" t="s">
        <v>15217</v>
      </c>
      <c r="C7264" s="2" t="s">
        <v>15215</v>
      </c>
      <c r="D7264" s="2" t="s">
        <v>15216</v>
      </c>
      <c r="E7264" s="2"/>
      <c r="F7264" s="2" t="str">
        <f>"9781777845537"</f>
        <v>9781777845537</v>
      </c>
    </row>
    <row r="7265" spans="1:6" s="3" customFormat="1" ht="29.1" customHeight="1" x14ac:dyDescent="0.25">
      <c r="A7265" s="2" t="s">
        <v>15218</v>
      </c>
      <c r="B7265" s="2" t="s">
        <v>15217</v>
      </c>
      <c r="C7265" s="2" t="s">
        <v>15215</v>
      </c>
      <c r="D7265" s="2" t="s">
        <v>4002</v>
      </c>
      <c r="E7265" s="2"/>
      <c r="F7265" s="2" t="str">
        <f>"9781777845520"</f>
        <v>9781777845520</v>
      </c>
    </row>
    <row r="7266" spans="1:6" s="3" customFormat="1" ht="29.1" customHeight="1" x14ac:dyDescent="0.25">
      <c r="A7266" s="2" t="s">
        <v>15219</v>
      </c>
      <c r="B7266" s="2" t="s">
        <v>15217</v>
      </c>
      <c r="C7266" s="2" t="s">
        <v>15215</v>
      </c>
      <c r="D7266" s="2" t="s">
        <v>14300</v>
      </c>
      <c r="E7266" s="2"/>
      <c r="F7266" s="2" t="str">
        <f>"9781777845506"</f>
        <v>9781777845506</v>
      </c>
    </row>
    <row r="7267" spans="1:6" s="3" customFormat="1" ht="29.1" customHeight="1" x14ac:dyDescent="0.25">
      <c r="A7267" s="2" t="s">
        <v>15220</v>
      </c>
      <c r="B7267" s="2" t="s">
        <v>15221</v>
      </c>
      <c r="C7267" s="2" t="s">
        <v>746</v>
      </c>
      <c r="D7267" s="2" t="s">
        <v>606</v>
      </c>
      <c r="E7267" s="2" t="str">
        <f>"9781803277653"</f>
        <v>9781803277653</v>
      </c>
      <c r="F7267" s="2" t="str">
        <f>"9781803277660"</f>
        <v>9781803277660</v>
      </c>
    </row>
    <row r="7268" spans="1:6" s="3" customFormat="1" ht="29.1" customHeight="1" x14ac:dyDescent="0.25">
      <c r="A7268" s="2" t="s">
        <v>15222</v>
      </c>
      <c r="B7268" s="2" t="s">
        <v>15223</v>
      </c>
      <c r="C7268" s="2" t="s">
        <v>746</v>
      </c>
      <c r="D7268" s="2" t="s">
        <v>606</v>
      </c>
      <c r="E7268" s="2" t="str">
        <f>"9781803277677"</f>
        <v>9781803277677</v>
      </c>
      <c r="F7268" s="2" t="str">
        <f>"9781803277684"</f>
        <v>9781803277684</v>
      </c>
    </row>
    <row r="7269" spans="1:6" s="3" customFormat="1" ht="29.1" customHeight="1" x14ac:dyDescent="0.25">
      <c r="A7269" s="2" t="s">
        <v>15224</v>
      </c>
      <c r="B7269" s="2" t="s">
        <v>15225</v>
      </c>
      <c r="C7269" s="2" t="s">
        <v>746</v>
      </c>
      <c r="D7269" s="2" t="s">
        <v>4185</v>
      </c>
      <c r="E7269" s="2" t="str">
        <f>"9781803276441"</f>
        <v>9781803276441</v>
      </c>
      <c r="F7269" s="2" t="str">
        <f>"9781803276458"</f>
        <v>9781803276458</v>
      </c>
    </row>
    <row r="7270" spans="1:6" s="3" customFormat="1" ht="29.1" customHeight="1" x14ac:dyDescent="0.25">
      <c r="A7270" s="2" t="s">
        <v>15226</v>
      </c>
      <c r="B7270" s="2" t="s">
        <v>15227</v>
      </c>
      <c r="C7270" s="2" t="s">
        <v>746</v>
      </c>
      <c r="D7270" s="2" t="s">
        <v>606</v>
      </c>
      <c r="E7270" s="2" t="str">
        <f>"9781803276526"</f>
        <v>9781803276526</v>
      </c>
      <c r="F7270" s="2" t="str">
        <f>"9781803276533"</f>
        <v>9781803276533</v>
      </c>
    </row>
    <row r="7271" spans="1:6" s="3" customFormat="1" ht="29.1" customHeight="1" x14ac:dyDescent="0.25">
      <c r="A7271" s="2" t="s">
        <v>15228</v>
      </c>
      <c r="B7271" s="2" t="s">
        <v>15229</v>
      </c>
      <c r="C7271" s="2" t="s">
        <v>746</v>
      </c>
      <c r="D7271" s="2" t="s">
        <v>3130</v>
      </c>
      <c r="E7271" s="2" t="str">
        <f>"9781803277493"</f>
        <v>9781803277493</v>
      </c>
      <c r="F7271" s="2" t="str">
        <f>"9781803277509"</f>
        <v>9781803277509</v>
      </c>
    </row>
    <row r="7272" spans="1:6" s="3" customFormat="1" ht="29.1" customHeight="1" x14ac:dyDescent="0.25">
      <c r="A7272" s="2" t="s">
        <v>15230</v>
      </c>
      <c r="B7272" s="2" t="s">
        <v>15231</v>
      </c>
      <c r="C7272" s="2" t="s">
        <v>746</v>
      </c>
      <c r="D7272" s="2" t="s">
        <v>606</v>
      </c>
      <c r="E7272" s="2" t="str">
        <f>"9781789694666"</f>
        <v>9781789694666</v>
      </c>
      <c r="F7272" s="2" t="str">
        <f>"9781789694673"</f>
        <v>9781789694673</v>
      </c>
    </row>
    <row r="7273" spans="1:6" s="3" customFormat="1" ht="29.1" customHeight="1" x14ac:dyDescent="0.25">
      <c r="A7273" s="2" t="s">
        <v>15232</v>
      </c>
      <c r="B7273" s="2" t="s">
        <v>15233</v>
      </c>
      <c r="C7273" s="2" t="s">
        <v>124</v>
      </c>
      <c r="D7273" s="2" t="s">
        <v>2433</v>
      </c>
      <c r="E7273" s="2" t="str">
        <f>"9781032608983"</f>
        <v>9781032608983</v>
      </c>
      <c r="F7273" s="2" t="str">
        <f>"9781003460985"</f>
        <v>9781003460985</v>
      </c>
    </row>
    <row r="7274" spans="1:6" s="3" customFormat="1" ht="29.1" customHeight="1" x14ac:dyDescent="0.25">
      <c r="A7274" s="2" t="s">
        <v>15234</v>
      </c>
      <c r="B7274" s="2" t="s">
        <v>15235</v>
      </c>
      <c r="C7274" s="2" t="s">
        <v>5</v>
      </c>
      <c r="D7274" s="2" t="s">
        <v>6655</v>
      </c>
      <c r="E7274" s="2" t="str">
        <f>"9782384762392"</f>
        <v>9782384762392</v>
      </c>
      <c r="F7274" s="2" t="str">
        <f>"9782384762408"</f>
        <v>9782384762408</v>
      </c>
    </row>
    <row r="7275" spans="1:6" s="3" customFormat="1" ht="29.1" customHeight="1" x14ac:dyDescent="0.25">
      <c r="A7275" s="2" t="s">
        <v>15236</v>
      </c>
      <c r="B7275" s="2" t="s">
        <v>15237</v>
      </c>
      <c r="C7275" s="2" t="s">
        <v>5</v>
      </c>
      <c r="D7275" s="2" t="s">
        <v>98</v>
      </c>
      <c r="E7275" s="2" t="str">
        <f>"9783031561139"</f>
        <v>9783031561139</v>
      </c>
      <c r="F7275" s="2" t="str">
        <f>"9783031561146"</f>
        <v>9783031561146</v>
      </c>
    </row>
    <row r="7276" spans="1:6" s="3" customFormat="1" ht="29.1" customHeight="1" x14ac:dyDescent="0.25">
      <c r="A7276" s="2" t="s">
        <v>15238</v>
      </c>
      <c r="B7276" s="2" t="s">
        <v>15239</v>
      </c>
      <c r="C7276" s="2" t="s">
        <v>5</v>
      </c>
      <c r="D7276" s="2" t="s">
        <v>86</v>
      </c>
      <c r="E7276" s="2" t="str">
        <f>"9783031541995"</f>
        <v>9783031541995</v>
      </c>
      <c r="F7276" s="2" t="str">
        <f>"9783031542008"</f>
        <v>9783031542008</v>
      </c>
    </row>
    <row r="7277" spans="1:6" s="3" customFormat="1" ht="29.1" customHeight="1" x14ac:dyDescent="0.25">
      <c r="A7277" s="2" t="s">
        <v>15240</v>
      </c>
      <c r="B7277" s="2" t="s">
        <v>15241</v>
      </c>
      <c r="C7277" s="2" t="s">
        <v>55</v>
      </c>
      <c r="D7277" s="2" t="s">
        <v>3185</v>
      </c>
      <c r="E7277" s="2" t="str">
        <f>"9781526173461"</f>
        <v>9781526173461</v>
      </c>
      <c r="F7277" s="2" t="str">
        <f>"9781526173478"</f>
        <v>9781526173478</v>
      </c>
    </row>
    <row r="7278" spans="1:6" s="3" customFormat="1" ht="29.1" customHeight="1" x14ac:dyDescent="0.25">
      <c r="A7278" s="2" t="s">
        <v>15242</v>
      </c>
      <c r="B7278" s="2" t="s">
        <v>15243</v>
      </c>
      <c r="C7278" s="2" t="s">
        <v>732</v>
      </c>
      <c r="D7278" s="2" t="s">
        <v>2045</v>
      </c>
      <c r="E7278" s="2" t="str">
        <f>"9781779953025"</f>
        <v>9781779953025</v>
      </c>
      <c r="F7278" s="2" t="str">
        <f>"9781779953032"</f>
        <v>9781779953032</v>
      </c>
    </row>
    <row r="7279" spans="1:6" s="3" customFormat="1" ht="29.1" customHeight="1" x14ac:dyDescent="0.25">
      <c r="A7279" s="2" t="s">
        <v>15244</v>
      </c>
      <c r="B7279" s="2" t="s">
        <v>15245</v>
      </c>
      <c r="C7279" s="2" t="s">
        <v>732</v>
      </c>
      <c r="D7279" s="2" t="s">
        <v>968</v>
      </c>
      <c r="E7279" s="2" t="str">
        <f>"9781779952998"</f>
        <v>9781779952998</v>
      </c>
      <c r="F7279" s="2" t="str">
        <f>"9781779953001"</f>
        <v>9781779953001</v>
      </c>
    </row>
    <row r="7280" spans="1:6" s="3" customFormat="1" ht="29.1" customHeight="1" x14ac:dyDescent="0.25">
      <c r="A7280" s="2" t="s">
        <v>15246</v>
      </c>
      <c r="B7280" s="2" t="s">
        <v>15247</v>
      </c>
      <c r="C7280" s="2" t="s">
        <v>732</v>
      </c>
      <c r="D7280" s="2" t="s">
        <v>7199</v>
      </c>
      <c r="E7280" s="2" t="str">
        <f>"9781991269041"</f>
        <v>9781991269041</v>
      </c>
      <c r="F7280" s="2" t="str">
        <f>"9781991270047"</f>
        <v>9781991270047</v>
      </c>
    </row>
    <row r="7281" spans="1:6" s="3" customFormat="1" ht="29.1" customHeight="1" x14ac:dyDescent="0.25">
      <c r="A7281" s="2" t="s">
        <v>15248</v>
      </c>
      <c r="B7281" s="2" t="s">
        <v>15249</v>
      </c>
      <c r="C7281" s="2" t="s">
        <v>732</v>
      </c>
      <c r="D7281" s="2" t="s">
        <v>694</v>
      </c>
      <c r="E7281" s="2" t="str">
        <f>"9781991269034"</f>
        <v>9781991269034</v>
      </c>
      <c r="F7281" s="2" t="str">
        <f>"9781991270030"</f>
        <v>9781991270030</v>
      </c>
    </row>
    <row r="7282" spans="1:6" s="3" customFormat="1" ht="29.1" customHeight="1" x14ac:dyDescent="0.25">
      <c r="A7282" s="2" t="s">
        <v>15250</v>
      </c>
      <c r="B7282" s="2" t="s">
        <v>15251</v>
      </c>
      <c r="C7282" s="2" t="s">
        <v>732</v>
      </c>
      <c r="D7282" s="2" t="s">
        <v>5832</v>
      </c>
      <c r="E7282" s="2" t="str">
        <f>"9781779952844"</f>
        <v>9781779952844</v>
      </c>
      <c r="F7282" s="2" t="str">
        <f>"9781779952851"</f>
        <v>9781779952851</v>
      </c>
    </row>
    <row r="7283" spans="1:6" s="3" customFormat="1" ht="29.1" customHeight="1" x14ac:dyDescent="0.25">
      <c r="A7283" s="2" t="s">
        <v>15252</v>
      </c>
      <c r="B7283" s="2" t="s">
        <v>15253</v>
      </c>
      <c r="C7283" s="2" t="s">
        <v>732</v>
      </c>
      <c r="D7283" s="2" t="s">
        <v>694</v>
      </c>
      <c r="E7283" s="2" t="str">
        <f>"9781779952967"</f>
        <v>9781779952967</v>
      </c>
      <c r="F7283" s="2" t="str">
        <f>"9781779952974"</f>
        <v>9781779952974</v>
      </c>
    </row>
    <row r="7284" spans="1:6" s="3" customFormat="1" ht="29.1" customHeight="1" x14ac:dyDescent="0.25">
      <c r="A7284" s="2" t="s">
        <v>15254</v>
      </c>
      <c r="B7284" s="2" t="s">
        <v>15255</v>
      </c>
      <c r="C7284" s="2" t="s">
        <v>732</v>
      </c>
      <c r="D7284" s="2" t="s">
        <v>2599</v>
      </c>
      <c r="E7284" s="2" t="str">
        <f>"9781779952936"</f>
        <v>9781779952936</v>
      </c>
      <c r="F7284" s="2" t="str">
        <f>"9781779952943"</f>
        <v>9781779952943</v>
      </c>
    </row>
    <row r="7285" spans="1:6" s="3" customFormat="1" ht="29.1" customHeight="1" x14ac:dyDescent="0.25">
      <c r="A7285" s="2" t="s">
        <v>15256</v>
      </c>
      <c r="B7285" s="2" t="s">
        <v>15258</v>
      </c>
      <c r="C7285" s="2" t="s">
        <v>732</v>
      </c>
      <c r="D7285" s="2" t="s">
        <v>15257</v>
      </c>
      <c r="E7285" s="2" t="str">
        <f>"9781779952905"</f>
        <v>9781779952905</v>
      </c>
      <c r="F7285" s="2" t="str">
        <f>"9781779952912"</f>
        <v>9781779952912</v>
      </c>
    </row>
    <row r="7286" spans="1:6" s="3" customFormat="1" ht="29.1" customHeight="1" x14ac:dyDescent="0.25">
      <c r="A7286" s="2" t="s">
        <v>15259</v>
      </c>
      <c r="B7286" s="2" t="s">
        <v>15261</v>
      </c>
      <c r="C7286" s="2" t="s">
        <v>732</v>
      </c>
      <c r="D7286" s="2" t="s">
        <v>15260</v>
      </c>
      <c r="E7286" s="2" t="str">
        <f>"9781991269027"</f>
        <v>9781991269027</v>
      </c>
      <c r="F7286" s="2" t="str">
        <f>"9781991270023"</f>
        <v>9781991270023</v>
      </c>
    </row>
    <row r="7287" spans="1:6" s="3" customFormat="1" ht="29.1" customHeight="1" x14ac:dyDescent="0.25">
      <c r="A7287" s="2" t="s">
        <v>15262</v>
      </c>
      <c r="B7287" s="2" t="s">
        <v>15263</v>
      </c>
      <c r="C7287" s="2" t="s">
        <v>732</v>
      </c>
      <c r="D7287" s="2" t="s">
        <v>3445</v>
      </c>
      <c r="E7287" s="2" t="str">
        <f>"9781779952875"</f>
        <v>9781779952875</v>
      </c>
      <c r="F7287" s="2" t="str">
        <f>"9781779952882"</f>
        <v>9781779952882</v>
      </c>
    </row>
    <row r="7288" spans="1:6" s="3" customFormat="1" ht="29.1" customHeight="1" x14ac:dyDescent="0.25">
      <c r="A7288" s="2" t="s">
        <v>15264</v>
      </c>
      <c r="B7288" s="2" t="s">
        <v>15265</v>
      </c>
      <c r="C7288" s="2" t="s">
        <v>732</v>
      </c>
      <c r="D7288" s="2" t="s">
        <v>256</v>
      </c>
      <c r="E7288" s="2" t="str">
        <f>"9781779952813"</f>
        <v>9781779952813</v>
      </c>
      <c r="F7288" s="2" t="str">
        <f>"9781779952820"</f>
        <v>9781779952820</v>
      </c>
    </row>
    <row r="7289" spans="1:6" s="3" customFormat="1" ht="29.1" customHeight="1" x14ac:dyDescent="0.25">
      <c r="A7289" s="2" t="s">
        <v>15266</v>
      </c>
      <c r="B7289" s="2" t="s">
        <v>15267</v>
      </c>
      <c r="C7289" s="2" t="s">
        <v>732</v>
      </c>
      <c r="D7289" s="2" t="s">
        <v>4214</v>
      </c>
      <c r="E7289" s="2" t="str">
        <f>"9781779952783"</f>
        <v>9781779952783</v>
      </c>
      <c r="F7289" s="2" t="str">
        <f>"9781779952790"</f>
        <v>9781779952790</v>
      </c>
    </row>
    <row r="7290" spans="1:6" s="3" customFormat="1" ht="29.1" customHeight="1" x14ac:dyDescent="0.25">
      <c r="A7290" s="2" t="s">
        <v>15268</v>
      </c>
      <c r="B7290" s="2" t="s">
        <v>15269</v>
      </c>
      <c r="C7290" s="2" t="s">
        <v>29</v>
      </c>
      <c r="D7290" s="2" t="s">
        <v>5032</v>
      </c>
      <c r="E7290" s="2" t="str">
        <f>"9789004544888"</f>
        <v>9789004544888</v>
      </c>
      <c r="F7290" s="2" t="str">
        <f>"9789004691544"</f>
        <v>9789004691544</v>
      </c>
    </row>
    <row r="7291" spans="1:6" s="3" customFormat="1" ht="29.1" customHeight="1" x14ac:dyDescent="0.25">
      <c r="A7291" s="2" t="s">
        <v>15270</v>
      </c>
      <c r="B7291" s="2" t="s">
        <v>15271</v>
      </c>
      <c r="C7291" s="2" t="s">
        <v>5</v>
      </c>
      <c r="D7291" s="2" t="s">
        <v>1944</v>
      </c>
      <c r="E7291" s="2" t="str">
        <f>"9783662687826"</f>
        <v>9783662687826</v>
      </c>
      <c r="F7291" s="2" t="str">
        <f>"9783662687833"</f>
        <v>9783662687833</v>
      </c>
    </row>
    <row r="7292" spans="1:6" s="3" customFormat="1" ht="29.1" customHeight="1" x14ac:dyDescent="0.25">
      <c r="A7292" s="2" t="s">
        <v>15272</v>
      </c>
      <c r="B7292" s="2" t="s">
        <v>15273</v>
      </c>
      <c r="C7292" s="2" t="s">
        <v>5</v>
      </c>
      <c r="D7292" s="2" t="s">
        <v>1888</v>
      </c>
      <c r="E7292" s="2" t="str">
        <f>"9783031578953"</f>
        <v>9783031578953</v>
      </c>
      <c r="F7292" s="2" t="str">
        <f>"9783031578960"</f>
        <v>9783031578960</v>
      </c>
    </row>
    <row r="7293" spans="1:6" s="3" customFormat="1" ht="29.1" customHeight="1" x14ac:dyDescent="0.25">
      <c r="A7293" s="2" t="s">
        <v>15274</v>
      </c>
      <c r="B7293" s="2" t="s">
        <v>15275</v>
      </c>
      <c r="C7293" s="2" t="s">
        <v>5</v>
      </c>
      <c r="D7293" s="2" t="s">
        <v>141</v>
      </c>
      <c r="E7293" s="2" t="str">
        <f>"9789464633931"</f>
        <v>9789464633931</v>
      </c>
      <c r="F7293" s="2" t="str">
        <f>"9789464633948"</f>
        <v>9789464633948</v>
      </c>
    </row>
    <row r="7294" spans="1:6" s="3" customFormat="1" ht="29.1" customHeight="1" x14ac:dyDescent="0.25">
      <c r="A7294" s="2" t="s">
        <v>15276</v>
      </c>
      <c r="B7294" s="2" t="s">
        <v>15277</v>
      </c>
      <c r="C7294" s="2" t="s">
        <v>5</v>
      </c>
      <c r="D7294" s="2" t="s">
        <v>12</v>
      </c>
      <c r="E7294" s="2" t="str">
        <f>"9783031472640"</f>
        <v>9783031472640</v>
      </c>
      <c r="F7294" s="2" t="str">
        <f>"9783031472657"</f>
        <v>9783031472657</v>
      </c>
    </row>
    <row r="7295" spans="1:6" s="3" customFormat="1" ht="29.1" customHeight="1" x14ac:dyDescent="0.25">
      <c r="A7295" s="2" t="s">
        <v>7352</v>
      </c>
      <c r="B7295" s="2" t="s">
        <v>7353</v>
      </c>
      <c r="C7295" s="2" t="s">
        <v>5</v>
      </c>
      <c r="D7295" s="2" t="s">
        <v>547</v>
      </c>
      <c r="E7295" s="2" t="str">
        <f>"9783662682296"</f>
        <v>9783662682296</v>
      </c>
      <c r="F7295" s="2" t="str">
        <f>"9783662682302"</f>
        <v>9783662682302</v>
      </c>
    </row>
    <row r="7296" spans="1:6" s="3" customFormat="1" ht="29.1" customHeight="1" x14ac:dyDescent="0.25">
      <c r="A7296" s="2" t="s">
        <v>15278</v>
      </c>
      <c r="B7296" s="2" t="s">
        <v>15279</v>
      </c>
      <c r="C7296" s="2" t="s">
        <v>5</v>
      </c>
      <c r="D7296" s="2" t="s">
        <v>186</v>
      </c>
      <c r="E7296" s="2" t="str">
        <f>"9783658441135"</f>
        <v>9783658441135</v>
      </c>
      <c r="F7296" s="2" t="str">
        <f>"9783658441142"</f>
        <v>9783658441142</v>
      </c>
    </row>
    <row r="7297" spans="1:6" s="3" customFormat="1" ht="29.1" customHeight="1" x14ac:dyDescent="0.25">
      <c r="A7297" s="2" t="s">
        <v>15280</v>
      </c>
      <c r="B7297" s="2" t="s">
        <v>15281</v>
      </c>
      <c r="C7297" s="2" t="s">
        <v>15181</v>
      </c>
      <c r="D7297" s="2" t="s">
        <v>273</v>
      </c>
      <c r="E7297" s="2" t="str">
        <f>"9789633867662"</f>
        <v>9789633867662</v>
      </c>
      <c r="F7297" s="2" t="str">
        <f>"9789633867679"</f>
        <v>9789633867679</v>
      </c>
    </row>
    <row r="7298" spans="1:6" s="3" customFormat="1" ht="29.1" customHeight="1" x14ac:dyDescent="0.25">
      <c r="A7298" s="2" t="s">
        <v>15282</v>
      </c>
      <c r="B7298" s="2" t="s">
        <v>15283</v>
      </c>
      <c r="C7298" s="2" t="s">
        <v>677</v>
      </c>
      <c r="D7298" s="2" t="s">
        <v>12</v>
      </c>
      <c r="E7298" s="2"/>
      <c r="F7298" s="2" t="str">
        <f>"9789493296428"</f>
        <v>9789493296428</v>
      </c>
    </row>
    <row r="7299" spans="1:6" s="3" customFormat="1" ht="29.1" customHeight="1" x14ac:dyDescent="0.25">
      <c r="A7299" s="2" t="s">
        <v>15284</v>
      </c>
      <c r="B7299" s="2" t="s">
        <v>15285</v>
      </c>
      <c r="C7299" s="2" t="s">
        <v>677</v>
      </c>
      <c r="D7299" s="2" t="s">
        <v>459</v>
      </c>
      <c r="E7299" s="2"/>
      <c r="F7299" s="2" t="str">
        <f>"9789493296404"</f>
        <v>9789493296404</v>
      </c>
    </row>
    <row r="7300" spans="1:6" s="3" customFormat="1" ht="29.1" customHeight="1" x14ac:dyDescent="0.25">
      <c r="A7300" s="2" t="s">
        <v>15286</v>
      </c>
      <c r="B7300" s="2" t="s">
        <v>15288</v>
      </c>
      <c r="C7300" s="2" t="s">
        <v>149</v>
      </c>
      <c r="D7300" s="2" t="s">
        <v>15287</v>
      </c>
      <c r="E7300" s="2"/>
      <c r="F7300" s="2" t="str">
        <f>"9781805112327"</f>
        <v>9781805112327</v>
      </c>
    </row>
    <row r="7301" spans="1:6" s="3" customFormat="1" ht="29.1" customHeight="1" x14ac:dyDescent="0.25">
      <c r="A7301" s="2" t="s">
        <v>15289</v>
      </c>
      <c r="B7301" s="2" t="s">
        <v>15290</v>
      </c>
      <c r="C7301" s="2" t="s">
        <v>5</v>
      </c>
      <c r="D7301" s="2" t="s">
        <v>459</v>
      </c>
      <c r="E7301" s="2" t="str">
        <f>"9783031527180"</f>
        <v>9783031527180</v>
      </c>
      <c r="F7301" s="2" t="str">
        <f>"9783031527197"</f>
        <v>9783031527197</v>
      </c>
    </row>
    <row r="7302" spans="1:6" s="3" customFormat="1" ht="29.1" customHeight="1" x14ac:dyDescent="0.25">
      <c r="A7302" s="2" t="s">
        <v>15291</v>
      </c>
      <c r="B7302" s="2" t="s">
        <v>15292</v>
      </c>
      <c r="C7302" s="2" t="s">
        <v>5</v>
      </c>
      <c r="D7302" s="2" t="s">
        <v>86</v>
      </c>
      <c r="E7302" s="2" t="str">
        <f>"9783031350399"</f>
        <v>9783031350399</v>
      </c>
      <c r="F7302" s="2" t="str">
        <f>"9783031350405"</f>
        <v>9783031350405</v>
      </c>
    </row>
    <row r="7303" spans="1:6" s="3" customFormat="1" ht="29.1" customHeight="1" x14ac:dyDescent="0.25">
      <c r="A7303" s="2" t="s">
        <v>15293</v>
      </c>
      <c r="B7303" s="2" t="s">
        <v>15294</v>
      </c>
      <c r="C7303" s="2" t="s">
        <v>5</v>
      </c>
      <c r="D7303" s="2" t="s">
        <v>9</v>
      </c>
      <c r="E7303" s="2" t="str">
        <f>"9782384762330"</f>
        <v>9782384762330</v>
      </c>
      <c r="F7303" s="2" t="str">
        <f>"9782384762347"</f>
        <v>9782384762347</v>
      </c>
    </row>
    <row r="7304" spans="1:6" s="3" customFormat="1" ht="29.1" customHeight="1" x14ac:dyDescent="0.25">
      <c r="A7304" s="2" t="s">
        <v>15295</v>
      </c>
      <c r="B7304" s="2" t="s">
        <v>12435</v>
      </c>
      <c r="C7304" s="2" t="s">
        <v>5</v>
      </c>
      <c r="D7304" s="2" t="s">
        <v>5761</v>
      </c>
      <c r="E7304" s="2" t="str">
        <f>"9789819716463"</f>
        <v>9789819716463</v>
      </c>
      <c r="F7304" s="2" t="str">
        <f>"9789819716470"</f>
        <v>9789819716470</v>
      </c>
    </row>
    <row r="7305" spans="1:6" s="3" customFormat="1" ht="29.1" customHeight="1" x14ac:dyDescent="0.25">
      <c r="A7305" s="2" t="s">
        <v>15296</v>
      </c>
      <c r="B7305" s="2" t="s">
        <v>15297</v>
      </c>
      <c r="C7305" s="2" t="s">
        <v>5</v>
      </c>
      <c r="D7305" s="2" t="s">
        <v>98</v>
      </c>
      <c r="E7305" s="2" t="str">
        <f>"9783658442712"</f>
        <v>9783658442712</v>
      </c>
      <c r="F7305" s="2" t="str">
        <f>"9783658442729"</f>
        <v>9783658442729</v>
      </c>
    </row>
    <row r="7306" spans="1:6" s="3" customFormat="1" ht="29.1" customHeight="1" x14ac:dyDescent="0.25">
      <c r="A7306" s="2" t="s">
        <v>15298</v>
      </c>
      <c r="B7306" s="2" t="s">
        <v>15299</v>
      </c>
      <c r="C7306" s="2" t="s">
        <v>5</v>
      </c>
      <c r="D7306" s="2" t="s">
        <v>682</v>
      </c>
      <c r="E7306" s="2" t="str">
        <f>"9782384762378"</f>
        <v>9782384762378</v>
      </c>
      <c r="F7306" s="2" t="str">
        <f>"9782384762385"</f>
        <v>9782384762385</v>
      </c>
    </row>
    <row r="7307" spans="1:6" s="3" customFormat="1" ht="29.1" customHeight="1" x14ac:dyDescent="0.25">
      <c r="A7307" s="2" t="s">
        <v>15300</v>
      </c>
      <c r="B7307" s="2" t="s">
        <v>15301</v>
      </c>
      <c r="C7307" s="2" t="s">
        <v>5</v>
      </c>
      <c r="D7307" s="2" t="s">
        <v>297</v>
      </c>
      <c r="E7307" s="2" t="str">
        <f>"9782384762354"</f>
        <v>9782384762354</v>
      </c>
      <c r="F7307" s="2" t="str">
        <f>"9782384762361"</f>
        <v>9782384762361</v>
      </c>
    </row>
    <row r="7308" spans="1:6" s="3" customFormat="1" ht="29.1" customHeight="1" x14ac:dyDescent="0.25">
      <c r="A7308" s="2" t="s">
        <v>15302</v>
      </c>
      <c r="B7308" s="2" t="s">
        <v>15303</v>
      </c>
      <c r="C7308" s="2" t="s">
        <v>5</v>
      </c>
      <c r="D7308" s="2" t="s">
        <v>5228</v>
      </c>
      <c r="E7308" s="2" t="str">
        <f>"9782384762293"</f>
        <v>9782384762293</v>
      </c>
      <c r="F7308" s="2" t="str">
        <f>"9782384762309"</f>
        <v>9782384762309</v>
      </c>
    </row>
    <row r="7309" spans="1:6" s="3" customFormat="1" ht="29.1" customHeight="1" x14ac:dyDescent="0.25">
      <c r="A7309" s="2" t="s">
        <v>15304</v>
      </c>
      <c r="B7309" s="2" t="s">
        <v>15305</v>
      </c>
      <c r="C7309" s="2" t="s">
        <v>5</v>
      </c>
      <c r="D7309" s="2" t="s">
        <v>44</v>
      </c>
      <c r="E7309" s="2" t="str">
        <f>"9789464634037"</f>
        <v>9789464634037</v>
      </c>
      <c r="F7309" s="2" t="str">
        <f>"9789464634044"</f>
        <v>9789464634044</v>
      </c>
    </row>
    <row r="7310" spans="1:6" s="3" customFormat="1" ht="29.1" customHeight="1" x14ac:dyDescent="0.25">
      <c r="A7310" s="2" t="s">
        <v>15306</v>
      </c>
      <c r="B7310" s="2" t="s">
        <v>15307</v>
      </c>
      <c r="C7310" s="2" t="s">
        <v>5</v>
      </c>
      <c r="D7310" s="2" t="s">
        <v>107</v>
      </c>
      <c r="E7310" s="2" t="str">
        <f>"9783031485602"</f>
        <v>9783031485602</v>
      </c>
      <c r="F7310" s="2" t="str">
        <f>"9783031485619"</f>
        <v>9783031485619</v>
      </c>
    </row>
    <row r="7311" spans="1:6" s="3" customFormat="1" ht="29.1" customHeight="1" x14ac:dyDescent="0.25">
      <c r="A7311" s="2" t="s">
        <v>15308</v>
      </c>
      <c r="B7311" s="2" t="s">
        <v>15309</v>
      </c>
      <c r="C7311" s="2" t="s">
        <v>5</v>
      </c>
      <c r="D7311" s="2" t="s">
        <v>3345</v>
      </c>
      <c r="E7311" s="2" t="str">
        <f>"9783031576263"</f>
        <v>9783031576263</v>
      </c>
      <c r="F7311" s="2" t="str">
        <f>"9783031576270"</f>
        <v>9783031576270</v>
      </c>
    </row>
    <row r="7312" spans="1:6" s="3" customFormat="1" ht="29.1" customHeight="1" x14ac:dyDescent="0.25">
      <c r="A7312" s="2" t="s">
        <v>15310</v>
      </c>
      <c r="B7312" s="2" t="s">
        <v>15311</v>
      </c>
      <c r="C7312" s="2" t="s">
        <v>5</v>
      </c>
      <c r="D7312" s="2" t="s">
        <v>9</v>
      </c>
      <c r="E7312" s="2" t="str">
        <f>"9783658443856"</f>
        <v>9783658443856</v>
      </c>
      <c r="F7312" s="2" t="str">
        <f>"9783658443863"</f>
        <v>9783658443863</v>
      </c>
    </row>
    <row r="7313" spans="1:6" s="3" customFormat="1" ht="29.1" customHeight="1" x14ac:dyDescent="0.25">
      <c r="A7313" s="2" t="s">
        <v>15312</v>
      </c>
      <c r="B7313" s="2" t="s">
        <v>15313</v>
      </c>
      <c r="C7313" s="2" t="s">
        <v>4104</v>
      </c>
      <c r="D7313" s="2" t="s">
        <v>509</v>
      </c>
      <c r="E7313" s="2" t="str">
        <f>"9780197267639"</f>
        <v>9780197267639</v>
      </c>
      <c r="F7313" s="2" t="str">
        <f>"9780198911234"</f>
        <v>9780198911234</v>
      </c>
    </row>
    <row r="7314" spans="1:6" s="3" customFormat="1" ht="29.1" customHeight="1" x14ac:dyDescent="0.25">
      <c r="A7314" s="2" t="s">
        <v>15314</v>
      </c>
      <c r="B7314" s="2" t="s">
        <v>15316</v>
      </c>
      <c r="C7314" s="2" t="s">
        <v>15315</v>
      </c>
      <c r="D7314" s="2" t="s">
        <v>2019</v>
      </c>
      <c r="E7314" s="2"/>
      <c r="F7314" s="2" t="str">
        <f>"9781934831045"</f>
        <v>9781934831045</v>
      </c>
    </row>
    <row r="7315" spans="1:6" s="3" customFormat="1" ht="29.1" customHeight="1" x14ac:dyDescent="0.25">
      <c r="A7315" s="2" t="s">
        <v>15317</v>
      </c>
      <c r="B7315" s="2" t="s">
        <v>15318</v>
      </c>
      <c r="C7315" s="2" t="s">
        <v>15315</v>
      </c>
      <c r="D7315" s="2" t="s">
        <v>2475</v>
      </c>
      <c r="E7315" s="2"/>
      <c r="F7315" s="2" t="str">
        <f>"9781934831014"</f>
        <v>9781934831014</v>
      </c>
    </row>
    <row r="7316" spans="1:6" s="3" customFormat="1" ht="29.1" customHeight="1" x14ac:dyDescent="0.25">
      <c r="A7316" s="2" t="s">
        <v>15319</v>
      </c>
      <c r="B7316" s="2" t="s">
        <v>15320</v>
      </c>
      <c r="C7316" s="2" t="s">
        <v>15315</v>
      </c>
      <c r="D7316" s="2" t="s">
        <v>2045</v>
      </c>
      <c r="E7316" s="2"/>
      <c r="F7316" s="2" t="str">
        <f>"9781934831021"</f>
        <v>9781934831021</v>
      </c>
    </row>
    <row r="7317" spans="1:6" s="3" customFormat="1" ht="29.1" customHeight="1" x14ac:dyDescent="0.25">
      <c r="A7317" s="2" t="s">
        <v>15321</v>
      </c>
      <c r="B7317" s="2" t="s">
        <v>15322</v>
      </c>
      <c r="C7317" s="2" t="s">
        <v>15315</v>
      </c>
      <c r="D7317" s="2" t="s">
        <v>2271</v>
      </c>
      <c r="E7317" s="2"/>
      <c r="F7317" s="2" t="str">
        <f>"9781934831038"</f>
        <v>9781934831038</v>
      </c>
    </row>
    <row r="7318" spans="1:6" s="3" customFormat="1" ht="29.1" customHeight="1" x14ac:dyDescent="0.25">
      <c r="A7318" s="2" t="s">
        <v>15323</v>
      </c>
      <c r="B7318" s="2" t="s">
        <v>15325</v>
      </c>
      <c r="C7318" s="2" t="s">
        <v>15315</v>
      </c>
      <c r="D7318" s="2" t="s">
        <v>15324</v>
      </c>
      <c r="E7318" s="2"/>
      <c r="F7318" s="2" t="str">
        <f>"9781934831052"</f>
        <v>9781934831052</v>
      </c>
    </row>
    <row r="7319" spans="1:6" s="3" customFormat="1" ht="29.1" customHeight="1" x14ac:dyDescent="0.25">
      <c r="A7319" s="2" t="s">
        <v>15326</v>
      </c>
      <c r="B7319" s="2" t="s">
        <v>15327</v>
      </c>
      <c r="C7319" s="2" t="s">
        <v>15315</v>
      </c>
      <c r="D7319" s="2" t="s">
        <v>4214</v>
      </c>
      <c r="E7319" s="2"/>
      <c r="F7319" s="2" t="str">
        <f>"9781934831083"</f>
        <v>9781934831083</v>
      </c>
    </row>
    <row r="7320" spans="1:6" s="3" customFormat="1" ht="29.1" customHeight="1" x14ac:dyDescent="0.25">
      <c r="A7320" s="2" t="s">
        <v>15328</v>
      </c>
      <c r="B7320" s="2" t="s">
        <v>15329</v>
      </c>
      <c r="C7320" s="2" t="s">
        <v>15315</v>
      </c>
      <c r="D7320" s="2" t="s">
        <v>2237</v>
      </c>
      <c r="E7320" s="2"/>
      <c r="F7320" s="2" t="str">
        <f>"9781934831069"</f>
        <v>9781934831069</v>
      </c>
    </row>
    <row r="7321" spans="1:6" s="3" customFormat="1" ht="29.1" customHeight="1" x14ac:dyDescent="0.25">
      <c r="A7321" s="2" t="s">
        <v>15330</v>
      </c>
      <c r="B7321" s="2" t="s">
        <v>15331</v>
      </c>
      <c r="C7321" s="2" t="s">
        <v>15315</v>
      </c>
      <c r="D7321" s="2" t="s">
        <v>89</v>
      </c>
      <c r="E7321" s="2"/>
      <c r="F7321" s="2" t="str">
        <f>"9781934831106"</f>
        <v>9781934831106</v>
      </c>
    </row>
    <row r="7322" spans="1:6" s="3" customFormat="1" ht="29.1" customHeight="1" x14ac:dyDescent="0.25">
      <c r="A7322" s="2" t="s">
        <v>15332</v>
      </c>
      <c r="B7322" s="2" t="s">
        <v>15333</v>
      </c>
      <c r="C7322" s="2" t="s">
        <v>15315</v>
      </c>
      <c r="D7322" s="2" t="s">
        <v>1437</v>
      </c>
      <c r="E7322" s="2"/>
      <c r="F7322" s="2" t="str">
        <f>"9781934831120"</f>
        <v>9781934831120</v>
      </c>
    </row>
    <row r="7323" spans="1:6" s="3" customFormat="1" ht="29.1" customHeight="1" x14ac:dyDescent="0.25">
      <c r="A7323" s="2" t="s">
        <v>15334</v>
      </c>
      <c r="B7323" s="2" t="s">
        <v>15331</v>
      </c>
      <c r="C7323" s="2" t="s">
        <v>15315</v>
      </c>
      <c r="D7323" s="2" t="s">
        <v>89</v>
      </c>
      <c r="E7323" s="2"/>
      <c r="F7323" s="2" t="str">
        <f>"9781934831076"</f>
        <v>9781934831076</v>
      </c>
    </row>
    <row r="7324" spans="1:6" s="3" customFormat="1" ht="29.1" customHeight="1" x14ac:dyDescent="0.25">
      <c r="A7324" s="2" t="s">
        <v>15335</v>
      </c>
      <c r="B7324" s="2" t="s">
        <v>15337</v>
      </c>
      <c r="C7324" s="2" t="s">
        <v>15315</v>
      </c>
      <c r="D7324" s="2" t="s">
        <v>15336</v>
      </c>
      <c r="E7324" s="2"/>
      <c r="F7324" s="2" t="str">
        <f>"9781934831137"</f>
        <v>9781934831137</v>
      </c>
    </row>
    <row r="7325" spans="1:6" s="3" customFormat="1" ht="29.1" customHeight="1" x14ac:dyDescent="0.25">
      <c r="A7325" s="2" t="s">
        <v>15338</v>
      </c>
      <c r="B7325" s="2" t="s">
        <v>15339</v>
      </c>
      <c r="C7325" s="2" t="s">
        <v>15315</v>
      </c>
      <c r="D7325" s="2" t="s">
        <v>5060</v>
      </c>
      <c r="E7325" s="2"/>
      <c r="F7325" s="2" t="str">
        <f>"9781934831144"</f>
        <v>9781934831144</v>
      </c>
    </row>
    <row r="7326" spans="1:6" s="3" customFormat="1" ht="29.1" customHeight="1" x14ac:dyDescent="0.25">
      <c r="A7326" s="2" t="s">
        <v>15340</v>
      </c>
      <c r="B7326" s="2" t="s">
        <v>15341</v>
      </c>
      <c r="C7326" s="2" t="s">
        <v>15315</v>
      </c>
      <c r="D7326" s="2" t="s">
        <v>8874</v>
      </c>
      <c r="E7326" s="2"/>
      <c r="F7326" s="2" t="str">
        <f>"9781934831151"</f>
        <v>9781934831151</v>
      </c>
    </row>
    <row r="7327" spans="1:6" s="3" customFormat="1" ht="29.1" customHeight="1" x14ac:dyDescent="0.25">
      <c r="A7327" s="2" t="s">
        <v>15342</v>
      </c>
      <c r="B7327" s="2" t="s">
        <v>15343</v>
      </c>
      <c r="C7327" s="2" t="s">
        <v>15315</v>
      </c>
      <c r="D7327" s="2" t="s">
        <v>60</v>
      </c>
      <c r="E7327" s="2"/>
      <c r="F7327" s="2" t="str">
        <f>"9781934831175"</f>
        <v>9781934831175</v>
      </c>
    </row>
    <row r="7328" spans="1:6" s="3" customFormat="1" ht="29.1" customHeight="1" x14ac:dyDescent="0.25">
      <c r="A7328" s="2" t="s">
        <v>15344</v>
      </c>
      <c r="B7328" s="2" t="s">
        <v>15345</v>
      </c>
      <c r="C7328" s="2" t="s">
        <v>15315</v>
      </c>
      <c r="D7328" s="2" t="s">
        <v>1768</v>
      </c>
      <c r="E7328" s="2"/>
      <c r="F7328" s="2" t="str">
        <f>"9781934831212"</f>
        <v>9781934831212</v>
      </c>
    </row>
    <row r="7329" spans="1:6" s="3" customFormat="1" ht="29.1" customHeight="1" x14ac:dyDescent="0.25">
      <c r="A7329" s="2" t="s">
        <v>15346</v>
      </c>
      <c r="B7329" s="2" t="s">
        <v>15347</v>
      </c>
      <c r="C7329" s="2" t="s">
        <v>15315</v>
      </c>
      <c r="D7329" s="2" t="s">
        <v>1292</v>
      </c>
      <c r="E7329" s="2"/>
      <c r="F7329" s="2" t="str">
        <f>"9781934831168"</f>
        <v>9781934831168</v>
      </c>
    </row>
    <row r="7330" spans="1:6" s="3" customFormat="1" ht="29.1" customHeight="1" x14ac:dyDescent="0.25">
      <c r="A7330" s="2" t="s">
        <v>15348</v>
      </c>
      <c r="B7330" s="2" t="s">
        <v>15349</v>
      </c>
      <c r="C7330" s="2" t="s">
        <v>15315</v>
      </c>
      <c r="D7330" s="2" t="s">
        <v>1768</v>
      </c>
      <c r="E7330" s="2"/>
      <c r="F7330" s="2" t="str">
        <f>"9781934831007"</f>
        <v>9781934831007</v>
      </c>
    </row>
    <row r="7331" spans="1:6" s="3" customFormat="1" ht="29.1" customHeight="1" x14ac:dyDescent="0.25">
      <c r="A7331" s="2" t="s">
        <v>15350</v>
      </c>
      <c r="B7331" s="2" t="s">
        <v>15352</v>
      </c>
      <c r="C7331" s="2" t="s">
        <v>15315</v>
      </c>
      <c r="D7331" s="2" t="s">
        <v>15351</v>
      </c>
      <c r="E7331" s="2"/>
      <c r="F7331" s="2" t="str">
        <f>"9781934831205"</f>
        <v>9781934831205</v>
      </c>
    </row>
    <row r="7332" spans="1:6" s="3" customFormat="1" ht="29.1" customHeight="1" x14ac:dyDescent="0.25">
      <c r="A7332" s="2" t="s">
        <v>15353</v>
      </c>
      <c r="B7332" s="2" t="s">
        <v>15354</v>
      </c>
      <c r="C7332" s="2" t="s">
        <v>15315</v>
      </c>
      <c r="D7332" s="2" t="s">
        <v>4190</v>
      </c>
      <c r="E7332" s="2"/>
      <c r="F7332" s="2" t="str">
        <f>"9781934831182"</f>
        <v>9781934831182</v>
      </c>
    </row>
    <row r="7333" spans="1:6" s="3" customFormat="1" ht="29.1" customHeight="1" x14ac:dyDescent="0.25">
      <c r="A7333" s="2" t="s">
        <v>15355</v>
      </c>
      <c r="B7333" s="2" t="s">
        <v>15356</v>
      </c>
      <c r="C7333" s="2" t="s">
        <v>15315</v>
      </c>
      <c r="D7333" s="2" t="s">
        <v>2178</v>
      </c>
      <c r="E7333" s="2"/>
      <c r="F7333" s="2" t="str">
        <f>"9781934831229"</f>
        <v>9781934831229</v>
      </c>
    </row>
    <row r="7334" spans="1:6" s="3" customFormat="1" ht="29.1" customHeight="1" x14ac:dyDescent="0.25">
      <c r="A7334" s="2" t="s">
        <v>15357</v>
      </c>
      <c r="B7334" s="2" t="s">
        <v>15358</v>
      </c>
      <c r="C7334" s="2" t="s">
        <v>2188</v>
      </c>
      <c r="D7334" s="2" t="s">
        <v>490</v>
      </c>
      <c r="E7334" s="2" t="str">
        <f>"9788323234548"</f>
        <v>9788323234548</v>
      </c>
      <c r="F7334" s="2" t="str">
        <f>"9788323236566"</f>
        <v>9788323236566</v>
      </c>
    </row>
    <row r="7335" spans="1:6" s="3" customFormat="1" ht="29.1" customHeight="1" x14ac:dyDescent="0.25">
      <c r="A7335" s="2" t="s">
        <v>15359</v>
      </c>
      <c r="B7335" s="2" t="s">
        <v>15360</v>
      </c>
      <c r="C7335" s="2" t="s">
        <v>746</v>
      </c>
      <c r="D7335" s="2" t="s">
        <v>606</v>
      </c>
      <c r="E7335" s="2"/>
      <c r="F7335" s="2" t="str">
        <f>"9781803277899"</f>
        <v>9781803277899</v>
      </c>
    </row>
    <row r="7336" spans="1:6" s="3" customFormat="1" ht="29.1" customHeight="1" x14ac:dyDescent="0.25">
      <c r="A7336" s="2" t="s">
        <v>15361</v>
      </c>
      <c r="B7336" s="2" t="s">
        <v>15360</v>
      </c>
      <c r="C7336" s="2" t="s">
        <v>746</v>
      </c>
      <c r="D7336" s="2" t="s">
        <v>606</v>
      </c>
      <c r="E7336" s="2" t="str">
        <f>"9781905739622"</f>
        <v>9781905739622</v>
      </c>
      <c r="F7336" s="2" t="str">
        <f>"9781803277905"</f>
        <v>9781803277905</v>
      </c>
    </row>
    <row r="7337" spans="1:6" s="3" customFormat="1" ht="29.1" customHeight="1" x14ac:dyDescent="0.25">
      <c r="A7337" s="2" t="s">
        <v>15362</v>
      </c>
      <c r="B7337" s="2" t="s">
        <v>15363</v>
      </c>
      <c r="C7337" s="2" t="s">
        <v>746</v>
      </c>
      <c r="D7337" s="2" t="s">
        <v>636</v>
      </c>
      <c r="E7337" s="2" t="str">
        <f>"9781803277554"</f>
        <v>9781803277554</v>
      </c>
      <c r="F7337" s="2" t="str">
        <f>"9781803277561"</f>
        <v>9781803277561</v>
      </c>
    </row>
    <row r="7338" spans="1:6" s="3" customFormat="1" ht="29.1" customHeight="1" x14ac:dyDescent="0.25">
      <c r="A7338" s="2" t="s">
        <v>15364</v>
      </c>
      <c r="B7338" s="2" t="s">
        <v>15365</v>
      </c>
      <c r="C7338" s="2" t="s">
        <v>5</v>
      </c>
      <c r="D7338" s="2" t="s">
        <v>294</v>
      </c>
      <c r="E7338" s="2" t="str">
        <f>"9783031576706"</f>
        <v>9783031576706</v>
      </c>
      <c r="F7338" s="2" t="str">
        <f>"9783031576713"</f>
        <v>9783031576713</v>
      </c>
    </row>
    <row r="7339" spans="1:6" s="3" customFormat="1" ht="29.1" customHeight="1" x14ac:dyDescent="0.25">
      <c r="A7339" s="2" t="s">
        <v>15366</v>
      </c>
      <c r="B7339" s="2" t="s">
        <v>15367</v>
      </c>
      <c r="C7339" s="2" t="s">
        <v>327</v>
      </c>
      <c r="D7339" s="2" t="s">
        <v>1466</v>
      </c>
      <c r="E7339" s="2" t="str">
        <f>"9788383313726"</f>
        <v>9788383313726</v>
      </c>
      <c r="F7339" s="2" t="str">
        <f>"9788383313733"</f>
        <v>9788383313733</v>
      </c>
    </row>
    <row r="7340" spans="1:6" s="3" customFormat="1" ht="29.1" customHeight="1" x14ac:dyDescent="0.25">
      <c r="A7340" s="2" t="s">
        <v>15368</v>
      </c>
      <c r="B7340" s="2" t="s">
        <v>15369</v>
      </c>
      <c r="C7340" s="2" t="s">
        <v>327</v>
      </c>
      <c r="D7340" s="2" t="s">
        <v>4517</v>
      </c>
      <c r="E7340" s="2" t="str">
        <f>"9788383314280"</f>
        <v>9788383314280</v>
      </c>
      <c r="F7340" s="2" t="str">
        <f>"9788383314297"</f>
        <v>9788383314297</v>
      </c>
    </row>
    <row r="7341" spans="1:6" s="3" customFormat="1" ht="29.1" customHeight="1" x14ac:dyDescent="0.25">
      <c r="A7341" s="2" t="s">
        <v>15370</v>
      </c>
      <c r="B7341" s="2" t="s">
        <v>15371</v>
      </c>
      <c r="C7341" s="2" t="s">
        <v>327</v>
      </c>
      <c r="D7341" s="2" t="s">
        <v>1177</v>
      </c>
      <c r="E7341" s="2"/>
      <c r="F7341" s="2" t="str">
        <f>"9788383313603"</f>
        <v>9788383313603</v>
      </c>
    </row>
    <row r="7342" spans="1:6" s="3" customFormat="1" ht="29.1" customHeight="1" x14ac:dyDescent="0.25">
      <c r="A7342" s="2" t="s">
        <v>10266</v>
      </c>
      <c r="B7342" s="2" t="s">
        <v>10267</v>
      </c>
      <c r="C7342" s="2" t="s">
        <v>149</v>
      </c>
      <c r="D7342" s="2" t="s">
        <v>1209</v>
      </c>
      <c r="E7342" s="2"/>
      <c r="F7342" s="2" t="str">
        <f>"9781805113102"</f>
        <v>9781805113102</v>
      </c>
    </row>
    <row r="7343" spans="1:6" s="3" customFormat="1" ht="29.1" customHeight="1" x14ac:dyDescent="0.25">
      <c r="A7343" s="2" t="s">
        <v>15372</v>
      </c>
      <c r="B7343" s="2" t="s">
        <v>15373</v>
      </c>
      <c r="C7343" s="2" t="s">
        <v>149</v>
      </c>
      <c r="D7343" s="2" t="s">
        <v>7460</v>
      </c>
      <c r="E7343" s="2"/>
      <c r="F7343" s="2" t="str">
        <f>"9781805110019"</f>
        <v>9781805110019</v>
      </c>
    </row>
    <row r="7344" spans="1:6" s="3" customFormat="1" ht="29.1" customHeight="1" x14ac:dyDescent="0.25">
      <c r="A7344" s="2" t="s">
        <v>15374</v>
      </c>
      <c r="B7344" s="2" t="s">
        <v>15375</v>
      </c>
      <c r="C7344" s="2" t="s">
        <v>149</v>
      </c>
      <c r="D7344" s="2" t="s">
        <v>297</v>
      </c>
      <c r="E7344" s="2"/>
      <c r="F7344" s="2" t="str">
        <f>"9781805111870"</f>
        <v>9781805111870</v>
      </c>
    </row>
    <row r="7345" spans="1:6" s="3" customFormat="1" ht="29.1" customHeight="1" x14ac:dyDescent="0.25">
      <c r="A7345" s="2" t="s">
        <v>15376</v>
      </c>
      <c r="B7345" s="2" t="s">
        <v>15377</v>
      </c>
      <c r="C7345" s="2" t="s">
        <v>29</v>
      </c>
      <c r="D7345" s="2" t="s">
        <v>5032</v>
      </c>
      <c r="E7345" s="2" t="str">
        <f>"9789004691766"</f>
        <v>9789004691766</v>
      </c>
      <c r="F7345" s="2" t="str">
        <f>"9789004691780"</f>
        <v>9789004691780</v>
      </c>
    </row>
    <row r="7346" spans="1:6" s="3" customFormat="1" ht="29.1" customHeight="1" x14ac:dyDescent="0.25">
      <c r="A7346" s="2" t="s">
        <v>15378</v>
      </c>
      <c r="B7346" s="2" t="s">
        <v>15379</v>
      </c>
      <c r="C7346" s="2" t="s">
        <v>2188</v>
      </c>
      <c r="D7346" s="2" t="s">
        <v>12668</v>
      </c>
      <c r="E7346" s="2" t="str">
        <f>"9788323228868"</f>
        <v>9788323228868</v>
      </c>
      <c r="F7346" s="2" t="str">
        <f>"9788323243038"</f>
        <v>9788323243038</v>
      </c>
    </row>
    <row r="7347" spans="1:6" s="3" customFormat="1" ht="29.1" customHeight="1" x14ac:dyDescent="0.25">
      <c r="A7347" s="2" t="s">
        <v>15380</v>
      </c>
      <c r="B7347" s="2" t="s">
        <v>15383</v>
      </c>
      <c r="C7347" s="2" t="s">
        <v>15381</v>
      </c>
      <c r="D7347" s="2" t="s">
        <v>15382</v>
      </c>
      <c r="E7347" s="2" t="str">
        <f>"9781469675572"</f>
        <v>9781469675572</v>
      </c>
      <c r="F7347" s="2" t="str">
        <f>"9781469675602"</f>
        <v>9781469675602</v>
      </c>
    </row>
    <row r="7348" spans="1:6" s="3" customFormat="1" ht="29.1" customHeight="1" x14ac:dyDescent="0.25">
      <c r="A7348" s="2" t="s">
        <v>15384</v>
      </c>
      <c r="B7348" s="2" t="s">
        <v>15385</v>
      </c>
      <c r="C7348" s="2" t="s">
        <v>5</v>
      </c>
      <c r="D7348" s="2" t="s">
        <v>44</v>
      </c>
      <c r="E7348" s="2" t="str">
        <f>"9789464633979"</f>
        <v>9789464633979</v>
      </c>
      <c r="F7348" s="2" t="str">
        <f>"9789464633986"</f>
        <v>9789464633986</v>
      </c>
    </row>
    <row r="7349" spans="1:6" s="3" customFormat="1" ht="29.1" customHeight="1" x14ac:dyDescent="0.25">
      <c r="A7349" s="2" t="s">
        <v>15386</v>
      </c>
      <c r="B7349" s="2" t="s">
        <v>15387</v>
      </c>
      <c r="C7349" s="2" t="s">
        <v>5</v>
      </c>
      <c r="D7349" s="2" t="s">
        <v>1888</v>
      </c>
      <c r="E7349" s="2" t="str">
        <f>"9783031418037"</f>
        <v>9783031418037</v>
      </c>
      <c r="F7349" s="2" t="str">
        <f>"9783031418044"</f>
        <v>9783031418044</v>
      </c>
    </row>
    <row r="7350" spans="1:6" s="3" customFormat="1" ht="29.1" customHeight="1" x14ac:dyDescent="0.25">
      <c r="A7350" s="2" t="s">
        <v>15388</v>
      </c>
      <c r="B7350" s="2" t="s">
        <v>15389</v>
      </c>
      <c r="C7350" s="2" t="s">
        <v>5</v>
      </c>
      <c r="D7350" s="2" t="s">
        <v>674</v>
      </c>
      <c r="E7350" s="2" t="str">
        <f>"9783031415494"</f>
        <v>9783031415494</v>
      </c>
      <c r="F7350" s="2" t="str">
        <f>"9783031415500"</f>
        <v>9783031415500</v>
      </c>
    </row>
    <row r="7351" spans="1:6" s="3" customFormat="1" ht="29.1" customHeight="1" x14ac:dyDescent="0.25">
      <c r="A7351" s="2" t="s">
        <v>15390</v>
      </c>
      <c r="B7351" s="2" t="s">
        <v>15391</v>
      </c>
      <c r="C7351" s="2" t="s">
        <v>595</v>
      </c>
      <c r="D7351" s="2" t="s">
        <v>3214</v>
      </c>
      <c r="E7351" s="2" t="str">
        <f>"9781636672007"</f>
        <v>9781636672007</v>
      </c>
      <c r="F7351" s="2" t="str">
        <f>"9781636671987"</f>
        <v>9781636671987</v>
      </c>
    </row>
    <row r="7352" spans="1:6" s="3" customFormat="1" ht="29.1" customHeight="1" x14ac:dyDescent="0.25">
      <c r="A7352" s="2" t="s">
        <v>15392</v>
      </c>
      <c r="B7352" s="2" t="s">
        <v>15393</v>
      </c>
      <c r="C7352" s="2" t="s">
        <v>15315</v>
      </c>
      <c r="D7352" s="2" t="s">
        <v>3523</v>
      </c>
      <c r="E7352" s="2" t="str">
        <f>"9781934831236"</f>
        <v>9781934831236</v>
      </c>
      <c r="F7352" s="2" t="str">
        <f>"9781934831243"</f>
        <v>9781934831243</v>
      </c>
    </row>
    <row r="7353" spans="1:6" s="3" customFormat="1" ht="29.1" customHeight="1" x14ac:dyDescent="0.25">
      <c r="A7353" s="2" t="s">
        <v>15394</v>
      </c>
      <c r="B7353" s="2" t="s">
        <v>15395</v>
      </c>
      <c r="C7353" s="2" t="s">
        <v>15315</v>
      </c>
      <c r="D7353" s="2" t="s">
        <v>270</v>
      </c>
      <c r="E7353" s="2" t="str">
        <f>"9781934831250"</f>
        <v>9781934831250</v>
      </c>
      <c r="F7353" s="2" t="str">
        <f>"9781934831267"</f>
        <v>9781934831267</v>
      </c>
    </row>
    <row r="7354" spans="1:6" s="3" customFormat="1" ht="29.1" customHeight="1" x14ac:dyDescent="0.25">
      <c r="A7354" s="2" t="s">
        <v>15396</v>
      </c>
      <c r="B7354" s="2" t="s">
        <v>15397</v>
      </c>
      <c r="C7354" s="2" t="s">
        <v>15315</v>
      </c>
      <c r="D7354" s="2" t="s">
        <v>4190</v>
      </c>
      <c r="E7354" s="2" t="str">
        <f>"9781934831281"</f>
        <v>9781934831281</v>
      </c>
      <c r="F7354" s="2" t="str">
        <f>"9781934831298"</f>
        <v>9781934831298</v>
      </c>
    </row>
    <row r="7355" spans="1:6" s="3" customFormat="1" ht="29.1" customHeight="1" x14ac:dyDescent="0.25">
      <c r="A7355" s="2" t="s">
        <v>15398</v>
      </c>
      <c r="B7355" s="2" t="s">
        <v>15399</v>
      </c>
      <c r="C7355" s="2" t="s">
        <v>15315</v>
      </c>
      <c r="D7355" s="2" t="s">
        <v>12465</v>
      </c>
      <c r="E7355" s="2" t="str">
        <f>"9781934831311"</f>
        <v>9781934831311</v>
      </c>
      <c r="F7355" s="2" t="str">
        <f>"9781934831328"</f>
        <v>9781934831328</v>
      </c>
    </row>
    <row r="7356" spans="1:6" s="3" customFormat="1" ht="29.1" customHeight="1" x14ac:dyDescent="0.25">
      <c r="A7356" s="2" t="s">
        <v>15400</v>
      </c>
      <c r="B7356" s="2" t="s">
        <v>6890</v>
      </c>
      <c r="C7356" s="2" t="s">
        <v>5</v>
      </c>
      <c r="D7356" s="2" t="s">
        <v>101</v>
      </c>
      <c r="E7356" s="2" t="str">
        <f>"9783662687918"</f>
        <v>9783662687918</v>
      </c>
      <c r="F7356" s="2" t="str">
        <f>"9783662687925"</f>
        <v>9783662687925</v>
      </c>
    </row>
    <row r="7357" spans="1:6" s="3" customFormat="1" ht="29.1" customHeight="1" x14ac:dyDescent="0.25">
      <c r="A7357" s="2" t="s">
        <v>15401</v>
      </c>
      <c r="B7357" s="2" t="s">
        <v>15402</v>
      </c>
      <c r="C7357" s="2" t="s">
        <v>5</v>
      </c>
      <c r="D7357" s="2" t="s">
        <v>186</v>
      </c>
      <c r="E7357" s="2" t="str">
        <f>"9783658440589"</f>
        <v>9783658440589</v>
      </c>
      <c r="F7357" s="2" t="str">
        <f>"9783658440596"</f>
        <v>9783658440596</v>
      </c>
    </row>
    <row r="7358" spans="1:6" s="3" customFormat="1" ht="29.1" customHeight="1" x14ac:dyDescent="0.25">
      <c r="A7358" s="2" t="s">
        <v>15403</v>
      </c>
      <c r="B7358" s="2" t="s">
        <v>15404</v>
      </c>
      <c r="C7358" s="2" t="s">
        <v>29</v>
      </c>
      <c r="D7358" s="2" t="s">
        <v>9</v>
      </c>
      <c r="E7358" s="2" t="str">
        <f>"9789004680654"</f>
        <v>9789004680654</v>
      </c>
      <c r="F7358" s="2" t="str">
        <f>"9789004680661"</f>
        <v>9789004680661</v>
      </c>
    </row>
    <row r="7359" spans="1:6" s="3" customFormat="1" ht="29.1" customHeight="1" x14ac:dyDescent="0.25">
      <c r="A7359" s="2" t="s">
        <v>15405</v>
      </c>
      <c r="B7359" s="2" t="s">
        <v>15406</v>
      </c>
      <c r="C7359" s="2" t="s">
        <v>927</v>
      </c>
      <c r="D7359" s="2" t="s">
        <v>297</v>
      </c>
      <c r="E7359" s="2" t="str">
        <f>"9780472056743"</f>
        <v>9780472056743</v>
      </c>
      <c r="F7359" s="2" t="str">
        <f>"9780472904426"</f>
        <v>9780472904426</v>
      </c>
    </row>
    <row r="7360" spans="1:6" s="3" customFormat="1" ht="29.1" customHeight="1" x14ac:dyDescent="0.25">
      <c r="A7360" s="2" t="s">
        <v>15407</v>
      </c>
      <c r="B7360" s="2" t="s">
        <v>15408</v>
      </c>
      <c r="C7360" s="2" t="s">
        <v>927</v>
      </c>
      <c r="D7360" s="2" t="s">
        <v>270</v>
      </c>
      <c r="E7360" s="2" t="str">
        <f>"9780472056767"</f>
        <v>9780472056767</v>
      </c>
      <c r="F7360" s="2" t="str">
        <f>"9780472904440"</f>
        <v>9780472904440</v>
      </c>
    </row>
    <row r="7361" spans="1:6" s="3" customFormat="1" ht="29.1" customHeight="1" x14ac:dyDescent="0.25">
      <c r="A7361" s="2" t="s">
        <v>15409</v>
      </c>
      <c r="B7361" s="2" t="s">
        <v>15410</v>
      </c>
      <c r="C7361" s="2" t="s">
        <v>5</v>
      </c>
      <c r="D7361" s="2" t="s">
        <v>183</v>
      </c>
      <c r="E7361" s="2" t="str">
        <f>"9789464633917"</f>
        <v>9789464633917</v>
      </c>
      <c r="F7361" s="2" t="str">
        <f>"9789464633924"</f>
        <v>9789464633924</v>
      </c>
    </row>
    <row r="7362" spans="1:6" s="3" customFormat="1" ht="29.1" customHeight="1" x14ac:dyDescent="0.25">
      <c r="A7362" s="2" t="s">
        <v>15411</v>
      </c>
      <c r="B7362" s="2" t="s">
        <v>15412</v>
      </c>
      <c r="C7362" s="2" t="s">
        <v>5</v>
      </c>
      <c r="D7362" s="2" t="s">
        <v>4783</v>
      </c>
      <c r="E7362" s="2" t="str">
        <f>"9789819993024"</f>
        <v>9789819993024</v>
      </c>
      <c r="F7362" s="2" t="str">
        <f>"9789819993031"</f>
        <v>9789819993031</v>
      </c>
    </row>
    <row r="7363" spans="1:6" s="3" customFormat="1" ht="29.1" customHeight="1" x14ac:dyDescent="0.25">
      <c r="A7363" s="2" t="s">
        <v>15413</v>
      </c>
      <c r="B7363" s="2" t="s">
        <v>15414</v>
      </c>
      <c r="C7363" s="2" t="s">
        <v>29</v>
      </c>
      <c r="D7363" s="2" t="s">
        <v>9</v>
      </c>
      <c r="E7363" s="2" t="str">
        <f>"9789004701168"</f>
        <v>9789004701168</v>
      </c>
      <c r="F7363" s="2" t="str">
        <f>"9789004701175"</f>
        <v>9789004701175</v>
      </c>
    </row>
    <row r="7364" spans="1:6" s="3" customFormat="1" ht="29.1" customHeight="1" x14ac:dyDescent="0.25">
      <c r="A7364" s="2" t="s">
        <v>15415</v>
      </c>
      <c r="B7364" s="2" t="s">
        <v>15416</v>
      </c>
      <c r="C7364" s="2" t="s">
        <v>29</v>
      </c>
      <c r="D7364" s="2" t="s">
        <v>689</v>
      </c>
      <c r="E7364" s="2" t="str">
        <f>"9783770568727"</f>
        <v>9783770568727</v>
      </c>
      <c r="F7364" s="2" t="str">
        <f>"9783846768723"</f>
        <v>9783846768723</v>
      </c>
    </row>
    <row r="7365" spans="1:6" s="3" customFormat="1" ht="29.1" customHeight="1" x14ac:dyDescent="0.25">
      <c r="A7365" s="2" t="s">
        <v>15417</v>
      </c>
      <c r="B7365" s="2" t="s">
        <v>15418</v>
      </c>
      <c r="C7365" s="2" t="s">
        <v>29</v>
      </c>
      <c r="D7365" s="2" t="s">
        <v>7460</v>
      </c>
      <c r="E7365" s="2" t="str">
        <f>"9789004462793"</f>
        <v>9789004462793</v>
      </c>
      <c r="F7365" s="2" t="str">
        <f>"9789004697683"</f>
        <v>9789004697683</v>
      </c>
    </row>
    <row r="7366" spans="1:6" s="3" customFormat="1" ht="29.1" customHeight="1" x14ac:dyDescent="0.25">
      <c r="A7366" s="2" t="s">
        <v>15419</v>
      </c>
      <c r="B7366" s="2" t="s">
        <v>15420</v>
      </c>
      <c r="C7366" s="2" t="s">
        <v>124</v>
      </c>
      <c r="D7366" s="2" t="s">
        <v>791</v>
      </c>
      <c r="E7366" s="2" t="str">
        <f>"9781032797601"</f>
        <v>9781032797601</v>
      </c>
      <c r="F7366" s="2" t="str">
        <f>"9781003493730"</f>
        <v>9781003493730</v>
      </c>
    </row>
    <row r="7367" spans="1:6" s="3" customFormat="1" ht="29.1" customHeight="1" x14ac:dyDescent="0.25">
      <c r="A7367" s="2" t="s">
        <v>15421</v>
      </c>
      <c r="B7367" s="2" t="s">
        <v>15422</v>
      </c>
      <c r="C7367" s="2" t="s">
        <v>927</v>
      </c>
      <c r="D7367" s="2" t="s">
        <v>2208</v>
      </c>
      <c r="E7367" s="2" t="str">
        <f>"9780472056415"</f>
        <v>9780472056415</v>
      </c>
      <c r="F7367" s="2" t="str">
        <f>"9780472903825"</f>
        <v>9780472903825</v>
      </c>
    </row>
    <row r="7368" spans="1:6" s="3" customFormat="1" ht="29.1" customHeight="1" x14ac:dyDescent="0.25">
      <c r="A7368" s="2" t="s">
        <v>15423</v>
      </c>
      <c r="B7368" s="2" t="s">
        <v>15424</v>
      </c>
      <c r="C7368" s="2" t="s">
        <v>927</v>
      </c>
      <c r="D7368" s="2" t="s">
        <v>2208</v>
      </c>
      <c r="E7368" s="2" t="str">
        <f>"9780472056569"</f>
        <v>9780472056569</v>
      </c>
      <c r="F7368" s="2" t="str">
        <f>"9780472903962"</f>
        <v>9780472903962</v>
      </c>
    </row>
    <row r="7369" spans="1:6" s="3" customFormat="1" ht="29.1" customHeight="1" x14ac:dyDescent="0.25">
      <c r="A7369" s="2" t="s">
        <v>15425</v>
      </c>
      <c r="B7369" s="2" t="s">
        <v>15426</v>
      </c>
      <c r="C7369" s="2" t="s">
        <v>5</v>
      </c>
      <c r="D7369" s="2" t="s">
        <v>381</v>
      </c>
      <c r="E7369" s="2" t="str">
        <f>"9783031433627"</f>
        <v>9783031433627</v>
      </c>
      <c r="F7369" s="2" t="str">
        <f>"9783031433634"</f>
        <v>9783031433634</v>
      </c>
    </row>
    <row r="7370" spans="1:6" s="3" customFormat="1" ht="29.1" customHeight="1" x14ac:dyDescent="0.25">
      <c r="A7370" s="2" t="s">
        <v>15427</v>
      </c>
      <c r="B7370" s="2" t="s">
        <v>15428</v>
      </c>
      <c r="C7370" s="2" t="s">
        <v>5</v>
      </c>
      <c r="D7370" s="2" t="s">
        <v>3564</v>
      </c>
      <c r="E7370" s="2" t="str">
        <f>"9783031469206"</f>
        <v>9783031469206</v>
      </c>
      <c r="F7370" s="2" t="str">
        <f>"9783031469213"</f>
        <v>9783031469213</v>
      </c>
    </row>
    <row r="7371" spans="1:6" s="3" customFormat="1" ht="29.1" customHeight="1" x14ac:dyDescent="0.25">
      <c r="A7371" s="2" t="s">
        <v>15429</v>
      </c>
      <c r="B7371" s="2" t="s">
        <v>15430</v>
      </c>
      <c r="C7371" s="2" t="s">
        <v>5</v>
      </c>
      <c r="D7371" s="2" t="s">
        <v>72</v>
      </c>
      <c r="E7371" s="2" t="str">
        <f>"9783031497940"</f>
        <v>9783031497940</v>
      </c>
      <c r="F7371" s="2" t="str">
        <f>"9783031497957"</f>
        <v>9783031497957</v>
      </c>
    </row>
    <row r="7372" spans="1:6" s="3" customFormat="1" ht="29.1" customHeight="1" x14ac:dyDescent="0.25">
      <c r="A7372" s="2" t="s">
        <v>15431</v>
      </c>
      <c r="B7372" s="2" t="s">
        <v>15432</v>
      </c>
      <c r="C7372" s="2" t="s">
        <v>2133</v>
      </c>
      <c r="D7372" s="2" t="s">
        <v>606</v>
      </c>
      <c r="E7372" s="2" t="str">
        <f>"9781740761130"</f>
        <v>9781740761130</v>
      </c>
      <c r="F7372" s="2" t="str">
        <f>"9781921313042"</f>
        <v>9781921313042</v>
      </c>
    </row>
    <row r="7373" spans="1:6" s="3" customFormat="1" ht="29.1" customHeight="1" x14ac:dyDescent="0.25">
      <c r="A7373" s="2" t="s">
        <v>15433</v>
      </c>
      <c r="B7373" s="2" t="s">
        <v>15434</v>
      </c>
      <c r="C7373" s="2" t="s">
        <v>2133</v>
      </c>
      <c r="D7373" s="2" t="s">
        <v>12</v>
      </c>
      <c r="E7373" s="2" t="str">
        <f>"9781921313301"</f>
        <v>9781921313301</v>
      </c>
      <c r="F7373" s="2" t="str">
        <f>"9781921313318"</f>
        <v>9781921313318</v>
      </c>
    </row>
    <row r="7374" spans="1:6" s="3" customFormat="1" ht="29.1" customHeight="1" x14ac:dyDescent="0.25">
      <c r="A7374" s="2" t="s">
        <v>15435</v>
      </c>
      <c r="B7374" s="2" t="s">
        <v>15436</v>
      </c>
      <c r="C7374" s="2" t="s">
        <v>2133</v>
      </c>
      <c r="D7374" s="2" t="s">
        <v>841</v>
      </c>
      <c r="E7374" s="2" t="str">
        <f>"9781922144102"</f>
        <v>9781922144102</v>
      </c>
      <c r="F7374" s="2" t="str">
        <f>"9781922144119"</f>
        <v>9781922144119</v>
      </c>
    </row>
    <row r="7375" spans="1:6" s="3" customFormat="1" ht="29.1" customHeight="1" x14ac:dyDescent="0.25">
      <c r="A7375" s="2" t="s">
        <v>15437</v>
      </c>
      <c r="B7375" s="2" t="s">
        <v>15438</v>
      </c>
      <c r="C7375" s="2" t="s">
        <v>2133</v>
      </c>
      <c r="D7375" s="2" t="s">
        <v>636</v>
      </c>
      <c r="E7375" s="2" t="str">
        <f>"9781922144669"</f>
        <v>9781922144669</v>
      </c>
      <c r="F7375" s="2" t="str">
        <f>"9781922144676"</f>
        <v>9781922144676</v>
      </c>
    </row>
    <row r="7376" spans="1:6" s="3" customFormat="1" ht="29.1" customHeight="1" x14ac:dyDescent="0.25">
      <c r="A7376" s="2" t="s">
        <v>15439</v>
      </c>
      <c r="B7376" s="2" t="s">
        <v>15440</v>
      </c>
      <c r="C7376" s="2" t="s">
        <v>8047</v>
      </c>
      <c r="D7376" s="2" t="s">
        <v>1712</v>
      </c>
      <c r="E7376" s="2" t="str">
        <f>"9780271097114"</f>
        <v>9780271097114</v>
      </c>
      <c r="F7376" s="2" t="str">
        <f>"9780271098357"</f>
        <v>9780271098357</v>
      </c>
    </row>
    <row r="7377" spans="1:6" s="3" customFormat="1" ht="29.1" customHeight="1" x14ac:dyDescent="0.25">
      <c r="A7377" s="2" t="s">
        <v>15441</v>
      </c>
      <c r="B7377" s="2" t="s">
        <v>15442</v>
      </c>
      <c r="C7377" s="2" t="s">
        <v>8047</v>
      </c>
      <c r="D7377" s="2" t="s">
        <v>465</v>
      </c>
      <c r="E7377" s="2" t="str">
        <f>"9780271019840"</f>
        <v>9780271019840</v>
      </c>
      <c r="F7377" s="2" t="str">
        <f>"9780271097695"</f>
        <v>9780271097695</v>
      </c>
    </row>
    <row r="7378" spans="1:6" s="3" customFormat="1" ht="29.1" customHeight="1" x14ac:dyDescent="0.25">
      <c r="A7378" s="2" t="s">
        <v>15443</v>
      </c>
      <c r="B7378" s="2" t="s">
        <v>15444</v>
      </c>
      <c r="C7378" s="2" t="s">
        <v>239</v>
      </c>
      <c r="D7378" s="2" t="s">
        <v>636</v>
      </c>
      <c r="E7378" s="2" t="str">
        <f>"9780520400542"</f>
        <v>9780520400542</v>
      </c>
      <c r="F7378" s="2" t="str">
        <f>"9780520400559"</f>
        <v>9780520400559</v>
      </c>
    </row>
    <row r="7379" spans="1:6" s="3" customFormat="1" ht="29.1" customHeight="1" x14ac:dyDescent="0.25">
      <c r="A7379" s="2" t="s">
        <v>15445</v>
      </c>
      <c r="B7379" s="2" t="s">
        <v>15446</v>
      </c>
      <c r="C7379" s="2" t="s">
        <v>15181</v>
      </c>
      <c r="D7379" s="2" t="s">
        <v>3221</v>
      </c>
      <c r="E7379" s="2" t="str">
        <f>"9789087284084"</f>
        <v>9789087284084</v>
      </c>
      <c r="F7379" s="2" t="str">
        <f>"9789400604537"</f>
        <v>9789400604537</v>
      </c>
    </row>
    <row r="7380" spans="1:6" s="3" customFormat="1" ht="29.1" customHeight="1" x14ac:dyDescent="0.25">
      <c r="A7380" s="2" t="s">
        <v>15447</v>
      </c>
      <c r="B7380" s="2" t="s">
        <v>15448</v>
      </c>
      <c r="C7380" s="2" t="s">
        <v>5</v>
      </c>
      <c r="D7380" s="2" t="s">
        <v>501</v>
      </c>
      <c r="E7380" s="2" t="str">
        <f>"9783031418495"</f>
        <v>9783031418495</v>
      </c>
      <c r="F7380" s="2" t="str">
        <f>"9783031418501"</f>
        <v>9783031418501</v>
      </c>
    </row>
    <row r="7381" spans="1:6" s="3" customFormat="1" ht="29.1" customHeight="1" x14ac:dyDescent="0.25">
      <c r="A7381" s="2" t="s">
        <v>15449</v>
      </c>
      <c r="B7381" s="2" t="s">
        <v>15450</v>
      </c>
      <c r="C7381" s="2" t="s">
        <v>5</v>
      </c>
      <c r="D7381" s="2" t="s">
        <v>791</v>
      </c>
      <c r="E7381" s="2" t="str">
        <f>"9783031527906"</f>
        <v>9783031527906</v>
      </c>
      <c r="F7381" s="2" t="str">
        <f>"9783031527913"</f>
        <v>9783031527913</v>
      </c>
    </row>
    <row r="7382" spans="1:6" s="3" customFormat="1" ht="29.1" customHeight="1" x14ac:dyDescent="0.25">
      <c r="A7382" s="2" t="s">
        <v>15451</v>
      </c>
      <c r="B7382" s="2" t="s">
        <v>15452</v>
      </c>
      <c r="C7382" s="2" t="s">
        <v>5</v>
      </c>
      <c r="D7382" s="2" t="s">
        <v>78</v>
      </c>
      <c r="E7382" s="2" t="str">
        <f>"9783031558504"</f>
        <v>9783031558504</v>
      </c>
      <c r="F7382" s="2" t="str">
        <f>"9783031558511"</f>
        <v>9783031558511</v>
      </c>
    </row>
    <row r="7383" spans="1:6" s="3" customFormat="1" ht="29.1" customHeight="1" x14ac:dyDescent="0.25">
      <c r="A7383" s="2" t="s">
        <v>15453</v>
      </c>
      <c r="B7383" s="2" t="s">
        <v>15455</v>
      </c>
      <c r="C7383" s="2" t="s">
        <v>2242</v>
      </c>
      <c r="D7383" s="2" t="s">
        <v>15454</v>
      </c>
      <c r="E7383" s="2" t="str">
        <f>"9788024464138"</f>
        <v>9788024464138</v>
      </c>
      <c r="F7383" s="2" t="str">
        <f>"9788024464145"</f>
        <v>9788024464145</v>
      </c>
    </row>
    <row r="7384" spans="1:6" s="3" customFormat="1" ht="29.1" customHeight="1" x14ac:dyDescent="0.25">
      <c r="A7384" s="2" t="s">
        <v>15456</v>
      </c>
      <c r="B7384" s="2" t="s">
        <v>15457</v>
      </c>
      <c r="C7384" s="2" t="s">
        <v>5</v>
      </c>
      <c r="D7384" s="2" t="s">
        <v>52</v>
      </c>
      <c r="E7384" s="2" t="str">
        <f>"9783658437046"</f>
        <v>9783658437046</v>
      </c>
      <c r="F7384" s="2" t="str">
        <f>"9783658437053"</f>
        <v>9783658437053</v>
      </c>
    </row>
    <row r="7385" spans="1:6" s="3" customFormat="1" ht="29.1" customHeight="1" x14ac:dyDescent="0.25">
      <c r="A7385" s="2" t="s">
        <v>15458</v>
      </c>
      <c r="B7385" s="2" t="s">
        <v>15459</v>
      </c>
      <c r="C7385" s="2" t="s">
        <v>927</v>
      </c>
      <c r="D7385" s="2" t="s">
        <v>270</v>
      </c>
      <c r="E7385" s="2" t="str">
        <f>"9780472056699"</f>
        <v>9780472056699</v>
      </c>
      <c r="F7385" s="2" t="str">
        <f>"9780472904389"</f>
        <v>9780472904389</v>
      </c>
    </row>
    <row r="7386" spans="1:6" s="3" customFormat="1" ht="29.1" customHeight="1" x14ac:dyDescent="0.25">
      <c r="A7386" s="2" t="s">
        <v>15460</v>
      </c>
      <c r="B7386" s="2" t="s">
        <v>15461</v>
      </c>
      <c r="C7386" s="2" t="s">
        <v>927</v>
      </c>
      <c r="D7386" s="2" t="s">
        <v>270</v>
      </c>
      <c r="E7386" s="2" t="str">
        <f>"9780472056071"</f>
        <v>9780472056071</v>
      </c>
      <c r="F7386" s="2" t="str">
        <f>"9780472903412"</f>
        <v>9780472903412</v>
      </c>
    </row>
    <row r="7387" spans="1:6" s="3" customFormat="1" ht="29.1" customHeight="1" x14ac:dyDescent="0.25">
      <c r="A7387" s="2" t="s">
        <v>15462</v>
      </c>
      <c r="B7387" s="2" t="s">
        <v>15463</v>
      </c>
      <c r="C7387" s="2" t="s">
        <v>927</v>
      </c>
      <c r="D7387" s="2" t="s">
        <v>297</v>
      </c>
      <c r="E7387" s="2" t="str">
        <f>"9780472056590"</f>
        <v>9780472056590</v>
      </c>
      <c r="F7387" s="2" t="str">
        <f>"9780472904013"</f>
        <v>9780472904013</v>
      </c>
    </row>
    <row r="7388" spans="1:6" s="3" customFormat="1" ht="29.1" customHeight="1" x14ac:dyDescent="0.25">
      <c r="A7388" s="2" t="s">
        <v>15464</v>
      </c>
      <c r="B7388" s="2" t="s">
        <v>15465</v>
      </c>
      <c r="C7388" s="2" t="s">
        <v>927</v>
      </c>
      <c r="D7388" s="2" t="s">
        <v>270</v>
      </c>
      <c r="E7388" s="2" t="str">
        <f>"9780472056705"</f>
        <v>9780472056705</v>
      </c>
      <c r="F7388" s="2" t="str">
        <f>"9780472904396"</f>
        <v>9780472904396</v>
      </c>
    </row>
    <row r="7389" spans="1:6" s="3" customFormat="1" ht="29.1" customHeight="1" x14ac:dyDescent="0.25">
      <c r="A7389" s="2" t="s">
        <v>15466</v>
      </c>
      <c r="B7389" s="2" t="s">
        <v>15467</v>
      </c>
      <c r="C7389" s="2" t="s">
        <v>927</v>
      </c>
      <c r="D7389" s="2" t="s">
        <v>334</v>
      </c>
      <c r="E7389" s="2" t="str">
        <f>"9780472056675"</f>
        <v>9780472056675</v>
      </c>
      <c r="F7389" s="2" t="str">
        <f>"9780472904365"</f>
        <v>9780472904365</v>
      </c>
    </row>
    <row r="7390" spans="1:6" s="3" customFormat="1" ht="29.1" customHeight="1" x14ac:dyDescent="0.25">
      <c r="A7390" s="2" t="s">
        <v>15468</v>
      </c>
      <c r="B7390" s="2" t="s">
        <v>15469</v>
      </c>
      <c r="C7390" s="2" t="s">
        <v>927</v>
      </c>
      <c r="D7390" s="2" t="s">
        <v>270</v>
      </c>
      <c r="E7390" s="2" t="str">
        <f>"9780472056606"</f>
        <v>9780472056606</v>
      </c>
      <c r="F7390" s="2" t="str">
        <f>"9780472904037"</f>
        <v>9780472904037</v>
      </c>
    </row>
    <row r="7391" spans="1:6" s="3" customFormat="1" ht="29.1" customHeight="1" x14ac:dyDescent="0.25">
      <c r="A7391" s="2" t="s">
        <v>15470</v>
      </c>
      <c r="B7391" s="2" t="s">
        <v>15471</v>
      </c>
      <c r="C7391" s="2" t="s">
        <v>927</v>
      </c>
      <c r="D7391" s="2" t="s">
        <v>297</v>
      </c>
      <c r="E7391" s="2" t="str">
        <f>"9780472056378"</f>
        <v>9780472056378</v>
      </c>
      <c r="F7391" s="2" t="str">
        <f>"9780472903764"</f>
        <v>9780472903764</v>
      </c>
    </row>
    <row r="7392" spans="1:6" s="3" customFormat="1" ht="29.1" customHeight="1" x14ac:dyDescent="0.25">
      <c r="A7392" s="2" t="s">
        <v>15472</v>
      </c>
      <c r="B7392" s="2" t="s">
        <v>15473</v>
      </c>
      <c r="C7392" s="2" t="s">
        <v>927</v>
      </c>
      <c r="D7392" s="2" t="s">
        <v>270</v>
      </c>
      <c r="E7392" s="2" t="str">
        <f>"9780472056620"</f>
        <v>9780472056620</v>
      </c>
      <c r="F7392" s="2" t="str">
        <f>"9780472904280"</f>
        <v>9780472904280</v>
      </c>
    </row>
    <row r="7393" spans="1:6" s="3" customFormat="1" ht="29.1" customHeight="1" x14ac:dyDescent="0.25">
      <c r="A7393" s="2" t="s">
        <v>15474</v>
      </c>
      <c r="B7393" s="2" t="s">
        <v>15475</v>
      </c>
      <c r="C7393" s="2" t="s">
        <v>927</v>
      </c>
      <c r="D7393" s="2" t="s">
        <v>270</v>
      </c>
      <c r="E7393" s="2" t="str">
        <f>"9780472055715"</f>
        <v>9780472055715</v>
      </c>
      <c r="F7393" s="2" t="str">
        <f>"9780472903054"</f>
        <v>9780472903054</v>
      </c>
    </row>
    <row r="7394" spans="1:6" s="3" customFormat="1" ht="29.1" customHeight="1" x14ac:dyDescent="0.25">
      <c r="A7394" s="2" t="s">
        <v>15476</v>
      </c>
      <c r="B7394" s="2" t="s">
        <v>15477</v>
      </c>
      <c r="C7394" s="2" t="s">
        <v>927</v>
      </c>
      <c r="D7394" s="2" t="s">
        <v>297</v>
      </c>
      <c r="E7394" s="2" t="str">
        <f>"9780472056651"</f>
        <v>9780472056651</v>
      </c>
      <c r="F7394" s="2" t="str">
        <f>"9780472904310"</f>
        <v>9780472904310</v>
      </c>
    </row>
    <row r="7395" spans="1:6" s="3" customFormat="1" ht="29.1" customHeight="1" x14ac:dyDescent="0.25">
      <c r="A7395" s="2" t="s">
        <v>15478</v>
      </c>
      <c r="B7395" s="2" t="s">
        <v>15479</v>
      </c>
      <c r="C7395" s="2" t="s">
        <v>927</v>
      </c>
      <c r="D7395" s="2" t="s">
        <v>297</v>
      </c>
      <c r="E7395" s="2" t="str">
        <f>"9780472056774"</f>
        <v>9780472056774</v>
      </c>
      <c r="F7395" s="2" t="str">
        <f>"9780472904457"</f>
        <v>9780472904457</v>
      </c>
    </row>
    <row r="7396" spans="1:6" s="3" customFormat="1" ht="29.1" customHeight="1" x14ac:dyDescent="0.25">
      <c r="A7396" s="2" t="s">
        <v>15480</v>
      </c>
      <c r="B7396" s="2" t="s">
        <v>15481</v>
      </c>
      <c r="C7396" s="2" t="s">
        <v>927</v>
      </c>
      <c r="D7396" s="2" t="s">
        <v>210</v>
      </c>
      <c r="E7396" s="2" t="str">
        <f>"9780472133468"</f>
        <v>9780472133468</v>
      </c>
      <c r="F7396" s="2" t="str">
        <f>"9780472903955"</f>
        <v>9780472903955</v>
      </c>
    </row>
    <row r="7397" spans="1:6" s="3" customFormat="1" ht="29.1" customHeight="1" x14ac:dyDescent="0.25">
      <c r="A7397" s="2" t="s">
        <v>15482</v>
      </c>
      <c r="B7397" s="2" t="s">
        <v>15483</v>
      </c>
      <c r="C7397" s="2" t="s">
        <v>927</v>
      </c>
      <c r="D7397" s="2" t="s">
        <v>210</v>
      </c>
      <c r="E7397" s="2" t="str">
        <f>"9780472056668"</f>
        <v>9780472056668</v>
      </c>
      <c r="F7397" s="2" t="str">
        <f>"9780472904372"</f>
        <v>9780472904372</v>
      </c>
    </row>
    <row r="7398" spans="1:6" s="3" customFormat="1" ht="29.1" customHeight="1" x14ac:dyDescent="0.25">
      <c r="A7398" s="2" t="s">
        <v>15484</v>
      </c>
      <c r="B7398" s="2" t="s">
        <v>15485</v>
      </c>
      <c r="C7398" s="2" t="s">
        <v>927</v>
      </c>
      <c r="D7398" s="2" t="s">
        <v>270</v>
      </c>
      <c r="E7398" s="2" t="str">
        <f>"9780472056057"</f>
        <v>9780472056057</v>
      </c>
      <c r="F7398" s="2" t="str">
        <f>"9780472903399"</f>
        <v>9780472903399</v>
      </c>
    </row>
    <row r="7399" spans="1:6" s="3" customFormat="1" ht="29.1" customHeight="1" x14ac:dyDescent="0.25">
      <c r="A7399" s="2" t="s">
        <v>15486</v>
      </c>
      <c r="B7399" s="2" t="s">
        <v>15487</v>
      </c>
      <c r="C7399" s="2" t="s">
        <v>6621</v>
      </c>
      <c r="D7399" s="2" t="s">
        <v>11830</v>
      </c>
      <c r="E7399" s="2" t="str">
        <f>"9788366723719"</f>
        <v>9788366723719</v>
      </c>
      <c r="F7399" s="2" t="str">
        <f>"9788366723726"</f>
        <v>9788366723726</v>
      </c>
    </row>
    <row r="7400" spans="1:6" s="3" customFormat="1" ht="29.1" customHeight="1" x14ac:dyDescent="0.25">
      <c r="A7400" s="2" t="s">
        <v>15488</v>
      </c>
      <c r="B7400" s="2" t="s">
        <v>15490</v>
      </c>
      <c r="C7400" s="2" t="s">
        <v>124</v>
      </c>
      <c r="D7400" s="2" t="s">
        <v>15489</v>
      </c>
      <c r="E7400" s="2" t="str">
        <f>"9781032797144"</f>
        <v>9781032797144</v>
      </c>
      <c r="F7400" s="2" t="str">
        <f>"9781003493501"</f>
        <v>9781003493501</v>
      </c>
    </row>
    <row r="7401" spans="1:6" s="3" customFormat="1" ht="29.1" customHeight="1" x14ac:dyDescent="0.25">
      <c r="A7401" s="2" t="s">
        <v>15491</v>
      </c>
      <c r="B7401" s="2" t="s">
        <v>15492</v>
      </c>
      <c r="C7401" s="2" t="s">
        <v>124</v>
      </c>
      <c r="D7401" s="2" t="s">
        <v>5716</v>
      </c>
      <c r="E7401" s="2" t="str">
        <f>"9781032221328"</f>
        <v>9781032221328</v>
      </c>
      <c r="F7401" s="2" t="str">
        <f>"9781003271260"</f>
        <v>9781003271260</v>
      </c>
    </row>
    <row r="7402" spans="1:6" s="3" customFormat="1" ht="29.1" customHeight="1" x14ac:dyDescent="0.25">
      <c r="A7402" s="2" t="s">
        <v>15493</v>
      </c>
      <c r="B7402" s="2" t="s">
        <v>15494</v>
      </c>
      <c r="C7402" s="2" t="s">
        <v>124</v>
      </c>
      <c r="D7402" s="2" t="s">
        <v>37</v>
      </c>
      <c r="E7402" s="2" t="str">
        <f>"9781032730288"</f>
        <v>9781032730288</v>
      </c>
      <c r="F7402" s="2" t="str">
        <f>"9781003463412"</f>
        <v>9781003463412</v>
      </c>
    </row>
    <row r="7403" spans="1:6" s="3" customFormat="1" ht="29.1" customHeight="1" x14ac:dyDescent="0.25">
      <c r="A7403" s="2" t="s">
        <v>9570</v>
      </c>
      <c r="B7403" s="2" t="s">
        <v>15495</v>
      </c>
      <c r="C7403" s="2" t="s">
        <v>5</v>
      </c>
      <c r="D7403" s="2" t="s">
        <v>2435</v>
      </c>
      <c r="E7403" s="2" t="str">
        <f>"9783031254628"</f>
        <v>9783031254628</v>
      </c>
      <c r="F7403" s="2" t="str">
        <f>"9783031254635"</f>
        <v>9783031254635</v>
      </c>
    </row>
    <row r="7404" spans="1:6" s="3" customFormat="1" ht="29.1" customHeight="1" x14ac:dyDescent="0.25">
      <c r="A7404" s="2" t="s">
        <v>15496</v>
      </c>
      <c r="B7404" s="2" t="s">
        <v>15497</v>
      </c>
      <c r="C7404" s="2" t="s">
        <v>124</v>
      </c>
      <c r="D7404" s="2" t="s">
        <v>882</v>
      </c>
      <c r="E7404" s="2" t="str">
        <f>"9781032612430"</f>
        <v>9781032612430</v>
      </c>
      <c r="F7404" s="2" t="str">
        <f>"9781003462699"</f>
        <v>9781003462699</v>
      </c>
    </row>
    <row r="7405" spans="1:6" s="3" customFormat="1" ht="29.1" customHeight="1" x14ac:dyDescent="0.25">
      <c r="A7405" s="2" t="s">
        <v>15498</v>
      </c>
      <c r="B7405" s="2" t="s">
        <v>15499</v>
      </c>
      <c r="C7405" s="2" t="s">
        <v>124</v>
      </c>
      <c r="D7405" s="2" t="s">
        <v>1248</v>
      </c>
      <c r="E7405" s="2" t="str">
        <f>"9781032732237"</f>
        <v>9781032732237</v>
      </c>
      <c r="F7405" s="2" t="str">
        <f>"9781003467922"</f>
        <v>9781003467922</v>
      </c>
    </row>
    <row r="7406" spans="1:6" s="3" customFormat="1" ht="29.1" customHeight="1" x14ac:dyDescent="0.25">
      <c r="A7406" s="2" t="s">
        <v>15500</v>
      </c>
      <c r="B7406" s="2" t="s">
        <v>15501</v>
      </c>
      <c r="C7406" s="2" t="s">
        <v>124</v>
      </c>
      <c r="D7406" s="2" t="s">
        <v>712</v>
      </c>
      <c r="E7406" s="2" t="str">
        <f>"9781032602721"</f>
        <v>9781032602721</v>
      </c>
      <c r="F7406" s="2" t="str">
        <f>"9781003453017"</f>
        <v>9781003453017</v>
      </c>
    </row>
    <row r="7407" spans="1:6" s="3" customFormat="1" ht="29.1" customHeight="1" x14ac:dyDescent="0.25">
      <c r="A7407" s="2" t="s">
        <v>15502</v>
      </c>
      <c r="B7407" s="2" t="s">
        <v>15503</v>
      </c>
      <c r="C7407" s="2" t="s">
        <v>124</v>
      </c>
      <c r="D7407" s="2" t="s">
        <v>1816</v>
      </c>
      <c r="E7407" s="2" t="str">
        <f>"9781032528304"</f>
        <v>9781032528304</v>
      </c>
      <c r="F7407" s="2" t="str">
        <f>"9781003408611"</f>
        <v>9781003408611</v>
      </c>
    </row>
    <row r="7408" spans="1:6" s="3" customFormat="1" ht="29.1" customHeight="1" x14ac:dyDescent="0.25">
      <c r="A7408" s="2" t="s">
        <v>15504</v>
      </c>
      <c r="B7408" s="2" t="s">
        <v>15505</v>
      </c>
      <c r="C7408" s="2" t="s">
        <v>2188</v>
      </c>
      <c r="D7408" s="2" t="s">
        <v>465</v>
      </c>
      <c r="E7408" s="2" t="str">
        <f>"9788323234999"</f>
        <v>9788323234999</v>
      </c>
      <c r="F7408" s="2" t="str">
        <f>"9788323243021"</f>
        <v>9788323243021</v>
      </c>
    </row>
    <row r="7409" spans="1:6" s="3" customFormat="1" ht="29.1" customHeight="1" x14ac:dyDescent="0.25">
      <c r="A7409" s="2" t="s">
        <v>15506</v>
      </c>
      <c r="B7409" s="2" t="s">
        <v>15507</v>
      </c>
      <c r="C7409" s="2" t="s">
        <v>5</v>
      </c>
      <c r="D7409" s="2" t="s">
        <v>37</v>
      </c>
      <c r="E7409" s="2" t="str">
        <f>"9783031551154"</f>
        <v>9783031551154</v>
      </c>
      <c r="F7409" s="2" t="str">
        <f>"9783031551161"</f>
        <v>9783031551161</v>
      </c>
    </row>
    <row r="7410" spans="1:6" s="3" customFormat="1" ht="29.1" customHeight="1" x14ac:dyDescent="0.25">
      <c r="A7410" s="2" t="s">
        <v>15508</v>
      </c>
      <c r="B7410" s="2" t="s">
        <v>15509</v>
      </c>
      <c r="C7410" s="2" t="s">
        <v>5</v>
      </c>
      <c r="D7410" s="2" t="s">
        <v>353</v>
      </c>
      <c r="E7410" s="2" t="str">
        <f>"9783031491399"</f>
        <v>9783031491399</v>
      </c>
      <c r="F7410" s="2" t="str">
        <f>"9783031491405"</f>
        <v>9783031491405</v>
      </c>
    </row>
    <row r="7411" spans="1:6" s="3" customFormat="1" ht="29.1" customHeight="1" x14ac:dyDescent="0.25">
      <c r="A7411" s="2" t="s">
        <v>9706</v>
      </c>
      <c r="B7411" s="2" t="s">
        <v>15510</v>
      </c>
      <c r="C7411" s="2" t="s">
        <v>2133</v>
      </c>
      <c r="D7411" s="2" t="s">
        <v>4783</v>
      </c>
      <c r="E7411" s="2" t="str">
        <f>"9780731538133"</f>
        <v>9780731538133</v>
      </c>
      <c r="F7411" s="2" t="str">
        <f>"9781921313387"</f>
        <v>9781921313387</v>
      </c>
    </row>
    <row r="7412" spans="1:6" s="3" customFormat="1" ht="29.1" customHeight="1" x14ac:dyDescent="0.25">
      <c r="A7412" s="2" t="s">
        <v>15511</v>
      </c>
      <c r="B7412" s="2" t="s">
        <v>15512</v>
      </c>
      <c r="C7412" s="2" t="s">
        <v>2133</v>
      </c>
      <c r="D7412" s="2" t="s">
        <v>4059</v>
      </c>
      <c r="E7412" s="2" t="str">
        <f>"9781920942113"</f>
        <v>9781920942113</v>
      </c>
      <c r="F7412" s="2" t="str">
        <f>"9781920942106"</f>
        <v>9781920942106</v>
      </c>
    </row>
    <row r="7413" spans="1:6" s="3" customFormat="1" ht="29.1" customHeight="1" x14ac:dyDescent="0.25">
      <c r="A7413" s="2" t="s">
        <v>15513</v>
      </c>
      <c r="B7413" s="2" t="s">
        <v>15515</v>
      </c>
      <c r="C7413" s="2" t="s">
        <v>2133</v>
      </c>
      <c r="D7413" s="2" t="s">
        <v>15514</v>
      </c>
      <c r="E7413" s="2" t="str">
        <f>"9781920942472"</f>
        <v>9781920942472</v>
      </c>
      <c r="F7413" s="2" t="str">
        <f>"9781920942489"</f>
        <v>9781920942489</v>
      </c>
    </row>
    <row r="7414" spans="1:6" s="3" customFormat="1" ht="29.1" customHeight="1" x14ac:dyDescent="0.25">
      <c r="A7414" s="2" t="s">
        <v>15516</v>
      </c>
      <c r="B7414" s="2" t="s">
        <v>15517</v>
      </c>
      <c r="C7414" s="2" t="s">
        <v>2133</v>
      </c>
      <c r="D7414" s="2" t="s">
        <v>3536</v>
      </c>
      <c r="E7414" s="2" t="str">
        <f>"9781921536564"</f>
        <v>9781921536564</v>
      </c>
      <c r="F7414" s="2" t="str">
        <f>"9781921536571"</f>
        <v>9781921536571</v>
      </c>
    </row>
    <row r="7415" spans="1:6" s="3" customFormat="1" ht="29.1" customHeight="1" x14ac:dyDescent="0.25">
      <c r="A7415" s="2" t="s">
        <v>15518</v>
      </c>
      <c r="B7415" s="2" t="s">
        <v>15519</v>
      </c>
      <c r="C7415" s="2" t="s">
        <v>2133</v>
      </c>
      <c r="D7415" s="2" t="s">
        <v>4172</v>
      </c>
      <c r="E7415" s="2" t="str">
        <f>"9781921862267"</f>
        <v>9781921862267</v>
      </c>
      <c r="F7415" s="2" t="str">
        <f>"9781921862274"</f>
        <v>9781921862274</v>
      </c>
    </row>
    <row r="7416" spans="1:6" s="3" customFormat="1" ht="29.1" customHeight="1" x14ac:dyDescent="0.25">
      <c r="A7416" s="2" t="s">
        <v>15520</v>
      </c>
      <c r="B7416" s="2" t="s">
        <v>10228</v>
      </c>
      <c r="C7416" s="2" t="s">
        <v>2133</v>
      </c>
      <c r="D7416" s="2" t="s">
        <v>3536</v>
      </c>
      <c r="E7416" s="2" t="str">
        <f>"9780731515950"</f>
        <v>9780731515950</v>
      </c>
      <c r="F7416" s="2" t="str">
        <f>"9781920942847"</f>
        <v>9781920942847</v>
      </c>
    </row>
    <row r="7417" spans="1:6" s="3" customFormat="1" ht="29.1" customHeight="1" x14ac:dyDescent="0.25">
      <c r="A7417" s="2" t="s">
        <v>15521</v>
      </c>
      <c r="B7417" s="2" t="s">
        <v>15522</v>
      </c>
      <c r="C7417" s="2" t="s">
        <v>2133</v>
      </c>
      <c r="D7417" s="2" t="s">
        <v>4190</v>
      </c>
      <c r="E7417" s="2" t="str">
        <f>"9780975122990"</f>
        <v>9780975122990</v>
      </c>
      <c r="F7417" s="2" t="str">
        <f>"9780975122921"</f>
        <v>9780975122921</v>
      </c>
    </row>
    <row r="7418" spans="1:6" s="3" customFormat="1" ht="29.1" customHeight="1" x14ac:dyDescent="0.25">
      <c r="A7418" s="2" t="s">
        <v>15523</v>
      </c>
      <c r="B7418" s="2" t="s">
        <v>15524</v>
      </c>
      <c r="C7418" s="2" t="s">
        <v>2133</v>
      </c>
      <c r="D7418" s="2" t="s">
        <v>186</v>
      </c>
      <c r="E7418" s="2" t="str">
        <f>"9781920942083"</f>
        <v>9781920942083</v>
      </c>
      <c r="F7418" s="2" t="str">
        <f>"9781920942038"</f>
        <v>9781920942038</v>
      </c>
    </row>
    <row r="7419" spans="1:6" s="3" customFormat="1" ht="29.1" customHeight="1" x14ac:dyDescent="0.25">
      <c r="A7419" s="2" t="s">
        <v>15525</v>
      </c>
      <c r="B7419" s="2" t="s">
        <v>15526</v>
      </c>
      <c r="C7419" s="2" t="s">
        <v>2133</v>
      </c>
      <c r="D7419" s="2" t="s">
        <v>3536</v>
      </c>
      <c r="E7419" s="2" t="str">
        <f>"9781740760935"</f>
        <v>9781740760935</v>
      </c>
      <c r="F7419" s="2" t="str">
        <f>"9781921313035"</f>
        <v>9781921313035</v>
      </c>
    </row>
    <row r="7420" spans="1:6" s="3" customFormat="1" ht="29.1" customHeight="1" x14ac:dyDescent="0.25">
      <c r="A7420" s="2" t="s">
        <v>15527</v>
      </c>
      <c r="B7420" s="2" t="s">
        <v>15528</v>
      </c>
      <c r="C7420" s="2" t="s">
        <v>2133</v>
      </c>
      <c r="D7420" s="2" t="s">
        <v>3536</v>
      </c>
      <c r="E7420" s="2" t="str">
        <f>"9781740761161"</f>
        <v>9781740761161</v>
      </c>
      <c r="F7420" s="2" t="str">
        <f>"9781921313059"</f>
        <v>9781921313059</v>
      </c>
    </row>
    <row r="7421" spans="1:6" s="3" customFormat="1" ht="29.1" customHeight="1" x14ac:dyDescent="0.25">
      <c r="A7421" s="2" t="s">
        <v>15529</v>
      </c>
      <c r="B7421" s="2" t="s">
        <v>15530</v>
      </c>
      <c r="C7421" s="2" t="s">
        <v>2133</v>
      </c>
      <c r="D7421" s="2" t="s">
        <v>186</v>
      </c>
      <c r="E7421" s="2" t="str">
        <f>"9780731537273"</f>
        <v>9780731537273</v>
      </c>
      <c r="F7421" s="2" t="str">
        <f>"9781920942410"</f>
        <v>9781920942410</v>
      </c>
    </row>
    <row r="7422" spans="1:6" s="3" customFormat="1" ht="29.1" customHeight="1" x14ac:dyDescent="0.25">
      <c r="A7422" s="2" t="s">
        <v>15531</v>
      </c>
      <c r="B7422" s="2" t="s">
        <v>15532</v>
      </c>
      <c r="C7422" s="2" t="s">
        <v>2133</v>
      </c>
      <c r="D7422" s="2" t="s">
        <v>3536</v>
      </c>
      <c r="E7422" s="2" t="str">
        <f>"9781920942403"</f>
        <v>9781920942403</v>
      </c>
      <c r="F7422" s="2" t="str">
        <f>"9781920942540"</f>
        <v>9781920942540</v>
      </c>
    </row>
    <row r="7423" spans="1:6" s="3" customFormat="1" ht="29.1" customHeight="1" x14ac:dyDescent="0.25">
      <c r="A7423" s="2" t="s">
        <v>15533</v>
      </c>
      <c r="B7423" s="2" t="s">
        <v>15534</v>
      </c>
      <c r="C7423" s="2" t="s">
        <v>2133</v>
      </c>
      <c r="D7423" s="2" t="s">
        <v>3536</v>
      </c>
      <c r="E7423" s="2" t="str">
        <f>"9781920942939"</f>
        <v>9781920942939</v>
      </c>
      <c r="F7423" s="2" t="str">
        <f>"9781920942960"</f>
        <v>9781920942960</v>
      </c>
    </row>
    <row r="7424" spans="1:6" s="3" customFormat="1" ht="29.1" customHeight="1" x14ac:dyDescent="0.25">
      <c r="A7424" s="2" t="s">
        <v>15535</v>
      </c>
      <c r="B7424" s="2" t="s">
        <v>15536</v>
      </c>
      <c r="C7424" s="2" t="s">
        <v>2133</v>
      </c>
      <c r="D7424" s="2" t="s">
        <v>3536</v>
      </c>
      <c r="E7424" s="2" t="str">
        <f>"9781920942199"</f>
        <v>9781920942199</v>
      </c>
      <c r="F7424" s="2" t="str">
        <f>"9781920942649"</f>
        <v>9781920942649</v>
      </c>
    </row>
    <row r="7425" spans="1:6" s="3" customFormat="1" ht="29.1" customHeight="1" x14ac:dyDescent="0.25">
      <c r="A7425" s="2" t="s">
        <v>15537</v>
      </c>
      <c r="B7425" s="2" t="s">
        <v>15538</v>
      </c>
      <c r="C7425" s="2" t="s">
        <v>2133</v>
      </c>
      <c r="D7425" s="2" t="s">
        <v>1679</v>
      </c>
      <c r="E7425" s="2" t="str">
        <f>"9781920942588"</f>
        <v>9781920942588</v>
      </c>
      <c r="F7425" s="2" t="str">
        <f>"9781920942595"</f>
        <v>9781920942595</v>
      </c>
    </row>
    <row r="7426" spans="1:6" s="3" customFormat="1" ht="29.1" customHeight="1" x14ac:dyDescent="0.25">
      <c r="A7426" s="2" t="s">
        <v>15539</v>
      </c>
      <c r="B7426" s="2" t="s">
        <v>15540</v>
      </c>
      <c r="C7426" s="2" t="s">
        <v>2133</v>
      </c>
      <c r="D7426" s="2" t="s">
        <v>12</v>
      </c>
      <c r="E7426" s="2" t="str">
        <f>"9781920942519"</f>
        <v>9781920942519</v>
      </c>
      <c r="F7426" s="2" t="str">
        <f>"9781920942526"</f>
        <v>9781920942526</v>
      </c>
    </row>
    <row r="7427" spans="1:6" s="3" customFormat="1" ht="29.1" customHeight="1" x14ac:dyDescent="0.25">
      <c r="A7427" s="2" t="s">
        <v>15541</v>
      </c>
      <c r="B7427" s="2" t="s">
        <v>15542</v>
      </c>
      <c r="C7427" s="2" t="s">
        <v>2133</v>
      </c>
      <c r="D7427" s="2" t="s">
        <v>636</v>
      </c>
      <c r="E7427" s="2" t="str">
        <f>"9781920942694"</f>
        <v>9781920942694</v>
      </c>
      <c r="F7427" s="2" t="str">
        <f>"9781920942700"</f>
        <v>9781920942700</v>
      </c>
    </row>
    <row r="7428" spans="1:6" s="3" customFormat="1" ht="29.1" customHeight="1" x14ac:dyDescent="0.25">
      <c r="A7428" s="2" t="s">
        <v>15543</v>
      </c>
      <c r="B7428" s="2" t="s">
        <v>15545</v>
      </c>
      <c r="C7428" s="2" t="s">
        <v>2133</v>
      </c>
      <c r="D7428" s="2" t="s">
        <v>15544</v>
      </c>
      <c r="E7428" s="2" t="str">
        <f>"9781920942823"</f>
        <v>9781920942823</v>
      </c>
      <c r="F7428" s="2" t="str">
        <f>"9781920942830"</f>
        <v>9781920942830</v>
      </c>
    </row>
    <row r="7429" spans="1:6" s="3" customFormat="1" ht="29.1" customHeight="1" x14ac:dyDescent="0.25">
      <c r="A7429" s="2" t="s">
        <v>15546</v>
      </c>
      <c r="B7429" s="2" t="s">
        <v>15547</v>
      </c>
      <c r="C7429" s="2" t="s">
        <v>2133</v>
      </c>
      <c r="D7429" s="2" t="s">
        <v>9312</v>
      </c>
      <c r="E7429" s="2" t="str">
        <f>"9780731537518"</f>
        <v>9780731537518</v>
      </c>
      <c r="F7429" s="2" t="str">
        <f>"9781920942755"</f>
        <v>9781920942755</v>
      </c>
    </row>
    <row r="7430" spans="1:6" s="3" customFormat="1" ht="29.1" customHeight="1" x14ac:dyDescent="0.25">
      <c r="A7430" s="2" t="s">
        <v>15548</v>
      </c>
      <c r="B7430" s="2" t="s">
        <v>15549</v>
      </c>
      <c r="C7430" s="2" t="s">
        <v>2133</v>
      </c>
      <c r="D7430" s="2" t="s">
        <v>9312</v>
      </c>
      <c r="E7430" s="2" t="str">
        <f>"9781920942731"</f>
        <v>9781920942731</v>
      </c>
      <c r="F7430" s="2" t="str">
        <f>"9781920942748"</f>
        <v>9781920942748</v>
      </c>
    </row>
    <row r="7431" spans="1:6" s="3" customFormat="1" ht="29.1" customHeight="1" x14ac:dyDescent="0.25">
      <c r="A7431" s="2" t="s">
        <v>15550</v>
      </c>
      <c r="B7431" s="2" t="s">
        <v>15552</v>
      </c>
      <c r="C7431" s="2" t="s">
        <v>2133</v>
      </c>
      <c r="D7431" s="2" t="s">
        <v>15551</v>
      </c>
      <c r="E7431" s="2" t="str">
        <f>"9780731537570"</f>
        <v>9780731537570</v>
      </c>
      <c r="F7431" s="2" t="str">
        <f>"9781920942335"</f>
        <v>9781920942335</v>
      </c>
    </row>
    <row r="7432" spans="1:6" s="3" customFormat="1" ht="29.1" customHeight="1" x14ac:dyDescent="0.25">
      <c r="A7432" s="2" t="s">
        <v>15553</v>
      </c>
      <c r="B7432" s="2" t="s">
        <v>15555</v>
      </c>
      <c r="C7432" s="2" t="s">
        <v>2133</v>
      </c>
      <c r="D7432" s="2" t="s">
        <v>15554</v>
      </c>
      <c r="E7432" s="2" t="str">
        <f>"9781920942656"</f>
        <v>9781920942656</v>
      </c>
      <c r="F7432" s="2" t="str">
        <f>"9781920942663"</f>
        <v>9781920942663</v>
      </c>
    </row>
    <row r="7433" spans="1:6" s="3" customFormat="1" ht="29.1" customHeight="1" x14ac:dyDescent="0.25">
      <c r="A7433" s="2" t="s">
        <v>15556</v>
      </c>
      <c r="B7433" s="2" t="s">
        <v>15558</v>
      </c>
      <c r="C7433" s="2" t="s">
        <v>2133</v>
      </c>
      <c r="D7433" s="2" t="s">
        <v>15557</v>
      </c>
      <c r="E7433" s="2" t="str">
        <f>"9780731538102"</f>
        <v>9780731538102</v>
      </c>
      <c r="F7433" s="2" t="str">
        <f>"9781921313172"</f>
        <v>9781921313172</v>
      </c>
    </row>
    <row r="7434" spans="1:6" s="3" customFormat="1" ht="29.1" customHeight="1" x14ac:dyDescent="0.25">
      <c r="A7434" s="2" t="s">
        <v>15559</v>
      </c>
      <c r="B7434" s="2" t="s">
        <v>15560</v>
      </c>
      <c r="C7434" s="2" t="s">
        <v>2133</v>
      </c>
      <c r="D7434" s="2" t="s">
        <v>3536</v>
      </c>
      <c r="E7434" s="2" t="str">
        <f>"9781920942908"</f>
        <v>9781920942908</v>
      </c>
      <c r="F7434" s="2" t="str">
        <f>"9781920942915"</f>
        <v>9781920942915</v>
      </c>
    </row>
    <row r="7435" spans="1:6" s="3" customFormat="1" ht="29.1" customHeight="1" x14ac:dyDescent="0.25">
      <c r="A7435" s="2" t="s">
        <v>15561</v>
      </c>
      <c r="B7435" s="2" t="s">
        <v>15562</v>
      </c>
      <c r="C7435" s="2" t="s">
        <v>2133</v>
      </c>
      <c r="D7435" s="2" t="s">
        <v>6972</v>
      </c>
      <c r="E7435" s="2" t="str">
        <f>"9780731538126"</f>
        <v>9780731538126</v>
      </c>
      <c r="F7435" s="2" t="str">
        <f>"9781921313363"</f>
        <v>9781921313363</v>
      </c>
    </row>
    <row r="7436" spans="1:6" s="3" customFormat="1" ht="29.1" customHeight="1" x14ac:dyDescent="0.25">
      <c r="A7436" s="2" t="s">
        <v>15563</v>
      </c>
      <c r="B7436" s="2" t="s">
        <v>15565</v>
      </c>
      <c r="C7436" s="2" t="s">
        <v>2133</v>
      </c>
      <c r="D7436" s="2" t="s">
        <v>15564</v>
      </c>
      <c r="E7436" s="2" t="str">
        <f>"9781921313226"</f>
        <v>9781921313226</v>
      </c>
      <c r="F7436" s="2" t="str">
        <f>"9781921313233"</f>
        <v>9781921313233</v>
      </c>
    </row>
    <row r="7437" spans="1:6" s="3" customFormat="1" ht="29.1" customHeight="1" x14ac:dyDescent="0.25">
      <c r="A7437" s="2" t="s">
        <v>15566</v>
      </c>
      <c r="B7437" s="2" t="s">
        <v>15567</v>
      </c>
      <c r="C7437" s="2" t="s">
        <v>2133</v>
      </c>
      <c r="D7437" s="2" t="s">
        <v>636</v>
      </c>
      <c r="E7437" s="2" t="str">
        <f>"9781921313240"</f>
        <v>9781921313240</v>
      </c>
      <c r="F7437" s="2" t="str">
        <f>"9781921313257"</f>
        <v>9781921313257</v>
      </c>
    </row>
    <row r="7438" spans="1:6" s="3" customFormat="1" ht="29.1" customHeight="1" x14ac:dyDescent="0.25">
      <c r="A7438" s="2" t="s">
        <v>15568</v>
      </c>
      <c r="B7438" s="2" t="s">
        <v>15569</v>
      </c>
      <c r="C7438" s="2" t="s">
        <v>2133</v>
      </c>
      <c r="D7438" s="2" t="s">
        <v>4670</v>
      </c>
      <c r="E7438" s="2" t="str">
        <f>"9780731538119"</f>
        <v>9780731538119</v>
      </c>
      <c r="F7438" s="2" t="str">
        <f>"9781921313370"</f>
        <v>9781921313370</v>
      </c>
    </row>
    <row r="7439" spans="1:6" s="3" customFormat="1" ht="29.1" customHeight="1" x14ac:dyDescent="0.25">
      <c r="A7439" s="2" t="s">
        <v>15570</v>
      </c>
      <c r="B7439" s="2" t="s">
        <v>15571</v>
      </c>
      <c r="C7439" s="2" t="s">
        <v>2133</v>
      </c>
      <c r="D7439" s="2" t="s">
        <v>4670</v>
      </c>
      <c r="E7439" s="2" t="str">
        <f>"9780731538157"</f>
        <v>9780731538157</v>
      </c>
      <c r="F7439" s="2" t="str">
        <f>"9781921313622"</f>
        <v>9781921313622</v>
      </c>
    </row>
    <row r="7440" spans="1:6" s="3" customFormat="1" ht="29.1" customHeight="1" x14ac:dyDescent="0.25">
      <c r="A7440" s="2" t="s">
        <v>15572</v>
      </c>
      <c r="B7440" s="2" t="s">
        <v>15573</v>
      </c>
      <c r="C7440" s="2" t="s">
        <v>2133</v>
      </c>
      <c r="D7440" s="2" t="s">
        <v>1913</v>
      </c>
      <c r="E7440" s="2" t="str">
        <f>"9780731538171"</f>
        <v>9780731538171</v>
      </c>
      <c r="F7440" s="2" t="str">
        <f>"9781921313646"</f>
        <v>9781921313646</v>
      </c>
    </row>
    <row r="7441" spans="1:6" s="3" customFormat="1" ht="29.1" customHeight="1" x14ac:dyDescent="0.25">
      <c r="A7441" s="2" t="s">
        <v>15574</v>
      </c>
      <c r="B7441" s="2" t="s">
        <v>15575</v>
      </c>
      <c r="C7441" s="2" t="s">
        <v>2133</v>
      </c>
      <c r="D7441" s="2" t="s">
        <v>4190</v>
      </c>
      <c r="E7441" s="2" t="str">
        <f>"9780731538188"</f>
        <v>9780731538188</v>
      </c>
      <c r="F7441" s="2" t="str">
        <f>"9781921313660"</f>
        <v>9781921313660</v>
      </c>
    </row>
    <row r="7442" spans="1:6" s="3" customFormat="1" ht="29.1" customHeight="1" x14ac:dyDescent="0.25">
      <c r="A7442" s="2" t="s">
        <v>15576</v>
      </c>
      <c r="B7442" s="2" t="s">
        <v>15577</v>
      </c>
      <c r="C7442" s="2" t="s">
        <v>2133</v>
      </c>
      <c r="D7442" s="2" t="s">
        <v>4783</v>
      </c>
      <c r="E7442" s="2" t="str">
        <f>"9780731538195"</f>
        <v>9780731538195</v>
      </c>
      <c r="F7442" s="2" t="str">
        <f>"9781921536038"</f>
        <v>9781921536038</v>
      </c>
    </row>
    <row r="7443" spans="1:6" s="3" customFormat="1" ht="29.1" customHeight="1" x14ac:dyDescent="0.25">
      <c r="A7443" s="2" t="s">
        <v>15578</v>
      </c>
      <c r="B7443" s="2" t="s">
        <v>15579</v>
      </c>
      <c r="C7443" s="2" t="s">
        <v>2133</v>
      </c>
      <c r="D7443" s="2" t="s">
        <v>2435</v>
      </c>
      <c r="E7443" s="2" t="str">
        <f>"9781921313837"</f>
        <v>9781921313837</v>
      </c>
      <c r="F7443" s="2" t="str">
        <f>"9781921313844"</f>
        <v>9781921313844</v>
      </c>
    </row>
    <row r="7444" spans="1:6" s="3" customFormat="1" ht="29.1" customHeight="1" x14ac:dyDescent="0.25">
      <c r="A7444" s="2" t="s">
        <v>15580</v>
      </c>
      <c r="B7444" s="2" t="s">
        <v>15581</v>
      </c>
      <c r="C7444" s="2" t="s">
        <v>2133</v>
      </c>
      <c r="D7444" s="2" t="s">
        <v>841</v>
      </c>
      <c r="E7444" s="2" t="str">
        <f>"9781921536526"</f>
        <v>9781921536526</v>
      </c>
      <c r="F7444" s="2" t="str">
        <f>"9781921536533"</f>
        <v>9781921536533</v>
      </c>
    </row>
    <row r="7445" spans="1:6" s="3" customFormat="1" ht="29.1" customHeight="1" x14ac:dyDescent="0.25">
      <c r="A7445" s="2" t="s">
        <v>15582</v>
      </c>
      <c r="B7445" s="2" t="s">
        <v>15583</v>
      </c>
      <c r="C7445" s="2" t="s">
        <v>2133</v>
      </c>
      <c r="D7445" s="2" t="s">
        <v>4670</v>
      </c>
      <c r="E7445" s="2" t="str">
        <f>"9781921536960"</f>
        <v>9781921536960</v>
      </c>
      <c r="F7445" s="2" t="str">
        <f>"9781921536977"</f>
        <v>9781921536977</v>
      </c>
    </row>
    <row r="7446" spans="1:6" s="3" customFormat="1" ht="29.1" customHeight="1" x14ac:dyDescent="0.25">
      <c r="A7446" s="2" t="s">
        <v>15584</v>
      </c>
      <c r="B7446" s="2" t="s">
        <v>15585</v>
      </c>
      <c r="C7446" s="2" t="s">
        <v>2133</v>
      </c>
      <c r="D7446" s="2" t="s">
        <v>606</v>
      </c>
      <c r="E7446" s="2" t="str">
        <f>"9781760466312"</f>
        <v>9781760466312</v>
      </c>
      <c r="F7446" s="2" t="str">
        <f>"9781760466329"</f>
        <v>9781760466329</v>
      </c>
    </row>
    <row r="7447" spans="1:6" s="3" customFormat="1" ht="29.1" customHeight="1" x14ac:dyDescent="0.25">
      <c r="A7447" s="2" t="s">
        <v>15586</v>
      </c>
      <c r="B7447" s="2" t="s">
        <v>15587</v>
      </c>
      <c r="C7447" s="2" t="s">
        <v>2133</v>
      </c>
      <c r="D7447" s="2" t="s">
        <v>6965</v>
      </c>
      <c r="E7447" s="2"/>
      <c r="F7447" s="2" t="str">
        <f>"9781921536878"</f>
        <v>9781921536878</v>
      </c>
    </row>
    <row r="7448" spans="1:6" s="3" customFormat="1" ht="29.1" customHeight="1" x14ac:dyDescent="0.25">
      <c r="A7448" s="2" t="s">
        <v>15588</v>
      </c>
      <c r="B7448" s="2" t="s">
        <v>15590</v>
      </c>
      <c r="C7448" s="2" t="s">
        <v>2133</v>
      </c>
      <c r="D7448" s="2" t="s">
        <v>15589</v>
      </c>
      <c r="E7448" s="2" t="str">
        <f>"9781921536922"</f>
        <v>9781921536922</v>
      </c>
      <c r="F7448" s="2" t="str">
        <f>"9781921536939"</f>
        <v>9781921536939</v>
      </c>
    </row>
    <row r="7449" spans="1:6" s="3" customFormat="1" ht="29.1" customHeight="1" x14ac:dyDescent="0.25">
      <c r="A7449" s="2" t="s">
        <v>15591</v>
      </c>
      <c r="B7449" s="2" t="s">
        <v>15592</v>
      </c>
      <c r="C7449" s="2" t="s">
        <v>2133</v>
      </c>
      <c r="D7449" s="2" t="s">
        <v>3221</v>
      </c>
      <c r="E7449" s="2" t="str">
        <f>"9781921536649"</f>
        <v>9781921536649</v>
      </c>
      <c r="F7449" s="2" t="str">
        <f>"9781921536656"</f>
        <v>9781921536656</v>
      </c>
    </row>
    <row r="7450" spans="1:6" s="3" customFormat="1" ht="29.1" customHeight="1" x14ac:dyDescent="0.25">
      <c r="A7450" s="2" t="s">
        <v>15593</v>
      </c>
      <c r="B7450" s="2" t="s">
        <v>15594</v>
      </c>
      <c r="C7450" s="2" t="s">
        <v>2133</v>
      </c>
      <c r="D7450" s="2" t="s">
        <v>3536</v>
      </c>
      <c r="E7450" s="2" t="str">
        <f>"9781921666209"</f>
        <v>9781921666209</v>
      </c>
      <c r="F7450" s="2" t="str">
        <f>"9781921666216"</f>
        <v>9781921666216</v>
      </c>
    </row>
    <row r="7451" spans="1:6" s="3" customFormat="1" ht="29.1" customHeight="1" x14ac:dyDescent="0.25">
      <c r="A7451" s="2" t="s">
        <v>15595</v>
      </c>
      <c r="B7451" s="2" t="s">
        <v>15596</v>
      </c>
      <c r="C7451" s="2" t="s">
        <v>2133</v>
      </c>
      <c r="D7451" s="2" t="s">
        <v>5686</v>
      </c>
      <c r="E7451" s="2" t="str">
        <f>"9781921666629"</f>
        <v>9781921666629</v>
      </c>
      <c r="F7451" s="2" t="str">
        <f>"9781921666636"</f>
        <v>9781921666636</v>
      </c>
    </row>
    <row r="7452" spans="1:6" s="3" customFormat="1" ht="29.1" customHeight="1" x14ac:dyDescent="0.25">
      <c r="A7452" s="2" t="s">
        <v>15597</v>
      </c>
      <c r="B7452" s="2" t="s">
        <v>15599</v>
      </c>
      <c r="C7452" s="2" t="s">
        <v>7395</v>
      </c>
      <c r="D7452" s="2" t="s">
        <v>15598</v>
      </c>
      <c r="E7452" s="2" t="str">
        <f>"9780700631629"</f>
        <v>9780700631629</v>
      </c>
      <c r="F7452" s="2" t="str">
        <f>"9780700631049"</f>
        <v>9780700631049</v>
      </c>
    </row>
    <row r="7453" spans="1:6" s="3" customFormat="1" ht="29.1" customHeight="1" x14ac:dyDescent="0.25">
      <c r="A7453" s="2" t="s">
        <v>15600</v>
      </c>
      <c r="B7453" s="2" t="s">
        <v>15601</v>
      </c>
      <c r="C7453" s="2" t="s">
        <v>7395</v>
      </c>
      <c r="D7453" s="2" t="s">
        <v>1177</v>
      </c>
      <c r="E7453" s="2" t="str">
        <f>"9780700631568"</f>
        <v>9780700631568</v>
      </c>
      <c r="F7453" s="2" t="str">
        <f>"9780700631001"</f>
        <v>9780700631001</v>
      </c>
    </row>
    <row r="7454" spans="1:6" s="3" customFormat="1" ht="29.1" customHeight="1" x14ac:dyDescent="0.25">
      <c r="A7454" s="2" t="s">
        <v>15602</v>
      </c>
      <c r="B7454" s="2" t="s">
        <v>15603</v>
      </c>
      <c r="C7454" s="2" t="s">
        <v>7395</v>
      </c>
      <c r="D7454" s="2" t="s">
        <v>14288</v>
      </c>
      <c r="E7454" s="2" t="str">
        <f>"9780700631551"</f>
        <v>9780700631551</v>
      </c>
      <c r="F7454" s="2" t="str">
        <f>"9780700630998"</f>
        <v>9780700630998</v>
      </c>
    </row>
    <row r="7455" spans="1:6" s="3" customFormat="1" ht="29.1" customHeight="1" x14ac:dyDescent="0.25">
      <c r="A7455" s="2" t="s">
        <v>15604</v>
      </c>
      <c r="B7455" s="2" t="s">
        <v>15606</v>
      </c>
      <c r="C7455" s="2" t="s">
        <v>7395</v>
      </c>
      <c r="D7455" s="2" t="s">
        <v>15605</v>
      </c>
      <c r="E7455" s="2" t="str">
        <f>"9780700631681"</f>
        <v>9780700631681</v>
      </c>
      <c r="F7455" s="2" t="str">
        <f>"9780700631186"</f>
        <v>9780700631186</v>
      </c>
    </row>
    <row r="7456" spans="1:6" s="3" customFormat="1" ht="29.1" customHeight="1" x14ac:dyDescent="0.25">
      <c r="A7456" s="2" t="s">
        <v>15607</v>
      </c>
      <c r="B7456" s="2" t="s">
        <v>15608</v>
      </c>
      <c r="C7456" s="2" t="s">
        <v>7395</v>
      </c>
      <c r="D7456" s="2" t="s">
        <v>11528</v>
      </c>
      <c r="E7456" s="2" t="str">
        <f>"9780700631452"</f>
        <v>9780700631452</v>
      </c>
      <c r="F7456" s="2" t="str">
        <f>"9780700630820"</f>
        <v>9780700630820</v>
      </c>
    </row>
    <row r="7457" spans="1:6" s="3" customFormat="1" ht="29.1" customHeight="1" x14ac:dyDescent="0.25">
      <c r="A7457" s="2" t="s">
        <v>15609</v>
      </c>
      <c r="B7457" s="2" t="s">
        <v>15610</v>
      </c>
      <c r="C7457" s="2" t="s">
        <v>7395</v>
      </c>
      <c r="D7457" s="2" t="s">
        <v>14288</v>
      </c>
      <c r="E7457" s="2" t="str">
        <f>"9780700631438"</f>
        <v>9780700631438</v>
      </c>
      <c r="F7457" s="2" t="str">
        <f>"9780700630783"</f>
        <v>9780700630783</v>
      </c>
    </row>
    <row r="7458" spans="1:6" s="3" customFormat="1" ht="29.1" customHeight="1" x14ac:dyDescent="0.25">
      <c r="A7458" s="2" t="s">
        <v>15611</v>
      </c>
      <c r="B7458" s="2" t="s">
        <v>15612</v>
      </c>
      <c r="C7458" s="2" t="s">
        <v>7395</v>
      </c>
      <c r="D7458" s="2" t="s">
        <v>10563</v>
      </c>
      <c r="E7458" s="2" t="str">
        <f>"9780700604210"</f>
        <v>9780700604210</v>
      </c>
      <c r="F7458" s="2" t="str">
        <f>"9780700631209"</f>
        <v>9780700631209</v>
      </c>
    </row>
    <row r="7459" spans="1:6" s="3" customFormat="1" ht="29.1" customHeight="1" x14ac:dyDescent="0.25">
      <c r="A7459" s="2" t="s">
        <v>15613</v>
      </c>
      <c r="B7459" s="2" t="s">
        <v>15614</v>
      </c>
      <c r="C7459" s="2" t="s">
        <v>7395</v>
      </c>
      <c r="D7459" s="2" t="s">
        <v>14288</v>
      </c>
      <c r="E7459" s="2" t="str">
        <f>"9780700631582"</f>
        <v>9780700631582</v>
      </c>
      <c r="F7459" s="2" t="str">
        <f>"9780700631025"</f>
        <v>9780700631025</v>
      </c>
    </row>
    <row r="7460" spans="1:6" s="3" customFormat="1" ht="29.1" customHeight="1" x14ac:dyDescent="0.25">
      <c r="A7460" s="2" t="s">
        <v>15615</v>
      </c>
      <c r="B7460" s="2" t="s">
        <v>15616</v>
      </c>
      <c r="C7460" s="2" t="s">
        <v>7395</v>
      </c>
      <c r="D7460" s="2" t="s">
        <v>5560</v>
      </c>
      <c r="E7460" s="2" t="str">
        <f>"9780700631780"</f>
        <v>9780700631780</v>
      </c>
      <c r="F7460" s="2" t="str">
        <f>"9780700631315"</f>
        <v>9780700631315</v>
      </c>
    </row>
    <row r="7461" spans="1:6" s="3" customFormat="1" ht="29.1" customHeight="1" x14ac:dyDescent="0.25">
      <c r="A7461" s="2" t="s">
        <v>15617</v>
      </c>
      <c r="B7461" s="2" t="s">
        <v>15618</v>
      </c>
      <c r="C7461" s="2" t="s">
        <v>7395</v>
      </c>
      <c r="D7461" s="2" t="s">
        <v>5560</v>
      </c>
      <c r="E7461" s="2" t="str">
        <f>"9780700631605"</f>
        <v>9780700631605</v>
      </c>
      <c r="F7461" s="2" t="str">
        <f>"9780700631056"</f>
        <v>9780700631056</v>
      </c>
    </row>
    <row r="7462" spans="1:6" s="3" customFormat="1" ht="29.1" customHeight="1" x14ac:dyDescent="0.25">
      <c r="A7462" s="2" t="s">
        <v>15619</v>
      </c>
      <c r="B7462" s="2" t="s">
        <v>15612</v>
      </c>
      <c r="C7462" s="2" t="s">
        <v>7395</v>
      </c>
      <c r="D7462" s="2" t="s">
        <v>14288</v>
      </c>
      <c r="E7462" s="2" t="str">
        <f>"9780700631759"</f>
        <v>9780700631759</v>
      </c>
      <c r="F7462" s="2" t="str">
        <f>"9780700631216"</f>
        <v>9780700631216</v>
      </c>
    </row>
    <row r="7463" spans="1:6" s="3" customFormat="1" ht="29.1" customHeight="1" x14ac:dyDescent="0.25">
      <c r="A7463" s="2" t="s">
        <v>15620</v>
      </c>
      <c r="B7463" s="2" t="s">
        <v>15621</v>
      </c>
      <c r="C7463" s="2" t="s">
        <v>7395</v>
      </c>
      <c r="D7463" s="2" t="s">
        <v>12246</v>
      </c>
      <c r="E7463" s="2" t="str">
        <f>"9780700631636"</f>
        <v>9780700631636</v>
      </c>
      <c r="F7463" s="2" t="str">
        <f>"9780700631094"</f>
        <v>9780700631094</v>
      </c>
    </row>
    <row r="7464" spans="1:6" s="3" customFormat="1" ht="29.1" customHeight="1" x14ac:dyDescent="0.25">
      <c r="A7464" s="2" t="s">
        <v>15622</v>
      </c>
      <c r="B7464" s="2" t="s">
        <v>15623</v>
      </c>
      <c r="C7464" s="2" t="s">
        <v>7395</v>
      </c>
      <c r="D7464" s="2" t="s">
        <v>2488</v>
      </c>
      <c r="E7464" s="2" t="str">
        <f>"9780700631674"</f>
        <v>9780700631674</v>
      </c>
      <c r="F7464" s="2" t="str">
        <f>"9780700631148"</f>
        <v>9780700631148</v>
      </c>
    </row>
    <row r="7465" spans="1:6" s="3" customFormat="1" ht="29.1" customHeight="1" x14ac:dyDescent="0.25">
      <c r="A7465" s="2" t="s">
        <v>15624</v>
      </c>
      <c r="B7465" s="2" t="s">
        <v>15626</v>
      </c>
      <c r="C7465" s="2" t="s">
        <v>7395</v>
      </c>
      <c r="D7465" s="2" t="s">
        <v>15625</v>
      </c>
      <c r="E7465" s="2" t="str">
        <f>"9780700604784"</f>
        <v>9780700604784</v>
      </c>
      <c r="F7465" s="2" t="str">
        <f>"9780700630769"</f>
        <v>9780700630769</v>
      </c>
    </row>
    <row r="7466" spans="1:6" s="3" customFormat="1" ht="29.1" customHeight="1" x14ac:dyDescent="0.25">
      <c r="A7466" s="2" t="s">
        <v>15627</v>
      </c>
      <c r="B7466" s="2" t="s">
        <v>15628</v>
      </c>
      <c r="C7466" s="2" t="s">
        <v>613</v>
      </c>
      <c r="D7466" s="2" t="s">
        <v>13640</v>
      </c>
      <c r="E7466" s="2" t="str">
        <f>"9781668498484"</f>
        <v>9781668498484</v>
      </c>
      <c r="F7466" s="2" t="str">
        <f>"9781668498491"</f>
        <v>9781668498491</v>
      </c>
    </row>
    <row r="7467" spans="1:6" s="3" customFormat="1" ht="29.1" customHeight="1" x14ac:dyDescent="0.25">
      <c r="A7467" s="2" t="s">
        <v>15629</v>
      </c>
      <c r="B7467" s="2" t="s">
        <v>15630</v>
      </c>
      <c r="C7467" s="2" t="s">
        <v>5</v>
      </c>
      <c r="D7467" s="2" t="s">
        <v>2458</v>
      </c>
      <c r="E7467" s="2" t="str">
        <f>"9783031483776"</f>
        <v>9783031483776</v>
      </c>
      <c r="F7467" s="2" t="str">
        <f>"9783031483783"</f>
        <v>9783031483783</v>
      </c>
    </row>
    <row r="7468" spans="1:6" s="3" customFormat="1" ht="29.1" customHeight="1" x14ac:dyDescent="0.25">
      <c r="A7468" s="2" t="s">
        <v>15631</v>
      </c>
      <c r="B7468" s="2" t="s">
        <v>15632</v>
      </c>
      <c r="C7468" s="2" t="s">
        <v>29</v>
      </c>
      <c r="D7468" s="2" t="s">
        <v>6548</v>
      </c>
      <c r="E7468" s="2" t="str">
        <f>"9789004682597"</f>
        <v>9789004682597</v>
      </c>
      <c r="F7468" s="2" t="str">
        <f>"9789004682603"</f>
        <v>9789004682603</v>
      </c>
    </row>
    <row r="7469" spans="1:6" s="3" customFormat="1" ht="29.1" customHeight="1" x14ac:dyDescent="0.25">
      <c r="A7469" s="2" t="s">
        <v>15633</v>
      </c>
      <c r="B7469" s="2" t="s">
        <v>15634</v>
      </c>
      <c r="C7469" s="2" t="s">
        <v>29</v>
      </c>
      <c r="D7469" s="2" t="s">
        <v>33</v>
      </c>
      <c r="E7469" s="2" t="str">
        <f>"9783770568635"</f>
        <v>9783770568635</v>
      </c>
      <c r="F7469" s="2" t="str">
        <f>"9783846768631"</f>
        <v>9783846768631</v>
      </c>
    </row>
    <row r="7470" spans="1:6" s="3" customFormat="1" ht="29.1" customHeight="1" x14ac:dyDescent="0.25">
      <c r="A7470" s="2" t="s">
        <v>15635</v>
      </c>
      <c r="B7470" s="2" t="s">
        <v>15636</v>
      </c>
      <c r="C7470" s="2" t="s">
        <v>29</v>
      </c>
      <c r="D7470" s="2" t="s">
        <v>33</v>
      </c>
      <c r="E7470" s="2" t="str">
        <f>"9783770568420"</f>
        <v>9783770568420</v>
      </c>
      <c r="F7470" s="2" t="str">
        <f>"9783846768426"</f>
        <v>9783846768426</v>
      </c>
    </row>
    <row r="7471" spans="1:6" s="3" customFormat="1" ht="29.1" customHeight="1" x14ac:dyDescent="0.25">
      <c r="A7471" s="2" t="s">
        <v>15637</v>
      </c>
      <c r="B7471" s="2" t="s">
        <v>15638</v>
      </c>
      <c r="C7471" s="2" t="s">
        <v>5</v>
      </c>
      <c r="D7471" s="2" t="s">
        <v>294</v>
      </c>
      <c r="E7471" s="2" t="str">
        <f>"9783658438937"</f>
        <v>9783658438937</v>
      </c>
      <c r="F7471" s="2" t="str">
        <f>"9783658438944"</f>
        <v>9783658438944</v>
      </c>
    </row>
    <row r="7472" spans="1:6" s="3" customFormat="1" ht="29.1" customHeight="1" x14ac:dyDescent="0.25">
      <c r="A7472" s="2" t="s">
        <v>15639</v>
      </c>
      <c r="B7472" s="2" t="s">
        <v>15640</v>
      </c>
      <c r="C7472" s="2" t="s">
        <v>8104</v>
      </c>
      <c r="D7472" s="2" t="s">
        <v>636</v>
      </c>
      <c r="E7472" s="2" t="str">
        <f>"9781805397717"</f>
        <v>9781805397717</v>
      </c>
      <c r="F7472" s="2" t="str">
        <f>"9781805397724"</f>
        <v>9781805397724</v>
      </c>
    </row>
    <row r="7473" spans="1:6" s="3" customFormat="1" ht="29.1" customHeight="1" x14ac:dyDescent="0.25">
      <c r="A7473" s="2" t="s">
        <v>15641</v>
      </c>
      <c r="B7473" s="2" t="s">
        <v>15642</v>
      </c>
      <c r="C7473" s="2" t="s">
        <v>1953</v>
      </c>
      <c r="D7473" s="2" t="s">
        <v>13208</v>
      </c>
      <c r="E7473" s="2"/>
      <c r="F7473" s="2" t="str">
        <f>"9798891135390"</f>
        <v>9798891135390</v>
      </c>
    </row>
    <row r="7474" spans="1:6" s="3" customFormat="1" ht="29.1" customHeight="1" x14ac:dyDescent="0.25">
      <c r="A7474" s="2" t="s">
        <v>15643</v>
      </c>
      <c r="B7474" s="2" t="s">
        <v>15644</v>
      </c>
      <c r="C7474" s="2" t="s">
        <v>55</v>
      </c>
      <c r="D7474" s="2" t="s">
        <v>3166</v>
      </c>
      <c r="E7474" s="2" t="str">
        <f>"9781526141095"</f>
        <v>9781526141095</v>
      </c>
      <c r="F7474" s="2" t="str">
        <f>"9781526142153"</f>
        <v>9781526142153</v>
      </c>
    </row>
    <row r="7475" spans="1:6" s="3" customFormat="1" ht="29.1" customHeight="1" x14ac:dyDescent="0.25">
      <c r="A7475" s="2" t="s">
        <v>15645</v>
      </c>
      <c r="B7475" s="2" t="s">
        <v>15646</v>
      </c>
      <c r="C7475" s="2" t="s">
        <v>29</v>
      </c>
      <c r="D7475" s="2" t="s">
        <v>4117</v>
      </c>
      <c r="E7475" s="2" t="str">
        <f>"9789004688070"</f>
        <v>9789004688070</v>
      </c>
      <c r="F7475" s="2" t="str">
        <f>"9789004694132"</f>
        <v>9789004694132</v>
      </c>
    </row>
    <row r="7476" spans="1:6" s="3" customFormat="1" ht="29.1" customHeight="1" x14ac:dyDescent="0.25">
      <c r="A7476" s="2" t="s">
        <v>15647</v>
      </c>
      <c r="B7476" s="2" t="s">
        <v>15648</v>
      </c>
      <c r="C7476" s="2" t="s">
        <v>124</v>
      </c>
      <c r="D7476" s="2" t="s">
        <v>168</v>
      </c>
      <c r="E7476" s="2" t="str">
        <f>"9781032555959"</f>
        <v>9781032555959</v>
      </c>
      <c r="F7476" s="2" t="str">
        <f>"9781003431350"</f>
        <v>9781003431350</v>
      </c>
    </row>
    <row r="7477" spans="1:6" s="3" customFormat="1" ht="29.1" customHeight="1" x14ac:dyDescent="0.25">
      <c r="A7477" s="2" t="s">
        <v>15649</v>
      </c>
      <c r="B7477" s="2" t="s">
        <v>15650</v>
      </c>
      <c r="C7477" s="2" t="s">
        <v>5</v>
      </c>
      <c r="D7477" s="2" t="s">
        <v>294</v>
      </c>
      <c r="E7477" s="2" t="str">
        <f>"9783031483271"</f>
        <v>9783031483271</v>
      </c>
      <c r="F7477" s="2" t="str">
        <f>"9783031483288"</f>
        <v>9783031483288</v>
      </c>
    </row>
    <row r="7478" spans="1:6" s="3" customFormat="1" ht="29.1" customHeight="1" x14ac:dyDescent="0.25">
      <c r="A7478" s="2" t="s">
        <v>15651</v>
      </c>
      <c r="B7478" s="2" t="s">
        <v>15652</v>
      </c>
      <c r="C7478" s="2" t="s">
        <v>15181</v>
      </c>
      <c r="D7478" s="2" t="s">
        <v>876</v>
      </c>
      <c r="E7478" s="2" t="str">
        <f>"9789087284343"</f>
        <v>9789087284343</v>
      </c>
      <c r="F7478" s="2" t="str">
        <f>"9789400604742"</f>
        <v>9789400604742</v>
      </c>
    </row>
    <row r="7479" spans="1:6" s="3" customFormat="1" ht="29.1" customHeight="1" x14ac:dyDescent="0.25">
      <c r="A7479" s="2" t="s">
        <v>15653</v>
      </c>
      <c r="B7479" s="2" t="s">
        <v>15654</v>
      </c>
      <c r="C7479" s="2" t="s">
        <v>327</v>
      </c>
      <c r="D7479" s="2" t="s">
        <v>15324</v>
      </c>
      <c r="E7479" s="2" t="str">
        <f>"9788383313306"</f>
        <v>9788383313306</v>
      </c>
      <c r="F7479" s="2" t="str">
        <f>"9788383313313"</f>
        <v>9788383313313</v>
      </c>
    </row>
    <row r="7480" spans="1:6" s="3" customFormat="1" ht="29.1" customHeight="1" x14ac:dyDescent="0.25">
      <c r="A7480" s="2" t="s">
        <v>15655</v>
      </c>
      <c r="B7480" s="2" t="s">
        <v>15656</v>
      </c>
      <c r="C7480" s="2" t="s">
        <v>239</v>
      </c>
      <c r="D7480" s="2" t="s">
        <v>11830</v>
      </c>
      <c r="E7480" s="2" t="str">
        <f>"9780520388543"</f>
        <v>9780520388543</v>
      </c>
      <c r="F7480" s="2" t="str">
        <f>"9780520388550"</f>
        <v>9780520388550</v>
      </c>
    </row>
    <row r="7481" spans="1:6" s="3" customFormat="1" ht="29.1" customHeight="1" x14ac:dyDescent="0.25">
      <c r="A7481" s="2" t="s">
        <v>15657</v>
      </c>
      <c r="B7481" s="2" t="s">
        <v>15658</v>
      </c>
      <c r="C7481" s="2" t="s">
        <v>5</v>
      </c>
      <c r="D7481" s="2" t="s">
        <v>12</v>
      </c>
      <c r="E7481" s="2" t="str">
        <f>"9783662678633"</f>
        <v>9783662678633</v>
      </c>
      <c r="F7481" s="2" t="str">
        <f>"9783662678640"</f>
        <v>9783662678640</v>
      </c>
    </row>
    <row r="7482" spans="1:6" s="3" customFormat="1" ht="29.1" customHeight="1" x14ac:dyDescent="0.25">
      <c r="A7482" s="2" t="s">
        <v>15659</v>
      </c>
      <c r="B7482" s="2" t="s">
        <v>15660</v>
      </c>
      <c r="C7482" s="2" t="s">
        <v>5</v>
      </c>
      <c r="D7482" s="2" t="s">
        <v>24</v>
      </c>
      <c r="E7482" s="2" t="str">
        <f>"9783031518362"</f>
        <v>9783031518362</v>
      </c>
      <c r="F7482" s="2" t="str">
        <f>"9783031518379"</f>
        <v>9783031518379</v>
      </c>
    </row>
    <row r="7483" spans="1:6" s="3" customFormat="1" ht="29.1" customHeight="1" x14ac:dyDescent="0.25">
      <c r="A7483" s="2" t="s">
        <v>15661</v>
      </c>
      <c r="B7483" s="2" t="s">
        <v>15662</v>
      </c>
      <c r="C7483" s="2" t="s">
        <v>3513</v>
      </c>
      <c r="D7483" s="2" t="s">
        <v>727</v>
      </c>
      <c r="E7483" s="2" t="str">
        <f>"9788382112009"</f>
        <v>9788382112009</v>
      </c>
      <c r="F7483" s="2" t="str">
        <f>"9788382112016"</f>
        <v>9788382112016</v>
      </c>
    </row>
    <row r="7484" spans="1:6" s="3" customFormat="1" ht="29.1" customHeight="1" x14ac:dyDescent="0.25">
      <c r="A7484" s="2" t="s">
        <v>15663</v>
      </c>
      <c r="B7484" s="2" t="s">
        <v>15664</v>
      </c>
      <c r="C7484" s="2" t="s">
        <v>3513</v>
      </c>
      <c r="D7484" s="2" t="s">
        <v>10433</v>
      </c>
      <c r="E7484" s="2" t="str">
        <f>"9788382112047"</f>
        <v>9788382112047</v>
      </c>
      <c r="F7484" s="2" t="str">
        <f>"9788382112054"</f>
        <v>9788382112054</v>
      </c>
    </row>
    <row r="7485" spans="1:6" s="3" customFormat="1" ht="29.1" customHeight="1" x14ac:dyDescent="0.25">
      <c r="A7485" s="2" t="s">
        <v>15665</v>
      </c>
      <c r="B7485" s="2" t="s">
        <v>15667</v>
      </c>
      <c r="C7485" s="2" t="s">
        <v>149</v>
      </c>
      <c r="D7485" s="2" t="s">
        <v>15666</v>
      </c>
      <c r="E7485" s="2"/>
      <c r="F7485" s="2" t="str">
        <f>"9781800648166"</f>
        <v>9781800648166</v>
      </c>
    </row>
    <row r="7486" spans="1:6" s="3" customFormat="1" ht="29.1" customHeight="1" x14ac:dyDescent="0.25">
      <c r="A7486" s="2" t="s">
        <v>15668</v>
      </c>
      <c r="B7486" s="2" t="s">
        <v>5044</v>
      </c>
      <c r="C7486" s="2" t="s">
        <v>149</v>
      </c>
      <c r="D7486" s="2" t="s">
        <v>3430</v>
      </c>
      <c r="E7486" s="2"/>
      <c r="F7486" s="2" t="str">
        <f>"9781805112143"</f>
        <v>9781805112143</v>
      </c>
    </row>
    <row r="7487" spans="1:6" s="3" customFormat="1" ht="29.1" customHeight="1" x14ac:dyDescent="0.25">
      <c r="A7487" s="2" t="s">
        <v>15669</v>
      </c>
      <c r="B7487" s="2" t="s">
        <v>15670</v>
      </c>
      <c r="C7487" s="2" t="s">
        <v>248</v>
      </c>
      <c r="D7487" s="2" t="s">
        <v>9</v>
      </c>
      <c r="E7487" s="2" t="str">
        <f>"9783847430513"</f>
        <v>9783847430513</v>
      </c>
      <c r="F7487" s="2" t="str">
        <f>"9783847419839"</f>
        <v>9783847419839</v>
      </c>
    </row>
    <row r="7488" spans="1:6" s="3" customFormat="1" ht="29.1" customHeight="1" x14ac:dyDescent="0.25">
      <c r="A7488" s="2" t="s">
        <v>15671</v>
      </c>
      <c r="B7488" s="2" t="s">
        <v>15672</v>
      </c>
      <c r="C7488" s="2" t="s">
        <v>595</v>
      </c>
      <c r="D7488" s="2" t="s">
        <v>66</v>
      </c>
      <c r="E7488" s="2" t="str">
        <f>"9783631894125"</f>
        <v>9783631894125</v>
      </c>
      <c r="F7488" s="2" t="str">
        <f>"9783631913604"</f>
        <v>9783631913604</v>
      </c>
    </row>
    <row r="7489" spans="1:6" s="3" customFormat="1" ht="29.1" customHeight="1" x14ac:dyDescent="0.25">
      <c r="A7489" s="2" t="s">
        <v>15673</v>
      </c>
      <c r="B7489" s="2" t="s">
        <v>15674</v>
      </c>
      <c r="C7489" s="2" t="s">
        <v>29</v>
      </c>
      <c r="D7489" s="2" t="s">
        <v>462</v>
      </c>
      <c r="E7489" s="2" t="str">
        <f>"9789004537453"</f>
        <v>9789004537453</v>
      </c>
      <c r="F7489" s="2" t="str">
        <f>"9789004537460"</f>
        <v>9789004537460</v>
      </c>
    </row>
    <row r="7490" spans="1:6" s="3" customFormat="1" ht="29.1" customHeight="1" x14ac:dyDescent="0.25">
      <c r="A7490" s="2" t="s">
        <v>15675</v>
      </c>
      <c r="B7490" s="2"/>
      <c r="C7490" s="2" t="s">
        <v>59</v>
      </c>
      <c r="D7490" s="2" t="s">
        <v>15676</v>
      </c>
      <c r="E7490" s="2"/>
      <c r="F7490" s="2" t="str">
        <f>"9782759239214"</f>
        <v>9782759239214</v>
      </c>
    </row>
    <row r="7491" spans="1:6" s="3" customFormat="1" ht="29.1" customHeight="1" x14ac:dyDescent="0.25">
      <c r="A7491" s="2" t="s">
        <v>15677</v>
      </c>
      <c r="B7491" s="2" t="s">
        <v>15678</v>
      </c>
      <c r="C7491" s="2" t="s">
        <v>15181</v>
      </c>
      <c r="D7491" s="2" t="s">
        <v>636</v>
      </c>
      <c r="E7491" s="2" t="str">
        <f>"9789633867686"</f>
        <v>9789633867686</v>
      </c>
      <c r="F7491" s="2" t="str">
        <f>"9789633867693"</f>
        <v>9789633867693</v>
      </c>
    </row>
    <row r="7492" spans="1:6" s="3" customFormat="1" ht="29.1" customHeight="1" x14ac:dyDescent="0.25">
      <c r="A7492" s="2" t="s">
        <v>15679</v>
      </c>
      <c r="B7492" s="2" t="s">
        <v>15680</v>
      </c>
      <c r="C7492" s="2" t="s">
        <v>15181</v>
      </c>
      <c r="D7492" s="2" t="s">
        <v>12131</v>
      </c>
      <c r="E7492" s="2" t="str">
        <f>"9789633867648"</f>
        <v>9789633867648</v>
      </c>
      <c r="F7492" s="2" t="str">
        <f>"9789633867655"</f>
        <v>9789633867655</v>
      </c>
    </row>
    <row r="7493" spans="1:6" s="3" customFormat="1" ht="29.1" customHeight="1" x14ac:dyDescent="0.25">
      <c r="A7493" s="2" t="s">
        <v>15681</v>
      </c>
      <c r="B7493" s="2" t="s">
        <v>15683</v>
      </c>
      <c r="C7493" s="2" t="s">
        <v>15181</v>
      </c>
      <c r="D7493" s="2" t="s">
        <v>15682</v>
      </c>
      <c r="E7493" s="2" t="str">
        <f>"9789633867709"</f>
        <v>9789633867709</v>
      </c>
      <c r="F7493" s="2" t="str">
        <f>"9789633867716"</f>
        <v>9789633867716</v>
      </c>
    </row>
    <row r="7494" spans="1:6" s="3" customFormat="1" ht="29.1" customHeight="1" x14ac:dyDescent="0.25">
      <c r="A7494" s="2" t="s">
        <v>15684</v>
      </c>
      <c r="B7494" s="2" t="s">
        <v>15685</v>
      </c>
      <c r="C7494" s="2" t="s">
        <v>15181</v>
      </c>
      <c r="D7494" s="2" t="s">
        <v>7725</v>
      </c>
      <c r="E7494" s="2" t="str">
        <f>"9789633867495"</f>
        <v>9789633867495</v>
      </c>
      <c r="F7494" s="2" t="str">
        <f>"9789633867501"</f>
        <v>9789633867501</v>
      </c>
    </row>
    <row r="7495" spans="1:6" s="3" customFormat="1" ht="29.1" customHeight="1" x14ac:dyDescent="0.25">
      <c r="A7495" s="2" t="s">
        <v>15686</v>
      </c>
      <c r="B7495" s="2" t="s">
        <v>15687</v>
      </c>
      <c r="C7495" s="2" t="s">
        <v>62</v>
      </c>
      <c r="D7495" s="2" t="s">
        <v>2153</v>
      </c>
      <c r="E7495" s="2" t="str">
        <f>"9783428190867"</f>
        <v>9783428190867</v>
      </c>
      <c r="F7495" s="2" t="str">
        <f>"9783428590865"</f>
        <v>9783428590865</v>
      </c>
    </row>
    <row r="7496" spans="1:6" s="3" customFormat="1" ht="29.1" customHeight="1" x14ac:dyDescent="0.25">
      <c r="A7496" s="2" t="s">
        <v>15688</v>
      </c>
      <c r="B7496" s="2" t="s">
        <v>15689</v>
      </c>
      <c r="C7496" s="2" t="s">
        <v>248</v>
      </c>
      <c r="D7496" s="2" t="s">
        <v>249</v>
      </c>
      <c r="E7496" s="2" t="str">
        <f>"9783847430445"</f>
        <v>9783847430445</v>
      </c>
      <c r="F7496" s="2" t="str">
        <f>"9783847419785"</f>
        <v>9783847419785</v>
      </c>
    </row>
    <row r="7497" spans="1:6" s="3" customFormat="1" ht="29.1" customHeight="1" x14ac:dyDescent="0.25">
      <c r="A7497" s="2" t="s">
        <v>15690</v>
      </c>
      <c r="B7497" s="2" t="s">
        <v>15691</v>
      </c>
      <c r="C7497" s="2" t="s">
        <v>15381</v>
      </c>
      <c r="D7497" s="2" t="s">
        <v>4754</v>
      </c>
      <c r="E7497" s="2" t="str">
        <f>"9781469680057"</f>
        <v>9781469680057</v>
      </c>
      <c r="F7497" s="2" t="str">
        <f>"9781469680088"</f>
        <v>9781469680088</v>
      </c>
    </row>
    <row r="7498" spans="1:6" s="3" customFormat="1" ht="29.1" customHeight="1" x14ac:dyDescent="0.25">
      <c r="A7498" s="2" t="s">
        <v>15692</v>
      </c>
      <c r="B7498" s="2" t="s">
        <v>15693</v>
      </c>
      <c r="C7498" s="2" t="s">
        <v>5</v>
      </c>
      <c r="D7498" s="2" t="s">
        <v>636</v>
      </c>
      <c r="E7498" s="2" t="str">
        <f>"9789464633894"</f>
        <v>9789464633894</v>
      </c>
      <c r="F7498" s="2" t="str">
        <f>"9789464633900"</f>
        <v>9789464633900</v>
      </c>
    </row>
    <row r="7499" spans="1:6" s="3" customFormat="1" ht="29.1" customHeight="1" x14ac:dyDescent="0.25">
      <c r="A7499" s="2" t="s">
        <v>15694</v>
      </c>
      <c r="B7499" s="2" t="s">
        <v>15695</v>
      </c>
      <c r="C7499" s="2" t="s">
        <v>5</v>
      </c>
      <c r="D7499" s="2" t="s">
        <v>1209</v>
      </c>
      <c r="E7499" s="2" t="str">
        <f>"9789819997299"</f>
        <v>9789819997299</v>
      </c>
      <c r="F7499" s="2" t="str">
        <f>"9789819997305"</f>
        <v>9789819997305</v>
      </c>
    </row>
    <row r="7500" spans="1:6" s="3" customFormat="1" ht="29.1" customHeight="1" x14ac:dyDescent="0.25">
      <c r="A7500" s="2" t="s">
        <v>6885</v>
      </c>
      <c r="B7500" s="2" t="s">
        <v>15696</v>
      </c>
      <c r="C7500" s="2" t="s">
        <v>5</v>
      </c>
      <c r="D7500" s="2" t="s">
        <v>487</v>
      </c>
      <c r="E7500" s="2" t="str">
        <f>"9783031572586"</f>
        <v>9783031572586</v>
      </c>
      <c r="F7500" s="2" t="str">
        <f>"9783031572593"</f>
        <v>9783031572593</v>
      </c>
    </row>
    <row r="7501" spans="1:6" s="3" customFormat="1" ht="29.1" customHeight="1" x14ac:dyDescent="0.25">
      <c r="A7501" s="2" t="s">
        <v>6883</v>
      </c>
      <c r="B7501" s="2" t="s">
        <v>15697</v>
      </c>
      <c r="C7501" s="2" t="s">
        <v>5</v>
      </c>
      <c r="D7501" s="2" t="s">
        <v>1902</v>
      </c>
      <c r="E7501" s="2" t="str">
        <f>"9783031572302"</f>
        <v>9783031572302</v>
      </c>
      <c r="F7501" s="2" t="str">
        <f>"9783031572319"</f>
        <v>9783031572319</v>
      </c>
    </row>
    <row r="7502" spans="1:6" s="3" customFormat="1" ht="29.1" customHeight="1" x14ac:dyDescent="0.25">
      <c r="A7502" s="2" t="s">
        <v>15698</v>
      </c>
      <c r="B7502" s="2" t="s">
        <v>15699</v>
      </c>
      <c r="C7502" s="2" t="s">
        <v>29</v>
      </c>
      <c r="D7502" s="2" t="s">
        <v>2773</v>
      </c>
      <c r="E7502" s="2" t="str">
        <f>"9789004520035"</f>
        <v>9789004520035</v>
      </c>
      <c r="F7502" s="2" t="str">
        <f>"9789004687288"</f>
        <v>9789004687288</v>
      </c>
    </row>
    <row r="7503" spans="1:6" s="3" customFormat="1" ht="29.1" customHeight="1" x14ac:dyDescent="0.25">
      <c r="A7503" s="2" t="s">
        <v>15700</v>
      </c>
      <c r="B7503" s="2" t="s">
        <v>15701</v>
      </c>
      <c r="C7503" s="2" t="s">
        <v>5</v>
      </c>
      <c r="D7503" s="2" t="s">
        <v>6655</v>
      </c>
      <c r="E7503" s="2" t="str">
        <f>"9783658429478"</f>
        <v>9783658429478</v>
      </c>
      <c r="F7503" s="2" t="str">
        <f>"9783658429485"</f>
        <v>9783658429485</v>
      </c>
    </row>
    <row r="7504" spans="1:6" s="3" customFormat="1" ht="29.1" customHeight="1" x14ac:dyDescent="0.25">
      <c r="A7504" s="2" t="s">
        <v>6877</v>
      </c>
      <c r="B7504" s="2" t="s">
        <v>15702</v>
      </c>
      <c r="C7504" s="2" t="s">
        <v>5</v>
      </c>
      <c r="D7504" s="2" t="s">
        <v>1902</v>
      </c>
      <c r="E7504" s="2" t="str">
        <f>"9783031572555"</f>
        <v>9783031572555</v>
      </c>
      <c r="F7504" s="2" t="str">
        <f>"9783031572562"</f>
        <v>9783031572562</v>
      </c>
    </row>
    <row r="7505" spans="1:6" s="3" customFormat="1" ht="29.1" customHeight="1" x14ac:dyDescent="0.25">
      <c r="A7505" s="2" t="s">
        <v>6877</v>
      </c>
      <c r="B7505" s="2" t="s">
        <v>15702</v>
      </c>
      <c r="C7505" s="2" t="s">
        <v>5</v>
      </c>
      <c r="D7505" s="2" t="s">
        <v>1902</v>
      </c>
      <c r="E7505" s="2" t="str">
        <f>"9783031572487"</f>
        <v>9783031572487</v>
      </c>
      <c r="F7505" s="2" t="str">
        <f>"9783031572494"</f>
        <v>9783031572494</v>
      </c>
    </row>
    <row r="7506" spans="1:6" s="3" customFormat="1" ht="29.1" customHeight="1" x14ac:dyDescent="0.25">
      <c r="A7506" s="2" t="s">
        <v>6883</v>
      </c>
      <c r="B7506" s="2" t="s">
        <v>15697</v>
      </c>
      <c r="C7506" s="2" t="s">
        <v>5</v>
      </c>
      <c r="D7506" s="2" t="s">
        <v>1902</v>
      </c>
      <c r="E7506" s="2" t="str">
        <f>"9783031572272"</f>
        <v>9783031572272</v>
      </c>
      <c r="F7506" s="2" t="str">
        <f>"9783031572289"</f>
        <v>9783031572289</v>
      </c>
    </row>
    <row r="7507" spans="1:6" s="3" customFormat="1" ht="29.1" customHeight="1" x14ac:dyDescent="0.25">
      <c r="A7507" s="2" t="s">
        <v>6874</v>
      </c>
      <c r="B7507" s="2" t="s">
        <v>15703</v>
      </c>
      <c r="C7507" s="2" t="s">
        <v>5</v>
      </c>
      <c r="D7507" s="2" t="s">
        <v>6875</v>
      </c>
      <c r="E7507" s="2" t="str">
        <f>"9783031572661"</f>
        <v>9783031572661</v>
      </c>
      <c r="F7507" s="2" t="str">
        <f>"9783031572678"</f>
        <v>9783031572678</v>
      </c>
    </row>
    <row r="7508" spans="1:6" s="3" customFormat="1" ht="29.1" customHeight="1" x14ac:dyDescent="0.25">
      <c r="A7508" s="2" t="s">
        <v>6874</v>
      </c>
      <c r="B7508" s="2" t="s">
        <v>15703</v>
      </c>
      <c r="C7508" s="2" t="s">
        <v>5</v>
      </c>
      <c r="D7508" s="2" t="s">
        <v>7341</v>
      </c>
      <c r="E7508" s="2" t="str">
        <f>"9783031572616"</f>
        <v>9783031572616</v>
      </c>
      <c r="F7508" s="2" t="str">
        <f>"9783031572623"</f>
        <v>9783031572623</v>
      </c>
    </row>
    <row r="7509" spans="1:6" s="3" customFormat="1" ht="29.1" customHeight="1" x14ac:dyDescent="0.25">
      <c r="A7509" s="2" t="s">
        <v>15704</v>
      </c>
      <c r="B7509" s="2" t="s">
        <v>15705</v>
      </c>
      <c r="C7509" s="2" t="s">
        <v>885</v>
      </c>
      <c r="D7509" s="2" t="s">
        <v>758</v>
      </c>
      <c r="E7509" s="2" t="str">
        <f>"9781487553616"</f>
        <v>9781487553616</v>
      </c>
      <c r="F7509" s="2" t="str">
        <f>"9781487555528"</f>
        <v>9781487555528</v>
      </c>
    </row>
    <row r="7510" spans="1:6" s="3" customFormat="1" ht="29.1" customHeight="1" x14ac:dyDescent="0.25">
      <c r="A7510" s="2" t="s">
        <v>15706</v>
      </c>
      <c r="B7510" s="2" t="s">
        <v>15707</v>
      </c>
      <c r="C7510" s="2" t="s">
        <v>149</v>
      </c>
      <c r="D7510" s="2" t="s">
        <v>1867</v>
      </c>
      <c r="E7510" s="2"/>
      <c r="F7510" s="2" t="str">
        <f>"9781800649774"</f>
        <v>9781800649774</v>
      </c>
    </row>
    <row r="7511" spans="1:6" s="3" customFormat="1" ht="29.1" customHeight="1" x14ac:dyDescent="0.25">
      <c r="A7511" s="2" t="s">
        <v>15708</v>
      </c>
      <c r="B7511" s="2" t="s">
        <v>15709</v>
      </c>
      <c r="C7511" s="2" t="s">
        <v>149</v>
      </c>
      <c r="D7511" s="2" t="s">
        <v>175</v>
      </c>
      <c r="E7511" s="2"/>
      <c r="F7511" s="2" t="str">
        <f>"9781805112532"</f>
        <v>9781805112532</v>
      </c>
    </row>
    <row r="7512" spans="1:6" s="3" customFormat="1" ht="29.1" customHeight="1" x14ac:dyDescent="0.25">
      <c r="A7512" s="2" t="s">
        <v>15710</v>
      </c>
      <c r="B7512" s="2" t="s">
        <v>15711</v>
      </c>
      <c r="C7512" s="2" t="s">
        <v>556</v>
      </c>
      <c r="D7512" s="2" t="s">
        <v>33</v>
      </c>
      <c r="E7512" s="2" t="str">
        <f>"9783837673128"</f>
        <v>9783837673128</v>
      </c>
      <c r="F7512" s="2" t="str">
        <f>"9783839473122"</f>
        <v>9783839473122</v>
      </c>
    </row>
    <row r="7513" spans="1:6" s="3" customFormat="1" ht="29.1" customHeight="1" x14ac:dyDescent="0.25">
      <c r="A7513" s="2" t="s">
        <v>15712</v>
      </c>
      <c r="B7513" s="2" t="s">
        <v>15713</v>
      </c>
      <c r="C7513" s="2" t="s">
        <v>556</v>
      </c>
      <c r="D7513" s="2" t="s">
        <v>3245</v>
      </c>
      <c r="E7513" s="2" t="str">
        <f>"9783837666878"</f>
        <v>9783837666878</v>
      </c>
      <c r="F7513" s="2" t="str">
        <f>"9783839466872"</f>
        <v>9783839466872</v>
      </c>
    </row>
    <row r="7514" spans="1:6" s="3" customFormat="1" ht="29.1" customHeight="1" x14ac:dyDescent="0.25">
      <c r="A7514" s="2" t="s">
        <v>15714</v>
      </c>
      <c r="B7514" s="2" t="s">
        <v>15715</v>
      </c>
      <c r="C7514" s="2" t="s">
        <v>556</v>
      </c>
      <c r="D7514" s="2" t="s">
        <v>674</v>
      </c>
      <c r="E7514" s="2" t="str">
        <f>"9783837673043"</f>
        <v>9783837673043</v>
      </c>
      <c r="F7514" s="2" t="str">
        <f>"9783839473047"</f>
        <v>9783839473047</v>
      </c>
    </row>
    <row r="7515" spans="1:6" s="3" customFormat="1" ht="29.1" customHeight="1" x14ac:dyDescent="0.25">
      <c r="A7515" s="2" t="s">
        <v>15716</v>
      </c>
      <c r="B7515" s="2" t="s">
        <v>15718</v>
      </c>
      <c r="C7515" s="2" t="s">
        <v>556</v>
      </c>
      <c r="D7515" s="2" t="s">
        <v>15717</v>
      </c>
      <c r="E7515" s="2" t="str">
        <f>"9783837672855"</f>
        <v>9783837672855</v>
      </c>
      <c r="F7515" s="2" t="str">
        <f>"9783839472859"</f>
        <v>9783839472859</v>
      </c>
    </row>
    <row r="7516" spans="1:6" s="3" customFormat="1" ht="29.1" customHeight="1" x14ac:dyDescent="0.25">
      <c r="A7516" s="2" t="s">
        <v>15719</v>
      </c>
      <c r="B7516" s="2" t="s">
        <v>15720</v>
      </c>
      <c r="C7516" s="2" t="s">
        <v>556</v>
      </c>
      <c r="D7516" s="2" t="s">
        <v>428</v>
      </c>
      <c r="E7516" s="2" t="str">
        <f>"9783837672664"</f>
        <v>9783837672664</v>
      </c>
      <c r="F7516" s="2" t="str">
        <f>"9783839472668"</f>
        <v>9783839472668</v>
      </c>
    </row>
    <row r="7517" spans="1:6" s="3" customFormat="1" ht="29.1" customHeight="1" x14ac:dyDescent="0.25">
      <c r="A7517" s="2" t="s">
        <v>15721</v>
      </c>
      <c r="B7517" s="2" t="s">
        <v>15722</v>
      </c>
      <c r="C7517" s="2" t="s">
        <v>556</v>
      </c>
      <c r="D7517" s="2" t="s">
        <v>699</v>
      </c>
      <c r="E7517" s="2" t="str">
        <f>"9783837672626"</f>
        <v>9783837672626</v>
      </c>
      <c r="F7517" s="2" t="str">
        <f>"9783839472620"</f>
        <v>9783839472620</v>
      </c>
    </row>
    <row r="7518" spans="1:6" s="3" customFormat="1" ht="29.1" customHeight="1" x14ac:dyDescent="0.25">
      <c r="A7518" s="2" t="s">
        <v>15723</v>
      </c>
      <c r="B7518" s="2" t="s">
        <v>15724</v>
      </c>
      <c r="C7518" s="2" t="s">
        <v>556</v>
      </c>
      <c r="D7518" s="2" t="s">
        <v>7293</v>
      </c>
      <c r="E7518" s="2" t="str">
        <f>"9783837672411"</f>
        <v>9783837672411</v>
      </c>
      <c r="F7518" s="2" t="str">
        <f>"9783839472415"</f>
        <v>9783839472415</v>
      </c>
    </row>
    <row r="7519" spans="1:6" s="3" customFormat="1" ht="29.1" customHeight="1" x14ac:dyDescent="0.25">
      <c r="A7519" s="2" t="s">
        <v>15725</v>
      </c>
      <c r="B7519" s="2" t="s">
        <v>15726</v>
      </c>
      <c r="C7519" s="2" t="s">
        <v>556</v>
      </c>
      <c r="D7519" s="2" t="s">
        <v>431</v>
      </c>
      <c r="E7519" s="2" t="str">
        <f>"9783837672244"</f>
        <v>9783837672244</v>
      </c>
      <c r="F7519" s="2" t="str">
        <f>"9783839472248"</f>
        <v>9783839472248</v>
      </c>
    </row>
    <row r="7520" spans="1:6" s="3" customFormat="1" ht="29.1" customHeight="1" x14ac:dyDescent="0.25">
      <c r="A7520" s="2" t="s">
        <v>15727</v>
      </c>
      <c r="B7520" s="2" t="s">
        <v>15728</v>
      </c>
      <c r="C7520" s="2" t="s">
        <v>556</v>
      </c>
      <c r="D7520" s="2" t="s">
        <v>2361</v>
      </c>
      <c r="E7520" s="2" t="str">
        <f>"9783837671971"</f>
        <v>9783837671971</v>
      </c>
      <c r="F7520" s="2" t="str">
        <f>"9783839471975"</f>
        <v>9783839471975</v>
      </c>
    </row>
    <row r="7521" spans="1:6" s="3" customFormat="1" ht="29.1" customHeight="1" x14ac:dyDescent="0.25">
      <c r="A7521" s="2" t="s">
        <v>15729</v>
      </c>
      <c r="B7521" s="2" t="s">
        <v>15730</v>
      </c>
      <c r="C7521" s="2" t="s">
        <v>556</v>
      </c>
      <c r="D7521" s="2" t="s">
        <v>15489</v>
      </c>
      <c r="E7521" s="2" t="str">
        <f>"9783837671919"</f>
        <v>9783837671919</v>
      </c>
      <c r="F7521" s="2" t="str">
        <f>"9783839471913"</f>
        <v>9783839471913</v>
      </c>
    </row>
    <row r="7522" spans="1:6" s="3" customFormat="1" ht="29.1" customHeight="1" x14ac:dyDescent="0.25">
      <c r="A7522" s="2" t="s">
        <v>15731</v>
      </c>
      <c r="B7522" s="2" t="s">
        <v>15732</v>
      </c>
      <c r="C7522" s="2" t="s">
        <v>556</v>
      </c>
      <c r="D7522" s="2" t="s">
        <v>1162</v>
      </c>
      <c r="E7522" s="2" t="str">
        <f>"9783837671834"</f>
        <v>9783837671834</v>
      </c>
      <c r="F7522" s="2" t="str">
        <f>"9783732871834"</f>
        <v>9783732871834</v>
      </c>
    </row>
    <row r="7523" spans="1:6" s="3" customFormat="1" ht="29.1" customHeight="1" x14ac:dyDescent="0.25">
      <c r="A7523" s="2" t="s">
        <v>15733</v>
      </c>
      <c r="B7523" s="2" t="s">
        <v>15735</v>
      </c>
      <c r="C7523" s="2" t="s">
        <v>556</v>
      </c>
      <c r="D7523" s="2" t="s">
        <v>15734</v>
      </c>
      <c r="E7523" s="2" t="str">
        <f>"9783837671483"</f>
        <v>9783837671483</v>
      </c>
      <c r="F7523" s="2" t="str">
        <f>"9783839471487"</f>
        <v>9783839471487</v>
      </c>
    </row>
    <row r="7524" spans="1:6" s="3" customFormat="1" ht="29.1" customHeight="1" x14ac:dyDescent="0.25">
      <c r="A7524" s="2" t="s">
        <v>15736</v>
      </c>
      <c r="B7524" s="2" t="s">
        <v>15737</v>
      </c>
      <c r="C7524" s="2" t="s">
        <v>556</v>
      </c>
      <c r="D7524" s="2" t="s">
        <v>202</v>
      </c>
      <c r="E7524" s="2" t="str">
        <f>"9783837671285"</f>
        <v>9783837671285</v>
      </c>
      <c r="F7524" s="2" t="str">
        <f>"9783732871285"</f>
        <v>9783732871285</v>
      </c>
    </row>
    <row r="7525" spans="1:6" s="3" customFormat="1" ht="29.1" customHeight="1" x14ac:dyDescent="0.25">
      <c r="A7525" s="2" t="s">
        <v>15738</v>
      </c>
      <c r="B7525" s="2" t="s">
        <v>15739</v>
      </c>
      <c r="C7525" s="2" t="s">
        <v>556</v>
      </c>
      <c r="D7525" s="2" t="s">
        <v>37</v>
      </c>
      <c r="E7525" s="2" t="str">
        <f>"9783837671087"</f>
        <v>9783837671087</v>
      </c>
      <c r="F7525" s="2" t="str">
        <f>"9783839471081"</f>
        <v>9783839471081</v>
      </c>
    </row>
    <row r="7526" spans="1:6" s="3" customFormat="1" ht="29.1" customHeight="1" x14ac:dyDescent="0.25">
      <c r="A7526" s="2" t="s">
        <v>15740</v>
      </c>
      <c r="B7526" s="2" t="s">
        <v>15741</v>
      </c>
      <c r="C7526" s="2" t="s">
        <v>556</v>
      </c>
      <c r="D7526" s="2" t="s">
        <v>1162</v>
      </c>
      <c r="E7526" s="2" t="str">
        <f>"9783837670554"</f>
        <v>9783837670554</v>
      </c>
      <c r="F7526" s="2" t="str">
        <f>"9783839470558"</f>
        <v>9783839470558</v>
      </c>
    </row>
    <row r="7527" spans="1:6" s="3" customFormat="1" ht="29.1" customHeight="1" x14ac:dyDescent="0.25">
      <c r="A7527" s="2" t="s">
        <v>15742</v>
      </c>
      <c r="B7527" s="2" t="s">
        <v>15743</v>
      </c>
      <c r="C7527" s="2" t="s">
        <v>556</v>
      </c>
      <c r="D7527" s="2" t="s">
        <v>10941</v>
      </c>
      <c r="E7527" s="2" t="str">
        <f>"9783837670387"</f>
        <v>9783837670387</v>
      </c>
      <c r="F7527" s="2" t="str">
        <f>"9783839470381"</f>
        <v>9783839470381</v>
      </c>
    </row>
    <row r="7528" spans="1:6" s="3" customFormat="1" ht="29.1" customHeight="1" x14ac:dyDescent="0.25">
      <c r="A7528" s="2" t="s">
        <v>15744</v>
      </c>
      <c r="B7528" s="2" t="s">
        <v>15745</v>
      </c>
      <c r="C7528" s="2" t="s">
        <v>556</v>
      </c>
      <c r="D7528" s="2" t="s">
        <v>218</v>
      </c>
      <c r="E7528" s="2" t="str">
        <f>"9783837670325"</f>
        <v>9783837670325</v>
      </c>
      <c r="F7528" s="2" t="str">
        <f>"9783839470329"</f>
        <v>9783839470329</v>
      </c>
    </row>
    <row r="7529" spans="1:6" s="3" customFormat="1" ht="29.1" customHeight="1" x14ac:dyDescent="0.25">
      <c r="A7529" s="2" t="s">
        <v>15746</v>
      </c>
      <c r="B7529" s="2" t="s">
        <v>15747</v>
      </c>
      <c r="C7529" s="2" t="s">
        <v>556</v>
      </c>
      <c r="D7529" s="2" t="s">
        <v>490</v>
      </c>
      <c r="E7529" s="2" t="str">
        <f>"9783837670066"</f>
        <v>9783837670066</v>
      </c>
      <c r="F7529" s="2" t="str">
        <f>"9783839470060"</f>
        <v>9783839470060</v>
      </c>
    </row>
    <row r="7530" spans="1:6" s="3" customFormat="1" ht="29.1" customHeight="1" x14ac:dyDescent="0.25">
      <c r="A7530" s="2" t="s">
        <v>15748</v>
      </c>
      <c r="B7530" s="2" t="s">
        <v>15749</v>
      </c>
      <c r="C7530" s="2" t="s">
        <v>556</v>
      </c>
      <c r="D7530" s="2" t="s">
        <v>284</v>
      </c>
      <c r="E7530" s="2" t="str">
        <f>"9783837670035"</f>
        <v>9783837670035</v>
      </c>
      <c r="F7530" s="2" t="str">
        <f>"9783839470039"</f>
        <v>9783839470039</v>
      </c>
    </row>
    <row r="7531" spans="1:6" s="3" customFormat="1" ht="29.1" customHeight="1" x14ac:dyDescent="0.25">
      <c r="A7531" s="2" t="s">
        <v>15750</v>
      </c>
      <c r="B7531" s="2" t="s">
        <v>15751</v>
      </c>
      <c r="C7531" s="2" t="s">
        <v>556</v>
      </c>
      <c r="D7531" s="2" t="s">
        <v>2139</v>
      </c>
      <c r="E7531" s="2" t="str">
        <f>"9783837669060"</f>
        <v>9783837669060</v>
      </c>
      <c r="F7531" s="2" t="str">
        <f>"9783839469064"</f>
        <v>9783839469064</v>
      </c>
    </row>
    <row r="7532" spans="1:6" s="3" customFormat="1" ht="29.1" customHeight="1" x14ac:dyDescent="0.25">
      <c r="A7532" s="2" t="s">
        <v>15752</v>
      </c>
      <c r="B7532" s="2" t="s">
        <v>15753</v>
      </c>
      <c r="C7532" s="2" t="s">
        <v>556</v>
      </c>
      <c r="D7532" s="2" t="s">
        <v>553</v>
      </c>
      <c r="E7532" s="2" t="str">
        <f>"9783837668933"</f>
        <v>9783837668933</v>
      </c>
      <c r="F7532" s="2" t="str">
        <f>"9783839468937"</f>
        <v>9783839468937</v>
      </c>
    </row>
    <row r="7533" spans="1:6" s="3" customFormat="1" ht="29.1" customHeight="1" x14ac:dyDescent="0.25">
      <c r="A7533" s="2" t="s">
        <v>15754</v>
      </c>
      <c r="B7533" s="2" t="s">
        <v>15755</v>
      </c>
      <c r="C7533" s="2" t="s">
        <v>556</v>
      </c>
      <c r="D7533" s="2" t="s">
        <v>689</v>
      </c>
      <c r="E7533" s="2" t="str">
        <f>"9783837668469"</f>
        <v>9783837668469</v>
      </c>
      <c r="F7533" s="2" t="str">
        <f>"9783732868469"</f>
        <v>9783732868469</v>
      </c>
    </row>
    <row r="7534" spans="1:6" s="3" customFormat="1" ht="29.1" customHeight="1" x14ac:dyDescent="0.25">
      <c r="A7534" s="2" t="s">
        <v>15756</v>
      </c>
      <c r="B7534" s="2" t="s">
        <v>15757</v>
      </c>
      <c r="C7534" s="2" t="s">
        <v>556</v>
      </c>
      <c r="D7534" s="2" t="s">
        <v>712</v>
      </c>
      <c r="E7534" s="2" t="str">
        <f>"9783837667974"</f>
        <v>9783837667974</v>
      </c>
      <c r="F7534" s="2" t="str">
        <f>"9783732867974"</f>
        <v>9783732867974</v>
      </c>
    </row>
    <row r="7535" spans="1:6" s="3" customFormat="1" ht="29.1" customHeight="1" x14ac:dyDescent="0.25">
      <c r="A7535" s="2" t="s">
        <v>15758</v>
      </c>
      <c r="B7535" s="2" t="s">
        <v>15759</v>
      </c>
      <c r="C7535" s="2" t="s">
        <v>556</v>
      </c>
      <c r="D7535" s="2" t="s">
        <v>1109</v>
      </c>
      <c r="E7535" s="2" t="str">
        <f>"9783837667929"</f>
        <v>9783837667929</v>
      </c>
      <c r="F7535" s="2" t="str">
        <f>"9783839467923"</f>
        <v>9783839467923</v>
      </c>
    </row>
    <row r="7536" spans="1:6" s="3" customFormat="1" ht="29.1" customHeight="1" x14ac:dyDescent="0.25">
      <c r="A7536" s="2" t="s">
        <v>15760</v>
      </c>
      <c r="B7536" s="2" t="s">
        <v>15761</v>
      </c>
      <c r="C7536" s="2" t="s">
        <v>556</v>
      </c>
      <c r="D7536" s="2" t="s">
        <v>674</v>
      </c>
      <c r="E7536" s="2" t="str">
        <f>"9783837667073"</f>
        <v>9783837667073</v>
      </c>
      <c r="F7536" s="2" t="str">
        <f>"9783839467077"</f>
        <v>9783839467077</v>
      </c>
    </row>
    <row r="7537" spans="1:6" s="3" customFormat="1" ht="29.1" customHeight="1" x14ac:dyDescent="0.25">
      <c r="A7537" s="2" t="s">
        <v>15762</v>
      </c>
      <c r="B7537" s="2" t="s">
        <v>15763</v>
      </c>
      <c r="C7537" s="2" t="s">
        <v>556</v>
      </c>
      <c r="D7537" s="2" t="s">
        <v>647</v>
      </c>
      <c r="E7537" s="2" t="str">
        <f>"9783837666946"</f>
        <v>9783837666946</v>
      </c>
      <c r="F7537" s="2" t="str">
        <f>"9783839466940"</f>
        <v>9783839466940</v>
      </c>
    </row>
    <row r="7538" spans="1:6" s="3" customFormat="1" ht="29.1" customHeight="1" x14ac:dyDescent="0.25">
      <c r="A7538" s="2" t="s">
        <v>15764</v>
      </c>
      <c r="B7538" s="2" t="s">
        <v>15765</v>
      </c>
      <c r="C7538" s="2" t="s">
        <v>556</v>
      </c>
      <c r="D7538" s="2" t="s">
        <v>647</v>
      </c>
      <c r="E7538" s="2" t="str">
        <f>"9783837666830"</f>
        <v>9783837666830</v>
      </c>
      <c r="F7538" s="2" t="str">
        <f>"9783839466834"</f>
        <v>9783839466834</v>
      </c>
    </row>
    <row r="7539" spans="1:6" s="3" customFormat="1" ht="29.1" customHeight="1" x14ac:dyDescent="0.25">
      <c r="A7539" s="2" t="s">
        <v>15766</v>
      </c>
      <c r="B7539" s="2" t="s">
        <v>15767</v>
      </c>
      <c r="C7539" s="2" t="s">
        <v>556</v>
      </c>
      <c r="D7539" s="2" t="s">
        <v>1189</v>
      </c>
      <c r="E7539" s="2" t="str">
        <f>"9783837663310"</f>
        <v>9783837663310</v>
      </c>
      <c r="F7539" s="2" t="str">
        <f>"9783839463314"</f>
        <v>9783839463314</v>
      </c>
    </row>
    <row r="7540" spans="1:6" s="3" customFormat="1" ht="29.1" customHeight="1" x14ac:dyDescent="0.25">
      <c r="A7540" s="2" t="s">
        <v>15768</v>
      </c>
      <c r="B7540" s="2" t="s">
        <v>15769</v>
      </c>
      <c r="C7540" s="2" t="s">
        <v>556</v>
      </c>
      <c r="D7540" s="2" t="s">
        <v>75</v>
      </c>
      <c r="E7540" s="2" t="str">
        <f>"9783837661378"</f>
        <v>9783837661378</v>
      </c>
      <c r="F7540" s="2" t="str">
        <f>"9783839461372"</f>
        <v>9783839461372</v>
      </c>
    </row>
    <row r="7541" spans="1:6" s="3" customFormat="1" ht="29.1" customHeight="1" x14ac:dyDescent="0.25">
      <c r="A7541" s="2" t="s">
        <v>15770</v>
      </c>
      <c r="B7541" s="2" t="s">
        <v>15771</v>
      </c>
      <c r="C7541" s="2" t="s">
        <v>556</v>
      </c>
      <c r="D7541" s="2" t="s">
        <v>998</v>
      </c>
      <c r="E7541" s="2" t="str">
        <f>"9783837660685"</f>
        <v>9783837660685</v>
      </c>
      <c r="F7541" s="2" t="str">
        <f>"9783839460689"</f>
        <v>9783839460689</v>
      </c>
    </row>
    <row r="7542" spans="1:6" s="3" customFormat="1" ht="29.1" customHeight="1" x14ac:dyDescent="0.25">
      <c r="A7542" s="2" t="s">
        <v>6877</v>
      </c>
      <c r="B7542" s="2" t="s">
        <v>15702</v>
      </c>
      <c r="C7542" s="2" t="s">
        <v>5</v>
      </c>
      <c r="D7542" s="2" t="s">
        <v>1902</v>
      </c>
      <c r="E7542" s="2" t="str">
        <f>"9783031572456"</f>
        <v>9783031572456</v>
      </c>
      <c r="F7542" s="2" t="str">
        <f>"9783031572463"</f>
        <v>9783031572463</v>
      </c>
    </row>
    <row r="7543" spans="1:6" s="3" customFormat="1" ht="29.1" customHeight="1" x14ac:dyDescent="0.25">
      <c r="A7543" s="2" t="s">
        <v>15772</v>
      </c>
      <c r="B7543" s="2" t="s">
        <v>15773</v>
      </c>
      <c r="C7543" s="2" t="s">
        <v>5</v>
      </c>
      <c r="D7543" s="2" t="s">
        <v>2326</v>
      </c>
      <c r="E7543" s="2" t="str">
        <f>"9783031553035"</f>
        <v>9783031553035</v>
      </c>
      <c r="F7543" s="2" t="str">
        <f>"9783031553042"</f>
        <v>9783031553042</v>
      </c>
    </row>
    <row r="7544" spans="1:6" s="3" customFormat="1" ht="29.1" customHeight="1" x14ac:dyDescent="0.25">
      <c r="A7544" s="2" t="s">
        <v>15774</v>
      </c>
      <c r="B7544" s="2" t="s">
        <v>15776</v>
      </c>
      <c r="C7544" s="2" t="s">
        <v>15775</v>
      </c>
      <c r="D7544" s="2" t="s">
        <v>2781</v>
      </c>
      <c r="E7544" s="2"/>
      <c r="F7544" s="2" t="str">
        <f>"9789811894015"</f>
        <v>9789811894015</v>
      </c>
    </row>
    <row r="7545" spans="1:6" s="3" customFormat="1" ht="29.1" customHeight="1" x14ac:dyDescent="0.25">
      <c r="A7545" s="2" t="s">
        <v>15777</v>
      </c>
      <c r="B7545" s="2" t="s">
        <v>15778</v>
      </c>
      <c r="C7545" s="2" t="s">
        <v>5</v>
      </c>
      <c r="D7545" s="2" t="s">
        <v>547</v>
      </c>
      <c r="E7545" s="2" t="str">
        <f>"9783658426972"</f>
        <v>9783658426972</v>
      </c>
      <c r="F7545" s="2" t="str">
        <f>"9783658426989"</f>
        <v>9783658426989</v>
      </c>
    </row>
    <row r="7546" spans="1:6" s="3" customFormat="1" ht="29.1" customHeight="1" x14ac:dyDescent="0.25">
      <c r="A7546" s="2" t="s">
        <v>15779</v>
      </c>
      <c r="B7546" s="2" t="s">
        <v>15780</v>
      </c>
      <c r="C7546" s="2" t="s">
        <v>5</v>
      </c>
      <c r="D7546" s="2" t="s">
        <v>2752</v>
      </c>
      <c r="E7546" s="2" t="str">
        <f>"9783658443795"</f>
        <v>9783658443795</v>
      </c>
      <c r="F7546" s="2" t="str">
        <f>"9783658443801"</f>
        <v>9783658443801</v>
      </c>
    </row>
    <row r="7547" spans="1:6" s="3" customFormat="1" ht="29.1" customHeight="1" x14ac:dyDescent="0.25">
      <c r="A7547" s="2" t="s">
        <v>15781</v>
      </c>
      <c r="B7547" s="2" t="s">
        <v>15782</v>
      </c>
      <c r="C7547" s="2" t="s">
        <v>2133</v>
      </c>
      <c r="D7547" s="2" t="s">
        <v>818</v>
      </c>
      <c r="E7547" s="2" t="str">
        <f>"9781760466251"</f>
        <v>9781760466251</v>
      </c>
      <c r="F7547" s="2" t="str">
        <f>"9781760466268"</f>
        <v>9781760466268</v>
      </c>
    </row>
    <row r="7548" spans="1:6" s="3" customFormat="1" ht="29.1" customHeight="1" x14ac:dyDescent="0.25">
      <c r="A7548" s="2" t="s">
        <v>15783</v>
      </c>
      <c r="B7548" s="2" t="s">
        <v>15784</v>
      </c>
      <c r="C7548" s="2" t="s">
        <v>746</v>
      </c>
      <c r="D7548" s="2" t="s">
        <v>606</v>
      </c>
      <c r="E7548" s="2" t="str">
        <f>"9781789696356"</f>
        <v>9781789696356</v>
      </c>
      <c r="F7548" s="2" t="str">
        <f>"9781789696363"</f>
        <v>9781789696363</v>
      </c>
    </row>
    <row r="7549" spans="1:6" s="3" customFormat="1" ht="29.1" customHeight="1" x14ac:dyDescent="0.25">
      <c r="A7549" s="2" t="s">
        <v>15785</v>
      </c>
      <c r="B7549" s="2" t="s">
        <v>15786</v>
      </c>
      <c r="C7549" s="2" t="s">
        <v>595</v>
      </c>
      <c r="D7549" s="2" t="s">
        <v>1253</v>
      </c>
      <c r="E7549" s="2" t="str">
        <f>"9783034348799"</f>
        <v>9783034348799</v>
      </c>
      <c r="F7549" s="2" t="str">
        <f>"9783034348805"</f>
        <v>9783034348805</v>
      </c>
    </row>
    <row r="7550" spans="1:6" s="3" customFormat="1" ht="29.1" customHeight="1" x14ac:dyDescent="0.25">
      <c r="A7550" s="2" t="s">
        <v>15787</v>
      </c>
      <c r="B7550" s="2" t="s">
        <v>15788</v>
      </c>
      <c r="C7550" s="2" t="s">
        <v>29</v>
      </c>
      <c r="D7550" s="2" t="s">
        <v>192</v>
      </c>
      <c r="E7550" s="2" t="str">
        <f>"9789004546172"</f>
        <v>9789004546172</v>
      </c>
      <c r="F7550" s="2" t="str">
        <f>"9789004546189"</f>
        <v>9789004546189</v>
      </c>
    </row>
    <row r="7551" spans="1:6" s="3" customFormat="1" ht="29.1" customHeight="1" x14ac:dyDescent="0.25">
      <c r="A7551" s="2" t="s">
        <v>15789</v>
      </c>
      <c r="B7551" s="2" t="s">
        <v>15790</v>
      </c>
      <c r="C7551" s="2" t="s">
        <v>5</v>
      </c>
      <c r="D7551" s="2" t="s">
        <v>353</v>
      </c>
      <c r="E7551" s="2" t="str">
        <f>"9783031504457"</f>
        <v>9783031504457</v>
      </c>
      <c r="F7551" s="2" t="str">
        <f>"9783031504464"</f>
        <v>9783031504464</v>
      </c>
    </row>
    <row r="7552" spans="1:6" s="3" customFormat="1" ht="29.1" customHeight="1" x14ac:dyDescent="0.25">
      <c r="A7552" s="2" t="s">
        <v>15791</v>
      </c>
      <c r="B7552" s="2" t="s">
        <v>15792</v>
      </c>
      <c r="C7552" s="2" t="s">
        <v>5</v>
      </c>
      <c r="D7552" s="2" t="s">
        <v>370</v>
      </c>
      <c r="E7552" s="2" t="str">
        <f>"9783031471032"</f>
        <v>9783031471032</v>
      </c>
      <c r="F7552" s="2" t="str">
        <f>"9783031471049"</f>
        <v>9783031471049</v>
      </c>
    </row>
    <row r="7553" spans="1:6" s="3" customFormat="1" ht="29.1" customHeight="1" x14ac:dyDescent="0.25">
      <c r="A7553" s="2" t="s">
        <v>15793</v>
      </c>
      <c r="B7553" s="2" t="s">
        <v>15794</v>
      </c>
      <c r="C7553" s="2" t="s">
        <v>5</v>
      </c>
      <c r="D7553" s="2" t="s">
        <v>487</v>
      </c>
      <c r="E7553" s="2" t="str">
        <f>"9783031444111"</f>
        <v>9783031444111</v>
      </c>
      <c r="F7553" s="2" t="str">
        <f>"9783031444128"</f>
        <v>9783031444128</v>
      </c>
    </row>
    <row r="7554" spans="1:6" s="3" customFormat="1" ht="29.1" customHeight="1" x14ac:dyDescent="0.25">
      <c r="A7554" s="2" t="s">
        <v>15795</v>
      </c>
      <c r="B7554" s="2" t="s">
        <v>15796</v>
      </c>
      <c r="C7554" s="2" t="s">
        <v>5</v>
      </c>
      <c r="D7554" s="2" t="s">
        <v>712</v>
      </c>
      <c r="E7554" s="2" t="str">
        <f>"9783031289293"</f>
        <v>9783031289293</v>
      </c>
      <c r="F7554" s="2" t="str">
        <f>"9783031289309"</f>
        <v>9783031289309</v>
      </c>
    </row>
    <row r="7555" spans="1:6" s="3" customFormat="1" ht="29.1" customHeight="1" x14ac:dyDescent="0.25">
      <c r="A7555" s="2" t="s">
        <v>15797</v>
      </c>
      <c r="B7555" s="2" t="s">
        <v>15798</v>
      </c>
      <c r="C7555" s="2" t="s">
        <v>5</v>
      </c>
      <c r="D7555" s="2" t="s">
        <v>2861</v>
      </c>
      <c r="E7555" s="2" t="str">
        <f>"9783031561207"</f>
        <v>9783031561207</v>
      </c>
      <c r="F7555" s="2" t="str">
        <f>"9783031561214"</f>
        <v>9783031561214</v>
      </c>
    </row>
    <row r="7556" spans="1:6" s="3" customFormat="1" ht="29.1" customHeight="1" x14ac:dyDescent="0.25">
      <c r="A7556" s="2" t="s">
        <v>15799</v>
      </c>
      <c r="B7556" s="2" t="s">
        <v>15800</v>
      </c>
      <c r="C7556" s="2" t="s">
        <v>5</v>
      </c>
      <c r="D7556" s="2" t="s">
        <v>636</v>
      </c>
      <c r="E7556" s="2" t="str">
        <f>"9783658444211"</f>
        <v>9783658444211</v>
      </c>
      <c r="F7556" s="2" t="str">
        <f>"9783658444228"</f>
        <v>9783658444228</v>
      </c>
    </row>
    <row r="7557" spans="1:6" s="3" customFormat="1" ht="29.1" customHeight="1" x14ac:dyDescent="0.25">
      <c r="A7557" s="2" t="s">
        <v>15801</v>
      </c>
      <c r="B7557" s="2" t="s">
        <v>15802</v>
      </c>
      <c r="C7557" s="2" t="s">
        <v>5</v>
      </c>
      <c r="D7557" s="2" t="s">
        <v>12872</v>
      </c>
      <c r="E7557" s="2" t="str">
        <f>"9783031521300"</f>
        <v>9783031521300</v>
      </c>
      <c r="F7557" s="2" t="str">
        <f>"9783031521317"</f>
        <v>9783031521317</v>
      </c>
    </row>
    <row r="7558" spans="1:6" s="3" customFormat="1" ht="29.1" customHeight="1" x14ac:dyDescent="0.25">
      <c r="A7558" s="2" t="s">
        <v>15803</v>
      </c>
      <c r="B7558" s="2" t="s">
        <v>15804</v>
      </c>
      <c r="C7558" s="2" t="s">
        <v>5</v>
      </c>
      <c r="D7558" s="2" t="s">
        <v>712</v>
      </c>
      <c r="E7558" s="2" t="str">
        <f>"9783662673386"</f>
        <v>9783662673386</v>
      </c>
      <c r="F7558" s="2" t="str">
        <f>"9783662673393"</f>
        <v>9783662673393</v>
      </c>
    </row>
    <row r="7559" spans="1:6" s="3" customFormat="1" ht="29.1" customHeight="1" x14ac:dyDescent="0.25">
      <c r="A7559" s="2" t="s">
        <v>15805</v>
      </c>
      <c r="B7559" s="2" t="s">
        <v>15806</v>
      </c>
      <c r="C7559" s="2" t="s">
        <v>5</v>
      </c>
      <c r="D7559" s="2" t="s">
        <v>9625</v>
      </c>
      <c r="E7559" s="2" t="str">
        <f>"9783662687123"</f>
        <v>9783662687123</v>
      </c>
      <c r="F7559" s="2" t="str">
        <f>"9783662687130"</f>
        <v>9783662687130</v>
      </c>
    </row>
    <row r="7560" spans="1:6" s="3" customFormat="1" ht="29.1" customHeight="1" x14ac:dyDescent="0.25">
      <c r="A7560" s="2" t="s">
        <v>15807</v>
      </c>
      <c r="B7560" s="2" t="s">
        <v>12435</v>
      </c>
      <c r="C7560" s="2" t="s">
        <v>5</v>
      </c>
      <c r="D7560" s="2" t="s">
        <v>1864</v>
      </c>
      <c r="E7560" s="2" t="str">
        <f>"9789819708031"</f>
        <v>9789819708031</v>
      </c>
      <c r="F7560" s="2" t="str">
        <f>"9789819708048"</f>
        <v>9789819708048</v>
      </c>
    </row>
    <row r="7561" spans="1:6" s="3" customFormat="1" ht="29.1" customHeight="1" x14ac:dyDescent="0.25">
      <c r="A7561" s="2" t="s">
        <v>15808</v>
      </c>
      <c r="B7561" s="2" t="s">
        <v>15809</v>
      </c>
      <c r="C7561" s="2" t="s">
        <v>5</v>
      </c>
      <c r="D7561" s="2" t="s">
        <v>294</v>
      </c>
      <c r="E7561" s="2" t="str">
        <f>"9783031507618"</f>
        <v>9783031507618</v>
      </c>
      <c r="F7561" s="2" t="str">
        <f>"9783031507625"</f>
        <v>9783031507625</v>
      </c>
    </row>
    <row r="7562" spans="1:6" s="3" customFormat="1" ht="29.1" customHeight="1" x14ac:dyDescent="0.25">
      <c r="A7562" s="2" t="s">
        <v>15810</v>
      </c>
      <c r="B7562" s="2" t="s">
        <v>15811</v>
      </c>
      <c r="C7562" s="2" t="s">
        <v>5</v>
      </c>
      <c r="D7562" s="2" t="s">
        <v>95</v>
      </c>
      <c r="E7562" s="2" t="str">
        <f>"9789819709373"</f>
        <v>9789819709373</v>
      </c>
      <c r="F7562" s="2" t="str">
        <f>"9789819709380"</f>
        <v>9789819709380</v>
      </c>
    </row>
    <row r="7563" spans="1:6" s="3" customFormat="1" ht="29.1" customHeight="1" x14ac:dyDescent="0.25">
      <c r="A7563" s="2" t="s">
        <v>15812</v>
      </c>
      <c r="B7563" s="2" t="s">
        <v>15813</v>
      </c>
      <c r="C7563" s="2" t="s">
        <v>5</v>
      </c>
      <c r="D7563" s="2" t="s">
        <v>818</v>
      </c>
      <c r="E7563" s="2" t="str">
        <f>"9783031523335"</f>
        <v>9783031523335</v>
      </c>
      <c r="F7563" s="2" t="str">
        <f>"9783031523342"</f>
        <v>9783031523342</v>
      </c>
    </row>
    <row r="7564" spans="1:6" s="3" customFormat="1" ht="29.1" customHeight="1" x14ac:dyDescent="0.25">
      <c r="A7564" s="2" t="s">
        <v>15814</v>
      </c>
      <c r="B7564" s="2" t="s">
        <v>15815</v>
      </c>
      <c r="C7564" s="2" t="s">
        <v>29</v>
      </c>
      <c r="D7564" s="2" t="s">
        <v>183</v>
      </c>
      <c r="E7564" s="2" t="str">
        <f>"9789004689749"</f>
        <v>9789004689749</v>
      </c>
      <c r="F7564" s="2" t="str">
        <f>"9789004689756"</f>
        <v>9789004689756</v>
      </c>
    </row>
    <row r="7565" spans="1:6" s="3" customFormat="1" ht="29.1" customHeight="1" x14ac:dyDescent="0.25">
      <c r="A7565" s="2" t="s">
        <v>15816</v>
      </c>
      <c r="B7565" s="2" t="s">
        <v>15817</v>
      </c>
      <c r="C7565" s="2" t="s">
        <v>8104</v>
      </c>
      <c r="D7565" s="2" t="s">
        <v>636</v>
      </c>
      <c r="E7565" s="2" t="str">
        <f>"9781805395034"</f>
        <v>9781805395034</v>
      </c>
      <c r="F7565" s="2" t="str">
        <f>"9781805395041"</f>
        <v>9781805395041</v>
      </c>
    </row>
    <row r="7566" spans="1:6" s="3" customFormat="1" ht="29.1" customHeight="1" x14ac:dyDescent="0.25">
      <c r="A7566" s="2" t="s">
        <v>15818</v>
      </c>
      <c r="B7566" s="2" t="s">
        <v>15819</v>
      </c>
      <c r="C7566" s="2" t="s">
        <v>950</v>
      </c>
      <c r="D7566" s="2" t="s">
        <v>1049</v>
      </c>
      <c r="E7566" s="2"/>
      <c r="F7566" s="2" t="str">
        <f>"9788411709385"</f>
        <v>9788411709385</v>
      </c>
    </row>
    <row r="7567" spans="1:6" s="3" customFormat="1" ht="29.1" customHeight="1" x14ac:dyDescent="0.25">
      <c r="A7567" s="2" t="s">
        <v>15820</v>
      </c>
      <c r="B7567" s="2" t="s">
        <v>15821</v>
      </c>
      <c r="C7567" s="2" t="s">
        <v>950</v>
      </c>
      <c r="D7567" s="2" t="s">
        <v>2326</v>
      </c>
      <c r="E7567" s="2"/>
      <c r="F7567" s="2" t="str">
        <f>"9788411709217"</f>
        <v>9788411709217</v>
      </c>
    </row>
    <row r="7568" spans="1:6" s="3" customFormat="1" ht="29.1" customHeight="1" x14ac:dyDescent="0.25">
      <c r="A7568" s="2" t="s">
        <v>15822</v>
      </c>
      <c r="B7568" s="2" t="s">
        <v>15823</v>
      </c>
      <c r="C7568" s="2" t="s">
        <v>950</v>
      </c>
      <c r="D7568" s="2" t="s">
        <v>951</v>
      </c>
      <c r="E7568" s="2"/>
      <c r="F7568" s="2" t="str">
        <f>"9788411708883"</f>
        <v>9788411708883</v>
      </c>
    </row>
    <row r="7569" spans="1:6" s="3" customFormat="1" ht="29.1" customHeight="1" x14ac:dyDescent="0.25">
      <c r="A7569" s="2" t="s">
        <v>15824</v>
      </c>
      <c r="B7569" s="2" t="s">
        <v>15825</v>
      </c>
      <c r="C7569" s="2" t="s">
        <v>950</v>
      </c>
      <c r="D7569" s="2" t="s">
        <v>951</v>
      </c>
      <c r="E7569" s="2"/>
      <c r="F7569" s="2" t="str">
        <f>"9788411708876"</f>
        <v>9788411708876</v>
      </c>
    </row>
    <row r="7570" spans="1:6" s="3" customFormat="1" ht="29.1" customHeight="1" x14ac:dyDescent="0.25">
      <c r="A7570" s="2" t="s">
        <v>15826</v>
      </c>
      <c r="B7570" s="2" t="s">
        <v>15827</v>
      </c>
      <c r="C7570" s="2" t="s">
        <v>950</v>
      </c>
      <c r="D7570" s="2" t="s">
        <v>1010</v>
      </c>
      <c r="E7570" s="2"/>
      <c r="F7570" s="2" t="str">
        <f>"9788411706766"</f>
        <v>9788411706766</v>
      </c>
    </row>
    <row r="7571" spans="1:6" s="3" customFormat="1" ht="29.1" customHeight="1" x14ac:dyDescent="0.25">
      <c r="A7571" s="2" t="s">
        <v>15828</v>
      </c>
      <c r="B7571" s="2" t="s">
        <v>15829</v>
      </c>
      <c r="C7571" s="2" t="s">
        <v>950</v>
      </c>
      <c r="D7571" s="2" t="s">
        <v>78</v>
      </c>
      <c r="E7571" s="2"/>
      <c r="F7571" s="2" t="str">
        <f>"9788411701884"</f>
        <v>9788411701884</v>
      </c>
    </row>
    <row r="7572" spans="1:6" s="3" customFormat="1" ht="29.1" customHeight="1" x14ac:dyDescent="0.25">
      <c r="A7572" s="2" t="s">
        <v>15830</v>
      </c>
      <c r="B7572" s="2" t="s">
        <v>14141</v>
      </c>
      <c r="C7572" s="2" t="s">
        <v>950</v>
      </c>
      <c r="D7572" s="2" t="s">
        <v>490</v>
      </c>
      <c r="E7572" s="2"/>
      <c r="F7572" s="2" t="str">
        <f>"9788411700887"</f>
        <v>9788411700887</v>
      </c>
    </row>
    <row r="7573" spans="1:6" s="3" customFormat="1" ht="29.1" customHeight="1" x14ac:dyDescent="0.25">
      <c r="A7573" s="2" t="s">
        <v>15831</v>
      </c>
      <c r="B7573" s="2" t="s">
        <v>7244</v>
      </c>
      <c r="C7573" s="2" t="s">
        <v>950</v>
      </c>
      <c r="D7573" s="2" t="s">
        <v>951</v>
      </c>
      <c r="E7573" s="2"/>
      <c r="F7573" s="2" t="str">
        <f>"9788411229272"</f>
        <v>9788411229272</v>
      </c>
    </row>
    <row r="7574" spans="1:6" s="3" customFormat="1" ht="29.1" customHeight="1" x14ac:dyDescent="0.25">
      <c r="A7574" s="2" t="s">
        <v>15832</v>
      </c>
      <c r="B7574" s="2" t="s">
        <v>15833</v>
      </c>
      <c r="C7574" s="2" t="s">
        <v>950</v>
      </c>
      <c r="D7574" s="2" t="s">
        <v>490</v>
      </c>
      <c r="E7574" s="2"/>
      <c r="F7574" s="2" t="str">
        <f>"9788410701489"</f>
        <v>9788410701489</v>
      </c>
    </row>
    <row r="7575" spans="1:6" s="3" customFormat="1" ht="29.1" customHeight="1" x14ac:dyDescent="0.25">
      <c r="A7575" s="2" t="s">
        <v>15834</v>
      </c>
      <c r="B7575" s="2" t="s">
        <v>15835</v>
      </c>
      <c r="C7575" s="2" t="s">
        <v>950</v>
      </c>
      <c r="D7575" s="2" t="s">
        <v>836</v>
      </c>
      <c r="E7575" s="2"/>
      <c r="F7575" s="2" t="str">
        <f>"9788410701373"</f>
        <v>9788410701373</v>
      </c>
    </row>
    <row r="7576" spans="1:6" s="3" customFormat="1" ht="29.1" customHeight="1" x14ac:dyDescent="0.25">
      <c r="A7576" s="2" t="s">
        <v>15836</v>
      </c>
      <c r="B7576" s="2" t="s">
        <v>15837</v>
      </c>
      <c r="C7576" s="2" t="s">
        <v>950</v>
      </c>
      <c r="D7576" s="2" t="s">
        <v>968</v>
      </c>
      <c r="E7576" s="2"/>
      <c r="F7576" s="2" t="str">
        <f>"9788410700956"</f>
        <v>9788410700956</v>
      </c>
    </row>
    <row r="7577" spans="1:6" s="3" customFormat="1" ht="29.1" customHeight="1" x14ac:dyDescent="0.25">
      <c r="A7577" s="2" t="s">
        <v>15838</v>
      </c>
      <c r="B7577" s="2" t="s">
        <v>15839</v>
      </c>
      <c r="C7577" s="2" t="s">
        <v>950</v>
      </c>
      <c r="D7577" s="2" t="s">
        <v>2391</v>
      </c>
      <c r="E7577" s="2"/>
      <c r="F7577" s="2" t="str">
        <f>"9788410700932"</f>
        <v>9788410700932</v>
      </c>
    </row>
    <row r="7578" spans="1:6" s="3" customFormat="1" ht="29.1" customHeight="1" x14ac:dyDescent="0.25">
      <c r="A7578" s="2" t="s">
        <v>15840</v>
      </c>
      <c r="B7578" s="2" t="s">
        <v>15841</v>
      </c>
      <c r="C7578" s="2" t="s">
        <v>950</v>
      </c>
      <c r="D7578" s="2" t="s">
        <v>459</v>
      </c>
      <c r="E7578" s="2"/>
      <c r="F7578" s="2" t="str">
        <f>"9788410700239"</f>
        <v>9788410700239</v>
      </c>
    </row>
    <row r="7579" spans="1:6" s="3" customFormat="1" ht="29.1" customHeight="1" x14ac:dyDescent="0.25">
      <c r="A7579" s="2" t="s">
        <v>15842</v>
      </c>
      <c r="B7579" s="2" t="s">
        <v>15843</v>
      </c>
      <c r="C7579" s="2" t="s">
        <v>950</v>
      </c>
      <c r="D7579" s="2" t="s">
        <v>951</v>
      </c>
      <c r="E7579" s="2"/>
      <c r="F7579" s="2" t="str">
        <f>"9788410700185"</f>
        <v>9788410700185</v>
      </c>
    </row>
    <row r="7580" spans="1:6" s="3" customFormat="1" ht="29.1" customHeight="1" x14ac:dyDescent="0.25">
      <c r="A7580" s="2" t="s">
        <v>15844</v>
      </c>
      <c r="B7580" s="2" t="s">
        <v>15845</v>
      </c>
      <c r="C7580" s="2" t="s">
        <v>4269</v>
      </c>
      <c r="D7580" s="2" t="s">
        <v>2307</v>
      </c>
      <c r="E7580" s="2"/>
      <c r="F7580" s="2" t="str">
        <f>"9786258284980"</f>
        <v>9786258284980</v>
      </c>
    </row>
    <row r="7581" spans="1:6" s="3" customFormat="1" ht="29.1" customHeight="1" x14ac:dyDescent="0.25">
      <c r="A7581" s="2" t="s">
        <v>15150</v>
      </c>
      <c r="B7581" s="2" t="s">
        <v>15151</v>
      </c>
      <c r="C7581" s="2" t="s">
        <v>29</v>
      </c>
      <c r="D7581" s="2" t="s">
        <v>1432</v>
      </c>
      <c r="E7581" s="2" t="str">
        <f>"9789004417830"</f>
        <v>9789004417830</v>
      </c>
      <c r="F7581" s="2" t="str">
        <f>"9789004545588"</f>
        <v>9789004545588</v>
      </c>
    </row>
    <row r="7582" spans="1:6" s="3" customFormat="1" ht="29.1" customHeight="1" x14ac:dyDescent="0.25">
      <c r="A7582" s="2" t="s">
        <v>15150</v>
      </c>
      <c r="B7582" s="2" t="s">
        <v>15151</v>
      </c>
      <c r="C7582" s="2" t="s">
        <v>29</v>
      </c>
      <c r="D7582" s="2" t="s">
        <v>1432</v>
      </c>
      <c r="E7582" s="2" t="str">
        <f>"9789004410534"</f>
        <v>9789004410534</v>
      </c>
      <c r="F7582" s="2" t="str">
        <f>"9789004545595"</f>
        <v>9789004545595</v>
      </c>
    </row>
    <row r="7583" spans="1:6" s="3" customFormat="1" ht="29.1" customHeight="1" x14ac:dyDescent="0.25">
      <c r="A7583" s="2" t="s">
        <v>15150</v>
      </c>
      <c r="B7583" s="2" t="s">
        <v>15151</v>
      </c>
      <c r="C7583" s="2" t="s">
        <v>29</v>
      </c>
      <c r="D7583" s="2" t="s">
        <v>1432</v>
      </c>
      <c r="E7583" s="2" t="str">
        <f>"9789004410558"</f>
        <v>9789004410558</v>
      </c>
      <c r="F7583" s="2" t="str">
        <f>"9789004545564"</f>
        <v>9789004545564</v>
      </c>
    </row>
    <row r="7584" spans="1:6" s="3" customFormat="1" ht="29.1" customHeight="1" x14ac:dyDescent="0.25">
      <c r="A7584" s="2" t="s">
        <v>15846</v>
      </c>
      <c r="B7584" s="2" t="s">
        <v>15847</v>
      </c>
      <c r="C7584" s="2" t="s">
        <v>757</v>
      </c>
      <c r="D7584" s="2" t="s">
        <v>15554</v>
      </c>
      <c r="E7584" s="2" t="str">
        <f>"9783036513485"</f>
        <v>9783036513485</v>
      </c>
      <c r="F7584" s="2" t="str">
        <f>"9783036513478"</f>
        <v>9783036513478</v>
      </c>
    </row>
    <row r="7585" spans="1:6" s="3" customFormat="1" ht="29.1" customHeight="1" x14ac:dyDescent="0.25">
      <c r="A7585" s="2" t="s">
        <v>15848</v>
      </c>
      <c r="B7585" s="2" t="s">
        <v>15849</v>
      </c>
      <c r="C7585" s="2" t="s">
        <v>757</v>
      </c>
      <c r="D7585" s="2" t="s">
        <v>232</v>
      </c>
      <c r="E7585" s="2" t="str">
        <f>"9783036513201"</f>
        <v>9783036513201</v>
      </c>
      <c r="F7585" s="2" t="str">
        <f>"9783036513195"</f>
        <v>9783036513195</v>
      </c>
    </row>
    <row r="7586" spans="1:6" s="3" customFormat="1" ht="29.1" customHeight="1" x14ac:dyDescent="0.25">
      <c r="A7586" s="2" t="s">
        <v>15850</v>
      </c>
      <c r="B7586" s="2" t="s">
        <v>15851</v>
      </c>
      <c r="C7586" s="2" t="s">
        <v>29</v>
      </c>
      <c r="D7586" s="2" t="s">
        <v>4064</v>
      </c>
      <c r="E7586" s="2" t="str">
        <f>"9783506794482"</f>
        <v>9783506794482</v>
      </c>
      <c r="F7586" s="2" t="str">
        <f>"9783657794485"</f>
        <v>9783657794485</v>
      </c>
    </row>
    <row r="7587" spans="1:6" s="3" customFormat="1" ht="29.1" customHeight="1" x14ac:dyDescent="0.25">
      <c r="A7587" s="2" t="s">
        <v>15852</v>
      </c>
      <c r="B7587" s="2" t="s">
        <v>15853</v>
      </c>
      <c r="C7587" s="2" t="s">
        <v>29</v>
      </c>
      <c r="D7587" s="2" t="s">
        <v>33</v>
      </c>
      <c r="E7587" s="2" t="str">
        <f>"9783770568222"</f>
        <v>9783770568222</v>
      </c>
      <c r="F7587" s="2" t="str">
        <f>"9783846768228"</f>
        <v>9783846768228</v>
      </c>
    </row>
    <row r="7588" spans="1:6" s="3" customFormat="1" ht="29.1" customHeight="1" x14ac:dyDescent="0.25">
      <c r="A7588" s="2" t="s">
        <v>15854</v>
      </c>
      <c r="B7588" s="2" t="s">
        <v>15856</v>
      </c>
      <c r="C7588" s="2" t="s">
        <v>239</v>
      </c>
      <c r="D7588" s="2" t="s">
        <v>15855</v>
      </c>
      <c r="E7588" s="2" t="str">
        <f>"9780520394452"</f>
        <v>9780520394452</v>
      </c>
      <c r="F7588" s="2" t="str">
        <f>"9780520394469"</f>
        <v>9780520394469</v>
      </c>
    </row>
    <row r="7589" spans="1:6" s="3" customFormat="1" ht="29.1" customHeight="1" x14ac:dyDescent="0.25">
      <c r="A7589" s="2" t="s">
        <v>15857</v>
      </c>
      <c r="B7589" s="2" t="s">
        <v>15859</v>
      </c>
      <c r="C7589" s="2" t="s">
        <v>4269</v>
      </c>
      <c r="D7589" s="2" t="s">
        <v>15858</v>
      </c>
      <c r="E7589" s="2"/>
      <c r="F7589" s="2" t="str">
        <f>"9786258284997"</f>
        <v>9786258284997</v>
      </c>
    </row>
    <row r="7590" spans="1:6" s="3" customFormat="1" ht="29.1" customHeight="1" x14ac:dyDescent="0.25">
      <c r="A7590" s="2" t="s">
        <v>15860</v>
      </c>
      <c r="B7590" s="2" t="s">
        <v>15861</v>
      </c>
      <c r="C7590" s="2" t="s">
        <v>8040</v>
      </c>
      <c r="D7590" s="2" t="s">
        <v>459</v>
      </c>
      <c r="E7590" s="2" t="str">
        <f>"9781800416505"</f>
        <v>9781800416505</v>
      </c>
      <c r="F7590" s="2" t="str">
        <f>"9781800416529"</f>
        <v>9781800416529</v>
      </c>
    </row>
    <row r="7591" spans="1:6" s="3" customFormat="1" ht="29.1" customHeight="1" x14ac:dyDescent="0.25">
      <c r="A7591" s="2" t="s">
        <v>15862</v>
      </c>
      <c r="B7591" s="2" t="s">
        <v>15863</v>
      </c>
      <c r="C7591" s="2" t="s">
        <v>2133</v>
      </c>
      <c r="D7591" s="2" t="s">
        <v>459</v>
      </c>
      <c r="E7591" s="2" t="str">
        <f>"9781921313189"</f>
        <v>9781921313189</v>
      </c>
      <c r="F7591" s="2" t="str">
        <f>"9781921313196"</f>
        <v>9781921313196</v>
      </c>
    </row>
    <row r="7592" spans="1:6" s="3" customFormat="1" ht="29.1" customHeight="1" x14ac:dyDescent="0.25">
      <c r="A7592" s="2" t="s">
        <v>15864</v>
      </c>
      <c r="B7592" s="2" t="s">
        <v>15865</v>
      </c>
      <c r="C7592" s="2" t="s">
        <v>2133</v>
      </c>
      <c r="D7592" s="2" t="s">
        <v>95</v>
      </c>
      <c r="E7592" s="2" t="str">
        <f>"9781760466190"</f>
        <v>9781760466190</v>
      </c>
      <c r="F7592" s="2" t="str">
        <f>"9781760466206"</f>
        <v>9781760466206</v>
      </c>
    </row>
    <row r="7593" spans="1:6" s="3" customFormat="1" ht="29.1" customHeight="1" x14ac:dyDescent="0.25">
      <c r="A7593" s="2" t="s">
        <v>15866</v>
      </c>
      <c r="B7593" s="2" t="s">
        <v>15867</v>
      </c>
      <c r="C7593" s="2" t="s">
        <v>124</v>
      </c>
      <c r="D7593" s="2" t="s">
        <v>186</v>
      </c>
      <c r="E7593" s="2" t="str">
        <f>"9781032121642"</f>
        <v>9781032121642</v>
      </c>
      <c r="F7593" s="2" t="str">
        <f>"9781003223382"</f>
        <v>9781003223382</v>
      </c>
    </row>
    <row r="7594" spans="1:6" s="3" customFormat="1" ht="29.1" customHeight="1" x14ac:dyDescent="0.25">
      <c r="A7594" s="2" t="s">
        <v>15868</v>
      </c>
      <c r="B7594" s="2" t="s">
        <v>15870</v>
      </c>
      <c r="C7594" s="2" t="s">
        <v>2188</v>
      </c>
      <c r="D7594" s="2" t="s">
        <v>15869</v>
      </c>
      <c r="E7594" s="2" t="str">
        <f>"9788323232025"</f>
        <v>9788323232025</v>
      </c>
      <c r="F7594" s="2" t="str">
        <f>"9788323243014"</f>
        <v>9788323243014</v>
      </c>
    </row>
    <row r="7595" spans="1:6" s="3" customFormat="1" ht="29.1" customHeight="1" x14ac:dyDescent="0.25">
      <c r="A7595" s="2" t="s">
        <v>15871</v>
      </c>
      <c r="B7595" s="2" t="s">
        <v>15872</v>
      </c>
      <c r="C7595" s="2" t="s">
        <v>746</v>
      </c>
      <c r="D7595" s="2" t="s">
        <v>107</v>
      </c>
      <c r="E7595" s="2" t="str">
        <f>"9781803277363"</f>
        <v>9781803277363</v>
      </c>
      <c r="F7595" s="2" t="str">
        <f>"9781803277370"</f>
        <v>9781803277370</v>
      </c>
    </row>
    <row r="7596" spans="1:6" s="3" customFormat="1" ht="29.1" customHeight="1" x14ac:dyDescent="0.25">
      <c r="A7596" s="2" t="s">
        <v>15873</v>
      </c>
      <c r="B7596" s="2" t="s">
        <v>15874</v>
      </c>
      <c r="C7596" s="2" t="s">
        <v>149</v>
      </c>
      <c r="D7596" s="2" t="s">
        <v>436</v>
      </c>
      <c r="E7596" s="2"/>
      <c r="F7596" s="2" t="str">
        <f>"9781800649477"</f>
        <v>9781800649477</v>
      </c>
    </row>
    <row r="7597" spans="1:6" s="3" customFormat="1" ht="29.1" customHeight="1" x14ac:dyDescent="0.25">
      <c r="A7597" s="2" t="s">
        <v>15875</v>
      </c>
      <c r="B7597" s="2" t="s">
        <v>15876</v>
      </c>
      <c r="C7597" s="2" t="s">
        <v>8449</v>
      </c>
      <c r="D7597" s="2" t="s">
        <v>218</v>
      </c>
      <c r="E7597" s="2" t="str">
        <f>"9780821426012"</f>
        <v>9780821426012</v>
      </c>
      <c r="F7597" s="2" t="str">
        <f>"9780821426029"</f>
        <v>9780821426029</v>
      </c>
    </row>
    <row r="7598" spans="1:6" s="3" customFormat="1" ht="29.1" customHeight="1" x14ac:dyDescent="0.25">
      <c r="A7598" s="2" t="s">
        <v>15877</v>
      </c>
      <c r="B7598" s="2" t="s">
        <v>15878</v>
      </c>
      <c r="C7598" s="2" t="s">
        <v>29</v>
      </c>
      <c r="D7598" s="2" t="s">
        <v>689</v>
      </c>
      <c r="E7598" s="2" t="str">
        <f>"9783506794642"</f>
        <v>9783506794642</v>
      </c>
      <c r="F7598" s="2" t="str">
        <f>"9783657794645"</f>
        <v>9783657794645</v>
      </c>
    </row>
    <row r="7599" spans="1:6" s="3" customFormat="1" ht="29.1" customHeight="1" x14ac:dyDescent="0.25">
      <c r="A7599" s="2" t="s">
        <v>15879</v>
      </c>
      <c r="B7599" s="2" t="s">
        <v>15881</v>
      </c>
      <c r="C7599" s="2" t="s">
        <v>264</v>
      </c>
      <c r="D7599" s="2" t="s">
        <v>15880</v>
      </c>
      <c r="E7599" s="2" t="str">
        <f>"9781032452432"</f>
        <v>9781032452432</v>
      </c>
      <c r="F7599" s="2" t="str">
        <f>"9781003376125"</f>
        <v>9781003376125</v>
      </c>
    </row>
    <row r="7600" spans="1:6" s="3" customFormat="1" ht="29.1" customHeight="1" x14ac:dyDescent="0.25">
      <c r="A7600" s="2" t="s">
        <v>15882</v>
      </c>
      <c r="B7600" s="2" t="s">
        <v>15883</v>
      </c>
      <c r="C7600" s="2" t="s">
        <v>29</v>
      </c>
      <c r="D7600" s="2" t="s">
        <v>661</v>
      </c>
      <c r="E7600" s="2" t="str">
        <f>"9783770567720"</f>
        <v>9783770567720</v>
      </c>
      <c r="F7600" s="2" t="str">
        <f>"9783846767726"</f>
        <v>9783846767726</v>
      </c>
    </row>
    <row r="7601" spans="1:6" s="3" customFormat="1" ht="29.1" customHeight="1" x14ac:dyDescent="0.25">
      <c r="A7601" s="2" t="s">
        <v>15884</v>
      </c>
      <c r="B7601" s="2" t="s">
        <v>15886</v>
      </c>
      <c r="C7601" s="2" t="s">
        <v>15885</v>
      </c>
      <c r="D7601" s="2" t="s">
        <v>606</v>
      </c>
      <c r="E7601" s="2" t="str">
        <f>"9780813069869"</f>
        <v>9780813069869</v>
      </c>
      <c r="F7601" s="2" t="str">
        <f>"9780813070667"</f>
        <v>9780813070667</v>
      </c>
    </row>
    <row r="7602" spans="1:6" s="3" customFormat="1" ht="29.1" customHeight="1" x14ac:dyDescent="0.25">
      <c r="A7602" s="2" t="s">
        <v>7415</v>
      </c>
      <c r="B7602" s="2" t="s">
        <v>15887</v>
      </c>
      <c r="C7602" s="2" t="s">
        <v>5</v>
      </c>
      <c r="D7602" s="2" t="s">
        <v>477</v>
      </c>
      <c r="E7602" s="2" t="str">
        <f>"9783031514999"</f>
        <v>9783031514999</v>
      </c>
      <c r="F7602" s="2" t="str">
        <f>"9783031515002"</f>
        <v>9783031515002</v>
      </c>
    </row>
    <row r="7603" spans="1:6" s="3" customFormat="1" ht="29.1" customHeight="1" x14ac:dyDescent="0.25">
      <c r="A7603" s="2" t="s">
        <v>15888</v>
      </c>
      <c r="B7603" s="2" t="s">
        <v>15889</v>
      </c>
      <c r="C7603" s="2" t="s">
        <v>5</v>
      </c>
      <c r="D7603" s="2" t="s">
        <v>479</v>
      </c>
      <c r="E7603" s="2" t="str">
        <f>"9783031320750"</f>
        <v>9783031320750</v>
      </c>
      <c r="F7603" s="2" t="str">
        <f>"9783031320767"</f>
        <v>9783031320767</v>
      </c>
    </row>
    <row r="7604" spans="1:6" s="3" customFormat="1" ht="29.1" customHeight="1" x14ac:dyDescent="0.25">
      <c r="A7604" s="2" t="s">
        <v>15890</v>
      </c>
      <c r="B7604" s="2" t="s">
        <v>15891</v>
      </c>
      <c r="C7604" s="2" t="s">
        <v>5</v>
      </c>
      <c r="D7604" s="2" t="s">
        <v>37</v>
      </c>
      <c r="E7604" s="2" t="str">
        <f>"9783031495793"</f>
        <v>9783031495793</v>
      </c>
      <c r="F7604" s="2" t="str">
        <f>"9783031495809"</f>
        <v>9783031495809</v>
      </c>
    </row>
    <row r="7605" spans="1:6" s="3" customFormat="1" ht="29.1" customHeight="1" x14ac:dyDescent="0.25">
      <c r="A7605" s="2" t="s">
        <v>15892</v>
      </c>
      <c r="B7605" s="2" t="s">
        <v>15893</v>
      </c>
      <c r="C7605" s="2" t="s">
        <v>5</v>
      </c>
      <c r="D7605" s="2" t="s">
        <v>270</v>
      </c>
      <c r="E7605" s="2" t="str">
        <f>"9783031513213"</f>
        <v>9783031513213</v>
      </c>
      <c r="F7605" s="2" t="str">
        <f>"9783031513220"</f>
        <v>9783031513220</v>
      </c>
    </row>
    <row r="7606" spans="1:6" s="3" customFormat="1" ht="29.1" customHeight="1" x14ac:dyDescent="0.25">
      <c r="A7606" s="2" t="s">
        <v>15894</v>
      </c>
      <c r="B7606" s="2" t="s">
        <v>15895</v>
      </c>
      <c r="C7606" s="2" t="s">
        <v>5</v>
      </c>
      <c r="D7606" s="2" t="s">
        <v>44</v>
      </c>
      <c r="E7606" s="2" t="str">
        <f>"9783031518287"</f>
        <v>9783031518287</v>
      </c>
      <c r="F7606" s="2" t="str">
        <f>"9783031518294"</f>
        <v>9783031518294</v>
      </c>
    </row>
    <row r="7607" spans="1:6" s="3" customFormat="1" ht="29.1" customHeight="1" x14ac:dyDescent="0.25">
      <c r="A7607" s="2" t="s">
        <v>15896</v>
      </c>
      <c r="B7607" s="2" t="s">
        <v>15897</v>
      </c>
      <c r="C7607" s="2" t="s">
        <v>5</v>
      </c>
      <c r="D7607" s="2" t="s">
        <v>86</v>
      </c>
      <c r="E7607" s="2" t="str">
        <f>"9783031549489"</f>
        <v>9783031549489</v>
      </c>
      <c r="F7607" s="2" t="str">
        <f>"9783031549496"</f>
        <v>9783031549496</v>
      </c>
    </row>
    <row r="7608" spans="1:6" s="3" customFormat="1" ht="29.1" customHeight="1" x14ac:dyDescent="0.25">
      <c r="A7608" s="2" t="s">
        <v>15898</v>
      </c>
      <c r="B7608" s="2" t="s">
        <v>15899</v>
      </c>
      <c r="C7608" s="2" t="s">
        <v>7395</v>
      </c>
      <c r="D7608" s="2" t="s">
        <v>1180</v>
      </c>
      <c r="E7608" s="2" t="str">
        <f>"9780295752266"</f>
        <v>9780295752266</v>
      </c>
      <c r="F7608" s="2" t="str">
        <f>"9780295752280"</f>
        <v>9780295752280</v>
      </c>
    </row>
    <row r="7609" spans="1:6" s="3" customFormat="1" ht="29.1" customHeight="1" x14ac:dyDescent="0.25">
      <c r="A7609" s="2" t="s">
        <v>15900</v>
      </c>
      <c r="B7609" s="2" t="s">
        <v>15902</v>
      </c>
      <c r="C7609" s="2" t="s">
        <v>5</v>
      </c>
      <c r="D7609" s="2" t="s">
        <v>15901</v>
      </c>
      <c r="E7609" s="2" t="str">
        <f>"9783031542183"</f>
        <v>9783031542183</v>
      </c>
      <c r="F7609" s="2" t="str">
        <f>"9783031542190"</f>
        <v>9783031542190</v>
      </c>
    </row>
    <row r="7610" spans="1:6" s="3" customFormat="1" ht="29.1" customHeight="1" x14ac:dyDescent="0.25">
      <c r="A7610" s="2" t="s">
        <v>15903</v>
      </c>
      <c r="B7610" s="2" t="s">
        <v>15904</v>
      </c>
      <c r="C7610" s="2" t="s">
        <v>2133</v>
      </c>
      <c r="D7610" s="2" t="s">
        <v>1717</v>
      </c>
      <c r="E7610" s="2" t="str">
        <f>"9781760466299"</f>
        <v>9781760466299</v>
      </c>
      <c r="F7610" s="2" t="str">
        <f>"9781760466305"</f>
        <v>9781760466305</v>
      </c>
    </row>
    <row r="7611" spans="1:6" s="3" customFormat="1" ht="29.1" customHeight="1" x14ac:dyDescent="0.25">
      <c r="A7611" s="2" t="s">
        <v>15905</v>
      </c>
      <c r="B7611" s="2" t="s">
        <v>15906</v>
      </c>
      <c r="C7611" s="2" t="s">
        <v>2242</v>
      </c>
      <c r="D7611" s="2" t="s">
        <v>596</v>
      </c>
      <c r="E7611" s="2"/>
      <c r="F7611" s="2" t="str">
        <f>"9788024462851"</f>
        <v>9788024462851</v>
      </c>
    </row>
    <row r="7612" spans="1:6" s="3" customFormat="1" ht="29.1" customHeight="1" x14ac:dyDescent="0.25">
      <c r="A7612" s="2" t="s">
        <v>15907</v>
      </c>
      <c r="B7612" s="2" t="s">
        <v>15906</v>
      </c>
      <c r="C7612" s="2" t="s">
        <v>2242</v>
      </c>
      <c r="D7612" s="2" t="s">
        <v>596</v>
      </c>
      <c r="E7612" s="2"/>
      <c r="F7612" s="2" t="str">
        <f>"9788024462868"</f>
        <v>9788024462868</v>
      </c>
    </row>
    <row r="7613" spans="1:6" s="3" customFormat="1" ht="29.1" customHeight="1" x14ac:dyDescent="0.25">
      <c r="A7613" s="2" t="s">
        <v>15908</v>
      </c>
      <c r="B7613" s="2" t="s">
        <v>15909</v>
      </c>
      <c r="C7613" s="2" t="s">
        <v>5</v>
      </c>
      <c r="D7613" s="2" t="s">
        <v>12</v>
      </c>
      <c r="E7613" s="2" t="str">
        <f>"9783031531101"</f>
        <v>9783031531101</v>
      </c>
      <c r="F7613" s="2" t="str">
        <f>"9783031531118"</f>
        <v>9783031531118</v>
      </c>
    </row>
    <row r="7614" spans="1:6" s="3" customFormat="1" ht="29.1" customHeight="1" x14ac:dyDescent="0.25">
      <c r="A7614" s="2" t="s">
        <v>15910</v>
      </c>
      <c r="B7614" s="2" t="s">
        <v>15911</v>
      </c>
      <c r="C7614" s="2" t="s">
        <v>5</v>
      </c>
      <c r="D7614" s="2" t="s">
        <v>699</v>
      </c>
      <c r="E7614" s="2" t="str">
        <f>"9783662687499"</f>
        <v>9783662687499</v>
      </c>
      <c r="F7614" s="2" t="str">
        <f>"9783662687505"</f>
        <v>9783662687505</v>
      </c>
    </row>
    <row r="7615" spans="1:6" s="3" customFormat="1" ht="29.1" customHeight="1" x14ac:dyDescent="0.25">
      <c r="A7615" s="2" t="s">
        <v>15912</v>
      </c>
      <c r="B7615" s="2" t="s">
        <v>15913</v>
      </c>
      <c r="C7615" s="2" t="s">
        <v>5</v>
      </c>
      <c r="D7615" s="2" t="s">
        <v>984</v>
      </c>
      <c r="E7615" s="2" t="str">
        <f>"9789819713783"</f>
        <v>9789819713783</v>
      </c>
      <c r="F7615" s="2" t="str">
        <f>"9789819713790"</f>
        <v>9789819713790</v>
      </c>
    </row>
    <row r="7616" spans="1:6" s="3" customFormat="1" ht="29.1" customHeight="1" x14ac:dyDescent="0.25">
      <c r="A7616" s="2" t="s">
        <v>15914</v>
      </c>
      <c r="B7616" s="2" t="s">
        <v>15916</v>
      </c>
      <c r="C7616" s="2" t="s">
        <v>11220</v>
      </c>
      <c r="D7616" s="2" t="s">
        <v>15915</v>
      </c>
      <c r="E7616" s="2" t="str">
        <f>"9781479830831"</f>
        <v>9781479830831</v>
      </c>
      <c r="F7616" s="2" t="str">
        <f>"9781479830909"</f>
        <v>9781479830909</v>
      </c>
    </row>
    <row r="7617" spans="1:6" s="3" customFormat="1" ht="29.1" customHeight="1" x14ac:dyDescent="0.25">
      <c r="A7617" s="2" t="s">
        <v>15917</v>
      </c>
      <c r="B7617" s="2" t="s">
        <v>15918</v>
      </c>
      <c r="C7617" s="2" t="s">
        <v>4104</v>
      </c>
      <c r="D7617" s="2" t="s">
        <v>107</v>
      </c>
      <c r="E7617" s="2" t="str">
        <f>"9781835537664"</f>
        <v>9781835537664</v>
      </c>
      <c r="F7617" s="2" t="str">
        <f>"9781835537671"</f>
        <v>9781835537671</v>
      </c>
    </row>
    <row r="7618" spans="1:6" s="3" customFormat="1" ht="29.1" customHeight="1" x14ac:dyDescent="0.25">
      <c r="A7618" s="2" t="s">
        <v>15919</v>
      </c>
      <c r="B7618" s="2" t="s">
        <v>15920</v>
      </c>
      <c r="C7618" s="2" t="s">
        <v>4104</v>
      </c>
      <c r="D7618" s="2" t="s">
        <v>965</v>
      </c>
      <c r="E7618" s="2" t="str">
        <f>"9781835537091"</f>
        <v>9781835537091</v>
      </c>
      <c r="F7618" s="2" t="str">
        <f>"9781835537107"</f>
        <v>9781835537107</v>
      </c>
    </row>
    <row r="7619" spans="1:6" s="3" customFormat="1" ht="29.1" customHeight="1" x14ac:dyDescent="0.25">
      <c r="A7619" s="2" t="s">
        <v>15921</v>
      </c>
      <c r="B7619" s="2" t="s">
        <v>15922</v>
      </c>
      <c r="C7619" s="2" t="s">
        <v>4104</v>
      </c>
      <c r="D7619" s="2" t="s">
        <v>202</v>
      </c>
      <c r="E7619" s="2" t="str">
        <f>"9781835536896"</f>
        <v>9781835536896</v>
      </c>
      <c r="F7619" s="2" t="str">
        <f>"9781835536902"</f>
        <v>9781835536902</v>
      </c>
    </row>
    <row r="7620" spans="1:6" s="3" customFormat="1" ht="29.1" customHeight="1" x14ac:dyDescent="0.25">
      <c r="A7620" s="2" t="s">
        <v>15923</v>
      </c>
      <c r="B7620" s="2" t="s">
        <v>15924</v>
      </c>
      <c r="C7620" s="2" t="s">
        <v>7395</v>
      </c>
      <c r="D7620" s="2" t="s">
        <v>653</v>
      </c>
      <c r="E7620" s="2" t="str">
        <f>"9780295752150"</f>
        <v>9780295752150</v>
      </c>
      <c r="F7620" s="2" t="str">
        <f>"9780295752174"</f>
        <v>9780295752174</v>
      </c>
    </row>
    <row r="7621" spans="1:6" s="3" customFormat="1" ht="29.1" customHeight="1" x14ac:dyDescent="0.25">
      <c r="A7621" s="2" t="s">
        <v>15925</v>
      </c>
      <c r="B7621" s="2" t="s">
        <v>15926</v>
      </c>
      <c r="C7621" s="2" t="s">
        <v>2188</v>
      </c>
      <c r="D7621" s="2" t="s">
        <v>81</v>
      </c>
      <c r="E7621" s="2" t="str">
        <f>"9788323242734"</f>
        <v>9788323242734</v>
      </c>
      <c r="F7621" s="2" t="str">
        <f>"9788323242741"</f>
        <v>9788323242741</v>
      </c>
    </row>
    <row r="7622" spans="1:6" s="3" customFormat="1" ht="29.1" customHeight="1" x14ac:dyDescent="0.25">
      <c r="A7622" s="2" t="s">
        <v>15927</v>
      </c>
      <c r="B7622" s="2" t="s">
        <v>15928</v>
      </c>
      <c r="C7622" s="2" t="s">
        <v>2188</v>
      </c>
      <c r="D7622" s="2" t="s">
        <v>15</v>
      </c>
      <c r="E7622" s="2" t="str">
        <f>"9788323238737"</f>
        <v>9788323238737</v>
      </c>
      <c r="F7622" s="2" t="str">
        <f>"9788323238744"</f>
        <v>9788323238744</v>
      </c>
    </row>
    <row r="7623" spans="1:6" s="3" customFormat="1" ht="29.1" customHeight="1" x14ac:dyDescent="0.25">
      <c r="A7623" s="2" t="s">
        <v>15929</v>
      </c>
      <c r="B7623" s="2" t="s">
        <v>15930</v>
      </c>
      <c r="C7623" s="2" t="s">
        <v>2188</v>
      </c>
      <c r="D7623" s="2" t="s">
        <v>465</v>
      </c>
      <c r="E7623" s="2" t="str">
        <f>"9788323221371"</f>
        <v>9788323221371</v>
      </c>
      <c r="F7623" s="2" t="str">
        <f>"9788323237501"</f>
        <v>9788323237501</v>
      </c>
    </row>
    <row r="7624" spans="1:6" s="3" customFormat="1" ht="29.1" customHeight="1" x14ac:dyDescent="0.25">
      <c r="A7624" s="2" t="s">
        <v>15931</v>
      </c>
      <c r="B7624" s="2" t="s">
        <v>15933</v>
      </c>
      <c r="C7624" s="2" t="s">
        <v>746</v>
      </c>
      <c r="D7624" s="2" t="s">
        <v>15932</v>
      </c>
      <c r="E7624" s="2" t="str">
        <f>"9781803277301"</f>
        <v>9781803277301</v>
      </c>
      <c r="F7624" s="2" t="str">
        <f>"9781803277318"</f>
        <v>9781803277318</v>
      </c>
    </row>
    <row r="7625" spans="1:6" s="3" customFormat="1" ht="29.1" customHeight="1" x14ac:dyDescent="0.25">
      <c r="A7625" s="2" t="s">
        <v>15934</v>
      </c>
      <c r="B7625" s="2" t="s">
        <v>15935</v>
      </c>
      <c r="C7625" s="2" t="s">
        <v>29</v>
      </c>
      <c r="D7625" s="2" t="s">
        <v>3270</v>
      </c>
      <c r="E7625" s="2" t="str">
        <f>"9789004505148"</f>
        <v>9789004505148</v>
      </c>
      <c r="F7625" s="2" t="str">
        <f>"9789004505155"</f>
        <v>9789004505155</v>
      </c>
    </row>
    <row r="7626" spans="1:6" s="3" customFormat="1" ht="29.1" customHeight="1" x14ac:dyDescent="0.25">
      <c r="A7626" s="2" t="s">
        <v>15936</v>
      </c>
      <c r="B7626" s="2" t="s">
        <v>15937</v>
      </c>
      <c r="C7626" s="2" t="s">
        <v>327</v>
      </c>
      <c r="D7626" s="2" t="s">
        <v>636</v>
      </c>
      <c r="E7626" s="2" t="str">
        <f>"9788383314082"</f>
        <v>9788383314082</v>
      </c>
      <c r="F7626" s="2" t="str">
        <f>"9788383314099"</f>
        <v>9788383314099</v>
      </c>
    </row>
    <row r="7627" spans="1:6" s="3" customFormat="1" ht="29.1" customHeight="1" x14ac:dyDescent="0.25">
      <c r="A7627" s="2" t="s">
        <v>15938</v>
      </c>
      <c r="B7627" s="2" t="s">
        <v>15939</v>
      </c>
      <c r="C7627" s="2" t="s">
        <v>327</v>
      </c>
      <c r="D7627" s="2" t="s">
        <v>6795</v>
      </c>
      <c r="E7627" s="2" t="str">
        <f>"9788383314013"</f>
        <v>9788383314013</v>
      </c>
      <c r="F7627" s="2" t="str">
        <f>"9788383314020"</f>
        <v>9788383314020</v>
      </c>
    </row>
    <row r="7628" spans="1:6" s="3" customFormat="1" ht="29.1" customHeight="1" x14ac:dyDescent="0.25">
      <c r="A7628" s="2" t="s">
        <v>15940</v>
      </c>
      <c r="B7628" s="2" t="s">
        <v>5084</v>
      </c>
      <c r="C7628" s="2" t="s">
        <v>327</v>
      </c>
      <c r="D7628" s="2" t="s">
        <v>619</v>
      </c>
      <c r="E7628" s="2"/>
      <c r="F7628" s="2" t="str">
        <f>"9788383313832"</f>
        <v>9788383313832</v>
      </c>
    </row>
    <row r="7629" spans="1:6" s="3" customFormat="1" ht="29.1" customHeight="1" x14ac:dyDescent="0.25">
      <c r="A7629" s="2" t="s">
        <v>15941</v>
      </c>
      <c r="B7629" s="2" t="s">
        <v>15942</v>
      </c>
      <c r="C7629" s="2" t="s">
        <v>124</v>
      </c>
      <c r="D7629" s="2" t="s">
        <v>3966</v>
      </c>
      <c r="E7629" s="2" t="str">
        <f>"9781032350035"</f>
        <v>9781032350035</v>
      </c>
      <c r="F7629" s="2" t="str">
        <f>"9781003324850"</f>
        <v>9781003324850</v>
      </c>
    </row>
    <row r="7630" spans="1:6" s="3" customFormat="1" ht="29.1" customHeight="1" x14ac:dyDescent="0.25">
      <c r="A7630" s="2" t="s">
        <v>15943</v>
      </c>
      <c r="B7630" s="2" t="s">
        <v>15944</v>
      </c>
      <c r="C7630" s="2" t="s">
        <v>124</v>
      </c>
      <c r="D7630" s="2" t="s">
        <v>2086</v>
      </c>
      <c r="E7630" s="2" t="str">
        <f>"9781032501321"</f>
        <v>9781032501321</v>
      </c>
      <c r="F7630" s="2" t="str">
        <f>"9781003397304"</f>
        <v>9781003397304</v>
      </c>
    </row>
    <row r="7631" spans="1:6" s="3" customFormat="1" ht="29.1" customHeight="1" x14ac:dyDescent="0.25">
      <c r="A7631" s="2" t="s">
        <v>15945</v>
      </c>
      <c r="B7631" s="2" t="s">
        <v>15946</v>
      </c>
      <c r="C7631" s="2" t="s">
        <v>239</v>
      </c>
      <c r="D7631" s="2" t="s">
        <v>636</v>
      </c>
      <c r="E7631" s="2" t="str">
        <f>"9780520399129"</f>
        <v>9780520399129</v>
      </c>
      <c r="F7631" s="2" t="str">
        <f>"9780520399136"</f>
        <v>9780520399136</v>
      </c>
    </row>
    <row r="7632" spans="1:6" s="3" customFormat="1" ht="29.1" customHeight="1" x14ac:dyDescent="0.25">
      <c r="A7632" s="2" t="s">
        <v>15947</v>
      </c>
      <c r="B7632" s="2" t="s">
        <v>15948</v>
      </c>
      <c r="C7632" s="2" t="s">
        <v>5</v>
      </c>
      <c r="D7632" s="2" t="s">
        <v>2391</v>
      </c>
      <c r="E7632" s="2" t="str">
        <f>"9783031496882"</f>
        <v>9783031496882</v>
      </c>
      <c r="F7632" s="2" t="str">
        <f>"9783031496899"</f>
        <v>9783031496899</v>
      </c>
    </row>
    <row r="7633" spans="1:6" s="3" customFormat="1" ht="29.1" customHeight="1" x14ac:dyDescent="0.25">
      <c r="A7633" s="2" t="s">
        <v>15949</v>
      </c>
      <c r="B7633" s="2" t="s">
        <v>15950</v>
      </c>
      <c r="C7633" s="2" t="s">
        <v>5</v>
      </c>
      <c r="D7633" s="2" t="s">
        <v>367</v>
      </c>
      <c r="E7633" s="2" t="str">
        <f>"9783031537691"</f>
        <v>9783031537691</v>
      </c>
      <c r="F7633" s="2" t="str">
        <f>"9783031537707"</f>
        <v>9783031537707</v>
      </c>
    </row>
    <row r="7634" spans="1:6" s="3" customFormat="1" ht="29.1" customHeight="1" x14ac:dyDescent="0.25">
      <c r="A7634" s="2" t="s">
        <v>15951</v>
      </c>
      <c r="B7634" s="2" t="s">
        <v>15952</v>
      </c>
      <c r="C7634" s="2" t="s">
        <v>5</v>
      </c>
      <c r="D7634" s="2" t="s">
        <v>1902</v>
      </c>
      <c r="E7634" s="2" t="str">
        <f>"9789819997718"</f>
        <v>9789819997718</v>
      </c>
      <c r="F7634" s="2" t="str">
        <f>"9789819997725"</f>
        <v>9789819997725</v>
      </c>
    </row>
    <row r="7635" spans="1:6" s="3" customFormat="1" ht="29.1" customHeight="1" x14ac:dyDescent="0.25">
      <c r="A7635" s="2" t="s">
        <v>15953</v>
      </c>
      <c r="B7635" s="2" t="s">
        <v>15954</v>
      </c>
      <c r="C7635" s="2" t="s">
        <v>11220</v>
      </c>
      <c r="D7635" s="2" t="s">
        <v>11959</v>
      </c>
      <c r="E7635" s="2"/>
      <c r="F7635" s="2" t="str">
        <f>"9781479834488"</f>
        <v>9781479834488</v>
      </c>
    </row>
    <row r="7636" spans="1:6" s="3" customFormat="1" ht="29.1" customHeight="1" x14ac:dyDescent="0.25">
      <c r="A7636" s="2" t="s">
        <v>15955</v>
      </c>
      <c r="B7636" s="2" t="s">
        <v>15956</v>
      </c>
      <c r="C7636" s="2" t="s">
        <v>556</v>
      </c>
      <c r="D7636" s="2" t="s">
        <v>855</v>
      </c>
      <c r="E7636" s="2" t="str">
        <f>"9783837671520"</f>
        <v>9783837671520</v>
      </c>
      <c r="F7636" s="2" t="str">
        <f>"9783839471524"</f>
        <v>9783839471524</v>
      </c>
    </row>
    <row r="7637" spans="1:6" s="3" customFormat="1" ht="29.1" customHeight="1" x14ac:dyDescent="0.25">
      <c r="A7637" s="2" t="s">
        <v>15957</v>
      </c>
      <c r="B7637" s="2" t="s">
        <v>15958</v>
      </c>
      <c r="C7637" s="2" t="s">
        <v>556</v>
      </c>
      <c r="D7637" s="2" t="s">
        <v>1127</v>
      </c>
      <c r="E7637" s="2" t="str">
        <f>"9783837672060"</f>
        <v>9783837672060</v>
      </c>
      <c r="F7637" s="2" t="str">
        <f>"9783839472064"</f>
        <v>9783839472064</v>
      </c>
    </row>
    <row r="7638" spans="1:6" s="3" customFormat="1" ht="29.1" customHeight="1" x14ac:dyDescent="0.25">
      <c r="A7638" s="2" t="s">
        <v>15959</v>
      </c>
      <c r="B7638" s="2" t="s">
        <v>15960</v>
      </c>
      <c r="C7638" s="2" t="s">
        <v>556</v>
      </c>
      <c r="D7638" s="2" t="s">
        <v>1411</v>
      </c>
      <c r="E7638" s="2" t="str">
        <f>"9783837671902"</f>
        <v>9783837671902</v>
      </c>
      <c r="F7638" s="2" t="str">
        <f>"9783839471906"</f>
        <v>9783839471906</v>
      </c>
    </row>
    <row r="7639" spans="1:6" s="3" customFormat="1" ht="29.1" customHeight="1" x14ac:dyDescent="0.25">
      <c r="A7639" s="2" t="s">
        <v>15961</v>
      </c>
      <c r="B7639" s="2" t="s">
        <v>15962</v>
      </c>
      <c r="C7639" s="2" t="s">
        <v>556</v>
      </c>
      <c r="D7639" s="2" t="s">
        <v>636</v>
      </c>
      <c r="E7639" s="2" t="str">
        <f>"9783837671865"</f>
        <v>9783837671865</v>
      </c>
      <c r="F7639" s="2" t="str">
        <f>"9783839471869"</f>
        <v>9783839471869</v>
      </c>
    </row>
    <row r="7640" spans="1:6" s="3" customFormat="1" ht="29.1" customHeight="1" x14ac:dyDescent="0.25">
      <c r="A7640" s="2" t="s">
        <v>15963</v>
      </c>
      <c r="B7640" s="2" t="s">
        <v>15964</v>
      </c>
      <c r="C7640" s="2" t="s">
        <v>556</v>
      </c>
      <c r="D7640" s="2" t="s">
        <v>998</v>
      </c>
      <c r="E7640" s="2" t="str">
        <f>"9783837671803"</f>
        <v>9783837671803</v>
      </c>
      <c r="F7640" s="2" t="str">
        <f>"9783839471807"</f>
        <v>9783839471807</v>
      </c>
    </row>
    <row r="7641" spans="1:6" s="3" customFormat="1" ht="29.1" customHeight="1" x14ac:dyDescent="0.25">
      <c r="A7641" s="2" t="s">
        <v>15965</v>
      </c>
      <c r="B7641" s="2" t="s">
        <v>15966</v>
      </c>
      <c r="C7641" s="2" t="s">
        <v>556</v>
      </c>
      <c r="D7641" s="2" t="s">
        <v>1189</v>
      </c>
      <c r="E7641" s="2" t="str">
        <f>"9783837671636"</f>
        <v>9783837671636</v>
      </c>
      <c r="F7641" s="2" t="str">
        <f>"9783839471630"</f>
        <v>9783839471630</v>
      </c>
    </row>
    <row r="7642" spans="1:6" s="3" customFormat="1" ht="29.1" customHeight="1" x14ac:dyDescent="0.25">
      <c r="A7642" s="2" t="s">
        <v>15967</v>
      </c>
      <c r="B7642" s="2" t="s">
        <v>15968</v>
      </c>
      <c r="C7642" s="2" t="s">
        <v>556</v>
      </c>
      <c r="D7642" s="2" t="s">
        <v>15901</v>
      </c>
      <c r="E7642" s="2" t="str">
        <f>"9783837671551"</f>
        <v>9783837671551</v>
      </c>
      <c r="F7642" s="2" t="str">
        <f>"9783732871551"</f>
        <v>9783732871551</v>
      </c>
    </row>
    <row r="7643" spans="1:6" s="3" customFormat="1" ht="29.1" customHeight="1" x14ac:dyDescent="0.25">
      <c r="A7643" s="2" t="s">
        <v>15969</v>
      </c>
      <c r="B7643" s="2" t="s">
        <v>15970</v>
      </c>
      <c r="C7643" s="2" t="s">
        <v>556</v>
      </c>
      <c r="D7643" s="2" t="s">
        <v>509</v>
      </c>
      <c r="E7643" s="2" t="str">
        <f>"9783837671513"</f>
        <v>9783837671513</v>
      </c>
      <c r="F7643" s="2" t="str">
        <f>"9783839471517"</f>
        <v>9783839471517</v>
      </c>
    </row>
    <row r="7644" spans="1:6" s="3" customFormat="1" ht="29.1" customHeight="1" x14ac:dyDescent="0.25">
      <c r="A7644" s="2" t="s">
        <v>15971</v>
      </c>
      <c r="B7644" s="2" t="s">
        <v>15972</v>
      </c>
      <c r="C7644" s="2" t="s">
        <v>556</v>
      </c>
      <c r="D7644" s="2" t="s">
        <v>791</v>
      </c>
      <c r="E7644" s="2" t="str">
        <f>"9783837671438"</f>
        <v>9783837671438</v>
      </c>
      <c r="F7644" s="2" t="str">
        <f>"9783839471432"</f>
        <v>9783839471432</v>
      </c>
    </row>
    <row r="7645" spans="1:6" s="3" customFormat="1" ht="29.1" customHeight="1" x14ac:dyDescent="0.25">
      <c r="A7645" s="2" t="s">
        <v>15973</v>
      </c>
      <c r="B7645" s="2" t="s">
        <v>15975</v>
      </c>
      <c r="C7645" s="2" t="s">
        <v>556</v>
      </c>
      <c r="D7645" s="2" t="s">
        <v>15974</v>
      </c>
      <c r="E7645" s="2" t="str">
        <f>"9783837671407"</f>
        <v>9783837671407</v>
      </c>
      <c r="F7645" s="2" t="str">
        <f>"9783839471401"</f>
        <v>9783839471401</v>
      </c>
    </row>
    <row r="7646" spans="1:6" s="3" customFormat="1" ht="29.1" customHeight="1" x14ac:dyDescent="0.25">
      <c r="A7646" s="2" t="s">
        <v>15976</v>
      </c>
      <c r="B7646" s="2" t="s">
        <v>15977</v>
      </c>
      <c r="C7646" s="2" t="s">
        <v>556</v>
      </c>
      <c r="D7646" s="2" t="s">
        <v>490</v>
      </c>
      <c r="E7646" s="2" t="str">
        <f>"9783837671247"</f>
        <v>9783837671247</v>
      </c>
      <c r="F7646" s="2" t="str">
        <f>"9783839471241"</f>
        <v>9783839471241</v>
      </c>
    </row>
    <row r="7647" spans="1:6" s="3" customFormat="1" ht="29.1" customHeight="1" x14ac:dyDescent="0.25">
      <c r="A7647" s="2" t="s">
        <v>15978</v>
      </c>
      <c r="B7647" s="2" t="s">
        <v>15979</v>
      </c>
      <c r="C7647" s="2" t="s">
        <v>556</v>
      </c>
      <c r="D7647" s="2" t="s">
        <v>2336</v>
      </c>
      <c r="E7647" s="2" t="str">
        <f>"9783837671223"</f>
        <v>9783837671223</v>
      </c>
      <c r="F7647" s="2" t="str">
        <f>"9783839471227"</f>
        <v>9783839471227</v>
      </c>
    </row>
    <row r="7648" spans="1:6" s="3" customFormat="1" ht="29.1" customHeight="1" x14ac:dyDescent="0.25">
      <c r="A7648" s="2" t="s">
        <v>15980</v>
      </c>
      <c r="B7648" s="2" t="s">
        <v>15981</v>
      </c>
      <c r="C7648" s="2" t="s">
        <v>556</v>
      </c>
      <c r="D7648" s="2" t="s">
        <v>1253</v>
      </c>
      <c r="E7648" s="2" t="str">
        <f>"9783837671001"</f>
        <v>9783837671001</v>
      </c>
      <c r="F7648" s="2" t="str">
        <f>"9783839471005"</f>
        <v>9783839471005</v>
      </c>
    </row>
    <row r="7649" spans="1:6" s="3" customFormat="1" ht="29.1" customHeight="1" x14ac:dyDescent="0.25">
      <c r="A7649" s="2" t="s">
        <v>15982</v>
      </c>
      <c r="B7649" s="2" t="s">
        <v>15983</v>
      </c>
      <c r="C7649" s="2" t="s">
        <v>556</v>
      </c>
      <c r="D7649" s="2" t="s">
        <v>2810</v>
      </c>
      <c r="E7649" s="2" t="str">
        <f>"9783837670776"</f>
        <v>9783837670776</v>
      </c>
      <c r="F7649" s="2" t="str">
        <f>"9783839470770"</f>
        <v>9783839470770</v>
      </c>
    </row>
    <row r="7650" spans="1:6" s="3" customFormat="1" ht="29.1" customHeight="1" x14ac:dyDescent="0.25">
      <c r="A7650" s="2" t="s">
        <v>15984</v>
      </c>
      <c r="B7650" s="2" t="s">
        <v>15985</v>
      </c>
      <c r="C7650" s="2" t="s">
        <v>556</v>
      </c>
      <c r="D7650" s="2" t="s">
        <v>1411</v>
      </c>
      <c r="E7650" s="2" t="str">
        <f>"9783837670509"</f>
        <v>9783837670509</v>
      </c>
      <c r="F7650" s="2" t="str">
        <f>"9783839470503"</f>
        <v>9783839470503</v>
      </c>
    </row>
    <row r="7651" spans="1:6" s="3" customFormat="1" ht="29.1" customHeight="1" x14ac:dyDescent="0.25">
      <c r="A7651" s="2" t="s">
        <v>15986</v>
      </c>
      <c r="B7651" s="2" t="s">
        <v>15987</v>
      </c>
      <c r="C7651" s="2" t="s">
        <v>556</v>
      </c>
      <c r="D7651" s="2" t="s">
        <v>183</v>
      </c>
      <c r="E7651" s="2" t="str">
        <f>"9783837670417"</f>
        <v>9783837670417</v>
      </c>
      <c r="F7651" s="2" t="str">
        <f>"9783839470411"</f>
        <v>9783839470411</v>
      </c>
    </row>
    <row r="7652" spans="1:6" s="3" customFormat="1" ht="29.1" customHeight="1" x14ac:dyDescent="0.25">
      <c r="A7652" s="2" t="s">
        <v>15988</v>
      </c>
      <c r="B7652" s="2" t="s">
        <v>15989</v>
      </c>
      <c r="C7652" s="2" t="s">
        <v>556</v>
      </c>
      <c r="D7652" s="2" t="s">
        <v>1416</v>
      </c>
      <c r="E7652" s="2" t="str">
        <f>"9783837670301"</f>
        <v>9783837670301</v>
      </c>
      <c r="F7652" s="2" t="str">
        <f>"9783839470305"</f>
        <v>9783839470305</v>
      </c>
    </row>
    <row r="7653" spans="1:6" s="3" customFormat="1" ht="29.1" customHeight="1" x14ac:dyDescent="0.25">
      <c r="A7653" s="2" t="s">
        <v>15990</v>
      </c>
      <c r="B7653" s="2" t="s">
        <v>15991</v>
      </c>
      <c r="C7653" s="2" t="s">
        <v>556</v>
      </c>
      <c r="D7653" s="2" t="s">
        <v>1141</v>
      </c>
      <c r="E7653" s="2" t="str">
        <f>"9783837670226"</f>
        <v>9783837670226</v>
      </c>
      <c r="F7653" s="2" t="str">
        <f>"9783839470220"</f>
        <v>9783839470220</v>
      </c>
    </row>
    <row r="7654" spans="1:6" s="3" customFormat="1" ht="29.1" customHeight="1" x14ac:dyDescent="0.25">
      <c r="A7654" s="2" t="s">
        <v>15992</v>
      </c>
      <c r="B7654" s="2" t="s">
        <v>15993</v>
      </c>
      <c r="C7654" s="2" t="s">
        <v>556</v>
      </c>
      <c r="D7654" s="2" t="s">
        <v>1262</v>
      </c>
      <c r="E7654" s="2" t="str">
        <f>"9783837670189"</f>
        <v>9783837670189</v>
      </c>
      <c r="F7654" s="2" t="str">
        <f>"9783839470183"</f>
        <v>9783839470183</v>
      </c>
    </row>
    <row r="7655" spans="1:6" s="3" customFormat="1" ht="29.1" customHeight="1" x14ac:dyDescent="0.25">
      <c r="A7655" s="2" t="s">
        <v>15994</v>
      </c>
      <c r="B7655" s="2" t="s">
        <v>15995</v>
      </c>
      <c r="C7655" s="2" t="s">
        <v>556</v>
      </c>
      <c r="D7655" s="2" t="s">
        <v>1189</v>
      </c>
      <c r="E7655" s="2" t="str">
        <f>"9783837669923"</f>
        <v>9783837669923</v>
      </c>
      <c r="F7655" s="2" t="str">
        <f>"9783839469927"</f>
        <v>9783839469927</v>
      </c>
    </row>
    <row r="7656" spans="1:6" s="3" customFormat="1" ht="29.1" customHeight="1" x14ac:dyDescent="0.25">
      <c r="A7656" s="2" t="s">
        <v>15996</v>
      </c>
      <c r="B7656" s="2" t="s">
        <v>15997</v>
      </c>
      <c r="C7656" s="2" t="s">
        <v>556</v>
      </c>
      <c r="D7656" s="2" t="s">
        <v>75</v>
      </c>
      <c r="E7656" s="2" t="str">
        <f>"9783837669558"</f>
        <v>9783837669558</v>
      </c>
      <c r="F7656" s="2" t="str">
        <f>"9783839469552"</f>
        <v>9783839469552</v>
      </c>
    </row>
    <row r="7657" spans="1:6" s="3" customFormat="1" ht="29.1" customHeight="1" x14ac:dyDescent="0.25">
      <c r="A7657" s="2" t="s">
        <v>15998</v>
      </c>
      <c r="B7657" s="2" t="s">
        <v>15999</v>
      </c>
      <c r="C7657" s="2" t="s">
        <v>556</v>
      </c>
      <c r="D7657" s="2" t="s">
        <v>33</v>
      </c>
      <c r="E7657" s="2" t="str">
        <f>"9783837669510"</f>
        <v>9783837669510</v>
      </c>
      <c r="F7657" s="2" t="str">
        <f>"9783839469514"</f>
        <v>9783839469514</v>
      </c>
    </row>
    <row r="7658" spans="1:6" s="3" customFormat="1" ht="29.1" customHeight="1" x14ac:dyDescent="0.25">
      <c r="A7658" s="2" t="s">
        <v>16000</v>
      </c>
      <c r="B7658" s="2" t="s">
        <v>16001</v>
      </c>
      <c r="C7658" s="2" t="s">
        <v>556</v>
      </c>
      <c r="D7658" s="2" t="s">
        <v>284</v>
      </c>
      <c r="E7658" s="2" t="str">
        <f>"9783837669183"</f>
        <v>9783837669183</v>
      </c>
      <c r="F7658" s="2" t="str">
        <f>"9783839469187"</f>
        <v>9783839469187</v>
      </c>
    </row>
    <row r="7659" spans="1:6" s="3" customFormat="1" ht="29.1" customHeight="1" x14ac:dyDescent="0.25">
      <c r="A7659" s="2" t="s">
        <v>16002</v>
      </c>
      <c r="B7659" s="2" t="s">
        <v>16003</v>
      </c>
      <c r="C7659" s="2" t="s">
        <v>556</v>
      </c>
      <c r="D7659" s="2" t="s">
        <v>218</v>
      </c>
      <c r="E7659" s="2" t="str">
        <f>"9783837668971"</f>
        <v>9783837668971</v>
      </c>
      <c r="F7659" s="2" t="str">
        <f>"9783839468975"</f>
        <v>9783839468975</v>
      </c>
    </row>
    <row r="7660" spans="1:6" s="3" customFormat="1" ht="29.1" customHeight="1" x14ac:dyDescent="0.25">
      <c r="A7660" s="2" t="s">
        <v>16004</v>
      </c>
      <c r="B7660" s="2" t="s">
        <v>16005</v>
      </c>
      <c r="C7660" s="2" t="s">
        <v>556</v>
      </c>
      <c r="D7660" s="2" t="s">
        <v>490</v>
      </c>
      <c r="E7660" s="2" t="str">
        <f>"9783837668896"</f>
        <v>9783837668896</v>
      </c>
      <c r="F7660" s="2" t="str">
        <f>"9783839468890"</f>
        <v>9783839468890</v>
      </c>
    </row>
    <row r="7661" spans="1:6" s="3" customFormat="1" ht="29.1" customHeight="1" x14ac:dyDescent="0.25">
      <c r="A7661" s="2" t="s">
        <v>16006</v>
      </c>
      <c r="B7661" s="2" t="s">
        <v>16007</v>
      </c>
      <c r="C7661" s="2" t="s">
        <v>556</v>
      </c>
      <c r="D7661" s="2" t="s">
        <v>14816</v>
      </c>
      <c r="E7661" s="2" t="str">
        <f>"9783837668445"</f>
        <v>9783837668445</v>
      </c>
      <c r="F7661" s="2" t="str">
        <f>"9783839468449"</f>
        <v>9783839468449</v>
      </c>
    </row>
    <row r="7662" spans="1:6" s="3" customFormat="1" ht="29.1" customHeight="1" x14ac:dyDescent="0.25">
      <c r="A7662" s="2" t="s">
        <v>16008</v>
      </c>
      <c r="B7662" s="2" t="s">
        <v>16009</v>
      </c>
      <c r="C7662" s="2" t="s">
        <v>556</v>
      </c>
      <c r="D7662" s="2" t="s">
        <v>259</v>
      </c>
      <c r="E7662" s="2" t="str">
        <f>"9783837668278"</f>
        <v>9783837668278</v>
      </c>
      <c r="F7662" s="2" t="str">
        <f>"9783732868278"</f>
        <v>9783732868278</v>
      </c>
    </row>
    <row r="7663" spans="1:6" s="3" customFormat="1" ht="29.1" customHeight="1" x14ac:dyDescent="0.25">
      <c r="A7663" s="2" t="s">
        <v>16010</v>
      </c>
      <c r="B7663" s="2" t="s">
        <v>16011</v>
      </c>
      <c r="C7663" s="2" t="s">
        <v>556</v>
      </c>
      <c r="D7663" s="2" t="s">
        <v>446</v>
      </c>
      <c r="E7663" s="2" t="str">
        <f>"9783837668124"</f>
        <v>9783837668124</v>
      </c>
      <c r="F7663" s="2" t="str">
        <f>"9783839468128"</f>
        <v>9783839468128</v>
      </c>
    </row>
    <row r="7664" spans="1:6" s="3" customFormat="1" ht="29.1" customHeight="1" x14ac:dyDescent="0.25">
      <c r="A7664" s="2" t="s">
        <v>16012</v>
      </c>
      <c r="B7664" s="2" t="s">
        <v>16013</v>
      </c>
      <c r="C7664" s="2" t="s">
        <v>556</v>
      </c>
      <c r="D7664" s="2" t="s">
        <v>636</v>
      </c>
      <c r="E7664" s="2" t="str">
        <f>"9783837666779"</f>
        <v>9783837666779</v>
      </c>
      <c r="F7664" s="2" t="str">
        <f>"9783839466773"</f>
        <v>9783839466773</v>
      </c>
    </row>
    <row r="7665" spans="1:6" s="3" customFormat="1" ht="29.1" customHeight="1" x14ac:dyDescent="0.25">
      <c r="A7665" s="2" t="s">
        <v>16014</v>
      </c>
      <c r="B7665" s="2" t="s">
        <v>16015</v>
      </c>
      <c r="C7665" s="2" t="s">
        <v>556</v>
      </c>
      <c r="D7665" s="2" t="s">
        <v>1127</v>
      </c>
      <c r="E7665" s="2" t="str">
        <f>"9783837666724"</f>
        <v>9783837666724</v>
      </c>
      <c r="F7665" s="2" t="str">
        <f>"9783839466728"</f>
        <v>9783839466728</v>
      </c>
    </row>
    <row r="7666" spans="1:6" s="3" customFormat="1" ht="29.1" customHeight="1" x14ac:dyDescent="0.25">
      <c r="A7666" s="2" t="s">
        <v>16016</v>
      </c>
      <c r="B7666" s="2" t="s">
        <v>16017</v>
      </c>
      <c r="C7666" s="2" t="s">
        <v>556</v>
      </c>
      <c r="D7666" s="2" t="s">
        <v>1189</v>
      </c>
      <c r="E7666" s="2" t="str">
        <f>"9783837666335"</f>
        <v>9783837666335</v>
      </c>
      <c r="F7666" s="2" t="str">
        <f>"9783839466339"</f>
        <v>9783839466339</v>
      </c>
    </row>
    <row r="7667" spans="1:6" s="3" customFormat="1" ht="29.1" customHeight="1" x14ac:dyDescent="0.25">
      <c r="A7667" s="2" t="s">
        <v>16018</v>
      </c>
      <c r="B7667" s="2" t="s">
        <v>16019</v>
      </c>
      <c r="C7667" s="2" t="s">
        <v>556</v>
      </c>
      <c r="D7667" s="2" t="s">
        <v>6113</v>
      </c>
      <c r="E7667" s="2" t="str">
        <f>"9783837665888"</f>
        <v>9783837665888</v>
      </c>
      <c r="F7667" s="2" t="str">
        <f>"9783839465882"</f>
        <v>9783839465882</v>
      </c>
    </row>
    <row r="7668" spans="1:6" s="3" customFormat="1" ht="29.1" customHeight="1" x14ac:dyDescent="0.25">
      <c r="A7668" s="2" t="s">
        <v>16020</v>
      </c>
      <c r="B7668" s="2" t="s">
        <v>16021</v>
      </c>
      <c r="C7668" s="2" t="s">
        <v>556</v>
      </c>
      <c r="D7668" s="2" t="s">
        <v>259</v>
      </c>
      <c r="E7668" s="2" t="str">
        <f>"9783837665796"</f>
        <v>9783837665796</v>
      </c>
      <c r="F7668" s="2" t="str">
        <f>"9783732865796"</f>
        <v>9783732865796</v>
      </c>
    </row>
    <row r="7669" spans="1:6" s="3" customFormat="1" ht="29.1" customHeight="1" x14ac:dyDescent="0.25">
      <c r="A7669" s="2" t="s">
        <v>16022</v>
      </c>
      <c r="B7669" s="2" t="s">
        <v>16023</v>
      </c>
      <c r="C7669" s="2" t="s">
        <v>556</v>
      </c>
      <c r="D7669" s="2" t="s">
        <v>1127</v>
      </c>
      <c r="E7669" s="2" t="str">
        <f>"9783837665185"</f>
        <v>9783837665185</v>
      </c>
      <c r="F7669" s="2" t="str">
        <f>"9783839465189"</f>
        <v>9783839465189</v>
      </c>
    </row>
    <row r="7670" spans="1:6" s="3" customFormat="1" ht="29.1" customHeight="1" x14ac:dyDescent="0.25">
      <c r="A7670" s="2" t="s">
        <v>16024</v>
      </c>
      <c r="B7670" s="2" t="s">
        <v>16025</v>
      </c>
      <c r="C7670" s="2" t="s">
        <v>556</v>
      </c>
      <c r="D7670" s="2" t="s">
        <v>1183</v>
      </c>
      <c r="E7670" s="2" t="str">
        <f>"9783837664157"</f>
        <v>9783837664157</v>
      </c>
      <c r="F7670" s="2" t="str">
        <f>"9783839464151"</f>
        <v>9783839464151</v>
      </c>
    </row>
    <row r="7671" spans="1:6" s="3" customFormat="1" ht="29.1" customHeight="1" x14ac:dyDescent="0.25">
      <c r="A7671" s="2" t="s">
        <v>16026</v>
      </c>
      <c r="B7671" s="2" t="s">
        <v>16027</v>
      </c>
      <c r="C7671" s="2" t="s">
        <v>556</v>
      </c>
      <c r="D7671" s="2" t="s">
        <v>1557</v>
      </c>
      <c r="E7671" s="2" t="str">
        <f>"9783837661019"</f>
        <v>9783837661019</v>
      </c>
      <c r="F7671" s="2" t="str">
        <f>"9783839461013"</f>
        <v>9783839461013</v>
      </c>
    </row>
    <row r="7672" spans="1:6" s="3" customFormat="1" ht="29.1" customHeight="1" x14ac:dyDescent="0.25">
      <c r="A7672" s="2" t="s">
        <v>16028</v>
      </c>
      <c r="B7672" s="2" t="s">
        <v>16029</v>
      </c>
      <c r="C7672" s="2" t="s">
        <v>556</v>
      </c>
      <c r="D7672" s="2" t="s">
        <v>1944</v>
      </c>
      <c r="E7672" s="2" t="str">
        <f>"9783837657661"</f>
        <v>9783837657661</v>
      </c>
      <c r="F7672" s="2" t="str">
        <f>"9783839457665"</f>
        <v>9783839457665</v>
      </c>
    </row>
    <row r="7673" spans="1:6" s="3" customFormat="1" ht="29.1" customHeight="1" x14ac:dyDescent="0.25">
      <c r="A7673" s="2" t="s">
        <v>16030</v>
      </c>
      <c r="B7673" s="2" t="s">
        <v>16031</v>
      </c>
      <c r="C7673" s="2" t="s">
        <v>29</v>
      </c>
      <c r="D7673" s="2" t="s">
        <v>192</v>
      </c>
      <c r="E7673" s="2" t="str">
        <f>"9789004693715"</f>
        <v>9789004693715</v>
      </c>
      <c r="F7673" s="2" t="str">
        <f>"9789004693722"</f>
        <v>9789004693722</v>
      </c>
    </row>
    <row r="7674" spans="1:6" s="3" customFormat="1" ht="29.1" customHeight="1" x14ac:dyDescent="0.25">
      <c r="A7674" s="2" t="s">
        <v>16032</v>
      </c>
      <c r="B7674" s="2" t="s">
        <v>16033</v>
      </c>
      <c r="C7674" s="2" t="s">
        <v>5</v>
      </c>
      <c r="D7674" s="2" t="s">
        <v>2030</v>
      </c>
      <c r="E7674" s="2" t="str">
        <f>"9789819704866"</f>
        <v>9789819704866</v>
      </c>
      <c r="F7674" s="2" t="str">
        <f>"9789819704873"</f>
        <v>9789819704873</v>
      </c>
    </row>
    <row r="7675" spans="1:6" s="3" customFormat="1" ht="29.1" customHeight="1" x14ac:dyDescent="0.25">
      <c r="A7675" s="2" t="s">
        <v>16034</v>
      </c>
      <c r="B7675" s="2" t="s">
        <v>16035</v>
      </c>
      <c r="C7675" s="2" t="s">
        <v>5</v>
      </c>
      <c r="D7675" s="2" t="s">
        <v>210</v>
      </c>
      <c r="E7675" s="2" t="str">
        <f>"9783031530319"</f>
        <v>9783031530319</v>
      </c>
      <c r="F7675" s="2" t="str">
        <f>"9783031530326"</f>
        <v>9783031530326</v>
      </c>
    </row>
    <row r="7676" spans="1:6" s="3" customFormat="1" ht="29.1" customHeight="1" x14ac:dyDescent="0.25">
      <c r="A7676" s="2" t="s">
        <v>16036</v>
      </c>
      <c r="B7676" s="2" t="s">
        <v>16037</v>
      </c>
      <c r="C7676" s="2" t="s">
        <v>5</v>
      </c>
      <c r="D7676" s="2" t="s">
        <v>69</v>
      </c>
      <c r="E7676" s="2" t="str">
        <f>"9783031513060"</f>
        <v>9783031513060</v>
      </c>
      <c r="F7676" s="2" t="str">
        <f>"9783031513077"</f>
        <v>9783031513077</v>
      </c>
    </row>
    <row r="7677" spans="1:6" s="3" customFormat="1" ht="29.1" customHeight="1" x14ac:dyDescent="0.25">
      <c r="A7677" s="2" t="s">
        <v>16038</v>
      </c>
      <c r="B7677" s="2" t="s">
        <v>16039</v>
      </c>
      <c r="C7677" s="2" t="s">
        <v>2133</v>
      </c>
      <c r="D7677" s="2" t="s">
        <v>3910</v>
      </c>
      <c r="E7677" s="2" t="str">
        <f>"9781760466176"</f>
        <v>9781760466176</v>
      </c>
      <c r="F7677" s="2" t="str">
        <f>"9781760466183"</f>
        <v>9781760466183</v>
      </c>
    </row>
    <row r="7678" spans="1:6" s="3" customFormat="1" ht="29.1" customHeight="1" x14ac:dyDescent="0.25">
      <c r="A7678" s="2" t="s">
        <v>16040</v>
      </c>
      <c r="B7678" s="2" t="s">
        <v>16041</v>
      </c>
      <c r="C7678" s="2" t="s">
        <v>149</v>
      </c>
      <c r="D7678" s="2" t="s">
        <v>3993</v>
      </c>
      <c r="E7678" s="2"/>
      <c r="F7678" s="2" t="str">
        <f>"9781805111436"</f>
        <v>9781805111436</v>
      </c>
    </row>
    <row r="7679" spans="1:6" s="3" customFormat="1" ht="29.1" customHeight="1" x14ac:dyDescent="0.25">
      <c r="A7679" s="2" t="s">
        <v>16042</v>
      </c>
      <c r="B7679" s="2" t="s">
        <v>16043</v>
      </c>
      <c r="C7679" s="2" t="s">
        <v>149</v>
      </c>
      <c r="D7679" s="2" t="s">
        <v>965</v>
      </c>
      <c r="E7679" s="2"/>
      <c r="F7679" s="2" t="str">
        <f>"9781805112082"</f>
        <v>9781805112082</v>
      </c>
    </row>
    <row r="7680" spans="1:6" s="3" customFormat="1" ht="29.1" customHeight="1" x14ac:dyDescent="0.25">
      <c r="A7680" s="2" t="s">
        <v>16044</v>
      </c>
      <c r="B7680" s="2" t="s">
        <v>16045</v>
      </c>
      <c r="C7680" s="2" t="s">
        <v>149</v>
      </c>
      <c r="D7680" s="2" t="s">
        <v>3993</v>
      </c>
      <c r="E7680" s="2"/>
      <c r="F7680" s="2" t="str">
        <f>"9781805112808"</f>
        <v>9781805112808</v>
      </c>
    </row>
    <row r="7681" spans="1:6" s="3" customFormat="1" ht="29.1" customHeight="1" x14ac:dyDescent="0.25">
      <c r="A7681" s="2" t="s">
        <v>16046</v>
      </c>
      <c r="B7681" s="2" t="s">
        <v>16047</v>
      </c>
      <c r="C7681" s="2" t="s">
        <v>4104</v>
      </c>
      <c r="D7681" s="2" t="s">
        <v>218</v>
      </c>
      <c r="E7681" s="2" t="str">
        <f>"9781802075885"</f>
        <v>9781802075885</v>
      </c>
      <c r="F7681" s="2" t="str">
        <f>"9781802073782"</f>
        <v>9781802073782</v>
      </c>
    </row>
    <row r="7682" spans="1:6" s="3" customFormat="1" ht="29.1" customHeight="1" x14ac:dyDescent="0.25">
      <c r="A7682" s="2" t="s">
        <v>16048</v>
      </c>
      <c r="B7682" s="2" t="s">
        <v>16049</v>
      </c>
      <c r="C7682" s="2" t="s">
        <v>29</v>
      </c>
      <c r="D7682" s="2" t="s">
        <v>11048</v>
      </c>
      <c r="E7682" s="2" t="str">
        <f>"9789004683303"</f>
        <v>9789004683303</v>
      </c>
      <c r="F7682" s="2" t="str">
        <f>"9789004683310"</f>
        <v>9789004683310</v>
      </c>
    </row>
    <row r="7683" spans="1:6" s="3" customFormat="1" ht="29.1" customHeight="1" x14ac:dyDescent="0.25">
      <c r="A7683" s="2" t="s">
        <v>16050</v>
      </c>
      <c r="B7683" s="2" t="s">
        <v>16051</v>
      </c>
      <c r="C7683" s="2" t="s">
        <v>124</v>
      </c>
      <c r="D7683" s="2" t="s">
        <v>689</v>
      </c>
      <c r="E7683" s="2" t="str">
        <f>"9781032636573"</f>
        <v>9781032636573</v>
      </c>
      <c r="F7683" s="2" t="str">
        <f>"9781003464266"</f>
        <v>9781003464266</v>
      </c>
    </row>
    <row r="7684" spans="1:6" s="3" customFormat="1" ht="29.1" customHeight="1" x14ac:dyDescent="0.25">
      <c r="A7684" s="2" t="s">
        <v>16052</v>
      </c>
      <c r="B7684" s="2" t="s">
        <v>16053</v>
      </c>
      <c r="C7684" s="2" t="s">
        <v>2188</v>
      </c>
      <c r="D7684" s="2" t="s">
        <v>9</v>
      </c>
      <c r="E7684" s="2" t="str">
        <f>"9788323242611"</f>
        <v>9788323242611</v>
      </c>
      <c r="F7684" s="2" t="str">
        <f>"9788323242628"</f>
        <v>9788323242628</v>
      </c>
    </row>
    <row r="7685" spans="1:6" s="3" customFormat="1" ht="29.1" customHeight="1" x14ac:dyDescent="0.25">
      <c r="A7685" s="2" t="s">
        <v>16054</v>
      </c>
      <c r="B7685" s="2" t="s">
        <v>16055</v>
      </c>
      <c r="C7685" s="2" t="s">
        <v>746</v>
      </c>
      <c r="D7685" s="2" t="s">
        <v>606</v>
      </c>
      <c r="E7685" s="2" t="str">
        <f>"9781803276694"</f>
        <v>9781803276694</v>
      </c>
      <c r="F7685" s="2" t="str">
        <f>"9781803276700"</f>
        <v>9781803276700</v>
      </c>
    </row>
    <row r="7686" spans="1:6" s="3" customFormat="1" ht="29.1" customHeight="1" x14ac:dyDescent="0.25">
      <c r="A7686" s="2" t="s">
        <v>16056</v>
      </c>
      <c r="B7686" s="2" t="s">
        <v>16058</v>
      </c>
      <c r="C7686" s="2" t="s">
        <v>239</v>
      </c>
      <c r="D7686" s="2" t="s">
        <v>16057</v>
      </c>
      <c r="E7686" s="2" t="str">
        <f>"9780520393806"</f>
        <v>9780520393806</v>
      </c>
      <c r="F7686" s="2" t="str">
        <f>"9780520393813"</f>
        <v>9780520393813</v>
      </c>
    </row>
    <row r="7687" spans="1:6" s="3" customFormat="1" ht="29.1" customHeight="1" x14ac:dyDescent="0.25">
      <c r="A7687" s="2" t="s">
        <v>16059</v>
      </c>
      <c r="B7687" s="2"/>
      <c r="C7687" s="2" t="s">
        <v>59</v>
      </c>
      <c r="D7687" s="2" t="s">
        <v>3567</v>
      </c>
      <c r="E7687" s="2" t="str">
        <f>"9782759237968"</f>
        <v>9782759237968</v>
      </c>
      <c r="F7687" s="2" t="str">
        <f>"9782759237975"</f>
        <v>9782759237975</v>
      </c>
    </row>
    <row r="7688" spans="1:6" s="3" customFormat="1" ht="29.1" customHeight="1" x14ac:dyDescent="0.25">
      <c r="A7688" s="2" t="s">
        <v>16060</v>
      </c>
      <c r="B7688" s="2" t="s">
        <v>16061</v>
      </c>
      <c r="C7688" s="2" t="s">
        <v>595</v>
      </c>
      <c r="D7688" s="2" t="s">
        <v>66</v>
      </c>
      <c r="E7688" s="2" t="str">
        <f>"9781433197413"</f>
        <v>9781433197413</v>
      </c>
      <c r="F7688" s="2" t="str">
        <f>"9781433197420"</f>
        <v>9781433197420</v>
      </c>
    </row>
    <row r="7689" spans="1:6" s="3" customFormat="1" ht="29.1" customHeight="1" x14ac:dyDescent="0.25">
      <c r="A7689" s="2" t="s">
        <v>16062</v>
      </c>
      <c r="B7689" s="2" t="s">
        <v>16063</v>
      </c>
      <c r="C7689" s="2" t="s">
        <v>595</v>
      </c>
      <c r="D7689" s="2" t="s">
        <v>446</v>
      </c>
      <c r="E7689" s="2" t="str">
        <f>"9783631841518"</f>
        <v>9783631841518</v>
      </c>
      <c r="F7689" s="2" t="str">
        <f>"9783631913581"</f>
        <v>9783631913581</v>
      </c>
    </row>
    <row r="7690" spans="1:6" s="3" customFormat="1" ht="29.1" customHeight="1" x14ac:dyDescent="0.25">
      <c r="A7690" s="2" t="s">
        <v>16064</v>
      </c>
      <c r="B7690" s="2" t="s">
        <v>16065</v>
      </c>
      <c r="C7690" s="2" t="s">
        <v>5</v>
      </c>
      <c r="D7690" s="2" t="s">
        <v>9</v>
      </c>
      <c r="E7690" s="2" t="str">
        <f>"9783031462962"</f>
        <v>9783031462962</v>
      </c>
      <c r="F7690" s="2" t="str">
        <f>"9783031462979"</f>
        <v>9783031462979</v>
      </c>
    </row>
    <row r="7691" spans="1:6" s="3" customFormat="1" ht="29.1" customHeight="1" x14ac:dyDescent="0.25">
      <c r="A7691" s="2" t="s">
        <v>16066</v>
      </c>
      <c r="B7691" s="2" t="s">
        <v>16067</v>
      </c>
      <c r="C7691" s="2" t="s">
        <v>5</v>
      </c>
      <c r="D7691" s="2" t="s">
        <v>294</v>
      </c>
      <c r="E7691" s="2" t="str">
        <f>"9783658427191"</f>
        <v>9783658427191</v>
      </c>
      <c r="F7691" s="2" t="str">
        <f>"9783658427207"</f>
        <v>9783658427207</v>
      </c>
    </row>
    <row r="7692" spans="1:6" s="3" customFormat="1" ht="29.1" customHeight="1" x14ac:dyDescent="0.25">
      <c r="A7692" s="2" t="s">
        <v>16068</v>
      </c>
      <c r="B7692" s="2" t="s">
        <v>16069</v>
      </c>
      <c r="C7692" s="2" t="s">
        <v>5</v>
      </c>
      <c r="D7692" s="2" t="s">
        <v>501</v>
      </c>
      <c r="E7692" s="2" t="str">
        <f>"9783031493287"</f>
        <v>9783031493287</v>
      </c>
      <c r="F7692" s="2" t="str">
        <f>"9783031493294"</f>
        <v>9783031493294</v>
      </c>
    </row>
    <row r="7693" spans="1:6" s="3" customFormat="1" ht="29.1" customHeight="1" x14ac:dyDescent="0.25">
      <c r="A7693" s="2" t="s">
        <v>16070</v>
      </c>
      <c r="B7693" s="2" t="s">
        <v>16072</v>
      </c>
      <c r="C7693" s="2" t="s">
        <v>55</v>
      </c>
      <c r="D7693" s="2" t="s">
        <v>16071</v>
      </c>
      <c r="E7693" s="2" t="str">
        <f>"9781526172334"</f>
        <v>9781526172334</v>
      </c>
      <c r="F7693" s="2" t="str">
        <f>"9781526172341"</f>
        <v>9781526172341</v>
      </c>
    </row>
    <row r="7694" spans="1:6" s="3" customFormat="1" ht="29.1" customHeight="1" x14ac:dyDescent="0.25">
      <c r="A7694" s="2" t="s">
        <v>16073</v>
      </c>
      <c r="B7694" s="2" t="s">
        <v>16074</v>
      </c>
      <c r="C7694" s="2" t="s">
        <v>5</v>
      </c>
      <c r="D7694" s="2" t="s">
        <v>9</v>
      </c>
      <c r="E7694" s="2" t="str">
        <f>"9782494069244"</f>
        <v>9782494069244</v>
      </c>
      <c r="F7694" s="2" t="str">
        <f>"9782494069251"</f>
        <v>9782494069251</v>
      </c>
    </row>
    <row r="7695" spans="1:6" s="3" customFormat="1" ht="29.1" customHeight="1" x14ac:dyDescent="0.25">
      <c r="A7695" s="2" t="s">
        <v>16075</v>
      </c>
      <c r="B7695" s="2" t="s">
        <v>16076</v>
      </c>
      <c r="C7695" s="2" t="s">
        <v>5</v>
      </c>
      <c r="D7695" s="2" t="s">
        <v>381</v>
      </c>
      <c r="E7695" s="2" t="str">
        <f>"9789464631951"</f>
        <v>9789464631951</v>
      </c>
      <c r="F7695" s="2" t="str">
        <f>"9789464631968"</f>
        <v>9789464631968</v>
      </c>
    </row>
    <row r="7696" spans="1:6" s="3" customFormat="1" ht="29.1" customHeight="1" x14ac:dyDescent="0.25">
      <c r="A7696" s="2" t="s">
        <v>16077</v>
      </c>
      <c r="B7696" s="2" t="s">
        <v>16078</v>
      </c>
      <c r="C7696" s="2" t="s">
        <v>5</v>
      </c>
      <c r="D7696" s="2" t="s">
        <v>5228</v>
      </c>
      <c r="E7696" s="2" t="str">
        <f>"9789464630633"</f>
        <v>9789464630633</v>
      </c>
      <c r="F7696" s="2" t="str">
        <f>"9789464630640"</f>
        <v>9789464630640</v>
      </c>
    </row>
    <row r="7697" spans="1:6" s="3" customFormat="1" ht="29.1" customHeight="1" x14ac:dyDescent="0.25">
      <c r="A7697" s="2" t="s">
        <v>16079</v>
      </c>
      <c r="B7697" s="2" t="s">
        <v>16080</v>
      </c>
      <c r="C7697" s="2" t="s">
        <v>5</v>
      </c>
      <c r="D7697" s="2" t="s">
        <v>9545</v>
      </c>
      <c r="E7697" s="2" t="str">
        <f>"9789464630558"</f>
        <v>9789464630558</v>
      </c>
      <c r="F7697" s="2" t="str">
        <f>"9789464630565"</f>
        <v>9789464630565</v>
      </c>
    </row>
    <row r="7698" spans="1:6" s="3" customFormat="1" ht="29.1" customHeight="1" x14ac:dyDescent="0.25">
      <c r="A7698" s="2" t="s">
        <v>16081</v>
      </c>
      <c r="B7698" s="2" t="s">
        <v>16082</v>
      </c>
      <c r="C7698" s="2" t="s">
        <v>5</v>
      </c>
      <c r="D7698" s="2" t="s">
        <v>52</v>
      </c>
      <c r="E7698" s="2" t="str">
        <f>"9789464630398"</f>
        <v>9789464630398</v>
      </c>
      <c r="F7698" s="2" t="str">
        <f>"9789464630404"</f>
        <v>9789464630404</v>
      </c>
    </row>
    <row r="7699" spans="1:6" s="3" customFormat="1" ht="29.1" customHeight="1" x14ac:dyDescent="0.25">
      <c r="A7699" s="2" t="s">
        <v>16083</v>
      </c>
      <c r="B7699" s="2" t="s">
        <v>16085</v>
      </c>
      <c r="C7699" s="2" t="s">
        <v>5</v>
      </c>
      <c r="D7699" s="2" t="s">
        <v>16084</v>
      </c>
      <c r="E7699" s="2" t="str">
        <f>"9789464630152"</f>
        <v>9789464630152</v>
      </c>
      <c r="F7699" s="2" t="str">
        <f>"9789464630169"</f>
        <v>9789464630169</v>
      </c>
    </row>
    <row r="7700" spans="1:6" s="3" customFormat="1" ht="29.1" customHeight="1" x14ac:dyDescent="0.25">
      <c r="A7700" s="2" t="s">
        <v>16086</v>
      </c>
      <c r="B7700" s="2" t="s">
        <v>16087</v>
      </c>
      <c r="C7700" s="2" t="s">
        <v>5</v>
      </c>
      <c r="D7700" s="2" t="s">
        <v>342</v>
      </c>
      <c r="E7700" s="2" t="str">
        <f>"9789464630459"</f>
        <v>9789464630459</v>
      </c>
      <c r="F7700" s="2" t="str">
        <f>"9789464630466"</f>
        <v>9789464630466</v>
      </c>
    </row>
    <row r="7701" spans="1:6" s="3" customFormat="1" ht="29.1" customHeight="1" x14ac:dyDescent="0.25">
      <c r="A7701" s="2" t="s">
        <v>16088</v>
      </c>
      <c r="B7701" s="2" t="s">
        <v>16089</v>
      </c>
      <c r="C7701" s="2" t="s">
        <v>5</v>
      </c>
      <c r="D7701" s="2" t="s">
        <v>52</v>
      </c>
      <c r="E7701" s="2" t="str">
        <f>"9789464630732"</f>
        <v>9789464630732</v>
      </c>
      <c r="F7701" s="2" t="str">
        <f>"9789464630749"</f>
        <v>9789464630749</v>
      </c>
    </row>
    <row r="7702" spans="1:6" s="3" customFormat="1" ht="29.1" customHeight="1" x14ac:dyDescent="0.25">
      <c r="A7702" s="2" t="s">
        <v>16090</v>
      </c>
      <c r="B7702" s="2" t="s">
        <v>16091</v>
      </c>
      <c r="C7702" s="2" t="s">
        <v>5</v>
      </c>
      <c r="D7702" s="2" t="s">
        <v>10444</v>
      </c>
      <c r="E7702" s="2" t="str">
        <f>"9789464631418"</f>
        <v>9789464631418</v>
      </c>
      <c r="F7702" s="2" t="str">
        <f>"9789464631425"</f>
        <v>9789464631425</v>
      </c>
    </row>
    <row r="7703" spans="1:6" s="3" customFormat="1" ht="29.1" customHeight="1" x14ac:dyDescent="0.25">
      <c r="A7703" s="2" t="s">
        <v>16092</v>
      </c>
      <c r="B7703" s="2" t="s">
        <v>16093</v>
      </c>
      <c r="C7703" s="2" t="s">
        <v>5</v>
      </c>
      <c r="D7703" s="2" t="s">
        <v>9317</v>
      </c>
      <c r="E7703" s="2" t="str">
        <f>"9782494069985"</f>
        <v>9782494069985</v>
      </c>
      <c r="F7703" s="2" t="str">
        <f>"9782494069992"</f>
        <v>9782494069992</v>
      </c>
    </row>
    <row r="7704" spans="1:6" s="3" customFormat="1" ht="29.1" customHeight="1" x14ac:dyDescent="0.25">
      <c r="A7704" s="2" t="s">
        <v>16094</v>
      </c>
      <c r="B7704" s="2" t="s">
        <v>16095</v>
      </c>
      <c r="C7704" s="2" t="s">
        <v>5</v>
      </c>
      <c r="D7704" s="2" t="s">
        <v>479</v>
      </c>
      <c r="E7704" s="2" t="str">
        <f>"9789464630855"</f>
        <v>9789464630855</v>
      </c>
      <c r="F7704" s="2" t="str">
        <f>"9789464630862"</f>
        <v>9789464630862</v>
      </c>
    </row>
    <row r="7705" spans="1:6" s="3" customFormat="1" ht="29.1" customHeight="1" x14ac:dyDescent="0.25">
      <c r="A7705" s="2" t="s">
        <v>16096</v>
      </c>
      <c r="B7705" s="2" t="s">
        <v>6867</v>
      </c>
      <c r="C7705" s="2" t="s">
        <v>5</v>
      </c>
      <c r="D7705" s="2" t="s">
        <v>342</v>
      </c>
      <c r="E7705" s="2" t="str">
        <f>"9789464633870"</f>
        <v>9789464633870</v>
      </c>
      <c r="F7705" s="2" t="str">
        <f>"9789464633887"</f>
        <v>9789464633887</v>
      </c>
    </row>
    <row r="7706" spans="1:6" s="3" customFormat="1" ht="29.1" customHeight="1" x14ac:dyDescent="0.25">
      <c r="A7706" s="2" t="s">
        <v>16097</v>
      </c>
      <c r="B7706" s="2" t="s">
        <v>16098</v>
      </c>
      <c r="C7706" s="2" t="s">
        <v>5</v>
      </c>
      <c r="D7706" s="2" t="s">
        <v>9</v>
      </c>
      <c r="E7706" s="2" t="str">
        <f>"9789464633795"</f>
        <v>9789464633795</v>
      </c>
      <c r="F7706" s="2" t="str">
        <f>"9789464633801"</f>
        <v>9789464633801</v>
      </c>
    </row>
    <row r="7707" spans="1:6" s="3" customFormat="1" ht="29.1" customHeight="1" x14ac:dyDescent="0.25">
      <c r="A7707" s="2" t="s">
        <v>16099</v>
      </c>
      <c r="B7707" s="2" t="s">
        <v>16100</v>
      </c>
      <c r="C7707" s="2" t="s">
        <v>5</v>
      </c>
      <c r="D7707" s="2" t="s">
        <v>15</v>
      </c>
      <c r="E7707" s="2" t="str">
        <f>"9783031487460"</f>
        <v>9783031487460</v>
      </c>
      <c r="F7707" s="2" t="str">
        <f>"9783031487477"</f>
        <v>9783031487477</v>
      </c>
    </row>
    <row r="7708" spans="1:6" s="3" customFormat="1" ht="29.1" customHeight="1" x14ac:dyDescent="0.25">
      <c r="A7708" s="2" t="s">
        <v>16101</v>
      </c>
      <c r="B7708" s="2" t="s">
        <v>16103</v>
      </c>
      <c r="C7708" s="2" t="s">
        <v>5</v>
      </c>
      <c r="D7708" s="2" t="s">
        <v>16102</v>
      </c>
      <c r="E7708" s="2" t="str">
        <f>"9783031479373"</f>
        <v>9783031479373</v>
      </c>
      <c r="F7708" s="2" t="str">
        <f>"9783031479380"</f>
        <v>9783031479380</v>
      </c>
    </row>
    <row r="7709" spans="1:6" s="3" customFormat="1" ht="29.1" customHeight="1" x14ac:dyDescent="0.25">
      <c r="A7709" s="2" t="s">
        <v>16104</v>
      </c>
      <c r="B7709" s="2" t="s">
        <v>16105</v>
      </c>
      <c r="C7709" s="2" t="s">
        <v>29</v>
      </c>
      <c r="D7709" s="2" t="s">
        <v>150</v>
      </c>
      <c r="E7709" s="2" t="str">
        <f>"9789004542921"</f>
        <v>9789004542921</v>
      </c>
      <c r="F7709" s="2" t="str">
        <f>"9789004692206"</f>
        <v>9789004692206</v>
      </c>
    </row>
    <row r="7710" spans="1:6" s="3" customFormat="1" ht="29.1" customHeight="1" x14ac:dyDescent="0.25">
      <c r="A7710" s="2" t="s">
        <v>16106</v>
      </c>
      <c r="B7710" s="2" t="s">
        <v>16107</v>
      </c>
      <c r="C7710" s="2" t="s">
        <v>29</v>
      </c>
      <c r="D7710" s="2" t="s">
        <v>192</v>
      </c>
      <c r="E7710" s="2" t="str">
        <f>"9789004691681"</f>
        <v>9789004691681</v>
      </c>
      <c r="F7710" s="2" t="str">
        <f>"9789004691698"</f>
        <v>9789004691698</v>
      </c>
    </row>
    <row r="7711" spans="1:6" s="3" customFormat="1" ht="29.1" customHeight="1" x14ac:dyDescent="0.25">
      <c r="A7711" s="2" t="s">
        <v>16108</v>
      </c>
      <c r="B7711" s="2" t="s">
        <v>16109</v>
      </c>
      <c r="C7711" s="2" t="s">
        <v>316</v>
      </c>
      <c r="D7711" s="2" t="s">
        <v>2237</v>
      </c>
      <c r="E7711" s="2" t="str">
        <f>"9783036405537"</f>
        <v>9783036405537</v>
      </c>
      <c r="F7711" s="2" t="str">
        <f>"9783036415536"</f>
        <v>9783036415536</v>
      </c>
    </row>
    <row r="7712" spans="1:6" s="3" customFormat="1" ht="29.1" customHeight="1" x14ac:dyDescent="0.25">
      <c r="A7712" s="2" t="s">
        <v>16110</v>
      </c>
      <c r="B7712" s="2" t="s">
        <v>16111</v>
      </c>
      <c r="C7712" s="2" t="s">
        <v>316</v>
      </c>
      <c r="D7712" s="2" t="s">
        <v>650</v>
      </c>
      <c r="E7712" s="2" t="str">
        <f>"9783036405551"</f>
        <v>9783036405551</v>
      </c>
      <c r="F7712" s="2" t="str">
        <f>"9783036415550"</f>
        <v>9783036415550</v>
      </c>
    </row>
    <row r="7713" spans="1:6" s="3" customFormat="1" ht="29.1" customHeight="1" x14ac:dyDescent="0.25">
      <c r="A7713" s="2" t="s">
        <v>16112</v>
      </c>
      <c r="B7713" s="2" t="s">
        <v>16114</v>
      </c>
      <c r="C7713" s="2" t="s">
        <v>2242</v>
      </c>
      <c r="D7713" s="2" t="s">
        <v>16113</v>
      </c>
      <c r="E7713" s="2"/>
      <c r="F7713" s="2" t="str">
        <f>"9788024463445"</f>
        <v>9788024463445</v>
      </c>
    </row>
    <row r="7714" spans="1:6" s="3" customFormat="1" ht="29.1" customHeight="1" x14ac:dyDescent="0.25">
      <c r="A7714" s="2" t="s">
        <v>16115</v>
      </c>
      <c r="B7714" s="2" t="s">
        <v>16116</v>
      </c>
      <c r="C7714" s="2" t="s">
        <v>8040</v>
      </c>
      <c r="D7714" s="2" t="s">
        <v>968</v>
      </c>
      <c r="E7714" s="2" t="str">
        <f>"9781788921046"</f>
        <v>9781788921046</v>
      </c>
      <c r="F7714" s="2" t="str">
        <f>"9781788921077"</f>
        <v>9781788921077</v>
      </c>
    </row>
    <row r="7715" spans="1:6" s="3" customFormat="1" ht="29.1" customHeight="1" x14ac:dyDescent="0.25">
      <c r="A7715" s="2" t="s">
        <v>16117</v>
      </c>
      <c r="B7715" s="2" t="s">
        <v>16118</v>
      </c>
      <c r="C7715" s="2" t="s">
        <v>2129</v>
      </c>
      <c r="D7715" s="2" t="s">
        <v>712</v>
      </c>
      <c r="E7715" s="2" t="str">
        <f>"9781438499239"</f>
        <v>9781438499239</v>
      </c>
      <c r="F7715" s="2" t="str">
        <f>"9781438499253"</f>
        <v>9781438499253</v>
      </c>
    </row>
    <row r="7716" spans="1:6" s="3" customFormat="1" ht="29.1" customHeight="1" x14ac:dyDescent="0.25">
      <c r="A7716" s="2" t="s">
        <v>16119</v>
      </c>
      <c r="B7716" s="2" t="s">
        <v>16120</v>
      </c>
      <c r="C7716" s="2" t="s">
        <v>248</v>
      </c>
      <c r="D7716" s="2" t="s">
        <v>490</v>
      </c>
      <c r="E7716" s="2" t="str">
        <f>"9783847430339"</f>
        <v>9783847430339</v>
      </c>
      <c r="F7716" s="2" t="str">
        <f>"9783847419686"</f>
        <v>9783847419686</v>
      </c>
    </row>
    <row r="7717" spans="1:6" s="3" customFormat="1" ht="29.1" customHeight="1" x14ac:dyDescent="0.25">
      <c r="A7717" s="2" t="s">
        <v>16121</v>
      </c>
      <c r="B7717" s="2" t="s">
        <v>16122</v>
      </c>
      <c r="C7717" s="2" t="s">
        <v>124</v>
      </c>
      <c r="D7717" s="2" t="s">
        <v>6678</v>
      </c>
      <c r="E7717" s="2" t="str">
        <f>"9780367626709"</f>
        <v>9780367626709</v>
      </c>
      <c r="F7717" s="2" t="str">
        <f>"9781003110194"</f>
        <v>9781003110194</v>
      </c>
    </row>
    <row r="7718" spans="1:6" s="3" customFormat="1" ht="29.1" customHeight="1" x14ac:dyDescent="0.25">
      <c r="A7718" s="2" t="s">
        <v>16123</v>
      </c>
      <c r="B7718" s="2" t="s">
        <v>16124</v>
      </c>
      <c r="C7718" s="2" t="s">
        <v>29</v>
      </c>
      <c r="D7718" s="2" t="s">
        <v>1975</v>
      </c>
      <c r="E7718" s="2" t="str">
        <f>"9789004696754"</f>
        <v>9789004696754</v>
      </c>
      <c r="F7718" s="2" t="str">
        <f>"9789004696761"</f>
        <v>9789004696761</v>
      </c>
    </row>
    <row r="7719" spans="1:6" s="3" customFormat="1" ht="29.1" customHeight="1" x14ac:dyDescent="0.25">
      <c r="A7719" s="2" t="s">
        <v>16125</v>
      </c>
      <c r="B7719" s="2" t="s">
        <v>16126</v>
      </c>
      <c r="C7719" s="2" t="s">
        <v>5</v>
      </c>
      <c r="D7719" s="2" t="s">
        <v>2880</v>
      </c>
      <c r="E7719" s="2" t="str">
        <f>"9783031510410"</f>
        <v>9783031510410</v>
      </c>
      <c r="F7719" s="2" t="str">
        <f>"9783031510427"</f>
        <v>9783031510427</v>
      </c>
    </row>
    <row r="7720" spans="1:6" s="3" customFormat="1" ht="29.1" customHeight="1" x14ac:dyDescent="0.25">
      <c r="A7720" s="2" t="s">
        <v>16127</v>
      </c>
      <c r="B7720" s="2"/>
      <c r="C7720" s="2" t="s">
        <v>59</v>
      </c>
      <c r="D7720" s="2" t="s">
        <v>12</v>
      </c>
      <c r="E7720" s="2"/>
      <c r="F7720" s="2" t="str">
        <f>"9782759236855"</f>
        <v>9782759236855</v>
      </c>
    </row>
    <row r="7721" spans="1:6" s="3" customFormat="1" ht="29.1" customHeight="1" x14ac:dyDescent="0.25">
      <c r="A7721" s="2" t="s">
        <v>16128</v>
      </c>
      <c r="B7721" s="2" t="s">
        <v>16129</v>
      </c>
      <c r="C7721" s="2" t="s">
        <v>3513</v>
      </c>
      <c r="D7721" s="2" t="s">
        <v>9550</v>
      </c>
      <c r="E7721" s="2" t="str">
        <f>"9788382112085"</f>
        <v>9788382112085</v>
      </c>
      <c r="F7721" s="2" t="str">
        <f>"9788382112092"</f>
        <v>9788382112092</v>
      </c>
    </row>
    <row r="7722" spans="1:6" s="3" customFormat="1" ht="29.1" customHeight="1" x14ac:dyDescent="0.25">
      <c r="A7722" s="2" t="s">
        <v>16130</v>
      </c>
      <c r="B7722" s="2" t="s">
        <v>16131</v>
      </c>
      <c r="C7722" s="2" t="s">
        <v>59</v>
      </c>
      <c r="D7722" s="2" t="s">
        <v>9843</v>
      </c>
      <c r="E7722" s="2"/>
      <c r="F7722" s="2" t="str">
        <f>"9782759238835"</f>
        <v>9782759238835</v>
      </c>
    </row>
    <row r="7723" spans="1:6" s="3" customFormat="1" ht="29.1" customHeight="1" x14ac:dyDescent="0.25">
      <c r="A7723" s="2" t="s">
        <v>16132</v>
      </c>
      <c r="B7723" s="2" t="s">
        <v>16133</v>
      </c>
      <c r="C7723" s="2" t="s">
        <v>29</v>
      </c>
      <c r="D7723" s="2" t="s">
        <v>509</v>
      </c>
      <c r="E7723" s="2" t="str">
        <f>"9789004264014"</f>
        <v>9789004264014</v>
      </c>
      <c r="F7723" s="2" t="str">
        <f>"9789067183031"</f>
        <v>9789067183031</v>
      </c>
    </row>
    <row r="7724" spans="1:6" s="3" customFormat="1" ht="29.1" customHeight="1" x14ac:dyDescent="0.25">
      <c r="A7724" s="2" t="s">
        <v>16134</v>
      </c>
      <c r="B7724" s="2" t="s">
        <v>16135</v>
      </c>
      <c r="C7724" s="2" t="s">
        <v>2183</v>
      </c>
      <c r="D7724" s="2" t="s">
        <v>4899</v>
      </c>
      <c r="E7724" s="2" t="str">
        <f>"9781802700978"</f>
        <v>9781802700978</v>
      </c>
      <c r="F7724" s="2" t="str">
        <f>"9781802701876"</f>
        <v>9781802701876</v>
      </c>
    </row>
    <row r="7725" spans="1:6" s="3" customFormat="1" ht="29.1" customHeight="1" x14ac:dyDescent="0.25">
      <c r="A7725" s="2" t="s">
        <v>16136</v>
      </c>
      <c r="B7725" s="2" t="s">
        <v>16137</v>
      </c>
      <c r="C7725" s="2" t="s">
        <v>2183</v>
      </c>
      <c r="D7725" s="2" t="s">
        <v>5032</v>
      </c>
      <c r="E7725" s="2" t="str">
        <f>"9781802700022"</f>
        <v>9781802700022</v>
      </c>
      <c r="F7725" s="2" t="str">
        <f>"9781802701654"</f>
        <v>9781802701654</v>
      </c>
    </row>
    <row r="7726" spans="1:6" s="3" customFormat="1" ht="29.1" customHeight="1" x14ac:dyDescent="0.25">
      <c r="A7726" s="2" t="s">
        <v>16138</v>
      </c>
      <c r="B7726" s="2" t="s">
        <v>16139</v>
      </c>
      <c r="C7726" s="2" t="s">
        <v>2183</v>
      </c>
      <c r="D7726" s="2" t="s">
        <v>1121</v>
      </c>
      <c r="E7726" s="2" t="str">
        <f>"9781641893718"</f>
        <v>9781641893718</v>
      </c>
      <c r="F7726" s="2" t="str">
        <f>"9781802701470"</f>
        <v>9781802701470</v>
      </c>
    </row>
    <row r="7727" spans="1:6" s="3" customFormat="1" ht="29.1" customHeight="1" x14ac:dyDescent="0.25">
      <c r="A7727" s="2" t="s">
        <v>16140</v>
      </c>
      <c r="B7727" s="2" t="s">
        <v>16141</v>
      </c>
      <c r="C7727" s="2" t="s">
        <v>36</v>
      </c>
      <c r="D7727" s="2" t="s">
        <v>2142</v>
      </c>
      <c r="E7727" s="2" t="str">
        <f>"9781447372783"</f>
        <v>9781447372783</v>
      </c>
      <c r="F7727" s="2" t="str">
        <f>"9781447372813"</f>
        <v>9781447372813</v>
      </c>
    </row>
    <row r="7728" spans="1:6" s="3" customFormat="1" ht="29.1" customHeight="1" x14ac:dyDescent="0.25">
      <c r="A7728" s="2" t="s">
        <v>16142</v>
      </c>
      <c r="B7728" s="2" t="s">
        <v>16143</v>
      </c>
      <c r="C7728" s="2" t="s">
        <v>36</v>
      </c>
      <c r="D7728" s="2" t="s">
        <v>15</v>
      </c>
      <c r="E7728" s="2" t="str">
        <f>"9781447370918"</f>
        <v>9781447370918</v>
      </c>
      <c r="F7728" s="2" t="str">
        <f>"9781447370949"</f>
        <v>9781447370949</v>
      </c>
    </row>
    <row r="7729" spans="1:6" s="3" customFormat="1" ht="29.1" customHeight="1" x14ac:dyDescent="0.25">
      <c r="A7729" s="2" t="s">
        <v>16144</v>
      </c>
      <c r="B7729" s="2" t="s">
        <v>16145</v>
      </c>
      <c r="C7729" s="2" t="s">
        <v>36</v>
      </c>
      <c r="D7729" s="2" t="s">
        <v>6559</v>
      </c>
      <c r="E7729" s="2" t="str">
        <f>"9781529238334"</f>
        <v>9781529238334</v>
      </c>
      <c r="F7729" s="2" t="str">
        <f>"9781529238365"</f>
        <v>9781529238365</v>
      </c>
    </row>
    <row r="7730" spans="1:6" s="3" customFormat="1" ht="29.1" customHeight="1" x14ac:dyDescent="0.25">
      <c r="A7730" s="2" t="s">
        <v>16146</v>
      </c>
      <c r="B7730" s="2" t="s">
        <v>16147</v>
      </c>
      <c r="C7730" s="2" t="s">
        <v>29</v>
      </c>
      <c r="D7730" s="2" t="s">
        <v>192</v>
      </c>
      <c r="E7730" s="2" t="str">
        <f>"9789004688193"</f>
        <v>9789004688193</v>
      </c>
      <c r="F7730" s="2" t="str">
        <f>"9789004688209"</f>
        <v>9789004688209</v>
      </c>
    </row>
    <row r="7731" spans="1:6" s="3" customFormat="1" ht="29.1" customHeight="1" x14ac:dyDescent="0.25">
      <c r="A7731" s="2" t="s">
        <v>16148</v>
      </c>
      <c r="B7731" s="2" t="s">
        <v>16149</v>
      </c>
      <c r="C7731" s="2" t="s">
        <v>124</v>
      </c>
      <c r="D7731" s="2" t="s">
        <v>699</v>
      </c>
      <c r="E7731" s="2" t="str">
        <f>"9781032060613"</f>
        <v>9781032060613</v>
      </c>
      <c r="F7731" s="2" t="str">
        <f>"9781003202158"</f>
        <v>9781003202158</v>
      </c>
    </row>
    <row r="7732" spans="1:6" s="3" customFormat="1" ht="29.1" customHeight="1" x14ac:dyDescent="0.25">
      <c r="A7732" s="2" t="s">
        <v>16150</v>
      </c>
      <c r="B7732" s="2" t="s">
        <v>16151</v>
      </c>
      <c r="C7732" s="2" t="s">
        <v>149</v>
      </c>
      <c r="D7732" s="2" t="s">
        <v>6067</v>
      </c>
      <c r="E7732" s="2"/>
      <c r="F7732" s="2" t="str">
        <f>"9781805112358"</f>
        <v>9781805112358</v>
      </c>
    </row>
    <row r="7733" spans="1:6" s="3" customFormat="1" ht="29.1" customHeight="1" x14ac:dyDescent="0.25">
      <c r="A7733" s="2" t="s">
        <v>16152</v>
      </c>
      <c r="B7733" s="2" t="s">
        <v>16153</v>
      </c>
      <c r="C7733" s="2" t="s">
        <v>62</v>
      </c>
      <c r="D7733" s="2" t="s">
        <v>6542</v>
      </c>
      <c r="E7733" s="2" t="str">
        <f>"9783428190157"</f>
        <v>9783428190157</v>
      </c>
      <c r="F7733" s="2" t="str">
        <f>"9783428590155"</f>
        <v>9783428590155</v>
      </c>
    </row>
    <row r="7734" spans="1:6" s="3" customFormat="1" ht="29.1" customHeight="1" x14ac:dyDescent="0.25">
      <c r="A7734" s="2" t="s">
        <v>16154</v>
      </c>
      <c r="B7734" s="2" t="s">
        <v>16155</v>
      </c>
      <c r="C7734" s="2" t="s">
        <v>29</v>
      </c>
      <c r="D7734" s="2" t="s">
        <v>324</v>
      </c>
      <c r="E7734" s="2" t="str">
        <f>"9783506794512"</f>
        <v>9783506794512</v>
      </c>
      <c r="F7734" s="2" t="str">
        <f>"9783657794515"</f>
        <v>9783657794515</v>
      </c>
    </row>
    <row r="7735" spans="1:6" s="3" customFormat="1" ht="29.1" customHeight="1" x14ac:dyDescent="0.25">
      <c r="A7735" s="2" t="s">
        <v>16156</v>
      </c>
      <c r="B7735" s="2" t="s">
        <v>16157</v>
      </c>
      <c r="C7735" s="2" t="s">
        <v>5</v>
      </c>
      <c r="D7735" s="2" t="s">
        <v>9</v>
      </c>
      <c r="E7735" s="2" t="str">
        <f>"9789819971954"</f>
        <v>9789819971954</v>
      </c>
      <c r="F7735" s="2" t="str">
        <f>"9789819971961"</f>
        <v>9789819971961</v>
      </c>
    </row>
    <row r="7736" spans="1:6" s="3" customFormat="1" ht="29.1" customHeight="1" x14ac:dyDescent="0.25">
      <c r="A7736" s="2" t="s">
        <v>16158</v>
      </c>
      <c r="B7736" s="2" t="s">
        <v>16159</v>
      </c>
      <c r="C7736" s="2" t="s">
        <v>5</v>
      </c>
      <c r="D7736" s="2" t="s">
        <v>9</v>
      </c>
      <c r="E7736" s="2" t="str">
        <f>"9789464633818"</f>
        <v>9789464633818</v>
      </c>
      <c r="F7736" s="2" t="str">
        <f>"9789464633825"</f>
        <v>9789464633825</v>
      </c>
    </row>
    <row r="7737" spans="1:6" s="3" customFormat="1" ht="29.1" customHeight="1" x14ac:dyDescent="0.25">
      <c r="A7737" s="2" t="s">
        <v>16160</v>
      </c>
      <c r="B7737" s="2" t="s">
        <v>16161</v>
      </c>
      <c r="C7737" s="2" t="s">
        <v>5</v>
      </c>
      <c r="D7737" s="2" t="s">
        <v>2008</v>
      </c>
      <c r="E7737" s="2" t="str">
        <f>"9783031482830"</f>
        <v>9783031482830</v>
      </c>
      <c r="F7737" s="2" t="str">
        <f>"9783031482847"</f>
        <v>9783031482847</v>
      </c>
    </row>
    <row r="7738" spans="1:6" s="3" customFormat="1" ht="29.1" customHeight="1" x14ac:dyDescent="0.25">
      <c r="A7738" s="2" t="s">
        <v>16162</v>
      </c>
      <c r="B7738" s="2" t="s">
        <v>16163</v>
      </c>
      <c r="C7738" s="2" t="s">
        <v>124</v>
      </c>
      <c r="D7738" s="2" t="s">
        <v>647</v>
      </c>
      <c r="E7738" s="2" t="str">
        <f>"9781032526423"</f>
        <v>9781032526423</v>
      </c>
      <c r="F7738" s="2" t="str">
        <f>"9781003407645"</f>
        <v>9781003407645</v>
      </c>
    </row>
    <row r="7739" spans="1:6" s="3" customFormat="1" ht="29.1" customHeight="1" x14ac:dyDescent="0.25">
      <c r="A7739" s="2" t="s">
        <v>16164</v>
      </c>
      <c r="B7739" s="2" t="s">
        <v>16165</v>
      </c>
      <c r="C7739" s="2" t="s">
        <v>4788</v>
      </c>
      <c r="D7739" s="2" t="s">
        <v>4172</v>
      </c>
      <c r="E7739" s="2" t="str">
        <f>"9781399515856"</f>
        <v>9781399515856</v>
      </c>
      <c r="F7739" s="2" t="str">
        <f>"9781399515870"</f>
        <v>9781399515870</v>
      </c>
    </row>
    <row r="7740" spans="1:6" s="3" customFormat="1" ht="29.1" customHeight="1" x14ac:dyDescent="0.25">
      <c r="A7740" s="2" t="s">
        <v>16166</v>
      </c>
      <c r="B7740" s="2" t="s">
        <v>16167</v>
      </c>
      <c r="C7740" s="2" t="s">
        <v>8104</v>
      </c>
      <c r="D7740" s="2" t="s">
        <v>78</v>
      </c>
      <c r="E7740" s="2" t="str">
        <f>"9781805396604"</f>
        <v>9781805396604</v>
      </c>
      <c r="F7740" s="2" t="str">
        <f>"9781805396611"</f>
        <v>9781805396611</v>
      </c>
    </row>
    <row r="7741" spans="1:6" s="3" customFormat="1" ht="29.1" customHeight="1" x14ac:dyDescent="0.25">
      <c r="A7741" s="2" t="s">
        <v>16168</v>
      </c>
      <c r="B7741" s="2" t="s">
        <v>16169</v>
      </c>
      <c r="C7741" s="2" t="s">
        <v>8104</v>
      </c>
      <c r="D7741" s="2" t="s">
        <v>636</v>
      </c>
      <c r="E7741" s="2" t="str">
        <f>"9781805396772"</f>
        <v>9781805396772</v>
      </c>
      <c r="F7741" s="2" t="str">
        <f>"9781805396789"</f>
        <v>9781805396789</v>
      </c>
    </row>
    <row r="7742" spans="1:6" s="3" customFormat="1" ht="29.1" customHeight="1" x14ac:dyDescent="0.25">
      <c r="A7742" s="2" t="s">
        <v>16170</v>
      </c>
      <c r="B7742" s="2" t="s">
        <v>16171</v>
      </c>
      <c r="C7742" s="2" t="s">
        <v>8104</v>
      </c>
      <c r="D7742" s="2" t="s">
        <v>2142</v>
      </c>
      <c r="E7742" s="2" t="str">
        <f>"9781805395065"</f>
        <v>9781805395065</v>
      </c>
      <c r="F7742" s="2" t="str">
        <f>"9781805395072"</f>
        <v>9781805395072</v>
      </c>
    </row>
    <row r="7743" spans="1:6" s="3" customFormat="1" ht="29.1" customHeight="1" x14ac:dyDescent="0.25">
      <c r="A7743" s="2" t="s">
        <v>16172</v>
      </c>
      <c r="B7743" s="2" t="s">
        <v>16173</v>
      </c>
      <c r="C7743" s="2" t="s">
        <v>8104</v>
      </c>
      <c r="D7743" s="2" t="s">
        <v>636</v>
      </c>
      <c r="E7743" s="2" t="str">
        <f>"9781805396512"</f>
        <v>9781805396512</v>
      </c>
      <c r="F7743" s="2" t="str">
        <f>"9781805396529"</f>
        <v>9781805396529</v>
      </c>
    </row>
    <row r="7744" spans="1:6" s="3" customFormat="1" ht="29.1" customHeight="1" x14ac:dyDescent="0.25">
      <c r="A7744" s="2" t="s">
        <v>16174</v>
      </c>
      <c r="B7744" s="2" t="s">
        <v>16175</v>
      </c>
      <c r="C7744" s="2" t="s">
        <v>5</v>
      </c>
      <c r="D7744" s="2" t="s">
        <v>81</v>
      </c>
      <c r="E7744" s="2" t="str">
        <f>"9782384762170"</f>
        <v>9782384762170</v>
      </c>
      <c r="F7744" s="2" t="str">
        <f>"9782384762187"</f>
        <v>9782384762187</v>
      </c>
    </row>
    <row r="7745" spans="1:6" s="3" customFormat="1" ht="29.1" customHeight="1" x14ac:dyDescent="0.25">
      <c r="A7745" s="2" t="s">
        <v>16176</v>
      </c>
      <c r="B7745" s="2" t="s">
        <v>16177</v>
      </c>
      <c r="C7745" s="2" t="s">
        <v>5</v>
      </c>
      <c r="D7745" s="2" t="s">
        <v>9</v>
      </c>
      <c r="E7745" s="2" t="str">
        <f>"9782384762156"</f>
        <v>9782384762156</v>
      </c>
      <c r="F7745" s="2" t="str">
        <f>"9782384762163"</f>
        <v>9782384762163</v>
      </c>
    </row>
    <row r="7746" spans="1:6" s="3" customFormat="1" ht="29.1" customHeight="1" x14ac:dyDescent="0.25">
      <c r="A7746" s="2" t="s">
        <v>16178</v>
      </c>
      <c r="B7746" s="2" t="s">
        <v>16179</v>
      </c>
      <c r="C7746" s="2" t="s">
        <v>5</v>
      </c>
      <c r="D7746" s="2" t="s">
        <v>95</v>
      </c>
      <c r="E7746" s="2" t="str">
        <f>"9789819996322"</f>
        <v>9789819996322</v>
      </c>
      <c r="F7746" s="2" t="str">
        <f>"9789819996339"</f>
        <v>9789819996339</v>
      </c>
    </row>
    <row r="7747" spans="1:6" s="3" customFormat="1" ht="29.1" customHeight="1" x14ac:dyDescent="0.25">
      <c r="A7747" s="2" t="s">
        <v>16180</v>
      </c>
      <c r="B7747" s="2" t="s">
        <v>16181</v>
      </c>
      <c r="C7747" s="2" t="s">
        <v>5</v>
      </c>
      <c r="D7747" s="2" t="s">
        <v>689</v>
      </c>
      <c r="E7747" s="2" t="str">
        <f>"9783031456374"</f>
        <v>9783031456374</v>
      </c>
      <c r="F7747" s="2" t="str">
        <f>"9783031456381"</f>
        <v>9783031456381</v>
      </c>
    </row>
    <row r="7748" spans="1:6" s="3" customFormat="1" ht="29.1" customHeight="1" x14ac:dyDescent="0.25">
      <c r="A7748" s="2" t="s">
        <v>16182</v>
      </c>
      <c r="B7748" s="2" t="s">
        <v>16183</v>
      </c>
      <c r="C7748" s="2" t="s">
        <v>4197</v>
      </c>
      <c r="D7748" s="2" t="s">
        <v>1996</v>
      </c>
      <c r="E7748" s="2" t="str">
        <f>"9783985470662"</f>
        <v>9783985470662</v>
      </c>
      <c r="F7748" s="2" t="str">
        <f>"9783985475667"</f>
        <v>9783985475667</v>
      </c>
    </row>
    <row r="7749" spans="1:6" s="3" customFormat="1" ht="29.1" customHeight="1" x14ac:dyDescent="0.25">
      <c r="A7749" s="2" t="s">
        <v>16184</v>
      </c>
      <c r="B7749" s="2" t="s">
        <v>16185</v>
      </c>
      <c r="C7749" s="2" t="s">
        <v>4197</v>
      </c>
      <c r="D7749" s="2" t="s">
        <v>4201</v>
      </c>
      <c r="E7749" s="2" t="str">
        <f>"9783985470495"</f>
        <v>9783985470495</v>
      </c>
      <c r="F7749" s="2" t="str">
        <f>"9783985475490"</f>
        <v>9783985475490</v>
      </c>
    </row>
    <row r="7750" spans="1:6" s="3" customFormat="1" ht="29.1" customHeight="1" x14ac:dyDescent="0.25">
      <c r="A7750" s="2" t="s">
        <v>16186</v>
      </c>
      <c r="B7750" s="2" t="s">
        <v>16187</v>
      </c>
      <c r="C7750" s="2" t="s">
        <v>4197</v>
      </c>
      <c r="D7750" s="2" t="s">
        <v>2770</v>
      </c>
      <c r="E7750" s="2" t="str">
        <f>"9783985470686"</f>
        <v>9783985470686</v>
      </c>
      <c r="F7750" s="2" t="str">
        <f>"9783985475681"</f>
        <v>9783985475681</v>
      </c>
    </row>
    <row r="7751" spans="1:6" s="3" customFormat="1" ht="29.1" customHeight="1" x14ac:dyDescent="0.25">
      <c r="A7751" s="2" t="s">
        <v>16188</v>
      </c>
      <c r="B7751" s="2" t="s">
        <v>16190</v>
      </c>
      <c r="C7751" s="2" t="s">
        <v>4197</v>
      </c>
      <c r="D7751" s="2" t="s">
        <v>16189</v>
      </c>
      <c r="E7751" s="2" t="str">
        <f>"9783985470570"</f>
        <v>9783985470570</v>
      </c>
      <c r="F7751" s="2" t="str">
        <f>"9783985475575"</f>
        <v>9783985475575</v>
      </c>
    </row>
    <row r="7752" spans="1:6" s="3" customFormat="1" ht="29.1" customHeight="1" x14ac:dyDescent="0.25">
      <c r="A7752" s="2" t="s">
        <v>16191</v>
      </c>
      <c r="B7752" s="2" t="s">
        <v>16193</v>
      </c>
      <c r="C7752" s="2" t="s">
        <v>4197</v>
      </c>
      <c r="D7752" s="2" t="s">
        <v>16192</v>
      </c>
      <c r="E7752" s="2" t="str">
        <f>"9783985470679"</f>
        <v>9783985470679</v>
      </c>
      <c r="F7752" s="2" t="str">
        <f>"9783985475674"</f>
        <v>9783985475674</v>
      </c>
    </row>
    <row r="7753" spans="1:6" s="3" customFormat="1" ht="29.1" customHeight="1" x14ac:dyDescent="0.25">
      <c r="A7753" s="2" t="s">
        <v>16194</v>
      </c>
      <c r="B7753" s="2" t="s">
        <v>16196</v>
      </c>
      <c r="C7753" s="2" t="s">
        <v>4197</v>
      </c>
      <c r="D7753" s="2" t="s">
        <v>16195</v>
      </c>
      <c r="E7753" s="2" t="str">
        <f>"9783985470556"</f>
        <v>9783985470556</v>
      </c>
      <c r="F7753" s="2" t="str">
        <f>"9783985475551"</f>
        <v>9783985475551</v>
      </c>
    </row>
    <row r="7754" spans="1:6" s="3" customFormat="1" ht="29.1" customHeight="1" x14ac:dyDescent="0.25">
      <c r="A7754" s="2" t="s">
        <v>16197</v>
      </c>
      <c r="B7754" s="2" t="s">
        <v>16199</v>
      </c>
      <c r="C7754" s="2" t="s">
        <v>4197</v>
      </c>
      <c r="D7754" s="2" t="s">
        <v>16198</v>
      </c>
      <c r="E7754" s="2" t="str">
        <f>"9783985470204"</f>
        <v>9783985470204</v>
      </c>
      <c r="F7754" s="2" t="str">
        <f>"9783985475209"</f>
        <v>9783985475209</v>
      </c>
    </row>
    <row r="7755" spans="1:6" s="3" customFormat="1" ht="29.1" customHeight="1" x14ac:dyDescent="0.25">
      <c r="A7755" s="2" t="s">
        <v>16200</v>
      </c>
      <c r="B7755" s="2" t="s">
        <v>16202</v>
      </c>
      <c r="C7755" s="2" t="s">
        <v>4197</v>
      </c>
      <c r="D7755" s="2" t="s">
        <v>16201</v>
      </c>
      <c r="E7755" s="2" t="str">
        <f>"9783985470259"</f>
        <v>9783985470259</v>
      </c>
      <c r="F7755" s="2" t="str">
        <f>"9783985475254"</f>
        <v>9783985475254</v>
      </c>
    </row>
    <row r="7756" spans="1:6" s="3" customFormat="1" ht="29.1" customHeight="1" x14ac:dyDescent="0.25">
      <c r="A7756" s="2" t="s">
        <v>16203</v>
      </c>
      <c r="B7756" s="2" t="s">
        <v>16204</v>
      </c>
      <c r="C7756" s="2" t="s">
        <v>4197</v>
      </c>
      <c r="D7756" s="2" t="s">
        <v>2770</v>
      </c>
      <c r="E7756" s="2" t="str">
        <f>"9783985470235"</f>
        <v>9783985470235</v>
      </c>
      <c r="F7756" s="2" t="str">
        <f>"9783985475230"</f>
        <v>9783985475230</v>
      </c>
    </row>
    <row r="7757" spans="1:6" s="3" customFormat="1" ht="29.1" customHeight="1" x14ac:dyDescent="0.25">
      <c r="A7757" s="2" t="s">
        <v>16205</v>
      </c>
      <c r="B7757" s="2" t="s">
        <v>16206</v>
      </c>
      <c r="C7757" s="2" t="s">
        <v>4197</v>
      </c>
      <c r="D7757" s="2" t="s">
        <v>12445</v>
      </c>
      <c r="E7757" s="2" t="str">
        <f>"9783985470563"</f>
        <v>9783985470563</v>
      </c>
      <c r="F7757" s="2" t="str">
        <f>"9783985475568"</f>
        <v>9783985475568</v>
      </c>
    </row>
    <row r="7758" spans="1:6" s="3" customFormat="1" ht="29.1" customHeight="1" x14ac:dyDescent="0.25">
      <c r="A7758" s="2" t="s">
        <v>16207</v>
      </c>
      <c r="B7758" s="2" t="s">
        <v>16208</v>
      </c>
      <c r="C7758" s="2" t="s">
        <v>29</v>
      </c>
      <c r="D7758" s="2" t="s">
        <v>9</v>
      </c>
      <c r="E7758" s="2" t="str">
        <f>"9789463008860"</f>
        <v>9789463008860</v>
      </c>
      <c r="F7758" s="2" t="str">
        <f>"9789463008877"</f>
        <v>9789463008877</v>
      </c>
    </row>
    <row r="7759" spans="1:6" s="3" customFormat="1" ht="29.1" customHeight="1" x14ac:dyDescent="0.25">
      <c r="A7759" s="2" t="s">
        <v>16209</v>
      </c>
      <c r="B7759" s="2" t="s">
        <v>16210</v>
      </c>
      <c r="C7759" s="2" t="s">
        <v>5</v>
      </c>
      <c r="D7759" s="2" t="s">
        <v>504</v>
      </c>
      <c r="E7759" s="2" t="str">
        <f>"9783031527630"</f>
        <v>9783031527630</v>
      </c>
      <c r="F7759" s="2" t="str">
        <f>"9783031527647"</f>
        <v>9783031527647</v>
      </c>
    </row>
    <row r="7760" spans="1:6" s="3" customFormat="1" ht="29.1" customHeight="1" x14ac:dyDescent="0.25">
      <c r="A7760" s="2" t="s">
        <v>16211</v>
      </c>
      <c r="B7760" s="2" t="s">
        <v>16212</v>
      </c>
      <c r="C7760" s="2" t="s">
        <v>5</v>
      </c>
      <c r="D7760" s="2" t="s">
        <v>9</v>
      </c>
      <c r="E7760" s="2" t="str">
        <f>"9782384762132"</f>
        <v>9782384762132</v>
      </c>
      <c r="F7760" s="2" t="str">
        <f>"9782384762149"</f>
        <v>9782384762149</v>
      </c>
    </row>
    <row r="7761" spans="1:6" s="3" customFormat="1" ht="29.1" customHeight="1" x14ac:dyDescent="0.25">
      <c r="A7761" s="2" t="s">
        <v>16213</v>
      </c>
      <c r="B7761" s="2" t="s">
        <v>16214</v>
      </c>
      <c r="C7761" s="2" t="s">
        <v>595</v>
      </c>
      <c r="D7761" s="2" t="s">
        <v>459</v>
      </c>
      <c r="E7761" s="2" t="str">
        <f>"9783631883181"</f>
        <v>9783631883181</v>
      </c>
      <c r="F7761" s="2" t="str">
        <f>"9783631883198"</f>
        <v>9783631883198</v>
      </c>
    </row>
    <row r="7762" spans="1:6" s="3" customFormat="1" ht="29.1" customHeight="1" x14ac:dyDescent="0.25">
      <c r="A7762" s="2" t="s">
        <v>16215</v>
      </c>
      <c r="B7762" s="2" t="s">
        <v>16216</v>
      </c>
      <c r="C7762" s="2" t="s">
        <v>5</v>
      </c>
      <c r="D7762" s="2" t="s">
        <v>889</v>
      </c>
      <c r="E7762" s="2" t="str">
        <f>"9789464633832"</f>
        <v>9789464633832</v>
      </c>
      <c r="F7762" s="2" t="str">
        <f>"9789464633849"</f>
        <v>9789464633849</v>
      </c>
    </row>
    <row r="7763" spans="1:6" s="3" customFormat="1" ht="29.1" customHeight="1" x14ac:dyDescent="0.25">
      <c r="A7763" s="2" t="s">
        <v>16217</v>
      </c>
      <c r="B7763" s="2" t="s">
        <v>16218</v>
      </c>
      <c r="C7763" s="2" t="s">
        <v>5</v>
      </c>
      <c r="D7763" s="2" t="s">
        <v>141</v>
      </c>
      <c r="E7763" s="2" t="str">
        <f>"9789464633733"</f>
        <v>9789464633733</v>
      </c>
      <c r="F7763" s="2" t="str">
        <f>"9789464633740"</f>
        <v>9789464633740</v>
      </c>
    </row>
    <row r="7764" spans="1:6" s="3" customFormat="1" ht="29.1" customHeight="1" x14ac:dyDescent="0.25">
      <c r="A7764" s="2" t="s">
        <v>16219</v>
      </c>
      <c r="B7764" s="2" t="s">
        <v>16220</v>
      </c>
      <c r="C7764" s="2" t="s">
        <v>5</v>
      </c>
      <c r="D7764" s="2" t="s">
        <v>606</v>
      </c>
      <c r="E7764" s="2" t="str">
        <f>"9783662687642"</f>
        <v>9783662687642</v>
      </c>
      <c r="F7764" s="2" t="str">
        <f>"9783662687659"</f>
        <v>9783662687659</v>
      </c>
    </row>
    <row r="7765" spans="1:6" s="3" customFormat="1" ht="29.1" customHeight="1" x14ac:dyDescent="0.25">
      <c r="A7765" s="2" t="s">
        <v>16221</v>
      </c>
      <c r="B7765" s="2" t="s">
        <v>16222</v>
      </c>
      <c r="C7765" s="2" t="s">
        <v>5</v>
      </c>
      <c r="D7765" s="2" t="s">
        <v>294</v>
      </c>
      <c r="E7765" s="2" t="str">
        <f>"9783031412820"</f>
        <v>9783031412820</v>
      </c>
      <c r="F7765" s="2" t="str">
        <f>"9783031412837"</f>
        <v>9783031412837</v>
      </c>
    </row>
    <row r="7766" spans="1:6" s="3" customFormat="1" ht="29.1" customHeight="1" x14ac:dyDescent="0.25">
      <c r="A7766" s="2" t="s">
        <v>16223</v>
      </c>
      <c r="B7766" s="2" t="s">
        <v>16224</v>
      </c>
      <c r="C7766" s="2" t="s">
        <v>5</v>
      </c>
      <c r="D7766" s="2" t="s">
        <v>2877</v>
      </c>
      <c r="E7766" s="2" t="str">
        <f>"9783031514890"</f>
        <v>9783031514890</v>
      </c>
      <c r="F7766" s="2" t="str">
        <f>"9783031514906"</f>
        <v>9783031514906</v>
      </c>
    </row>
    <row r="7767" spans="1:6" s="3" customFormat="1" ht="29.1" customHeight="1" x14ac:dyDescent="0.25">
      <c r="A7767" s="2" t="s">
        <v>16225</v>
      </c>
      <c r="B7767" s="2" t="s">
        <v>16226</v>
      </c>
      <c r="C7767" s="2" t="s">
        <v>149</v>
      </c>
      <c r="D7767" s="2" t="s">
        <v>339</v>
      </c>
      <c r="E7767" s="2"/>
      <c r="F7767" s="2" t="str">
        <f>"9781805110828"</f>
        <v>9781805110828</v>
      </c>
    </row>
    <row r="7768" spans="1:6" s="3" customFormat="1" ht="29.1" customHeight="1" x14ac:dyDescent="0.25">
      <c r="A7768" s="2" t="s">
        <v>16227</v>
      </c>
      <c r="B7768" s="2" t="s">
        <v>16228</v>
      </c>
      <c r="C7768" s="2" t="s">
        <v>29</v>
      </c>
      <c r="D7768" s="2" t="s">
        <v>324</v>
      </c>
      <c r="E7768" s="2" t="str">
        <f>"9783506794505"</f>
        <v>9783506794505</v>
      </c>
      <c r="F7768" s="2" t="str">
        <f>"9783657794508"</f>
        <v>9783657794508</v>
      </c>
    </row>
    <row r="7769" spans="1:6" s="3" customFormat="1" ht="29.1" customHeight="1" x14ac:dyDescent="0.25">
      <c r="A7769" s="2" t="s">
        <v>16229</v>
      </c>
      <c r="B7769" s="2" t="s">
        <v>16230</v>
      </c>
      <c r="C7769" s="2" t="s">
        <v>29</v>
      </c>
      <c r="D7769" s="2" t="s">
        <v>3345</v>
      </c>
      <c r="E7769" s="2" t="str">
        <f>"9783770568413"</f>
        <v>9783770568413</v>
      </c>
      <c r="F7769" s="2" t="str">
        <f>"9783846768419"</f>
        <v>9783846768419</v>
      </c>
    </row>
    <row r="7770" spans="1:6" s="3" customFormat="1" ht="29.1" customHeight="1" x14ac:dyDescent="0.25">
      <c r="A7770" s="2" t="s">
        <v>16231</v>
      </c>
      <c r="B7770" s="2" t="s">
        <v>16232</v>
      </c>
      <c r="C7770" s="2" t="s">
        <v>29</v>
      </c>
      <c r="D7770" s="2" t="s">
        <v>33</v>
      </c>
      <c r="E7770" s="2" t="str">
        <f>"9783957432995"</f>
        <v>9783957432995</v>
      </c>
      <c r="F7770" s="2" t="str">
        <f>"9783969752999"</f>
        <v>9783969752999</v>
      </c>
    </row>
    <row r="7771" spans="1:6" s="3" customFormat="1" ht="29.1" customHeight="1" x14ac:dyDescent="0.25">
      <c r="A7771" s="2" t="s">
        <v>16233</v>
      </c>
      <c r="B7771" s="2" t="s">
        <v>16234</v>
      </c>
      <c r="C7771" s="2" t="s">
        <v>124</v>
      </c>
      <c r="D7771" s="2" t="s">
        <v>7734</v>
      </c>
      <c r="E7771" s="2" t="str">
        <f>"9781032551357"</f>
        <v>9781032551357</v>
      </c>
      <c r="F7771" s="2" t="str">
        <f>"9781003429173"</f>
        <v>9781003429173</v>
      </c>
    </row>
    <row r="7772" spans="1:6" s="3" customFormat="1" ht="29.1" customHeight="1" x14ac:dyDescent="0.25">
      <c r="A7772" s="2" t="s">
        <v>16235</v>
      </c>
      <c r="B7772" s="2" t="s">
        <v>16236</v>
      </c>
      <c r="C7772" s="2" t="s">
        <v>29</v>
      </c>
      <c r="D7772" s="2" t="s">
        <v>192</v>
      </c>
      <c r="E7772" s="2" t="str">
        <f>"9789004377646"</f>
        <v>9789004377646</v>
      </c>
      <c r="F7772" s="2" t="str">
        <f>"9789004377653"</f>
        <v>9789004377653</v>
      </c>
    </row>
    <row r="7773" spans="1:6" s="3" customFormat="1" ht="29.1" customHeight="1" x14ac:dyDescent="0.25">
      <c r="A7773" s="2" t="s">
        <v>16237</v>
      </c>
      <c r="B7773" s="2" t="s">
        <v>16238</v>
      </c>
      <c r="C7773" s="2" t="s">
        <v>5</v>
      </c>
      <c r="D7773" s="2" t="s">
        <v>9</v>
      </c>
      <c r="E7773" s="2" t="str">
        <f>"9789464632750"</f>
        <v>9789464632750</v>
      </c>
      <c r="F7773" s="2" t="str">
        <f>"9789464632767"</f>
        <v>9789464632767</v>
      </c>
    </row>
    <row r="7774" spans="1:6" s="3" customFormat="1" ht="29.1" customHeight="1" x14ac:dyDescent="0.25">
      <c r="A7774" s="2" t="s">
        <v>16239</v>
      </c>
      <c r="B7774" s="2" t="s">
        <v>16240</v>
      </c>
      <c r="C7774" s="2" t="s">
        <v>746</v>
      </c>
      <c r="D7774" s="2" t="s">
        <v>606</v>
      </c>
      <c r="E7774" s="2" t="str">
        <f>"9781803276960"</f>
        <v>9781803276960</v>
      </c>
      <c r="F7774" s="2" t="str">
        <f>"9781803276977"</f>
        <v>9781803276977</v>
      </c>
    </row>
    <row r="7775" spans="1:6" s="3" customFormat="1" ht="29.1" customHeight="1" x14ac:dyDescent="0.25">
      <c r="A7775" s="2" t="s">
        <v>16241</v>
      </c>
      <c r="B7775" s="2" t="s">
        <v>16242</v>
      </c>
      <c r="C7775" s="2" t="s">
        <v>746</v>
      </c>
      <c r="D7775" s="2" t="s">
        <v>606</v>
      </c>
      <c r="E7775" s="2" t="str">
        <f>"9781803275291"</f>
        <v>9781803275291</v>
      </c>
      <c r="F7775" s="2" t="str">
        <f>"9781803275307"</f>
        <v>9781803275307</v>
      </c>
    </row>
    <row r="7776" spans="1:6" s="3" customFormat="1" ht="29.1" customHeight="1" x14ac:dyDescent="0.25">
      <c r="A7776" s="2" t="s">
        <v>16243</v>
      </c>
      <c r="B7776" s="2" t="s">
        <v>16244</v>
      </c>
      <c r="C7776" s="2" t="s">
        <v>5</v>
      </c>
      <c r="D7776" s="2" t="s">
        <v>1189</v>
      </c>
      <c r="E7776" s="2" t="str">
        <f>"9789819938551"</f>
        <v>9789819938551</v>
      </c>
      <c r="F7776" s="2" t="str">
        <f>"9789819938568"</f>
        <v>9789819938568</v>
      </c>
    </row>
    <row r="7777" spans="1:6" s="3" customFormat="1" ht="29.1" customHeight="1" x14ac:dyDescent="0.25">
      <c r="A7777" s="2" t="s">
        <v>16245</v>
      </c>
      <c r="B7777" s="2" t="s">
        <v>16246</v>
      </c>
      <c r="C7777" s="2" t="s">
        <v>7395</v>
      </c>
      <c r="D7777" s="2" t="s">
        <v>653</v>
      </c>
      <c r="E7777" s="2" t="str">
        <f>"9780295751665"</f>
        <v>9780295751665</v>
      </c>
      <c r="F7777" s="2" t="str">
        <f>"9780295751689"</f>
        <v>9780295751689</v>
      </c>
    </row>
    <row r="7778" spans="1:6" s="3" customFormat="1" ht="29.1" customHeight="1" x14ac:dyDescent="0.25">
      <c r="A7778" s="2" t="s">
        <v>16247</v>
      </c>
      <c r="B7778" s="2" t="s">
        <v>16248</v>
      </c>
      <c r="C7778" s="2" t="s">
        <v>5</v>
      </c>
      <c r="D7778" s="2" t="s">
        <v>342</v>
      </c>
      <c r="E7778" s="2" t="str">
        <f>"9789464633634"</f>
        <v>9789464633634</v>
      </c>
      <c r="F7778" s="2" t="str">
        <f>"9789464633641"</f>
        <v>9789464633641</v>
      </c>
    </row>
    <row r="7779" spans="1:6" s="3" customFormat="1" ht="29.1" customHeight="1" x14ac:dyDescent="0.25">
      <c r="A7779" s="2" t="s">
        <v>16249</v>
      </c>
      <c r="B7779" s="2" t="s">
        <v>16250</v>
      </c>
      <c r="C7779" s="2" t="s">
        <v>55</v>
      </c>
      <c r="D7779" s="2" t="s">
        <v>606</v>
      </c>
      <c r="E7779" s="2" t="str">
        <f>"9781526152787"</f>
        <v>9781526152787</v>
      </c>
      <c r="F7779" s="2" t="str">
        <f>"9781526152770"</f>
        <v>9781526152770</v>
      </c>
    </row>
    <row r="7780" spans="1:6" s="3" customFormat="1" ht="29.1" customHeight="1" x14ac:dyDescent="0.25">
      <c r="A7780" s="2" t="s">
        <v>16251</v>
      </c>
      <c r="B7780" s="2" t="s">
        <v>16252</v>
      </c>
      <c r="C7780" s="2" t="s">
        <v>5</v>
      </c>
      <c r="D7780" s="2" t="s">
        <v>4180</v>
      </c>
      <c r="E7780" s="2" t="str">
        <f>"9782384762071"</f>
        <v>9782384762071</v>
      </c>
      <c r="F7780" s="2" t="str">
        <f>"9782384762088"</f>
        <v>9782384762088</v>
      </c>
    </row>
    <row r="7781" spans="1:6" s="3" customFormat="1" ht="29.1" customHeight="1" x14ac:dyDescent="0.25">
      <c r="A7781" s="2" t="s">
        <v>16253</v>
      </c>
      <c r="B7781" s="2" t="s">
        <v>16255</v>
      </c>
      <c r="C7781" s="2" t="s">
        <v>5</v>
      </c>
      <c r="D7781" s="2" t="s">
        <v>16254</v>
      </c>
      <c r="E7781" s="2" t="str">
        <f>"9782384762019"</f>
        <v>9782384762019</v>
      </c>
      <c r="F7781" s="2" t="str">
        <f>"9782384762026"</f>
        <v>9782384762026</v>
      </c>
    </row>
    <row r="7782" spans="1:6" s="3" customFormat="1" ht="29.1" customHeight="1" x14ac:dyDescent="0.25">
      <c r="A7782" s="2" t="s">
        <v>16256</v>
      </c>
      <c r="B7782" s="2" t="s">
        <v>16257</v>
      </c>
      <c r="C7782" s="2" t="s">
        <v>5</v>
      </c>
      <c r="D7782" s="2" t="s">
        <v>3198</v>
      </c>
      <c r="E7782" s="2" t="str">
        <f>"9783031450549"</f>
        <v>9783031450549</v>
      </c>
      <c r="F7782" s="2" t="str">
        <f>"9783031450556"</f>
        <v>9783031450556</v>
      </c>
    </row>
    <row r="7783" spans="1:6" s="3" customFormat="1" ht="29.1" customHeight="1" x14ac:dyDescent="0.25">
      <c r="A7783" s="2" t="s">
        <v>16258</v>
      </c>
      <c r="B7783" s="2" t="s">
        <v>16259</v>
      </c>
      <c r="C7783" s="2" t="s">
        <v>29</v>
      </c>
      <c r="D7783" s="2" t="s">
        <v>509</v>
      </c>
      <c r="E7783" s="2" t="str">
        <f>"9784930921017"</f>
        <v>9784930921017</v>
      </c>
      <c r="F7783" s="2" t="str">
        <f>"9789004616486"</f>
        <v>9789004616486</v>
      </c>
    </row>
    <row r="7784" spans="1:6" s="3" customFormat="1" ht="29.1" customHeight="1" x14ac:dyDescent="0.25">
      <c r="A7784" s="2" t="s">
        <v>16260</v>
      </c>
      <c r="B7784" s="2" t="s">
        <v>16261</v>
      </c>
      <c r="C7784" s="2" t="s">
        <v>595</v>
      </c>
      <c r="D7784" s="2" t="s">
        <v>465</v>
      </c>
      <c r="E7784" s="2" t="str">
        <f>"9783631889619"</f>
        <v>9783631889619</v>
      </c>
      <c r="F7784" s="2" t="str">
        <f>"9783631904626"</f>
        <v>9783631904626</v>
      </c>
    </row>
    <row r="7785" spans="1:6" s="3" customFormat="1" ht="29.1" customHeight="1" x14ac:dyDescent="0.25">
      <c r="A7785" s="2" t="s">
        <v>16262</v>
      </c>
      <c r="B7785" s="2" t="s">
        <v>16263</v>
      </c>
      <c r="C7785" s="2" t="s">
        <v>5</v>
      </c>
      <c r="D7785" s="2" t="s">
        <v>342</v>
      </c>
      <c r="E7785" s="2" t="str">
        <f>"9789464633696"</f>
        <v>9789464633696</v>
      </c>
      <c r="F7785" s="2" t="str">
        <f>"9789464633702"</f>
        <v>9789464633702</v>
      </c>
    </row>
    <row r="7786" spans="1:6" s="3" customFormat="1" ht="29.1" customHeight="1" x14ac:dyDescent="0.25">
      <c r="A7786" s="2" t="s">
        <v>16264</v>
      </c>
      <c r="B7786" s="2" t="s">
        <v>16265</v>
      </c>
      <c r="C7786" s="2" t="s">
        <v>5</v>
      </c>
      <c r="D7786" s="2" t="s">
        <v>98</v>
      </c>
      <c r="E7786" s="2" t="str">
        <f>"9789464633672"</f>
        <v>9789464633672</v>
      </c>
      <c r="F7786" s="2" t="str">
        <f>"9789464633689"</f>
        <v>9789464633689</v>
      </c>
    </row>
    <row r="7787" spans="1:6" s="3" customFormat="1" ht="29.1" customHeight="1" x14ac:dyDescent="0.25">
      <c r="A7787" s="2" t="s">
        <v>16266</v>
      </c>
      <c r="B7787" s="2" t="s">
        <v>16267</v>
      </c>
      <c r="C7787" s="2" t="s">
        <v>5</v>
      </c>
      <c r="D7787" s="2" t="s">
        <v>353</v>
      </c>
      <c r="E7787" s="2" t="str">
        <f>"9789819993741"</f>
        <v>9789819993741</v>
      </c>
      <c r="F7787" s="2" t="str">
        <f>"9789819993758"</f>
        <v>9789819993758</v>
      </c>
    </row>
    <row r="7788" spans="1:6" s="3" customFormat="1" ht="29.1" customHeight="1" x14ac:dyDescent="0.25">
      <c r="A7788" s="2" t="s">
        <v>16268</v>
      </c>
      <c r="B7788" s="2" t="s">
        <v>16269</v>
      </c>
      <c r="C7788" s="2" t="s">
        <v>29</v>
      </c>
      <c r="D7788" s="2" t="s">
        <v>192</v>
      </c>
      <c r="E7788" s="2" t="str">
        <f>"9789004690899"</f>
        <v>9789004690899</v>
      </c>
      <c r="F7788" s="2" t="str">
        <f>"9789004690905"</f>
        <v>9789004690905</v>
      </c>
    </row>
    <row r="7789" spans="1:6" s="3" customFormat="1" ht="29.1" customHeight="1" x14ac:dyDescent="0.25">
      <c r="A7789" s="2" t="s">
        <v>16270</v>
      </c>
      <c r="B7789" s="2" t="s">
        <v>16271</v>
      </c>
      <c r="C7789" s="2" t="s">
        <v>36</v>
      </c>
      <c r="D7789" s="2" t="s">
        <v>855</v>
      </c>
      <c r="E7789" s="2" t="str">
        <f>"9781529236576"</f>
        <v>9781529236576</v>
      </c>
      <c r="F7789" s="2" t="str">
        <f>"9781529236606"</f>
        <v>9781529236606</v>
      </c>
    </row>
    <row r="7790" spans="1:6" s="3" customFormat="1" ht="29.1" customHeight="1" x14ac:dyDescent="0.25">
      <c r="A7790" s="2" t="s">
        <v>16272</v>
      </c>
      <c r="B7790" s="2" t="s">
        <v>16273</v>
      </c>
      <c r="C7790" s="2" t="s">
        <v>5</v>
      </c>
      <c r="D7790" s="2" t="s">
        <v>339</v>
      </c>
      <c r="E7790" s="2" t="str">
        <f>"9783031509803"</f>
        <v>9783031509803</v>
      </c>
      <c r="F7790" s="2" t="str">
        <f>"9783031509810"</f>
        <v>9783031509810</v>
      </c>
    </row>
    <row r="7791" spans="1:6" s="3" customFormat="1" ht="29.1" customHeight="1" x14ac:dyDescent="0.25">
      <c r="A7791" s="2" t="s">
        <v>16274</v>
      </c>
      <c r="B7791" s="2" t="s">
        <v>16275</v>
      </c>
      <c r="C7791" s="2" t="s">
        <v>62</v>
      </c>
      <c r="D7791" s="2" t="s">
        <v>3963</v>
      </c>
      <c r="E7791" s="2" t="str">
        <f>"9783428190713"</f>
        <v>9783428190713</v>
      </c>
      <c r="F7791" s="2" t="str">
        <f>"9783428590711"</f>
        <v>9783428590711</v>
      </c>
    </row>
    <row r="7792" spans="1:6" s="3" customFormat="1" ht="29.1" customHeight="1" x14ac:dyDescent="0.25">
      <c r="A7792" s="2" t="s">
        <v>16276</v>
      </c>
      <c r="B7792" s="2" t="s">
        <v>16277</v>
      </c>
      <c r="C7792" s="2" t="s">
        <v>62</v>
      </c>
      <c r="D7792" s="2" t="s">
        <v>4700</v>
      </c>
      <c r="E7792" s="2" t="str">
        <f>"9783428190645"</f>
        <v>9783428190645</v>
      </c>
      <c r="F7792" s="2" t="str">
        <f>"9783428590643"</f>
        <v>9783428590643</v>
      </c>
    </row>
    <row r="7793" spans="1:6" s="3" customFormat="1" ht="29.1" customHeight="1" x14ac:dyDescent="0.25">
      <c r="A7793" s="2" t="s">
        <v>16278</v>
      </c>
      <c r="B7793" s="2" t="s">
        <v>16279</v>
      </c>
      <c r="C7793" s="2" t="s">
        <v>2133</v>
      </c>
      <c r="D7793" s="2" t="s">
        <v>818</v>
      </c>
      <c r="E7793" s="2" t="str">
        <f>"9781921536144"</f>
        <v>9781921536144</v>
      </c>
      <c r="F7793" s="2" t="str">
        <f>"9781921536151"</f>
        <v>9781921536151</v>
      </c>
    </row>
    <row r="7794" spans="1:6" s="3" customFormat="1" ht="29.1" customHeight="1" x14ac:dyDescent="0.25">
      <c r="A7794" s="2" t="s">
        <v>16280</v>
      </c>
      <c r="B7794" s="2" t="s">
        <v>16281</v>
      </c>
      <c r="C7794" s="2" t="s">
        <v>2133</v>
      </c>
      <c r="D7794" s="2" t="s">
        <v>4059</v>
      </c>
      <c r="E7794" s="2" t="str">
        <f>"9780980728446"</f>
        <v>9780980728446</v>
      </c>
      <c r="F7794" s="2" t="str">
        <f>"9780980728453"</f>
        <v>9780980728453</v>
      </c>
    </row>
    <row r="7795" spans="1:6" s="3" customFormat="1" ht="29.1" customHeight="1" x14ac:dyDescent="0.25">
      <c r="A7795" s="2" t="s">
        <v>16282</v>
      </c>
      <c r="B7795" s="2" t="s">
        <v>16283</v>
      </c>
      <c r="C7795" s="2" t="s">
        <v>2133</v>
      </c>
      <c r="D7795" s="2" t="s">
        <v>4059</v>
      </c>
      <c r="E7795" s="2" t="str">
        <f>"9781921666926"</f>
        <v>9781921666926</v>
      </c>
      <c r="F7795" s="2" t="str">
        <f>"9781921666933"</f>
        <v>9781921666933</v>
      </c>
    </row>
    <row r="7796" spans="1:6" s="3" customFormat="1" ht="29.1" customHeight="1" x14ac:dyDescent="0.25">
      <c r="A7796" s="2" t="s">
        <v>16284</v>
      </c>
      <c r="B7796" s="2" t="s">
        <v>16285</v>
      </c>
      <c r="C7796" s="2" t="s">
        <v>2133</v>
      </c>
      <c r="D7796" s="2" t="s">
        <v>1627</v>
      </c>
      <c r="E7796" s="2" t="str">
        <f>"9781921313134"</f>
        <v>9781921313134</v>
      </c>
      <c r="F7796" s="2" t="str">
        <f>"9781921313141"</f>
        <v>9781921313141</v>
      </c>
    </row>
    <row r="7797" spans="1:6" s="3" customFormat="1" ht="29.1" customHeight="1" x14ac:dyDescent="0.25">
      <c r="A7797" s="2" t="s">
        <v>16284</v>
      </c>
      <c r="B7797" s="2" t="s">
        <v>16286</v>
      </c>
      <c r="C7797" s="2" t="s">
        <v>2133</v>
      </c>
      <c r="D7797" s="2" t="s">
        <v>1627</v>
      </c>
      <c r="E7797" s="2" t="str">
        <f>"9781921666346"</f>
        <v>9781921666346</v>
      </c>
      <c r="F7797" s="2" t="str">
        <f>"9781921666353"</f>
        <v>9781921666353</v>
      </c>
    </row>
    <row r="7798" spans="1:6" s="3" customFormat="1" ht="29.1" customHeight="1" x14ac:dyDescent="0.25">
      <c r="A7798" s="2" t="s">
        <v>16284</v>
      </c>
      <c r="B7798" s="2" t="s">
        <v>16286</v>
      </c>
      <c r="C7798" s="2" t="s">
        <v>2133</v>
      </c>
      <c r="D7798" s="2" t="s">
        <v>16287</v>
      </c>
      <c r="E7798" s="2" t="str">
        <f>"9781920942212"</f>
        <v>9781920942212</v>
      </c>
      <c r="F7798" s="2" t="str">
        <f>"9781920942205"</f>
        <v>9781920942205</v>
      </c>
    </row>
    <row r="7799" spans="1:6" s="3" customFormat="1" ht="29.1" customHeight="1" x14ac:dyDescent="0.25">
      <c r="A7799" s="2" t="s">
        <v>16288</v>
      </c>
      <c r="B7799" s="2" t="s">
        <v>16289</v>
      </c>
      <c r="C7799" s="2" t="s">
        <v>2133</v>
      </c>
      <c r="D7799" s="2" t="s">
        <v>9312</v>
      </c>
      <c r="E7799" s="2" t="str">
        <f>"9780731537396"</f>
        <v>9780731537396</v>
      </c>
      <c r="F7799" s="2" t="str">
        <f>"9781920942533"</f>
        <v>9781920942533</v>
      </c>
    </row>
    <row r="7800" spans="1:6" s="3" customFormat="1" ht="29.1" customHeight="1" x14ac:dyDescent="0.25">
      <c r="A7800" s="2" t="s">
        <v>16290</v>
      </c>
      <c r="B7800" s="2" t="s">
        <v>16291</v>
      </c>
      <c r="C7800" s="2" t="s">
        <v>2133</v>
      </c>
      <c r="D7800" s="2" t="s">
        <v>9312</v>
      </c>
      <c r="E7800" s="2" t="str">
        <f>"9781920942069"</f>
        <v>9781920942069</v>
      </c>
      <c r="F7800" s="2" t="str">
        <f>"9781920942052"</f>
        <v>9781920942052</v>
      </c>
    </row>
    <row r="7801" spans="1:6" s="3" customFormat="1" ht="29.1" customHeight="1" x14ac:dyDescent="0.25">
      <c r="A7801" s="2" t="s">
        <v>16292</v>
      </c>
      <c r="B7801" s="2" t="s">
        <v>16293</v>
      </c>
      <c r="C7801" s="2" t="s">
        <v>2133</v>
      </c>
      <c r="D7801" s="2" t="s">
        <v>4059</v>
      </c>
      <c r="E7801" s="2" t="str">
        <f>"9781760466152"</f>
        <v>9781760466152</v>
      </c>
      <c r="F7801" s="2" t="str">
        <f>"9781760466169"</f>
        <v>9781760466169</v>
      </c>
    </row>
    <row r="7802" spans="1:6" s="3" customFormat="1" ht="29.1" customHeight="1" x14ac:dyDescent="0.25">
      <c r="A7802" s="2" t="s">
        <v>16294</v>
      </c>
      <c r="B7802" s="2" t="s">
        <v>16295</v>
      </c>
      <c r="C7802" s="2" t="s">
        <v>2133</v>
      </c>
      <c r="D7802" s="2" t="s">
        <v>297</v>
      </c>
      <c r="E7802" s="2" t="str">
        <f>"9781760466237"</f>
        <v>9781760466237</v>
      </c>
      <c r="F7802" s="2" t="str">
        <f>"9781760466244"</f>
        <v>9781760466244</v>
      </c>
    </row>
    <row r="7803" spans="1:6" s="3" customFormat="1" ht="29.1" customHeight="1" x14ac:dyDescent="0.25">
      <c r="A7803" s="2" t="s">
        <v>16296</v>
      </c>
      <c r="B7803" s="2" t="s">
        <v>16297</v>
      </c>
      <c r="C7803" s="2" t="s">
        <v>2133</v>
      </c>
      <c r="D7803" s="2" t="s">
        <v>818</v>
      </c>
      <c r="E7803" s="2" t="str">
        <f>"9781760466114"</f>
        <v>9781760466114</v>
      </c>
      <c r="F7803" s="2" t="str">
        <f>"9781760466121"</f>
        <v>9781760466121</v>
      </c>
    </row>
    <row r="7804" spans="1:6" s="3" customFormat="1" ht="29.1" customHeight="1" x14ac:dyDescent="0.25">
      <c r="A7804" s="2" t="s">
        <v>16298</v>
      </c>
      <c r="B7804" s="2" t="s">
        <v>16299</v>
      </c>
      <c r="C7804" s="2" t="s">
        <v>2133</v>
      </c>
      <c r="D7804" s="2" t="s">
        <v>210</v>
      </c>
      <c r="E7804" s="2" t="str">
        <f>"9781760465711"</f>
        <v>9781760465711</v>
      </c>
      <c r="F7804" s="2" t="str">
        <f>"9781760465728"</f>
        <v>9781760465728</v>
      </c>
    </row>
    <row r="7805" spans="1:6" s="3" customFormat="1" ht="29.1" customHeight="1" x14ac:dyDescent="0.25">
      <c r="A7805" s="2" t="s">
        <v>16300</v>
      </c>
      <c r="B7805" s="2" t="s">
        <v>16301</v>
      </c>
      <c r="C7805" s="2" t="s">
        <v>2133</v>
      </c>
      <c r="D7805" s="2" t="s">
        <v>15625</v>
      </c>
      <c r="E7805" s="2" t="str">
        <f>"9781760466138"</f>
        <v>9781760466138</v>
      </c>
      <c r="F7805" s="2" t="str">
        <f>"9781760466145"</f>
        <v>9781760466145</v>
      </c>
    </row>
    <row r="7806" spans="1:6" s="3" customFormat="1" ht="29.1" customHeight="1" x14ac:dyDescent="0.25">
      <c r="A7806" s="2" t="s">
        <v>16302</v>
      </c>
      <c r="B7806" s="2" t="s">
        <v>16303</v>
      </c>
      <c r="C7806" s="2" t="s">
        <v>2133</v>
      </c>
      <c r="D7806" s="2" t="s">
        <v>4059</v>
      </c>
      <c r="E7806" s="2" t="str">
        <f>"9781760466077"</f>
        <v>9781760466077</v>
      </c>
      <c r="F7806" s="2" t="str">
        <f>"9781760466084"</f>
        <v>9781760466084</v>
      </c>
    </row>
    <row r="7807" spans="1:6" s="3" customFormat="1" ht="29.1" customHeight="1" x14ac:dyDescent="0.25">
      <c r="A7807" s="2" t="s">
        <v>16304</v>
      </c>
      <c r="B7807" s="2" t="s">
        <v>16305</v>
      </c>
      <c r="C7807" s="2" t="s">
        <v>2133</v>
      </c>
      <c r="D7807" s="2" t="s">
        <v>10493</v>
      </c>
      <c r="E7807" s="2" t="str">
        <f>"9781760465896"</f>
        <v>9781760465896</v>
      </c>
      <c r="F7807" s="2" t="str">
        <f>"9781760465902"</f>
        <v>9781760465902</v>
      </c>
    </row>
    <row r="7808" spans="1:6" s="3" customFormat="1" ht="29.1" customHeight="1" x14ac:dyDescent="0.25">
      <c r="A7808" s="2" t="s">
        <v>16306</v>
      </c>
      <c r="B7808" s="2" t="s">
        <v>16307</v>
      </c>
      <c r="C7808" s="2" t="s">
        <v>2133</v>
      </c>
      <c r="D7808" s="2" t="s">
        <v>4059</v>
      </c>
      <c r="E7808" s="2" t="str">
        <f>"9781760466053"</f>
        <v>9781760466053</v>
      </c>
      <c r="F7808" s="2" t="str">
        <f>"9781760466060"</f>
        <v>9781760466060</v>
      </c>
    </row>
    <row r="7809" spans="1:6" s="3" customFormat="1" ht="29.1" customHeight="1" x14ac:dyDescent="0.25">
      <c r="A7809" s="2" t="s">
        <v>16308</v>
      </c>
      <c r="B7809" s="2" t="s">
        <v>16309</v>
      </c>
      <c r="C7809" s="2" t="s">
        <v>2133</v>
      </c>
      <c r="D7809" s="2" t="s">
        <v>3001</v>
      </c>
      <c r="E7809" s="2" t="str">
        <f>"9781760465971"</f>
        <v>9781760465971</v>
      </c>
      <c r="F7809" s="2" t="str">
        <f>"9781760465988"</f>
        <v>9781760465988</v>
      </c>
    </row>
    <row r="7810" spans="1:6" s="3" customFormat="1" ht="29.1" customHeight="1" x14ac:dyDescent="0.25">
      <c r="A7810" s="2" t="s">
        <v>16310</v>
      </c>
      <c r="B7810" s="2" t="s">
        <v>16311</v>
      </c>
      <c r="C7810" s="2" t="s">
        <v>2133</v>
      </c>
      <c r="D7810" s="2" t="s">
        <v>1806</v>
      </c>
      <c r="E7810" s="2" t="str">
        <f>"9781760466015"</f>
        <v>9781760466015</v>
      </c>
      <c r="F7810" s="2" t="str">
        <f>"9781760466022"</f>
        <v>9781760466022</v>
      </c>
    </row>
    <row r="7811" spans="1:6" s="3" customFormat="1" ht="29.1" customHeight="1" x14ac:dyDescent="0.25">
      <c r="A7811" s="2" t="s">
        <v>16312</v>
      </c>
      <c r="B7811" s="2" t="s">
        <v>16309</v>
      </c>
      <c r="C7811" s="2" t="s">
        <v>2133</v>
      </c>
      <c r="D7811" s="2" t="s">
        <v>3001</v>
      </c>
      <c r="E7811" s="2" t="str">
        <f>"9781760465957"</f>
        <v>9781760465957</v>
      </c>
      <c r="F7811" s="2" t="str">
        <f>"9781760465964"</f>
        <v>9781760465964</v>
      </c>
    </row>
    <row r="7812" spans="1:6" s="3" customFormat="1" ht="29.1" customHeight="1" x14ac:dyDescent="0.25">
      <c r="A7812" s="2" t="s">
        <v>16313</v>
      </c>
      <c r="B7812" s="2" t="s">
        <v>16314</v>
      </c>
      <c r="C7812" s="2" t="s">
        <v>2133</v>
      </c>
      <c r="D7812" s="2" t="s">
        <v>4059</v>
      </c>
      <c r="E7812" s="2" t="str">
        <f>"9781760465995"</f>
        <v>9781760465995</v>
      </c>
      <c r="F7812" s="2" t="str">
        <f>"9781760466008"</f>
        <v>9781760466008</v>
      </c>
    </row>
    <row r="7813" spans="1:6" s="3" customFormat="1" ht="29.1" customHeight="1" x14ac:dyDescent="0.25">
      <c r="A7813" s="2" t="s">
        <v>16315</v>
      </c>
      <c r="B7813" s="2" t="s">
        <v>16316</v>
      </c>
      <c r="C7813" s="2" t="s">
        <v>2133</v>
      </c>
      <c r="D7813" s="2" t="s">
        <v>92</v>
      </c>
      <c r="E7813" s="2" t="str">
        <f>"9781760466091"</f>
        <v>9781760466091</v>
      </c>
      <c r="F7813" s="2" t="str">
        <f>"9781760466107"</f>
        <v>9781760466107</v>
      </c>
    </row>
    <row r="7814" spans="1:6" s="3" customFormat="1" ht="29.1" customHeight="1" x14ac:dyDescent="0.25">
      <c r="A7814" s="2" t="s">
        <v>16317</v>
      </c>
      <c r="B7814" s="2" t="s">
        <v>16318</v>
      </c>
      <c r="C7814" s="2" t="s">
        <v>2133</v>
      </c>
      <c r="D7814" s="2" t="s">
        <v>13300</v>
      </c>
      <c r="E7814" s="2" t="str">
        <f>"9781760466039"</f>
        <v>9781760466039</v>
      </c>
      <c r="F7814" s="2" t="str">
        <f>"9781760466046"</f>
        <v>9781760466046</v>
      </c>
    </row>
    <row r="7815" spans="1:6" s="3" customFormat="1" ht="29.1" customHeight="1" x14ac:dyDescent="0.25">
      <c r="A7815" s="2" t="s">
        <v>16319</v>
      </c>
      <c r="B7815" s="2" t="s">
        <v>16320</v>
      </c>
      <c r="C7815" s="2" t="s">
        <v>2133</v>
      </c>
      <c r="D7815" s="2" t="s">
        <v>1432</v>
      </c>
      <c r="E7815" s="2" t="str">
        <f>"9781760465919"</f>
        <v>9781760465919</v>
      </c>
      <c r="F7815" s="2" t="str">
        <f>"9781760465926"</f>
        <v>9781760465926</v>
      </c>
    </row>
    <row r="7816" spans="1:6" s="3" customFormat="1" ht="29.1" customHeight="1" x14ac:dyDescent="0.25">
      <c r="A7816" s="2" t="s">
        <v>16321</v>
      </c>
      <c r="B7816" s="2" t="s">
        <v>16322</v>
      </c>
      <c r="C7816" s="2" t="s">
        <v>2133</v>
      </c>
      <c r="D7816" s="2" t="s">
        <v>818</v>
      </c>
      <c r="E7816" s="2" t="str">
        <f>"9781921666964"</f>
        <v>9781921666964</v>
      </c>
      <c r="F7816" s="2" t="str">
        <f>"9781921666971"</f>
        <v>9781921666971</v>
      </c>
    </row>
    <row r="7817" spans="1:6" s="3" customFormat="1" ht="29.1" customHeight="1" x14ac:dyDescent="0.25">
      <c r="A7817" s="2" t="s">
        <v>16323</v>
      </c>
      <c r="B7817" s="2" t="s">
        <v>16324</v>
      </c>
      <c r="C7817" s="2" t="s">
        <v>2133</v>
      </c>
      <c r="D7817" s="2" t="s">
        <v>858</v>
      </c>
      <c r="E7817" s="2" t="str">
        <f>"9781921862168"</f>
        <v>9781921862168</v>
      </c>
      <c r="F7817" s="2" t="str">
        <f>"9781921862175"</f>
        <v>9781921862175</v>
      </c>
    </row>
    <row r="7818" spans="1:6" s="3" customFormat="1" ht="29.1" customHeight="1" x14ac:dyDescent="0.25">
      <c r="A7818" s="2" t="s">
        <v>16325</v>
      </c>
      <c r="B7818" s="2" t="s">
        <v>16326</v>
      </c>
      <c r="C7818" s="2" t="s">
        <v>2133</v>
      </c>
      <c r="D7818" s="2" t="s">
        <v>9312</v>
      </c>
      <c r="E7818" s="2" t="str">
        <f>"9781921666308"</f>
        <v>9781921666308</v>
      </c>
      <c r="F7818" s="2" t="str">
        <f>"9781921666315"</f>
        <v>9781921666315</v>
      </c>
    </row>
    <row r="7819" spans="1:6" s="3" customFormat="1" ht="29.1" customHeight="1" x14ac:dyDescent="0.25">
      <c r="A7819" s="2" t="s">
        <v>16327</v>
      </c>
      <c r="B7819" s="2" t="s">
        <v>16328</v>
      </c>
      <c r="C7819" s="2" t="s">
        <v>2133</v>
      </c>
      <c r="D7819" s="2" t="s">
        <v>4059</v>
      </c>
      <c r="E7819" s="2" t="str">
        <f>"9781921313202"</f>
        <v>9781921313202</v>
      </c>
      <c r="F7819" s="2" t="str">
        <f>"9781921313219"</f>
        <v>9781921313219</v>
      </c>
    </row>
    <row r="7820" spans="1:6" s="3" customFormat="1" ht="29.1" customHeight="1" x14ac:dyDescent="0.25">
      <c r="A7820" s="2" t="s">
        <v>16329</v>
      </c>
      <c r="B7820" s="2" t="s">
        <v>16330</v>
      </c>
      <c r="C7820" s="2" t="s">
        <v>2133</v>
      </c>
      <c r="D7820" s="2" t="s">
        <v>4059</v>
      </c>
      <c r="E7820" s="2" t="str">
        <f>"9781921666445"</f>
        <v>9781921666445</v>
      </c>
      <c r="F7820" s="2" t="str">
        <f>"9781921666452"</f>
        <v>9781921666452</v>
      </c>
    </row>
    <row r="7821" spans="1:6" s="3" customFormat="1" ht="29.1" customHeight="1" x14ac:dyDescent="0.25">
      <c r="A7821" s="2" t="s">
        <v>16331</v>
      </c>
      <c r="B7821" s="2" t="s">
        <v>16332</v>
      </c>
      <c r="C7821" s="2" t="s">
        <v>2133</v>
      </c>
      <c r="D7821" s="2" t="s">
        <v>636</v>
      </c>
      <c r="E7821" s="2" t="str">
        <f>"9781921862342"</f>
        <v>9781921862342</v>
      </c>
      <c r="F7821" s="2" t="str">
        <f>"9781921862359"</f>
        <v>9781921862359</v>
      </c>
    </row>
    <row r="7822" spans="1:6" s="3" customFormat="1" ht="29.1" customHeight="1" x14ac:dyDescent="0.25">
      <c r="A7822" s="2" t="s">
        <v>16333</v>
      </c>
      <c r="B7822" s="2" t="s">
        <v>16334</v>
      </c>
      <c r="C7822" s="2" t="s">
        <v>2133</v>
      </c>
      <c r="D7822" s="2" t="s">
        <v>2899</v>
      </c>
      <c r="E7822" s="2" t="str">
        <f>"9780731537457"</f>
        <v>9780731537457</v>
      </c>
      <c r="F7822" s="2" t="str">
        <f>"9781920942182"</f>
        <v>9781920942182</v>
      </c>
    </row>
    <row r="7823" spans="1:6" s="3" customFormat="1" ht="29.1" customHeight="1" x14ac:dyDescent="0.25">
      <c r="A7823" s="2" t="s">
        <v>16335</v>
      </c>
      <c r="B7823" s="2" t="s">
        <v>16309</v>
      </c>
      <c r="C7823" s="2" t="s">
        <v>2133</v>
      </c>
      <c r="D7823" s="2" t="s">
        <v>3001</v>
      </c>
      <c r="E7823" s="2" t="str">
        <f>"9781921862403"</f>
        <v>9781921862403</v>
      </c>
      <c r="F7823" s="2" t="str">
        <f>"9781921862410"</f>
        <v>9781921862410</v>
      </c>
    </row>
    <row r="7824" spans="1:6" s="3" customFormat="1" ht="29.1" customHeight="1" x14ac:dyDescent="0.25">
      <c r="A7824" s="2" t="s">
        <v>16336</v>
      </c>
      <c r="B7824" s="2" t="s">
        <v>16337</v>
      </c>
      <c r="C7824" s="2" t="s">
        <v>2133</v>
      </c>
      <c r="D7824" s="2" t="s">
        <v>92</v>
      </c>
      <c r="E7824" s="2" t="str">
        <f>"9780731537211"</f>
        <v>9780731537211</v>
      </c>
      <c r="F7824" s="2" t="str">
        <f>"9781920942557"</f>
        <v>9781920942557</v>
      </c>
    </row>
    <row r="7825" spans="1:6" s="3" customFormat="1" ht="29.1" customHeight="1" x14ac:dyDescent="0.25">
      <c r="A7825" s="2" t="s">
        <v>16338</v>
      </c>
      <c r="B7825" s="2" t="s">
        <v>16339</v>
      </c>
      <c r="C7825" s="2" t="s">
        <v>2133</v>
      </c>
      <c r="D7825" s="2" t="s">
        <v>92</v>
      </c>
      <c r="E7825" s="2" t="str">
        <f>"9781921862069"</f>
        <v>9781921862069</v>
      </c>
      <c r="F7825" s="2" t="str">
        <f>"9781921862076"</f>
        <v>9781921862076</v>
      </c>
    </row>
    <row r="7826" spans="1:6" s="3" customFormat="1" ht="29.1" customHeight="1" x14ac:dyDescent="0.25">
      <c r="A7826" s="2" t="s">
        <v>16340</v>
      </c>
      <c r="B7826" s="2" t="s">
        <v>16341</v>
      </c>
      <c r="C7826" s="2" t="s">
        <v>2133</v>
      </c>
      <c r="D7826" s="2" t="s">
        <v>92</v>
      </c>
      <c r="E7826" s="2" t="str">
        <f>"9781921536816"</f>
        <v>9781921536816</v>
      </c>
      <c r="F7826" s="2" t="str">
        <f>"9781921536809"</f>
        <v>9781921536809</v>
      </c>
    </row>
    <row r="7827" spans="1:6" s="3" customFormat="1" ht="29.1" customHeight="1" x14ac:dyDescent="0.25">
      <c r="A7827" s="2" t="s">
        <v>16342</v>
      </c>
      <c r="B7827" s="2" t="s">
        <v>16343</v>
      </c>
      <c r="C7827" s="2" t="s">
        <v>2133</v>
      </c>
      <c r="D7827" s="2" t="s">
        <v>606</v>
      </c>
      <c r="E7827" s="2" t="str">
        <f>"9781921862229"</f>
        <v>9781921862229</v>
      </c>
      <c r="F7827" s="2" t="str">
        <f>"9781921862236"</f>
        <v>9781921862236</v>
      </c>
    </row>
    <row r="7828" spans="1:6" s="3" customFormat="1" ht="29.1" customHeight="1" x14ac:dyDescent="0.25">
      <c r="A7828" s="2" t="s">
        <v>16344</v>
      </c>
      <c r="B7828" s="2" t="s">
        <v>16345</v>
      </c>
      <c r="C7828" s="2" t="s">
        <v>2133</v>
      </c>
      <c r="D7828" s="2" t="s">
        <v>636</v>
      </c>
      <c r="E7828" s="2" t="str">
        <f>"9781921862205"</f>
        <v>9781921862205</v>
      </c>
      <c r="F7828" s="2" t="str">
        <f>"9781921862212"</f>
        <v>9781921862212</v>
      </c>
    </row>
    <row r="7829" spans="1:6" s="3" customFormat="1" ht="29.1" customHeight="1" x14ac:dyDescent="0.25">
      <c r="A7829" s="2" t="s">
        <v>16346</v>
      </c>
      <c r="B7829" s="2" t="s">
        <v>16347</v>
      </c>
      <c r="C7829" s="2" t="s">
        <v>2133</v>
      </c>
      <c r="D7829" s="2" t="s">
        <v>4059</v>
      </c>
      <c r="E7829" s="2" t="str">
        <f>"9781921862120"</f>
        <v>9781921862120</v>
      </c>
      <c r="F7829" s="2" t="str">
        <f>"9781921862137"</f>
        <v>9781921862137</v>
      </c>
    </row>
    <row r="7830" spans="1:6" s="3" customFormat="1" ht="29.1" customHeight="1" x14ac:dyDescent="0.25">
      <c r="A7830" s="2" t="s">
        <v>16348</v>
      </c>
      <c r="B7830" s="2" t="s">
        <v>16349</v>
      </c>
      <c r="C7830" s="2" t="s">
        <v>248</v>
      </c>
      <c r="D7830" s="2" t="s">
        <v>7079</v>
      </c>
      <c r="E7830" s="2" t="str">
        <f>"9783847430421"</f>
        <v>9783847430421</v>
      </c>
      <c r="F7830" s="2" t="str">
        <f>"9783847419884"</f>
        <v>9783847419884</v>
      </c>
    </row>
    <row r="7831" spans="1:6" s="3" customFormat="1" ht="29.1" customHeight="1" x14ac:dyDescent="0.25">
      <c r="A7831" s="2" t="s">
        <v>16350</v>
      </c>
      <c r="B7831" s="2" t="s">
        <v>16351</v>
      </c>
      <c r="C7831" s="2" t="s">
        <v>248</v>
      </c>
      <c r="D7831" s="2" t="s">
        <v>2752</v>
      </c>
      <c r="E7831" s="2" t="str">
        <f>"9783847427520"</f>
        <v>9783847427520</v>
      </c>
      <c r="F7831" s="2" t="str">
        <f>"9783847419228"</f>
        <v>9783847419228</v>
      </c>
    </row>
    <row r="7832" spans="1:6" s="3" customFormat="1" ht="29.1" customHeight="1" x14ac:dyDescent="0.25">
      <c r="A7832" s="2" t="s">
        <v>16352</v>
      </c>
      <c r="B7832" s="2" t="s">
        <v>16353</v>
      </c>
      <c r="C7832" s="2" t="s">
        <v>248</v>
      </c>
      <c r="D7832" s="2" t="s">
        <v>998</v>
      </c>
      <c r="E7832" s="2" t="str">
        <f>"9783847426783"</f>
        <v>9783847426783</v>
      </c>
      <c r="F7832" s="2" t="str">
        <f>"9783847418511"</f>
        <v>9783847418511</v>
      </c>
    </row>
    <row r="7833" spans="1:6" s="3" customFormat="1" ht="29.1" customHeight="1" x14ac:dyDescent="0.25">
      <c r="A7833" s="2" t="s">
        <v>16354</v>
      </c>
      <c r="B7833" s="2" t="s">
        <v>16355</v>
      </c>
      <c r="C7833" s="2" t="s">
        <v>248</v>
      </c>
      <c r="D7833" s="2" t="s">
        <v>7079</v>
      </c>
      <c r="E7833" s="2" t="str">
        <f>"9783847425519"</f>
        <v>9783847425519</v>
      </c>
      <c r="F7833" s="2" t="str">
        <f>"9783847416982"</f>
        <v>9783847416982</v>
      </c>
    </row>
    <row r="7834" spans="1:6" s="3" customFormat="1" ht="29.1" customHeight="1" x14ac:dyDescent="0.25">
      <c r="A7834" s="2" t="s">
        <v>16356</v>
      </c>
      <c r="B7834" s="2" t="s">
        <v>16357</v>
      </c>
      <c r="C7834" s="2" t="s">
        <v>248</v>
      </c>
      <c r="D7834" s="2" t="s">
        <v>1927</v>
      </c>
      <c r="E7834" s="2" t="str">
        <f>"9783847427018"</f>
        <v>9783847427018</v>
      </c>
      <c r="F7834" s="2" t="str">
        <f>"9783847418719"</f>
        <v>9783847418719</v>
      </c>
    </row>
    <row r="7835" spans="1:6" s="3" customFormat="1" ht="29.1" customHeight="1" x14ac:dyDescent="0.25">
      <c r="A7835" s="2" t="s">
        <v>16358</v>
      </c>
      <c r="B7835" s="2" t="s">
        <v>16359</v>
      </c>
      <c r="C7835" s="2" t="s">
        <v>248</v>
      </c>
      <c r="D7835" s="2" t="s">
        <v>9</v>
      </c>
      <c r="E7835" s="2" t="str">
        <f>"9783847430087"</f>
        <v>9783847430087</v>
      </c>
      <c r="F7835" s="2" t="str">
        <f>"9783847419457"</f>
        <v>9783847419457</v>
      </c>
    </row>
    <row r="7836" spans="1:6" s="3" customFormat="1" ht="29.1" customHeight="1" x14ac:dyDescent="0.25">
      <c r="A7836" s="2" t="s">
        <v>16360</v>
      </c>
      <c r="B7836" s="2" t="s">
        <v>16361</v>
      </c>
      <c r="C7836" s="2" t="s">
        <v>149</v>
      </c>
      <c r="D7836" s="2" t="s">
        <v>1253</v>
      </c>
      <c r="E7836" s="2"/>
      <c r="F7836" s="2" t="str">
        <f>"9781805111788"</f>
        <v>9781805111788</v>
      </c>
    </row>
    <row r="7837" spans="1:6" s="3" customFormat="1" ht="29.1" customHeight="1" x14ac:dyDescent="0.25">
      <c r="A7837" s="2" t="s">
        <v>16362</v>
      </c>
      <c r="B7837" s="2" t="s">
        <v>4889</v>
      </c>
      <c r="C7837" s="2" t="s">
        <v>5</v>
      </c>
      <c r="D7837" s="2" t="s">
        <v>636</v>
      </c>
      <c r="E7837" s="2" t="str">
        <f>"9782384762118"</f>
        <v>9782384762118</v>
      </c>
      <c r="F7837" s="2" t="str">
        <f>"9782384762125"</f>
        <v>9782384762125</v>
      </c>
    </row>
    <row r="7838" spans="1:6" s="3" customFormat="1" ht="29.1" customHeight="1" x14ac:dyDescent="0.25">
      <c r="A7838" s="2" t="s">
        <v>16363</v>
      </c>
      <c r="B7838" s="2" t="s">
        <v>16364</v>
      </c>
      <c r="C7838" s="2" t="s">
        <v>5</v>
      </c>
      <c r="D7838" s="2" t="s">
        <v>44</v>
      </c>
      <c r="E7838" s="2" t="str">
        <f>"9789464633719"</f>
        <v>9789464633719</v>
      </c>
      <c r="F7838" s="2" t="str">
        <f>"9789464633726"</f>
        <v>9789464633726</v>
      </c>
    </row>
    <row r="7839" spans="1:6" s="3" customFormat="1" ht="29.1" customHeight="1" x14ac:dyDescent="0.25">
      <c r="A7839" s="2" t="s">
        <v>16365</v>
      </c>
      <c r="B7839" s="2" t="s">
        <v>8344</v>
      </c>
      <c r="C7839" s="2" t="s">
        <v>5</v>
      </c>
      <c r="D7839" s="2" t="s">
        <v>8343</v>
      </c>
      <c r="E7839" s="2" t="str">
        <f>"9783031506741"</f>
        <v>9783031506741</v>
      </c>
      <c r="F7839" s="2" t="str">
        <f>"9783031506758"</f>
        <v>9783031506758</v>
      </c>
    </row>
    <row r="7840" spans="1:6" s="3" customFormat="1" ht="29.1" customHeight="1" x14ac:dyDescent="0.25">
      <c r="A7840" s="2" t="s">
        <v>16366</v>
      </c>
      <c r="B7840" s="2" t="s">
        <v>16367</v>
      </c>
      <c r="C7840" s="2" t="s">
        <v>5</v>
      </c>
      <c r="D7840" s="2" t="s">
        <v>694</v>
      </c>
      <c r="E7840" s="2" t="str">
        <f>"9783031491955"</f>
        <v>9783031491955</v>
      </c>
      <c r="F7840" s="2" t="str">
        <f>"9783031491962"</f>
        <v>9783031491962</v>
      </c>
    </row>
    <row r="7841" spans="1:6" s="3" customFormat="1" ht="29.1" customHeight="1" x14ac:dyDescent="0.25">
      <c r="A7841" s="2" t="s">
        <v>16368</v>
      </c>
      <c r="B7841" s="2" t="s">
        <v>16369</v>
      </c>
      <c r="C7841" s="2" t="s">
        <v>124</v>
      </c>
      <c r="D7841" s="2" t="s">
        <v>2086</v>
      </c>
      <c r="E7841" s="2" t="str">
        <f>"9781032454009"</f>
        <v>9781032454009</v>
      </c>
      <c r="F7841" s="2" t="str">
        <f>"9781003376774"</f>
        <v>9781003376774</v>
      </c>
    </row>
    <row r="7842" spans="1:6" s="3" customFormat="1" ht="29.1" customHeight="1" x14ac:dyDescent="0.25">
      <c r="A7842" s="2" t="s">
        <v>16370</v>
      </c>
      <c r="B7842" s="2" t="s">
        <v>16371</v>
      </c>
      <c r="C7842" s="2" t="s">
        <v>124</v>
      </c>
      <c r="D7842" s="2" t="s">
        <v>2587</v>
      </c>
      <c r="E7842" s="2" t="str">
        <f>"9781032462097"</f>
        <v>9781032462097</v>
      </c>
      <c r="F7842" s="2" t="str">
        <f>"9781003380566"</f>
        <v>9781003380566</v>
      </c>
    </row>
    <row r="7843" spans="1:6" s="3" customFormat="1" ht="29.1" customHeight="1" x14ac:dyDescent="0.25">
      <c r="A7843" s="2" t="s">
        <v>16372</v>
      </c>
      <c r="B7843" s="2" t="s">
        <v>16373</v>
      </c>
      <c r="C7843" s="2" t="s">
        <v>124</v>
      </c>
      <c r="D7843" s="2" t="s">
        <v>189</v>
      </c>
      <c r="E7843" s="2" t="str">
        <f>"9781032536484"</f>
        <v>9781032536484</v>
      </c>
      <c r="F7843" s="2" t="str">
        <f>"9781003412960"</f>
        <v>9781003412960</v>
      </c>
    </row>
    <row r="7844" spans="1:6" s="3" customFormat="1" ht="29.1" customHeight="1" x14ac:dyDescent="0.25">
      <c r="A7844" s="2" t="s">
        <v>16374</v>
      </c>
      <c r="B7844" s="2" t="s">
        <v>4166</v>
      </c>
      <c r="C7844" s="2" t="s">
        <v>264</v>
      </c>
      <c r="D7844" s="2" t="s">
        <v>44</v>
      </c>
      <c r="E7844" s="2" t="str">
        <f>"9781032344164"</f>
        <v>9781032344164</v>
      </c>
      <c r="F7844" s="2" t="str">
        <f>"9781003322054"</f>
        <v>9781003322054</v>
      </c>
    </row>
    <row r="7845" spans="1:6" s="3" customFormat="1" ht="29.1" customHeight="1" x14ac:dyDescent="0.25">
      <c r="A7845" s="2" t="s">
        <v>16375</v>
      </c>
      <c r="B7845" s="2" t="s">
        <v>16376</v>
      </c>
      <c r="C7845" s="2" t="s">
        <v>124</v>
      </c>
      <c r="D7845" s="2" t="s">
        <v>353</v>
      </c>
      <c r="E7845" s="2" t="str">
        <f>"9780367463236"</f>
        <v>9780367463236</v>
      </c>
      <c r="F7845" s="2" t="str">
        <f>"9781003028161"</f>
        <v>9781003028161</v>
      </c>
    </row>
    <row r="7846" spans="1:6" s="3" customFormat="1" ht="29.1" customHeight="1" x14ac:dyDescent="0.25">
      <c r="A7846" s="2" t="s">
        <v>16377</v>
      </c>
      <c r="B7846" s="2" t="s">
        <v>16378</v>
      </c>
      <c r="C7846" s="2" t="s">
        <v>5</v>
      </c>
      <c r="D7846" s="2" t="s">
        <v>724</v>
      </c>
      <c r="E7846" s="2" t="str">
        <f>"9783031464515"</f>
        <v>9783031464515</v>
      </c>
      <c r="F7846" s="2" t="str">
        <f>"9783031464522"</f>
        <v>9783031464522</v>
      </c>
    </row>
    <row r="7847" spans="1:6" s="3" customFormat="1" ht="29.1" customHeight="1" x14ac:dyDescent="0.25">
      <c r="A7847" s="2" t="s">
        <v>16379</v>
      </c>
      <c r="B7847" s="2" t="s">
        <v>6907</v>
      </c>
      <c r="C7847" s="2" t="s">
        <v>5</v>
      </c>
      <c r="D7847" s="2" t="s">
        <v>5092</v>
      </c>
      <c r="E7847" s="2" t="str">
        <f>"9783031518188"</f>
        <v>9783031518188</v>
      </c>
      <c r="F7847" s="2" t="str">
        <f>"9783031518195"</f>
        <v>9783031518195</v>
      </c>
    </row>
    <row r="7848" spans="1:6" s="3" customFormat="1" ht="29.1" customHeight="1" x14ac:dyDescent="0.25">
      <c r="A7848" s="2" t="s">
        <v>16380</v>
      </c>
      <c r="B7848" s="2" t="s">
        <v>16382</v>
      </c>
      <c r="C7848" s="2" t="s">
        <v>5</v>
      </c>
      <c r="D7848" s="2" t="s">
        <v>16381</v>
      </c>
      <c r="E7848" s="2" t="str">
        <f>"9783031532269"</f>
        <v>9783031532269</v>
      </c>
      <c r="F7848" s="2" t="str">
        <f>"9783031532276"</f>
        <v>9783031532276</v>
      </c>
    </row>
    <row r="7849" spans="1:6" s="3" customFormat="1" ht="29.1" customHeight="1" x14ac:dyDescent="0.25">
      <c r="A7849" s="2" t="s">
        <v>16383</v>
      </c>
      <c r="B7849" s="2" t="s">
        <v>16384</v>
      </c>
      <c r="C7849" s="2" t="s">
        <v>5</v>
      </c>
      <c r="D7849" s="2" t="s">
        <v>256</v>
      </c>
      <c r="E7849" s="2" t="str">
        <f>"9783031503528"</f>
        <v>9783031503528</v>
      </c>
      <c r="F7849" s="2" t="str">
        <f>"9783031503535"</f>
        <v>9783031503535</v>
      </c>
    </row>
    <row r="7850" spans="1:6" s="3" customFormat="1" ht="29.1" customHeight="1" x14ac:dyDescent="0.25">
      <c r="A7850" s="2" t="s">
        <v>16385</v>
      </c>
      <c r="B7850" s="2" t="s">
        <v>16386</v>
      </c>
      <c r="C7850" s="2" t="s">
        <v>5</v>
      </c>
      <c r="D7850" s="2" t="s">
        <v>1988</v>
      </c>
      <c r="E7850" s="2" t="str">
        <f>"9783031456787"</f>
        <v>9783031456787</v>
      </c>
      <c r="F7850" s="2" t="str">
        <f>"9783031456794"</f>
        <v>9783031456794</v>
      </c>
    </row>
    <row r="7851" spans="1:6" s="3" customFormat="1" ht="29.1" customHeight="1" x14ac:dyDescent="0.25">
      <c r="A7851" s="2" t="s">
        <v>16387</v>
      </c>
      <c r="B7851" s="2" t="s">
        <v>16388</v>
      </c>
      <c r="C7851" s="2" t="s">
        <v>1070</v>
      </c>
      <c r="D7851" s="2" t="s">
        <v>1313</v>
      </c>
      <c r="E7851" s="2" t="str">
        <f>"9783805579964"</f>
        <v>9783805579964</v>
      </c>
      <c r="F7851" s="2" t="str">
        <f>"9783318012651"</f>
        <v>9783318012651</v>
      </c>
    </row>
    <row r="7852" spans="1:6" s="3" customFormat="1" ht="29.1" customHeight="1" x14ac:dyDescent="0.25">
      <c r="A7852" s="2" t="s">
        <v>16389</v>
      </c>
      <c r="B7852" s="2" t="s">
        <v>16390</v>
      </c>
      <c r="C7852" s="2" t="s">
        <v>1070</v>
      </c>
      <c r="D7852" s="2" t="s">
        <v>8343</v>
      </c>
      <c r="E7852" s="2" t="str">
        <f>"9783805581998"</f>
        <v>9783805581998</v>
      </c>
      <c r="F7852" s="2" t="str">
        <f>"9783318014150"</f>
        <v>9783318014150</v>
      </c>
    </row>
    <row r="7853" spans="1:6" s="3" customFormat="1" ht="29.1" customHeight="1" x14ac:dyDescent="0.25">
      <c r="A7853" s="2" t="s">
        <v>8188</v>
      </c>
      <c r="B7853" s="2" t="s">
        <v>16391</v>
      </c>
      <c r="C7853" s="2" t="s">
        <v>1070</v>
      </c>
      <c r="D7853" s="2" t="s">
        <v>8189</v>
      </c>
      <c r="E7853" s="2" t="str">
        <f>"9783318073409"</f>
        <v>9783318073409</v>
      </c>
      <c r="F7853" s="2" t="str">
        <f>"9783318073416"</f>
        <v>9783318073416</v>
      </c>
    </row>
    <row r="7854" spans="1:6" s="3" customFormat="1" ht="29.1" customHeight="1" x14ac:dyDescent="0.25">
      <c r="A7854" s="2" t="s">
        <v>16392</v>
      </c>
      <c r="B7854" s="2" t="s">
        <v>16388</v>
      </c>
      <c r="C7854" s="2" t="s">
        <v>1070</v>
      </c>
      <c r="D7854" s="2" t="s">
        <v>1313</v>
      </c>
      <c r="E7854" s="2" t="str">
        <f>"9783805581103"</f>
        <v>9783805581103</v>
      </c>
      <c r="F7854" s="2" t="str">
        <f>"9783318013405"</f>
        <v>9783318013405</v>
      </c>
    </row>
    <row r="7855" spans="1:6" s="3" customFormat="1" ht="29.1" customHeight="1" x14ac:dyDescent="0.25">
      <c r="A7855" s="2" t="s">
        <v>16393</v>
      </c>
      <c r="B7855" s="2" t="s">
        <v>16394</v>
      </c>
      <c r="C7855" s="2" t="s">
        <v>1070</v>
      </c>
      <c r="D7855" s="2" t="s">
        <v>1285</v>
      </c>
      <c r="E7855" s="2" t="str">
        <f>"9783805581899"</f>
        <v>9783805581899</v>
      </c>
      <c r="F7855" s="2" t="str">
        <f>"9783318014068"</f>
        <v>9783318014068</v>
      </c>
    </row>
    <row r="7856" spans="1:6" s="3" customFormat="1" ht="29.1" customHeight="1" x14ac:dyDescent="0.25">
      <c r="A7856" s="2" t="s">
        <v>16395</v>
      </c>
      <c r="B7856" s="2" t="s">
        <v>16388</v>
      </c>
      <c r="C7856" s="2" t="s">
        <v>1070</v>
      </c>
      <c r="D7856" s="2" t="s">
        <v>1313</v>
      </c>
      <c r="E7856" s="2" t="str">
        <f>"9783805583244"</f>
        <v>9783805583244</v>
      </c>
      <c r="F7856" s="2" t="str">
        <f>"9783318014846"</f>
        <v>9783318014846</v>
      </c>
    </row>
    <row r="7857" spans="1:6" s="3" customFormat="1" ht="29.1" customHeight="1" x14ac:dyDescent="0.25">
      <c r="A7857" s="2" t="s">
        <v>16396</v>
      </c>
      <c r="B7857" s="2" t="s">
        <v>16388</v>
      </c>
      <c r="C7857" s="2" t="s">
        <v>1070</v>
      </c>
      <c r="D7857" s="2" t="s">
        <v>1313</v>
      </c>
      <c r="E7857" s="2" t="str">
        <f>"9783805586610"</f>
        <v>9783805586610</v>
      </c>
      <c r="F7857" s="2" t="str">
        <f>"9783805586627"</f>
        <v>9783805586627</v>
      </c>
    </row>
    <row r="7858" spans="1:6" s="3" customFormat="1" ht="29.1" customHeight="1" x14ac:dyDescent="0.25">
      <c r="A7858" s="2" t="s">
        <v>16397</v>
      </c>
      <c r="B7858" s="2" t="s">
        <v>16398</v>
      </c>
      <c r="C7858" s="2" t="s">
        <v>5</v>
      </c>
      <c r="D7858" s="2" t="s">
        <v>9</v>
      </c>
      <c r="E7858" s="2" t="str">
        <f>"9782384762095"</f>
        <v>9782384762095</v>
      </c>
      <c r="F7858" s="2" t="str">
        <f>"9782384762101"</f>
        <v>9782384762101</v>
      </c>
    </row>
    <row r="7859" spans="1:6" s="3" customFormat="1" ht="29.1" customHeight="1" x14ac:dyDescent="0.25">
      <c r="A7859" s="2" t="s">
        <v>16399</v>
      </c>
      <c r="B7859" s="2" t="s">
        <v>16400</v>
      </c>
      <c r="C7859" s="2" t="s">
        <v>5</v>
      </c>
      <c r="D7859" s="2" t="s">
        <v>4739</v>
      </c>
      <c r="E7859" s="2" t="str">
        <f>"9783658435974"</f>
        <v>9783658435974</v>
      </c>
      <c r="F7859" s="2" t="str">
        <f>"9783658435981"</f>
        <v>9783658435981</v>
      </c>
    </row>
    <row r="7860" spans="1:6" s="3" customFormat="1" ht="29.1" customHeight="1" x14ac:dyDescent="0.25">
      <c r="A7860" s="2" t="s">
        <v>1358</v>
      </c>
      <c r="B7860" s="2" t="s">
        <v>16401</v>
      </c>
      <c r="C7860" s="2" t="s">
        <v>1070</v>
      </c>
      <c r="D7860" s="2" t="s">
        <v>1071</v>
      </c>
      <c r="E7860" s="2" t="str">
        <f>"9783318072525"</f>
        <v>9783318072525</v>
      </c>
      <c r="F7860" s="2" t="str">
        <f>"9783318072273"</f>
        <v>9783318072273</v>
      </c>
    </row>
    <row r="7861" spans="1:6" s="3" customFormat="1" ht="29.1" customHeight="1" x14ac:dyDescent="0.25">
      <c r="A7861" s="2" t="s">
        <v>1383</v>
      </c>
      <c r="B7861" s="2" t="s">
        <v>2098</v>
      </c>
      <c r="C7861" s="2" t="s">
        <v>1070</v>
      </c>
      <c r="D7861" s="2" t="s">
        <v>1310</v>
      </c>
      <c r="E7861" s="2" t="str">
        <f>"9783318072884"</f>
        <v>9783318072884</v>
      </c>
      <c r="F7861" s="2" t="str">
        <f>"9783318073478"</f>
        <v>9783318073478</v>
      </c>
    </row>
    <row r="7862" spans="1:6" s="3" customFormat="1" ht="29.1" customHeight="1" x14ac:dyDescent="0.25">
      <c r="A7862" s="2" t="s">
        <v>16402</v>
      </c>
      <c r="B7862" s="2" t="s">
        <v>16403</v>
      </c>
      <c r="C7862" s="2" t="s">
        <v>1070</v>
      </c>
      <c r="D7862" s="2" t="s">
        <v>468</v>
      </c>
      <c r="E7862" s="2" t="str">
        <f>"9783805512183"</f>
        <v>9783805512183</v>
      </c>
      <c r="F7862" s="2" t="str">
        <f>"9783318039085"</f>
        <v>9783318039085</v>
      </c>
    </row>
    <row r="7863" spans="1:6" s="3" customFormat="1" ht="29.1" customHeight="1" x14ac:dyDescent="0.25">
      <c r="A7863" s="2" t="s">
        <v>16404</v>
      </c>
      <c r="B7863" s="2" t="s">
        <v>16405</v>
      </c>
      <c r="C7863" s="2" t="s">
        <v>1070</v>
      </c>
      <c r="D7863" s="2" t="s">
        <v>3185</v>
      </c>
      <c r="E7863" s="2" t="str">
        <f>"9783318030334"</f>
        <v>9783318030334</v>
      </c>
      <c r="F7863" s="2" t="str">
        <f>"9783318030341"</f>
        <v>9783318030341</v>
      </c>
    </row>
    <row r="7864" spans="1:6" s="3" customFormat="1" ht="29.1" customHeight="1" x14ac:dyDescent="0.25">
      <c r="A7864" s="2" t="s">
        <v>1362</v>
      </c>
      <c r="B7864" s="2" t="s">
        <v>2070</v>
      </c>
      <c r="C7864" s="2" t="s">
        <v>9794</v>
      </c>
      <c r="D7864" s="2" t="s">
        <v>1265</v>
      </c>
      <c r="E7864" s="2" t="str">
        <f>"9783318072563"</f>
        <v>9783318072563</v>
      </c>
      <c r="F7864" s="2" t="str">
        <f>"9783318073027"</f>
        <v>9783318073027</v>
      </c>
    </row>
    <row r="7865" spans="1:6" s="3" customFormat="1" ht="29.1" customHeight="1" x14ac:dyDescent="0.25">
      <c r="A7865" s="2" t="s">
        <v>1364</v>
      </c>
      <c r="B7865" s="2" t="s">
        <v>16406</v>
      </c>
      <c r="C7865" s="2" t="s">
        <v>1070</v>
      </c>
      <c r="D7865" s="2" t="s">
        <v>1265</v>
      </c>
      <c r="E7865" s="2" t="str">
        <f>"9783318071511"</f>
        <v>9783318071511</v>
      </c>
      <c r="F7865" s="2" t="str">
        <f>"9783318072334"</f>
        <v>9783318072334</v>
      </c>
    </row>
    <row r="7866" spans="1:6" s="3" customFormat="1" ht="29.1" customHeight="1" x14ac:dyDescent="0.25">
      <c r="A7866" s="2" t="s">
        <v>16407</v>
      </c>
      <c r="B7866" s="2" t="s">
        <v>16408</v>
      </c>
      <c r="C7866" s="2" t="s">
        <v>1070</v>
      </c>
      <c r="D7866" s="2" t="s">
        <v>1310</v>
      </c>
      <c r="E7866" s="2" t="str">
        <f>"9783318054392"</f>
        <v>9783318054392</v>
      </c>
      <c r="F7866" s="2" t="str">
        <f>"9783318054408"</f>
        <v>9783318054408</v>
      </c>
    </row>
    <row r="7867" spans="1:6" s="3" customFormat="1" ht="29.1" customHeight="1" x14ac:dyDescent="0.25">
      <c r="A7867" s="2" t="s">
        <v>1367</v>
      </c>
      <c r="B7867" s="2" t="s">
        <v>16409</v>
      </c>
      <c r="C7867" s="2" t="s">
        <v>1070</v>
      </c>
      <c r="D7867" s="2" t="s">
        <v>1310</v>
      </c>
      <c r="E7867" s="2" t="str">
        <f>"9783318060812"</f>
        <v>9783318060812</v>
      </c>
      <c r="F7867" s="2" t="str">
        <f>"9783318073096"</f>
        <v>9783318073096</v>
      </c>
    </row>
    <row r="7868" spans="1:6" s="3" customFormat="1" ht="29.1" customHeight="1" x14ac:dyDescent="0.25">
      <c r="A7868" s="2" t="s">
        <v>16410</v>
      </c>
      <c r="B7868" s="2" t="s">
        <v>16411</v>
      </c>
      <c r="C7868" s="2" t="s">
        <v>1070</v>
      </c>
      <c r="D7868" s="2" t="s">
        <v>1387</v>
      </c>
      <c r="E7868" s="2" t="str">
        <f>"9783805598477"</f>
        <v>9783805598477</v>
      </c>
      <c r="F7868" s="2" t="str">
        <f>"9783805598484"</f>
        <v>9783805598484</v>
      </c>
    </row>
    <row r="7869" spans="1:6" s="3" customFormat="1" ht="29.1" customHeight="1" x14ac:dyDescent="0.25">
      <c r="A7869" s="2" t="s">
        <v>1363</v>
      </c>
      <c r="B7869" s="2" t="s">
        <v>2070</v>
      </c>
      <c r="C7869" s="2" t="s">
        <v>9794</v>
      </c>
      <c r="D7869" s="2" t="s">
        <v>1265</v>
      </c>
      <c r="E7869" s="2" t="str">
        <f>"9783318072570"</f>
        <v>9783318072570</v>
      </c>
      <c r="F7869" s="2" t="str">
        <f>"9783318073058"</f>
        <v>9783318073058</v>
      </c>
    </row>
    <row r="7870" spans="1:6" s="3" customFormat="1" ht="29.1" customHeight="1" x14ac:dyDescent="0.25">
      <c r="A7870" s="2" t="s">
        <v>16412</v>
      </c>
      <c r="B7870" s="2" t="s">
        <v>16413</v>
      </c>
      <c r="C7870" s="2" t="s">
        <v>1070</v>
      </c>
      <c r="D7870" s="2" t="s">
        <v>1498</v>
      </c>
      <c r="E7870" s="2" t="str">
        <f>"9783318064766"</f>
        <v>9783318064766</v>
      </c>
      <c r="F7870" s="2" t="str">
        <f>"9783318064773"</f>
        <v>9783318064773</v>
      </c>
    </row>
    <row r="7871" spans="1:6" s="3" customFormat="1" ht="29.1" customHeight="1" x14ac:dyDescent="0.25">
      <c r="A7871" s="2" t="s">
        <v>16414</v>
      </c>
      <c r="B7871" s="2" t="s">
        <v>16415</v>
      </c>
      <c r="C7871" s="2" t="s">
        <v>1070</v>
      </c>
      <c r="D7871" s="2" t="s">
        <v>1265</v>
      </c>
      <c r="E7871" s="2" t="str">
        <f>"9783805533652"</f>
        <v>9783805533652</v>
      </c>
      <c r="F7871" s="2" t="str">
        <f>"9783318045192"</f>
        <v>9783318045192</v>
      </c>
    </row>
    <row r="7872" spans="1:6" s="3" customFormat="1" ht="29.1" customHeight="1" x14ac:dyDescent="0.25">
      <c r="A7872" s="2" t="s">
        <v>16416</v>
      </c>
      <c r="B7872" s="2" t="s">
        <v>16418</v>
      </c>
      <c r="C7872" s="2" t="s">
        <v>1070</v>
      </c>
      <c r="D7872" s="2" t="s">
        <v>16417</v>
      </c>
      <c r="E7872" s="2" t="str">
        <f>"9783805571197"</f>
        <v>9783805571197</v>
      </c>
      <c r="F7872" s="2" t="str">
        <f>"9783318006179"</f>
        <v>9783318006179</v>
      </c>
    </row>
    <row r="7873" spans="1:6" s="3" customFormat="1" ht="29.1" customHeight="1" x14ac:dyDescent="0.25">
      <c r="A7873" s="2" t="s">
        <v>16419</v>
      </c>
      <c r="B7873" s="2" t="s">
        <v>16420</v>
      </c>
      <c r="C7873" s="2" t="s">
        <v>1070</v>
      </c>
      <c r="D7873" s="2" t="s">
        <v>1292</v>
      </c>
      <c r="E7873" s="2" t="str">
        <f>"9783805520294"</f>
        <v>9783805520294</v>
      </c>
      <c r="F7873" s="2" t="str">
        <f>"9783318049060"</f>
        <v>9783318049060</v>
      </c>
    </row>
    <row r="7874" spans="1:6" s="3" customFormat="1" ht="29.1" customHeight="1" x14ac:dyDescent="0.25">
      <c r="A7874" s="2" t="s">
        <v>1069</v>
      </c>
      <c r="B7874" s="2" t="s">
        <v>16421</v>
      </c>
      <c r="C7874" s="2" t="s">
        <v>1070</v>
      </c>
      <c r="D7874" s="2" t="s">
        <v>1071</v>
      </c>
      <c r="E7874" s="2" t="str">
        <f>"9783318071528"</f>
        <v>9783318071528</v>
      </c>
      <c r="F7874" s="2" t="str">
        <f>"9783318072396"</f>
        <v>9783318072396</v>
      </c>
    </row>
    <row r="7875" spans="1:6" s="3" customFormat="1" ht="29.1" customHeight="1" x14ac:dyDescent="0.25">
      <c r="A7875" s="2" t="s">
        <v>16422</v>
      </c>
      <c r="B7875" s="2" t="s">
        <v>16424</v>
      </c>
      <c r="C7875" s="2" t="s">
        <v>1070</v>
      </c>
      <c r="D7875" s="2" t="s">
        <v>16423</v>
      </c>
      <c r="E7875" s="2" t="str">
        <f>"9783805573849"</f>
        <v>9783805573849</v>
      </c>
      <c r="F7875" s="2" t="str">
        <f>"9783318008234"</f>
        <v>9783318008234</v>
      </c>
    </row>
    <row r="7876" spans="1:6" s="3" customFormat="1" ht="29.1" customHeight="1" x14ac:dyDescent="0.25">
      <c r="A7876" s="2" t="s">
        <v>16425</v>
      </c>
      <c r="B7876" s="2" t="s">
        <v>16426</v>
      </c>
      <c r="C7876" s="2" t="s">
        <v>5</v>
      </c>
      <c r="D7876" s="2" t="s">
        <v>9</v>
      </c>
      <c r="E7876" s="2" t="str">
        <f>"9782384762033"</f>
        <v>9782384762033</v>
      </c>
      <c r="F7876" s="2" t="str">
        <f>"9782384762040"</f>
        <v>9782384762040</v>
      </c>
    </row>
    <row r="7877" spans="1:6" s="3" customFormat="1" ht="29.1" customHeight="1" x14ac:dyDescent="0.25">
      <c r="A7877" s="2" t="s">
        <v>16427</v>
      </c>
      <c r="B7877" s="2" t="s">
        <v>16428</v>
      </c>
      <c r="C7877" s="2" t="s">
        <v>5</v>
      </c>
      <c r="D7877" s="2" t="s">
        <v>317</v>
      </c>
      <c r="E7877" s="2" t="str">
        <f>"9783031483585"</f>
        <v>9783031483585</v>
      </c>
      <c r="F7877" s="2" t="str">
        <f>"9783031483592"</f>
        <v>9783031483592</v>
      </c>
    </row>
    <row r="7878" spans="1:6" s="3" customFormat="1" ht="29.1" customHeight="1" x14ac:dyDescent="0.25">
      <c r="A7878" s="2" t="s">
        <v>16429</v>
      </c>
      <c r="B7878" s="2" t="s">
        <v>16431</v>
      </c>
      <c r="C7878" s="2" t="s">
        <v>5</v>
      </c>
      <c r="D7878" s="2" t="s">
        <v>16430</v>
      </c>
      <c r="E7878" s="2" t="str">
        <f>"9783662669488"</f>
        <v>9783662669488</v>
      </c>
      <c r="F7878" s="2" t="str">
        <f>"9783662669495"</f>
        <v>9783662669495</v>
      </c>
    </row>
    <row r="7879" spans="1:6" s="3" customFormat="1" ht="29.1" customHeight="1" x14ac:dyDescent="0.25">
      <c r="A7879" s="2" t="s">
        <v>16432</v>
      </c>
      <c r="B7879" s="2" t="s">
        <v>16433</v>
      </c>
      <c r="C7879" s="2" t="s">
        <v>384</v>
      </c>
      <c r="D7879" s="2" t="s">
        <v>287</v>
      </c>
      <c r="E7879" s="2"/>
      <c r="F7879" s="2" t="str">
        <f>"9798987560778"</f>
        <v>9798987560778</v>
      </c>
    </row>
    <row r="7880" spans="1:6" s="3" customFormat="1" ht="29.1" customHeight="1" x14ac:dyDescent="0.25">
      <c r="A7880" s="2" t="s">
        <v>16434</v>
      </c>
      <c r="B7880" s="2" t="s">
        <v>16435</v>
      </c>
      <c r="C7880" s="2" t="s">
        <v>264</v>
      </c>
      <c r="D7880" s="2" t="s">
        <v>5588</v>
      </c>
      <c r="E7880" s="2" t="str">
        <f>"9781032341613"</f>
        <v>9781032341613</v>
      </c>
      <c r="F7880" s="2" t="str">
        <f>"9781003320791"</f>
        <v>9781003320791</v>
      </c>
    </row>
    <row r="7881" spans="1:6" s="3" customFormat="1" ht="29.1" customHeight="1" x14ac:dyDescent="0.25">
      <c r="A7881" s="2" t="s">
        <v>16436</v>
      </c>
      <c r="B7881" s="2" t="s">
        <v>16438</v>
      </c>
      <c r="C7881" s="2" t="s">
        <v>62</v>
      </c>
      <c r="D7881" s="2" t="s">
        <v>16437</v>
      </c>
      <c r="E7881" s="2" t="str">
        <f>"9783428189168"</f>
        <v>9783428189168</v>
      </c>
      <c r="F7881" s="2" t="str">
        <f>"9783428589166"</f>
        <v>9783428589166</v>
      </c>
    </row>
    <row r="7882" spans="1:6" s="3" customFormat="1" ht="29.1" customHeight="1" x14ac:dyDescent="0.25">
      <c r="A7882" s="2" t="s">
        <v>16439</v>
      </c>
      <c r="B7882" s="2" t="s">
        <v>16440</v>
      </c>
      <c r="C7882" s="2" t="s">
        <v>62</v>
      </c>
      <c r="D7882" s="2" t="s">
        <v>3963</v>
      </c>
      <c r="E7882" s="2" t="str">
        <f>"9783428189120"</f>
        <v>9783428189120</v>
      </c>
      <c r="F7882" s="2" t="str">
        <f>"9783428589128"</f>
        <v>9783428589128</v>
      </c>
    </row>
    <row r="7883" spans="1:6" s="3" customFormat="1" ht="29.1" customHeight="1" x14ac:dyDescent="0.25">
      <c r="A7883" s="2" t="s">
        <v>16441</v>
      </c>
      <c r="B7883" s="2" t="s">
        <v>16442</v>
      </c>
      <c r="C7883" s="2" t="s">
        <v>124</v>
      </c>
      <c r="D7883" s="2" t="s">
        <v>462</v>
      </c>
      <c r="E7883" s="2" t="str">
        <f>"9781032192963"</f>
        <v>9781032192963</v>
      </c>
      <c r="F7883" s="2" t="str">
        <f>"9781003258544"</f>
        <v>9781003258544</v>
      </c>
    </row>
    <row r="7884" spans="1:6" s="3" customFormat="1" ht="29.1" customHeight="1" x14ac:dyDescent="0.25">
      <c r="A7884" s="2" t="s">
        <v>16443</v>
      </c>
      <c r="B7884" s="2" t="s">
        <v>16444</v>
      </c>
      <c r="C7884" s="2" t="s">
        <v>124</v>
      </c>
      <c r="D7884" s="2" t="s">
        <v>9</v>
      </c>
      <c r="E7884" s="2" t="str">
        <f>"9781032667898"</f>
        <v>9781032667898</v>
      </c>
      <c r="F7884" s="2" t="str">
        <f>"9781032693798"</f>
        <v>9781032693798</v>
      </c>
    </row>
    <row r="7885" spans="1:6" s="3" customFormat="1" ht="29.1" customHeight="1" x14ac:dyDescent="0.25">
      <c r="A7885" s="2" t="s">
        <v>16445</v>
      </c>
      <c r="B7885" s="2" t="s">
        <v>16446</v>
      </c>
      <c r="C7885" s="2" t="s">
        <v>124</v>
      </c>
      <c r="D7885" s="2" t="s">
        <v>639</v>
      </c>
      <c r="E7885" s="2" t="str">
        <f>"9781032645049"</f>
        <v>9781032645049</v>
      </c>
      <c r="F7885" s="2" t="str">
        <f>"9781032685519"</f>
        <v>9781032685519</v>
      </c>
    </row>
    <row r="7886" spans="1:6" s="3" customFormat="1" ht="29.1" customHeight="1" x14ac:dyDescent="0.25">
      <c r="A7886" s="2" t="s">
        <v>16447</v>
      </c>
      <c r="B7886" s="2" t="s">
        <v>16448</v>
      </c>
      <c r="C7886" s="2" t="s">
        <v>124</v>
      </c>
      <c r="D7886" s="2" t="s">
        <v>606</v>
      </c>
      <c r="E7886" s="2" t="str">
        <f>"9781032391779"</f>
        <v>9781032391779</v>
      </c>
      <c r="F7886" s="2" t="str">
        <f>"9781003348740"</f>
        <v>9781003348740</v>
      </c>
    </row>
    <row r="7887" spans="1:6" s="3" customFormat="1" ht="29.1" customHeight="1" x14ac:dyDescent="0.25">
      <c r="A7887" s="2" t="s">
        <v>16449</v>
      </c>
      <c r="B7887" s="2" t="s">
        <v>16450</v>
      </c>
      <c r="C7887" s="2" t="s">
        <v>124</v>
      </c>
      <c r="D7887" s="2" t="s">
        <v>72</v>
      </c>
      <c r="E7887" s="2" t="str">
        <f>"9781032357447"</f>
        <v>9781032357447</v>
      </c>
      <c r="F7887" s="2" t="str">
        <f>"9781003328339"</f>
        <v>9781003328339</v>
      </c>
    </row>
    <row r="7888" spans="1:6" s="3" customFormat="1" ht="29.1" customHeight="1" x14ac:dyDescent="0.25">
      <c r="A7888" s="2" t="s">
        <v>16451</v>
      </c>
      <c r="B7888" s="2" t="s">
        <v>16452</v>
      </c>
      <c r="C7888" s="2" t="s">
        <v>4269</v>
      </c>
      <c r="D7888" s="2" t="s">
        <v>16381</v>
      </c>
      <c r="E7888" s="2"/>
      <c r="F7888" s="2" t="str">
        <f>"9786258284966"</f>
        <v>9786258284966</v>
      </c>
    </row>
    <row r="7889" spans="1:6" s="3" customFormat="1" ht="29.1" customHeight="1" x14ac:dyDescent="0.25">
      <c r="A7889" s="2" t="s">
        <v>16453</v>
      </c>
      <c r="B7889" s="2" t="s">
        <v>16454</v>
      </c>
      <c r="C7889" s="2" t="s">
        <v>5</v>
      </c>
      <c r="D7889" s="2" t="s">
        <v>141</v>
      </c>
      <c r="E7889" s="2" t="str">
        <f>"9789464633474"</f>
        <v>9789464633474</v>
      </c>
      <c r="F7889" s="2" t="str">
        <f>"9789464633481"</f>
        <v>9789464633481</v>
      </c>
    </row>
    <row r="7890" spans="1:6" s="3" customFormat="1" ht="29.1" customHeight="1" x14ac:dyDescent="0.25">
      <c r="A7890" s="2" t="s">
        <v>16455</v>
      </c>
      <c r="B7890" s="2" t="s">
        <v>16456</v>
      </c>
      <c r="C7890" s="2" t="s">
        <v>5</v>
      </c>
      <c r="D7890" s="2" t="s">
        <v>4739</v>
      </c>
      <c r="E7890" s="2" t="str">
        <f>"9783658437626"</f>
        <v>9783658437626</v>
      </c>
      <c r="F7890" s="2" t="str">
        <f>"9783658437633"</f>
        <v>9783658437633</v>
      </c>
    </row>
    <row r="7891" spans="1:6" s="3" customFormat="1" ht="29.1" customHeight="1" x14ac:dyDescent="0.25">
      <c r="A7891" s="2" t="s">
        <v>16457</v>
      </c>
      <c r="B7891" s="2" t="s">
        <v>16458</v>
      </c>
      <c r="C7891" s="2" t="s">
        <v>5</v>
      </c>
      <c r="D7891" s="2" t="s">
        <v>1189</v>
      </c>
      <c r="E7891" s="2" t="str">
        <f>"9783658436193"</f>
        <v>9783658436193</v>
      </c>
      <c r="F7891" s="2" t="str">
        <f>"9783658436209"</f>
        <v>9783658436209</v>
      </c>
    </row>
    <row r="7892" spans="1:6" s="3" customFormat="1" ht="29.1" customHeight="1" x14ac:dyDescent="0.25">
      <c r="A7892" s="2" t="s">
        <v>16459</v>
      </c>
      <c r="B7892" s="2" t="s">
        <v>16460</v>
      </c>
      <c r="C7892" s="2" t="s">
        <v>5</v>
      </c>
      <c r="D7892" s="2" t="s">
        <v>342</v>
      </c>
      <c r="E7892" s="2" t="str">
        <f>"9789464633658"</f>
        <v>9789464633658</v>
      </c>
      <c r="F7892" s="2" t="str">
        <f>"9789464633665"</f>
        <v>9789464633665</v>
      </c>
    </row>
    <row r="7893" spans="1:6" s="3" customFormat="1" ht="29.1" customHeight="1" x14ac:dyDescent="0.25">
      <c r="A7893" s="2" t="s">
        <v>16461</v>
      </c>
      <c r="B7893" s="2" t="s">
        <v>16462</v>
      </c>
      <c r="C7893" s="2" t="s">
        <v>5</v>
      </c>
      <c r="D7893" s="2" t="s">
        <v>69</v>
      </c>
      <c r="E7893" s="2" t="str">
        <f>"9783031391941"</f>
        <v>9783031391941</v>
      </c>
      <c r="F7893" s="2" t="str">
        <f>"9783031391958"</f>
        <v>9783031391958</v>
      </c>
    </row>
    <row r="7894" spans="1:6" s="3" customFormat="1" ht="29.1" customHeight="1" x14ac:dyDescent="0.25">
      <c r="A7894" s="2" t="s">
        <v>16463</v>
      </c>
      <c r="B7894" s="2" t="s">
        <v>16464</v>
      </c>
      <c r="C7894" s="2" t="s">
        <v>5</v>
      </c>
      <c r="D7894" s="2" t="s">
        <v>836</v>
      </c>
      <c r="E7894" s="2" t="str">
        <f>"9789819966783"</f>
        <v>9789819966783</v>
      </c>
      <c r="F7894" s="2" t="str">
        <f>"9789819966790"</f>
        <v>9789819966790</v>
      </c>
    </row>
    <row r="7895" spans="1:6" s="3" customFormat="1" ht="29.1" customHeight="1" x14ac:dyDescent="0.25">
      <c r="A7895" s="2" t="s">
        <v>16465</v>
      </c>
      <c r="B7895" s="2" t="s">
        <v>16466</v>
      </c>
      <c r="C7895" s="2" t="s">
        <v>5</v>
      </c>
      <c r="D7895" s="2" t="s">
        <v>78</v>
      </c>
      <c r="E7895" s="2" t="str">
        <f>"9783031513145"</f>
        <v>9783031513145</v>
      </c>
      <c r="F7895" s="2" t="str">
        <f>"9783031513152"</f>
        <v>9783031513152</v>
      </c>
    </row>
    <row r="7896" spans="1:6" s="3" customFormat="1" ht="29.1" customHeight="1" x14ac:dyDescent="0.25">
      <c r="A7896" s="2" t="s">
        <v>16467</v>
      </c>
      <c r="B7896" s="2" t="s">
        <v>16469</v>
      </c>
      <c r="C7896" s="2" t="s">
        <v>29</v>
      </c>
      <c r="D7896" s="2" t="s">
        <v>16468</v>
      </c>
      <c r="E7896" s="2" t="str">
        <f>"9789004682429"</f>
        <v>9789004682429</v>
      </c>
      <c r="F7896" s="2" t="str">
        <f>"9789004682436"</f>
        <v>9789004682436</v>
      </c>
    </row>
    <row r="7897" spans="1:6" s="3" customFormat="1" ht="29.1" customHeight="1" x14ac:dyDescent="0.25">
      <c r="A7897" s="2" t="s">
        <v>16470</v>
      </c>
      <c r="B7897" s="2" t="s">
        <v>16471</v>
      </c>
      <c r="C7897" s="2" t="s">
        <v>239</v>
      </c>
      <c r="D7897" s="2" t="s">
        <v>636</v>
      </c>
      <c r="E7897" s="2" t="str">
        <f>"9780520399679"</f>
        <v>9780520399679</v>
      </c>
      <c r="F7897" s="2" t="str">
        <f>"9780520399686"</f>
        <v>9780520399686</v>
      </c>
    </row>
    <row r="7898" spans="1:6" s="3" customFormat="1" ht="29.1" customHeight="1" x14ac:dyDescent="0.25">
      <c r="A7898" s="2" t="s">
        <v>16472</v>
      </c>
      <c r="B7898" s="2" t="s">
        <v>16473</v>
      </c>
      <c r="C7898" s="2" t="s">
        <v>8104</v>
      </c>
      <c r="D7898" s="2" t="s">
        <v>2142</v>
      </c>
      <c r="E7898" s="2" t="str">
        <f>"9781805396116"</f>
        <v>9781805396116</v>
      </c>
      <c r="F7898" s="2" t="str">
        <f>"9781805396130"</f>
        <v>9781805396130</v>
      </c>
    </row>
    <row r="7899" spans="1:6" s="3" customFormat="1" ht="29.1" customHeight="1" x14ac:dyDescent="0.25">
      <c r="A7899" s="2" t="s">
        <v>16474</v>
      </c>
      <c r="B7899" s="2" t="s">
        <v>16475</v>
      </c>
      <c r="C7899" s="2" t="s">
        <v>327</v>
      </c>
      <c r="D7899" s="2" t="s">
        <v>459</v>
      </c>
      <c r="E7899" s="2" t="str">
        <f>"9788383313368"</f>
        <v>9788383313368</v>
      </c>
      <c r="F7899" s="2" t="str">
        <f>"9788383313375"</f>
        <v>9788383313375</v>
      </c>
    </row>
    <row r="7900" spans="1:6" s="3" customFormat="1" ht="29.1" customHeight="1" x14ac:dyDescent="0.25">
      <c r="A7900" s="2" t="s">
        <v>16476</v>
      </c>
      <c r="B7900" s="2" t="s">
        <v>16477</v>
      </c>
      <c r="C7900" s="2" t="s">
        <v>327</v>
      </c>
      <c r="D7900" s="2" t="s">
        <v>682</v>
      </c>
      <c r="E7900" s="2"/>
      <c r="F7900" s="2" t="str">
        <f>"9788382209167"</f>
        <v>9788382209167</v>
      </c>
    </row>
    <row r="7901" spans="1:6" s="3" customFormat="1" ht="29.1" customHeight="1" x14ac:dyDescent="0.25">
      <c r="A7901" s="2" t="s">
        <v>16478</v>
      </c>
      <c r="B7901" s="2" t="s">
        <v>16479</v>
      </c>
      <c r="C7901" s="2" t="s">
        <v>327</v>
      </c>
      <c r="D7901" s="2" t="s">
        <v>1988</v>
      </c>
      <c r="E7901" s="2" t="str">
        <f>"9788383313610"</f>
        <v>9788383313610</v>
      </c>
      <c r="F7901" s="2" t="str">
        <f>"9788383313627"</f>
        <v>9788383313627</v>
      </c>
    </row>
    <row r="7902" spans="1:6" s="3" customFormat="1" ht="29.1" customHeight="1" x14ac:dyDescent="0.25">
      <c r="A7902" s="2" t="s">
        <v>16480</v>
      </c>
      <c r="B7902" s="2" t="s">
        <v>16481</v>
      </c>
      <c r="C7902" s="2" t="s">
        <v>327</v>
      </c>
      <c r="D7902" s="2" t="s">
        <v>674</v>
      </c>
      <c r="E7902" s="2" t="str">
        <f>"9788383313221"</f>
        <v>9788383313221</v>
      </c>
      <c r="F7902" s="2" t="str">
        <f>"9788383313238"</f>
        <v>9788383313238</v>
      </c>
    </row>
    <row r="7903" spans="1:6" s="3" customFormat="1" ht="29.1" customHeight="1" x14ac:dyDescent="0.25">
      <c r="A7903" s="2" t="s">
        <v>16482</v>
      </c>
      <c r="B7903" s="2" t="s">
        <v>16483</v>
      </c>
      <c r="C7903" s="2" t="s">
        <v>327</v>
      </c>
      <c r="D7903" s="2" t="s">
        <v>1256</v>
      </c>
      <c r="E7903" s="2" t="str">
        <f>"9788383313672"</f>
        <v>9788383313672</v>
      </c>
      <c r="F7903" s="2" t="str">
        <f>"9788383313689"</f>
        <v>9788383313689</v>
      </c>
    </row>
    <row r="7904" spans="1:6" s="3" customFormat="1" ht="29.1" customHeight="1" x14ac:dyDescent="0.25">
      <c r="A7904" s="2" t="s">
        <v>16484</v>
      </c>
      <c r="B7904" s="2" t="s">
        <v>15654</v>
      </c>
      <c r="C7904" s="2" t="s">
        <v>327</v>
      </c>
      <c r="D7904" s="2" t="s">
        <v>1209</v>
      </c>
      <c r="E7904" s="2" t="str">
        <f>"9788383313283"</f>
        <v>9788383313283</v>
      </c>
      <c r="F7904" s="2" t="str">
        <f>"9788383313290"</f>
        <v>9788383313290</v>
      </c>
    </row>
    <row r="7905" spans="1:6" s="3" customFormat="1" ht="29.1" customHeight="1" x14ac:dyDescent="0.25">
      <c r="A7905" s="2" t="s">
        <v>16485</v>
      </c>
      <c r="B7905" s="2" t="s">
        <v>16486</v>
      </c>
      <c r="C7905" s="2" t="s">
        <v>327</v>
      </c>
      <c r="D7905" s="2" t="s">
        <v>6714</v>
      </c>
      <c r="E7905" s="2" t="str">
        <f>"9788383313504"</f>
        <v>9788383313504</v>
      </c>
      <c r="F7905" s="2" t="str">
        <f>"9788383313511"</f>
        <v>9788383313511</v>
      </c>
    </row>
    <row r="7906" spans="1:6" s="3" customFormat="1" ht="29.1" customHeight="1" x14ac:dyDescent="0.25">
      <c r="A7906" s="2" t="s">
        <v>16487</v>
      </c>
      <c r="B7906" s="2" t="s">
        <v>16488</v>
      </c>
      <c r="C7906" s="2" t="s">
        <v>327</v>
      </c>
      <c r="D7906" s="2" t="s">
        <v>270</v>
      </c>
      <c r="E7906" s="2"/>
      <c r="F7906" s="2" t="str">
        <f>"9788383313160"</f>
        <v>9788383313160</v>
      </c>
    </row>
    <row r="7907" spans="1:6" s="3" customFormat="1" ht="29.1" customHeight="1" x14ac:dyDescent="0.25">
      <c r="A7907" s="2" t="s">
        <v>16489</v>
      </c>
      <c r="B7907" s="2" t="s">
        <v>16490</v>
      </c>
      <c r="C7907" s="2" t="s">
        <v>327</v>
      </c>
      <c r="D7907" s="2" t="s">
        <v>3214</v>
      </c>
      <c r="E7907" s="2" t="str">
        <f>"9788383313542"</f>
        <v>9788383313542</v>
      </c>
      <c r="F7907" s="2" t="str">
        <f>"9788383313559"</f>
        <v>9788383313559</v>
      </c>
    </row>
    <row r="7908" spans="1:6" s="3" customFormat="1" ht="29.1" customHeight="1" x14ac:dyDescent="0.25">
      <c r="A7908" s="2" t="s">
        <v>16491</v>
      </c>
      <c r="B7908" s="2" t="s">
        <v>16492</v>
      </c>
      <c r="C7908" s="2" t="s">
        <v>327</v>
      </c>
      <c r="D7908" s="2" t="s">
        <v>1938</v>
      </c>
      <c r="E7908" s="2" t="str">
        <f>"9788383313917"</f>
        <v>9788383313917</v>
      </c>
      <c r="F7908" s="2" t="str">
        <f>"9788383313924"</f>
        <v>9788383313924</v>
      </c>
    </row>
    <row r="7909" spans="1:6" s="3" customFormat="1" ht="29.1" customHeight="1" x14ac:dyDescent="0.25">
      <c r="A7909" s="2" t="s">
        <v>16493</v>
      </c>
      <c r="B7909" s="2" t="s">
        <v>16494</v>
      </c>
      <c r="C7909" s="2" t="s">
        <v>327</v>
      </c>
      <c r="D7909" s="2" t="s">
        <v>1177</v>
      </c>
      <c r="E7909" s="2" t="str">
        <f>"9788383311654"</f>
        <v>9788383311654</v>
      </c>
      <c r="F7909" s="2" t="str">
        <f>"9788383311661"</f>
        <v>9788383311661</v>
      </c>
    </row>
    <row r="7910" spans="1:6" s="3" customFormat="1" ht="29.1" customHeight="1" x14ac:dyDescent="0.25">
      <c r="A7910" s="2" t="s">
        <v>16495</v>
      </c>
      <c r="B7910" s="2" t="s">
        <v>16496</v>
      </c>
      <c r="C7910" s="2" t="s">
        <v>1953</v>
      </c>
      <c r="D7910" s="2" t="s">
        <v>614</v>
      </c>
      <c r="E7910" s="2"/>
      <c r="F7910" s="2" t="str">
        <f>"9798891135123"</f>
        <v>9798891135123</v>
      </c>
    </row>
    <row r="7911" spans="1:6" s="3" customFormat="1" ht="29.1" customHeight="1" x14ac:dyDescent="0.25">
      <c r="A7911" s="2" t="s">
        <v>16497</v>
      </c>
      <c r="B7911" s="2" t="s">
        <v>16498</v>
      </c>
      <c r="C7911" s="2" t="s">
        <v>556</v>
      </c>
      <c r="D7911" s="2" t="s">
        <v>446</v>
      </c>
      <c r="E7911" s="2" t="str">
        <f>"9783837669817"</f>
        <v>9783837669817</v>
      </c>
      <c r="F7911" s="2" t="str">
        <f>"9783839469811"</f>
        <v>9783839469811</v>
      </c>
    </row>
    <row r="7912" spans="1:6" s="3" customFormat="1" ht="29.1" customHeight="1" x14ac:dyDescent="0.25">
      <c r="A7912" s="2" t="s">
        <v>16499</v>
      </c>
      <c r="B7912" s="2" t="s">
        <v>16500</v>
      </c>
      <c r="C7912" s="2" t="s">
        <v>556</v>
      </c>
      <c r="D7912" s="2" t="s">
        <v>1262</v>
      </c>
      <c r="E7912" s="2" t="str">
        <f>"9783837671926"</f>
        <v>9783837671926</v>
      </c>
      <c r="F7912" s="2" t="str">
        <f>"9783839471920"</f>
        <v>9783839471920</v>
      </c>
    </row>
    <row r="7913" spans="1:6" s="3" customFormat="1" ht="29.1" customHeight="1" x14ac:dyDescent="0.25">
      <c r="A7913" s="2" t="s">
        <v>16501</v>
      </c>
      <c r="B7913" s="2" t="s">
        <v>16502</v>
      </c>
      <c r="C7913" s="2" t="s">
        <v>556</v>
      </c>
      <c r="D7913" s="2" t="s">
        <v>183</v>
      </c>
      <c r="E7913" s="2" t="str">
        <f>"9783837671810"</f>
        <v>9783837671810</v>
      </c>
      <c r="F7913" s="2" t="str">
        <f>"9783839471814"</f>
        <v>9783839471814</v>
      </c>
    </row>
    <row r="7914" spans="1:6" s="3" customFormat="1" ht="29.1" customHeight="1" x14ac:dyDescent="0.25">
      <c r="A7914" s="2" t="s">
        <v>16503</v>
      </c>
      <c r="B7914" s="2" t="s">
        <v>16504</v>
      </c>
      <c r="C7914" s="2" t="s">
        <v>556</v>
      </c>
      <c r="D7914" s="2" t="s">
        <v>968</v>
      </c>
      <c r="E7914" s="2" t="str">
        <f>"9783837670639"</f>
        <v>9783837670639</v>
      </c>
      <c r="F7914" s="2" t="str">
        <f>"9783839470633"</f>
        <v>9783839470633</v>
      </c>
    </row>
    <row r="7915" spans="1:6" s="3" customFormat="1" ht="29.1" customHeight="1" x14ac:dyDescent="0.25">
      <c r="A7915" s="2" t="s">
        <v>16505</v>
      </c>
      <c r="B7915" s="2" t="s">
        <v>16506</v>
      </c>
      <c r="C7915" s="2" t="s">
        <v>556</v>
      </c>
      <c r="D7915" s="2" t="s">
        <v>183</v>
      </c>
      <c r="E7915" s="2" t="str">
        <f>"9783837670592"</f>
        <v>9783837670592</v>
      </c>
      <c r="F7915" s="2" t="str">
        <f>"9783839470596"</f>
        <v>9783839470596</v>
      </c>
    </row>
    <row r="7916" spans="1:6" s="3" customFormat="1" ht="29.1" customHeight="1" x14ac:dyDescent="0.25">
      <c r="A7916" s="2" t="s">
        <v>16507</v>
      </c>
      <c r="B7916" s="2" t="s">
        <v>16508</v>
      </c>
      <c r="C7916" s="2" t="s">
        <v>556</v>
      </c>
      <c r="D7916" s="2" t="s">
        <v>689</v>
      </c>
      <c r="E7916" s="2" t="str">
        <f>"9783837670264"</f>
        <v>9783837670264</v>
      </c>
      <c r="F7916" s="2" t="str">
        <f>"9783839470268"</f>
        <v>9783839470268</v>
      </c>
    </row>
    <row r="7917" spans="1:6" s="3" customFormat="1" ht="29.1" customHeight="1" x14ac:dyDescent="0.25">
      <c r="A7917" s="2" t="s">
        <v>16509</v>
      </c>
      <c r="B7917" s="2" t="s">
        <v>16510</v>
      </c>
      <c r="C7917" s="2" t="s">
        <v>556</v>
      </c>
      <c r="D7917" s="2" t="s">
        <v>1262</v>
      </c>
      <c r="E7917" s="2" t="str">
        <f>"9783837670240"</f>
        <v>9783837670240</v>
      </c>
      <c r="F7917" s="2" t="str">
        <f>"9783839470244"</f>
        <v>9783839470244</v>
      </c>
    </row>
    <row r="7918" spans="1:6" s="3" customFormat="1" ht="29.1" customHeight="1" x14ac:dyDescent="0.25">
      <c r="A7918" s="2" t="s">
        <v>16511</v>
      </c>
      <c r="B7918" s="2" t="s">
        <v>16512</v>
      </c>
      <c r="C7918" s="2" t="s">
        <v>556</v>
      </c>
      <c r="D7918" s="2" t="s">
        <v>998</v>
      </c>
      <c r="E7918" s="2" t="str">
        <f>"9783837670233"</f>
        <v>9783837670233</v>
      </c>
      <c r="F7918" s="2" t="str">
        <f>"9783839470237"</f>
        <v>9783839470237</v>
      </c>
    </row>
    <row r="7919" spans="1:6" s="3" customFormat="1" ht="29.1" customHeight="1" x14ac:dyDescent="0.25">
      <c r="A7919" s="2" t="s">
        <v>16513</v>
      </c>
      <c r="B7919" s="2" t="s">
        <v>16514</v>
      </c>
      <c r="C7919" s="2" t="s">
        <v>556</v>
      </c>
      <c r="D7919" s="2" t="s">
        <v>998</v>
      </c>
      <c r="E7919" s="2" t="str">
        <f>"9783837670202"</f>
        <v>9783837670202</v>
      </c>
      <c r="F7919" s="2" t="str">
        <f>"9783839470206"</f>
        <v>9783839470206</v>
      </c>
    </row>
    <row r="7920" spans="1:6" s="3" customFormat="1" ht="29.1" customHeight="1" x14ac:dyDescent="0.25">
      <c r="A7920" s="2" t="s">
        <v>16515</v>
      </c>
      <c r="B7920" s="2" t="s">
        <v>16516</v>
      </c>
      <c r="C7920" s="2" t="s">
        <v>556</v>
      </c>
      <c r="D7920" s="2" t="s">
        <v>446</v>
      </c>
      <c r="E7920" s="2" t="str">
        <f>"9783837669121"</f>
        <v>9783837669121</v>
      </c>
      <c r="F7920" s="2" t="str">
        <f>"9783839469125"</f>
        <v>9783839469125</v>
      </c>
    </row>
    <row r="7921" spans="1:6" s="3" customFormat="1" ht="29.1" customHeight="1" x14ac:dyDescent="0.25">
      <c r="A7921" s="2" t="s">
        <v>16517</v>
      </c>
      <c r="B7921" s="2" t="s">
        <v>16518</v>
      </c>
      <c r="C7921" s="2" t="s">
        <v>556</v>
      </c>
      <c r="D7921" s="2" t="s">
        <v>1262</v>
      </c>
      <c r="E7921" s="2" t="str">
        <f>"9783837668537"</f>
        <v>9783837668537</v>
      </c>
      <c r="F7921" s="2" t="str">
        <f>"9783839468531"</f>
        <v>9783839468531</v>
      </c>
    </row>
    <row r="7922" spans="1:6" s="3" customFormat="1" ht="29.1" customHeight="1" x14ac:dyDescent="0.25">
      <c r="A7922" s="2" t="s">
        <v>16519</v>
      </c>
      <c r="B7922" s="2" t="s">
        <v>16520</v>
      </c>
      <c r="C7922" s="2" t="s">
        <v>556</v>
      </c>
      <c r="D7922" s="2" t="s">
        <v>1127</v>
      </c>
      <c r="E7922" s="2" t="str">
        <f>"9783837667820"</f>
        <v>9783837667820</v>
      </c>
      <c r="F7922" s="2" t="str">
        <f>"9783839467824"</f>
        <v>9783839467824</v>
      </c>
    </row>
    <row r="7923" spans="1:6" s="3" customFormat="1" ht="29.1" customHeight="1" x14ac:dyDescent="0.25">
      <c r="A7923" s="2" t="s">
        <v>16521</v>
      </c>
      <c r="B7923" s="2" t="s">
        <v>16522</v>
      </c>
      <c r="C7923" s="2" t="s">
        <v>556</v>
      </c>
      <c r="D7923" s="2" t="s">
        <v>636</v>
      </c>
      <c r="E7923" s="2" t="str">
        <f>"9783837666304"</f>
        <v>9783837666304</v>
      </c>
      <c r="F7923" s="2" t="str">
        <f>"9783839466308"</f>
        <v>9783839466308</v>
      </c>
    </row>
    <row r="7924" spans="1:6" s="3" customFormat="1" ht="29.1" customHeight="1" x14ac:dyDescent="0.25">
      <c r="A7924" s="2" t="s">
        <v>16523</v>
      </c>
      <c r="B7924" s="2" t="s">
        <v>16524</v>
      </c>
      <c r="C7924" s="2" t="s">
        <v>556</v>
      </c>
      <c r="D7924" s="2" t="s">
        <v>249</v>
      </c>
      <c r="E7924" s="2" t="str">
        <f>"9783837666045"</f>
        <v>9783837666045</v>
      </c>
      <c r="F7924" s="2" t="str">
        <f>"9783839466049"</f>
        <v>9783839466049</v>
      </c>
    </row>
    <row r="7925" spans="1:6" s="3" customFormat="1" ht="29.1" customHeight="1" x14ac:dyDescent="0.25">
      <c r="A7925" s="2" t="s">
        <v>16525</v>
      </c>
      <c r="B7925" s="2" t="s">
        <v>16526</v>
      </c>
      <c r="C7925" s="2" t="s">
        <v>556</v>
      </c>
      <c r="D7925" s="2" t="s">
        <v>33</v>
      </c>
      <c r="E7925" s="2" t="str">
        <f>"9783837664485"</f>
        <v>9783837664485</v>
      </c>
      <c r="F7925" s="2" t="str">
        <f>"9783839464489"</f>
        <v>9783839464489</v>
      </c>
    </row>
    <row r="7926" spans="1:6" s="3" customFormat="1" ht="29.1" customHeight="1" x14ac:dyDescent="0.25">
      <c r="A7926" s="2" t="s">
        <v>16527</v>
      </c>
      <c r="B7926" s="2" t="s">
        <v>16528</v>
      </c>
      <c r="C7926" s="2" t="s">
        <v>556</v>
      </c>
      <c r="D7926" s="2" t="s">
        <v>490</v>
      </c>
      <c r="E7926" s="2" t="str">
        <f>"9783837663112"</f>
        <v>9783837663112</v>
      </c>
      <c r="F7926" s="2" t="str">
        <f>"9783839463116"</f>
        <v>9783839463116</v>
      </c>
    </row>
    <row r="7927" spans="1:6" s="3" customFormat="1" ht="29.1" customHeight="1" x14ac:dyDescent="0.25">
      <c r="A7927" s="2" t="s">
        <v>16529</v>
      </c>
      <c r="B7927" s="2" t="s">
        <v>16530</v>
      </c>
      <c r="C7927" s="2" t="s">
        <v>556</v>
      </c>
      <c r="D7927" s="2" t="s">
        <v>1717</v>
      </c>
      <c r="E7927" s="2" t="str">
        <f>"9783837662368"</f>
        <v>9783837662368</v>
      </c>
      <c r="F7927" s="2" t="str">
        <f>"9783839462362"</f>
        <v>9783839462362</v>
      </c>
    </row>
    <row r="7928" spans="1:6" s="3" customFormat="1" ht="29.1" customHeight="1" x14ac:dyDescent="0.25">
      <c r="A7928" s="2" t="s">
        <v>16531</v>
      </c>
      <c r="B7928" s="2" t="s">
        <v>16532</v>
      </c>
      <c r="C7928" s="2" t="s">
        <v>556</v>
      </c>
      <c r="D7928" s="2" t="s">
        <v>712</v>
      </c>
      <c r="E7928" s="2" t="str">
        <f>"9783837652345"</f>
        <v>9783837652345</v>
      </c>
      <c r="F7928" s="2" t="str">
        <f>"9783839452349"</f>
        <v>9783839452349</v>
      </c>
    </row>
    <row r="7929" spans="1:6" s="3" customFormat="1" ht="29.1" customHeight="1" x14ac:dyDescent="0.25">
      <c r="A7929" s="2" t="s">
        <v>16533</v>
      </c>
      <c r="B7929" s="2" t="s">
        <v>16534</v>
      </c>
      <c r="C7929" s="2" t="s">
        <v>239</v>
      </c>
      <c r="D7929" s="2" t="s">
        <v>4612</v>
      </c>
      <c r="E7929" s="2" t="str">
        <f>"9780520394490"</f>
        <v>9780520394490</v>
      </c>
      <c r="F7929" s="2" t="str">
        <f>"9780520394513"</f>
        <v>9780520394513</v>
      </c>
    </row>
    <row r="7930" spans="1:6" s="3" customFormat="1" ht="29.1" customHeight="1" x14ac:dyDescent="0.25">
      <c r="A7930" s="2" t="s">
        <v>16535</v>
      </c>
      <c r="B7930" s="2" t="s">
        <v>16536</v>
      </c>
      <c r="C7930" s="2" t="s">
        <v>29</v>
      </c>
      <c r="D7930" s="2" t="s">
        <v>9</v>
      </c>
      <c r="E7930" s="2" t="str">
        <f>"9789004401587"</f>
        <v>9789004401587</v>
      </c>
      <c r="F7930" s="2" t="str">
        <f>"9789004402034"</f>
        <v>9789004402034</v>
      </c>
    </row>
    <row r="7931" spans="1:6" s="3" customFormat="1" ht="29.1" customHeight="1" x14ac:dyDescent="0.25">
      <c r="A7931" s="2" t="s">
        <v>16537</v>
      </c>
      <c r="B7931" s="2" t="s">
        <v>16538</v>
      </c>
      <c r="C7931" s="2" t="s">
        <v>62</v>
      </c>
      <c r="D7931" s="2" t="s">
        <v>2220</v>
      </c>
      <c r="E7931" s="2" t="str">
        <f>"9783428190218"</f>
        <v>9783428190218</v>
      </c>
      <c r="F7931" s="2" t="str">
        <f>"9783428590216"</f>
        <v>9783428590216</v>
      </c>
    </row>
    <row r="7932" spans="1:6" s="3" customFormat="1" ht="29.1" customHeight="1" x14ac:dyDescent="0.25">
      <c r="A7932" s="2" t="s">
        <v>16539</v>
      </c>
      <c r="B7932" s="2" t="s">
        <v>16540</v>
      </c>
      <c r="C7932" s="2" t="s">
        <v>62</v>
      </c>
      <c r="D7932" s="2" t="s">
        <v>2274</v>
      </c>
      <c r="E7932" s="2" t="str">
        <f>"9783428189250"</f>
        <v>9783428189250</v>
      </c>
      <c r="F7932" s="2" t="str">
        <f>"9783428589258"</f>
        <v>9783428589258</v>
      </c>
    </row>
    <row r="7933" spans="1:6" s="3" customFormat="1" ht="29.1" customHeight="1" x14ac:dyDescent="0.25">
      <c r="A7933" s="2" t="s">
        <v>16541</v>
      </c>
      <c r="B7933" s="2" t="s">
        <v>16542</v>
      </c>
      <c r="C7933" s="2" t="s">
        <v>124</v>
      </c>
      <c r="D7933" s="2" t="s">
        <v>5719</v>
      </c>
      <c r="E7933" s="2" t="str">
        <f>"9781032469706"</f>
        <v>9781032469706</v>
      </c>
      <c r="F7933" s="2" t="str">
        <f>"9781003384021"</f>
        <v>9781003384021</v>
      </c>
    </row>
    <row r="7934" spans="1:6" s="3" customFormat="1" ht="29.1" customHeight="1" x14ac:dyDescent="0.25">
      <c r="A7934" s="2" t="s">
        <v>16543</v>
      </c>
      <c r="B7934" s="2" t="s">
        <v>16544</v>
      </c>
      <c r="C7934" s="2" t="s">
        <v>124</v>
      </c>
      <c r="D7934" s="2" t="s">
        <v>189</v>
      </c>
      <c r="E7934" s="2" t="str">
        <f>"9781032398419"</f>
        <v>9781032398419</v>
      </c>
      <c r="F7934" s="2" t="str">
        <f>"9781003351641"</f>
        <v>9781003351641</v>
      </c>
    </row>
    <row r="7935" spans="1:6" s="3" customFormat="1" ht="29.1" customHeight="1" x14ac:dyDescent="0.25">
      <c r="A7935" s="2" t="s">
        <v>16545</v>
      </c>
      <c r="B7935" s="2" t="s">
        <v>16546</v>
      </c>
      <c r="C7935" s="2" t="s">
        <v>124</v>
      </c>
      <c r="D7935" s="2" t="s">
        <v>7734</v>
      </c>
      <c r="E7935" s="2" t="str">
        <f>"9781032436463"</f>
        <v>9781032436463</v>
      </c>
      <c r="F7935" s="2" t="str">
        <f>"9781003368267"</f>
        <v>9781003368267</v>
      </c>
    </row>
    <row r="7936" spans="1:6" s="3" customFormat="1" ht="29.1" customHeight="1" x14ac:dyDescent="0.25">
      <c r="A7936" s="2" t="s">
        <v>16547</v>
      </c>
      <c r="B7936" s="2" t="s">
        <v>16548</v>
      </c>
      <c r="C7936" s="2" t="s">
        <v>124</v>
      </c>
      <c r="D7936" s="2" t="s">
        <v>270</v>
      </c>
      <c r="E7936" s="2" t="str">
        <f>"9781032709345"</f>
        <v>9781032709345</v>
      </c>
      <c r="F7936" s="2" t="str">
        <f>"9781032709406"</f>
        <v>9781032709406</v>
      </c>
    </row>
    <row r="7937" spans="1:6" s="3" customFormat="1" ht="29.1" customHeight="1" x14ac:dyDescent="0.25">
      <c r="A7937" s="2" t="s">
        <v>16549</v>
      </c>
      <c r="B7937" s="2" t="s">
        <v>16550</v>
      </c>
      <c r="C7937" s="2" t="s">
        <v>124</v>
      </c>
      <c r="D7937" s="2" t="s">
        <v>2016</v>
      </c>
      <c r="E7937" s="2" t="str">
        <f>"9781032705682"</f>
        <v>9781032705682</v>
      </c>
      <c r="F7937" s="2" t="str">
        <f>"9781032705712"</f>
        <v>9781032705712</v>
      </c>
    </row>
    <row r="7938" spans="1:6" s="3" customFormat="1" ht="29.1" customHeight="1" x14ac:dyDescent="0.25">
      <c r="A7938" s="2" t="s">
        <v>16551</v>
      </c>
      <c r="B7938" s="2" t="s">
        <v>16552</v>
      </c>
      <c r="C7938" s="2" t="s">
        <v>11220</v>
      </c>
      <c r="D7938" s="2" t="s">
        <v>5888</v>
      </c>
      <c r="E7938" s="2" t="str">
        <f>"9781479813056"</f>
        <v>9781479813056</v>
      </c>
      <c r="F7938" s="2" t="str">
        <f>"9781479881178"</f>
        <v>9781479881178</v>
      </c>
    </row>
    <row r="7939" spans="1:6" s="3" customFormat="1" ht="29.1" customHeight="1" x14ac:dyDescent="0.25">
      <c r="A7939" s="2" t="s">
        <v>16553</v>
      </c>
      <c r="B7939" s="2"/>
      <c r="C7939" s="2" t="s">
        <v>59</v>
      </c>
      <c r="D7939" s="2" t="s">
        <v>13517</v>
      </c>
      <c r="E7939" s="2"/>
      <c r="F7939" s="2" t="str">
        <f>"9782759238132"</f>
        <v>9782759238132</v>
      </c>
    </row>
    <row r="7940" spans="1:6" s="3" customFormat="1" ht="29.1" customHeight="1" x14ac:dyDescent="0.25">
      <c r="A7940" s="2" t="s">
        <v>16554</v>
      </c>
      <c r="B7940" s="2" t="s">
        <v>16555</v>
      </c>
      <c r="C7940" s="2" t="s">
        <v>29</v>
      </c>
      <c r="D7940" s="2" t="s">
        <v>1432</v>
      </c>
      <c r="E7940" s="2" t="str">
        <f>"9789004682665"</f>
        <v>9789004682665</v>
      </c>
      <c r="F7940" s="2" t="str">
        <f>"9789004684782"</f>
        <v>9789004684782</v>
      </c>
    </row>
    <row r="7941" spans="1:6" s="3" customFormat="1" ht="29.1" customHeight="1" x14ac:dyDescent="0.25">
      <c r="A7941" s="2" t="s">
        <v>16556</v>
      </c>
      <c r="B7941" s="2" t="s">
        <v>16557</v>
      </c>
      <c r="C7941" s="2" t="s">
        <v>29</v>
      </c>
      <c r="D7941" s="2" t="s">
        <v>5032</v>
      </c>
      <c r="E7941" s="2" t="str">
        <f>"9789004325494"</f>
        <v>9789004325494</v>
      </c>
      <c r="F7941" s="2" t="str">
        <f>"9789004325562"</f>
        <v>9789004325562</v>
      </c>
    </row>
    <row r="7942" spans="1:6" s="3" customFormat="1" ht="29.1" customHeight="1" x14ac:dyDescent="0.25">
      <c r="A7942" s="2" t="s">
        <v>16558</v>
      </c>
      <c r="B7942" s="2" t="s">
        <v>7122</v>
      </c>
      <c r="C7942" s="2" t="s">
        <v>746</v>
      </c>
      <c r="D7942" s="2" t="s">
        <v>4307</v>
      </c>
      <c r="E7942" s="2" t="str">
        <f>"9781803270128"</f>
        <v>9781803270128</v>
      </c>
      <c r="F7942" s="2" t="str">
        <f>"9781803270135"</f>
        <v>9781803270135</v>
      </c>
    </row>
    <row r="7943" spans="1:6" s="3" customFormat="1" ht="29.1" customHeight="1" x14ac:dyDescent="0.25">
      <c r="A7943" s="2" t="s">
        <v>16559</v>
      </c>
      <c r="B7943" s="2" t="s">
        <v>16560</v>
      </c>
      <c r="C7943" s="2" t="s">
        <v>595</v>
      </c>
      <c r="D7943" s="2" t="s">
        <v>1902</v>
      </c>
      <c r="E7943" s="2" t="str">
        <f>"9782875749628"</f>
        <v>9782875749628</v>
      </c>
      <c r="F7943" s="2" t="str">
        <f>"9782875749635"</f>
        <v>9782875749635</v>
      </c>
    </row>
    <row r="7944" spans="1:6" s="3" customFormat="1" ht="29.1" customHeight="1" x14ac:dyDescent="0.25">
      <c r="A7944" s="2" t="s">
        <v>16561</v>
      </c>
      <c r="B7944" s="2" t="s">
        <v>16562</v>
      </c>
      <c r="C7944" s="2" t="s">
        <v>5</v>
      </c>
      <c r="D7944" s="2" t="s">
        <v>413</v>
      </c>
      <c r="E7944" s="2" t="str">
        <f>"9782384761951"</f>
        <v>9782384761951</v>
      </c>
      <c r="F7944" s="2" t="str">
        <f>"9782384761968"</f>
        <v>9782384761968</v>
      </c>
    </row>
    <row r="7945" spans="1:6" s="3" customFormat="1" ht="29.1" customHeight="1" x14ac:dyDescent="0.25">
      <c r="A7945" s="2" t="s">
        <v>16563</v>
      </c>
      <c r="B7945" s="2" t="s">
        <v>16564</v>
      </c>
      <c r="C7945" s="2" t="s">
        <v>5</v>
      </c>
      <c r="D7945" s="2" t="s">
        <v>3086</v>
      </c>
      <c r="E7945" s="2" t="str">
        <f>"9789464633535"</f>
        <v>9789464633535</v>
      </c>
      <c r="F7945" s="2" t="str">
        <f>"9789464633542"</f>
        <v>9789464633542</v>
      </c>
    </row>
    <row r="7946" spans="1:6" s="3" customFormat="1" ht="29.1" customHeight="1" x14ac:dyDescent="0.25">
      <c r="A7946" s="2" t="s">
        <v>16565</v>
      </c>
      <c r="B7946" s="2" t="s">
        <v>16566</v>
      </c>
      <c r="C7946" s="2" t="s">
        <v>5</v>
      </c>
      <c r="D7946" s="2" t="s">
        <v>674</v>
      </c>
      <c r="E7946" s="2" t="str">
        <f>"9783031391002"</f>
        <v>9783031391002</v>
      </c>
      <c r="F7946" s="2" t="str">
        <f>"9783031391019"</f>
        <v>9783031391019</v>
      </c>
    </row>
    <row r="7947" spans="1:6" s="3" customFormat="1" ht="29.1" customHeight="1" x14ac:dyDescent="0.25">
      <c r="A7947" s="2" t="s">
        <v>16567</v>
      </c>
      <c r="B7947" s="2" t="s">
        <v>7105</v>
      </c>
      <c r="C7947" s="2" t="s">
        <v>5</v>
      </c>
      <c r="D7947" s="2" t="s">
        <v>1104</v>
      </c>
      <c r="E7947" s="2" t="str">
        <f>"9789819975112"</f>
        <v>9789819975112</v>
      </c>
      <c r="F7947" s="2" t="str">
        <f>"9789819975129"</f>
        <v>9789819975129</v>
      </c>
    </row>
    <row r="7948" spans="1:6" s="3" customFormat="1" ht="29.1" customHeight="1" x14ac:dyDescent="0.25">
      <c r="A7948" s="2" t="s">
        <v>16568</v>
      </c>
      <c r="B7948" s="2" t="s">
        <v>16569</v>
      </c>
      <c r="C7948" s="2" t="s">
        <v>5</v>
      </c>
      <c r="D7948" s="2" t="s">
        <v>12</v>
      </c>
      <c r="E7948" s="2" t="str">
        <f>"9789464633337"</f>
        <v>9789464633337</v>
      </c>
      <c r="F7948" s="2" t="str">
        <f>"9789464633344"</f>
        <v>9789464633344</v>
      </c>
    </row>
    <row r="7949" spans="1:6" s="3" customFormat="1" ht="29.1" customHeight="1" x14ac:dyDescent="0.25">
      <c r="A7949" s="2" t="s">
        <v>16570</v>
      </c>
      <c r="B7949" s="2" t="s">
        <v>16571</v>
      </c>
      <c r="C7949" s="2" t="s">
        <v>677</v>
      </c>
      <c r="D7949" s="2" t="s">
        <v>6977</v>
      </c>
      <c r="E7949" s="2"/>
      <c r="F7949" s="2" t="str">
        <f>"9789493296312"</f>
        <v>9789493296312</v>
      </c>
    </row>
    <row r="7950" spans="1:6" s="3" customFormat="1" ht="29.1" customHeight="1" x14ac:dyDescent="0.25">
      <c r="A7950" s="2" t="s">
        <v>16572</v>
      </c>
      <c r="B7950" s="2" t="s">
        <v>16573</v>
      </c>
      <c r="C7950" s="2" t="s">
        <v>5</v>
      </c>
      <c r="D7950" s="2" t="s">
        <v>2045</v>
      </c>
      <c r="E7950" s="2" t="str">
        <f>"9782384761999"</f>
        <v>9782384761999</v>
      </c>
      <c r="F7950" s="2" t="str">
        <f>"9782384762002"</f>
        <v>9782384762002</v>
      </c>
    </row>
    <row r="7951" spans="1:6" s="3" customFormat="1" ht="29.1" customHeight="1" x14ac:dyDescent="0.25">
      <c r="A7951" s="2" t="s">
        <v>16574</v>
      </c>
      <c r="B7951" s="2" t="s">
        <v>16575</v>
      </c>
      <c r="C7951" s="2" t="s">
        <v>5</v>
      </c>
      <c r="D7951" s="2" t="s">
        <v>297</v>
      </c>
      <c r="E7951" s="2" t="str">
        <f>"9789819971879"</f>
        <v>9789819971879</v>
      </c>
      <c r="F7951" s="2" t="str">
        <f>"9789819971886"</f>
        <v>9789819971886</v>
      </c>
    </row>
    <row r="7952" spans="1:6" s="3" customFormat="1" ht="29.1" customHeight="1" x14ac:dyDescent="0.25">
      <c r="A7952" s="2" t="s">
        <v>16576</v>
      </c>
      <c r="B7952" s="2" t="s">
        <v>16577</v>
      </c>
      <c r="C7952" s="2" t="s">
        <v>11220</v>
      </c>
      <c r="D7952" s="2" t="s">
        <v>712</v>
      </c>
      <c r="E7952" s="2" t="str">
        <f>"9781479819157"</f>
        <v>9781479819157</v>
      </c>
      <c r="F7952" s="2"/>
    </row>
    <row r="7953" spans="1:6" s="3" customFormat="1" ht="29.1" customHeight="1" x14ac:dyDescent="0.25">
      <c r="A7953" s="2" t="s">
        <v>16578</v>
      </c>
      <c r="B7953" s="2" t="s">
        <v>16580</v>
      </c>
      <c r="C7953" s="2" t="s">
        <v>11220</v>
      </c>
      <c r="D7953" s="2" t="s">
        <v>16579</v>
      </c>
      <c r="E7953" s="2" t="str">
        <f>"9781479811168"</f>
        <v>9781479811168</v>
      </c>
      <c r="F7953" s="2"/>
    </row>
    <row r="7954" spans="1:6" s="3" customFormat="1" ht="29.1" customHeight="1" x14ac:dyDescent="0.25">
      <c r="A7954" s="2" t="s">
        <v>16581</v>
      </c>
      <c r="B7954" s="2" t="s">
        <v>16582</v>
      </c>
      <c r="C7954" s="2" t="s">
        <v>11220</v>
      </c>
      <c r="D7954" s="2" t="s">
        <v>81</v>
      </c>
      <c r="E7954" s="2"/>
      <c r="F7954" s="2" t="str">
        <f>"9781479884452"</f>
        <v>9781479884452</v>
      </c>
    </row>
    <row r="7955" spans="1:6" s="3" customFormat="1" ht="29.1" customHeight="1" x14ac:dyDescent="0.25">
      <c r="A7955" s="2" t="s">
        <v>16583</v>
      </c>
      <c r="B7955" s="2" t="s">
        <v>16584</v>
      </c>
      <c r="C7955" s="2" t="s">
        <v>11220</v>
      </c>
      <c r="D7955" s="2" t="s">
        <v>712</v>
      </c>
      <c r="E7955" s="2" t="str">
        <f>"9781479874149"</f>
        <v>9781479874149</v>
      </c>
      <c r="F7955" s="2"/>
    </row>
    <row r="7956" spans="1:6" s="3" customFormat="1" ht="29.1" customHeight="1" x14ac:dyDescent="0.25">
      <c r="A7956" s="2" t="s">
        <v>16585</v>
      </c>
      <c r="B7956" s="2" t="s">
        <v>16586</v>
      </c>
      <c r="C7956" s="2" t="s">
        <v>11220</v>
      </c>
      <c r="D7956" s="2" t="s">
        <v>218</v>
      </c>
      <c r="E7956" s="2" t="str">
        <f>"9780814783610"</f>
        <v>9780814783610</v>
      </c>
      <c r="F7956" s="2"/>
    </row>
    <row r="7957" spans="1:6" s="3" customFormat="1" ht="29.1" customHeight="1" x14ac:dyDescent="0.25">
      <c r="A7957" s="2" t="s">
        <v>16587</v>
      </c>
      <c r="B7957" s="2" t="s">
        <v>16589</v>
      </c>
      <c r="C7957" s="2" t="s">
        <v>11220</v>
      </c>
      <c r="D7957" s="2" t="s">
        <v>16588</v>
      </c>
      <c r="E7957" s="2" t="str">
        <f>"9780814798690"</f>
        <v>9780814798690</v>
      </c>
      <c r="F7957" s="2"/>
    </row>
    <row r="7958" spans="1:6" s="3" customFormat="1" ht="29.1" customHeight="1" x14ac:dyDescent="0.25">
      <c r="A7958" s="2" t="s">
        <v>16590</v>
      </c>
      <c r="B7958" s="2" t="s">
        <v>16591</v>
      </c>
      <c r="C7958" s="2" t="s">
        <v>11220</v>
      </c>
      <c r="D7958" s="2" t="s">
        <v>4064</v>
      </c>
      <c r="E7958" s="2" t="str">
        <f>"9780814719244"</f>
        <v>9780814719244</v>
      </c>
      <c r="F7958" s="2"/>
    </row>
    <row r="7959" spans="1:6" s="3" customFormat="1" ht="29.1" customHeight="1" x14ac:dyDescent="0.25">
      <c r="A7959" s="2" t="s">
        <v>16592</v>
      </c>
      <c r="B7959" s="2" t="s">
        <v>16593</v>
      </c>
      <c r="C7959" s="2" t="s">
        <v>11220</v>
      </c>
      <c r="D7959" s="2" t="s">
        <v>1654</v>
      </c>
      <c r="E7959" s="2" t="str">
        <f>"9781479832361"</f>
        <v>9781479832361</v>
      </c>
      <c r="F7959" s="2"/>
    </row>
    <row r="7960" spans="1:6" s="3" customFormat="1" ht="29.1" customHeight="1" x14ac:dyDescent="0.25">
      <c r="A7960" s="2" t="s">
        <v>16594</v>
      </c>
      <c r="B7960" s="2" t="s">
        <v>16595</v>
      </c>
      <c r="C7960" s="2" t="s">
        <v>11220</v>
      </c>
      <c r="D7960" s="2" t="s">
        <v>16084</v>
      </c>
      <c r="E7960" s="2" t="str">
        <f>"9780814750957"</f>
        <v>9780814750957</v>
      </c>
      <c r="F7960" s="2" t="str">
        <f>"9780814752739"</f>
        <v>9780814752739</v>
      </c>
    </row>
    <row r="7961" spans="1:6" s="3" customFormat="1" ht="29.1" customHeight="1" x14ac:dyDescent="0.25">
      <c r="A7961" s="2" t="s">
        <v>16596</v>
      </c>
      <c r="B7961" s="2" t="s">
        <v>16598</v>
      </c>
      <c r="C7961" s="2" t="s">
        <v>11220</v>
      </c>
      <c r="D7961" s="2" t="s">
        <v>16597</v>
      </c>
      <c r="E7961" s="2" t="str">
        <f>"9780814796337"</f>
        <v>9780814796337</v>
      </c>
      <c r="F7961" s="2"/>
    </row>
    <row r="7962" spans="1:6" s="3" customFormat="1" ht="29.1" customHeight="1" x14ac:dyDescent="0.25">
      <c r="A7962" s="2" t="s">
        <v>16599</v>
      </c>
      <c r="B7962" s="2" t="s">
        <v>16600</v>
      </c>
      <c r="C7962" s="2" t="s">
        <v>11220</v>
      </c>
      <c r="D7962" s="2" t="s">
        <v>818</v>
      </c>
      <c r="E7962" s="2" t="str">
        <f>"9780814785096"</f>
        <v>9780814785096</v>
      </c>
      <c r="F7962" s="2"/>
    </row>
    <row r="7963" spans="1:6" s="3" customFormat="1" ht="29.1" customHeight="1" x14ac:dyDescent="0.25">
      <c r="A7963" s="2" t="s">
        <v>16601</v>
      </c>
      <c r="B7963" s="2" t="s">
        <v>16602</v>
      </c>
      <c r="C7963" s="2" t="s">
        <v>11220</v>
      </c>
      <c r="D7963" s="2" t="s">
        <v>297</v>
      </c>
      <c r="E7963" s="2" t="str">
        <f>"9780814798645"</f>
        <v>9780814798645</v>
      </c>
      <c r="F7963" s="2"/>
    </row>
    <row r="7964" spans="1:6" s="3" customFormat="1" ht="29.1" customHeight="1" x14ac:dyDescent="0.25">
      <c r="A7964" s="2" t="s">
        <v>16603</v>
      </c>
      <c r="B7964" s="2" t="s">
        <v>16604</v>
      </c>
      <c r="C7964" s="2" t="s">
        <v>11220</v>
      </c>
      <c r="D7964" s="2" t="s">
        <v>1162</v>
      </c>
      <c r="E7964" s="2" t="str">
        <f>"9780814793633"</f>
        <v>9780814793633</v>
      </c>
      <c r="F7964" s="2" t="str">
        <f>"9780814795149"</f>
        <v>9780814795149</v>
      </c>
    </row>
    <row r="7965" spans="1:6" s="3" customFormat="1" ht="29.1" customHeight="1" x14ac:dyDescent="0.25">
      <c r="A7965" s="2" t="s">
        <v>16605</v>
      </c>
      <c r="B7965" s="2" t="s">
        <v>16607</v>
      </c>
      <c r="C7965" s="2" t="s">
        <v>11220</v>
      </c>
      <c r="D7965" s="2" t="s">
        <v>16606</v>
      </c>
      <c r="E7965" s="2" t="str">
        <f>"9780814756126"</f>
        <v>9780814756126</v>
      </c>
      <c r="F7965" s="2"/>
    </row>
    <row r="7966" spans="1:6" s="3" customFormat="1" ht="29.1" customHeight="1" x14ac:dyDescent="0.25">
      <c r="A7966" s="2" t="s">
        <v>16608</v>
      </c>
      <c r="B7966" s="2" t="s">
        <v>16609</v>
      </c>
      <c r="C7966" s="2" t="s">
        <v>11220</v>
      </c>
      <c r="D7966" s="2" t="s">
        <v>11719</v>
      </c>
      <c r="E7966" s="2"/>
      <c r="F7966" s="2"/>
    </row>
    <row r="7967" spans="1:6" s="3" customFormat="1" ht="29.1" customHeight="1" x14ac:dyDescent="0.25">
      <c r="A7967" s="2" t="s">
        <v>16610</v>
      </c>
      <c r="B7967" s="2" t="s">
        <v>16611</v>
      </c>
      <c r="C7967" s="2" t="s">
        <v>11220</v>
      </c>
      <c r="D7967" s="2" t="s">
        <v>636</v>
      </c>
      <c r="E7967" s="2" t="str">
        <f>"9780814770252"</f>
        <v>9780814770252</v>
      </c>
      <c r="F7967" s="2" t="str">
        <f>"9780814760925"</f>
        <v>9780814760925</v>
      </c>
    </row>
    <row r="7968" spans="1:6" s="3" customFormat="1" ht="29.1" customHeight="1" x14ac:dyDescent="0.25">
      <c r="A7968" s="2" t="s">
        <v>16612</v>
      </c>
      <c r="B7968" s="2" t="s">
        <v>16613</v>
      </c>
      <c r="C7968" s="2" t="s">
        <v>11220</v>
      </c>
      <c r="D7968" s="2" t="s">
        <v>639</v>
      </c>
      <c r="E7968" s="2" t="str">
        <f>"9780814719503"</f>
        <v>9780814719503</v>
      </c>
      <c r="F7968" s="2"/>
    </row>
    <row r="7969" spans="1:6" s="3" customFormat="1" ht="29.1" customHeight="1" x14ac:dyDescent="0.25">
      <c r="A7969" s="2" t="s">
        <v>16614</v>
      </c>
      <c r="B7969" s="2" t="s">
        <v>16615</v>
      </c>
      <c r="C7969" s="2" t="s">
        <v>11220</v>
      </c>
      <c r="D7969" s="2" t="s">
        <v>2798</v>
      </c>
      <c r="E7969" s="2" t="str">
        <f>"9780814799284"</f>
        <v>9780814799284</v>
      </c>
      <c r="F7969" s="2"/>
    </row>
    <row r="7970" spans="1:6" s="3" customFormat="1" ht="29.1" customHeight="1" x14ac:dyDescent="0.25">
      <c r="A7970" s="2" t="s">
        <v>16616</v>
      </c>
      <c r="B7970" s="2" t="s">
        <v>16617</v>
      </c>
      <c r="C7970" s="2" t="s">
        <v>11220</v>
      </c>
      <c r="D7970" s="2" t="s">
        <v>8642</v>
      </c>
      <c r="E7970" s="2" t="str">
        <f>"9780814775677"</f>
        <v>9780814775677</v>
      </c>
      <c r="F7970" s="2"/>
    </row>
    <row r="7971" spans="1:6" s="3" customFormat="1" ht="29.1" customHeight="1" x14ac:dyDescent="0.25">
      <c r="A7971" s="2" t="s">
        <v>16618</v>
      </c>
      <c r="B7971" s="2" t="s">
        <v>16619</v>
      </c>
      <c r="C7971" s="2" t="s">
        <v>950</v>
      </c>
      <c r="D7971" s="2" t="s">
        <v>11751</v>
      </c>
      <c r="E7971" s="2"/>
      <c r="F7971" s="2" t="str">
        <f>"9788411708524"</f>
        <v>9788411708524</v>
      </c>
    </row>
    <row r="7972" spans="1:6" s="3" customFormat="1" ht="29.1" customHeight="1" x14ac:dyDescent="0.25">
      <c r="A7972" s="2" t="s">
        <v>16620</v>
      </c>
      <c r="B7972" s="2" t="s">
        <v>16621</v>
      </c>
      <c r="C7972" s="2" t="s">
        <v>950</v>
      </c>
      <c r="D7972" s="2" t="s">
        <v>2776</v>
      </c>
      <c r="E7972" s="2"/>
      <c r="F7972" s="2" t="str">
        <f>"9788411708302"</f>
        <v>9788411708302</v>
      </c>
    </row>
    <row r="7973" spans="1:6" s="3" customFormat="1" ht="29.1" customHeight="1" x14ac:dyDescent="0.25">
      <c r="A7973" s="2" t="s">
        <v>16622</v>
      </c>
      <c r="B7973" s="2" t="s">
        <v>16623</v>
      </c>
      <c r="C7973" s="2" t="s">
        <v>950</v>
      </c>
      <c r="D7973" s="2" t="s">
        <v>3958</v>
      </c>
      <c r="E7973" s="2"/>
      <c r="F7973" s="2" t="str">
        <f>"9788411708296"</f>
        <v>9788411708296</v>
      </c>
    </row>
    <row r="7974" spans="1:6" s="3" customFormat="1" ht="29.1" customHeight="1" x14ac:dyDescent="0.25">
      <c r="A7974" s="2" t="s">
        <v>16624</v>
      </c>
      <c r="B7974" s="2" t="s">
        <v>16625</v>
      </c>
      <c r="C7974" s="2" t="s">
        <v>950</v>
      </c>
      <c r="D7974" s="2" t="s">
        <v>413</v>
      </c>
      <c r="E7974" s="2"/>
      <c r="F7974" s="2" t="str">
        <f>"9788411707862"</f>
        <v>9788411707862</v>
      </c>
    </row>
    <row r="7975" spans="1:6" s="3" customFormat="1" ht="29.1" customHeight="1" x14ac:dyDescent="0.25">
      <c r="A7975" s="2" t="s">
        <v>16626</v>
      </c>
      <c r="B7975" s="2" t="s">
        <v>16627</v>
      </c>
      <c r="C7975" s="2" t="s">
        <v>950</v>
      </c>
      <c r="D7975" s="2" t="s">
        <v>4214</v>
      </c>
      <c r="E7975" s="2"/>
      <c r="F7975" s="2" t="str">
        <f>"9788411707749"</f>
        <v>9788411707749</v>
      </c>
    </row>
    <row r="7976" spans="1:6" s="3" customFormat="1" ht="29.1" customHeight="1" x14ac:dyDescent="0.25">
      <c r="A7976" s="2" t="s">
        <v>16628</v>
      </c>
      <c r="B7976" s="2" t="s">
        <v>16629</v>
      </c>
      <c r="C7976" s="2" t="s">
        <v>950</v>
      </c>
      <c r="D7976" s="2" t="s">
        <v>278</v>
      </c>
      <c r="E7976" s="2"/>
      <c r="F7976" s="2" t="str">
        <f>"9788411707626"</f>
        <v>9788411707626</v>
      </c>
    </row>
    <row r="7977" spans="1:6" s="3" customFormat="1" ht="29.1" customHeight="1" x14ac:dyDescent="0.25">
      <c r="A7977" s="2" t="s">
        <v>16630</v>
      </c>
      <c r="B7977" s="2" t="s">
        <v>16631</v>
      </c>
      <c r="C7977" s="2" t="s">
        <v>327</v>
      </c>
      <c r="D7977" s="2" t="s">
        <v>674</v>
      </c>
      <c r="E7977" s="2" t="str">
        <f>"9788383313528"</f>
        <v>9788383313528</v>
      </c>
      <c r="F7977" s="2" t="str">
        <f>"9788383313535"</f>
        <v>9788383313535</v>
      </c>
    </row>
    <row r="7978" spans="1:6" s="3" customFormat="1" ht="29.1" customHeight="1" x14ac:dyDescent="0.25">
      <c r="A7978" s="2" t="s">
        <v>16632</v>
      </c>
      <c r="B7978" s="2" t="s">
        <v>16634</v>
      </c>
      <c r="C7978" s="2" t="s">
        <v>327</v>
      </c>
      <c r="D7978" s="2" t="s">
        <v>16633</v>
      </c>
      <c r="E7978" s="2" t="str">
        <f>"9788383313146"</f>
        <v>9788383313146</v>
      </c>
      <c r="F7978" s="2" t="str">
        <f>"9788383313153"</f>
        <v>9788383313153</v>
      </c>
    </row>
    <row r="7979" spans="1:6" s="3" customFormat="1" ht="29.1" customHeight="1" x14ac:dyDescent="0.25">
      <c r="A7979" s="2" t="s">
        <v>16635</v>
      </c>
      <c r="B7979" s="2" t="s">
        <v>16636</v>
      </c>
      <c r="C7979" s="2" t="s">
        <v>327</v>
      </c>
      <c r="D7979" s="2" t="s">
        <v>270</v>
      </c>
      <c r="E7979" s="2"/>
      <c r="F7979" s="2" t="str">
        <f>"9788383313108"</f>
        <v>9788383313108</v>
      </c>
    </row>
    <row r="7980" spans="1:6" s="3" customFormat="1" ht="29.1" customHeight="1" x14ac:dyDescent="0.25">
      <c r="A7980" s="2" t="s">
        <v>16637</v>
      </c>
      <c r="B7980" s="2" t="s">
        <v>16639</v>
      </c>
      <c r="C7980" s="2" t="s">
        <v>327</v>
      </c>
      <c r="D7980" s="2" t="s">
        <v>16638</v>
      </c>
      <c r="E7980" s="2"/>
      <c r="F7980" s="2" t="str">
        <f>"9788383313061"</f>
        <v>9788383313061</v>
      </c>
    </row>
    <row r="7981" spans="1:6" s="3" customFormat="1" ht="29.1" customHeight="1" x14ac:dyDescent="0.25">
      <c r="A7981" s="2" t="s">
        <v>16640</v>
      </c>
      <c r="B7981" s="2" t="s">
        <v>16639</v>
      </c>
      <c r="C7981" s="2" t="s">
        <v>327</v>
      </c>
      <c r="D7981" s="2" t="s">
        <v>16638</v>
      </c>
      <c r="E7981" s="2"/>
      <c r="F7981" s="2" t="str">
        <f>"9788383313054"</f>
        <v>9788383313054</v>
      </c>
    </row>
    <row r="7982" spans="1:6" s="3" customFormat="1" ht="29.1" customHeight="1" x14ac:dyDescent="0.25">
      <c r="A7982" s="2" t="s">
        <v>16641</v>
      </c>
      <c r="B7982" s="2" t="s">
        <v>16642</v>
      </c>
      <c r="C7982" s="2" t="s">
        <v>327</v>
      </c>
      <c r="D7982" s="2" t="s">
        <v>339</v>
      </c>
      <c r="E7982" s="2"/>
      <c r="F7982" s="2" t="str">
        <f>"9788383312927"</f>
        <v>9788383312927</v>
      </c>
    </row>
    <row r="7983" spans="1:6" s="3" customFormat="1" ht="29.1" customHeight="1" x14ac:dyDescent="0.25">
      <c r="A7983" s="2" t="s">
        <v>16643</v>
      </c>
      <c r="B7983" s="2" t="s">
        <v>16644</v>
      </c>
      <c r="C7983" s="2" t="s">
        <v>327</v>
      </c>
      <c r="D7983" s="2" t="s">
        <v>9656</v>
      </c>
      <c r="E7983" s="2" t="str">
        <f>"9788383313085"</f>
        <v>9788383313085</v>
      </c>
      <c r="F7983" s="2" t="str">
        <f>"9788383313092"</f>
        <v>9788383313092</v>
      </c>
    </row>
    <row r="7984" spans="1:6" s="3" customFormat="1" ht="29.1" customHeight="1" x14ac:dyDescent="0.25">
      <c r="A7984" s="2" t="s">
        <v>16645</v>
      </c>
      <c r="B7984" s="2" t="s">
        <v>16646</v>
      </c>
      <c r="C7984" s="2" t="s">
        <v>327</v>
      </c>
      <c r="D7984" s="2" t="s">
        <v>141</v>
      </c>
      <c r="E7984" s="2" t="str">
        <f>"9788382209785"</f>
        <v>9788382209785</v>
      </c>
      <c r="F7984" s="2" t="str">
        <f>"9788382209792"</f>
        <v>9788382209792</v>
      </c>
    </row>
    <row r="7985" spans="1:6" s="3" customFormat="1" ht="29.1" customHeight="1" x14ac:dyDescent="0.25">
      <c r="A7985" s="2" t="s">
        <v>16647</v>
      </c>
      <c r="B7985" s="2" t="s">
        <v>16648</v>
      </c>
      <c r="C7985" s="2" t="s">
        <v>327</v>
      </c>
      <c r="D7985" s="2" t="s">
        <v>1999</v>
      </c>
      <c r="E7985" s="2" t="str">
        <f>"9788382208771"</f>
        <v>9788382208771</v>
      </c>
      <c r="F7985" s="2" t="str">
        <f>"9788382208788"</f>
        <v>9788382208788</v>
      </c>
    </row>
    <row r="7986" spans="1:6" s="3" customFormat="1" ht="29.1" customHeight="1" x14ac:dyDescent="0.25">
      <c r="A7986" s="2" t="s">
        <v>16649</v>
      </c>
      <c r="B7986" s="2" t="s">
        <v>16650</v>
      </c>
      <c r="C7986" s="2" t="s">
        <v>327</v>
      </c>
      <c r="D7986" s="2" t="s">
        <v>221</v>
      </c>
      <c r="E7986" s="2" t="str">
        <f>"9788382208924"</f>
        <v>9788382208924</v>
      </c>
      <c r="F7986" s="2" t="str">
        <f>"9788382208931"</f>
        <v>9788382208931</v>
      </c>
    </row>
    <row r="7987" spans="1:6" s="3" customFormat="1" ht="29.1" customHeight="1" x14ac:dyDescent="0.25">
      <c r="A7987" s="2" t="s">
        <v>16651</v>
      </c>
      <c r="B7987" s="2" t="s">
        <v>16652</v>
      </c>
      <c r="C7987" s="2" t="s">
        <v>327</v>
      </c>
      <c r="D7987" s="2" t="s">
        <v>743</v>
      </c>
      <c r="E7987" s="2" t="str">
        <f>"9788382208467"</f>
        <v>9788382208467</v>
      </c>
      <c r="F7987" s="2" t="str">
        <f>"9788382208474"</f>
        <v>9788382208474</v>
      </c>
    </row>
    <row r="7988" spans="1:6" s="3" customFormat="1" ht="29.1" customHeight="1" x14ac:dyDescent="0.25">
      <c r="A7988" s="2" t="s">
        <v>16653</v>
      </c>
      <c r="B7988" s="2" t="s">
        <v>16655</v>
      </c>
      <c r="C7988" s="2" t="s">
        <v>327</v>
      </c>
      <c r="D7988" s="2" t="s">
        <v>16654</v>
      </c>
      <c r="E7988" s="2" t="str">
        <f>"9788382209860"</f>
        <v>9788382209860</v>
      </c>
      <c r="F7988" s="2" t="str">
        <f>"9788382209877"</f>
        <v>9788382209877</v>
      </c>
    </row>
    <row r="7989" spans="1:6" s="3" customFormat="1" ht="29.1" customHeight="1" x14ac:dyDescent="0.25">
      <c r="A7989" s="2" t="s">
        <v>16656</v>
      </c>
      <c r="B7989" s="2" t="s">
        <v>5084</v>
      </c>
      <c r="C7989" s="2" t="s">
        <v>327</v>
      </c>
      <c r="D7989" s="2" t="s">
        <v>125</v>
      </c>
      <c r="E7989" s="2" t="str">
        <f>"9788382203004"</f>
        <v>9788382203004</v>
      </c>
      <c r="F7989" s="2" t="str">
        <f>"9788382203011"</f>
        <v>9788382203011</v>
      </c>
    </row>
    <row r="7990" spans="1:6" s="3" customFormat="1" ht="29.1" customHeight="1" x14ac:dyDescent="0.25">
      <c r="A7990" s="2" t="s">
        <v>16657</v>
      </c>
      <c r="B7990" s="2" t="s">
        <v>16658</v>
      </c>
      <c r="C7990" s="2" t="s">
        <v>5</v>
      </c>
      <c r="D7990" s="2" t="s">
        <v>339</v>
      </c>
      <c r="E7990" s="2" t="str">
        <f>"9789819973248"</f>
        <v>9789819973248</v>
      </c>
      <c r="F7990" s="2" t="str">
        <f>"9789819973255"</f>
        <v>9789819973255</v>
      </c>
    </row>
    <row r="7991" spans="1:6" s="3" customFormat="1" ht="29.1" customHeight="1" x14ac:dyDescent="0.25">
      <c r="A7991" s="2" t="s">
        <v>16659</v>
      </c>
      <c r="B7991" s="2" t="s">
        <v>16660</v>
      </c>
      <c r="C7991" s="2" t="s">
        <v>55</v>
      </c>
      <c r="D7991" s="2" t="s">
        <v>183</v>
      </c>
      <c r="E7991" s="2" t="str">
        <f>"9781526174802"</f>
        <v>9781526174802</v>
      </c>
      <c r="F7991" s="2" t="str">
        <f>"9781526174796"</f>
        <v>9781526174796</v>
      </c>
    </row>
    <row r="7992" spans="1:6" s="3" customFormat="1" ht="29.1" customHeight="1" x14ac:dyDescent="0.25">
      <c r="A7992" s="2" t="s">
        <v>16661</v>
      </c>
      <c r="B7992" s="2" t="s">
        <v>16662</v>
      </c>
      <c r="C7992" s="2" t="s">
        <v>55</v>
      </c>
      <c r="D7992" s="2" t="s">
        <v>3185</v>
      </c>
      <c r="E7992" s="2" t="str">
        <f>"9781526166791"</f>
        <v>9781526166791</v>
      </c>
      <c r="F7992" s="2" t="str">
        <f>"9781526166807"</f>
        <v>9781526166807</v>
      </c>
    </row>
    <row r="7993" spans="1:6" s="3" customFormat="1" ht="29.1" customHeight="1" x14ac:dyDescent="0.25">
      <c r="A7993" s="2" t="s">
        <v>16663</v>
      </c>
      <c r="B7993" s="2" t="s">
        <v>16664</v>
      </c>
      <c r="C7993" s="2" t="s">
        <v>2188</v>
      </c>
      <c r="D7993" s="2" t="s">
        <v>81</v>
      </c>
      <c r="E7993" s="2" t="str">
        <f>"9788323241706"</f>
        <v>9788323241706</v>
      </c>
      <c r="F7993" s="2" t="str">
        <f>"9788323241713"</f>
        <v>9788323241713</v>
      </c>
    </row>
    <row r="7994" spans="1:6" s="3" customFormat="1" ht="29.1" customHeight="1" x14ac:dyDescent="0.25">
      <c r="A7994" s="2" t="s">
        <v>16665</v>
      </c>
      <c r="B7994" s="2" t="s">
        <v>16666</v>
      </c>
      <c r="C7994" s="2" t="s">
        <v>5050</v>
      </c>
      <c r="D7994" s="2" t="s">
        <v>818</v>
      </c>
      <c r="E7994" s="2" t="str">
        <f>"9780824898069"</f>
        <v>9780824898069</v>
      </c>
      <c r="F7994" s="2" t="str">
        <f>"9780824898076"</f>
        <v>9780824898076</v>
      </c>
    </row>
    <row r="7995" spans="1:6" s="3" customFormat="1" ht="29.1" customHeight="1" x14ac:dyDescent="0.25">
      <c r="A7995" s="2" t="s">
        <v>16667</v>
      </c>
      <c r="B7995" s="2" t="s">
        <v>16668</v>
      </c>
      <c r="C7995" s="2" t="s">
        <v>5050</v>
      </c>
      <c r="D7995" s="2" t="s">
        <v>653</v>
      </c>
      <c r="E7995" s="2" t="str">
        <f>"9780824896140"</f>
        <v>9780824896140</v>
      </c>
      <c r="F7995" s="2" t="str">
        <f>"9780824898342"</f>
        <v>9780824898342</v>
      </c>
    </row>
    <row r="7996" spans="1:6" s="3" customFormat="1" ht="29.1" customHeight="1" x14ac:dyDescent="0.25">
      <c r="A7996" s="2" t="s">
        <v>16669</v>
      </c>
      <c r="B7996" s="2" t="s">
        <v>16671</v>
      </c>
      <c r="C7996" s="2" t="s">
        <v>595</v>
      </c>
      <c r="D7996" s="2" t="s">
        <v>16670</v>
      </c>
      <c r="E7996" s="2" t="str">
        <f>"9783034336604"</f>
        <v>9783034336604</v>
      </c>
      <c r="F7996" s="2" t="str">
        <f>"9783034345767"</f>
        <v>9783034345767</v>
      </c>
    </row>
    <row r="7997" spans="1:6" s="3" customFormat="1" ht="29.1" customHeight="1" x14ac:dyDescent="0.25">
      <c r="A7997" s="2" t="s">
        <v>16669</v>
      </c>
      <c r="B7997" s="2" t="s">
        <v>16671</v>
      </c>
      <c r="C7997" s="2" t="s">
        <v>595</v>
      </c>
      <c r="D7997" s="2" t="s">
        <v>16670</v>
      </c>
      <c r="E7997" s="2" t="str">
        <f>"9783034336642"</f>
        <v>9783034336642</v>
      </c>
      <c r="F7997" s="2" t="str">
        <f>"9783034346009"</f>
        <v>9783034346009</v>
      </c>
    </row>
    <row r="7998" spans="1:6" s="3" customFormat="1" ht="29.1" customHeight="1" x14ac:dyDescent="0.25">
      <c r="A7998" s="2" t="s">
        <v>16669</v>
      </c>
      <c r="B7998" s="2" t="s">
        <v>16671</v>
      </c>
      <c r="C7998" s="2" t="s">
        <v>595</v>
      </c>
      <c r="D7998" s="2" t="s">
        <v>1237</v>
      </c>
      <c r="E7998" s="2" t="str">
        <f>"9783034336635"</f>
        <v>9783034336635</v>
      </c>
      <c r="F7998" s="2" t="str">
        <f>"9783034345972"</f>
        <v>9783034345972</v>
      </c>
    </row>
    <row r="7999" spans="1:6" s="3" customFormat="1" ht="29.1" customHeight="1" x14ac:dyDescent="0.25">
      <c r="A7999" s="2" t="s">
        <v>16669</v>
      </c>
      <c r="B7999" s="2" t="s">
        <v>16671</v>
      </c>
      <c r="C7999" s="2" t="s">
        <v>595</v>
      </c>
      <c r="D7999" s="2" t="s">
        <v>16670</v>
      </c>
      <c r="E7999" s="2" t="str">
        <f>"9783034336550"</f>
        <v>9783034336550</v>
      </c>
      <c r="F7999" s="2" t="str">
        <f>"9783034345934"</f>
        <v>9783034345934</v>
      </c>
    </row>
    <row r="8000" spans="1:6" s="3" customFormat="1" ht="29.1" customHeight="1" x14ac:dyDescent="0.25">
      <c r="A8000" s="2" t="s">
        <v>16669</v>
      </c>
      <c r="B8000" s="2" t="s">
        <v>16671</v>
      </c>
      <c r="C8000" s="2" t="s">
        <v>595</v>
      </c>
      <c r="D8000" s="2" t="s">
        <v>1237</v>
      </c>
      <c r="E8000" s="2" t="str">
        <f>"9783034336628"</f>
        <v>9783034336628</v>
      </c>
      <c r="F8000" s="2" t="str">
        <f>"9783034345828"</f>
        <v>9783034345828</v>
      </c>
    </row>
    <row r="8001" spans="1:6" s="3" customFormat="1" ht="29.1" customHeight="1" x14ac:dyDescent="0.25">
      <c r="A8001" s="2" t="s">
        <v>16669</v>
      </c>
      <c r="B8001" s="2" t="s">
        <v>16671</v>
      </c>
      <c r="C8001" s="2" t="s">
        <v>595</v>
      </c>
      <c r="D8001" s="2" t="s">
        <v>16670</v>
      </c>
      <c r="E8001" s="2" t="str">
        <f>"9783034336611"</f>
        <v>9783034336611</v>
      </c>
      <c r="F8001" s="2" t="str">
        <f>"9783034345798"</f>
        <v>9783034345798</v>
      </c>
    </row>
    <row r="8002" spans="1:6" s="3" customFormat="1" ht="29.1" customHeight="1" x14ac:dyDescent="0.25">
      <c r="A8002" s="2" t="s">
        <v>16669</v>
      </c>
      <c r="B8002" s="2" t="s">
        <v>16671</v>
      </c>
      <c r="C8002" s="2" t="s">
        <v>595</v>
      </c>
      <c r="D8002" s="2" t="s">
        <v>2121</v>
      </c>
      <c r="E8002" s="2" t="str">
        <f>"9783034336598"</f>
        <v>9783034336598</v>
      </c>
      <c r="F8002" s="2" t="str">
        <f>"9783034345736"</f>
        <v>9783034345736</v>
      </c>
    </row>
    <row r="8003" spans="1:6" s="3" customFormat="1" ht="29.1" customHeight="1" x14ac:dyDescent="0.25">
      <c r="A8003" s="2" t="s">
        <v>16669</v>
      </c>
      <c r="B8003" s="2" t="s">
        <v>16671</v>
      </c>
      <c r="C8003" s="2" t="s">
        <v>595</v>
      </c>
      <c r="D8003" s="2" t="s">
        <v>1237</v>
      </c>
      <c r="E8003" s="2" t="str">
        <f>"9783034336581"</f>
        <v>9783034336581</v>
      </c>
      <c r="F8003" s="2" t="str">
        <f>"9783034345705"</f>
        <v>9783034345705</v>
      </c>
    </row>
    <row r="8004" spans="1:6" s="3" customFormat="1" ht="29.1" customHeight="1" x14ac:dyDescent="0.25">
      <c r="A8004" s="2" t="s">
        <v>16669</v>
      </c>
      <c r="B8004" s="2" t="s">
        <v>16671</v>
      </c>
      <c r="C8004" s="2" t="s">
        <v>595</v>
      </c>
      <c r="D8004" s="2" t="s">
        <v>2648</v>
      </c>
      <c r="E8004" s="2" t="str">
        <f>"9783034336574"</f>
        <v>9783034336574</v>
      </c>
      <c r="F8004" s="2" t="str">
        <f>"9783034345675"</f>
        <v>9783034345675</v>
      </c>
    </row>
    <row r="8005" spans="1:6" s="3" customFormat="1" ht="29.1" customHeight="1" x14ac:dyDescent="0.25">
      <c r="A8005" s="2" t="s">
        <v>16672</v>
      </c>
      <c r="B8005" s="2" t="s">
        <v>16674</v>
      </c>
      <c r="C8005" s="2" t="s">
        <v>595</v>
      </c>
      <c r="D8005" s="2" t="s">
        <v>16673</v>
      </c>
      <c r="E8005" s="2" t="str">
        <f>"9783631395851"</f>
        <v>9783631395851</v>
      </c>
      <c r="F8005" s="2" t="str">
        <f>"9783631757031"</f>
        <v>9783631757031</v>
      </c>
    </row>
    <row r="8006" spans="1:6" s="3" customFormat="1" ht="29.1" customHeight="1" x14ac:dyDescent="0.25">
      <c r="A8006" s="2" t="s">
        <v>16675</v>
      </c>
      <c r="B8006" s="2" t="s">
        <v>16676</v>
      </c>
      <c r="C8006" s="2" t="s">
        <v>595</v>
      </c>
      <c r="D8006" s="2" t="s">
        <v>10578</v>
      </c>
      <c r="E8006" s="2" t="str">
        <f>"9783631572283"</f>
        <v>9783631572283</v>
      </c>
      <c r="F8006" s="2" t="str">
        <f>"9783631756881"</f>
        <v>9783631756881</v>
      </c>
    </row>
    <row r="8007" spans="1:6" s="3" customFormat="1" ht="29.1" customHeight="1" x14ac:dyDescent="0.25">
      <c r="A8007" s="2" t="s">
        <v>16677</v>
      </c>
      <c r="B8007" s="2" t="s">
        <v>16678</v>
      </c>
      <c r="C8007" s="2" t="s">
        <v>595</v>
      </c>
      <c r="D8007" s="2" t="s">
        <v>2019</v>
      </c>
      <c r="E8007" s="2" t="str">
        <f>"9783631349458"</f>
        <v>9783631349458</v>
      </c>
      <c r="F8007" s="2" t="str">
        <f>"9783631756041"</f>
        <v>9783631756041</v>
      </c>
    </row>
    <row r="8008" spans="1:6" s="3" customFormat="1" ht="29.1" customHeight="1" x14ac:dyDescent="0.25">
      <c r="A8008" s="2" t="s">
        <v>16679</v>
      </c>
      <c r="B8008" s="2" t="s">
        <v>16680</v>
      </c>
      <c r="C8008" s="2" t="s">
        <v>595</v>
      </c>
      <c r="D8008" s="2" t="s">
        <v>446</v>
      </c>
      <c r="E8008" s="2" t="str">
        <f>"9783039107391"</f>
        <v>9783039107391</v>
      </c>
      <c r="F8008" s="2" t="str">
        <f>"9781788745642"</f>
        <v>9781788745642</v>
      </c>
    </row>
    <row r="8009" spans="1:6" s="3" customFormat="1" ht="29.1" customHeight="1" x14ac:dyDescent="0.25">
      <c r="A8009" s="2" t="s">
        <v>16681</v>
      </c>
      <c r="B8009" s="2" t="s">
        <v>16682</v>
      </c>
      <c r="C8009" s="2" t="s">
        <v>595</v>
      </c>
      <c r="D8009" s="2" t="s">
        <v>6347</v>
      </c>
      <c r="E8009" s="2" t="str">
        <f>"9783034335515"</f>
        <v>9783034335515</v>
      </c>
      <c r="F8009" s="2" t="str">
        <f>"9783034335638"</f>
        <v>9783034335638</v>
      </c>
    </row>
    <row r="8010" spans="1:6" s="3" customFormat="1" ht="29.1" customHeight="1" x14ac:dyDescent="0.25">
      <c r="A8010" s="2" t="s">
        <v>16683</v>
      </c>
      <c r="B8010" s="2" t="s">
        <v>16684</v>
      </c>
      <c r="C8010" s="2" t="s">
        <v>595</v>
      </c>
      <c r="D8010" s="2" t="s">
        <v>4071</v>
      </c>
      <c r="E8010" s="2" t="str">
        <f>"9783034335065"</f>
        <v>9783034335065</v>
      </c>
      <c r="F8010" s="2" t="str">
        <f>"9783034335546"</f>
        <v>9783034335546</v>
      </c>
    </row>
    <row r="8011" spans="1:6" s="3" customFormat="1" ht="29.1" customHeight="1" x14ac:dyDescent="0.25">
      <c r="A8011" s="2" t="s">
        <v>16685</v>
      </c>
      <c r="B8011" s="2" t="s">
        <v>16686</v>
      </c>
      <c r="C8011" s="2" t="s">
        <v>595</v>
      </c>
      <c r="D8011" s="2" t="s">
        <v>951</v>
      </c>
      <c r="E8011" s="2" t="str">
        <f>"9783034335010"</f>
        <v>9783034335010</v>
      </c>
      <c r="F8011" s="2" t="str">
        <f>"9783034335331"</f>
        <v>9783034335331</v>
      </c>
    </row>
    <row r="8012" spans="1:6" s="3" customFormat="1" ht="29.1" customHeight="1" x14ac:dyDescent="0.25">
      <c r="A8012" s="2" t="s">
        <v>16687</v>
      </c>
      <c r="B8012" s="2" t="s">
        <v>16688</v>
      </c>
      <c r="C8012" s="2" t="s">
        <v>595</v>
      </c>
      <c r="D8012" s="2" t="s">
        <v>2121</v>
      </c>
      <c r="E8012" s="2" t="str">
        <f>"9783906769974"</f>
        <v>9783906769974</v>
      </c>
      <c r="F8012" s="2" t="str">
        <f>"9783034335249"</f>
        <v>9783034335249</v>
      </c>
    </row>
    <row r="8013" spans="1:6" s="3" customFormat="1" ht="29.1" customHeight="1" x14ac:dyDescent="0.25">
      <c r="A8013" s="2" t="s">
        <v>16689</v>
      </c>
      <c r="B8013" s="2" t="s">
        <v>16690</v>
      </c>
      <c r="C8013" s="2" t="s">
        <v>595</v>
      </c>
      <c r="D8013" s="2" t="s">
        <v>2307</v>
      </c>
      <c r="E8013" s="2" t="str">
        <f>"9783631873465"</f>
        <v>9783631873465</v>
      </c>
      <c r="F8013" s="2" t="str">
        <f>"9783631875339"</f>
        <v>9783631875339</v>
      </c>
    </row>
    <row r="8014" spans="1:6" s="3" customFormat="1" ht="29.1" customHeight="1" x14ac:dyDescent="0.25">
      <c r="A8014" s="2" t="s">
        <v>16691</v>
      </c>
      <c r="B8014" s="2" t="s">
        <v>16692</v>
      </c>
      <c r="C8014" s="2" t="s">
        <v>595</v>
      </c>
      <c r="D8014" s="2" t="s">
        <v>3149</v>
      </c>
      <c r="E8014" s="2" t="str">
        <f>"9783631810880"</f>
        <v>9783631810880</v>
      </c>
      <c r="F8014" s="2" t="str">
        <f>"9783631823385"</f>
        <v>9783631823385</v>
      </c>
    </row>
    <row r="8015" spans="1:6" s="3" customFormat="1" ht="29.1" customHeight="1" x14ac:dyDescent="0.25">
      <c r="A8015" s="2" t="s">
        <v>16693</v>
      </c>
      <c r="B8015" s="2" t="s">
        <v>16694</v>
      </c>
      <c r="C8015" s="2" t="s">
        <v>595</v>
      </c>
      <c r="D8015" s="2" t="s">
        <v>682</v>
      </c>
      <c r="E8015" s="2" t="str">
        <f>"9783631818121"</f>
        <v>9783631818121</v>
      </c>
      <c r="F8015" s="2" t="str">
        <f>"9783631820599"</f>
        <v>9783631820599</v>
      </c>
    </row>
    <row r="8016" spans="1:6" s="3" customFormat="1" ht="29.1" customHeight="1" x14ac:dyDescent="0.25">
      <c r="A8016" s="2" t="s">
        <v>16695</v>
      </c>
      <c r="B8016" s="2" t="s">
        <v>16696</v>
      </c>
      <c r="C8016" s="2" t="s">
        <v>595</v>
      </c>
      <c r="D8016" s="2" t="s">
        <v>81</v>
      </c>
      <c r="E8016" s="2" t="str">
        <f>"9783631784266"</f>
        <v>9783631784266</v>
      </c>
      <c r="F8016" s="2" t="str">
        <f>"9783631788455"</f>
        <v>9783631788455</v>
      </c>
    </row>
    <row r="8017" spans="1:6" s="3" customFormat="1" ht="29.1" customHeight="1" x14ac:dyDescent="0.25">
      <c r="A8017" s="2" t="s">
        <v>16697</v>
      </c>
      <c r="B8017" s="2" t="s">
        <v>16698</v>
      </c>
      <c r="C8017" s="2" t="s">
        <v>595</v>
      </c>
      <c r="D8017" s="2" t="s">
        <v>3149</v>
      </c>
      <c r="E8017" s="2" t="str">
        <f>"9783631770573"</f>
        <v>9783631770573</v>
      </c>
      <c r="F8017" s="2" t="str">
        <f>"9783631770580"</f>
        <v>9783631770580</v>
      </c>
    </row>
    <row r="8018" spans="1:6" s="3" customFormat="1" ht="29.1" customHeight="1" x14ac:dyDescent="0.25">
      <c r="A8018" s="2" t="s">
        <v>16699</v>
      </c>
      <c r="B8018" s="2" t="s">
        <v>16700</v>
      </c>
      <c r="C8018" s="2" t="s">
        <v>595</v>
      </c>
      <c r="D8018" s="2" t="s">
        <v>2019</v>
      </c>
      <c r="E8018" s="2" t="str">
        <f>"9783631500859"</f>
        <v>9783631500859</v>
      </c>
      <c r="F8018" s="2" t="str">
        <f>"9783631757024"</f>
        <v>9783631757024</v>
      </c>
    </row>
    <row r="8019" spans="1:6" s="3" customFormat="1" ht="29.1" customHeight="1" x14ac:dyDescent="0.25">
      <c r="A8019" s="2" t="s">
        <v>16701</v>
      </c>
      <c r="B8019" s="2" t="s">
        <v>16702</v>
      </c>
      <c r="C8019" s="2" t="s">
        <v>595</v>
      </c>
      <c r="D8019" s="2" t="s">
        <v>15324</v>
      </c>
      <c r="E8019" s="2" t="str">
        <f>"9783631398050"</f>
        <v>9783631398050</v>
      </c>
      <c r="F8019" s="2" t="str">
        <f>"9783631757017"</f>
        <v>9783631757017</v>
      </c>
    </row>
    <row r="8020" spans="1:6" s="3" customFormat="1" ht="29.1" customHeight="1" x14ac:dyDescent="0.25">
      <c r="A8020" s="2" t="s">
        <v>16703</v>
      </c>
      <c r="B8020" s="2" t="s">
        <v>16705</v>
      </c>
      <c r="C8020" s="2" t="s">
        <v>595</v>
      </c>
      <c r="D8020" s="2" t="s">
        <v>16704</v>
      </c>
      <c r="E8020" s="2" t="str">
        <f>"9783631382691"</f>
        <v>9783631382691</v>
      </c>
      <c r="F8020" s="2" t="str">
        <f>"9783631757000"</f>
        <v>9783631757000</v>
      </c>
    </row>
    <row r="8021" spans="1:6" s="3" customFormat="1" ht="29.1" customHeight="1" x14ac:dyDescent="0.25">
      <c r="A8021" s="2" t="s">
        <v>16706</v>
      </c>
      <c r="B8021" s="2" t="s">
        <v>16707</v>
      </c>
      <c r="C8021" s="2" t="s">
        <v>595</v>
      </c>
      <c r="D8021" s="2" t="s">
        <v>2005</v>
      </c>
      <c r="E8021" s="2" t="str">
        <f>"9783631520314"</f>
        <v>9783631520314</v>
      </c>
      <c r="F8021" s="2" t="str">
        <f>"9783631756997"</f>
        <v>9783631756997</v>
      </c>
    </row>
    <row r="8022" spans="1:6" s="3" customFormat="1" ht="29.1" customHeight="1" x14ac:dyDescent="0.25">
      <c r="A8022" s="2" t="s">
        <v>16708</v>
      </c>
      <c r="B8022" s="2" t="s">
        <v>16709</v>
      </c>
      <c r="C8022" s="2" t="s">
        <v>595</v>
      </c>
      <c r="D8022" s="2" t="s">
        <v>1209</v>
      </c>
      <c r="E8022" s="2" t="str">
        <f>"9783631537299"</f>
        <v>9783631537299</v>
      </c>
      <c r="F8022" s="2" t="str">
        <f>"9783631756980"</f>
        <v>9783631756980</v>
      </c>
    </row>
    <row r="8023" spans="1:6" s="3" customFormat="1" ht="29.1" customHeight="1" x14ac:dyDescent="0.25">
      <c r="A8023" s="2" t="s">
        <v>16710</v>
      </c>
      <c r="B8023" s="2" t="s">
        <v>16711</v>
      </c>
      <c r="C8023" s="2" t="s">
        <v>595</v>
      </c>
      <c r="D8023" s="2" t="s">
        <v>1209</v>
      </c>
      <c r="E8023" s="2" t="str">
        <f>"9783631533994"</f>
        <v>9783631533994</v>
      </c>
      <c r="F8023" s="2" t="str">
        <f>"9783631756973"</f>
        <v>9783631756973</v>
      </c>
    </row>
    <row r="8024" spans="1:6" s="3" customFormat="1" ht="29.1" customHeight="1" x14ac:dyDescent="0.25">
      <c r="A8024" s="2" t="s">
        <v>16712</v>
      </c>
      <c r="B8024" s="2" t="s">
        <v>16713</v>
      </c>
      <c r="C8024" s="2" t="s">
        <v>595</v>
      </c>
      <c r="D8024" s="2" t="s">
        <v>4670</v>
      </c>
      <c r="E8024" s="2" t="str">
        <f>"9783631577189"</f>
        <v>9783631577189</v>
      </c>
      <c r="F8024" s="2" t="str">
        <f>"9783631756942"</f>
        <v>9783631756942</v>
      </c>
    </row>
    <row r="8025" spans="1:6" s="3" customFormat="1" ht="29.1" customHeight="1" x14ac:dyDescent="0.25">
      <c r="A8025" s="2" t="s">
        <v>16714</v>
      </c>
      <c r="B8025" s="2" t="s">
        <v>16715</v>
      </c>
      <c r="C8025" s="2" t="s">
        <v>595</v>
      </c>
      <c r="D8025" s="2" t="s">
        <v>2168</v>
      </c>
      <c r="E8025" s="2" t="str">
        <f>"9783631568347"</f>
        <v>9783631568347</v>
      </c>
      <c r="F8025" s="2" t="str">
        <f>"9783631756935"</f>
        <v>9783631756935</v>
      </c>
    </row>
    <row r="8026" spans="1:6" s="3" customFormat="1" ht="29.1" customHeight="1" x14ac:dyDescent="0.25">
      <c r="A8026" s="2" t="s">
        <v>16716</v>
      </c>
      <c r="B8026" s="2" t="s">
        <v>16717</v>
      </c>
      <c r="C8026" s="2" t="s">
        <v>595</v>
      </c>
      <c r="D8026" s="2" t="s">
        <v>4670</v>
      </c>
      <c r="E8026" s="2" t="str">
        <f>"9783631519349"</f>
        <v>9783631519349</v>
      </c>
      <c r="F8026" s="2" t="str">
        <f>"9783631756928"</f>
        <v>9783631756928</v>
      </c>
    </row>
    <row r="8027" spans="1:6" s="3" customFormat="1" ht="29.1" customHeight="1" x14ac:dyDescent="0.25">
      <c r="A8027" s="2" t="s">
        <v>16718</v>
      </c>
      <c r="B8027" s="2" t="s">
        <v>16719</v>
      </c>
      <c r="C8027" s="2" t="s">
        <v>595</v>
      </c>
      <c r="D8027" s="2" t="s">
        <v>186</v>
      </c>
      <c r="E8027" s="2" t="str">
        <f>"9783631399392"</f>
        <v>9783631399392</v>
      </c>
      <c r="F8027" s="2" t="str">
        <f>"9783631756911"</f>
        <v>9783631756911</v>
      </c>
    </row>
    <row r="8028" spans="1:6" s="3" customFormat="1" ht="29.1" customHeight="1" x14ac:dyDescent="0.25">
      <c r="A8028" s="2" t="s">
        <v>16720</v>
      </c>
      <c r="B8028" s="2" t="s">
        <v>16721</v>
      </c>
      <c r="C8028" s="2" t="s">
        <v>595</v>
      </c>
      <c r="D8028" s="2" t="s">
        <v>16704</v>
      </c>
      <c r="E8028" s="2" t="str">
        <f>"9783631519660"</f>
        <v>9783631519660</v>
      </c>
      <c r="F8028" s="2" t="str">
        <f>"9783631756904"</f>
        <v>9783631756904</v>
      </c>
    </row>
    <row r="8029" spans="1:6" s="3" customFormat="1" ht="29.1" customHeight="1" x14ac:dyDescent="0.25">
      <c r="A8029" s="2" t="s">
        <v>16722</v>
      </c>
      <c r="B8029" s="2" t="s">
        <v>16723</v>
      </c>
      <c r="C8029" s="2" t="s">
        <v>595</v>
      </c>
      <c r="D8029" s="2" t="s">
        <v>5686</v>
      </c>
      <c r="E8029" s="2" t="str">
        <f>"9783631567142"</f>
        <v>9783631567142</v>
      </c>
      <c r="F8029" s="2" t="str">
        <f>"9783631756898"</f>
        <v>9783631756898</v>
      </c>
    </row>
    <row r="8030" spans="1:6" s="3" customFormat="1" ht="29.1" customHeight="1" x14ac:dyDescent="0.25">
      <c r="A8030" s="2" t="s">
        <v>16724</v>
      </c>
      <c r="B8030" s="2" t="s">
        <v>16725</v>
      </c>
      <c r="C8030" s="2" t="s">
        <v>595</v>
      </c>
      <c r="D8030" s="2" t="s">
        <v>4670</v>
      </c>
      <c r="E8030" s="2" t="str">
        <f>"9783631590782"</f>
        <v>9783631590782</v>
      </c>
      <c r="F8030" s="2" t="str">
        <f>"9783631756874"</f>
        <v>9783631756874</v>
      </c>
    </row>
    <row r="8031" spans="1:6" s="3" customFormat="1" ht="29.1" customHeight="1" x14ac:dyDescent="0.25">
      <c r="A8031" s="2" t="s">
        <v>16726</v>
      </c>
      <c r="B8031" s="2" t="s">
        <v>16727</v>
      </c>
      <c r="C8031" s="2" t="s">
        <v>595</v>
      </c>
      <c r="D8031" s="2" t="s">
        <v>3198</v>
      </c>
      <c r="E8031" s="2" t="str">
        <f>"9783631517451"</f>
        <v>9783631517451</v>
      </c>
      <c r="F8031" s="2" t="str">
        <f>"9783631756867"</f>
        <v>9783631756867</v>
      </c>
    </row>
    <row r="8032" spans="1:6" s="3" customFormat="1" ht="29.1" customHeight="1" x14ac:dyDescent="0.25">
      <c r="A8032" s="2" t="s">
        <v>16728</v>
      </c>
      <c r="B8032" s="2" t="s">
        <v>16729</v>
      </c>
      <c r="C8032" s="2" t="s">
        <v>595</v>
      </c>
      <c r="D8032" s="2" t="s">
        <v>12179</v>
      </c>
      <c r="E8032" s="2" t="str">
        <f>"9783631591857"</f>
        <v>9783631591857</v>
      </c>
      <c r="F8032" s="2" t="str">
        <f>"9783631756850"</f>
        <v>9783631756850</v>
      </c>
    </row>
    <row r="8033" spans="1:6" s="3" customFormat="1" ht="29.1" customHeight="1" x14ac:dyDescent="0.25">
      <c r="A8033" s="2" t="s">
        <v>16730</v>
      </c>
      <c r="B8033" s="2" t="s">
        <v>16731</v>
      </c>
      <c r="C8033" s="2" t="s">
        <v>595</v>
      </c>
      <c r="D8033" s="2" t="s">
        <v>2255</v>
      </c>
      <c r="E8033" s="2" t="str">
        <f>"9783631608845"</f>
        <v>9783631608845</v>
      </c>
      <c r="F8033" s="2" t="str">
        <f>"9783631756836"</f>
        <v>9783631756836</v>
      </c>
    </row>
    <row r="8034" spans="1:6" s="3" customFormat="1" ht="29.1" customHeight="1" x14ac:dyDescent="0.25">
      <c r="A8034" s="2" t="s">
        <v>16732</v>
      </c>
      <c r="B8034" s="2" t="s">
        <v>16733</v>
      </c>
      <c r="C8034" s="2" t="s">
        <v>595</v>
      </c>
      <c r="D8034" s="2" t="s">
        <v>2019</v>
      </c>
      <c r="E8034" s="2" t="str">
        <f>"9783631577745"</f>
        <v>9783631577745</v>
      </c>
      <c r="F8034" s="2" t="str">
        <f>"9783631756164"</f>
        <v>9783631756164</v>
      </c>
    </row>
    <row r="8035" spans="1:6" s="3" customFormat="1" ht="29.1" customHeight="1" x14ac:dyDescent="0.25">
      <c r="A8035" s="2" t="s">
        <v>16734</v>
      </c>
      <c r="B8035" s="2" t="s">
        <v>16735</v>
      </c>
      <c r="C8035" s="2" t="s">
        <v>595</v>
      </c>
      <c r="D8035" s="2" t="s">
        <v>2019</v>
      </c>
      <c r="E8035" s="2" t="str">
        <f>"9783631475751"</f>
        <v>9783631475751</v>
      </c>
      <c r="F8035" s="2" t="str">
        <f>"9783631756157"</f>
        <v>9783631756157</v>
      </c>
    </row>
    <row r="8036" spans="1:6" s="3" customFormat="1" ht="29.1" customHeight="1" x14ac:dyDescent="0.25">
      <c r="A8036" s="2" t="s">
        <v>16736</v>
      </c>
      <c r="B8036" s="2" t="s">
        <v>16737</v>
      </c>
      <c r="C8036" s="2" t="s">
        <v>595</v>
      </c>
      <c r="D8036" s="2" t="s">
        <v>1864</v>
      </c>
      <c r="E8036" s="2" t="str">
        <f>"9783631422472"</f>
        <v>9783631422472</v>
      </c>
      <c r="F8036" s="2" t="str">
        <f>"9783631756140"</f>
        <v>9783631756140</v>
      </c>
    </row>
    <row r="8037" spans="1:6" s="3" customFormat="1" ht="29.1" customHeight="1" x14ac:dyDescent="0.25">
      <c r="A8037" s="2" t="s">
        <v>16738</v>
      </c>
      <c r="B8037" s="2" t="s">
        <v>16739</v>
      </c>
      <c r="C8037" s="2" t="s">
        <v>595</v>
      </c>
      <c r="D8037" s="2" t="s">
        <v>2019</v>
      </c>
      <c r="E8037" s="2" t="str">
        <f>"9783631511657"</f>
        <v>9783631511657</v>
      </c>
      <c r="F8037" s="2" t="str">
        <f>"9783631756133"</f>
        <v>9783631756133</v>
      </c>
    </row>
    <row r="8038" spans="1:6" s="3" customFormat="1" ht="29.1" customHeight="1" x14ac:dyDescent="0.25">
      <c r="A8038" s="2" t="s">
        <v>16740</v>
      </c>
      <c r="B8038" s="2" t="s">
        <v>16741</v>
      </c>
      <c r="C8038" s="2" t="s">
        <v>595</v>
      </c>
      <c r="D8038" s="2" t="s">
        <v>727</v>
      </c>
      <c r="E8038" s="2" t="str">
        <f>"9783820413816"</f>
        <v>9783820413816</v>
      </c>
      <c r="F8038" s="2" t="str">
        <f>"9783631756126"</f>
        <v>9783631756126</v>
      </c>
    </row>
    <row r="8039" spans="1:6" s="3" customFormat="1" ht="29.1" customHeight="1" x14ac:dyDescent="0.25">
      <c r="A8039" s="2" t="s">
        <v>16742</v>
      </c>
      <c r="B8039" s="2" t="s">
        <v>16743</v>
      </c>
      <c r="C8039" s="2" t="s">
        <v>595</v>
      </c>
      <c r="D8039" s="2" t="s">
        <v>2019</v>
      </c>
      <c r="E8039" s="2" t="str">
        <f>"9783631571026"</f>
        <v>9783631571026</v>
      </c>
      <c r="F8039" s="2" t="str">
        <f>"9783631756119"</f>
        <v>9783631756119</v>
      </c>
    </row>
    <row r="8040" spans="1:6" s="3" customFormat="1" ht="29.1" customHeight="1" x14ac:dyDescent="0.25">
      <c r="A8040" s="2" t="s">
        <v>16744</v>
      </c>
      <c r="B8040" s="2" t="s">
        <v>16745</v>
      </c>
      <c r="C8040" s="2" t="s">
        <v>595</v>
      </c>
      <c r="D8040" s="2" t="s">
        <v>8202</v>
      </c>
      <c r="E8040" s="2" t="str">
        <f>"9783631455067"</f>
        <v>9783631455067</v>
      </c>
      <c r="F8040" s="2" t="str">
        <f>"9783631756102"</f>
        <v>9783631756102</v>
      </c>
    </row>
    <row r="8041" spans="1:6" s="3" customFormat="1" ht="29.1" customHeight="1" x14ac:dyDescent="0.25">
      <c r="A8041" s="2" t="s">
        <v>16746</v>
      </c>
      <c r="B8041" s="2" t="s">
        <v>16747</v>
      </c>
      <c r="C8041" s="2" t="s">
        <v>595</v>
      </c>
      <c r="D8041" s="2" t="s">
        <v>2019</v>
      </c>
      <c r="E8041" s="2" t="str">
        <f>"9783631549049"</f>
        <v>9783631549049</v>
      </c>
      <c r="F8041" s="2" t="str">
        <f>"9783631756096"</f>
        <v>9783631756096</v>
      </c>
    </row>
    <row r="8042" spans="1:6" s="3" customFormat="1" ht="29.1" customHeight="1" x14ac:dyDescent="0.25">
      <c r="A8042" s="2" t="s">
        <v>16748</v>
      </c>
      <c r="B8042" s="2"/>
      <c r="C8042" s="2" t="s">
        <v>595</v>
      </c>
      <c r="D8042" s="2" t="s">
        <v>4670</v>
      </c>
      <c r="E8042" s="2" t="str">
        <f>"9783820499315"</f>
        <v>9783820499315</v>
      </c>
      <c r="F8042" s="2" t="str">
        <f>"9783631756089"</f>
        <v>9783631756089</v>
      </c>
    </row>
    <row r="8043" spans="1:6" s="3" customFormat="1" ht="29.1" customHeight="1" x14ac:dyDescent="0.25">
      <c r="A8043" s="2" t="s">
        <v>16749</v>
      </c>
      <c r="B8043" s="2" t="s">
        <v>16750</v>
      </c>
      <c r="C8043" s="2" t="s">
        <v>595</v>
      </c>
      <c r="D8043" s="2" t="s">
        <v>2019</v>
      </c>
      <c r="E8043" s="2" t="str">
        <f>"9783820459975"</f>
        <v>9783820459975</v>
      </c>
      <c r="F8043" s="2" t="str">
        <f>"9783631756072"</f>
        <v>9783631756072</v>
      </c>
    </row>
    <row r="8044" spans="1:6" s="3" customFormat="1" ht="29.1" customHeight="1" x14ac:dyDescent="0.25">
      <c r="A8044" s="2" t="s">
        <v>16751</v>
      </c>
      <c r="B8044" s="2" t="s">
        <v>16752</v>
      </c>
      <c r="C8044" s="2" t="s">
        <v>595</v>
      </c>
      <c r="D8044" s="2" t="s">
        <v>12179</v>
      </c>
      <c r="E8044" s="2" t="str">
        <f>"9783631397596"</f>
        <v>9783631397596</v>
      </c>
      <c r="F8044" s="2" t="str">
        <f>"9783631756065"</f>
        <v>9783631756065</v>
      </c>
    </row>
    <row r="8045" spans="1:6" s="3" customFormat="1" ht="29.1" customHeight="1" x14ac:dyDescent="0.25">
      <c r="A8045" s="2" t="s">
        <v>16753</v>
      </c>
      <c r="B8045" s="2"/>
      <c r="C8045" s="2" t="s">
        <v>595</v>
      </c>
      <c r="D8045" s="2" t="s">
        <v>4210</v>
      </c>
      <c r="E8045" s="2" t="str">
        <f>"9783820483581"</f>
        <v>9783820483581</v>
      </c>
      <c r="F8045" s="2" t="str">
        <f>"9783631756058"</f>
        <v>9783631756058</v>
      </c>
    </row>
    <row r="8046" spans="1:6" s="3" customFormat="1" ht="29.1" customHeight="1" x14ac:dyDescent="0.25">
      <c r="A8046" s="2" t="s">
        <v>16754</v>
      </c>
      <c r="B8046" s="2" t="s">
        <v>16755</v>
      </c>
      <c r="C8046" s="2" t="s">
        <v>595</v>
      </c>
      <c r="D8046" s="2" t="s">
        <v>2255</v>
      </c>
      <c r="E8046" s="2" t="str">
        <f>"9783820469707"</f>
        <v>9783820469707</v>
      </c>
      <c r="F8046" s="2" t="str">
        <f>"9783631756027"</f>
        <v>9783631756027</v>
      </c>
    </row>
    <row r="8047" spans="1:6" s="3" customFormat="1" ht="29.1" customHeight="1" x14ac:dyDescent="0.25">
      <c r="A8047" s="2" t="s">
        <v>16756</v>
      </c>
      <c r="B8047" s="2" t="s">
        <v>16757</v>
      </c>
      <c r="C8047" s="2" t="s">
        <v>595</v>
      </c>
      <c r="D8047" s="2" t="s">
        <v>2019</v>
      </c>
      <c r="E8047" s="2" t="str">
        <f>"9783631523858"</f>
        <v>9783631523858</v>
      </c>
      <c r="F8047" s="2" t="str">
        <f>"9783631756010"</f>
        <v>9783631756010</v>
      </c>
    </row>
    <row r="8048" spans="1:6" s="3" customFormat="1" ht="29.1" customHeight="1" x14ac:dyDescent="0.25">
      <c r="A8048" s="2" t="s">
        <v>16758</v>
      </c>
      <c r="B8048" s="2" t="s">
        <v>16759</v>
      </c>
      <c r="C8048" s="2" t="s">
        <v>595</v>
      </c>
      <c r="D8048" s="2" t="s">
        <v>2019</v>
      </c>
      <c r="E8048" s="2" t="str">
        <f>"9783631316474"</f>
        <v>9783631316474</v>
      </c>
      <c r="F8048" s="2" t="str">
        <f>"9783631756003"</f>
        <v>9783631756003</v>
      </c>
    </row>
    <row r="8049" spans="1:6" s="3" customFormat="1" ht="29.1" customHeight="1" x14ac:dyDescent="0.25">
      <c r="A8049" s="2" t="s">
        <v>16760</v>
      </c>
      <c r="B8049" s="2" t="s">
        <v>16761</v>
      </c>
      <c r="C8049" s="2" t="s">
        <v>595</v>
      </c>
      <c r="D8049" s="2" t="s">
        <v>8202</v>
      </c>
      <c r="E8049" s="2" t="str">
        <f>"9783820482386"</f>
        <v>9783820482386</v>
      </c>
      <c r="F8049" s="2" t="str">
        <f>"9783631755990"</f>
        <v>9783631755990</v>
      </c>
    </row>
    <row r="8050" spans="1:6" s="3" customFormat="1" ht="29.1" customHeight="1" x14ac:dyDescent="0.25">
      <c r="A8050" s="2" t="s">
        <v>16762</v>
      </c>
      <c r="B8050" s="2"/>
      <c r="C8050" s="2" t="s">
        <v>595</v>
      </c>
      <c r="D8050" s="2" t="s">
        <v>1077</v>
      </c>
      <c r="E8050" s="2" t="str">
        <f>"9783820472547"</f>
        <v>9783820472547</v>
      </c>
      <c r="F8050" s="2" t="str">
        <f>"9783631755976"</f>
        <v>9783631755976</v>
      </c>
    </row>
    <row r="8051" spans="1:6" s="3" customFormat="1" ht="29.1" customHeight="1" x14ac:dyDescent="0.25">
      <c r="A8051" s="2" t="s">
        <v>16763</v>
      </c>
      <c r="B8051" s="2" t="s">
        <v>16747</v>
      </c>
      <c r="C8051" s="2" t="s">
        <v>595</v>
      </c>
      <c r="D8051" s="2" t="s">
        <v>2005</v>
      </c>
      <c r="E8051" s="2" t="str">
        <f>"9783631367575"</f>
        <v>9783631367575</v>
      </c>
      <c r="F8051" s="2" t="str">
        <f>"9783631755969"</f>
        <v>9783631755969</v>
      </c>
    </row>
    <row r="8052" spans="1:6" s="3" customFormat="1" ht="29.1" customHeight="1" x14ac:dyDescent="0.25">
      <c r="A8052" s="2" t="s">
        <v>16764</v>
      </c>
      <c r="B8052" s="2" t="s">
        <v>16678</v>
      </c>
      <c r="C8052" s="2" t="s">
        <v>595</v>
      </c>
      <c r="D8052" s="2" t="s">
        <v>2019</v>
      </c>
      <c r="E8052" s="2" t="str">
        <f>"9783631383148"</f>
        <v>9783631383148</v>
      </c>
      <c r="F8052" s="2" t="str">
        <f>"9783631755952"</f>
        <v>9783631755952</v>
      </c>
    </row>
    <row r="8053" spans="1:6" s="3" customFormat="1" ht="29.1" customHeight="1" x14ac:dyDescent="0.25">
      <c r="A8053" s="2" t="s">
        <v>16765</v>
      </c>
      <c r="B8053" s="2" t="s">
        <v>16766</v>
      </c>
      <c r="C8053" s="2" t="s">
        <v>595</v>
      </c>
      <c r="D8053" s="2" t="s">
        <v>2019</v>
      </c>
      <c r="E8053" s="2" t="str">
        <f>"9783631563342"</f>
        <v>9783631563342</v>
      </c>
      <c r="F8053" s="2" t="str">
        <f>"9783631755945"</f>
        <v>9783631755945</v>
      </c>
    </row>
    <row r="8054" spans="1:6" s="3" customFormat="1" ht="29.1" customHeight="1" x14ac:dyDescent="0.25">
      <c r="A8054" s="2" t="s">
        <v>16767</v>
      </c>
      <c r="B8054" s="2"/>
      <c r="C8054" s="2" t="s">
        <v>595</v>
      </c>
      <c r="D8054" s="2" t="s">
        <v>10578</v>
      </c>
      <c r="E8054" s="2" t="str">
        <f>"9783820485080"</f>
        <v>9783820485080</v>
      </c>
      <c r="F8054" s="2" t="str">
        <f>"9783631755938"</f>
        <v>9783631755938</v>
      </c>
    </row>
    <row r="8055" spans="1:6" s="3" customFormat="1" ht="29.1" customHeight="1" x14ac:dyDescent="0.25">
      <c r="A8055" s="2" t="s">
        <v>16768</v>
      </c>
      <c r="B8055" s="2" t="s">
        <v>16769</v>
      </c>
      <c r="C8055" s="2" t="s">
        <v>595</v>
      </c>
      <c r="D8055" s="2" t="s">
        <v>2019</v>
      </c>
      <c r="E8055" s="2" t="str">
        <f>"9783631408148"</f>
        <v>9783631408148</v>
      </c>
      <c r="F8055" s="2" t="str">
        <f>"9783631755921"</f>
        <v>9783631755921</v>
      </c>
    </row>
    <row r="8056" spans="1:6" s="3" customFormat="1" ht="29.1" customHeight="1" x14ac:dyDescent="0.25">
      <c r="A8056" s="2" t="s">
        <v>16770</v>
      </c>
      <c r="B8056" s="2" t="s">
        <v>16747</v>
      </c>
      <c r="C8056" s="2" t="s">
        <v>595</v>
      </c>
      <c r="D8056" s="2" t="s">
        <v>2019</v>
      </c>
      <c r="E8056" s="2" t="str">
        <f>"9783631533949"</f>
        <v>9783631533949</v>
      </c>
      <c r="F8056" s="2" t="str">
        <f>"9783631755914"</f>
        <v>9783631755914</v>
      </c>
    </row>
    <row r="8057" spans="1:6" s="3" customFormat="1" ht="29.1" customHeight="1" x14ac:dyDescent="0.25">
      <c r="A8057" s="2" t="s">
        <v>16771</v>
      </c>
      <c r="B8057" s="2" t="s">
        <v>16772</v>
      </c>
      <c r="C8057" s="2" t="s">
        <v>595</v>
      </c>
      <c r="D8057" s="2" t="s">
        <v>1864</v>
      </c>
      <c r="E8057" s="2" t="str">
        <f>"9783820482928"</f>
        <v>9783820482928</v>
      </c>
      <c r="F8057" s="2" t="str">
        <f>"9783631755907"</f>
        <v>9783631755907</v>
      </c>
    </row>
    <row r="8058" spans="1:6" s="3" customFormat="1" ht="29.1" customHeight="1" x14ac:dyDescent="0.25">
      <c r="A8058" s="2" t="s">
        <v>16773</v>
      </c>
      <c r="B8058" s="2" t="s">
        <v>16774</v>
      </c>
      <c r="C8058" s="2" t="s">
        <v>595</v>
      </c>
      <c r="D8058" s="2" t="s">
        <v>2019</v>
      </c>
      <c r="E8058" s="2" t="str">
        <f>"9783820494785"</f>
        <v>9783820494785</v>
      </c>
      <c r="F8058" s="2" t="str">
        <f>"9783631755891"</f>
        <v>9783631755891</v>
      </c>
    </row>
    <row r="8059" spans="1:6" s="3" customFormat="1" ht="29.1" customHeight="1" x14ac:dyDescent="0.25">
      <c r="A8059" s="2" t="s">
        <v>16775</v>
      </c>
      <c r="B8059" s="2" t="s">
        <v>16777</v>
      </c>
      <c r="C8059" s="2" t="s">
        <v>595</v>
      </c>
      <c r="D8059" s="2" t="s">
        <v>16776</v>
      </c>
      <c r="E8059" s="2" t="str">
        <f>"9783631436448"</f>
        <v>9783631436448</v>
      </c>
      <c r="F8059" s="2" t="str">
        <f>"9783631755884"</f>
        <v>9783631755884</v>
      </c>
    </row>
    <row r="8060" spans="1:6" s="3" customFormat="1" ht="29.1" customHeight="1" x14ac:dyDescent="0.25">
      <c r="A8060" s="2" t="s">
        <v>16778</v>
      </c>
      <c r="B8060" s="2"/>
      <c r="C8060" s="2" t="s">
        <v>595</v>
      </c>
      <c r="D8060" s="2" t="s">
        <v>8202</v>
      </c>
      <c r="E8060" s="2" t="str">
        <f>"9783820477788"</f>
        <v>9783820477788</v>
      </c>
      <c r="F8060" s="2" t="str">
        <f>"9783631755877"</f>
        <v>9783631755877</v>
      </c>
    </row>
    <row r="8061" spans="1:6" s="3" customFormat="1" ht="29.1" customHeight="1" x14ac:dyDescent="0.25">
      <c r="A8061" s="2" t="s">
        <v>16779</v>
      </c>
      <c r="B8061" s="2" t="s">
        <v>16780</v>
      </c>
      <c r="C8061" s="2" t="s">
        <v>595</v>
      </c>
      <c r="D8061" s="2" t="s">
        <v>12179</v>
      </c>
      <c r="E8061" s="2" t="str">
        <f>"9783631524664"</f>
        <v>9783631524664</v>
      </c>
      <c r="F8061" s="2" t="str">
        <f>"9783631755860"</f>
        <v>9783631755860</v>
      </c>
    </row>
    <row r="8062" spans="1:6" s="3" customFormat="1" ht="29.1" customHeight="1" x14ac:dyDescent="0.25">
      <c r="A8062" s="2" t="s">
        <v>16781</v>
      </c>
      <c r="B8062" s="2" t="s">
        <v>16782</v>
      </c>
      <c r="C8062" s="2" t="s">
        <v>595</v>
      </c>
      <c r="D8062" s="2" t="s">
        <v>15324</v>
      </c>
      <c r="E8062" s="2" t="str">
        <f>"9783631561652"</f>
        <v>9783631561652</v>
      </c>
      <c r="F8062" s="2" t="str">
        <f>"9783631755853"</f>
        <v>9783631755853</v>
      </c>
    </row>
    <row r="8063" spans="1:6" s="3" customFormat="1" ht="29.1" customHeight="1" x14ac:dyDescent="0.25">
      <c r="A8063" s="2" t="s">
        <v>16783</v>
      </c>
      <c r="B8063" s="2"/>
      <c r="C8063" s="2" t="s">
        <v>595</v>
      </c>
      <c r="D8063" s="2" t="s">
        <v>10578</v>
      </c>
      <c r="E8063" s="2" t="str">
        <f>"9783820454574"</f>
        <v>9783820454574</v>
      </c>
      <c r="F8063" s="2" t="str">
        <f>"9783631755846"</f>
        <v>9783631755846</v>
      </c>
    </row>
    <row r="8064" spans="1:6" s="3" customFormat="1" ht="29.1" customHeight="1" x14ac:dyDescent="0.25">
      <c r="A8064" s="2" t="s">
        <v>16784</v>
      </c>
      <c r="B8064" s="2"/>
      <c r="C8064" s="2" t="s">
        <v>595</v>
      </c>
      <c r="D8064" s="2" t="s">
        <v>1864</v>
      </c>
      <c r="E8064" s="2" t="str">
        <f>"9783820483147"</f>
        <v>9783820483147</v>
      </c>
      <c r="F8064" s="2" t="str">
        <f>"9783631755839"</f>
        <v>9783631755839</v>
      </c>
    </row>
    <row r="8065" spans="1:6" s="3" customFormat="1" ht="29.1" customHeight="1" x14ac:dyDescent="0.25">
      <c r="A8065" s="2" t="s">
        <v>16785</v>
      </c>
      <c r="B8065" s="2" t="s">
        <v>16774</v>
      </c>
      <c r="C8065" s="2" t="s">
        <v>595</v>
      </c>
      <c r="D8065" s="2" t="s">
        <v>10578</v>
      </c>
      <c r="E8065" s="2" t="str">
        <f>"9783820495362"</f>
        <v>9783820495362</v>
      </c>
      <c r="F8065" s="2" t="str">
        <f>"9783631755822"</f>
        <v>9783631755822</v>
      </c>
    </row>
    <row r="8066" spans="1:6" s="3" customFormat="1" ht="29.1" customHeight="1" x14ac:dyDescent="0.25">
      <c r="A8066" s="2" t="s">
        <v>16786</v>
      </c>
      <c r="B8066" s="2" t="s">
        <v>16747</v>
      </c>
      <c r="C8066" s="2" t="s">
        <v>595</v>
      </c>
      <c r="D8066" s="2" t="s">
        <v>2019</v>
      </c>
      <c r="E8066" s="2" t="str">
        <f>"9783631502914"</f>
        <v>9783631502914</v>
      </c>
      <c r="F8066" s="2" t="str">
        <f>"9783631755815"</f>
        <v>9783631755815</v>
      </c>
    </row>
    <row r="8067" spans="1:6" s="3" customFormat="1" ht="29.1" customHeight="1" x14ac:dyDescent="0.25">
      <c r="A8067" s="2" t="s">
        <v>16787</v>
      </c>
      <c r="B8067" s="2"/>
      <c r="C8067" s="2" t="s">
        <v>595</v>
      </c>
      <c r="D8067" s="2" t="s">
        <v>16788</v>
      </c>
      <c r="E8067" s="2" t="str">
        <f>"9783820410860"</f>
        <v>9783820410860</v>
      </c>
      <c r="F8067" s="2" t="str">
        <f>"9783631755808"</f>
        <v>9783631755808</v>
      </c>
    </row>
    <row r="8068" spans="1:6" s="3" customFormat="1" ht="29.1" customHeight="1" x14ac:dyDescent="0.25">
      <c r="A8068" s="2" t="s">
        <v>16789</v>
      </c>
      <c r="B8068" s="2" t="s">
        <v>16790</v>
      </c>
      <c r="C8068" s="2" t="s">
        <v>595</v>
      </c>
      <c r="D8068" s="2" t="s">
        <v>2019</v>
      </c>
      <c r="E8068" s="2" t="str">
        <f>"9783820483291"</f>
        <v>9783820483291</v>
      </c>
      <c r="F8068" s="2" t="str">
        <f>"9783631755792"</f>
        <v>9783631755792</v>
      </c>
    </row>
    <row r="8069" spans="1:6" s="3" customFormat="1" ht="29.1" customHeight="1" x14ac:dyDescent="0.25">
      <c r="A8069" s="2" t="s">
        <v>16791</v>
      </c>
      <c r="B8069" s="2"/>
      <c r="C8069" s="2" t="s">
        <v>595</v>
      </c>
      <c r="D8069" s="2" t="s">
        <v>10578</v>
      </c>
      <c r="E8069" s="2" t="str">
        <f>"9783820455281"</f>
        <v>9783820455281</v>
      </c>
      <c r="F8069" s="2" t="str">
        <f>"9783631755785"</f>
        <v>9783631755785</v>
      </c>
    </row>
    <row r="8070" spans="1:6" s="3" customFormat="1" ht="29.1" customHeight="1" x14ac:dyDescent="0.25">
      <c r="A8070" s="2" t="s">
        <v>16792</v>
      </c>
      <c r="B8070" s="2" t="s">
        <v>16678</v>
      </c>
      <c r="C8070" s="2" t="s">
        <v>595</v>
      </c>
      <c r="D8070" s="2" t="s">
        <v>2019</v>
      </c>
      <c r="E8070" s="2" t="str">
        <f>"9783631319420"</f>
        <v>9783631319420</v>
      </c>
      <c r="F8070" s="2" t="str">
        <f>"9783631755778"</f>
        <v>9783631755778</v>
      </c>
    </row>
    <row r="8071" spans="1:6" s="3" customFormat="1" ht="29.1" customHeight="1" x14ac:dyDescent="0.25">
      <c r="A8071" s="2" t="s">
        <v>16793</v>
      </c>
      <c r="B8071" s="2" t="s">
        <v>16794</v>
      </c>
      <c r="C8071" s="2" t="s">
        <v>595</v>
      </c>
      <c r="D8071" s="2" t="s">
        <v>16704</v>
      </c>
      <c r="E8071" s="2" t="str">
        <f>"9783820482744"</f>
        <v>9783820482744</v>
      </c>
      <c r="F8071" s="2" t="str">
        <f>"9783631755761"</f>
        <v>9783631755761</v>
      </c>
    </row>
    <row r="8072" spans="1:6" s="3" customFormat="1" ht="29.1" customHeight="1" x14ac:dyDescent="0.25">
      <c r="A8072" s="2" t="s">
        <v>16795</v>
      </c>
      <c r="B8072" s="2"/>
      <c r="C8072" s="2" t="s">
        <v>595</v>
      </c>
      <c r="D8072" s="2" t="s">
        <v>2019</v>
      </c>
      <c r="E8072" s="2" t="str">
        <f>"9783820495171"</f>
        <v>9783820495171</v>
      </c>
      <c r="F8072" s="2" t="str">
        <f>"9783631755754"</f>
        <v>9783631755754</v>
      </c>
    </row>
    <row r="8073" spans="1:6" s="3" customFormat="1" ht="29.1" customHeight="1" x14ac:dyDescent="0.25">
      <c r="A8073" s="2" t="s">
        <v>16796</v>
      </c>
      <c r="B8073" s="2" t="s">
        <v>16797</v>
      </c>
      <c r="C8073" s="2" t="s">
        <v>595</v>
      </c>
      <c r="D8073" s="2" t="s">
        <v>12179</v>
      </c>
      <c r="E8073" s="2" t="str">
        <f>"9783631451991"</f>
        <v>9783631451991</v>
      </c>
      <c r="F8073" s="2" t="str">
        <f>"9783631755730"</f>
        <v>9783631755730</v>
      </c>
    </row>
    <row r="8074" spans="1:6" s="3" customFormat="1" ht="29.1" customHeight="1" x14ac:dyDescent="0.25">
      <c r="A8074" s="2" t="s">
        <v>16798</v>
      </c>
      <c r="B8074" s="2" t="s">
        <v>16799</v>
      </c>
      <c r="C8074" s="2" t="s">
        <v>595</v>
      </c>
      <c r="D8074" s="2" t="s">
        <v>2005</v>
      </c>
      <c r="E8074" s="2" t="str">
        <f>"9783631408032"</f>
        <v>9783631408032</v>
      </c>
      <c r="F8074" s="2" t="str">
        <f>"9783631755723"</f>
        <v>9783631755723</v>
      </c>
    </row>
    <row r="8075" spans="1:6" s="3" customFormat="1" ht="29.1" customHeight="1" x14ac:dyDescent="0.25">
      <c r="A8075" s="2" t="s">
        <v>16800</v>
      </c>
      <c r="B8075" s="2"/>
      <c r="C8075" s="2" t="s">
        <v>595</v>
      </c>
      <c r="D8075" s="2" t="s">
        <v>8202</v>
      </c>
      <c r="E8075" s="2" t="str">
        <f>"9783820459999"</f>
        <v>9783820459999</v>
      </c>
      <c r="F8075" s="2" t="str">
        <f>"9783631755716"</f>
        <v>9783631755716</v>
      </c>
    </row>
    <row r="8076" spans="1:6" s="3" customFormat="1" ht="29.1" customHeight="1" x14ac:dyDescent="0.25">
      <c r="A8076" s="2" t="s">
        <v>16801</v>
      </c>
      <c r="B8076" s="2" t="s">
        <v>16802</v>
      </c>
      <c r="C8076" s="2" t="s">
        <v>595</v>
      </c>
      <c r="D8076" s="2" t="s">
        <v>2019</v>
      </c>
      <c r="E8076" s="2" t="str">
        <f>"9783631562482"</f>
        <v>9783631562482</v>
      </c>
      <c r="F8076" s="2" t="str">
        <f>"9783631755709"</f>
        <v>9783631755709</v>
      </c>
    </row>
    <row r="8077" spans="1:6" s="3" customFormat="1" ht="29.1" customHeight="1" x14ac:dyDescent="0.25">
      <c r="A8077" s="2" t="s">
        <v>16803</v>
      </c>
      <c r="B8077" s="2"/>
      <c r="C8077" s="2" t="s">
        <v>595</v>
      </c>
      <c r="D8077" s="2" t="s">
        <v>694</v>
      </c>
      <c r="E8077" s="2" t="str">
        <f>"9783820462975"</f>
        <v>9783820462975</v>
      </c>
      <c r="F8077" s="2" t="str">
        <f>"9783631755693"</f>
        <v>9783631755693</v>
      </c>
    </row>
    <row r="8078" spans="1:6" s="3" customFormat="1" ht="29.1" customHeight="1" x14ac:dyDescent="0.25">
      <c r="A8078" s="2" t="s">
        <v>16804</v>
      </c>
      <c r="B8078" s="2" t="s">
        <v>16805</v>
      </c>
      <c r="C8078" s="2" t="s">
        <v>595</v>
      </c>
      <c r="D8078" s="2" t="s">
        <v>15324</v>
      </c>
      <c r="E8078" s="2" t="str">
        <f>"9783631489031"</f>
        <v>9783631489031</v>
      </c>
      <c r="F8078" s="2" t="str">
        <f>"9783631755686"</f>
        <v>9783631755686</v>
      </c>
    </row>
    <row r="8079" spans="1:6" s="3" customFormat="1" ht="29.1" customHeight="1" x14ac:dyDescent="0.25">
      <c r="A8079" s="2" t="s">
        <v>16806</v>
      </c>
      <c r="B8079" s="2" t="s">
        <v>16807</v>
      </c>
      <c r="C8079" s="2" t="s">
        <v>595</v>
      </c>
      <c r="D8079" s="2" t="s">
        <v>16788</v>
      </c>
      <c r="E8079" s="2" t="str">
        <f>"9783631439128"</f>
        <v>9783631439128</v>
      </c>
      <c r="F8079" s="2" t="str">
        <f>"9783631755662"</f>
        <v>9783631755662</v>
      </c>
    </row>
    <row r="8080" spans="1:6" s="3" customFormat="1" ht="29.1" customHeight="1" x14ac:dyDescent="0.25">
      <c r="A8080" s="2" t="s">
        <v>16808</v>
      </c>
      <c r="B8080" s="2" t="s">
        <v>16809</v>
      </c>
      <c r="C8080" s="2" t="s">
        <v>595</v>
      </c>
      <c r="D8080" s="2" t="s">
        <v>16788</v>
      </c>
      <c r="E8080" s="2" t="str">
        <f>"9783631311806"</f>
        <v>9783631311806</v>
      </c>
      <c r="F8080" s="2" t="str">
        <f>"9783631755631"</f>
        <v>9783631755631</v>
      </c>
    </row>
    <row r="8081" spans="1:6" s="3" customFormat="1" ht="29.1" customHeight="1" x14ac:dyDescent="0.25">
      <c r="A8081" s="2" t="s">
        <v>16810</v>
      </c>
      <c r="B8081" s="2" t="s">
        <v>16811</v>
      </c>
      <c r="C8081" s="2" t="s">
        <v>5</v>
      </c>
      <c r="D8081" s="2" t="s">
        <v>4172</v>
      </c>
      <c r="E8081" s="2" t="str">
        <f>"9783031507830"</f>
        <v>9783031507830</v>
      </c>
      <c r="F8081" s="2" t="str">
        <f>"9783031507847"</f>
        <v>9783031507847</v>
      </c>
    </row>
    <row r="8082" spans="1:6" s="3" customFormat="1" ht="29.1" customHeight="1" x14ac:dyDescent="0.25">
      <c r="A8082" s="2" t="s">
        <v>16812</v>
      </c>
      <c r="B8082" s="2" t="s">
        <v>16813</v>
      </c>
      <c r="C8082" s="2" t="s">
        <v>29</v>
      </c>
      <c r="D8082" s="2" t="s">
        <v>509</v>
      </c>
      <c r="E8082" s="2" t="str">
        <f>"9789004685789"</f>
        <v>9789004685789</v>
      </c>
      <c r="F8082" s="2" t="str">
        <f>"9789004687042"</f>
        <v>9789004687042</v>
      </c>
    </row>
    <row r="8083" spans="1:6" s="3" customFormat="1" ht="29.1" customHeight="1" x14ac:dyDescent="0.25">
      <c r="A8083" s="2" t="s">
        <v>16814</v>
      </c>
      <c r="B8083" s="2" t="s">
        <v>16815</v>
      </c>
      <c r="C8083" s="2" t="s">
        <v>5</v>
      </c>
      <c r="D8083" s="2" t="s">
        <v>270</v>
      </c>
      <c r="E8083" s="2" t="str">
        <f>"9789464633610"</f>
        <v>9789464633610</v>
      </c>
      <c r="F8083" s="2" t="str">
        <f>"9789464633627"</f>
        <v>9789464633627</v>
      </c>
    </row>
    <row r="8084" spans="1:6" s="3" customFormat="1" ht="29.1" customHeight="1" x14ac:dyDescent="0.25">
      <c r="A8084" s="2" t="s">
        <v>16816</v>
      </c>
      <c r="B8084" s="2" t="s">
        <v>16817</v>
      </c>
      <c r="C8084" s="2" t="s">
        <v>316</v>
      </c>
      <c r="D8084" s="2" t="s">
        <v>317</v>
      </c>
      <c r="E8084" s="2" t="str">
        <f>"9783036405025"</f>
        <v>9783036405025</v>
      </c>
      <c r="F8084" s="2" t="str">
        <f>"9783036415024"</f>
        <v>9783036415024</v>
      </c>
    </row>
    <row r="8085" spans="1:6" s="3" customFormat="1" ht="29.1" customHeight="1" x14ac:dyDescent="0.25">
      <c r="A8085" s="2" t="s">
        <v>16818</v>
      </c>
      <c r="B8085" s="2" t="s">
        <v>16819</v>
      </c>
      <c r="C8085" s="2" t="s">
        <v>316</v>
      </c>
      <c r="D8085" s="2" t="s">
        <v>5092</v>
      </c>
      <c r="E8085" s="2" t="str">
        <f>"9783036405049"</f>
        <v>9783036405049</v>
      </c>
      <c r="F8085" s="2" t="str">
        <f>"9783036415048"</f>
        <v>9783036415048</v>
      </c>
    </row>
    <row r="8086" spans="1:6" s="3" customFormat="1" ht="29.1" customHeight="1" x14ac:dyDescent="0.25">
      <c r="A8086" s="2" t="s">
        <v>16820</v>
      </c>
      <c r="B8086" s="2" t="s">
        <v>16821</v>
      </c>
      <c r="C8086" s="2" t="s">
        <v>195</v>
      </c>
      <c r="D8086" s="2" t="s">
        <v>960</v>
      </c>
      <c r="E8086" s="2"/>
      <c r="F8086" s="2" t="str">
        <f>"9783986120740"</f>
        <v>9783986120740</v>
      </c>
    </row>
    <row r="8087" spans="1:6" s="3" customFormat="1" ht="29.1" customHeight="1" x14ac:dyDescent="0.25">
      <c r="A8087" s="2" t="s">
        <v>16822</v>
      </c>
      <c r="B8087" s="2" t="s">
        <v>16823</v>
      </c>
      <c r="C8087" s="2" t="s">
        <v>757</v>
      </c>
      <c r="D8087" s="2" t="s">
        <v>101</v>
      </c>
      <c r="E8087" s="2"/>
      <c r="F8087" s="2" t="str">
        <f>"9783036588155"</f>
        <v>9783036588155</v>
      </c>
    </row>
    <row r="8088" spans="1:6" s="3" customFormat="1" ht="29.1" customHeight="1" x14ac:dyDescent="0.25">
      <c r="A8088" s="2" t="s">
        <v>16824</v>
      </c>
      <c r="B8088" s="2" t="s">
        <v>16825</v>
      </c>
      <c r="C8088" s="2" t="s">
        <v>757</v>
      </c>
      <c r="D8088" s="2" t="s">
        <v>101</v>
      </c>
      <c r="E8088" s="2" t="str">
        <f>"9783036523149"</f>
        <v>9783036523149</v>
      </c>
      <c r="F8088" s="2" t="str">
        <f>"9783036523132"</f>
        <v>9783036523132</v>
      </c>
    </row>
    <row r="8089" spans="1:6" s="3" customFormat="1" ht="29.1" customHeight="1" x14ac:dyDescent="0.25">
      <c r="A8089" s="2" t="s">
        <v>16826</v>
      </c>
      <c r="B8089" s="2" t="s">
        <v>16827</v>
      </c>
      <c r="C8089" s="2" t="s">
        <v>757</v>
      </c>
      <c r="D8089" s="2" t="s">
        <v>12504</v>
      </c>
      <c r="E8089" s="2" t="str">
        <f>"9783036526997"</f>
        <v>9783036526997</v>
      </c>
      <c r="F8089" s="2" t="str">
        <f>"9783036526980"</f>
        <v>9783036526980</v>
      </c>
    </row>
    <row r="8090" spans="1:6" s="3" customFormat="1" ht="29.1" customHeight="1" x14ac:dyDescent="0.25">
      <c r="A8090" s="2" t="s">
        <v>16828</v>
      </c>
      <c r="B8090" s="2" t="s">
        <v>16829</v>
      </c>
      <c r="C8090" s="2" t="s">
        <v>757</v>
      </c>
      <c r="D8090" s="2" t="s">
        <v>1127</v>
      </c>
      <c r="E8090" s="2" t="str">
        <f>"9783036555607"</f>
        <v>9783036555607</v>
      </c>
      <c r="F8090" s="2" t="str">
        <f>"9783036555591"</f>
        <v>9783036555591</v>
      </c>
    </row>
    <row r="8091" spans="1:6" s="3" customFormat="1" ht="29.1" customHeight="1" x14ac:dyDescent="0.25">
      <c r="A8091" s="2" t="s">
        <v>16830</v>
      </c>
      <c r="B8091" s="2" t="s">
        <v>16831</v>
      </c>
      <c r="C8091" s="2" t="s">
        <v>757</v>
      </c>
      <c r="D8091" s="2" t="s">
        <v>2433</v>
      </c>
      <c r="E8091" s="2" t="str">
        <f>"9783036555041"</f>
        <v>9783036555041</v>
      </c>
      <c r="F8091" s="2" t="str">
        <f>"9783036555034"</f>
        <v>9783036555034</v>
      </c>
    </row>
    <row r="8092" spans="1:6" s="3" customFormat="1" ht="29.1" customHeight="1" x14ac:dyDescent="0.25">
      <c r="A8092" s="2" t="s">
        <v>16832</v>
      </c>
      <c r="B8092" s="2" t="s">
        <v>16833</v>
      </c>
      <c r="C8092" s="2" t="s">
        <v>757</v>
      </c>
      <c r="D8092" s="2" t="s">
        <v>12492</v>
      </c>
      <c r="E8092" s="2" t="str">
        <f>"9783036520940"</f>
        <v>9783036520940</v>
      </c>
      <c r="F8092" s="2" t="str">
        <f>"9783036520933"</f>
        <v>9783036520933</v>
      </c>
    </row>
    <row r="8093" spans="1:6" s="3" customFormat="1" ht="29.1" customHeight="1" x14ac:dyDescent="0.25">
      <c r="A8093" s="2" t="s">
        <v>16834</v>
      </c>
      <c r="B8093" s="2" t="s">
        <v>16835</v>
      </c>
      <c r="C8093" s="2" t="s">
        <v>757</v>
      </c>
      <c r="D8093" s="2" t="s">
        <v>183</v>
      </c>
      <c r="E8093" s="2" t="str">
        <f>"9783038978688"</f>
        <v>9783038978688</v>
      </c>
      <c r="F8093" s="2" t="str">
        <f>"9783038978695"</f>
        <v>9783038978695</v>
      </c>
    </row>
    <row r="8094" spans="1:6" s="3" customFormat="1" ht="29.1" customHeight="1" x14ac:dyDescent="0.25">
      <c r="A8094" s="2" t="s">
        <v>16836</v>
      </c>
      <c r="B8094" s="2" t="s">
        <v>16837</v>
      </c>
      <c r="C8094" s="2" t="s">
        <v>757</v>
      </c>
      <c r="D8094" s="2" t="s">
        <v>72</v>
      </c>
      <c r="E8094" s="2" t="str">
        <f>"9783038978626"</f>
        <v>9783038978626</v>
      </c>
      <c r="F8094" s="2" t="str">
        <f>"9783038978633"</f>
        <v>9783038978633</v>
      </c>
    </row>
    <row r="8095" spans="1:6" s="3" customFormat="1" ht="29.1" customHeight="1" x14ac:dyDescent="0.25">
      <c r="A8095" s="2" t="s">
        <v>16838</v>
      </c>
      <c r="B8095" s="2" t="s">
        <v>16839</v>
      </c>
      <c r="C8095" s="2" t="s">
        <v>746</v>
      </c>
      <c r="D8095" s="2" t="s">
        <v>4185</v>
      </c>
      <c r="E8095" s="2" t="str">
        <f>"9781803276380"</f>
        <v>9781803276380</v>
      </c>
      <c r="F8095" s="2" t="str">
        <f>"9781803276397"</f>
        <v>9781803276397</v>
      </c>
    </row>
    <row r="8096" spans="1:6" s="3" customFormat="1" ht="29.1" customHeight="1" x14ac:dyDescent="0.25">
      <c r="A8096" s="2" t="s">
        <v>16840</v>
      </c>
      <c r="B8096" s="2" t="s">
        <v>16841</v>
      </c>
      <c r="C8096" s="2" t="s">
        <v>746</v>
      </c>
      <c r="D8096" s="2" t="s">
        <v>606</v>
      </c>
      <c r="E8096" s="2" t="str">
        <f>"9781803276731"</f>
        <v>9781803276731</v>
      </c>
      <c r="F8096" s="2" t="str">
        <f>"9781803276748"</f>
        <v>9781803276748</v>
      </c>
    </row>
    <row r="8097" spans="1:6" s="3" customFormat="1" ht="29.1" customHeight="1" x14ac:dyDescent="0.25">
      <c r="A8097" s="2" t="s">
        <v>16842</v>
      </c>
      <c r="B8097" s="2" t="s">
        <v>16843</v>
      </c>
      <c r="C8097" s="2" t="s">
        <v>746</v>
      </c>
      <c r="D8097" s="2" t="s">
        <v>606</v>
      </c>
      <c r="E8097" s="2" t="str">
        <f>"9781803277004"</f>
        <v>9781803277004</v>
      </c>
      <c r="F8097" s="2" t="str">
        <f>"9781803277011"</f>
        <v>9781803277011</v>
      </c>
    </row>
    <row r="8098" spans="1:6" s="3" customFormat="1" ht="29.1" customHeight="1" x14ac:dyDescent="0.25">
      <c r="A8098" s="2" t="s">
        <v>16844</v>
      </c>
      <c r="B8098" s="2" t="s">
        <v>9098</v>
      </c>
      <c r="C8098" s="2" t="s">
        <v>950</v>
      </c>
      <c r="D8098" s="2" t="s">
        <v>836</v>
      </c>
      <c r="E8098" s="2"/>
      <c r="F8098" s="2" t="str">
        <f>"9788411705806"</f>
        <v>9788411705806</v>
      </c>
    </row>
    <row r="8099" spans="1:6" s="3" customFormat="1" ht="29.1" customHeight="1" x14ac:dyDescent="0.25">
      <c r="A8099" s="2" t="s">
        <v>16845</v>
      </c>
      <c r="B8099" s="2" t="s">
        <v>16846</v>
      </c>
      <c r="C8099" s="2" t="s">
        <v>950</v>
      </c>
      <c r="D8099" s="2" t="s">
        <v>550</v>
      </c>
      <c r="E8099" s="2"/>
      <c r="F8099" s="2" t="str">
        <f>"9788411705707"</f>
        <v>9788411705707</v>
      </c>
    </row>
    <row r="8100" spans="1:6" s="3" customFormat="1" ht="29.1" customHeight="1" x14ac:dyDescent="0.25">
      <c r="A8100" s="2" t="s">
        <v>16847</v>
      </c>
      <c r="B8100" s="2" t="s">
        <v>16848</v>
      </c>
      <c r="C8100" s="2" t="s">
        <v>950</v>
      </c>
      <c r="D8100" s="2" t="s">
        <v>2965</v>
      </c>
      <c r="E8100" s="2"/>
      <c r="F8100" s="2" t="str">
        <f>"9788411703055"</f>
        <v>9788411703055</v>
      </c>
    </row>
    <row r="8101" spans="1:6" s="3" customFormat="1" ht="29.1" customHeight="1" x14ac:dyDescent="0.25">
      <c r="A8101" s="2" t="s">
        <v>16849</v>
      </c>
      <c r="B8101" s="2" t="s">
        <v>16850</v>
      </c>
      <c r="C8101" s="2" t="s">
        <v>950</v>
      </c>
      <c r="D8101" s="2" t="s">
        <v>951</v>
      </c>
      <c r="E8101" s="2"/>
      <c r="F8101" s="2" t="str">
        <f>"9788411702973"</f>
        <v>9788411702973</v>
      </c>
    </row>
    <row r="8102" spans="1:6" s="3" customFormat="1" ht="29.1" customHeight="1" x14ac:dyDescent="0.25">
      <c r="A8102" s="2" t="s">
        <v>16851</v>
      </c>
      <c r="B8102" s="2" t="s">
        <v>16852</v>
      </c>
      <c r="C8102" s="2" t="s">
        <v>950</v>
      </c>
      <c r="D8102" s="2" t="s">
        <v>1823</v>
      </c>
      <c r="E8102" s="2"/>
      <c r="F8102" s="2" t="str">
        <f>"9788411228275"</f>
        <v>9788411228275</v>
      </c>
    </row>
    <row r="8103" spans="1:6" s="3" customFormat="1" ht="29.1" customHeight="1" x14ac:dyDescent="0.25">
      <c r="A8103" s="2" t="s">
        <v>16853</v>
      </c>
      <c r="B8103" s="2" t="s">
        <v>16854</v>
      </c>
      <c r="C8103" s="2" t="s">
        <v>950</v>
      </c>
      <c r="D8103" s="2" t="s">
        <v>7199</v>
      </c>
      <c r="E8103" s="2"/>
      <c r="F8103" s="2" t="str">
        <f>"9788411707480"</f>
        <v>9788411707480</v>
      </c>
    </row>
    <row r="8104" spans="1:6" s="3" customFormat="1" ht="29.1" customHeight="1" x14ac:dyDescent="0.25">
      <c r="A8104" s="2" t="s">
        <v>16855</v>
      </c>
      <c r="B8104" s="2" t="s">
        <v>16856</v>
      </c>
      <c r="C8104" s="2" t="s">
        <v>950</v>
      </c>
      <c r="D8104" s="2" t="s">
        <v>192</v>
      </c>
      <c r="E8104" s="2"/>
      <c r="F8104" s="2" t="str">
        <f>"9788411707411"</f>
        <v>9788411707411</v>
      </c>
    </row>
    <row r="8105" spans="1:6" s="3" customFormat="1" ht="29.1" customHeight="1" x14ac:dyDescent="0.25">
      <c r="A8105" s="2" t="s">
        <v>16857</v>
      </c>
      <c r="B8105" s="2" t="s">
        <v>16858</v>
      </c>
      <c r="C8105" s="2" t="s">
        <v>950</v>
      </c>
      <c r="D8105" s="2" t="s">
        <v>183</v>
      </c>
      <c r="E8105" s="2"/>
      <c r="F8105" s="2" t="str">
        <f>"9788411707107"</f>
        <v>9788411707107</v>
      </c>
    </row>
    <row r="8106" spans="1:6" s="3" customFormat="1" ht="29.1" customHeight="1" x14ac:dyDescent="0.25">
      <c r="A8106" s="2" t="s">
        <v>16859</v>
      </c>
      <c r="B8106" s="2" t="s">
        <v>16860</v>
      </c>
      <c r="C8106" s="2" t="s">
        <v>950</v>
      </c>
      <c r="D8106" s="2" t="s">
        <v>256</v>
      </c>
      <c r="E8106" s="2"/>
      <c r="F8106" s="2" t="str">
        <f>"9788411706797"</f>
        <v>9788411706797</v>
      </c>
    </row>
    <row r="8107" spans="1:6" s="3" customFormat="1" ht="29.1" customHeight="1" x14ac:dyDescent="0.25">
      <c r="A8107" s="2" t="s">
        <v>16861</v>
      </c>
      <c r="B8107" s="2" t="s">
        <v>16862</v>
      </c>
      <c r="C8107" s="2" t="s">
        <v>950</v>
      </c>
      <c r="D8107" s="2" t="s">
        <v>8189</v>
      </c>
      <c r="E8107" s="2"/>
      <c r="F8107" s="2" t="str">
        <f>"9788411706735"</f>
        <v>9788411706735</v>
      </c>
    </row>
    <row r="8108" spans="1:6" s="3" customFormat="1" ht="29.1" customHeight="1" x14ac:dyDescent="0.25">
      <c r="A8108" s="2" t="s">
        <v>16863</v>
      </c>
      <c r="B8108" s="2" t="s">
        <v>16864</v>
      </c>
      <c r="C8108" s="2" t="s">
        <v>950</v>
      </c>
      <c r="D8108" s="2" t="s">
        <v>836</v>
      </c>
      <c r="E8108" s="2"/>
      <c r="F8108" s="2" t="str">
        <f>"9788411706575"</f>
        <v>9788411706575</v>
      </c>
    </row>
    <row r="8109" spans="1:6" s="3" customFormat="1" ht="29.1" customHeight="1" x14ac:dyDescent="0.25">
      <c r="A8109" s="2" t="s">
        <v>16865</v>
      </c>
      <c r="B8109" s="2" t="s">
        <v>16866</v>
      </c>
      <c r="C8109" s="2" t="s">
        <v>950</v>
      </c>
      <c r="D8109" s="2" t="s">
        <v>2776</v>
      </c>
      <c r="E8109" s="2"/>
      <c r="F8109" s="2" t="str">
        <f>"9788411706568"</f>
        <v>9788411706568</v>
      </c>
    </row>
    <row r="8110" spans="1:6" s="3" customFormat="1" ht="29.1" customHeight="1" x14ac:dyDescent="0.25">
      <c r="A8110" s="2" t="s">
        <v>16867</v>
      </c>
      <c r="B8110" s="2" t="s">
        <v>16868</v>
      </c>
      <c r="C8110" s="2" t="s">
        <v>950</v>
      </c>
      <c r="D8110" s="2" t="s">
        <v>984</v>
      </c>
      <c r="E8110" s="2"/>
      <c r="F8110" s="2" t="str">
        <f>"9788411706346"</f>
        <v>9788411706346</v>
      </c>
    </row>
    <row r="8111" spans="1:6" s="3" customFormat="1" ht="29.1" customHeight="1" x14ac:dyDescent="0.25">
      <c r="A8111" s="2" t="s">
        <v>16869</v>
      </c>
      <c r="B8111" s="2" t="s">
        <v>16870</v>
      </c>
      <c r="C8111" s="2" t="s">
        <v>950</v>
      </c>
      <c r="D8111" s="2" t="s">
        <v>2587</v>
      </c>
      <c r="E8111" s="2"/>
      <c r="F8111" s="2" t="str">
        <f>"9788411706322"</f>
        <v>9788411706322</v>
      </c>
    </row>
    <row r="8112" spans="1:6" s="3" customFormat="1" ht="29.1" customHeight="1" x14ac:dyDescent="0.25">
      <c r="A8112" s="2" t="s">
        <v>16871</v>
      </c>
      <c r="B8112" s="2" t="s">
        <v>9096</v>
      </c>
      <c r="C8112" s="2" t="s">
        <v>950</v>
      </c>
      <c r="D8112" s="2" t="s">
        <v>52</v>
      </c>
      <c r="E8112" s="2"/>
      <c r="F8112" s="2" t="str">
        <f>"9788411705790"</f>
        <v>9788411705790</v>
      </c>
    </row>
    <row r="8113" spans="1:6" s="3" customFormat="1" ht="29.1" customHeight="1" x14ac:dyDescent="0.25">
      <c r="A8113" s="2" t="s">
        <v>16872</v>
      </c>
      <c r="B8113" s="2" t="s">
        <v>16873</v>
      </c>
      <c r="C8113" s="2" t="s">
        <v>950</v>
      </c>
      <c r="D8113" s="2" t="s">
        <v>490</v>
      </c>
      <c r="E8113" s="2"/>
      <c r="F8113" s="2" t="str">
        <f>"9788411705783"</f>
        <v>9788411705783</v>
      </c>
    </row>
    <row r="8114" spans="1:6" s="3" customFormat="1" ht="29.1" customHeight="1" x14ac:dyDescent="0.25">
      <c r="A8114" s="2" t="s">
        <v>16874</v>
      </c>
      <c r="B8114" s="2" t="s">
        <v>16875</v>
      </c>
      <c r="C8114" s="2" t="s">
        <v>950</v>
      </c>
      <c r="D8114" s="2" t="s">
        <v>75</v>
      </c>
      <c r="E8114" s="2"/>
      <c r="F8114" s="2" t="str">
        <f>"9788411705622"</f>
        <v>9788411705622</v>
      </c>
    </row>
    <row r="8115" spans="1:6" s="3" customFormat="1" ht="29.1" customHeight="1" x14ac:dyDescent="0.25">
      <c r="A8115" s="2" t="s">
        <v>16876</v>
      </c>
      <c r="B8115" s="2" t="s">
        <v>16877</v>
      </c>
      <c r="C8115" s="2" t="s">
        <v>950</v>
      </c>
      <c r="D8115" s="2" t="s">
        <v>550</v>
      </c>
      <c r="E8115" s="2"/>
      <c r="F8115" s="2" t="str">
        <f>"9788411705431"</f>
        <v>9788411705431</v>
      </c>
    </row>
    <row r="8116" spans="1:6" s="3" customFormat="1" ht="29.1" customHeight="1" x14ac:dyDescent="0.25">
      <c r="A8116" s="2" t="s">
        <v>16878</v>
      </c>
      <c r="B8116" s="2" t="s">
        <v>16879</v>
      </c>
      <c r="C8116" s="2" t="s">
        <v>950</v>
      </c>
      <c r="D8116" s="2" t="s">
        <v>951</v>
      </c>
      <c r="E8116" s="2"/>
      <c r="F8116" s="2" t="str">
        <f>"9788411705424"</f>
        <v>9788411705424</v>
      </c>
    </row>
    <row r="8117" spans="1:6" s="3" customFormat="1" ht="29.1" customHeight="1" x14ac:dyDescent="0.25">
      <c r="A8117" s="2" t="s">
        <v>16880</v>
      </c>
      <c r="B8117" s="2" t="s">
        <v>14077</v>
      </c>
      <c r="C8117" s="2" t="s">
        <v>950</v>
      </c>
      <c r="D8117" s="2" t="s">
        <v>75</v>
      </c>
      <c r="E8117" s="2"/>
      <c r="F8117" s="2" t="str">
        <f>"9788411705417"</f>
        <v>9788411705417</v>
      </c>
    </row>
    <row r="8118" spans="1:6" s="3" customFormat="1" ht="29.1" customHeight="1" x14ac:dyDescent="0.25">
      <c r="A8118" s="2" t="s">
        <v>16881</v>
      </c>
      <c r="B8118" s="2" t="s">
        <v>16882</v>
      </c>
      <c r="C8118" s="2" t="s">
        <v>950</v>
      </c>
      <c r="D8118" s="2" t="s">
        <v>712</v>
      </c>
      <c r="E8118" s="2"/>
      <c r="F8118" s="2" t="str">
        <f>"9788411705394"</f>
        <v>9788411705394</v>
      </c>
    </row>
    <row r="8119" spans="1:6" s="3" customFormat="1" ht="29.1" customHeight="1" x14ac:dyDescent="0.25">
      <c r="A8119" s="2" t="s">
        <v>16883</v>
      </c>
      <c r="B8119" s="2" t="s">
        <v>16884</v>
      </c>
      <c r="C8119" s="2" t="s">
        <v>950</v>
      </c>
      <c r="D8119" s="2" t="s">
        <v>490</v>
      </c>
      <c r="E8119" s="2"/>
      <c r="F8119" s="2" t="str">
        <f>"9788411705387"</f>
        <v>9788411705387</v>
      </c>
    </row>
    <row r="8120" spans="1:6" s="3" customFormat="1" ht="29.1" customHeight="1" x14ac:dyDescent="0.25">
      <c r="A8120" s="2" t="s">
        <v>16885</v>
      </c>
      <c r="B8120" s="2" t="s">
        <v>16886</v>
      </c>
      <c r="C8120" s="2" t="s">
        <v>950</v>
      </c>
      <c r="D8120" s="2" t="s">
        <v>614</v>
      </c>
      <c r="E8120" s="2"/>
      <c r="F8120" s="2" t="str">
        <f>"9788411705370"</f>
        <v>9788411705370</v>
      </c>
    </row>
    <row r="8121" spans="1:6" s="3" customFormat="1" ht="29.1" customHeight="1" x14ac:dyDescent="0.25">
      <c r="A8121" s="2" t="s">
        <v>16887</v>
      </c>
      <c r="B8121" s="2" t="s">
        <v>16888</v>
      </c>
      <c r="C8121" s="2" t="s">
        <v>950</v>
      </c>
      <c r="D8121" s="2" t="s">
        <v>550</v>
      </c>
      <c r="E8121" s="2"/>
      <c r="F8121" s="2" t="str">
        <f>"9788411705356"</f>
        <v>9788411705356</v>
      </c>
    </row>
    <row r="8122" spans="1:6" s="3" customFormat="1" ht="29.1" customHeight="1" x14ac:dyDescent="0.25">
      <c r="A8122" s="2" t="s">
        <v>16889</v>
      </c>
      <c r="B8122" s="2" t="s">
        <v>16890</v>
      </c>
      <c r="C8122" s="2" t="s">
        <v>950</v>
      </c>
      <c r="D8122" s="2" t="s">
        <v>3958</v>
      </c>
      <c r="E8122" s="2"/>
      <c r="F8122" s="2" t="str">
        <f>"9788411705349"</f>
        <v>9788411705349</v>
      </c>
    </row>
    <row r="8123" spans="1:6" s="3" customFormat="1" ht="29.1" customHeight="1" x14ac:dyDescent="0.25">
      <c r="A8123" s="2" t="s">
        <v>16891</v>
      </c>
      <c r="B8123" s="2" t="s">
        <v>16893</v>
      </c>
      <c r="C8123" s="2" t="s">
        <v>950</v>
      </c>
      <c r="D8123" s="2" t="s">
        <v>16892</v>
      </c>
      <c r="E8123" s="2"/>
      <c r="F8123" s="2" t="str">
        <f>"9788411704861"</f>
        <v>9788411704861</v>
      </c>
    </row>
    <row r="8124" spans="1:6" s="3" customFormat="1" ht="29.1" customHeight="1" x14ac:dyDescent="0.25">
      <c r="A8124" s="2" t="s">
        <v>16894</v>
      </c>
      <c r="B8124" s="2" t="s">
        <v>16895</v>
      </c>
      <c r="C8124" s="2" t="s">
        <v>950</v>
      </c>
      <c r="D8124" s="2" t="s">
        <v>490</v>
      </c>
      <c r="E8124" s="2"/>
      <c r="F8124" s="2" t="str">
        <f>"9788411703628"</f>
        <v>9788411703628</v>
      </c>
    </row>
    <row r="8125" spans="1:6" s="3" customFormat="1" ht="29.1" customHeight="1" x14ac:dyDescent="0.25">
      <c r="A8125" s="2" t="s">
        <v>16896</v>
      </c>
      <c r="B8125" s="2" t="s">
        <v>16897</v>
      </c>
      <c r="C8125" s="2" t="s">
        <v>950</v>
      </c>
      <c r="D8125" s="2" t="s">
        <v>4214</v>
      </c>
      <c r="E8125" s="2"/>
      <c r="F8125" s="2" t="str">
        <f>"9788411703611"</f>
        <v>9788411703611</v>
      </c>
    </row>
    <row r="8126" spans="1:6" s="3" customFormat="1" ht="29.1" customHeight="1" x14ac:dyDescent="0.25">
      <c r="A8126" s="2" t="s">
        <v>16898</v>
      </c>
      <c r="B8126" s="2" t="s">
        <v>16899</v>
      </c>
      <c r="C8126" s="2" t="s">
        <v>950</v>
      </c>
      <c r="D8126" s="2" t="s">
        <v>951</v>
      </c>
      <c r="E8126" s="2"/>
      <c r="F8126" s="2" t="str">
        <f>"9788411703604"</f>
        <v>9788411703604</v>
      </c>
    </row>
    <row r="8127" spans="1:6" s="3" customFormat="1" ht="29.1" customHeight="1" x14ac:dyDescent="0.25">
      <c r="A8127" s="2" t="s">
        <v>16900</v>
      </c>
      <c r="B8127" s="2" t="s">
        <v>16901</v>
      </c>
      <c r="C8127" s="2" t="s">
        <v>950</v>
      </c>
      <c r="D8127" s="2" t="s">
        <v>836</v>
      </c>
      <c r="E8127" s="2"/>
      <c r="F8127" s="2" t="str">
        <f>"9788411703598"</f>
        <v>9788411703598</v>
      </c>
    </row>
    <row r="8128" spans="1:6" s="3" customFormat="1" ht="29.1" customHeight="1" x14ac:dyDescent="0.25">
      <c r="A8128" s="2" t="s">
        <v>16902</v>
      </c>
      <c r="B8128" s="2" t="s">
        <v>16903</v>
      </c>
      <c r="C8128" s="2" t="s">
        <v>950</v>
      </c>
      <c r="D8128" s="2" t="s">
        <v>14127</v>
      </c>
      <c r="E8128" s="2"/>
      <c r="F8128" s="2" t="str">
        <f>"9788411703581"</f>
        <v>9788411703581</v>
      </c>
    </row>
    <row r="8129" spans="1:6" s="3" customFormat="1" ht="29.1" customHeight="1" x14ac:dyDescent="0.25">
      <c r="A8129" s="2" t="s">
        <v>16904</v>
      </c>
      <c r="B8129" s="2" t="s">
        <v>9046</v>
      </c>
      <c r="C8129" s="2" t="s">
        <v>950</v>
      </c>
      <c r="D8129" s="2" t="s">
        <v>75</v>
      </c>
      <c r="E8129" s="2"/>
      <c r="F8129" s="2" t="str">
        <f>"9788411703574"</f>
        <v>9788411703574</v>
      </c>
    </row>
    <row r="8130" spans="1:6" s="3" customFormat="1" ht="29.1" customHeight="1" x14ac:dyDescent="0.25">
      <c r="A8130" s="2" t="s">
        <v>16905</v>
      </c>
      <c r="B8130" s="2" t="s">
        <v>16906</v>
      </c>
      <c r="C8130" s="2" t="s">
        <v>950</v>
      </c>
      <c r="D8130" s="2" t="s">
        <v>75</v>
      </c>
      <c r="E8130" s="2"/>
      <c r="F8130" s="2" t="str">
        <f>"9788411703567"</f>
        <v>9788411703567</v>
      </c>
    </row>
    <row r="8131" spans="1:6" s="3" customFormat="1" ht="29.1" customHeight="1" x14ac:dyDescent="0.25">
      <c r="A8131" s="2" t="s">
        <v>16907</v>
      </c>
      <c r="B8131" s="2" t="s">
        <v>16908</v>
      </c>
      <c r="C8131" s="2" t="s">
        <v>950</v>
      </c>
      <c r="D8131" s="2" t="s">
        <v>2752</v>
      </c>
      <c r="E8131" s="2"/>
      <c r="F8131" s="2" t="str">
        <f>"9788411703550"</f>
        <v>9788411703550</v>
      </c>
    </row>
    <row r="8132" spans="1:6" s="3" customFormat="1" ht="29.1" customHeight="1" x14ac:dyDescent="0.25">
      <c r="A8132" s="2" t="s">
        <v>16909</v>
      </c>
      <c r="B8132" s="2" t="s">
        <v>14073</v>
      </c>
      <c r="C8132" s="2" t="s">
        <v>950</v>
      </c>
      <c r="D8132" s="2" t="s">
        <v>3523</v>
      </c>
      <c r="E8132" s="2"/>
      <c r="F8132" s="2" t="str">
        <f>"9788411703543"</f>
        <v>9788411703543</v>
      </c>
    </row>
    <row r="8133" spans="1:6" s="3" customFormat="1" ht="29.1" customHeight="1" x14ac:dyDescent="0.25">
      <c r="A8133" s="2" t="s">
        <v>16910</v>
      </c>
      <c r="B8133" s="2" t="s">
        <v>16911</v>
      </c>
      <c r="C8133" s="2" t="s">
        <v>950</v>
      </c>
      <c r="D8133" s="2" t="s">
        <v>101</v>
      </c>
      <c r="E8133" s="2"/>
      <c r="F8133" s="2" t="str">
        <f>"9788411703536"</f>
        <v>9788411703536</v>
      </c>
    </row>
    <row r="8134" spans="1:6" s="3" customFormat="1" ht="29.1" customHeight="1" x14ac:dyDescent="0.25">
      <c r="A8134" s="2" t="s">
        <v>16912</v>
      </c>
      <c r="B8134" s="2" t="s">
        <v>16913</v>
      </c>
      <c r="C8134" s="2" t="s">
        <v>950</v>
      </c>
      <c r="D8134" s="2" t="s">
        <v>5658</v>
      </c>
      <c r="E8134" s="2"/>
      <c r="F8134" s="2" t="str">
        <f>"9788411703048"</f>
        <v>9788411703048</v>
      </c>
    </row>
    <row r="8135" spans="1:6" s="3" customFormat="1" ht="29.1" customHeight="1" x14ac:dyDescent="0.25">
      <c r="A8135" s="2" t="s">
        <v>16914</v>
      </c>
      <c r="B8135" s="2" t="s">
        <v>16915</v>
      </c>
      <c r="C8135" s="2" t="s">
        <v>950</v>
      </c>
      <c r="D8135" s="2" t="s">
        <v>3958</v>
      </c>
      <c r="E8135" s="2"/>
      <c r="F8135" s="2" t="str">
        <f>"9788411703017"</f>
        <v>9788411703017</v>
      </c>
    </row>
    <row r="8136" spans="1:6" s="3" customFormat="1" ht="29.1" customHeight="1" x14ac:dyDescent="0.25">
      <c r="A8136" s="2" t="s">
        <v>16916</v>
      </c>
      <c r="B8136" s="2" t="s">
        <v>16917</v>
      </c>
      <c r="C8136" s="2" t="s">
        <v>950</v>
      </c>
      <c r="D8136" s="2" t="s">
        <v>553</v>
      </c>
      <c r="E8136" s="2"/>
      <c r="F8136" s="2" t="str">
        <f>"9788411703000"</f>
        <v>9788411703000</v>
      </c>
    </row>
    <row r="8137" spans="1:6" s="3" customFormat="1" ht="29.1" customHeight="1" x14ac:dyDescent="0.25">
      <c r="A8137" s="2" t="s">
        <v>16918</v>
      </c>
      <c r="B8137" s="2" t="s">
        <v>16919</v>
      </c>
      <c r="C8137" s="2" t="s">
        <v>950</v>
      </c>
      <c r="D8137" s="2" t="s">
        <v>951</v>
      </c>
      <c r="E8137" s="2"/>
      <c r="F8137" s="2" t="str">
        <f>"9788411702997"</f>
        <v>9788411702997</v>
      </c>
    </row>
    <row r="8138" spans="1:6" s="3" customFormat="1" ht="29.1" customHeight="1" x14ac:dyDescent="0.25">
      <c r="A8138" s="2" t="s">
        <v>16920</v>
      </c>
      <c r="B8138" s="2" t="s">
        <v>16921</v>
      </c>
      <c r="C8138" s="2" t="s">
        <v>950</v>
      </c>
      <c r="D8138" s="2" t="s">
        <v>951</v>
      </c>
      <c r="E8138" s="2"/>
      <c r="F8138" s="2" t="str">
        <f>"9788411702980"</f>
        <v>9788411702980</v>
      </c>
    </row>
    <row r="8139" spans="1:6" s="3" customFormat="1" ht="29.1" customHeight="1" x14ac:dyDescent="0.25">
      <c r="A8139" s="2" t="s">
        <v>16922</v>
      </c>
      <c r="B8139" s="2" t="s">
        <v>16923</v>
      </c>
      <c r="C8139" s="2" t="s">
        <v>950</v>
      </c>
      <c r="D8139" s="2" t="s">
        <v>278</v>
      </c>
      <c r="E8139" s="2"/>
      <c r="F8139" s="2" t="str">
        <f>"9788411702966"</f>
        <v>9788411702966</v>
      </c>
    </row>
    <row r="8140" spans="1:6" s="3" customFormat="1" ht="29.1" customHeight="1" x14ac:dyDescent="0.25">
      <c r="A8140" s="2" t="s">
        <v>16924</v>
      </c>
      <c r="B8140" s="2" t="s">
        <v>16925</v>
      </c>
      <c r="C8140" s="2" t="s">
        <v>950</v>
      </c>
      <c r="D8140" s="2" t="s">
        <v>981</v>
      </c>
      <c r="E8140" s="2"/>
      <c r="F8140" s="2" t="str">
        <f>"9788411701501"</f>
        <v>9788411701501</v>
      </c>
    </row>
    <row r="8141" spans="1:6" s="3" customFormat="1" ht="29.1" customHeight="1" x14ac:dyDescent="0.25">
      <c r="A8141" s="2" t="s">
        <v>16926</v>
      </c>
      <c r="B8141" s="2" t="s">
        <v>16927</v>
      </c>
      <c r="C8141" s="2" t="s">
        <v>950</v>
      </c>
      <c r="D8141" s="2" t="s">
        <v>951</v>
      </c>
      <c r="E8141" s="2"/>
      <c r="F8141" s="2" t="str">
        <f>"9788411701495"</f>
        <v>9788411701495</v>
      </c>
    </row>
    <row r="8142" spans="1:6" s="3" customFormat="1" ht="29.1" customHeight="1" x14ac:dyDescent="0.25">
      <c r="A8142" s="2" t="s">
        <v>16928</v>
      </c>
      <c r="B8142" s="2" t="s">
        <v>16929</v>
      </c>
      <c r="C8142" s="2" t="s">
        <v>950</v>
      </c>
      <c r="D8142" s="2" t="s">
        <v>553</v>
      </c>
      <c r="E8142" s="2"/>
      <c r="F8142" s="2" t="str">
        <f>"9788411701488"</f>
        <v>9788411701488</v>
      </c>
    </row>
    <row r="8143" spans="1:6" s="3" customFormat="1" ht="29.1" customHeight="1" x14ac:dyDescent="0.25">
      <c r="A8143" s="2" t="s">
        <v>16930</v>
      </c>
      <c r="B8143" s="2" t="s">
        <v>16931</v>
      </c>
      <c r="C8143" s="2" t="s">
        <v>950</v>
      </c>
      <c r="D8143" s="2" t="s">
        <v>512</v>
      </c>
      <c r="E8143" s="2"/>
      <c r="F8143" s="2" t="str">
        <f>"9788411701471"</f>
        <v>9788411701471</v>
      </c>
    </row>
    <row r="8144" spans="1:6" s="3" customFormat="1" ht="29.1" customHeight="1" x14ac:dyDescent="0.25">
      <c r="A8144" s="2" t="s">
        <v>16932</v>
      </c>
      <c r="B8144" s="2" t="s">
        <v>16933</v>
      </c>
      <c r="C8144" s="2" t="s">
        <v>950</v>
      </c>
      <c r="D8144" s="2" t="s">
        <v>52</v>
      </c>
      <c r="E8144" s="2"/>
      <c r="F8144" s="2" t="str">
        <f>"9788411701464"</f>
        <v>9788411701464</v>
      </c>
    </row>
    <row r="8145" spans="1:6" s="3" customFormat="1" ht="29.1" customHeight="1" x14ac:dyDescent="0.25">
      <c r="A8145" s="2" t="s">
        <v>16934</v>
      </c>
      <c r="B8145" s="2" t="s">
        <v>16935</v>
      </c>
      <c r="C8145" s="2" t="s">
        <v>950</v>
      </c>
      <c r="D8145" s="2" t="s">
        <v>9052</v>
      </c>
      <c r="E8145" s="2"/>
      <c r="F8145" s="2" t="str">
        <f>"9788411701457"</f>
        <v>9788411701457</v>
      </c>
    </row>
    <row r="8146" spans="1:6" s="3" customFormat="1" ht="29.1" customHeight="1" x14ac:dyDescent="0.25">
      <c r="A8146" s="2" t="s">
        <v>16936</v>
      </c>
      <c r="B8146" s="2" t="s">
        <v>9078</v>
      </c>
      <c r="C8146" s="2" t="s">
        <v>950</v>
      </c>
      <c r="D8146" s="2" t="s">
        <v>75</v>
      </c>
      <c r="E8146" s="2"/>
      <c r="F8146" s="2" t="str">
        <f>"9788411701440"</f>
        <v>9788411701440</v>
      </c>
    </row>
    <row r="8147" spans="1:6" s="3" customFormat="1" ht="29.1" customHeight="1" x14ac:dyDescent="0.25">
      <c r="A8147" s="2" t="s">
        <v>16937</v>
      </c>
      <c r="B8147" s="2" t="s">
        <v>16938</v>
      </c>
      <c r="C8147" s="2" t="s">
        <v>950</v>
      </c>
      <c r="D8147" s="2" t="s">
        <v>712</v>
      </c>
      <c r="E8147" s="2"/>
      <c r="F8147" s="2" t="str">
        <f>"9788411701433"</f>
        <v>9788411701433</v>
      </c>
    </row>
    <row r="8148" spans="1:6" s="3" customFormat="1" ht="29.1" customHeight="1" x14ac:dyDescent="0.25">
      <c r="A8148" s="2" t="s">
        <v>16939</v>
      </c>
      <c r="B8148" s="2" t="s">
        <v>16940</v>
      </c>
      <c r="C8148" s="2" t="s">
        <v>950</v>
      </c>
      <c r="D8148" s="2" t="s">
        <v>712</v>
      </c>
      <c r="E8148" s="2"/>
      <c r="F8148" s="2" t="str">
        <f>"9788411701426"</f>
        <v>9788411701426</v>
      </c>
    </row>
    <row r="8149" spans="1:6" s="3" customFormat="1" ht="29.1" customHeight="1" x14ac:dyDescent="0.25">
      <c r="A8149" s="2" t="s">
        <v>16941</v>
      </c>
      <c r="B8149" s="2" t="s">
        <v>16942</v>
      </c>
      <c r="C8149" s="2" t="s">
        <v>950</v>
      </c>
      <c r="D8149" s="2" t="s">
        <v>413</v>
      </c>
      <c r="E8149" s="2"/>
      <c r="F8149" s="2" t="str">
        <f>"9788411701419"</f>
        <v>9788411701419</v>
      </c>
    </row>
    <row r="8150" spans="1:6" s="3" customFormat="1" ht="29.1" customHeight="1" x14ac:dyDescent="0.25">
      <c r="A8150" s="2" t="s">
        <v>16943</v>
      </c>
      <c r="B8150" s="2" t="s">
        <v>16944</v>
      </c>
      <c r="C8150" s="2" t="s">
        <v>950</v>
      </c>
      <c r="D8150" s="2" t="s">
        <v>490</v>
      </c>
      <c r="E8150" s="2"/>
      <c r="F8150" s="2" t="str">
        <f>"9788411701402"</f>
        <v>9788411701402</v>
      </c>
    </row>
    <row r="8151" spans="1:6" s="3" customFormat="1" ht="29.1" customHeight="1" x14ac:dyDescent="0.25">
      <c r="A8151" s="2" t="s">
        <v>16945</v>
      </c>
      <c r="B8151" s="2" t="s">
        <v>16946</v>
      </c>
      <c r="C8151" s="2" t="s">
        <v>950</v>
      </c>
      <c r="D8151" s="2" t="s">
        <v>550</v>
      </c>
      <c r="E8151" s="2"/>
      <c r="F8151" s="2" t="str">
        <f>"9788411229319"</f>
        <v>9788411229319</v>
      </c>
    </row>
    <row r="8152" spans="1:6" s="3" customFormat="1" ht="29.1" customHeight="1" x14ac:dyDescent="0.25">
      <c r="A8152" s="2" t="s">
        <v>16947</v>
      </c>
      <c r="B8152" s="2" t="s">
        <v>16906</v>
      </c>
      <c r="C8152" s="2" t="s">
        <v>950</v>
      </c>
      <c r="D8152" s="2" t="s">
        <v>553</v>
      </c>
      <c r="E8152" s="2"/>
      <c r="F8152" s="2" t="str">
        <f>"9788411229296"</f>
        <v>9788411229296</v>
      </c>
    </row>
    <row r="8153" spans="1:6" s="3" customFormat="1" ht="29.1" customHeight="1" x14ac:dyDescent="0.25">
      <c r="A8153" s="2" t="s">
        <v>16948</v>
      </c>
      <c r="B8153" s="2" t="s">
        <v>16949</v>
      </c>
      <c r="C8153" s="2" t="s">
        <v>950</v>
      </c>
      <c r="D8153" s="2" t="s">
        <v>647</v>
      </c>
      <c r="E8153" s="2"/>
      <c r="F8153" s="2" t="str">
        <f>"9788411228282"</f>
        <v>9788411228282</v>
      </c>
    </row>
    <row r="8154" spans="1:6" s="3" customFormat="1" ht="29.1" customHeight="1" x14ac:dyDescent="0.25">
      <c r="A8154" s="2" t="s">
        <v>16950</v>
      </c>
      <c r="B8154" s="2" t="s">
        <v>16951</v>
      </c>
      <c r="C8154" s="2" t="s">
        <v>950</v>
      </c>
      <c r="D8154" s="2" t="s">
        <v>490</v>
      </c>
      <c r="E8154" s="2"/>
      <c r="F8154" s="2" t="str">
        <f>"9788411227247"</f>
        <v>9788411227247</v>
      </c>
    </row>
    <row r="8155" spans="1:6" s="3" customFormat="1" ht="29.1" customHeight="1" x14ac:dyDescent="0.25">
      <c r="A8155" s="2" t="s">
        <v>16952</v>
      </c>
      <c r="B8155" s="2" t="s">
        <v>16953</v>
      </c>
      <c r="C8155" s="2" t="s">
        <v>15775</v>
      </c>
      <c r="D8155" s="2" t="s">
        <v>2781</v>
      </c>
      <c r="E8155" s="2"/>
      <c r="F8155" s="2" t="str">
        <f>"9789811892790"</f>
        <v>9789811892790</v>
      </c>
    </row>
    <row r="8156" spans="1:6" s="3" customFormat="1" ht="29.1" customHeight="1" x14ac:dyDescent="0.25">
      <c r="A8156" s="2" t="s">
        <v>16954</v>
      </c>
      <c r="B8156" s="2" t="s">
        <v>16955</v>
      </c>
      <c r="C8156" s="2" t="s">
        <v>239</v>
      </c>
      <c r="D8156" s="2" t="s">
        <v>6559</v>
      </c>
      <c r="E8156" s="2" t="str">
        <f>"9780520393943"</f>
        <v>9780520393943</v>
      </c>
      <c r="F8156" s="2" t="str">
        <f>"9780520393950"</f>
        <v>9780520393950</v>
      </c>
    </row>
    <row r="8157" spans="1:6" s="3" customFormat="1" ht="29.1" customHeight="1" x14ac:dyDescent="0.25">
      <c r="A8157" s="2" t="s">
        <v>16956</v>
      </c>
      <c r="B8157" s="2" t="s">
        <v>16957</v>
      </c>
      <c r="C8157" s="2" t="s">
        <v>29</v>
      </c>
      <c r="D8157" s="2" t="s">
        <v>9</v>
      </c>
      <c r="E8157" s="2" t="str">
        <f>"9789004689985"</f>
        <v>9789004689985</v>
      </c>
      <c r="F8157" s="2" t="str">
        <f>"9789004689992"</f>
        <v>9789004689992</v>
      </c>
    </row>
    <row r="8158" spans="1:6" s="3" customFormat="1" ht="29.1" customHeight="1" x14ac:dyDescent="0.25">
      <c r="A8158" s="2" t="s">
        <v>16958</v>
      </c>
      <c r="B8158" s="2" t="s">
        <v>16959</v>
      </c>
      <c r="C8158" s="2" t="s">
        <v>5</v>
      </c>
      <c r="D8158" s="2" t="s">
        <v>3553</v>
      </c>
      <c r="E8158" s="2" t="str">
        <f>"9789819975075"</f>
        <v>9789819975075</v>
      </c>
      <c r="F8158" s="2" t="str">
        <f>"9789819975082"</f>
        <v>9789819975082</v>
      </c>
    </row>
    <row r="8159" spans="1:6" s="3" customFormat="1" ht="29.1" customHeight="1" x14ac:dyDescent="0.25">
      <c r="A8159" s="2" t="s">
        <v>16960</v>
      </c>
      <c r="B8159" s="2" t="s">
        <v>16961</v>
      </c>
      <c r="C8159" s="2" t="s">
        <v>5</v>
      </c>
      <c r="D8159" s="2" t="s">
        <v>270</v>
      </c>
      <c r="E8159" s="2" t="str">
        <f>"9782384761937"</f>
        <v>9782384761937</v>
      </c>
      <c r="F8159" s="2" t="str">
        <f>"9782384761944"</f>
        <v>9782384761944</v>
      </c>
    </row>
    <row r="8160" spans="1:6" s="3" customFormat="1" ht="29.1" customHeight="1" x14ac:dyDescent="0.25">
      <c r="A8160" s="2" t="s">
        <v>16962</v>
      </c>
      <c r="B8160" s="2" t="s">
        <v>16963</v>
      </c>
      <c r="C8160" s="2" t="s">
        <v>605</v>
      </c>
      <c r="D8160" s="2" t="s">
        <v>606</v>
      </c>
      <c r="E8160" s="2" t="str">
        <f>"9789657838020"</f>
        <v>9789657838020</v>
      </c>
      <c r="F8160" s="2" t="str">
        <f>"9789657838037"</f>
        <v>9789657838037</v>
      </c>
    </row>
    <row r="8161" spans="1:6" s="3" customFormat="1" ht="29.1" customHeight="1" x14ac:dyDescent="0.25">
      <c r="A8161" s="2" t="s">
        <v>16964</v>
      </c>
      <c r="B8161" s="2" t="s">
        <v>16965</v>
      </c>
      <c r="C8161" s="2" t="s">
        <v>3725</v>
      </c>
      <c r="D8161" s="2" t="s">
        <v>459</v>
      </c>
      <c r="E8161" s="2"/>
      <c r="F8161" s="2" t="str">
        <f>"9783961104239"</f>
        <v>9783961104239</v>
      </c>
    </row>
    <row r="8162" spans="1:6" s="3" customFormat="1" ht="29.1" customHeight="1" x14ac:dyDescent="0.25">
      <c r="A8162" s="2" t="s">
        <v>16966</v>
      </c>
      <c r="B8162" s="2" t="s">
        <v>16967</v>
      </c>
      <c r="C8162" s="2" t="s">
        <v>3725</v>
      </c>
      <c r="D8162" s="2" t="s">
        <v>459</v>
      </c>
      <c r="E8162" s="2"/>
      <c r="F8162" s="2" t="str">
        <f>"9783961104147"</f>
        <v>9783961104147</v>
      </c>
    </row>
    <row r="8163" spans="1:6" s="3" customFormat="1" ht="29.1" customHeight="1" x14ac:dyDescent="0.25">
      <c r="A8163" s="2" t="s">
        <v>16968</v>
      </c>
      <c r="B8163" s="2" t="s">
        <v>16969</v>
      </c>
      <c r="C8163" s="2" t="s">
        <v>677</v>
      </c>
      <c r="D8163" s="2" t="s">
        <v>125</v>
      </c>
      <c r="E8163" s="2"/>
      <c r="F8163" s="2" t="str">
        <f>"9789493296336"</f>
        <v>9789493296336</v>
      </c>
    </row>
    <row r="8164" spans="1:6" s="3" customFormat="1" ht="29.1" customHeight="1" x14ac:dyDescent="0.25">
      <c r="A8164" s="2" t="s">
        <v>16970</v>
      </c>
      <c r="B8164" s="2" t="s">
        <v>16971</v>
      </c>
      <c r="C8164" s="2" t="s">
        <v>677</v>
      </c>
      <c r="D8164" s="2" t="s">
        <v>4071</v>
      </c>
      <c r="E8164" s="2"/>
      <c r="F8164" s="2" t="str">
        <f>"9789493296268"</f>
        <v>9789493296268</v>
      </c>
    </row>
    <row r="8165" spans="1:6" s="3" customFormat="1" ht="29.1" customHeight="1" x14ac:dyDescent="0.25">
      <c r="A8165" s="2" t="s">
        <v>16972</v>
      </c>
      <c r="B8165" s="2" t="s">
        <v>16973</v>
      </c>
      <c r="C8165" s="2" t="s">
        <v>677</v>
      </c>
      <c r="D8165" s="2" t="s">
        <v>1591</v>
      </c>
      <c r="E8165" s="2"/>
      <c r="F8165" s="2" t="str">
        <f>"9789493296206"</f>
        <v>9789493296206</v>
      </c>
    </row>
    <row r="8166" spans="1:6" s="3" customFormat="1" ht="29.1" customHeight="1" x14ac:dyDescent="0.25">
      <c r="A8166" s="2" t="s">
        <v>16974</v>
      </c>
      <c r="B8166" s="2" t="s">
        <v>16975</v>
      </c>
      <c r="C8166" s="2" t="s">
        <v>677</v>
      </c>
      <c r="D8166" s="2" t="s">
        <v>1285</v>
      </c>
      <c r="E8166" s="2"/>
      <c r="F8166" s="2" t="str">
        <f>"9789493296152"</f>
        <v>9789493296152</v>
      </c>
    </row>
    <row r="8167" spans="1:6" s="3" customFormat="1" ht="29.1" customHeight="1" x14ac:dyDescent="0.25">
      <c r="A8167" s="2" t="s">
        <v>16976</v>
      </c>
      <c r="B8167" s="2" t="s">
        <v>16977</v>
      </c>
      <c r="C8167" s="2" t="s">
        <v>677</v>
      </c>
      <c r="D8167" s="2" t="s">
        <v>107</v>
      </c>
      <c r="E8167" s="2"/>
      <c r="F8167" s="2" t="str">
        <f>"9789493296190"</f>
        <v>9789493296190</v>
      </c>
    </row>
    <row r="8168" spans="1:6" s="3" customFormat="1" ht="29.1" customHeight="1" x14ac:dyDescent="0.25">
      <c r="A8168" s="2" t="s">
        <v>16978</v>
      </c>
      <c r="B8168" s="2" t="s">
        <v>16979</v>
      </c>
      <c r="C8168" s="2" t="s">
        <v>677</v>
      </c>
      <c r="D8168" s="2" t="s">
        <v>3445</v>
      </c>
      <c r="E8168" s="2"/>
      <c r="F8168" s="2" t="str">
        <f>"9789493296138"</f>
        <v>9789493296138</v>
      </c>
    </row>
    <row r="8169" spans="1:6" s="3" customFormat="1" ht="29.1" customHeight="1" x14ac:dyDescent="0.25">
      <c r="A8169" s="2" t="s">
        <v>16980</v>
      </c>
      <c r="B8169" s="2" t="s">
        <v>16981</v>
      </c>
      <c r="C8169" s="2" t="s">
        <v>677</v>
      </c>
      <c r="D8169" s="2" t="s">
        <v>5060</v>
      </c>
      <c r="E8169" s="2"/>
      <c r="F8169" s="2" t="str">
        <f>"9789493296169"</f>
        <v>9789493296169</v>
      </c>
    </row>
    <row r="8170" spans="1:6" s="3" customFormat="1" ht="29.1" customHeight="1" x14ac:dyDescent="0.25">
      <c r="A8170" s="2" t="s">
        <v>16982</v>
      </c>
      <c r="B8170" s="2" t="s">
        <v>16983</v>
      </c>
      <c r="C8170" s="2" t="s">
        <v>677</v>
      </c>
      <c r="D8170" s="2" t="s">
        <v>428</v>
      </c>
      <c r="E8170" s="2"/>
      <c r="F8170" s="2" t="str">
        <f>"9789493296183"</f>
        <v>9789493296183</v>
      </c>
    </row>
    <row r="8171" spans="1:6" s="3" customFormat="1" ht="29.1" customHeight="1" x14ac:dyDescent="0.25">
      <c r="A8171" s="2" t="s">
        <v>16984</v>
      </c>
      <c r="B8171" s="2" t="s">
        <v>16985</v>
      </c>
      <c r="C8171" s="2" t="s">
        <v>677</v>
      </c>
      <c r="D8171" s="2" t="s">
        <v>428</v>
      </c>
      <c r="E8171" s="2"/>
      <c r="F8171" s="2" t="str">
        <f>"9789493296176"</f>
        <v>9789493296176</v>
      </c>
    </row>
    <row r="8172" spans="1:6" s="3" customFormat="1" ht="29.1" customHeight="1" x14ac:dyDescent="0.25">
      <c r="A8172" s="2" t="s">
        <v>16986</v>
      </c>
      <c r="B8172" s="2" t="s">
        <v>16987</v>
      </c>
      <c r="C8172" s="2" t="s">
        <v>677</v>
      </c>
      <c r="D8172" s="2" t="s">
        <v>906</v>
      </c>
      <c r="E8172" s="2"/>
      <c r="F8172" s="2" t="str">
        <f>"9789493296084"</f>
        <v>9789493296084</v>
      </c>
    </row>
    <row r="8173" spans="1:6" s="3" customFormat="1" ht="29.1" customHeight="1" x14ac:dyDescent="0.25">
      <c r="A8173" s="2" t="s">
        <v>16988</v>
      </c>
      <c r="B8173" s="2" t="s">
        <v>16989</v>
      </c>
      <c r="C8173" s="2" t="s">
        <v>677</v>
      </c>
      <c r="D8173" s="2" t="s">
        <v>636</v>
      </c>
      <c r="E8173" s="2"/>
      <c r="F8173" s="2" t="str">
        <f>"9789493296053"</f>
        <v>9789493296053</v>
      </c>
    </row>
    <row r="8174" spans="1:6" s="3" customFormat="1" ht="29.1" customHeight="1" x14ac:dyDescent="0.25">
      <c r="A8174" s="2" t="s">
        <v>16990</v>
      </c>
      <c r="B8174" s="2" t="s">
        <v>16991</v>
      </c>
      <c r="C8174" s="2" t="s">
        <v>677</v>
      </c>
      <c r="D8174" s="2" t="s">
        <v>60</v>
      </c>
      <c r="E8174" s="2"/>
      <c r="F8174" s="2" t="str">
        <f>"9789493296022"</f>
        <v>9789493296022</v>
      </c>
    </row>
    <row r="8175" spans="1:6" s="3" customFormat="1" ht="29.1" customHeight="1" x14ac:dyDescent="0.25">
      <c r="A8175" s="2" t="s">
        <v>16992</v>
      </c>
      <c r="B8175" s="2" t="s">
        <v>16993</v>
      </c>
      <c r="C8175" s="2" t="s">
        <v>677</v>
      </c>
      <c r="D8175" s="2" t="s">
        <v>66</v>
      </c>
      <c r="E8175" s="2"/>
      <c r="F8175" s="2" t="str">
        <f>"9789493296046"</f>
        <v>9789493296046</v>
      </c>
    </row>
    <row r="8176" spans="1:6" s="3" customFormat="1" ht="29.1" customHeight="1" x14ac:dyDescent="0.25">
      <c r="A8176" s="2" t="s">
        <v>16994</v>
      </c>
      <c r="B8176" s="2" t="s">
        <v>10553</v>
      </c>
      <c r="C8176" s="2" t="s">
        <v>677</v>
      </c>
      <c r="D8176" s="2" t="s">
        <v>16995</v>
      </c>
      <c r="E8176" s="2"/>
      <c r="F8176" s="2" t="str">
        <f>"9789493296039"</f>
        <v>9789493296039</v>
      </c>
    </row>
    <row r="8177" spans="1:6" s="3" customFormat="1" ht="29.1" customHeight="1" x14ac:dyDescent="0.25">
      <c r="A8177" s="2" t="s">
        <v>16996</v>
      </c>
      <c r="B8177" s="2" t="s">
        <v>16997</v>
      </c>
      <c r="C8177" s="2" t="s">
        <v>677</v>
      </c>
      <c r="D8177" s="2" t="s">
        <v>12504</v>
      </c>
      <c r="E8177" s="2"/>
      <c r="F8177" s="2" t="str">
        <f>"9789493296015"</f>
        <v>9789493296015</v>
      </c>
    </row>
    <row r="8178" spans="1:6" s="3" customFormat="1" ht="29.1" customHeight="1" x14ac:dyDescent="0.25">
      <c r="A8178" s="2" t="s">
        <v>16998</v>
      </c>
      <c r="B8178" s="2" t="s">
        <v>16999</v>
      </c>
      <c r="C8178" s="2" t="s">
        <v>677</v>
      </c>
      <c r="D8178" s="2" t="s">
        <v>12492</v>
      </c>
      <c r="E8178" s="2"/>
      <c r="F8178" s="2" t="str">
        <f>"9789493296008"</f>
        <v>9789493296008</v>
      </c>
    </row>
    <row r="8179" spans="1:6" s="3" customFormat="1" ht="29.1" customHeight="1" x14ac:dyDescent="0.25">
      <c r="A8179" s="2" t="s">
        <v>17000</v>
      </c>
      <c r="B8179" s="2" t="s">
        <v>10543</v>
      </c>
      <c r="C8179" s="2" t="s">
        <v>677</v>
      </c>
      <c r="D8179" s="2" t="s">
        <v>1292</v>
      </c>
      <c r="E8179" s="2"/>
      <c r="F8179" s="2" t="str">
        <f>"9789083178981"</f>
        <v>9789083178981</v>
      </c>
    </row>
    <row r="8180" spans="1:6" s="3" customFormat="1" ht="29.1" customHeight="1" x14ac:dyDescent="0.25">
      <c r="A8180" s="2" t="s">
        <v>17001</v>
      </c>
      <c r="B8180" s="2" t="s">
        <v>17003</v>
      </c>
      <c r="C8180" s="2" t="s">
        <v>677</v>
      </c>
      <c r="D8180" s="2" t="s">
        <v>17002</v>
      </c>
      <c r="E8180" s="2"/>
      <c r="F8180" s="2" t="str">
        <f>"9789493296107"</f>
        <v>9789493296107</v>
      </c>
    </row>
    <row r="8181" spans="1:6" s="3" customFormat="1" ht="29.1" customHeight="1" x14ac:dyDescent="0.25">
      <c r="A8181" s="2" t="s">
        <v>17004</v>
      </c>
      <c r="B8181" s="2" t="s">
        <v>17003</v>
      </c>
      <c r="C8181" s="2" t="s">
        <v>677</v>
      </c>
      <c r="D8181" s="2" t="s">
        <v>17002</v>
      </c>
      <c r="E8181" s="2"/>
      <c r="F8181" s="2" t="str">
        <f>"9789083178974"</f>
        <v>9789083178974</v>
      </c>
    </row>
    <row r="8182" spans="1:6" s="3" customFormat="1" ht="29.1" customHeight="1" x14ac:dyDescent="0.25">
      <c r="A8182" s="2" t="s">
        <v>17005</v>
      </c>
      <c r="B8182" s="2" t="s">
        <v>17006</v>
      </c>
      <c r="C8182" s="2" t="s">
        <v>677</v>
      </c>
      <c r="D8182" s="2" t="s">
        <v>2274</v>
      </c>
      <c r="E8182" s="2"/>
      <c r="F8182" s="2" t="str">
        <f>"9789083178998"</f>
        <v>9789083178998</v>
      </c>
    </row>
    <row r="8183" spans="1:6" s="3" customFormat="1" ht="29.1" customHeight="1" x14ac:dyDescent="0.25">
      <c r="A8183" s="2" t="s">
        <v>17007</v>
      </c>
      <c r="B8183" s="2" t="s">
        <v>17008</v>
      </c>
      <c r="C8183" s="2" t="s">
        <v>677</v>
      </c>
      <c r="D8183" s="2" t="s">
        <v>5832</v>
      </c>
      <c r="E8183" s="2"/>
      <c r="F8183" s="2" t="str">
        <f>"9789083178967"</f>
        <v>9789083178967</v>
      </c>
    </row>
    <row r="8184" spans="1:6" s="3" customFormat="1" ht="29.1" customHeight="1" x14ac:dyDescent="0.25">
      <c r="A8184" s="2" t="s">
        <v>17009</v>
      </c>
      <c r="B8184" s="2" t="s">
        <v>17010</v>
      </c>
      <c r="C8184" s="2" t="s">
        <v>677</v>
      </c>
      <c r="D8184" s="2" t="s">
        <v>1109</v>
      </c>
      <c r="E8184" s="2"/>
      <c r="F8184" s="2" t="str">
        <f>"9789083178950"</f>
        <v>9789083178950</v>
      </c>
    </row>
    <row r="8185" spans="1:6" s="3" customFormat="1" ht="29.1" customHeight="1" x14ac:dyDescent="0.25">
      <c r="A8185" s="2" t="s">
        <v>17011</v>
      </c>
      <c r="B8185" s="2" t="s">
        <v>17012</v>
      </c>
      <c r="C8185" s="2" t="s">
        <v>3725</v>
      </c>
      <c r="D8185" s="2" t="s">
        <v>459</v>
      </c>
      <c r="E8185" s="2"/>
      <c r="F8185" s="2" t="str">
        <f>"9783961104277"</f>
        <v>9783961104277</v>
      </c>
    </row>
    <row r="8186" spans="1:6" s="3" customFormat="1" ht="29.1" customHeight="1" x14ac:dyDescent="0.25">
      <c r="A8186" s="2" t="s">
        <v>17013</v>
      </c>
      <c r="B8186" s="2" t="s">
        <v>17014</v>
      </c>
      <c r="C8186" s="2" t="s">
        <v>3725</v>
      </c>
      <c r="D8186" s="2" t="s">
        <v>459</v>
      </c>
      <c r="E8186" s="2"/>
      <c r="F8186" s="2" t="str">
        <f>"9783961104178"</f>
        <v>9783961104178</v>
      </c>
    </row>
    <row r="8187" spans="1:6" s="3" customFormat="1" ht="29.1" customHeight="1" x14ac:dyDescent="0.25">
      <c r="A8187" s="2" t="s">
        <v>17015</v>
      </c>
      <c r="B8187" s="2" t="s">
        <v>17016</v>
      </c>
      <c r="C8187" s="2" t="s">
        <v>3725</v>
      </c>
      <c r="D8187" s="2" t="s">
        <v>459</v>
      </c>
      <c r="E8187" s="2"/>
      <c r="F8187" s="2" t="str">
        <f>"9783961103423"</f>
        <v>9783961103423</v>
      </c>
    </row>
    <row r="8188" spans="1:6" s="3" customFormat="1" ht="29.1" customHeight="1" x14ac:dyDescent="0.25">
      <c r="A8188" s="2" t="s">
        <v>17017</v>
      </c>
      <c r="B8188" s="2" t="s">
        <v>17018</v>
      </c>
      <c r="C8188" s="2" t="s">
        <v>3725</v>
      </c>
      <c r="D8188" s="2" t="s">
        <v>459</v>
      </c>
      <c r="E8188" s="2"/>
      <c r="F8188" s="2" t="str">
        <f>"9783961104208"</f>
        <v>9783961104208</v>
      </c>
    </row>
    <row r="8189" spans="1:6" s="3" customFormat="1" ht="29.1" customHeight="1" x14ac:dyDescent="0.25">
      <c r="A8189" s="2" t="s">
        <v>17019</v>
      </c>
      <c r="B8189" s="2" t="s">
        <v>17020</v>
      </c>
      <c r="C8189" s="2" t="s">
        <v>3725</v>
      </c>
      <c r="D8189" s="2" t="s">
        <v>459</v>
      </c>
      <c r="E8189" s="2"/>
      <c r="F8189" s="2" t="str">
        <f>"9783961104291"</f>
        <v>9783961104291</v>
      </c>
    </row>
    <row r="8190" spans="1:6" s="3" customFormat="1" ht="29.1" customHeight="1" x14ac:dyDescent="0.25">
      <c r="A8190" s="2" t="s">
        <v>17021</v>
      </c>
      <c r="B8190" s="2" t="s">
        <v>17022</v>
      </c>
      <c r="C8190" s="2" t="s">
        <v>3725</v>
      </c>
      <c r="D8190" s="2" t="s">
        <v>459</v>
      </c>
      <c r="E8190" s="2"/>
      <c r="F8190" s="2" t="str">
        <f>"9783961104307"</f>
        <v>9783961104307</v>
      </c>
    </row>
    <row r="8191" spans="1:6" s="3" customFormat="1" ht="29.1" customHeight="1" x14ac:dyDescent="0.25">
      <c r="A8191" s="2" t="s">
        <v>17023</v>
      </c>
      <c r="B8191" s="2" t="s">
        <v>17024</v>
      </c>
      <c r="C8191" s="2" t="s">
        <v>3725</v>
      </c>
      <c r="D8191" s="2" t="s">
        <v>459</v>
      </c>
      <c r="E8191" s="2"/>
      <c r="F8191" s="2" t="str">
        <f>"9783961104253"</f>
        <v>9783961104253</v>
      </c>
    </row>
    <row r="8192" spans="1:6" s="3" customFormat="1" ht="29.1" customHeight="1" x14ac:dyDescent="0.25">
      <c r="A8192" s="2" t="s">
        <v>17025</v>
      </c>
      <c r="B8192" s="2" t="s">
        <v>17026</v>
      </c>
      <c r="C8192" s="2" t="s">
        <v>3725</v>
      </c>
      <c r="D8192" s="2" t="s">
        <v>459</v>
      </c>
      <c r="E8192" s="2"/>
      <c r="F8192" s="2" t="str">
        <f>"9783961104260"</f>
        <v>9783961104260</v>
      </c>
    </row>
    <row r="8193" spans="1:6" s="3" customFormat="1" ht="29.1" customHeight="1" x14ac:dyDescent="0.25">
      <c r="A8193" s="2" t="s">
        <v>17027</v>
      </c>
      <c r="B8193" s="2" t="s">
        <v>17028</v>
      </c>
      <c r="C8193" s="2" t="s">
        <v>3725</v>
      </c>
      <c r="D8193" s="2" t="s">
        <v>459</v>
      </c>
      <c r="E8193" s="2"/>
      <c r="F8193" s="2" t="str">
        <f>"9783961104215"</f>
        <v>9783961104215</v>
      </c>
    </row>
    <row r="8194" spans="1:6" s="3" customFormat="1" ht="29.1" customHeight="1" x14ac:dyDescent="0.25">
      <c r="A8194" s="2" t="s">
        <v>17029</v>
      </c>
      <c r="B8194" s="2" t="s">
        <v>17030</v>
      </c>
      <c r="C8194" s="2" t="s">
        <v>3725</v>
      </c>
      <c r="D8194" s="2" t="s">
        <v>459</v>
      </c>
      <c r="E8194" s="2"/>
      <c r="F8194" s="2" t="str">
        <f>"9783961104185"</f>
        <v>9783961104185</v>
      </c>
    </row>
    <row r="8195" spans="1:6" s="3" customFormat="1" ht="29.1" customHeight="1" x14ac:dyDescent="0.25">
      <c r="A8195" s="2" t="s">
        <v>17031</v>
      </c>
      <c r="B8195" s="2" t="s">
        <v>17032</v>
      </c>
      <c r="C8195" s="2" t="s">
        <v>3725</v>
      </c>
      <c r="D8195" s="2" t="s">
        <v>459</v>
      </c>
      <c r="E8195" s="2"/>
      <c r="F8195" s="2" t="str">
        <f>"9783961104284"</f>
        <v>9783961104284</v>
      </c>
    </row>
    <row r="8196" spans="1:6" s="3" customFormat="1" ht="29.1" customHeight="1" x14ac:dyDescent="0.25">
      <c r="A8196" s="2" t="s">
        <v>17033</v>
      </c>
      <c r="B8196" s="2" t="s">
        <v>17034</v>
      </c>
      <c r="C8196" s="2" t="s">
        <v>3725</v>
      </c>
      <c r="D8196" s="2" t="s">
        <v>459</v>
      </c>
      <c r="E8196" s="2"/>
      <c r="F8196" s="2" t="str">
        <f>"9783961104161"</f>
        <v>9783961104161</v>
      </c>
    </row>
    <row r="8197" spans="1:6" s="3" customFormat="1" ht="29.1" customHeight="1" x14ac:dyDescent="0.25">
      <c r="A8197" s="2" t="s">
        <v>17035</v>
      </c>
      <c r="B8197" s="2" t="s">
        <v>17036</v>
      </c>
      <c r="C8197" s="2" t="s">
        <v>3725</v>
      </c>
      <c r="D8197" s="2" t="s">
        <v>459</v>
      </c>
      <c r="E8197" s="2"/>
      <c r="F8197" s="2" t="str">
        <f>"9783961104222"</f>
        <v>9783961104222</v>
      </c>
    </row>
    <row r="8198" spans="1:6" s="3" customFormat="1" ht="29.1" customHeight="1" x14ac:dyDescent="0.25">
      <c r="A8198" s="2" t="s">
        <v>17037</v>
      </c>
      <c r="B8198" s="2" t="s">
        <v>17038</v>
      </c>
      <c r="C8198" s="2" t="s">
        <v>3725</v>
      </c>
      <c r="D8198" s="2" t="s">
        <v>459</v>
      </c>
      <c r="E8198" s="2"/>
      <c r="F8198" s="2" t="str">
        <f>"9783961104192"</f>
        <v>9783961104192</v>
      </c>
    </row>
    <row r="8199" spans="1:6" s="3" customFormat="1" ht="29.1" customHeight="1" x14ac:dyDescent="0.25">
      <c r="A8199" s="2" t="s">
        <v>17039</v>
      </c>
      <c r="B8199" s="2" t="s">
        <v>17040</v>
      </c>
      <c r="C8199" s="2" t="s">
        <v>3725</v>
      </c>
      <c r="D8199" s="2" t="s">
        <v>459</v>
      </c>
      <c r="E8199" s="2"/>
      <c r="F8199" s="2" t="str">
        <f>"9783961104246"</f>
        <v>9783961104246</v>
      </c>
    </row>
    <row r="8200" spans="1:6" s="3" customFormat="1" ht="29.1" customHeight="1" x14ac:dyDescent="0.25">
      <c r="A8200" s="2" t="s">
        <v>17041</v>
      </c>
      <c r="B8200" s="2" t="s">
        <v>17042</v>
      </c>
      <c r="C8200" s="2" t="s">
        <v>3725</v>
      </c>
      <c r="D8200" s="2" t="s">
        <v>459</v>
      </c>
      <c r="E8200" s="2"/>
      <c r="F8200" s="2" t="str">
        <f>"9783961104116"</f>
        <v>9783961104116</v>
      </c>
    </row>
    <row r="8201" spans="1:6" s="3" customFormat="1" ht="29.1" customHeight="1" x14ac:dyDescent="0.25">
      <c r="A8201" s="2" t="s">
        <v>14904</v>
      </c>
      <c r="B8201" s="2" t="s">
        <v>14905</v>
      </c>
      <c r="C8201" s="2" t="s">
        <v>595</v>
      </c>
      <c r="D8201" s="2" t="s">
        <v>162</v>
      </c>
      <c r="E8201" s="2" t="str">
        <f>"9782807616608"</f>
        <v>9782807616608</v>
      </c>
      <c r="F8201" s="2" t="str">
        <f>"9782807616615"</f>
        <v>9782807616615</v>
      </c>
    </row>
    <row r="8202" spans="1:6" s="3" customFormat="1" ht="29.1" customHeight="1" x14ac:dyDescent="0.25">
      <c r="A8202" s="2" t="s">
        <v>14904</v>
      </c>
      <c r="B8202" s="2" t="s">
        <v>14905</v>
      </c>
      <c r="C8202" s="2" t="s">
        <v>595</v>
      </c>
      <c r="D8202" s="2" t="s">
        <v>162</v>
      </c>
      <c r="E8202" s="2" t="str">
        <f>"9782807612792"</f>
        <v>9782807612792</v>
      </c>
      <c r="F8202" s="2" t="str">
        <f>"9782807612808"</f>
        <v>9782807612808</v>
      </c>
    </row>
    <row r="8203" spans="1:6" s="3" customFormat="1" ht="29.1" customHeight="1" x14ac:dyDescent="0.25">
      <c r="A8203" s="2" t="s">
        <v>17043</v>
      </c>
      <c r="B8203" s="2" t="s">
        <v>17044</v>
      </c>
      <c r="C8203" s="2" t="s">
        <v>595</v>
      </c>
      <c r="D8203" s="2" t="s">
        <v>30</v>
      </c>
      <c r="E8203" s="2"/>
      <c r="F8203" s="2" t="str">
        <f>"9783034338585"</f>
        <v>9783034338585</v>
      </c>
    </row>
    <row r="8204" spans="1:6" s="3" customFormat="1" ht="29.1" customHeight="1" x14ac:dyDescent="0.25">
      <c r="A8204" s="2" t="s">
        <v>17043</v>
      </c>
      <c r="B8204" s="2" t="s">
        <v>17044</v>
      </c>
      <c r="C8204" s="2" t="s">
        <v>595</v>
      </c>
      <c r="D8204" s="2" t="s">
        <v>2404</v>
      </c>
      <c r="E8204" s="2"/>
      <c r="F8204" s="2" t="str">
        <f>"9783034337809"</f>
        <v>9783034337809</v>
      </c>
    </row>
    <row r="8205" spans="1:6" s="3" customFormat="1" ht="29.1" customHeight="1" x14ac:dyDescent="0.25">
      <c r="A8205" s="2" t="s">
        <v>17045</v>
      </c>
      <c r="B8205" s="2" t="s">
        <v>17046</v>
      </c>
      <c r="C8205" s="2" t="s">
        <v>595</v>
      </c>
      <c r="D8205" s="2" t="s">
        <v>1823</v>
      </c>
      <c r="E8205" s="2" t="str">
        <f>"9783631861691"</f>
        <v>9783631861691</v>
      </c>
      <c r="F8205" s="2" t="str">
        <f>"9783631861875"</f>
        <v>9783631861875</v>
      </c>
    </row>
    <row r="8206" spans="1:6" s="3" customFormat="1" ht="29.1" customHeight="1" x14ac:dyDescent="0.25">
      <c r="A8206" s="2" t="s">
        <v>17047</v>
      </c>
      <c r="B8206" s="2" t="s">
        <v>17049</v>
      </c>
      <c r="C8206" s="2" t="s">
        <v>595</v>
      </c>
      <c r="D8206" s="2" t="s">
        <v>17048</v>
      </c>
      <c r="E8206" s="2" t="str">
        <f>"9783034337472"</f>
        <v>9783034337472</v>
      </c>
      <c r="F8206" s="2" t="str">
        <f>"9783034337489"</f>
        <v>9783034337489</v>
      </c>
    </row>
    <row r="8207" spans="1:6" s="3" customFormat="1" ht="29.1" customHeight="1" x14ac:dyDescent="0.25">
      <c r="A8207" s="2" t="s">
        <v>17050</v>
      </c>
      <c r="B8207" s="2" t="s">
        <v>17051</v>
      </c>
      <c r="C8207" s="2" t="s">
        <v>595</v>
      </c>
      <c r="D8207" s="2" t="s">
        <v>8553</v>
      </c>
      <c r="E8207" s="2" t="str">
        <f>"9781789973822"</f>
        <v>9781789973822</v>
      </c>
      <c r="F8207" s="2" t="str">
        <f>"9781789973839"</f>
        <v>9781789973839</v>
      </c>
    </row>
    <row r="8208" spans="1:6" s="3" customFormat="1" ht="29.1" customHeight="1" x14ac:dyDescent="0.25">
      <c r="A8208" s="2" t="s">
        <v>17047</v>
      </c>
      <c r="B8208" s="2" t="s">
        <v>17049</v>
      </c>
      <c r="C8208" s="2" t="s">
        <v>595</v>
      </c>
      <c r="D8208" s="2" t="s">
        <v>17048</v>
      </c>
      <c r="E8208" s="2" t="str">
        <f>"9783034340861"</f>
        <v>9783034340861</v>
      </c>
      <c r="F8208" s="2" t="str">
        <f>"9783034341080"</f>
        <v>9783034341080</v>
      </c>
    </row>
    <row r="8209" spans="1:6" s="3" customFormat="1" ht="29.1" customHeight="1" x14ac:dyDescent="0.25">
      <c r="A8209" s="2" t="s">
        <v>17043</v>
      </c>
      <c r="B8209" s="2" t="s">
        <v>17052</v>
      </c>
      <c r="C8209" s="2" t="s">
        <v>595</v>
      </c>
      <c r="D8209" s="2" t="s">
        <v>682</v>
      </c>
      <c r="E8209" s="2" t="str">
        <f>"9783034334518"</f>
        <v>9783034334518</v>
      </c>
      <c r="F8209" s="2" t="str">
        <f>"9783034337700"</f>
        <v>9783034337700</v>
      </c>
    </row>
    <row r="8210" spans="1:6" s="3" customFormat="1" ht="29.1" customHeight="1" x14ac:dyDescent="0.25">
      <c r="A8210" s="2" t="s">
        <v>17043</v>
      </c>
      <c r="B8210" s="2" t="s">
        <v>17044</v>
      </c>
      <c r="C8210" s="2" t="s">
        <v>595</v>
      </c>
      <c r="D8210" s="2" t="s">
        <v>30</v>
      </c>
      <c r="E8210" s="2"/>
      <c r="F8210" s="2" t="str">
        <f>"9783034338592"</f>
        <v>9783034338592</v>
      </c>
    </row>
    <row r="8211" spans="1:6" s="3" customFormat="1" ht="29.1" customHeight="1" x14ac:dyDescent="0.25">
      <c r="A8211" s="2" t="s">
        <v>17053</v>
      </c>
      <c r="B8211" s="2" t="s">
        <v>17054</v>
      </c>
      <c r="C8211" s="2" t="s">
        <v>595</v>
      </c>
      <c r="D8211" s="2" t="s">
        <v>712</v>
      </c>
      <c r="E8211" s="2" t="str">
        <f>"9783631839744"</f>
        <v>9783631839744</v>
      </c>
      <c r="F8211" s="2" t="str">
        <f>"9783631842683"</f>
        <v>9783631842683</v>
      </c>
    </row>
    <row r="8212" spans="1:6" s="3" customFormat="1" ht="29.1" customHeight="1" x14ac:dyDescent="0.25">
      <c r="A8212" s="2" t="s">
        <v>17055</v>
      </c>
      <c r="B8212" s="2" t="s">
        <v>17056</v>
      </c>
      <c r="C8212" s="2" t="s">
        <v>595</v>
      </c>
      <c r="D8212" s="2" t="s">
        <v>465</v>
      </c>
      <c r="E8212" s="2" t="str">
        <f>"9783631798034"</f>
        <v>9783631798034</v>
      </c>
      <c r="F8212" s="2" t="str">
        <f>"9783631815052"</f>
        <v>9783631815052</v>
      </c>
    </row>
    <row r="8213" spans="1:6" s="3" customFormat="1" ht="29.1" customHeight="1" x14ac:dyDescent="0.25">
      <c r="A8213" s="2" t="s">
        <v>17057</v>
      </c>
      <c r="B8213" s="2" t="s">
        <v>17058</v>
      </c>
      <c r="C8213" s="2" t="s">
        <v>595</v>
      </c>
      <c r="D8213" s="2" t="s">
        <v>758</v>
      </c>
      <c r="E8213" s="2" t="str">
        <f>"9782807617001"</f>
        <v>9782807617001</v>
      </c>
      <c r="F8213" s="2" t="str">
        <f>"9782807617018"</f>
        <v>9782807617018</v>
      </c>
    </row>
    <row r="8214" spans="1:6" s="3" customFormat="1" ht="29.1" customHeight="1" x14ac:dyDescent="0.25">
      <c r="A8214" s="2" t="s">
        <v>17059</v>
      </c>
      <c r="B8214" s="2" t="s">
        <v>17060</v>
      </c>
      <c r="C8214" s="2" t="s">
        <v>595</v>
      </c>
      <c r="D8214" s="2" t="s">
        <v>1416</v>
      </c>
      <c r="E8214" s="2" t="str">
        <f>"9782807616684"</f>
        <v>9782807616684</v>
      </c>
      <c r="F8214" s="2" t="str">
        <f>"9782807616691"</f>
        <v>9782807616691</v>
      </c>
    </row>
    <row r="8215" spans="1:6" s="3" customFormat="1" ht="29.1" customHeight="1" x14ac:dyDescent="0.25">
      <c r="A8215" s="2" t="s">
        <v>17061</v>
      </c>
      <c r="B8215" s="2" t="s">
        <v>17062</v>
      </c>
      <c r="C8215" s="2" t="s">
        <v>595</v>
      </c>
      <c r="D8215" s="2" t="s">
        <v>1416</v>
      </c>
      <c r="E8215" s="2" t="str">
        <f>"9782807616530"</f>
        <v>9782807616530</v>
      </c>
      <c r="F8215" s="2" t="str">
        <f>"9782807616547"</f>
        <v>9782807616547</v>
      </c>
    </row>
    <row r="8216" spans="1:6" s="3" customFormat="1" ht="29.1" customHeight="1" x14ac:dyDescent="0.25">
      <c r="A8216" s="2" t="s">
        <v>17063</v>
      </c>
      <c r="B8216" s="2" t="s">
        <v>17064</v>
      </c>
      <c r="C8216" s="2" t="s">
        <v>595</v>
      </c>
      <c r="D8216" s="2" t="s">
        <v>2005</v>
      </c>
      <c r="E8216" s="2" t="str">
        <f>"9782807615304"</f>
        <v>9782807615304</v>
      </c>
      <c r="F8216" s="2" t="str">
        <f>"9782807615311"</f>
        <v>9782807615311</v>
      </c>
    </row>
    <row r="8217" spans="1:6" s="3" customFormat="1" ht="29.1" customHeight="1" x14ac:dyDescent="0.25">
      <c r="A8217" s="2" t="s">
        <v>16669</v>
      </c>
      <c r="B8217" s="2" t="s">
        <v>16671</v>
      </c>
      <c r="C8217" s="2" t="s">
        <v>595</v>
      </c>
      <c r="D8217" s="2" t="s">
        <v>2648</v>
      </c>
      <c r="E8217" s="2" t="str">
        <f>"9783034336659"</f>
        <v>9783034336659</v>
      </c>
      <c r="F8217" s="2" t="str">
        <f>"9783034346139"</f>
        <v>9783034346139</v>
      </c>
    </row>
    <row r="8218" spans="1:6" s="3" customFormat="1" ht="29.1" customHeight="1" x14ac:dyDescent="0.25">
      <c r="A8218" s="2" t="s">
        <v>17065</v>
      </c>
      <c r="B8218" s="2" t="s">
        <v>17066</v>
      </c>
      <c r="C8218" s="2" t="s">
        <v>595</v>
      </c>
      <c r="D8218" s="2" t="s">
        <v>408</v>
      </c>
      <c r="E8218" s="2" t="str">
        <f>"9783034339070"</f>
        <v>9783034339070</v>
      </c>
      <c r="F8218" s="2" t="str">
        <f>"9783034345910"</f>
        <v>9783034345910</v>
      </c>
    </row>
    <row r="8219" spans="1:6" s="3" customFormat="1" ht="29.1" customHeight="1" x14ac:dyDescent="0.25">
      <c r="A8219" s="2" t="s">
        <v>16669</v>
      </c>
      <c r="B8219" s="2" t="s">
        <v>16671</v>
      </c>
      <c r="C8219" s="2" t="s">
        <v>595</v>
      </c>
      <c r="D8219" s="2" t="s">
        <v>16670</v>
      </c>
      <c r="E8219" s="2" t="str">
        <f>"9783034336666"</f>
        <v>9783034336666</v>
      </c>
      <c r="F8219" s="2" t="str">
        <f>"9783034345330"</f>
        <v>9783034345330</v>
      </c>
    </row>
    <row r="8220" spans="1:6" s="3" customFormat="1" ht="29.1" customHeight="1" x14ac:dyDescent="0.25">
      <c r="A8220" s="2" t="s">
        <v>17067</v>
      </c>
      <c r="B8220" s="2" t="s">
        <v>6469</v>
      </c>
      <c r="C8220" s="2" t="s">
        <v>595</v>
      </c>
      <c r="D8220" s="2" t="s">
        <v>2274</v>
      </c>
      <c r="E8220" s="2" t="str">
        <f>"9783034341783"</f>
        <v>9783034341783</v>
      </c>
      <c r="F8220" s="2" t="str">
        <f>"9783034342223"</f>
        <v>9783034342223</v>
      </c>
    </row>
    <row r="8221" spans="1:6" s="3" customFormat="1" ht="29.1" customHeight="1" x14ac:dyDescent="0.25">
      <c r="A8221" s="2" t="s">
        <v>17068</v>
      </c>
      <c r="B8221" s="2" t="s">
        <v>17069</v>
      </c>
      <c r="C8221" s="2" t="s">
        <v>595</v>
      </c>
      <c r="D8221" s="2" t="s">
        <v>1416</v>
      </c>
      <c r="E8221" s="2" t="str">
        <f>"9783034339988"</f>
        <v>9783034339988</v>
      </c>
      <c r="F8221" s="2" t="str">
        <f>"9783034339995"</f>
        <v>9783034339995</v>
      </c>
    </row>
    <row r="8222" spans="1:6" s="3" customFormat="1" ht="29.1" customHeight="1" x14ac:dyDescent="0.25">
      <c r="A8222" s="2" t="s">
        <v>17070</v>
      </c>
      <c r="B8222" s="2" t="s">
        <v>17071</v>
      </c>
      <c r="C8222" s="2" t="s">
        <v>595</v>
      </c>
      <c r="D8222" s="2" t="s">
        <v>855</v>
      </c>
      <c r="E8222" s="2" t="str">
        <f>"9783034339186"</f>
        <v>9783034339186</v>
      </c>
      <c r="F8222" s="2" t="str">
        <f>"9783034339872"</f>
        <v>9783034339872</v>
      </c>
    </row>
    <row r="8223" spans="1:6" s="3" customFormat="1" ht="29.1" customHeight="1" x14ac:dyDescent="0.25">
      <c r="A8223" s="2" t="s">
        <v>17072</v>
      </c>
      <c r="B8223" s="2" t="s">
        <v>17073</v>
      </c>
      <c r="C8223" s="2" t="s">
        <v>595</v>
      </c>
      <c r="D8223" s="2" t="s">
        <v>210</v>
      </c>
      <c r="E8223" s="2" t="str">
        <f>"9783034338219"</f>
        <v>9783034338219</v>
      </c>
      <c r="F8223" s="2" t="str">
        <f>"9783034339803"</f>
        <v>9783034339803</v>
      </c>
    </row>
    <row r="8224" spans="1:6" s="3" customFormat="1" ht="29.1" customHeight="1" x14ac:dyDescent="0.25">
      <c r="A8224" s="2" t="s">
        <v>17074</v>
      </c>
      <c r="B8224" s="2" t="s">
        <v>17075</v>
      </c>
      <c r="C8224" s="2" t="s">
        <v>595</v>
      </c>
      <c r="D8224" s="2" t="s">
        <v>459</v>
      </c>
      <c r="E8224" s="2" t="str">
        <f>"9783034339384"</f>
        <v>9783034339384</v>
      </c>
      <c r="F8224" s="2" t="str">
        <f>"9783034339766"</f>
        <v>9783034339766</v>
      </c>
    </row>
    <row r="8225" spans="1:6" s="3" customFormat="1" ht="29.1" customHeight="1" x14ac:dyDescent="0.25">
      <c r="A8225" s="2" t="s">
        <v>17076</v>
      </c>
      <c r="B8225" s="2" t="s">
        <v>17077</v>
      </c>
      <c r="C8225" s="2" t="s">
        <v>595</v>
      </c>
      <c r="D8225" s="2" t="s">
        <v>4517</v>
      </c>
      <c r="E8225" s="2" t="str">
        <f>"9783034339650"</f>
        <v>9783034339650</v>
      </c>
      <c r="F8225" s="2" t="str">
        <f>"9783034339667"</f>
        <v>9783034339667</v>
      </c>
    </row>
    <row r="8226" spans="1:6" s="3" customFormat="1" ht="29.1" customHeight="1" x14ac:dyDescent="0.25">
      <c r="A8226" s="2" t="s">
        <v>17078</v>
      </c>
      <c r="B8226" s="2" t="s">
        <v>17079</v>
      </c>
      <c r="C8226" s="2" t="s">
        <v>595</v>
      </c>
      <c r="D8226" s="2" t="s">
        <v>446</v>
      </c>
      <c r="E8226" s="2" t="str">
        <f>"9783034337717"</f>
        <v>9783034337717</v>
      </c>
      <c r="F8226" s="2" t="str">
        <f>"9783034339469"</f>
        <v>9783034339469</v>
      </c>
    </row>
    <row r="8227" spans="1:6" s="3" customFormat="1" ht="29.1" customHeight="1" x14ac:dyDescent="0.25">
      <c r="A8227" s="2" t="s">
        <v>17080</v>
      </c>
      <c r="B8227" s="2" t="s">
        <v>17081</v>
      </c>
      <c r="C8227" s="2" t="s">
        <v>595</v>
      </c>
      <c r="D8227" s="2" t="s">
        <v>183</v>
      </c>
      <c r="E8227" s="2" t="str">
        <f>"9783034337991"</f>
        <v>9783034337991</v>
      </c>
      <c r="F8227" s="2" t="str">
        <f>"9783034338844"</f>
        <v>9783034338844</v>
      </c>
    </row>
    <row r="8228" spans="1:6" s="3" customFormat="1" ht="29.1" customHeight="1" x14ac:dyDescent="0.25">
      <c r="A8228" s="2" t="s">
        <v>16669</v>
      </c>
      <c r="B8228" s="2" t="s">
        <v>17082</v>
      </c>
      <c r="C8228" s="2" t="s">
        <v>595</v>
      </c>
      <c r="D8228" s="2" t="s">
        <v>446</v>
      </c>
      <c r="E8228" s="2" t="str">
        <f>"9783034338363"</f>
        <v>9783034338363</v>
      </c>
      <c r="F8228" s="2" t="str">
        <f>"9783034338325"</f>
        <v>9783034338325</v>
      </c>
    </row>
    <row r="8229" spans="1:6" s="3" customFormat="1" ht="29.1" customHeight="1" x14ac:dyDescent="0.25">
      <c r="A8229" s="2" t="s">
        <v>17083</v>
      </c>
      <c r="B8229" s="2" t="s">
        <v>17084</v>
      </c>
      <c r="C8229" s="2" t="s">
        <v>595</v>
      </c>
      <c r="D8229" s="2" t="s">
        <v>270</v>
      </c>
      <c r="E8229" s="2" t="str">
        <f>"9783034338288"</f>
        <v>9783034338288</v>
      </c>
      <c r="F8229" s="2" t="str">
        <f>"9783034338295"</f>
        <v>9783034338295</v>
      </c>
    </row>
    <row r="8230" spans="1:6" s="3" customFormat="1" ht="29.1" customHeight="1" x14ac:dyDescent="0.25">
      <c r="A8230" s="2" t="s">
        <v>17085</v>
      </c>
      <c r="B8230" s="2" t="s">
        <v>17086</v>
      </c>
      <c r="C8230" s="2" t="s">
        <v>595</v>
      </c>
      <c r="D8230" s="2" t="s">
        <v>682</v>
      </c>
      <c r="E8230" s="2" t="str">
        <f>"9783034335171"</f>
        <v>9783034335171</v>
      </c>
      <c r="F8230" s="2" t="str">
        <f>"9783034338257"</f>
        <v>9783034338257</v>
      </c>
    </row>
    <row r="8231" spans="1:6" s="3" customFormat="1" ht="29.1" customHeight="1" x14ac:dyDescent="0.25">
      <c r="A8231" s="2" t="s">
        <v>17087</v>
      </c>
      <c r="B8231" s="2" t="s">
        <v>17088</v>
      </c>
      <c r="C8231" s="2" t="s">
        <v>595</v>
      </c>
      <c r="D8231" s="2" t="s">
        <v>2462</v>
      </c>
      <c r="E8231" s="2" t="str">
        <f>"9783034338172"</f>
        <v>9783034338172</v>
      </c>
      <c r="F8231" s="2" t="str">
        <f>"9783034338189"</f>
        <v>9783034338189</v>
      </c>
    </row>
    <row r="8232" spans="1:6" s="3" customFormat="1" ht="29.1" customHeight="1" x14ac:dyDescent="0.25">
      <c r="A8232" s="2" t="s">
        <v>17089</v>
      </c>
      <c r="B8232" s="2" t="s">
        <v>17090</v>
      </c>
      <c r="C8232" s="2" t="s">
        <v>595</v>
      </c>
      <c r="D8232" s="2" t="s">
        <v>92</v>
      </c>
      <c r="E8232" s="2" t="str">
        <f>"9783034337274"</f>
        <v>9783034337274</v>
      </c>
      <c r="F8232" s="2" t="str">
        <f>"9783034337731"</f>
        <v>9783034337731</v>
      </c>
    </row>
    <row r="8233" spans="1:6" s="3" customFormat="1" ht="29.1" customHeight="1" x14ac:dyDescent="0.25">
      <c r="A8233" s="2" t="s">
        <v>17091</v>
      </c>
      <c r="B8233" s="2" t="s">
        <v>17092</v>
      </c>
      <c r="C8233" s="2" t="s">
        <v>595</v>
      </c>
      <c r="D8233" s="2" t="s">
        <v>525</v>
      </c>
      <c r="E8233" s="2" t="str">
        <f>"9783034336963"</f>
        <v>9783034336963</v>
      </c>
      <c r="F8233" s="2" t="str">
        <f>"9783034336970"</f>
        <v>9783034336970</v>
      </c>
    </row>
    <row r="8234" spans="1:6" s="3" customFormat="1" ht="29.1" customHeight="1" x14ac:dyDescent="0.25">
      <c r="A8234" s="2" t="s">
        <v>17093</v>
      </c>
      <c r="B8234" s="2" t="s">
        <v>17095</v>
      </c>
      <c r="C8234" s="2" t="s">
        <v>595</v>
      </c>
      <c r="D8234" s="2" t="s">
        <v>17094</v>
      </c>
      <c r="E8234" s="2" t="str">
        <f>"9781433168499"</f>
        <v>9781433168499</v>
      </c>
      <c r="F8234" s="2" t="str">
        <f>"9781433168505"</f>
        <v>9781433168505</v>
      </c>
    </row>
    <row r="8235" spans="1:6" s="3" customFormat="1" ht="29.1" customHeight="1" x14ac:dyDescent="0.25">
      <c r="A8235" s="2" t="s">
        <v>17096</v>
      </c>
      <c r="B8235" s="2" t="s">
        <v>17097</v>
      </c>
      <c r="C8235" s="2" t="s">
        <v>595</v>
      </c>
      <c r="D8235" s="2" t="s">
        <v>712</v>
      </c>
      <c r="E8235" s="2" t="str">
        <f>"9781433166914"</f>
        <v>9781433166914</v>
      </c>
      <c r="F8235" s="2" t="str">
        <f>"9781433166938"</f>
        <v>9781433166938</v>
      </c>
    </row>
    <row r="8236" spans="1:6" s="3" customFormat="1" ht="29.1" customHeight="1" x14ac:dyDescent="0.25">
      <c r="A8236" s="2" t="s">
        <v>17098</v>
      </c>
      <c r="B8236" s="2" t="s">
        <v>17100</v>
      </c>
      <c r="C8236" s="2" t="s">
        <v>595</v>
      </c>
      <c r="D8236" s="2" t="s">
        <v>17099</v>
      </c>
      <c r="E8236" s="2" t="str">
        <f>"9783631826003"</f>
        <v>9783631826003</v>
      </c>
      <c r="F8236" s="2" t="str">
        <f>"9783631881439"</f>
        <v>9783631881439</v>
      </c>
    </row>
    <row r="8237" spans="1:6" s="3" customFormat="1" ht="29.1" customHeight="1" x14ac:dyDescent="0.25">
      <c r="A8237" s="2" t="s">
        <v>17101</v>
      </c>
      <c r="B8237" s="2" t="s">
        <v>17102</v>
      </c>
      <c r="C8237" s="2" t="s">
        <v>595</v>
      </c>
      <c r="D8237" s="2" t="s">
        <v>1256</v>
      </c>
      <c r="E8237" s="2" t="str">
        <f>"9783631856673"</f>
        <v>9783631856673</v>
      </c>
      <c r="F8237" s="2" t="str">
        <f>"9783631867709"</f>
        <v>9783631867709</v>
      </c>
    </row>
    <row r="8238" spans="1:6" s="3" customFormat="1" ht="29.1" customHeight="1" x14ac:dyDescent="0.25">
      <c r="A8238" s="2" t="s">
        <v>17103</v>
      </c>
      <c r="B8238" s="2" t="s">
        <v>17104</v>
      </c>
      <c r="C8238" s="2" t="s">
        <v>595</v>
      </c>
      <c r="D8238" s="2" t="s">
        <v>2713</v>
      </c>
      <c r="E8238" s="2" t="str">
        <f>"9783631814215"</f>
        <v>9783631814215</v>
      </c>
      <c r="F8238" s="2" t="str">
        <f>"9783631867013"</f>
        <v>9783631867013</v>
      </c>
    </row>
    <row r="8239" spans="1:6" s="3" customFormat="1" ht="29.1" customHeight="1" x14ac:dyDescent="0.25">
      <c r="A8239" s="2" t="s">
        <v>17105</v>
      </c>
      <c r="B8239" s="2" t="s">
        <v>17106</v>
      </c>
      <c r="C8239" s="2" t="s">
        <v>595</v>
      </c>
      <c r="D8239" s="2" t="s">
        <v>8199</v>
      </c>
      <c r="E8239" s="2" t="str">
        <f>"9783631862018"</f>
        <v>9783631862018</v>
      </c>
      <c r="F8239" s="2" t="str">
        <f>"9783631864784"</f>
        <v>9783631864784</v>
      </c>
    </row>
    <row r="8240" spans="1:6" s="3" customFormat="1" ht="29.1" customHeight="1" x14ac:dyDescent="0.25">
      <c r="A8240" s="2" t="s">
        <v>17107</v>
      </c>
      <c r="B8240" s="2" t="s">
        <v>17108</v>
      </c>
      <c r="C8240" s="2" t="s">
        <v>595</v>
      </c>
      <c r="D8240" s="2" t="s">
        <v>2749</v>
      </c>
      <c r="E8240" s="2" t="str">
        <f>"9783631830574"</f>
        <v>9783631830574</v>
      </c>
      <c r="F8240" s="2" t="str">
        <f>"9783631862261"</f>
        <v>9783631862261</v>
      </c>
    </row>
    <row r="8241" spans="1:6" s="3" customFormat="1" ht="29.1" customHeight="1" x14ac:dyDescent="0.25">
      <c r="A8241" s="2" t="s">
        <v>17109</v>
      </c>
      <c r="B8241" s="2" t="s">
        <v>17110</v>
      </c>
      <c r="C8241" s="2" t="s">
        <v>595</v>
      </c>
      <c r="D8241" s="2" t="s">
        <v>1025</v>
      </c>
      <c r="E8241" s="2" t="str">
        <f>"9783631833704"</f>
        <v>9783631833704</v>
      </c>
      <c r="F8241" s="2" t="str">
        <f>"9783631861479"</f>
        <v>9783631861479</v>
      </c>
    </row>
    <row r="8242" spans="1:6" s="3" customFormat="1" ht="29.1" customHeight="1" x14ac:dyDescent="0.25">
      <c r="A8242" s="2" t="s">
        <v>17111</v>
      </c>
      <c r="B8242" s="2" t="s">
        <v>17112</v>
      </c>
      <c r="C8242" s="2" t="s">
        <v>595</v>
      </c>
      <c r="D8242" s="2" t="s">
        <v>17099</v>
      </c>
      <c r="E8242" s="2" t="str">
        <f>"9783631778425"</f>
        <v>9783631778425</v>
      </c>
      <c r="F8242" s="2" t="str">
        <f>"9783631856130"</f>
        <v>9783631856130</v>
      </c>
    </row>
    <row r="8243" spans="1:6" s="3" customFormat="1" ht="29.1" customHeight="1" x14ac:dyDescent="0.25">
      <c r="A8243" s="2" t="s">
        <v>17113</v>
      </c>
      <c r="B8243" s="2" t="s">
        <v>17114</v>
      </c>
      <c r="C8243" s="2" t="s">
        <v>595</v>
      </c>
      <c r="D8243" s="2" t="s">
        <v>818</v>
      </c>
      <c r="E8243" s="2" t="str">
        <f>"9783631850527"</f>
        <v>9783631850527</v>
      </c>
      <c r="F8243" s="2" t="str">
        <f>"9783631855362"</f>
        <v>9783631855362</v>
      </c>
    </row>
    <row r="8244" spans="1:6" s="3" customFormat="1" ht="29.1" customHeight="1" x14ac:dyDescent="0.25">
      <c r="A8244" s="2" t="s">
        <v>17115</v>
      </c>
      <c r="B8244" s="2" t="s">
        <v>17116</v>
      </c>
      <c r="C8244" s="2" t="s">
        <v>595</v>
      </c>
      <c r="D8244" s="2" t="s">
        <v>270</v>
      </c>
      <c r="E8244" s="2" t="str">
        <f>"9783631837078"</f>
        <v>9783631837078</v>
      </c>
      <c r="F8244" s="2" t="str">
        <f>"9783631854969"</f>
        <v>9783631854969</v>
      </c>
    </row>
    <row r="8245" spans="1:6" s="3" customFormat="1" ht="29.1" customHeight="1" x14ac:dyDescent="0.25">
      <c r="A8245" s="2" t="s">
        <v>17117</v>
      </c>
      <c r="B8245" s="2" t="s">
        <v>17118</v>
      </c>
      <c r="C8245" s="2" t="s">
        <v>595</v>
      </c>
      <c r="D8245" s="2" t="s">
        <v>2713</v>
      </c>
      <c r="E8245" s="2" t="str">
        <f>"9783631797112"</f>
        <v>9783631797112</v>
      </c>
      <c r="F8245" s="2" t="str">
        <f>"9783631854174"</f>
        <v>9783631854174</v>
      </c>
    </row>
    <row r="8246" spans="1:6" s="3" customFormat="1" ht="29.1" customHeight="1" x14ac:dyDescent="0.25">
      <c r="A8246" s="2" t="s">
        <v>17119</v>
      </c>
      <c r="B8246" s="2" t="s">
        <v>17120</v>
      </c>
      <c r="C8246" s="2" t="s">
        <v>595</v>
      </c>
      <c r="D8246" s="2" t="s">
        <v>15514</v>
      </c>
      <c r="E8246" s="2" t="str">
        <f>"9783631829868"</f>
        <v>9783631829868</v>
      </c>
      <c r="F8246" s="2" t="str">
        <f>"9783631847312"</f>
        <v>9783631847312</v>
      </c>
    </row>
    <row r="8247" spans="1:6" s="3" customFormat="1" ht="29.1" customHeight="1" x14ac:dyDescent="0.25">
      <c r="A8247" s="2" t="s">
        <v>17121</v>
      </c>
      <c r="B8247" s="2" t="s">
        <v>17122</v>
      </c>
      <c r="C8247" s="2" t="s">
        <v>595</v>
      </c>
      <c r="D8247" s="2" t="s">
        <v>4789</v>
      </c>
      <c r="E8247" s="2" t="str">
        <f>"9783631837801"</f>
        <v>9783631837801</v>
      </c>
      <c r="F8247" s="2" t="str">
        <f>"9783631843499"</f>
        <v>9783631843499</v>
      </c>
    </row>
    <row r="8248" spans="1:6" s="3" customFormat="1" ht="29.1" customHeight="1" x14ac:dyDescent="0.25">
      <c r="A8248" s="2" t="s">
        <v>17123</v>
      </c>
      <c r="B8248" s="2" t="s">
        <v>17124</v>
      </c>
      <c r="C8248" s="2" t="s">
        <v>595</v>
      </c>
      <c r="D8248" s="2" t="s">
        <v>8788</v>
      </c>
      <c r="E8248" s="2" t="str">
        <f>"9783631838068"</f>
        <v>9783631838068</v>
      </c>
      <c r="F8248" s="2" t="str">
        <f>"9783631838907"</f>
        <v>9783631838907</v>
      </c>
    </row>
    <row r="8249" spans="1:6" s="3" customFormat="1" ht="29.1" customHeight="1" x14ac:dyDescent="0.25">
      <c r="A8249" s="2" t="s">
        <v>17125</v>
      </c>
      <c r="B8249" s="2" t="s">
        <v>17126</v>
      </c>
      <c r="C8249" s="2" t="s">
        <v>595</v>
      </c>
      <c r="D8249" s="2" t="s">
        <v>1141</v>
      </c>
      <c r="E8249" s="2" t="str">
        <f>"9783631797341"</f>
        <v>9783631797341</v>
      </c>
      <c r="F8249" s="2" t="str">
        <f>"9783631835975"</f>
        <v>9783631835975</v>
      </c>
    </row>
    <row r="8250" spans="1:6" s="3" customFormat="1" ht="29.1" customHeight="1" x14ac:dyDescent="0.25">
      <c r="A8250" s="2" t="s">
        <v>17127</v>
      </c>
      <c r="B8250" s="2" t="s">
        <v>17128</v>
      </c>
      <c r="C8250" s="2" t="s">
        <v>595</v>
      </c>
      <c r="D8250" s="2" t="s">
        <v>210</v>
      </c>
      <c r="E8250" s="2" t="str">
        <f>"9783631818299"</f>
        <v>9783631818299</v>
      </c>
      <c r="F8250" s="2" t="str">
        <f>"9783631829653"</f>
        <v>9783631829653</v>
      </c>
    </row>
    <row r="8251" spans="1:6" s="3" customFormat="1" ht="29.1" customHeight="1" x14ac:dyDescent="0.25">
      <c r="A8251" s="2" t="s">
        <v>17129</v>
      </c>
      <c r="B8251" s="2" t="s">
        <v>17130</v>
      </c>
      <c r="C8251" s="2" t="s">
        <v>595</v>
      </c>
      <c r="D8251" s="2" t="s">
        <v>2602</v>
      </c>
      <c r="E8251" s="2" t="str">
        <f>"9783631790403"</f>
        <v>9783631790403</v>
      </c>
      <c r="F8251" s="2" t="str">
        <f>"9783631827475"</f>
        <v>9783631827475</v>
      </c>
    </row>
    <row r="8252" spans="1:6" s="3" customFormat="1" ht="29.1" customHeight="1" x14ac:dyDescent="0.25">
      <c r="A8252" s="2" t="s">
        <v>17131</v>
      </c>
      <c r="B8252" s="2" t="s">
        <v>17132</v>
      </c>
      <c r="C8252" s="2" t="s">
        <v>595</v>
      </c>
      <c r="D8252" s="2" t="s">
        <v>2810</v>
      </c>
      <c r="E8252" s="2" t="str">
        <f>"9783631804261"</f>
        <v>9783631804261</v>
      </c>
      <c r="F8252" s="2" t="str">
        <f>"9783631827383"</f>
        <v>9783631827383</v>
      </c>
    </row>
    <row r="8253" spans="1:6" s="3" customFormat="1" ht="29.1" customHeight="1" x14ac:dyDescent="0.25">
      <c r="A8253" s="2" t="s">
        <v>17133</v>
      </c>
      <c r="B8253" s="2" t="s">
        <v>17134</v>
      </c>
      <c r="C8253" s="2" t="s">
        <v>595</v>
      </c>
      <c r="D8253" s="2" t="s">
        <v>81</v>
      </c>
      <c r="E8253" s="2" t="str">
        <f>"9783631819920"</f>
        <v>9783631819920</v>
      </c>
      <c r="F8253" s="2" t="str">
        <f>"9783631823262"</f>
        <v>9783631823262</v>
      </c>
    </row>
    <row r="8254" spans="1:6" s="3" customFormat="1" ht="29.1" customHeight="1" x14ac:dyDescent="0.25">
      <c r="A8254" s="2" t="s">
        <v>17135</v>
      </c>
      <c r="B8254" s="2" t="s">
        <v>17136</v>
      </c>
      <c r="C8254" s="2" t="s">
        <v>595</v>
      </c>
      <c r="D8254" s="2" t="s">
        <v>3993</v>
      </c>
      <c r="E8254" s="2" t="str">
        <f>"9783631812686"</f>
        <v>9783631812686</v>
      </c>
      <c r="F8254" s="2" t="str">
        <f>"9783631819630"</f>
        <v>9783631819630</v>
      </c>
    </row>
    <row r="8255" spans="1:6" s="3" customFormat="1" ht="29.1" customHeight="1" x14ac:dyDescent="0.25">
      <c r="A8255" s="2" t="s">
        <v>17137</v>
      </c>
      <c r="B8255" s="2" t="s">
        <v>17138</v>
      </c>
      <c r="C8255" s="2" t="s">
        <v>595</v>
      </c>
      <c r="D8255" s="2" t="s">
        <v>210</v>
      </c>
      <c r="E8255" s="2" t="str">
        <f>"9783631793169"</f>
        <v>9783631793169</v>
      </c>
      <c r="F8255" s="2" t="str">
        <f>"9783631818695"</f>
        <v>9783631818695</v>
      </c>
    </row>
    <row r="8256" spans="1:6" s="3" customFormat="1" ht="29.1" customHeight="1" x14ac:dyDescent="0.25">
      <c r="A8256" s="2" t="s">
        <v>17139</v>
      </c>
      <c r="B8256" s="2" t="s">
        <v>17140</v>
      </c>
      <c r="C8256" s="2" t="s">
        <v>595</v>
      </c>
      <c r="D8256" s="2" t="s">
        <v>413</v>
      </c>
      <c r="E8256" s="2" t="str">
        <f>"9783631799512"</f>
        <v>9783631799512</v>
      </c>
      <c r="F8256" s="2" t="str">
        <f>"9783631813300"</f>
        <v>9783631813300</v>
      </c>
    </row>
    <row r="8257" spans="1:6" s="3" customFormat="1" ht="29.1" customHeight="1" x14ac:dyDescent="0.25">
      <c r="A8257" s="2" t="s">
        <v>17141</v>
      </c>
      <c r="B8257" s="2" t="s">
        <v>17142</v>
      </c>
      <c r="C8257" s="2" t="s">
        <v>595</v>
      </c>
      <c r="D8257" s="2" t="s">
        <v>1256</v>
      </c>
      <c r="E8257" s="2" t="str">
        <f>"9783631800638"</f>
        <v>9783631800638</v>
      </c>
      <c r="F8257" s="2" t="str">
        <f>"9783631812419"</f>
        <v>9783631812419</v>
      </c>
    </row>
    <row r="8258" spans="1:6" s="3" customFormat="1" ht="29.1" customHeight="1" x14ac:dyDescent="0.25">
      <c r="A8258" s="2" t="s">
        <v>17143</v>
      </c>
      <c r="B8258" s="2" t="s">
        <v>17144</v>
      </c>
      <c r="C8258" s="2" t="s">
        <v>595</v>
      </c>
      <c r="D8258" s="2" t="s">
        <v>1141</v>
      </c>
      <c r="E8258" s="2" t="str">
        <f>"9783631806005"</f>
        <v>9783631806005</v>
      </c>
      <c r="F8258" s="2" t="str">
        <f>"9783631812112"</f>
        <v>9783631812112</v>
      </c>
    </row>
    <row r="8259" spans="1:6" s="3" customFormat="1" ht="29.1" customHeight="1" x14ac:dyDescent="0.25">
      <c r="A8259" s="2" t="s">
        <v>17145</v>
      </c>
      <c r="B8259" s="2" t="s">
        <v>17146</v>
      </c>
      <c r="C8259" s="2" t="s">
        <v>595</v>
      </c>
      <c r="D8259" s="2" t="s">
        <v>15901</v>
      </c>
      <c r="E8259" s="2" t="str">
        <f>"9783631807651"</f>
        <v>9783631807651</v>
      </c>
      <c r="F8259" s="2" t="str">
        <f>"9783631810545"</f>
        <v>9783631810545</v>
      </c>
    </row>
    <row r="8260" spans="1:6" s="3" customFormat="1" ht="29.1" customHeight="1" x14ac:dyDescent="0.25">
      <c r="A8260" s="2" t="s">
        <v>17147</v>
      </c>
      <c r="B8260" s="2" t="s">
        <v>17148</v>
      </c>
      <c r="C8260" s="2" t="s">
        <v>595</v>
      </c>
      <c r="D8260" s="2" t="s">
        <v>1402</v>
      </c>
      <c r="E8260" s="2" t="str">
        <f>"9783631784273"</f>
        <v>9783631784273</v>
      </c>
      <c r="F8260" s="2" t="str">
        <f>"9783631790236"</f>
        <v>9783631790236</v>
      </c>
    </row>
    <row r="8261" spans="1:6" s="3" customFormat="1" ht="29.1" customHeight="1" x14ac:dyDescent="0.25">
      <c r="A8261" s="2" t="s">
        <v>17149</v>
      </c>
      <c r="B8261" s="2" t="s">
        <v>17150</v>
      </c>
      <c r="C8261" s="2" t="s">
        <v>595</v>
      </c>
      <c r="D8261" s="2" t="s">
        <v>168</v>
      </c>
      <c r="E8261" s="2" t="str">
        <f>"9783631780657"</f>
        <v>9783631780657</v>
      </c>
      <c r="F8261" s="2" t="str">
        <f>"9783631786208"</f>
        <v>9783631786208</v>
      </c>
    </row>
    <row r="8262" spans="1:6" s="3" customFormat="1" ht="29.1" customHeight="1" x14ac:dyDescent="0.25">
      <c r="A8262" s="2" t="s">
        <v>17151</v>
      </c>
      <c r="B8262" s="2" t="s">
        <v>17152</v>
      </c>
      <c r="C8262" s="2" t="s">
        <v>595</v>
      </c>
      <c r="D8262" s="2" t="s">
        <v>81</v>
      </c>
      <c r="E8262" s="2" t="str">
        <f>"9783631779705"</f>
        <v>9783631779705</v>
      </c>
      <c r="F8262" s="2" t="str">
        <f>"9783631785003"</f>
        <v>9783631785003</v>
      </c>
    </row>
    <row r="8263" spans="1:6" s="3" customFormat="1" ht="29.1" customHeight="1" x14ac:dyDescent="0.25">
      <c r="A8263" s="2" t="s">
        <v>17153</v>
      </c>
      <c r="B8263" s="2" t="s">
        <v>17154</v>
      </c>
      <c r="C8263" s="2" t="s">
        <v>595</v>
      </c>
      <c r="D8263" s="2" t="s">
        <v>81</v>
      </c>
      <c r="E8263" s="2" t="str">
        <f>"9783631780053"</f>
        <v>9783631780053</v>
      </c>
      <c r="F8263" s="2" t="str">
        <f>"9783631782378"</f>
        <v>9783631782378</v>
      </c>
    </row>
    <row r="8264" spans="1:6" s="3" customFormat="1" ht="29.1" customHeight="1" x14ac:dyDescent="0.25">
      <c r="A8264" s="2" t="s">
        <v>17155</v>
      </c>
      <c r="B8264" s="2" t="s">
        <v>17156</v>
      </c>
      <c r="C8264" s="2" t="s">
        <v>595</v>
      </c>
      <c r="D8264" s="2" t="s">
        <v>10810</v>
      </c>
      <c r="E8264" s="2" t="str">
        <f>"9783631630594"</f>
        <v>9783631630594</v>
      </c>
      <c r="F8264" s="2" t="str">
        <f>"9783631781562"</f>
        <v>9783631781562</v>
      </c>
    </row>
    <row r="8265" spans="1:6" s="3" customFormat="1" ht="29.1" customHeight="1" x14ac:dyDescent="0.25">
      <c r="A8265" s="2" t="s">
        <v>17157</v>
      </c>
      <c r="B8265" s="2" t="s">
        <v>17158</v>
      </c>
      <c r="C8265" s="2" t="s">
        <v>595</v>
      </c>
      <c r="D8265" s="2" t="s">
        <v>446</v>
      </c>
      <c r="E8265" s="2" t="str">
        <f>"9783631589540"</f>
        <v>9783631589540</v>
      </c>
      <c r="F8265" s="2" t="str">
        <f>"9783631774045"</f>
        <v>9783631774045</v>
      </c>
    </row>
    <row r="8266" spans="1:6" s="3" customFormat="1" ht="29.1" customHeight="1" x14ac:dyDescent="0.25">
      <c r="A8266" s="2" t="s">
        <v>17159</v>
      </c>
      <c r="B8266" s="2" t="s">
        <v>17160</v>
      </c>
      <c r="C8266" s="2" t="s">
        <v>149</v>
      </c>
      <c r="D8266" s="2" t="s">
        <v>11426</v>
      </c>
      <c r="E8266" s="2"/>
      <c r="F8266" s="2" t="str">
        <f>"9781805110750"</f>
        <v>9781805110750</v>
      </c>
    </row>
    <row r="8267" spans="1:6" s="3" customFormat="1" ht="29.1" customHeight="1" x14ac:dyDescent="0.25">
      <c r="A8267" s="2" t="s">
        <v>17161</v>
      </c>
      <c r="B8267" s="2" t="s">
        <v>17162</v>
      </c>
      <c r="C8267" s="2" t="s">
        <v>149</v>
      </c>
      <c r="D8267" s="2" t="s">
        <v>3852</v>
      </c>
      <c r="E8267" s="2"/>
      <c r="F8267" s="2" t="str">
        <f>"9781800649859"</f>
        <v>9781800649859</v>
      </c>
    </row>
    <row r="8268" spans="1:6" s="3" customFormat="1" ht="29.1" customHeight="1" x14ac:dyDescent="0.25">
      <c r="A8268" s="2" t="s">
        <v>17163</v>
      </c>
      <c r="B8268" s="2" t="s">
        <v>17164</v>
      </c>
      <c r="C8268" s="2" t="s">
        <v>149</v>
      </c>
      <c r="D8268" s="2" t="s">
        <v>1801</v>
      </c>
      <c r="E8268" s="2"/>
      <c r="F8268" s="2" t="str">
        <f>"9781805111603"</f>
        <v>9781805111603</v>
      </c>
    </row>
    <row r="8269" spans="1:6" s="3" customFormat="1" ht="29.1" customHeight="1" x14ac:dyDescent="0.25">
      <c r="A8269" s="2" t="s">
        <v>17165</v>
      </c>
      <c r="B8269" s="2" t="s">
        <v>17166</v>
      </c>
      <c r="C8269" s="2" t="s">
        <v>149</v>
      </c>
      <c r="D8269" s="2" t="s">
        <v>1883</v>
      </c>
      <c r="E8269" s="2"/>
      <c r="F8269" s="2" t="str">
        <f>"9781800648869"</f>
        <v>9781800648869</v>
      </c>
    </row>
    <row r="8270" spans="1:6" s="3" customFormat="1" ht="29.1" customHeight="1" x14ac:dyDescent="0.25">
      <c r="A8270" s="2" t="s">
        <v>17167</v>
      </c>
      <c r="B8270" s="2" t="s">
        <v>17168</v>
      </c>
      <c r="C8270" s="2" t="s">
        <v>29</v>
      </c>
      <c r="D8270" s="2" t="s">
        <v>215</v>
      </c>
      <c r="E8270" s="2" t="str">
        <f>"9783770566440"</f>
        <v>9783770566440</v>
      </c>
      <c r="F8270" s="2" t="str">
        <f>"9783846766446"</f>
        <v>9783846766446</v>
      </c>
    </row>
    <row r="8271" spans="1:6" s="3" customFormat="1" ht="29.1" customHeight="1" x14ac:dyDescent="0.25">
      <c r="A8271" s="2" t="s">
        <v>17169</v>
      </c>
      <c r="B8271" s="2" t="s">
        <v>17170</v>
      </c>
      <c r="C8271" s="2" t="s">
        <v>36</v>
      </c>
      <c r="D8271" s="2" t="s">
        <v>791</v>
      </c>
      <c r="E8271" s="2" t="str">
        <f>"9781529235289"</f>
        <v>9781529235289</v>
      </c>
      <c r="F8271" s="2" t="str">
        <f>"9781529235319"</f>
        <v>9781529235319</v>
      </c>
    </row>
    <row r="8272" spans="1:6" s="3" customFormat="1" ht="29.1" customHeight="1" x14ac:dyDescent="0.25">
      <c r="A8272" s="2" t="s">
        <v>17171</v>
      </c>
      <c r="B8272" s="2" t="s">
        <v>17172</v>
      </c>
      <c r="C8272" s="2" t="s">
        <v>131</v>
      </c>
      <c r="D8272" s="2" t="s">
        <v>459</v>
      </c>
      <c r="E8272" s="2" t="str">
        <f>"9789027214409"</f>
        <v>9789027214409</v>
      </c>
      <c r="F8272" s="2" t="str">
        <f>"9789027249227"</f>
        <v>9789027249227</v>
      </c>
    </row>
    <row r="8273" spans="1:6" s="3" customFormat="1" ht="29.1" customHeight="1" x14ac:dyDescent="0.25">
      <c r="A8273" s="2" t="s">
        <v>17173</v>
      </c>
      <c r="B8273" s="2" t="s">
        <v>17174</v>
      </c>
      <c r="C8273" s="2" t="s">
        <v>62</v>
      </c>
      <c r="D8273" s="2" t="s">
        <v>107</v>
      </c>
      <c r="E8273" s="2" t="str">
        <f>"9783428109296"</f>
        <v>9783428109296</v>
      </c>
      <c r="F8273" s="2" t="str">
        <f>"9783428509294"</f>
        <v>9783428509294</v>
      </c>
    </row>
    <row r="8274" spans="1:6" s="3" customFormat="1" ht="29.1" customHeight="1" x14ac:dyDescent="0.25">
      <c r="A8274" s="2" t="s">
        <v>17175</v>
      </c>
      <c r="B8274" s="2" t="s">
        <v>17176</v>
      </c>
      <c r="C8274" s="2" t="s">
        <v>595</v>
      </c>
      <c r="D8274" s="2" t="s">
        <v>81</v>
      </c>
      <c r="E8274" s="2" t="str">
        <f>"9781800794344"</f>
        <v>9781800794344</v>
      </c>
      <c r="F8274" s="2" t="str">
        <f>"9781800794351"</f>
        <v>9781800794351</v>
      </c>
    </row>
    <row r="8275" spans="1:6" s="3" customFormat="1" ht="29.1" customHeight="1" x14ac:dyDescent="0.25">
      <c r="A8275" s="2" t="s">
        <v>17177</v>
      </c>
      <c r="B8275" s="2" t="s">
        <v>17178</v>
      </c>
      <c r="C8275" s="2" t="s">
        <v>595</v>
      </c>
      <c r="D8275" s="2" t="s">
        <v>9</v>
      </c>
      <c r="E8275" s="2" t="str">
        <f>"9783034344968"</f>
        <v>9783034344968</v>
      </c>
      <c r="F8275" s="2" t="str">
        <f>"9783034347075"</f>
        <v>9783034347075</v>
      </c>
    </row>
    <row r="8276" spans="1:6" s="3" customFormat="1" ht="29.1" customHeight="1" x14ac:dyDescent="0.25">
      <c r="A8276" s="2" t="s">
        <v>17179</v>
      </c>
      <c r="B8276" s="2" t="s">
        <v>17180</v>
      </c>
      <c r="C8276" s="2" t="s">
        <v>595</v>
      </c>
      <c r="D8276" s="2" t="s">
        <v>1183</v>
      </c>
      <c r="E8276" s="2" t="str">
        <f>"9783631548073"</f>
        <v>9783631548073</v>
      </c>
      <c r="F8276" s="2" t="str">
        <f>"9783631872512"</f>
        <v>9783631872512</v>
      </c>
    </row>
    <row r="8277" spans="1:6" s="3" customFormat="1" ht="29.1" customHeight="1" x14ac:dyDescent="0.25">
      <c r="A8277" s="2" t="s">
        <v>17181</v>
      </c>
      <c r="B8277" s="2" t="s">
        <v>17056</v>
      </c>
      <c r="C8277" s="2" t="s">
        <v>595</v>
      </c>
      <c r="D8277" s="2" t="s">
        <v>4517</v>
      </c>
      <c r="E8277" s="2" t="str">
        <f>"9783631867808"</f>
        <v>9783631867808</v>
      </c>
      <c r="F8277" s="2" t="str">
        <f>"9783631867815"</f>
        <v>9783631867815</v>
      </c>
    </row>
    <row r="8278" spans="1:6" s="3" customFormat="1" ht="29.1" customHeight="1" x14ac:dyDescent="0.25">
      <c r="A8278" s="2" t="s">
        <v>17182</v>
      </c>
      <c r="B8278" s="2" t="s">
        <v>17183</v>
      </c>
      <c r="C8278" s="2" t="s">
        <v>595</v>
      </c>
      <c r="D8278" s="2" t="s">
        <v>1627</v>
      </c>
      <c r="E8278" s="2" t="str">
        <f>"9781800798380"</f>
        <v>9781800798380</v>
      </c>
      <c r="F8278" s="2" t="str">
        <f>"9781800798809"</f>
        <v>9781800798809</v>
      </c>
    </row>
    <row r="8279" spans="1:6" s="3" customFormat="1" ht="29.1" customHeight="1" x14ac:dyDescent="0.25">
      <c r="A8279" s="2" t="s">
        <v>17184</v>
      </c>
      <c r="B8279" s="2" t="s">
        <v>17185</v>
      </c>
      <c r="C8279" s="2" t="s">
        <v>595</v>
      </c>
      <c r="D8279" s="2" t="s">
        <v>1627</v>
      </c>
      <c r="E8279" s="2" t="str">
        <f>"9781800794559"</f>
        <v>9781800794559</v>
      </c>
      <c r="F8279" s="2" t="str">
        <f>"9781800798786"</f>
        <v>9781800798786</v>
      </c>
    </row>
    <row r="8280" spans="1:6" s="3" customFormat="1" ht="29.1" customHeight="1" x14ac:dyDescent="0.25">
      <c r="A8280" s="2" t="s">
        <v>17186</v>
      </c>
      <c r="B8280" s="2" t="s">
        <v>17187</v>
      </c>
      <c r="C8280" s="2" t="s">
        <v>595</v>
      </c>
      <c r="D8280" s="2" t="s">
        <v>408</v>
      </c>
      <c r="E8280" s="2" t="str">
        <f>"9781800798328"</f>
        <v>9781800798328</v>
      </c>
      <c r="F8280" s="2" t="str">
        <f>"9781800798335"</f>
        <v>9781800798335</v>
      </c>
    </row>
    <row r="8281" spans="1:6" s="3" customFormat="1" ht="29.1" customHeight="1" x14ac:dyDescent="0.25">
      <c r="A8281" s="2" t="s">
        <v>17188</v>
      </c>
      <c r="B8281" s="2" t="s">
        <v>17189</v>
      </c>
      <c r="C8281" s="2" t="s">
        <v>595</v>
      </c>
      <c r="D8281" s="2" t="s">
        <v>183</v>
      </c>
      <c r="E8281" s="2" t="str">
        <f>"9781800794306"</f>
        <v>9781800794306</v>
      </c>
      <c r="F8281" s="2" t="str">
        <f>"9781800794313"</f>
        <v>9781800794313</v>
      </c>
    </row>
    <row r="8282" spans="1:6" s="3" customFormat="1" ht="29.1" customHeight="1" x14ac:dyDescent="0.25">
      <c r="A8282" s="2" t="s">
        <v>17190</v>
      </c>
      <c r="B8282" s="2" t="s">
        <v>17191</v>
      </c>
      <c r="C8282" s="2" t="s">
        <v>595</v>
      </c>
      <c r="D8282" s="2" t="s">
        <v>1627</v>
      </c>
      <c r="E8282" s="2" t="str">
        <f>"9781800794269"</f>
        <v>9781800794269</v>
      </c>
      <c r="F8282" s="2" t="str">
        <f>"9781800794276"</f>
        <v>9781800794276</v>
      </c>
    </row>
    <row r="8283" spans="1:6" s="3" customFormat="1" ht="29.1" customHeight="1" x14ac:dyDescent="0.25">
      <c r="A8283" s="2" t="s">
        <v>17192</v>
      </c>
      <c r="B8283" s="2" t="s">
        <v>17193</v>
      </c>
      <c r="C8283" s="2" t="s">
        <v>595</v>
      </c>
      <c r="D8283" s="2" t="s">
        <v>791</v>
      </c>
      <c r="E8283" s="2" t="str">
        <f>"9782875747822"</f>
        <v>9782875747822</v>
      </c>
      <c r="F8283" s="2" t="str">
        <f>"9782875747860"</f>
        <v>9782875747860</v>
      </c>
    </row>
    <row r="8284" spans="1:6" s="3" customFormat="1" ht="29.1" customHeight="1" x14ac:dyDescent="0.25">
      <c r="A8284" s="2" t="s">
        <v>17194</v>
      </c>
      <c r="B8284" s="2" t="s">
        <v>17195</v>
      </c>
      <c r="C8284" s="2" t="s">
        <v>595</v>
      </c>
      <c r="D8284" s="2" t="s">
        <v>490</v>
      </c>
      <c r="E8284" s="2" t="str">
        <f>"9782875747631"</f>
        <v>9782875747631</v>
      </c>
      <c r="F8284" s="2" t="str">
        <f>"9782875747648"</f>
        <v>9782875747648</v>
      </c>
    </row>
    <row r="8285" spans="1:6" s="3" customFormat="1" ht="29.1" customHeight="1" x14ac:dyDescent="0.25">
      <c r="A8285" s="2" t="s">
        <v>14904</v>
      </c>
      <c r="B8285" s="2" t="s">
        <v>14905</v>
      </c>
      <c r="C8285" s="2" t="s">
        <v>595</v>
      </c>
      <c r="D8285" s="2" t="s">
        <v>162</v>
      </c>
      <c r="E8285" s="2" t="str">
        <f>"9782875747037"</f>
        <v>9782875747037</v>
      </c>
      <c r="F8285" s="2" t="str">
        <f>"9782875747044"</f>
        <v>9782875747044</v>
      </c>
    </row>
    <row r="8286" spans="1:6" s="3" customFormat="1" ht="29.1" customHeight="1" x14ac:dyDescent="0.25">
      <c r="A8286" s="2" t="s">
        <v>17196</v>
      </c>
      <c r="B8286" s="2" t="s">
        <v>17197</v>
      </c>
      <c r="C8286" s="2" t="s">
        <v>595</v>
      </c>
      <c r="D8286" s="2" t="s">
        <v>553</v>
      </c>
      <c r="E8286" s="2" t="str">
        <f>"9782875746498"</f>
        <v>9782875746498</v>
      </c>
      <c r="F8286" s="2" t="str">
        <f>"9782875746504"</f>
        <v>9782875746504</v>
      </c>
    </row>
    <row r="8287" spans="1:6" s="3" customFormat="1" ht="29.1" customHeight="1" x14ac:dyDescent="0.25">
      <c r="A8287" s="2" t="s">
        <v>17198</v>
      </c>
      <c r="B8287" s="2" t="s">
        <v>17199</v>
      </c>
      <c r="C8287" s="2" t="s">
        <v>595</v>
      </c>
      <c r="D8287" s="2" t="s">
        <v>1913</v>
      </c>
      <c r="E8287" s="2" t="str">
        <f>"9782875746344"</f>
        <v>9782875746344</v>
      </c>
      <c r="F8287" s="2" t="str">
        <f>"9782875746351"</f>
        <v>9782875746351</v>
      </c>
    </row>
    <row r="8288" spans="1:6" s="3" customFormat="1" ht="29.1" customHeight="1" x14ac:dyDescent="0.25">
      <c r="A8288" s="2" t="s">
        <v>17200</v>
      </c>
      <c r="B8288" s="2" t="s">
        <v>17201</v>
      </c>
      <c r="C8288" s="2" t="s">
        <v>595</v>
      </c>
      <c r="D8288" s="2" t="s">
        <v>2208</v>
      </c>
      <c r="E8288" s="2" t="str">
        <f>"9782875744968"</f>
        <v>9782875744968</v>
      </c>
      <c r="F8288" s="2" t="str">
        <f>"9782875746047"</f>
        <v>9782875746047</v>
      </c>
    </row>
    <row r="8289" spans="1:6" s="3" customFormat="1" ht="29.1" customHeight="1" x14ac:dyDescent="0.25">
      <c r="A8289" s="2" t="s">
        <v>17202</v>
      </c>
      <c r="B8289" s="2" t="s">
        <v>17203</v>
      </c>
      <c r="C8289" s="2" t="s">
        <v>595</v>
      </c>
      <c r="D8289" s="2" t="s">
        <v>1712</v>
      </c>
      <c r="E8289" s="2" t="str">
        <f>"9789052018935"</f>
        <v>9789052018935</v>
      </c>
      <c r="F8289" s="2" t="str">
        <f>"9782875745996"</f>
        <v>9782875745996</v>
      </c>
    </row>
    <row r="8290" spans="1:6" s="3" customFormat="1" ht="29.1" customHeight="1" x14ac:dyDescent="0.25">
      <c r="A8290" s="2" t="s">
        <v>17204</v>
      </c>
      <c r="B8290" s="2" t="s">
        <v>17206</v>
      </c>
      <c r="C8290" s="2" t="s">
        <v>595</v>
      </c>
      <c r="D8290" s="2" t="s">
        <v>17205</v>
      </c>
      <c r="E8290" s="2" t="str">
        <f>"9782875745439"</f>
        <v>9782875745439</v>
      </c>
      <c r="F8290" s="2" t="str">
        <f>"9782875745446"</f>
        <v>9782875745446</v>
      </c>
    </row>
    <row r="8291" spans="1:6" s="3" customFormat="1" ht="29.1" customHeight="1" x14ac:dyDescent="0.25">
      <c r="A8291" s="2" t="s">
        <v>17207</v>
      </c>
      <c r="B8291" s="2" t="s">
        <v>17208</v>
      </c>
      <c r="C8291" s="2" t="s">
        <v>595</v>
      </c>
      <c r="D8291" s="2" t="s">
        <v>8642</v>
      </c>
      <c r="E8291" s="2" t="str">
        <f>"9782875744906"</f>
        <v>9782875744906</v>
      </c>
      <c r="F8291" s="2" t="str">
        <f>"9782875744913"</f>
        <v>9782875744913</v>
      </c>
    </row>
    <row r="8292" spans="1:6" s="3" customFormat="1" ht="29.1" customHeight="1" x14ac:dyDescent="0.25">
      <c r="A8292" s="2" t="s">
        <v>17209</v>
      </c>
      <c r="B8292" s="2" t="s">
        <v>17210</v>
      </c>
      <c r="C8292" s="2" t="s">
        <v>595</v>
      </c>
      <c r="D8292" s="2" t="s">
        <v>183</v>
      </c>
      <c r="E8292" s="2" t="str">
        <f>"9782875744326"</f>
        <v>9782875744326</v>
      </c>
      <c r="F8292" s="2" t="str">
        <f>"9782875744333"</f>
        <v>9782875744333</v>
      </c>
    </row>
    <row r="8293" spans="1:6" s="3" customFormat="1" ht="29.1" customHeight="1" x14ac:dyDescent="0.25">
      <c r="A8293" s="2" t="s">
        <v>14904</v>
      </c>
      <c r="B8293" s="2" t="s">
        <v>14905</v>
      </c>
      <c r="C8293" s="2" t="s">
        <v>595</v>
      </c>
      <c r="D8293" s="2" t="s">
        <v>162</v>
      </c>
      <c r="E8293" s="2" t="str">
        <f>"9782875744081"</f>
        <v>9782875744081</v>
      </c>
      <c r="F8293" s="2" t="str">
        <f>"9782875744098"</f>
        <v>9782875744098</v>
      </c>
    </row>
    <row r="8294" spans="1:6" s="3" customFormat="1" ht="29.1" customHeight="1" x14ac:dyDescent="0.25">
      <c r="A8294" s="2" t="s">
        <v>17211</v>
      </c>
      <c r="B8294" s="2" t="s">
        <v>17212</v>
      </c>
      <c r="C8294" s="2" t="s">
        <v>595</v>
      </c>
      <c r="D8294" s="2" t="s">
        <v>4002</v>
      </c>
      <c r="E8294" s="2" t="str">
        <f>"9782807619913"</f>
        <v>9782807619913</v>
      </c>
      <c r="F8294" s="2" t="str">
        <f>"9782807619920"</f>
        <v>9782807619920</v>
      </c>
    </row>
    <row r="8295" spans="1:6" s="3" customFormat="1" ht="29.1" customHeight="1" x14ac:dyDescent="0.25">
      <c r="A8295" s="2" t="s">
        <v>17213</v>
      </c>
      <c r="B8295" s="2" t="s">
        <v>17212</v>
      </c>
      <c r="C8295" s="2" t="s">
        <v>595</v>
      </c>
      <c r="D8295" s="2" t="s">
        <v>4002</v>
      </c>
      <c r="E8295" s="2" t="str">
        <f>"9782807619753"</f>
        <v>9782807619753</v>
      </c>
      <c r="F8295" s="2" t="str">
        <f>"9782807619760"</f>
        <v>9782807619760</v>
      </c>
    </row>
    <row r="8296" spans="1:6" s="3" customFormat="1" ht="29.1" customHeight="1" x14ac:dyDescent="0.25">
      <c r="A8296" s="2" t="s">
        <v>17214</v>
      </c>
      <c r="B8296" s="2" t="s">
        <v>17212</v>
      </c>
      <c r="C8296" s="2" t="s">
        <v>595</v>
      </c>
      <c r="D8296" s="2" t="s">
        <v>4002</v>
      </c>
      <c r="E8296" s="2" t="str">
        <f>"9782807619715"</f>
        <v>9782807619715</v>
      </c>
      <c r="F8296" s="2" t="str">
        <f>"9782807619722"</f>
        <v>9782807619722</v>
      </c>
    </row>
    <row r="8297" spans="1:6" s="3" customFormat="1" ht="29.1" customHeight="1" x14ac:dyDescent="0.25">
      <c r="A8297" s="2" t="s">
        <v>17215</v>
      </c>
      <c r="B8297" s="2" t="s">
        <v>17216</v>
      </c>
      <c r="C8297" s="2" t="s">
        <v>595</v>
      </c>
      <c r="D8297" s="2" t="s">
        <v>1416</v>
      </c>
      <c r="E8297" s="2" t="str">
        <f>"9782807619197"</f>
        <v>9782807619197</v>
      </c>
      <c r="F8297" s="2" t="str">
        <f>"9782807619203"</f>
        <v>9782807619203</v>
      </c>
    </row>
    <row r="8298" spans="1:6" s="3" customFormat="1" ht="29.1" customHeight="1" x14ac:dyDescent="0.25">
      <c r="A8298" s="2" t="s">
        <v>17217</v>
      </c>
      <c r="B8298" s="2" t="s">
        <v>17218</v>
      </c>
      <c r="C8298" s="2" t="s">
        <v>595</v>
      </c>
      <c r="D8298" s="2" t="s">
        <v>2086</v>
      </c>
      <c r="E8298" s="2" t="str">
        <f>"9782807618527"</f>
        <v>9782807618527</v>
      </c>
      <c r="F8298" s="2" t="str">
        <f>"9782807618534"</f>
        <v>9782807618534</v>
      </c>
    </row>
    <row r="8299" spans="1:6" s="3" customFormat="1" ht="29.1" customHeight="1" x14ac:dyDescent="0.25">
      <c r="A8299" s="2" t="s">
        <v>17219</v>
      </c>
      <c r="B8299" s="2" t="s">
        <v>17220</v>
      </c>
      <c r="C8299" s="2" t="s">
        <v>595</v>
      </c>
      <c r="D8299" s="2" t="s">
        <v>5480</v>
      </c>
      <c r="E8299" s="2" t="str">
        <f>"9782807618282"</f>
        <v>9782807618282</v>
      </c>
      <c r="F8299" s="2" t="str">
        <f>"9782807618299"</f>
        <v>9782807618299</v>
      </c>
    </row>
    <row r="8300" spans="1:6" s="3" customFormat="1" ht="29.1" customHeight="1" x14ac:dyDescent="0.25">
      <c r="A8300" s="2" t="s">
        <v>17221</v>
      </c>
      <c r="B8300" s="2" t="s">
        <v>17222</v>
      </c>
      <c r="C8300" s="2" t="s">
        <v>595</v>
      </c>
      <c r="D8300" s="2" t="s">
        <v>3062</v>
      </c>
      <c r="E8300" s="2" t="str">
        <f>"9789052018973"</f>
        <v>9789052018973</v>
      </c>
      <c r="F8300" s="2" t="str">
        <f>"9782807617902"</f>
        <v>9782807617902</v>
      </c>
    </row>
    <row r="8301" spans="1:6" s="3" customFormat="1" ht="29.1" customHeight="1" x14ac:dyDescent="0.25">
      <c r="A8301" s="2" t="s">
        <v>17223</v>
      </c>
      <c r="B8301" s="2" t="s">
        <v>17224</v>
      </c>
      <c r="C8301" s="2" t="s">
        <v>595</v>
      </c>
      <c r="D8301" s="2" t="s">
        <v>509</v>
      </c>
      <c r="E8301" s="2" t="str">
        <f>"9789052016696"</f>
        <v>9789052016696</v>
      </c>
      <c r="F8301" s="2" t="str">
        <f>"9782807617896"</f>
        <v>9782807617896</v>
      </c>
    </row>
    <row r="8302" spans="1:6" s="3" customFormat="1" ht="29.1" customHeight="1" x14ac:dyDescent="0.25">
      <c r="A8302" s="2" t="s">
        <v>17225</v>
      </c>
      <c r="B8302" s="2" t="s">
        <v>17226</v>
      </c>
      <c r="C8302" s="2" t="s">
        <v>595</v>
      </c>
      <c r="D8302" s="2" t="s">
        <v>81</v>
      </c>
      <c r="E8302" s="2" t="str">
        <f>"9789052014531"</f>
        <v>9789052014531</v>
      </c>
      <c r="F8302" s="2" t="str">
        <f>"9782807617889"</f>
        <v>9782807617889</v>
      </c>
    </row>
    <row r="8303" spans="1:6" s="3" customFormat="1" ht="29.1" customHeight="1" x14ac:dyDescent="0.25">
      <c r="A8303" s="2" t="s">
        <v>17227</v>
      </c>
      <c r="B8303" s="2" t="s">
        <v>17228</v>
      </c>
      <c r="C8303" s="2" t="s">
        <v>595</v>
      </c>
      <c r="D8303" s="2" t="s">
        <v>1717</v>
      </c>
      <c r="E8303" s="2" t="str">
        <f>"9782807611115"</f>
        <v>9782807611115</v>
      </c>
      <c r="F8303" s="2" t="str">
        <f>"9782807617735"</f>
        <v>9782807617735</v>
      </c>
    </row>
    <row r="8304" spans="1:6" s="3" customFormat="1" ht="29.1" customHeight="1" x14ac:dyDescent="0.25">
      <c r="A8304" s="2" t="s">
        <v>17229</v>
      </c>
      <c r="B8304" s="2" t="s">
        <v>17230</v>
      </c>
      <c r="C8304" s="2" t="s">
        <v>595</v>
      </c>
      <c r="D8304" s="2" t="s">
        <v>1141</v>
      </c>
      <c r="E8304" s="2" t="str">
        <f>"9783034303088"</f>
        <v>9783034303088</v>
      </c>
      <c r="F8304" s="2" t="str">
        <f>"9783034346917"</f>
        <v>9783034346917</v>
      </c>
    </row>
    <row r="8305" spans="1:6" s="3" customFormat="1" ht="29.1" customHeight="1" x14ac:dyDescent="0.25">
      <c r="A8305" s="2" t="s">
        <v>17231</v>
      </c>
      <c r="B8305" s="2" t="s">
        <v>17232</v>
      </c>
      <c r="C8305" s="2" t="s">
        <v>595</v>
      </c>
      <c r="D8305" s="2" t="s">
        <v>5234</v>
      </c>
      <c r="E8305" s="2" t="str">
        <f>"9783034346726"</f>
        <v>9783034346726</v>
      </c>
      <c r="F8305" s="2" t="str">
        <f>"9783034346733"</f>
        <v>9783034346733</v>
      </c>
    </row>
    <row r="8306" spans="1:6" s="3" customFormat="1" ht="29.1" customHeight="1" x14ac:dyDescent="0.25">
      <c r="A8306" s="2" t="s">
        <v>17233</v>
      </c>
      <c r="B8306" s="2" t="s">
        <v>17234</v>
      </c>
      <c r="C8306" s="2" t="s">
        <v>595</v>
      </c>
      <c r="D8306" s="2" t="s">
        <v>446</v>
      </c>
      <c r="E8306" s="2" t="str">
        <f>"9783034345880"</f>
        <v>9783034345880</v>
      </c>
      <c r="F8306" s="2" t="str">
        <f>"9783034346207"</f>
        <v>9783034346207</v>
      </c>
    </row>
    <row r="8307" spans="1:6" s="3" customFormat="1" ht="29.1" customHeight="1" x14ac:dyDescent="0.25">
      <c r="A8307" s="2" t="s">
        <v>17235</v>
      </c>
      <c r="B8307" s="2" t="s">
        <v>17236</v>
      </c>
      <c r="C8307" s="2" t="s">
        <v>595</v>
      </c>
      <c r="D8307" s="2" t="s">
        <v>2462</v>
      </c>
      <c r="E8307" s="2" t="str">
        <f>"9783034344128"</f>
        <v>9783034344128</v>
      </c>
      <c r="F8307" s="2" t="str">
        <f>"9783034345620"</f>
        <v>9783034345620</v>
      </c>
    </row>
    <row r="8308" spans="1:6" s="3" customFormat="1" ht="29.1" customHeight="1" x14ac:dyDescent="0.25">
      <c r="A8308" s="2" t="s">
        <v>17237</v>
      </c>
      <c r="B8308" s="2" t="s">
        <v>17238</v>
      </c>
      <c r="C8308" s="2" t="s">
        <v>595</v>
      </c>
      <c r="D8308" s="2" t="s">
        <v>509</v>
      </c>
      <c r="E8308" s="2" t="str">
        <f>"9783034345583"</f>
        <v>9783034345583</v>
      </c>
      <c r="F8308" s="2" t="str">
        <f>"9783034345590"</f>
        <v>9783034345590</v>
      </c>
    </row>
    <row r="8309" spans="1:6" s="3" customFormat="1" ht="29.1" customHeight="1" x14ac:dyDescent="0.25">
      <c r="A8309" s="2" t="s">
        <v>17239</v>
      </c>
      <c r="B8309" s="2" t="s">
        <v>17240</v>
      </c>
      <c r="C8309" s="2" t="s">
        <v>595</v>
      </c>
      <c r="D8309" s="2" t="s">
        <v>334</v>
      </c>
      <c r="E8309" s="2" t="str">
        <f>"9783034345262"</f>
        <v>9783034345262</v>
      </c>
      <c r="F8309" s="2" t="str">
        <f>"9783034345316"</f>
        <v>9783034345316</v>
      </c>
    </row>
    <row r="8310" spans="1:6" s="3" customFormat="1" ht="29.1" customHeight="1" x14ac:dyDescent="0.25">
      <c r="A8310" s="2" t="s">
        <v>17241</v>
      </c>
      <c r="B8310" s="2" t="s">
        <v>17242</v>
      </c>
      <c r="C8310" s="2" t="s">
        <v>595</v>
      </c>
      <c r="D8310" s="2" t="s">
        <v>3062</v>
      </c>
      <c r="E8310" s="2" t="str">
        <f>"9783034345279"</f>
        <v>9783034345279</v>
      </c>
      <c r="F8310" s="2" t="str">
        <f>"9783034345286"</f>
        <v>9783034345286</v>
      </c>
    </row>
    <row r="8311" spans="1:6" s="3" customFormat="1" ht="29.1" customHeight="1" x14ac:dyDescent="0.25">
      <c r="A8311" s="2" t="s">
        <v>17243</v>
      </c>
      <c r="B8311" s="2" t="s">
        <v>17244</v>
      </c>
      <c r="C8311" s="2" t="s">
        <v>595</v>
      </c>
      <c r="D8311" s="2" t="s">
        <v>9</v>
      </c>
      <c r="E8311" s="2" t="str">
        <f>"9783034344678"</f>
        <v>9783034344678</v>
      </c>
      <c r="F8311" s="2" t="str">
        <f>"9783034345149"</f>
        <v>9783034345149</v>
      </c>
    </row>
    <row r="8312" spans="1:6" s="3" customFormat="1" ht="29.1" customHeight="1" x14ac:dyDescent="0.25">
      <c r="A8312" s="2" t="s">
        <v>17245</v>
      </c>
      <c r="B8312" s="2" t="s">
        <v>17246</v>
      </c>
      <c r="C8312" s="2" t="s">
        <v>595</v>
      </c>
      <c r="D8312" s="2" t="s">
        <v>183</v>
      </c>
      <c r="E8312" s="2" t="str">
        <f>"9783034344913"</f>
        <v>9783034344913</v>
      </c>
      <c r="F8312" s="2" t="str">
        <f>"9783034345019"</f>
        <v>9783034345019</v>
      </c>
    </row>
    <row r="8313" spans="1:6" s="3" customFormat="1" ht="29.1" customHeight="1" x14ac:dyDescent="0.25">
      <c r="A8313" s="2" t="s">
        <v>17247</v>
      </c>
      <c r="B8313" s="2" t="s">
        <v>17248</v>
      </c>
      <c r="C8313" s="2" t="s">
        <v>595</v>
      </c>
      <c r="D8313" s="2" t="s">
        <v>446</v>
      </c>
      <c r="E8313" s="2" t="str">
        <f>"9783034343022"</f>
        <v>9783034343022</v>
      </c>
      <c r="F8313" s="2" t="str">
        <f>"9783034344593"</f>
        <v>9783034344593</v>
      </c>
    </row>
    <row r="8314" spans="1:6" s="3" customFormat="1" ht="29.1" customHeight="1" x14ac:dyDescent="0.25">
      <c r="A8314" s="2" t="s">
        <v>17249</v>
      </c>
      <c r="B8314" s="2" t="s">
        <v>17250</v>
      </c>
      <c r="C8314" s="2" t="s">
        <v>595</v>
      </c>
      <c r="D8314" s="2" t="s">
        <v>490</v>
      </c>
      <c r="E8314" s="2" t="str">
        <f>"9783034343039"</f>
        <v>9783034343039</v>
      </c>
      <c r="F8314" s="2" t="str">
        <f>"9783034343916"</f>
        <v>9783034343916</v>
      </c>
    </row>
    <row r="8315" spans="1:6" s="3" customFormat="1" ht="29.1" customHeight="1" x14ac:dyDescent="0.25">
      <c r="A8315" s="2" t="s">
        <v>17251</v>
      </c>
      <c r="B8315" s="2" t="s">
        <v>17252</v>
      </c>
      <c r="C8315" s="2" t="s">
        <v>595</v>
      </c>
      <c r="D8315" s="2" t="s">
        <v>4517</v>
      </c>
      <c r="E8315" s="2" t="str">
        <f>"9783034343374"</f>
        <v>9783034343374</v>
      </c>
      <c r="F8315" s="2" t="str">
        <f>"9783034343381"</f>
        <v>9783034343381</v>
      </c>
    </row>
    <row r="8316" spans="1:6" s="3" customFormat="1" ht="29.1" customHeight="1" x14ac:dyDescent="0.25">
      <c r="A8316" s="2" t="s">
        <v>17253</v>
      </c>
      <c r="B8316" s="2" t="s">
        <v>17254</v>
      </c>
      <c r="C8316" s="2" t="s">
        <v>595</v>
      </c>
      <c r="D8316" s="2" t="s">
        <v>2168</v>
      </c>
      <c r="E8316" s="2" t="str">
        <f>"9783034342759"</f>
        <v>9783034342759</v>
      </c>
      <c r="F8316" s="2" t="str">
        <f>"9783034342919"</f>
        <v>9783034342919</v>
      </c>
    </row>
    <row r="8317" spans="1:6" s="3" customFormat="1" ht="29.1" customHeight="1" x14ac:dyDescent="0.25">
      <c r="A8317" s="2" t="s">
        <v>17255</v>
      </c>
      <c r="B8317" s="2" t="s">
        <v>17256</v>
      </c>
      <c r="C8317" s="2" t="s">
        <v>595</v>
      </c>
      <c r="D8317" s="2" t="s">
        <v>334</v>
      </c>
      <c r="E8317" s="2" t="str">
        <f>"9783034343947"</f>
        <v>9783034343947</v>
      </c>
      <c r="F8317" s="2" t="str">
        <f>"9783034342643"</f>
        <v>9783034342643</v>
      </c>
    </row>
    <row r="8318" spans="1:6" s="3" customFormat="1" ht="29.1" customHeight="1" x14ac:dyDescent="0.25">
      <c r="A8318" s="2" t="s">
        <v>17257</v>
      </c>
      <c r="B8318" s="2" t="s">
        <v>17259</v>
      </c>
      <c r="C8318" s="2" t="s">
        <v>595</v>
      </c>
      <c r="D8318" s="2" t="s">
        <v>17258</v>
      </c>
      <c r="E8318" s="2" t="str">
        <f>"9781433190438"</f>
        <v>9781433190438</v>
      </c>
      <c r="F8318" s="2" t="str">
        <f>"9781433192425"</f>
        <v>9781433192425</v>
      </c>
    </row>
    <row r="8319" spans="1:6" s="3" customFormat="1" ht="29.1" customHeight="1" x14ac:dyDescent="0.25">
      <c r="A8319" s="2" t="s">
        <v>17260</v>
      </c>
      <c r="B8319" s="2" t="s">
        <v>17261</v>
      </c>
      <c r="C8319" s="2" t="s">
        <v>595</v>
      </c>
      <c r="D8319" s="2" t="s">
        <v>712</v>
      </c>
      <c r="E8319" s="2" t="str">
        <f>"9781433191039"</f>
        <v>9781433191039</v>
      </c>
      <c r="F8319" s="2" t="str">
        <f>"9781433191046"</f>
        <v>9781433191046</v>
      </c>
    </row>
    <row r="8320" spans="1:6" s="3" customFormat="1" ht="29.1" customHeight="1" x14ac:dyDescent="0.25">
      <c r="A8320" s="2" t="s">
        <v>17262</v>
      </c>
      <c r="B8320" s="2" t="s">
        <v>17263</v>
      </c>
      <c r="C8320" s="2" t="s">
        <v>595</v>
      </c>
      <c r="D8320" s="2" t="s">
        <v>1895</v>
      </c>
      <c r="E8320" s="2" t="str">
        <f>"9781433189784"</f>
        <v>9781433189784</v>
      </c>
      <c r="F8320" s="2" t="str">
        <f>"9781433189791"</f>
        <v>9781433189791</v>
      </c>
    </row>
    <row r="8321" spans="1:6" s="3" customFormat="1" ht="29.1" customHeight="1" x14ac:dyDescent="0.25">
      <c r="A8321" s="2" t="s">
        <v>17264</v>
      </c>
      <c r="B8321" s="2" t="s">
        <v>17265</v>
      </c>
      <c r="C8321" s="2" t="s">
        <v>595</v>
      </c>
      <c r="D8321" s="2" t="s">
        <v>2648</v>
      </c>
      <c r="E8321" s="2" t="str">
        <f>"9781433187421"</f>
        <v>9781433187421</v>
      </c>
      <c r="F8321" s="2" t="str">
        <f>"9781433187971"</f>
        <v>9781433187971</v>
      </c>
    </row>
    <row r="8322" spans="1:6" s="3" customFormat="1" ht="29.1" customHeight="1" x14ac:dyDescent="0.25">
      <c r="A8322" s="2" t="s">
        <v>17266</v>
      </c>
      <c r="B8322" s="2" t="s">
        <v>17267</v>
      </c>
      <c r="C8322" s="2" t="s">
        <v>595</v>
      </c>
      <c r="D8322" s="2" t="s">
        <v>24</v>
      </c>
      <c r="E8322" s="2" t="str">
        <f>"9783631862483"</f>
        <v>9783631862483</v>
      </c>
      <c r="F8322" s="2" t="str">
        <f>"9783631899809"</f>
        <v>9783631899809</v>
      </c>
    </row>
    <row r="8323" spans="1:6" s="3" customFormat="1" ht="29.1" customHeight="1" x14ac:dyDescent="0.25">
      <c r="A8323" s="2" t="s">
        <v>17268</v>
      </c>
      <c r="B8323" s="2" t="s">
        <v>17269</v>
      </c>
      <c r="C8323" s="2" t="s">
        <v>595</v>
      </c>
      <c r="D8323" s="2" t="s">
        <v>1237</v>
      </c>
      <c r="E8323" s="2" t="str">
        <f>"9783631896471"</f>
        <v>9783631896471</v>
      </c>
      <c r="F8323" s="2" t="str">
        <f>"9783631896488"</f>
        <v>9783631896488</v>
      </c>
    </row>
    <row r="8324" spans="1:6" s="3" customFormat="1" ht="29.1" customHeight="1" x14ac:dyDescent="0.25">
      <c r="A8324" s="2" t="s">
        <v>17270</v>
      </c>
      <c r="B8324" s="2" t="s">
        <v>17271</v>
      </c>
      <c r="C8324" s="2" t="s">
        <v>595</v>
      </c>
      <c r="D8324" s="2" t="s">
        <v>2749</v>
      </c>
      <c r="E8324" s="2" t="str">
        <f>"9783631895993"</f>
        <v>9783631895993</v>
      </c>
      <c r="F8324" s="2" t="str">
        <f>"9783631896006"</f>
        <v>9783631896006</v>
      </c>
    </row>
    <row r="8325" spans="1:6" s="3" customFormat="1" ht="29.1" customHeight="1" x14ac:dyDescent="0.25">
      <c r="A8325" s="2" t="s">
        <v>17272</v>
      </c>
      <c r="B8325" s="2" t="s">
        <v>17273</v>
      </c>
      <c r="C8325" s="2" t="s">
        <v>595</v>
      </c>
      <c r="D8325" s="2" t="s">
        <v>270</v>
      </c>
      <c r="E8325" s="2" t="str">
        <f>"9783631886762"</f>
        <v>9783631886762</v>
      </c>
      <c r="F8325" s="2" t="str">
        <f>"9783631894286"</f>
        <v>9783631894286</v>
      </c>
    </row>
    <row r="8326" spans="1:6" s="3" customFormat="1" ht="29.1" customHeight="1" x14ac:dyDescent="0.25">
      <c r="A8326" s="2" t="s">
        <v>17274</v>
      </c>
      <c r="B8326" s="2" t="s">
        <v>17275</v>
      </c>
      <c r="C8326" s="2" t="s">
        <v>595</v>
      </c>
      <c r="D8326" s="2" t="s">
        <v>402</v>
      </c>
      <c r="E8326" s="2" t="str">
        <f>"9783631864593"</f>
        <v>9783631864593</v>
      </c>
      <c r="F8326" s="2" t="str">
        <f>"9783631891216"</f>
        <v>9783631891216</v>
      </c>
    </row>
    <row r="8327" spans="1:6" s="3" customFormat="1" ht="29.1" customHeight="1" x14ac:dyDescent="0.25">
      <c r="A8327" s="2" t="s">
        <v>17276</v>
      </c>
      <c r="B8327" s="2" t="s">
        <v>17277</v>
      </c>
      <c r="C8327" s="2" t="s">
        <v>595</v>
      </c>
      <c r="D8327" s="2" t="s">
        <v>17048</v>
      </c>
      <c r="E8327" s="2" t="str">
        <f>"9783631889688"</f>
        <v>9783631889688</v>
      </c>
      <c r="F8327" s="2" t="str">
        <f>"9783631890943"</f>
        <v>9783631890943</v>
      </c>
    </row>
    <row r="8328" spans="1:6" s="3" customFormat="1" ht="29.1" customHeight="1" x14ac:dyDescent="0.25">
      <c r="A8328" s="2" t="s">
        <v>17278</v>
      </c>
      <c r="B8328" s="2" t="s">
        <v>17279</v>
      </c>
      <c r="C8328" s="2" t="s">
        <v>595</v>
      </c>
      <c r="D8328" s="2" t="s">
        <v>509</v>
      </c>
      <c r="E8328" s="2" t="str">
        <f>"9783631389645"</f>
        <v>9783631389645</v>
      </c>
      <c r="F8328" s="2" t="str">
        <f>"9783631889022"</f>
        <v>9783631889022</v>
      </c>
    </row>
    <row r="8329" spans="1:6" s="3" customFormat="1" ht="29.1" customHeight="1" x14ac:dyDescent="0.25">
      <c r="A8329" s="2" t="s">
        <v>17280</v>
      </c>
      <c r="B8329" s="2" t="s">
        <v>17281</v>
      </c>
      <c r="C8329" s="2" t="s">
        <v>595</v>
      </c>
      <c r="D8329" s="2" t="s">
        <v>1237</v>
      </c>
      <c r="E8329" s="2" t="str">
        <f>"9783631873724"</f>
        <v>9783631873724</v>
      </c>
      <c r="F8329" s="2" t="str">
        <f>"9783631888902"</f>
        <v>9783631888902</v>
      </c>
    </row>
    <row r="8330" spans="1:6" s="3" customFormat="1" ht="29.1" customHeight="1" x14ac:dyDescent="0.25">
      <c r="A8330" s="2" t="s">
        <v>17282</v>
      </c>
      <c r="B8330" s="2" t="s">
        <v>17283</v>
      </c>
      <c r="C8330" s="2" t="s">
        <v>595</v>
      </c>
      <c r="D8330" s="2" t="s">
        <v>2810</v>
      </c>
      <c r="E8330" s="2" t="str">
        <f>"9783631886410"</f>
        <v>9783631886410</v>
      </c>
      <c r="F8330" s="2" t="str">
        <f>"9783631886427"</f>
        <v>9783631886427</v>
      </c>
    </row>
    <row r="8331" spans="1:6" s="3" customFormat="1" ht="29.1" customHeight="1" x14ac:dyDescent="0.25">
      <c r="A8331" s="2" t="s">
        <v>17284</v>
      </c>
      <c r="B8331" s="2" t="s">
        <v>17285</v>
      </c>
      <c r="C8331" s="2" t="s">
        <v>595</v>
      </c>
      <c r="D8331" s="2" t="s">
        <v>12157</v>
      </c>
      <c r="E8331" s="2" t="str">
        <f>"9783631885567"</f>
        <v>9783631885567</v>
      </c>
      <c r="F8331" s="2" t="str">
        <f>"9783631885574"</f>
        <v>9783631885574</v>
      </c>
    </row>
    <row r="8332" spans="1:6" s="3" customFormat="1" ht="29.1" customHeight="1" x14ac:dyDescent="0.25">
      <c r="A8332" s="2" t="s">
        <v>17286</v>
      </c>
      <c r="B8332" s="2" t="s">
        <v>17287</v>
      </c>
      <c r="C8332" s="2" t="s">
        <v>595</v>
      </c>
      <c r="D8332" s="2" t="s">
        <v>8647</v>
      </c>
      <c r="E8332" s="2" t="str">
        <f>"9783631885499"</f>
        <v>9783631885499</v>
      </c>
      <c r="F8332" s="2" t="str">
        <f>"9783631885505"</f>
        <v>9783631885505</v>
      </c>
    </row>
    <row r="8333" spans="1:6" s="3" customFormat="1" ht="29.1" customHeight="1" x14ac:dyDescent="0.25">
      <c r="A8333" s="2" t="s">
        <v>17288</v>
      </c>
      <c r="B8333" s="2" t="s">
        <v>17056</v>
      </c>
      <c r="C8333" s="2" t="s">
        <v>595</v>
      </c>
      <c r="D8333" s="2" t="s">
        <v>297</v>
      </c>
      <c r="E8333" s="2" t="str">
        <f>"9783631882948"</f>
        <v>9783631882948</v>
      </c>
      <c r="F8333" s="2" t="str">
        <f>"9783631882986"</f>
        <v>9783631882986</v>
      </c>
    </row>
    <row r="8334" spans="1:6" s="3" customFormat="1" ht="29.1" customHeight="1" x14ac:dyDescent="0.25">
      <c r="A8334" s="2" t="s">
        <v>17289</v>
      </c>
      <c r="B8334" s="2" t="s">
        <v>17290</v>
      </c>
      <c r="C8334" s="2" t="s">
        <v>595</v>
      </c>
      <c r="D8334" s="2" t="s">
        <v>215</v>
      </c>
      <c r="E8334" s="2" t="str">
        <f>"9783631845011"</f>
        <v>9783631845011</v>
      </c>
      <c r="F8334" s="2" t="str">
        <f>"9783631882917"</f>
        <v>9783631882917</v>
      </c>
    </row>
    <row r="8335" spans="1:6" s="3" customFormat="1" ht="29.1" customHeight="1" x14ac:dyDescent="0.25">
      <c r="A8335" s="2" t="s">
        <v>17291</v>
      </c>
      <c r="B8335" s="2" t="s">
        <v>17292</v>
      </c>
      <c r="C8335" s="2" t="s">
        <v>595</v>
      </c>
      <c r="D8335" s="2" t="s">
        <v>1902</v>
      </c>
      <c r="E8335" s="2" t="str">
        <f>"9783631882238"</f>
        <v>9783631882238</v>
      </c>
      <c r="F8335" s="2" t="str">
        <f>"9783631882245"</f>
        <v>9783631882245</v>
      </c>
    </row>
    <row r="8336" spans="1:6" s="3" customFormat="1" ht="29.1" customHeight="1" x14ac:dyDescent="0.25">
      <c r="A8336" s="2" t="s">
        <v>17293</v>
      </c>
      <c r="B8336" s="2" t="s">
        <v>17294</v>
      </c>
      <c r="C8336" s="2" t="s">
        <v>595</v>
      </c>
      <c r="D8336" s="2" t="s">
        <v>490</v>
      </c>
      <c r="E8336" s="2" t="str">
        <f>"9783631876565"</f>
        <v>9783631876565</v>
      </c>
      <c r="F8336" s="2" t="str">
        <f>"9783631880715"</f>
        <v>9783631880715</v>
      </c>
    </row>
    <row r="8337" spans="1:6" s="3" customFormat="1" ht="29.1" customHeight="1" x14ac:dyDescent="0.25">
      <c r="A8337" s="2" t="s">
        <v>17295</v>
      </c>
      <c r="B8337" s="2" t="s">
        <v>17296</v>
      </c>
      <c r="C8337" s="2" t="s">
        <v>595</v>
      </c>
      <c r="D8337" s="2" t="s">
        <v>446</v>
      </c>
      <c r="E8337" s="2" t="str">
        <f>"9783631880579"</f>
        <v>9783631880579</v>
      </c>
      <c r="F8337" s="2" t="str">
        <f>"9783631880586"</f>
        <v>9783631880586</v>
      </c>
    </row>
    <row r="8338" spans="1:6" s="3" customFormat="1" ht="29.1" customHeight="1" x14ac:dyDescent="0.25">
      <c r="A8338" s="2" t="s">
        <v>17297</v>
      </c>
      <c r="B8338" s="2" t="s">
        <v>17298</v>
      </c>
      <c r="C8338" s="2" t="s">
        <v>595</v>
      </c>
      <c r="D8338" s="2" t="s">
        <v>459</v>
      </c>
      <c r="E8338" s="2" t="str">
        <f>"9783631874981"</f>
        <v>9783631874981</v>
      </c>
      <c r="F8338" s="2" t="str">
        <f>"9783631879115"</f>
        <v>9783631879115</v>
      </c>
    </row>
    <row r="8339" spans="1:6" s="3" customFormat="1" ht="29.1" customHeight="1" x14ac:dyDescent="0.25">
      <c r="A8339" s="2" t="s">
        <v>17299</v>
      </c>
      <c r="B8339" s="2" t="s">
        <v>17300</v>
      </c>
      <c r="C8339" s="2" t="s">
        <v>595</v>
      </c>
      <c r="D8339" s="2" t="s">
        <v>1902</v>
      </c>
      <c r="E8339" s="2" t="str">
        <f>"9783631842843"</f>
        <v>9783631842843</v>
      </c>
      <c r="F8339" s="2" t="str">
        <f>"9783631877425"</f>
        <v>9783631877425</v>
      </c>
    </row>
    <row r="8340" spans="1:6" s="3" customFormat="1" ht="29.1" customHeight="1" x14ac:dyDescent="0.25">
      <c r="A8340" s="2" t="s">
        <v>17301</v>
      </c>
      <c r="B8340" s="2" t="s">
        <v>17302</v>
      </c>
      <c r="C8340" s="2" t="s">
        <v>595</v>
      </c>
      <c r="D8340" s="2" t="s">
        <v>8647</v>
      </c>
      <c r="E8340" s="2" t="str">
        <f>"9783631876893"</f>
        <v>9783631876893</v>
      </c>
      <c r="F8340" s="2" t="str">
        <f>"9783631876176"</f>
        <v>9783631876176</v>
      </c>
    </row>
    <row r="8341" spans="1:6" s="3" customFormat="1" ht="29.1" customHeight="1" x14ac:dyDescent="0.25">
      <c r="A8341" s="2" t="s">
        <v>17303</v>
      </c>
      <c r="B8341" s="2" t="s">
        <v>17304</v>
      </c>
      <c r="C8341" s="2" t="s">
        <v>595</v>
      </c>
      <c r="D8341" s="2" t="s">
        <v>1183</v>
      </c>
      <c r="E8341" s="2" t="str">
        <f>"9783631370902"</f>
        <v>9783631370902</v>
      </c>
      <c r="F8341" s="2" t="str">
        <f>"9783631872789"</f>
        <v>9783631872789</v>
      </c>
    </row>
    <row r="8342" spans="1:6" s="3" customFormat="1" ht="29.1" customHeight="1" x14ac:dyDescent="0.25">
      <c r="A8342" s="2" t="s">
        <v>17305</v>
      </c>
      <c r="B8342" s="2" t="s">
        <v>17180</v>
      </c>
      <c r="C8342" s="2" t="s">
        <v>595</v>
      </c>
      <c r="D8342" s="2" t="s">
        <v>916</v>
      </c>
      <c r="E8342" s="2" t="str">
        <f>"9783631365328"</f>
        <v>9783631365328</v>
      </c>
      <c r="F8342" s="2" t="str">
        <f>"9783631872758"</f>
        <v>9783631872758</v>
      </c>
    </row>
    <row r="8343" spans="1:6" s="3" customFormat="1" ht="29.1" customHeight="1" x14ac:dyDescent="0.25">
      <c r="A8343" s="2" t="s">
        <v>17306</v>
      </c>
      <c r="B8343" s="2" t="s">
        <v>17180</v>
      </c>
      <c r="C8343" s="2" t="s">
        <v>595</v>
      </c>
      <c r="D8343" s="2" t="s">
        <v>1183</v>
      </c>
      <c r="E8343" s="2" t="str">
        <f>"9783631318720"</f>
        <v>9783631318720</v>
      </c>
      <c r="F8343" s="2" t="str">
        <f>"9783631872727"</f>
        <v>9783631872727</v>
      </c>
    </row>
    <row r="8344" spans="1:6" s="3" customFormat="1" ht="29.1" customHeight="1" x14ac:dyDescent="0.25">
      <c r="A8344" s="2" t="s">
        <v>17307</v>
      </c>
      <c r="B8344" s="2" t="s">
        <v>17180</v>
      </c>
      <c r="C8344" s="2" t="s">
        <v>595</v>
      </c>
      <c r="D8344" s="2" t="s">
        <v>1183</v>
      </c>
      <c r="E8344" s="2" t="str">
        <f>"9783631344521"</f>
        <v>9783631344521</v>
      </c>
      <c r="F8344" s="2" t="str">
        <f>"9783631872697"</f>
        <v>9783631872697</v>
      </c>
    </row>
    <row r="8345" spans="1:6" s="3" customFormat="1" ht="29.1" customHeight="1" x14ac:dyDescent="0.25">
      <c r="A8345" s="2" t="s">
        <v>17308</v>
      </c>
      <c r="B8345" s="2" t="s">
        <v>17309</v>
      </c>
      <c r="C8345" s="2" t="s">
        <v>595</v>
      </c>
      <c r="D8345" s="2" t="s">
        <v>509</v>
      </c>
      <c r="E8345" s="2" t="str">
        <f>"9783631580578"</f>
        <v>9783631580578</v>
      </c>
      <c r="F8345" s="2" t="str">
        <f>"9783631872666"</f>
        <v>9783631872666</v>
      </c>
    </row>
    <row r="8346" spans="1:6" s="3" customFormat="1" ht="29.1" customHeight="1" x14ac:dyDescent="0.25">
      <c r="A8346" s="2" t="s">
        <v>17310</v>
      </c>
      <c r="B8346" s="2" t="s">
        <v>17311</v>
      </c>
      <c r="C8346" s="2" t="s">
        <v>595</v>
      </c>
      <c r="D8346" s="2" t="s">
        <v>1183</v>
      </c>
      <c r="E8346" s="2" t="str">
        <f>"9783631563618"</f>
        <v>9783631563618</v>
      </c>
      <c r="F8346" s="2" t="str">
        <f>"9783631872635"</f>
        <v>9783631872635</v>
      </c>
    </row>
    <row r="8347" spans="1:6" s="3" customFormat="1" ht="29.1" customHeight="1" x14ac:dyDescent="0.25">
      <c r="A8347" s="2" t="s">
        <v>17312</v>
      </c>
      <c r="B8347" s="2" t="s">
        <v>17313</v>
      </c>
      <c r="C8347" s="2" t="s">
        <v>595</v>
      </c>
      <c r="D8347" s="2" t="s">
        <v>509</v>
      </c>
      <c r="E8347" s="2" t="str">
        <f>"9783631548080"</f>
        <v>9783631548080</v>
      </c>
      <c r="F8347" s="2" t="str">
        <f>"9783631872536"</f>
        <v>9783631872536</v>
      </c>
    </row>
    <row r="8348" spans="1:6" s="3" customFormat="1" ht="29.1" customHeight="1" x14ac:dyDescent="0.25">
      <c r="A8348" s="2" t="s">
        <v>17314</v>
      </c>
      <c r="B8348" s="2" t="s">
        <v>17180</v>
      </c>
      <c r="C8348" s="2" t="s">
        <v>595</v>
      </c>
      <c r="D8348" s="2" t="s">
        <v>1669</v>
      </c>
      <c r="E8348" s="2" t="str">
        <f>"9783631392409"</f>
        <v>9783631392409</v>
      </c>
      <c r="F8348" s="2" t="str">
        <f>"9783631872529"</f>
        <v>9783631872529</v>
      </c>
    </row>
    <row r="8349" spans="1:6" s="3" customFormat="1" ht="29.1" customHeight="1" x14ac:dyDescent="0.25">
      <c r="A8349" s="2" t="s">
        <v>17315</v>
      </c>
      <c r="B8349" s="2"/>
      <c r="C8349" s="2" t="s">
        <v>595</v>
      </c>
      <c r="D8349" s="2" t="s">
        <v>1183</v>
      </c>
      <c r="E8349" s="2" t="str">
        <f>"9783631511534"</f>
        <v>9783631511534</v>
      </c>
      <c r="F8349" s="2" t="str">
        <f>"9783631872505"</f>
        <v>9783631872505</v>
      </c>
    </row>
    <row r="8350" spans="1:6" s="3" customFormat="1" ht="29.1" customHeight="1" x14ac:dyDescent="0.25">
      <c r="A8350" s="2" t="s">
        <v>17316</v>
      </c>
      <c r="B8350" s="2" t="s">
        <v>17180</v>
      </c>
      <c r="C8350" s="2" t="s">
        <v>595</v>
      </c>
      <c r="D8350" s="2" t="s">
        <v>1183</v>
      </c>
      <c r="E8350" s="2" t="str">
        <f>"9783631330623"</f>
        <v>9783631330623</v>
      </c>
      <c r="F8350" s="2" t="str">
        <f>"9783631872499"</f>
        <v>9783631872499</v>
      </c>
    </row>
    <row r="8351" spans="1:6" s="3" customFormat="1" ht="29.1" customHeight="1" x14ac:dyDescent="0.25">
      <c r="A8351" s="2" t="s">
        <v>17317</v>
      </c>
      <c r="B8351" s="2" t="s">
        <v>17180</v>
      </c>
      <c r="C8351" s="2" t="s">
        <v>595</v>
      </c>
      <c r="D8351" s="2" t="s">
        <v>1183</v>
      </c>
      <c r="E8351" s="2" t="str">
        <f>"9783631322598"</f>
        <v>9783631322598</v>
      </c>
      <c r="F8351" s="2" t="str">
        <f>"9783631872482"</f>
        <v>9783631872482</v>
      </c>
    </row>
    <row r="8352" spans="1:6" s="3" customFormat="1" ht="29.1" customHeight="1" x14ac:dyDescent="0.25">
      <c r="A8352" s="2" t="s">
        <v>17318</v>
      </c>
      <c r="B8352" s="2" t="s">
        <v>17319</v>
      </c>
      <c r="C8352" s="2" t="s">
        <v>595</v>
      </c>
      <c r="D8352" s="2" t="s">
        <v>8647</v>
      </c>
      <c r="E8352" s="2" t="str">
        <f>"9783631862315"</f>
        <v>9783631862315</v>
      </c>
      <c r="F8352" s="2" t="str">
        <f>"9783631870211"</f>
        <v>9783631870211</v>
      </c>
    </row>
    <row r="8353" spans="1:6" s="3" customFormat="1" ht="29.1" customHeight="1" x14ac:dyDescent="0.25">
      <c r="A8353" s="2" t="s">
        <v>17320</v>
      </c>
      <c r="B8353" s="2" t="s">
        <v>17321</v>
      </c>
      <c r="C8353" s="2" t="s">
        <v>595</v>
      </c>
      <c r="D8353" s="2" t="s">
        <v>210</v>
      </c>
      <c r="E8353" s="2" t="str">
        <f>"9783631868263"</f>
        <v>9783631868263</v>
      </c>
      <c r="F8353" s="2" t="str">
        <f>"9783631868294"</f>
        <v>9783631868294</v>
      </c>
    </row>
    <row r="8354" spans="1:6" s="3" customFormat="1" ht="29.1" customHeight="1" x14ac:dyDescent="0.25">
      <c r="A8354" s="2" t="s">
        <v>17322</v>
      </c>
      <c r="B8354" s="2" t="s">
        <v>17323</v>
      </c>
      <c r="C8354" s="2" t="s">
        <v>595</v>
      </c>
      <c r="D8354" s="2" t="s">
        <v>1183</v>
      </c>
      <c r="E8354" s="2" t="str">
        <f>"9783631561973"</f>
        <v>9783631561973</v>
      </c>
      <c r="F8354" s="2" t="str">
        <f>"9783631868058"</f>
        <v>9783631868058</v>
      </c>
    </row>
    <row r="8355" spans="1:6" s="3" customFormat="1" ht="29.1" customHeight="1" x14ac:dyDescent="0.25">
      <c r="A8355" s="2" t="s">
        <v>17324</v>
      </c>
      <c r="B8355" s="2" t="s">
        <v>17325</v>
      </c>
      <c r="C8355" s="2" t="s">
        <v>595</v>
      </c>
      <c r="D8355" s="2" t="s">
        <v>459</v>
      </c>
      <c r="E8355" s="2" t="str">
        <f>"9783631867297"</f>
        <v>9783631867297</v>
      </c>
      <c r="F8355" s="2" t="str">
        <f>"9783631867594"</f>
        <v>9783631867594</v>
      </c>
    </row>
    <row r="8356" spans="1:6" s="3" customFormat="1" ht="29.1" customHeight="1" x14ac:dyDescent="0.25">
      <c r="A8356" s="2" t="s">
        <v>17326</v>
      </c>
      <c r="B8356" s="2" t="s">
        <v>17327</v>
      </c>
      <c r="C8356" s="2" t="s">
        <v>595</v>
      </c>
      <c r="D8356" s="2" t="s">
        <v>636</v>
      </c>
      <c r="E8356" s="2" t="str">
        <f>"9783631866795"</f>
        <v>9783631866795</v>
      </c>
      <c r="F8356" s="2" t="str">
        <f>"9783631866801"</f>
        <v>9783631866801</v>
      </c>
    </row>
    <row r="8357" spans="1:6" s="3" customFormat="1" ht="29.1" customHeight="1" x14ac:dyDescent="0.25">
      <c r="A8357" s="2" t="s">
        <v>17328</v>
      </c>
      <c r="B8357" s="2" t="s">
        <v>17329</v>
      </c>
      <c r="C8357" s="2" t="s">
        <v>595</v>
      </c>
      <c r="D8357" s="2" t="s">
        <v>334</v>
      </c>
      <c r="E8357" s="2" t="str">
        <f>"9783631860618"</f>
        <v>9783631860618</v>
      </c>
      <c r="F8357" s="2" t="str">
        <f>"9783631864678"</f>
        <v>9783631864678</v>
      </c>
    </row>
    <row r="8358" spans="1:6" s="3" customFormat="1" ht="29.1" customHeight="1" x14ac:dyDescent="0.25">
      <c r="A8358" s="2" t="s">
        <v>17330</v>
      </c>
      <c r="B8358" s="2" t="s">
        <v>17331</v>
      </c>
      <c r="C8358" s="2" t="s">
        <v>595</v>
      </c>
      <c r="D8358" s="2" t="s">
        <v>2713</v>
      </c>
      <c r="E8358" s="2" t="str">
        <f>"9783631855010"</f>
        <v>9783631855010</v>
      </c>
      <c r="F8358" s="2" t="str">
        <f>"9783631863985"</f>
        <v>9783631863985</v>
      </c>
    </row>
    <row r="8359" spans="1:6" s="3" customFormat="1" ht="29.1" customHeight="1" x14ac:dyDescent="0.25">
      <c r="A8359" s="2" t="s">
        <v>17332</v>
      </c>
      <c r="B8359" s="2" t="s">
        <v>17333</v>
      </c>
      <c r="C8359" s="2" t="s">
        <v>595</v>
      </c>
      <c r="D8359" s="2" t="s">
        <v>72</v>
      </c>
      <c r="E8359" s="2" t="str">
        <f>"9783631840825"</f>
        <v>9783631840825</v>
      </c>
      <c r="F8359" s="2" t="str">
        <f>"9783631863688"</f>
        <v>9783631863688</v>
      </c>
    </row>
    <row r="8360" spans="1:6" s="3" customFormat="1" ht="29.1" customHeight="1" x14ac:dyDescent="0.25">
      <c r="A8360" s="2" t="s">
        <v>17334</v>
      </c>
      <c r="B8360" s="2" t="s">
        <v>17335</v>
      </c>
      <c r="C8360" s="2" t="s">
        <v>595</v>
      </c>
      <c r="D8360" s="2" t="s">
        <v>17099</v>
      </c>
      <c r="E8360" s="2" t="str">
        <f>"9783631859926"</f>
        <v>9783631859926</v>
      </c>
      <c r="F8360" s="2" t="str">
        <f>"9783631859933"</f>
        <v>9783631859933</v>
      </c>
    </row>
    <row r="8361" spans="1:6" s="3" customFormat="1" ht="29.1" customHeight="1" x14ac:dyDescent="0.25">
      <c r="A8361" s="2" t="s">
        <v>17336</v>
      </c>
      <c r="B8361" s="2" t="s">
        <v>17337</v>
      </c>
      <c r="C8361" s="2" t="s">
        <v>595</v>
      </c>
      <c r="D8361" s="2" t="s">
        <v>221</v>
      </c>
      <c r="E8361" s="2" t="str">
        <f>"9783631848586"</f>
        <v>9783631848586</v>
      </c>
      <c r="F8361" s="2" t="str">
        <f>"9783631858813"</f>
        <v>9783631858813</v>
      </c>
    </row>
    <row r="8362" spans="1:6" s="3" customFormat="1" ht="29.1" customHeight="1" x14ac:dyDescent="0.25">
      <c r="A8362" s="2" t="s">
        <v>17338</v>
      </c>
      <c r="B8362" s="2" t="s">
        <v>17339</v>
      </c>
      <c r="C8362" s="2" t="s">
        <v>595</v>
      </c>
      <c r="D8362" s="2" t="s">
        <v>210</v>
      </c>
      <c r="E8362" s="2" t="str">
        <f>"9783631856086"</f>
        <v>9783631856086</v>
      </c>
      <c r="F8362" s="2" t="str">
        <f>"9783631858370"</f>
        <v>9783631858370</v>
      </c>
    </row>
    <row r="8363" spans="1:6" s="3" customFormat="1" ht="29.1" customHeight="1" x14ac:dyDescent="0.25">
      <c r="A8363" s="2" t="s">
        <v>17340</v>
      </c>
      <c r="B8363" s="2" t="s">
        <v>17341</v>
      </c>
      <c r="C8363" s="2" t="s">
        <v>595</v>
      </c>
      <c r="D8363" s="2" t="s">
        <v>3149</v>
      </c>
      <c r="E8363" s="2" t="str">
        <f>"9783631842218"</f>
        <v>9783631842218</v>
      </c>
      <c r="F8363" s="2" t="str">
        <f>"9783631854853"</f>
        <v>9783631854853</v>
      </c>
    </row>
    <row r="8364" spans="1:6" s="3" customFormat="1" ht="29.1" customHeight="1" x14ac:dyDescent="0.25">
      <c r="A8364" s="2" t="s">
        <v>17342</v>
      </c>
      <c r="B8364" s="2" t="s">
        <v>17343</v>
      </c>
      <c r="C8364" s="2" t="s">
        <v>595</v>
      </c>
      <c r="D8364" s="2" t="s">
        <v>2307</v>
      </c>
      <c r="E8364" s="2" t="str">
        <f>"9783631846377"</f>
        <v>9783631846377</v>
      </c>
      <c r="F8364" s="2" t="str">
        <f>"9783631852408"</f>
        <v>9783631852408</v>
      </c>
    </row>
    <row r="8365" spans="1:6" s="3" customFormat="1" ht="29.1" customHeight="1" x14ac:dyDescent="0.25">
      <c r="A8365" s="2" t="s">
        <v>17344</v>
      </c>
      <c r="B8365" s="2" t="s">
        <v>17345</v>
      </c>
      <c r="C8365" s="2" t="s">
        <v>595</v>
      </c>
      <c r="D8365" s="2" t="s">
        <v>879</v>
      </c>
      <c r="E8365" s="2" t="str">
        <f>"9783631819883"</f>
        <v>9783631819883</v>
      </c>
      <c r="F8365" s="2" t="str">
        <f>"9783631849859"</f>
        <v>9783631849859</v>
      </c>
    </row>
    <row r="8366" spans="1:6" s="3" customFormat="1" ht="29.1" customHeight="1" x14ac:dyDescent="0.25">
      <c r="A8366" s="2" t="s">
        <v>17346</v>
      </c>
      <c r="B8366" s="2" t="s">
        <v>17292</v>
      </c>
      <c r="C8366" s="2" t="s">
        <v>595</v>
      </c>
      <c r="D8366" s="2" t="s">
        <v>2260</v>
      </c>
      <c r="E8366" s="2" t="str">
        <f>"9783631841631"</f>
        <v>9783631841631</v>
      </c>
      <c r="F8366" s="2" t="str">
        <f>"9783631847343"</f>
        <v>9783631847343</v>
      </c>
    </row>
    <row r="8367" spans="1:6" s="3" customFormat="1" ht="29.1" customHeight="1" x14ac:dyDescent="0.25">
      <c r="A8367" s="2" t="s">
        <v>17347</v>
      </c>
      <c r="B8367" s="2" t="s">
        <v>17348</v>
      </c>
      <c r="C8367" s="2" t="s">
        <v>595</v>
      </c>
      <c r="D8367" s="2" t="s">
        <v>2648</v>
      </c>
      <c r="E8367" s="2" t="str">
        <f>"9783631335284"</f>
        <v>9783631335284</v>
      </c>
      <c r="F8367" s="2" t="str">
        <f>"9783631842829"</f>
        <v>9783631842829</v>
      </c>
    </row>
    <row r="8368" spans="1:6" s="3" customFormat="1" ht="29.1" customHeight="1" x14ac:dyDescent="0.25">
      <c r="A8368" s="2" t="s">
        <v>17349</v>
      </c>
      <c r="B8368" s="2" t="s">
        <v>17350</v>
      </c>
      <c r="C8368" s="2" t="s">
        <v>5</v>
      </c>
      <c r="D8368" s="2" t="s">
        <v>12938</v>
      </c>
      <c r="E8368" s="2" t="str">
        <f>"9789819982196"</f>
        <v>9789819982196</v>
      </c>
      <c r="F8368" s="2" t="str">
        <f>"9789819982202"</f>
        <v>9789819982202</v>
      </c>
    </row>
    <row r="8369" spans="1:6" s="3" customFormat="1" ht="29.1" customHeight="1" x14ac:dyDescent="0.25">
      <c r="A8369" s="2" t="s">
        <v>17351</v>
      </c>
      <c r="B8369" s="2" t="s">
        <v>17352</v>
      </c>
      <c r="C8369" s="2" t="s">
        <v>5</v>
      </c>
      <c r="D8369" s="2" t="s">
        <v>81</v>
      </c>
      <c r="E8369" s="2" t="str">
        <f>"9783031448683"</f>
        <v>9783031448683</v>
      </c>
      <c r="F8369" s="2" t="str">
        <f>"9783031448690"</f>
        <v>9783031448690</v>
      </c>
    </row>
    <row r="8370" spans="1:6" s="3" customFormat="1" ht="29.1" customHeight="1" x14ac:dyDescent="0.25">
      <c r="A8370" s="2" t="s">
        <v>17353</v>
      </c>
      <c r="B8370" s="2" t="s">
        <v>17354</v>
      </c>
      <c r="C8370" s="2" t="s">
        <v>5</v>
      </c>
      <c r="D8370" s="2" t="s">
        <v>2475</v>
      </c>
      <c r="E8370" s="2" t="str">
        <f>"9789819986309"</f>
        <v>9789819986309</v>
      </c>
      <c r="F8370" s="2" t="str">
        <f>"9789819986316"</f>
        <v>9789819986316</v>
      </c>
    </row>
    <row r="8371" spans="1:6" s="3" customFormat="1" ht="29.1" customHeight="1" x14ac:dyDescent="0.25">
      <c r="A8371" s="2" t="s">
        <v>17355</v>
      </c>
      <c r="B8371" s="2" t="s">
        <v>17356</v>
      </c>
      <c r="C8371" s="2" t="s">
        <v>4269</v>
      </c>
      <c r="D8371" s="2" t="s">
        <v>4214</v>
      </c>
      <c r="E8371" s="2"/>
      <c r="F8371" s="2" t="str">
        <f>"9786258284911"</f>
        <v>9786258284911</v>
      </c>
    </row>
    <row r="8372" spans="1:6" s="3" customFormat="1" ht="29.1" customHeight="1" x14ac:dyDescent="0.25">
      <c r="A8372" s="2" t="s">
        <v>17357</v>
      </c>
      <c r="B8372" s="2" t="s">
        <v>17358</v>
      </c>
      <c r="C8372" s="2" t="s">
        <v>29</v>
      </c>
      <c r="D8372" s="2" t="s">
        <v>33</v>
      </c>
      <c r="E8372" s="2" t="str">
        <f>"9789004691124"</f>
        <v>9789004691124</v>
      </c>
      <c r="F8372" s="2" t="str">
        <f>"9789004691131"</f>
        <v>9789004691131</v>
      </c>
    </row>
    <row r="8373" spans="1:6" s="3" customFormat="1" ht="29.1" customHeight="1" x14ac:dyDescent="0.25">
      <c r="A8373" s="2" t="s">
        <v>17359</v>
      </c>
      <c r="B8373" s="2" t="s">
        <v>17360</v>
      </c>
      <c r="C8373" s="2" t="s">
        <v>595</v>
      </c>
      <c r="D8373" s="2" t="s">
        <v>270</v>
      </c>
      <c r="E8373" s="2" t="str">
        <f>"9781636673059"</f>
        <v>9781636673059</v>
      </c>
      <c r="F8373" s="2" t="str">
        <f>"9781636673035"</f>
        <v>9781636673035</v>
      </c>
    </row>
    <row r="8374" spans="1:6" s="3" customFormat="1" ht="29.1" customHeight="1" x14ac:dyDescent="0.25">
      <c r="A8374" s="2" t="s">
        <v>17361</v>
      </c>
      <c r="B8374" s="2" t="s">
        <v>17362</v>
      </c>
      <c r="C8374" s="2" t="s">
        <v>5</v>
      </c>
      <c r="D8374" s="2" t="s">
        <v>297</v>
      </c>
      <c r="E8374" s="2" t="str">
        <f>"9789464633573"</f>
        <v>9789464633573</v>
      </c>
      <c r="F8374" s="2" t="str">
        <f>"9789464633580"</f>
        <v>9789464633580</v>
      </c>
    </row>
    <row r="8375" spans="1:6" s="3" customFormat="1" ht="29.1" customHeight="1" x14ac:dyDescent="0.25">
      <c r="A8375" s="2" t="s">
        <v>17363</v>
      </c>
      <c r="B8375" s="2" t="s">
        <v>17364</v>
      </c>
      <c r="C8375" s="2" t="s">
        <v>5</v>
      </c>
      <c r="D8375" s="2" t="s">
        <v>186</v>
      </c>
      <c r="E8375" s="2" t="str">
        <f>"9789464633450"</f>
        <v>9789464633450</v>
      </c>
      <c r="F8375" s="2" t="str">
        <f>"9789464633467"</f>
        <v>9789464633467</v>
      </c>
    </row>
    <row r="8376" spans="1:6" s="3" customFormat="1" ht="29.1" customHeight="1" x14ac:dyDescent="0.25">
      <c r="A8376" s="2" t="s">
        <v>17365</v>
      </c>
      <c r="B8376" s="2" t="s">
        <v>17366</v>
      </c>
      <c r="C8376" s="2" t="s">
        <v>2188</v>
      </c>
      <c r="D8376" s="2" t="s">
        <v>1390</v>
      </c>
      <c r="E8376" s="2" t="str">
        <f>"9788323242550"</f>
        <v>9788323242550</v>
      </c>
      <c r="F8376" s="2" t="str">
        <f>"9788323242567"</f>
        <v>9788323242567</v>
      </c>
    </row>
    <row r="8377" spans="1:6" s="3" customFormat="1" ht="29.1" customHeight="1" x14ac:dyDescent="0.25">
      <c r="A8377" s="2" t="s">
        <v>17367</v>
      </c>
      <c r="B8377" s="2" t="s">
        <v>17368</v>
      </c>
      <c r="C8377" s="2" t="s">
        <v>2188</v>
      </c>
      <c r="D8377" s="2" t="s">
        <v>9</v>
      </c>
      <c r="E8377" s="2"/>
      <c r="F8377" s="2" t="str">
        <f>"9788323242529"</f>
        <v>9788323242529</v>
      </c>
    </row>
    <row r="8378" spans="1:6" s="3" customFormat="1" ht="29.1" customHeight="1" x14ac:dyDescent="0.25">
      <c r="A8378" s="2" t="s">
        <v>17369</v>
      </c>
      <c r="B8378" s="2" t="s">
        <v>17370</v>
      </c>
      <c r="C8378" s="2" t="s">
        <v>595</v>
      </c>
      <c r="D8378" s="2" t="s">
        <v>2147</v>
      </c>
      <c r="E8378" s="2" t="str">
        <f>"9781636677163"</f>
        <v>9781636677163</v>
      </c>
      <c r="F8378" s="2" t="str">
        <f>"9781636677170"</f>
        <v>9781636677170</v>
      </c>
    </row>
    <row r="8379" spans="1:6" s="3" customFormat="1" ht="29.1" customHeight="1" x14ac:dyDescent="0.25">
      <c r="A8379" s="2" t="s">
        <v>17369</v>
      </c>
      <c r="B8379" s="2" t="s">
        <v>17370</v>
      </c>
      <c r="C8379" s="2" t="s">
        <v>595</v>
      </c>
      <c r="D8379" s="2" t="s">
        <v>2147</v>
      </c>
      <c r="E8379" s="2" t="str">
        <f>"9781636677019"</f>
        <v>9781636677019</v>
      </c>
      <c r="F8379" s="2" t="str">
        <f>"9781636676982"</f>
        <v>9781636676982</v>
      </c>
    </row>
    <row r="8380" spans="1:6" s="3" customFormat="1" ht="29.1" customHeight="1" x14ac:dyDescent="0.25">
      <c r="A8380" s="2" t="s">
        <v>17371</v>
      </c>
      <c r="B8380" s="2" t="s">
        <v>17372</v>
      </c>
      <c r="C8380" s="2" t="s">
        <v>595</v>
      </c>
      <c r="D8380" s="2" t="s">
        <v>2975</v>
      </c>
      <c r="E8380" s="2" t="str">
        <f>"9783876901329"</f>
        <v>9783876901329</v>
      </c>
      <c r="F8380" s="2" t="str">
        <f>"9783954792993"</f>
        <v>9783954792993</v>
      </c>
    </row>
    <row r="8381" spans="1:6" s="3" customFormat="1" ht="29.1" customHeight="1" x14ac:dyDescent="0.25">
      <c r="A8381" s="2" t="s">
        <v>17373</v>
      </c>
      <c r="B8381" s="2" t="s">
        <v>17374</v>
      </c>
      <c r="C8381" s="2" t="s">
        <v>595</v>
      </c>
      <c r="D8381" s="2" t="s">
        <v>334</v>
      </c>
      <c r="E8381" s="2" t="str">
        <f>"9781800797031"</f>
        <v>9781800797031</v>
      </c>
      <c r="F8381" s="2" t="str">
        <f>"9781800797048"</f>
        <v>9781800797048</v>
      </c>
    </row>
    <row r="8382" spans="1:6" s="3" customFormat="1" ht="29.1" customHeight="1" x14ac:dyDescent="0.25">
      <c r="A8382" s="2" t="s">
        <v>17375</v>
      </c>
      <c r="B8382" s="2" t="s">
        <v>17376</v>
      </c>
      <c r="C8382" s="2" t="s">
        <v>595</v>
      </c>
      <c r="D8382" s="2" t="s">
        <v>2045</v>
      </c>
      <c r="E8382" s="2" t="str">
        <f>"9782875749017"</f>
        <v>9782875749017</v>
      </c>
      <c r="F8382" s="2" t="str">
        <f>"9782875749024"</f>
        <v>9782875749024</v>
      </c>
    </row>
    <row r="8383" spans="1:6" s="3" customFormat="1" ht="29.1" customHeight="1" x14ac:dyDescent="0.25">
      <c r="A8383" s="2" t="s">
        <v>17377</v>
      </c>
      <c r="B8383" s="2" t="s">
        <v>17378</v>
      </c>
      <c r="C8383" s="2" t="s">
        <v>595</v>
      </c>
      <c r="D8383" s="2" t="s">
        <v>10563</v>
      </c>
      <c r="E8383" s="2" t="str">
        <f>"9783034346399"</f>
        <v>9783034346399</v>
      </c>
      <c r="F8383" s="2" t="str">
        <f>"9783034347051"</f>
        <v>9783034347051</v>
      </c>
    </row>
    <row r="8384" spans="1:6" s="3" customFormat="1" ht="29.1" customHeight="1" x14ac:dyDescent="0.25">
      <c r="A8384" s="2" t="s">
        <v>17379</v>
      </c>
      <c r="B8384" s="2" t="s">
        <v>17380</v>
      </c>
      <c r="C8384" s="2" t="s">
        <v>595</v>
      </c>
      <c r="D8384" s="2" t="s">
        <v>2810</v>
      </c>
      <c r="E8384" s="2" t="str">
        <f>"9783631869628"</f>
        <v>9783631869628</v>
      </c>
      <c r="F8384" s="2" t="str">
        <f>"9783631904602"</f>
        <v>9783631904602</v>
      </c>
    </row>
    <row r="8385" spans="1:6" s="3" customFormat="1" ht="29.1" customHeight="1" x14ac:dyDescent="0.25">
      <c r="A8385" s="2" t="s">
        <v>17381</v>
      </c>
      <c r="B8385" s="2" t="s">
        <v>17382</v>
      </c>
      <c r="C8385" s="2" t="s">
        <v>595</v>
      </c>
      <c r="D8385" s="2" t="s">
        <v>3052</v>
      </c>
      <c r="E8385" s="2" t="str">
        <f>"9783631894132"</f>
        <v>9783631894132</v>
      </c>
      <c r="F8385" s="2" t="str">
        <f>"9783631894149"</f>
        <v>9783631894149</v>
      </c>
    </row>
    <row r="8386" spans="1:6" s="3" customFormat="1" ht="29.1" customHeight="1" x14ac:dyDescent="0.25">
      <c r="A8386" s="2" t="s">
        <v>17383</v>
      </c>
      <c r="B8386" s="2" t="s">
        <v>17384</v>
      </c>
      <c r="C8386" s="2" t="s">
        <v>595</v>
      </c>
      <c r="D8386" s="2" t="s">
        <v>459</v>
      </c>
      <c r="E8386" s="2" t="str">
        <f>"9783631883860"</f>
        <v>9783631883860</v>
      </c>
      <c r="F8386" s="2" t="str">
        <f>"9783631883877"</f>
        <v>9783631883877</v>
      </c>
    </row>
    <row r="8387" spans="1:6" s="3" customFormat="1" ht="29.1" customHeight="1" x14ac:dyDescent="0.25">
      <c r="A8387" s="2" t="s">
        <v>17385</v>
      </c>
      <c r="B8387" s="2" t="s">
        <v>17386</v>
      </c>
      <c r="C8387" s="2" t="s">
        <v>239</v>
      </c>
      <c r="D8387" s="2" t="s">
        <v>7766</v>
      </c>
      <c r="E8387" s="2" t="str">
        <f>"9780520399181"</f>
        <v>9780520399181</v>
      </c>
      <c r="F8387" s="2" t="str">
        <f>"9780520399198"</f>
        <v>9780520399198</v>
      </c>
    </row>
    <row r="8388" spans="1:6" s="3" customFormat="1" ht="29.1" customHeight="1" x14ac:dyDescent="0.25">
      <c r="A8388" s="2" t="s">
        <v>17387</v>
      </c>
      <c r="B8388" s="2" t="s">
        <v>17388</v>
      </c>
      <c r="C8388" s="2" t="s">
        <v>5</v>
      </c>
      <c r="D8388" s="2" t="s">
        <v>1913</v>
      </c>
      <c r="E8388" s="2" t="str">
        <f>"9783031441226"</f>
        <v>9783031441226</v>
      </c>
      <c r="F8388" s="2" t="str">
        <f>"9783031441233"</f>
        <v>9783031441233</v>
      </c>
    </row>
    <row r="8389" spans="1:6" s="3" customFormat="1" ht="29.1" customHeight="1" x14ac:dyDescent="0.25">
      <c r="A8389" s="2" t="s">
        <v>17389</v>
      </c>
      <c r="B8389" s="2" t="s">
        <v>17390</v>
      </c>
      <c r="C8389" s="2" t="s">
        <v>5</v>
      </c>
      <c r="D8389" s="2" t="s">
        <v>210</v>
      </c>
      <c r="E8389" s="2" t="str">
        <f>"9782384761852"</f>
        <v>9782384761852</v>
      </c>
      <c r="F8389" s="2" t="str">
        <f>"9782384761869"</f>
        <v>9782384761869</v>
      </c>
    </row>
    <row r="8390" spans="1:6" s="3" customFormat="1" ht="29.1" customHeight="1" x14ac:dyDescent="0.25">
      <c r="A8390" s="2" t="s">
        <v>17391</v>
      </c>
      <c r="B8390" s="2" t="s">
        <v>17392</v>
      </c>
      <c r="C8390" s="2" t="s">
        <v>239</v>
      </c>
      <c r="D8390" s="2" t="s">
        <v>12</v>
      </c>
      <c r="E8390" s="2" t="str">
        <f>"9780520397200"</f>
        <v>9780520397200</v>
      </c>
      <c r="F8390" s="2" t="str">
        <f>"9780520397217"</f>
        <v>9780520397217</v>
      </c>
    </row>
    <row r="8391" spans="1:6" s="3" customFormat="1" ht="29.1" customHeight="1" x14ac:dyDescent="0.25">
      <c r="A8391" s="2" t="s">
        <v>17393</v>
      </c>
      <c r="B8391" s="2" t="s">
        <v>17394</v>
      </c>
      <c r="C8391" s="2" t="s">
        <v>5</v>
      </c>
      <c r="D8391" s="2" t="s">
        <v>81</v>
      </c>
      <c r="E8391" s="2" t="str">
        <f>"9789464633511"</f>
        <v>9789464633511</v>
      </c>
      <c r="F8391" s="2" t="str">
        <f>"9789464633528"</f>
        <v>9789464633528</v>
      </c>
    </row>
    <row r="8392" spans="1:6" s="3" customFormat="1" ht="29.1" customHeight="1" x14ac:dyDescent="0.25">
      <c r="A8392" s="2" t="s">
        <v>17395</v>
      </c>
      <c r="B8392" s="2" t="s">
        <v>17396</v>
      </c>
      <c r="C8392" s="2" t="s">
        <v>5</v>
      </c>
      <c r="D8392" s="2" t="s">
        <v>141</v>
      </c>
      <c r="E8392" s="2" t="str">
        <f>"9789464633498"</f>
        <v>9789464633498</v>
      </c>
      <c r="F8392" s="2" t="str">
        <f>"9789464633504"</f>
        <v>9789464633504</v>
      </c>
    </row>
    <row r="8393" spans="1:6" s="3" customFormat="1" ht="29.1" customHeight="1" x14ac:dyDescent="0.25">
      <c r="A8393" s="2" t="s">
        <v>17397</v>
      </c>
      <c r="B8393" s="2" t="s">
        <v>17399</v>
      </c>
      <c r="C8393" s="2" t="s">
        <v>5</v>
      </c>
      <c r="D8393" s="2" t="s">
        <v>17398</v>
      </c>
      <c r="E8393" s="2" t="str">
        <f>"9789464633436"</f>
        <v>9789464633436</v>
      </c>
      <c r="F8393" s="2" t="str">
        <f>"9789464633443"</f>
        <v>9789464633443</v>
      </c>
    </row>
    <row r="8394" spans="1:6" s="3" customFormat="1" ht="29.1" customHeight="1" x14ac:dyDescent="0.25">
      <c r="A8394" s="2" t="s">
        <v>17400</v>
      </c>
      <c r="B8394" s="2" t="s">
        <v>17401</v>
      </c>
      <c r="C8394" s="2" t="s">
        <v>5</v>
      </c>
      <c r="D8394" s="2" t="s">
        <v>317</v>
      </c>
      <c r="E8394" s="2" t="str">
        <f>"9783031495069"</f>
        <v>9783031495069</v>
      </c>
      <c r="F8394" s="2" t="str">
        <f>"9783031495076"</f>
        <v>9783031495076</v>
      </c>
    </row>
    <row r="8395" spans="1:6" s="3" customFormat="1" ht="29.1" customHeight="1" x14ac:dyDescent="0.25">
      <c r="A8395" s="2" t="s">
        <v>17402</v>
      </c>
      <c r="B8395" s="2" t="s">
        <v>17403</v>
      </c>
      <c r="C8395" s="2" t="s">
        <v>29</v>
      </c>
      <c r="D8395" s="2" t="s">
        <v>937</v>
      </c>
      <c r="E8395" s="2" t="str">
        <f>"9789004315990"</f>
        <v>9789004315990</v>
      </c>
      <c r="F8395" s="2" t="str">
        <f>"9789004390492"</f>
        <v>9789004390492</v>
      </c>
    </row>
    <row r="8396" spans="1:6" s="3" customFormat="1" ht="29.1" customHeight="1" x14ac:dyDescent="0.25">
      <c r="A8396" s="2" t="s">
        <v>17404</v>
      </c>
      <c r="B8396" s="2" t="s">
        <v>17405</v>
      </c>
      <c r="C8396" s="2" t="s">
        <v>55</v>
      </c>
      <c r="D8396" s="2" t="s">
        <v>218</v>
      </c>
      <c r="E8396" s="2" t="str">
        <f>"9781526174697"</f>
        <v>9781526174697</v>
      </c>
      <c r="F8396" s="2" t="str">
        <f>"9781526174680"</f>
        <v>9781526174680</v>
      </c>
    </row>
    <row r="8397" spans="1:6" s="3" customFormat="1" ht="29.1" customHeight="1" x14ac:dyDescent="0.25">
      <c r="A8397" s="2" t="s">
        <v>17406</v>
      </c>
      <c r="B8397" s="2" t="s">
        <v>17407</v>
      </c>
      <c r="C8397" s="2" t="s">
        <v>55</v>
      </c>
      <c r="D8397" s="2" t="s">
        <v>674</v>
      </c>
      <c r="E8397" s="2" t="str">
        <f>"9781526165756"</f>
        <v>9781526165756</v>
      </c>
      <c r="F8397" s="2" t="str">
        <f>"9781526165763"</f>
        <v>9781526165763</v>
      </c>
    </row>
    <row r="8398" spans="1:6" s="3" customFormat="1" ht="29.1" customHeight="1" x14ac:dyDescent="0.25">
      <c r="A8398" s="2" t="s">
        <v>17408</v>
      </c>
      <c r="B8398" s="2" t="s">
        <v>17409</v>
      </c>
      <c r="C8398" s="2" t="s">
        <v>55</v>
      </c>
      <c r="D8398" s="2" t="s">
        <v>324</v>
      </c>
      <c r="E8398" s="2" t="str">
        <f>"9781526172679"</f>
        <v>9781526172679</v>
      </c>
      <c r="F8398" s="2" t="str">
        <f>"9781526172686"</f>
        <v>9781526172686</v>
      </c>
    </row>
    <row r="8399" spans="1:6" s="3" customFormat="1" ht="29.1" customHeight="1" x14ac:dyDescent="0.25">
      <c r="A8399" s="2" t="s">
        <v>17410</v>
      </c>
      <c r="B8399" s="2" t="s">
        <v>17412</v>
      </c>
      <c r="C8399" s="2" t="s">
        <v>239</v>
      </c>
      <c r="D8399" s="2" t="s">
        <v>17411</v>
      </c>
      <c r="E8399" s="2" t="str">
        <f>"9780520390195"</f>
        <v>9780520390195</v>
      </c>
      <c r="F8399" s="2" t="str">
        <f>"9780520390201"</f>
        <v>9780520390201</v>
      </c>
    </row>
    <row r="8400" spans="1:6" s="3" customFormat="1" ht="29.1" customHeight="1" x14ac:dyDescent="0.25">
      <c r="A8400" s="2" t="s">
        <v>17413</v>
      </c>
      <c r="B8400" s="2" t="s">
        <v>17414</v>
      </c>
      <c r="C8400" s="2" t="s">
        <v>5</v>
      </c>
      <c r="D8400" s="2" t="s">
        <v>509</v>
      </c>
      <c r="E8400" s="2" t="str">
        <f>"9783031403743"</f>
        <v>9783031403743</v>
      </c>
      <c r="F8400" s="2" t="str">
        <f>"9783031403750"</f>
        <v>9783031403750</v>
      </c>
    </row>
    <row r="8401" spans="1:6" s="3" customFormat="1" ht="29.1" customHeight="1" x14ac:dyDescent="0.25">
      <c r="A8401" s="2" t="s">
        <v>17415</v>
      </c>
      <c r="B8401" s="2" t="s">
        <v>17416</v>
      </c>
      <c r="C8401" s="2" t="s">
        <v>264</v>
      </c>
      <c r="D8401" s="2" t="s">
        <v>1908</v>
      </c>
      <c r="E8401" s="2" t="str">
        <f>"9781032438078"</f>
        <v>9781032438078</v>
      </c>
      <c r="F8401" s="2" t="str">
        <f>"9781003368939"</f>
        <v>9781003368939</v>
      </c>
    </row>
    <row r="8402" spans="1:6" s="3" customFormat="1" ht="29.1" customHeight="1" x14ac:dyDescent="0.25">
      <c r="A8402" s="2" t="s">
        <v>17417</v>
      </c>
      <c r="B8402" s="2" t="s">
        <v>17418</v>
      </c>
      <c r="C8402" s="2" t="s">
        <v>264</v>
      </c>
      <c r="D8402" s="2" t="s">
        <v>1717</v>
      </c>
      <c r="E8402" s="2" t="str">
        <f>"9781032755700"</f>
        <v>9781032755700</v>
      </c>
      <c r="F8402" s="2" t="str">
        <f>"9781003474586"</f>
        <v>9781003474586</v>
      </c>
    </row>
    <row r="8403" spans="1:6" s="3" customFormat="1" ht="29.1" customHeight="1" x14ac:dyDescent="0.25">
      <c r="A8403" s="2" t="s">
        <v>17419</v>
      </c>
      <c r="B8403" s="2" t="s">
        <v>17420</v>
      </c>
      <c r="C8403" s="2" t="s">
        <v>124</v>
      </c>
      <c r="D8403" s="2" t="s">
        <v>484</v>
      </c>
      <c r="E8403" s="2" t="str">
        <f>"9781032676531"</f>
        <v>9781032676531</v>
      </c>
      <c r="F8403" s="2" t="str">
        <f>"9781032726830"</f>
        <v>9781032726830</v>
      </c>
    </row>
    <row r="8404" spans="1:6" s="3" customFormat="1" ht="29.1" customHeight="1" x14ac:dyDescent="0.25">
      <c r="A8404" s="2" t="s">
        <v>17421</v>
      </c>
      <c r="B8404" s="2" t="s">
        <v>14156</v>
      </c>
      <c r="C8404" s="2" t="s">
        <v>124</v>
      </c>
      <c r="D8404" s="2" t="s">
        <v>1560</v>
      </c>
      <c r="E8404" s="2" t="str">
        <f>"9781032769721"</f>
        <v>9781032769721</v>
      </c>
      <c r="F8404" s="2" t="str">
        <f>"9781003490234"</f>
        <v>9781003490234</v>
      </c>
    </row>
    <row r="8405" spans="1:6" s="3" customFormat="1" ht="29.1" customHeight="1" x14ac:dyDescent="0.25">
      <c r="A8405" s="2" t="s">
        <v>17422</v>
      </c>
      <c r="B8405" s="2" t="s">
        <v>17423</v>
      </c>
      <c r="C8405" s="2" t="s">
        <v>124</v>
      </c>
      <c r="D8405" s="2" t="s">
        <v>7079</v>
      </c>
      <c r="E8405" s="2" t="str">
        <f>"9781032599045"</f>
        <v>9781032599045</v>
      </c>
      <c r="F8405" s="2" t="str">
        <f>"9781003459026"</f>
        <v>9781003459026</v>
      </c>
    </row>
    <row r="8406" spans="1:6" s="3" customFormat="1" ht="29.1" customHeight="1" x14ac:dyDescent="0.25">
      <c r="A8406" s="2" t="s">
        <v>17424</v>
      </c>
      <c r="B8406" s="2" t="s">
        <v>17425</v>
      </c>
      <c r="C8406" s="2" t="s">
        <v>124</v>
      </c>
      <c r="D8406" s="2" t="s">
        <v>509</v>
      </c>
      <c r="E8406" s="2" t="str">
        <f>"9781032364414"</f>
        <v>9781032364414</v>
      </c>
      <c r="F8406" s="2" t="str">
        <f>"9781003331971"</f>
        <v>9781003331971</v>
      </c>
    </row>
    <row r="8407" spans="1:6" s="3" customFormat="1" ht="29.1" customHeight="1" x14ac:dyDescent="0.25">
      <c r="A8407" s="2" t="s">
        <v>17426</v>
      </c>
      <c r="B8407" s="2" t="s">
        <v>17427</v>
      </c>
      <c r="C8407" s="2" t="s">
        <v>124</v>
      </c>
      <c r="D8407" s="2" t="s">
        <v>6128</v>
      </c>
      <c r="E8407" s="2" t="str">
        <f>"9781032630397"</f>
        <v>9781032630397</v>
      </c>
      <c r="F8407" s="2" t="str">
        <f>"9781032630410"</f>
        <v>9781032630410</v>
      </c>
    </row>
    <row r="8408" spans="1:6" s="3" customFormat="1" ht="29.1" customHeight="1" x14ac:dyDescent="0.25">
      <c r="A8408" s="2" t="s">
        <v>17428</v>
      </c>
      <c r="B8408" s="2" t="s">
        <v>17429</v>
      </c>
      <c r="C8408" s="2" t="s">
        <v>124</v>
      </c>
      <c r="D8408" s="2" t="s">
        <v>9</v>
      </c>
      <c r="E8408" s="2" t="str">
        <f>"9780367760656"</f>
        <v>9780367760656</v>
      </c>
      <c r="F8408" s="2" t="str">
        <f>"9781003171577"</f>
        <v>9781003171577</v>
      </c>
    </row>
    <row r="8409" spans="1:6" s="3" customFormat="1" ht="29.1" customHeight="1" x14ac:dyDescent="0.25">
      <c r="A8409" s="2" t="s">
        <v>17430</v>
      </c>
      <c r="B8409" s="2" t="s">
        <v>17432</v>
      </c>
      <c r="C8409" s="2" t="s">
        <v>124</v>
      </c>
      <c r="D8409" s="2" t="s">
        <v>17431</v>
      </c>
      <c r="E8409" s="2" t="str">
        <f>"9781032604954"</f>
        <v>9781032604954</v>
      </c>
      <c r="F8409" s="2" t="str">
        <f>"9781003459460"</f>
        <v>9781003459460</v>
      </c>
    </row>
    <row r="8410" spans="1:6" s="3" customFormat="1" ht="29.1" customHeight="1" x14ac:dyDescent="0.25">
      <c r="A8410" s="2" t="s">
        <v>17433</v>
      </c>
      <c r="B8410" s="2" t="s">
        <v>17434</v>
      </c>
      <c r="C8410" s="2" t="s">
        <v>124</v>
      </c>
      <c r="D8410" s="2" t="s">
        <v>9</v>
      </c>
      <c r="E8410" s="2" t="str">
        <f>"9781032678092"</f>
        <v>9781032678092</v>
      </c>
      <c r="F8410" s="2" t="str">
        <f>"9781032694283"</f>
        <v>9781032694283</v>
      </c>
    </row>
    <row r="8411" spans="1:6" s="3" customFormat="1" ht="29.1" customHeight="1" x14ac:dyDescent="0.25">
      <c r="A8411" s="2" t="s">
        <v>17435</v>
      </c>
      <c r="B8411" s="2" t="s">
        <v>17436</v>
      </c>
      <c r="C8411" s="2" t="s">
        <v>124</v>
      </c>
      <c r="D8411" s="2" t="s">
        <v>5706</v>
      </c>
      <c r="E8411" s="2" t="str">
        <f>"9781032671376"</f>
        <v>9781032671376</v>
      </c>
      <c r="F8411" s="2" t="str">
        <f>"9781032673035"</f>
        <v>9781032673035</v>
      </c>
    </row>
    <row r="8412" spans="1:6" s="3" customFormat="1" ht="29.1" customHeight="1" x14ac:dyDescent="0.25">
      <c r="A8412" s="2" t="s">
        <v>17437</v>
      </c>
      <c r="B8412" s="2" t="s">
        <v>17438</v>
      </c>
      <c r="C8412" s="2" t="s">
        <v>124</v>
      </c>
      <c r="D8412" s="2" t="s">
        <v>37</v>
      </c>
      <c r="E8412" s="2" t="str">
        <f>"9781032690254"</f>
        <v>9781032690254</v>
      </c>
      <c r="F8412" s="2" t="str">
        <f>"9781032690278"</f>
        <v>9781032690278</v>
      </c>
    </row>
    <row r="8413" spans="1:6" s="3" customFormat="1" ht="29.1" customHeight="1" x14ac:dyDescent="0.25">
      <c r="A8413" s="2" t="s">
        <v>17439</v>
      </c>
      <c r="B8413" s="2" t="s">
        <v>3618</v>
      </c>
      <c r="C8413" s="2" t="s">
        <v>124</v>
      </c>
      <c r="D8413" s="2" t="s">
        <v>98</v>
      </c>
      <c r="E8413" s="2" t="str">
        <f>"9781032787282"</f>
        <v>9781032787282</v>
      </c>
      <c r="F8413" s="2" t="str">
        <f>"9781003490470"</f>
        <v>9781003490470</v>
      </c>
    </row>
    <row r="8414" spans="1:6" s="3" customFormat="1" ht="29.1" customHeight="1" x14ac:dyDescent="0.25">
      <c r="A8414" s="2" t="s">
        <v>17440</v>
      </c>
      <c r="B8414" s="2" t="s">
        <v>17441</v>
      </c>
      <c r="C8414" s="2" t="s">
        <v>124</v>
      </c>
      <c r="D8414" s="2" t="s">
        <v>287</v>
      </c>
      <c r="E8414" s="2" t="str">
        <f>"9781032752297"</f>
        <v>9781032752297</v>
      </c>
      <c r="F8414" s="2" t="str">
        <f>"9781003473022"</f>
        <v>9781003473022</v>
      </c>
    </row>
    <row r="8415" spans="1:6" s="3" customFormat="1" ht="29.1" customHeight="1" x14ac:dyDescent="0.25">
      <c r="A8415" s="2" t="s">
        <v>17442</v>
      </c>
      <c r="B8415" s="2" t="s">
        <v>17443</v>
      </c>
      <c r="C8415" s="2" t="s">
        <v>124</v>
      </c>
      <c r="D8415" s="2" t="s">
        <v>2391</v>
      </c>
      <c r="E8415" s="2" t="str">
        <f>"9781032431369"</f>
        <v>9781032431369</v>
      </c>
      <c r="F8415" s="2" t="str">
        <f>"9781003365815"</f>
        <v>9781003365815</v>
      </c>
    </row>
    <row r="8416" spans="1:6" s="3" customFormat="1" ht="29.1" customHeight="1" x14ac:dyDescent="0.25">
      <c r="A8416" s="2" t="s">
        <v>17444</v>
      </c>
      <c r="B8416" s="2" t="s">
        <v>17445</v>
      </c>
      <c r="C8416" s="2" t="s">
        <v>124</v>
      </c>
      <c r="D8416" s="2" t="s">
        <v>984</v>
      </c>
      <c r="E8416" s="2" t="str">
        <f>"9781032597164"</f>
        <v>9781032597164</v>
      </c>
      <c r="F8416" s="2" t="str">
        <f>"9781003456339"</f>
        <v>9781003456339</v>
      </c>
    </row>
    <row r="8417" spans="1:6" s="3" customFormat="1" ht="29.1" customHeight="1" x14ac:dyDescent="0.25">
      <c r="A8417" s="2" t="s">
        <v>17446</v>
      </c>
      <c r="B8417" s="2" t="s">
        <v>17448</v>
      </c>
      <c r="C8417" s="2" t="s">
        <v>124</v>
      </c>
      <c r="D8417" s="2" t="s">
        <v>17447</v>
      </c>
      <c r="E8417" s="2" t="str">
        <f>"9781032650623"</f>
        <v>9781032650623</v>
      </c>
      <c r="F8417" s="2" t="str">
        <f>"9781032665559"</f>
        <v>9781032665559</v>
      </c>
    </row>
    <row r="8418" spans="1:6" s="3" customFormat="1" ht="29.1" customHeight="1" x14ac:dyDescent="0.25">
      <c r="A8418" s="2" t="s">
        <v>17449</v>
      </c>
      <c r="B8418" s="2" t="s">
        <v>17450</v>
      </c>
      <c r="C8418" s="2" t="s">
        <v>124</v>
      </c>
      <c r="D8418" s="2" t="s">
        <v>1697</v>
      </c>
      <c r="E8418" s="2" t="str">
        <f>"9781032444994"</f>
        <v>9781032444994</v>
      </c>
      <c r="F8418" s="2" t="str">
        <f>"9781003372462"</f>
        <v>9781003372462</v>
      </c>
    </row>
    <row r="8419" spans="1:6" s="3" customFormat="1" ht="29.1" customHeight="1" x14ac:dyDescent="0.25">
      <c r="A8419" s="2" t="s">
        <v>17451</v>
      </c>
      <c r="B8419" s="2" t="s">
        <v>17452</v>
      </c>
      <c r="C8419" s="2" t="s">
        <v>124</v>
      </c>
      <c r="D8419" s="2" t="s">
        <v>6829</v>
      </c>
      <c r="E8419" s="2" t="str">
        <f>"9781032580906"</f>
        <v>9781032580906</v>
      </c>
      <c r="F8419" s="2" t="str">
        <f>"9781003448907"</f>
        <v>9781003448907</v>
      </c>
    </row>
    <row r="8420" spans="1:6" s="3" customFormat="1" ht="29.1" customHeight="1" x14ac:dyDescent="0.25">
      <c r="A8420" s="2" t="s">
        <v>17453</v>
      </c>
      <c r="B8420" s="2" t="s">
        <v>17454</v>
      </c>
      <c r="C8420" s="2" t="s">
        <v>124</v>
      </c>
      <c r="D8420" s="2" t="s">
        <v>86</v>
      </c>
      <c r="E8420" s="2" t="str">
        <f>"9781032466620"</f>
        <v>9781032466620</v>
      </c>
      <c r="F8420" s="2" t="str">
        <f>"9781003382720"</f>
        <v>9781003382720</v>
      </c>
    </row>
    <row r="8421" spans="1:6" s="3" customFormat="1" ht="29.1" customHeight="1" x14ac:dyDescent="0.25">
      <c r="A8421" s="2" t="s">
        <v>17455</v>
      </c>
      <c r="B8421" s="2" t="s">
        <v>17456</v>
      </c>
      <c r="C8421" s="2" t="s">
        <v>124</v>
      </c>
      <c r="D8421" s="2" t="s">
        <v>3814</v>
      </c>
      <c r="E8421" s="2" t="str">
        <f>"9781032458441"</f>
        <v>9781032458441</v>
      </c>
      <c r="F8421" s="2" t="str">
        <f>"9781003378969"</f>
        <v>9781003378969</v>
      </c>
    </row>
    <row r="8422" spans="1:6" s="3" customFormat="1" ht="29.1" customHeight="1" x14ac:dyDescent="0.25">
      <c r="A8422" s="2" t="s">
        <v>17457</v>
      </c>
      <c r="B8422" s="2" t="s">
        <v>17458</v>
      </c>
      <c r="C8422" s="2" t="s">
        <v>124</v>
      </c>
      <c r="D8422" s="2" t="s">
        <v>868</v>
      </c>
      <c r="E8422" s="2" t="str">
        <f>"9780367752705"</f>
        <v>9780367752705</v>
      </c>
      <c r="F8422" s="2" t="str">
        <f>"9781003161776"</f>
        <v>9781003161776</v>
      </c>
    </row>
    <row r="8423" spans="1:6" s="3" customFormat="1" ht="29.1" customHeight="1" x14ac:dyDescent="0.25">
      <c r="A8423" s="2" t="s">
        <v>17459</v>
      </c>
      <c r="B8423" s="2" t="s">
        <v>17460</v>
      </c>
      <c r="C8423" s="2" t="s">
        <v>124</v>
      </c>
      <c r="D8423" s="2" t="s">
        <v>2016</v>
      </c>
      <c r="E8423" s="2" t="str">
        <f>"9781032718873"</f>
        <v>9781032718873</v>
      </c>
      <c r="F8423" s="2" t="str">
        <f>"9781032718897"</f>
        <v>9781032718897</v>
      </c>
    </row>
    <row r="8424" spans="1:6" s="3" customFormat="1" ht="29.1" customHeight="1" x14ac:dyDescent="0.25">
      <c r="A8424" s="2" t="s">
        <v>17461</v>
      </c>
      <c r="B8424" s="2" t="s">
        <v>17462</v>
      </c>
      <c r="C8424" s="2" t="s">
        <v>124</v>
      </c>
      <c r="D8424" s="2" t="s">
        <v>431</v>
      </c>
      <c r="E8424" s="2" t="str">
        <f>"9781032472089"</f>
        <v>9781032472089</v>
      </c>
      <c r="F8424" s="2" t="str">
        <f>"9781003385097"</f>
        <v>9781003385097</v>
      </c>
    </row>
    <row r="8425" spans="1:6" s="3" customFormat="1" ht="29.1" customHeight="1" x14ac:dyDescent="0.25">
      <c r="A8425" s="2" t="s">
        <v>17463</v>
      </c>
      <c r="B8425" s="2" t="s">
        <v>17464</v>
      </c>
      <c r="C8425" s="2" t="s">
        <v>124</v>
      </c>
      <c r="D8425" s="2" t="s">
        <v>210</v>
      </c>
      <c r="E8425" s="2" t="str">
        <f>"9781032215143"</f>
        <v>9781032215143</v>
      </c>
      <c r="F8425" s="2" t="str">
        <f>"9781003272267"</f>
        <v>9781003272267</v>
      </c>
    </row>
    <row r="8426" spans="1:6" s="3" customFormat="1" ht="29.1" customHeight="1" x14ac:dyDescent="0.25">
      <c r="A8426" s="2" t="s">
        <v>17465</v>
      </c>
      <c r="B8426" s="2" t="s">
        <v>17466</v>
      </c>
      <c r="C8426" s="2" t="s">
        <v>124</v>
      </c>
      <c r="D8426" s="2" t="s">
        <v>11989</v>
      </c>
      <c r="E8426" s="2" t="str">
        <f>"9781032368078"</f>
        <v>9781032368078</v>
      </c>
      <c r="F8426" s="2" t="str">
        <f>"9781003333869"</f>
        <v>9781003333869</v>
      </c>
    </row>
    <row r="8427" spans="1:6" s="3" customFormat="1" ht="29.1" customHeight="1" x14ac:dyDescent="0.25">
      <c r="A8427" s="2" t="s">
        <v>17467</v>
      </c>
      <c r="B8427" s="2" t="s">
        <v>17468</v>
      </c>
      <c r="C8427" s="2" t="s">
        <v>29</v>
      </c>
      <c r="D8427" s="2" t="s">
        <v>6548</v>
      </c>
      <c r="E8427" s="2" t="str">
        <f>"9789004548534"</f>
        <v>9789004548534</v>
      </c>
      <c r="F8427" s="2" t="str">
        <f>"9789004680302"</f>
        <v>9789004680302</v>
      </c>
    </row>
    <row r="8428" spans="1:6" s="3" customFormat="1" ht="29.1" customHeight="1" x14ac:dyDescent="0.25">
      <c r="A8428" s="2" t="s">
        <v>17469</v>
      </c>
      <c r="B8428" s="2" t="s">
        <v>17470</v>
      </c>
      <c r="C8428" s="2" t="s">
        <v>7163</v>
      </c>
      <c r="D8428" s="2" t="s">
        <v>5571</v>
      </c>
      <c r="E8428" s="2" t="str">
        <f>"9781643364834"</f>
        <v>9781643364834</v>
      </c>
      <c r="F8428" s="2" t="str">
        <f>"9781643364841"</f>
        <v>9781643364841</v>
      </c>
    </row>
    <row r="8429" spans="1:6" s="3" customFormat="1" ht="29.1" customHeight="1" x14ac:dyDescent="0.25">
      <c r="A8429" s="2" t="s">
        <v>11523</v>
      </c>
      <c r="B8429" s="2" t="s">
        <v>11524</v>
      </c>
      <c r="C8429" s="2" t="s">
        <v>7163</v>
      </c>
      <c r="D8429" s="2" t="s">
        <v>5571</v>
      </c>
      <c r="E8429" s="2" t="str">
        <f>"9781643364636"</f>
        <v>9781643364636</v>
      </c>
      <c r="F8429" s="2" t="str">
        <f>"9781643364643"</f>
        <v>9781643364643</v>
      </c>
    </row>
    <row r="8430" spans="1:6" s="3" customFormat="1" ht="29.1" customHeight="1" x14ac:dyDescent="0.25">
      <c r="A8430" s="2" t="s">
        <v>17471</v>
      </c>
      <c r="B8430" s="2" t="s">
        <v>17472</v>
      </c>
      <c r="C8430" s="2" t="s">
        <v>4269</v>
      </c>
      <c r="D8430" s="2" t="s">
        <v>3958</v>
      </c>
      <c r="E8430" s="2"/>
      <c r="F8430" s="2" t="str">
        <f>"9786258284904"</f>
        <v>9786258284904</v>
      </c>
    </row>
    <row r="8431" spans="1:6" s="3" customFormat="1" ht="29.1" customHeight="1" x14ac:dyDescent="0.25">
      <c r="A8431" s="2" t="s">
        <v>17473</v>
      </c>
      <c r="B8431" s="2" t="s">
        <v>17474</v>
      </c>
      <c r="C8431" s="2" t="s">
        <v>4269</v>
      </c>
      <c r="D8431" s="2" t="s">
        <v>15</v>
      </c>
      <c r="E8431" s="2"/>
      <c r="F8431" s="2" t="str">
        <f>"9786258284928"</f>
        <v>9786258284928</v>
      </c>
    </row>
    <row r="8432" spans="1:6" s="3" customFormat="1" ht="29.1" customHeight="1" x14ac:dyDescent="0.25">
      <c r="A8432" s="2" t="s">
        <v>17475</v>
      </c>
      <c r="B8432" s="2" t="s">
        <v>17476</v>
      </c>
      <c r="C8432" s="2" t="s">
        <v>4269</v>
      </c>
      <c r="D8432" s="2" t="s">
        <v>4030</v>
      </c>
      <c r="E8432" s="2"/>
      <c r="F8432" s="2" t="str">
        <f>"9786258284935"</f>
        <v>9786258284935</v>
      </c>
    </row>
    <row r="8433" spans="1:6" s="3" customFormat="1" ht="29.1" customHeight="1" x14ac:dyDescent="0.25">
      <c r="A8433" s="2" t="s">
        <v>17477</v>
      </c>
      <c r="B8433" s="2" t="s">
        <v>17478</v>
      </c>
      <c r="C8433" s="2" t="s">
        <v>124</v>
      </c>
      <c r="D8433" s="2" t="s">
        <v>37</v>
      </c>
      <c r="E8433" s="2" t="str">
        <f>"9781032405001"</f>
        <v>9781032405001</v>
      </c>
      <c r="F8433" s="2" t="str">
        <f>"9781003353379"</f>
        <v>9781003353379</v>
      </c>
    </row>
    <row r="8434" spans="1:6" s="3" customFormat="1" ht="29.1" customHeight="1" x14ac:dyDescent="0.25">
      <c r="A8434" s="2" t="s">
        <v>17479</v>
      </c>
      <c r="B8434" s="2" t="s">
        <v>17480</v>
      </c>
      <c r="C8434" s="2" t="s">
        <v>124</v>
      </c>
      <c r="D8434" s="2" t="s">
        <v>7734</v>
      </c>
      <c r="E8434" s="2" t="str">
        <f>"9781032559117"</f>
        <v>9781032559117</v>
      </c>
      <c r="F8434" s="2" t="str">
        <f>"9781003432876"</f>
        <v>9781003432876</v>
      </c>
    </row>
    <row r="8435" spans="1:6" s="3" customFormat="1" ht="29.1" customHeight="1" x14ac:dyDescent="0.25">
      <c r="A8435" s="2" t="s">
        <v>17481</v>
      </c>
      <c r="B8435" s="2" t="s">
        <v>17482</v>
      </c>
      <c r="C8435" s="2" t="s">
        <v>4788</v>
      </c>
      <c r="D8435" s="2" t="s">
        <v>3345</v>
      </c>
      <c r="E8435" s="2" t="str">
        <f>"9781399505192"</f>
        <v>9781399505192</v>
      </c>
      <c r="F8435" s="2" t="str">
        <f>"9781399505208"</f>
        <v>9781399505208</v>
      </c>
    </row>
    <row r="8436" spans="1:6" s="3" customFormat="1" ht="29.1" customHeight="1" x14ac:dyDescent="0.25">
      <c r="A8436" s="2" t="s">
        <v>17483</v>
      </c>
      <c r="B8436" s="2" t="s">
        <v>17484</v>
      </c>
      <c r="C8436" s="2" t="s">
        <v>4788</v>
      </c>
      <c r="D8436" s="2" t="s">
        <v>428</v>
      </c>
      <c r="E8436" s="2" t="str">
        <f>"9781399523837"</f>
        <v>9781399523837</v>
      </c>
      <c r="F8436" s="2" t="str">
        <f>"9781399523851"</f>
        <v>9781399523851</v>
      </c>
    </row>
    <row r="8437" spans="1:6" s="3" customFormat="1" ht="29.1" customHeight="1" x14ac:dyDescent="0.25">
      <c r="A8437" s="2" t="s">
        <v>17485</v>
      </c>
      <c r="B8437" s="2" t="s">
        <v>17486</v>
      </c>
      <c r="C8437" s="2" t="s">
        <v>4788</v>
      </c>
      <c r="D8437" s="2" t="s">
        <v>8642</v>
      </c>
      <c r="E8437" s="2" t="str">
        <f>"9781399523790"</f>
        <v>9781399523790</v>
      </c>
      <c r="F8437" s="2" t="str">
        <f>"9781399523813"</f>
        <v>9781399523813</v>
      </c>
    </row>
    <row r="8438" spans="1:6" s="3" customFormat="1" ht="29.1" customHeight="1" x14ac:dyDescent="0.25">
      <c r="A8438" s="2" t="s">
        <v>17487</v>
      </c>
      <c r="B8438" s="2" t="s">
        <v>17488</v>
      </c>
      <c r="C8438" s="2" t="s">
        <v>4788</v>
      </c>
      <c r="D8438" s="2" t="s">
        <v>1999</v>
      </c>
      <c r="E8438" s="2" t="str">
        <f>"9781399515474"</f>
        <v>9781399515474</v>
      </c>
      <c r="F8438" s="2" t="str">
        <f>"9781399515498"</f>
        <v>9781399515498</v>
      </c>
    </row>
    <row r="8439" spans="1:6" s="3" customFormat="1" ht="29.1" customHeight="1" x14ac:dyDescent="0.25">
      <c r="A8439" s="2" t="s">
        <v>17489</v>
      </c>
      <c r="B8439" s="2" t="s">
        <v>17490</v>
      </c>
      <c r="C8439" s="2" t="s">
        <v>4788</v>
      </c>
      <c r="D8439" s="2" t="s">
        <v>1402</v>
      </c>
      <c r="E8439" s="2" t="str">
        <f>"9781474457927"</f>
        <v>9781474457927</v>
      </c>
      <c r="F8439" s="2" t="str">
        <f>"9781474457941"</f>
        <v>9781474457941</v>
      </c>
    </row>
    <row r="8440" spans="1:6" s="3" customFormat="1" ht="29.1" customHeight="1" x14ac:dyDescent="0.25">
      <c r="A8440" s="2" t="s">
        <v>17491</v>
      </c>
      <c r="B8440" s="2" t="s">
        <v>17490</v>
      </c>
      <c r="C8440" s="2" t="s">
        <v>4788</v>
      </c>
      <c r="D8440" s="2" t="s">
        <v>7132</v>
      </c>
      <c r="E8440" s="2" t="str">
        <f>"9781474457965"</f>
        <v>9781474457965</v>
      </c>
      <c r="F8440" s="2" t="str">
        <f>"9781474457989"</f>
        <v>9781474457989</v>
      </c>
    </row>
    <row r="8441" spans="1:6" s="3" customFormat="1" ht="29.1" customHeight="1" x14ac:dyDescent="0.25">
      <c r="A8441" s="2" t="s">
        <v>17492</v>
      </c>
      <c r="B8441" s="2" t="s">
        <v>17494</v>
      </c>
      <c r="C8441" s="2" t="s">
        <v>4788</v>
      </c>
      <c r="D8441" s="2" t="s">
        <v>17493</v>
      </c>
      <c r="E8441" s="2" t="str">
        <f>"9781399515771"</f>
        <v>9781399515771</v>
      </c>
      <c r="F8441" s="2" t="str">
        <f>"9781399515795"</f>
        <v>9781399515795</v>
      </c>
    </row>
    <row r="8442" spans="1:6" s="3" customFormat="1" ht="29.1" customHeight="1" x14ac:dyDescent="0.25">
      <c r="A8442" s="2" t="s">
        <v>17495</v>
      </c>
      <c r="B8442" s="2" t="s">
        <v>17496</v>
      </c>
      <c r="C8442" s="2" t="s">
        <v>4788</v>
      </c>
      <c r="D8442" s="2" t="s">
        <v>1201</v>
      </c>
      <c r="E8442" s="2" t="str">
        <f>"9781399517331"</f>
        <v>9781399517331</v>
      </c>
      <c r="F8442" s="2" t="str">
        <f>"9781399517355"</f>
        <v>9781399517355</v>
      </c>
    </row>
    <row r="8443" spans="1:6" s="3" customFormat="1" ht="29.1" customHeight="1" x14ac:dyDescent="0.25">
      <c r="A8443" s="2" t="s">
        <v>17497</v>
      </c>
      <c r="B8443" s="2" t="s">
        <v>17498</v>
      </c>
      <c r="C8443" s="2" t="s">
        <v>4788</v>
      </c>
      <c r="D8443" s="2" t="s">
        <v>1201</v>
      </c>
      <c r="E8443" s="2" t="str">
        <f>"9781399523264"</f>
        <v>9781399523264</v>
      </c>
      <c r="F8443" s="2" t="str">
        <f>"9781399523288"</f>
        <v>9781399523288</v>
      </c>
    </row>
    <row r="8444" spans="1:6" s="3" customFormat="1" ht="29.1" customHeight="1" x14ac:dyDescent="0.25">
      <c r="A8444" s="2" t="s">
        <v>17499</v>
      </c>
      <c r="B8444" s="2" t="s">
        <v>17500</v>
      </c>
      <c r="C8444" s="2" t="s">
        <v>4788</v>
      </c>
      <c r="D8444" s="2" t="s">
        <v>4172</v>
      </c>
      <c r="E8444" s="2" t="str">
        <f>"9781399505390"</f>
        <v>9781399505390</v>
      </c>
      <c r="F8444" s="2" t="str">
        <f>"9781399505413"</f>
        <v>9781399505413</v>
      </c>
    </row>
    <row r="8445" spans="1:6" s="3" customFormat="1" ht="29.1" customHeight="1" x14ac:dyDescent="0.25">
      <c r="A8445" s="2" t="s">
        <v>17501</v>
      </c>
      <c r="B8445" s="2" t="s">
        <v>17502</v>
      </c>
      <c r="C8445" s="2" t="s">
        <v>4788</v>
      </c>
      <c r="D8445" s="2" t="s">
        <v>12120</v>
      </c>
      <c r="E8445" s="2" t="str">
        <f>"9781474475686"</f>
        <v>9781474475686</v>
      </c>
      <c r="F8445" s="2" t="str">
        <f>"9781474475709"</f>
        <v>9781474475709</v>
      </c>
    </row>
    <row r="8446" spans="1:6" s="3" customFormat="1" ht="29.1" customHeight="1" x14ac:dyDescent="0.25">
      <c r="A8446" s="2" t="s">
        <v>17503</v>
      </c>
      <c r="B8446" s="2" t="s">
        <v>17504</v>
      </c>
      <c r="C8446" s="2" t="s">
        <v>4788</v>
      </c>
      <c r="D8446" s="2" t="s">
        <v>689</v>
      </c>
      <c r="E8446" s="2" t="str">
        <f>"9781399522526"</f>
        <v>9781399522526</v>
      </c>
      <c r="F8446" s="2" t="str">
        <f>"9781399522489"</f>
        <v>9781399522489</v>
      </c>
    </row>
    <row r="8447" spans="1:6" s="3" customFormat="1" ht="29.1" customHeight="1" x14ac:dyDescent="0.25">
      <c r="A8447" s="2" t="s">
        <v>17505</v>
      </c>
      <c r="B8447" s="2" t="s">
        <v>17506</v>
      </c>
      <c r="C8447" s="2" t="s">
        <v>4788</v>
      </c>
      <c r="D8447" s="2" t="s">
        <v>1127</v>
      </c>
      <c r="E8447" s="2" t="str">
        <f>"9781399501514"</f>
        <v>9781399501514</v>
      </c>
      <c r="F8447" s="2" t="str">
        <f>"9781399501538"</f>
        <v>9781399501538</v>
      </c>
    </row>
    <row r="8448" spans="1:6" s="3" customFormat="1" ht="29.1" customHeight="1" x14ac:dyDescent="0.25">
      <c r="A8448" s="2" t="s">
        <v>17507</v>
      </c>
      <c r="B8448" s="2" t="s">
        <v>17509</v>
      </c>
      <c r="C8448" s="2" t="s">
        <v>4788</v>
      </c>
      <c r="D8448" s="2" t="s">
        <v>17508</v>
      </c>
      <c r="E8448" s="2" t="str">
        <f>"9781474482974"</f>
        <v>9781474482974</v>
      </c>
      <c r="F8448" s="2" t="str">
        <f>"9781474482998"</f>
        <v>9781474482998</v>
      </c>
    </row>
    <row r="8449" spans="1:6" s="3" customFormat="1" ht="29.1" customHeight="1" x14ac:dyDescent="0.25">
      <c r="A8449" s="2" t="s">
        <v>17510</v>
      </c>
      <c r="B8449" s="2" t="s">
        <v>17511</v>
      </c>
      <c r="C8449" s="2" t="s">
        <v>4788</v>
      </c>
      <c r="D8449" s="2" t="s">
        <v>6896</v>
      </c>
      <c r="E8449" s="2" t="str">
        <f>"9781399516167"</f>
        <v>9781399516167</v>
      </c>
      <c r="F8449" s="2" t="str">
        <f>"9781399516181"</f>
        <v>9781399516181</v>
      </c>
    </row>
    <row r="8450" spans="1:6" s="3" customFormat="1" ht="29.1" customHeight="1" x14ac:dyDescent="0.25">
      <c r="A8450" s="2" t="s">
        <v>17512</v>
      </c>
      <c r="B8450" s="2" t="s">
        <v>17513</v>
      </c>
      <c r="C8450" s="2" t="s">
        <v>4788</v>
      </c>
      <c r="D8450" s="2" t="s">
        <v>3993</v>
      </c>
      <c r="E8450" s="2" t="str">
        <f>"9781399516044"</f>
        <v>9781399516044</v>
      </c>
      <c r="F8450" s="2" t="str">
        <f>"9781399516068"</f>
        <v>9781399516068</v>
      </c>
    </row>
    <row r="8451" spans="1:6" s="3" customFormat="1" ht="29.1" customHeight="1" x14ac:dyDescent="0.25">
      <c r="A8451" s="2" t="s">
        <v>17514</v>
      </c>
      <c r="B8451" s="2" t="s">
        <v>17515</v>
      </c>
      <c r="C8451" s="2" t="s">
        <v>4788</v>
      </c>
      <c r="D8451" s="2" t="s">
        <v>110</v>
      </c>
      <c r="E8451" s="2" t="str">
        <f>"9781399516648"</f>
        <v>9781399516648</v>
      </c>
      <c r="F8451" s="2" t="str">
        <f>"9781399516662"</f>
        <v>9781399516662</v>
      </c>
    </row>
    <row r="8452" spans="1:6" s="3" customFormat="1" ht="29.1" customHeight="1" x14ac:dyDescent="0.25">
      <c r="A8452" s="2" t="s">
        <v>17516</v>
      </c>
      <c r="B8452" s="2" t="s">
        <v>17517</v>
      </c>
      <c r="C8452" s="2" t="s">
        <v>4788</v>
      </c>
      <c r="D8452" s="2" t="s">
        <v>522</v>
      </c>
      <c r="E8452" s="2" t="str">
        <f>"9781399529594"</f>
        <v>9781399529594</v>
      </c>
      <c r="F8452" s="2" t="str">
        <f>"9781399529617"</f>
        <v>9781399529617</v>
      </c>
    </row>
    <row r="8453" spans="1:6" s="3" customFormat="1" ht="29.1" customHeight="1" x14ac:dyDescent="0.25">
      <c r="A8453" s="2" t="s">
        <v>17518</v>
      </c>
      <c r="B8453" s="2" t="s">
        <v>17519</v>
      </c>
      <c r="C8453" s="2" t="s">
        <v>4788</v>
      </c>
      <c r="D8453" s="2" t="s">
        <v>3345</v>
      </c>
      <c r="E8453" s="2" t="str">
        <f>"9781399502894"</f>
        <v>9781399502894</v>
      </c>
      <c r="F8453" s="2" t="str">
        <f>"9781399502917"</f>
        <v>9781399502917</v>
      </c>
    </row>
    <row r="8454" spans="1:6" s="3" customFormat="1" ht="29.1" customHeight="1" x14ac:dyDescent="0.25">
      <c r="A8454" s="2" t="s">
        <v>17520</v>
      </c>
      <c r="B8454" s="2" t="s">
        <v>17521</v>
      </c>
      <c r="C8454" s="2" t="s">
        <v>5</v>
      </c>
      <c r="D8454" s="2" t="s">
        <v>2336</v>
      </c>
      <c r="E8454" s="2" t="str">
        <f>"9782384761739"</f>
        <v>9782384761739</v>
      </c>
      <c r="F8454" s="2" t="str">
        <f>"9782384761746"</f>
        <v>9782384761746</v>
      </c>
    </row>
    <row r="8455" spans="1:6" s="3" customFormat="1" ht="29.1" customHeight="1" x14ac:dyDescent="0.25">
      <c r="A8455" s="2" t="s">
        <v>17522</v>
      </c>
      <c r="B8455" s="2" t="s">
        <v>17523</v>
      </c>
      <c r="C8455" s="2" t="s">
        <v>29</v>
      </c>
      <c r="D8455" s="2" t="s">
        <v>192</v>
      </c>
      <c r="E8455" s="2" t="str">
        <f>"9789004691834"</f>
        <v>9789004691834</v>
      </c>
      <c r="F8455" s="2" t="str">
        <f>"9789004691841"</f>
        <v>9789004691841</v>
      </c>
    </row>
    <row r="8456" spans="1:6" s="3" customFormat="1" ht="29.1" customHeight="1" x14ac:dyDescent="0.25">
      <c r="A8456" s="2" t="s">
        <v>17524</v>
      </c>
      <c r="B8456" s="2" t="s">
        <v>17525</v>
      </c>
      <c r="C8456" s="2" t="s">
        <v>5</v>
      </c>
      <c r="D8456" s="2" t="s">
        <v>8343</v>
      </c>
      <c r="E8456" s="2" t="str">
        <f>"9783031335327"</f>
        <v>9783031335327</v>
      </c>
      <c r="F8456" s="2" t="str">
        <f>"9783031335334"</f>
        <v>9783031335334</v>
      </c>
    </row>
    <row r="8457" spans="1:6" s="3" customFormat="1" ht="29.1" customHeight="1" x14ac:dyDescent="0.25">
      <c r="A8457" s="2" t="s">
        <v>17526</v>
      </c>
      <c r="B8457" s="2" t="s">
        <v>17527</v>
      </c>
      <c r="C8457" s="2" t="s">
        <v>5</v>
      </c>
      <c r="D8457" s="2" t="s">
        <v>468</v>
      </c>
      <c r="E8457" s="2" t="str">
        <f>"9783662668993"</f>
        <v>9783662668993</v>
      </c>
      <c r="F8457" s="2" t="str">
        <f>"9783662669006"</f>
        <v>9783662669006</v>
      </c>
    </row>
    <row r="8458" spans="1:6" s="3" customFormat="1" ht="29.1" customHeight="1" x14ac:dyDescent="0.25">
      <c r="A8458" s="2" t="s">
        <v>17528</v>
      </c>
      <c r="B8458" s="2" t="s">
        <v>17529</v>
      </c>
      <c r="C8458" s="2" t="s">
        <v>239</v>
      </c>
      <c r="D8458" s="2" t="s">
        <v>202</v>
      </c>
      <c r="E8458" s="2" t="str">
        <f>"9780520395695"</f>
        <v>9780520395695</v>
      </c>
      <c r="F8458" s="2" t="str">
        <f>"9780520395701"</f>
        <v>9780520395701</v>
      </c>
    </row>
    <row r="8459" spans="1:6" s="3" customFormat="1" ht="29.1" customHeight="1" x14ac:dyDescent="0.25">
      <c r="A8459" s="2" t="s">
        <v>17530</v>
      </c>
      <c r="B8459" s="2" t="s">
        <v>17531</v>
      </c>
      <c r="C8459" s="2" t="s">
        <v>5</v>
      </c>
      <c r="D8459" s="2" t="s">
        <v>281</v>
      </c>
      <c r="E8459" s="2" t="str">
        <f>"9783031466878"</f>
        <v>9783031466878</v>
      </c>
      <c r="F8459" s="2" t="str">
        <f>"9783031466885"</f>
        <v>9783031466885</v>
      </c>
    </row>
    <row r="8460" spans="1:6" s="3" customFormat="1" ht="29.1" customHeight="1" x14ac:dyDescent="0.25">
      <c r="A8460" s="2" t="s">
        <v>17532</v>
      </c>
      <c r="B8460" s="2" t="s">
        <v>17533</v>
      </c>
      <c r="C8460" s="2" t="s">
        <v>5</v>
      </c>
      <c r="D8460" s="2" t="s">
        <v>547</v>
      </c>
      <c r="E8460" s="2" t="str">
        <f>"9783031109478"</f>
        <v>9783031109478</v>
      </c>
      <c r="F8460" s="2" t="str">
        <f>"9783031109485"</f>
        <v>9783031109485</v>
      </c>
    </row>
    <row r="8461" spans="1:6" s="3" customFormat="1" ht="29.1" customHeight="1" x14ac:dyDescent="0.25">
      <c r="A8461" s="2" t="s">
        <v>17534</v>
      </c>
      <c r="B8461" s="2" t="s">
        <v>17535</v>
      </c>
      <c r="C8461" s="2" t="s">
        <v>5</v>
      </c>
      <c r="D8461" s="2" t="s">
        <v>183</v>
      </c>
      <c r="E8461" s="2" t="str">
        <f>"9783658404475"</f>
        <v>9783658404475</v>
      </c>
      <c r="F8461" s="2" t="str">
        <f>"9783658404482"</f>
        <v>9783658404482</v>
      </c>
    </row>
    <row r="8462" spans="1:6" s="3" customFormat="1" ht="29.1" customHeight="1" x14ac:dyDescent="0.25">
      <c r="A8462" s="2" t="s">
        <v>17536</v>
      </c>
      <c r="B8462" s="2" t="s">
        <v>17537</v>
      </c>
      <c r="C8462" s="2" t="s">
        <v>5</v>
      </c>
      <c r="D8462" s="2" t="s">
        <v>547</v>
      </c>
      <c r="E8462" s="2" t="str">
        <f>"9783031394072"</f>
        <v>9783031394072</v>
      </c>
      <c r="F8462" s="2" t="str">
        <f>"9783031394089"</f>
        <v>9783031394089</v>
      </c>
    </row>
    <row r="8463" spans="1:6" s="3" customFormat="1" ht="29.1" customHeight="1" x14ac:dyDescent="0.25">
      <c r="A8463" s="2" t="s">
        <v>17538</v>
      </c>
      <c r="B8463" s="2" t="s">
        <v>17539</v>
      </c>
      <c r="C8463" s="2" t="s">
        <v>5</v>
      </c>
      <c r="D8463" s="2" t="s">
        <v>183</v>
      </c>
      <c r="E8463" s="2" t="str">
        <f>"9789819974160"</f>
        <v>9789819974160</v>
      </c>
      <c r="F8463" s="2" t="str">
        <f>"9789819974177"</f>
        <v>9789819974177</v>
      </c>
    </row>
    <row r="8464" spans="1:6" s="3" customFormat="1" ht="29.1" customHeight="1" x14ac:dyDescent="0.25">
      <c r="A8464" s="2" t="s">
        <v>17540</v>
      </c>
      <c r="B8464" s="2" t="s">
        <v>17541</v>
      </c>
      <c r="C8464" s="2" t="s">
        <v>5</v>
      </c>
      <c r="D8464" s="2" t="s">
        <v>12709</v>
      </c>
      <c r="E8464" s="2" t="str">
        <f>"9789464633290"</f>
        <v>9789464633290</v>
      </c>
      <c r="F8464" s="2" t="str">
        <f>"9789464633306"</f>
        <v>9789464633306</v>
      </c>
    </row>
    <row r="8465" spans="1:6" s="3" customFormat="1" ht="29.1" customHeight="1" x14ac:dyDescent="0.25">
      <c r="A8465" s="2" t="s">
        <v>17542</v>
      </c>
      <c r="B8465" s="2" t="s">
        <v>17543</v>
      </c>
      <c r="C8465" s="2" t="s">
        <v>5</v>
      </c>
      <c r="D8465" s="2" t="s">
        <v>347</v>
      </c>
      <c r="E8465" s="2" t="str">
        <f>"9789464633559"</f>
        <v>9789464633559</v>
      </c>
      <c r="F8465" s="2" t="str">
        <f>"9789464633566"</f>
        <v>9789464633566</v>
      </c>
    </row>
    <row r="8466" spans="1:6" s="3" customFormat="1" ht="29.1" customHeight="1" x14ac:dyDescent="0.25">
      <c r="A8466" s="2" t="s">
        <v>17544</v>
      </c>
      <c r="B8466" s="2" t="s">
        <v>17545</v>
      </c>
      <c r="C8466" s="2" t="s">
        <v>124</v>
      </c>
      <c r="D8466" s="2" t="s">
        <v>8642</v>
      </c>
      <c r="E8466" s="2" t="str">
        <f>"9781032482996"</f>
        <v>9781032482996</v>
      </c>
      <c r="F8466" s="2" t="str">
        <f>"9781003388371"</f>
        <v>9781003388371</v>
      </c>
    </row>
    <row r="8467" spans="1:6" s="3" customFormat="1" ht="29.1" customHeight="1" x14ac:dyDescent="0.25">
      <c r="A8467" s="2" t="s">
        <v>17546</v>
      </c>
      <c r="B8467" s="2" t="s">
        <v>17548</v>
      </c>
      <c r="C8467" s="2" t="s">
        <v>595</v>
      </c>
      <c r="D8467" s="2" t="s">
        <v>17547</v>
      </c>
      <c r="E8467" s="2" t="str">
        <f>"9781800797215"</f>
        <v>9781800797215</v>
      </c>
      <c r="F8467" s="2" t="str">
        <f>"9781800797222"</f>
        <v>9781800797222</v>
      </c>
    </row>
    <row r="8468" spans="1:6" s="3" customFormat="1" ht="29.1" customHeight="1" x14ac:dyDescent="0.25">
      <c r="A8468" s="2" t="s">
        <v>17549</v>
      </c>
      <c r="B8468" s="2" t="s">
        <v>17550</v>
      </c>
      <c r="C8468" s="2" t="s">
        <v>595</v>
      </c>
      <c r="D8468" s="2" t="s">
        <v>6</v>
      </c>
      <c r="E8468" s="2" t="str">
        <f>"9783034347273"</f>
        <v>9783034347273</v>
      </c>
      <c r="F8468" s="2" t="str">
        <f>"9783034347426"</f>
        <v>9783034347426</v>
      </c>
    </row>
    <row r="8469" spans="1:6" s="3" customFormat="1" ht="29.1" customHeight="1" x14ac:dyDescent="0.25">
      <c r="A8469" s="2" t="s">
        <v>17551</v>
      </c>
      <c r="B8469" s="2" t="s">
        <v>17553</v>
      </c>
      <c r="C8469" s="2" t="s">
        <v>595</v>
      </c>
      <c r="D8469" s="2" t="s">
        <v>17552</v>
      </c>
      <c r="E8469" s="2" t="str">
        <f>"9781803741932"</f>
        <v>9781803741932</v>
      </c>
      <c r="F8469" s="2" t="str">
        <f>"9781803741949"</f>
        <v>9781803741949</v>
      </c>
    </row>
    <row r="8470" spans="1:6" s="3" customFormat="1" ht="29.1" customHeight="1" x14ac:dyDescent="0.25">
      <c r="A8470" s="2" t="s">
        <v>17554</v>
      </c>
      <c r="B8470" s="2" t="s">
        <v>17555</v>
      </c>
      <c r="C8470" s="2" t="s">
        <v>595</v>
      </c>
      <c r="D8470" s="2" t="s">
        <v>2019</v>
      </c>
      <c r="E8470" s="2" t="str">
        <f>"9783631889770"</f>
        <v>9783631889770</v>
      </c>
      <c r="F8470" s="2" t="str">
        <f>"9783631909164"</f>
        <v>9783631909164</v>
      </c>
    </row>
    <row r="8471" spans="1:6" s="3" customFormat="1" ht="29.1" customHeight="1" x14ac:dyDescent="0.25">
      <c r="A8471" s="2" t="s">
        <v>17556</v>
      </c>
      <c r="B8471" s="2" t="s">
        <v>17557</v>
      </c>
      <c r="C8471" s="2" t="s">
        <v>595</v>
      </c>
      <c r="D8471" s="2" t="s">
        <v>2648</v>
      </c>
      <c r="E8471" s="2" t="str">
        <f>"9783631890523"</f>
        <v>9783631890523</v>
      </c>
      <c r="F8471" s="2" t="str">
        <f>"9783631890530"</f>
        <v>9783631890530</v>
      </c>
    </row>
    <row r="8472" spans="1:6" s="3" customFormat="1" ht="29.1" customHeight="1" x14ac:dyDescent="0.25">
      <c r="A8472" s="2" t="s">
        <v>17558</v>
      </c>
      <c r="B8472" s="2" t="s">
        <v>17559</v>
      </c>
      <c r="C8472" s="2" t="s">
        <v>3248</v>
      </c>
      <c r="D8472" s="2" t="s">
        <v>297</v>
      </c>
      <c r="E8472" s="2" t="str">
        <f>"9781978804661"</f>
        <v>9781978804661</v>
      </c>
      <c r="F8472" s="2" t="str">
        <f>"9781978804685"</f>
        <v>9781978804685</v>
      </c>
    </row>
    <row r="8473" spans="1:6" s="3" customFormat="1" ht="29.1" customHeight="1" x14ac:dyDescent="0.25">
      <c r="A8473" s="2" t="s">
        <v>17560</v>
      </c>
      <c r="B8473" s="2" t="s">
        <v>17561</v>
      </c>
      <c r="C8473" s="2" t="s">
        <v>5</v>
      </c>
      <c r="D8473" s="2" t="s">
        <v>1189</v>
      </c>
      <c r="E8473" s="2" t="str">
        <f>"9783031490132"</f>
        <v>9783031490132</v>
      </c>
      <c r="F8473" s="2" t="str">
        <f>"9783031490149"</f>
        <v>9783031490149</v>
      </c>
    </row>
    <row r="8474" spans="1:6" s="3" customFormat="1" ht="29.1" customHeight="1" x14ac:dyDescent="0.25">
      <c r="A8474" s="2" t="s">
        <v>17562</v>
      </c>
      <c r="B8474" s="2" t="s">
        <v>17563</v>
      </c>
      <c r="C8474" s="2" t="s">
        <v>124</v>
      </c>
      <c r="D8474" s="2" t="s">
        <v>12063</v>
      </c>
      <c r="E8474" s="2" t="str">
        <f>"9781032483108"</f>
        <v>9781032483108</v>
      </c>
      <c r="F8474" s="2" t="str">
        <f>"9781003388418"</f>
        <v>9781003388418</v>
      </c>
    </row>
    <row r="8475" spans="1:6" s="3" customFormat="1" ht="29.1" customHeight="1" x14ac:dyDescent="0.25">
      <c r="A8475" s="2" t="s">
        <v>17564</v>
      </c>
      <c r="B8475" s="2" t="s">
        <v>17565</v>
      </c>
      <c r="C8475" s="2" t="s">
        <v>124</v>
      </c>
      <c r="D8475" s="2" t="s">
        <v>1432</v>
      </c>
      <c r="E8475" s="2" t="str">
        <f>"9781032675930"</f>
        <v>9781032675930</v>
      </c>
      <c r="F8475" s="2" t="str">
        <f>"9781003852124"</f>
        <v>9781003852124</v>
      </c>
    </row>
    <row r="8476" spans="1:6" s="3" customFormat="1" ht="29.1" customHeight="1" x14ac:dyDescent="0.25">
      <c r="A8476" s="2" t="s">
        <v>10466</v>
      </c>
      <c r="B8476" s="2" t="s">
        <v>17566</v>
      </c>
      <c r="C8476" s="2" t="s">
        <v>5</v>
      </c>
      <c r="D8476" s="2" t="s">
        <v>4019</v>
      </c>
      <c r="E8476" s="2" t="str">
        <f>"9789819958603"</f>
        <v>9789819958603</v>
      </c>
      <c r="F8476" s="2" t="str">
        <f>"9789819958610"</f>
        <v>9789819958610</v>
      </c>
    </row>
    <row r="8477" spans="1:6" s="3" customFormat="1" ht="29.1" customHeight="1" x14ac:dyDescent="0.25">
      <c r="A8477" s="2" t="s">
        <v>17567</v>
      </c>
      <c r="B8477" s="2" t="s">
        <v>17569</v>
      </c>
      <c r="C8477" s="2" t="s">
        <v>8059</v>
      </c>
      <c r="D8477" s="2" t="s">
        <v>17568</v>
      </c>
      <c r="E8477" s="2" t="str">
        <f>"9781776482764"</f>
        <v>9781776482764</v>
      </c>
      <c r="F8477" s="2" t="str">
        <f>"9781776482771"</f>
        <v>9781776482771</v>
      </c>
    </row>
    <row r="8478" spans="1:6" s="3" customFormat="1" ht="29.1" customHeight="1" x14ac:dyDescent="0.25">
      <c r="A8478" s="2" t="s">
        <v>17570</v>
      </c>
      <c r="B8478" s="2" t="s">
        <v>17572</v>
      </c>
      <c r="C8478" s="2" t="s">
        <v>8059</v>
      </c>
      <c r="D8478" s="2" t="s">
        <v>17571</v>
      </c>
      <c r="E8478" s="2" t="str">
        <f>"9781776425600"</f>
        <v>9781776425600</v>
      </c>
      <c r="F8478" s="2" t="str">
        <f>"9781776424290"</f>
        <v>9781776424290</v>
      </c>
    </row>
    <row r="8479" spans="1:6" s="3" customFormat="1" ht="29.1" customHeight="1" x14ac:dyDescent="0.25">
      <c r="A8479" s="2" t="s">
        <v>17573</v>
      </c>
      <c r="B8479" s="2" t="s">
        <v>17575</v>
      </c>
      <c r="C8479" s="2" t="s">
        <v>8059</v>
      </c>
      <c r="D8479" s="2" t="s">
        <v>17574</v>
      </c>
      <c r="E8479" s="2" t="str">
        <f>"9781776482726"</f>
        <v>9781776482726</v>
      </c>
      <c r="F8479" s="2" t="str">
        <f>"9781776482733"</f>
        <v>9781776482733</v>
      </c>
    </row>
    <row r="8480" spans="1:6" s="3" customFormat="1" ht="29.1" customHeight="1" x14ac:dyDescent="0.25">
      <c r="A8480" s="2" t="s">
        <v>17576</v>
      </c>
      <c r="B8480" s="2" t="s">
        <v>17577</v>
      </c>
      <c r="C8480" s="2" t="s">
        <v>5</v>
      </c>
      <c r="D8480" s="2" t="s">
        <v>2458</v>
      </c>
      <c r="E8480" s="2" t="str">
        <f>"9783031469862"</f>
        <v>9783031469862</v>
      </c>
      <c r="F8480" s="2" t="str">
        <f>"9783031469879"</f>
        <v>9783031469879</v>
      </c>
    </row>
    <row r="8481" spans="1:6" s="3" customFormat="1" ht="29.1" customHeight="1" x14ac:dyDescent="0.25">
      <c r="A8481" s="2" t="s">
        <v>17578</v>
      </c>
      <c r="B8481" s="2" t="s">
        <v>17579</v>
      </c>
      <c r="C8481" s="2" t="s">
        <v>5</v>
      </c>
      <c r="D8481" s="2" t="s">
        <v>2336</v>
      </c>
      <c r="E8481" s="2" t="str">
        <f>"9783658435714"</f>
        <v>9783658435714</v>
      </c>
      <c r="F8481" s="2" t="str">
        <f>"9783658435721"</f>
        <v>9783658435721</v>
      </c>
    </row>
    <row r="8482" spans="1:6" s="3" customFormat="1" ht="29.1" customHeight="1" x14ac:dyDescent="0.25">
      <c r="A8482" s="2" t="s">
        <v>17580</v>
      </c>
      <c r="B8482" s="2" t="s">
        <v>17581</v>
      </c>
      <c r="C8482" s="2" t="s">
        <v>595</v>
      </c>
      <c r="D8482" s="2" t="s">
        <v>3149</v>
      </c>
      <c r="E8482" s="2" t="str">
        <f>"9783631903698"</f>
        <v>9783631903698</v>
      </c>
      <c r="F8482" s="2" t="str">
        <f>"9783631903889"</f>
        <v>9783631903889</v>
      </c>
    </row>
    <row r="8483" spans="1:6" s="3" customFormat="1" ht="29.1" customHeight="1" x14ac:dyDescent="0.25">
      <c r="A8483" s="2" t="s">
        <v>17582</v>
      </c>
      <c r="B8483" s="2" t="s">
        <v>17583</v>
      </c>
      <c r="C8483" s="2" t="s">
        <v>124</v>
      </c>
      <c r="D8483" s="2" t="s">
        <v>192</v>
      </c>
      <c r="E8483" s="2" t="str">
        <f>"9781032658797"</f>
        <v>9781032658797</v>
      </c>
      <c r="F8483" s="2" t="str">
        <f>"9781032658827"</f>
        <v>9781032658827</v>
      </c>
    </row>
    <row r="8484" spans="1:6" s="3" customFormat="1" ht="29.1" customHeight="1" x14ac:dyDescent="0.25">
      <c r="A8484" s="2" t="s">
        <v>17584</v>
      </c>
      <c r="B8484" s="2" t="s">
        <v>17585</v>
      </c>
      <c r="C8484" s="2" t="s">
        <v>5</v>
      </c>
      <c r="D8484" s="2" t="s">
        <v>1162</v>
      </c>
      <c r="E8484" s="2" t="str">
        <f>"9783031490736"</f>
        <v>9783031490736</v>
      </c>
      <c r="F8484" s="2" t="str">
        <f>"9783031490743"</f>
        <v>9783031490743</v>
      </c>
    </row>
    <row r="8485" spans="1:6" s="3" customFormat="1" ht="29.1" customHeight="1" x14ac:dyDescent="0.25">
      <c r="A8485" s="2" t="s">
        <v>17586</v>
      </c>
      <c r="B8485" s="2" t="s">
        <v>17587</v>
      </c>
      <c r="C8485" s="2" t="s">
        <v>5</v>
      </c>
      <c r="D8485" s="2" t="s">
        <v>75</v>
      </c>
      <c r="E8485" s="2" t="str">
        <f>"9783031414855"</f>
        <v>9783031414855</v>
      </c>
      <c r="F8485" s="2" t="str">
        <f>"9783031414862"</f>
        <v>9783031414862</v>
      </c>
    </row>
    <row r="8486" spans="1:6" s="3" customFormat="1" ht="29.1" customHeight="1" x14ac:dyDescent="0.25">
      <c r="A8486" s="2" t="s">
        <v>17588</v>
      </c>
      <c r="B8486" s="2" t="s">
        <v>17589</v>
      </c>
      <c r="C8486" s="2" t="s">
        <v>5</v>
      </c>
      <c r="D8486" s="2" t="s">
        <v>192</v>
      </c>
      <c r="E8486" s="2" t="str">
        <f>"9783031423567"</f>
        <v>9783031423567</v>
      </c>
      <c r="F8486" s="2" t="str">
        <f>"9783031423574"</f>
        <v>9783031423574</v>
      </c>
    </row>
    <row r="8487" spans="1:6" s="3" customFormat="1" ht="29.1" customHeight="1" x14ac:dyDescent="0.25">
      <c r="A8487" s="2" t="s">
        <v>17590</v>
      </c>
      <c r="B8487" s="2" t="s">
        <v>17591</v>
      </c>
      <c r="C8487" s="2" t="s">
        <v>5</v>
      </c>
      <c r="D8487" s="2" t="s">
        <v>98</v>
      </c>
      <c r="E8487" s="2" t="str">
        <f>"9783031498107"</f>
        <v>9783031498107</v>
      </c>
      <c r="F8487" s="2" t="str">
        <f>"9783031498114"</f>
        <v>9783031498114</v>
      </c>
    </row>
    <row r="8488" spans="1:6" s="3" customFormat="1" ht="29.1" customHeight="1" x14ac:dyDescent="0.25">
      <c r="A8488" s="2" t="s">
        <v>17592</v>
      </c>
      <c r="B8488" s="2" t="s">
        <v>9519</v>
      </c>
      <c r="C8488" s="2" t="s">
        <v>5</v>
      </c>
      <c r="D8488" s="2" t="s">
        <v>9</v>
      </c>
      <c r="E8488" s="2" t="str">
        <f>"9782384761753"</f>
        <v>9782384761753</v>
      </c>
      <c r="F8488" s="2" t="str">
        <f>"9782384761760"</f>
        <v>9782384761760</v>
      </c>
    </row>
    <row r="8489" spans="1:6" s="3" customFormat="1" ht="29.1" customHeight="1" x14ac:dyDescent="0.25">
      <c r="A8489" s="2" t="s">
        <v>17593</v>
      </c>
      <c r="B8489" s="2" t="s">
        <v>17594</v>
      </c>
      <c r="C8489" s="2" t="s">
        <v>5</v>
      </c>
      <c r="D8489" s="2" t="s">
        <v>553</v>
      </c>
      <c r="E8489" s="2" t="str">
        <f>"9789819958726"</f>
        <v>9789819958726</v>
      </c>
      <c r="F8489" s="2" t="str">
        <f>"9789819958733"</f>
        <v>9789819958733</v>
      </c>
    </row>
    <row r="8490" spans="1:6" s="3" customFormat="1" ht="29.1" customHeight="1" x14ac:dyDescent="0.25">
      <c r="A8490" s="2" t="s">
        <v>17595</v>
      </c>
      <c r="B8490" s="2" t="s">
        <v>17596</v>
      </c>
      <c r="C8490" s="2" t="s">
        <v>5</v>
      </c>
      <c r="D8490" s="2" t="s">
        <v>1895</v>
      </c>
      <c r="E8490" s="2" t="str">
        <f>"9783031388934"</f>
        <v>9783031388934</v>
      </c>
      <c r="F8490" s="2" t="str">
        <f>"9783031388941"</f>
        <v>9783031388941</v>
      </c>
    </row>
    <row r="8491" spans="1:6" s="3" customFormat="1" ht="29.1" customHeight="1" x14ac:dyDescent="0.25">
      <c r="A8491" s="2" t="s">
        <v>17597</v>
      </c>
      <c r="B8491" s="2" t="s">
        <v>17598</v>
      </c>
      <c r="C8491" s="2" t="s">
        <v>5</v>
      </c>
      <c r="D8491" s="2" t="s">
        <v>3489</v>
      </c>
      <c r="E8491" s="2" t="str">
        <f>"9783031444968"</f>
        <v>9783031444968</v>
      </c>
      <c r="F8491" s="2" t="str">
        <f>"9783031444975"</f>
        <v>9783031444975</v>
      </c>
    </row>
    <row r="8492" spans="1:6" s="3" customFormat="1" ht="29.1" customHeight="1" x14ac:dyDescent="0.25">
      <c r="A8492" s="2" t="s">
        <v>17599</v>
      </c>
      <c r="B8492" s="2" t="s">
        <v>17600</v>
      </c>
      <c r="C8492" s="2" t="s">
        <v>5</v>
      </c>
      <c r="D8492" s="2" t="s">
        <v>9</v>
      </c>
      <c r="E8492" s="2" t="str">
        <f>"9782384761814"</f>
        <v>9782384761814</v>
      </c>
      <c r="F8492" s="2" t="str">
        <f>"9782384761821"</f>
        <v>9782384761821</v>
      </c>
    </row>
    <row r="8493" spans="1:6" s="3" customFormat="1" ht="29.1" customHeight="1" x14ac:dyDescent="0.25">
      <c r="A8493" s="2" t="s">
        <v>17601</v>
      </c>
      <c r="B8493" s="2" t="s">
        <v>17602</v>
      </c>
      <c r="C8493" s="2" t="s">
        <v>5</v>
      </c>
      <c r="D8493" s="2" t="s">
        <v>9</v>
      </c>
      <c r="E8493" s="2" t="str">
        <f>"9782384761715"</f>
        <v>9782384761715</v>
      </c>
      <c r="F8493" s="2" t="str">
        <f>"9782384761722"</f>
        <v>9782384761722</v>
      </c>
    </row>
    <row r="8494" spans="1:6" s="3" customFormat="1" ht="29.1" customHeight="1" x14ac:dyDescent="0.25">
      <c r="A8494" s="2" t="s">
        <v>17603</v>
      </c>
      <c r="B8494" s="2" t="s">
        <v>17604</v>
      </c>
      <c r="C8494" s="2" t="s">
        <v>5</v>
      </c>
      <c r="D8494" s="2" t="s">
        <v>33</v>
      </c>
      <c r="E8494" s="2" t="str">
        <f>"9782384761692"</f>
        <v>9782384761692</v>
      </c>
      <c r="F8494" s="2" t="str">
        <f>"9782384761708"</f>
        <v>9782384761708</v>
      </c>
    </row>
    <row r="8495" spans="1:6" s="3" customFormat="1" ht="29.1" customHeight="1" x14ac:dyDescent="0.25">
      <c r="A8495" s="2" t="s">
        <v>17605</v>
      </c>
      <c r="B8495" s="2" t="s">
        <v>17606</v>
      </c>
      <c r="C8495" s="2" t="s">
        <v>5</v>
      </c>
      <c r="D8495" s="2" t="s">
        <v>98</v>
      </c>
      <c r="E8495" s="2" t="str">
        <f>"9789464633412"</f>
        <v>9789464633412</v>
      </c>
      <c r="F8495" s="2" t="str">
        <f>"9789464633429"</f>
        <v>9789464633429</v>
      </c>
    </row>
    <row r="8496" spans="1:6" s="3" customFormat="1" ht="29.1" customHeight="1" x14ac:dyDescent="0.25">
      <c r="A8496" s="2" t="s">
        <v>17607</v>
      </c>
      <c r="B8496" s="2" t="s">
        <v>17608</v>
      </c>
      <c r="C8496" s="2" t="s">
        <v>5</v>
      </c>
      <c r="D8496" s="2" t="s">
        <v>297</v>
      </c>
      <c r="E8496" s="2" t="str">
        <f>"9782384761913"</f>
        <v>9782384761913</v>
      </c>
      <c r="F8496" s="2" t="str">
        <f>"9782384761920"</f>
        <v>9782384761920</v>
      </c>
    </row>
    <row r="8497" spans="1:6" s="3" customFormat="1" ht="29.1" customHeight="1" x14ac:dyDescent="0.25">
      <c r="A8497" s="2" t="s">
        <v>17609</v>
      </c>
      <c r="B8497" s="2" t="s">
        <v>17610</v>
      </c>
      <c r="C8497" s="2" t="s">
        <v>5</v>
      </c>
      <c r="D8497" s="2" t="s">
        <v>2237</v>
      </c>
      <c r="E8497" s="2" t="str">
        <f>"9789464633191"</f>
        <v>9789464633191</v>
      </c>
      <c r="F8497" s="2" t="str">
        <f>"9789464633207"</f>
        <v>9789464633207</v>
      </c>
    </row>
    <row r="8498" spans="1:6" s="3" customFormat="1" ht="29.1" customHeight="1" x14ac:dyDescent="0.25">
      <c r="A8498" s="2" t="s">
        <v>17611</v>
      </c>
      <c r="B8498" s="2" t="s">
        <v>17612</v>
      </c>
      <c r="C8498" s="2" t="s">
        <v>5</v>
      </c>
      <c r="D8498" s="2" t="s">
        <v>12</v>
      </c>
      <c r="E8498" s="2" t="str">
        <f>"9783031456343"</f>
        <v>9783031456343</v>
      </c>
      <c r="F8498" s="2" t="str">
        <f>"9783031456350"</f>
        <v>9783031456350</v>
      </c>
    </row>
    <row r="8499" spans="1:6" s="3" customFormat="1" ht="29.1" customHeight="1" x14ac:dyDescent="0.25">
      <c r="A8499" s="2" t="s">
        <v>17613</v>
      </c>
      <c r="B8499" s="2" t="s">
        <v>17614</v>
      </c>
      <c r="C8499" s="2" t="s">
        <v>5</v>
      </c>
      <c r="D8499" s="2" t="s">
        <v>9</v>
      </c>
      <c r="E8499" s="2" t="str">
        <f>"9783658438555"</f>
        <v>9783658438555</v>
      </c>
      <c r="F8499" s="2" t="str">
        <f>"9783658438562"</f>
        <v>9783658438562</v>
      </c>
    </row>
    <row r="8500" spans="1:6" s="3" customFormat="1" ht="29.1" customHeight="1" x14ac:dyDescent="0.25">
      <c r="A8500" s="2" t="s">
        <v>17615</v>
      </c>
      <c r="B8500" s="2" t="s">
        <v>17616</v>
      </c>
      <c r="C8500" s="2" t="s">
        <v>5</v>
      </c>
      <c r="D8500" s="2" t="s">
        <v>1463</v>
      </c>
      <c r="E8500" s="2" t="str">
        <f>"9783658435356"</f>
        <v>9783658435356</v>
      </c>
      <c r="F8500" s="2" t="str">
        <f>"9783658435363"</f>
        <v>9783658435363</v>
      </c>
    </row>
    <row r="8501" spans="1:6" s="3" customFormat="1" ht="29.1" customHeight="1" x14ac:dyDescent="0.25">
      <c r="A8501" s="2" t="s">
        <v>17617</v>
      </c>
      <c r="B8501" s="2" t="s">
        <v>17618</v>
      </c>
      <c r="C8501" s="2" t="s">
        <v>5</v>
      </c>
      <c r="D8501" s="2" t="s">
        <v>1759</v>
      </c>
      <c r="E8501" s="2" t="str">
        <f>"9798868800597"</f>
        <v>9798868800597</v>
      </c>
      <c r="F8501" s="2" t="str">
        <f>"9798868800603"</f>
        <v>9798868800603</v>
      </c>
    </row>
    <row r="8502" spans="1:6" s="3" customFormat="1" ht="29.1" customHeight="1" x14ac:dyDescent="0.25">
      <c r="A8502" s="2" t="s">
        <v>17619</v>
      </c>
      <c r="B8502" s="2" t="s">
        <v>17620</v>
      </c>
      <c r="C8502" s="2" t="s">
        <v>5</v>
      </c>
      <c r="D8502" s="2" t="s">
        <v>218</v>
      </c>
      <c r="E8502" s="2" t="str">
        <f>"9783031447303"</f>
        <v>9783031447303</v>
      </c>
      <c r="F8502" s="2" t="str">
        <f>"9783031447310"</f>
        <v>9783031447310</v>
      </c>
    </row>
    <row r="8503" spans="1:6" s="3" customFormat="1" ht="29.1" customHeight="1" x14ac:dyDescent="0.25">
      <c r="A8503" s="2" t="s">
        <v>17621</v>
      </c>
      <c r="B8503" s="2" t="s">
        <v>17622</v>
      </c>
      <c r="C8503" s="2" t="s">
        <v>5</v>
      </c>
      <c r="D8503" s="2" t="s">
        <v>764</v>
      </c>
      <c r="E8503" s="2" t="str">
        <f>"9783662679074"</f>
        <v>9783662679074</v>
      </c>
      <c r="F8503" s="2" t="str">
        <f>"9783662679081"</f>
        <v>9783662679081</v>
      </c>
    </row>
    <row r="8504" spans="1:6" s="3" customFormat="1" ht="29.1" customHeight="1" x14ac:dyDescent="0.25">
      <c r="A8504" s="2" t="s">
        <v>17623</v>
      </c>
      <c r="B8504" s="2" t="s">
        <v>17624</v>
      </c>
      <c r="C8504" s="2" t="s">
        <v>5</v>
      </c>
      <c r="D8504" s="2" t="s">
        <v>183</v>
      </c>
      <c r="E8504" s="2" t="str">
        <f>"9783031466366"</f>
        <v>9783031466366</v>
      </c>
      <c r="F8504" s="2" t="str">
        <f>"9783031466373"</f>
        <v>9783031466373</v>
      </c>
    </row>
    <row r="8505" spans="1:6" s="3" customFormat="1" ht="29.1" customHeight="1" x14ac:dyDescent="0.25">
      <c r="A8505" s="2" t="s">
        <v>17625</v>
      </c>
      <c r="B8505" s="2" t="s">
        <v>17626</v>
      </c>
      <c r="C8505" s="2" t="s">
        <v>5</v>
      </c>
      <c r="D8505" s="2" t="s">
        <v>89</v>
      </c>
      <c r="E8505" s="2" t="str">
        <f>"9789819987948"</f>
        <v>9789819987948</v>
      </c>
      <c r="F8505" s="2" t="str">
        <f>"9789819987955"</f>
        <v>9789819987955</v>
      </c>
    </row>
    <row r="8506" spans="1:6" s="3" customFormat="1" ht="29.1" customHeight="1" x14ac:dyDescent="0.25">
      <c r="A8506" s="2" t="s">
        <v>17627</v>
      </c>
      <c r="B8506" s="2" t="s">
        <v>17628</v>
      </c>
      <c r="C8506" s="2" t="s">
        <v>239</v>
      </c>
      <c r="D8506" s="2" t="s">
        <v>11011</v>
      </c>
      <c r="E8506" s="2" t="str">
        <f>"9780520391338"</f>
        <v>9780520391338</v>
      </c>
      <c r="F8506" s="2" t="str">
        <f>"9780520391345"</f>
        <v>9780520391345</v>
      </c>
    </row>
    <row r="8507" spans="1:6" s="3" customFormat="1" ht="29.1" customHeight="1" x14ac:dyDescent="0.25">
      <c r="A8507" s="2" t="s">
        <v>17629</v>
      </c>
      <c r="B8507" s="2" t="s">
        <v>17630</v>
      </c>
      <c r="C8507" s="2" t="s">
        <v>2129</v>
      </c>
      <c r="D8507" s="2" t="s">
        <v>3993</v>
      </c>
      <c r="E8507" s="2" t="str">
        <f>"9781438498409"</f>
        <v>9781438498409</v>
      </c>
      <c r="F8507" s="2" t="str">
        <f>"9781438498393"</f>
        <v>9781438498393</v>
      </c>
    </row>
    <row r="8508" spans="1:6" s="3" customFormat="1" ht="29.1" customHeight="1" x14ac:dyDescent="0.25">
      <c r="A8508" s="2" t="s">
        <v>17631</v>
      </c>
      <c r="B8508" s="2" t="s">
        <v>17632</v>
      </c>
      <c r="C8508" s="2" t="s">
        <v>5</v>
      </c>
      <c r="D8508" s="2" t="s">
        <v>712</v>
      </c>
      <c r="E8508" s="2" t="str">
        <f>"9783031359842"</f>
        <v>9783031359842</v>
      </c>
      <c r="F8508" s="2" t="str">
        <f>"9783031359859"</f>
        <v>9783031359859</v>
      </c>
    </row>
    <row r="8509" spans="1:6" s="3" customFormat="1" ht="29.1" customHeight="1" x14ac:dyDescent="0.25">
      <c r="A8509" s="2" t="s">
        <v>17633</v>
      </c>
      <c r="B8509" s="2" t="s">
        <v>17634</v>
      </c>
      <c r="C8509" s="2" t="s">
        <v>5</v>
      </c>
      <c r="D8509" s="2" t="s">
        <v>5104</v>
      </c>
      <c r="E8509" s="2" t="str">
        <f>"9783031367526"</f>
        <v>9783031367526</v>
      </c>
      <c r="F8509" s="2" t="str">
        <f>"9783031367533"</f>
        <v>9783031367533</v>
      </c>
    </row>
    <row r="8510" spans="1:6" s="3" customFormat="1" ht="29.1" customHeight="1" x14ac:dyDescent="0.25">
      <c r="A8510" s="2" t="s">
        <v>17635</v>
      </c>
      <c r="B8510" s="2" t="s">
        <v>17636</v>
      </c>
      <c r="C8510" s="2" t="s">
        <v>5</v>
      </c>
      <c r="D8510" s="2" t="s">
        <v>1895</v>
      </c>
      <c r="E8510" s="2" t="str">
        <f>"9783031421730"</f>
        <v>9783031421730</v>
      </c>
      <c r="F8510" s="2" t="str">
        <f>"9783031421747"</f>
        <v>9783031421747</v>
      </c>
    </row>
    <row r="8511" spans="1:6" s="3" customFormat="1" ht="29.1" customHeight="1" x14ac:dyDescent="0.25">
      <c r="A8511" s="2" t="s">
        <v>17637</v>
      </c>
      <c r="B8511" s="2" t="s">
        <v>17638</v>
      </c>
      <c r="C8511" s="2" t="s">
        <v>5</v>
      </c>
      <c r="D8511" s="2" t="s">
        <v>1878</v>
      </c>
      <c r="E8511" s="2" t="str">
        <f>"9783031442957"</f>
        <v>9783031442957</v>
      </c>
      <c r="F8511" s="2" t="str">
        <f>"9783031442964"</f>
        <v>9783031442964</v>
      </c>
    </row>
    <row r="8512" spans="1:6" s="3" customFormat="1" ht="29.1" customHeight="1" x14ac:dyDescent="0.25">
      <c r="A8512" s="2" t="s">
        <v>17639</v>
      </c>
      <c r="B8512" s="2" t="s">
        <v>17640</v>
      </c>
      <c r="C8512" s="2" t="s">
        <v>5</v>
      </c>
      <c r="D8512" s="2" t="s">
        <v>1988</v>
      </c>
      <c r="E8512" s="2" t="str">
        <f>"9783031401497"</f>
        <v>9783031401497</v>
      </c>
      <c r="F8512" s="2" t="str">
        <f>"9783031401503"</f>
        <v>9783031401503</v>
      </c>
    </row>
    <row r="8513" spans="1:6" s="3" customFormat="1" ht="29.1" customHeight="1" x14ac:dyDescent="0.25">
      <c r="A8513" s="2" t="s">
        <v>17641</v>
      </c>
      <c r="B8513" s="2" t="s">
        <v>17642</v>
      </c>
      <c r="C8513" s="2" t="s">
        <v>5</v>
      </c>
      <c r="D8513" s="2" t="s">
        <v>9</v>
      </c>
      <c r="E8513" s="2" t="str">
        <f>"9782384761890"</f>
        <v>9782384761890</v>
      </c>
      <c r="F8513" s="2" t="str">
        <f>"9782384761906"</f>
        <v>9782384761906</v>
      </c>
    </row>
    <row r="8514" spans="1:6" s="3" customFormat="1" ht="29.1" customHeight="1" x14ac:dyDescent="0.25">
      <c r="A8514" s="2" t="s">
        <v>17643</v>
      </c>
      <c r="B8514" s="2" t="s">
        <v>17644</v>
      </c>
      <c r="C8514" s="2" t="s">
        <v>5</v>
      </c>
      <c r="D8514" s="2" t="s">
        <v>3553</v>
      </c>
      <c r="E8514" s="2" t="str">
        <f>"9782384761838"</f>
        <v>9782384761838</v>
      </c>
      <c r="F8514" s="2" t="str">
        <f>"9782384761845"</f>
        <v>9782384761845</v>
      </c>
    </row>
    <row r="8515" spans="1:6" s="3" customFormat="1" ht="29.1" customHeight="1" x14ac:dyDescent="0.25">
      <c r="A8515" s="2" t="s">
        <v>17645</v>
      </c>
      <c r="B8515" s="2" t="s">
        <v>17646</v>
      </c>
      <c r="C8515" s="2" t="s">
        <v>5</v>
      </c>
      <c r="D8515" s="2" t="s">
        <v>183</v>
      </c>
      <c r="E8515" s="2" t="str">
        <f>"9782384761777"</f>
        <v>9782384761777</v>
      </c>
      <c r="F8515" s="2" t="str">
        <f>"9782384761784"</f>
        <v>9782384761784</v>
      </c>
    </row>
    <row r="8516" spans="1:6" s="3" customFormat="1" ht="29.1" customHeight="1" x14ac:dyDescent="0.25">
      <c r="A8516" s="2" t="s">
        <v>17647</v>
      </c>
      <c r="B8516" s="2" t="s">
        <v>17648</v>
      </c>
      <c r="C8516" s="2" t="s">
        <v>5</v>
      </c>
      <c r="D8516" s="2" t="s">
        <v>3817</v>
      </c>
      <c r="E8516" s="2" t="str">
        <f>"9789464633177"</f>
        <v>9789464633177</v>
      </c>
      <c r="F8516" s="2" t="str">
        <f>"9789464633184"</f>
        <v>9789464633184</v>
      </c>
    </row>
    <row r="8517" spans="1:6" s="3" customFormat="1" ht="29.1" customHeight="1" x14ac:dyDescent="0.25">
      <c r="A8517" s="2" t="s">
        <v>17649</v>
      </c>
      <c r="B8517" s="2" t="s">
        <v>17650</v>
      </c>
      <c r="C8517" s="2" t="s">
        <v>5</v>
      </c>
      <c r="D8517" s="2" t="s">
        <v>159</v>
      </c>
      <c r="E8517" s="2" t="str">
        <f>"9782384761876"</f>
        <v>9782384761876</v>
      </c>
      <c r="F8517" s="2" t="str">
        <f>"9782384761883"</f>
        <v>9782384761883</v>
      </c>
    </row>
    <row r="8518" spans="1:6" s="3" customFormat="1" ht="29.1" customHeight="1" x14ac:dyDescent="0.25">
      <c r="A8518" s="2" t="s">
        <v>17651</v>
      </c>
      <c r="B8518" s="2" t="s">
        <v>17652</v>
      </c>
      <c r="C8518" s="2" t="s">
        <v>5</v>
      </c>
      <c r="D8518" s="2" t="s">
        <v>98</v>
      </c>
      <c r="E8518" s="2" t="str">
        <f>"9783031487989"</f>
        <v>9783031487989</v>
      </c>
      <c r="F8518" s="2" t="str">
        <f>"9783031487996"</f>
        <v>9783031487996</v>
      </c>
    </row>
    <row r="8519" spans="1:6" s="3" customFormat="1" ht="29.1" customHeight="1" x14ac:dyDescent="0.25">
      <c r="A8519" s="2" t="s">
        <v>17653</v>
      </c>
      <c r="B8519" s="2"/>
      <c r="C8519" s="2" t="s">
        <v>59</v>
      </c>
      <c r="D8519" s="2" t="s">
        <v>6994</v>
      </c>
      <c r="E8519" s="2"/>
      <c r="F8519" s="2" t="str">
        <f>"9782759238040"</f>
        <v>9782759238040</v>
      </c>
    </row>
    <row r="8520" spans="1:6" s="3" customFormat="1" ht="29.1" customHeight="1" x14ac:dyDescent="0.25">
      <c r="A8520" s="2" t="s">
        <v>17654</v>
      </c>
      <c r="B8520" s="2" t="s">
        <v>17655</v>
      </c>
      <c r="C8520" s="2" t="s">
        <v>29</v>
      </c>
      <c r="D8520" s="2" t="s">
        <v>4117</v>
      </c>
      <c r="E8520" s="2" t="str">
        <f>"9789004686465"</f>
        <v>9789004686465</v>
      </c>
      <c r="F8520" s="2" t="str">
        <f>"9789004686472"</f>
        <v>9789004686472</v>
      </c>
    </row>
    <row r="8521" spans="1:6" s="3" customFormat="1" ht="29.1" customHeight="1" x14ac:dyDescent="0.25">
      <c r="A8521" s="2" t="s">
        <v>17656</v>
      </c>
      <c r="B8521" s="2" t="s">
        <v>17659</v>
      </c>
      <c r="C8521" s="2" t="s">
        <v>17657</v>
      </c>
      <c r="D8521" s="2" t="s">
        <v>17658</v>
      </c>
      <c r="E8521" s="2"/>
      <c r="F8521" s="2" t="str">
        <f>"9789942642684"</f>
        <v>9789942642684</v>
      </c>
    </row>
    <row r="8522" spans="1:6" s="3" customFormat="1" ht="29.1" customHeight="1" x14ac:dyDescent="0.25">
      <c r="A8522" s="2" t="s">
        <v>17660</v>
      </c>
      <c r="B8522" s="2" t="s">
        <v>17661</v>
      </c>
      <c r="C8522" s="2" t="s">
        <v>17657</v>
      </c>
      <c r="D8522" s="2" t="s">
        <v>767</v>
      </c>
      <c r="E8522" s="2"/>
      <c r="F8522" s="2" t="str">
        <f>"9789942642691"</f>
        <v>9789942642691</v>
      </c>
    </row>
    <row r="8523" spans="1:6" s="3" customFormat="1" ht="29.1" customHeight="1" x14ac:dyDescent="0.25">
      <c r="A8523" s="2" t="s">
        <v>17662</v>
      </c>
      <c r="B8523" s="2" t="s">
        <v>17663</v>
      </c>
      <c r="C8523" s="2" t="s">
        <v>17657</v>
      </c>
      <c r="D8523" s="2" t="s">
        <v>4288</v>
      </c>
      <c r="E8523" s="2"/>
      <c r="F8523" s="2" t="str">
        <f>"9789942642523"</f>
        <v>9789942642523</v>
      </c>
    </row>
    <row r="8524" spans="1:6" s="3" customFormat="1" ht="29.1" customHeight="1" x14ac:dyDescent="0.25">
      <c r="A8524" s="2" t="s">
        <v>17664</v>
      </c>
      <c r="B8524" s="2" t="s">
        <v>17665</v>
      </c>
      <c r="C8524" s="2" t="s">
        <v>17657</v>
      </c>
      <c r="D8524" s="2" t="s">
        <v>2671</v>
      </c>
      <c r="E8524" s="2"/>
      <c r="F8524" s="2" t="str">
        <f>"9789942642653"</f>
        <v>9789942642653</v>
      </c>
    </row>
    <row r="8525" spans="1:6" s="3" customFormat="1" ht="29.1" customHeight="1" x14ac:dyDescent="0.25">
      <c r="A8525" s="2" t="s">
        <v>17666</v>
      </c>
      <c r="B8525" s="2" t="s">
        <v>17667</v>
      </c>
      <c r="C8525" s="2" t="s">
        <v>17657</v>
      </c>
      <c r="D8525" s="2" t="s">
        <v>1097</v>
      </c>
      <c r="E8525" s="2"/>
      <c r="F8525" s="2" t="str">
        <f>"9789942642660"</f>
        <v>9789942642660</v>
      </c>
    </row>
    <row r="8526" spans="1:6" s="3" customFormat="1" ht="29.1" customHeight="1" x14ac:dyDescent="0.25">
      <c r="A8526" s="2" t="s">
        <v>17668</v>
      </c>
      <c r="B8526" s="2" t="s">
        <v>17669</v>
      </c>
      <c r="C8526" s="2" t="s">
        <v>17657</v>
      </c>
      <c r="D8526" s="2" t="s">
        <v>10396</v>
      </c>
      <c r="E8526" s="2"/>
      <c r="F8526" s="2" t="str">
        <f>"9789942642615"</f>
        <v>9789942642615</v>
      </c>
    </row>
    <row r="8527" spans="1:6" s="3" customFormat="1" ht="29.1" customHeight="1" x14ac:dyDescent="0.25">
      <c r="A8527" s="2" t="s">
        <v>17670</v>
      </c>
      <c r="B8527" s="2" t="s">
        <v>17671</v>
      </c>
      <c r="C8527" s="2" t="s">
        <v>17657</v>
      </c>
      <c r="D8527" s="2" t="s">
        <v>9</v>
      </c>
      <c r="E8527" s="2"/>
      <c r="F8527" s="2" t="str">
        <f>"9789942642561"</f>
        <v>9789942642561</v>
      </c>
    </row>
    <row r="8528" spans="1:6" s="3" customFormat="1" ht="29.1" customHeight="1" x14ac:dyDescent="0.25">
      <c r="A8528" s="2" t="s">
        <v>17672</v>
      </c>
      <c r="B8528" s="2" t="s">
        <v>17673</v>
      </c>
      <c r="C8528" s="2" t="s">
        <v>17657</v>
      </c>
      <c r="D8528" s="2" t="s">
        <v>2271</v>
      </c>
      <c r="E8528" s="2"/>
      <c r="F8528" s="2" t="str">
        <f>"9789942642622"</f>
        <v>9789942642622</v>
      </c>
    </row>
    <row r="8529" spans="1:6" s="3" customFormat="1" ht="29.1" customHeight="1" x14ac:dyDescent="0.25">
      <c r="A8529" s="2" t="s">
        <v>17674</v>
      </c>
      <c r="B8529" s="2" t="s">
        <v>17675</v>
      </c>
      <c r="C8529" s="2" t="s">
        <v>17657</v>
      </c>
      <c r="D8529" s="2" t="s">
        <v>2271</v>
      </c>
      <c r="E8529" s="2"/>
      <c r="F8529" s="2" t="str">
        <f>"9789942642677"</f>
        <v>9789942642677</v>
      </c>
    </row>
    <row r="8530" spans="1:6" s="3" customFormat="1" ht="29.1" customHeight="1" x14ac:dyDescent="0.25">
      <c r="A8530" s="2" t="s">
        <v>17676</v>
      </c>
      <c r="B8530" s="2" t="s">
        <v>17677</v>
      </c>
      <c r="C8530" s="2" t="s">
        <v>17657</v>
      </c>
      <c r="D8530" s="2" t="s">
        <v>2271</v>
      </c>
      <c r="E8530" s="2"/>
      <c r="F8530" s="2" t="str">
        <f>"9789942642554"</f>
        <v>9789942642554</v>
      </c>
    </row>
    <row r="8531" spans="1:6" s="3" customFormat="1" ht="29.1" customHeight="1" x14ac:dyDescent="0.25">
      <c r="A8531" s="2" t="s">
        <v>17678</v>
      </c>
      <c r="B8531" s="2" t="s">
        <v>17679</v>
      </c>
      <c r="C8531" s="2" t="s">
        <v>17657</v>
      </c>
      <c r="D8531" s="2" t="s">
        <v>81</v>
      </c>
      <c r="E8531" s="2"/>
      <c r="F8531" s="2" t="str">
        <f>"9789942642714"</f>
        <v>9789942642714</v>
      </c>
    </row>
    <row r="8532" spans="1:6" s="3" customFormat="1" ht="29.1" customHeight="1" x14ac:dyDescent="0.25">
      <c r="A8532" s="2" t="s">
        <v>17680</v>
      </c>
      <c r="B8532" s="2" t="s">
        <v>17681</v>
      </c>
      <c r="C8532" s="2" t="s">
        <v>17657</v>
      </c>
      <c r="D8532" s="2" t="s">
        <v>9</v>
      </c>
      <c r="E8532" s="2"/>
      <c r="F8532" s="2" t="str">
        <f>"9789942642547"</f>
        <v>9789942642547</v>
      </c>
    </row>
    <row r="8533" spans="1:6" s="3" customFormat="1" ht="29.1" customHeight="1" x14ac:dyDescent="0.25">
      <c r="A8533" s="2" t="s">
        <v>17682</v>
      </c>
      <c r="B8533" s="2" t="s">
        <v>17683</v>
      </c>
      <c r="C8533" s="2" t="s">
        <v>17657</v>
      </c>
      <c r="D8533" s="2" t="s">
        <v>81</v>
      </c>
      <c r="E8533" s="2"/>
      <c r="F8533" s="2" t="str">
        <f>"9789942642721"</f>
        <v>9789942642721</v>
      </c>
    </row>
    <row r="8534" spans="1:6" s="3" customFormat="1" ht="29.1" customHeight="1" x14ac:dyDescent="0.25">
      <c r="A8534" s="2" t="s">
        <v>17684</v>
      </c>
      <c r="B8534" s="2" t="s">
        <v>17685</v>
      </c>
      <c r="C8534" s="2" t="s">
        <v>17657</v>
      </c>
      <c r="D8534" s="2" t="s">
        <v>9</v>
      </c>
      <c r="E8534" s="2"/>
      <c r="F8534" s="2" t="str">
        <f>"9789942642639"</f>
        <v>9789942642639</v>
      </c>
    </row>
    <row r="8535" spans="1:6" s="3" customFormat="1" ht="29.1" customHeight="1" x14ac:dyDescent="0.25">
      <c r="A8535" s="2" t="s">
        <v>486</v>
      </c>
      <c r="B8535" s="2" t="s">
        <v>17686</v>
      </c>
      <c r="C8535" s="2" t="s">
        <v>5</v>
      </c>
      <c r="D8535" s="2" t="s">
        <v>487</v>
      </c>
      <c r="E8535" s="2" t="str">
        <f>"9783031485497"</f>
        <v>9783031485497</v>
      </c>
      <c r="F8535" s="2" t="str">
        <f>"9783031485503"</f>
        <v>9783031485503</v>
      </c>
    </row>
    <row r="8536" spans="1:6" s="3" customFormat="1" ht="29.1" customHeight="1" x14ac:dyDescent="0.25">
      <c r="A8536" s="2" t="s">
        <v>17687</v>
      </c>
      <c r="B8536" s="2" t="s">
        <v>17688</v>
      </c>
      <c r="C8536" s="2" t="s">
        <v>5</v>
      </c>
      <c r="D8536" s="2" t="s">
        <v>183</v>
      </c>
      <c r="E8536" s="2" t="str">
        <f>"9783031398131"</f>
        <v>9783031398131</v>
      </c>
      <c r="F8536" s="2" t="str">
        <f>"9783031398148"</f>
        <v>9783031398148</v>
      </c>
    </row>
    <row r="8537" spans="1:6" s="3" customFormat="1" ht="29.1" customHeight="1" x14ac:dyDescent="0.25">
      <c r="A8537" s="2" t="s">
        <v>17689</v>
      </c>
      <c r="B8537" s="2" t="s">
        <v>17690</v>
      </c>
      <c r="C8537" s="2" t="s">
        <v>5</v>
      </c>
      <c r="D8537" s="2" t="s">
        <v>537</v>
      </c>
      <c r="E8537" s="2" t="str">
        <f>"9782384761654"</f>
        <v>9782384761654</v>
      </c>
      <c r="F8537" s="2" t="str">
        <f>"9782384761661"</f>
        <v>9782384761661</v>
      </c>
    </row>
    <row r="8538" spans="1:6" s="3" customFormat="1" ht="29.1" customHeight="1" x14ac:dyDescent="0.25">
      <c r="A8538" s="2" t="s">
        <v>17691</v>
      </c>
      <c r="B8538" s="2" t="s">
        <v>17692</v>
      </c>
      <c r="C8538" s="2" t="s">
        <v>5</v>
      </c>
      <c r="D8538" s="2" t="s">
        <v>44</v>
      </c>
      <c r="E8538" s="2" t="str">
        <f>"9789464633351"</f>
        <v>9789464633351</v>
      </c>
      <c r="F8538" s="2" t="str">
        <f>"9789464633368"</f>
        <v>9789464633368</v>
      </c>
    </row>
    <row r="8539" spans="1:6" s="3" customFormat="1" ht="29.1" customHeight="1" x14ac:dyDescent="0.25">
      <c r="A8539" s="2" t="s">
        <v>17693</v>
      </c>
      <c r="B8539" s="2" t="s">
        <v>17694</v>
      </c>
      <c r="C8539" s="2" t="s">
        <v>5</v>
      </c>
      <c r="D8539" s="2" t="s">
        <v>98</v>
      </c>
      <c r="E8539" s="2" t="str">
        <f>"9789464633399"</f>
        <v>9789464633399</v>
      </c>
      <c r="F8539" s="2" t="str">
        <f>"9789464633405"</f>
        <v>9789464633405</v>
      </c>
    </row>
    <row r="8540" spans="1:6" s="3" customFormat="1" ht="29.1" customHeight="1" x14ac:dyDescent="0.25">
      <c r="A8540" s="2" t="s">
        <v>17695</v>
      </c>
      <c r="B8540" s="2" t="s">
        <v>17696</v>
      </c>
      <c r="C8540" s="2" t="s">
        <v>5</v>
      </c>
      <c r="D8540" s="2" t="s">
        <v>218</v>
      </c>
      <c r="E8540" s="2" t="str">
        <f>"9783031389559"</f>
        <v>9783031389559</v>
      </c>
      <c r="F8540" s="2" t="str">
        <f>"9783031389566"</f>
        <v>9783031389566</v>
      </c>
    </row>
    <row r="8541" spans="1:6" s="3" customFormat="1" ht="29.1" customHeight="1" x14ac:dyDescent="0.25">
      <c r="A8541" s="2" t="s">
        <v>17697</v>
      </c>
      <c r="B8541" s="2" t="s">
        <v>17698</v>
      </c>
      <c r="C8541" s="2" t="s">
        <v>5</v>
      </c>
      <c r="D8541" s="2" t="s">
        <v>1253</v>
      </c>
      <c r="E8541" s="2" t="str">
        <f>"9783031427626"</f>
        <v>9783031427626</v>
      </c>
      <c r="F8541" s="2" t="str">
        <f>"9783031427633"</f>
        <v>9783031427633</v>
      </c>
    </row>
    <row r="8542" spans="1:6" s="3" customFormat="1" ht="29.1" customHeight="1" x14ac:dyDescent="0.25">
      <c r="A8542" s="2" t="s">
        <v>17699</v>
      </c>
      <c r="B8542" s="2" t="s">
        <v>17700</v>
      </c>
      <c r="C8542" s="2" t="s">
        <v>5</v>
      </c>
      <c r="D8542" s="2" t="s">
        <v>712</v>
      </c>
      <c r="E8542" s="2" t="str">
        <f>"9782384761678"</f>
        <v>9782384761678</v>
      </c>
      <c r="F8542" s="2" t="str">
        <f>"9782384761685"</f>
        <v>9782384761685</v>
      </c>
    </row>
    <row r="8543" spans="1:6" s="3" customFormat="1" ht="29.1" customHeight="1" x14ac:dyDescent="0.25">
      <c r="A8543" s="2" t="s">
        <v>17701</v>
      </c>
      <c r="B8543" s="2" t="s">
        <v>17702</v>
      </c>
      <c r="C8543" s="2" t="s">
        <v>5</v>
      </c>
      <c r="D8543" s="2" t="s">
        <v>16254</v>
      </c>
      <c r="E8543" s="2" t="str">
        <f>"9789464633252"</f>
        <v>9789464633252</v>
      </c>
      <c r="F8543" s="2" t="str">
        <f>"9789464633269"</f>
        <v>9789464633269</v>
      </c>
    </row>
    <row r="8544" spans="1:6" s="3" customFormat="1" ht="29.1" customHeight="1" x14ac:dyDescent="0.25">
      <c r="A8544" s="2" t="s">
        <v>17703</v>
      </c>
      <c r="B8544" s="2" t="s">
        <v>17704</v>
      </c>
      <c r="C8544" s="2" t="s">
        <v>5</v>
      </c>
      <c r="D8544" s="2" t="s">
        <v>544</v>
      </c>
      <c r="E8544" s="2" t="str">
        <f>"9789464633214"</f>
        <v>9789464633214</v>
      </c>
      <c r="F8544" s="2" t="str">
        <f>"9789464633221"</f>
        <v>9789464633221</v>
      </c>
    </row>
    <row r="8545" spans="1:6" s="3" customFormat="1" ht="29.1" customHeight="1" x14ac:dyDescent="0.25">
      <c r="A8545" s="2" t="s">
        <v>17705</v>
      </c>
      <c r="B8545" s="2" t="s">
        <v>17706</v>
      </c>
      <c r="C8545" s="2" t="s">
        <v>5</v>
      </c>
      <c r="D8545" s="2" t="s">
        <v>81</v>
      </c>
      <c r="E8545" s="2" t="str">
        <f>"9783031412639"</f>
        <v>9783031412639</v>
      </c>
      <c r="F8545" s="2" t="str">
        <f>"9783031412646"</f>
        <v>9783031412646</v>
      </c>
    </row>
    <row r="8546" spans="1:6" s="3" customFormat="1" ht="29.1" customHeight="1" x14ac:dyDescent="0.25">
      <c r="A8546" s="2" t="s">
        <v>17707</v>
      </c>
      <c r="B8546" s="2" t="s">
        <v>17708</v>
      </c>
      <c r="C8546" s="2" t="s">
        <v>5</v>
      </c>
      <c r="D8546" s="2" t="s">
        <v>12</v>
      </c>
      <c r="E8546" s="2" t="str">
        <f>"9783031407826"</f>
        <v>9783031407826</v>
      </c>
      <c r="F8546" s="2" t="str">
        <f>"9783031407833"</f>
        <v>9783031407833</v>
      </c>
    </row>
    <row r="8547" spans="1:6" s="3" customFormat="1" ht="29.1" customHeight="1" x14ac:dyDescent="0.25">
      <c r="A8547" s="2" t="s">
        <v>17709</v>
      </c>
      <c r="B8547" s="2" t="s">
        <v>17710</v>
      </c>
      <c r="C8547" s="2" t="s">
        <v>5</v>
      </c>
      <c r="D8547" s="2" t="s">
        <v>189</v>
      </c>
      <c r="E8547" s="2" t="str">
        <f>"9783031445835"</f>
        <v>9783031445835</v>
      </c>
      <c r="F8547" s="2" t="str">
        <f>"9783031445842"</f>
        <v>9783031445842</v>
      </c>
    </row>
    <row r="8548" spans="1:6" s="3" customFormat="1" ht="29.1" customHeight="1" x14ac:dyDescent="0.25">
      <c r="A8548" s="2" t="s">
        <v>17711</v>
      </c>
      <c r="B8548" s="2" t="s">
        <v>17712</v>
      </c>
      <c r="C8548" s="2" t="s">
        <v>5</v>
      </c>
      <c r="D8548" s="2" t="s">
        <v>1878</v>
      </c>
      <c r="E8548" s="2" t="str">
        <f>"9783031390111"</f>
        <v>9783031390111</v>
      </c>
      <c r="F8548" s="2" t="str">
        <f>"9783031390128"</f>
        <v>9783031390128</v>
      </c>
    </row>
    <row r="8549" spans="1:6" s="3" customFormat="1" ht="29.1" customHeight="1" x14ac:dyDescent="0.25">
      <c r="A8549" s="2" t="s">
        <v>17713</v>
      </c>
      <c r="B8549" s="2" t="s">
        <v>17714</v>
      </c>
      <c r="C8549" s="2" t="s">
        <v>5</v>
      </c>
      <c r="D8549" s="2" t="s">
        <v>5228</v>
      </c>
      <c r="E8549" s="2" t="str">
        <f>"9783658427788"</f>
        <v>9783658427788</v>
      </c>
      <c r="F8549" s="2" t="str">
        <f>"9783658427795"</f>
        <v>9783658427795</v>
      </c>
    </row>
    <row r="8550" spans="1:6" s="3" customFormat="1" ht="29.1" customHeight="1" x14ac:dyDescent="0.25">
      <c r="A8550" s="2" t="s">
        <v>17715</v>
      </c>
      <c r="B8550" s="2" t="s">
        <v>17716</v>
      </c>
      <c r="C8550" s="2" t="s">
        <v>5</v>
      </c>
      <c r="D8550" s="2" t="s">
        <v>75</v>
      </c>
      <c r="E8550" s="2" t="str">
        <f>"9789819960057"</f>
        <v>9789819960057</v>
      </c>
      <c r="F8550" s="2" t="str">
        <f>"9789819960064"</f>
        <v>9789819960064</v>
      </c>
    </row>
    <row r="8551" spans="1:6" s="3" customFormat="1" ht="29.1" customHeight="1" x14ac:dyDescent="0.25">
      <c r="A8551" s="2" t="s">
        <v>17717</v>
      </c>
      <c r="B8551" s="2" t="s">
        <v>9519</v>
      </c>
      <c r="C8551" s="2" t="s">
        <v>5</v>
      </c>
      <c r="D8551" s="2" t="s">
        <v>331</v>
      </c>
      <c r="E8551" s="2" t="str">
        <f>"9789464633375"</f>
        <v>9789464633375</v>
      </c>
      <c r="F8551" s="2" t="str">
        <f>"9789464633382"</f>
        <v>9789464633382</v>
      </c>
    </row>
    <row r="8552" spans="1:6" s="3" customFormat="1" ht="29.1" customHeight="1" x14ac:dyDescent="0.25">
      <c r="A8552" s="2" t="s">
        <v>17718</v>
      </c>
      <c r="B8552" s="2" t="s">
        <v>17719</v>
      </c>
      <c r="C8552" s="2" t="s">
        <v>5</v>
      </c>
      <c r="D8552" s="2" t="s">
        <v>2307</v>
      </c>
      <c r="E8552" s="2" t="str">
        <f>"9782384761616"</f>
        <v>9782384761616</v>
      </c>
      <c r="F8552" s="2" t="str">
        <f>"9782384761623"</f>
        <v>9782384761623</v>
      </c>
    </row>
    <row r="8553" spans="1:6" s="3" customFormat="1" ht="29.1" customHeight="1" x14ac:dyDescent="0.25">
      <c r="A8553" s="2" t="s">
        <v>17720</v>
      </c>
      <c r="B8553" s="2" t="s">
        <v>17721</v>
      </c>
      <c r="C8553" s="2" t="s">
        <v>5</v>
      </c>
      <c r="D8553" s="2" t="s">
        <v>2237</v>
      </c>
      <c r="E8553" s="2" t="str">
        <f>"9789464633238"</f>
        <v>9789464633238</v>
      </c>
      <c r="F8553" s="2" t="str">
        <f>"9789464633245"</f>
        <v>9789464633245</v>
      </c>
    </row>
    <row r="8554" spans="1:6" s="3" customFormat="1" ht="29.1" customHeight="1" x14ac:dyDescent="0.25">
      <c r="A8554" s="2" t="s">
        <v>17722</v>
      </c>
      <c r="B8554" s="2" t="s">
        <v>17723</v>
      </c>
      <c r="C8554" s="2" t="s">
        <v>5</v>
      </c>
      <c r="D8554" s="2" t="s">
        <v>12</v>
      </c>
      <c r="E8554" s="2" t="str">
        <f>"9783031397288"</f>
        <v>9783031397288</v>
      </c>
      <c r="F8554" s="2" t="str">
        <f>"9783031397295"</f>
        <v>9783031397295</v>
      </c>
    </row>
    <row r="8555" spans="1:6" s="3" customFormat="1" ht="29.1" customHeight="1" x14ac:dyDescent="0.25">
      <c r="A8555" s="2" t="s">
        <v>17724</v>
      </c>
      <c r="B8555" s="2" t="s">
        <v>17725</v>
      </c>
      <c r="C8555" s="2" t="s">
        <v>29</v>
      </c>
      <c r="D8555" s="2" t="s">
        <v>3861</v>
      </c>
      <c r="E8555" s="2" t="str">
        <f>"9789004681170"</f>
        <v>9789004681170</v>
      </c>
      <c r="F8555" s="2" t="str">
        <f>"9789004681187"</f>
        <v>9789004681187</v>
      </c>
    </row>
    <row r="8556" spans="1:6" s="3" customFormat="1" ht="29.1" customHeight="1" x14ac:dyDescent="0.25">
      <c r="A8556" s="2" t="s">
        <v>17726</v>
      </c>
      <c r="B8556" s="2" t="s">
        <v>17727</v>
      </c>
      <c r="C8556" s="2" t="s">
        <v>62</v>
      </c>
      <c r="D8556" s="2" t="s">
        <v>125</v>
      </c>
      <c r="E8556" s="2" t="str">
        <f>"9783428190607"</f>
        <v>9783428190607</v>
      </c>
      <c r="F8556" s="2" t="str">
        <f>"9783428590605"</f>
        <v>9783428590605</v>
      </c>
    </row>
    <row r="8557" spans="1:6" s="3" customFormat="1" ht="29.1" customHeight="1" x14ac:dyDescent="0.25">
      <c r="A8557" s="2" t="s">
        <v>17728</v>
      </c>
      <c r="B8557" s="2" t="s">
        <v>17729</v>
      </c>
      <c r="C8557" s="2" t="s">
        <v>62</v>
      </c>
      <c r="D8557" s="2" t="s">
        <v>125</v>
      </c>
      <c r="E8557" s="2" t="str">
        <f>"9783428190041"</f>
        <v>9783428190041</v>
      </c>
      <c r="F8557" s="2" t="str">
        <f>"9783428590049"</f>
        <v>9783428590049</v>
      </c>
    </row>
    <row r="8558" spans="1:6" s="3" customFormat="1" ht="29.1" customHeight="1" x14ac:dyDescent="0.25">
      <c r="A8558" s="2" t="s">
        <v>17730</v>
      </c>
      <c r="B8558" s="2" t="s">
        <v>17731</v>
      </c>
      <c r="C8558" s="2" t="s">
        <v>62</v>
      </c>
      <c r="D8558" s="2" t="s">
        <v>2048</v>
      </c>
      <c r="E8558" s="2" t="str">
        <f>"9783428190034"</f>
        <v>9783428190034</v>
      </c>
      <c r="F8558" s="2" t="str">
        <f>"9783428590032"</f>
        <v>9783428590032</v>
      </c>
    </row>
    <row r="8559" spans="1:6" s="3" customFormat="1" ht="29.1" customHeight="1" x14ac:dyDescent="0.25">
      <c r="A8559" s="2" t="s">
        <v>17732</v>
      </c>
      <c r="B8559" s="2" t="s">
        <v>17733</v>
      </c>
      <c r="C8559" s="2" t="s">
        <v>62</v>
      </c>
      <c r="D8559" s="2" t="s">
        <v>63</v>
      </c>
      <c r="E8559" s="2" t="str">
        <f>"9783428185795"</f>
        <v>9783428185795</v>
      </c>
      <c r="F8559" s="2" t="str">
        <f>"9783428585793"</f>
        <v>9783428585793</v>
      </c>
    </row>
    <row r="8560" spans="1:6" s="3" customFormat="1" ht="29.1" customHeight="1" x14ac:dyDescent="0.25">
      <c r="A8560" s="2" t="s">
        <v>17734</v>
      </c>
      <c r="B8560" s="2" t="s">
        <v>17735</v>
      </c>
      <c r="C8560" s="2" t="s">
        <v>239</v>
      </c>
      <c r="D8560" s="2" t="s">
        <v>7943</v>
      </c>
      <c r="E8560" s="2" t="str">
        <f>"9780520399297"</f>
        <v>9780520399297</v>
      </c>
      <c r="F8560" s="2" t="str">
        <f>"9780520399303"</f>
        <v>9780520399303</v>
      </c>
    </row>
    <row r="8561" spans="1:6" s="3" customFormat="1" ht="29.1" customHeight="1" x14ac:dyDescent="0.25">
      <c r="A8561" s="2" t="s">
        <v>17736</v>
      </c>
      <c r="B8561" s="2" t="s">
        <v>17737</v>
      </c>
      <c r="C8561" s="2" t="s">
        <v>746</v>
      </c>
      <c r="D8561" s="2" t="s">
        <v>606</v>
      </c>
      <c r="E8561" s="2" t="str">
        <f>"9781803276588"</f>
        <v>9781803276588</v>
      </c>
      <c r="F8561" s="2" t="str">
        <f>"9781803276595"</f>
        <v>9781803276595</v>
      </c>
    </row>
    <row r="8562" spans="1:6" s="3" customFormat="1" ht="29.1" customHeight="1" x14ac:dyDescent="0.25">
      <c r="A8562" s="2" t="s">
        <v>17738</v>
      </c>
      <c r="B8562" s="2" t="s">
        <v>17739</v>
      </c>
      <c r="C8562" s="2" t="s">
        <v>746</v>
      </c>
      <c r="D8562" s="2" t="s">
        <v>606</v>
      </c>
      <c r="E8562" s="2" t="str">
        <f>"9781803276489"</f>
        <v>9781803276489</v>
      </c>
      <c r="F8562" s="2" t="str">
        <f>"9781803276496"</f>
        <v>9781803276496</v>
      </c>
    </row>
    <row r="8563" spans="1:6" s="3" customFormat="1" ht="29.1" customHeight="1" x14ac:dyDescent="0.25">
      <c r="A8563" s="2" t="s">
        <v>17740</v>
      </c>
      <c r="B8563" s="2" t="s">
        <v>17742</v>
      </c>
      <c r="C8563" s="2" t="s">
        <v>746</v>
      </c>
      <c r="D8563" s="2" t="s">
        <v>17741</v>
      </c>
      <c r="E8563" s="2" t="str">
        <f>"9781803276540"</f>
        <v>9781803276540</v>
      </c>
      <c r="F8563" s="2" t="str">
        <f>"9781803276557"</f>
        <v>9781803276557</v>
      </c>
    </row>
    <row r="8564" spans="1:6" s="3" customFormat="1" ht="29.1" customHeight="1" x14ac:dyDescent="0.25">
      <c r="A8564" s="2" t="s">
        <v>17743</v>
      </c>
      <c r="B8564" s="2" t="s">
        <v>17744</v>
      </c>
      <c r="C8564" s="2" t="s">
        <v>5</v>
      </c>
      <c r="D8564" s="2" t="s">
        <v>1845</v>
      </c>
      <c r="E8564" s="2" t="str">
        <f>"9783658427863"</f>
        <v>9783658427863</v>
      </c>
      <c r="F8564" s="2" t="str">
        <f>"9783658427870"</f>
        <v>9783658427870</v>
      </c>
    </row>
    <row r="8565" spans="1:6" s="3" customFormat="1" ht="29.1" customHeight="1" x14ac:dyDescent="0.25">
      <c r="A8565" s="2" t="s">
        <v>17745</v>
      </c>
      <c r="B8565" s="2" t="s">
        <v>17746</v>
      </c>
      <c r="C8565" s="2" t="s">
        <v>5</v>
      </c>
      <c r="D8565" s="2" t="s">
        <v>367</v>
      </c>
      <c r="E8565" s="2" t="str">
        <f>"9789464633139"</f>
        <v>9789464633139</v>
      </c>
      <c r="F8565" s="2" t="str">
        <f>"9789464633146"</f>
        <v>9789464633146</v>
      </c>
    </row>
    <row r="8566" spans="1:6" s="3" customFormat="1" ht="29.1" customHeight="1" x14ac:dyDescent="0.25">
      <c r="A8566" s="2" t="s">
        <v>17747</v>
      </c>
      <c r="B8566" s="2" t="s">
        <v>17748</v>
      </c>
      <c r="C8566" s="2" t="s">
        <v>5</v>
      </c>
      <c r="D8566" s="2" t="s">
        <v>186</v>
      </c>
      <c r="E8566" s="2" t="str">
        <f>"9789464633276"</f>
        <v>9789464633276</v>
      </c>
      <c r="F8566" s="2" t="str">
        <f>"9789464633283"</f>
        <v>9789464633283</v>
      </c>
    </row>
    <row r="8567" spans="1:6" s="3" customFormat="1" ht="29.1" customHeight="1" x14ac:dyDescent="0.25">
      <c r="A8567" s="2" t="s">
        <v>17749</v>
      </c>
      <c r="B8567" s="2" t="s">
        <v>17750</v>
      </c>
      <c r="C8567" s="2" t="s">
        <v>5</v>
      </c>
      <c r="D8567" s="2" t="s">
        <v>459</v>
      </c>
      <c r="E8567" s="2" t="str">
        <f>"9783662683576"</f>
        <v>9783662683576</v>
      </c>
      <c r="F8567" s="2" t="str">
        <f>"9783662683583"</f>
        <v>9783662683583</v>
      </c>
    </row>
    <row r="8568" spans="1:6" s="3" customFormat="1" ht="29.1" customHeight="1" x14ac:dyDescent="0.25">
      <c r="A8568" s="2" t="s">
        <v>17751</v>
      </c>
      <c r="B8568" s="2" t="s">
        <v>17752</v>
      </c>
      <c r="C8568" s="2" t="s">
        <v>8104</v>
      </c>
      <c r="D8568" s="2" t="s">
        <v>636</v>
      </c>
      <c r="E8568" s="2" t="str">
        <f>"9781805395881"</f>
        <v>9781805395881</v>
      </c>
      <c r="F8568" s="2" t="str">
        <f>"9781805395898"</f>
        <v>9781805395898</v>
      </c>
    </row>
    <row r="8569" spans="1:6" s="3" customFormat="1" ht="29.1" customHeight="1" x14ac:dyDescent="0.25">
      <c r="A8569" s="2" t="s">
        <v>17753</v>
      </c>
      <c r="B8569" s="2" t="s">
        <v>17754</v>
      </c>
      <c r="C8569" s="2" t="s">
        <v>8104</v>
      </c>
      <c r="D8569" s="2" t="s">
        <v>1183</v>
      </c>
      <c r="E8569" s="2" t="str">
        <f>"9781805392835"</f>
        <v>9781805392835</v>
      </c>
      <c r="F8569" s="2" t="str">
        <f>"9781805392842"</f>
        <v>9781805392842</v>
      </c>
    </row>
    <row r="8570" spans="1:6" s="3" customFormat="1" ht="29.1" customHeight="1" x14ac:dyDescent="0.25">
      <c r="A8570" s="2" t="s">
        <v>17755</v>
      </c>
      <c r="B8570" s="2" t="s">
        <v>17756</v>
      </c>
      <c r="C8570" s="2" t="s">
        <v>5</v>
      </c>
      <c r="D8570" s="2" t="s">
        <v>5588</v>
      </c>
      <c r="E8570" s="2" t="str">
        <f>"9781447175261"</f>
        <v>9781447175261</v>
      </c>
      <c r="F8570" s="2" t="str">
        <f>"9781447175278"</f>
        <v>9781447175278</v>
      </c>
    </row>
    <row r="8571" spans="1:6" s="3" customFormat="1" ht="29.1" customHeight="1" x14ac:dyDescent="0.25">
      <c r="A8571" s="2" t="s">
        <v>17757</v>
      </c>
      <c r="B8571" s="2" t="s">
        <v>17758</v>
      </c>
      <c r="C8571" s="2" t="s">
        <v>59</v>
      </c>
      <c r="D8571" s="2" t="s">
        <v>1806</v>
      </c>
      <c r="E8571" s="2"/>
      <c r="F8571" s="2" t="str">
        <f>"9782876148260"</f>
        <v>9782876148260</v>
      </c>
    </row>
    <row r="8572" spans="1:6" s="3" customFormat="1" ht="29.1" customHeight="1" x14ac:dyDescent="0.25">
      <c r="A8572" s="2" t="s">
        <v>17759</v>
      </c>
      <c r="B8572" s="2" t="s">
        <v>17760</v>
      </c>
      <c r="C8572" s="2" t="s">
        <v>59</v>
      </c>
      <c r="D8572" s="2" t="s">
        <v>11558</v>
      </c>
      <c r="E8572" s="2" t="str">
        <f>"9782876144910"</f>
        <v>9782876144910</v>
      </c>
      <c r="F8572" s="2" t="str">
        <f>"9782876148239"</f>
        <v>9782876148239</v>
      </c>
    </row>
    <row r="8573" spans="1:6" s="3" customFormat="1" ht="29.1" customHeight="1" x14ac:dyDescent="0.25">
      <c r="A8573" s="2" t="s">
        <v>17761</v>
      </c>
      <c r="B8573" s="2" t="s">
        <v>17762</v>
      </c>
      <c r="C8573" s="2" t="s">
        <v>59</v>
      </c>
      <c r="D8573" s="2" t="s">
        <v>11558</v>
      </c>
      <c r="E8573" s="2" t="str">
        <f>"9782876142992"</f>
        <v>9782876142992</v>
      </c>
      <c r="F8573" s="2" t="str">
        <f>"9782876148130"</f>
        <v>9782876148130</v>
      </c>
    </row>
    <row r="8574" spans="1:6" s="3" customFormat="1" ht="29.1" customHeight="1" x14ac:dyDescent="0.25">
      <c r="A8574" s="2" t="s">
        <v>17763</v>
      </c>
      <c r="B8574" s="2" t="s">
        <v>17764</v>
      </c>
      <c r="C8574" s="2" t="s">
        <v>59</v>
      </c>
      <c r="D8574" s="2" t="s">
        <v>11558</v>
      </c>
      <c r="E8574" s="2" t="str">
        <f>"9782876142855"</f>
        <v>9782876142855</v>
      </c>
      <c r="F8574" s="2" t="str">
        <f>"9782876148116"</f>
        <v>9782876148116</v>
      </c>
    </row>
    <row r="8575" spans="1:6" s="3" customFormat="1" ht="29.1" customHeight="1" x14ac:dyDescent="0.25">
      <c r="A8575" s="2" t="s">
        <v>17765</v>
      </c>
      <c r="B8575" s="2" t="s">
        <v>17766</v>
      </c>
      <c r="C8575" s="2" t="s">
        <v>59</v>
      </c>
      <c r="D8575" s="2" t="s">
        <v>11558</v>
      </c>
      <c r="E8575" s="2" t="str">
        <f>"9782876142121"</f>
        <v>9782876142121</v>
      </c>
      <c r="F8575" s="2" t="str">
        <f>"9782876148178"</f>
        <v>9782876148178</v>
      </c>
    </row>
    <row r="8576" spans="1:6" s="3" customFormat="1" ht="29.1" customHeight="1" x14ac:dyDescent="0.25">
      <c r="A8576" s="2" t="s">
        <v>17767</v>
      </c>
      <c r="B8576" s="2" t="s">
        <v>17768</v>
      </c>
      <c r="C8576" s="2" t="s">
        <v>59</v>
      </c>
      <c r="D8576" s="2" t="s">
        <v>11558</v>
      </c>
      <c r="E8576" s="2" t="str">
        <f>"9782876144958"</f>
        <v>9782876144958</v>
      </c>
      <c r="F8576" s="2" t="str">
        <f>"9782876148246"</f>
        <v>9782876148246</v>
      </c>
    </row>
    <row r="8577" spans="1:6" s="3" customFormat="1" ht="29.1" customHeight="1" x14ac:dyDescent="0.25">
      <c r="A8577" s="2" t="s">
        <v>17769</v>
      </c>
      <c r="B8577" s="2" t="s">
        <v>17770</v>
      </c>
      <c r="C8577" s="2" t="s">
        <v>59</v>
      </c>
      <c r="D8577" s="2" t="s">
        <v>11558</v>
      </c>
      <c r="E8577" s="2"/>
      <c r="F8577" s="2" t="str">
        <f>"9782876148253"</f>
        <v>9782876148253</v>
      </c>
    </row>
    <row r="8578" spans="1:6" s="3" customFormat="1" ht="29.1" customHeight="1" x14ac:dyDescent="0.25">
      <c r="A8578" s="2" t="s">
        <v>17771</v>
      </c>
      <c r="B8578" s="2" t="s">
        <v>17772</v>
      </c>
      <c r="C8578" s="2" t="s">
        <v>59</v>
      </c>
      <c r="D8578" s="2" t="s">
        <v>11558</v>
      </c>
      <c r="E8578" s="2" t="str">
        <f>"9782876143029"</f>
        <v>9782876143029</v>
      </c>
      <c r="F8578" s="2" t="str">
        <f>"9782876148147"</f>
        <v>9782876148147</v>
      </c>
    </row>
    <row r="8579" spans="1:6" s="3" customFormat="1" ht="29.1" customHeight="1" x14ac:dyDescent="0.25">
      <c r="A8579" s="2" t="s">
        <v>17773</v>
      </c>
      <c r="B8579" s="2" t="s">
        <v>17774</v>
      </c>
      <c r="C8579" s="2" t="s">
        <v>59</v>
      </c>
      <c r="D8579" s="2" t="s">
        <v>11558</v>
      </c>
      <c r="E8579" s="2" t="str">
        <f>"9782876144446"</f>
        <v>9782876144446</v>
      </c>
      <c r="F8579" s="2" t="str">
        <f>"9782876148192"</f>
        <v>9782876148192</v>
      </c>
    </row>
    <row r="8580" spans="1:6" s="3" customFormat="1" ht="29.1" customHeight="1" x14ac:dyDescent="0.25">
      <c r="A8580" s="2" t="s">
        <v>17775</v>
      </c>
      <c r="B8580" s="2" t="s">
        <v>17776</v>
      </c>
      <c r="C8580" s="2" t="s">
        <v>59</v>
      </c>
      <c r="D8580" s="2" t="s">
        <v>11558</v>
      </c>
      <c r="E8580" s="2"/>
      <c r="F8580" s="2" t="str">
        <f>"9782876148161"</f>
        <v>9782876148161</v>
      </c>
    </row>
    <row r="8581" spans="1:6" s="3" customFormat="1" ht="29.1" customHeight="1" x14ac:dyDescent="0.25">
      <c r="A8581" s="2" t="s">
        <v>17777</v>
      </c>
      <c r="B8581" s="2" t="s">
        <v>17778</v>
      </c>
      <c r="C8581" s="2" t="s">
        <v>5</v>
      </c>
      <c r="D8581" s="2" t="s">
        <v>81</v>
      </c>
      <c r="E8581" s="2" t="str">
        <f>"9782384761630"</f>
        <v>9782384761630</v>
      </c>
      <c r="F8581" s="2" t="str">
        <f>"9782384761647"</f>
        <v>9782384761647</v>
      </c>
    </row>
    <row r="8582" spans="1:6" s="3" customFormat="1" ht="29.1" customHeight="1" x14ac:dyDescent="0.25">
      <c r="A8582" s="2" t="s">
        <v>17779</v>
      </c>
      <c r="B8582" s="2" t="s">
        <v>17780</v>
      </c>
      <c r="C8582" s="2" t="s">
        <v>5</v>
      </c>
      <c r="D8582" s="2" t="s">
        <v>284</v>
      </c>
      <c r="E8582" s="2" t="str">
        <f>"9783031453038"</f>
        <v>9783031453038</v>
      </c>
      <c r="F8582" s="2" t="str">
        <f>"9783031453045"</f>
        <v>9783031453045</v>
      </c>
    </row>
    <row r="8583" spans="1:6" s="3" customFormat="1" ht="29.1" customHeight="1" x14ac:dyDescent="0.25">
      <c r="A8583" s="2" t="s">
        <v>17781</v>
      </c>
      <c r="B8583" s="2" t="s">
        <v>17783</v>
      </c>
      <c r="C8583" s="2" t="s">
        <v>124</v>
      </c>
      <c r="D8583" s="2" t="s">
        <v>17782</v>
      </c>
      <c r="E8583" s="2" t="str">
        <f>"9780367478384"</f>
        <v>9780367478384</v>
      </c>
      <c r="F8583" s="2" t="str">
        <f>"9781003036807"</f>
        <v>9781003036807</v>
      </c>
    </row>
    <row r="8584" spans="1:6" s="3" customFormat="1" ht="29.1" customHeight="1" x14ac:dyDescent="0.25">
      <c r="A8584" s="2" t="s">
        <v>17784</v>
      </c>
      <c r="B8584" s="2" t="s">
        <v>17785</v>
      </c>
      <c r="C8584" s="2" t="s">
        <v>124</v>
      </c>
      <c r="D8584" s="2" t="s">
        <v>30</v>
      </c>
      <c r="E8584" s="2" t="str">
        <f>"9781032546308"</f>
        <v>9781032546308</v>
      </c>
      <c r="F8584" s="2" t="str">
        <f>"9781003425861"</f>
        <v>9781003425861</v>
      </c>
    </row>
    <row r="8585" spans="1:6" s="3" customFormat="1" ht="29.1" customHeight="1" x14ac:dyDescent="0.25">
      <c r="A8585" s="2" t="s">
        <v>17786</v>
      </c>
      <c r="B8585" s="2" t="s">
        <v>17787</v>
      </c>
      <c r="C8585" s="2" t="s">
        <v>29</v>
      </c>
      <c r="D8585" s="2" t="s">
        <v>183</v>
      </c>
      <c r="E8585" s="2" t="str">
        <f>"9789004535107"</f>
        <v>9789004535107</v>
      </c>
      <c r="F8585" s="2" t="str">
        <f>"9789004542389"</f>
        <v>9789004542389</v>
      </c>
    </row>
    <row r="8586" spans="1:6" s="3" customFormat="1" ht="29.1" customHeight="1" x14ac:dyDescent="0.25">
      <c r="A8586" s="2" t="s">
        <v>17788</v>
      </c>
      <c r="B8586" s="2" t="s">
        <v>17789</v>
      </c>
      <c r="C8586" s="2" t="s">
        <v>29</v>
      </c>
      <c r="D8586" s="2" t="s">
        <v>2428</v>
      </c>
      <c r="E8586" s="2" t="str">
        <f>"9783506793836"</f>
        <v>9783506793836</v>
      </c>
      <c r="F8586" s="2" t="str">
        <f>"9783657793839"</f>
        <v>9783657793839</v>
      </c>
    </row>
    <row r="8587" spans="1:6" s="3" customFormat="1" ht="29.1" customHeight="1" x14ac:dyDescent="0.25">
      <c r="A8587" s="2" t="s">
        <v>17790</v>
      </c>
      <c r="B8587" s="2" t="s">
        <v>17792</v>
      </c>
      <c r="C8587" s="2" t="s">
        <v>644</v>
      </c>
      <c r="D8587" s="2" t="s">
        <v>17791</v>
      </c>
      <c r="E8587" s="2"/>
      <c r="F8587" s="2" t="str">
        <f>"9781478093718"</f>
        <v>9781478093718</v>
      </c>
    </row>
    <row r="8588" spans="1:6" s="3" customFormat="1" ht="29.1" customHeight="1" x14ac:dyDescent="0.25">
      <c r="A8588" s="2" t="s">
        <v>17793</v>
      </c>
      <c r="B8588" s="2" t="s">
        <v>17794</v>
      </c>
      <c r="C8588" s="2" t="s">
        <v>264</v>
      </c>
      <c r="D8588" s="2" t="s">
        <v>5213</v>
      </c>
      <c r="E8588" s="2" t="str">
        <f>"9780367197339"</f>
        <v>9780367197339</v>
      </c>
      <c r="F8588" s="2" t="str">
        <f>"9780429243066"</f>
        <v>9780429243066</v>
      </c>
    </row>
    <row r="8589" spans="1:6" s="3" customFormat="1" ht="29.1" customHeight="1" x14ac:dyDescent="0.25">
      <c r="A8589" s="2" t="s">
        <v>17795</v>
      </c>
      <c r="B8589" s="2" t="s">
        <v>17796</v>
      </c>
      <c r="C8589" s="2" t="s">
        <v>29</v>
      </c>
      <c r="D8589" s="2" t="s">
        <v>218</v>
      </c>
      <c r="E8589" s="2" t="str">
        <f>"9789004682467"</f>
        <v>9789004682467</v>
      </c>
      <c r="F8589" s="2" t="str">
        <f>"9789004682481"</f>
        <v>9789004682481</v>
      </c>
    </row>
    <row r="8590" spans="1:6" s="3" customFormat="1" ht="29.1" customHeight="1" x14ac:dyDescent="0.25">
      <c r="A8590" s="2" t="s">
        <v>17797</v>
      </c>
      <c r="B8590" s="2" t="s">
        <v>17799</v>
      </c>
      <c r="C8590" s="2" t="s">
        <v>29</v>
      </c>
      <c r="D8590" s="2" t="s">
        <v>17798</v>
      </c>
      <c r="E8590" s="2" t="str">
        <f>"9789004431782"</f>
        <v>9789004431782</v>
      </c>
      <c r="F8590" s="2" t="str">
        <f>"9789004540040"</f>
        <v>9789004540040</v>
      </c>
    </row>
    <row r="8591" spans="1:6" s="3" customFormat="1" ht="29.1" customHeight="1" x14ac:dyDescent="0.25">
      <c r="A8591" s="2" t="s">
        <v>17800</v>
      </c>
      <c r="B8591" s="2" t="s">
        <v>17801</v>
      </c>
      <c r="C8591" s="2" t="s">
        <v>316</v>
      </c>
      <c r="D8591" s="2" t="s">
        <v>1059</v>
      </c>
      <c r="E8591" s="2" t="str">
        <f>"9783036402307"</f>
        <v>9783036402307</v>
      </c>
      <c r="F8591" s="2" t="str">
        <f>"9783036412306"</f>
        <v>9783036412306</v>
      </c>
    </row>
    <row r="8592" spans="1:6" s="3" customFormat="1" ht="29.1" customHeight="1" x14ac:dyDescent="0.25">
      <c r="A8592" s="2" t="s">
        <v>17802</v>
      </c>
      <c r="B8592" s="2" t="s">
        <v>17803</v>
      </c>
      <c r="C8592" s="2" t="s">
        <v>149</v>
      </c>
      <c r="D8592" s="2" t="s">
        <v>405</v>
      </c>
      <c r="E8592" s="2"/>
      <c r="F8592" s="2" t="str">
        <f>"9781800644137"</f>
        <v>9781800644137</v>
      </c>
    </row>
    <row r="8593" spans="1:6" s="3" customFormat="1" ht="29.1" customHeight="1" x14ac:dyDescent="0.25">
      <c r="A8593" s="2" t="s">
        <v>17804</v>
      </c>
      <c r="B8593" s="2" t="s">
        <v>17805</v>
      </c>
      <c r="C8593" s="2" t="s">
        <v>124</v>
      </c>
      <c r="D8593" s="2" t="s">
        <v>694</v>
      </c>
      <c r="E8593" s="2" t="str">
        <f>"9781032710044"</f>
        <v>9781032710044</v>
      </c>
      <c r="F8593" s="2" t="str">
        <f>"9781032710051"</f>
        <v>9781032710051</v>
      </c>
    </row>
    <row r="8594" spans="1:6" s="3" customFormat="1" ht="29.1" customHeight="1" x14ac:dyDescent="0.25">
      <c r="A8594" s="2" t="s">
        <v>17806</v>
      </c>
      <c r="B8594" s="2" t="s">
        <v>17807</v>
      </c>
      <c r="C8594" s="2" t="s">
        <v>124</v>
      </c>
      <c r="D8594" s="2" t="s">
        <v>894</v>
      </c>
      <c r="E8594" s="2" t="str">
        <f>"9781032627533"</f>
        <v>9781032627533</v>
      </c>
      <c r="F8594" s="2" t="str">
        <f>"9781003855361"</f>
        <v>9781003855361</v>
      </c>
    </row>
    <row r="8595" spans="1:6" s="3" customFormat="1" ht="29.1" customHeight="1" x14ac:dyDescent="0.25">
      <c r="A8595" s="2" t="s">
        <v>17808</v>
      </c>
      <c r="B8595" s="2"/>
      <c r="C8595" s="2" t="s">
        <v>59</v>
      </c>
      <c r="D8595" s="2" t="s">
        <v>10941</v>
      </c>
      <c r="E8595" s="2"/>
      <c r="F8595" s="2" t="str">
        <f>"9782759238538"</f>
        <v>9782759238538</v>
      </c>
    </row>
    <row r="8596" spans="1:6" s="3" customFormat="1" ht="29.1" customHeight="1" x14ac:dyDescent="0.25">
      <c r="A8596" s="2" t="s">
        <v>17809</v>
      </c>
      <c r="B8596" s="2" t="s">
        <v>17810</v>
      </c>
      <c r="C8596" s="2" t="s">
        <v>5</v>
      </c>
      <c r="D8596" s="2" t="s">
        <v>9</v>
      </c>
      <c r="E8596" s="2" t="str">
        <f>"9782384761517"</f>
        <v>9782384761517</v>
      </c>
      <c r="F8596" s="2" t="str">
        <f>"9782384761524"</f>
        <v>9782384761524</v>
      </c>
    </row>
    <row r="8597" spans="1:6" s="3" customFormat="1" ht="29.1" customHeight="1" x14ac:dyDescent="0.25">
      <c r="A8597" s="2" t="s">
        <v>17811</v>
      </c>
      <c r="B8597" s="2" t="s">
        <v>17812</v>
      </c>
      <c r="C8597" s="2" t="s">
        <v>5</v>
      </c>
      <c r="D8597" s="2" t="s">
        <v>3567</v>
      </c>
      <c r="E8597" s="2" t="str">
        <f>"9783662681800"</f>
        <v>9783662681800</v>
      </c>
      <c r="F8597" s="2" t="str">
        <f>"9783662681817"</f>
        <v>9783662681817</v>
      </c>
    </row>
    <row r="8598" spans="1:6" s="3" customFormat="1" ht="29.1" customHeight="1" x14ac:dyDescent="0.25">
      <c r="A8598" s="2" t="s">
        <v>17813</v>
      </c>
      <c r="B8598" s="2" t="s">
        <v>17814</v>
      </c>
      <c r="C8598" s="2" t="s">
        <v>149</v>
      </c>
      <c r="D8598" s="2" t="s">
        <v>6628</v>
      </c>
      <c r="E8598" s="2"/>
      <c r="F8598" s="2" t="str">
        <f>"9781805112020"</f>
        <v>9781805112020</v>
      </c>
    </row>
    <row r="8599" spans="1:6" s="3" customFormat="1" ht="29.1" customHeight="1" x14ac:dyDescent="0.25">
      <c r="A8599" s="2" t="s">
        <v>17815</v>
      </c>
      <c r="B8599" s="2" t="s">
        <v>17816</v>
      </c>
      <c r="C8599" s="2" t="s">
        <v>149</v>
      </c>
      <c r="D8599" s="2" t="s">
        <v>118</v>
      </c>
      <c r="E8599" s="2"/>
      <c r="F8599" s="2" t="str">
        <f>"9781805111481"</f>
        <v>9781805111481</v>
      </c>
    </row>
    <row r="8600" spans="1:6" s="3" customFormat="1" ht="29.1" customHeight="1" x14ac:dyDescent="0.25">
      <c r="A8600" s="2" t="s">
        <v>17817</v>
      </c>
      <c r="B8600" s="2" t="s">
        <v>17818</v>
      </c>
      <c r="C8600" s="2" t="s">
        <v>149</v>
      </c>
      <c r="D8600" s="2" t="s">
        <v>431</v>
      </c>
      <c r="E8600" s="2"/>
      <c r="F8600" s="2" t="str">
        <f>"9781800648463"</f>
        <v>9781800648463</v>
      </c>
    </row>
    <row r="8601" spans="1:6" s="3" customFormat="1" ht="29.1" customHeight="1" x14ac:dyDescent="0.25">
      <c r="A8601" s="2" t="s">
        <v>17819</v>
      </c>
      <c r="B8601" s="2" t="s">
        <v>17820</v>
      </c>
      <c r="C8601" s="2" t="s">
        <v>3248</v>
      </c>
      <c r="D8601" s="2" t="s">
        <v>33</v>
      </c>
      <c r="E8601" s="2" t="str">
        <f>"9781978832763"</f>
        <v>9781978832763</v>
      </c>
      <c r="F8601" s="2" t="str">
        <f>"9781978832800"</f>
        <v>9781978832800</v>
      </c>
    </row>
    <row r="8602" spans="1:6" s="3" customFormat="1" ht="29.1" customHeight="1" x14ac:dyDescent="0.25">
      <c r="A8602" s="2" t="s">
        <v>17821</v>
      </c>
      <c r="B8602" s="2" t="s">
        <v>17822</v>
      </c>
      <c r="C8602" s="2" t="s">
        <v>29</v>
      </c>
      <c r="D8602" s="2" t="s">
        <v>192</v>
      </c>
      <c r="E8602" s="2" t="str">
        <f>"9789004678873"</f>
        <v>9789004678873</v>
      </c>
      <c r="F8602" s="2" t="str">
        <f>"9789004678880"</f>
        <v>9789004678880</v>
      </c>
    </row>
    <row r="8603" spans="1:6" s="3" customFormat="1" ht="29.1" customHeight="1" x14ac:dyDescent="0.25">
      <c r="A8603" s="2" t="s">
        <v>17823</v>
      </c>
      <c r="B8603" s="2" t="s">
        <v>17824</v>
      </c>
      <c r="C8603" s="2" t="s">
        <v>29</v>
      </c>
      <c r="D8603" s="2" t="s">
        <v>903</v>
      </c>
      <c r="E8603" s="2" t="str">
        <f>"9789004644649"</f>
        <v>9789004644649</v>
      </c>
      <c r="F8603" s="2" t="str">
        <f>"9789004677647"</f>
        <v>9789004677647</v>
      </c>
    </row>
    <row r="8604" spans="1:6" s="3" customFormat="1" ht="29.1" customHeight="1" x14ac:dyDescent="0.25">
      <c r="A8604" s="2" t="s">
        <v>17825</v>
      </c>
      <c r="B8604" s="2" t="s">
        <v>17826</v>
      </c>
      <c r="C8604" s="2" t="s">
        <v>5</v>
      </c>
      <c r="D8604" s="2" t="s">
        <v>30</v>
      </c>
      <c r="E8604" s="2" t="str">
        <f>"9782384761579"</f>
        <v>9782384761579</v>
      </c>
      <c r="F8604" s="2" t="str">
        <f>"9782384761586"</f>
        <v>9782384761586</v>
      </c>
    </row>
    <row r="8605" spans="1:6" s="3" customFormat="1" ht="29.1" customHeight="1" x14ac:dyDescent="0.25">
      <c r="A8605" s="2" t="s">
        <v>17827</v>
      </c>
      <c r="B8605" s="2" t="s">
        <v>17828</v>
      </c>
      <c r="C8605" s="2" t="s">
        <v>5</v>
      </c>
      <c r="D8605" s="2" t="s">
        <v>4739</v>
      </c>
      <c r="E8605" s="2" t="str">
        <f>"9789464633313"</f>
        <v>9789464633313</v>
      </c>
      <c r="F8605" s="2" t="str">
        <f>"9789464633320"</f>
        <v>9789464633320</v>
      </c>
    </row>
    <row r="8606" spans="1:6" s="3" customFormat="1" ht="29.1" customHeight="1" x14ac:dyDescent="0.25">
      <c r="A8606" s="2" t="s">
        <v>17829</v>
      </c>
      <c r="B8606" s="2" t="s">
        <v>17830</v>
      </c>
      <c r="C8606" s="2" t="s">
        <v>5</v>
      </c>
      <c r="D8606" s="2" t="s">
        <v>370</v>
      </c>
      <c r="E8606" s="2" t="str">
        <f>"9789464633092"</f>
        <v>9789464633092</v>
      </c>
      <c r="F8606" s="2" t="str">
        <f>"9789464633108"</f>
        <v>9789464633108</v>
      </c>
    </row>
    <row r="8607" spans="1:6" s="3" customFormat="1" ht="29.1" customHeight="1" x14ac:dyDescent="0.25">
      <c r="A8607" s="2" t="s">
        <v>17831</v>
      </c>
      <c r="B8607" s="2" t="s">
        <v>17832</v>
      </c>
      <c r="C8607" s="2" t="s">
        <v>5</v>
      </c>
      <c r="D8607" s="2" t="s">
        <v>183</v>
      </c>
      <c r="E8607" s="2" t="str">
        <f>"9783658435240"</f>
        <v>9783658435240</v>
      </c>
      <c r="F8607" s="2" t="str">
        <f>"9783658435257"</f>
        <v>9783658435257</v>
      </c>
    </row>
    <row r="8608" spans="1:6" s="3" customFormat="1" ht="29.1" customHeight="1" x14ac:dyDescent="0.25">
      <c r="A8608" s="2" t="s">
        <v>17833</v>
      </c>
      <c r="B8608" s="2" t="s">
        <v>17834</v>
      </c>
      <c r="C8608" s="2" t="s">
        <v>5</v>
      </c>
      <c r="D8608" s="2" t="s">
        <v>454</v>
      </c>
      <c r="E8608" s="2" t="str">
        <f>"9789464633054"</f>
        <v>9789464633054</v>
      </c>
      <c r="F8608" s="2" t="str">
        <f>"9789464633061"</f>
        <v>9789464633061</v>
      </c>
    </row>
    <row r="8609" spans="1:6" s="3" customFormat="1" ht="29.1" customHeight="1" x14ac:dyDescent="0.25">
      <c r="A8609" s="2" t="s">
        <v>17835</v>
      </c>
      <c r="B8609" s="2" t="s">
        <v>17836</v>
      </c>
      <c r="C8609" s="2" t="s">
        <v>5</v>
      </c>
      <c r="D8609" s="2" t="s">
        <v>3567</v>
      </c>
      <c r="E8609" s="2" t="str">
        <f>"9783031461491"</f>
        <v>9783031461491</v>
      </c>
      <c r="F8609" s="2" t="str">
        <f>"9783031461507"</f>
        <v>9783031461507</v>
      </c>
    </row>
    <row r="8610" spans="1:6" s="3" customFormat="1" ht="29.1" customHeight="1" x14ac:dyDescent="0.25">
      <c r="A8610" s="2" t="s">
        <v>17837</v>
      </c>
      <c r="B8610" s="2" t="s">
        <v>17838</v>
      </c>
      <c r="C8610" s="2" t="s">
        <v>5</v>
      </c>
      <c r="D8610" s="2" t="s">
        <v>162</v>
      </c>
      <c r="E8610" s="2" t="str">
        <f>"9783031422348"</f>
        <v>9783031422348</v>
      </c>
      <c r="F8610" s="2" t="str">
        <f>"9783031422355"</f>
        <v>9783031422355</v>
      </c>
    </row>
    <row r="8611" spans="1:6" s="3" customFormat="1" ht="29.1" customHeight="1" x14ac:dyDescent="0.25">
      <c r="A8611" s="2" t="s">
        <v>17839</v>
      </c>
      <c r="B8611" s="2" t="s">
        <v>17840</v>
      </c>
      <c r="C8611" s="2" t="s">
        <v>5</v>
      </c>
      <c r="D8611" s="2" t="s">
        <v>413</v>
      </c>
      <c r="E8611" s="2" t="str">
        <f>"9783031429781"</f>
        <v>9783031429781</v>
      </c>
      <c r="F8611" s="2" t="str">
        <f>"9783031429798"</f>
        <v>9783031429798</v>
      </c>
    </row>
    <row r="8612" spans="1:6" s="3" customFormat="1" ht="29.1" customHeight="1" x14ac:dyDescent="0.25">
      <c r="A8612" s="2" t="s">
        <v>17841</v>
      </c>
      <c r="B8612" s="2" t="s">
        <v>17842</v>
      </c>
      <c r="C8612" s="2" t="s">
        <v>5</v>
      </c>
      <c r="D8612" s="2" t="s">
        <v>6</v>
      </c>
      <c r="E8612" s="2" t="str">
        <f>"9783662682753"</f>
        <v>9783662682753</v>
      </c>
      <c r="F8612" s="2" t="str">
        <f>"9783662682760"</f>
        <v>9783662682760</v>
      </c>
    </row>
    <row r="8613" spans="1:6" s="3" customFormat="1" ht="29.1" customHeight="1" x14ac:dyDescent="0.25">
      <c r="A8613" s="2" t="s">
        <v>17843</v>
      </c>
      <c r="B8613" s="2" t="s">
        <v>17844</v>
      </c>
      <c r="C8613" s="2" t="s">
        <v>124</v>
      </c>
      <c r="D8613" s="2" t="s">
        <v>402</v>
      </c>
      <c r="E8613" s="2" t="str">
        <f>"9781032459226"</f>
        <v>9781032459226</v>
      </c>
      <c r="F8613" s="2" t="str">
        <f>"9781003394754"</f>
        <v>9781003394754</v>
      </c>
    </row>
    <row r="8614" spans="1:6" s="3" customFormat="1" ht="29.1" customHeight="1" x14ac:dyDescent="0.25">
      <c r="A8614" s="2" t="s">
        <v>17845</v>
      </c>
      <c r="B8614" s="2" t="s">
        <v>13733</v>
      </c>
      <c r="C8614" s="2" t="s">
        <v>124</v>
      </c>
      <c r="D8614" s="2" t="s">
        <v>2307</v>
      </c>
      <c r="E8614" s="2" t="str">
        <f>"9780367704490"</f>
        <v>9780367704490</v>
      </c>
      <c r="F8614" s="2" t="str">
        <f>"9781003146391"</f>
        <v>9781003146391</v>
      </c>
    </row>
    <row r="8615" spans="1:6" s="3" customFormat="1" ht="29.1" customHeight="1" x14ac:dyDescent="0.25">
      <c r="A8615" s="2" t="s">
        <v>17846</v>
      </c>
      <c r="B8615" s="2" t="s">
        <v>17847</v>
      </c>
      <c r="C8615" s="2" t="s">
        <v>124</v>
      </c>
      <c r="D8615" s="2" t="s">
        <v>2433</v>
      </c>
      <c r="E8615" s="2" t="str">
        <f>"9781032412139"</f>
        <v>9781032412139</v>
      </c>
      <c r="F8615" s="2" t="str">
        <f>"9781003356837"</f>
        <v>9781003356837</v>
      </c>
    </row>
    <row r="8616" spans="1:6" s="3" customFormat="1" ht="29.1" customHeight="1" x14ac:dyDescent="0.25">
      <c r="A8616" s="2" t="s">
        <v>17848</v>
      </c>
      <c r="B8616" s="2" t="s">
        <v>17849</v>
      </c>
      <c r="C8616" s="2" t="s">
        <v>927</v>
      </c>
      <c r="D8616" s="2" t="s">
        <v>270</v>
      </c>
      <c r="E8616" s="2" t="str">
        <f>"9780472056354"</f>
        <v>9780472056354</v>
      </c>
      <c r="F8616" s="2" t="str">
        <f>"9780472903733"</f>
        <v>9780472903733</v>
      </c>
    </row>
    <row r="8617" spans="1:6" s="3" customFormat="1" ht="29.1" customHeight="1" x14ac:dyDescent="0.25">
      <c r="A8617" s="2" t="s">
        <v>17850</v>
      </c>
      <c r="B8617" s="2" t="s">
        <v>6647</v>
      </c>
      <c r="C8617" s="2" t="s">
        <v>746</v>
      </c>
      <c r="D8617" s="2" t="s">
        <v>6440</v>
      </c>
      <c r="E8617" s="2" t="str">
        <f>"9781803276946"</f>
        <v>9781803276946</v>
      </c>
      <c r="F8617" s="2" t="str">
        <f>"9781803276953"</f>
        <v>9781803276953</v>
      </c>
    </row>
    <row r="8618" spans="1:6" s="3" customFormat="1" ht="29.1" customHeight="1" x14ac:dyDescent="0.25">
      <c r="A8618" s="2" t="s">
        <v>17851</v>
      </c>
      <c r="B8618" s="2" t="s">
        <v>17852</v>
      </c>
      <c r="C8618" s="2" t="s">
        <v>124</v>
      </c>
      <c r="D8618" s="2" t="s">
        <v>1598</v>
      </c>
      <c r="E8618" s="2" t="str">
        <f>"9781032194684"</f>
        <v>9781032194684</v>
      </c>
      <c r="F8618" s="2" t="str">
        <f>"9781003259343"</f>
        <v>9781003259343</v>
      </c>
    </row>
    <row r="8619" spans="1:6" s="3" customFormat="1" ht="29.1" customHeight="1" x14ac:dyDescent="0.25">
      <c r="A8619" s="2" t="s">
        <v>17853</v>
      </c>
      <c r="B8619" s="2" t="s">
        <v>17854</v>
      </c>
      <c r="C8619" s="2" t="s">
        <v>29</v>
      </c>
      <c r="D8619" s="2" t="s">
        <v>218</v>
      </c>
      <c r="E8619" s="2" t="str">
        <f>"9789004416741"</f>
        <v>9789004416741</v>
      </c>
      <c r="F8619" s="2" t="str">
        <f>"9789004687141"</f>
        <v>9789004687141</v>
      </c>
    </row>
    <row r="8620" spans="1:6" s="3" customFormat="1" ht="29.1" customHeight="1" x14ac:dyDescent="0.25">
      <c r="A8620" s="2" t="s">
        <v>17855</v>
      </c>
      <c r="B8620" s="2" t="s">
        <v>17856</v>
      </c>
      <c r="C8620" s="2" t="s">
        <v>5</v>
      </c>
      <c r="D8620" s="2" t="s">
        <v>9</v>
      </c>
      <c r="E8620" s="2" t="str">
        <f>"9782384761593"</f>
        <v>9782384761593</v>
      </c>
      <c r="F8620" s="2" t="str">
        <f>"9782384761609"</f>
        <v>9782384761609</v>
      </c>
    </row>
    <row r="8621" spans="1:6" s="3" customFormat="1" ht="29.1" customHeight="1" x14ac:dyDescent="0.25">
      <c r="A8621" s="2" t="s">
        <v>17857</v>
      </c>
      <c r="B8621" s="2" t="s">
        <v>17858</v>
      </c>
      <c r="C8621" s="2" t="s">
        <v>5</v>
      </c>
      <c r="D8621" s="2" t="s">
        <v>2045</v>
      </c>
      <c r="E8621" s="2" t="str">
        <f>"9782384761555"</f>
        <v>9782384761555</v>
      </c>
      <c r="F8621" s="2" t="str">
        <f>"9782384761562"</f>
        <v>9782384761562</v>
      </c>
    </row>
    <row r="8622" spans="1:6" s="3" customFormat="1" ht="29.1" customHeight="1" x14ac:dyDescent="0.25">
      <c r="A8622" s="2" t="s">
        <v>17859</v>
      </c>
      <c r="B8622" s="2" t="s">
        <v>17860</v>
      </c>
      <c r="C8622" s="2" t="s">
        <v>5</v>
      </c>
      <c r="D8622" s="2" t="s">
        <v>6511</v>
      </c>
      <c r="E8622" s="2" t="str">
        <f>"9789464633153"</f>
        <v>9789464633153</v>
      </c>
      <c r="F8622" s="2" t="str">
        <f>"9789464633160"</f>
        <v>9789464633160</v>
      </c>
    </row>
    <row r="8623" spans="1:6" s="3" customFormat="1" ht="29.1" customHeight="1" x14ac:dyDescent="0.25">
      <c r="A8623" s="2" t="s">
        <v>17861</v>
      </c>
      <c r="B8623" s="2" t="s">
        <v>17862</v>
      </c>
      <c r="C8623" s="2" t="s">
        <v>5</v>
      </c>
      <c r="D8623" s="2" t="s">
        <v>353</v>
      </c>
      <c r="E8623" s="2" t="str">
        <f>"9783031392054"</f>
        <v>9783031392054</v>
      </c>
      <c r="F8623" s="2" t="str">
        <f>"9783031392061"</f>
        <v>9783031392061</v>
      </c>
    </row>
    <row r="8624" spans="1:6" s="3" customFormat="1" ht="29.1" customHeight="1" x14ac:dyDescent="0.25">
      <c r="A8624" s="2" t="s">
        <v>17863</v>
      </c>
      <c r="B8624" s="2" t="s">
        <v>17864</v>
      </c>
      <c r="C8624" s="2" t="s">
        <v>5</v>
      </c>
      <c r="D8624" s="2" t="s">
        <v>183</v>
      </c>
      <c r="E8624" s="2" t="str">
        <f>"9783031447167"</f>
        <v>9783031447167</v>
      </c>
      <c r="F8624" s="2" t="str">
        <f>"9783031447174"</f>
        <v>9783031447174</v>
      </c>
    </row>
    <row r="8625" spans="1:6" s="3" customFormat="1" ht="29.1" customHeight="1" x14ac:dyDescent="0.25">
      <c r="A8625" s="2" t="s">
        <v>17865</v>
      </c>
      <c r="B8625" s="2" t="s">
        <v>17866</v>
      </c>
      <c r="C8625" s="2" t="s">
        <v>59</v>
      </c>
      <c r="D8625" s="2" t="s">
        <v>12</v>
      </c>
      <c r="E8625" s="2"/>
      <c r="F8625" s="2" t="str">
        <f>"9782759238927"</f>
        <v>9782759238927</v>
      </c>
    </row>
    <row r="8626" spans="1:6" s="3" customFormat="1" ht="29.1" customHeight="1" x14ac:dyDescent="0.25">
      <c r="A8626" s="2" t="s">
        <v>17867</v>
      </c>
      <c r="B8626" s="2"/>
      <c r="C8626" s="2" t="s">
        <v>59</v>
      </c>
      <c r="D8626" s="2" t="s">
        <v>11558</v>
      </c>
      <c r="E8626" s="2"/>
      <c r="F8626" s="2" t="str">
        <f>"9782759236640"</f>
        <v>9782759236640</v>
      </c>
    </row>
    <row r="8627" spans="1:6" s="3" customFormat="1" ht="29.1" customHeight="1" x14ac:dyDescent="0.25">
      <c r="A8627" s="2" t="s">
        <v>17868</v>
      </c>
      <c r="B8627" s="2" t="s">
        <v>17870</v>
      </c>
      <c r="C8627" s="2" t="s">
        <v>59</v>
      </c>
      <c r="D8627" s="2" t="s">
        <v>17869</v>
      </c>
      <c r="E8627" s="2"/>
      <c r="F8627" s="2" t="str">
        <f>"9782759237739"</f>
        <v>9782759237739</v>
      </c>
    </row>
    <row r="8628" spans="1:6" s="3" customFormat="1" ht="29.1" customHeight="1" x14ac:dyDescent="0.25">
      <c r="A8628" s="2" t="s">
        <v>17871</v>
      </c>
      <c r="B8628" s="2" t="s">
        <v>17872</v>
      </c>
      <c r="C8628" s="2" t="s">
        <v>124</v>
      </c>
      <c r="D8628" s="2" t="s">
        <v>2307</v>
      </c>
      <c r="E8628" s="2" t="str">
        <f>"9781032394176"</f>
        <v>9781032394176</v>
      </c>
      <c r="F8628" s="2" t="str">
        <f>"9781003349631"</f>
        <v>9781003349631</v>
      </c>
    </row>
    <row r="8629" spans="1:6" s="3" customFormat="1" ht="29.1" customHeight="1" x14ac:dyDescent="0.25">
      <c r="A8629" s="2" t="s">
        <v>17873</v>
      </c>
      <c r="B8629" s="2" t="s">
        <v>17876</v>
      </c>
      <c r="C8629" s="2" t="s">
        <v>17874</v>
      </c>
      <c r="D8629" s="2" t="s">
        <v>17875</v>
      </c>
      <c r="E8629" s="2" t="str">
        <f>"9786078112463"</f>
        <v>9786078112463</v>
      </c>
      <c r="F8629" s="2" t="str">
        <f>"9786078112791"</f>
        <v>9786078112791</v>
      </c>
    </row>
    <row r="8630" spans="1:6" s="3" customFormat="1" ht="29.1" customHeight="1" x14ac:dyDescent="0.25">
      <c r="A8630" s="2" t="s">
        <v>17877</v>
      </c>
      <c r="B8630" s="2" t="s">
        <v>17878</v>
      </c>
      <c r="C8630" s="2" t="s">
        <v>17874</v>
      </c>
      <c r="D8630" s="2" t="s">
        <v>207</v>
      </c>
      <c r="E8630" s="2"/>
      <c r="F8630" s="2" t="str">
        <f>"9786078112852"</f>
        <v>9786078112852</v>
      </c>
    </row>
    <row r="8631" spans="1:6" s="3" customFormat="1" ht="29.1" customHeight="1" x14ac:dyDescent="0.25">
      <c r="A8631" s="2" t="s">
        <v>17879</v>
      </c>
      <c r="B8631" s="2" t="s">
        <v>17880</v>
      </c>
      <c r="C8631" s="2" t="s">
        <v>17874</v>
      </c>
      <c r="D8631" s="2" t="s">
        <v>9003</v>
      </c>
      <c r="E8631" s="2"/>
      <c r="F8631" s="2" t="str">
        <f>"9786078112920"</f>
        <v>9786078112920</v>
      </c>
    </row>
    <row r="8632" spans="1:6" s="3" customFormat="1" ht="29.1" customHeight="1" x14ac:dyDescent="0.25">
      <c r="A8632" s="2" t="s">
        <v>17881</v>
      </c>
      <c r="B8632" s="2" t="s">
        <v>17882</v>
      </c>
      <c r="C8632" s="2" t="s">
        <v>17874</v>
      </c>
      <c r="D8632" s="2" t="s">
        <v>3281</v>
      </c>
      <c r="E8632" s="2" t="str">
        <f>"9786078861057"</f>
        <v>9786078861057</v>
      </c>
      <c r="F8632" s="2" t="str">
        <f>"9786078112999"</f>
        <v>9786078112999</v>
      </c>
    </row>
    <row r="8633" spans="1:6" s="3" customFormat="1" ht="29.1" customHeight="1" x14ac:dyDescent="0.25">
      <c r="A8633" s="2" t="s">
        <v>17883</v>
      </c>
      <c r="B8633" s="2" t="s">
        <v>17884</v>
      </c>
      <c r="C8633" s="2" t="s">
        <v>5</v>
      </c>
      <c r="D8633" s="2" t="s">
        <v>1248</v>
      </c>
      <c r="E8633" s="2" t="str">
        <f>"9783031444715"</f>
        <v>9783031444715</v>
      </c>
      <c r="F8633" s="2" t="str">
        <f>"9783031444722"</f>
        <v>9783031444722</v>
      </c>
    </row>
    <row r="8634" spans="1:6" s="3" customFormat="1" ht="29.1" customHeight="1" x14ac:dyDescent="0.25">
      <c r="A8634" s="2" t="s">
        <v>17885</v>
      </c>
      <c r="B8634" s="2" t="s">
        <v>17886</v>
      </c>
      <c r="C8634" s="2" t="s">
        <v>5</v>
      </c>
      <c r="D8634" s="2" t="s">
        <v>8388</v>
      </c>
      <c r="E8634" s="2" t="str">
        <f>"9783031321108"</f>
        <v>9783031321108</v>
      </c>
      <c r="F8634" s="2" t="str">
        <f>"9783031321115"</f>
        <v>9783031321115</v>
      </c>
    </row>
    <row r="8635" spans="1:6" s="3" customFormat="1" ht="29.1" customHeight="1" x14ac:dyDescent="0.25">
      <c r="A8635" s="2" t="s">
        <v>17887</v>
      </c>
      <c r="B8635" s="2" t="s">
        <v>17888</v>
      </c>
      <c r="C8635" s="2" t="s">
        <v>5</v>
      </c>
      <c r="D8635" s="2" t="s">
        <v>699</v>
      </c>
      <c r="E8635" s="2" t="str">
        <f>"9783031469169"</f>
        <v>9783031469169</v>
      </c>
      <c r="F8635" s="2" t="str">
        <f>"9783031469176"</f>
        <v>9783031469176</v>
      </c>
    </row>
    <row r="8636" spans="1:6" s="3" customFormat="1" ht="29.1" customHeight="1" x14ac:dyDescent="0.25">
      <c r="A8636" s="2" t="s">
        <v>17889</v>
      </c>
      <c r="B8636" s="2" t="s">
        <v>17890</v>
      </c>
      <c r="C8636" s="2" t="s">
        <v>124</v>
      </c>
      <c r="D8636" s="2" t="s">
        <v>186</v>
      </c>
      <c r="E8636" s="2" t="str">
        <f>"9781032584584"</f>
        <v>9781032584584</v>
      </c>
      <c r="F8636" s="2" t="str">
        <f>"9781003450160"</f>
        <v>9781003450160</v>
      </c>
    </row>
    <row r="8637" spans="1:6" s="3" customFormat="1" ht="29.1" customHeight="1" x14ac:dyDescent="0.25">
      <c r="A8637" s="2" t="s">
        <v>17891</v>
      </c>
      <c r="B8637" s="2" t="s">
        <v>17892</v>
      </c>
      <c r="C8637" s="2" t="s">
        <v>124</v>
      </c>
      <c r="D8637" s="2" t="s">
        <v>462</v>
      </c>
      <c r="E8637" s="2" t="str">
        <f>"9781032120119"</f>
        <v>9781032120119</v>
      </c>
      <c r="F8637" s="2" t="str">
        <f>"9781003222637"</f>
        <v>9781003222637</v>
      </c>
    </row>
    <row r="8638" spans="1:6" s="3" customFormat="1" ht="29.1" customHeight="1" x14ac:dyDescent="0.25">
      <c r="A8638" s="2" t="s">
        <v>17893</v>
      </c>
      <c r="B8638" s="2" t="s">
        <v>9952</v>
      </c>
      <c r="C8638" s="2" t="s">
        <v>5</v>
      </c>
      <c r="D8638" s="2" t="s">
        <v>78</v>
      </c>
      <c r="E8638" s="2" t="str">
        <f>"9783031398995"</f>
        <v>9783031398995</v>
      </c>
      <c r="F8638" s="2" t="str">
        <f>"9783031399008"</f>
        <v>9783031399008</v>
      </c>
    </row>
    <row r="8639" spans="1:6" s="3" customFormat="1" ht="29.1" customHeight="1" x14ac:dyDescent="0.25">
      <c r="A8639" s="2" t="s">
        <v>17894</v>
      </c>
      <c r="B8639" s="2" t="s">
        <v>17895</v>
      </c>
      <c r="C8639" s="2" t="s">
        <v>124</v>
      </c>
      <c r="D8639" s="2" t="s">
        <v>7079</v>
      </c>
      <c r="E8639" s="2" t="str">
        <f>"9781032734569"</f>
        <v>9781032734569</v>
      </c>
      <c r="F8639" s="2" t="str">
        <f>"9781003467410"</f>
        <v>9781003467410</v>
      </c>
    </row>
    <row r="8640" spans="1:6" s="3" customFormat="1" ht="29.1" customHeight="1" x14ac:dyDescent="0.25">
      <c r="A8640" s="2" t="s">
        <v>17896</v>
      </c>
      <c r="B8640" s="2" t="s">
        <v>17897</v>
      </c>
      <c r="C8640" s="2" t="s">
        <v>124</v>
      </c>
      <c r="D8640" s="2" t="s">
        <v>1077</v>
      </c>
      <c r="E8640" s="2" t="str">
        <f>"9781032320373"</f>
        <v>9781032320373</v>
      </c>
      <c r="F8640" s="2" t="str">
        <f>"9781003312482"</f>
        <v>9781003312482</v>
      </c>
    </row>
    <row r="8641" spans="1:6" s="3" customFormat="1" ht="29.1" customHeight="1" x14ac:dyDescent="0.25">
      <c r="A8641" s="2" t="s">
        <v>17898</v>
      </c>
      <c r="B8641" s="2" t="s">
        <v>17899</v>
      </c>
      <c r="C8641" s="2" t="s">
        <v>124</v>
      </c>
      <c r="D8641" s="2" t="s">
        <v>9</v>
      </c>
      <c r="E8641" s="2" t="str">
        <f>"9781032433202"</f>
        <v>9781032433202</v>
      </c>
      <c r="F8641" s="2" t="str">
        <f>"9781003367260"</f>
        <v>9781003367260</v>
      </c>
    </row>
    <row r="8642" spans="1:6" s="3" customFormat="1" ht="29.1" customHeight="1" x14ac:dyDescent="0.25">
      <c r="A8642" s="2" t="s">
        <v>17900</v>
      </c>
      <c r="B8642" s="2" t="s">
        <v>17902</v>
      </c>
      <c r="C8642" s="2" t="s">
        <v>124</v>
      </c>
      <c r="D8642" s="2" t="s">
        <v>17901</v>
      </c>
      <c r="E8642" s="2" t="str">
        <f>"9781032433912"</f>
        <v>9781032433912</v>
      </c>
      <c r="F8642" s="2" t="str">
        <f>"9781003367079"</f>
        <v>9781003367079</v>
      </c>
    </row>
    <row r="8643" spans="1:6" s="3" customFormat="1" ht="29.1" customHeight="1" x14ac:dyDescent="0.25">
      <c r="A8643" s="2" t="s">
        <v>17903</v>
      </c>
      <c r="B8643" s="2" t="s">
        <v>17904</v>
      </c>
      <c r="C8643" s="2" t="s">
        <v>124</v>
      </c>
      <c r="D8643" s="2" t="s">
        <v>1162</v>
      </c>
      <c r="E8643" s="2" t="str">
        <f>"9781032333670"</f>
        <v>9781032333670</v>
      </c>
      <c r="F8643" s="2" t="str">
        <f>"9781003321880"</f>
        <v>9781003321880</v>
      </c>
    </row>
    <row r="8644" spans="1:6" s="3" customFormat="1" ht="29.1" customHeight="1" x14ac:dyDescent="0.25">
      <c r="A8644" s="2" t="s">
        <v>17905</v>
      </c>
      <c r="B8644" s="2" t="s">
        <v>17906</v>
      </c>
      <c r="C8644" s="2" t="s">
        <v>124</v>
      </c>
      <c r="D8644" s="2" t="s">
        <v>5716</v>
      </c>
      <c r="E8644" s="2" t="str">
        <f>"9781032025469"</f>
        <v>9781032025469</v>
      </c>
      <c r="F8644" s="2" t="str">
        <f>"9781003183860"</f>
        <v>9781003183860</v>
      </c>
    </row>
    <row r="8645" spans="1:6" s="3" customFormat="1" ht="29.1" customHeight="1" x14ac:dyDescent="0.25">
      <c r="A8645" s="2" t="s">
        <v>17907</v>
      </c>
      <c r="B8645" s="2" t="s">
        <v>17908</v>
      </c>
      <c r="C8645" s="2" t="s">
        <v>5</v>
      </c>
      <c r="D8645" s="2" t="s">
        <v>3052</v>
      </c>
      <c r="E8645" s="2" t="str">
        <f>"9783662669914"</f>
        <v>9783662669914</v>
      </c>
      <c r="F8645" s="2" t="str">
        <f>"9783662669921"</f>
        <v>9783662669921</v>
      </c>
    </row>
    <row r="8646" spans="1:6" s="3" customFormat="1" ht="29.1" customHeight="1" x14ac:dyDescent="0.25">
      <c r="A8646" s="2" t="s">
        <v>17909</v>
      </c>
      <c r="B8646" s="2" t="s">
        <v>17910</v>
      </c>
      <c r="C8646" s="2" t="s">
        <v>5</v>
      </c>
      <c r="D8646" s="2" t="s">
        <v>98</v>
      </c>
      <c r="E8646" s="2" t="str">
        <f>"9789464633078"</f>
        <v>9789464633078</v>
      </c>
      <c r="F8646" s="2" t="str">
        <f>"9789464633085"</f>
        <v>9789464633085</v>
      </c>
    </row>
    <row r="8647" spans="1:6" s="3" customFormat="1" ht="29.1" customHeight="1" x14ac:dyDescent="0.25">
      <c r="A8647" s="2" t="s">
        <v>17911</v>
      </c>
      <c r="B8647" s="2" t="s">
        <v>17912</v>
      </c>
      <c r="C8647" s="2" t="s">
        <v>5</v>
      </c>
      <c r="D8647" s="2" t="s">
        <v>183</v>
      </c>
      <c r="E8647" s="2" t="str">
        <f>"9783031420887"</f>
        <v>9783031420887</v>
      </c>
      <c r="F8647" s="2" t="str">
        <f>"9783031420894"</f>
        <v>9783031420894</v>
      </c>
    </row>
    <row r="8648" spans="1:6" s="3" customFormat="1" ht="29.1" customHeight="1" x14ac:dyDescent="0.25">
      <c r="A8648" s="2" t="s">
        <v>17913</v>
      </c>
      <c r="B8648" s="2" t="s">
        <v>17914</v>
      </c>
      <c r="C8648" s="2" t="s">
        <v>29</v>
      </c>
      <c r="D8648" s="2" t="s">
        <v>428</v>
      </c>
      <c r="E8648" s="2" t="str">
        <f>"9789004680852"</f>
        <v>9789004680852</v>
      </c>
      <c r="F8648" s="2" t="str">
        <f>"9789004685277"</f>
        <v>9789004685277</v>
      </c>
    </row>
    <row r="8649" spans="1:6" s="3" customFormat="1" ht="29.1" customHeight="1" x14ac:dyDescent="0.25">
      <c r="A8649" s="2" t="s">
        <v>17915</v>
      </c>
      <c r="B8649" s="2" t="s">
        <v>17916</v>
      </c>
      <c r="C8649" s="2" t="s">
        <v>29</v>
      </c>
      <c r="D8649" s="2" t="s">
        <v>1959</v>
      </c>
      <c r="E8649" s="2" t="str">
        <f>"9789004696273"</f>
        <v>9789004696273</v>
      </c>
      <c r="F8649" s="2" t="str">
        <f>"9789086868278"</f>
        <v>9789086868278</v>
      </c>
    </row>
    <row r="8650" spans="1:6" s="3" customFormat="1" ht="29.1" customHeight="1" x14ac:dyDescent="0.25">
      <c r="A8650" s="2" t="s">
        <v>17917</v>
      </c>
      <c r="B8650" s="2" t="s">
        <v>17918</v>
      </c>
      <c r="C8650" s="2" t="s">
        <v>29</v>
      </c>
      <c r="D8650" s="2" t="s">
        <v>1959</v>
      </c>
      <c r="E8650" s="2" t="str">
        <f>"9789004696297"</f>
        <v>9789004696297</v>
      </c>
      <c r="F8650" s="2" t="str">
        <f>"9789086868766"</f>
        <v>9789086868766</v>
      </c>
    </row>
    <row r="8651" spans="1:6" s="3" customFormat="1" ht="29.1" customHeight="1" x14ac:dyDescent="0.25">
      <c r="A8651" s="2" t="s">
        <v>17919</v>
      </c>
      <c r="B8651" s="2" t="s">
        <v>17920</v>
      </c>
      <c r="C8651" s="2" t="s">
        <v>29</v>
      </c>
      <c r="D8651" s="2" t="s">
        <v>1432</v>
      </c>
      <c r="E8651" s="2" t="str">
        <f>"9789004685819"</f>
        <v>9789004685819</v>
      </c>
      <c r="F8651" s="2" t="str">
        <f>"9789004686458"</f>
        <v>9789004686458</v>
      </c>
    </row>
    <row r="8652" spans="1:6" s="3" customFormat="1" ht="29.1" customHeight="1" x14ac:dyDescent="0.25">
      <c r="A8652" s="2" t="s">
        <v>17921</v>
      </c>
      <c r="B8652" s="2" t="s">
        <v>17922</v>
      </c>
      <c r="C8652" s="2" t="s">
        <v>29</v>
      </c>
      <c r="D8652" s="2" t="s">
        <v>192</v>
      </c>
      <c r="E8652" s="2" t="str">
        <f>"9789004684072"</f>
        <v>9789004684072</v>
      </c>
      <c r="F8652" s="2" t="str">
        <f>"9789004684089"</f>
        <v>9789004684089</v>
      </c>
    </row>
    <row r="8653" spans="1:6" s="3" customFormat="1" ht="29.1" customHeight="1" x14ac:dyDescent="0.25">
      <c r="A8653" s="2" t="s">
        <v>17923</v>
      </c>
      <c r="B8653" s="2" t="s">
        <v>17924</v>
      </c>
      <c r="C8653" s="2" t="s">
        <v>5</v>
      </c>
      <c r="D8653" s="2" t="s">
        <v>331</v>
      </c>
      <c r="E8653" s="2" t="str">
        <f>"9783031353734"</f>
        <v>9783031353734</v>
      </c>
      <c r="F8653" s="2" t="str">
        <f>"9783031353741"</f>
        <v>9783031353741</v>
      </c>
    </row>
    <row r="8654" spans="1:6" s="3" customFormat="1" ht="29.1" customHeight="1" x14ac:dyDescent="0.25">
      <c r="A8654" s="2" t="s">
        <v>17925</v>
      </c>
      <c r="B8654" s="2" t="s">
        <v>17926</v>
      </c>
      <c r="C8654" s="2" t="s">
        <v>239</v>
      </c>
      <c r="D8654" s="2" t="s">
        <v>11426</v>
      </c>
      <c r="E8654" s="2" t="str">
        <f>"9780520287631"</f>
        <v>9780520287631</v>
      </c>
      <c r="F8654" s="2" t="str">
        <f>"9780520962590"</f>
        <v>9780520962590</v>
      </c>
    </row>
    <row r="8655" spans="1:6" s="3" customFormat="1" ht="29.1" customHeight="1" x14ac:dyDescent="0.25">
      <c r="A8655" s="2" t="s">
        <v>17927</v>
      </c>
      <c r="B8655" s="2" t="s">
        <v>17928</v>
      </c>
      <c r="C8655" s="2" t="s">
        <v>239</v>
      </c>
      <c r="D8655" s="2" t="s">
        <v>12</v>
      </c>
      <c r="E8655" s="2" t="str">
        <f>"9780520295025"</f>
        <v>9780520295025</v>
      </c>
      <c r="F8655" s="2" t="str">
        <f>"9780520967939"</f>
        <v>9780520967939</v>
      </c>
    </row>
    <row r="8656" spans="1:6" s="3" customFormat="1" ht="29.1" customHeight="1" x14ac:dyDescent="0.25">
      <c r="A8656" s="2" t="s">
        <v>17929</v>
      </c>
      <c r="B8656" s="2" t="s">
        <v>17930</v>
      </c>
      <c r="C8656" s="2" t="s">
        <v>239</v>
      </c>
      <c r="D8656" s="2" t="s">
        <v>5806</v>
      </c>
      <c r="E8656" s="2" t="str">
        <f>"9780520302402"</f>
        <v>9780520302402</v>
      </c>
      <c r="F8656" s="2" t="str">
        <f>"9780520972483"</f>
        <v>9780520972483</v>
      </c>
    </row>
    <row r="8657" spans="1:6" s="3" customFormat="1" ht="29.1" customHeight="1" x14ac:dyDescent="0.25">
      <c r="A8657" s="2" t="s">
        <v>17931</v>
      </c>
      <c r="B8657" s="2" t="s">
        <v>17932</v>
      </c>
      <c r="C8657" s="2" t="s">
        <v>239</v>
      </c>
      <c r="D8657" s="2" t="s">
        <v>69</v>
      </c>
      <c r="E8657" s="2" t="str">
        <f>"9780520399006"</f>
        <v>9780520399006</v>
      </c>
      <c r="F8657" s="2" t="str">
        <f>"9780520399013"</f>
        <v>9780520399013</v>
      </c>
    </row>
    <row r="8658" spans="1:6" s="3" customFormat="1" ht="29.1" customHeight="1" x14ac:dyDescent="0.25">
      <c r="A8658" s="2" t="s">
        <v>17933</v>
      </c>
      <c r="B8658" s="2" t="s">
        <v>17934</v>
      </c>
      <c r="C8658" s="2" t="s">
        <v>239</v>
      </c>
      <c r="D8658" s="2" t="s">
        <v>1046</v>
      </c>
      <c r="E8658" s="2" t="str">
        <f>"9780520395756"</f>
        <v>9780520395756</v>
      </c>
      <c r="F8658" s="2" t="str">
        <f>"9780520395770"</f>
        <v>9780520395770</v>
      </c>
    </row>
    <row r="8659" spans="1:6" s="3" customFormat="1" ht="29.1" customHeight="1" x14ac:dyDescent="0.25">
      <c r="A8659" s="2" t="s">
        <v>17935</v>
      </c>
      <c r="B8659" s="2" t="s">
        <v>17936</v>
      </c>
      <c r="C8659" s="2" t="s">
        <v>239</v>
      </c>
      <c r="D8659" s="2" t="s">
        <v>3245</v>
      </c>
      <c r="E8659" s="2" t="str">
        <f>"9780520396425"</f>
        <v>9780520396425</v>
      </c>
      <c r="F8659" s="2" t="str">
        <f>"9780520396449"</f>
        <v>9780520396449</v>
      </c>
    </row>
    <row r="8660" spans="1:6" s="3" customFormat="1" ht="29.1" customHeight="1" x14ac:dyDescent="0.25">
      <c r="A8660" s="2" t="s">
        <v>17937</v>
      </c>
      <c r="B8660" s="2" t="s">
        <v>17938</v>
      </c>
      <c r="C8660" s="2" t="s">
        <v>239</v>
      </c>
      <c r="D8660" s="2" t="s">
        <v>636</v>
      </c>
      <c r="E8660" s="2" t="str">
        <f>"9780520396791"</f>
        <v>9780520396791</v>
      </c>
      <c r="F8660" s="2" t="str">
        <f>"9780520396807"</f>
        <v>9780520396807</v>
      </c>
    </row>
    <row r="8661" spans="1:6" s="3" customFormat="1" ht="29.1" customHeight="1" x14ac:dyDescent="0.25">
      <c r="A8661" s="2" t="s">
        <v>17939</v>
      </c>
      <c r="B8661" s="2" t="s">
        <v>17940</v>
      </c>
      <c r="C8661" s="2" t="s">
        <v>239</v>
      </c>
      <c r="D8661" s="2" t="s">
        <v>1419</v>
      </c>
      <c r="E8661" s="2" t="str">
        <f>"9780520394650"</f>
        <v>9780520394650</v>
      </c>
      <c r="F8661" s="2" t="str">
        <f>"9780520394667"</f>
        <v>9780520394667</v>
      </c>
    </row>
    <row r="8662" spans="1:6" s="3" customFormat="1" ht="29.1" customHeight="1" x14ac:dyDescent="0.25">
      <c r="A8662" s="2" t="s">
        <v>17941</v>
      </c>
      <c r="B8662" s="2" t="s">
        <v>17942</v>
      </c>
      <c r="C8662" s="2" t="s">
        <v>239</v>
      </c>
      <c r="D8662" s="2" t="s">
        <v>758</v>
      </c>
      <c r="E8662" s="2" t="str">
        <f>"9780520384330"</f>
        <v>9780520384330</v>
      </c>
      <c r="F8662" s="2" t="str">
        <f>"9780520384347"</f>
        <v>9780520384347</v>
      </c>
    </row>
    <row r="8663" spans="1:6" s="3" customFormat="1" ht="29.1" customHeight="1" x14ac:dyDescent="0.25">
      <c r="A8663" s="2" t="s">
        <v>17943</v>
      </c>
      <c r="B8663" s="2" t="s">
        <v>17944</v>
      </c>
      <c r="C8663" s="2" t="s">
        <v>239</v>
      </c>
      <c r="D8663" s="2" t="s">
        <v>653</v>
      </c>
      <c r="E8663" s="2" t="str">
        <f>"9780520396661"</f>
        <v>9780520396661</v>
      </c>
      <c r="F8663" s="2" t="str">
        <f>"9780520396678"</f>
        <v>9780520396678</v>
      </c>
    </row>
    <row r="8664" spans="1:6" s="3" customFormat="1" ht="29.1" customHeight="1" x14ac:dyDescent="0.25">
      <c r="A8664" s="2" t="s">
        <v>17945</v>
      </c>
      <c r="B8664" s="2" t="s">
        <v>17946</v>
      </c>
      <c r="C8664" s="2" t="s">
        <v>239</v>
      </c>
      <c r="D8664" s="2" t="s">
        <v>5568</v>
      </c>
      <c r="E8664" s="2" t="str">
        <f>"9780520383920"</f>
        <v>9780520383920</v>
      </c>
      <c r="F8664" s="2" t="str">
        <f>"9780520383937"</f>
        <v>9780520383937</v>
      </c>
    </row>
    <row r="8665" spans="1:6" s="3" customFormat="1" ht="29.1" customHeight="1" x14ac:dyDescent="0.25">
      <c r="A8665" s="2" t="s">
        <v>17947</v>
      </c>
      <c r="B8665" s="2" t="s">
        <v>17948</v>
      </c>
      <c r="C8665" s="2" t="s">
        <v>239</v>
      </c>
      <c r="D8665" s="2" t="s">
        <v>2142</v>
      </c>
      <c r="E8665" s="2" t="str">
        <f>"9780520397262"</f>
        <v>9780520397262</v>
      </c>
      <c r="F8665" s="2" t="str">
        <f>"9780520397279"</f>
        <v>9780520397279</v>
      </c>
    </row>
    <row r="8666" spans="1:6" s="3" customFormat="1" ht="29.1" customHeight="1" x14ac:dyDescent="0.25">
      <c r="A8666" s="2" t="s">
        <v>17949</v>
      </c>
      <c r="B8666" s="2" t="s">
        <v>17951</v>
      </c>
      <c r="C8666" s="2" t="s">
        <v>239</v>
      </c>
      <c r="D8666" s="2" t="s">
        <v>17950</v>
      </c>
      <c r="E8666" s="2" t="str">
        <f>"9780520398573"</f>
        <v>9780520398573</v>
      </c>
      <c r="F8666" s="2" t="str">
        <f>"9780520398580"</f>
        <v>9780520398580</v>
      </c>
    </row>
    <row r="8667" spans="1:6" s="3" customFormat="1" ht="29.1" customHeight="1" x14ac:dyDescent="0.25">
      <c r="A8667" s="2" t="s">
        <v>17952</v>
      </c>
      <c r="B8667" s="2" t="s">
        <v>17953</v>
      </c>
      <c r="C8667" s="2" t="s">
        <v>239</v>
      </c>
      <c r="D8667" s="2" t="s">
        <v>15</v>
      </c>
      <c r="E8667" s="2" t="str">
        <f>"9780520394254"</f>
        <v>9780520394254</v>
      </c>
      <c r="F8667" s="2" t="str">
        <f>"9780520394261"</f>
        <v>9780520394261</v>
      </c>
    </row>
    <row r="8668" spans="1:6" s="3" customFormat="1" ht="29.1" customHeight="1" x14ac:dyDescent="0.25">
      <c r="A8668" s="2" t="s">
        <v>17954</v>
      </c>
      <c r="B8668" s="2" t="s">
        <v>17955</v>
      </c>
      <c r="C8668" s="2" t="s">
        <v>239</v>
      </c>
      <c r="D8668" s="2" t="s">
        <v>1598</v>
      </c>
      <c r="E8668" s="2" t="str">
        <f>"9780520393172"</f>
        <v>9780520393172</v>
      </c>
      <c r="F8668" s="2" t="str">
        <f>"9780520393196"</f>
        <v>9780520393196</v>
      </c>
    </row>
    <row r="8669" spans="1:6" s="3" customFormat="1" ht="29.1" customHeight="1" x14ac:dyDescent="0.25">
      <c r="A8669" s="2" t="s">
        <v>17956</v>
      </c>
      <c r="B8669" s="2" t="s">
        <v>17957</v>
      </c>
      <c r="C8669" s="2" t="s">
        <v>239</v>
      </c>
      <c r="D8669" s="2" t="s">
        <v>78</v>
      </c>
      <c r="E8669" s="2" t="str">
        <f>"9780520395978"</f>
        <v>9780520395978</v>
      </c>
      <c r="F8669" s="2" t="str">
        <f>"9780520395985"</f>
        <v>9780520395985</v>
      </c>
    </row>
    <row r="8670" spans="1:6" s="3" customFormat="1" ht="29.1" customHeight="1" x14ac:dyDescent="0.25">
      <c r="A8670" s="2" t="s">
        <v>17958</v>
      </c>
      <c r="B8670" s="2" t="s">
        <v>17959</v>
      </c>
      <c r="C8670" s="2" t="s">
        <v>239</v>
      </c>
      <c r="D8670" s="2" t="s">
        <v>462</v>
      </c>
      <c r="E8670" s="2" t="str">
        <f>"9780520394995"</f>
        <v>9780520394995</v>
      </c>
      <c r="F8670" s="2" t="str">
        <f>"9780520395015"</f>
        <v>9780520395015</v>
      </c>
    </row>
    <row r="8671" spans="1:6" s="3" customFormat="1" ht="29.1" customHeight="1" x14ac:dyDescent="0.25">
      <c r="A8671" s="2" t="s">
        <v>17960</v>
      </c>
      <c r="B8671" s="2" t="s">
        <v>17961</v>
      </c>
      <c r="C8671" s="2" t="s">
        <v>239</v>
      </c>
      <c r="D8671" s="2" t="s">
        <v>69</v>
      </c>
      <c r="E8671" s="2" t="str">
        <f>"9780520394377"</f>
        <v>9780520394377</v>
      </c>
      <c r="F8671" s="2" t="str">
        <f>"9780520394384"</f>
        <v>9780520394384</v>
      </c>
    </row>
    <row r="8672" spans="1:6" s="3" customFormat="1" ht="29.1" customHeight="1" x14ac:dyDescent="0.25">
      <c r="A8672" s="2" t="s">
        <v>17962</v>
      </c>
      <c r="B8672" s="2" t="s">
        <v>17963</v>
      </c>
      <c r="C8672" s="2" t="s">
        <v>239</v>
      </c>
      <c r="D8672" s="2" t="s">
        <v>636</v>
      </c>
      <c r="E8672" s="2" t="str">
        <f>"9780520392168"</f>
        <v>9780520392168</v>
      </c>
      <c r="F8672" s="2" t="str">
        <f>"9780520392175"</f>
        <v>9780520392175</v>
      </c>
    </row>
    <row r="8673" spans="1:6" s="3" customFormat="1" ht="29.1" customHeight="1" x14ac:dyDescent="0.25">
      <c r="A8673" s="2" t="s">
        <v>17964</v>
      </c>
      <c r="B8673" s="2" t="s">
        <v>17965</v>
      </c>
      <c r="C8673" s="2" t="s">
        <v>239</v>
      </c>
      <c r="D8673" s="2" t="s">
        <v>202</v>
      </c>
      <c r="E8673" s="2" t="str">
        <f>"9780520382350"</f>
        <v>9780520382350</v>
      </c>
      <c r="F8673" s="2" t="str">
        <f>"9780520382367"</f>
        <v>9780520382367</v>
      </c>
    </row>
    <row r="8674" spans="1:6" s="3" customFormat="1" ht="29.1" customHeight="1" x14ac:dyDescent="0.25">
      <c r="A8674" s="2" t="s">
        <v>17966</v>
      </c>
      <c r="B8674" s="2" t="s">
        <v>17967</v>
      </c>
      <c r="C8674" s="2" t="s">
        <v>239</v>
      </c>
      <c r="D8674" s="2" t="s">
        <v>882</v>
      </c>
      <c r="E8674" s="2" t="str">
        <f>"9780520393738"</f>
        <v>9780520393738</v>
      </c>
      <c r="F8674" s="2" t="str">
        <f>"9780520393745"</f>
        <v>9780520393745</v>
      </c>
    </row>
    <row r="8675" spans="1:6" s="3" customFormat="1" ht="29.1" customHeight="1" x14ac:dyDescent="0.25">
      <c r="A8675" s="2" t="s">
        <v>17968</v>
      </c>
      <c r="B8675" s="2" t="s">
        <v>17969</v>
      </c>
      <c r="C8675" s="2" t="s">
        <v>239</v>
      </c>
      <c r="D8675" s="2" t="s">
        <v>14574</v>
      </c>
      <c r="E8675" s="2" t="str">
        <f>"9780520391192"</f>
        <v>9780520391192</v>
      </c>
      <c r="F8675" s="2" t="str">
        <f>"9780520391208"</f>
        <v>9780520391208</v>
      </c>
    </row>
    <row r="8676" spans="1:6" s="3" customFormat="1" ht="29.1" customHeight="1" x14ac:dyDescent="0.25">
      <c r="A8676" s="2" t="s">
        <v>17970</v>
      </c>
      <c r="B8676" s="2" t="s">
        <v>17971</v>
      </c>
      <c r="C8676" s="2" t="s">
        <v>239</v>
      </c>
      <c r="D8676" s="2" t="s">
        <v>69</v>
      </c>
      <c r="E8676" s="2" t="str">
        <f>"9780520382114"</f>
        <v>9780520382114</v>
      </c>
      <c r="F8676" s="2" t="str">
        <f>"9780520382121"</f>
        <v>9780520382121</v>
      </c>
    </row>
    <row r="8677" spans="1:6" s="3" customFormat="1" ht="29.1" customHeight="1" x14ac:dyDescent="0.25">
      <c r="A8677" s="2" t="s">
        <v>17972</v>
      </c>
      <c r="B8677" s="2" t="s">
        <v>17973</v>
      </c>
      <c r="C8677" s="2" t="s">
        <v>239</v>
      </c>
      <c r="D8677" s="2" t="s">
        <v>14574</v>
      </c>
      <c r="E8677" s="2" t="str">
        <f>"9780520393394"</f>
        <v>9780520393394</v>
      </c>
      <c r="F8677" s="2" t="str">
        <f>"9780520393400"</f>
        <v>9780520393400</v>
      </c>
    </row>
    <row r="8678" spans="1:6" s="3" customFormat="1" ht="29.1" customHeight="1" x14ac:dyDescent="0.25">
      <c r="A8678" s="2" t="s">
        <v>17974</v>
      </c>
      <c r="B8678" s="2" t="s">
        <v>17975</v>
      </c>
      <c r="C8678" s="2" t="s">
        <v>239</v>
      </c>
      <c r="D8678" s="2" t="s">
        <v>1259</v>
      </c>
      <c r="E8678" s="2" t="str">
        <f>"9780520390119"</f>
        <v>9780520390119</v>
      </c>
      <c r="F8678" s="2" t="str">
        <f>"9780520390126"</f>
        <v>9780520390126</v>
      </c>
    </row>
    <row r="8679" spans="1:6" s="3" customFormat="1" ht="29.1" customHeight="1" x14ac:dyDescent="0.25">
      <c r="A8679" s="2" t="s">
        <v>17976</v>
      </c>
      <c r="B8679" s="2" t="s">
        <v>17977</v>
      </c>
      <c r="C8679" s="2" t="s">
        <v>239</v>
      </c>
      <c r="D8679" s="2" t="s">
        <v>712</v>
      </c>
      <c r="E8679" s="2" t="str">
        <f>"9780520389731"</f>
        <v>9780520389731</v>
      </c>
      <c r="F8679" s="2" t="str">
        <f>"9780520389748"</f>
        <v>9780520389748</v>
      </c>
    </row>
    <row r="8680" spans="1:6" s="3" customFormat="1" ht="29.1" customHeight="1" x14ac:dyDescent="0.25">
      <c r="A8680" s="2" t="s">
        <v>17978</v>
      </c>
      <c r="B8680" s="2" t="s">
        <v>17979</v>
      </c>
      <c r="C8680" s="2" t="s">
        <v>239</v>
      </c>
      <c r="D8680" s="2" t="s">
        <v>15</v>
      </c>
      <c r="E8680" s="2" t="str">
        <f>"9780520376991"</f>
        <v>9780520376991</v>
      </c>
      <c r="F8680" s="2" t="str">
        <f>"9780520976351"</f>
        <v>9780520976351</v>
      </c>
    </row>
    <row r="8681" spans="1:6" s="3" customFormat="1" ht="29.1" customHeight="1" x14ac:dyDescent="0.25">
      <c r="A8681" s="2" t="s">
        <v>17980</v>
      </c>
      <c r="B8681" s="2" t="s">
        <v>17981</v>
      </c>
      <c r="C8681" s="2" t="s">
        <v>239</v>
      </c>
      <c r="D8681" s="2" t="s">
        <v>4522</v>
      </c>
      <c r="E8681" s="2" t="str">
        <f>"9780520391864"</f>
        <v>9780520391864</v>
      </c>
      <c r="F8681" s="2" t="str">
        <f>"9780520391888"</f>
        <v>9780520391888</v>
      </c>
    </row>
    <row r="8682" spans="1:6" s="3" customFormat="1" ht="29.1" customHeight="1" x14ac:dyDescent="0.25">
      <c r="A8682" s="2" t="s">
        <v>17982</v>
      </c>
      <c r="B8682" s="2" t="s">
        <v>17983</v>
      </c>
      <c r="C8682" s="2" t="s">
        <v>239</v>
      </c>
      <c r="D8682" s="2" t="s">
        <v>712</v>
      </c>
      <c r="E8682" s="2" t="str">
        <f>"9780520342347"</f>
        <v>9780520342347</v>
      </c>
      <c r="F8682" s="2" t="str">
        <f>"9780520974609"</f>
        <v>9780520974609</v>
      </c>
    </row>
    <row r="8683" spans="1:6" s="3" customFormat="1" ht="29.1" customHeight="1" x14ac:dyDescent="0.25">
      <c r="A8683" s="2" t="s">
        <v>17984</v>
      </c>
      <c r="B8683" s="2" t="s">
        <v>17985</v>
      </c>
      <c r="C8683" s="2" t="s">
        <v>239</v>
      </c>
      <c r="D8683" s="2" t="s">
        <v>1697</v>
      </c>
      <c r="E8683" s="2" t="str">
        <f>"9780520392311"</f>
        <v>9780520392311</v>
      </c>
      <c r="F8683" s="2" t="str">
        <f>"9780520392304"</f>
        <v>9780520392304</v>
      </c>
    </row>
    <row r="8684" spans="1:6" s="3" customFormat="1" ht="29.1" customHeight="1" x14ac:dyDescent="0.25">
      <c r="A8684" s="2" t="s">
        <v>17986</v>
      </c>
      <c r="B8684" s="2" t="s">
        <v>17988</v>
      </c>
      <c r="C8684" s="2" t="s">
        <v>239</v>
      </c>
      <c r="D8684" s="2" t="s">
        <v>17987</v>
      </c>
      <c r="E8684" s="2" t="str">
        <f>"9780520390058"</f>
        <v>9780520390058</v>
      </c>
      <c r="F8684" s="2" t="str">
        <f>"9780520390065"</f>
        <v>9780520390065</v>
      </c>
    </row>
    <row r="8685" spans="1:6" s="3" customFormat="1" ht="29.1" customHeight="1" x14ac:dyDescent="0.25">
      <c r="A8685" s="2" t="s">
        <v>17989</v>
      </c>
      <c r="B8685" s="2" t="s">
        <v>14963</v>
      </c>
      <c r="C8685" s="2" t="s">
        <v>239</v>
      </c>
      <c r="D8685" s="2" t="s">
        <v>69</v>
      </c>
      <c r="E8685" s="2" t="str">
        <f>"9780520393752"</f>
        <v>9780520393752</v>
      </c>
      <c r="F8685" s="2" t="str">
        <f>"9780520393769"</f>
        <v>9780520393769</v>
      </c>
    </row>
    <row r="8686" spans="1:6" s="3" customFormat="1" ht="29.1" customHeight="1" x14ac:dyDescent="0.25">
      <c r="A8686" s="2" t="s">
        <v>17990</v>
      </c>
      <c r="B8686" s="2" t="s">
        <v>17991</v>
      </c>
      <c r="C8686" s="2" t="s">
        <v>239</v>
      </c>
      <c r="D8686" s="2" t="s">
        <v>11744</v>
      </c>
      <c r="E8686" s="2" t="str">
        <f>"9780520391352"</f>
        <v>9780520391352</v>
      </c>
      <c r="F8686" s="2" t="str">
        <f>"9780520391369"</f>
        <v>9780520391369</v>
      </c>
    </row>
    <row r="8687" spans="1:6" s="3" customFormat="1" ht="29.1" customHeight="1" x14ac:dyDescent="0.25">
      <c r="A8687" s="2" t="s">
        <v>17992</v>
      </c>
      <c r="B8687" s="2" t="s">
        <v>17993</v>
      </c>
      <c r="C8687" s="2" t="s">
        <v>239</v>
      </c>
      <c r="D8687" s="2" t="s">
        <v>712</v>
      </c>
      <c r="E8687" s="2" t="str">
        <f>"9780520391505"</f>
        <v>9780520391505</v>
      </c>
      <c r="F8687" s="2" t="str">
        <f>"9780520391512"</f>
        <v>9780520391512</v>
      </c>
    </row>
    <row r="8688" spans="1:6" s="3" customFormat="1" ht="29.1" customHeight="1" x14ac:dyDescent="0.25">
      <c r="A8688" s="2" t="s">
        <v>17994</v>
      </c>
      <c r="B8688" s="2" t="s">
        <v>17995</v>
      </c>
      <c r="C8688" s="2" t="s">
        <v>239</v>
      </c>
      <c r="D8688" s="2" t="s">
        <v>818</v>
      </c>
      <c r="E8688" s="2" t="str">
        <f>"9780520301665"</f>
        <v>9780520301665</v>
      </c>
      <c r="F8688" s="2" t="str">
        <f>"9780520972230"</f>
        <v>9780520972230</v>
      </c>
    </row>
    <row r="8689" spans="1:6" s="3" customFormat="1" ht="29.1" customHeight="1" x14ac:dyDescent="0.25">
      <c r="A8689" s="2" t="s">
        <v>17996</v>
      </c>
      <c r="B8689" s="2" t="s">
        <v>17997</v>
      </c>
      <c r="C8689" s="2" t="s">
        <v>239</v>
      </c>
      <c r="D8689" s="2" t="s">
        <v>15</v>
      </c>
      <c r="E8689" s="2" t="str">
        <f>"9780520380189"</f>
        <v>9780520380189</v>
      </c>
      <c r="F8689" s="2" t="str">
        <f>"9780520380196"</f>
        <v>9780520380196</v>
      </c>
    </row>
    <row r="8690" spans="1:6" s="3" customFormat="1" ht="29.1" customHeight="1" x14ac:dyDescent="0.25">
      <c r="A8690" s="2" t="s">
        <v>17998</v>
      </c>
      <c r="B8690" s="2" t="s">
        <v>17999</v>
      </c>
      <c r="C8690" s="2" t="s">
        <v>239</v>
      </c>
      <c r="D8690" s="2" t="s">
        <v>10396</v>
      </c>
      <c r="E8690" s="2" t="str">
        <f>"9780520380455"</f>
        <v>9780520380455</v>
      </c>
      <c r="F8690" s="2" t="str">
        <f>"9780520380462"</f>
        <v>9780520380462</v>
      </c>
    </row>
    <row r="8691" spans="1:6" s="3" customFormat="1" ht="29.1" customHeight="1" x14ac:dyDescent="0.25">
      <c r="A8691" s="2" t="s">
        <v>18000</v>
      </c>
      <c r="B8691" s="2" t="s">
        <v>18001</v>
      </c>
      <c r="C8691" s="2" t="s">
        <v>239</v>
      </c>
      <c r="D8691" s="2" t="s">
        <v>3130</v>
      </c>
      <c r="E8691" s="2" t="str">
        <f>"9780520380530"</f>
        <v>9780520380530</v>
      </c>
      <c r="F8691" s="2" t="str">
        <f>"9780520380547"</f>
        <v>9780520380547</v>
      </c>
    </row>
    <row r="8692" spans="1:6" s="3" customFormat="1" ht="29.1" customHeight="1" x14ac:dyDescent="0.25">
      <c r="A8692" s="2" t="s">
        <v>18002</v>
      </c>
      <c r="B8692" s="2" t="s">
        <v>18004</v>
      </c>
      <c r="C8692" s="2" t="s">
        <v>239</v>
      </c>
      <c r="D8692" s="2" t="s">
        <v>18003</v>
      </c>
      <c r="E8692" s="2" t="str">
        <f>"9780520380561"</f>
        <v>9780520380561</v>
      </c>
      <c r="F8692" s="2" t="str">
        <f>"9780520380578"</f>
        <v>9780520380578</v>
      </c>
    </row>
    <row r="8693" spans="1:6" s="3" customFormat="1" ht="29.1" customHeight="1" x14ac:dyDescent="0.25">
      <c r="A8693" s="2" t="s">
        <v>18005</v>
      </c>
      <c r="B8693" s="2" t="s">
        <v>18006</v>
      </c>
      <c r="C8693" s="2" t="s">
        <v>239</v>
      </c>
      <c r="D8693" s="2" t="s">
        <v>636</v>
      </c>
      <c r="E8693" s="2" t="str">
        <f>"9780520380592"</f>
        <v>9780520380592</v>
      </c>
      <c r="F8693" s="2" t="str">
        <f>"9780520380608"</f>
        <v>9780520380608</v>
      </c>
    </row>
    <row r="8694" spans="1:6" s="3" customFormat="1" ht="29.1" customHeight="1" x14ac:dyDescent="0.25">
      <c r="A8694" s="2" t="s">
        <v>18007</v>
      </c>
      <c r="B8694" s="2" t="s">
        <v>18008</v>
      </c>
      <c r="C8694" s="2" t="s">
        <v>239</v>
      </c>
      <c r="D8694" s="2" t="s">
        <v>428</v>
      </c>
      <c r="E8694" s="2" t="str">
        <f>"9780520380929"</f>
        <v>9780520380929</v>
      </c>
      <c r="F8694" s="2" t="str">
        <f>"9780520380936"</f>
        <v>9780520380936</v>
      </c>
    </row>
    <row r="8695" spans="1:6" s="3" customFormat="1" ht="29.1" customHeight="1" x14ac:dyDescent="0.25">
      <c r="A8695" s="2" t="s">
        <v>18009</v>
      </c>
      <c r="B8695" s="2" t="s">
        <v>18010</v>
      </c>
      <c r="C8695" s="2" t="s">
        <v>239</v>
      </c>
      <c r="D8695" s="2" t="s">
        <v>1259</v>
      </c>
      <c r="E8695" s="2" t="str">
        <f>"9780520381711"</f>
        <v>9780520381711</v>
      </c>
      <c r="F8695" s="2" t="str">
        <f>"9780520381728"</f>
        <v>9780520381728</v>
      </c>
    </row>
    <row r="8696" spans="1:6" s="3" customFormat="1" ht="29.1" customHeight="1" x14ac:dyDescent="0.25">
      <c r="A8696" s="2" t="s">
        <v>18011</v>
      </c>
      <c r="B8696" s="2" t="s">
        <v>18012</v>
      </c>
      <c r="C8696" s="2" t="s">
        <v>239</v>
      </c>
      <c r="D8696" s="2" t="s">
        <v>636</v>
      </c>
      <c r="E8696" s="2" t="str">
        <f>"9780520381858"</f>
        <v>9780520381858</v>
      </c>
      <c r="F8696" s="2" t="str">
        <f>"9780520381865"</f>
        <v>9780520381865</v>
      </c>
    </row>
    <row r="8697" spans="1:6" s="3" customFormat="1" ht="29.1" customHeight="1" x14ac:dyDescent="0.25">
      <c r="A8697" s="2" t="s">
        <v>18013</v>
      </c>
      <c r="B8697" s="2" t="s">
        <v>18014</v>
      </c>
      <c r="C8697" s="2" t="s">
        <v>239</v>
      </c>
      <c r="D8697" s="2" t="s">
        <v>636</v>
      </c>
      <c r="E8697" s="2" t="str">
        <f>"9780520381971"</f>
        <v>9780520381971</v>
      </c>
      <c r="F8697" s="2" t="str">
        <f>"9780520381995"</f>
        <v>9780520381995</v>
      </c>
    </row>
    <row r="8698" spans="1:6" s="3" customFormat="1" ht="29.1" customHeight="1" x14ac:dyDescent="0.25">
      <c r="A8698" s="2" t="s">
        <v>18015</v>
      </c>
      <c r="B8698" s="2" t="s">
        <v>18016</v>
      </c>
      <c r="C8698" s="2" t="s">
        <v>239</v>
      </c>
      <c r="D8698" s="2" t="s">
        <v>462</v>
      </c>
      <c r="E8698" s="2" t="str">
        <f>"9780520382008"</f>
        <v>9780520382008</v>
      </c>
      <c r="F8698" s="2" t="str">
        <f>"9780520382015"</f>
        <v>9780520382015</v>
      </c>
    </row>
    <row r="8699" spans="1:6" s="3" customFormat="1" ht="29.1" customHeight="1" x14ac:dyDescent="0.25">
      <c r="A8699" s="2" t="s">
        <v>18017</v>
      </c>
      <c r="B8699" s="2" t="s">
        <v>18018</v>
      </c>
      <c r="C8699" s="2" t="s">
        <v>239</v>
      </c>
      <c r="D8699" s="2" t="s">
        <v>4177</v>
      </c>
      <c r="E8699" s="2" t="str">
        <f>"9780520382541"</f>
        <v>9780520382541</v>
      </c>
      <c r="F8699" s="2" t="str">
        <f>"9780520382558"</f>
        <v>9780520382558</v>
      </c>
    </row>
    <row r="8700" spans="1:6" s="3" customFormat="1" ht="29.1" customHeight="1" x14ac:dyDescent="0.25">
      <c r="A8700" s="2" t="s">
        <v>18019</v>
      </c>
      <c r="B8700" s="2" t="s">
        <v>18020</v>
      </c>
      <c r="C8700" s="2" t="s">
        <v>239</v>
      </c>
      <c r="D8700" s="2" t="s">
        <v>63</v>
      </c>
      <c r="E8700" s="2" t="str">
        <f>"9780520382718"</f>
        <v>9780520382718</v>
      </c>
      <c r="F8700" s="2" t="str">
        <f>"9780520382725"</f>
        <v>9780520382725</v>
      </c>
    </row>
    <row r="8701" spans="1:6" s="3" customFormat="1" ht="29.1" customHeight="1" x14ac:dyDescent="0.25">
      <c r="A8701" s="2" t="s">
        <v>18021</v>
      </c>
      <c r="B8701" s="2" t="s">
        <v>18022</v>
      </c>
      <c r="C8701" s="2" t="s">
        <v>239</v>
      </c>
      <c r="D8701" s="2" t="s">
        <v>1419</v>
      </c>
      <c r="E8701" s="2" t="str">
        <f>"9780520382886"</f>
        <v>9780520382886</v>
      </c>
      <c r="F8701" s="2" t="str">
        <f>"9780520382893"</f>
        <v>9780520382893</v>
      </c>
    </row>
    <row r="8702" spans="1:6" s="3" customFormat="1" ht="29.1" customHeight="1" x14ac:dyDescent="0.25">
      <c r="A8702" s="2" t="s">
        <v>18023</v>
      </c>
      <c r="B8702" s="2" t="s">
        <v>18025</v>
      </c>
      <c r="C8702" s="2" t="s">
        <v>239</v>
      </c>
      <c r="D8702" s="2" t="s">
        <v>18024</v>
      </c>
      <c r="E8702" s="2" t="str">
        <f>"9780520383043"</f>
        <v>9780520383043</v>
      </c>
      <c r="F8702" s="2" t="str">
        <f>"9780520383050"</f>
        <v>9780520383050</v>
      </c>
    </row>
    <row r="8703" spans="1:6" s="3" customFormat="1" ht="29.1" customHeight="1" x14ac:dyDescent="0.25">
      <c r="A8703" s="2" t="s">
        <v>18026</v>
      </c>
      <c r="B8703" s="2" t="s">
        <v>18027</v>
      </c>
      <c r="C8703" s="2" t="s">
        <v>239</v>
      </c>
      <c r="D8703" s="2" t="s">
        <v>2142</v>
      </c>
      <c r="E8703" s="2" t="str">
        <f>"9780520383241"</f>
        <v>9780520383241</v>
      </c>
      <c r="F8703" s="2" t="str">
        <f>"9780520383258"</f>
        <v>9780520383258</v>
      </c>
    </row>
    <row r="8704" spans="1:6" s="3" customFormat="1" ht="29.1" customHeight="1" x14ac:dyDescent="0.25">
      <c r="A8704" s="2" t="s">
        <v>18028</v>
      </c>
      <c r="B8704" s="2" t="s">
        <v>18029</v>
      </c>
      <c r="C8704" s="2" t="s">
        <v>239</v>
      </c>
      <c r="D8704" s="2" t="s">
        <v>10410</v>
      </c>
      <c r="E8704" s="2" t="str">
        <f>"9780520383548"</f>
        <v>9780520383548</v>
      </c>
      <c r="F8704" s="2" t="str">
        <f>"9780520383555"</f>
        <v>9780520383555</v>
      </c>
    </row>
    <row r="8705" spans="1:6" s="3" customFormat="1" ht="29.1" customHeight="1" x14ac:dyDescent="0.25">
      <c r="A8705" s="2" t="s">
        <v>18030</v>
      </c>
      <c r="B8705" s="2" t="s">
        <v>18031</v>
      </c>
      <c r="C8705" s="2" t="s">
        <v>239</v>
      </c>
      <c r="D8705" s="2" t="s">
        <v>202</v>
      </c>
      <c r="E8705" s="2" t="str">
        <f>"9780520383692"</f>
        <v>9780520383692</v>
      </c>
      <c r="F8705" s="2" t="str">
        <f>"9780520383708"</f>
        <v>9780520383708</v>
      </c>
    </row>
    <row r="8706" spans="1:6" s="3" customFormat="1" ht="29.1" customHeight="1" x14ac:dyDescent="0.25">
      <c r="A8706" s="2" t="s">
        <v>18032</v>
      </c>
      <c r="B8706" s="2" t="s">
        <v>18033</v>
      </c>
      <c r="C8706" s="2" t="s">
        <v>239</v>
      </c>
      <c r="D8706" s="2" t="s">
        <v>15</v>
      </c>
      <c r="E8706" s="2" t="str">
        <f>"9780520383715"</f>
        <v>9780520383715</v>
      </c>
      <c r="F8706" s="2" t="str">
        <f>"9780520383722"</f>
        <v>9780520383722</v>
      </c>
    </row>
    <row r="8707" spans="1:6" s="3" customFormat="1" ht="29.1" customHeight="1" x14ac:dyDescent="0.25">
      <c r="A8707" s="2" t="s">
        <v>18034</v>
      </c>
      <c r="B8707" s="2" t="s">
        <v>18036</v>
      </c>
      <c r="C8707" s="2" t="s">
        <v>239</v>
      </c>
      <c r="D8707" s="2" t="s">
        <v>18035</v>
      </c>
      <c r="E8707" s="2" t="str">
        <f>"9780520384477"</f>
        <v>9780520384477</v>
      </c>
      <c r="F8707" s="2" t="str">
        <f>"9780520384484"</f>
        <v>9780520384484</v>
      </c>
    </row>
    <row r="8708" spans="1:6" s="3" customFormat="1" ht="29.1" customHeight="1" x14ac:dyDescent="0.25">
      <c r="A8708" s="2" t="s">
        <v>18037</v>
      </c>
      <c r="B8708" s="2" t="s">
        <v>18038</v>
      </c>
      <c r="C8708" s="2" t="s">
        <v>239</v>
      </c>
      <c r="D8708" s="2" t="s">
        <v>202</v>
      </c>
      <c r="E8708" s="2" t="str">
        <f>"9780520384514"</f>
        <v>9780520384514</v>
      </c>
      <c r="F8708" s="2" t="str">
        <f>"9780520384521"</f>
        <v>9780520384521</v>
      </c>
    </row>
    <row r="8709" spans="1:6" s="3" customFormat="1" ht="29.1" customHeight="1" x14ac:dyDescent="0.25">
      <c r="A8709" s="2" t="s">
        <v>18039</v>
      </c>
      <c r="B8709" s="2" t="s">
        <v>18040</v>
      </c>
      <c r="C8709" s="2" t="s">
        <v>239</v>
      </c>
      <c r="D8709" s="2" t="s">
        <v>49</v>
      </c>
      <c r="E8709" s="2" t="str">
        <f>"9780520385214"</f>
        <v>9780520385214</v>
      </c>
      <c r="F8709" s="2" t="str">
        <f>"9780520385221"</f>
        <v>9780520385221</v>
      </c>
    </row>
    <row r="8710" spans="1:6" s="3" customFormat="1" ht="29.1" customHeight="1" x14ac:dyDescent="0.25">
      <c r="A8710" s="2" t="s">
        <v>18041</v>
      </c>
      <c r="B8710" s="2" t="s">
        <v>18042</v>
      </c>
      <c r="C8710" s="2" t="s">
        <v>239</v>
      </c>
      <c r="D8710" s="2" t="s">
        <v>49</v>
      </c>
      <c r="E8710" s="2" t="str">
        <f>"9780520385320"</f>
        <v>9780520385320</v>
      </c>
      <c r="F8710" s="2" t="str">
        <f>"9780520385337"</f>
        <v>9780520385337</v>
      </c>
    </row>
    <row r="8711" spans="1:6" s="3" customFormat="1" ht="29.1" customHeight="1" x14ac:dyDescent="0.25">
      <c r="A8711" s="2" t="s">
        <v>18043</v>
      </c>
      <c r="B8711" s="2" t="s">
        <v>18044</v>
      </c>
      <c r="C8711" s="2" t="s">
        <v>239</v>
      </c>
      <c r="D8711" s="2" t="s">
        <v>1419</v>
      </c>
      <c r="E8711" s="2" t="str">
        <f>"9780520385627"</f>
        <v>9780520385627</v>
      </c>
      <c r="F8711" s="2" t="str">
        <f>"9780520385634"</f>
        <v>9780520385634</v>
      </c>
    </row>
    <row r="8712" spans="1:6" s="3" customFormat="1" ht="29.1" customHeight="1" x14ac:dyDescent="0.25">
      <c r="A8712" s="2" t="s">
        <v>18045</v>
      </c>
      <c r="B8712" s="2" t="s">
        <v>18046</v>
      </c>
      <c r="C8712" s="2" t="s">
        <v>239</v>
      </c>
      <c r="D8712" s="2" t="s">
        <v>15</v>
      </c>
      <c r="E8712" s="2" t="str">
        <f>"9780520386037"</f>
        <v>9780520386037</v>
      </c>
      <c r="F8712" s="2" t="str">
        <f>"9780520386044"</f>
        <v>9780520386044</v>
      </c>
    </row>
    <row r="8713" spans="1:6" s="3" customFormat="1" ht="29.1" customHeight="1" x14ac:dyDescent="0.25">
      <c r="A8713" s="2" t="s">
        <v>18047</v>
      </c>
      <c r="B8713" s="2" t="s">
        <v>1555</v>
      </c>
      <c r="C8713" s="2" t="s">
        <v>239</v>
      </c>
      <c r="D8713" s="2" t="s">
        <v>202</v>
      </c>
      <c r="E8713" s="2" t="str">
        <f>"9780520386099"</f>
        <v>9780520386099</v>
      </c>
      <c r="F8713" s="2" t="str">
        <f>"9780520386105"</f>
        <v>9780520386105</v>
      </c>
    </row>
    <row r="8714" spans="1:6" s="3" customFormat="1" ht="29.1" customHeight="1" x14ac:dyDescent="0.25">
      <c r="A8714" s="2" t="s">
        <v>18048</v>
      </c>
      <c r="B8714" s="2" t="s">
        <v>18049</v>
      </c>
      <c r="C8714" s="2" t="s">
        <v>239</v>
      </c>
      <c r="D8714" s="2" t="s">
        <v>3130</v>
      </c>
      <c r="E8714" s="2" t="str">
        <f>"9780520387249"</f>
        <v>9780520387249</v>
      </c>
      <c r="F8714" s="2" t="str">
        <f>"9780520387256"</f>
        <v>9780520387256</v>
      </c>
    </row>
    <row r="8715" spans="1:6" s="3" customFormat="1" ht="29.1" customHeight="1" x14ac:dyDescent="0.25">
      <c r="A8715" s="2" t="s">
        <v>18050</v>
      </c>
      <c r="B8715" s="2" t="s">
        <v>18051</v>
      </c>
      <c r="C8715" s="2" t="s">
        <v>239</v>
      </c>
      <c r="D8715" s="2" t="s">
        <v>1663</v>
      </c>
      <c r="E8715" s="2" t="str">
        <f>"9780520388352"</f>
        <v>9780520388352</v>
      </c>
      <c r="F8715" s="2" t="str">
        <f>"9780520388369"</f>
        <v>9780520388369</v>
      </c>
    </row>
    <row r="8716" spans="1:6" s="3" customFormat="1" ht="29.1" customHeight="1" x14ac:dyDescent="0.25">
      <c r="A8716" s="2" t="s">
        <v>18052</v>
      </c>
      <c r="B8716" s="2" t="s">
        <v>18053</v>
      </c>
      <c r="C8716" s="2" t="s">
        <v>239</v>
      </c>
      <c r="D8716" s="2" t="s">
        <v>4064</v>
      </c>
      <c r="E8716" s="2" t="str">
        <f>"9780520388666"</f>
        <v>9780520388666</v>
      </c>
      <c r="F8716" s="2" t="str">
        <f>"9780520388673"</f>
        <v>9780520388673</v>
      </c>
    </row>
    <row r="8717" spans="1:6" s="3" customFormat="1" ht="29.1" customHeight="1" x14ac:dyDescent="0.25">
      <c r="A8717" s="2" t="s">
        <v>18054</v>
      </c>
      <c r="B8717" s="2" t="s">
        <v>18055</v>
      </c>
      <c r="C8717" s="2" t="s">
        <v>239</v>
      </c>
      <c r="D8717" s="2" t="s">
        <v>1109</v>
      </c>
      <c r="E8717" s="2" t="str">
        <f>"9780520388710"</f>
        <v>9780520388710</v>
      </c>
      <c r="F8717" s="2" t="str">
        <f>"9780520388727"</f>
        <v>9780520388727</v>
      </c>
    </row>
    <row r="8718" spans="1:6" s="3" customFormat="1" ht="29.1" customHeight="1" x14ac:dyDescent="0.25">
      <c r="A8718" s="2" t="s">
        <v>18056</v>
      </c>
      <c r="B8718" s="2" t="s">
        <v>18057</v>
      </c>
      <c r="C8718" s="2" t="s">
        <v>239</v>
      </c>
      <c r="D8718" s="2" t="s">
        <v>1956</v>
      </c>
      <c r="E8718" s="2" t="str">
        <f>"9780520389038"</f>
        <v>9780520389038</v>
      </c>
      <c r="F8718" s="2" t="str">
        <f>"9780520389045"</f>
        <v>9780520389045</v>
      </c>
    </row>
    <row r="8719" spans="1:6" s="3" customFormat="1" ht="29.1" customHeight="1" x14ac:dyDescent="0.25">
      <c r="A8719" s="2" t="s">
        <v>18058</v>
      </c>
      <c r="B8719" s="2" t="s">
        <v>18059</v>
      </c>
      <c r="C8719" s="2" t="s">
        <v>239</v>
      </c>
      <c r="D8719" s="2" t="s">
        <v>1419</v>
      </c>
      <c r="E8719" s="2" t="str">
        <f>"9780520389366"</f>
        <v>9780520389366</v>
      </c>
      <c r="F8719" s="2" t="str">
        <f>"9780520389373"</f>
        <v>9780520389373</v>
      </c>
    </row>
    <row r="8720" spans="1:6" s="3" customFormat="1" ht="29.1" customHeight="1" x14ac:dyDescent="0.25">
      <c r="A8720" s="2" t="s">
        <v>18060</v>
      </c>
      <c r="B8720" s="2" t="s">
        <v>18061</v>
      </c>
      <c r="C8720" s="2" t="s">
        <v>239</v>
      </c>
      <c r="D8720" s="2" t="s">
        <v>636</v>
      </c>
      <c r="E8720" s="2" t="str">
        <f>"9780520389427"</f>
        <v>9780520389427</v>
      </c>
      <c r="F8720" s="2" t="str">
        <f>"9780520389434"</f>
        <v>9780520389434</v>
      </c>
    </row>
    <row r="8721" spans="1:6" s="3" customFormat="1" ht="29.1" customHeight="1" x14ac:dyDescent="0.25">
      <c r="A8721" s="2" t="s">
        <v>18062</v>
      </c>
      <c r="B8721" s="2" t="s">
        <v>18063</v>
      </c>
      <c r="C8721" s="2" t="s">
        <v>239</v>
      </c>
      <c r="D8721" s="2" t="s">
        <v>183</v>
      </c>
      <c r="E8721" s="2" t="str">
        <f>"9780520283800"</f>
        <v>9780520283800</v>
      </c>
      <c r="F8721" s="2" t="str">
        <f>"9780520959583"</f>
        <v>9780520959583</v>
      </c>
    </row>
    <row r="8722" spans="1:6" s="3" customFormat="1" ht="29.1" customHeight="1" x14ac:dyDescent="0.25">
      <c r="A8722" s="2" t="s">
        <v>18064</v>
      </c>
      <c r="B8722" s="2" t="s">
        <v>18065</v>
      </c>
      <c r="C8722" s="2" t="s">
        <v>239</v>
      </c>
      <c r="D8722" s="2" t="s">
        <v>15</v>
      </c>
      <c r="E8722" s="2" t="str">
        <f>"9780520284043"</f>
        <v>9780520284043</v>
      </c>
      <c r="F8722" s="2" t="str">
        <f>"9780520959705"</f>
        <v>9780520959705</v>
      </c>
    </row>
    <row r="8723" spans="1:6" s="3" customFormat="1" ht="29.1" customHeight="1" x14ac:dyDescent="0.25">
      <c r="A8723" s="2" t="s">
        <v>18066</v>
      </c>
      <c r="B8723" s="2" t="s">
        <v>18067</v>
      </c>
      <c r="C8723" s="2" t="s">
        <v>239</v>
      </c>
      <c r="D8723" s="2" t="s">
        <v>1189</v>
      </c>
      <c r="E8723" s="2" t="str">
        <f>"9780520284418"</f>
        <v>9780520284418</v>
      </c>
      <c r="F8723" s="2" t="str">
        <f>"9780520960046"</f>
        <v>9780520960046</v>
      </c>
    </row>
    <row r="8724" spans="1:6" s="3" customFormat="1" ht="29.1" customHeight="1" x14ac:dyDescent="0.25">
      <c r="A8724" s="2" t="s">
        <v>18068</v>
      </c>
      <c r="B8724" s="2" t="s">
        <v>18070</v>
      </c>
      <c r="C8724" s="2" t="s">
        <v>239</v>
      </c>
      <c r="D8724" s="2" t="s">
        <v>18069</v>
      </c>
      <c r="E8724" s="2" t="str">
        <f>"9780520284661"</f>
        <v>9780520284661</v>
      </c>
      <c r="F8724" s="2" t="str">
        <f>"9780520960428"</f>
        <v>9780520960428</v>
      </c>
    </row>
    <row r="8725" spans="1:6" s="3" customFormat="1" ht="29.1" customHeight="1" x14ac:dyDescent="0.25">
      <c r="A8725" s="2" t="s">
        <v>18071</v>
      </c>
      <c r="B8725" s="2" t="s">
        <v>18072</v>
      </c>
      <c r="C8725" s="2" t="s">
        <v>239</v>
      </c>
      <c r="D8725" s="2" t="s">
        <v>2587</v>
      </c>
      <c r="E8725" s="2" t="str">
        <f>"9780520285460"</f>
        <v>9780520285460</v>
      </c>
      <c r="F8725" s="2" t="str">
        <f>"9780520960930"</f>
        <v>9780520960930</v>
      </c>
    </row>
    <row r="8726" spans="1:6" s="3" customFormat="1" ht="29.1" customHeight="1" x14ac:dyDescent="0.25">
      <c r="A8726" s="2" t="s">
        <v>18073</v>
      </c>
      <c r="B8726" s="2" t="s">
        <v>18074</v>
      </c>
      <c r="C8726" s="2" t="s">
        <v>239</v>
      </c>
      <c r="D8726" s="2" t="s">
        <v>150</v>
      </c>
      <c r="E8726" s="2" t="str">
        <f>"9780520285859"</f>
        <v>9780520285859</v>
      </c>
      <c r="F8726" s="2" t="str">
        <f>"9780520961227"</f>
        <v>9780520961227</v>
      </c>
    </row>
    <row r="8727" spans="1:6" s="3" customFormat="1" ht="29.1" customHeight="1" x14ac:dyDescent="0.25">
      <c r="A8727" s="2" t="s">
        <v>18075</v>
      </c>
      <c r="B8727" s="2" t="s">
        <v>18076</v>
      </c>
      <c r="C8727" s="2" t="s">
        <v>239</v>
      </c>
      <c r="D8727" s="2" t="s">
        <v>10410</v>
      </c>
      <c r="E8727" s="2" t="str">
        <f>"9780520286467"</f>
        <v>9780520286467</v>
      </c>
      <c r="F8727" s="2" t="str">
        <f>"9780520961685"</f>
        <v>9780520961685</v>
      </c>
    </row>
    <row r="8728" spans="1:6" s="3" customFormat="1" ht="29.1" customHeight="1" x14ac:dyDescent="0.25">
      <c r="A8728" s="2" t="s">
        <v>18077</v>
      </c>
      <c r="B8728" s="2" t="s">
        <v>18078</v>
      </c>
      <c r="C8728" s="2" t="s">
        <v>239</v>
      </c>
      <c r="D8728" s="2" t="s">
        <v>2336</v>
      </c>
      <c r="E8728" s="2" t="str">
        <f>"9780520287716"</f>
        <v>9780520287716</v>
      </c>
      <c r="F8728" s="2" t="str">
        <f>"9780520962668"</f>
        <v>9780520962668</v>
      </c>
    </row>
    <row r="8729" spans="1:6" s="3" customFormat="1" ht="29.1" customHeight="1" x14ac:dyDescent="0.25">
      <c r="A8729" s="2" t="s">
        <v>18079</v>
      </c>
      <c r="B8729" s="2" t="s">
        <v>17997</v>
      </c>
      <c r="C8729" s="2" t="s">
        <v>239</v>
      </c>
      <c r="D8729" s="2" t="s">
        <v>15</v>
      </c>
      <c r="E8729" s="2" t="str">
        <f>"9780520281509"</f>
        <v>9780520281509</v>
      </c>
      <c r="F8729" s="2" t="str">
        <f>"9780520963085"</f>
        <v>9780520963085</v>
      </c>
    </row>
    <row r="8730" spans="1:6" s="3" customFormat="1" ht="29.1" customHeight="1" x14ac:dyDescent="0.25">
      <c r="A8730" s="2" t="s">
        <v>18080</v>
      </c>
      <c r="B8730" s="2" t="s">
        <v>18081</v>
      </c>
      <c r="C8730" s="2" t="s">
        <v>239</v>
      </c>
      <c r="D8730" s="2" t="s">
        <v>1141</v>
      </c>
      <c r="E8730" s="2" t="str">
        <f>"9780520288027"</f>
        <v>9780520288027</v>
      </c>
      <c r="F8730" s="2" t="str">
        <f>"9780520963122"</f>
        <v>9780520963122</v>
      </c>
    </row>
    <row r="8731" spans="1:6" s="3" customFormat="1" ht="29.1" customHeight="1" x14ac:dyDescent="0.25">
      <c r="A8731" s="2" t="s">
        <v>18082</v>
      </c>
      <c r="B8731" s="2" t="s">
        <v>18083</v>
      </c>
      <c r="C8731" s="2" t="s">
        <v>239</v>
      </c>
      <c r="D8731" s="2" t="s">
        <v>202</v>
      </c>
      <c r="E8731" s="2" t="str">
        <f>"9780520288119"</f>
        <v>9780520288119</v>
      </c>
      <c r="F8731" s="2" t="str">
        <f>"9780520963160"</f>
        <v>9780520963160</v>
      </c>
    </row>
    <row r="8732" spans="1:6" s="3" customFormat="1" ht="29.1" customHeight="1" x14ac:dyDescent="0.25">
      <c r="A8732" s="2" t="s">
        <v>18084</v>
      </c>
      <c r="B8732" s="2" t="s">
        <v>18085</v>
      </c>
      <c r="C8732" s="2" t="s">
        <v>239</v>
      </c>
      <c r="D8732" s="2" t="s">
        <v>15</v>
      </c>
      <c r="E8732" s="2" t="str">
        <f>"9780520288782"</f>
        <v>9780520288782</v>
      </c>
      <c r="F8732" s="2" t="str">
        <f>"9780520963603"</f>
        <v>9780520963603</v>
      </c>
    </row>
    <row r="8733" spans="1:6" s="3" customFormat="1" ht="29.1" customHeight="1" x14ac:dyDescent="0.25">
      <c r="A8733" s="2" t="s">
        <v>18086</v>
      </c>
      <c r="B8733" s="2" t="s">
        <v>17529</v>
      </c>
      <c r="C8733" s="2" t="s">
        <v>239</v>
      </c>
      <c r="D8733" s="2" t="s">
        <v>1180</v>
      </c>
      <c r="E8733" s="2" t="str">
        <f>"9780520289598"</f>
        <v>9780520289598</v>
      </c>
      <c r="F8733" s="2" t="str">
        <f>"9780520964198"</f>
        <v>9780520964198</v>
      </c>
    </row>
    <row r="8734" spans="1:6" s="3" customFormat="1" ht="29.1" customHeight="1" x14ac:dyDescent="0.25">
      <c r="A8734" s="2" t="s">
        <v>18087</v>
      </c>
      <c r="B8734" s="2" t="s">
        <v>18088</v>
      </c>
      <c r="C8734" s="2" t="s">
        <v>239</v>
      </c>
      <c r="D8734" s="2" t="s">
        <v>712</v>
      </c>
      <c r="E8734" s="2" t="str">
        <f>"9780520290853"</f>
        <v>9780520290853</v>
      </c>
      <c r="F8734" s="2" t="str">
        <f>"9780520964808"</f>
        <v>9780520964808</v>
      </c>
    </row>
    <row r="8735" spans="1:6" s="3" customFormat="1" ht="29.1" customHeight="1" x14ac:dyDescent="0.25">
      <c r="A8735" s="2" t="s">
        <v>18089</v>
      </c>
      <c r="B8735" s="2" t="s">
        <v>18090</v>
      </c>
      <c r="C8735" s="2" t="s">
        <v>239</v>
      </c>
      <c r="D8735" s="2" t="s">
        <v>1141</v>
      </c>
      <c r="E8735" s="2" t="str">
        <f>"9780520291249"</f>
        <v>9780520291249</v>
      </c>
      <c r="F8735" s="2" t="str">
        <f>"9780520965096"</f>
        <v>9780520965096</v>
      </c>
    </row>
    <row r="8736" spans="1:6" s="3" customFormat="1" ht="29.1" customHeight="1" x14ac:dyDescent="0.25">
      <c r="A8736" s="2" t="s">
        <v>18091</v>
      </c>
      <c r="B8736" s="2" t="s">
        <v>18092</v>
      </c>
      <c r="C8736" s="2" t="s">
        <v>239</v>
      </c>
      <c r="D8736" s="2" t="s">
        <v>818</v>
      </c>
      <c r="E8736" s="2" t="str">
        <f>"9780520291737"</f>
        <v>9780520291737</v>
      </c>
      <c r="F8736" s="2" t="str">
        <f>"9780520965393"</f>
        <v>9780520965393</v>
      </c>
    </row>
    <row r="8737" spans="1:6" s="3" customFormat="1" ht="29.1" customHeight="1" x14ac:dyDescent="0.25">
      <c r="A8737" s="2" t="s">
        <v>18093</v>
      </c>
      <c r="B8737" s="2" t="s">
        <v>18094</v>
      </c>
      <c r="C8737" s="2" t="s">
        <v>239</v>
      </c>
      <c r="D8737" s="2" t="s">
        <v>818</v>
      </c>
      <c r="E8737" s="2" t="str">
        <f>"9780520291799"</f>
        <v>9780520291799</v>
      </c>
      <c r="F8737" s="2" t="str">
        <f>"9780520965430"</f>
        <v>9780520965430</v>
      </c>
    </row>
    <row r="8738" spans="1:6" s="3" customFormat="1" ht="29.1" customHeight="1" x14ac:dyDescent="0.25">
      <c r="A8738" s="2" t="s">
        <v>18095</v>
      </c>
      <c r="B8738" s="2" t="s">
        <v>18096</v>
      </c>
      <c r="C8738" s="2" t="s">
        <v>239</v>
      </c>
      <c r="D8738" s="2" t="s">
        <v>10410</v>
      </c>
      <c r="E8738" s="2" t="str">
        <f>"9780520291836"</f>
        <v>9780520291836</v>
      </c>
      <c r="F8738" s="2" t="str">
        <f>"9780520965461"</f>
        <v>9780520965461</v>
      </c>
    </row>
    <row r="8739" spans="1:6" s="3" customFormat="1" ht="29.1" customHeight="1" x14ac:dyDescent="0.25">
      <c r="A8739" s="2" t="s">
        <v>18097</v>
      </c>
      <c r="B8739" s="2" t="s">
        <v>18098</v>
      </c>
      <c r="C8739" s="2" t="s">
        <v>239</v>
      </c>
      <c r="D8739" s="2" t="s">
        <v>15</v>
      </c>
      <c r="E8739" s="2" t="str">
        <f>"9780520292413"</f>
        <v>9780520292413</v>
      </c>
      <c r="F8739" s="2" t="str">
        <f>"9780520965966"</f>
        <v>9780520965966</v>
      </c>
    </row>
    <row r="8740" spans="1:6" s="3" customFormat="1" ht="29.1" customHeight="1" x14ac:dyDescent="0.25">
      <c r="A8740" s="2" t="s">
        <v>18099</v>
      </c>
      <c r="B8740" s="2" t="s">
        <v>18101</v>
      </c>
      <c r="C8740" s="2" t="s">
        <v>239</v>
      </c>
      <c r="D8740" s="2" t="s">
        <v>18100</v>
      </c>
      <c r="E8740" s="2" t="str">
        <f>"9780520292420"</f>
        <v>9780520292420</v>
      </c>
      <c r="F8740" s="2" t="str">
        <f>"9780520965973"</f>
        <v>9780520965973</v>
      </c>
    </row>
    <row r="8741" spans="1:6" s="3" customFormat="1" ht="29.1" customHeight="1" x14ac:dyDescent="0.25">
      <c r="A8741" s="2" t="s">
        <v>18102</v>
      </c>
      <c r="B8741" s="2" t="s">
        <v>18103</v>
      </c>
      <c r="C8741" s="2" t="s">
        <v>239</v>
      </c>
      <c r="D8741" s="2" t="s">
        <v>636</v>
      </c>
      <c r="E8741" s="2" t="str">
        <f>"9780520292512"</f>
        <v>9780520292512</v>
      </c>
      <c r="F8741" s="2" t="str">
        <f>"9780520966017"</f>
        <v>9780520966017</v>
      </c>
    </row>
    <row r="8742" spans="1:6" s="3" customFormat="1" ht="29.1" customHeight="1" x14ac:dyDescent="0.25">
      <c r="A8742" s="2" t="s">
        <v>18104</v>
      </c>
      <c r="B8742" s="2" t="s">
        <v>18105</v>
      </c>
      <c r="C8742" s="2" t="s">
        <v>239</v>
      </c>
      <c r="D8742" s="2" t="s">
        <v>553</v>
      </c>
      <c r="E8742" s="2" t="str">
        <f>"9780520292840"</f>
        <v>9780520292840</v>
      </c>
      <c r="F8742" s="2" t="str">
        <f>"9780520966208"</f>
        <v>9780520966208</v>
      </c>
    </row>
    <row r="8743" spans="1:6" s="3" customFormat="1" ht="29.1" customHeight="1" x14ac:dyDescent="0.25">
      <c r="A8743" s="2" t="s">
        <v>18106</v>
      </c>
      <c r="B8743" s="2" t="s">
        <v>18108</v>
      </c>
      <c r="C8743" s="2" t="s">
        <v>239</v>
      </c>
      <c r="D8743" s="2" t="s">
        <v>18107</v>
      </c>
      <c r="E8743" s="2" t="str">
        <f>"9780520293014"</f>
        <v>9780520293014</v>
      </c>
      <c r="F8743" s="2" t="str">
        <f>"9780520966291"</f>
        <v>9780520966291</v>
      </c>
    </row>
    <row r="8744" spans="1:6" s="3" customFormat="1" ht="29.1" customHeight="1" x14ac:dyDescent="0.25">
      <c r="A8744" s="2" t="s">
        <v>18109</v>
      </c>
      <c r="B8744" s="2" t="s">
        <v>18110</v>
      </c>
      <c r="C8744" s="2" t="s">
        <v>239</v>
      </c>
      <c r="D8744" s="2" t="s">
        <v>5104</v>
      </c>
      <c r="E8744" s="2" t="str">
        <f>"9780520293199"</f>
        <v>9780520293199</v>
      </c>
      <c r="F8744" s="2" t="str">
        <f>"9780520966390"</f>
        <v>9780520966390</v>
      </c>
    </row>
    <row r="8745" spans="1:6" s="3" customFormat="1" ht="29.1" customHeight="1" x14ac:dyDescent="0.25">
      <c r="A8745" s="2" t="s">
        <v>18111</v>
      </c>
      <c r="B8745" s="2" t="s">
        <v>18112</v>
      </c>
      <c r="C8745" s="2" t="s">
        <v>239</v>
      </c>
      <c r="D8745" s="2" t="s">
        <v>1449</v>
      </c>
      <c r="E8745" s="2" t="str">
        <f>"9780520293434"</f>
        <v>9780520293434</v>
      </c>
      <c r="F8745" s="2" t="str">
        <f>"9780520966697"</f>
        <v>9780520966697</v>
      </c>
    </row>
    <row r="8746" spans="1:6" s="3" customFormat="1" ht="29.1" customHeight="1" x14ac:dyDescent="0.25">
      <c r="A8746" s="2" t="s">
        <v>18113</v>
      </c>
      <c r="B8746" s="2" t="s">
        <v>18114</v>
      </c>
      <c r="C8746" s="2" t="s">
        <v>239</v>
      </c>
      <c r="D8746" s="2" t="s">
        <v>69</v>
      </c>
      <c r="E8746" s="2" t="str">
        <f>"9780520293816"</f>
        <v>9780520293816</v>
      </c>
      <c r="F8746" s="2" t="str">
        <f>"9780520967175"</f>
        <v>9780520967175</v>
      </c>
    </row>
    <row r="8747" spans="1:6" s="3" customFormat="1" ht="29.1" customHeight="1" x14ac:dyDescent="0.25">
      <c r="A8747" s="2" t="s">
        <v>18115</v>
      </c>
      <c r="B8747" s="2" t="s">
        <v>18116</v>
      </c>
      <c r="C8747" s="2" t="s">
        <v>239</v>
      </c>
      <c r="D8747" s="2" t="s">
        <v>1259</v>
      </c>
      <c r="E8747" s="2" t="str">
        <f>"9780520293915"</f>
        <v>9780520293915</v>
      </c>
      <c r="F8747" s="2" t="str">
        <f>"9780520967236"</f>
        <v>9780520967236</v>
      </c>
    </row>
    <row r="8748" spans="1:6" s="3" customFormat="1" ht="29.1" customHeight="1" x14ac:dyDescent="0.25">
      <c r="A8748" s="2" t="s">
        <v>18117</v>
      </c>
      <c r="B8748" s="2" t="s">
        <v>18118</v>
      </c>
      <c r="C8748" s="2" t="s">
        <v>239</v>
      </c>
      <c r="D8748" s="2" t="s">
        <v>636</v>
      </c>
      <c r="E8748" s="2" t="str">
        <f>"9780520294035"</f>
        <v>9780520294035</v>
      </c>
      <c r="F8748" s="2" t="str">
        <f>"9780520967304"</f>
        <v>9780520967304</v>
      </c>
    </row>
    <row r="8749" spans="1:6" s="3" customFormat="1" ht="29.1" customHeight="1" x14ac:dyDescent="0.25">
      <c r="A8749" s="2" t="s">
        <v>18119</v>
      </c>
      <c r="B8749" s="2" t="s">
        <v>18120</v>
      </c>
      <c r="C8749" s="2" t="s">
        <v>239</v>
      </c>
      <c r="D8749" s="2" t="s">
        <v>6548</v>
      </c>
      <c r="E8749" s="2" t="str">
        <f>"9780520294134"</f>
        <v>9780520294134</v>
      </c>
      <c r="F8749" s="2" t="str">
        <f>"9780520967373"</f>
        <v>9780520967373</v>
      </c>
    </row>
    <row r="8750" spans="1:6" s="3" customFormat="1" ht="29.1" customHeight="1" x14ac:dyDescent="0.25">
      <c r="A8750" s="2" t="s">
        <v>18121</v>
      </c>
      <c r="B8750" s="2" t="s">
        <v>18122</v>
      </c>
      <c r="C8750" s="2" t="s">
        <v>239</v>
      </c>
      <c r="D8750" s="2" t="s">
        <v>78</v>
      </c>
      <c r="E8750" s="2" t="str">
        <f>"9780520294264"</f>
        <v>9780520294264</v>
      </c>
      <c r="F8750" s="2" t="str">
        <f>"9780520967441"</f>
        <v>9780520967441</v>
      </c>
    </row>
    <row r="8751" spans="1:6" s="3" customFormat="1" ht="29.1" customHeight="1" x14ac:dyDescent="0.25">
      <c r="A8751" s="2" t="s">
        <v>18123</v>
      </c>
      <c r="B8751" s="2" t="s">
        <v>18124</v>
      </c>
      <c r="C8751" s="2" t="s">
        <v>239</v>
      </c>
      <c r="D8751" s="2" t="s">
        <v>1449</v>
      </c>
      <c r="E8751" s="2" t="str">
        <f>"9780520294714"</f>
        <v>9780520294714</v>
      </c>
      <c r="F8751" s="2" t="str">
        <f>"9780520967755"</f>
        <v>9780520967755</v>
      </c>
    </row>
    <row r="8752" spans="1:6" s="3" customFormat="1" ht="29.1" customHeight="1" x14ac:dyDescent="0.25">
      <c r="A8752" s="2" t="s">
        <v>18125</v>
      </c>
      <c r="B8752" s="2" t="s">
        <v>18126</v>
      </c>
      <c r="C8752" s="2" t="s">
        <v>239</v>
      </c>
      <c r="D8752" s="2" t="s">
        <v>4522</v>
      </c>
      <c r="E8752" s="2" t="str">
        <f>"9780520295254"</f>
        <v>9780520295254</v>
      </c>
      <c r="F8752" s="2" t="str">
        <f>"9780520968073"</f>
        <v>9780520968073</v>
      </c>
    </row>
    <row r="8753" spans="1:6" s="3" customFormat="1" ht="29.1" customHeight="1" x14ac:dyDescent="0.25">
      <c r="A8753" s="2" t="s">
        <v>18127</v>
      </c>
      <c r="B8753" s="2" t="s">
        <v>18128</v>
      </c>
      <c r="C8753" s="2" t="s">
        <v>239</v>
      </c>
      <c r="D8753" s="2" t="s">
        <v>1432</v>
      </c>
      <c r="E8753" s="2" t="str">
        <f>"9780520295308"</f>
        <v>9780520295308</v>
      </c>
      <c r="F8753" s="2" t="str">
        <f>"9780520968103"</f>
        <v>9780520968103</v>
      </c>
    </row>
    <row r="8754" spans="1:6" s="3" customFormat="1" ht="29.1" customHeight="1" x14ac:dyDescent="0.25">
      <c r="A8754" s="2" t="s">
        <v>18129</v>
      </c>
      <c r="B8754" s="2" t="s">
        <v>18088</v>
      </c>
      <c r="C8754" s="2" t="s">
        <v>239</v>
      </c>
      <c r="D8754" s="2" t="s">
        <v>712</v>
      </c>
      <c r="E8754" s="2" t="str">
        <f>"9780520295438"</f>
        <v>9780520295438</v>
      </c>
      <c r="F8754" s="2" t="str">
        <f>"9780520968196"</f>
        <v>9780520968196</v>
      </c>
    </row>
    <row r="8755" spans="1:6" s="3" customFormat="1" ht="29.1" customHeight="1" x14ac:dyDescent="0.25">
      <c r="A8755" s="2" t="s">
        <v>18130</v>
      </c>
      <c r="B8755" s="2" t="s">
        <v>18131</v>
      </c>
      <c r="C8755" s="2" t="s">
        <v>239</v>
      </c>
      <c r="D8755" s="2" t="s">
        <v>1432</v>
      </c>
      <c r="E8755" s="2" t="str">
        <f>"9780520295988"</f>
        <v>9780520295988</v>
      </c>
      <c r="F8755" s="2" t="str">
        <f>"9780520968707"</f>
        <v>9780520968707</v>
      </c>
    </row>
    <row r="8756" spans="1:6" s="3" customFormat="1" ht="29.1" customHeight="1" x14ac:dyDescent="0.25">
      <c r="A8756" s="2" t="s">
        <v>18132</v>
      </c>
      <c r="B8756" s="2" t="s">
        <v>18133</v>
      </c>
      <c r="C8756" s="2" t="s">
        <v>239</v>
      </c>
      <c r="D8756" s="2" t="s">
        <v>1432</v>
      </c>
      <c r="E8756" s="2" t="str">
        <f>"9780520295995"</f>
        <v>9780520295995</v>
      </c>
      <c r="F8756" s="2" t="str">
        <f>"9780520968714"</f>
        <v>9780520968714</v>
      </c>
    </row>
    <row r="8757" spans="1:6" s="3" customFormat="1" ht="29.1" customHeight="1" x14ac:dyDescent="0.25">
      <c r="A8757" s="2" t="s">
        <v>18134</v>
      </c>
      <c r="B8757" s="2" t="s">
        <v>18135</v>
      </c>
      <c r="C8757" s="2" t="s">
        <v>239</v>
      </c>
      <c r="D8757" s="2" t="s">
        <v>636</v>
      </c>
      <c r="E8757" s="2" t="str">
        <f>"9780520296008"</f>
        <v>9780520296008</v>
      </c>
      <c r="F8757" s="2" t="str">
        <f>"9780520968721"</f>
        <v>9780520968721</v>
      </c>
    </row>
    <row r="8758" spans="1:6" s="3" customFormat="1" ht="29.1" customHeight="1" x14ac:dyDescent="0.25">
      <c r="A8758" s="2" t="s">
        <v>18136</v>
      </c>
      <c r="B8758" s="2" t="s">
        <v>18137</v>
      </c>
      <c r="C8758" s="2" t="s">
        <v>239</v>
      </c>
      <c r="D8758" s="2" t="s">
        <v>1598</v>
      </c>
      <c r="E8758" s="2" t="str">
        <f>"9780520296206"</f>
        <v>9780520296206</v>
      </c>
      <c r="F8758" s="2" t="str">
        <f>"9780520968790"</f>
        <v>9780520968790</v>
      </c>
    </row>
    <row r="8759" spans="1:6" s="3" customFormat="1" ht="29.1" customHeight="1" x14ac:dyDescent="0.25">
      <c r="A8759" s="2" t="s">
        <v>18138</v>
      </c>
      <c r="B8759" s="2" t="s">
        <v>18139</v>
      </c>
      <c r="C8759" s="2" t="s">
        <v>239</v>
      </c>
      <c r="D8759" s="2" t="s">
        <v>1432</v>
      </c>
      <c r="E8759" s="2" t="str">
        <f>"9780520296213"</f>
        <v>9780520296213</v>
      </c>
      <c r="F8759" s="2" t="str">
        <f>"9780520968806"</f>
        <v>9780520968806</v>
      </c>
    </row>
    <row r="8760" spans="1:6" s="3" customFormat="1" ht="29.1" customHeight="1" x14ac:dyDescent="0.25">
      <c r="A8760" s="2" t="s">
        <v>18140</v>
      </c>
      <c r="B8760" s="2" t="s">
        <v>18141</v>
      </c>
      <c r="C8760" s="2" t="s">
        <v>239</v>
      </c>
      <c r="D8760" s="2" t="s">
        <v>1432</v>
      </c>
      <c r="E8760" s="2" t="str">
        <f>"9780520296220"</f>
        <v>9780520296220</v>
      </c>
      <c r="F8760" s="2" t="str">
        <f>"9780520968813"</f>
        <v>9780520968813</v>
      </c>
    </row>
    <row r="8761" spans="1:6" s="3" customFormat="1" ht="29.1" customHeight="1" x14ac:dyDescent="0.25">
      <c r="A8761" s="2" t="s">
        <v>18142</v>
      </c>
      <c r="B8761" s="2" t="s">
        <v>18143</v>
      </c>
      <c r="C8761" s="2" t="s">
        <v>239</v>
      </c>
      <c r="D8761" s="2" t="s">
        <v>1432</v>
      </c>
      <c r="E8761" s="2" t="str">
        <f>"9780520296275"</f>
        <v>9780520296275</v>
      </c>
      <c r="F8761" s="2" t="str">
        <f>"9780520968844"</f>
        <v>9780520968844</v>
      </c>
    </row>
    <row r="8762" spans="1:6" s="3" customFormat="1" ht="29.1" customHeight="1" x14ac:dyDescent="0.25">
      <c r="A8762" s="2" t="s">
        <v>18144</v>
      </c>
      <c r="B8762" s="2" t="s">
        <v>18145</v>
      </c>
      <c r="C8762" s="2" t="s">
        <v>239</v>
      </c>
      <c r="D8762" s="2" t="s">
        <v>15</v>
      </c>
      <c r="E8762" s="2" t="str">
        <f>"9780520296305"</f>
        <v>9780520296305</v>
      </c>
      <c r="F8762" s="2" t="str">
        <f>"9780520968868"</f>
        <v>9780520968868</v>
      </c>
    </row>
    <row r="8763" spans="1:6" s="3" customFormat="1" ht="29.1" customHeight="1" x14ac:dyDescent="0.25">
      <c r="A8763" s="2" t="s">
        <v>18146</v>
      </c>
      <c r="B8763" s="2" t="s">
        <v>18147</v>
      </c>
      <c r="C8763" s="2" t="s">
        <v>239</v>
      </c>
      <c r="D8763" s="2" t="s">
        <v>818</v>
      </c>
      <c r="E8763" s="2" t="str">
        <f>"9780520296312"</f>
        <v>9780520296312</v>
      </c>
      <c r="F8763" s="2" t="str">
        <f>"9780520968875"</f>
        <v>9780520968875</v>
      </c>
    </row>
    <row r="8764" spans="1:6" s="3" customFormat="1" ht="29.1" customHeight="1" x14ac:dyDescent="0.25">
      <c r="A8764" s="2" t="s">
        <v>18148</v>
      </c>
      <c r="B8764" s="2" t="s">
        <v>18149</v>
      </c>
      <c r="C8764" s="2" t="s">
        <v>239</v>
      </c>
      <c r="D8764" s="2" t="s">
        <v>636</v>
      </c>
      <c r="E8764" s="2" t="str">
        <f>"9780520296497"</f>
        <v>9780520296497</v>
      </c>
      <c r="F8764" s="2" t="str">
        <f>"9780520968974"</f>
        <v>9780520968974</v>
      </c>
    </row>
    <row r="8765" spans="1:6" s="3" customFormat="1" ht="29.1" customHeight="1" x14ac:dyDescent="0.25">
      <c r="A8765" s="2" t="s">
        <v>18150</v>
      </c>
      <c r="B8765" s="2" t="s">
        <v>18151</v>
      </c>
      <c r="C8765" s="2" t="s">
        <v>239</v>
      </c>
      <c r="D8765" s="2" t="s">
        <v>69</v>
      </c>
      <c r="E8765" s="2" t="str">
        <f>"9780520296503"</f>
        <v>9780520296503</v>
      </c>
      <c r="F8765" s="2" t="str">
        <f>"9780520968981"</f>
        <v>9780520968981</v>
      </c>
    </row>
    <row r="8766" spans="1:6" s="3" customFormat="1" ht="29.1" customHeight="1" x14ac:dyDescent="0.25">
      <c r="A8766" s="2" t="s">
        <v>18152</v>
      </c>
      <c r="B8766" s="2" t="s">
        <v>18153</v>
      </c>
      <c r="C8766" s="2" t="s">
        <v>239</v>
      </c>
      <c r="D8766" s="2" t="s">
        <v>15</v>
      </c>
      <c r="E8766" s="2" t="str">
        <f>"9780520296961"</f>
        <v>9780520296961</v>
      </c>
      <c r="F8766" s="2" t="str">
        <f>"9780520969490"</f>
        <v>9780520969490</v>
      </c>
    </row>
    <row r="8767" spans="1:6" s="3" customFormat="1" ht="29.1" customHeight="1" x14ac:dyDescent="0.25">
      <c r="A8767" s="2" t="s">
        <v>18154</v>
      </c>
      <c r="B8767" s="2" t="s">
        <v>18155</v>
      </c>
      <c r="C8767" s="2" t="s">
        <v>239</v>
      </c>
      <c r="D8767" s="2" t="s">
        <v>4386</v>
      </c>
      <c r="E8767" s="2" t="str">
        <f>"9780520296985"</f>
        <v>9780520296985</v>
      </c>
      <c r="F8767" s="2" t="str">
        <f>"9780520969513"</f>
        <v>9780520969513</v>
      </c>
    </row>
    <row r="8768" spans="1:6" s="3" customFormat="1" ht="29.1" customHeight="1" x14ac:dyDescent="0.25">
      <c r="A8768" s="2" t="s">
        <v>18156</v>
      </c>
      <c r="B8768" s="2" t="s">
        <v>18157</v>
      </c>
      <c r="C8768" s="2" t="s">
        <v>239</v>
      </c>
      <c r="D8768" s="2" t="s">
        <v>75</v>
      </c>
      <c r="E8768" s="2" t="str">
        <f>"9780520296992"</f>
        <v>9780520296992</v>
      </c>
      <c r="F8768" s="2" t="str">
        <f>"9780520969520"</f>
        <v>9780520969520</v>
      </c>
    </row>
    <row r="8769" spans="1:6" s="3" customFormat="1" ht="29.1" customHeight="1" x14ac:dyDescent="0.25">
      <c r="A8769" s="2" t="s">
        <v>18158</v>
      </c>
      <c r="B8769" s="2" t="s">
        <v>18159</v>
      </c>
      <c r="C8769" s="2" t="s">
        <v>239</v>
      </c>
      <c r="D8769" s="2" t="s">
        <v>2505</v>
      </c>
      <c r="E8769" s="2" t="str">
        <f>"9780520297005"</f>
        <v>9780520297005</v>
      </c>
      <c r="F8769" s="2" t="str">
        <f>"9780520969537"</f>
        <v>9780520969537</v>
      </c>
    </row>
    <row r="8770" spans="1:6" s="3" customFormat="1" ht="29.1" customHeight="1" x14ac:dyDescent="0.25">
      <c r="A8770" s="2" t="s">
        <v>18160</v>
      </c>
      <c r="B8770" s="2" t="s">
        <v>18162</v>
      </c>
      <c r="C8770" s="2" t="s">
        <v>239</v>
      </c>
      <c r="D8770" s="2" t="s">
        <v>18161</v>
      </c>
      <c r="E8770" s="2" t="str">
        <f>"9780520297432"</f>
        <v>9780520297432</v>
      </c>
      <c r="F8770" s="2" t="str">
        <f>"9780520969780"</f>
        <v>9780520969780</v>
      </c>
    </row>
    <row r="8771" spans="1:6" s="3" customFormat="1" ht="29.1" customHeight="1" x14ac:dyDescent="0.25">
      <c r="A8771" s="2" t="s">
        <v>18163</v>
      </c>
      <c r="B8771" s="2" t="s">
        <v>18165</v>
      </c>
      <c r="C8771" s="2" t="s">
        <v>239</v>
      </c>
      <c r="D8771" s="2" t="s">
        <v>18164</v>
      </c>
      <c r="E8771" s="2" t="str">
        <f>"9780520297456"</f>
        <v>9780520297456</v>
      </c>
      <c r="F8771" s="2" t="str">
        <f>"9780520969797"</f>
        <v>9780520969797</v>
      </c>
    </row>
    <row r="8772" spans="1:6" s="3" customFormat="1" ht="29.1" customHeight="1" x14ac:dyDescent="0.25">
      <c r="A8772" s="2" t="s">
        <v>18166</v>
      </c>
      <c r="B8772" s="2" t="s">
        <v>18167</v>
      </c>
      <c r="C8772" s="2" t="s">
        <v>239</v>
      </c>
      <c r="D8772" s="2" t="s">
        <v>1253</v>
      </c>
      <c r="E8772" s="2" t="str">
        <f>"9780520298019"</f>
        <v>9780520298019</v>
      </c>
      <c r="F8772" s="2" t="str">
        <f>"9780520970144"</f>
        <v>9780520970144</v>
      </c>
    </row>
    <row r="8773" spans="1:6" s="3" customFormat="1" ht="29.1" customHeight="1" x14ac:dyDescent="0.25">
      <c r="A8773" s="2" t="s">
        <v>18168</v>
      </c>
      <c r="B8773" s="2" t="s">
        <v>18170</v>
      </c>
      <c r="C8773" s="2" t="s">
        <v>239</v>
      </c>
      <c r="D8773" s="2" t="s">
        <v>18169</v>
      </c>
      <c r="E8773" s="2" t="str">
        <f>"9780520298026"</f>
        <v>9780520298026</v>
      </c>
      <c r="F8773" s="2" t="str">
        <f>"9780520970151"</f>
        <v>9780520970151</v>
      </c>
    </row>
    <row r="8774" spans="1:6" s="3" customFormat="1" ht="29.1" customHeight="1" x14ac:dyDescent="0.25">
      <c r="A8774" s="2" t="s">
        <v>18171</v>
      </c>
      <c r="B8774" s="2" t="s">
        <v>18172</v>
      </c>
      <c r="C8774" s="2" t="s">
        <v>239</v>
      </c>
      <c r="D8774" s="2" t="s">
        <v>6347</v>
      </c>
      <c r="E8774" s="2" t="str">
        <f>"9780520298651"</f>
        <v>9780520298651</v>
      </c>
      <c r="F8774" s="2" t="str">
        <f>"9780520970700"</f>
        <v>9780520970700</v>
      </c>
    </row>
    <row r="8775" spans="1:6" s="3" customFormat="1" ht="29.1" customHeight="1" x14ac:dyDescent="0.25">
      <c r="A8775" s="2" t="s">
        <v>18173</v>
      </c>
      <c r="B8775" s="2" t="s">
        <v>18174</v>
      </c>
      <c r="C8775" s="2" t="s">
        <v>239</v>
      </c>
      <c r="D8775" s="2" t="s">
        <v>78</v>
      </c>
      <c r="E8775" s="2" t="str">
        <f>"9780520298705"</f>
        <v>9780520298705</v>
      </c>
      <c r="F8775" s="2" t="str">
        <f>"9780520970755"</f>
        <v>9780520970755</v>
      </c>
    </row>
    <row r="8776" spans="1:6" s="3" customFormat="1" ht="29.1" customHeight="1" x14ac:dyDescent="0.25">
      <c r="A8776" s="2" t="s">
        <v>18175</v>
      </c>
      <c r="B8776" s="2" t="s">
        <v>18176</v>
      </c>
      <c r="C8776" s="2" t="s">
        <v>239</v>
      </c>
      <c r="D8776" s="2" t="s">
        <v>1956</v>
      </c>
      <c r="E8776" s="2" t="str">
        <f>"9780520298712"</f>
        <v>9780520298712</v>
      </c>
      <c r="F8776" s="2" t="str">
        <f>"9780520970762"</f>
        <v>9780520970762</v>
      </c>
    </row>
    <row r="8777" spans="1:6" s="3" customFormat="1" ht="29.1" customHeight="1" x14ac:dyDescent="0.25">
      <c r="A8777" s="2" t="s">
        <v>18177</v>
      </c>
      <c r="B8777" s="2" t="s">
        <v>18178</v>
      </c>
      <c r="C8777" s="2" t="s">
        <v>239</v>
      </c>
      <c r="D8777" s="2" t="s">
        <v>913</v>
      </c>
      <c r="E8777" s="2" t="str">
        <f>"9780520298996"</f>
        <v>9780520298996</v>
      </c>
      <c r="F8777" s="2" t="str">
        <f>"9780520970922"</f>
        <v>9780520970922</v>
      </c>
    </row>
    <row r="8778" spans="1:6" s="3" customFormat="1" ht="29.1" customHeight="1" x14ac:dyDescent="0.25">
      <c r="A8778" s="2" t="s">
        <v>18179</v>
      </c>
      <c r="B8778" s="2" t="s">
        <v>18180</v>
      </c>
      <c r="C8778" s="2" t="s">
        <v>239</v>
      </c>
      <c r="D8778" s="2" t="s">
        <v>1466</v>
      </c>
      <c r="E8778" s="2" t="str">
        <f>"9780520299320"</f>
        <v>9780520299320</v>
      </c>
      <c r="F8778" s="2" t="str">
        <f>"9780520971103"</f>
        <v>9780520971103</v>
      </c>
    </row>
    <row r="8779" spans="1:6" s="3" customFormat="1" ht="29.1" customHeight="1" x14ac:dyDescent="0.25">
      <c r="A8779" s="2" t="s">
        <v>18181</v>
      </c>
      <c r="B8779" s="2" t="s">
        <v>18182</v>
      </c>
      <c r="C8779" s="2" t="s">
        <v>239</v>
      </c>
      <c r="D8779" s="2" t="s">
        <v>5104</v>
      </c>
      <c r="E8779" s="2" t="str">
        <f>"9780520299436"</f>
        <v>9780520299436</v>
      </c>
      <c r="F8779" s="2" t="str">
        <f>"9780520971158"</f>
        <v>9780520971158</v>
      </c>
    </row>
    <row r="8780" spans="1:6" s="3" customFormat="1" ht="29.1" customHeight="1" x14ac:dyDescent="0.25">
      <c r="A8780" s="2" t="s">
        <v>18183</v>
      </c>
      <c r="B8780" s="2" t="s">
        <v>13765</v>
      </c>
      <c r="C8780" s="2" t="s">
        <v>239</v>
      </c>
      <c r="D8780" s="2" t="s">
        <v>78</v>
      </c>
      <c r="E8780" s="2" t="str">
        <f>"9780520299573"</f>
        <v>9780520299573</v>
      </c>
      <c r="F8780" s="2" t="str">
        <f>"9780520971257"</f>
        <v>9780520971257</v>
      </c>
    </row>
    <row r="8781" spans="1:6" s="3" customFormat="1" ht="29.1" customHeight="1" x14ac:dyDescent="0.25">
      <c r="A8781" s="2" t="s">
        <v>18184</v>
      </c>
      <c r="B8781" s="2" t="s">
        <v>18185</v>
      </c>
      <c r="C8781" s="2" t="s">
        <v>239</v>
      </c>
      <c r="D8781" s="2" t="s">
        <v>2505</v>
      </c>
      <c r="E8781" s="2" t="str">
        <f>"9780520299733"</f>
        <v>9780520299733</v>
      </c>
      <c r="F8781" s="2" t="str">
        <f>"9780520971332"</f>
        <v>9780520971332</v>
      </c>
    </row>
    <row r="8782" spans="1:6" s="3" customFormat="1" ht="29.1" customHeight="1" x14ac:dyDescent="0.25">
      <c r="A8782" s="2" t="s">
        <v>18186</v>
      </c>
      <c r="B8782" s="2" t="s">
        <v>18187</v>
      </c>
      <c r="C8782" s="2" t="s">
        <v>239</v>
      </c>
      <c r="D8782" s="2" t="s">
        <v>49</v>
      </c>
      <c r="E8782" s="2" t="str">
        <f>"9780520300460"</f>
        <v>9780520300460</v>
      </c>
      <c r="F8782" s="2" t="str">
        <f>"9780520971868"</f>
        <v>9780520971868</v>
      </c>
    </row>
    <row r="8783" spans="1:6" s="3" customFormat="1" ht="29.1" customHeight="1" x14ac:dyDescent="0.25">
      <c r="A8783" s="2" t="s">
        <v>18188</v>
      </c>
      <c r="B8783" s="2" t="s">
        <v>18189</v>
      </c>
      <c r="C8783" s="2" t="s">
        <v>239</v>
      </c>
      <c r="D8783" s="2" t="s">
        <v>636</v>
      </c>
      <c r="E8783" s="2" t="str">
        <f>"9780520300576"</f>
        <v>9780520300576</v>
      </c>
      <c r="F8783" s="2" t="str">
        <f>"9780520971905"</f>
        <v>9780520971905</v>
      </c>
    </row>
    <row r="8784" spans="1:6" s="3" customFormat="1" ht="29.1" customHeight="1" x14ac:dyDescent="0.25">
      <c r="A8784" s="2" t="s">
        <v>18190</v>
      </c>
      <c r="B8784" s="2" t="s">
        <v>18191</v>
      </c>
      <c r="C8784" s="2" t="s">
        <v>239</v>
      </c>
      <c r="D8784" s="2" t="s">
        <v>17493</v>
      </c>
      <c r="E8784" s="2" t="str">
        <f>"9780520300804"</f>
        <v>9780520300804</v>
      </c>
      <c r="F8784" s="2" t="str">
        <f>"9780520972032"</f>
        <v>9780520972032</v>
      </c>
    </row>
    <row r="8785" spans="1:6" s="3" customFormat="1" ht="29.1" customHeight="1" x14ac:dyDescent="0.25">
      <c r="A8785" s="2" t="s">
        <v>18192</v>
      </c>
      <c r="B8785" s="2" t="s">
        <v>18120</v>
      </c>
      <c r="C8785" s="2" t="s">
        <v>239</v>
      </c>
      <c r="D8785" s="2" t="s">
        <v>5104</v>
      </c>
      <c r="E8785" s="2" t="str">
        <f>"9780520300927"</f>
        <v>9780520300927</v>
      </c>
      <c r="F8785" s="2" t="str">
        <f>"9780520972100"</f>
        <v>9780520972100</v>
      </c>
    </row>
    <row r="8786" spans="1:6" s="3" customFormat="1" ht="29.1" customHeight="1" x14ac:dyDescent="0.25">
      <c r="A8786" s="2" t="s">
        <v>18193</v>
      </c>
      <c r="B8786" s="2" t="s">
        <v>18195</v>
      </c>
      <c r="C8786" s="2" t="s">
        <v>239</v>
      </c>
      <c r="D8786" s="2" t="s">
        <v>18194</v>
      </c>
      <c r="E8786" s="2" t="str">
        <f>"9780520300934"</f>
        <v>9780520300934</v>
      </c>
      <c r="F8786" s="2" t="str">
        <f>"9780520972117"</f>
        <v>9780520972117</v>
      </c>
    </row>
    <row r="8787" spans="1:6" s="3" customFormat="1" ht="29.1" customHeight="1" x14ac:dyDescent="0.25">
      <c r="A8787" s="2" t="s">
        <v>18196</v>
      </c>
      <c r="B8787" s="2" t="s">
        <v>18197</v>
      </c>
      <c r="C8787" s="2" t="s">
        <v>239</v>
      </c>
      <c r="D8787" s="2" t="s">
        <v>202</v>
      </c>
      <c r="E8787" s="2" t="str">
        <f>"9780520301368"</f>
        <v>9780520301368</v>
      </c>
      <c r="F8787" s="2" t="str">
        <f>"9780520972179"</f>
        <v>9780520972179</v>
      </c>
    </row>
    <row r="8788" spans="1:6" s="3" customFormat="1" ht="29.1" customHeight="1" x14ac:dyDescent="0.25">
      <c r="A8788" s="2" t="s">
        <v>18198</v>
      </c>
      <c r="B8788" s="2" t="s">
        <v>18199</v>
      </c>
      <c r="C8788" s="2" t="s">
        <v>239</v>
      </c>
      <c r="D8788" s="2" t="s">
        <v>1432</v>
      </c>
      <c r="E8788" s="2" t="str">
        <f>"9780520302525"</f>
        <v>9780520302525</v>
      </c>
      <c r="F8788" s="2" t="str">
        <f>"9780520972506"</f>
        <v>9780520972506</v>
      </c>
    </row>
    <row r="8789" spans="1:6" s="3" customFormat="1" ht="29.1" customHeight="1" x14ac:dyDescent="0.25">
      <c r="A8789" s="2" t="s">
        <v>18200</v>
      </c>
      <c r="B8789" s="2" t="s">
        <v>18201</v>
      </c>
      <c r="C8789" s="2" t="s">
        <v>239</v>
      </c>
      <c r="D8789" s="2" t="s">
        <v>49</v>
      </c>
      <c r="E8789" s="2" t="str">
        <f>"9780520303652"</f>
        <v>9780520303652</v>
      </c>
      <c r="F8789" s="2" t="str">
        <f>"9780520972797"</f>
        <v>9780520972797</v>
      </c>
    </row>
    <row r="8790" spans="1:6" s="3" customFormat="1" ht="29.1" customHeight="1" x14ac:dyDescent="0.25">
      <c r="A8790" s="2" t="s">
        <v>18202</v>
      </c>
      <c r="B8790" s="2" t="s">
        <v>18203</v>
      </c>
      <c r="C8790" s="2" t="s">
        <v>239</v>
      </c>
      <c r="D8790" s="2" t="s">
        <v>1432</v>
      </c>
      <c r="E8790" s="2" t="str">
        <f>"9780520303690"</f>
        <v>9780520303690</v>
      </c>
      <c r="F8790" s="2" t="str">
        <f>"9780520972827"</f>
        <v>9780520972827</v>
      </c>
    </row>
    <row r="8791" spans="1:6" s="3" customFormat="1" ht="29.1" customHeight="1" x14ac:dyDescent="0.25">
      <c r="A8791" s="2" t="s">
        <v>18204</v>
      </c>
      <c r="B8791" s="2" t="s">
        <v>18206</v>
      </c>
      <c r="C8791" s="2" t="s">
        <v>239</v>
      </c>
      <c r="D8791" s="2" t="s">
        <v>18205</v>
      </c>
      <c r="E8791" s="2" t="str">
        <f>"9780520303744"</f>
        <v>9780520303744</v>
      </c>
      <c r="F8791" s="2" t="str">
        <f>"9780520972865"</f>
        <v>9780520972865</v>
      </c>
    </row>
    <row r="8792" spans="1:6" s="3" customFormat="1" ht="29.1" customHeight="1" x14ac:dyDescent="0.25">
      <c r="A8792" s="2" t="s">
        <v>18207</v>
      </c>
      <c r="B8792" s="2" t="s">
        <v>18208</v>
      </c>
      <c r="C8792" s="2" t="s">
        <v>239</v>
      </c>
      <c r="D8792" s="2" t="s">
        <v>15855</v>
      </c>
      <c r="E8792" s="2" t="str">
        <f>"9780520304529"</f>
        <v>9780520304529</v>
      </c>
      <c r="F8792" s="2" t="str">
        <f>"9780520973152"</f>
        <v>9780520973152</v>
      </c>
    </row>
    <row r="8793" spans="1:6" s="3" customFormat="1" ht="29.1" customHeight="1" x14ac:dyDescent="0.25">
      <c r="A8793" s="2" t="s">
        <v>18209</v>
      </c>
      <c r="B8793" s="2" t="s">
        <v>18210</v>
      </c>
      <c r="C8793" s="2" t="s">
        <v>239</v>
      </c>
      <c r="D8793" s="2" t="s">
        <v>1956</v>
      </c>
      <c r="E8793" s="2" t="str">
        <f>"9780520306332"</f>
        <v>9780520306332</v>
      </c>
      <c r="F8793" s="2" t="str">
        <f>"9780520973688"</f>
        <v>9780520973688</v>
      </c>
    </row>
    <row r="8794" spans="1:6" s="3" customFormat="1" ht="29.1" customHeight="1" x14ac:dyDescent="0.25">
      <c r="A8794" s="2" t="s">
        <v>18211</v>
      </c>
      <c r="B8794" s="2" t="s">
        <v>18212</v>
      </c>
      <c r="C8794" s="2" t="s">
        <v>239</v>
      </c>
      <c r="D8794" s="2" t="s">
        <v>10410</v>
      </c>
      <c r="E8794" s="2" t="str">
        <f>"9780520307056"</f>
        <v>9780520307056</v>
      </c>
      <c r="F8794" s="2" t="str">
        <f>"9780520973749"</f>
        <v>9780520973749</v>
      </c>
    </row>
    <row r="8795" spans="1:6" s="3" customFormat="1" ht="29.1" customHeight="1" x14ac:dyDescent="0.25">
      <c r="A8795" s="2" t="s">
        <v>18213</v>
      </c>
      <c r="B8795" s="2" t="s">
        <v>17985</v>
      </c>
      <c r="C8795" s="2" t="s">
        <v>239</v>
      </c>
      <c r="D8795" s="2" t="s">
        <v>2462</v>
      </c>
      <c r="E8795" s="2" t="str">
        <f>"9780520309630"</f>
        <v>9780520309630</v>
      </c>
      <c r="F8795" s="2" t="str">
        <f>"9780520973879"</f>
        <v>9780520973879</v>
      </c>
    </row>
    <row r="8796" spans="1:6" s="3" customFormat="1" ht="29.1" customHeight="1" x14ac:dyDescent="0.25">
      <c r="A8796" s="2" t="s">
        <v>18214</v>
      </c>
      <c r="B8796" s="2" t="s">
        <v>18215</v>
      </c>
      <c r="C8796" s="2" t="s">
        <v>239</v>
      </c>
      <c r="D8796" s="2" t="s">
        <v>636</v>
      </c>
      <c r="E8796" s="2" t="str">
        <f>"9780520310704"</f>
        <v>9780520310704</v>
      </c>
      <c r="F8796" s="2" t="str">
        <f>"9780520973916"</f>
        <v>9780520973916</v>
      </c>
    </row>
    <row r="8797" spans="1:6" s="3" customFormat="1" ht="29.1" customHeight="1" x14ac:dyDescent="0.25">
      <c r="A8797" s="2" t="s">
        <v>18216</v>
      </c>
      <c r="B8797" s="2" t="s">
        <v>18217</v>
      </c>
      <c r="C8797" s="2" t="s">
        <v>239</v>
      </c>
      <c r="D8797" s="2" t="s">
        <v>1259</v>
      </c>
      <c r="E8797" s="2" t="str">
        <f>"9780520316089"</f>
        <v>9780520316089</v>
      </c>
      <c r="F8797" s="2" t="str">
        <f>"9780520974135"</f>
        <v>9780520974135</v>
      </c>
    </row>
    <row r="8798" spans="1:6" s="3" customFormat="1" ht="29.1" customHeight="1" x14ac:dyDescent="0.25">
      <c r="A8798" s="2" t="s">
        <v>18218</v>
      </c>
      <c r="B8798" s="2" t="s">
        <v>18219</v>
      </c>
      <c r="C8798" s="2" t="s">
        <v>239</v>
      </c>
      <c r="D8798" s="2" t="s">
        <v>78</v>
      </c>
      <c r="E8798" s="2" t="str">
        <f>"9780520321960"</f>
        <v>9780520321960</v>
      </c>
      <c r="F8798" s="2" t="str">
        <f>"9780520974203"</f>
        <v>9780520974203</v>
      </c>
    </row>
    <row r="8799" spans="1:6" s="3" customFormat="1" ht="29.1" customHeight="1" x14ac:dyDescent="0.25">
      <c r="A8799" s="2" t="s">
        <v>18220</v>
      </c>
      <c r="B8799" s="2" t="s">
        <v>18222</v>
      </c>
      <c r="C8799" s="2" t="s">
        <v>239</v>
      </c>
      <c r="D8799" s="2" t="s">
        <v>18221</v>
      </c>
      <c r="E8799" s="2" t="str">
        <f>"9780520337619"</f>
        <v>9780520337619</v>
      </c>
      <c r="F8799" s="2" t="str">
        <f>"9780520974401"</f>
        <v>9780520974401</v>
      </c>
    </row>
    <row r="8800" spans="1:6" s="3" customFormat="1" ht="29.1" customHeight="1" x14ac:dyDescent="0.25">
      <c r="A8800" s="2" t="s">
        <v>18223</v>
      </c>
      <c r="B8800" s="2" t="s">
        <v>18224</v>
      </c>
      <c r="C8800" s="2" t="s">
        <v>239</v>
      </c>
      <c r="D8800" s="2" t="s">
        <v>7167</v>
      </c>
      <c r="E8800" s="2" t="str">
        <f>"9780520340145"</f>
        <v>9780520340145</v>
      </c>
      <c r="F8800" s="2" t="str">
        <f>"9780520974494"</f>
        <v>9780520974494</v>
      </c>
    </row>
    <row r="8801" spans="1:6" s="3" customFormat="1" ht="29.1" customHeight="1" x14ac:dyDescent="0.25">
      <c r="A8801" s="2" t="s">
        <v>18225</v>
      </c>
      <c r="B8801" s="2" t="s">
        <v>18226</v>
      </c>
      <c r="C8801" s="2" t="s">
        <v>239</v>
      </c>
      <c r="D8801" s="2" t="s">
        <v>818</v>
      </c>
      <c r="E8801" s="2" t="str">
        <f>"9780520341173"</f>
        <v>9780520341173</v>
      </c>
      <c r="F8801" s="2" t="str">
        <f>"9780520974579"</f>
        <v>9780520974579</v>
      </c>
    </row>
    <row r="8802" spans="1:6" s="3" customFormat="1" ht="29.1" customHeight="1" x14ac:dyDescent="0.25">
      <c r="A8802" s="2" t="s">
        <v>18227</v>
      </c>
      <c r="B8802" s="2" t="s">
        <v>18228</v>
      </c>
      <c r="C8802" s="2" t="s">
        <v>239</v>
      </c>
      <c r="D8802" s="2" t="s">
        <v>606</v>
      </c>
      <c r="E8802" s="2" t="str">
        <f>"9780520343757"</f>
        <v>9780520343757</v>
      </c>
      <c r="F8802" s="2" t="str">
        <f>"9780520975149"</f>
        <v>9780520975149</v>
      </c>
    </row>
    <row r="8803" spans="1:6" s="3" customFormat="1" ht="29.1" customHeight="1" x14ac:dyDescent="0.25">
      <c r="A8803" s="2" t="s">
        <v>18229</v>
      </c>
      <c r="B8803" s="2" t="s">
        <v>18230</v>
      </c>
      <c r="C8803" s="2" t="s">
        <v>239</v>
      </c>
      <c r="D8803" s="2" t="s">
        <v>636</v>
      </c>
      <c r="E8803" s="2" t="str">
        <f>"9780520343795"</f>
        <v>9780520343795</v>
      </c>
      <c r="F8803" s="2" t="str">
        <f>"9780520975163"</f>
        <v>9780520975163</v>
      </c>
    </row>
    <row r="8804" spans="1:6" s="3" customFormat="1" ht="29.1" customHeight="1" x14ac:dyDescent="0.25">
      <c r="A8804" s="2" t="s">
        <v>18231</v>
      </c>
      <c r="B8804" s="2" t="s">
        <v>18232</v>
      </c>
      <c r="C8804" s="2" t="s">
        <v>239</v>
      </c>
      <c r="D8804" s="2" t="s">
        <v>639</v>
      </c>
      <c r="E8804" s="2" t="str">
        <f>"9780520344082"</f>
        <v>9780520344082</v>
      </c>
      <c r="F8804" s="2" t="str">
        <f>"9780520975354"</f>
        <v>9780520975354</v>
      </c>
    </row>
    <row r="8805" spans="1:6" s="3" customFormat="1" ht="29.1" customHeight="1" x14ac:dyDescent="0.25">
      <c r="A8805" s="2" t="s">
        <v>18233</v>
      </c>
      <c r="B8805" s="2" t="s">
        <v>18234</v>
      </c>
      <c r="C8805" s="2" t="s">
        <v>239</v>
      </c>
      <c r="D8805" s="2" t="s">
        <v>78</v>
      </c>
      <c r="E8805" s="2" t="str">
        <f>"9780520344358"</f>
        <v>9780520344358</v>
      </c>
      <c r="F8805" s="2" t="str">
        <f>"9780520975484"</f>
        <v>9780520975484</v>
      </c>
    </row>
    <row r="8806" spans="1:6" s="3" customFormat="1" ht="29.1" customHeight="1" x14ac:dyDescent="0.25">
      <c r="A8806" s="2" t="s">
        <v>18235</v>
      </c>
      <c r="B8806" s="2" t="s">
        <v>18236</v>
      </c>
      <c r="C8806" s="2" t="s">
        <v>239</v>
      </c>
      <c r="D8806" s="2" t="s">
        <v>10410</v>
      </c>
      <c r="E8806" s="2" t="str">
        <f>"9780520345683"</f>
        <v>9780520345683</v>
      </c>
      <c r="F8806" s="2" t="str">
        <f>"9780520975750"</f>
        <v>9780520975750</v>
      </c>
    </row>
    <row r="8807" spans="1:6" s="3" customFormat="1" ht="29.1" customHeight="1" x14ac:dyDescent="0.25">
      <c r="A8807" s="2" t="s">
        <v>18237</v>
      </c>
      <c r="B8807" s="2" t="s">
        <v>18238</v>
      </c>
      <c r="C8807" s="2" t="s">
        <v>239</v>
      </c>
      <c r="D8807" s="2" t="s">
        <v>5104</v>
      </c>
      <c r="E8807" s="2" t="str">
        <f>"9780520344655"</f>
        <v>9780520344655</v>
      </c>
      <c r="F8807" s="2" t="str">
        <f>"9780520975767"</f>
        <v>9780520975767</v>
      </c>
    </row>
    <row r="8808" spans="1:6" s="3" customFormat="1" ht="29.1" customHeight="1" x14ac:dyDescent="0.25">
      <c r="A8808" s="2" t="s">
        <v>18239</v>
      </c>
      <c r="B8808" s="2" t="s">
        <v>18240</v>
      </c>
      <c r="C8808" s="2" t="s">
        <v>239</v>
      </c>
      <c r="D8808" s="2" t="s">
        <v>1956</v>
      </c>
      <c r="E8808" s="2" t="str">
        <f>"9780520345874"</f>
        <v>9780520345874</v>
      </c>
      <c r="F8808" s="2" t="str">
        <f>"9780520975781"</f>
        <v>9780520975781</v>
      </c>
    </row>
    <row r="8809" spans="1:6" s="3" customFormat="1" ht="29.1" customHeight="1" x14ac:dyDescent="0.25">
      <c r="A8809" s="2" t="s">
        <v>18241</v>
      </c>
      <c r="B8809" s="2" t="s">
        <v>18242</v>
      </c>
      <c r="C8809" s="2" t="s">
        <v>239</v>
      </c>
      <c r="D8809" s="2" t="s">
        <v>636</v>
      </c>
      <c r="E8809" s="2" t="str">
        <f>"9780520355514"</f>
        <v>9780520355514</v>
      </c>
      <c r="F8809" s="2" t="str">
        <f>"9780520975941"</f>
        <v>9780520975941</v>
      </c>
    </row>
    <row r="8810" spans="1:6" s="3" customFormat="1" ht="29.1" customHeight="1" x14ac:dyDescent="0.25">
      <c r="A8810" s="2" t="s">
        <v>18243</v>
      </c>
      <c r="B8810" s="2" t="s">
        <v>18244</v>
      </c>
      <c r="C8810" s="2" t="s">
        <v>239</v>
      </c>
      <c r="D8810" s="2" t="s">
        <v>3245</v>
      </c>
      <c r="E8810" s="2" t="str">
        <f>"9780520366206"</f>
        <v>9780520366206</v>
      </c>
      <c r="F8810" s="2" t="str">
        <f>"9780520976122"</f>
        <v>9780520976122</v>
      </c>
    </row>
    <row r="8811" spans="1:6" s="3" customFormat="1" ht="29.1" customHeight="1" x14ac:dyDescent="0.25">
      <c r="A8811" s="2" t="s">
        <v>18245</v>
      </c>
      <c r="B8811" s="2" t="s">
        <v>18246</v>
      </c>
      <c r="C8811" s="2" t="s">
        <v>239</v>
      </c>
      <c r="D8811" s="2" t="s">
        <v>636</v>
      </c>
      <c r="E8811" s="2" t="str">
        <f>"9780520377066"</f>
        <v>9780520377066</v>
      </c>
      <c r="F8811" s="2" t="str">
        <f>"9780520976399"</f>
        <v>9780520976399</v>
      </c>
    </row>
    <row r="8812" spans="1:6" s="3" customFormat="1" ht="29.1" customHeight="1" x14ac:dyDescent="0.25">
      <c r="A8812" s="2" t="s">
        <v>18247</v>
      </c>
      <c r="B8812" s="2" t="s">
        <v>18248</v>
      </c>
      <c r="C8812" s="2" t="s">
        <v>239</v>
      </c>
      <c r="D8812" s="2" t="s">
        <v>69</v>
      </c>
      <c r="E8812" s="2" t="str">
        <f>"9780520379534"</f>
        <v>9780520379534</v>
      </c>
      <c r="F8812" s="2" t="str">
        <f>"9780520976788"</f>
        <v>9780520976788</v>
      </c>
    </row>
    <row r="8813" spans="1:6" s="3" customFormat="1" ht="29.1" customHeight="1" x14ac:dyDescent="0.25">
      <c r="A8813" s="2" t="s">
        <v>18249</v>
      </c>
      <c r="B8813" s="2" t="s">
        <v>18250</v>
      </c>
      <c r="C8813" s="2" t="s">
        <v>239</v>
      </c>
      <c r="D8813" s="2" t="s">
        <v>1419</v>
      </c>
      <c r="E8813" s="2" t="str">
        <f>"9780520379756"</f>
        <v>9780520379756</v>
      </c>
      <c r="F8813" s="2" t="str">
        <f>"9780520976900"</f>
        <v>9780520976900</v>
      </c>
    </row>
    <row r="8814" spans="1:6" s="3" customFormat="1" ht="29.1" customHeight="1" x14ac:dyDescent="0.25">
      <c r="A8814" s="2" t="s">
        <v>18251</v>
      </c>
      <c r="B8814" s="2" t="s">
        <v>18252</v>
      </c>
      <c r="C8814" s="2" t="s">
        <v>239</v>
      </c>
      <c r="D8814" s="2" t="s">
        <v>6548</v>
      </c>
      <c r="E8814" s="2" t="str">
        <f>"9780520387430"</f>
        <v>9780520387430</v>
      </c>
      <c r="F8814" s="2" t="str">
        <f>"9780520387447"</f>
        <v>9780520387447</v>
      </c>
    </row>
    <row r="8815" spans="1:6" s="3" customFormat="1" ht="29.1" customHeight="1" x14ac:dyDescent="0.25">
      <c r="A8815" s="2" t="s">
        <v>18253</v>
      </c>
      <c r="B8815" s="2" t="s">
        <v>18254</v>
      </c>
      <c r="C8815" s="2" t="s">
        <v>239</v>
      </c>
      <c r="D8815" s="2" t="s">
        <v>107</v>
      </c>
      <c r="E8815" s="2" t="str">
        <f>"9780520390782"</f>
        <v>9780520390782</v>
      </c>
      <c r="F8815" s="2" t="str">
        <f>"9780520390799"</f>
        <v>9780520390799</v>
      </c>
    </row>
    <row r="8816" spans="1:6" s="3" customFormat="1" ht="29.1" customHeight="1" x14ac:dyDescent="0.25">
      <c r="A8816" s="2" t="s">
        <v>18255</v>
      </c>
      <c r="B8816" s="2" t="s">
        <v>18256</v>
      </c>
      <c r="C8816" s="2" t="s">
        <v>239</v>
      </c>
      <c r="D8816" s="2" t="s">
        <v>758</v>
      </c>
      <c r="E8816" s="2" t="str">
        <f>"9780520393103"</f>
        <v>9780520393103</v>
      </c>
      <c r="F8816" s="2" t="str">
        <f>"9780520393110"</f>
        <v>9780520393110</v>
      </c>
    </row>
    <row r="8817" spans="1:6" s="3" customFormat="1" ht="29.1" customHeight="1" x14ac:dyDescent="0.25">
      <c r="A8817" s="2" t="s">
        <v>18257</v>
      </c>
      <c r="B8817" s="2" t="s">
        <v>18258</v>
      </c>
      <c r="C8817" s="2" t="s">
        <v>239</v>
      </c>
      <c r="D8817" s="2" t="s">
        <v>636</v>
      </c>
      <c r="E8817" s="2" t="str">
        <f>"9780520389816"</f>
        <v>9780520389816</v>
      </c>
      <c r="F8817" s="2" t="str">
        <f>"9780520389823"</f>
        <v>9780520389823</v>
      </c>
    </row>
    <row r="8818" spans="1:6" s="3" customFormat="1" ht="29.1" customHeight="1" x14ac:dyDescent="0.25">
      <c r="A8818" s="2" t="s">
        <v>18259</v>
      </c>
      <c r="B8818" s="2" t="s">
        <v>18261</v>
      </c>
      <c r="C8818" s="2" t="s">
        <v>239</v>
      </c>
      <c r="D8818" s="2" t="s">
        <v>18260</v>
      </c>
      <c r="E8818" s="2" t="str">
        <f>"9780520391727"</f>
        <v>9780520391727</v>
      </c>
      <c r="F8818" s="2" t="str">
        <f>"9780520391741"</f>
        <v>9780520391741</v>
      </c>
    </row>
    <row r="8819" spans="1:6" s="3" customFormat="1" ht="29.1" customHeight="1" x14ac:dyDescent="0.25">
      <c r="A8819" s="2" t="s">
        <v>18262</v>
      </c>
      <c r="B8819" s="2" t="s">
        <v>18263</v>
      </c>
      <c r="C8819" s="2" t="s">
        <v>239</v>
      </c>
      <c r="D8819" s="2" t="s">
        <v>818</v>
      </c>
      <c r="E8819" s="2" t="str">
        <f>"9780520386341"</f>
        <v>9780520386341</v>
      </c>
      <c r="F8819" s="2" t="str">
        <f>"9780520386358"</f>
        <v>9780520386358</v>
      </c>
    </row>
    <row r="8820" spans="1:6" s="3" customFormat="1" ht="29.1" customHeight="1" x14ac:dyDescent="0.25">
      <c r="A8820" s="2" t="s">
        <v>18264</v>
      </c>
      <c r="B8820" s="2" t="s">
        <v>18265</v>
      </c>
      <c r="C8820" s="2" t="s">
        <v>239</v>
      </c>
      <c r="D8820" s="2" t="s">
        <v>653</v>
      </c>
      <c r="E8820" s="2" t="str">
        <f>"9780520390980"</f>
        <v>9780520390980</v>
      </c>
      <c r="F8820" s="2" t="str">
        <f>"9780520390997"</f>
        <v>9780520390997</v>
      </c>
    </row>
    <row r="8821" spans="1:6" s="3" customFormat="1" ht="29.1" customHeight="1" x14ac:dyDescent="0.25">
      <c r="A8821" s="2" t="s">
        <v>18266</v>
      </c>
      <c r="B8821" s="2" t="s">
        <v>18267</v>
      </c>
      <c r="C8821" s="2" t="s">
        <v>239</v>
      </c>
      <c r="D8821" s="2" t="s">
        <v>2048</v>
      </c>
      <c r="E8821" s="2" t="str">
        <f>"9780520384453"</f>
        <v>9780520384453</v>
      </c>
      <c r="F8821" s="2" t="str">
        <f>"9780520384460"</f>
        <v>9780520384460</v>
      </c>
    </row>
    <row r="8822" spans="1:6" s="3" customFormat="1" ht="29.1" customHeight="1" x14ac:dyDescent="0.25">
      <c r="A8822" s="2" t="s">
        <v>18268</v>
      </c>
      <c r="B8822" s="2" t="s">
        <v>18269</v>
      </c>
      <c r="C8822" s="2" t="s">
        <v>239</v>
      </c>
      <c r="D8822" s="2" t="s">
        <v>818</v>
      </c>
      <c r="E8822" s="2" t="str">
        <f>"9780520384392"</f>
        <v>9780520384392</v>
      </c>
      <c r="F8822" s="2" t="str">
        <f>"9780520384408"</f>
        <v>9780520384408</v>
      </c>
    </row>
    <row r="8823" spans="1:6" s="3" customFormat="1" ht="29.1" customHeight="1" x14ac:dyDescent="0.25">
      <c r="A8823" s="2" t="s">
        <v>18270</v>
      </c>
      <c r="B8823" s="2" t="s">
        <v>18271</v>
      </c>
      <c r="C8823" s="2" t="s">
        <v>239</v>
      </c>
      <c r="D8823" s="2" t="s">
        <v>15855</v>
      </c>
      <c r="E8823" s="2" t="str">
        <f>"9780520379657"</f>
        <v>9780520379657</v>
      </c>
      <c r="F8823" s="2" t="str">
        <f>"9780520976832"</f>
        <v>9780520976832</v>
      </c>
    </row>
    <row r="8824" spans="1:6" s="3" customFormat="1" ht="29.1" customHeight="1" x14ac:dyDescent="0.25">
      <c r="A8824" s="2" t="s">
        <v>18272</v>
      </c>
      <c r="B8824" s="2" t="s">
        <v>18273</v>
      </c>
      <c r="C8824" s="2" t="s">
        <v>248</v>
      </c>
      <c r="D8824" s="2" t="s">
        <v>553</v>
      </c>
      <c r="E8824" s="2" t="str">
        <f>"9783847427179"</f>
        <v>9783847427179</v>
      </c>
      <c r="F8824" s="2" t="str">
        <f>"9783847418870"</f>
        <v>9783847418870</v>
      </c>
    </row>
    <row r="8825" spans="1:6" s="3" customFormat="1" ht="29.1" customHeight="1" x14ac:dyDescent="0.25">
      <c r="A8825" s="2" t="s">
        <v>18274</v>
      </c>
      <c r="B8825" s="2" t="s">
        <v>18275</v>
      </c>
      <c r="C8825" s="2" t="s">
        <v>248</v>
      </c>
      <c r="D8825" s="2" t="s">
        <v>490</v>
      </c>
      <c r="E8825" s="2" t="str">
        <f>"9783847430124"</f>
        <v>9783847430124</v>
      </c>
      <c r="F8825" s="2" t="str">
        <f>"9783847419495"</f>
        <v>9783847419495</v>
      </c>
    </row>
    <row r="8826" spans="1:6" s="3" customFormat="1" ht="29.1" customHeight="1" x14ac:dyDescent="0.25">
      <c r="A8826" s="2" t="s">
        <v>18276</v>
      </c>
      <c r="B8826" s="2" t="s">
        <v>18277</v>
      </c>
      <c r="C8826" s="2" t="s">
        <v>248</v>
      </c>
      <c r="D8826" s="2" t="s">
        <v>1927</v>
      </c>
      <c r="E8826" s="2" t="str">
        <f>"9783966650809"</f>
        <v>9783966650809</v>
      </c>
      <c r="F8826" s="2" t="str">
        <f>"9783966659161"</f>
        <v>9783966659161</v>
      </c>
    </row>
    <row r="8827" spans="1:6" s="3" customFormat="1" ht="29.1" customHeight="1" x14ac:dyDescent="0.25">
      <c r="A8827" s="2" t="s">
        <v>18278</v>
      </c>
      <c r="B8827" s="2" t="s">
        <v>18279</v>
      </c>
      <c r="C8827" s="2" t="s">
        <v>11220</v>
      </c>
      <c r="D8827" s="2" t="s">
        <v>1466</v>
      </c>
      <c r="E8827" s="2"/>
      <c r="F8827" s="2" t="str">
        <f>"9780814794753"</f>
        <v>9780814794753</v>
      </c>
    </row>
    <row r="8828" spans="1:6" s="3" customFormat="1" ht="29.1" customHeight="1" x14ac:dyDescent="0.25">
      <c r="A8828" s="2" t="s">
        <v>18280</v>
      </c>
      <c r="B8828" s="2" t="s">
        <v>7859</v>
      </c>
      <c r="C8828" s="2" t="s">
        <v>746</v>
      </c>
      <c r="D8828" s="2" t="s">
        <v>7858</v>
      </c>
      <c r="E8828" s="2" t="str">
        <f>"9781803276168"</f>
        <v>9781803276168</v>
      </c>
      <c r="F8828" s="2" t="str">
        <f>"9781803276175"</f>
        <v>9781803276175</v>
      </c>
    </row>
    <row r="8829" spans="1:6" s="3" customFormat="1" ht="29.1" customHeight="1" x14ac:dyDescent="0.25">
      <c r="A8829" s="2" t="s">
        <v>18281</v>
      </c>
      <c r="B8829" s="2" t="s">
        <v>18282</v>
      </c>
      <c r="C8829" s="2" t="s">
        <v>746</v>
      </c>
      <c r="D8829" s="2" t="s">
        <v>7702</v>
      </c>
      <c r="E8829" s="2" t="str">
        <f>"9781803275857"</f>
        <v>9781803275857</v>
      </c>
      <c r="F8829" s="2" t="str">
        <f>"9781803275864"</f>
        <v>9781803275864</v>
      </c>
    </row>
    <row r="8830" spans="1:6" s="3" customFormat="1" ht="29.1" customHeight="1" x14ac:dyDescent="0.25">
      <c r="A8830" s="2" t="s">
        <v>18283</v>
      </c>
      <c r="B8830" s="2" t="s">
        <v>18284</v>
      </c>
      <c r="C8830" s="2" t="s">
        <v>124</v>
      </c>
      <c r="D8830" s="2" t="s">
        <v>1253</v>
      </c>
      <c r="E8830" s="2" t="str">
        <f>"9781032018119"</f>
        <v>9781032018119</v>
      </c>
      <c r="F8830" s="2" t="str">
        <f>"9781003180166"</f>
        <v>9781003180166</v>
      </c>
    </row>
    <row r="8831" spans="1:6" s="3" customFormat="1" ht="29.1" customHeight="1" x14ac:dyDescent="0.25">
      <c r="A8831" s="2" t="s">
        <v>18285</v>
      </c>
      <c r="B8831" s="2" t="s">
        <v>18286</v>
      </c>
      <c r="C8831" s="2" t="s">
        <v>124</v>
      </c>
      <c r="D8831" s="2" t="s">
        <v>2752</v>
      </c>
      <c r="E8831" s="2" t="str">
        <f>"9781032421759"</f>
        <v>9781032421759</v>
      </c>
      <c r="F8831" s="2" t="str">
        <f>"9781003361541"</f>
        <v>9781003361541</v>
      </c>
    </row>
    <row r="8832" spans="1:6" s="3" customFormat="1" ht="29.1" customHeight="1" x14ac:dyDescent="0.25">
      <c r="A8832" s="2" t="s">
        <v>18287</v>
      </c>
      <c r="B8832" s="2" t="s">
        <v>18288</v>
      </c>
      <c r="C8832" s="2" t="s">
        <v>124</v>
      </c>
      <c r="D8832" s="2" t="s">
        <v>509</v>
      </c>
      <c r="E8832" s="2" t="str">
        <f>"9781032442518"</f>
        <v>9781032442518</v>
      </c>
      <c r="F8832" s="2" t="str">
        <f>"9781003371229"</f>
        <v>9781003371229</v>
      </c>
    </row>
    <row r="8833" spans="1:6" s="3" customFormat="1" ht="29.1" customHeight="1" x14ac:dyDescent="0.25">
      <c r="A8833" s="2" t="s">
        <v>18289</v>
      </c>
      <c r="B8833" s="2" t="s">
        <v>18290</v>
      </c>
      <c r="C8833" s="2" t="s">
        <v>5</v>
      </c>
      <c r="D8833" s="2" t="s">
        <v>44</v>
      </c>
      <c r="E8833" s="2" t="str">
        <f>"9789464633115"</f>
        <v>9789464633115</v>
      </c>
      <c r="F8833" s="2" t="str">
        <f>"9789464633122"</f>
        <v>9789464633122</v>
      </c>
    </row>
    <row r="8834" spans="1:6" s="3" customFormat="1" ht="29.1" customHeight="1" x14ac:dyDescent="0.25">
      <c r="A8834" s="2" t="s">
        <v>18291</v>
      </c>
      <c r="B8834" s="2" t="s">
        <v>18292</v>
      </c>
      <c r="C8834" s="2" t="s">
        <v>5</v>
      </c>
      <c r="D8834" s="2" t="s">
        <v>75</v>
      </c>
      <c r="E8834" s="2" t="str">
        <f>"9783031401237"</f>
        <v>9783031401237</v>
      </c>
      <c r="F8834" s="2" t="str">
        <f>"9783031401244"</f>
        <v>9783031401244</v>
      </c>
    </row>
    <row r="8835" spans="1:6" s="3" customFormat="1" ht="29.1" customHeight="1" x14ac:dyDescent="0.25">
      <c r="A8835" s="2" t="s">
        <v>18293</v>
      </c>
      <c r="B8835" s="2" t="s">
        <v>18294</v>
      </c>
      <c r="C8835" s="2" t="s">
        <v>5</v>
      </c>
      <c r="D8835" s="2" t="s">
        <v>5228</v>
      </c>
      <c r="E8835" s="2" t="str">
        <f>"9783031090332"</f>
        <v>9783031090332</v>
      </c>
      <c r="F8835" s="2" t="str">
        <f>"9783031090349"</f>
        <v>9783031090349</v>
      </c>
    </row>
    <row r="8836" spans="1:6" s="3" customFormat="1" ht="29.1" customHeight="1" x14ac:dyDescent="0.25">
      <c r="A8836" s="2" t="s">
        <v>18295</v>
      </c>
      <c r="B8836" s="2" t="s">
        <v>18296</v>
      </c>
      <c r="C8836" s="2" t="s">
        <v>5</v>
      </c>
      <c r="D8836" s="2" t="s">
        <v>183</v>
      </c>
      <c r="E8836" s="2" t="str">
        <f>"9783031463006"</f>
        <v>9783031463006</v>
      </c>
      <c r="F8836" s="2" t="str">
        <f>"9783031463013"</f>
        <v>9783031463013</v>
      </c>
    </row>
    <row r="8837" spans="1:6" s="3" customFormat="1" ht="29.1" customHeight="1" x14ac:dyDescent="0.25">
      <c r="A8837" s="2" t="s">
        <v>18297</v>
      </c>
      <c r="B8837" s="2" t="s">
        <v>18298</v>
      </c>
      <c r="C8837" s="2" t="s">
        <v>5</v>
      </c>
      <c r="D8837" s="2" t="s">
        <v>249</v>
      </c>
      <c r="E8837" s="2" t="str">
        <f>"9789819961429"</f>
        <v>9789819961429</v>
      </c>
      <c r="F8837" s="2" t="str">
        <f>"9789819961436"</f>
        <v>9789819961436</v>
      </c>
    </row>
    <row r="8838" spans="1:6" s="3" customFormat="1" ht="29.1" customHeight="1" x14ac:dyDescent="0.25">
      <c r="A8838" s="2" t="s">
        <v>18299</v>
      </c>
      <c r="B8838" s="2" t="s">
        <v>18300</v>
      </c>
      <c r="C8838" s="2" t="s">
        <v>5</v>
      </c>
      <c r="D8838" s="2" t="s">
        <v>1245</v>
      </c>
      <c r="E8838" s="2" t="str">
        <f>"9783031387388"</f>
        <v>9783031387388</v>
      </c>
      <c r="F8838" s="2" t="str">
        <f>"9783031387395"</f>
        <v>9783031387395</v>
      </c>
    </row>
    <row r="8839" spans="1:6" s="3" customFormat="1" ht="29.1" customHeight="1" x14ac:dyDescent="0.25">
      <c r="A8839" s="2" t="s">
        <v>18301</v>
      </c>
      <c r="B8839" s="2" t="s">
        <v>18303</v>
      </c>
      <c r="C8839" s="2" t="s">
        <v>149</v>
      </c>
      <c r="D8839" s="2" t="s">
        <v>18302</v>
      </c>
      <c r="E8839" s="2"/>
      <c r="F8839" s="2" t="str">
        <f>"9781805111849"</f>
        <v>9781805111849</v>
      </c>
    </row>
    <row r="8840" spans="1:6" s="3" customFormat="1" ht="29.1" customHeight="1" x14ac:dyDescent="0.25">
      <c r="A8840" s="2" t="s">
        <v>18304</v>
      </c>
      <c r="B8840" s="2" t="s">
        <v>18306</v>
      </c>
      <c r="C8840" s="2" t="s">
        <v>149</v>
      </c>
      <c r="D8840" s="2" t="s">
        <v>18305</v>
      </c>
      <c r="E8840" s="2"/>
      <c r="F8840" s="2" t="str">
        <f>"9781805111030"</f>
        <v>9781805111030</v>
      </c>
    </row>
    <row r="8841" spans="1:6" s="3" customFormat="1" ht="29.1" customHeight="1" x14ac:dyDescent="0.25">
      <c r="A8841" s="2" t="s">
        <v>18307</v>
      </c>
      <c r="B8841" s="2" t="s">
        <v>18308</v>
      </c>
      <c r="C8841" s="2" t="s">
        <v>36</v>
      </c>
      <c r="D8841" s="2" t="s">
        <v>882</v>
      </c>
      <c r="E8841" s="2" t="str">
        <f>"9781447368298"</f>
        <v>9781447368298</v>
      </c>
      <c r="F8841" s="2" t="str">
        <f>"9781447368311"</f>
        <v>9781447368311</v>
      </c>
    </row>
    <row r="8842" spans="1:6" s="3" customFormat="1" ht="29.1" customHeight="1" x14ac:dyDescent="0.25">
      <c r="A8842" s="2" t="s">
        <v>18309</v>
      </c>
      <c r="B8842" s="2" t="s">
        <v>18310</v>
      </c>
      <c r="C8842" s="2" t="s">
        <v>36</v>
      </c>
      <c r="D8842" s="2" t="s">
        <v>249</v>
      </c>
      <c r="E8842" s="2" t="str">
        <f>"9781447368335"</f>
        <v>9781447368335</v>
      </c>
      <c r="F8842" s="2" t="str">
        <f>"9781447368359"</f>
        <v>9781447368359</v>
      </c>
    </row>
    <row r="8843" spans="1:6" s="3" customFormat="1" ht="29.1" customHeight="1" x14ac:dyDescent="0.25">
      <c r="A8843" s="2" t="s">
        <v>18311</v>
      </c>
      <c r="B8843" s="2" t="s">
        <v>18312</v>
      </c>
      <c r="C8843" s="2" t="s">
        <v>36</v>
      </c>
      <c r="D8843" s="2" t="s">
        <v>207</v>
      </c>
      <c r="E8843" s="2" t="str">
        <f>"9781529237269"</f>
        <v>9781529237269</v>
      </c>
      <c r="F8843" s="2" t="str">
        <f>"9781529237290"</f>
        <v>9781529237290</v>
      </c>
    </row>
    <row r="8844" spans="1:6" s="3" customFormat="1" ht="29.1" customHeight="1" x14ac:dyDescent="0.25">
      <c r="A8844" s="2" t="s">
        <v>18313</v>
      </c>
      <c r="B8844" s="2" t="s">
        <v>18314</v>
      </c>
      <c r="C8844" s="2" t="s">
        <v>36</v>
      </c>
      <c r="D8844" s="2" t="s">
        <v>6692</v>
      </c>
      <c r="E8844" s="2" t="str">
        <f>"9781529229561"</f>
        <v>9781529229561</v>
      </c>
      <c r="F8844" s="2" t="str">
        <f>"9781529229592"</f>
        <v>9781529229592</v>
      </c>
    </row>
    <row r="8845" spans="1:6" s="3" customFormat="1" ht="29.1" customHeight="1" x14ac:dyDescent="0.25">
      <c r="A8845" s="2" t="s">
        <v>18315</v>
      </c>
      <c r="B8845" s="2" t="s">
        <v>18316</v>
      </c>
      <c r="C8845" s="2" t="s">
        <v>36</v>
      </c>
      <c r="D8845" s="2" t="s">
        <v>2433</v>
      </c>
      <c r="E8845" s="2" t="str">
        <f>"9781529216875"</f>
        <v>9781529216875</v>
      </c>
      <c r="F8845" s="2" t="str">
        <f>"9781529216899"</f>
        <v>9781529216899</v>
      </c>
    </row>
    <row r="8846" spans="1:6" s="3" customFormat="1" ht="29.1" customHeight="1" x14ac:dyDescent="0.25">
      <c r="A8846" s="2" t="s">
        <v>18317</v>
      </c>
      <c r="B8846" s="2" t="s">
        <v>18318</v>
      </c>
      <c r="C8846" s="2" t="s">
        <v>36</v>
      </c>
      <c r="D8846" s="2" t="s">
        <v>6559</v>
      </c>
      <c r="E8846" s="2" t="str">
        <f>"9781529231199"</f>
        <v>9781529231199</v>
      </c>
      <c r="F8846" s="2" t="str">
        <f>"9781529231212"</f>
        <v>9781529231212</v>
      </c>
    </row>
    <row r="8847" spans="1:6" s="3" customFormat="1" ht="29.1" customHeight="1" x14ac:dyDescent="0.25">
      <c r="A8847" s="2" t="s">
        <v>18319</v>
      </c>
      <c r="B8847" s="2" t="s">
        <v>18321</v>
      </c>
      <c r="C8847" s="2" t="s">
        <v>36</v>
      </c>
      <c r="D8847" s="2" t="s">
        <v>18320</v>
      </c>
      <c r="E8847" s="2" t="str">
        <f>"9781529225372"</f>
        <v>9781529225372</v>
      </c>
      <c r="F8847" s="2" t="str">
        <f>"9781529225402"</f>
        <v>9781529225402</v>
      </c>
    </row>
    <row r="8848" spans="1:6" s="3" customFormat="1" ht="29.1" customHeight="1" x14ac:dyDescent="0.25">
      <c r="A8848" s="2" t="s">
        <v>18322</v>
      </c>
      <c r="B8848" s="2" t="s">
        <v>18323</v>
      </c>
      <c r="C8848" s="2" t="s">
        <v>36</v>
      </c>
      <c r="D8848" s="2" t="s">
        <v>6559</v>
      </c>
      <c r="E8848" s="2" t="str">
        <f>"9781529221442"</f>
        <v>9781529221442</v>
      </c>
      <c r="F8848" s="2" t="str">
        <f>"9781529221473"</f>
        <v>9781529221473</v>
      </c>
    </row>
    <row r="8849" spans="1:6" s="3" customFormat="1" ht="29.1" customHeight="1" x14ac:dyDescent="0.25">
      <c r="A8849" s="2" t="s">
        <v>18324</v>
      </c>
      <c r="B8849" s="2" t="s">
        <v>18326</v>
      </c>
      <c r="C8849" s="2" t="s">
        <v>18325</v>
      </c>
      <c r="D8849" s="2" t="s">
        <v>1043</v>
      </c>
      <c r="E8849" s="2" t="str">
        <f>"9781685711061"</f>
        <v>9781685711061</v>
      </c>
      <c r="F8849" s="2" t="str">
        <f>"9781685711078"</f>
        <v>9781685711078</v>
      </c>
    </row>
    <row r="8850" spans="1:6" s="3" customFormat="1" ht="29.1" customHeight="1" x14ac:dyDescent="0.25">
      <c r="A8850" s="2" t="s">
        <v>18327</v>
      </c>
      <c r="B8850" s="2" t="s">
        <v>18328</v>
      </c>
      <c r="C8850" s="2" t="s">
        <v>18325</v>
      </c>
      <c r="D8850" s="2" t="s">
        <v>378</v>
      </c>
      <c r="E8850" s="2" t="str">
        <f>"9781685711306"</f>
        <v>9781685711306</v>
      </c>
      <c r="F8850" s="2" t="str">
        <f>"9781685711313"</f>
        <v>9781685711313</v>
      </c>
    </row>
    <row r="8851" spans="1:6" s="3" customFormat="1" ht="29.1" customHeight="1" x14ac:dyDescent="0.25">
      <c r="A8851" s="2" t="s">
        <v>18329</v>
      </c>
      <c r="B8851" s="2"/>
      <c r="C8851" s="2" t="s">
        <v>59</v>
      </c>
      <c r="D8851" s="2" t="s">
        <v>1717</v>
      </c>
      <c r="E8851" s="2"/>
      <c r="F8851" s="2" t="str">
        <f>"9782759237678"</f>
        <v>9782759237678</v>
      </c>
    </row>
    <row r="8852" spans="1:6" s="3" customFormat="1" ht="29.1" customHeight="1" x14ac:dyDescent="0.25">
      <c r="A8852" s="2" t="s">
        <v>18330</v>
      </c>
      <c r="B8852" s="2" t="s">
        <v>8600</v>
      </c>
      <c r="C8852" s="2" t="s">
        <v>59</v>
      </c>
      <c r="D8852" s="2" t="s">
        <v>12</v>
      </c>
      <c r="E8852" s="2"/>
      <c r="F8852" s="2" t="str">
        <f>"9782759237821"</f>
        <v>9782759237821</v>
      </c>
    </row>
    <row r="8853" spans="1:6" s="3" customFormat="1" ht="29.1" customHeight="1" x14ac:dyDescent="0.25">
      <c r="A8853" s="2" t="s">
        <v>18331</v>
      </c>
      <c r="B8853" s="2" t="s">
        <v>18332</v>
      </c>
      <c r="C8853" s="2" t="s">
        <v>927</v>
      </c>
      <c r="D8853" s="2" t="s">
        <v>8788</v>
      </c>
      <c r="E8853" s="2" t="str">
        <f>"9780472055739"</f>
        <v>9780472055739</v>
      </c>
      <c r="F8853" s="2" t="str">
        <f>"9780472903689"</f>
        <v>9780472903689</v>
      </c>
    </row>
    <row r="8854" spans="1:6" s="3" customFormat="1" ht="29.1" customHeight="1" x14ac:dyDescent="0.25">
      <c r="A8854" s="2" t="s">
        <v>18333</v>
      </c>
      <c r="B8854" s="2" t="s">
        <v>18334</v>
      </c>
      <c r="C8854" s="2" t="s">
        <v>124</v>
      </c>
      <c r="D8854" s="2" t="s">
        <v>818</v>
      </c>
      <c r="E8854" s="2" t="str">
        <f>"9781032466224"</f>
        <v>9781032466224</v>
      </c>
      <c r="F8854" s="2" t="str">
        <f>"9781003382607"</f>
        <v>9781003382607</v>
      </c>
    </row>
    <row r="8855" spans="1:6" s="3" customFormat="1" ht="29.1" customHeight="1" x14ac:dyDescent="0.25">
      <c r="A8855" s="2" t="s">
        <v>18335</v>
      </c>
      <c r="B8855" s="2" t="s">
        <v>18336</v>
      </c>
      <c r="C8855" s="2" t="s">
        <v>124</v>
      </c>
      <c r="D8855" s="2" t="s">
        <v>7734</v>
      </c>
      <c r="E8855" s="2" t="str">
        <f>"9781032425108"</f>
        <v>9781032425108</v>
      </c>
      <c r="F8855" s="2" t="str">
        <f>"9781003363101"</f>
        <v>9781003363101</v>
      </c>
    </row>
    <row r="8856" spans="1:6" s="3" customFormat="1" ht="29.1" customHeight="1" x14ac:dyDescent="0.25">
      <c r="A8856" s="2" t="s">
        <v>18337</v>
      </c>
      <c r="B8856" s="2" t="s">
        <v>18338</v>
      </c>
      <c r="C8856" s="2" t="s">
        <v>124</v>
      </c>
      <c r="D8856" s="2" t="s">
        <v>8553</v>
      </c>
      <c r="E8856" s="2" t="str">
        <f>"9781032452265"</f>
        <v>9781032452265</v>
      </c>
      <c r="F8856" s="2" t="str">
        <f>"9781003376033"</f>
        <v>9781003376033</v>
      </c>
    </row>
    <row r="8857" spans="1:6" s="3" customFormat="1" ht="29.1" customHeight="1" x14ac:dyDescent="0.25">
      <c r="A8857" s="2" t="s">
        <v>18339</v>
      </c>
      <c r="B8857" s="2" t="s">
        <v>18340</v>
      </c>
      <c r="C8857" s="2" t="s">
        <v>124</v>
      </c>
      <c r="D8857" s="2" t="s">
        <v>210</v>
      </c>
      <c r="E8857" s="2" t="str">
        <f>"9781032070674"</f>
        <v>9781032070674</v>
      </c>
      <c r="F8857" s="2" t="str">
        <f>"9781000937176"</f>
        <v>9781000937176</v>
      </c>
    </row>
    <row r="8858" spans="1:6" s="3" customFormat="1" ht="29.1" customHeight="1" x14ac:dyDescent="0.25">
      <c r="A8858" s="2" t="s">
        <v>18341</v>
      </c>
      <c r="B8858" s="2" t="s">
        <v>18342</v>
      </c>
      <c r="C8858" s="2" t="s">
        <v>2188</v>
      </c>
      <c r="D8858" s="2" t="s">
        <v>9</v>
      </c>
      <c r="E8858" s="2" t="str">
        <f>"9788323242338"</f>
        <v>9788323242338</v>
      </c>
      <c r="F8858" s="2" t="str">
        <f>"9788323242345"</f>
        <v>9788323242345</v>
      </c>
    </row>
    <row r="8859" spans="1:6" s="3" customFormat="1" ht="29.1" customHeight="1" x14ac:dyDescent="0.25">
      <c r="A8859" s="2" t="s">
        <v>18343</v>
      </c>
      <c r="B8859" s="2" t="s">
        <v>18344</v>
      </c>
      <c r="C8859" s="2" t="s">
        <v>2188</v>
      </c>
      <c r="D8859" s="2" t="s">
        <v>9</v>
      </c>
      <c r="E8859" s="2" t="str">
        <f>"9788323242277"</f>
        <v>9788323242277</v>
      </c>
      <c r="F8859" s="2" t="str">
        <f>"9788323242284"</f>
        <v>9788323242284</v>
      </c>
    </row>
    <row r="8860" spans="1:6" s="3" customFormat="1" ht="29.1" customHeight="1" x14ac:dyDescent="0.25">
      <c r="A8860" s="2" t="s">
        <v>18345</v>
      </c>
      <c r="B8860" s="2" t="s">
        <v>18346</v>
      </c>
      <c r="C8860" s="2" t="s">
        <v>5</v>
      </c>
      <c r="D8860" s="2" t="s">
        <v>81</v>
      </c>
      <c r="E8860" s="2" t="str">
        <f>"9782384761470"</f>
        <v>9782384761470</v>
      </c>
      <c r="F8860" s="2" t="str">
        <f>"9782384761487"</f>
        <v>9782384761487</v>
      </c>
    </row>
    <row r="8861" spans="1:6" s="3" customFormat="1" ht="29.1" customHeight="1" x14ac:dyDescent="0.25">
      <c r="A8861" s="2" t="s">
        <v>18347</v>
      </c>
      <c r="B8861" s="2" t="s">
        <v>18348</v>
      </c>
      <c r="C8861" s="2" t="s">
        <v>5</v>
      </c>
      <c r="D8861" s="2" t="s">
        <v>281</v>
      </c>
      <c r="E8861" s="2" t="str">
        <f>"9783031459795"</f>
        <v>9783031459795</v>
      </c>
      <c r="F8861" s="2" t="str">
        <f>"9783031459801"</f>
        <v>9783031459801</v>
      </c>
    </row>
    <row r="8862" spans="1:6" s="3" customFormat="1" ht="29.1" customHeight="1" x14ac:dyDescent="0.25">
      <c r="A8862" s="2" t="s">
        <v>18349</v>
      </c>
      <c r="B8862" s="2" t="s">
        <v>18350</v>
      </c>
      <c r="C8862" s="2" t="s">
        <v>124</v>
      </c>
      <c r="D8862" s="2" t="s">
        <v>1262</v>
      </c>
      <c r="E8862" s="2" t="str">
        <f>"9781032326030"</f>
        <v>9781032326030</v>
      </c>
      <c r="F8862" s="2" t="str">
        <f>"9781003315827"</f>
        <v>9781003315827</v>
      </c>
    </row>
    <row r="8863" spans="1:6" s="3" customFormat="1" ht="29.1" customHeight="1" x14ac:dyDescent="0.25">
      <c r="A8863" s="2" t="s">
        <v>18351</v>
      </c>
      <c r="B8863" s="2" t="s">
        <v>18352</v>
      </c>
      <c r="C8863" s="2" t="s">
        <v>885</v>
      </c>
      <c r="D8863" s="2" t="s">
        <v>3166</v>
      </c>
      <c r="E8863" s="2" t="str">
        <f>"9781487547271"</f>
        <v>9781487547271</v>
      </c>
      <c r="F8863" s="2" t="str">
        <f>"9781487547288"</f>
        <v>9781487547288</v>
      </c>
    </row>
    <row r="8864" spans="1:6" s="3" customFormat="1" ht="29.1" customHeight="1" x14ac:dyDescent="0.25">
      <c r="A8864" s="2" t="s">
        <v>18353</v>
      </c>
      <c r="B8864" s="2" t="s">
        <v>18354</v>
      </c>
      <c r="C8864" s="2" t="s">
        <v>556</v>
      </c>
      <c r="D8864" s="2" t="s">
        <v>647</v>
      </c>
      <c r="E8864" s="2" t="str">
        <f>"9783837671629"</f>
        <v>9783837671629</v>
      </c>
      <c r="F8864" s="2" t="str">
        <f>"9783839471623"</f>
        <v>9783839471623</v>
      </c>
    </row>
    <row r="8865" spans="1:6" s="3" customFormat="1" ht="29.1" customHeight="1" x14ac:dyDescent="0.25">
      <c r="A8865" s="2" t="s">
        <v>18355</v>
      </c>
      <c r="B8865" s="2" t="s">
        <v>18356</v>
      </c>
      <c r="C8865" s="2" t="s">
        <v>556</v>
      </c>
      <c r="D8865" s="2" t="s">
        <v>1162</v>
      </c>
      <c r="E8865" s="2" t="str">
        <f>"9783837671452"</f>
        <v>9783837671452</v>
      </c>
      <c r="F8865" s="2" t="str">
        <f>"9783839471456"</f>
        <v>9783839471456</v>
      </c>
    </row>
    <row r="8866" spans="1:6" s="3" customFormat="1" ht="29.1" customHeight="1" x14ac:dyDescent="0.25">
      <c r="A8866" s="2" t="s">
        <v>18357</v>
      </c>
      <c r="B8866" s="2" t="s">
        <v>18358</v>
      </c>
      <c r="C8866" s="2" t="s">
        <v>556</v>
      </c>
      <c r="D8866" s="2" t="s">
        <v>324</v>
      </c>
      <c r="E8866" s="2" t="str">
        <f>"9783837671360"</f>
        <v>9783837671360</v>
      </c>
      <c r="F8866" s="2" t="str">
        <f>"9783839471364"</f>
        <v>9783839471364</v>
      </c>
    </row>
    <row r="8867" spans="1:6" s="3" customFormat="1" ht="29.1" customHeight="1" x14ac:dyDescent="0.25">
      <c r="A8867" s="2" t="s">
        <v>18359</v>
      </c>
      <c r="B8867" s="2" t="s">
        <v>18360</v>
      </c>
      <c r="C8867" s="2" t="s">
        <v>556</v>
      </c>
      <c r="D8867" s="2" t="s">
        <v>1557</v>
      </c>
      <c r="E8867" s="2" t="str">
        <f>"9783837670721"</f>
        <v>9783837670721</v>
      </c>
      <c r="F8867" s="2" t="str">
        <f>"9783839470725"</f>
        <v>9783839470725</v>
      </c>
    </row>
    <row r="8868" spans="1:6" s="3" customFormat="1" ht="29.1" customHeight="1" x14ac:dyDescent="0.25">
      <c r="A8868" s="2" t="s">
        <v>18361</v>
      </c>
      <c r="B8868" s="2" t="s">
        <v>18362</v>
      </c>
      <c r="C8868" s="2" t="s">
        <v>556</v>
      </c>
      <c r="D8868" s="2" t="s">
        <v>998</v>
      </c>
      <c r="E8868" s="2" t="str">
        <f>"9783837670516"</f>
        <v>9783837670516</v>
      </c>
      <c r="F8868" s="2" t="str">
        <f>"9783839470510"</f>
        <v>9783839470510</v>
      </c>
    </row>
    <row r="8869" spans="1:6" s="3" customFormat="1" ht="29.1" customHeight="1" x14ac:dyDescent="0.25">
      <c r="A8869" s="2" t="s">
        <v>18363</v>
      </c>
      <c r="B8869" s="2" t="s">
        <v>18364</v>
      </c>
      <c r="C8869" s="2" t="s">
        <v>556</v>
      </c>
      <c r="D8869" s="2" t="s">
        <v>647</v>
      </c>
      <c r="E8869" s="2" t="str">
        <f>"9783837670219"</f>
        <v>9783837670219</v>
      </c>
      <c r="F8869" s="2" t="str">
        <f>"9783839470213"</f>
        <v>9783839470213</v>
      </c>
    </row>
    <row r="8870" spans="1:6" s="3" customFormat="1" ht="29.1" customHeight="1" x14ac:dyDescent="0.25">
      <c r="A8870" s="2" t="s">
        <v>18365</v>
      </c>
      <c r="B8870" s="2" t="s">
        <v>18366</v>
      </c>
      <c r="C8870" s="2" t="s">
        <v>556</v>
      </c>
      <c r="D8870" s="2" t="s">
        <v>5794</v>
      </c>
      <c r="E8870" s="2" t="str">
        <f>"9783837670196"</f>
        <v>9783837670196</v>
      </c>
      <c r="F8870" s="2" t="str">
        <f>"9783839470190"</f>
        <v>9783839470190</v>
      </c>
    </row>
    <row r="8871" spans="1:6" s="3" customFormat="1" ht="29.1" customHeight="1" x14ac:dyDescent="0.25">
      <c r="A8871" s="2" t="s">
        <v>18367</v>
      </c>
      <c r="B8871" s="2" t="s">
        <v>18368</v>
      </c>
      <c r="C8871" s="2" t="s">
        <v>556</v>
      </c>
      <c r="D8871" s="2" t="s">
        <v>78</v>
      </c>
      <c r="E8871" s="2" t="str">
        <f>"9783837670011"</f>
        <v>9783837670011</v>
      </c>
      <c r="F8871" s="2" t="str">
        <f>"9783839470015"</f>
        <v>9783839470015</v>
      </c>
    </row>
    <row r="8872" spans="1:6" s="3" customFormat="1" ht="29.1" customHeight="1" x14ac:dyDescent="0.25">
      <c r="A8872" s="2" t="s">
        <v>18369</v>
      </c>
      <c r="B8872" s="2" t="s">
        <v>18370</v>
      </c>
      <c r="C8872" s="2" t="s">
        <v>556</v>
      </c>
      <c r="D8872" s="2" t="s">
        <v>636</v>
      </c>
      <c r="E8872" s="2" t="str">
        <f>"9783837669916"</f>
        <v>9783837669916</v>
      </c>
      <c r="F8872" s="2" t="str">
        <f>"9783839469910"</f>
        <v>9783839469910</v>
      </c>
    </row>
    <row r="8873" spans="1:6" s="3" customFormat="1" ht="29.1" customHeight="1" x14ac:dyDescent="0.25">
      <c r="A8873" s="2" t="s">
        <v>18371</v>
      </c>
      <c r="B8873" s="2" t="s">
        <v>18372</v>
      </c>
      <c r="C8873" s="2" t="s">
        <v>556</v>
      </c>
      <c r="D8873" s="2" t="s">
        <v>2326</v>
      </c>
      <c r="E8873" s="2" t="str">
        <f>"9783837669794"</f>
        <v>9783837669794</v>
      </c>
      <c r="F8873" s="2" t="str">
        <f>"9783839469798"</f>
        <v>9783839469798</v>
      </c>
    </row>
    <row r="8874" spans="1:6" s="3" customFormat="1" ht="29.1" customHeight="1" x14ac:dyDescent="0.25">
      <c r="A8874" s="2" t="s">
        <v>18373</v>
      </c>
      <c r="B8874" s="2" t="s">
        <v>18374</v>
      </c>
      <c r="C8874" s="2" t="s">
        <v>556</v>
      </c>
      <c r="D8874" s="2" t="s">
        <v>2462</v>
      </c>
      <c r="E8874" s="2" t="str">
        <f>"9783837669695"</f>
        <v>9783837669695</v>
      </c>
      <c r="F8874" s="2" t="str">
        <f>"9783839469699"</f>
        <v>9783839469699</v>
      </c>
    </row>
    <row r="8875" spans="1:6" s="3" customFormat="1" ht="29.1" customHeight="1" x14ac:dyDescent="0.25">
      <c r="A8875" s="2" t="s">
        <v>18375</v>
      </c>
      <c r="B8875" s="2" t="s">
        <v>18376</v>
      </c>
      <c r="C8875" s="2" t="s">
        <v>556</v>
      </c>
      <c r="D8875" s="2" t="s">
        <v>7436</v>
      </c>
      <c r="E8875" s="2" t="str">
        <f>"9783837669640"</f>
        <v>9783837669640</v>
      </c>
      <c r="F8875" s="2" t="str">
        <f>"9783839469644"</f>
        <v>9783839469644</v>
      </c>
    </row>
    <row r="8876" spans="1:6" s="3" customFormat="1" ht="29.1" customHeight="1" x14ac:dyDescent="0.25">
      <c r="A8876" s="2" t="s">
        <v>18377</v>
      </c>
      <c r="B8876" s="2" t="s">
        <v>18378</v>
      </c>
      <c r="C8876" s="2" t="s">
        <v>556</v>
      </c>
      <c r="D8876" s="2" t="s">
        <v>4030</v>
      </c>
      <c r="E8876" s="2" t="str">
        <f>"9783837669541"</f>
        <v>9783837669541</v>
      </c>
      <c r="F8876" s="2" t="str">
        <f>"9783839469545"</f>
        <v>9783839469545</v>
      </c>
    </row>
    <row r="8877" spans="1:6" s="3" customFormat="1" ht="29.1" customHeight="1" x14ac:dyDescent="0.25">
      <c r="A8877" s="2" t="s">
        <v>18379</v>
      </c>
      <c r="B8877" s="2" t="s">
        <v>18380</v>
      </c>
      <c r="C8877" s="2" t="s">
        <v>556</v>
      </c>
      <c r="D8877" s="2" t="s">
        <v>446</v>
      </c>
      <c r="E8877" s="2" t="str">
        <f>"9783837668926"</f>
        <v>9783837668926</v>
      </c>
      <c r="F8877" s="2" t="str">
        <f>"9783839468920"</f>
        <v>9783839468920</v>
      </c>
    </row>
    <row r="8878" spans="1:6" s="3" customFormat="1" ht="29.1" customHeight="1" x14ac:dyDescent="0.25">
      <c r="A8878" s="2" t="s">
        <v>18381</v>
      </c>
      <c r="B8878" s="2" t="s">
        <v>18382</v>
      </c>
      <c r="C8878" s="2" t="s">
        <v>556</v>
      </c>
      <c r="D8878" s="2" t="s">
        <v>9894</v>
      </c>
      <c r="E8878" s="2" t="str">
        <f>"9783837668575"</f>
        <v>9783837668575</v>
      </c>
      <c r="F8878" s="2" t="str">
        <f>"9783839468579"</f>
        <v>9783839468579</v>
      </c>
    </row>
    <row r="8879" spans="1:6" s="3" customFormat="1" ht="29.1" customHeight="1" x14ac:dyDescent="0.25">
      <c r="A8879" s="2" t="s">
        <v>18383</v>
      </c>
      <c r="B8879" s="2" t="s">
        <v>18384</v>
      </c>
      <c r="C8879" s="2" t="s">
        <v>556</v>
      </c>
      <c r="D8879" s="2" t="s">
        <v>2746</v>
      </c>
      <c r="E8879" s="2" t="str">
        <f>"9783837667608"</f>
        <v>9783837667608</v>
      </c>
      <c r="F8879" s="2" t="str">
        <f>"9783839467602"</f>
        <v>9783839467602</v>
      </c>
    </row>
    <row r="8880" spans="1:6" s="3" customFormat="1" ht="29.1" customHeight="1" x14ac:dyDescent="0.25">
      <c r="A8880" s="2" t="s">
        <v>18385</v>
      </c>
      <c r="B8880" s="2" t="s">
        <v>18386</v>
      </c>
      <c r="C8880" s="2" t="s">
        <v>556</v>
      </c>
      <c r="D8880" s="2" t="s">
        <v>647</v>
      </c>
      <c r="E8880" s="2" t="str">
        <f>"9783837667103"</f>
        <v>9783837667103</v>
      </c>
      <c r="F8880" s="2" t="str">
        <f>"9783839467107"</f>
        <v>9783839467107</v>
      </c>
    </row>
    <row r="8881" spans="1:6" s="3" customFormat="1" ht="29.1" customHeight="1" x14ac:dyDescent="0.25">
      <c r="A8881" s="2" t="s">
        <v>18387</v>
      </c>
      <c r="B8881" s="2" t="s">
        <v>18388</v>
      </c>
      <c r="C8881" s="2" t="s">
        <v>556</v>
      </c>
      <c r="D8881" s="2" t="s">
        <v>259</v>
      </c>
      <c r="E8881" s="2" t="str">
        <f>"9783837666700"</f>
        <v>9783837666700</v>
      </c>
      <c r="F8881" s="2" t="str">
        <f>"9783732866700"</f>
        <v>9783732866700</v>
      </c>
    </row>
    <row r="8882" spans="1:6" s="3" customFormat="1" ht="29.1" customHeight="1" x14ac:dyDescent="0.25">
      <c r="A8882" s="2" t="s">
        <v>18389</v>
      </c>
      <c r="B8882" s="2" t="s">
        <v>18390</v>
      </c>
      <c r="C8882" s="2" t="s">
        <v>556</v>
      </c>
      <c r="D8882" s="2" t="s">
        <v>647</v>
      </c>
      <c r="E8882" s="2" t="str">
        <f>"9783837666687"</f>
        <v>9783837666687</v>
      </c>
      <c r="F8882" s="2" t="str">
        <f>"9783839466681"</f>
        <v>9783839466681</v>
      </c>
    </row>
    <row r="8883" spans="1:6" s="3" customFormat="1" ht="29.1" customHeight="1" x14ac:dyDescent="0.25">
      <c r="A8883" s="2" t="s">
        <v>18391</v>
      </c>
      <c r="B8883" s="2" t="s">
        <v>18392</v>
      </c>
      <c r="C8883" s="2" t="s">
        <v>556</v>
      </c>
      <c r="D8883" s="2" t="s">
        <v>175</v>
      </c>
      <c r="E8883" s="2" t="str">
        <f>"9783837666496"</f>
        <v>9783837666496</v>
      </c>
      <c r="F8883" s="2" t="str">
        <f>"9783839466490"</f>
        <v>9783839466490</v>
      </c>
    </row>
    <row r="8884" spans="1:6" s="3" customFormat="1" ht="29.1" customHeight="1" x14ac:dyDescent="0.25">
      <c r="A8884" s="2" t="s">
        <v>18393</v>
      </c>
      <c r="B8884" s="2" t="s">
        <v>18394</v>
      </c>
      <c r="C8884" s="2" t="s">
        <v>556</v>
      </c>
      <c r="D8884" s="2" t="s">
        <v>550</v>
      </c>
      <c r="E8884" s="2" t="str">
        <f>"9783837665826"</f>
        <v>9783837665826</v>
      </c>
      <c r="F8884" s="2" t="str">
        <f>"9783839465820"</f>
        <v>9783839465820</v>
      </c>
    </row>
    <row r="8885" spans="1:6" s="3" customFormat="1" ht="29.1" customHeight="1" x14ac:dyDescent="0.25">
      <c r="A8885" s="2" t="s">
        <v>18395</v>
      </c>
      <c r="B8885" s="2" t="s">
        <v>18396</v>
      </c>
      <c r="C8885" s="2" t="s">
        <v>556</v>
      </c>
      <c r="D8885" s="2" t="s">
        <v>2326</v>
      </c>
      <c r="E8885" s="2" t="str">
        <f>"9783837665512"</f>
        <v>9783837665512</v>
      </c>
      <c r="F8885" s="2" t="str">
        <f>"9783839465516"</f>
        <v>9783839465516</v>
      </c>
    </row>
    <row r="8886" spans="1:6" s="3" customFormat="1" ht="29.1" customHeight="1" x14ac:dyDescent="0.25">
      <c r="A8886" s="2" t="s">
        <v>18397</v>
      </c>
      <c r="B8886" s="2" t="s">
        <v>18398</v>
      </c>
      <c r="C8886" s="2" t="s">
        <v>556</v>
      </c>
      <c r="D8886" s="2" t="s">
        <v>1694</v>
      </c>
      <c r="E8886" s="2" t="str">
        <f>"9783837665451"</f>
        <v>9783837665451</v>
      </c>
      <c r="F8886" s="2" t="str">
        <f>"9783732865451"</f>
        <v>9783732865451</v>
      </c>
    </row>
    <row r="8887" spans="1:6" s="3" customFormat="1" ht="29.1" customHeight="1" x14ac:dyDescent="0.25">
      <c r="A8887" s="2" t="s">
        <v>18399</v>
      </c>
      <c r="B8887" s="2" t="s">
        <v>18400</v>
      </c>
      <c r="C8887" s="2" t="s">
        <v>556</v>
      </c>
      <c r="D8887" s="2" t="s">
        <v>689</v>
      </c>
      <c r="E8887" s="2" t="str">
        <f>"9783837665437"</f>
        <v>9783837665437</v>
      </c>
      <c r="F8887" s="2" t="str">
        <f>"9783839465431"</f>
        <v>9783839465431</v>
      </c>
    </row>
    <row r="8888" spans="1:6" s="3" customFormat="1" ht="29.1" customHeight="1" x14ac:dyDescent="0.25">
      <c r="A8888" s="2" t="s">
        <v>18401</v>
      </c>
      <c r="B8888" s="2" t="s">
        <v>18402</v>
      </c>
      <c r="C8888" s="2" t="s">
        <v>556</v>
      </c>
      <c r="D8888" s="2" t="s">
        <v>75</v>
      </c>
      <c r="E8888" s="2" t="str">
        <f>"9783837665321"</f>
        <v>9783837665321</v>
      </c>
      <c r="F8888" s="2" t="str">
        <f>"9783839465325"</f>
        <v>9783839465325</v>
      </c>
    </row>
    <row r="8889" spans="1:6" s="3" customFormat="1" ht="29.1" customHeight="1" x14ac:dyDescent="0.25">
      <c r="A8889" s="2" t="s">
        <v>18403</v>
      </c>
      <c r="B8889" s="2" t="s">
        <v>18404</v>
      </c>
      <c r="C8889" s="2" t="s">
        <v>556</v>
      </c>
      <c r="D8889" s="2" t="s">
        <v>175</v>
      </c>
      <c r="E8889" s="2" t="str">
        <f>"9783837664768"</f>
        <v>9783837664768</v>
      </c>
      <c r="F8889" s="2" t="str">
        <f>"9783839464762"</f>
        <v>9783839464762</v>
      </c>
    </row>
    <row r="8890" spans="1:6" s="3" customFormat="1" ht="29.1" customHeight="1" x14ac:dyDescent="0.25">
      <c r="A8890" s="2" t="s">
        <v>18405</v>
      </c>
      <c r="B8890" s="2" t="s">
        <v>18406</v>
      </c>
      <c r="C8890" s="2" t="s">
        <v>556</v>
      </c>
      <c r="D8890" s="2" t="s">
        <v>6128</v>
      </c>
      <c r="E8890" s="2" t="str">
        <f>"9783837664676"</f>
        <v>9783837664676</v>
      </c>
      <c r="F8890" s="2" t="str">
        <f>"9783839464670"</f>
        <v>9783839464670</v>
      </c>
    </row>
    <row r="8891" spans="1:6" s="3" customFormat="1" ht="29.1" customHeight="1" x14ac:dyDescent="0.25">
      <c r="A8891" s="2" t="s">
        <v>18407</v>
      </c>
      <c r="B8891" s="2" t="s">
        <v>18408</v>
      </c>
      <c r="C8891" s="2" t="s">
        <v>556</v>
      </c>
      <c r="D8891" s="2" t="s">
        <v>490</v>
      </c>
      <c r="E8891" s="2" t="str">
        <f>"9783837664652"</f>
        <v>9783837664652</v>
      </c>
      <c r="F8891" s="2" t="str">
        <f>"9783839464656"</f>
        <v>9783839464656</v>
      </c>
    </row>
    <row r="8892" spans="1:6" s="3" customFormat="1" ht="29.1" customHeight="1" x14ac:dyDescent="0.25">
      <c r="A8892" s="2" t="s">
        <v>18409</v>
      </c>
      <c r="B8892" s="2" t="s">
        <v>18410</v>
      </c>
      <c r="C8892" s="2" t="s">
        <v>556</v>
      </c>
      <c r="D8892" s="2" t="s">
        <v>221</v>
      </c>
      <c r="E8892" s="2" t="str">
        <f>"9783837664218"</f>
        <v>9783837664218</v>
      </c>
      <c r="F8892" s="2" t="str">
        <f>"9783839464212"</f>
        <v>9783839464212</v>
      </c>
    </row>
    <row r="8893" spans="1:6" s="3" customFormat="1" ht="29.1" customHeight="1" x14ac:dyDescent="0.25">
      <c r="A8893" s="2" t="s">
        <v>18411</v>
      </c>
      <c r="B8893" s="2" t="s">
        <v>18412</v>
      </c>
      <c r="C8893" s="2" t="s">
        <v>556</v>
      </c>
      <c r="D8893" s="2" t="s">
        <v>324</v>
      </c>
      <c r="E8893" s="2" t="str">
        <f>"9783837662924"</f>
        <v>9783837662924</v>
      </c>
      <c r="F8893" s="2" t="str">
        <f>"9783732862924"</f>
        <v>9783732862924</v>
      </c>
    </row>
    <row r="8894" spans="1:6" s="3" customFormat="1" ht="29.1" customHeight="1" x14ac:dyDescent="0.25">
      <c r="A8894" s="2" t="s">
        <v>18413</v>
      </c>
      <c r="B8894" s="2" t="s">
        <v>18414</v>
      </c>
      <c r="C8894" s="2" t="s">
        <v>556</v>
      </c>
      <c r="D8894" s="2" t="s">
        <v>75</v>
      </c>
      <c r="E8894" s="2" t="str">
        <f>"9783837661026"</f>
        <v>9783837661026</v>
      </c>
      <c r="F8894" s="2" t="str">
        <f>"9783839461020"</f>
        <v>9783839461020</v>
      </c>
    </row>
    <row r="8895" spans="1:6" s="3" customFormat="1" ht="29.1" customHeight="1" x14ac:dyDescent="0.25">
      <c r="A8895" s="2" t="s">
        <v>18415</v>
      </c>
      <c r="B8895" s="2" t="s">
        <v>18416</v>
      </c>
      <c r="C8895" s="2" t="s">
        <v>556</v>
      </c>
      <c r="D8895" s="2" t="s">
        <v>712</v>
      </c>
      <c r="E8895" s="2" t="str">
        <f>"9783837658620"</f>
        <v>9783837658620</v>
      </c>
      <c r="F8895" s="2" t="str">
        <f>"9783732858620"</f>
        <v>9783732858620</v>
      </c>
    </row>
    <row r="8896" spans="1:6" s="3" customFormat="1" ht="29.1" customHeight="1" x14ac:dyDescent="0.25">
      <c r="A8896" s="2" t="s">
        <v>18417</v>
      </c>
      <c r="B8896" s="2" t="s">
        <v>18418</v>
      </c>
      <c r="C8896" s="2" t="s">
        <v>5</v>
      </c>
      <c r="D8896" s="2" t="s">
        <v>81</v>
      </c>
      <c r="E8896" s="2" t="str">
        <f>"9782384761531"</f>
        <v>9782384761531</v>
      </c>
      <c r="F8896" s="2" t="str">
        <f>"9782384761548"</f>
        <v>9782384761548</v>
      </c>
    </row>
    <row r="8897" spans="1:6" s="3" customFormat="1" ht="29.1" customHeight="1" x14ac:dyDescent="0.25">
      <c r="A8897" s="2" t="s">
        <v>18419</v>
      </c>
      <c r="B8897" s="2" t="s">
        <v>18420</v>
      </c>
      <c r="C8897" s="2" t="s">
        <v>5</v>
      </c>
      <c r="D8897" s="2" t="s">
        <v>1189</v>
      </c>
      <c r="E8897" s="2" t="str">
        <f>"9783031434631"</f>
        <v>9783031434631</v>
      </c>
      <c r="F8897" s="2" t="str">
        <f>"9783031434648"</f>
        <v>9783031434648</v>
      </c>
    </row>
    <row r="8898" spans="1:6" s="3" customFormat="1" ht="29.1" customHeight="1" x14ac:dyDescent="0.25">
      <c r="A8898" s="2" t="s">
        <v>18421</v>
      </c>
      <c r="B8898" s="2" t="s">
        <v>18422</v>
      </c>
      <c r="C8898" s="2" t="s">
        <v>264</v>
      </c>
      <c r="D8898" s="2" t="s">
        <v>4595</v>
      </c>
      <c r="E8898" s="2" t="str">
        <f>"9781032106335"</f>
        <v>9781032106335</v>
      </c>
      <c r="F8898" s="2" t="str">
        <f>"9781000805536"</f>
        <v>9781000805536</v>
      </c>
    </row>
    <row r="8899" spans="1:6" s="3" customFormat="1" ht="29.1" customHeight="1" x14ac:dyDescent="0.25">
      <c r="A8899" s="2" t="s">
        <v>18423</v>
      </c>
      <c r="B8899" s="2" t="s">
        <v>18424</v>
      </c>
      <c r="C8899" s="2" t="s">
        <v>124</v>
      </c>
      <c r="D8899" s="2" t="s">
        <v>2433</v>
      </c>
      <c r="E8899" s="2" t="str">
        <f>"9781032530161"</f>
        <v>9781032530161</v>
      </c>
      <c r="F8899" s="2" t="str">
        <f>"9781003409748"</f>
        <v>9781003409748</v>
      </c>
    </row>
    <row r="8900" spans="1:6" s="3" customFormat="1" ht="29.1" customHeight="1" x14ac:dyDescent="0.25">
      <c r="A8900" s="2" t="s">
        <v>18425</v>
      </c>
      <c r="B8900" s="2" t="s">
        <v>18426</v>
      </c>
      <c r="C8900" s="2" t="s">
        <v>124</v>
      </c>
      <c r="D8900" s="2" t="s">
        <v>9113</v>
      </c>
      <c r="E8900" s="2" t="str">
        <f>"9781032319629"</f>
        <v>9781032319629</v>
      </c>
      <c r="F8900" s="2" t="str">
        <f>"9781003312154"</f>
        <v>9781003312154</v>
      </c>
    </row>
    <row r="8901" spans="1:6" s="3" customFormat="1" ht="29.1" customHeight="1" x14ac:dyDescent="0.25">
      <c r="A8901" s="2" t="s">
        <v>18427</v>
      </c>
      <c r="B8901" s="2" t="s">
        <v>18428</v>
      </c>
      <c r="C8901" s="2" t="s">
        <v>927</v>
      </c>
      <c r="D8901" s="2" t="s">
        <v>297</v>
      </c>
      <c r="E8901" s="2" t="str">
        <f>"9780472039593"</f>
        <v>9780472039593</v>
      </c>
      <c r="F8901" s="2" t="str">
        <f>"9780472903993"</f>
        <v>9780472903993</v>
      </c>
    </row>
    <row r="8902" spans="1:6" s="3" customFormat="1" ht="29.1" customHeight="1" x14ac:dyDescent="0.25">
      <c r="A8902" s="2" t="s">
        <v>18429</v>
      </c>
      <c r="B8902" s="2" t="s">
        <v>18430</v>
      </c>
      <c r="C8902" s="2" t="s">
        <v>732</v>
      </c>
      <c r="D8902" s="2" t="s">
        <v>7734</v>
      </c>
      <c r="E8902" s="2" t="str">
        <f>"9781779952691"</f>
        <v>9781779952691</v>
      </c>
      <c r="F8902" s="2" t="str">
        <f>"9781779952707"</f>
        <v>9781779952707</v>
      </c>
    </row>
    <row r="8903" spans="1:6" s="3" customFormat="1" ht="29.1" customHeight="1" x14ac:dyDescent="0.25">
      <c r="A8903" s="2" t="s">
        <v>18431</v>
      </c>
      <c r="B8903" s="2" t="s">
        <v>18432</v>
      </c>
      <c r="C8903" s="2" t="s">
        <v>732</v>
      </c>
      <c r="D8903" s="2" t="s">
        <v>3445</v>
      </c>
      <c r="E8903" s="2" t="str">
        <f>"9781779952752"</f>
        <v>9781779952752</v>
      </c>
      <c r="F8903" s="2" t="str">
        <f>"9781779952769"</f>
        <v>9781779952769</v>
      </c>
    </row>
    <row r="8904" spans="1:6" s="3" customFormat="1" ht="29.1" customHeight="1" x14ac:dyDescent="0.25">
      <c r="A8904" s="2" t="s">
        <v>18433</v>
      </c>
      <c r="B8904" s="2" t="s">
        <v>18434</v>
      </c>
      <c r="C8904" s="2" t="s">
        <v>732</v>
      </c>
      <c r="D8904" s="2" t="s">
        <v>3445</v>
      </c>
      <c r="E8904" s="2" t="str">
        <f>"9781779952721"</f>
        <v>9781779952721</v>
      </c>
      <c r="F8904" s="2" t="str">
        <f>"9781779952738"</f>
        <v>9781779952738</v>
      </c>
    </row>
    <row r="8905" spans="1:6" s="3" customFormat="1" ht="29.1" customHeight="1" x14ac:dyDescent="0.25">
      <c r="A8905" s="2" t="s">
        <v>18435</v>
      </c>
      <c r="B8905" s="2" t="s">
        <v>18436</v>
      </c>
      <c r="C8905" s="2" t="s">
        <v>732</v>
      </c>
      <c r="D8905" s="2" t="s">
        <v>302</v>
      </c>
      <c r="E8905" s="2" t="str">
        <f>"9781991269010"</f>
        <v>9781991269010</v>
      </c>
      <c r="F8905" s="2" t="str">
        <f>"9781991270016"</f>
        <v>9781991270016</v>
      </c>
    </row>
    <row r="8906" spans="1:6" s="3" customFormat="1" ht="29.1" customHeight="1" x14ac:dyDescent="0.25">
      <c r="A8906" s="2" t="s">
        <v>18437</v>
      </c>
      <c r="B8906" s="2" t="s">
        <v>18438</v>
      </c>
      <c r="C8906" s="2" t="s">
        <v>732</v>
      </c>
      <c r="D8906" s="2" t="s">
        <v>2435</v>
      </c>
      <c r="E8906" s="2" t="str">
        <f>"9781991269003"</f>
        <v>9781991269003</v>
      </c>
      <c r="F8906" s="2" t="str">
        <f>"9781991270009"</f>
        <v>9781991270009</v>
      </c>
    </row>
    <row r="8907" spans="1:6" s="3" customFormat="1" ht="29.1" customHeight="1" x14ac:dyDescent="0.25">
      <c r="A8907" s="2" t="s">
        <v>18439</v>
      </c>
      <c r="B8907" s="2" t="s">
        <v>18440</v>
      </c>
      <c r="C8907" s="2" t="s">
        <v>732</v>
      </c>
      <c r="D8907" s="2" t="s">
        <v>249</v>
      </c>
      <c r="E8907" s="2" t="str">
        <f>"9781779952363"</f>
        <v>9781779952363</v>
      </c>
      <c r="F8907" s="2" t="str">
        <f>"9781779952370"</f>
        <v>9781779952370</v>
      </c>
    </row>
    <row r="8908" spans="1:6" s="3" customFormat="1" ht="29.1" customHeight="1" x14ac:dyDescent="0.25">
      <c r="A8908" s="2" t="s">
        <v>18441</v>
      </c>
      <c r="B8908" s="2" t="s">
        <v>18442</v>
      </c>
      <c r="C8908" s="2" t="s">
        <v>732</v>
      </c>
      <c r="D8908" s="2" t="s">
        <v>614</v>
      </c>
      <c r="E8908" s="2" t="str">
        <f>"9781779952271"</f>
        <v>9781779952271</v>
      </c>
      <c r="F8908" s="2" t="str">
        <f>"9781779952288"</f>
        <v>9781779952288</v>
      </c>
    </row>
    <row r="8909" spans="1:6" s="3" customFormat="1" ht="29.1" customHeight="1" x14ac:dyDescent="0.25">
      <c r="A8909" s="2" t="s">
        <v>18443</v>
      </c>
      <c r="B8909" s="2" t="s">
        <v>18444</v>
      </c>
      <c r="C8909" s="2" t="s">
        <v>732</v>
      </c>
      <c r="D8909" s="2" t="s">
        <v>12668</v>
      </c>
      <c r="E8909" s="2" t="str">
        <f>"9781779952516"</f>
        <v>9781779952516</v>
      </c>
      <c r="F8909" s="2" t="str">
        <f>"9781779952523"</f>
        <v>9781779952523</v>
      </c>
    </row>
    <row r="8910" spans="1:6" s="3" customFormat="1" ht="29.1" customHeight="1" x14ac:dyDescent="0.25">
      <c r="A8910" s="2" t="s">
        <v>18445</v>
      </c>
      <c r="B8910" s="2" t="s">
        <v>18447</v>
      </c>
      <c r="C8910" s="2" t="s">
        <v>732</v>
      </c>
      <c r="D8910" s="2" t="s">
        <v>18446</v>
      </c>
      <c r="E8910" s="2" t="str">
        <f>"9781779952127"</f>
        <v>9781779952127</v>
      </c>
      <c r="F8910" s="2" t="str">
        <f>"9781779952134"</f>
        <v>9781779952134</v>
      </c>
    </row>
    <row r="8911" spans="1:6" s="3" customFormat="1" ht="29.1" customHeight="1" x14ac:dyDescent="0.25">
      <c r="A8911" s="2" t="s">
        <v>18448</v>
      </c>
      <c r="B8911" s="2" t="s">
        <v>18449</v>
      </c>
      <c r="C8911" s="2" t="s">
        <v>732</v>
      </c>
      <c r="D8911" s="2" t="s">
        <v>694</v>
      </c>
      <c r="E8911" s="2" t="str">
        <f>"9781779952332"</f>
        <v>9781779952332</v>
      </c>
      <c r="F8911" s="2" t="str">
        <f>"9781779952349"</f>
        <v>9781779952349</v>
      </c>
    </row>
    <row r="8912" spans="1:6" s="3" customFormat="1" ht="29.1" customHeight="1" x14ac:dyDescent="0.25">
      <c r="A8912" s="2" t="s">
        <v>18450</v>
      </c>
      <c r="B8912" s="2" t="s">
        <v>18451</v>
      </c>
      <c r="C8912" s="2" t="s">
        <v>732</v>
      </c>
      <c r="D8912" s="2" t="s">
        <v>7180</v>
      </c>
      <c r="E8912" s="2" t="str">
        <f>"9781779952219"</f>
        <v>9781779952219</v>
      </c>
      <c r="F8912" s="2" t="str">
        <f>"9781779952226"</f>
        <v>9781779952226</v>
      </c>
    </row>
    <row r="8913" spans="1:6" s="3" customFormat="1" ht="29.1" customHeight="1" x14ac:dyDescent="0.25">
      <c r="A8913" s="2" t="s">
        <v>18452</v>
      </c>
      <c r="B8913" s="2" t="s">
        <v>18453</v>
      </c>
      <c r="C8913" s="2" t="s">
        <v>732</v>
      </c>
      <c r="D8913" s="2" t="s">
        <v>490</v>
      </c>
      <c r="E8913" s="2" t="str">
        <f>"9781779952455"</f>
        <v>9781779952455</v>
      </c>
      <c r="F8913" s="2" t="str">
        <f>"9781779952462"</f>
        <v>9781779952462</v>
      </c>
    </row>
    <row r="8914" spans="1:6" s="3" customFormat="1" ht="29.1" customHeight="1" x14ac:dyDescent="0.25">
      <c r="A8914" s="2" t="s">
        <v>18454</v>
      </c>
      <c r="B8914" s="2" t="s">
        <v>18447</v>
      </c>
      <c r="C8914" s="2" t="s">
        <v>732</v>
      </c>
      <c r="D8914" s="2" t="s">
        <v>18446</v>
      </c>
      <c r="E8914" s="2" t="str">
        <f>"9781776342457"</f>
        <v>9781776342457</v>
      </c>
      <c r="F8914" s="2" t="str">
        <f>"9781776342464"</f>
        <v>9781776342464</v>
      </c>
    </row>
    <row r="8915" spans="1:6" s="3" customFormat="1" ht="29.1" customHeight="1" x14ac:dyDescent="0.25">
      <c r="A8915" s="2" t="s">
        <v>18455</v>
      </c>
      <c r="B8915" s="2" t="s">
        <v>18447</v>
      </c>
      <c r="C8915" s="2" t="s">
        <v>732</v>
      </c>
      <c r="D8915" s="2" t="s">
        <v>18456</v>
      </c>
      <c r="E8915" s="2" t="str">
        <f>"9781779952240"</f>
        <v>9781779952240</v>
      </c>
      <c r="F8915" s="2" t="str">
        <f>"9781779952257"</f>
        <v>9781779952257</v>
      </c>
    </row>
    <row r="8916" spans="1:6" s="3" customFormat="1" ht="29.1" customHeight="1" x14ac:dyDescent="0.25">
      <c r="A8916" s="2" t="s">
        <v>18457</v>
      </c>
      <c r="B8916" s="2" t="s">
        <v>18458</v>
      </c>
      <c r="C8916" s="2" t="s">
        <v>732</v>
      </c>
      <c r="D8916" s="2" t="s">
        <v>6837</v>
      </c>
      <c r="E8916" s="2" t="str">
        <f>"9781779952394"</f>
        <v>9781779952394</v>
      </c>
      <c r="F8916" s="2" t="str">
        <f>"9781779952400"</f>
        <v>9781779952400</v>
      </c>
    </row>
    <row r="8917" spans="1:6" s="3" customFormat="1" ht="29.1" customHeight="1" x14ac:dyDescent="0.25">
      <c r="A8917" s="2" t="s">
        <v>18459</v>
      </c>
      <c r="B8917" s="2" t="s">
        <v>18460</v>
      </c>
      <c r="C8917" s="2" t="s">
        <v>732</v>
      </c>
      <c r="D8917" s="2" t="s">
        <v>4670</v>
      </c>
      <c r="E8917" s="2" t="str">
        <f>"9781990982033"</f>
        <v>9781990982033</v>
      </c>
      <c r="F8917" s="2" t="str">
        <f>"9781990982040"</f>
        <v>9781990982040</v>
      </c>
    </row>
    <row r="8918" spans="1:6" s="3" customFormat="1" ht="29.1" customHeight="1" x14ac:dyDescent="0.25">
      <c r="A8918" s="2" t="s">
        <v>18461</v>
      </c>
      <c r="B8918" s="2" t="s">
        <v>18462</v>
      </c>
      <c r="C8918" s="2" t="s">
        <v>732</v>
      </c>
      <c r="D8918" s="2" t="s">
        <v>614</v>
      </c>
      <c r="E8918" s="2" t="str">
        <f>"9781779952639"</f>
        <v>9781779952639</v>
      </c>
      <c r="F8918" s="2" t="str">
        <f>"9781779952646"</f>
        <v>9781779952646</v>
      </c>
    </row>
    <row r="8919" spans="1:6" s="3" customFormat="1" ht="29.1" customHeight="1" x14ac:dyDescent="0.25">
      <c r="A8919" s="2" t="s">
        <v>18463</v>
      </c>
      <c r="B8919" s="2" t="s">
        <v>18464</v>
      </c>
      <c r="C8919" s="2" t="s">
        <v>732</v>
      </c>
      <c r="D8919" s="2" t="s">
        <v>5638</v>
      </c>
      <c r="E8919" s="2" t="str">
        <f>"9781776342242"</f>
        <v>9781776342242</v>
      </c>
      <c r="F8919" s="2" t="str">
        <f>"9781776342259"</f>
        <v>9781776342259</v>
      </c>
    </row>
    <row r="8920" spans="1:6" s="3" customFormat="1" ht="29.1" customHeight="1" x14ac:dyDescent="0.25">
      <c r="A8920" s="2" t="s">
        <v>18465</v>
      </c>
      <c r="B8920" s="2" t="s">
        <v>18466</v>
      </c>
      <c r="C8920" s="2" t="s">
        <v>732</v>
      </c>
      <c r="D8920" s="2" t="s">
        <v>7079</v>
      </c>
      <c r="E8920" s="2" t="str">
        <f>"9781779952097"</f>
        <v>9781779952097</v>
      </c>
      <c r="F8920" s="2" t="str">
        <f>"9781779952103"</f>
        <v>9781779952103</v>
      </c>
    </row>
    <row r="8921" spans="1:6" s="3" customFormat="1" ht="29.1" customHeight="1" x14ac:dyDescent="0.25">
      <c r="A8921" s="2" t="s">
        <v>18467</v>
      </c>
      <c r="B8921" s="2" t="s">
        <v>18468</v>
      </c>
      <c r="C8921" s="2" t="s">
        <v>732</v>
      </c>
      <c r="D8921" s="2" t="s">
        <v>7734</v>
      </c>
      <c r="E8921" s="2" t="str">
        <f>"9781779952189"</f>
        <v>9781779952189</v>
      </c>
      <c r="F8921" s="2" t="str">
        <f>"9781779952196"</f>
        <v>9781779952196</v>
      </c>
    </row>
    <row r="8922" spans="1:6" s="3" customFormat="1" ht="29.1" customHeight="1" x14ac:dyDescent="0.25">
      <c r="A8922" s="2" t="s">
        <v>18469</v>
      </c>
      <c r="B8922" s="2" t="s">
        <v>18470</v>
      </c>
      <c r="C8922" s="2" t="s">
        <v>732</v>
      </c>
      <c r="D8922" s="2" t="s">
        <v>302</v>
      </c>
      <c r="E8922" s="2" t="str">
        <f>"9781779952035"</f>
        <v>9781779952035</v>
      </c>
      <c r="F8922" s="2" t="str">
        <f>"9781779952042"</f>
        <v>9781779952042</v>
      </c>
    </row>
    <row r="8923" spans="1:6" s="3" customFormat="1" ht="29.1" customHeight="1" x14ac:dyDescent="0.25">
      <c r="A8923" s="2" t="s">
        <v>18471</v>
      </c>
      <c r="B8923" s="2" t="s">
        <v>18472</v>
      </c>
      <c r="C8923" s="2" t="s">
        <v>732</v>
      </c>
      <c r="D8923" s="2" t="s">
        <v>836</v>
      </c>
      <c r="E8923" s="2" t="str">
        <f>"9781779952486"</f>
        <v>9781779952486</v>
      </c>
      <c r="F8923" s="2" t="str">
        <f>"9781779952493"</f>
        <v>9781779952493</v>
      </c>
    </row>
    <row r="8924" spans="1:6" s="3" customFormat="1" ht="29.1" customHeight="1" x14ac:dyDescent="0.25">
      <c r="A8924" s="2" t="s">
        <v>18473</v>
      </c>
      <c r="B8924" s="2" t="s">
        <v>18474</v>
      </c>
      <c r="C8924" s="2" t="s">
        <v>732</v>
      </c>
      <c r="D8924" s="2" t="s">
        <v>553</v>
      </c>
      <c r="E8924" s="2" t="str">
        <f>"9781779952547"</f>
        <v>9781779952547</v>
      </c>
      <c r="F8924" s="2" t="str">
        <f>"9781779952554"</f>
        <v>9781779952554</v>
      </c>
    </row>
    <row r="8925" spans="1:6" s="3" customFormat="1" ht="29.1" customHeight="1" x14ac:dyDescent="0.25">
      <c r="A8925" s="2" t="s">
        <v>18475</v>
      </c>
      <c r="B8925" s="2" t="s">
        <v>18476</v>
      </c>
      <c r="C8925" s="2" t="s">
        <v>732</v>
      </c>
      <c r="D8925" s="2" t="s">
        <v>18161</v>
      </c>
      <c r="E8925" s="2" t="str">
        <f>"9781779952066"</f>
        <v>9781779952066</v>
      </c>
      <c r="F8925" s="2" t="str">
        <f>"9781779952073"</f>
        <v>9781779952073</v>
      </c>
    </row>
    <row r="8926" spans="1:6" s="3" customFormat="1" ht="29.1" customHeight="1" x14ac:dyDescent="0.25">
      <c r="A8926" s="2" t="s">
        <v>18477</v>
      </c>
      <c r="B8926" s="2" t="s">
        <v>18479</v>
      </c>
      <c r="C8926" s="2" t="s">
        <v>732</v>
      </c>
      <c r="D8926" s="2" t="s">
        <v>18478</v>
      </c>
      <c r="E8926" s="2" t="str">
        <f>"9781779952578"</f>
        <v>9781779952578</v>
      </c>
      <c r="F8926" s="2" t="str">
        <f>"9781779952585"</f>
        <v>9781779952585</v>
      </c>
    </row>
    <row r="8927" spans="1:6" s="3" customFormat="1" ht="29.1" customHeight="1" x14ac:dyDescent="0.25">
      <c r="A8927" s="2" t="s">
        <v>18480</v>
      </c>
      <c r="B8927" s="2" t="s">
        <v>18482</v>
      </c>
      <c r="C8927" s="2" t="s">
        <v>732</v>
      </c>
      <c r="D8927" s="2" t="s">
        <v>18481</v>
      </c>
      <c r="E8927" s="2" t="str">
        <f>"9781779952301"</f>
        <v>9781779952301</v>
      </c>
      <c r="F8927" s="2" t="str">
        <f>"9781779952318"</f>
        <v>9781779952318</v>
      </c>
    </row>
    <row r="8928" spans="1:6" s="3" customFormat="1" ht="29.1" customHeight="1" x14ac:dyDescent="0.25">
      <c r="A8928" s="2" t="s">
        <v>18483</v>
      </c>
      <c r="B8928" s="2" t="s">
        <v>18484</v>
      </c>
      <c r="C8928" s="2" t="s">
        <v>732</v>
      </c>
      <c r="D8928" s="2" t="s">
        <v>3281</v>
      </c>
      <c r="E8928" s="2" t="str">
        <f>"9781779952004"</f>
        <v>9781779952004</v>
      </c>
      <c r="F8928" s="2" t="str">
        <f>"9781779952011"</f>
        <v>9781779952011</v>
      </c>
    </row>
    <row r="8929" spans="1:6" s="3" customFormat="1" ht="29.1" customHeight="1" x14ac:dyDescent="0.25">
      <c r="A8929" s="2" t="s">
        <v>18485</v>
      </c>
      <c r="B8929" s="2" t="s">
        <v>18486</v>
      </c>
      <c r="C8929" s="2" t="s">
        <v>732</v>
      </c>
      <c r="D8929" s="2" t="s">
        <v>490</v>
      </c>
      <c r="E8929" s="2" t="str">
        <f>"9781779952158"</f>
        <v>9781779952158</v>
      </c>
      <c r="F8929" s="2" t="str">
        <f>"9781779952165"</f>
        <v>9781779952165</v>
      </c>
    </row>
    <row r="8930" spans="1:6" s="3" customFormat="1" ht="29.1" customHeight="1" x14ac:dyDescent="0.25">
      <c r="A8930" s="2" t="s">
        <v>18487</v>
      </c>
      <c r="B8930" s="2" t="s">
        <v>18488</v>
      </c>
      <c r="C8930" s="2" t="s">
        <v>732</v>
      </c>
      <c r="D8930" s="2" t="s">
        <v>1861</v>
      </c>
      <c r="E8930" s="2" t="str">
        <f>"9781776342365"</f>
        <v>9781776342365</v>
      </c>
      <c r="F8930" s="2" t="str">
        <f>"9781776342372"</f>
        <v>9781776342372</v>
      </c>
    </row>
    <row r="8931" spans="1:6" s="3" customFormat="1" ht="29.1" customHeight="1" x14ac:dyDescent="0.25">
      <c r="A8931" s="2" t="s">
        <v>18489</v>
      </c>
      <c r="B8931" s="2" t="s">
        <v>18490</v>
      </c>
      <c r="C8931" s="2" t="s">
        <v>732</v>
      </c>
      <c r="D8931" s="2" t="s">
        <v>937</v>
      </c>
      <c r="E8931" s="2" t="str">
        <f>"9781776342211"</f>
        <v>9781776342211</v>
      </c>
      <c r="F8931" s="2" t="str">
        <f>"9781776342228"</f>
        <v>9781776342228</v>
      </c>
    </row>
    <row r="8932" spans="1:6" s="3" customFormat="1" ht="29.1" customHeight="1" x14ac:dyDescent="0.25">
      <c r="A8932" s="2" t="s">
        <v>18491</v>
      </c>
      <c r="B8932" s="2" t="s">
        <v>18492</v>
      </c>
      <c r="C8932" s="2" t="s">
        <v>732</v>
      </c>
      <c r="D8932" s="2" t="s">
        <v>4214</v>
      </c>
      <c r="E8932" s="2" t="str">
        <f>"9781776342303"</f>
        <v>9781776342303</v>
      </c>
      <c r="F8932" s="2" t="str">
        <f>"9781776342310"</f>
        <v>9781776342310</v>
      </c>
    </row>
    <row r="8933" spans="1:6" s="3" customFormat="1" ht="29.1" customHeight="1" x14ac:dyDescent="0.25">
      <c r="A8933" s="2" t="s">
        <v>18493</v>
      </c>
      <c r="B8933" s="2" t="s">
        <v>18494</v>
      </c>
      <c r="C8933" s="2" t="s">
        <v>732</v>
      </c>
      <c r="D8933" s="2" t="s">
        <v>4214</v>
      </c>
      <c r="E8933" s="2" t="str">
        <f>"9781776342396"</f>
        <v>9781776342396</v>
      </c>
      <c r="F8933" s="2" t="str">
        <f>"9781776342402"</f>
        <v>9781776342402</v>
      </c>
    </row>
    <row r="8934" spans="1:6" s="3" customFormat="1" ht="29.1" customHeight="1" x14ac:dyDescent="0.25">
      <c r="A8934" s="2" t="s">
        <v>18495</v>
      </c>
      <c r="B8934" s="2" t="s">
        <v>18496</v>
      </c>
      <c r="C8934" s="2" t="s">
        <v>732</v>
      </c>
      <c r="D8934" s="2" t="s">
        <v>1141</v>
      </c>
      <c r="E8934" s="2" t="str">
        <f>"9781776342334"</f>
        <v>9781776342334</v>
      </c>
      <c r="F8934" s="2" t="str">
        <f>"9781776342341"</f>
        <v>9781776342341</v>
      </c>
    </row>
    <row r="8935" spans="1:6" s="3" customFormat="1" ht="29.1" customHeight="1" x14ac:dyDescent="0.25">
      <c r="A8935" s="2" t="s">
        <v>18497</v>
      </c>
      <c r="B8935" s="2" t="s">
        <v>18498</v>
      </c>
      <c r="C8935" s="2" t="s">
        <v>732</v>
      </c>
      <c r="D8935" s="2" t="s">
        <v>10685</v>
      </c>
      <c r="E8935" s="2" t="str">
        <f>"9781776342150"</f>
        <v>9781776342150</v>
      </c>
      <c r="F8935" s="2" t="str">
        <f>"9781776342167"</f>
        <v>9781776342167</v>
      </c>
    </row>
    <row r="8936" spans="1:6" s="3" customFormat="1" ht="29.1" customHeight="1" x14ac:dyDescent="0.25">
      <c r="A8936" s="2" t="s">
        <v>18499</v>
      </c>
      <c r="B8936" s="2" t="s">
        <v>18501</v>
      </c>
      <c r="C8936" s="2" t="s">
        <v>732</v>
      </c>
      <c r="D8936" s="2" t="s">
        <v>18500</v>
      </c>
      <c r="E8936" s="2" t="str">
        <f>"9781776342273"</f>
        <v>9781776342273</v>
      </c>
      <c r="F8936" s="2" t="str">
        <f>"9781776342280"</f>
        <v>9781776342280</v>
      </c>
    </row>
    <row r="8937" spans="1:6" s="3" customFormat="1" ht="29.1" customHeight="1" x14ac:dyDescent="0.25">
      <c r="A8937" s="2" t="s">
        <v>18502</v>
      </c>
      <c r="B8937" s="2" t="s">
        <v>18503</v>
      </c>
      <c r="C8937" s="2" t="s">
        <v>732</v>
      </c>
      <c r="D8937" s="2" t="s">
        <v>836</v>
      </c>
      <c r="E8937" s="2" t="str">
        <f>"9781776342181"</f>
        <v>9781776342181</v>
      </c>
      <c r="F8937" s="2" t="str">
        <f>"9781776342198"</f>
        <v>9781776342198</v>
      </c>
    </row>
    <row r="8938" spans="1:6" s="3" customFormat="1" ht="29.1" customHeight="1" x14ac:dyDescent="0.25">
      <c r="A8938" s="2" t="s">
        <v>18504</v>
      </c>
      <c r="B8938" s="2" t="s">
        <v>18505</v>
      </c>
      <c r="C8938" s="2" t="s">
        <v>5</v>
      </c>
      <c r="D8938" s="2" t="s">
        <v>2861</v>
      </c>
      <c r="E8938" s="2" t="str">
        <f>"9783031447914"</f>
        <v>9783031447914</v>
      </c>
      <c r="F8938" s="2" t="str">
        <f>"9783031447921"</f>
        <v>9783031447921</v>
      </c>
    </row>
    <row r="8939" spans="1:6" s="3" customFormat="1" ht="29.1" customHeight="1" x14ac:dyDescent="0.25">
      <c r="A8939" s="2" t="s">
        <v>18506</v>
      </c>
      <c r="B8939" s="2" t="s">
        <v>18507</v>
      </c>
      <c r="C8939" s="2" t="s">
        <v>5</v>
      </c>
      <c r="D8939" s="2" t="s">
        <v>4210</v>
      </c>
      <c r="E8939" s="2" t="str">
        <f>"9783031374340"</f>
        <v>9783031374340</v>
      </c>
      <c r="F8939" s="2" t="str">
        <f>"9783031374357"</f>
        <v>9783031374357</v>
      </c>
    </row>
    <row r="8940" spans="1:6" s="3" customFormat="1" ht="29.1" customHeight="1" x14ac:dyDescent="0.25">
      <c r="A8940" s="2" t="s">
        <v>18508</v>
      </c>
      <c r="B8940" s="2" t="s">
        <v>18509</v>
      </c>
      <c r="C8940" s="2" t="s">
        <v>5</v>
      </c>
      <c r="D8940" s="2" t="s">
        <v>6</v>
      </c>
      <c r="E8940" s="2" t="str">
        <f>"9783662671399"</f>
        <v>9783662671399</v>
      </c>
      <c r="F8940" s="2" t="str">
        <f>"9783662671405"</f>
        <v>9783662671405</v>
      </c>
    </row>
    <row r="8941" spans="1:6" s="3" customFormat="1" ht="29.1" customHeight="1" x14ac:dyDescent="0.25">
      <c r="A8941" s="2" t="s">
        <v>18510</v>
      </c>
      <c r="B8941" s="2" t="s">
        <v>18511</v>
      </c>
      <c r="C8941" s="2" t="s">
        <v>5</v>
      </c>
      <c r="D8941" s="2" t="s">
        <v>12</v>
      </c>
      <c r="E8941" s="2" t="str">
        <f>"9782384761111"</f>
        <v>9782384761111</v>
      </c>
      <c r="F8941" s="2" t="str">
        <f>"9782384761128"</f>
        <v>9782384761128</v>
      </c>
    </row>
    <row r="8942" spans="1:6" s="3" customFormat="1" ht="29.1" customHeight="1" x14ac:dyDescent="0.25">
      <c r="A8942" s="2" t="s">
        <v>18512</v>
      </c>
      <c r="B8942" s="2" t="s">
        <v>18513</v>
      </c>
      <c r="C8942" s="2" t="s">
        <v>5</v>
      </c>
      <c r="D8942" s="2" t="s">
        <v>86</v>
      </c>
      <c r="E8942" s="2" t="str">
        <f>"9783031445453"</f>
        <v>9783031445453</v>
      </c>
      <c r="F8942" s="2" t="str">
        <f>"9783031445460"</f>
        <v>9783031445460</v>
      </c>
    </row>
    <row r="8943" spans="1:6" s="3" customFormat="1" ht="29.1" customHeight="1" x14ac:dyDescent="0.25">
      <c r="A8943" s="2" t="s">
        <v>18514</v>
      </c>
      <c r="B8943" s="2" t="s">
        <v>18515</v>
      </c>
      <c r="C8943" s="2" t="s">
        <v>5</v>
      </c>
      <c r="D8943" s="2" t="s">
        <v>294</v>
      </c>
      <c r="E8943" s="2" t="str">
        <f>"9782384761494"</f>
        <v>9782384761494</v>
      </c>
      <c r="F8943" s="2" t="str">
        <f>"9782384761500"</f>
        <v>9782384761500</v>
      </c>
    </row>
    <row r="8944" spans="1:6" s="3" customFormat="1" ht="29.1" customHeight="1" x14ac:dyDescent="0.25">
      <c r="A8944" s="2" t="s">
        <v>18516</v>
      </c>
      <c r="B8944" s="2" t="s">
        <v>18517</v>
      </c>
      <c r="C8944" s="2" t="s">
        <v>5</v>
      </c>
      <c r="D8944" s="2" t="s">
        <v>712</v>
      </c>
      <c r="E8944" s="2" t="str">
        <f>"9782384760152"</f>
        <v>9782384760152</v>
      </c>
      <c r="F8944" s="2" t="str">
        <f>"9782384760169"</f>
        <v>9782384760169</v>
      </c>
    </row>
    <row r="8945" spans="1:6" s="3" customFormat="1" ht="29.1" customHeight="1" x14ac:dyDescent="0.25">
      <c r="A8945" s="2" t="s">
        <v>18518</v>
      </c>
      <c r="B8945" s="2" t="s">
        <v>18519</v>
      </c>
      <c r="C8945" s="2" t="s">
        <v>5</v>
      </c>
      <c r="D8945" s="2" t="s">
        <v>144</v>
      </c>
      <c r="E8945" s="2" t="str">
        <f>"9789464633030"</f>
        <v>9789464633030</v>
      </c>
      <c r="F8945" s="2" t="str">
        <f>"9789464633047"</f>
        <v>9789464633047</v>
      </c>
    </row>
    <row r="8946" spans="1:6" s="3" customFormat="1" ht="29.1" customHeight="1" x14ac:dyDescent="0.25">
      <c r="A8946" s="2" t="s">
        <v>18520</v>
      </c>
      <c r="B8946" s="2" t="s">
        <v>18521</v>
      </c>
      <c r="C8946" s="2" t="s">
        <v>5</v>
      </c>
      <c r="D8946" s="2" t="s">
        <v>321</v>
      </c>
      <c r="E8946" s="2" t="str">
        <f>"9783662669976"</f>
        <v>9783662669976</v>
      </c>
      <c r="F8946" s="2" t="str">
        <f>"9783662669983"</f>
        <v>9783662669983</v>
      </c>
    </row>
    <row r="8947" spans="1:6" s="3" customFormat="1" ht="29.1" customHeight="1" x14ac:dyDescent="0.25">
      <c r="A8947" s="2" t="s">
        <v>18522</v>
      </c>
      <c r="B8947" s="2" t="s">
        <v>18523</v>
      </c>
      <c r="C8947" s="2" t="s">
        <v>5</v>
      </c>
      <c r="D8947" s="2" t="s">
        <v>9</v>
      </c>
      <c r="E8947" s="2" t="str">
        <f>"9782384761135"</f>
        <v>9782384761135</v>
      </c>
      <c r="F8947" s="2" t="str">
        <f>"9782384761142"</f>
        <v>9782384761142</v>
      </c>
    </row>
    <row r="8948" spans="1:6" s="3" customFormat="1" ht="29.1" customHeight="1" x14ac:dyDescent="0.25">
      <c r="A8948" s="2" t="s">
        <v>18524</v>
      </c>
      <c r="B8948" s="2" t="s">
        <v>18525</v>
      </c>
      <c r="C8948" s="2" t="s">
        <v>5</v>
      </c>
      <c r="D8948" s="2" t="s">
        <v>2391</v>
      </c>
      <c r="E8948" s="2" t="str">
        <f>"9789464632958"</f>
        <v>9789464632958</v>
      </c>
      <c r="F8948" s="2" t="str">
        <f>"9789464632965"</f>
        <v>9789464632965</v>
      </c>
    </row>
    <row r="8949" spans="1:6" s="3" customFormat="1" ht="29.1" customHeight="1" x14ac:dyDescent="0.25">
      <c r="A8949" s="2" t="s">
        <v>18526</v>
      </c>
      <c r="B8949" s="2" t="s">
        <v>18527</v>
      </c>
      <c r="C8949" s="2" t="s">
        <v>5</v>
      </c>
      <c r="D8949" s="2" t="s">
        <v>89</v>
      </c>
      <c r="E8949" s="2" t="str">
        <f>"9783031462818"</f>
        <v>9783031462818</v>
      </c>
      <c r="F8949" s="2" t="str">
        <f>"9783031462825"</f>
        <v>9783031462825</v>
      </c>
    </row>
    <row r="8950" spans="1:6" s="3" customFormat="1" ht="29.1" customHeight="1" x14ac:dyDescent="0.25">
      <c r="A8950" s="2" t="s">
        <v>18528</v>
      </c>
      <c r="B8950" s="2" t="s">
        <v>18530</v>
      </c>
      <c r="C8950" s="2" t="s">
        <v>18529</v>
      </c>
      <c r="D8950" s="2" t="s">
        <v>10883</v>
      </c>
      <c r="E8950" s="2"/>
      <c r="F8950" s="2" t="str">
        <f>"9786052238646"</f>
        <v>9786052238646</v>
      </c>
    </row>
    <row r="8951" spans="1:6" s="3" customFormat="1" ht="29.1" customHeight="1" x14ac:dyDescent="0.25">
      <c r="A8951" s="2" t="s">
        <v>18531</v>
      </c>
      <c r="B8951" s="2" t="s">
        <v>18532</v>
      </c>
      <c r="C8951" s="2" t="s">
        <v>18529</v>
      </c>
      <c r="D8951" s="2" t="s">
        <v>10407</v>
      </c>
      <c r="E8951" s="2"/>
      <c r="F8951" s="2" t="str">
        <f>"9786052238639"</f>
        <v>9786052238639</v>
      </c>
    </row>
    <row r="8952" spans="1:6" s="3" customFormat="1" ht="29.1" customHeight="1" x14ac:dyDescent="0.25">
      <c r="A8952" s="2" t="s">
        <v>18533</v>
      </c>
      <c r="B8952" s="2" t="s">
        <v>18535</v>
      </c>
      <c r="C8952" s="2" t="s">
        <v>18529</v>
      </c>
      <c r="D8952" s="2" t="s">
        <v>18534</v>
      </c>
      <c r="E8952" s="2"/>
      <c r="F8952" s="2" t="str">
        <f>"9786052238622"</f>
        <v>9786052238622</v>
      </c>
    </row>
    <row r="8953" spans="1:6" s="3" customFormat="1" ht="29.1" customHeight="1" x14ac:dyDescent="0.25">
      <c r="A8953" s="2" t="s">
        <v>18536</v>
      </c>
      <c r="B8953" s="2" t="s">
        <v>18538</v>
      </c>
      <c r="C8953" s="2" t="s">
        <v>18537</v>
      </c>
      <c r="D8953" s="2" t="s">
        <v>951</v>
      </c>
      <c r="E8953" s="2"/>
      <c r="F8953" s="2" t="str">
        <f>"9780311000531"</f>
        <v>9780311000531</v>
      </c>
    </row>
    <row r="8954" spans="1:6" s="3" customFormat="1" ht="29.1" customHeight="1" x14ac:dyDescent="0.25">
      <c r="A8954" s="2" t="s">
        <v>18539</v>
      </c>
      <c r="B8954" s="2" t="s">
        <v>18540</v>
      </c>
      <c r="C8954" s="2" t="s">
        <v>29</v>
      </c>
      <c r="D8954" s="2" t="s">
        <v>324</v>
      </c>
      <c r="E8954" s="2" t="str">
        <f>"9789004679351"</f>
        <v>9789004679351</v>
      </c>
      <c r="F8954" s="2" t="str">
        <f>"9789004679375"</f>
        <v>9789004679375</v>
      </c>
    </row>
    <row r="8955" spans="1:6" s="3" customFormat="1" ht="29.1" customHeight="1" x14ac:dyDescent="0.25">
      <c r="A8955" s="2" t="s">
        <v>18541</v>
      </c>
      <c r="B8955" s="2" t="s">
        <v>18542</v>
      </c>
      <c r="C8955" s="2" t="s">
        <v>595</v>
      </c>
      <c r="D8955" s="2" t="s">
        <v>4517</v>
      </c>
      <c r="E8955" s="2" t="str">
        <f>"9783034347143"</f>
        <v>9783034347143</v>
      </c>
      <c r="F8955" s="2" t="str">
        <f>"9783034347150"</f>
        <v>9783034347150</v>
      </c>
    </row>
    <row r="8956" spans="1:6" s="3" customFormat="1" ht="29.1" customHeight="1" x14ac:dyDescent="0.25">
      <c r="A8956" s="2" t="s">
        <v>18543</v>
      </c>
      <c r="B8956" s="2" t="s">
        <v>18545</v>
      </c>
      <c r="C8956" s="2" t="s">
        <v>595</v>
      </c>
      <c r="D8956" s="2" t="s">
        <v>18544</v>
      </c>
      <c r="E8956" s="2" t="str">
        <f>"9783631895887"</f>
        <v>9783631895887</v>
      </c>
      <c r="F8956" s="2" t="str">
        <f>"9783631909980"</f>
        <v>9783631909980</v>
      </c>
    </row>
    <row r="8957" spans="1:6" s="3" customFormat="1" ht="29.1" customHeight="1" x14ac:dyDescent="0.25">
      <c r="A8957" s="2" t="s">
        <v>18546</v>
      </c>
      <c r="B8957" s="2" t="s">
        <v>18547</v>
      </c>
      <c r="C8957" s="2" t="s">
        <v>327</v>
      </c>
      <c r="D8957" s="2" t="s">
        <v>2048</v>
      </c>
      <c r="E8957" s="2" t="str">
        <f>"9788383313696"</f>
        <v>9788383313696</v>
      </c>
      <c r="F8957" s="2" t="str">
        <f>"9788383313078"</f>
        <v>9788383313078</v>
      </c>
    </row>
    <row r="8958" spans="1:6" s="3" customFormat="1" ht="29.1" customHeight="1" x14ac:dyDescent="0.25">
      <c r="A8958" s="2" t="s">
        <v>18548</v>
      </c>
      <c r="B8958" s="2" t="s">
        <v>18549</v>
      </c>
      <c r="C8958" s="2" t="s">
        <v>327</v>
      </c>
      <c r="D8958" s="2" t="s">
        <v>210</v>
      </c>
      <c r="E8958" s="2" t="str">
        <f>"9788383313030"</f>
        <v>9788383313030</v>
      </c>
      <c r="F8958" s="2" t="str">
        <f>"9788383313047"</f>
        <v>9788383313047</v>
      </c>
    </row>
    <row r="8959" spans="1:6" s="3" customFormat="1" ht="29.1" customHeight="1" x14ac:dyDescent="0.25">
      <c r="A8959" s="2" t="s">
        <v>18550</v>
      </c>
      <c r="B8959" s="2" t="s">
        <v>18551</v>
      </c>
      <c r="C8959" s="2" t="s">
        <v>327</v>
      </c>
      <c r="D8959" s="2" t="s">
        <v>186</v>
      </c>
      <c r="E8959" s="2" t="str">
        <f>"9788383312453"</f>
        <v>9788383312453</v>
      </c>
      <c r="F8959" s="2" t="str">
        <f>"9788383313177"</f>
        <v>9788383313177</v>
      </c>
    </row>
    <row r="8960" spans="1:6" s="3" customFormat="1" ht="29.1" customHeight="1" x14ac:dyDescent="0.25">
      <c r="A8960" s="2" t="s">
        <v>18552</v>
      </c>
      <c r="B8960" s="2" t="s">
        <v>4062</v>
      </c>
      <c r="C8960" s="2" t="s">
        <v>29</v>
      </c>
      <c r="D8960" s="2" t="s">
        <v>1541</v>
      </c>
      <c r="E8960" s="2" t="str">
        <f>"9789086863907"</f>
        <v>9789086863907</v>
      </c>
      <c r="F8960" s="2" t="str">
        <f>"9789086869435"</f>
        <v>9789086869435</v>
      </c>
    </row>
    <row r="8961" spans="1:6" s="3" customFormat="1" ht="29.1" customHeight="1" x14ac:dyDescent="0.25">
      <c r="A8961" s="2" t="s">
        <v>18553</v>
      </c>
      <c r="B8961" s="2" t="s">
        <v>18554</v>
      </c>
      <c r="C8961" s="2" t="s">
        <v>29</v>
      </c>
      <c r="D8961" s="2" t="s">
        <v>462</v>
      </c>
      <c r="E8961" s="2" t="str">
        <f>"9789004411432"</f>
        <v>9789004411432</v>
      </c>
      <c r="F8961" s="2" t="str">
        <f>"9789004411449"</f>
        <v>9789004411449</v>
      </c>
    </row>
    <row r="8962" spans="1:6" s="3" customFormat="1" ht="29.1" customHeight="1" x14ac:dyDescent="0.25">
      <c r="A8962" s="2" t="s">
        <v>18555</v>
      </c>
      <c r="B8962" s="2" t="s">
        <v>18556</v>
      </c>
      <c r="C8962" s="2" t="s">
        <v>5</v>
      </c>
      <c r="D8962" s="2" t="s">
        <v>4262</v>
      </c>
      <c r="E8962" s="2" t="str">
        <f>"9789819978748"</f>
        <v>9789819978748</v>
      </c>
      <c r="F8962" s="2" t="str">
        <f>"9789819978755"</f>
        <v>9789819978755</v>
      </c>
    </row>
    <row r="8963" spans="1:6" s="3" customFormat="1" ht="29.1" customHeight="1" x14ac:dyDescent="0.25">
      <c r="A8963" s="2" t="s">
        <v>18557</v>
      </c>
      <c r="B8963" s="2" t="s">
        <v>18558</v>
      </c>
      <c r="C8963" s="2" t="s">
        <v>5</v>
      </c>
      <c r="D8963" s="2" t="s">
        <v>141</v>
      </c>
      <c r="E8963" s="2" t="str">
        <f>"9789464633016"</f>
        <v>9789464633016</v>
      </c>
      <c r="F8963" s="2" t="str">
        <f>"9789464633023"</f>
        <v>9789464633023</v>
      </c>
    </row>
    <row r="8964" spans="1:6" s="3" customFormat="1" ht="29.1" customHeight="1" x14ac:dyDescent="0.25">
      <c r="A8964" s="2" t="s">
        <v>18559</v>
      </c>
      <c r="B8964" s="2" t="s">
        <v>18560</v>
      </c>
      <c r="C8964" s="2" t="s">
        <v>5</v>
      </c>
      <c r="D8964" s="2" t="s">
        <v>141</v>
      </c>
      <c r="E8964" s="2" t="str">
        <f>"9789464632972"</f>
        <v>9789464632972</v>
      </c>
      <c r="F8964" s="2" t="str">
        <f>"9789464632989"</f>
        <v>9789464632989</v>
      </c>
    </row>
    <row r="8965" spans="1:6" s="3" customFormat="1" ht="29.1" customHeight="1" x14ac:dyDescent="0.25">
      <c r="A8965" s="2" t="s">
        <v>18561</v>
      </c>
      <c r="B8965" s="2" t="s">
        <v>18562</v>
      </c>
      <c r="C8965" s="2" t="s">
        <v>29</v>
      </c>
      <c r="D8965" s="2" t="s">
        <v>24</v>
      </c>
      <c r="E8965" s="2" t="str">
        <f>"9789004465909"</f>
        <v>9789004465909</v>
      </c>
      <c r="F8965" s="2" t="str">
        <f>"9789004465916"</f>
        <v>9789004465916</v>
      </c>
    </row>
    <row r="8966" spans="1:6" s="3" customFormat="1" ht="29.1" customHeight="1" x14ac:dyDescent="0.25">
      <c r="A8966" s="2" t="s">
        <v>18563</v>
      </c>
      <c r="B8966" s="2" t="s">
        <v>18564</v>
      </c>
      <c r="C8966" s="2" t="s">
        <v>29</v>
      </c>
      <c r="D8966" s="2" t="s">
        <v>1025</v>
      </c>
      <c r="E8966" s="2" t="str">
        <f>"9789004465091"</f>
        <v>9789004465091</v>
      </c>
      <c r="F8966" s="2" t="str">
        <f>"9789004465107"</f>
        <v>9789004465107</v>
      </c>
    </row>
    <row r="8967" spans="1:6" s="3" customFormat="1" ht="29.1" customHeight="1" x14ac:dyDescent="0.25">
      <c r="A8967" s="2" t="s">
        <v>18565</v>
      </c>
      <c r="B8967" s="2" t="s">
        <v>18566</v>
      </c>
      <c r="C8967" s="2" t="s">
        <v>29</v>
      </c>
      <c r="D8967" s="2" t="s">
        <v>1432</v>
      </c>
      <c r="E8967" s="2" t="str">
        <f>"9789004462168"</f>
        <v>9789004462168</v>
      </c>
      <c r="F8967" s="2" t="str">
        <f>"9789004462175"</f>
        <v>9789004462175</v>
      </c>
    </row>
    <row r="8968" spans="1:6" s="3" customFormat="1" ht="29.1" customHeight="1" x14ac:dyDescent="0.25">
      <c r="A8968" s="2" t="s">
        <v>18567</v>
      </c>
      <c r="B8968" s="2" t="s">
        <v>18568</v>
      </c>
      <c r="C8968" s="2" t="s">
        <v>29</v>
      </c>
      <c r="D8968" s="2" t="s">
        <v>1432</v>
      </c>
      <c r="E8968" s="2" t="str">
        <f>"9789004461291"</f>
        <v>9789004461291</v>
      </c>
      <c r="F8968" s="2" t="str">
        <f>"9789004461321"</f>
        <v>9789004461321</v>
      </c>
    </row>
    <row r="8969" spans="1:6" s="3" customFormat="1" ht="29.1" customHeight="1" x14ac:dyDescent="0.25">
      <c r="A8969" s="2" t="s">
        <v>18569</v>
      </c>
      <c r="B8969" s="2" t="s">
        <v>18570</v>
      </c>
      <c r="C8969" s="2" t="s">
        <v>29</v>
      </c>
      <c r="D8969" s="2" t="s">
        <v>2175</v>
      </c>
      <c r="E8969" s="2" t="str">
        <f>"9789004461260"</f>
        <v>9789004461260</v>
      </c>
      <c r="F8969" s="2" t="str">
        <f>"9789004461277"</f>
        <v>9789004461277</v>
      </c>
    </row>
    <row r="8970" spans="1:6" s="3" customFormat="1" ht="29.1" customHeight="1" x14ac:dyDescent="0.25">
      <c r="A8970" s="2" t="s">
        <v>18571</v>
      </c>
      <c r="B8970" s="2" t="s">
        <v>13815</v>
      </c>
      <c r="C8970" s="2" t="s">
        <v>29</v>
      </c>
      <c r="D8970" s="2" t="s">
        <v>428</v>
      </c>
      <c r="E8970" s="2" t="str">
        <f>"9789004462915"</f>
        <v>9789004462915</v>
      </c>
      <c r="F8970" s="2" t="str">
        <f>"9789004463288"</f>
        <v>9789004463288</v>
      </c>
    </row>
    <row r="8971" spans="1:6" s="3" customFormat="1" ht="29.1" customHeight="1" x14ac:dyDescent="0.25">
      <c r="A8971" s="2" t="s">
        <v>18572</v>
      </c>
      <c r="B8971" s="2" t="s">
        <v>18573</v>
      </c>
      <c r="C8971" s="2" t="s">
        <v>29</v>
      </c>
      <c r="D8971" s="2" t="s">
        <v>402</v>
      </c>
      <c r="E8971" s="2" t="str">
        <f>"9789004459762"</f>
        <v>9789004459762</v>
      </c>
      <c r="F8971" s="2" t="str">
        <f>"9789004459779"</f>
        <v>9789004459779</v>
      </c>
    </row>
    <row r="8972" spans="1:6" s="3" customFormat="1" ht="29.1" customHeight="1" x14ac:dyDescent="0.25">
      <c r="A8972" s="2" t="s">
        <v>18574</v>
      </c>
      <c r="B8972" s="2" t="s">
        <v>10946</v>
      </c>
      <c r="C8972" s="2" t="s">
        <v>29</v>
      </c>
      <c r="D8972" s="2" t="s">
        <v>509</v>
      </c>
      <c r="E8972" s="2" t="str">
        <f>"9789004461406"</f>
        <v>9789004461406</v>
      </c>
      <c r="F8972" s="2" t="str">
        <f>"9789004463103"</f>
        <v>9789004463103</v>
      </c>
    </row>
    <row r="8973" spans="1:6" s="3" customFormat="1" ht="29.1" customHeight="1" x14ac:dyDescent="0.25">
      <c r="A8973" s="2" t="s">
        <v>18575</v>
      </c>
      <c r="B8973" s="2" t="s">
        <v>18576</v>
      </c>
      <c r="C8973" s="2" t="s">
        <v>29</v>
      </c>
      <c r="D8973" s="2" t="s">
        <v>522</v>
      </c>
      <c r="E8973" s="2" t="str">
        <f>"9789004464902"</f>
        <v>9789004464902</v>
      </c>
      <c r="F8973" s="2" t="str">
        <f>"9789004465480"</f>
        <v>9789004465480</v>
      </c>
    </row>
    <row r="8974" spans="1:6" s="3" customFormat="1" ht="29.1" customHeight="1" x14ac:dyDescent="0.25">
      <c r="A8974" s="2" t="s">
        <v>18577</v>
      </c>
      <c r="B8974" s="2" t="s">
        <v>18578</v>
      </c>
      <c r="C8974" s="2" t="s">
        <v>29</v>
      </c>
      <c r="D8974" s="2" t="s">
        <v>9968</v>
      </c>
      <c r="E8974" s="2" t="str">
        <f>"9789004449817"</f>
        <v>9789004449817</v>
      </c>
      <c r="F8974" s="2" t="str">
        <f>"9789004467057"</f>
        <v>9789004467057</v>
      </c>
    </row>
    <row r="8975" spans="1:6" s="3" customFormat="1" ht="29.1" customHeight="1" x14ac:dyDescent="0.25">
      <c r="A8975" s="2" t="s">
        <v>18579</v>
      </c>
      <c r="B8975" s="2" t="s">
        <v>18580</v>
      </c>
      <c r="C8975" s="2" t="s">
        <v>29</v>
      </c>
      <c r="D8975" s="2" t="s">
        <v>509</v>
      </c>
      <c r="E8975" s="2" t="str">
        <f>"9789004448889"</f>
        <v>9789004448889</v>
      </c>
      <c r="F8975" s="2" t="str">
        <f>"9789004448896"</f>
        <v>9789004448896</v>
      </c>
    </row>
    <row r="8976" spans="1:6" s="3" customFormat="1" ht="29.1" customHeight="1" x14ac:dyDescent="0.25">
      <c r="A8976" s="2" t="s">
        <v>18581</v>
      </c>
      <c r="B8976" s="2" t="s">
        <v>18582</v>
      </c>
      <c r="C8976" s="2" t="s">
        <v>29</v>
      </c>
      <c r="D8976" s="2" t="s">
        <v>689</v>
      </c>
      <c r="E8976" s="2" t="str">
        <f>"9789004460195"</f>
        <v>9789004460195</v>
      </c>
      <c r="F8976" s="2" t="str">
        <f>"9789004466227"</f>
        <v>9789004466227</v>
      </c>
    </row>
    <row r="8977" spans="1:6" s="3" customFormat="1" ht="29.1" customHeight="1" x14ac:dyDescent="0.25">
      <c r="A8977" s="2" t="s">
        <v>18583</v>
      </c>
      <c r="B8977" s="2" t="s">
        <v>18584</v>
      </c>
      <c r="C8977" s="2" t="s">
        <v>29</v>
      </c>
      <c r="D8977" s="2" t="s">
        <v>428</v>
      </c>
      <c r="E8977" s="2" t="str">
        <f>"9789004448162"</f>
        <v>9789004448162</v>
      </c>
      <c r="F8977" s="2" t="str">
        <f>"9789004461444"</f>
        <v>9789004461444</v>
      </c>
    </row>
    <row r="8978" spans="1:6" s="3" customFormat="1" ht="29.1" customHeight="1" x14ac:dyDescent="0.25">
      <c r="A8978" s="2" t="s">
        <v>18585</v>
      </c>
      <c r="B8978" s="2" t="s">
        <v>18586</v>
      </c>
      <c r="C8978" s="2" t="s">
        <v>29</v>
      </c>
      <c r="D8978" s="2" t="s">
        <v>522</v>
      </c>
      <c r="E8978" s="2" t="str">
        <f>"9789004453807"</f>
        <v>9789004453807</v>
      </c>
      <c r="F8978" s="2" t="str">
        <f>"9789004471023"</f>
        <v>9789004471023</v>
      </c>
    </row>
    <row r="8979" spans="1:6" s="3" customFormat="1" ht="29.1" customHeight="1" x14ac:dyDescent="0.25">
      <c r="A8979" s="2" t="s">
        <v>18587</v>
      </c>
      <c r="B8979" s="2" t="s">
        <v>18588</v>
      </c>
      <c r="C8979" s="2" t="s">
        <v>29</v>
      </c>
      <c r="D8979" s="2" t="s">
        <v>903</v>
      </c>
      <c r="E8979" s="2" t="str">
        <f>"9789004448179"</f>
        <v>9789004448179</v>
      </c>
      <c r="F8979" s="2" t="str">
        <f>"9789004448186"</f>
        <v>9789004448186</v>
      </c>
    </row>
    <row r="8980" spans="1:6" s="3" customFormat="1" ht="29.1" customHeight="1" x14ac:dyDescent="0.25">
      <c r="A8980" s="2" t="s">
        <v>18589</v>
      </c>
      <c r="B8980" s="2" t="s">
        <v>18590</v>
      </c>
      <c r="C8980" s="2" t="s">
        <v>29</v>
      </c>
      <c r="D8980" s="2" t="s">
        <v>192</v>
      </c>
      <c r="E8980" s="2" t="str">
        <f>"9789004440524"</f>
        <v>9789004440524</v>
      </c>
      <c r="F8980" s="2" t="str">
        <f>"9789004440531"</f>
        <v>9789004440531</v>
      </c>
    </row>
    <row r="8981" spans="1:6" s="3" customFormat="1" ht="29.1" customHeight="1" x14ac:dyDescent="0.25">
      <c r="A8981" s="2" t="s">
        <v>18591</v>
      </c>
      <c r="B8981" s="2" t="s">
        <v>18592</v>
      </c>
      <c r="C8981" s="2" t="s">
        <v>29</v>
      </c>
      <c r="D8981" s="2" t="s">
        <v>1466</v>
      </c>
      <c r="E8981" s="2" t="str">
        <f>"9789004464025"</f>
        <v>9789004464025</v>
      </c>
      <c r="F8981" s="2" t="str">
        <f>"9789004469617"</f>
        <v>9789004469617</v>
      </c>
    </row>
    <row r="8982" spans="1:6" s="3" customFormat="1" ht="29.1" customHeight="1" x14ac:dyDescent="0.25">
      <c r="A8982" s="2" t="s">
        <v>18593</v>
      </c>
      <c r="B8982" s="2" t="s">
        <v>18594</v>
      </c>
      <c r="C8982" s="2" t="s">
        <v>29</v>
      </c>
      <c r="D8982" s="2" t="s">
        <v>428</v>
      </c>
      <c r="E8982" s="2" t="str">
        <f>"9789004434899"</f>
        <v>9789004434899</v>
      </c>
      <c r="F8982" s="2" t="str">
        <f>"9789004441095"</f>
        <v>9789004441095</v>
      </c>
    </row>
    <row r="8983" spans="1:6" s="3" customFormat="1" ht="29.1" customHeight="1" x14ac:dyDescent="0.25">
      <c r="A8983" s="2" t="s">
        <v>18595</v>
      </c>
      <c r="B8983" s="2" t="s">
        <v>18596</v>
      </c>
      <c r="C8983" s="2" t="s">
        <v>29</v>
      </c>
      <c r="D8983" s="2" t="s">
        <v>402</v>
      </c>
      <c r="E8983" s="2" t="str">
        <f>"9789004425255"</f>
        <v>9789004425255</v>
      </c>
      <c r="F8983" s="2" t="str">
        <f>"9789004435544"</f>
        <v>9789004435544</v>
      </c>
    </row>
    <row r="8984" spans="1:6" s="3" customFormat="1" ht="29.1" customHeight="1" x14ac:dyDescent="0.25">
      <c r="A8984" s="2" t="s">
        <v>18597</v>
      </c>
      <c r="B8984" s="2" t="s">
        <v>18598</v>
      </c>
      <c r="C8984" s="2" t="s">
        <v>29</v>
      </c>
      <c r="D8984" s="2" t="s">
        <v>3328</v>
      </c>
      <c r="E8984" s="2" t="str">
        <f>"9789004446786"</f>
        <v>9789004446786</v>
      </c>
      <c r="F8984" s="2" t="str">
        <f>"9789004446793"</f>
        <v>9789004446793</v>
      </c>
    </row>
    <row r="8985" spans="1:6" s="3" customFormat="1" ht="29.1" customHeight="1" x14ac:dyDescent="0.25">
      <c r="A8985" s="2" t="s">
        <v>18599</v>
      </c>
      <c r="B8985" s="2" t="s">
        <v>18600</v>
      </c>
      <c r="C8985" s="2" t="s">
        <v>29</v>
      </c>
      <c r="D8985" s="2" t="s">
        <v>1432</v>
      </c>
      <c r="E8985" s="2" t="str">
        <f>"9789004437937"</f>
        <v>9789004437937</v>
      </c>
      <c r="F8985" s="2" t="str">
        <f>"9789004437944"</f>
        <v>9789004437944</v>
      </c>
    </row>
    <row r="8986" spans="1:6" s="3" customFormat="1" ht="29.1" customHeight="1" x14ac:dyDescent="0.25">
      <c r="A8986" s="2" t="s">
        <v>18601</v>
      </c>
      <c r="B8986" s="2" t="s">
        <v>18602</v>
      </c>
      <c r="C8986" s="2" t="s">
        <v>29</v>
      </c>
      <c r="D8986" s="2" t="s">
        <v>402</v>
      </c>
      <c r="E8986" s="2" t="str">
        <f>"9789004415300"</f>
        <v>9789004415300</v>
      </c>
      <c r="F8986" s="2" t="str">
        <f>"9789004417434"</f>
        <v>9789004417434</v>
      </c>
    </row>
    <row r="8987" spans="1:6" s="3" customFormat="1" ht="29.1" customHeight="1" x14ac:dyDescent="0.25">
      <c r="A8987" s="2" t="s">
        <v>18603</v>
      </c>
      <c r="B8987" s="2" t="s">
        <v>18604</v>
      </c>
      <c r="C8987" s="2" t="s">
        <v>29</v>
      </c>
      <c r="D8987" s="2" t="s">
        <v>6669</v>
      </c>
      <c r="E8987" s="2" t="str">
        <f>"9789004297388"</f>
        <v>9789004297388</v>
      </c>
      <c r="F8987" s="2" t="str">
        <f>"9789004449909"</f>
        <v>9789004449909</v>
      </c>
    </row>
    <row r="8988" spans="1:6" s="3" customFormat="1" ht="29.1" customHeight="1" x14ac:dyDescent="0.25">
      <c r="A8988" s="2" t="s">
        <v>18605</v>
      </c>
      <c r="B8988" s="2" t="s">
        <v>18606</v>
      </c>
      <c r="C8988" s="2" t="s">
        <v>29</v>
      </c>
      <c r="D8988" s="2" t="s">
        <v>3345</v>
      </c>
      <c r="E8988" s="2" t="str">
        <f>"9789051839104"</f>
        <v>9789051839104</v>
      </c>
      <c r="F8988" s="2" t="str">
        <f>"9789004495968"</f>
        <v>9789004495968</v>
      </c>
    </row>
    <row r="8989" spans="1:6" s="3" customFormat="1" ht="29.1" customHeight="1" x14ac:dyDescent="0.25">
      <c r="A8989" s="2" t="s">
        <v>18607</v>
      </c>
      <c r="B8989" s="2" t="s">
        <v>18608</v>
      </c>
      <c r="C8989" s="2" t="s">
        <v>29</v>
      </c>
      <c r="D8989" s="2" t="s">
        <v>689</v>
      </c>
      <c r="E8989" s="2" t="str">
        <f>"9789042012202"</f>
        <v>9789042012202</v>
      </c>
      <c r="F8989" s="2" t="str">
        <f>"9789004496101"</f>
        <v>9789004496101</v>
      </c>
    </row>
    <row r="8990" spans="1:6" s="3" customFormat="1" ht="29.1" customHeight="1" x14ac:dyDescent="0.25">
      <c r="A8990" s="2" t="s">
        <v>18609</v>
      </c>
      <c r="B8990" s="2" t="s">
        <v>18606</v>
      </c>
      <c r="C8990" s="2" t="s">
        <v>29</v>
      </c>
      <c r="D8990" s="2" t="s">
        <v>10493</v>
      </c>
      <c r="E8990" s="2" t="str">
        <f>"9789042014077"</f>
        <v>9789042014077</v>
      </c>
      <c r="F8990" s="2" t="str">
        <f>"9789004496033"</f>
        <v>9789004496033</v>
      </c>
    </row>
    <row r="8991" spans="1:6" s="3" customFormat="1" ht="29.1" customHeight="1" x14ac:dyDescent="0.25">
      <c r="A8991" s="2" t="s">
        <v>18610</v>
      </c>
      <c r="B8991" s="2" t="s">
        <v>18611</v>
      </c>
      <c r="C8991" s="2" t="s">
        <v>5</v>
      </c>
      <c r="D8991" s="2" t="s">
        <v>12566</v>
      </c>
      <c r="E8991" s="2" t="str">
        <f>"9783031422041"</f>
        <v>9783031422041</v>
      </c>
      <c r="F8991" s="2" t="str">
        <f>"9783031422058"</f>
        <v>9783031422058</v>
      </c>
    </row>
    <row r="8992" spans="1:6" s="3" customFormat="1" ht="29.1" customHeight="1" x14ac:dyDescent="0.25">
      <c r="A8992" s="2" t="s">
        <v>18612</v>
      </c>
      <c r="B8992" s="2" t="s">
        <v>18613</v>
      </c>
      <c r="C8992" s="2" t="s">
        <v>5</v>
      </c>
      <c r="D8992" s="2" t="s">
        <v>183</v>
      </c>
      <c r="E8992" s="2" t="str">
        <f>"9783031262593"</f>
        <v>9783031262593</v>
      </c>
      <c r="F8992" s="2" t="str">
        <f>"9783031262609"</f>
        <v>9783031262609</v>
      </c>
    </row>
    <row r="8993" spans="1:6" s="3" customFormat="1" ht="29.1" customHeight="1" x14ac:dyDescent="0.25">
      <c r="A8993" s="2" t="s">
        <v>18614</v>
      </c>
      <c r="B8993" s="2" t="s">
        <v>18615</v>
      </c>
      <c r="C8993" s="2" t="s">
        <v>5</v>
      </c>
      <c r="D8993" s="2" t="s">
        <v>72</v>
      </c>
      <c r="E8993" s="2" t="str">
        <f>"9783031466052"</f>
        <v>9783031466052</v>
      </c>
      <c r="F8993" s="2" t="str">
        <f>"9783031466069"</f>
        <v>9783031466069</v>
      </c>
    </row>
    <row r="8994" spans="1:6" s="3" customFormat="1" ht="29.1" customHeight="1" x14ac:dyDescent="0.25">
      <c r="A8994" s="2" t="s">
        <v>18616</v>
      </c>
      <c r="B8994" s="2" t="s">
        <v>18617</v>
      </c>
      <c r="C8994" s="2" t="s">
        <v>29</v>
      </c>
      <c r="D8994" s="2" t="s">
        <v>509</v>
      </c>
      <c r="E8994" s="2" t="str">
        <f>"9789004381476"</f>
        <v>9789004381476</v>
      </c>
      <c r="F8994" s="2" t="str">
        <f>"9789004443761"</f>
        <v>9789004443761</v>
      </c>
    </row>
    <row r="8995" spans="1:6" s="3" customFormat="1" ht="29.1" customHeight="1" x14ac:dyDescent="0.25">
      <c r="A8995" s="2" t="s">
        <v>18618</v>
      </c>
      <c r="B8995" s="2" t="s">
        <v>18619</v>
      </c>
      <c r="C8995" s="2" t="s">
        <v>29</v>
      </c>
      <c r="D8995" s="2" t="s">
        <v>192</v>
      </c>
      <c r="E8995" s="2" t="str">
        <f>"9789004422414"</f>
        <v>9789004422414</v>
      </c>
      <c r="F8995" s="2" t="str">
        <f>"9789004422438"</f>
        <v>9789004422438</v>
      </c>
    </row>
    <row r="8996" spans="1:6" s="3" customFormat="1" ht="29.1" customHeight="1" x14ac:dyDescent="0.25">
      <c r="A8996" s="2" t="s">
        <v>18620</v>
      </c>
      <c r="B8996" s="2" t="s">
        <v>18621</v>
      </c>
      <c r="C8996" s="2" t="s">
        <v>29</v>
      </c>
      <c r="D8996" s="2" t="s">
        <v>210</v>
      </c>
      <c r="E8996" s="2" t="str">
        <f>"9789024713004"</f>
        <v>9789024713004</v>
      </c>
      <c r="F8996" s="2" t="str">
        <f>"9789004286917"</f>
        <v>9789004286917</v>
      </c>
    </row>
    <row r="8997" spans="1:6" s="3" customFormat="1" ht="29.1" customHeight="1" x14ac:dyDescent="0.25">
      <c r="A8997" s="2" t="s">
        <v>18622</v>
      </c>
      <c r="B8997" s="2" t="s">
        <v>18623</v>
      </c>
      <c r="C8997" s="2" t="s">
        <v>29</v>
      </c>
      <c r="D8997" s="2" t="s">
        <v>192</v>
      </c>
      <c r="E8997" s="2" t="str">
        <f>"9780792317340"</f>
        <v>9780792317340</v>
      </c>
      <c r="F8997" s="2" t="str">
        <f>"9789004400603"</f>
        <v>9789004400603</v>
      </c>
    </row>
    <row r="8998" spans="1:6" s="3" customFormat="1" ht="29.1" customHeight="1" x14ac:dyDescent="0.25">
      <c r="A8998" s="2" t="s">
        <v>18624</v>
      </c>
      <c r="B8998" s="2" t="s">
        <v>18623</v>
      </c>
      <c r="C8998" s="2" t="s">
        <v>29</v>
      </c>
      <c r="D8998" s="2" t="s">
        <v>192</v>
      </c>
      <c r="E8998" s="2" t="str">
        <f>"9789041103758"</f>
        <v>9789041103758</v>
      </c>
      <c r="F8998" s="2" t="str">
        <f>"9789004400641"</f>
        <v>9789004400641</v>
      </c>
    </row>
    <row r="8999" spans="1:6" s="3" customFormat="1" ht="29.1" customHeight="1" x14ac:dyDescent="0.25">
      <c r="A8999" s="2" t="s">
        <v>18625</v>
      </c>
      <c r="B8999" s="2" t="s">
        <v>10310</v>
      </c>
      <c r="C8999" s="2" t="s">
        <v>29</v>
      </c>
      <c r="D8999" s="2" t="s">
        <v>192</v>
      </c>
      <c r="E8999" s="2" t="str">
        <f>"9789004437777"</f>
        <v>9789004437777</v>
      </c>
      <c r="F8999" s="2" t="str">
        <f>"9789004437784"</f>
        <v>9789004437784</v>
      </c>
    </row>
    <row r="9000" spans="1:6" s="3" customFormat="1" ht="29.1" customHeight="1" x14ac:dyDescent="0.25">
      <c r="A9000" s="2" t="s">
        <v>18626</v>
      </c>
      <c r="B9000" s="2" t="s">
        <v>18627</v>
      </c>
      <c r="C9000" s="2" t="s">
        <v>29</v>
      </c>
      <c r="D9000" s="2" t="s">
        <v>512</v>
      </c>
      <c r="E9000" s="2" t="str">
        <f>"9789004436060"</f>
        <v>9789004436060</v>
      </c>
      <c r="F9000" s="2" t="str">
        <f>"9789004437081"</f>
        <v>9789004437081</v>
      </c>
    </row>
    <row r="9001" spans="1:6" s="3" customFormat="1" ht="29.1" customHeight="1" x14ac:dyDescent="0.25">
      <c r="A9001" s="2" t="s">
        <v>18628</v>
      </c>
      <c r="B9001" s="2" t="s">
        <v>18629</v>
      </c>
      <c r="C9001" s="2" t="s">
        <v>29</v>
      </c>
      <c r="D9001" s="2" t="s">
        <v>192</v>
      </c>
      <c r="E9001" s="2" t="str">
        <f>"9789004420304"</f>
        <v>9789004420304</v>
      </c>
      <c r="F9001" s="2" t="str">
        <f>"9789004441033"</f>
        <v>9789004441033</v>
      </c>
    </row>
    <row r="9002" spans="1:6" s="3" customFormat="1" ht="29.1" customHeight="1" x14ac:dyDescent="0.25">
      <c r="A9002" s="2" t="s">
        <v>18630</v>
      </c>
      <c r="B9002" s="2" t="s">
        <v>18631</v>
      </c>
      <c r="C9002" s="2" t="s">
        <v>29</v>
      </c>
      <c r="D9002" s="2" t="s">
        <v>512</v>
      </c>
      <c r="E9002" s="2" t="str">
        <f>"9789004345119"</f>
        <v>9789004345119</v>
      </c>
      <c r="F9002" s="2" t="str">
        <f>"9789004440685"</f>
        <v>9789004440685</v>
      </c>
    </row>
    <row r="9003" spans="1:6" s="3" customFormat="1" ht="29.1" customHeight="1" x14ac:dyDescent="0.25">
      <c r="A9003" s="2" t="s">
        <v>18632</v>
      </c>
      <c r="B9003" s="2" t="s">
        <v>18633</v>
      </c>
      <c r="C9003" s="2" t="s">
        <v>29</v>
      </c>
      <c r="D9003" s="2" t="s">
        <v>192</v>
      </c>
      <c r="E9003" s="2" t="str">
        <f>"9789004153851"</f>
        <v>9789004153851</v>
      </c>
      <c r="F9003" s="2" t="str">
        <f>"9789047418306"</f>
        <v>9789047418306</v>
      </c>
    </row>
    <row r="9004" spans="1:6" s="3" customFormat="1" ht="29.1" customHeight="1" x14ac:dyDescent="0.25">
      <c r="A9004" s="2" t="s">
        <v>18634</v>
      </c>
      <c r="B9004" s="2" t="s">
        <v>18635</v>
      </c>
      <c r="C9004" s="2" t="s">
        <v>29</v>
      </c>
      <c r="D9004" s="2" t="s">
        <v>192</v>
      </c>
      <c r="E9004" s="2" t="str">
        <f>"9789004136885"</f>
        <v>9789004136885</v>
      </c>
      <c r="F9004" s="2" t="str">
        <f>"9789004400672"</f>
        <v>9789004400672</v>
      </c>
    </row>
    <row r="9005" spans="1:6" s="3" customFormat="1" ht="29.1" customHeight="1" x14ac:dyDescent="0.25">
      <c r="A9005" s="2" t="s">
        <v>18636</v>
      </c>
      <c r="B9005" s="2" t="s">
        <v>18637</v>
      </c>
      <c r="C9005" s="2" t="s">
        <v>29</v>
      </c>
      <c r="D9005" s="2" t="s">
        <v>192</v>
      </c>
      <c r="E9005" s="2" t="str">
        <f>"9789041115331"</f>
        <v>9789041115331</v>
      </c>
      <c r="F9005" s="2" t="str">
        <f>"9789004400665"</f>
        <v>9789004400665</v>
      </c>
    </row>
    <row r="9006" spans="1:6" s="3" customFormat="1" ht="29.1" customHeight="1" x14ac:dyDescent="0.25">
      <c r="A9006" s="2" t="s">
        <v>18638</v>
      </c>
      <c r="B9006" s="2" t="s">
        <v>18623</v>
      </c>
      <c r="C9006" s="2" t="s">
        <v>29</v>
      </c>
      <c r="D9006" s="2" t="s">
        <v>192</v>
      </c>
      <c r="E9006" s="2" t="str">
        <f>"9789041110824"</f>
        <v>9789041110824</v>
      </c>
      <c r="F9006" s="2" t="str">
        <f>"9789004400658"</f>
        <v>9789004400658</v>
      </c>
    </row>
    <row r="9007" spans="1:6" s="3" customFormat="1" ht="29.1" customHeight="1" x14ac:dyDescent="0.25">
      <c r="A9007" s="2" t="s">
        <v>18639</v>
      </c>
      <c r="B9007" s="2" t="s">
        <v>18623</v>
      </c>
      <c r="C9007" s="2" t="s">
        <v>29</v>
      </c>
      <c r="D9007" s="2" t="s">
        <v>192</v>
      </c>
      <c r="E9007" s="2" t="str">
        <f>"9789041108722"</f>
        <v>9789041108722</v>
      </c>
      <c r="F9007" s="2" t="str">
        <f>"9789004400634"</f>
        <v>9789004400634</v>
      </c>
    </row>
    <row r="9008" spans="1:6" s="3" customFormat="1" ht="29.1" customHeight="1" x14ac:dyDescent="0.25">
      <c r="A9008" s="2" t="s">
        <v>18640</v>
      </c>
      <c r="B9008" s="2" t="s">
        <v>18623</v>
      </c>
      <c r="C9008" s="2" t="s">
        <v>29</v>
      </c>
      <c r="D9008" s="2" t="s">
        <v>192</v>
      </c>
      <c r="E9008" s="2" t="str">
        <f>"9780792322399"</f>
        <v>9780792322399</v>
      </c>
      <c r="F9008" s="2" t="str">
        <f>"9789004400610"</f>
        <v>9789004400610</v>
      </c>
    </row>
    <row r="9009" spans="1:6" s="3" customFormat="1" ht="29.1" customHeight="1" x14ac:dyDescent="0.25">
      <c r="A9009" s="2" t="s">
        <v>18641</v>
      </c>
      <c r="B9009" s="2" t="s">
        <v>18642</v>
      </c>
      <c r="C9009" s="2" t="s">
        <v>29</v>
      </c>
      <c r="D9009" s="2" t="s">
        <v>121</v>
      </c>
      <c r="E9009" s="2" t="str">
        <f>"9789004459304"</f>
        <v>9789004459304</v>
      </c>
      <c r="F9009" s="2" t="str">
        <f>"9789004461031"</f>
        <v>9789004461031</v>
      </c>
    </row>
    <row r="9010" spans="1:6" s="3" customFormat="1" ht="29.1" customHeight="1" x14ac:dyDescent="0.25">
      <c r="A9010" s="2" t="s">
        <v>18643</v>
      </c>
      <c r="B9010" s="2" t="s">
        <v>18644</v>
      </c>
      <c r="C9010" s="2" t="s">
        <v>29</v>
      </c>
      <c r="D9010" s="2" t="s">
        <v>1432</v>
      </c>
      <c r="E9010" s="2" t="str">
        <f>"9789004449879"</f>
        <v>9789004449879</v>
      </c>
      <c r="F9010" s="2" t="str">
        <f>"9789004449886"</f>
        <v>9789004449886</v>
      </c>
    </row>
    <row r="9011" spans="1:6" s="3" customFormat="1" ht="29.1" customHeight="1" x14ac:dyDescent="0.25">
      <c r="A9011" s="2" t="s">
        <v>18645</v>
      </c>
      <c r="B9011" s="2" t="s">
        <v>18646</v>
      </c>
      <c r="C9011" s="2" t="s">
        <v>29</v>
      </c>
      <c r="D9011" s="2" t="s">
        <v>459</v>
      </c>
      <c r="E9011" s="2" t="str">
        <f>"9789004436039"</f>
        <v>9789004436039</v>
      </c>
      <c r="F9011" s="2" t="str">
        <f>"9789004463684"</f>
        <v>9789004463684</v>
      </c>
    </row>
    <row r="9012" spans="1:6" s="3" customFormat="1" ht="29.1" customHeight="1" x14ac:dyDescent="0.25">
      <c r="A9012" s="2" t="s">
        <v>18647</v>
      </c>
      <c r="B9012" s="2" t="s">
        <v>18648</v>
      </c>
      <c r="C9012" s="2" t="s">
        <v>29</v>
      </c>
      <c r="D9012" s="2" t="s">
        <v>192</v>
      </c>
      <c r="E9012" s="2" t="str">
        <f>"9789004447219"</f>
        <v>9789004447219</v>
      </c>
      <c r="F9012" s="2" t="str">
        <f>"9789004447493"</f>
        <v>9789004447493</v>
      </c>
    </row>
    <row r="9013" spans="1:6" s="3" customFormat="1" ht="29.1" customHeight="1" x14ac:dyDescent="0.25">
      <c r="A9013" s="2" t="s">
        <v>18649</v>
      </c>
      <c r="B9013" s="2" t="s">
        <v>18650</v>
      </c>
      <c r="C9013" s="2" t="s">
        <v>29</v>
      </c>
      <c r="D9013" s="2" t="s">
        <v>183</v>
      </c>
      <c r="E9013" s="2" t="str">
        <f>"9789004434554"</f>
        <v>9789004434554</v>
      </c>
      <c r="F9013" s="2" t="str">
        <f>"9789004436107"</f>
        <v>9789004436107</v>
      </c>
    </row>
    <row r="9014" spans="1:6" s="3" customFormat="1" ht="29.1" customHeight="1" x14ac:dyDescent="0.25">
      <c r="A9014" s="2" t="s">
        <v>18651</v>
      </c>
      <c r="B9014" s="2" t="s">
        <v>18652</v>
      </c>
      <c r="C9014" s="2" t="s">
        <v>29</v>
      </c>
      <c r="D9014" s="2" t="s">
        <v>553</v>
      </c>
      <c r="E9014" s="2" t="str">
        <f>"9789004445826"</f>
        <v>9789004445826</v>
      </c>
      <c r="F9014" s="2" t="str">
        <f>"9789004459076"</f>
        <v>9789004459076</v>
      </c>
    </row>
    <row r="9015" spans="1:6" s="3" customFormat="1" ht="29.1" customHeight="1" x14ac:dyDescent="0.25">
      <c r="A9015" s="2" t="s">
        <v>18653</v>
      </c>
      <c r="B9015" s="2" t="s">
        <v>18654</v>
      </c>
      <c r="C9015" s="2" t="s">
        <v>29</v>
      </c>
      <c r="D9015" s="2" t="s">
        <v>9</v>
      </c>
      <c r="E9015" s="2" t="str">
        <f>"9789004420687"</f>
        <v>9789004420687</v>
      </c>
      <c r="F9015" s="2" t="str">
        <f>"9789004463097"</f>
        <v>9789004463097</v>
      </c>
    </row>
    <row r="9016" spans="1:6" s="3" customFormat="1" ht="29.1" customHeight="1" x14ac:dyDescent="0.25">
      <c r="A9016" s="2" t="s">
        <v>18655</v>
      </c>
      <c r="B9016" s="2" t="s">
        <v>18656</v>
      </c>
      <c r="C9016" s="2" t="s">
        <v>29</v>
      </c>
      <c r="D9016" s="2" t="s">
        <v>606</v>
      </c>
      <c r="E9016" s="2" t="str">
        <f>"9789004433748"</f>
        <v>9789004433748</v>
      </c>
      <c r="F9016" s="2" t="str">
        <f>"9789004433755"</f>
        <v>9789004433755</v>
      </c>
    </row>
    <row r="9017" spans="1:6" s="3" customFormat="1" ht="29.1" customHeight="1" x14ac:dyDescent="0.25">
      <c r="A9017" s="2" t="s">
        <v>18657</v>
      </c>
      <c r="B9017" s="2" t="s">
        <v>18658</v>
      </c>
      <c r="C9017" s="2" t="s">
        <v>29</v>
      </c>
      <c r="D9017" s="2" t="s">
        <v>334</v>
      </c>
      <c r="E9017" s="2" t="str">
        <f>"9789067652322"</f>
        <v>9789067652322</v>
      </c>
      <c r="F9017" s="2" t="str">
        <f>"9789004286320"</f>
        <v>9789004286320</v>
      </c>
    </row>
    <row r="9018" spans="1:6" s="3" customFormat="1" ht="29.1" customHeight="1" x14ac:dyDescent="0.25">
      <c r="A9018" s="2" t="s">
        <v>18659</v>
      </c>
      <c r="B9018" s="2" t="s">
        <v>18660</v>
      </c>
      <c r="C9018" s="2" t="s">
        <v>29</v>
      </c>
      <c r="D9018" s="2" t="s">
        <v>1432</v>
      </c>
      <c r="E9018" s="2" t="str">
        <f>"9789004447028"</f>
        <v>9789004447028</v>
      </c>
      <c r="F9018" s="2" t="str">
        <f>"9789004458901"</f>
        <v>9789004458901</v>
      </c>
    </row>
    <row r="9019" spans="1:6" s="3" customFormat="1" ht="29.1" customHeight="1" x14ac:dyDescent="0.25">
      <c r="A9019" s="2" t="s">
        <v>18661</v>
      </c>
      <c r="B9019" s="2" t="s">
        <v>18662</v>
      </c>
      <c r="C9019" s="2" t="s">
        <v>29</v>
      </c>
      <c r="D9019" s="2" t="s">
        <v>192</v>
      </c>
      <c r="E9019" s="2" t="str">
        <f>"9789041114310"</f>
        <v>9789041114310</v>
      </c>
      <c r="F9019" s="2" t="str">
        <f>"9789004461543"</f>
        <v>9789004461543</v>
      </c>
    </row>
    <row r="9020" spans="1:6" s="3" customFormat="1" ht="29.1" customHeight="1" x14ac:dyDescent="0.25">
      <c r="A9020" s="2" t="s">
        <v>18663</v>
      </c>
      <c r="B9020" s="2" t="s">
        <v>18664</v>
      </c>
      <c r="C9020" s="2" t="s">
        <v>29</v>
      </c>
      <c r="D9020" s="2" t="s">
        <v>324</v>
      </c>
      <c r="E9020" s="2" t="str">
        <f>"9789004431201"</f>
        <v>9789004431201</v>
      </c>
      <c r="F9020" s="2" t="str">
        <f>"9789004431218"</f>
        <v>9789004431218</v>
      </c>
    </row>
    <row r="9021" spans="1:6" s="3" customFormat="1" ht="29.1" customHeight="1" x14ac:dyDescent="0.25">
      <c r="A9021" s="2" t="s">
        <v>18665</v>
      </c>
      <c r="B9021" s="2" t="s">
        <v>18666</v>
      </c>
      <c r="C9021" s="2" t="s">
        <v>29</v>
      </c>
      <c r="D9021" s="2" t="s">
        <v>1722</v>
      </c>
      <c r="E9021" s="2" t="str">
        <f>"9789004396876"</f>
        <v>9789004396876</v>
      </c>
      <c r="F9021" s="2" t="str">
        <f>"9789004449800"</f>
        <v>9789004449800</v>
      </c>
    </row>
    <row r="9022" spans="1:6" s="3" customFormat="1" ht="29.1" customHeight="1" x14ac:dyDescent="0.25">
      <c r="A9022" s="2" t="s">
        <v>18667</v>
      </c>
      <c r="B9022" s="2" t="s">
        <v>18668</v>
      </c>
      <c r="C9022" s="2" t="s">
        <v>29</v>
      </c>
      <c r="D9022" s="2" t="s">
        <v>63</v>
      </c>
      <c r="E9022" s="2" t="str">
        <f>"9789004449732"</f>
        <v>9789004449732</v>
      </c>
      <c r="F9022" s="2" t="str">
        <f>"9789004449749"</f>
        <v>9789004449749</v>
      </c>
    </row>
    <row r="9023" spans="1:6" s="3" customFormat="1" ht="29.1" customHeight="1" x14ac:dyDescent="0.25">
      <c r="A9023" s="2" t="s">
        <v>18669</v>
      </c>
      <c r="B9023" s="2" t="s">
        <v>18670</v>
      </c>
      <c r="C9023" s="2" t="s">
        <v>29</v>
      </c>
      <c r="D9023" s="2" t="s">
        <v>4117</v>
      </c>
      <c r="E9023" s="2" t="str">
        <f>"9789004426580"</f>
        <v>9789004426580</v>
      </c>
      <c r="F9023" s="2" t="str">
        <f>"9789004447370"</f>
        <v>9789004447370</v>
      </c>
    </row>
    <row r="9024" spans="1:6" s="3" customFormat="1" ht="29.1" customHeight="1" x14ac:dyDescent="0.25">
      <c r="A9024" s="2" t="s">
        <v>18671</v>
      </c>
      <c r="B9024" s="2" t="s">
        <v>18672</v>
      </c>
      <c r="C9024" s="2" t="s">
        <v>29</v>
      </c>
      <c r="D9024" s="2" t="s">
        <v>5032</v>
      </c>
      <c r="E9024" s="2" t="str">
        <f>"9789004421110"</f>
        <v>9789004421110</v>
      </c>
      <c r="F9024" s="2" t="str">
        <f>"9789004444805"</f>
        <v>9789004444805</v>
      </c>
    </row>
    <row r="9025" spans="1:6" s="3" customFormat="1" ht="29.1" customHeight="1" x14ac:dyDescent="0.25">
      <c r="A9025" s="2" t="s">
        <v>18673</v>
      </c>
      <c r="B9025" s="2" t="s">
        <v>18674</v>
      </c>
      <c r="C9025" s="2" t="s">
        <v>29</v>
      </c>
      <c r="D9025" s="2" t="s">
        <v>192</v>
      </c>
      <c r="E9025" s="2" t="str">
        <f>"9789004446083"</f>
        <v>9789004446083</v>
      </c>
      <c r="F9025" s="2" t="str">
        <f>"9789004446090"</f>
        <v>9789004446090</v>
      </c>
    </row>
    <row r="9026" spans="1:6" s="3" customFormat="1" ht="29.1" customHeight="1" x14ac:dyDescent="0.25">
      <c r="A9026" s="2" t="s">
        <v>18675</v>
      </c>
      <c r="B9026" s="2" t="s">
        <v>18676</v>
      </c>
      <c r="C9026" s="2" t="s">
        <v>29</v>
      </c>
      <c r="D9026" s="2" t="s">
        <v>1975</v>
      </c>
      <c r="E9026" s="2" t="str">
        <f>"9789004420458"</f>
        <v>9789004420458</v>
      </c>
      <c r="F9026" s="2" t="str">
        <f>"9789004420465"</f>
        <v>9789004420465</v>
      </c>
    </row>
    <row r="9027" spans="1:6" s="3" customFormat="1" ht="29.1" customHeight="1" x14ac:dyDescent="0.25">
      <c r="A9027" s="2" t="s">
        <v>18677</v>
      </c>
      <c r="B9027" s="2" t="s">
        <v>18678</v>
      </c>
      <c r="C9027" s="2" t="s">
        <v>29</v>
      </c>
      <c r="D9027" s="2" t="s">
        <v>8788</v>
      </c>
      <c r="E9027" s="2" t="str">
        <f>"9789004424401"</f>
        <v>9789004424401</v>
      </c>
      <c r="F9027" s="2" t="str">
        <f>"9789004444478"</f>
        <v>9789004444478</v>
      </c>
    </row>
    <row r="9028" spans="1:6" s="3" customFormat="1" ht="29.1" customHeight="1" x14ac:dyDescent="0.25">
      <c r="A9028" s="2" t="s">
        <v>18679</v>
      </c>
      <c r="B9028" s="2" t="s">
        <v>18680</v>
      </c>
      <c r="C9028" s="2" t="s">
        <v>29</v>
      </c>
      <c r="D9028" s="2" t="s">
        <v>4064</v>
      </c>
      <c r="E9028" s="2" t="str">
        <f>"9789004446441"</f>
        <v>9789004446441</v>
      </c>
      <c r="F9028" s="2" t="str">
        <f>"9789004446458"</f>
        <v>9789004446458</v>
      </c>
    </row>
    <row r="9029" spans="1:6" s="3" customFormat="1" ht="29.1" customHeight="1" x14ac:dyDescent="0.25">
      <c r="A9029" s="2" t="s">
        <v>14961</v>
      </c>
      <c r="B9029" s="2" t="s">
        <v>18681</v>
      </c>
      <c r="C9029" s="2" t="s">
        <v>29</v>
      </c>
      <c r="D9029" s="2" t="s">
        <v>8199</v>
      </c>
      <c r="E9029" s="2" t="str">
        <f>"9789004441668"</f>
        <v>9789004441668</v>
      </c>
      <c r="F9029" s="2" t="str">
        <f>"9789004444867"</f>
        <v>9789004444867</v>
      </c>
    </row>
    <row r="9030" spans="1:6" s="3" customFormat="1" ht="29.1" customHeight="1" x14ac:dyDescent="0.25">
      <c r="A9030" s="2" t="s">
        <v>18682</v>
      </c>
      <c r="B9030" s="2" t="s">
        <v>18683</v>
      </c>
      <c r="C9030" s="2" t="s">
        <v>29</v>
      </c>
      <c r="D9030" s="2" t="s">
        <v>509</v>
      </c>
      <c r="E9030" s="2" t="str">
        <f>"9789004440586"</f>
        <v>9789004440586</v>
      </c>
      <c r="F9030" s="2" t="str">
        <f>"9789004440593"</f>
        <v>9789004440593</v>
      </c>
    </row>
    <row r="9031" spans="1:6" s="3" customFormat="1" ht="29.1" customHeight="1" x14ac:dyDescent="0.25">
      <c r="A9031" s="2" t="s">
        <v>18684</v>
      </c>
      <c r="B9031" s="2" t="s">
        <v>18685</v>
      </c>
      <c r="C9031" s="2" t="s">
        <v>29</v>
      </c>
      <c r="D9031" s="2" t="s">
        <v>210</v>
      </c>
      <c r="E9031" s="2" t="str">
        <f>"9789004436855"</f>
        <v>9789004436855</v>
      </c>
      <c r="F9031" s="2" t="str">
        <f>"9789004444225"</f>
        <v>9789004444225</v>
      </c>
    </row>
    <row r="9032" spans="1:6" s="3" customFormat="1" ht="29.1" customHeight="1" x14ac:dyDescent="0.25">
      <c r="A9032" s="2" t="s">
        <v>18686</v>
      </c>
      <c r="B9032" s="2" t="s">
        <v>18687</v>
      </c>
      <c r="C9032" s="2" t="s">
        <v>29</v>
      </c>
      <c r="D9032" s="2" t="s">
        <v>428</v>
      </c>
      <c r="E9032" s="2" t="str">
        <f>"9789004428027"</f>
        <v>9789004428027</v>
      </c>
      <c r="F9032" s="2" t="str">
        <f>"9789004440395"</f>
        <v>9789004440395</v>
      </c>
    </row>
    <row r="9033" spans="1:6" s="3" customFormat="1" ht="29.1" customHeight="1" x14ac:dyDescent="0.25">
      <c r="A9033" s="2" t="s">
        <v>18688</v>
      </c>
      <c r="B9033" s="2" t="s">
        <v>18689</v>
      </c>
      <c r="C9033" s="2" t="s">
        <v>29</v>
      </c>
      <c r="D9033" s="2" t="s">
        <v>509</v>
      </c>
      <c r="E9033" s="2" t="str">
        <f>"9789050634182"</f>
        <v>9789050634182</v>
      </c>
      <c r="F9033" s="2" t="str">
        <f>"9789004401655"</f>
        <v>9789004401655</v>
      </c>
    </row>
    <row r="9034" spans="1:6" s="3" customFormat="1" ht="29.1" customHeight="1" x14ac:dyDescent="0.25">
      <c r="A9034" s="2" t="s">
        <v>18690</v>
      </c>
      <c r="B9034" s="2" t="s">
        <v>18691</v>
      </c>
      <c r="C9034" s="2" t="s">
        <v>29</v>
      </c>
      <c r="D9034" s="2" t="s">
        <v>509</v>
      </c>
      <c r="E9034" s="2" t="str">
        <f>"9789050633284"</f>
        <v>9789050633284</v>
      </c>
      <c r="F9034" s="2" t="str">
        <f>"9789004401624"</f>
        <v>9789004401624</v>
      </c>
    </row>
    <row r="9035" spans="1:6" s="3" customFormat="1" ht="29.1" customHeight="1" x14ac:dyDescent="0.25">
      <c r="A9035" s="2" t="s">
        <v>18692</v>
      </c>
      <c r="B9035" s="2" t="s">
        <v>18693</v>
      </c>
      <c r="C9035" s="2" t="s">
        <v>29</v>
      </c>
      <c r="D9035" s="2" t="s">
        <v>509</v>
      </c>
      <c r="E9035" s="2" t="str">
        <f>"9789050632485"</f>
        <v>9789050632485</v>
      </c>
      <c r="F9035" s="2" t="str">
        <f>"9789004401617"</f>
        <v>9789004401617</v>
      </c>
    </row>
    <row r="9036" spans="1:6" s="3" customFormat="1" ht="29.1" customHeight="1" x14ac:dyDescent="0.25">
      <c r="A9036" s="2" t="s">
        <v>18694</v>
      </c>
      <c r="B9036" s="2" t="s">
        <v>18695</v>
      </c>
      <c r="C9036" s="2" t="s">
        <v>29</v>
      </c>
      <c r="D9036" s="2" t="s">
        <v>509</v>
      </c>
      <c r="E9036" s="2" t="str">
        <f>"9789004434301"</f>
        <v>9789004434301</v>
      </c>
      <c r="F9036" s="2" t="str">
        <f>"9789004434318"</f>
        <v>9789004434318</v>
      </c>
    </row>
    <row r="9037" spans="1:6" s="3" customFormat="1" ht="29.1" customHeight="1" x14ac:dyDescent="0.25">
      <c r="A9037" s="2" t="s">
        <v>18696</v>
      </c>
      <c r="B9037" s="2" t="s">
        <v>18697</v>
      </c>
      <c r="C9037" s="2" t="s">
        <v>29</v>
      </c>
      <c r="D9037" s="2" t="s">
        <v>509</v>
      </c>
      <c r="E9037" s="2" t="str">
        <f>"9789004273658"</f>
        <v>9789004273658</v>
      </c>
      <c r="F9037" s="2" t="str">
        <f>"9789004438040"</f>
        <v>9789004438040</v>
      </c>
    </row>
    <row r="9038" spans="1:6" s="3" customFormat="1" ht="29.1" customHeight="1" x14ac:dyDescent="0.25">
      <c r="A9038" s="2" t="s">
        <v>18698</v>
      </c>
      <c r="B9038" s="2" t="s">
        <v>18699</v>
      </c>
      <c r="C9038" s="2" t="s">
        <v>29</v>
      </c>
      <c r="D9038" s="2" t="s">
        <v>937</v>
      </c>
      <c r="E9038" s="2" t="str">
        <f>"9789004442795"</f>
        <v>9789004442795</v>
      </c>
      <c r="F9038" s="2" t="str">
        <f>"9789004443280"</f>
        <v>9789004443280</v>
      </c>
    </row>
    <row r="9039" spans="1:6" s="3" customFormat="1" ht="29.1" customHeight="1" x14ac:dyDescent="0.25">
      <c r="A9039" s="2" t="s">
        <v>18700</v>
      </c>
      <c r="B9039" s="2" t="s">
        <v>18701</v>
      </c>
      <c r="C9039" s="2" t="s">
        <v>29</v>
      </c>
      <c r="D9039" s="2" t="s">
        <v>3105</v>
      </c>
      <c r="E9039" s="2" t="str">
        <f>"9789004436787"</f>
        <v>9789004436787</v>
      </c>
      <c r="F9039" s="2" t="str">
        <f>"9789004436794"</f>
        <v>9789004436794</v>
      </c>
    </row>
    <row r="9040" spans="1:6" s="3" customFormat="1" ht="29.1" customHeight="1" x14ac:dyDescent="0.25">
      <c r="A9040" s="2" t="s">
        <v>18702</v>
      </c>
      <c r="B9040" s="2" t="s">
        <v>18703</v>
      </c>
      <c r="C9040" s="2" t="s">
        <v>29</v>
      </c>
      <c r="D9040" s="2" t="s">
        <v>1432</v>
      </c>
      <c r="E9040" s="2" t="str">
        <f>"9789004435919"</f>
        <v>9789004435919</v>
      </c>
      <c r="F9040" s="2" t="str">
        <f>"9789004435926"</f>
        <v>9789004435926</v>
      </c>
    </row>
    <row r="9041" spans="1:6" s="3" customFormat="1" ht="29.1" customHeight="1" x14ac:dyDescent="0.25">
      <c r="A9041" s="2" t="s">
        <v>18704</v>
      </c>
      <c r="B9041" s="2" t="s">
        <v>18705</v>
      </c>
      <c r="C9041" s="2" t="s">
        <v>29</v>
      </c>
      <c r="D9041" s="2" t="s">
        <v>9</v>
      </c>
      <c r="E9041" s="2" t="str">
        <f>"9789004433687"</f>
        <v>9789004433687</v>
      </c>
      <c r="F9041" s="2" t="str">
        <f>"9789004445666"</f>
        <v>9789004445666</v>
      </c>
    </row>
    <row r="9042" spans="1:6" s="3" customFormat="1" ht="29.1" customHeight="1" x14ac:dyDescent="0.25">
      <c r="A9042" s="2" t="s">
        <v>18706</v>
      </c>
      <c r="B9042" s="2" t="s">
        <v>18707</v>
      </c>
      <c r="C9042" s="2" t="s">
        <v>29</v>
      </c>
      <c r="D9042" s="2" t="s">
        <v>33</v>
      </c>
      <c r="E9042" s="2" t="str">
        <f>"9789004437432"</f>
        <v>9789004437432</v>
      </c>
      <c r="F9042" s="2" t="str">
        <f>"9789004437449"</f>
        <v>9789004437449</v>
      </c>
    </row>
    <row r="9043" spans="1:6" s="3" customFormat="1" ht="29.1" customHeight="1" x14ac:dyDescent="0.25">
      <c r="A9043" s="2" t="s">
        <v>18708</v>
      </c>
      <c r="B9043" s="2" t="s">
        <v>18709</v>
      </c>
      <c r="C9043" s="2" t="s">
        <v>29</v>
      </c>
      <c r="D9043" s="2" t="s">
        <v>210</v>
      </c>
      <c r="E9043" s="2" t="str">
        <f>"9789004424586"</f>
        <v>9789004424586</v>
      </c>
      <c r="F9043" s="2" t="str">
        <f>"9789004424593"</f>
        <v>9789004424593</v>
      </c>
    </row>
    <row r="9044" spans="1:6" s="3" customFormat="1" ht="29.1" customHeight="1" x14ac:dyDescent="0.25">
      <c r="A9044" s="2" t="s">
        <v>18710</v>
      </c>
      <c r="B9044" s="2" t="s">
        <v>18711</v>
      </c>
      <c r="C9044" s="2" t="s">
        <v>29</v>
      </c>
      <c r="D9044" s="2" t="s">
        <v>606</v>
      </c>
      <c r="E9044" s="2" t="str">
        <f>"9789004396913"</f>
        <v>9789004396913</v>
      </c>
      <c r="F9044" s="2" t="str">
        <f>"9789004396906"</f>
        <v>9789004396906</v>
      </c>
    </row>
    <row r="9045" spans="1:6" s="3" customFormat="1" ht="29.1" customHeight="1" x14ac:dyDescent="0.25">
      <c r="A9045" s="2" t="s">
        <v>18712</v>
      </c>
      <c r="B9045" s="2" t="s">
        <v>18713</v>
      </c>
      <c r="C9045" s="2" t="s">
        <v>29</v>
      </c>
      <c r="D9045" s="2" t="s">
        <v>1541</v>
      </c>
      <c r="E9045" s="2" t="str">
        <f>"9789004429444"</f>
        <v>9789004429444</v>
      </c>
      <c r="F9045" s="2" t="str">
        <f>"9789004429604"</f>
        <v>9789004429604</v>
      </c>
    </row>
    <row r="9046" spans="1:6" s="3" customFormat="1" ht="29.1" customHeight="1" x14ac:dyDescent="0.25">
      <c r="A9046" s="2" t="s">
        <v>18714</v>
      </c>
      <c r="B9046" s="2" t="s">
        <v>18715</v>
      </c>
      <c r="C9046" s="2" t="s">
        <v>29</v>
      </c>
      <c r="D9046" s="2" t="s">
        <v>1432</v>
      </c>
      <c r="E9046" s="2" t="str">
        <f>"9789004440289"</f>
        <v>9789004440289</v>
      </c>
      <c r="F9046" s="2" t="str">
        <f>"9789004440296"</f>
        <v>9789004440296</v>
      </c>
    </row>
    <row r="9047" spans="1:6" s="3" customFormat="1" ht="29.1" customHeight="1" x14ac:dyDescent="0.25">
      <c r="A9047" s="2" t="s">
        <v>18716</v>
      </c>
      <c r="B9047" s="2" t="s">
        <v>18717</v>
      </c>
      <c r="C9047" s="2" t="s">
        <v>29</v>
      </c>
      <c r="D9047" s="2" t="s">
        <v>903</v>
      </c>
      <c r="E9047" s="2" t="str">
        <f>"9789004431126"</f>
        <v>9789004431126</v>
      </c>
      <c r="F9047" s="2" t="str">
        <f>"9789004437500"</f>
        <v>9789004437500</v>
      </c>
    </row>
    <row r="9048" spans="1:6" s="3" customFormat="1" ht="29.1" customHeight="1" x14ac:dyDescent="0.25">
      <c r="A9048" s="2" t="s">
        <v>18718</v>
      </c>
      <c r="B9048" s="2" t="s">
        <v>18719</v>
      </c>
      <c r="C9048" s="2" t="s">
        <v>29</v>
      </c>
      <c r="D9048" s="2" t="s">
        <v>118</v>
      </c>
      <c r="E9048" s="2" t="str">
        <f>"9789004440197"</f>
        <v>9789004440197</v>
      </c>
      <c r="F9048" s="2" t="str">
        <f>"9789004440265"</f>
        <v>9789004440265</v>
      </c>
    </row>
    <row r="9049" spans="1:6" s="3" customFormat="1" ht="29.1" customHeight="1" x14ac:dyDescent="0.25">
      <c r="A9049" s="2" t="s">
        <v>18720</v>
      </c>
      <c r="B9049" s="2" t="s">
        <v>18721</v>
      </c>
      <c r="C9049" s="2" t="s">
        <v>29</v>
      </c>
      <c r="D9049" s="2" t="s">
        <v>1432</v>
      </c>
      <c r="E9049" s="2" t="str">
        <f>"9789004432987"</f>
        <v>9789004432987</v>
      </c>
      <c r="F9049" s="2" t="str">
        <f>"9789004438200"</f>
        <v>9789004438200</v>
      </c>
    </row>
    <row r="9050" spans="1:6" s="3" customFormat="1" ht="29.1" customHeight="1" x14ac:dyDescent="0.25">
      <c r="A9050" s="2" t="s">
        <v>18722</v>
      </c>
      <c r="B9050" s="2" t="s">
        <v>18723</v>
      </c>
      <c r="C9050" s="2" t="s">
        <v>29</v>
      </c>
      <c r="D9050" s="2" t="s">
        <v>3270</v>
      </c>
      <c r="E9050" s="2" t="str">
        <f>"9789004439191"</f>
        <v>9789004439191</v>
      </c>
      <c r="F9050" s="2" t="str">
        <f>"9789004439351"</f>
        <v>9789004439351</v>
      </c>
    </row>
    <row r="9051" spans="1:6" s="3" customFormat="1" ht="29.1" customHeight="1" x14ac:dyDescent="0.25">
      <c r="A9051" s="2" t="s">
        <v>18724</v>
      </c>
      <c r="B9051" s="2" t="s">
        <v>18725</v>
      </c>
      <c r="C9051" s="2" t="s">
        <v>29</v>
      </c>
      <c r="D9051" s="2" t="s">
        <v>501</v>
      </c>
      <c r="E9051" s="2" t="str">
        <f>"9789004440487"</f>
        <v>9789004440487</v>
      </c>
      <c r="F9051" s="2" t="str">
        <f>"9789004440494"</f>
        <v>9789004440494</v>
      </c>
    </row>
    <row r="9052" spans="1:6" s="3" customFormat="1" ht="29.1" customHeight="1" x14ac:dyDescent="0.25">
      <c r="A9052" s="2" t="s">
        <v>18726</v>
      </c>
      <c r="B9052" s="2" t="s">
        <v>18727</v>
      </c>
      <c r="C9052" s="2" t="s">
        <v>29</v>
      </c>
      <c r="D9052" s="2" t="s">
        <v>689</v>
      </c>
      <c r="E9052" s="2" t="str">
        <f>"9789004438361"</f>
        <v>9789004438361</v>
      </c>
      <c r="F9052" s="2" t="str">
        <f>"9789004438354"</f>
        <v>9789004438354</v>
      </c>
    </row>
    <row r="9053" spans="1:6" s="3" customFormat="1" ht="29.1" customHeight="1" x14ac:dyDescent="0.25">
      <c r="A9053" s="2" t="s">
        <v>18728</v>
      </c>
      <c r="B9053" s="2" t="s">
        <v>18729</v>
      </c>
      <c r="C9053" s="2" t="s">
        <v>29</v>
      </c>
      <c r="D9053" s="2" t="s">
        <v>1432</v>
      </c>
      <c r="E9053" s="2" t="str">
        <f>"9789004429147"</f>
        <v>9789004429147</v>
      </c>
      <c r="F9053" s="2" t="str">
        <f>"9789004429154"</f>
        <v>9789004429154</v>
      </c>
    </row>
    <row r="9054" spans="1:6" s="3" customFormat="1" ht="29.1" customHeight="1" x14ac:dyDescent="0.25">
      <c r="A9054" s="2" t="s">
        <v>18730</v>
      </c>
      <c r="B9054" s="2" t="s">
        <v>18731</v>
      </c>
      <c r="C9054" s="2" t="s">
        <v>29</v>
      </c>
      <c r="D9054" s="2" t="s">
        <v>183</v>
      </c>
      <c r="E9054" s="2" t="str">
        <f>"9789004431133"</f>
        <v>9789004431133</v>
      </c>
      <c r="F9054" s="2" t="str">
        <f>"9789004431140"</f>
        <v>9789004431140</v>
      </c>
    </row>
    <row r="9055" spans="1:6" s="3" customFormat="1" ht="29.1" customHeight="1" x14ac:dyDescent="0.25">
      <c r="A9055" s="2" t="s">
        <v>18732</v>
      </c>
      <c r="B9055" s="2" t="s">
        <v>18733</v>
      </c>
      <c r="C9055" s="2" t="s">
        <v>29</v>
      </c>
      <c r="D9055" s="2" t="s">
        <v>33</v>
      </c>
      <c r="E9055" s="2" t="str">
        <f>"9789004434547"</f>
        <v>9789004434547</v>
      </c>
      <c r="F9055" s="2" t="str">
        <f>"9789004434967"</f>
        <v>9789004434967</v>
      </c>
    </row>
    <row r="9056" spans="1:6" s="3" customFormat="1" ht="29.1" customHeight="1" x14ac:dyDescent="0.25">
      <c r="A9056" s="2" t="s">
        <v>18734</v>
      </c>
      <c r="B9056" s="2" t="s">
        <v>18735</v>
      </c>
      <c r="C9056" s="2" t="s">
        <v>29</v>
      </c>
      <c r="D9056" s="2" t="s">
        <v>192</v>
      </c>
      <c r="E9056" s="2" t="str">
        <f>"9789004422452"</f>
        <v>9789004422452</v>
      </c>
      <c r="F9056" s="2" t="str">
        <f>"9789004433076"</f>
        <v>9789004433076</v>
      </c>
    </row>
    <row r="9057" spans="1:6" s="3" customFormat="1" ht="29.1" customHeight="1" x14ac:dyDescent="0.25">
      <c r="A9057" s="2" t="s">
        <v>18736</v>
      </c>
      <c r="B9057" s="2" t="s">
        <v>18737</v>
      </c>
      <c r="C9057" s="2" t="s">
        <v>29</v>
      </c>
      <c r="D9057" s="2" t="s">
        <v>210</v>
      </c>
      <c r="E9057" s="2" t="str">
        <f>"9789004404748"</f>
        <v>9789004404748</v>
      </c>
      <c r="F9057" s="2" t="str">
        <f>"9789004437722"</f>
        <v>9789004437722</v>
      </c>
    </row>
    <row r="9058" spans="1:6" s="3" customFormat="1" ht="29.1" customHeight="1" x14ac:dyDescent="0.25">
      <c r="A9058" s="2" t="s">
        <v>18738</v>
      </c>
      <c r="B9058" s="2" t="s">
        <v>18739</v>
      </c>
      <c r="C9058" s="2" t="s">
        <v>29</v>
      </c>
      <c r="D9058" s="2" t="s">
        <v>3185</v>
      </c>
      <c r="E9058" s="2" t="str">
        <f>"9789004436077"</f>
        <v>9789004436077</v>
      </c>
      <c r="F9058" s="2" t="str">
        <f>"9789004436084"</f>
        <v>9789004436084</v>
      </c>
    </row>
    <row r="9059" spans="1:6" s="3" customFormat="1" ht="29.1" customHeight="1" x14ac:dyDescent="0.25">
      <c r="A9059" s="2" t="s">
        <v>18740</v>
      </c>
      <c r="B9059" s="2" t="s">
        <v>18741</v>
      </c>
      <c r="C9059" s="2" t="s">
        <v>29</v>
      </c>
      <c r="D9059" s="2" t="s">
        <v>1432</v>
      </c>
      <c r="E9059" s="2" t="str">
        <f>"9789004394667"</f>
        <v>9789004394667</v>
      </c>
      <c r="F9059" s="2" t="str">
        <f>"9789004434530"</f>
        <v>9789004434530</v>
      </c>
    </row>
    <row r="9060" spans="1:6" s="3" customFormat="1" ht="29.1" customHeight="1" x14ac:dyDescent="0.25">
      <c r="A9060" s="2" t="s">
        <v>18742</v>
      </c>
      <c r="B9060" s="2" t="s">
        <v>18743</v>
      </c>
      <c r="C9060" s="2" t="s">
        <v>29</v>
      </c>
      <c r="D9060" s="2" t="s">
        <v>3185</v>
      </c>
      <c r="E9060" s="2" t="str">
        <f>"9789004402676"</f>
        <v>9789004402676</v>
      </c>
      <c r="F9060" s="2" t="str">
        <f>"9789004436978"</f>
        <v>9789004436978</v>
      </c>
    </row>
    <row r="9061" spans="1:6" s="3" customFormat="1" ht="29.1" customHeight="1" x14ac:dyDescent="0.25">
      <c r="A9061" s="2" t="s">
        <v>18744</v>
      </c>
      <c r="B9061" s="2" t="s">
        <v>18745</v>
      </c>
      <c r="C9061" s="2" t="s">
        <v>29</v>
      </c>
      <c r="D9061" s="2" t="s">
        <v>210</v>
      </c>
      <c r="E9061" s="2" t="str">
        <f>"9789004405288"</f>
        <v>9789004405288</v>
      </c>
      <c r="F9061" s="2" t="str">
        <f>"9789004410398"</f>
        <v>9789004410398</v>
      </c>
    </row>
    <row r="9062" spans="1:6" s="3" customFormat="1" ht="29.1" customHeight="1" x14ac:dyDescent="0.25">
      <c r="A9062" s="2" t="s">
        <v>18746</v>
      </c>
      <c r="B9062" s="2" t="s">
        <v>18748</v>
      </c>
      <c r="C9062" s="2" t="s">
        <v>29</v>
      </c>
      <c r="D9062" s="2" t="s">
        <v>18747</v>
      </c>
      <c r="E9062" s="2" t="str">
        <f>"9789004431294"</f>
        <v>9789004431294</v>
      </c>
      <c r="F9062" s="2" t="str">
        <f>"9789004377554"</f>
        <v>9789004377554</v>
      </c>
    </row>
    <row r="9063" spans="1:6" s="3" customFormat="1" ht="29.1" customHeight="1" x14ac:dyDescent="0.25">
      <c r="A9063" s="2" t="s">
        <v>18749</v>
      </c>
      <c r="B9063" s="2" t="s">
        <v>18751</v>
      </c>
      <c r="C9063" s="2" t="s">
        <v>29</v>
      </c>
      <c r="D9063" s="2" t="s">
        <v>18750</v>
      </c>
      <c r="E9063" s="2" t="str">
        <f>"9789004426658"</f>
        <v>9789004426658</v>
      </c>
      <c r="F9063" s="2" t="str">
        <f>"9789004433717"</f>
        <v>9789004433717</v>
      </c>
    </row>
    <row r="9064" spans="1:6" s="3" customFormat="1" ht="29.1" customHeight="1" x14ac:dyDescent="0.25">
      <c r="A9064" s="2" t="s">
        <v>18752</v>
      </c>
      <c r="B9064" s="2" t="s">
        <v>18753</v>
      </c>
      <c r="C9064" s="2" t="s">
        <v>29</v>
      </c>
      <c r="D9064" s="2" t="s">
        <v>15589</v>
      </c>
      <c r="E9064" s="2" t="str">
        <f>"9789004432666"</f>
        <v>9789004432666</v>
      </c>
      <c r="F9064" s="2" t="str">
        <f>"9789004432802"</f>
        <v>9789004432802</v>
      </c>
    </row>
    <row r="9065" spans="1:6" s="3" customFormat="1" ht="29.1" customHeight="1" x14ac:dyDescent="0.25">
      <c r="A9065" s="2" t="s">
        <v>18754</v>
      </c>
      <c r="B9065" s="2" t="s">
        <v>18755</v>
      </c>
      <c r="C9065" s="2" t="s">
        <v>29</v>
      </c>
      <c r="D9065" s="2" t="s">
        <v>1432</v>
      </c>
      <c r="E9065" s="2" t="str">
        <f>"9789004382749"</f>
        <v>9789004382749</v>
      </c>
      <c r="F9065" s="2" t="str">
        <f>"9789004431737"</f>
        <v>9789004431737</v>
      </c>
    </row>
    <row r="9066" spans="1:6" s="3" customFormat="1" ht="29.1" customHeight="1" x14ac:dyDescent="0.25">
      <c r="A9066" s="2" t="s">
        <v>18756</v>
      </c>
      <c r="B9066" s="2" t="s">
        <v>18757</v>
      </c>
      <c r="C9066" s="2" t="s">
        <v>29</v>
      </c>
      <c r="D9066" s="2" t="s">
        <v>408</v>
      </c>
      <c r="E9066" s="2" t="str">
        <f>"9789004426306"</f>
        <v>9789004426306</v>
      </c>
      <c r="F9066" s="2" t="str">
        <f>"9789004433106"</f>
        <v>9789004433106</v>
      </c>
    </row>
    <row r="9067" spans="1:6" s="3" customFormat="1" ht="29.1" customHeight="1" x14ac:dyDescent="0.25">
      <c r="A9067" s="2" t="s">
        <v>18758</v>
      </c>
      <c r="B9067" s="2" t="s">
        <v>18759</v>
      </c>
      <c r="C9067" s="2" t="s">
        <v>29</v>
      </c>
      <c r="D9067" s="2" t="s">
        <v>509</v>
      </c>
      <c r="E9067" s="2" t="str">
        <f>"9789050633888"</f>
        <v>9789050633888</v>
      </c>
      <c r="F9067" s="2" t="str">
        <f>"9789004401631"</f>
        <v>9789004401631</v>
      </c>
    </row>
    <row r="9068" spans="1:6" s="3" customFormat="1" ht="29.1" customHeight="1" x14ac:dyDescent="0.25">
      <c r="A9068" s="2" t="s">
        <v>18760</v>
      </c>
      <c r="B9068" s="2" t="s">
        <v>18761</v>
      </c>
      <c r="C9068" s="2" t="s">
        <v>29</v>
      </c>
      <c r="D9068" s="2" t="s">
        <v>1432</v>
      </c>
      <c r="E9068" s="2" t="str">
        <f>"9789004431300"</f>
        <v>9789004431300</v>
      </c>
      <c r="F9068" s="2" t="str">
        <f>"9789004431317"</f>
        <v>9789004431317</v>
      </c>
    </row>
    <row r="9069" spans="1:6" s="3" customFormat="1" ht="29.1" customHeight="1" x14ac:dyDescent="0.25">
      <c r="A9069" s="2" t="s">
        <v>18762</v>
      </c>
      <c r="B9069" s="2" t="s">
        <v>18763</v>
      </c>
      <c r="C9069" s="2" t="s">
        <v>29</v>
      </c>
      <c r="D9069" s="2" t="s">
        <v>4117</v>
      </c>
      <c r="E9069" s="2" t="str">
        <f>"9789004391994"</f>
        <v>9789004391994</v>
      </c>
      <c r="F9069" s="2" t="str">
        <f>"9789004392007"</f>
        <v>9789004392007</v>
      </c>
    </row>
    <row r="9070" spans="1:6" s="3" customFormat="1" ht="29.1" customHeight="1" x14ac:dyDescent="0.25">
      <c r="A9070" s="2" t="s">
        <v>18764</v>
      </c>
      <c r="B9070" s="2" t="s">
        <v>18765</v>
      </c>
      <c r="C9070" s="2" t="s">
        <v>29</v>
      </c>
      <c r="D9070" s="2" t="s">
        <v>150</v>
      </c>
      <c r="E9070" s="2" t="str">
        <f>"9789004420021"</f>
        <v>9789004420021</v>
      </c>
      <c r="F9070" s="2" t="str">
        <f>"9789004420045"</f>
        <v>9789004420045</v>
      </c>
    </row>
    <row r="9071" spans="1:6" s="3" customFormat="1" ht="29.1" customHeight="1" x14ac:dyDescent="0.25">
      <c r="A9071" s="2" t="s">
        <v>18766</v>
      </c>
      <c r="B9071" s="2" t="s">
        <v>18767</v>
      </c>
      <c r="C9071" s="2" t="s">
        <v>29</v>
      </c>
      <c r="D9071" s="2" t="s">
        <v>1432</v>
      </c>
      <c r="E9071" s="2" t="str">
        <f>"9789004427945"</f>
        <v>9789004427945</v>
      </c>
      <c r="F9071" s="2" t="str">
        <f>"9789004427952"</f>
        <v>9789004427952</v>
      </c>
    </row>
    <row r="9072" spans="1:6" s="3" customFormat="1" ht="29.1" customHeight="1" x14ac:dyDescent="0.25">
      <c r="A9072" s="2" t="s">
        <v>18768</v>
      </c>
      <c r="B9072" s="2" t="s">
        <v>18769</v>
      </c>
      <c r="C9072" s="2" t="s">
        <v>29</v>
      </c>
      <c r="D9072" s="2" t="s">
        <v>509</v>
      </c>
      <c r="E9072" s="2" t="str">
        <f>"9789004382497"</f>
        <v>9789004382497</v>
      </c>
      <c r="F9072" s="2" t="str">
        <f>"9789004425613"</f>
        <v>9789004425613</v>
      </c>
    </row>
    <row r="9073" spans="1:6" s="3" customFormat="1" ht="29.1" customHeight="1" x14ac:dyDescent="0.25">
      <c r="A9073" s="2" t="s">
        <v>18770</v>
      </c>
      <c r="B9073" s="2" t="s">
        <v>18771</v>
      </c>
      <c r="C9073" s="2" t="s">
        <v>29</v>
      </c>
      <c r="D9073" s="2" t="s">
        <v>210</v>
      </c>
      <c r="E9073" s="2" t="str">
        <f>"9789004349490"</f>
        <v>9789004349490</v>
      </c>
      <c r="F9073" s="2" t="str">
        <f>"9789004421899"</f>
        <v>9789004421899</v>
      </c>
    </row>
    <row r="9074" spans="1:6" s="3" customFormat="1" ht="29.1" customHeight="1" x14ac:dyDescent="0.25">
      <c r="A9074" s="2" t="s">
        <v>18772</v>
      </c>
      <c r="B9074" s="2" t="s">
        <v>18773</v>
      </c>
      <c r="C9074" s="2" t="s">
        <v>29</v>
      </c>
      <c r="D9074" s="2" t="s">
        <v>15351</v>
      </c>
      <c r="E9074" s="2" t="str">
        <f>"9789004430358"</f>
        <v>9789004430358</v>
      </c>
      <c r="F9074" s="2" t="str">
        <f>"9789004430365"</f>
        <v>9789004430365</v>
      </c>
    </row>
    <row r="9075" spans="1:6" s="3" customFormat="1" ht="29.1" customHeight="1" x14ac:dyDescent="0.25">
      <c r="A9075" s="2" t="s">
        <v>18774</v>
      </c>
      <c r="B9075" s="2" t="s">
        <v>18775</v>
      </c>
      <c r="C9075" s="2" t="s">
        <v>29</v>
      </c>
      <c r="D9075" s="2" t="s">
        <v>3185</v>
      </c>
      <c r="E9075" s="2" t="str">
        <f>"9789004425828"</f>
        <v>9789004425828</v>
      </c>
      <c r="F9075" s="2" t="str">
        <f>"9789004429130"</f>
        <v>9789004429130</v>
      </c>
    </row>
    <row r="9076" spans="1:6" s="3" customFormat="1" ht="29.1" customHeight="1" x14ac:dyDescent="0.25">
      <c r="A9076" s="2" t="s">
        <v>18776</v>
      </c>
      <c r="B9076" s="2" t="s">
        <v>18777</v>
      </c>
      <c r="C9076" s="2" t="s">
        <v>29</v>
      </c>
      <c r="D9076" s="2" t="s">
        <v>937</v>
      </c>
      <c r="E9076" s="2" t="str">
        <f>"9789004426153"</f>
        <v>9789004426153</v>
      </c>
      <c r="F9076" s="2" t="str">
        <f>"9789004428249"</f>
        <v>9789004428249</v>
      </c>
    </row>
    <row r="9077" spans="1:6" s="3" customFormat="1" ht="29.1" customHeight="1" x14ac:dyDescent="0.25">
      <c r="A9077" s="2" t="s">
        <v>18778</v>
      </c>
      <c r="B9077" s="2" t="s">
        <v>18779</v>
      </c>
      <c r="C9077" s="2" t="s">
        <v>29</v>
      </c>
      <c r="D9077" s="2" t="s">
        <v>63</v>
      </c>
      <c r="E9077" s="2" t="str">
        <f>"9789004421622"</f>
        <v>9789004421622</v>
      </c>
      <c r="F9077" s="2" t="str">
        <f>"9789004425736"</f>
        <v>9789004425736</v>
      </c>
    </row>
    <row r="9078" spans="1:6" s="3" customFormat="1" ht="29.1" customHeight="1" x14ac:dyDescent="0.25">
      <c r="A9078" s="2" t="s">
        <v>18780</v>
      </c>
      <c r="B9078" s="2" t="s">
        <v>18781</v>
      </c>
      <c r="C9078" s="2" t="s">
        <v>29</v>
      </c>
      <c r="D9078" s="2" t="s">
        <v>118</v>
      </c>
      <c r="E9078" s="2" t="str">
        <f>"9789004425675"</f>
        <v>9789004425675</v>
      </c>
      <c r="F9078" s="2" t="str">
        <f>"9789004425682"</f>
        <v>9789004425682</v>
      </c>
    </row>
    <row r="9079" spans="1:6" s="3" customFormat="1" ht="29.1" customHeight="1" x14ac:dyDescent="0.25">
      <c r="A9079" s="2" t="s">
        <v>18782</v>
      </c>
      <c r="B9079" s="2" t="s">
        <v>18783</v>
      </c>
      <c r="C9079" s="2" t="s">
        <v>29</v>
      </c>
      <c r="D9079" s="2" t="s">
        <v>15589</v>
      </c>
      <c r="E9079" s="2" t="str">
        <f>"9789004423947"</f>
        <v>9789004423947</v>
      </c>
      <c r="F9079" s="2" t="str">
        <f>"9789004424425"</f>
        <v>9789004424425</v>
      </c>
    </row>
    <row r="9080" spans="1:6" s="3" customFormat="1" ht="29.1" customHeight="1" x14ac:dyDescent="0.25">
      <c r="A9080" s="2" t="s">
        <v>18784</v>
      </c>
      <c r="B9080" s="2" t="s">
        <v>18785</v>
      </c>
      <c r="C9080" s="2" t="s">
        <v>29</v>
      </c>
      <c r="D9080" s="2" t="s">
        <v>1432</v>
      </c>
      <c r="E9080" s="2" t="str">
        <f>"9789004382695"</f>
        <v>9789004382695</v>
      </c>
      <c r="F9080" s="2" t="str">
        <f>"9789004423220"</f>
        <v>9789004423220</v>
      </c>
    </row>
    <row r="9081" spans="1:6" s="3" customFormat="1" ht="29.1" customHeight="1" x14ac:dyDescent="0.25">
      <c r="A9081" s="2" t="s">
        <v>18786</v>
      </c>
      <c r="B9081" s="2" t="s">
        <v>18787</v>
      </c>
      <c r="C9081" s="2" t="s">
        <v>124</v>
      </c>
      <c r="D9081" s="2" t="s">
        <v>2341</v>
      </c>
      <c r="E9081" s="2" t="str">
        <f>"9781032377414"</f>
        <v>9781032377414</v>
      </c>
      <c r="F9081" s="2" t="str">
        <f>"9781003341666"</f>
        <v>9781003341666</v>
      </c>
    </row>
    <row r="9082" spans="1:6" s="3" customFormat="1" ht="29.1" customHeight="1" x14ac:dyDescent="0.25">
      <c r="A9082" s="2" t="s">
        <v>18788</v>
      </c>
      <c r="B9082" s="2" t="s">
        <v>18631</v>
      </c>
      <c r="C9082" s="2" t="s">
        <v>29</v>
      </c>
      <c r="D9082" s="2" t="s">
        <v>512</v>
      </c>
      <c r="E9082" s="2" t="str">
        <f>"9789004345102"</f>
        <v>9789004345102</v>
      </c>
      <c r="F9082" s="2" t="str">
        <f>"9789004395114"</f>
        <v>9789004395114</v>
      </c>
    </row>
    <row r="9083" spans="1:6" s="3" customFormat="1" ht="29.1" customHeight="1" x14ac:dyDescent="0.25">
      <c r="A9083" s="2" t="s">
        <v>18789</v>
      </c>
      <c r="B9083" s="2" t="s">
        <v>18790</v>
      </c>
      <c r="C9083" s="2" t="s">
        <v>29</v>
      </c>
      <c r="D9083" s="2" t="s">
        <v>462</v>
      </c>
      <c r="E9083" s="2" t="str">
        <f>"9789004400450"</f>
        <v>9789004400450</v>
      </c>
      <c r="F9083" s="2" t="str">
        <f>"9789004400474"</f>
        <v>9789004400474</v>
      </c>
    </row>
    <row r="9084" spans="1:6" s="3" customFormat="1" ht="29.1" customHeight="1" x14ac:dyDescent="0.25">
      <c r="A9084" s="2" t="s">
        <v>18791</v>
      </c>
      <c r="B9084" s="2" t="s">
        <v>18623</v>
      </c>
      <c r="C9084" s="2" t="s">
        <v>29</v>
      </c>
      <c r="D9084" s="2" t="s">
        <v>192</v>
      </c>
      <c r="E9084" s="2" t="str">
        <f>"9780792327080"</f>
        <v>9780792327080</v>
      </c>
      <c r="F9084" s="2" t="str">
        <f>"9789004400627"</f>
        <v>9789004400627</v>
      </c>
    </row>
    <row r="9085" spans="1:6" s="3" customFormat="1" ht="29.1" customHeight="1" x14ac:dyDescent="0.25">
      <c r="A9085" s="2" t="s">
        <v>18792</v>
      </c>
      <c r="B9085" s="2" t="s">
        <v>18793</v>
      </c>
      <c r="C9085" s="2" t="s">
        <v>29</v>
      </c>
      <c r="D9085" s="2" t="s">
        <v>9739</v>
      </c>
      <c r="E9085" s="2" t="str">
        <f>"9789004415621"</f>
        <v>9789004415621</v>
      </c>
      <c r="F9085" s="2" t="str">
        <f>"9789004417731"</f>
        <v>9789004417731</v>
      </c>
    </row>
    <row r="9086" spans="1:6" s="3" customFormat="1" ht="29.1" customHeight="1" x14ac:dyDescent="0.25">
      <c r="A9086" s="2" t="s">
        <v>18794</v>
      </c>
      <c r="B9086" s="2" t="s">
        <v>18795</v>
      </c>
      <c r="C9086" s="2" t="s">
        <v>29</v>
      </c>
      <c r="D9086" s="2" t="s">
        <v>150</v>
      </c>
      <c r="E9086" s="2" t="str">
        <f>"9789004409125"</f>
        <v>9789004409125</v>
      </c>
      <c r="F9086" s="2" t="str">
        <f>"9789004411890"</f>
        <v>9789004411890</v>
      </c>
    </row>
    <row r="9087" spans="1:6" s="3" customFormat="1" ht="29.1" customHeight="1" x14ac:dyDescent="0.25">
      <c r="A9087" s="2" t="s">
        <v>18796</v>
      </c>
      <c r="B9087" s="2" t="s">
        <v>18798</v>
      </c>
      <c r="C9087" s="2" t="s">
        <v>29</v>
      </c>
      <c r="D9087" s="2" t="s">
        <v>18797</v>
      </c>
      <c r="E9087" s="2" t="str">
        <f>"9789004330924"</f>
        <v>9789004330924</v>
      </c>
      <c r="F9087" s="2" t="str">
        <f>"9789004331471"</f>
        <v>9789004331471</v>
      </c>
    </row>
    <row r="9088" spans="1:6" s="3" customFormat="1" ht="29.1" customHeight="1" x14ac:dyDescent="0.25">
      <c r="A9088" s="2" t="s">
        <v>18799</v>
      </c>
      <c r="B9088" s="2" t="s">
        <v>18800</v>
      </c>
      <c r="C9088" s="2" t="s">
        <v>29</v>
      </c>
      <c r="D9088" s="2" t="s">
        <v>879</v>
      </c>
      <c r="E9088" s="2" t="str">
        <f>"9789004410831"</f>
        <v>9789004410831</v>
      </c>
      <c r="F9088" s="2" t="str">
        <f>"9789004410848"</f>
        <v>9789004410848</v>
      </c>
    </row>
    <row r="9089" spans="1:6" s="3" customFormat="1" ht="29.1" customHeight="1" x14ac:dyDescent="0.25">
      <c r="A9089" s="2" t="s">
        <v>18801</v>
      </c>
      <c r="B9089" s="2" t="s">
        <v>18802</v>
      </c>
      <c r="C9089" s="2" t="s">
        <v>29</v>
      </c>
      <c r="D9089" s="2" t="s">
        <v>6669</v>
      </c>
      <c r="E9089" s="2" t="str">
        <f>"9789004423442"</f>
        <v>9789004423442</v>
      </c>
      <c r="F9089" s="2" t="str">
        <f>"9789004423459"</f>
        <v>9789004423459</v>
      </c>
    </row>
    <row r="9090" spans="1:6" s="3" customFormat="1" ht="29.1" customHeight="1" x14ac:dyDescent="0.25">
      <c r="A9090" s="2" t="s">
        <v>18803</v>
      </c>
      <c r="B9090" s="2" t="s">
        <v>18804</v>
      </c>
      <c r="C9090" s="2" t="s">
        <v>29</v>
      </c>
      <c r="D9090" s="2" t="s">
        <v>192</v>
      </c>
      <c r="E9090" s="2" t="str">
        <f>"9789004391550"</f>
        <v>9789004391550</v>
      </c>
      <c r="F9090" s="2" t="str">
        <f>"9789004391567"</f>
        <v>9789004391567</v>
      </c>
    </row>
    <row r="9091" spans="1:6" s="3" customFormat="1" ht="29.1" customHeight="1" x14ac:dyDescent="0.25">
      <c r="A9091" s="2" t="s">
        <v>18805</v>
      </c>
      <c r="B9091" s="2" t="s">
        <v>18806</v>
      </c>
      <c r="C9091" s="2" t="s">
        <v>29</v>
      </c>
      <c r="D9091" s="2" t="s">
        <v>509</v>
      </c>
      <c r="E9091" s="2" t="str">
        <f>"9789004225701"</f>
        <v>9789004225701</v>
      </c>
      <c r="F9091" s="2" t="str">
        <f>"9789004416451"</f>
        <v>9789004416451</v>
      </c>
    </row>
    <row r="9092" spans="1:6" s="3" customFormat="1" ht="29.1" customHeight="1" x14ac:dyDescent="0.25">
      <c r="A9092" s="2" t="s">
        <v>18807</v>
      </c>
      <c r="B9092" s="2" t="s">
        <v>18808</v>
      </c>
      <c r="C9092" s="2" t="s">
        <v>29</v>
      </c>
      <c r="D9092" s="2" t="s">
        <v>9</v>
      </c>
      <c r="E9092" s="2" t="str">
        <f>"9789004391260"</f>
        <v>9789004391260</v>
      </c>
      <c r="F9092" s="2" t="str">
        <f>"9789004424531"</f>
        <v>9789004424531</v>
      </c>
    </row>
    <row r="9093" spans="1:6" s="3" customFormat="1" ht="29.1" customHeight="1" x14ac:dyDescent="0.25">
      <c r="A9093" s="2" t="s">
        <v>18809</v>
      </c>
      <c r="B9093" s="2" t="s">
        <v>18810</v>
      </c>
      <c r="C9093" s="2" t="s">
        <v>29</v>
      </c>
      <c r="D9093" s="2" t="s">
        <v>4160</v>
      </c>
      <c r="E9093" s="2" t="str">
        <f>"9789004418738"</f>
        <v>9789004418738</v>
      </c>
      <c r="F9093" s="2" t="str">
        <f>"9789004421813"</f>
        <v>9789004421813</v>
      </c>
    </row>
    <row r="9094" spans="1:6" s="3" customFormat="1" ht="29.1" customHeight="1" x14ac:dyDescent="0.25">
      <c r="A9094" s="2" t="s">
        <v>18811</v>
      </c>
      <c r="B9094" s="2" t="s">
        <v>18812</v>
      </c>
      <c r="C9094" s="2" t="s">
        <v>29</v>
      </c>
      <c r="D9094" s="2" t="s">
        <v>33</v>
      </c>
      <c r="E9094" s="2" t="str">
        <f>"9789004355101"</f>
        <v>9789004355101</v>
      </c>
      <c r="F9094" s="2" t="str">
        <f>"9789004355118"</f>
        <v>9789004355118</v>
      </c>
    </row>
    <row r="9095" spans="1:6" s="3" customFormat="1" ht="29.1" customHeight="1" x14ac:dyDescent="0.25">
      <c r="A9095" s="2" t="s">
        <v>18813</v>
      </c>
      <c r="B9095" s="2" t="s">
        <v>18814</v>
      </c>
      <c r="C9095" s="2" t="s">
        <v>29</v>
      </c>
      <c r="D9095" s="2" t="s">
        <v>4071</v>
      </c>
      <c r="E9095" s="2" t="str">
        <f>"9789004412859"</f>
        <v>9789004412859</v>
      </c>
      <c r="F9095" s="2" t="str">
        <f>"9789004412866"</f>
        <v>9789004412866</v>
      </c>
    </row>
    <row r="9096" spans="1:6" s="3" customFormat="1" ht="29.1" customHeight="1" x14ac:dyDescent="0.25">
      <c r="A9096" s="2" t="s">
        <v>18815</v>
      </c>
      <c r="B9096" s="2" t="s">
        <v>18816</v>
      </c>
      <c r="C9096" s="2" t="s">
        <v>29</v>
      </c>
      <c r="D9096" s="2" t="s">
        <v>121</v>
      </c>
      <c r="E9096" s="2" t="str">
        <f>"9789004412064"</f>
        <v>9789004412064</v>
      </c>
      <c r="F9096" s="2" t="str">
        <f>"9789004412071"</f>
        <v>9789004412071</v>
      </c>
    </row>
    <row r="9097" spans="1:6" s="3" customFormat="1" ht="29.1" customHeight="1" x14ac:dyDescent="0.25">
      <c r="A9097" s="2" t="s">
        <v>18817</v>
      </c>
      <c r="B9097" s="2" t="s">
        <v>18818</v>
      </c>
      <c r="C9097" s="2" t="s">
        <v>29</v>
      </c>
      <c r="D9097" s="2" t="s">
        <v>509</v>
      </c>
      <c r="E9097" s="2" t="str">
        <f>"9789004365414"</f>
        <v>9789004365414</v>
      </c>
      <c r="F9097" s="2" t="str">
        <f>"9789004365421"</f>
        <v>9789004365421</v>
      </c>
    </row>
    <row r="9098" spans="1:6" s="3" customFormat="1" ht="29.1" customHeight="1" x14ac:dyDescent="0.25">
      <c r="A9098" s="2" t="s">
        <v>18819</v>
      </c>
      <c r="B9098" s="2" t="s">
        <v>18820</v>
      </c>
      <c r="C9098" s="2" t="s">
        <v>29</v>
      </c>
      <c r="D9098" s="2" t="s">
        <v>192</v>
      </c>
      <c r="E9098" s="2" t="str">
        <f>"9789004382800"</f>
        <v>9789004382800</v>
      </c>
      <c r="F9098" s="2" t="str">
        <f>"9789004382817"</f>
        <v>9789004382817</v>
      </c>
    </row>
    <row r="9099" spans="1:6" s="3" customFormat="1" ht="29.1" customHeight="1" x14ac:dyDescent="0.25">
      <c r="A9099" s="2" t="s">
        <v>18821</v>
      </c>
      <c r="B9099" s="2" t="s">
        <v>18822</v>
      </c>
      <c r="C9099" s="2" t="s">
        <v>29</v>
      </c>
      <c r="D9099" s="2" t="s">
        <v>210</v>
      </c>
      <c r="E9099" s="2" t="str">
        <f>"9789004309111"</f>
        <v>9789004309111</v>
      </c>
      <c r="F9099" s="2" t="str">
        <f>"9789004416338"</f>
        <v>9789004416338</v>
      </c>
    </row>
    <row r="9100" spans="1:6" s="3" customFormat="1" ht="29.1" customHeight="1" x14ac:dyDescent="0.25">
      <c r="A9100" s="2" t="s">
        <v>18823</v>
      </c>
      <c r="B9100" s="2" t="s">
        <v>18824</v>
      </c>
      <c r="C9100" s="2" t="s">
        <v>29</v>
      </c>
      <c r="D9100" s="2" t="s">
        <v>3155</v>
      </c>
      <c r="E9100" s="2" t="str">
        <f>"9789004361355"</f>
        <v>9789004361355</v>
      </c>
      <c r="F9100" s="2" t="str">
        <f>"9789004416833"</f>
        <v>9789004416833</v>
      </c>
    </row>
    <row r="9101" spans="1:6" s="3" customFormat="1" ht="29.1" customHeight="1" x14ac:dyDescent="0.25">
      <c r="A9101" s="2" t="s">
        <v>18825</v>
      </c>
      <c r="B9101" s="2" t="s">
        <v>18826</v>
      </c>
      <c r="C9101" s="2" t="s">
        <v>29</v>
      </c>
      <c r="D9101" s="2" t="s">
        <v>63</v>
      </c>
      <c r="E9101" s="2" t="str">
        <f>"9789004384194"</f>
        <v>9789004384194</v>
      </c>
      <c r="F9101" s="2" t="str">
        <f>"9789004384200"</f>
        <v>9789004384200</v>
      </c>
    </row>
    <row r="9102" spans="1:6" s="3" customFormat="1" ht="29.1" customHeight="1" x14ac:dyDescent="0.25">
      <c r="A9102" s="2" t="s">
        <v>18827</v>
      </c>
      <c r="B9102" s="2" t="s">
        <v>18828</v>
      </c>
      <c r="C9102" s="2" t="s">
        <v>29</v>
      </c>
      <c r="D9102" s="2" t="s">
        <v>1432</v>
      </c>
      <c r="E9102" s="2" t="str">
        <f>"9789004406407"</f>
        <v>9789004406407</v>
      </c>
      <c r="F9102" s="2" t="str">
        <f>"9789004417342"</f>
        <v>9789004417342</v>
      </c>
    </row>
    <row r="9103" spans="1:6" s="3" customFormat="1" ht="29.1" customHeight="1" x14ac:dyDescent="0.25">
      <c r="A9103" s="2" t="s">
        <v>18829</v>
      </c>
      <c r="B9103" s="2" t="s">
        <v>18830</v>
      </c>
      <c r="C9103" s="2" t="s">
        <v>29</v>
      </c>
      <c r="D9103" s="2" t="s">
        <v>5910</v>
      </c>
      <c r="E9103" s="2" t="str">
        <f>"9789004381469"</f>
        <v>9789004381469</v>
      </c>
      <c r="F9103" s="2" t="str">
        <f>"9789004413290"</f>
        <v>9789004413290</v>
      </c>
    </row>
    <row r="9104" spans="1:6" s="3" customFormat="1" ht="29.1" customHeight="1" x14ac:dyDescent="0.25">
      <c r="A9104" s="2" t="s">
        <v>18831</v>
      </c>
      <c r="B9104" s="2" t="s">
        <v>18832</v>
      </c>
      <c r="C9104" s="2" t="s">
        <v>29</v>
      </c>
      <c r="D9104" s="2" t="s">
        <v>12194</v>
      </c>
      <c r="E9104" s="2" t="str">
        <f>"9789004415218"</f>
        <v>9789004415218</v>
      </c>
      <c r="F9104" s="2" t="str">
        <f>"9789004400351"</f>
        <v>9789004400351</v>
      </c>
    </row>
    <row r="9105" spans="1:6" s="3" customFormat="1" ht="29.1" customHeight="1" x14ac:dyDescent="0.25">
      <c r="A9105" s="2" t="s">
        <v>18833</v>
      </c>
      <c r="B9105" s="2" t="s">
        <v>18834</v>
      </c>
      <c r="C9105" s="2" t="s">
        <v>29</v>
      </c>
      <c r="D9105" s="2" t="s">
        <v>118</v>
      </c>
      <c r="E9105" s="2" t="str">
        <f>"9789004411425"</f>
        <v>9789004411425</v>
      </c>
      <c r="F9105" s="2" t="str">
        <f>"9789004412590"</f>
        <v>9789004412590</v>
      </c>
    </row>
    <row r="9106" spans="1:6" s="3" customFormat="1" ht="29.1" customHeight="1" x14ac:dyDescent="0.25">
      <c r="A9106" s="2" t="s">
        <v>18835</v>
      </c>
      <c r="B9106" s="2" t="s">
        <v>18836</v>
      </c>
      <c r="C9106" s="2" t="s">
        <v>29</v>
      </c>
      <c r="D9106" s="2" t="s">
        <v>14574</v>
      </c>
      <c r="E9106" s="2" t="str">
        <f>"9789004413702"</f>
        <v>9789004413702</v>
      </c>
      <c r="F9106" s="2" t="str">
        <f>"9789004413733"</f>
        <v>9789004413733</v>
      </c>
    </row>
    <row r="9107" spans="1:6" s="3" customFormat="1" ht="29.1" customHeight="1" x14ac:dyDescent="0.25">
      <c r="A9107" s="2" t="s">
        <v>18837</v>
      </c>
      <c r="B9107" s="2" t="s">
        <v>18838</v>
      </c>
      <c r="C9107" s="2" t="s">
        <v>29</v>
      </c>
      <c r="D9107" s="2" t="s">
        <v>16468</v>
      </c>
      <c r="E9107" s="2" t="str">
        <f>"9789004398498"</f>
        <v>9789004398498</v>
      </c>
      <c r="F9107" s="2" t="str">
        <f>"9789004412255"</f>
        <v>9789004412255</v>
      </c>
    </row>
    <row r="9108" spans="1:6" s="3" customFormat="1" ht="29.1" customHeight="1" x14ac:dyDescent="0.25">
      <c r="A9108" s="2" t="s">
        <v>18839</v>
      </c>
      <c r="B9108" s="2" t="s">
        <v>18840</v>
      </c>
      <c r="C9108" s="2" t="s">
        <v>29</v>
      </c>
      <c r="D9108" s="2" t="s">
        <v>218</v>
      </c>
      <c r="E9108" s="2" t="str">
        <f>"9789004344235"</f>
        <v>9789004344235</v>
      </c>
      <c r="F9108" s="2" t="str">
        <f>"9789004410510"</f>
        <v>9789004410510</v>
      </c>
    </row>
    <row r="9109" spans="1:6" s="3" customFormat="1" ht="29.1" customHeight="1" x14ac:dyDescent="0.25">
      <c r="A9109" s="2" t="s">
        <v>18841</v>
      </c>
      <c r="B9109" s="2" t="s">
        <v>18842</v>
      </c>
      <c r="C9109" s="2" t="s">
        <v>29</v>
      </c>
      <c r="D9109" s="2" t="s">
        <v>509</v>
      </c>
      <c r="E9109" s="2" t="str">
        <f>"9789004369726"</f>
        <v>9789004369726</v>
      </c>
      <c r="F9109" s="2" t="str">
        <f>"9789004391352"</f>
        <v>9789004391352</v>
      </c>
    </row>
    <row r="9110" spans="1:6" s="3" customFormat="1" ht="29.1" customHeight="1" x14ac:dyDescent="0.25">
      <c r="A9110" s="2" t="s">
        <v>18843</v>
      </c>
      <c r="B9110" s="2" t="s">
        <v>18844</v>
      </c>
      <c r="C9110" s="2" t="s">
        <v>29</v>
      </c>
      <c r="D9110" s="2" t="s">
        <v>121</v>
      </c>
      <c r="E9110" s="2" t="str">
        <f>"9789004398641"</f>
        <v>9789004398641</v>
      </c>
      <c r="F9110" s="2" t="str">
        <f>"9789004400139"</f>
        <v>9789004400139</v>
      </c>
    </row>
    <row r="9111" spans="1:6" s="3" customFormat="1" ht="29.1" customHeight="1" x14ac:dyDescent="0.25">
      <c r="A9111" s="2" t="s">
        <v>18845</v>
      </c>
      <c r="B9111" s="2" t="s">
        <v>18846</v>
      </c>
      <c r="C9111" s="2" t="s">
        <v>29</v>
      </c>
      <c r="D9111" s="2" t="s">
        <v>183</v>
      </c>
      <c r="E9111" s="2" t="str">
        <f>"9789004361027"</f>
        <v>9789004361027</v>
      </c>
      <c r="F9111" s="2" t="str">
        <f>"9789004361034"</f>
        <v>9789004361034</v>
      </c>
    </row>
    <row r="9112" spans="1:6" s="3" customFormat="1" ht="29.1" customHeight="1" x14ac:dyDescent="0.25">
      <c r="A9112" s="2" t="s">
        <v>18847</v>
      </c>
      <c r="B9112" s="2" t="s">
        <v>15153</v>
      </c>
      <c r="C9112" s="2" t="s">
        <v>29</v>
      </c>
      <c r="D9112" s="2" t="s">
        <v>6669</v>
      </c>
      <c r="E9112" s="2" t="str">
        <f>"9789004392793"</f>
        <v>9789004392793</v>
      </c>
      <c r="F9112" s="2" t="str">
        <f>"9789004392809"</f>
        <v>9789004392809</v>
      </c>
    </row>
    <row r="9113" spans="1:6" s="3" customFormat="1" ht="29.1" customHeight="1" x14ac:dyDescent="0.25">
      <c r="A9113" s="2" t="s">
        <v>18848</v>
      </c>
      <c r="B9113" s="2" t="s">
        <v>18849</v>
      </c>
      <c r="C9113" s="2" t="s">
        <v>29</v>
      </c>
      <c r="D9113" s="2" t="s">
        <v>121</v>
      </c>
      <c r="E9113" s="2" t="str">
        <f>"9789004382466"</f>
        <v>9789004382466</v>
      </c>
      <c r="F9113" s="2" t="str">
        <f>"9789004384361"</f>
        <v>9789004384361</v>
      </c>
    </row>
    <row r="9114" spans="1:6" s="3" customFormat="1" ht="29.1" customHeight="1" x14ac:dyDescent="0.25">
      <c r="A9114" s="2" t="s">
        <v>18850</v>
      </c>
      <c r="B9114" s="2" t="s">
        <v>18642</v>
      </c>
      <c r="C9114" s="2" t="s">
        <v>29</v>
      </c>
      <c r="D9114" s="2" t="s">
        <v>121</v>
      </c>
      <c r="E9114" s="2" t="str">
        <f>"9789004383487"</f>
        <v>9789004383487</v>
      </c>
      <c r="F9114" s="2" t="str">
        <f>"9789004383517"</f>
        <v>9789004383517</v>
      </c>
    </row>
    <row r="9115" spans="1:6" s="3" customFormat="1" ht="29.1" customHeight="1" x14ac:dyDescent="0.25">
      <c r="A9115" s="2" t="s">
        <v>18851</v>
      </c>
      <c r="B9115" s="2" t="s">
        <v>18852</v>
      </c>
      <c r="C9115" s="2" t="s">
        <v>29</v>
      </c>
      <c r="D9115" s="2" t="s">
        <v>3185</v>
      </c>
      <c r="E9115" s="2" t="str">
        <f>"9789004362161"</f>
        <v>9789004362161</v>
      </c>
      <c r="F9115" s="2" t="str">
        <f>"9789004366183"</f>
        <v>9789004366183</v>
      </c>
    </row>
    <row r="9116" spans="1:6" s="3" customFormat="1" ht="29.1" customHeight="1" x14ac:dyDescent="0.25">
      <c r="A9116" s="2" t="s">
        <v>18853</v>
      </c>
      <c r="B9116" s="2" t="s">
        <v>18854</v>
      </c>
      <c r="C9116" s="2" t="s">
        <v>29</v>
      </c>
      <c r="D9116" s="2" t="s">
        <v>509</v>
      </c>
      <c r="E9116" s="2" t="str">
        <f>"9789004340404"</f>
        <v>9789004340404</v>
      </c>
      <c r="F9116" s="2" t="str">
        <f>"9789004362871"</f>
        <v>9789004362871</v>
      </c>
    </row>
    <row r="9117" spans="1:6" s="3" customFormat="1" ht="29.1" customHeight="1" x14ac:dyDescent="0.25">
      <c r="A9117" s="2" t="s">
        <v>18855</v>
      </c>
      <c r="B9117" s="2" t="s">
        <v>18856</v>
      </c>
      <c r="C9117" s="2" t="s">
        <v>29</v>
      </c>
      <c r="D9117" s="2" t="s">
        <v>509</v>
      </c>
      <c r="E9117" s="2" t="str">
        <f>"9789004277175"</f>
        <v>9789004277175</v>
      </c>
      <c r="F9117" s="2" t="str">
        <f>"9789004277199"</f>
        <v>9789004277199</v>
      </c>
    </row>
    <row r="9118" spans="1:6" s="3" customFormat="1" ht="29.1" customHeight="1" x14ac:dyDescent="0.25">
      <c r="A9118" s="2" t="s">
        <v>18857</v>
      </c>
      <c r="B9118" s="2" t="s">
        <v>18858</v>
      </c>
      <c r="C9118" s="2" t="s">
        <v>29</v>
      </c>
      <c r="D9118" s="2" t="s">
        <v>210</v>
      </c>
      <c r="E9118" s="2" t="str">
        <f>"9789004286207"</f>
        <v>9789004286207</v>
      </c>
      <c r="F9118" s="2" t="str">
        <f>"9789004286863"</f>
        <v>9789004286863</v>
      </c>
    </row>
    <row r="9119" spans="1:6" s="3" customFormat="1" ht="29.1" customHeight="1" x14ac:dyDescent="0.25">
      <c r="A9119" s="2" t="s">
        <v>18859</v>
      </c>
      <c r="B9119" s="2" t="s">
        <v>18860</v>
      </c>
      <c r="C9119" s="2" t="s">
        <v>29</v>
      </c>
      <c r="D9119" s="2" t="s">
        <v>459</v>
      </c>
      <c r="E9119" s="2" t="str">
        <f>"9789004346161"</f>
        <v>9789004346161</v>
      </c>
      <c r="F9119" s="2" t="str">
        <f>"9789004346178"</f>
        <v>9789004346178</v>
      </c>
    </row>
    <row r="9120" spans="1:6" s="3" customFormat="1" ht="29.1" customHeight="1" x14ac:dyDescent="0.25">
      <c r="A9120" s="2" t="s">
        <v>18861</v>
      </c>
      <c r="B9120" s="2" t="s">
        <v>18862</v>
      </c>
      <c r="C9120" s="2" t="s">
        <v>29</v>
      </c>
      <c r="D9120" s="2" t="s">
        <v>339</v>
      </c>
      <c r="E9120" s="2" t="str">
        <f>"9789004330146"</f>
        <v>9789004330146</v>
      </c>
      <c r="F9120" s="2" t="str">
        <f>"9789004330139"</f>
        <v>9789004330139</v>
      </c>
    </row>
    <row r="9121" spans="1:6" s="3" customFormat="1" ht="29.1" customHeight="1" x14ac:dyDescent="0.25">
      <c r="A9121" s="2" t="s">
        <v>18863</v>
      </c>
      <c r="B9121" s="2" t="s">
        <v>18864</v>
      </c>
      <c r="C9121" s="2" t="s">
        <v>29</v>
      </c>
      <c r="D9121" s="2" t="s">
        <v>2019</v>
      </c>
      <c r="E9121" s="2" t="str">
        <f>"9789004330085"</f>
        <v>9789004330085</v>
      </c>
      <c r="F9121" s="2" t="str">
        <f>"9789004330092"</f>
        <v>9789004330092</v>
      </c>
    </row>
    <row r="9122" spans="1:6" s="3" customFormat="1" ht="29.1" customHeight="1" x14ac:dyDescent="0.25">
      <c r="A9122" s="2" t="s">
        <v>18865</v>
      </c>
      <c r="B9122" s="2" t="s">
        <v>18867</v>
      </c>
      <c r="C9122" s="2" t="s">
        <v>29</v>
      </c>
      <c r="D9122" s="2" t="s">
        <v>18866</v>
      </c>
      <c r="E9122" s="2" t="str">
        <f>"9789004330894"</f>
        <v>9789004330894</v>
      </c>
      <c r="F9122" s="2" t="str">
        <f>"9789004330900"</f>
        <v>9789004330900</v>
      </c>
    </row>
    <row r="9123" spans="1:6" s="3" customFormat="1" ht="29.1" customHeight="1" x14ac:dyDescent="0.25">
      <c r="A9123" s="2" t="s">
        <v>18868</v>
      </c>
      <c r="B9123" s="2" t="s">
        <v>18869</v>
      </c>
      <c r="C9123" s="2" t="s">
        <v>29</v>
      </c>
      <c r="D9123" s="2" t="s">
        <v>1411</v>
      </c>
      <c r="E9123" s="2" t="str">
        <f>"9789004291980"</f>
        <v>9789004291980</v>
      </c>
      <c r="F9123" s="2" t="str">
        <f>"9789004291997"</f>
        <v>9789004291997</v>
      </c>
    </row>
    <row r="9124" spans="1:6" s="3" customFormat="1" ht="29.1" customHeight="1" x14ac:dyDescent="0.25">
      <c r="A9124" s="2" t="s">
        <v>18870</v>
      </c>
      <c r="B9124" s="2" t="s">
        <v>18871</v>
      </c>
      <c r="C9124" s="2" t="s">
        <v>29</v>
      </c>
      <c r="D9124" s="2" t="s">
        <v>3166</v>
      </c>
      <c r="E9124" s="2" t="str">
        <f>"9789004291959"</f>
        <v>9789004291959</v>
      </c>
      <c r="F9124" s="2" t="str">
        <f>"9789004291966"</f>
        <v>9789004291966</v>
      </c>
    </row>
    <row r="9125" spans="1:6" s="3" customFormat="1" ht="29.1" customHeight="1" x14ac:dyDescent="0.25">
      <c r="A9125" s="2" t="s">
        <v>18872</v>
      </c>
      <c r="B9125" s="2" t="s">
        <v>18874</v>
      </c>
      <c r="C9125" s="2" t="s">
        <v>29</v>
      </c>
      <c r="D9125" s="2" t="s">
        <v>18873</v>
      </c>
      <c r="E9125" s="2" t="str">
        <f>"9789004291904"</f>
        <v>9789004291904</v>
      </c>
      <c r="F9125" s="2" t="str">
        <f>"9789004291911"</f>
        <v>9789004291911</v>
      </c>
    </row>
    <row r="9126" spans="1:6" s="3" customFormat="1" ht="29.1" customHeight="1" x14ac:dyDescent="0.25">
      <c r="A9126" s="2" t="s">
        <v>18875</v>
      </c>
      <c r="B9126" s="2" t="s">
        <v>18876</v>
      </c>
      <c r="C9126" s="2" t="s">
        <v>29</v>
      </c>
      <c r="D9126" s="2" t="s">
        <v>2902</v>
      </c>
      <c r="E9126" s="2" t="str">
        <f>"9789004280199"</f>
        <v>9789004280199</v>
      </c>
      <c r="F9126" s="2" t="str">
        <f>"9789004280205"</f>
        <v>9789004280205</v>
      </c>
    </row>
    <row r="9127" spans="1:6" s="3" customFormat="1" ht="29.1" customHeight="1" x14ac:dyDescent="0.25">
      <c r="A9127" s="2" t="s">
        <v>18877</v>
      </c>
      <c r="B9127" s="2" t="s">
        <v>18878</v>
      </c>
      <c r="C9127" s="2" t="s">
        <v>29</v>
      </c>
      <c r="D9127" s="2" t="s">
        <v>33</v>
      </c>
      <c r="E9127" s="2" t="str">
        <f>"9789004331679"</f>
        <v>9789004331679</v>
      </c>
      <c r="F9127" s="2" t="str">
        <f>"9789004332331"</f>
        <v>9789004332331</v>
      </c>
    </row>
    <row r="9128" spans="1:6" s="3" customFormat="1" ht="29.1" customHeight="1" x14ac:dyDescent="0.25">
      <c r="A9128" s="2" t="s">
        <v>18879</v>
      </c>
      <c r="B9128" s="2" t="s">
        <v>18880</v>
      </c>
      <c r="C9128" s="2" t="s">
        <v>29</v>
      </c>
      <c r="D9128" s="2" t="s">
        <v>210</v>
      </c>
      <c r="E9128" s="2" t="str">
        <f>"9789004329751"</f>
        <v>9789004329751</v>
      </c>
      <c r="F9128" s="2" t="str">
        <f>"9789004329768"</f>
        <v>9789004329768</v>
      </c>
    </row>
    <row r="9129" spans="1:6" s="3" customFormat="1" ht="29.1" customHeight="1" x14ac:dyDescent="0.25">
      <c r="A9129" s="2" t="s">
        <v>18881</v>
      </c>
      <c r="B9129" s="2" t="s">
        <v>18882</v>
      </c>
      <c r="C9129" s="2" t="s">
        <v>29</v>
      </c>
      <c r="D9129" s="2" t="s">
        <v>1411</v>
      </c>
      <c r="E9129" s="2" t="str">
        <f>"9789004325357"</f>
        <v>9789004325357</v>
      </c>
      <c r="F9129" s="2" t="str">
        <f>"9789004328556"</f>
        <v>9789004328556</v>
      </c>
    </row>
    <row r="9130" spans="1:6" s="3" customFormat="1" ht="29.1" customHeight="1" x14ac:dyDescent="0.25">
      <c r="A9130" s="2" t="s">
        <v>18883</v>
      </c>
      <c r="B9130" s="2" t="s">
        <v>18884</v>
      </c>
      <c r="C9130" s="2" t="s">
        <v>29</v>
      </c>
      <c r="D9130" s="2" t="s">
        <v>509</v>
      </c>
      <c r="E9130" s="2" t="str">
        <f>"9789004324312"</f>
        <v>9789004324312</v>
      </c>
      <c r="F9130" s="2" t="str">
        <f>"9789004324329"</f>
        <v>9789004324329</v>
      </c>
    </row>
    <row r="9131" spans="1:6" s="3" customFormat="1" ht="29.1" customHeight="1" x14ac:dyDescent="0.25">
      <c r="A9131" s="2" t="s">
        <v>18885</v>
      </c>
      <c r="B9131" s="2" t="s">
        <v>18886</v>
      </c>
      <c r="C9131" s="2" t="s">
        <v>29</v>
      </c>
      <c r="D9131" s="2" t="s">
        <v>183</v>
      </c>
      <c r="E9131" s="2" t="str">
        <f>"9789004298200"</f>
        <v>9789004298200</v>
      </c>
      <c r="F9131" s="2" t="str">
        <f>"9789004330603"</f>
        <v>9789004330603</v>
      </c>
    </row>
    <row r="9132" spans="1:6" s="3" customFormat="1" ht="29.1" customHeight="1" x14ac:dyDescent="0.25">
      <c r="A9132" s="2" t="s">
        <v>18887</v>
      </c>
      <c r="B9132" s="2" t="s">
        <v>18888</v>
      </c>
      <c r="C9132" s="2" t="s">
        <v>29</v>
      </c>
      <c r="D9132" s="2" t="s">
        <v>17798</v>
      </c>
      <c r="E9132" s="2" t="str">
        <f>"9789004321427"</f>
        <v>9789004321427</v>
      </c>
      <c r="F9132" s="2" t="str">
        <f>"9789004326743"</f>
        <v>9789004326743</v>
      </c>
    </row>
    <row r="9133" spans="1:6" s="3" customFormat="1" ht="29.1" customHeight="1" x14ac:dyDescent="0.25">
      <c r="A9133" s="2" t="s">
        <v>18889</v>
      </c>
      <c r="B9133" s="2" t="s">
        <v>18890</v>
      </c>
      <c r="C9133" s="2" t="s">
        <v>29</v>
      </c>
      <c r="D9133" s="2" t="s">
        <v>210</v>
      </c>
      <c r="E9133" s="2" t="str">
        <f>"9789004323414"</f>
        <v>9789004323414</v>
      </c>
      <c r="F9133" s="2" t="str">
        <f>"9789004323421"</f>
        <v>9789004323421</v>
      </c>
    </row>
    <row r="9134" spans="1:6" s="3" customFormat="1" ht="29.1" customHeight="1" x14ac:dyDescent="0.25">
      <c r="A9134" s="2" t="s">
        <v>18891</v>
      </c>
      <c r="B9134" s="2" t="s">
        <v>18892</v>
      </c>
      <c r="C9134" s="2" t="s">
        <v>29</v>
      </c>
      <c r="D9134" s="2" t="s">
        <v>210</v>
      </c>
      <c r="E9134" s="2" t="str">
        <f>"9789004313569"</f>
        <v>9789004313569</v>
      </c>
      <c r="F9134" s="2" t="str">
        <f>"9789004313712"</f>
        <v>9789004313712</v>
      </c>
    </row>
    <row r="9135" spans="1:6" s="3" customFormat="1" ht="29.1" customHeight="1" x14ac:dyDescent="0.25">
      <c r="A9135" s="2" t="s">
        <v>18893</v>
      </c>
      <c r="B9135" s="2" t="s">
        <v>18894</v>
      </c>
      <c r="C9135" s="2" t="s">
        <v>29</v>
      </c>
      <c r="D9135" s="2" t="s">
        <v>33</v>
      </c>
      <c r="E9135" s="2" t="str">
        <f>"9789004291881"</f>
        <v>9789004291881</v>
      </c>
      <c r="F9135" s="2" t="str">
        <f>"9789004291898"</f>
        <v>9789004291898</v>
      </c>
    </row>
    <row r="9136" spans="1:6" s="3" customFormat="1" ht="29.1" customHeight="1" x14ac:dyDescent="0.25">
      <c r="A9136" s="2" t="s">
        <v>18895</v>
      </c>
      <c r="B9136" s="2" t="s">
        <v>18896</v>
      </c>
      <c r="C9136" s="2" t="s">
        <v>29</v>
      </c>
      <c r="D9136" s="2" t="s">
        <v>218</v>
      </c>
      <c r="E9136" s="2" t="str">
        <f>"9789004316065"</f>
        <v>9789004316065</v>
      </c>
      <c r="F9136" s="2" t="str">
        <f>"9789004316256"</f>
        <v>9789004316256</v>
      </c>
    </row>
    <row r="9137" spans="1:6" s="3" customFormat="1" ht="29.1" customHeight="1" x14ac:dyDescent="0.25">
      <c r="A9137" s="2" t="s">
        <v>18897</v>
      </c>
      <c r="B9137" s="2" t="s">
        <v>18898</v>
      </c>
      <c r="C9137" s="2" t="s">
        <v>29</v>
      </c>
      <c r="D9137" s="2" t="s">
        <v>509</v>
      </c>
      <c r="E9137" s="2" t="str">
        <f>"9789004311978"</f>
        <v>9789004311978</v>
      </c>
      <c r="F9137" s="2" t="str">
        <f>"9789004315693"</f>
        <v>9789004315693</v>
      </c>
    </row>
    <row r="9138" spans="1:6" s="3" customFormat="1" ht="29.1" customHeight="1" x14ac:dyDescent="0.25">
      <c r="A9138" s="2" t="s">
        <v>18899</v>
      </c>
      <c r="B9138" s="2" t="s">
        <v>18900</v>
      </c>
      <c r="C9138" s="2" t="s">
        <v>29</v>
      </c>
      <c r="D9138" s="2" t="s">
        <v>1617</v>
      </c>
      <c r="E9138" s="2" t="str">
        <f>"9789067181051"</f>
        <v>9789067181051</v>
      </c>
      <c r="F9138" s="2" t="str">
        <f>"9789004260429"</f>
        <v>9789004260429</v>
      </c>
    </row>
    <row r="9139" spans="1:6" s="3" customFormat="1" ht="29.1" customHeight="1" x14ac:dyDescent="0.25">
      <c r="A9139" s="2" t="s">
        <v>18901</v>
      </c>
      <c r="B9139" s="2" t="s">
        <v>18902</v>
      </c>
      <c r="C9139" s="2" t="s">
        <v>29</v>
      </c>
      <c r="D9139" s="2" t="s">
        <v>509</v>
      </c>
      <c r="E9139" s="2" t="str">
        <f>"9789067180528"</f>
        <v>9789067180528</v>
      </c>
      <c r="F9139" s="2" t="str">
        <f>"9789004259799"</f>
        <v>9789004259799</v>
      </c>
    </row>
    <row r="9140" spans="1:6" s="3" customFormat="1" ht="29.1" customHeight="1" x14ac:dyDescent="0.25">
      <c r="A9140" s="2" t="s">
        <v>18903</v>
      </c>
      <c r="B9140" s="2" t="s">
        <v>18904</v>
      </c>
      <c r="C9140" s="2" t="s">
        <v>29</v>
      </c>
      <c r="D9140" s="2" t="s">
        <v>210</v>
      </c>
      <c r="E9140" s="2" t="str">
        <f>"9789004313347"</f>
        <v>9789004313347</v>
      </c>
      <c r="F9140" s="2" t="str">
        <f>"9789004313354"</f>
        <v>9789004313354</v>
      </c>
    </row>
    <row r="9141" spans="1:6" s="3" customFormat="1" ht="29.1" customHeight="1" x14ac:dyDescent="0.25">
      <c r="A9141" s="2" t="s">
        <v>18905</v>
      </c>
      <c r="B9141" s="2" t="s">
        <v>18906</v>
      </c>
      <c r="C9141" s="2" t="s">
        <v>29</v>
      </c>
      <c r="D9141" s="2" t="s">
        <v>118</v>
      </c>
      <c r="E9141" s="2" t="str">
        <f>"9789004311633"</f>
        <v>9789004311633</v>
      </c>
      <c r="F9141" s="2" t="str">
        <f>"9789004314849"</f>
        <v>9789004314849</v>
      </c>
    </row>
    <row r="9142" spans="1:6" s="3" customFormat="1" ht="29.1" customHeight="1" x14ac:dyDescent="0.25">
      <c r="A9142" s="2" t="s">
        <v>18907</v>
      </c>
      <c r="B9142" s="2" t="s">
        <v>18908</v>
      </c>
      <c r="C9142" s="2" t="s">
        <v>29</v>
      </c>
      <c r="D9142" s="2" t="s">
        <v>118</v>
      </c>
      <c r="E9142" s="2" t="str">
        <f>"9789004311626"</f>
        <v>9789004311626</v>
      </c>
      <c r="F9142" s="2" t="str">
        <f>"9789004314832"</f>
        <v>9789004314832</v>
      </c>
    </row>
    <row r="9143" spans="1:6" s="3" customFormat="1" ht="29.1" customHeight="1" x14ac:dyDescent="0.25">
      <c r="A9143" s="2" t="s">
        <v>18909</v>
      </c>
      <c r="B9143" s="2" t="s">
        <v>18910</v>
      </c>
      <c r="C9143" s="2" t="s">
        <v>29</v>
      </c>
      <c r="D9143" s="2" t="s">
        <v>4117</v>
      </c>
      <c r="E9143" s="2" t="str">
        <f>"9789004307476"</f>
        <v>9789004307476</v>
      </c>
      <c r="F9143" s="2" t="str">
        <f>"9789004310483"</f>
        <v>9789004310483</v>
      </c>
    </row>
    <row r="9144" spans="1:6" s="3" customFormat="1" ht="29.1" customHeight="1" x14ac:dyDescent="0.25">
      <c r="A9144" s="2" t="s">
        <v>18911</v>
      </c>
      <c r="B9144" s="2" t="s">
        <v>18912</v>
      </c>
      <c r="C9144" s="2" t="s">
        <v>29</v>
      </c>
      <c r="D9144" s="2" t="s">
        <v>150</v>
      </c>
      <c r="E9144" s="2" t="str">
        <f>"9789004298453"</f>
        <v>9789004298453</v>
      </c>
      <c r="F9144" s="2" t="str">
        <f>"9789004310148"</f>
        <v>9789004310148</v>
      </c>
    </row>
    <row r="9145" spans="1:6" s="3" customFormat="1" ht="29.1" customHeight="1" x14ac:dyDescent="0.25">
      <c r="A9145" s="2" t="s">
        <v>18913</v>
      </c>
      <c r="B9145" s="2" t="s">
        <v>18914</v>
      </c>
      <c r="C9145" s="2" t="s">
        <v>29</v>
      </c>
      <c r="D9145" s="2" t="s">
        <v>4117</v>
      </c>
      <c r="E9145" s="2" t="str">
        <f>"9789004309098"</f>
        <v>9789004309098</v>
      </c>
      <c r="F9145" s="2" t="str">
        <f>"9789004309081"</f>
        <v>9789004309081</v>
      </c>
    </row>
    <row r="9146" spans="1:6" s="3" customFormat="1" ht="29.1" customHeight="1" x14ac:dyDescent="0.25">
      <c r="A9146" s="2" t="s">
        <v>18915</v>
      </c>
      <c r="B9146" s="2" t="s">
        <v>18916</v>
      </c>
      <c r="C9146" s="2" t="s">
        <v>29</v>
      </c>
      <c r="D9146" s="2" t="s">
        <v>150</v>
      </c>
      <c r="E9146" s="2" t="str">
        <f>"9789004294356"</f>
        <v>9789004294356</v>
      </c>
      <c r="F9146" s="2" t="str">
        <f>"9789004309517"</f>
        <v>9789004309517</v>
      </c>
    </row>
    <row r="9147" spans="1:6" s="3" customFormat="1" ht="29.1" customHeight="1" x14ac:dyDescent="0.25">
      <c r="A9147" s="2" t="s">
        <v>18917</v>
      </c>
      <c r="B9147" s="2" t="s">
        <v>18918</v>
      </c>
      <c r="C9147" s="2" t="s">
        <v>29</v>
      </c>
      <c r="D9147" s="2" t="s">
        <v>210</v>
      </c>
      <c r="E9147" s="2" t="str">
        <f>"9789004307452"</f>
        <v>9789004307452</v>
      </c>
      <c r="F9147" s="2" t="str">
        <f>"9789004311350"</f>
        <v>9789004311350</v>
      </c>
    </row>
    <row r="9148" spans="1:6" s="3" customFormat="1" ht="29.1" customHeight="1" x14ac:dyDescent="0.25">
      <c r="A9148" s="2" t="s">
        <v>18919</v>
      </c>
      <c r="B9148" s="2" t="s">
        <v>18920</v>
      </c>
      <c r="C9148" s="2" t="s">
        <v>29</v>
      </c>
      <c r="D9148" s="2" t="s">
        <v>1432</v>
      </c>
      <c r="E9148" s="2" t="str">
        <f>"9789004293120"</f>
        <v>9789004293120</v>
      </c>
      <c r="F9148" s="2" t="str">
        <f>"9789004305809"</f>
        <v>9789004305809</v>
      </c>
    </row>
    <row r="9149" spans="1:6" s="3" customFormat="1" ht="29.1" customHeight="1" x14ac:dyDescent="0.25">
      <c r="A9149" s="2" t="s">
        <v>18921</v>
      </c>
      <c r="B9149" s="2" t="s">
        <v>18922</v>
      </c>
      <c r="C9149" s="2" t="s">
        <v>29</v>
      </c>
      <c r="D9149" s="2" t="s">
        <v>4160</v>
      </c>
      <c r="E9149" s="2" t="str">
        <f>"9789004287839"</f>
        <v>9789004287839</v>
      </c>
      <c r="F9149" s="2" t="str">
        <f>"9789004301979"</f>
        <v>9789004301979</v>
      </c>
    </row>
    <row r="9150" spans="1:6" s="3" customFormat="1" ht="29.1" customHeight="1" x14ac:dyDescent="0.25">
      <c r="A9150" s="2" t="s">
        <v>18923</v>
      </c>
      <c r="B9150" s="2" t="s">
        <v>18924</v>
      </c>
      <c r="C9150" s="2" t="s">
        <v>29</v>
      </c>
      <c r="D9150" s="2" t="s">
        <v>509</v>
      </c>
      <c r="E9150" s="2" t="str">
        <f>"9789004304772"</f>
        <v>9789004304772</v>
      </c>
      <c r="F9150" s="2" t="str">
        <f>"9789004304789"</f>
        <v>9789004304789</v>
      </c>
    </row>
    <row r="9151" spans="1:6" s="3" customFormat="1" ht="29.1" customHeight="1" x14ac:dyDescent="0.25">
      <c r="A9151" s="2" t="s">
        <v>18925</v>
      </c>
      <c r="B9151" s="2" t="s">
        <v>18926</v>
      </c>
      <c r="C9151" s="2" t="s">
        <v>29</v>
      </c>
      <c r="D9151" s="2" t="s">
        <v>192</v>
      </c>
      <c r="E9151" s="2" t="str">
        <f>"9789004304741"</f>
        <v>9789004304741</v>
      </c>
      <c r="F9151" s="2" t="str">
        <f>"9789004304758"</f>
        <v>9789004304758</v>
      </c>
    </row>
    <row r="9152" spans="1:6" s="3" customFormat="1" ht="29.1" customHeight="1" x14ac:dyDescent="0.25">
      <c r="A9152" s="2" t="s">
        <v>18927</v>
      </c>
      <c r="B9152" s="2" t="s">
        <v>18928</v>
      </c>
      <c r="C9152" s="2" t="s">
        <v>29</v>
      </c>
      <c r="D9152" s="2" t="s">
        <v>6548</v>
      </c>
      <c r="E9152" s="2" t="str">
        <f>"9789004301214"</f>
        <v>9789004301214</v>
      </c>
      <c r="F9152" s="2" t="str">
        <f>"9789004301368"</f>
        <v>9789004301368</v>
      </c>
    </row>
    <row r="9153" spans="1:6" s="3" customFormat="1" ht="29.1" customHeight="1" x14ac:dyDescent="0.25">
      <c r="A9153" s="2" t="s">
        <v>18929</v>
      </c>
      <c r="B9153" s="2" t="s">
        <v>18930</v>
      </c>
      <c r="C9153" s="2" t="s">
        <v>29</v>
      </c>
      <c r="D9153" s="2" t="s">
        <v>3105</v>
      </c>
      <c r="E9153" s="2" t="str">
        <f>"9789004270800"</f>
        <v>9789004270800</v>
      </c>
      <c r="F9153" s="2" t="str">
        <f>"9789004270848"</f>
        <v>9789004270848</v>
      </c>
    </row>
    <row r="9154" spans="1:6" s="3" customFormat="1" ht="29.1" customHeight="1" x14ac:dyDescent="0.25">
      <c r="A9154" s="2" t="s">
        <v>18931</v>
      </c>
      <c r="B9154" s="2" t="s">
        <v>18932</v>
      </c>
      <c r="C9154" s="2" t="s">
        <v>29</v>
      </c>
      <c r="D9154" s="2" t="s">
        <v>3270</v>
      </c>
      <c r="E9154" s="2" t="str">
        <f>"9789004291867"</f>
        <v>9789004291867</v>
      </c>
      <c r="F9154" s="2" t="str">
        <f>"9789004291874"</f>
        <v>9789004291874</v>
      </c>
    </row>
    <row r="9155" spans="1:6" s="3" customFormat="1" ht="29.1" customHeight="1" x14ac:dyDescent="0.25">
      <c r="A9155" s="2" t="s">
        <v>18933</v>
      </c>
      <c r="B9155" s="2" t="s">
        <v>18934</v>
      </c>
      <c r="C9155" s="2" t="s">
        <v>29</v>
      </c>
      <c r="D9155" s="2" t="s">
        <v>509</v>
      </c>
      <c r="E9155" s="2" t="str">
        <f>"9789004291928"</f>
        <v>9789004291928</v>
      </c>
      <c r="F9155" s="2" t="str">
        <f>"9789004291935"</f>
        <v>9789004291935</v>
      </c>
    </row>
    <row r="9156" spans="1:6" s="3" customFormat="1" ht="29.1" customHeight="1" x14ac:dyDescent="0.25">
      <c r="A9156" s="2" t="s">
        <v>18935</v>
      </c>
      <c r="B9156" s="2" t="s">
        <v>18936</v>
      </c>
      <c r="C9156" s="2" t="s">
        <v>29</v>
      </c>
      <c r="D9156" s="2" t="s">
        <v>818</v>
      </c>
      <c r="E9156" s="2" t="str">
        <f>"9789024761852"</f>
        <v>9789024761852</v>
      </c>
      <c r="F9156" s="2" t="str">
        <f>"9789004287303"</f>
        <v>9789004287303</v>
      </c>
    </row>
    <row r="9157" spans="1:6" s="3" customFormat="1" ht="29.1" customHeight="1" x14ac:dyDescent="0.25">
      <c r="A9157" s="2" t="s">
        <v>18937</v>
      </c>
      <c r="B9157" s="2" t="s">
        <v>18938</v>
      </c>
      <c r="C9157" s="2" t="s">
        <v>29</v>
      </c>
      <c r="D9157" s="2" t="s">
        <v>818</v>
      </c>
      <c r="E9157" s="2" t="str">
        <f>"9789024761838"</f>
        <v>9789024761838</v>
      </c>
      <c r="F9157" s="2" t="str">
        <f>"9789004287297"</f>
        <v>9789004287297</v>
      </c>
    </row>
    <row r="9158" spans="1:6" s="3" customFormat="1" ht="29.1" customHeight="1" x14ac:dyDescent="0.25">
      <c r="A9158" s="2" t="s">
        <v>18939</v>
      </c>
      <c r="B9158" s="2" t="s">
        <v>18940</v>
      </c>
      <c r="C9158" s="2" t="s">
        <v>29</v>
      </c>
      <c r="D9158" s="2" t="s">
        <v>210</v>
      </c>
      <c r="E9158" s="2" t="str">
        <f>"9789024761821"</f>
        <v>9789024761821</v>
      </c>
      <c r="F9158" s="2" t="str">
        <f>"9789004287280"</f>
        <v>9789004287280</v>
      </c>
    </row>
    <row r="9159" spans="1:6" s="3" customFormat="1" ht="29.1" customHeight="1" x14ac:dyDescent="0.25">
      <c r="A9159" s="2" t="s">
        <v>18941</v>
      </c>
      <c r="B9159" s="2" t="s">
        <v>18942</v>
      </c>
      <c r="C9159" s="2" t="s">
        <v>29</v>
      </c>
      <c r="D9159" s="2" t="s">
        <v>210</v>
      </c>
      <c r="E9159" s="2" t="str">
        <f>"9789024761807"</f>
        <v>9789024761807</v>
      </c>
      <c r="F9159" s="2" t="str">
        <f>"9789004287273"</f>
        <v>9789004287273</v>
      </c>
    </row>
    <row r="9160" spans="1:6" s="3" customFormat="1" ht="29.1" customHeight="1" x14ac:dyDescent="0.25">
      <c r="A9160" s="2" t="s">
        <v>18943</v>
      </c>
      <c r="B9160" s="2" t="s">
        <v>18944</v>
      </c>
      <c r="C9160" s="2" t="s">
        <v>29</v>
      </c>
      <c r="D9160" s="2" t="s">
        <v>818</v>
      </c>
      <c r="E9160" s="2" t="str">
        <f>"9789024761753"</f>
        <v>9789024761753</v>
      </c>
      <c r="F9160" s="2" t="str">
        <f>"9789004287266"</f>
        <v>9789004287266</v>
      </c>
    </row>
    <row r="9161" spans="1:6" s="3" customFormat="1" ht="29.1" customHeight="1" x14ac:dyDescent="0.25">
      <c r="A9161" s="2" t="s">
        <v>18945</v>
      </c>
      <c r="B9161" s="2" t="s">
        <v>18946</v>
      </c>
      <c r="C9161" s="2" t="s">
        <v>29</v>
      </c>
      <c r="D9161" s="2" t="s">
        <v>210</v>
      </c>
      <c r="E9161" s="2" t="str">
        <f>"9789024761722"</f>
        <v>9789024761722</v>
      </c>
      <c r="F9161" s="2" t="str">
        <f>"9789004287259"</f>
        <v>9789004287259</v>
      </c>
    </row>
    <row r="9162" spans="1:6" s="3" customFormat="1" ht="29.1" customHeight="1" x14ac:dyDescent="0.25">
      <c r="A9162" s="2" t="s">
        <v>18947</v>
      </c>
      <c r="B9162" s="2" t="s">
        <v>18948</v>
      </c>
      <c r="C9162" s="2" t="s">
        <v>29</v>
      </c>
      <c r="D9162" s="2" t="s">
        <v>818</v>
      </c>
      <c r="E9162" s="2" t="str">
        <f>"9789024761692"</f>
        <v>9789024761692</v>
      </c>
      <c r="F9162" s="2" t="str">
        <f>"9789004287242"</f>
        <v>9789004287242</v>
      </c>
    </row>
    <row r="9163" spans="1:6" s="3" customFormat="1" ht="29.1" customHeight="1" x14ac:dyDescent="0.25">
      <c r="A9163" s="2" t="s">
        <v>18949</v>
      </c>
      <c r="B9163" s="2" t="s">
        <v>18950</v>
      </c>
      <c r="C9163" s="2" t="s">
        <v>29</v>
      </c>
      <c r="D9163" s="2" t="s">
        <v>1617</v>
      </c>
      <c r="E9163" s="2" t="str">
        <f>"9789024724680"</f>
        <v>9789024724680</v>
      </c>
      <c r="F9163" s="2" t="str">
        <f>"9789004287211"</f>
        <v>9789004287211</v>
      </c>
    </row>
    <row r="9164" spans="1:6" s="3" customFormat="1" ht="29.1" customHeight="1" x14ac:dyDescent="0.25">
      <c r="A9164" s="2" t="s">
        <v>18951</v>
      </c>
      <c r="B9164" s="2" t="s">
        <v>18952</v>
      </c>
      <c r="C9164" s="2" t="s">
        <v>29</v>
      </c>
      <c r="D9164" s="2" t="s">
        <v>818</v>
      </c>
      <c r="E9164" s="2" t="str">
        <f>"9789024723829"</f>
        <v>9789024723829</v>
      </c>
      <c r="F9164" s="2" t="str">
        <f>"9789004287204"</f>
        <v>9789004287204</v>
      </c>
    </row>
    <row r="9165" spans="1:6" s="3" customFormat="1" ht="29.1" customHeight="1" x14ac:dyDescent="0.25">
      <c r="A9165" s="2" t="s">
        <v>18953</v>
      </c>
      <c r="B9165" s="2" t="s">
        <v>18954</v>
      </c>
      <c r="C9165" s="2" t="s">
        <v>29</v>
      </c>
      <c r="D9165" s="2" t="s">
        <v>210</v>
      </c>
      <c r="E9165" s="2" t="str">
        <f>"9789024723096"</f>
        <v>9789024723096</v>
      </c>
      <c r="F9165" s="2" t="str">
        <f>"9789004287198"</f>
        <v>9789004287198</v>
      </c>
    </row>
    <row r="9166" spans="1:6" s="3" customFormat="1" ht="29.1" customHeight="1" x14ac:dyDescent="0.25">
      <c r="A9166" s="2" t="s">
        <v>18955</v>
      </c>
      <c r="B9166" s="2" t="s">
        <v>18956</v>
      </c>
      <c r="C9166" s="2" t="s">
        <v>29</v>
      </c>
      <c r="D9166" s="2" t="s">
        <v>1617</v>
      </c>
      <c r="E9166" s="2" t="str">
        <f>"9789024721962"</f>
        <v>9789024721962</v>
      </c>
      <c r="F9166" s="2" t="str">
        <f>"9789004287167"</f>
        <v>9789004287167</v>
      </c>
    </row>
    <row r="9167" spans="1:6" s="3" customFormat="1" ht="29.1" customHeight="1" x14ac:dyDescent="0.25">
      <c r="A9167" s="2" t="s">
        <v>18957</v>
      </c>
      <c r="B9167" s="2" t="s">
        <v>18940</v>
      </c>
      <c r="C9167" s="2" t="s">
        <v>29</v>
      </c>
      <c r="D9167" s="2" t="s">
        <v>210</v>
      </c>
      <c r="E9167" s="2" t="str">
        <f>"9789024721740"</f>
        <v>9789024721740</v>
      </c>
      <c r="F9167" s="2" t="str">
        <f>"9789004287150"</f>
        <v>9789004287150</v>
      </c>
    </row>
    <row r="9168" spans="1:6" s="3" customFormat="1" ht="29.1" customHeight="1" x14ac:dyDescent="0.25">
      <c r="A9168" s="2" t="s">
        <v>18958</v>
      </c>
      <c r="B9168" s="2" t="s">
        <v>18959</v>
      </c>
      <c r="C9168" s="2" t="s">
        <v>29</v>
      </c>
      <c r="D9168" s="2" t="s">
        <v>818</v>
      </c>
      <c r="E9168" s="2" t="str">
        <f>"9789024721634"</f>
        <v>9789024721634</v>
      </c>
      <c r="F9168" s="2" t="str">
        <f>"9789004287143"</f>
        <v>9789004287143</v>
      </c>
    </row>
    <row r="9169" spans="1:6" s="3" customFormat="1" ht="29.1" customHeight="1" x14ac:dyDescent="0.25">
      <c r="A9169" s="2" t="s">
        <v>18960</v>
      </c>
      <c r="B9169" s="2" t="s">
        <v>18961</v>
      </c>
      <c r="C9169" s="2" t="s">
        <v>29</v>
      </c>
      <c r="D9169" s="2" t="s">
        <v>210</v>
      </c>
      <c r="E9169" s="2" t="str">
        <f>"9789024721153"</f>
        <v>9789024721153</v>
      </c>
      <c r="F9169" s="2" t="str">
        <f>"9789004287136"</f>
        <v>9789004287136</v>
      </c>
    </row>
    <row r="9170" spans="1:6" s="3" customFormat="1" ht="29.1" customHeight="1" x14ac:dyDescent="0.25">
      <c r="A9170" s="2" t="s">
        <v>18962</v>
      </c>
      <c r="B9170" s="2" t="s">
        <v>18963</v>
      </c>
      <c r="C9170" s="2" t="s">
        <v>29</v>
      </c>
      <c r="D9170" s="2" t="s">
        <v>33</v>
      </c>
      <c r="E9170" s="2" t="str">
        <f>"9789024720316"</f>
        <v>9789024720316</v>
      </c>
      <c r="F9170" s="2" t="str">
        <f>"9789004287129"</f>
        <v>9789004287129</v>
      </c>
    </row>
    <row r="9171" spans="1:6" s="3" customFormat="1" ht="29.1" customHeight="1" x14ac:dyDescent="0.25">
      <c r="A9171" s="2" t="s">
        <v>18964</v>
      </c>
      <c r="B9171" s="2" t="s">
        <v>18965</v>
      </c>
      <c r="C9171" s="2" t="s">
        <v>29</v>
      </c>
      <c r="D9171" s="2" t="s">
        <v>210</v>
      </c>
      <c r="E9171" s="2" t="str">
        <f>"9789024719624"</f>
        <v>9789024719624</v>
      </c>
      <c r="F9171" s="2" t="str">
        <f>"9789004287112"</f>
        <v>9789004287112</v>
      </c>
    </row>
    <row r="9172" spans="1:6" s="3" customFormat="1" ht="29.1" customHeight="1" x14ac:dyDescent="0.25">
      <c r="A9172" s="2" t="s">
        <v>18966</v>
      </c>
      <c r="B9172" s="2" t="s">
        <v>18967</v>
      </c>
      <c r="C9172" s="2" t="s">
        <v>29</v>
      </c>
      <c r="D9172" s="2" t="s">
        <v>33</v>
      </c>
      <c r="E9172" s="2" t="str">
        <f>"9789024719341"</f>
        <v>9789024719341</v>
      </c>
      <c r="F9172" s="2" t="str">
        <f>"9789004287105"</f>
        <v>9789004287105</v>
      </c>
    </row>
    <row r="9173" spans="1:6" s="3" customFormat="1" ht="29.1" customHeight="1" x14ac:dyDescent="0.25">
      <c r="A9173" s="2" t="s">
        <v>18968</v>
      </c>
      <c r="B9173" s="2" t="s">
        <v>18969</v>
      </c>
      <c r="C9173" s="2" t="s">
        <v>29</v>
      </c>
      <c r="D9173" s="2" t="s">
        <v>210</v>
      </c>
      <c r="E9173" s="2" t="str">
        <f>"9789024718436"</f>
        <v>9789024718436</v>
      </c>
      <c r="F9173" s="2" t="str">
        <f>"9789004287099"</f>
        <v>9789004287099</v>
      </c>
    </row>
    <row r="9174" spans="1:6" s="3" customFormat="1" ht="29.1" customHeight="1" x14ac:dyDescent="0.25">
      <c r="A9174" s="2" t="s">
        <v>18970</v>
      </c>
      <c r="B9174" s="2" t="s">
        <v>18971</v>
      </c>
      <c r="C9174" s="2" t="s">
        <v>29</v>
      </c>
      <c r="D9174" s="2" t="s">
        <v>818</v>
      </c>
      <c r="E9174" s="2" t="str">
        <f>"9789024718443"</f>
        <v>9789024718443</v>
      </c>
      <c r="F9174" s="2" t="str">
        <f>"9789004287082"</f>
        <v>9789004287082</v>
      </c>
    </row>
    <row r="9175" spans="1:6" s="3" customFormat="1" ht="29.1" customHeight="1" x14ac:dyDescent="0.25">
      <c r="A9175" s="2" t="s">
        <v>18972</v>
      </c>
      <c r="B9175" s="2" t="s">
        <v>18973</v>
      </c>
      <c r="C9175" s="2" t="s">
        <v>29</v>
      </c>
      <c r="D9175" s="2" t="s">
        <v>210</v>
      </c>
      <c r="E9175" s="2" t="str">
        <f>"9789024718368"</f>
        <v>9789024718368</v>
      </c>
      <c r="F9175" s="2" t="str">
        <f>"9789004287075"</f>
        <v>9789004287075</v>
      </c>
    </row>
    <row r="9176" spans="1:6" s="3" customFormat="1" ht="29.1" customHeight="1" x14ac:dyDescent="0.25">
      <c r="A9176" s="2" t="s">
        <v>18974</v>
      </c>
      <c r="B9176" s="2" t="s">
        <v>18975</v>
      </c>
      <c r="C9176" s="2" t="s">
        <v>29</v>
      </c>
      <c r="D9176" s="2" t="s">
        <v>818</v>
      </c>
      <c r="E9176" s="2" t="str">
        <f>"9789024718016"</f>
        <v>9789024718016</v>
      </c>
      <c r="F9176" s="2" t="str">
        <f>"9789004287068"</f>
        <v>9789004287068</v>
      </c>
    </row>
    <row r="9177" spans="1:6" s="3" customFormat="1" ht="29.1" customHeight="1" x14ac:dyDescent="0.25">
      <c r="A9177" s="2" t="s">
        <v>18976</v>
      </c>
      <c r="B9177" s="2" t="s">
        <v>18977</v>
      </c>
      <c r="C9177" s="2" t="s">
        <v>29</v>
      </c>
      <c r="D9177" s="2" t="s">
        <v>334</v>
      </c>
      <c r="E9177" s="2" t="str">
        <f>"9789024717729"</f>
        <v>9789024717729</v>
      </c>
      <c r="F9177" s="2" t="str">
        <f>"9789004287044"</f>
        <v>9789004287044</v>
      </c>
    </row>
    <row r="9178" spans="1:6" s="3" customFormat="1" ht="29.1" customHeight="1" x14ac:dyDescent="0.25">
      <c r="A9178" s="2" t="s">
        <v>18978</v>
      </c>
      <c r="B9178" s="2" t="s">
        <v>18979</v>
      </c>
      <c r="C9178" s="2" t="s">
        <v>29</v>
      </c>
      <c r="D9178" s="2" t="s">
        <v>210</v>
      </c>
      <c r="E9178" s="2" t="str">
        <f>"9789024717620"</f>
        <v>9789024717620</v>
      </c>
      <c r="F9178" s="2" t="str">
        <f>"9789004287037"</f>
        <v>9789004287037</v>
      </c>
    </row>
    <row r="9179" spans="1:6" s="3" customFormat="1" ht="29.1" customHeight="1" x14ac:dyDescent="0.25">
      <c r="A9179" s="2" t="s">
        <v>18980</v>
      </c>
      <c r="B9179" s="2" t="s">
        <v>18981</v>
      </c>
      <c r="C9179" s="2" t="s">
        <v>29</v>
      </c>
      <c r="D9179" s="2" t="s">
        <v>210</v>
      </c>
      <c r="E9179" s="2" t="str">
        <f>"9789024716364"</f>
        <v>9789024716364</v>
      </c>
      <c r="F9179" s="2" t="str">
        <f>"9789004286993"</f>
        <v>9789004286993</v>
      </c>
    </row>
    <row r="9180" spans="1:6" s="3" customFormat="1" ht="29.1" customHeight="1" x14ac:dyDescent="0.25">
      <c r="A9180" s="2" t="s">
        <v>18960</v>
      </c>
      <c r="B9180" s="2" t="s">
        <v>18961</v>
      </c>
      <c r="C9180" s="2" t="s">
        <v>29</v>
      </c>
      <c r="D9180" s="2" t="s">
        <v>210</v>
      </c>
      <c r="E9180" s="2" t="str">
        <f>"9789024716234"</f>
        <v>9789024716234</v>
      </c>
      <c r="F9180" s="2" t="str">
        <f>"9789004286986"</f>
        <v>9789004286986</v>
      </c>
    </row>
    <row r="9181" spans="1:6" s="3" customFormat="1" ht="29.1" customHeight="1" x14ac:dyDescent="0.25">
      <c r="A9181" s="2" t="s">
        <v>18982</v>
      </c>
      <c r="B9181" s="2" t="s">
        <v>18983</v>
      </c>
      <c r="C9181" s="2" t="s">
        <v>29</v>
      </c>
      <c r="D9181" s="2" t="s">
        <v>210</v>
      </c>
      <c r="E9181" s="2" t="str">
        <f>"9789024716227"</f>
        <v>9789024716227</v>
      </c>
      <c r="F9181" s="2" t="str">
        <f>"9789004286979"</f>
        <v>9789004286979</v>
      </c>
    </row>
    <row r="9182" spans="1:6" s="3" customFormat="1" ht="29.1" customHeight="1" x14ac:dyDescent="0.25">
      <c r="A9182" s="2" t="s">
        <v>18984</v>
      </c>
      <c r="B9182" s="2" t="s">
        <v>18985</v>
      </c>
      <c r="C9182" s="2" t="s">
        <v>29</v>
      </c>
      <c r="D9182" s="2" t="s">
        <v>818</v>
      </c>
      <c r="E9182" s="2" t="str">
        <f>"9789024715992"</f>
        <v>9789024715992</v>
      </c>
      <c r="F9182" s="2" t="str">
        <f>"9789004286962"</f>
        <v>9789004286962</v>
      </c>
    </row>
    <row r="9183" spans="1:6" s="3" customFormat="1" ht="29.1" customHeight="1" x14ac:dyDescent="0.25">
      <c r="A9183" s="2" t="s">
        <v>18986</v>
      </c>
      <c r="B9183" s="2" t="s">
        <v>18987</v>
      </c>
      <c r="C9183" s="2" t="s">
        <v>29</v>
      </c>
      <c r="D9183" s="2" t="s">
        <v>210</v>
      </c>
      <c r="E9183" s="2" t="str">
        <f>"9789024715565"</f>
        <v>9789024715565</v>
      </c>
      <c r="F9183" s="2" t="str">
        <f>"9789004286955"</f>
        <v>9789004286955</v>
      </c>
    </row>
    <row r="9184" spans="1:6" s="3" customFormat="1" ht="29.1" customHeight="1" x14ac:dyDescent="0.25">
      <c r="A9184" s="2" t="s">
        <v>18988</v>
      </c>
      <c r="B9184" s="2" t="s">
        <v>18989</v>
      </c>
      <c r="C9184" s="2" t="s">
        <v>29</v>
      </c>
      <c r="D9184" s="2" t="s">
        <v>818</v>
      </c>
      <c r="E9184" s="2" t="str">
        <f>"9789024715275"</f>
        <v>9789024715275</v>
      </c>
      <c r="F9184" s="2" t="str">
        <f>"9789004286948"</f>
        <v>9789004286948</v>
      </c>
    </row>
    <row r="9185" spans="1:6" s="3" customFormat="1" ht="29.1" customHeight="1" x14ac:dyDescent="0.25">
      <c r="A9185" s="2" t="s">
        <v>18990</v>
      </c>
      <c r="B9185" s="2" t="s">
        <v>18991</v>
      </c>
      <c r="C9185" s="2" t="s">
        <v>29</v>
      </c>
      <c r="D9185" s="2" t="s">
        <v>33</v>
      </c>
      <c r="E9185" s="2" t="str">
        <f>"9789024715084"</f>
        <v>9789024715084</v>
      </c>
      <c r="F9185" s="2" t="str">
        <f>"9789004286931"</f>
        <v>9789004286931</v>
      </c>
    </row>
    <row r="9186" spans="1:6" s="3" customFormat="1" ht="29.1" customHeight="1" x14ac:dyDescent="0.25">
      <c r="A9186" s="2" t="s">
        <v>18992</v>
      </c>
      <c r="B9186" s="2" t="s">
        <v>18993</v>
      </c>
      <c r="C9186" s="2" t="s">
        <v>29</v>
      </c>
      <c r="D9186" s="2" t="s">
        <v>509</v>
      </c>
      <c r="E9186" s="2" t="str">
        <f>"9789024713349"</f>
        <v>9789024713349</v>
      </c>
      <c r="F9186" s="2" t="str">
        <f>"9789004286924"</f>
        <v>9789004286924</v>
      </c>
    </row>
    <row r="9187" spans="1:6" s="3" customFormat="1" ht="29.1" customHeight="1" x14ac:dyDescent="0.25">
      <c r="A9187" s="2" t="s">
        <v>18994</v>
      </c>
      <c r="B9187" s="2" t="s">
        <v>18995</v>
      </c>
      <c r="C9187" s="2" t="s">
        <v>29</v>
      </c>
      <c r="D9187" s="2" t="s">
        <v>210</v>
      </c>
      <c r="E9187" s="2" t="str">
        <f>"9789024751372"</f>
        <v>9789024751372</v>
      </c>
      <c r="F9187" s="2" t="str">
        <f>"9789004286900"</f>
        <v>9789004286900</v>
      </c>
    </row>
    <row r="9188" spans="1:6" s="3" customFormat="1" ht="29.1" customHeight="1" x14ac:dyDescent="0.25">
      <c r="A9188" s="2" t="s">
        <v>18996</v>
      </c>
      <c r="B9188" s="2" t="s">
        <v>18997</v>
      </c>
      <c r="C9188" s="2" t="s">
        <v>29</v>
      </c>
      <c r="D9188" s="2" t="s">
        <v>210</v>
      </c>
      <c r="E9188" s="2" t="str">
        <f>"9789004286214"</f>
        <v>9789004286214</v>
      </c>
      <c r="F9188" s="2" t="str">
        <f>"9789004286887"</f>
        <v>9789004286887</v>
      </c>
    </row>
    <row r="9189" spans="1:6" s="3" customFormat="1" ht="29.1" customHeight="1" x14ac:dyDescent="0.25">
      <c r="A9189" s="2" t="s">
        <v>18998</v>
      </c>
      <c r="B9189" s="2" t="s">
        <v>18999</v>
      </c>
      <c r="C9189" s="2" t="s">
        <v>29</v>
      </c>
      <c r="D9189" s="2" t="s">
        <v>818</v>
      </c>
      <c r="E9189" s="2" t="str">
        <f>"9789004248045"</f>
        <v>9789004248045</v>
      </c>
      <c r="F9189" s="2" t="str">
        <f>"9789004286870"</f>
        <v>9789004286870</v>
      </c>
    </row>
    <row r="9190" spans="1:6" s="3" customFormat="1" ht="29.1" customHeight="1" x14ac:dyDescent="0.25">
      <c r="A9190" s="2" t="s">
        <v>19000</v>
      </c>
      <c r="B9190" s="2" t="s">
        <v>19001</v>
      </c>
      <c r="C9190" s="2" t="s">
        <v>29</v>
      </c>
      <c r="D9190" s="2" t="s">
        <v>210</v>
      </c>
      <c r="E9190" s="2" t="str">
        <f>"9789004286191"</f>
        <v>9789004286191</v>
      </c>
      <c r="F9190" s="2" t="str">
        <f>"9789004286856"</f>
        <v>9789004286856</v>
      </c>
    </row>
    <row r="9191" spans="1:6" s="3" customFormat="1" ht="29.1" customHeight="1" x14ac:dyDescent="0.25">
      <c r="A9191" s="2" t="s">
        <v>19002</v>
      </c>
      <c r="B9191" s="2" t="s">
        <v>19003</v>
      </c>
      <c r="C9191" s="2" t="s">
        <v>29</v>
      </c>
      <c r="D9191" s="2" t="s">
        <v>210</v>
      </c>
      <c r="E9191" s="2" t="str">
        <f>"9789004286184"</f>
        <v>9789004286184</v>
      </c>
      <c r="F9191" s="2" t="str">
        <f>"9789004286849"</f>
        <v>9789004286849</v>
      </c>
    </row>
    <row r="9192" spans="1:6" s="3" customFormat="1" ht="29.1" customHeight="1" x14ac:dyDescent="0.25">
      <c r="A9192" s="2" t="s">
        <v>19004</v>
      </c>
      <c r="B9192" s="2" t="s">
        <v>19005</v>
      </c>
      <c r="C9192" s="2" t="s">
        <v>29</v>
      </c>
      <c r="D9192" s="2" t="s">
        <v>210</v>
      </c>
      <c r="E9192" s="2" t="str">
        <f>"9789004286177"</f>
        <v>9789004286177</v>
      </c>
      <c r="F9192" s="2" t="str">
        <f>"9789004286832"</f>
        <v>9789004286832</v>
      </c>
    </row>
    <row r="9193" spans="1:6" s="3" customFormat="1" ht="29.1" customHeight="1" x14ac:dyDescent="0.25">
      <c r="A9193" s="2" t="s">
        <v>19006</v>
      </c>
      <c r="B9193" s="2" t="s">
        <v>19007</v>
      </c>
      <c r="C9193" s="2" t="s">
        <v>29</v>
      </c>
      <c r="D9193" s="2" t="s">
        <v>210</v>
      </c>
      <c r="E9193" s="2" t="str">
        <f>"9789004286160"</f>
        <v>9789004286160</v>
      </c>
      <c r="F9193" s="2" t="str">
        <f>"9789004286825"</f>
        <v>9789004286825</v>
      </c>
    </row>
    <row r="9194" spans="1:6" s="3" customFormat="1" ht="29.1" customHeight="1" x14ac:dyDescent="0.25">
      <c r="A9194" s="2" t="s">
        <v>19008</v>
      </c>
      <c r="B9194" s="2" t="s">
        <v>19009</v>
      </c>
      <c r="C9194" s="2" t="s">
        <v>29</v>
      </c>
      <c r="D9194" s="2" t="s">
        <v>210</v>
      </c>
      <c r="E9194" s="2" t="str">
        <f>"9789004248038"</f>
        <v>9789004248038</v>
      </c>
      <c r="F9194" s="2" t="str">
        <f>"9789004286818"</f>
        <v>9789004286818</v>
      </c>
    </row>
    <row r="9195" spans="1:6" s="3" customFormat="1" ht="29.1" customHeight="1" x14ac:dyDescent="0.25">
      <c r="A9195" s="2" t="s">
        <v>19010</v>
      </c>
      <c r="B9195" s="2" t="s">
        <v>19011</v>
      </c>
      <c r="C9195" s="2" t="s">
        <v>29</v>
      </c>
      <c r="D9195" s="2" t="s">
        <v>210</v>
      </c>
      <c r="E9195" s="2" t="str">
        <f>"9789004248021"</f>
        <v>9789004248021</v>
      </c>
      <c r="F9195" s="2" t="str">
        <f>"9789004286788"</f>
        <v>9789004286788</v>
      </c>
    </row>
    <row r="9196" spans="1:6" s="3" customFormat="1" ht="29.1" customHeight="1" x14ac:dyDescent="0.25">
      <c r="A9196" s="2" t="s">
        <v>19012</v>
      </c>
      <c r="B9196" s="2" t="s">
        <v>18956</v>
      </c>
      <c r="C9196" s="2" t="s">
        <v>29</v>
      </c>
      <c r="D9196" s="2" t="s">
        <v>210</v>
      </c>
      <c r="E9196" s="2" t="str">
        <f>"9789004286139"</f>
        <v>9789004286139</v>
      </c>
      <c r="F9196" s="2" t="str">
        <f>"9789004286771"</f>
        <v>9789004286771</v>
      </c>
    </row>
    <row r="9197" spans="1:6" s="3" customFormat="1" ht="29.1" customHeight="1" x14ac:dyDescent="0.25">
      <c r="A9197" s="2" t="s">
        <v>19013</v>
      </c>
      <c r="B9197" s="2" t="s">
        <v>19014</v>
      </c>
      <c r="C9197" s="2" t="s">
        <v>29</v>
      </c>
      <c r="D9197" s="2" t="s">
        <v>210</v>
      </c>
      <c r="E9197" s="2" t="str">
        <f>"9789004286122"</f>
        <v>9789004286122</v>
      </c>
      <c r="F9197" s="2" t="str">
        <f>"9789004286764"</f>
        <v>9789004286764</v>
      </c>
    </row>
    <row r="9198" spans="1:6" s="3" customFormat="1" ht="29.1" customHeight="1" x14ac:dyDescent="0.25">
      <c r="A9198" s="2" t="s">
        <v>19015</v>
      </c>
      <c r="B9198" s="2" t="s">
        <v>19016</v>
      </c>
      <c r="C9198" s="2" t="s">
        <v>29</v>
      </c>
      <c r="D9198" s="2" t="s">
        <v>210</v>
      </c>
      <c r="E9198" s="2" t="str">
        <f>"9789004286115"</f>
        <v>9789004286115</v>
      </c>
      <c r="F9198" s="2" t="str">
        <f>"9789004286757"</f>
        <v>9789004286757</v>
      </c>
    </row>
    <row r="9199" spans="1:6" s="3" customFormat="1" ht="29.1" customHeight="1" x14ac:dyDescent="0.25">
      <c r="A9199" s="2" t="s">
        <v>19017</v>
      </c>
      <c r="B9199" s="2" t="s">
        <v>19018</v>
      </c>
      <c r="C9199" s="2" t="s">
        <v>29</v>
      </c>
      <c r="D9199" s="2" t="s">
        <v>210</v>
      </c>
      <c r="E9199" s="2" t="str">
        <f>"9789004286108"</f>
        <v>9789004286108</v>
      </c>
      <c r="F9199" s="2" t="str">
        <f>"9789004286740"</f>
        <v>9789004286740</v>
      </c>
    </row>
    <row r="9200" spans="1:6" s="3" customFormat="1" ht="29.1" customHeight="1" x14ac:dyDescent="0.25">
      <c r="A9200" s="2" t="s">
        <v>19019</v>
      </c>
      <c r="B9200" s="2" t="s">
        <v>18956</v>
      </c>
      <c r="C9200" s="2" t="s">
        <v>29</v>
      </c>
      <c r="D9200" s="2" t="s">
        <v>210</v>
      </c>
      <c r="E9200" s="2" t="str">
        <f>"9789004286092"</f>
        <v>9789004286092</v>
      </c>
      <c r="F9200" s="2" t="str">
        <f>"9789004286733"</f>
        <v>9789004286733</v>
      </c>
    </row>
    <row r="9201" spans="1:6" s="3" customFormat="1" ht="29.1" customHeight="1" x14ac:dyDescent="0.25">
      <c r="A9201" s="2" t="s">
        <v>19020</v>
      </c>
      <c r="B9201" s="2" t="s">
        <v>18658</v>
      </c>
      <c r="C9201" s="2" t="s">
        <v>29</v>
      </c>
      <c r="D9201" s="2" t="s">
        <v>210</v>
      </c>
      <c r="E9201" s="2" t="str">
        <f>"9789004286085"</f>
        <v>9789004286085</v>
      </c>
      <c r="F9201" s="2" t="str">
        <f>"9789004286726"</f>
        <v>9789004286726</v>
      </c>
    </row>
    <row r="9202" spans="1:6" s="3" customFormat="1" ht="29.1" customHeight="1" x14ac:dyDescent="0.25">
      <c r="A9202" s="2" t="s">
        <v>19021</v>
      </c>
      <c r="B9202" s="2" t="s">
        <v>19022</v>
      </c>
      <c r="C9202" s="2" t="s">
        <v>29</v>
      </c>
      <c r="D9202" s="2" t="s">
        <v>210</v>
      </c>
      <c r="E9202" s="2" t="str">
        <f>"9789004286078"</f>
        <v>9789004286078</v>
      </c>
      <c r="F9202" s="2" t="str">
        <f>"9789004286696"</f>
        <v>9789004286696</v>
      </c>
    </row>
    <row r="9203" spans="1:6" s="3" customFormat="1" ht="29.1" customHeight="1" x14ac:dyDescent="0.25">
      <c r="A9203" s="2" t="s">
        <v>19023</v>
      </c>
      <c r="B9203" s="2" t="s">
        <v>19024</v>
      </c>
      <c r="C9203" s="2" t="s">
        <v>29</v>
      </c>
      <c r="D9203" s="2" t="s">
        <v>210</v>
      </c>
      <c r="E9203" s="2" t="str">
        <f>"9789004286061"</f>
        <v>9789004286061</v>
      </c>
      <c r="F9203" s="2" t="str">
        <f>"9789004286689"</f>
        <v>9789004286689</v>
      </c>
    </row>
    <row r="9204" spans="1:6" s="3" customFormat="1" ht="29.1" customHeight="1" x14ac:dyDescent="0.25">
      <c r="A9204" s="2" t="s">
        <v>19025</v>
      </c>
      <c r="B9204" s="2" t="s">
        <v>18965</v>
      </c>
      <c r="C9204" s="2" t="s">
        <v>29</v>
      </c>
      <c r="D9204" s="2" t="s">
        <v>210</v>
      </c>
      <c r="E9204" s="2" t="str">
        <f>"9789004286054"</f>
        <v>9789004286054</v>
      </c>
      <c r="F9204" s="2" t="str">
        <f>"9789004286672"</f>
        <v>9789004286672</v>
      </c>
    </row>
    <row r="9205" spans="1:6" s="3" customFormat="1" ht="29.1" customHeight="1" x14ac:dyDescent="0.25">
      <c r="A9205" s="2" t="s">
        <v>19026</v>
      </c>
      <c r="B9205" s="2" t="s">
        <v>19027</v>
      </c>
      <c r="C9205" s="2" t="s">
        <v>29</v>
      </c>
      <c r="D9205" s="2" t="s">
        <v>210</v>
      </c>
      <c r="E9205" s="2" t="str">
        <f>"9789004286047"</f>
        <v>9789004286047</v>
      </c>
      <c r="F9205" s="2" t="str">
        <f>"9789004286665"</f>
        <v>9789004286665</v>
      </c>
    </row>
    <row r="9206" spans="1:6" s="3" customFormat="1" ht="29.1" customHeight="1" x14ac:dyDescent="0.25">
      <c r="A9206" s="2" t="s">
        <v>19028</v>
      </c>
      <c r="B9206" s="2" t="s">
        <v>19029</v>
      </c>
      <c r="C9206" s="2" t="s">
        <v>29</v>
      </c>
      <c r="D9206" s="2" t="s">
        <v>210</v>
      </c>
      <c r="E9206" s="2" t="str">
        <f>"9789004286030"</f>
        <v>9789004286030</v>
      </c>
      <c r="F9206" s="2" t="str">
        <f>"9789004286658"</f>
        <v>9789004286658</v>
      </c>
    </row>
    <row r="9207" spans="1:6" s="3" customFormat="1" ht="29.1" customHeight="1" x14ac:dyDescent="0.25">
      <c r="A9207" s="2" t="s">
        <v>19030</v>
      </c>
      <c r="B9207" s="2" t="s">
        <v>19031</v>
      </c>
      <c r="C9207" s="2" t="s">
        <v>29</v>
      </c>
      <c r="D9207" s="2" t="s">
        <v>210</v>
      </c>
      <c r="E9207" s="2" t="str">
        <f>"9789004286023"</f>
        <v>9789004286023</v>
      </c>
      <c r="F9207" s="2" t="str">
        <f>"9789004286641"</f>
        <v>9789004286641</v>
      </c>
    </row>
    <row r="9208" spans="1:6" s="3" customFormat="1" ht="29.1" customHeight="1" x14ac:dyDescent="0.25">
      <c r="A9208" s="2" t="s">
        <v>19032</v>
      </c>
      <c r="B9208" s="2" t="s">
        <v>19033</v>
      </c>
      <c r="C9208" s="2" t="s">
        <v>29</v>
      </c>
      <c r="D9208" s="2" t="s">
        <v>210</v>
      </c>
      <c r="E9208" s="2" t="str">
        <f>"9789004286016"</f>
        <v>9789004286016</v>
      </c>
      <c r="F9208" s="2" t="str">
        <f>"9789004286634"</f>
        <v>9789004286634</v>
      </c>
    </row>
    <row r="9209" spans="1:6" s="3" customFormat="1" ht="29.1" customHeight="1" x14ac:dyDescent="0.25">
      <c r="A9209" s="2" t="s">
        <v>19034</v>
      </c>
      <c r="B9209" s="2" t="s">
        <v>18963</v>
      </c>
      <c r="C9209" s="2" t="s">
        <v>29</v>
      </c>
      <c r="D9209" s="2" t="s">
        <v>210</v>
      </c>
      <c r="E9209" s="2" t="str">
        <f>"9789004286009"</f>
        <v>9789004286009</v>
      </c>
      <c r="F9209" s="2" t="str">
        <f>"9789004286627"</f>
        <v>9789004286627</v>
      </c>
    </row>
    <row r="9210" spans="1:6" s="3" customFormat="1" ht="29.1" customHeight="1" x14ac:dyDescent="0.25">
      <c r="A9210" s="2" t="s">
        <v>19035</v>
      </c>
      <c r="B9210" s="2" t="s">
        <v>18658</v>
      </c>
      <c r="C9210" s="2" t="s">
        <v>29</v>
      </c>
      <c r="D9210" s="2" t="s">
        <v>210</v>
      </c>
      <c r="E9210" s="2" t="str">
        <f>"9789004285996"</f>
        <v>9789004285996</v>
      </c>
      <c r="F9210" s="2" t="str">
        <f>"9789004286597"</f>
        <v>9789004286597</v>
      </c>
    </row>
    <row r="9211" spans="1:6" s="3" customFormat="1" ht="29.1" customHeight="1" x14ac:dyDescent="0.25">
      <c r="A9211" s="2" t="s">
        <v>19036</v>
      </c>
      <c r="B9211" s="2" t="s">
        <v>19037</v>
      </c>
      <c r="C9211" s="2" t="s">
        <v>29</v>
      </c>
      <c r="D9211" s="2" t="s">
        <v>210</v>
      </c>
      <c r="E9211" s="2" t="str">
        <f>"9789004285989"</f>
        <v>9789004285989</v>
      </c>
      <c r="F9211" s="2" t="str">
        <f>"9789004286580"</f>
        <v>9789004286580</v>
      </c>
    </row>
    <row r="9212" spans="1:6" s="3" customFormat="1" ht="29.1" customHeight="1" x14ac:dyDescent="0.25">
      <c r="A9212" s="2" t="s">
        <v>19028</v>
      </c>
      <c r="B9212" s="2" t="s">
        <v>19029</v>
      </c>
      <c r="C9212" s="2" t="s">
        <v>29</v>
      </c>
      <c r="D9212" s="2" t="s">
        <v>210</v>
      </c>
      <c r="E9212" s="2" t="str">
        <f>"9789004285972"</f>
        <v>9789004285972</v>
      </c>
      <c r="F9212" s="2" t="str">
        <f>"9789004286573"</f>
        <v>9789004286573</v>
      </c>
    </row>
    <row r="9213" spans="1:6" s="3" customFormat="1" ht="29.1" customHeight="1" x14ac:dyDescent="0.25">
      <c r="A9213" s="2" t="s">
        <v>19038</v>
      </c>
      <c r="B9213" s="2" t="s">
        <v>19039</v>
      </c>
      <c r="C9213" s="2" t="s">
        <v>29</v>
      </c>
      <c r="D9213" s="2" t="s">
        <v>210</v>
      </c>
      <c r="E9213" s="2" t="str">
        <f>"9789004285965"</f>
        <v>9789004285965</v>
      </c>
      <c r="F9213" s="2" t="str">
        <f>"9789004286566"</f>
        <v>9789004286566</v>
      </c>
    </row>
    <row r="9214" spans="1:6" s="3" customFormat="1" ht="29.1" customHeight="1" x14ac:dyDescent="0.25">
      <c r="A9214" s="2" t="s">
        <v>19040</v>
      </c>
      <c r="B9214" s="2" t="s">
        <v>19041</v>
      </c>
      <c r="C9214" s="2" t="s">
        <v>29</v>
      </c>
      <c r="D9214" s="2" t="s">
        <v>210</v>
      </c>
      <c r="E9214" s="2" t="str">
        <f>"9789004285958"</f>
        <v>9789004285958</v>
      </c>
      <c r="F9214" s="2" t="str">
        <f>"9789004286559"</f>
        <v>9789004286559</v>
      </c>
    </row>
    <row r="9215" spans="1:6" s="3" customFormat="1" ht="29.1" customHeight="1" x14ac:dyDescent="0.25">
      <c r="A9215" s="2" t="s">
        <v>19042</v>
      </c>
      <c r="B9215" s="2" t="s">
        <v>19043</v>
      </c>
      <c r="C9215" s="2" t="s">
        <v>29</v>
      </c>
      <c r="D9215" s="2" t="s">
        <v>210</v>
      </c>
      <c r="E9215" s="2" t="str">
        <f>"9789004285941"</f>
        <v>9789004285941</v>
      </c>
      <c r="F9215" s="2" t="str">
        <f>"9789004286542"</f>
        <v>9789004286542</v>
      </c>
    </row>
    <row r="9216" spans="1:6" s="3" customFormat="1" ht="29.1" customHeight="1" x14ac:dyDescent="0.25">
      <c r="A9216" s="2" t="s">
        <v>19044</v>
      </c>
      <c r="B9216" s="2" t="s">
        <v>19043</v>
      </c>
      <c r="C9216" s="2" t="s">
        <v>29</v>
      </c>
      <c r="D9216" s="2" t="s">
        <v>210</v>
      </c>
      <c r="E9216" s="2" t="str">
        <f>"9789004285934"</f>
        <v>9789004285934</v>
      </c>
      <c r="F9216" s="2" t="str">
        <f>"9789004286535"</f>
        <v>9789004286535</v>
      </c>
    </row>
    <row r="9217" spans="1:6" s="3" customFormat="1" ht="29.1" customHeight="1" x14ac:dyDescent="0.25">
      <c r="A9217" s="2" t="s">
        <v>19045</v>
      </c>
      <c r="B9217" s="2" t="s">
        <v>19046</v>
      </c>
      <c r="C9217" s="2" t="s">
        <v>29</v>
      </c>
      <c r="D9217" s="2" t="s">
        <v>210</v>
      </c>
      <c r="E9217" s="2" t="str">
        <f>"9789004285927"</f>
        <v>9789004285927</v>
      </c>
      <c r="F9217" s="2" t="str">
        <f>"9789004286528"</f>
        <v>9789004286528</v>
      </c>
    </row>
    <row r="9218" spans="1:6" s="3" customFormat="1" ht="29.1" customHeight="1" x14ac:dyDescent="0.25">
      <c r="A9218" s="2" t="s">
        <v>19047</v>
      </c>
      <c r="B9218" s="2" t="s">
        <v>19048</v>
      </c>
      <c r="C9218" s="2" t="s">
        <v>29</v>
      </c>
      <c r="D9218" s="2" t="s">
        <v>210</v>
      </c>
      <c r="E9218" s="2" t="str">
        <f>"9789004285910"</f>
        <v>9789004285910</v>
      </c>
      <c r="F9218" s="2" t="str">
        <f>"9789004286511"</f>
        <v>9789004286511</v>
      </c>
    </row>
    <row r="9219" spans="1:6" s="3" customFormat="1" ht="29.1" customHeight="1" x14ac:dyDescent="0.25">
      <c r="A9219" s="2" t="s">
        <v>19049</v>
      </c>
      <c r="B9219" s="2" t="s">
        <v>19050</v>
      </c>
      <c r="C9219" s="2" t="s">
        <v>29</v>
      </c>
      <c r="D9219" s="2" t="s">
        <v>210</v>
      </c>
      <c r="E9219" s="2" t="str">
        <f>"9789004285903"</f>
        <v>9789004285903</v>
      </c>
      <c r="F9219" s="2" t="str">
        <f>"9789004286504"</f>
        <v>9789004286504</v>
      </c>
    </row>
    <row r="9220" spans="1:6" s="3" customFormat="1" ht="29.1" customHeight="1" x14ac:dyDescent="0.25">
      <c r="A9220" s="2" t="s">
        <v>19051</v>
      </c>
      <c r="B9220" s="2" t="s">
        <v>19052</v>
      </c>
      <c r="C9220" s="2" t="s">
        <v>29</v>
      </c>
      <c r="D9220" s="2" t="s">
        <v>210</v>
      </c>
      <c r="E9220" s="2" t="str">
        <f>"9789004285897"</f>
        <v>9789004285897</v>
      </c>
      <c r="F9220" s="2" t="str">
        <f>"9789004286498"</f>
        <v>9789004286498</v>
      </c>
    </row>
    <row r="9221" spans="1:6" s="3" customFormat="1" ht="29.1" customHeight="1" x14ac:dyDescent="0.25">
      <c r="A9221" s="2" t="s">
        <v>19053</v>
      </c>
      <c r="B9221" s="2" t="s">
        <v>19054</v>
      </c>
      <c r="C9221" s="2" t="s">
        <v>29</v>
      </c>
      <c r="D9221" s="2" t="s">
        <v>210</v>
      </c>
      <c r="E9221" s="2" t="str">
        <f>"9789004285880"</f>
        <v>9789004285880</v>
      </c>
      <c r="F9221" s="2" t="str">
        <f>"9789004286467"</f>
        <v>9789004286467</v>
      </c>
    </row>
    <row r="9222" spans="1:6" s="3" customFormat="1" ht="29.1" customHeight="1" x14ac:dyDescent="0.25">
      <c r="A9222" s="2" t="s">
        <v>19055</v>
      </c>
      <c r="B9222" s="2" t="s">
        <v>19029</v>
      </c>
      <c r="C9222" s="2" t="s">
        <v>29</v>
      </c>
      <c r="D9222" s="2" t="s">
        <v>210</v>
      </c>
      <c r="E9222" s="2" t="str">
        <f>"9789004285873"</f>
        <v>9789004285873</v>
      </c>
      <c r="F9222" s="2" t="str">
        <f>"9789004286450"</f>
        <v>9789004286450</v>
      </c>
    </row>
    <row r="9223" spans="1:6" s="3" customFormat="1" ht="29.1" customHeight="1" x14ac:dyDescent="0.25">
      <c r="A9223" s="2" t="s">
        <v>19056</v>
      </c>
      <c r="B9223" s="2" t="s">
        <v>18621</v>
      </c>
      <c r="C9223" s="2" t="s">
        <v>29</v>
      </c>
      <c r="D9223" s="2" t="s">
        <v>210</v>
      </c>
      <c r="E9223" s="2" t="str">
        <f>"9789004285866"</f>
        <v>9789004285866</v>
      </c>
      <c r="F9223" s="2" t="str">
        <f>"9789004286443"</f>
        <v>9789004286443</v>
      </c>
    </row>
    <row r="9224" spans="1:6" s="3" customFormat="1" ht="29.1" customHeight="1" x14ac:dyDescent="0.25">
      <c r="A9224" s="2" t="s">
        <v>18620</v>
      </c>
      <c r="B9224" s="2" t="s">
        <v>18621</v>
      </c>
      <c r="C9224" s="2" t="s">
        <v>29</v>
      </c>
      <c r="D9224" s="2" t="s">
        <v>210</v>
      </c>
      <c r="E9224" s="2" t="str">
        <f>"9789004285859"</f>
        <v>9789004285859</v>
      </c>
      <c r="F9224" s="2" t="str">
        <f>"9789004286436"</f>
        <v>9789004286436</v>
      </c>
    </row>
    <row r="9225" spans="1:6" s="3" customFormat="1" ht="29.1" customHeight="1" x14ac:dyDescent="0.25">
      <c r="A9225" s="2" t="s">
        <v>19057</v>
      </c>
      <c r="B9225" s="2" t="s">
        <v>19058</v>
      </c>
      <c r="C9225" s="2" t="s">
        <v>29</v>
      </c>
      <c r="D9225" s="2" t="s">
        <v>210</v>
      </c>
      <c r="E9225" s="2" t="str">
        <f>"9789004285842"</f>
        <v>9789004285842</v>
      </c>
      <c r="F9225" s="2" t="str">
        <f>"9789004286429"</f>
        <v>9789004286429</v>
      </c>
    </row>
    <row r="9226" spans="1:6" s="3" customFormat="1" ht="29.1" customHeight="1" x14ac:dyDescent="0.25">
      <c r="A9226" s="2" t="s">
        <v>19059</v>
      </c>
      <c r="B9226" s="2" t="s">
        <v>19060</v>
      </c>
      <c r="C9226" s="2" t="s">
        <v>29</v>
      </c>
      <c r="D9226" s="2" t="s">
        <v>210</v>
      </c>
      <c r="E9226" s="2" t="str">
        <f>"9789004285835"</f>
        <v>9789004285835</v>
      </c>
      <c r="F9226" s="2" t="str">
        <f>"9789004286412"</f>
        <v>9789004286412</v>
      </c>
    </row>
    <row r="9227" spans="1:6" s="3" customFormat="1" ht="29.1" customHeight="1" x14ac:dyDescent="0.25">
      <c r="A9227" s="2" t="s">
        <v>19061</v>
      </c>
      <c r="B9227" s="2" t="s">
        <v>18963</v>
      </c>
      <c r="C9227" s="2" t="s">
        <v>29</v>
      </c>
      <c r="D9227" s="2" t="s">
        <v>210</v>
      </c>
      <c r="E9227" s="2" t="str">
        <f>"9789004285828"</f>
        <v>9789004285828</v>
      </c>
      <c r="F9227" s="2" t="str">
        <f>"9789004286405"</f>
        <v>9789004286405</v>
      </c>
    </row>
    <row r="9228" spans="1:6" s="3" customFormat="1" ht="29.1" customHeight="1" x14ac:dyDescent="0.25">
      <c r="A9228" s="2" t="s">
        <v>19062</v>
      </c>
      <c r="B9228" s="2" t="s">
        <v>19063</v>
      </c>
      <c r="C9228" s="2" t="s">
        <v>29</v>
      </c>
      <c r="D9228" s="2" t="s">
        <v>210</v>
      </c>
      <c r="E9228" s="2" t="str">
        <f>"9789004285811"</f>
        <v>9789004285811</v>
      </c>
      <c r="F9228" s="2" t="str">
        <f>"9789004286399"</f>
        <v>9789004286399</v>
      </c>
    </row>
    <row r="9229" spans="1:6" s="3" customFormat="1" ht="29.1" customHeight="1" x14ac:dyDescent="0.25">
      <c r="A9229" s="2" t="s">
        <v>19064</v>
      </c>
      <c r="B9229" s="2" t="s">
        <v>19065</v>
      </c>
      <c r="C9229" s="2" t="s">
        <v>29</v>
      </c>
      <c r="D9229" s="2" t="s">
        <v>210</v>
      </c>
      <c r="E9229" s="2" t="str">
        <f>"9789004285804"</f>
        <v>9789004285804</v>
      </c>
      <c r="F9229" s="2" t="str">
        <f>"9789004286382"</f>
        <v>9789004286382</v>
      </c>
    </row>
    <row r="9230" spans="1:6" s="3" customFormat="1" ht="29.1" customHeight="1" x14ac:dyDescent="0.25">
      <c r="A9230" s="2" t="s">
        <v>19066</v>
      </c>
      <c r="B9230" s="2" t="s">
        <v>19067</v>
      </c>
      <c r="C9230" s="2" t="s">
        <v>29</v>
      </c>
      <c r="D9230" s="2" t="s">
        <v>210</v>
      </c>
      <c r="E9230" s="2" t="str">
        <f>"9789004285798"</f>
        <v>9789004285798</v>
      </c>
      <c r="F9230" s="2" t="str">
        <f>"9789004286375"</f>
        <v>9789004286375</v>
      </c>
    </row>
    <row r="9231" spans="1:6" s="3" customFormat="1" ht="29.1" customHeight="1" x14ac:dyDescent="0.25">
      <c r="A9231" s="2" t="s">
        <v>19068</v>
      </c>
      <c r="B9231" s="2" t="s">
        <v>19069</v>
      </c>
      <c r="C9231" s="2" t="s">
        <v>29</v>
      </c>
      <c r="D9231" s="2" t="s">
        <v>210</v>
      </c>
      <c r="E9231" s="2" t="str">
        <f>"9789004285781"</f>
        <v>9789004285781</v>
      </c>
      <c r="F9231" s="2" t="str">
        <f>"9789004286368"</f>
        <v>9789004286368</v>
      </c>
    </row>
    <row r="9232" spans="1:6" s="3" customFormat="1" ht="29.1" customHeight="1" x14ac:dyDescent="0.25">
      <c r="A9232" s="2" t="s">
        <v>19070</v>
      </c>
      <c r="B9232" s="2" t="s">
        <v>19029</v>
      </c>
      <c r="C9232" s="2" t="s">
        <v>29</v>
      </c>
      <c r="D9232" s="2" t="s">
        <v>210</v>
      </c>
      <c r="E9232" s="2" t="str">
        <f>"9789004285774"</f>
        <v>9789004285774</v>
      </c>
      <c r="F9232" s="2" t="str">
        <f>"9789004286351"</f>
        <v>9789004286351</v>
      </c>
    </row>
    <row r="9233" spans="1:6" s="3" customFormat="1" ht="29.1" customHeight="1" x14ac:dyDescent="0.25">
      <c r="A9233" s="2" t="s">
        <v>19071</v>
      </c>
      <c r="B9233" s="2" t="s">
        <v>19072</v>
      </c>
      <c r="C9233" s="2" t="s">
        <v>29</v>
      </c>
      <c r="D9233" s="2" t="s">
        <v>210</v>
      </c>
      <c r="E9233" s="2" t="str">
        <f>"9789004285767"</f>
        <v>9789004285767</v>
      </c>
      <c r="F9233" s="2" t="str">
        <f>"9789004286344"</f>
        <v>9789004286344</v>
      </c>
    </row>
    <row r="9234" spans="1:6" s="3" customFormat="1" ht="29.1" customHeight="1" x14ac:dyDescent="0.25">
      <c r="A9234" s="2" t="s">
        <v>19073</v>
      </c>
      <c r="B9234" s="2" t="s">
        <v>19074</v>
      </c>
      <c r="C9234" s="2" t="s">
        <v>29</v>
      </c>
      <c r="D9234" s="2" t="s">
        <v>210</v>
      </c>
      <c r="E9234" s="2" t="str">
        <f>"9789004285736"</f>
        <v>9789004285736</v>
      </c>
      <c r="F9234" s="2" t="str">
        <f>"9789004286313"</f>
        <v>9789004286313</v>
      </c>
    </row>
    <row r="9235" spans="1:6" s="3" customFormat="1" ht="29.1" customHeight="1" x14ac:dyDescent="0.25">
      <c r="A9235" s="2" t="s">
        <v>19075</v>
      </c>
      <c r="B9235" s="2" t="s">
        <v>19052</v>
      </c>
      <c r="C9235" s="2" t="s">
        <v>29</v>
      </c>
      <c r="D9235" s="2" t="s">
        <v>210</v>
      </c>
      <c r="E9235" s="2" t="str">
        <f>"9789004285729"</f>
        <v>9789004285729</v>
      </c>
      <c r="F9235" s="2" t="str">
        <f>"9789004286306"</f>
        <v>9789004286306</v>
      </c>
    </row>
    <row r="9236" spans="1:6" s="3" customFormat="1" ht="29.1" customHeight="1" x14ac:dyDescent="0.25">
      <c r="A9236" s="2" t="s">
        <v>19076</v>
      </c>
      <c r="B9236" s="2" t="s">
        <v>19077</v>
      </c>
      <c r="C9236" s="2" t="s">
        <v>29</v>
      </c>
      <c r="D9236" s="2" t="s">
        <v>210</v>
      </c>
      <c r="E9236" s="2" t="str">
        <f>"9789004285712"</f>
        <v>9789004285712</v>
      </c>
      <c r="F9236" s="2" t="str">
        <f>"9789004286290"</f>
        <v>9789004286290</v>
      </c>
    </row>
    <row r="9237" spans="1:6" s="3" customFormat="1" ht="29.1" customHeight="1" x14ac:dyDescent="0.25">
      <c r="A9237" s="2" t="s">
        <v>19078</v>
      </c>
      <c r="B9237" s="2" t="s">
        <v>19079</v>
      </c>
      <c r="C9237" s="2" t="s">
        <v>29</v>
      </c>
      <c r="D9237" s="2" t="s">
        <v>210</v>
      </c>
      <c r="E9237" s="2" t="str">
        <f>"9789004285705"</f>
        <v>9789004285705</v>
      </c>
      <c r="F9237" s="2" t="str">
        <f>"9789004286283"</f>
        <v>9789004286283</v>
      </c>
    </row>
    <row r="9238" spans="1:6" s="3" customFormat="1" ht="29.1" customHeight="1" x14ac:dyDescent="0.25">
      <c r="A9238" s="2" t="s">
        <v>19080</v>
      </c>
      <c r="B9238" s="2" t="s">
        <v>19081</v>
      </c>
      <c r="C9238" s="2" t="s">
        <v>29</v>
      </c>
      <c r="D9238" s="2" t="s">
        <v>210</v>
      </c>
      <c r="E9238" s="2" t="str">
        <f>"9789004285699"</f>
        <v>9789004285699</v>
      </c>
      <c r="F9238" s="2" t="str">
        <f>"9789004286276"</f>
        <v>9789004286276</v>
      </c>
    </row>
    <row r="9239" spans="1:6" s="3" customFormat="1" ht="29.1" customHeight="1" x14ac:dyDescent="0.25">
      <c r="A9239" s="2" t="s">
        <v>19082</v>
      </c>
      <c r="B9239" s="2" t="s">
        <v>19083</v>
      </c>
      <c r="C9239" s="2" t="s">
        <v>29</v>
      </c>
      <c r="D9239" s="2" t="s">
        <v>210</v>
      </c>
      <c r="E9239" s="2" t="str">
        <f>"9789004285682"</f>
        <v>9789004285682</v>
      </c>
      <c r="F9239" s="2" t="str">
        <f>"9789004286269"</f>
        <v>9789004286269</v>
      </c>
    </row>
    <row r="9240" spans="1:6" s="3" customFormat="1" ht="29.1" customHeight="1" x14ac:dyDescent="0.25">
      <c r="A9240" s="2" t="s">
        <v>19084</v>
      </c>
      <c r="B9240" s="2" t="s">
        <v>19085</v>
      </c>
      <c r="C9240" s="2" t="s">
        <v>29</v>
      </c>
      <c r="D9240" s="2" t="s">
        <v>210</v>
      </c>
      <c r="E9240" s="2" t="str">
        <f>"9789004285675"</f>
        <v>9789004285675</v>
      </c>
      <c r="F9240" s="2" t="str">
        <f>"9789004286252"</f>
        <v>9789004286252</v>
      </c>
    </row>
    <row r="9241" spans="1:6" s="3" customFormat="1" ht="29.1" customHeight="1" x14ac:dyDescent="0.25">
      <c r="A9241" s="2" t="s">
        <v>19086</v>
      </c>
      <c r="B9241" s="2" t="s">
        <v>19087</v>
      </c>
      <c r="C9241" s="2" t="s">
        <v>29</v>
      </c>
      <c r="D9241" s="2" t="s">
        <v>210</v>
      </c>
      <c r="E9241" s="2" t="str">
        <f>"9789004285668"</f>
        <v>9789004285668</v>
      </c>
      <c r="F9241" s="2" t="str">
        <f>"9789004286245"</f>
        <v>9789004286245</v>
      </c>
    </row>
    <row r="9242" spans="1:6" s="3" customFormat="1" ht="29.1" customHeight="1" x14ac:dyDescent="0.25">
      <c r="A9242" s="2" t="s">
        <v>19088</v>
      </c>
      <c r="B9242" s="2" t="s">
        <v>19089</v>
      </c>
      <c r="C9242" s="2" t="s">
        <v>29</v>
      </c>
      <c r="D9242" s="2" t="s">
        <v>210</v>
      </c>
      <c r="E9242" s="2" t="str">
        <f>"9789067652025"</f>
        <v>9789067652025</v>
      </c>
      <c r="F9242" s="2" t="str">
        <f>"9789004287327"</f>
        <v>9789004287327</v>
      </c>
    </row>
    <row r="9243" spans="1:6" s="3" customFormat="1" ht="29.1" customHeight="1" x14ac:dyDescent="0.25">
      <c r="A9243" s="2" t="s">
        <v>19090</v>
      </c>
      <c r="B9243" s="2" t="s">
        <v>19091</v>
      </c>
      <c r="C9243" s="2" t="s">
        <v>29</v>
      </c>
      <c r="D9243" s="2" t="s">
        <v>210</v>
      </c>
      <c r="E9243" s="2" t="str">
        <f>"9789004285651"</f>
        <v>9789004285651</v>
      </c>
      <c r="F9243" s="2" t="str">
        <f>"9789004286238"</f>
        <v>9789004286238</v>
      </c>
    </row>
    <row r="9244" spans="1:6" s="3" customFormat="1" ht="29.1" customHeight="1" x14ac:dyDescent="0.25">
      <c r="A9244" s="2" t="s">
        <v>19088</v>
      </c>
      <c r="B9244" s="2" t="s">
        <v>18969</v>
      </c>
      <c r="C9244" s="2" t="s">
        <v>29</v>
      </c>
      <c r="D9244" s="2" t="s">
        <v>210</v>
      </c>
      <c r="E9244" s="2" t="str">
        <f>"9789067652018"</f>
        <v>9789067652018</v>
      </c>
      <c r="F9244" s="2" t="str">
        <f>"9789004287310"</f>
        <v>9789004287310</v>
      </c>
    </row>
    <row r="9245" spans="1:6" s="3" customFormat="1" ht="29.1" customHeight="1" x14ac:dyDescent="0.25">
      <c r="A9245" s="2" t="s">
        <v>19092</v>
      </c>
      <c r="B9245" s="2" t="s">
        <v>19093</v>
      </c>
      <c r="C9245" s="2" t="s">
        <v>29</v>
      </c>
      <c r="D9245" s="2" t="s">
        <v>210</v>
      </c>
      <c r="E9245" s="2" t="str">
        <f>"9789004285644"</f>
        <v>9789004285644</v>
      </c>
      <c r="F9245" s="2" t="str">
        <f>"9789004286221"</f>
        <v>9789004286221</v>
      </c>
    </row>
    <row r="9246" spans="1:6" s="3" customFormat="1" ht="29.1" customHeight="1" x14ac:dyDescent="0.25">
      <c r="A9246" s="2" t="s">
        <v>19094</v>
      </c>
      <c r="B9246" s="2" t="s">
        <v>19095</v>
      </c>
      <c r="C9246" s="2" t="s">
        <v>29</v>
      </c>
      <c r="D9246" s="2" t="s">
        <v>2902</v>
      </c>
      <c r="E9246" s="2" t="str">
        <f>"9789004230644"</f>
        <v>9789004230644</v>
      </c>
      <c r="F9246" s="2" t="str">
        <f>"9789004230699"</f>
        <v>9789004230699</v>
      </c>
    </row>
    <row r="9247" spans="1:6" s="3" customFormat="1" ht="29.1" customHeight="1" x14ac:dyDescent="0.25">
      <c r="A9247" s="2" t="s">
        <v>19096</v>
      </c>
      <c r="B9247" s="2" t="s">
        <v>19097</v>
      </c>
      <c r="C9247" s="2" t="s">
        <v>29</v>
      </c>
      <c r="D9247" s="2" t="s">
        <v>1432</v>
      </c>
      <c r="E9247" s="2" t="str">
        <f>"9789004288041"</f>
        <v>9789004288041</v>
      </c>
      <c r="F9247" s="2" t="str">
        <f>"9789004288058"</f>
        <v>9789004288058</v>
      </c>
    </row>
    <row r="9248" spans="1:6" s="3" customFormat="1" ht="29.1" customHeight="1" x14ac:dyDescent="0.25">
      <c r="A9248" s="2" t="s">
        <v>19098</v>
      </c>
      <c r="B9248" s="2" t="s">
        <v>19099</v>
      </c>
      <c r="C9248" s="2" t="s">
        <v>29</v>
      </c>
      <c r="D9248" s="2" t="s">
        <v>150</v>
      </c>
      <c r="E9248" s="2" t="str">
        <f>"9789004270817"</f>
        <v>9789004270817</v>
      </c>
      <c r="F9248" s="2" t="str">
        <f>"9789004270862"</f>
        <v>9789004270862</v>
      </c>
    </row>
    <row r="9249" spans="1:6" s="3" customFormat="1" ht="29.1" customHeight="1" x14ac:dyDescent="0.25">
      <c r="A9249" s="2" t="s">
        <v>19100</v>
      </c>
      <c r="B9249" s="2" t="s">
        <v>19101</v>
      </c>
      <c r="C9249" s="2" t="s">
        <v>29</v>
      </c>
      <c r="D9249" s="2" t="s">
        <v>192</v>
      </c>
      <c r="E9249" s="2" t="str">
        <f>"9789004217171"</f>
        <v>9789004217171</v>
      </c>
      <c r="F9249" s="2" t="str">
        <f>"9789004217188"</f>
        <v>9789004217188</v>
      </c>
    </row>
    <row r="9250" spans="1:6" s="3" customFormat="1" ht="29.1" customHeight="1" x14ac:dyDescent="0.25">
      <c r="A9250" s="2" t="s">
        <v>19102</v>
      </c>
      <c r="B9250" s="2" t="s">
        <v>19103</v>
      </c>
      <c r="C9250" s="2" t="s">
        <v>29</v>
      </c>
      <c r="D9250" s="2" t="s">
        <v>183</v>
      </c>
      <c r="E9250" s="2" t="str">
        <f>"9789004265080"</f>
        <v>9789004265080</v>
      </c>
      <c r="F9250" s="2" t="str">
        <f>"9789004265424"</f>
        <v>9789004265424</v>
      </c>
    </row>
    <row r="9251" spans="1:6" s="3" customFormat="1" ht="29.1" customHeight="1" x14ac:dyDescent="0.25">
      <c r="A9251" s="2" t="s">
        <v>19104</v>
      </c>
      <c r="B9251" s="2" t="s">
        <v>10310</v>
      </c>
      <c r="C9251" s="2" t="s">
        <v>29</v>
      </c>
      <c r="D9251" s="2" t="s">
        <v>192</v>
      </c>
      <c r="E9251" s="2" t="str">
        <f>"9789004687196"</f>
        <v>9789004687196</v>
      </c>
      <c r="F9251" s="2" t="str">
        <f>"9789004687202"</f>
        <v>9789004687202</v>
      </c>
    </row>
    <row r="9252" spans="1:6" s="3" customFormat="1" ht="29.1" customHeight="1" x14ac:dyDescent="0.25">
      <c r="A9252" s="2" t="s">
        <v>19105</v>
      </c>
      <c r="B9252" s="2" t="s">
        <v>19106</v>
      </c>
      <c r="C9252" s="2" t="s">
        <v>29</v>
      </c>
      <c r="D9252" s="2" t="s">
        <v>501</v>
      </c>
      <c r="E9252" s="2" t="str">
        <f>"9789004683075"</f>
        <v>9789004683075</v>
      </c>
      <c r="F9252" s="2" t="str">
        <f>"9789004683082"</f>
        <v>9789004683082</v>
      </c>
    </row>
    <row r="9253" spans="1:6" s="3" customFormat="1" ht="29.1" customHeight="1" x14ac:dyDescent="0.25">
      <c r="A9253" s="2" t="s">
        <v>19107</v>
      </c>
      <c r="B9253" s="2" t="s">
        <v>18057</v>
      </c>
      <c r="C9253" s="2" t="s">
        <v>29</v>
      </c>
      <c r="D9253" s="2" t="s">
        <v>402</v>
      </c>
      <c r="E9253" s="2" t="str">
        <f>"9789004542686"</f>
        <v>9789004542686</v>
      </c>
      <c r="F9253" s="2" t="str">
        <f>"9789004542891"</f>
        <v>9789004542891</v>
      </c>
    </row>
    <row r="9254" spans="1:6" s="3" customFormat="1" ht="29.1" customHeight="1" x14ac:dyDescent="0.25">
      <c r="A9254" s="2" t="s">
        <v>19108</v>
      </c>
      <c r="B9254" s="2" t="s">
        <v>18057</v>
      </c>
      <c r="C9254" s="2" t="s">
        <v>29</v>
      </c>
      <c r="D9254" s="2" t="s">
        <v>402</v>
      </c>
      <c r="E9254" s="2" t="str">
        <f>"9789004542679"</f>
        <v>9789004542679</v>
      </c>
      <c r="F9254" s="2" t="str">
        <f>"9789004542884"</f>
        <v>9789004542884</v>
      </c>
    </row>
    <row r="9255" spans="1:6" s="3" customFormat="1" ht="29.1" customHeight="1" x14ac:dyDescent="0.25">
      <c r="A9255" s="2" t="s">
        <v>19109</v>
      </c>
      <c r="B9255" s="2" t="s">
        <v>19110</v>
      </c>
      <c r="C9255" s="2" t="s">
        <v>29</v>
      </c>
      <c r="D9255" s="2" t="s">
        <v>509</v>
      </c>
      <c r="E9255" s="2" t="str">
        <f>"9789004520219"</f>
        <v>9789004520219</v>
      </c>
      <c r="F9255" s="2" t="str">
        <f>"9789004547278"</f>
        <v>9789004547278</v>
      </c>
    </row>
    <row r="9256" spans="1:6" s="3" customFormat="1" ht="29.1" customHeight="1" x14ac:dyDescent="0.25">
      <c r="A9256" s="2" t="s">
        <v>19111</v>
      </c>
      <c r="B9256" s="2" t="s">
        <v>19112</v>
      </c>
      <c r="C9256" s="2" t="s">
        <v>29</v>
      </c>
      <c r="D9256" s="2" t="s">
        <v>9</v>
      </c>
      <c r="E9256" s="2" t="str">
        <f>"9789004687752"</f>
        <v>9789004687752</v>
      </c>
      <c r="F9256" s="2" t="str">
        <f>"9789004687769"</f>
        <v>9789004687769</v>
      </c>
    </row>
    <row r="9257" spans="1:6" s="3" customFormat="1" ht="29.1" customHeight="1" x14ac:dyDescent="0.25">
      <c r="A9257" s="2" t="s">
        <v>19113</v>
      </c>
      <c r="B9257" s="2" t="s">
        <v>19114</v>
      </c>
      <c r="C9257" s="2" t="s">
        <v>29</v>
      </c>
      <c r="D9257" s="2" t="s">
        <v>5428</v>
      </c>
      <c r="E9257" s="2" t="str">
        <f>"9789004547377"</f>
        <v>9789004547377</v>
      </c>
      <c r="F9257" s="2" t="str">
        <f>"9789004547285"</f>
        <v>9789004547285</v>
      </c>
    </row>
    <row r="9258" spans="1:6" s="3" customFormat="1" ht="29.1" customHeight="1" x14ac:dyDescent="0.25">
      <c r="A9258" s="2" t="s">
        <v>19115</v>
      </c>
      <c r="B9258" s="2" t="s">
        <v>19116</v>
      </c>
      <c r="C9258" s="2" t="s">
        <v>29</v>
      </c>
      <c r="D9258" s="2" t="s">
        <v>1390</v>
      </c>
      <c r="E9258" s="2" t="str">
        <f>"9789004678347"</f>
        <v>9789004678347</v>
      </c>
      <c r="F9258" s="2" t="str">
        <f>"9789004678354"</f>
        <v>9789004678354</v>
      </c>
    </row>
    <row r="9259" spans="1:6" s="3" customFormat="1" ht="29.1" customHeight="1" x14ac:dyDescent="0.25">
      <c r="A9259" s="2" t="s">
        <v>19117</v>
      </c>
      <c r="B9259" s="2" t="s">
        <v>19118</v>
      </c>
      <c r="C9259" s="2" t="s">
        <v>29</v>
      </c>
      <c r="D9259" s="2" t="s">
        <v>183</v>
      </c>
      <c r="E9259" s="2" t="str">
        <f>"9789004683013"</f>
        <v>9789004683013</v>
      </c>
      <c r="F9259" s="2" t="str">
        <f>"9789004683020"</f>
        <v>9789004683020</v>
      </c>
    </row>
    <row r="9260" spans="1:6" s="3" customFormat="1" ht="29.1" customHeight="1" x14ac:dyDescent="0.25">
      <c r="A9260" s="2" t="s">
        <v>19119</v>
      </c>
      <c r="B9260" s="2" t="s">
        <v>19120</v>
      </c>
      <c r="C9260" s="2" t="s">
        <v>29</v>
      </c>
      <c r="D9260" s="2" t="s">
        <v>183</v>
      </c>
      <c r="E9260" s="2" t="str">
        <f>"9789004536319"</f>
        <v>9789004536319</v>
      </c>
      <c r="F9260" s="2" t="str">
        <f>"9789004687264"</f>
        <v>9789004687264</v>
      </c>
    </row>
    <row r="9261" spans="1:6" s="3" customFormat="1" ht="29.1" customHeight="1" x14ac:dyDescent="0.25">
      <c r="A9261" s="2" t="s">
        <v>19121</v>
      </c>
      <c r="B9261" s="2" t="s">
        <v>19122</v>
      </c>
      <c r="C9261" s="2" t="s">
        <v>29</v>
      </c>
      <c r="D9261" s="2" t="s">
        <v>1432</v>
      </c>
      <c r="E9261" s="2" t="str">
        <f>"9789004687127"</f>
        <v>9789004687127</v>
      </c>
      <c r="F9261" s="2" t="str">
        <f>"9789004687134"</f>
        <v>9789004687134</v>
      </c>
    </row>
    <row r="9262" spans="1:6" s="3" customFormat="1" ht="29.1" customHeight="1" x14ac:dyDescent="0.25">
      <c r="A9262" s="2" t="s">
        <v>19123</v>
      </c>
      <c r="B9262" s="2" t="s">
        <v>19124</v>
      </c>
      <c r="C9262" s="2" t="s">
        <v>29</v>
      </c>
      <c r="D9262" s="2" t="s">
        <v>9878</v>
      </c>
      <c r="E9262" s="2" t="str">
        <f>"9789004679795"</f>
        <v>9789004679795</v>
      </c>
      <c r="F9262" s="2" t="str">
        <f>"9789004679801"</f>
        <v>9789004679801</v>
      </c>
    </row>
    <row r="9263" spans="1:6" s="3" customFormat="1" ht="29.1" customHeight="1" x14ac:dyDescent="0.25">
      <c r="A9263" s="2" t="s">
        <v>19125</v>
      </c>
      <c r="B9263" s="2" t="s">
        <v>19126</v>
      </c>
      <c r="C9263" s="2" t="s">
        <v>29</v>
      </c>
      <c r="D9263" s="2" t="s">
        <v>118</v>
      </c>
      <c r="E9263" s="2" t="str">
        <f>"9789004685826"</f>
        <v>9789004685826</v>
      </c>
      <c r="F9263" s="2" t="str">
        <f>"9789004685833"</f>
        <v>9789004685833</v>
      </c>
    </row>
    <row r="9264" spans="1:6" s="3" customFormat="1" ht="29.1" customHeight="1" x14ac:dyDescent="0.25">
      <c r="A9264" s="2" t="s">
        <v>19127</v>
      </c>
      <c r="B9264" s="2" t="s">
        <v>19128</v>
      </c>
      <c r="C9264" s="2" t="s">
        <v>29</v>
      </c>
      <c r="D9264" s="2" t="s">
        <v>81</v>
      </c>
      <c r="E9264" s="2" t="str">
        <f>"9789004538856"</f>
        <v>9789004538856</v>
      </c>
      <c r="F9264" s="2" t="str">
        <f>"9789004686182"</f>
        <v>9789004686182</v>
      </c>
    </row>
    <row r="9265" spans="1:6" s="3" customFormat="1" ht="29.1" customHeight="1" x14ac:dyDescent="0.25">
      <c r="A9265" s="2" t="s">
        <v>19129</v>
      </c>
      <c r="B9265" s="2" t="s">
        <v>19128</v>
      </c>
      <c r="C9265" s="2" t="s">
        <v>29</v>
      </c>
      <c r="D9265" s="2" t="s">
        <v>81</v>
      </c>
      <c r="E9265" s="2" t="str">
        <f>"9789004538849"</f>
        <v>9789004538849</v>
      </c>
      <c r="F9265" s="2" t="str">
        <f>"9789004685994"</f>
        <v>9789004685994</v>
      </c>
    </row>
    <row r="9266" spans="1:6" s="3" customFormat="1" ht="29.1" customHeight="1" x14ac:dyDescent="0.25">
      <c r="A9266" s="2" t="s">
        <v>19130</v>
      </c>
      <c r="B9266" s="2" t="s">
        <v>19131</v>
      </c>
      <c r="C9266" s="2" t="s">
        <v>29</v>
      </c>
      <c r="D9266" s="2" t="s">
        <v>509</v>
      </c>
      <c r="E9266" s="2" t="str">
        <f>"9789004683174"</f>
        <v>9789004683174</v>
      </c>
      <c r="F9266" s="2" t="str">
        <f>"9789004683181"</f>
        <v>9789004683181</v>
      </c>
    </row>
    <row r="9267" spans="1:6" s="3" customFormat="1" ht="29.1" customHeight="1" x14ac:dyDescent="0.25">
      <c r="A9267" s="2" t="s">
        <v>19132</v>
      </c>
      <c r="B9267" s="2" t="s">
        <v>19133</v>
      </c>
      <c r="C9267" s="2" t="s">
        <v>29</v>
      </c>
      <c r="D9267" s="2" t="s">
        <v>63</v>
      </c>
      <c r="E9267" s="2" t="str">
        <f>"9789004685123"</f>
        <v>9789004685123</v>
      </c>
      <c r="F9267" s="2" t="str">
        <f>"9789004685130"</f>
        <v>9789004685130</v>
      </c>
    </row>
    <row r="9268" spans="1:6" s="3" customFormat="1" ht="29.1" customHeight="1" x14ac:dyDescent="0.25">
      <c r="A9268" s="2" t="s">
        <v>19134</v>
      </c>
      <c r="B9268" s="2" t="s">
        <v>19135</v>
      </c>
      <c r="C9268" s="2" t="s">
        <v>29</v>
      </c>
      <c r="D9268" s="2" t="s">
        <v>192</v>
      </c>
      <c r="E9268" s="2" t="str">
        <f>"9789004681453"</f>
        <v>9789004681453</v>
      </c>
      <c r="F9268" s="2" t="str">
        <f>"9789004536579"</f>
        <v>9789004536579</v>
      </c>
    </row>
    <row r="9269" spans="1:6" s="3" customFormat="1" ht="29.1" customHeight="1" x14ac:dyDescent="0.25">
      <c r="A9269" s="2" t="s">
        <v>19136</v>
      </c>
      <c r="B9269" s="2" t="s">
        <v>19137</v>
      </c>
      <c r="C9269" s="2" t="s">
        <v>29</v>
      </c>
      <c r="D9269" s="2" t="s">
        <v>4160</v>
      </c>
      <c r="E9269" s="2" t="str">
        <f>"9789004521858"</f>
        <v>9789004521858</v>
      </c>
      <c r="F9269" s="2" t="str">
        <f>"9789004684928"</f>
        <v>9789004684928</v>
      </c>
    </row>
    <row r="9270" spans="1:6" s="3" customFormat="1" ht="29.1" customHeight="1" x14ac:dyDescent="0.25">
      <c r="A9270" s="2" t="s">
        <v>19138</v>
      </c>
      <c r="B9270" s="2" t="s">
        <v>18582</v>
      </c>
      <c r="C9270" s="2" t="s">
        <v>29</v>
      </c>
      <c r="D9270" s="2" t="s">
        <v>699</v>
      </c>
      <c r="E9270" s="2" t="str">
        <f>"9789004543911"</f>
        <v>9789004543911</v>
      </c>
      <c r="F9270" s="2" t="str">
        <f>"9789004682818"</f>
        <v>9789004682818</v>
      </c>
    </row>
    <row r="9271" spans="1:6" s="3" customFormat="1" ht="29.1" customHeight="1" x14ac:dyDescent="0.25">
      <c r="A9271" s="2" t="s">
        <v>19139</v>
      </c>
      <c r="B9271" s="2" t="s">
        <v>19140</v>
      </c>
      <c r="C9271" s="2" t="s">
        <v>29</v>
      </c>
      <c r="D9271" s="2" t="s">
        <v>462</v>
      </c>
      <c r="E9271" s="2" t="str">
        <f>"9789004682696"</f>
        <v>9789004682696</v>
      </c>
      <c r="F9271" s="2" t="str">
        <f>"9789004682702"</f>
        <v>9789004682702</v>
      </c>
    </row>
    <row r="9272" spans="1:6" s="3" customFormat="1" ht="29.1" customHeight="1" x14ac:dyDescent="0.25">
      <c r="A9272" s="2" t="s">
        <v>19141</v>
      </c>
      <c r="B9272" s="2" t="s">
        <v>19143</v>
      </c>
      <c r="C9272" s="2" t="s">
        <v>29</v>
      </c>
      <c r="D9272" s="2" t="s">
        <v>19142</v>
      </c>
      <c r="E9272" s="2" t="str">
        <f>"9789086863921"</f>
        <v>9789086863921</v>
      </c>
      <c r="F9272" s="2" t="str">
        <f>"9789086869466"</f>
        <v>9789086869466</v>
      </c>
    </row>
    <row r="9273" spans="1:6" s="3" customFormat="1" ht="29.1" customHeight="1" x14ac:dyDescent="0.25">
      <c r="A9273" s="2" t="s">
        <v>19144</v>
      </c>
      <c r="B9273" s="2" t="s">
        <v>15153</v>
      </c>
      <c r="C9273" s="2" t="s">
        <v>29</v>
      </c>
      <c r="D9273" s="2" t="s">
        <v>6669</v>
      </c>
      <c r="E9273" s="2" t="str">
        <f>"9789004531079"</f>
        <v>9789004531079</v>
      </c>
      <c r="F9273" s="2" t="str">
        <f>"9789004531086"</f>
        <v>9789004531086</v>
      </c>
    </row>
    <row r="9274" spans="1:6" s="3" customFormat="1" ht="29.1" customHeight="1" x14ac:dyDescent="0.25">
      <c r="A9274" s="2" t="s">
        <v>19145</v>
      </c>
      <c r="B9274" s="2" t="s">
        <v>19146</v>
      </c>
      <c r="C9274" s="2" t="s">
        <v>29</v>
      </c>
      <c r="D9274" s="2" t="s">
        <v>183</v>
      </c>
      <c r="E9274" s="2" t="str">
        <f>"9789004545731"</f>
        <v>9789004545731</v>
      </c>
      <c r="F9274" s="2" t="str">
        <f>"9789004683327"</f>
        <v>9789004683327</v>
      </c>
    </row>
    <row r="9275" spans="1:6" s="3" customFormat="1" ht="29.1" customHeight="1" x14ac:dyDescent="0.25">
      <c r="A9275" s="2" t="s">
        <v>19147</v>
      </c>
      <c r="B9275" s="2" t="s">
        <v>19148</v>
      </c>
      <c r="C9275" s="2" t="s">
        <v>29</v>
      </c>
      <c r="D9275" s="2" t="s">
        <v>7669</v>
      </c>
      <c r="E9275" s="2" t="str">
        <f>"9789004462502"</f>
        <v>9789004462502</v>
      </c>
      <c r="F9275" s="2" t="str">
        <f>"9789004517318"</f>
        <v>9789004517318</v>
      </c>
    </row>
    <row r="9276" spans="1:6" s="3" customFormat="1" ht="29.1" customHeight="1" x14ac:dyDescent="0.25">
      <c r="A9276" s="2" t="s">
        <v>19149</v>
      </c>
      <c r="B9276" s="2" t="s">
        <v>19150</v>
      </c>
      <c r="C9276" s="2" t="s">
        <v>29</v>
      </c>
      <c r="D9276" s="2" t="s">
        <v>522</v>
      </c>
      <c r="E9276" s="2" t="str">
        <f>"9789004508644"</f>
        <v>9789004508644</v>
      </c>
      <c r="F9276" s="2" t="str">
        <f>"9789004508668"</f>
        <v>9789004508668</v>
      </c>
    </row>
    <row r="9277" spans="1:6" s="3" customFormat="1" ht="29.1" customHeight="1" x14ac:dyDescent="0.25">
      <c r="A9277" s="2" t="s">
        <v>19151</v>
      </c>
      <c r="B9277" s="2" t="s">
        <v>19152</v>
      </c>
      <c r="C9277" s="2" t="s">
        <v>29</v>
      </c>
      <c r="D9277" s="2" t="s">
        <v>192</v>
      </c>
      <c r="E9277" s="2" t="str">
        <f>"9789004514843"</f>
        <v>9789004514843</v>
      </c>
      <c r="F9277" s="2" t="str">
        <f>"9789004514850"</f>
        <v>9789004514850</v>
      </c>
    </row>
    <row r="9278" spans="1:6" s="3" customFormat="1" ht="29.1" customHeight="1" x14ac:dyDescent="0.25">
      <c r="A9278" s="2" t="s">
        <v>19153</v>
      </c>
      <c r="B9278" s="2" t="s">
        <v>19154</v>
      </c>
      <c r="C9278" s="2" t="s">
        <v>29</v>
      </c>
      <c r="D9278" s="2" t="s">
        <v>6548</v>
      </c>
      <c r="E9278" s="2" t="str">
        <f>"9789004522619"</f>
        <v>9789004522619</v>
      </c>
      <c r="F9278" s="2" t="str">
        <f>"9789004522626"</f>
        <v>9789004522626</v>
      </c>
    </row>
    <row r="9279" spans="1:6" s="3" customFormat="1" ht="29.1" customHeight="1" x14ac:dyDescent="0.25">
      <c r="A9279" s="2" t="s">
        <v>19155</v>
      </c>
      <c r="B9279" s="2" t="s">
        <v>19156</v>
      </c>
      <c r="C9279" s="2" t="s">
        <v>29</v>
      </c>
      <c r="D9279" s="2" t="s">
        <v>9</v>
      </c>
      <c r="E9279" s="2" t="str">
        <f>"9789004681903"</f>
        <v>9789004681903</v>
      </c>
      <c r="F9279" s="2" t="str">
        <f>"9789004681910"</f>
        <v>9789004681910</v>
      </c>
    </row>
    <row r="9280" spans="1:6" s="3" customFormat="1" ht="29.1" customHeight="1" x14ac:dyDescent="0.25">
      <c r="A9280" s="2" t="s">
        <v>19157</v>
      </c>
      <c r="B9280" s="2" t="s">
        <v>19158</v>
      </c>
      <c r="C9280" s="2" t="s">
        <v>29</v>
      </c>
      <c r="D9280" s="2" t="s">
        <v>4071</v>
      </c>
      <c r="E9280" s="2" t="str">
        <f>"9789004503984"</f>
        <v>9789004503984</v>
      </c>
      <c r="F9280" s="2" t="str">
        <f>"9789004503991"</f>
        <v>9789004503991</v>
      </c>
    </row>
    <row r="9281" spans="1:6" s="3" customFormat="1" ht="29.1" customHeight="1" x14ac:dyDescent="0.25">
      <c r="A9281" s="2" t="s">
        <v>19159</v>
      </c>
      <c r="B9281" s="2" t="s">
        <v>19160</v>
      </c>
      <c r="C9281" s="2" t="s">
        <v>29</v>
      </c>
      <c r="D9281" s="2" t="s">
        <v>33</v>
      </c>
      <c r="E9281" s="2" t="str">
        <f>"9789004518551"</f>
        <v>9789004518551</v>
      </c>
      <c r="F9281" s="2" t="str">
        <f>"9789004543010"</f>
        <v>9789004543010</v>
      </c>
    </row>
    <row r="9282" spans="1:6" s="3" customFormat="1" ht="29.1" customHeight="1" x14ac:dyDescent="0.25">
      <c r="A9282" s="2" t="s">
        <v>19161</v>
      </c>
      <c r="B9282" s="2" t="s">
        <v>19162</v>
      </c>
      <c r="C9282" s="2" t="s">
        <v>29</v>
      </c>
      <c r="D9282" s="2" t="s">
        <v>7669</v>
      </c>
      <c r="E9282" s="2" t="str">
        <f>"9789004462786"</f>
        <v>9789004462786</v>
      </c>
      <c r="F9282" s="2" t="str">
        <f>"9789004517325"</f>
        <v>9789004517325</v>
      </c>
    </row>
    <row r="9283" spans="1:6" s="3" customFormat="1" ht="29.1" customHeight="1" x14ac:dyDescent="0.25">
      <c r="A9283" s="2" t="s">
        <v>19163</v>
      </c>
      <c r="B9283" s="2" t="s">
        <v>19164</v>
      </c>
      <c r="C9283" s="2" t="s">
        <v>29</v>
      </c>
      <c r="D9283" s="2" t="s">
        <v>183</v>
      </c>
      <c r="E9283" s="2" t="str">
        <f>"9789004546981"</f>
        <v>9789004546981</v>
      </c>
      <c r="F9283" s="2" t="str">
        <f>"9789004546998"</f>
        <v>9789004546998</v>
      </c>
    </row>
    <row r="9284" spans="1:6" s="3" customFormat="1" ht="29.1" customHeight="1" x14ac:dyDescent="0.25">
      <c r="A9284" s="2" t="s">
        <v>19165</v>
      </c>
      <c r="B9284" s="2" t="s">
        <v>19166</v>
      </c>
      <c r="C9284" s="2" t="s">
        <v>29</v>
      </c>
      <c r="D9284" s="2" t="s">
        <v>6669</v>
      </c>
      <c r="E9284" s="2" t="str">
        <f>"9789004515680"</f>
        <v>9789004515680</v>
      </c>
      <c r="F9284" s="2" t="str">
        <f>"9789004679023"</f>
        <v>9789004679023</v>
      </c>
    </row>
    <row r="9285" spans="1:6" s="3" customFormat="1" ht="29.1" customHeight="1" x14ac:dyDescent="0.25">
      <c r="A9285" s="2" t="s">
        <v>19167</v>
      </c>
      <c r="B9285" s="2" t="s">
        <v>19168</v>
      </c>
      <c r="C9285" s="2" t="s">
        <v>29</v>
      </c>
      <c r="D9285" s="2" t="s">
        <v>192</v>
      </c>
      <c r="E9285" s="2" t="str">
        <f>"9789004549562"</f>
        <v>9789004549562</v>
      </c>
      <c r="F9285" s="2" t="str">
        <f>"9789004549579"</f>
        <v>9789004549579</v>
      </c>
    </row>
    <row r="9286" spans="1:6" s="3" customFormat="1" ht="29.1" customHeight="1" x14ac:dyDescent="0.25">
      <c r="A9286" s="2" t="s">
        <v>19169</v>
      </c>
      <c r="B9286" s="2" t="s">
        <v>19170</v>
      </c>
      <c r="C9286" s="2" t="s">
        <v>29</v>
      </c>
      <c r="D9286" s="2" t="s">
        <v>462</v>
      </c>
      <c r="E9286" s="2" t="str">
        <f>"9789004680005"</f>
        <v>9789004680005</v>
      </c>
      <c r="F9286" s="2" t="str">
        <f>"9789004680012"</f>
        <v>9789004680012</v>
      </c>
    </row>
    <row r="9287" spans="1:6" s="3" customFormat="1" ht="29.1" customHeight="1" x14ac:dyDescent="0.25">
      <c r="A9287" s="2" t="s">
        <v>19171</v>
      </c>
      <c r="B9287" s="2" t="s">
        <v>19172</v>
      </c>
      <c r="C9287" s="2" t="s">
        <v>29</v>
      </c>
      <c r="D9287" s="2" t="s">
        <v>402</v>
      </c>
      <c r="E9287" s="2" t="str">
        <f>"9789004516274"</f>
        <v>9789004516274</v>
      </c>
      <c r="F9287" s="2" t="str">
        <f>"9789004549319"</f>
        <v>9789004549319</v>
      </c>
    </row>
    <row r="9288" spans="1:6" s="3" customFormat="1" ht="29.1" customHeight="1" x14ac:dyDescent="0.25">
      <c r="A9288" s="2" t="s">
        <v>19173</v>
      </c>
      <c r="B9288" s="2" t="s">
        <v>19174</v>
      </c>
      <c r="C9288" s="2" t="s">
        <v>29</v>
      </c>
      <c r="D9288" s="2" t="s">
        <v>78</v>
      </c>
      <c r="E9288" s="2" t="str">
        <f>"9789004511095"</f>
        <v>9789004511095</v>
      </c>
      <c r="F9288" s="2" t="str">
        <f>"9789004678606"</f>
        <v>9789004678606</v>
      </c>
    </row>
    <row r="9289" spans="1:6" s="3" customFormat="1" ht="29.1" customHeight="1" x14ac:dyDescent="0.25">
      <c r="A9289" s="2" t="s">
        <v>19175</v>
      </c>
      <c r="B9289" s="2" t="s">
        <v>19176</v>
      </c>
      <c r="C9289" s="2" t="s">
        <v>29</v>
      </c>
      <c r="D9289" s="2" t="s">
        <v>14574</v>
      </c>
      <c r="E9289" s="2" t="str">
        <f>"9789004680029"</f>
        <v>9789004680029</v>
      </c>
      <c r="F9289" s="2" t="str">
        <f>"9789004680043"</f>
        <v>9789004680043</v>
      </c>
    </row>
    <row r="9290" spans="1:6" s="3" customFormat="1" ht="29.1" customHeight="1" x14ac:dyDescent="0.25">
      <c r="A9290" s="2" t="s">
        <v>19177</v>
      </c>
      <c r="B9290" s="2" t="s">
        <v>19178</v>
      </c>
      <c r="C9290" s="2" t="s">
        <v>29</v>
      </c>
      <c r="D9290" s="2" t="s">
        <v>818</v>
      </c>
      <c r="E9290" s="2" t="str">
        <f>"9789004678293"</f>
        <v>9789004678293</v>
      </c>
      <c r="F9290" s="2" t="str">
        <f>"9789004678309"</f>
        <v>9789004678309</v>
      </c>
    </row>
    <row r="9291" spans="1:6" s="3" customFormat="1" ht="29.1" customHeight="1" x14ac:dyDescent="0.25">
      <c r="A9291" s="2" t="s">
        <v>5045</v>
      </c>
      <c r="B9291" s="2" t="s">
        <v>19179</v>
      </c>
      <c r="C9291" s="2" t="s">
        <v>29</v>
      </c>
      <c r="D9291" s="2" t="s">
        <v>4117</v>
      </c>
      <c r="E9291" s="2" t="str">
        <f>"9789004548602"</f>
        <v>9789004548602</v>
      </c>
      <c r="F9291" s="2" t="str">
        <f>"9789004548633"</f>
        <v>9789004548633</v>
      </c>
    </row>
    <row r="9292" spans="1:6" s="3" customFormat="1" ht="29.1" customHeight="1" x14ac:dyDescent="0.25">
      <c r="A9292" s="2" t="s">
        <v>19180</v>
      </c>
      <c r="B9292" s="2" t="s">
        <v>19181</v>
      </c>
      <c r="C9292" s="2" t="s">
        <v>29</v>
      </c>
      <c r="D9292" s="2" t="s">
        <v>183</v>
      </c>
      <c r="E9292" s="2" t="str">
        <f>"9789004678965"</f>
        <v>9789004678965</v>
      </c>
      <c r="F9292" s="2" t="str">
        <f>"9789004678972"</f>
        <v>9789004678972</v>
      </c>
    </row>
    <row r="9293" spans="1:6" s="3" customFormat="1" ht="29.1" customHeight="1" x14ac:dyDescent="0.25">
      <c r="A9293" s="2" t="s">
        <v>19182</v>
      </c>
      <c r="B9293" s="2" t="s">
        <v>19184</v>
      </c>
      <c r="C9293" s="2" t="s">
        <v>29</v>
      </c>
      <c r="D9293" s="2" t="s">
        <v>19183</v>
      </c>
      <c r="E9293" s="2" t="str">
        <f>"9789004542952"</f>
        <v>9789004542952</v>
      </c>
      <c r="F9293" s="2" t="str">
        <f>"9789004542969"</f>
        <v>9789004542969</v>
      </c>
    </row>
    <row r="9294" spans="1:6" s="3" customFormat="1" ht="29.1" customHeight="1" x14ac:dyDescent="0.25">
      <c r="A9294" s="2" t="s">
        <v>19185</v>
      </c>
      <c r="B9294" s="2" t="s">
        <v>19186</v>
      </c>
      <c r="C9294" s="2" t="s">
        <v>29</v>
      </c>
      <c r="D9294" s="2" t="s">
        <v>8868</v>
      </c>
      <c r="E9294" s="2" t="str">
        <f>"9789004544918"</f>
        <v>9789004544918</v>
      </c>
      <c r="F9294" s="2" t="str">
        <f>"9789004544925"</f>
        <v>9789004544925</v>
      </c>
    </row>
    <row r="9295" spans="1:6" s="3" customFormat="1" ht="29.1" customHeight="1" x14ac:dyDescent="0.25">
      <c r="A9295" s="2" t="s">
        <v>19187</v>
      </c>
      <c r="B9295" s="2" t="s">
        <v>19188</v>
      </c>
      <c r="C9295" s="2" t="s">
        <v>29</v>
      </c>
      <c r="D9295" s="2" t="s">
        <v>215</v>
      </c>
      <c r="E9295" s="2" t="str">
        <f>"9789004541467"</f>
        <v>9789004541467</v>
      </c>
      <c r="F9295" s="2" t="str">
        <f>"9789004678897"</f>
        <v>9789004678897</v>
      </c>
    </row>
    <row r="9296" spans="1:6" s="3" customFormat="1" ht="29.1" customHeight="1" x14ac:dyDescent="0.25">
      <c r="A9296" s="2" t="s">
        <v>19189</v>
      </c>
      <c r="B9296" s="2" t="s">
        <v>19190</v>
      </c>
      <c r="C9296" s="2" t="s">
        <v>29</v>
      </c>
      <c r="D9296" s="2" t="s">
        <v>3166</v>
      </c>
      <c r="E9296" s="2" t="str">
        <f>"9789004520141"</f>
        <v>9789004520141</v>
      </c>
      <c r="F9296" s="2" t="str">
        <f>"9789004520158"</f>
        <v>9789004520158</v>
      </c>
    </row>
    <row r="9297" spans="1:6" s="3" customFormat="1" ht="29.1" customHeight="1" x14ac:dyDescent="0.25">
      <c r="A9297" s="2" t="s">
        <v>19191</v>
      </c>
      <c r="B9297" s="2" t="s">
        <v>19192</v>
      </c>
      <c r="C9297" s="2" t="s">
        <v>29</v>
      </c>
      <c r="D9297" s="2" t="s">
        <v>4117</v>
      </c>
      <c r="E9297" s="2" t="str">
        <f>"9789004543461"</f>
        <v>9789004543461</v>
      </c>
      <c r="F9297" s="2" t="str">
        <f>"9789004544031"</f>
        <v>9789004544031</v>
      </c>
    </row>
    <row r="9298" spans="1:6" s="3" customFormat="1" ht="29.1" customHeight="1" x14ac:dyDescent="0.25">
      <c r="A9298" s="2" t="s">
        <v>19193</v>
      </c>
      <c r="B9298" s="2" t="s">
        <v>19194</v>
      </c>
      <c r="C9298" s="2" t="s">
        <v>29</v>
      </c>
      <c r="D9298" s="2" t="s">
        <v>509</v>
      </c>
      <c r="E9298" s="2" t="str">
        <f>"9789004542693"</f>
        <v>9789004542693</v>
      </c>
      <c r="F9298" s="2" t="str">
        <f>"9789004542709"</f>
        <v>9789004542709</v>
      </c>
    </row>
    <row r="9299" spans="1:6" s="3" customFormat="1" ht="29.1" customHeight="1" x14ac:dyDescent="0.25">
      <c r="A9299" s="2" t="s">
        <v>19195</v>
      </c>
      <c r="B9299" s="2" t="s">
        <v>19196</v>
      </c>
      <c r="C9299" s="2" t="s">
        <v>29</v>
      </c>
      <c r="D9299" s="2" t="s">
        <v>183</v>
      </c>
      <c r="E9299" s="2" t="str">
        <f>"9789004528055"</f>
        <v>9789004528055</v>
      </c>
      <c r="F9299" s="2" t="str">
        <f>"9789004528062"</f>
        <v>9789004528062</v>
      </c>
    </row>
    <row r="9300" spans="1:6" s="3" customFormat="1" ht="29.1" customHeight="1" x14ac:dyDescent="0.25">
      <c r="A9300" s="2" t="s">
        <v>19197</v>
      </c>
      <c r="B9300" s="2" t="s">
        <v>19198</v>
      </c>
      <c r="C9300" s="2" t="s">
        <v>29</v>
      </c>
      <c r="D9300" s="2" t="s">
        <v>9265</v>
      </c>
      <c r="E9300" s="2" t="str">
        <f>"9789004548831"</f>
        <v>9789004548831</v>
      </c>
      <c r="F9300" s="2" t="str">
        <f>"9789004549449"</f>
        <v>9789004549449</v>
      </c>
    </row>
    <row r="9301" spans="1:6" s="3" customFormat="1" ht="29.1" customHeight="1" x14ac:dyDescent="0.25">
      <c r="A9301" s="2" t="s">
        <v>19199</v>
      </c>
      <c r="B9301" s="2" t="s">
        <v>19200</v>
      </c>
      <c r="C9301" s="2" t="s">
        <v>29</v>
      </c>
      <c r="D9301" s="2" t="s">
        <v>509</v>
      </c>
      <c r="E9301" s="2" t="str">
        <f>"9789004441200"</f>
        <v>9789004441200</v>
      </c>
      <c r="F9301" s="2" t="str">
        <f>"9789004441217"</f>
        <v>9789004441217</v>
      </c>
    </row>
    <row r="9302" spans="1:6" s="3" customFormat="1" ht="29.1" customHeight="1" x14ac:dyDescent="0.25">
      <c r="A9302" s="2" t="s">
        <v>19201</v>
      </c>
      <c r="B9302" s="2" t="s">
        <v>19202</v>
      </c>
      <c r="C9302" s="2" t="s">
        <v>29</v>
      </c>
      <c r="D9302" s="2" t="s">
        <v>192</v>
      </c>
      <c r="E9302" s="2" t="str">
        <f>"9789004509375"</f>
        <v>9789004509375</v>
      </c>
      <c r="F9302" s="2" t="str">
        <f>"9789004509382"</f>
        <v>9789004509382</v>
      </c>
    </row>
    <row r="9303" spans="1:6" s="3" customFormat="1" ht="29.1" customHeight="1" x14ac:dyDescent="0.25">
      <c r="A9303" s="2" t="s">
        <v>19203</v>
      </c>
      <c r="B9303" s="2" t="s">
        <v>19204</v>
      </c>
      <c r="C9303" s="2" t="s">
        <v>29</v>
      </c>
      <c r="D9303" s="2" t="s">
        <v>118</v>
      </c>
      <c r="E9303" s="2" t="str">
        <f>"9789004547872"</f>
        <v>9789004547872</v>
      </c>
      <c r="F9303" s="2" t="str">
        <f>"9789004547902"</f>
        <v>9789004547902</v>
      </c>
    </row>
    <row r="9304" spans="1:6" s="3" customFormat="1" ht="29.1" customHeight="1" x14ac:dyDescent="0.25">
      <c r="A9304" s="2" t="s">
        <v>19205</v>
      </c>
      <c r="B9304" s="2" t="s">
        <v>19206</v>
      </c>
      <c r="C9304" s="2" t="s">
        <v>29</v>
      </c>
      <c r="D9304" s="2" t="s">
        <v>9</v>
      </c>
      <c r="E9304" s="2" t="str">
        <f>"9789004546592"</f>
        <v>9789004546592</v>
      </c>
      <c r="F9304" s="2" t="str">
        <f>"9789004546608"</f>
        <v>9789004546608</v>
      </c>
    </row>
    <row r="9305" spans="1:6" s="3" customFormat="1" ht="29.1" customHeight="1" x14ac:dyDescent="0.25">
      <c r="A9305" s="2" t="s">
        <v>19207</v>
      </c>
      <c r="B9305" s="2" t="s">
        <v>19209</v>
      </c>
      <c r="C9305" s="2" t="s">
        <v>29</v>
      </c>
      <c r="D9305" s="2" t="s">
        <v>19208</v>
      </c>
      <c r="E9305" s="2" t="str">
        <f>"9789004545649"</f>
        <v>9789004545649</v>
      </c>
      <c r="F9305" s="2" t="str">
        <f>"9789004546264"</f>
        <v>9789004546264</v>
      </c>
    </row>
    <row r="9306" spans="1:6" s="3" customFormat="1" ht="29.1" customHeight="1" x14ac:dyDescent="0.25">
      <c r="A9306" s="2" t="s">
        <v>19210</v>
      </c>
      <c r="B9306" s="2" t="s">
        <v>19211</v>
      </c>
      <c r="C9306" s="2" t="s">
        <v>29</v>
      </c>
      <c r="D9306" s="2" t="s">
        <v>183</v>
      </c>
      <c r="E9306" s="2" t="str">
        <f>"9789004546653"</f>
        <v>9789004546653</v>
      </c>
      <c r="F9306" s="2" t="str">
        <f>"9789004395572"</f>
        <v>9789004395572</v>
      </c>
    </row>
    <row r="9307" spans="1:6" s="3" customFormat="1" ht="29.1" customHeight="1" x14ac:dyDescent="0.25">
      <c r="A9307" s="2" t="s">
        <v>19212</v>
      </c>
      <c r="B9307" s="2" t="s">
        <v>19213</v>
      </c>
      <c r="C9307" s="2" t="s">
        <v>29</v>
      </c>
      <c r="D9307" s="2" t="s">
        <v>10177</v>
      </c>
      <c r="E9307" s="2" t="str">
        <f>"9789004505186"</f>
        <v>9789004505186</v>
      </c>
      <c r="F9307" s="2" t="str">
        <f>"9789004523838"</f>
        <v>9789004523838</v>
      </c>
    </row>
    <row r="9308" spans="1:6" s="3" customFormat="1" ht="29.1" customHeight="1" x14ac:dyDescent="0.25">
      <c r="A9308" s="2" t="s">
        <v>19214</v>
      </c>
      <c r="B9308" s="2" t="s">
        <v>10310</v>
      </c>
      <c r="C9308" s="2" t="s">
        <v>29</v>
      </c>
      <c r="D9308" s="2" t="s">
        <v>192</v>
      </c>
      <c r="E9308" s="2" t="str">
        <f>"9789004530966"</f>
        <v>9789004530966</v>
      </c>
      <c r="F9308" s="2" t="str">
        <f>"9789004530973"</f>
        <v>9789004530973</v>
      </c>
    </row>
    <row r="9309" spans="1:6" s="3" customFormat="1" ht="29.1" customHeight="1" x14ac:dyDescent="0.25">
      <c r="A9309" s="2" t="s">
        <v>19215</v>
      </c>
      <c r="B9309" s="2" t="s">
        <v>19216</v>
      </c>
      <c r="C9309" s="2" t="s">
        <v>29</v>
      </c>
      <c r="D9309" s="2" t="s">
        <v>192</v>
      </c>
      <c r="E9309" s="2" t="str">
        <f>"9789004517516"</f>
        <v>9789004517516</v>
      </c>
      <c r="F9309" s="2" t="str">
        <f>"9789004517523"</f>
        <v>9789004517523</v>
      </c>
    </row>
    <row r="9310" spans="1:6" s="3" customFormat="1" ht="29.1" customHeight="1" x14ac:dyDescent="0.25">
      <c r="A9310" s="2" t="s">
        <v>19217</v>
      </c>
      <c r="B9310" s="2" t="s">
        <v>19218</v>
      </c>
      <c r="C9310" s="2" t="s">
        <v>29</v>
      </c>
      <c r="D9310" s="2" t="s">
        <v>192</v>
      </c>
      <c r="E9310" s="2" t="str">
        <f>"9789004518612"</f>
        <v>9789004518612</v>
      </c>
      <c r="F9310" s="2" t="str">
        <f>"9789004518629"</f>
        <v>9789004518629</v>
      </c>
    </row>
    <row r="9311" spans="1:6" s="3" customFormat="1" ht="29.1" customHeight="1" x14ac:dyDescent="0.25">
      <c r="A9311" s="2" t="s">
        <v>19219</v>
      </c>
      <c r="B9311" s="2" t="s">
        <v>19220</v>
      </c>
      <c r="C9311" s="2" t="s">
        <v>29</v>
      </c>
      <c r="D9311" s="2" t="s">
        <v>192</v>
      </c>
      <c r="E9311" s="2" t="str">
        <f>"9789004464889"</f>
        <v>9789004464889</v>
      </c>
      <c r="F9311" s="2" t="str">
        <f>"9789004464896"</f>
        <v>9789004464896</v>
      </c>
    </row>
    <row r="9312" spans="1:6" s="3" customFormat="1" ht="29.1" customHeight="1" x14ac:dyDescent="0.25">
      <c r="A9312" s="2" t="s">
        <v>19221</v>
      </c>
      <c r="B9312" s="2" t="s">
        <v>19222</v>
      </c>
      <c r="C9312" s="2" t="s">
        <v>29</v>
      </c>
      <c r="D9312" s="2" t="s">
        <v>509</v>
      </c>
      <c r="E9312" s="2" t="str">
        <f>"9789004467989"</f>
        <v>9789004467989</v>
      </c>
      <c r="F9312" s="2" t="str">
        <f>"9789004467996"</f>
        <v>9789004467996</v>
      </c>
    </row>
    <row r="9313" spans="1:6" s="3" customFormat="1" ht="29.1" customHeight="1" x14ac:dyDescent="0.25">
      <c r="A9313" s="2" t="s">
        <v>19223</v>
      </c>
      <c r="B9313" s="2" t="s">
        <v>19224</v>
      </c>
      <c r="C9313" s="2" t="s">
        <v>29</v>
      </c>
      <c r="D9313" s="2" t="s">
        <v>2773</v>
      </c>
      <c r="E9313" s="2" t="str">
        <f>"9789004507937"</f>
        <v>9789004507937</v>
      </c>
      <c r="F9313" s="2" t="str">
        <f>"9789004508446"</f>
        <v>9789004508446</v>
      </c>
    </row>
    <row r="9314" spans="1:6" s="3" customFormat="1" ht="29.1" customHeight="1" x14ac:dyDescent="0.25">
      <c r="A9314" s="2" t="s">
        <v>19225</v>
      </c>
      <c r="B9314" s="2" t="s">
        <v>19226</v>
      </c>
      <c r="C9314" s="2" t="s">
        <v>29</v>
      </c>
      <c r="D9314" s="2" t="s">
        <v>183</v>
      </c>
      <c r="E9314" s="2" t="str">
        <f>"9789004470811"</f>
        <v>9789004470811</v>
      </c>
      <c r="F9314" s="2" t="str">
        <f>"9789004471641"</f>
        <v>9789004471641</v>
      </c>
    </row>
    <row r="9315" spans="1:6" s="3" customFormat="1" ht="29.1" customHeight="1" x14ac:dyDescent="0.25">
      <c r="A9315" s="2" t="s">
        <v>19227</v>
      </c>
      <c r="B9315" s="2" t="s">
        <v>19228</v>
      </c>
      <c r="C9315" s="2" t="s">
        <v>29</v>
      </c>
      <c r="D9315" s="2" t="s">
        <v>606</v>
      </c>
      <c r="E9315" s="2" t="str">
        <f>"9789004505575"</f>
        <v>9789004505575</v>
      </c>
      <c r="F9315" s="2" t="str">
        <f>"9789004505568"</f>
        <v>9789004505568</v>
      </c>
    </row>
    <row r="9316" spans="1:6" s="3" customFormat="1" ht="29.1" customHeight="1" x14ac:dyDescent="0.25">
      <c r="A9316" s="2" t="s">
        <v>19229</v>
      </c>
      <c r="B9316" s="2" t="s">
        <v>19230</v>
      </c>
      <c r="C9316" s="2" t="s">
        <v>29</v>
      </c>
      <c r="D9316" s="2" t="s">
        <v>192</v>
      </c>
      <c r="E9316" s="2" t="str">
        <f>"9789004511156"</f>
        <v>9789004511156</v>
      </c>
      <c r="F9316" s="2" t="str">
        <f>"9789004511163"</f>
        <v>9789004511163</v>
      </c>
    </row>
    <row r="9317" spans="1:6" s="3" customFormat="1" ht="29.1" customHeight="1" x14ac:dyDescent="0.25">
      <c r="A9317" s="2" t="s">
        <v>19231</v>
      </c>
      <c r="B9317" s="2" t="s">
        <v>19232</v>
      </c>
      <c r="C9317" s="2" t="s">
        <v>29</v>
      </c>
      <c r="D9317" s="2" t="s">
        <v>509</v>
      </c>
      <c r="E9317" s="2" t="str">
        <f>"9789004542716"</f>
        <v>9789004542716</v>
      </c>
      <c r="F9317" s="2" t="str">
        <f>"9789004542723"</f>
        <v>9789004542723</v>
      </c>
    </row>
    <row r="9318" spans="1:6" s="3" customFormat="1" ht="29.1" customHeight="1" x14ac:dyDescent="0.25">
      <c r="A9318" s="2" t="s">
        <v>19233</v>
      </c>
      <c r="B9318" s="2" t="s">
        <v>19234</v>
      </c>
      <c r="C9318" s="2" t="s">
        <v>29</v>
      </c>
      <c r="D9318" s="2" t="s">
        <v>183</v>
      </c>
      <c r="E9318" s="2" t="str">
        <f>"9789004523937"</f>
        <v>9789004523937</v>
      </c>
      <c r="F9318" s="2" t="str">
        <f>"9789004527164"</f>
        <v>9789004527164</v>
      </c>
    </row>
    <row r="9319" spans="1:6" s="3" customFormat="1" ht="29.1" customHeight="1" x14ac:dyDescent="0.25">
      <c r="A9319" s="2" t="s">
        <v>19235</v>
      </c>
      <c r="B9319" s="2" t="s">
        <v>19236</v>
      </c>
      <c r="C9319" s="2" t="s">
        <v>29</v>
      </c>
      <c r="D9319" s="2" t="s">
        <v>10177</v>
      </c>
      <c r="E9319" s="2" t="str">
        <f>"9789004509993"</f>
        <v>9789004509993</v>
      </c>
      <c r="F9319" s="2" t="str">
        <f>"9789004545625"</f>
        <v>9789004545625</v>
      </c>
    </row>
    <row r="9320" spans="1:6" s="3" customFormat="1" ht="29.1" customHeight="1" x14ac:dyDescent="0.25">
      <c r="A9320" s="2" t="s">
        <v>19237</v>
      </c>
      <c r="B9320" s="2" t="s">
        <v>19238</v>
      </c>
      <c r="C9320" s="2" t="s">
        <v>29</v>
      </c>
      <c r="D9320" s="2" t="s">
        <v>63</v>
      </c>
      <c r="E9320" s="2" t="str">
        <f>"9789004431072"</f>
        <v>9789004431072</v>
      </c>
      <c r="F9320" s="2" t="str">
        <f>"9789004539877"</f>
        <v>9789004539877</v>
      </c>
    </row>
    <row r="9321" spans="1:6" s="3" customFormat="1" ht="29.1" customHeight="1" x14ac:dyDescent="0.25">
      <c r="A9321" s="2" t="s">
        <v>19239</v>
      </c>
      <c r="B9321" s="2" t="s">
        <v>19240</v>
      </c>
      <c r="C9321" s="2" t="s">
        <v>29</v>
      </c>
      <c r="D9321" s="2" t="s">
        <v>192</v>
      </c>
      <c r="E9321" s="2" t="str">
        <f>"9789004508569"</f>
        <v>9789004508569</v>
      </c>
      <c r="F9321" s="2" t="str">
        <f>"9789004508576"</f>
        <v>9789004508576</v>
      </c>
    </row>
    <row r="9322" spans="1:6" s="3" customFormat="1" ht="29.1" customHeight="1" x14ac:dyDescent="0.25">
      <c r="A9322" s="2" t="s">
        <v>19241</v>
      </c>
      <c r="B9322" s="2" t="s">
        <v>19242</v>
      </c>
      <c r="C9322" s="2" t="s">
        <v>29</v>
      </c>
      <c r="D9322" s="2" t="s">
        <v>192</v>
      </c>
      <c r="E9322" s="2" t="str">
        <f>"9789004542808"</f>
        <v>9789004542808</v>
      </c>
      <c r="F9322" s="2" t="str">
        <f>"9789004542815"</f>
        <v>9789004542815</v>
      </c>
    </row>
    <row r="9323" spans="1:6" s="3" customFormat="1" ht="29.1" customHeight="1" x14ac:dyDescent="0.25">
      <c r="A9323" s="2" t="s">
        <v>19243</v>
      </c>
      <c r="B9323" s="2" t="s">
        <v>19244</v>
      </c>
      <c r="C9323" s="2" t="s">
        <v>29</v>
      </c>
      <c r="D9323" s="2" t="s">
        <v>4160</v>
      </c>
      <c r="E9323" s="2" t="str">
        <f>"9789004510715"</f>
        <v>9789004510715</v>
      </c>
      <c r="F9323" s="2" t="str">
        <f>"9789004510722"</f>
        <v>9789004510722</v>
      </c>
    </row>
    <row r="9324" spans="1:6" s="3" customFormat="1" ht="29.1" customHeight="1" x14ac:dyDescent="0.25">
      <c r="A9324" s="2" t="s">
        <v>19245</v>
      </c>
      <c r="B9324" s="2" t="s">
        <v>19246</v>
      </c>
      <c r="C9324" s="2" t="s">
        <v>29</v>
      </c>
      <c r="D9324" s="2" t="s">
        <v>14574</v>
      </c>
      <c r="E9324" s="2" t="str">
        <f>"9789004529748"</f>
        <v>9789004529748</v>
      </c>
      <c r="F9324" s="2" t="str">
        <f>"9789004537798"</f>
        <v>9789004537798</v>
      </c>
    </row>
    <row r="9325" spans="1:6" s="3" customFormat="1" ht="29.1" customHeight="1" x14ac:dyDescent="0.25">
      <c r="A9325" s="2" t="s">
        <v>19247</v>
      </c>
      <c r="B9325" s="2" t="s">
        <v>19248</v>
      </c>
      <c r="C9325" s="2" t="s">
        <v>29</v>
      </c>
      <c r="D9325" s="2" t="s">
        <v>1432</v>
      </c>
      <c r="E9325" s="2" t="str">
        <f>"9789004310278"</f>
        <v>9789004310278</v>
      </c>
      <c r="F9325" s="2" t="str">
        <f>"9789004540996"</f>
        <v>9789004540996</v>
      </c>
    </row>
    <row r="9326" spans="1:6" s="3" customFormat="1" ht="29.1" customHeight="1" x14ac:dyDescent="0.25">
      <c r="A9326" s="2" t="s">
        <v>19249</v>
      </c>
      <c r="B9326" s="2" t="s">
        <v>19250</v>
      </c>
      <c r="C9326" s="2" t="s">
        <v>29</v>
      </c>
      <c r="D9326" s="2" t="s">
        <v>66</v>
      </c>
      <c r="E9326" s="2" t="str">
        <f>"9789004538009"</f>
        <v>9789004538009</v>
      </c>
      <c r="F9326" s="2" t="str">
        <f>"9789004538016"</f>
        <v>9789004538016</v>
      </c>
    </row>
    <row r="9327" spans="1:6" s="3" customFormat="1" ht="29.1" customHeight="1" x14ac:dyDescent="0.25">
      <c r="A9327" s="2" t="s">
        <v>19251</v>
      </c>
      <c r="B9327" s="2" t="s">
        <v>19252</v>
      </c>
      <c r="C9327" s="2" t="s">
        <v>29</v>
      </c>
      <c r="D9327" s="2" t="s">
        <v>1432</v>
      </c>
      <c r="E9327" s="2" t="str">
        <f>"9789004536272"</f>
        <v>9789004536272</v>
      </c>
      <c r="F9327" s="2" t="str">
        <f>"9789004540842"</f>
        <v>9789004540842</v>
      </c>
    </row>
    <row r="9328" spans="1:6" s="3" customFormat="1" ht="29.1" customHeight="1" x14ac:dyDescent="0.25">
      <c r="A9328" s="2" t="s">
        <v>19253</v>
      </c>
      <c r="B9328" s="2" t="s">
        <v>19254</v>
      </c>
      <c r="C9328" s="2" t="s">
        <v>29</v>
      </c>
      <c r="D9328" s="2" t="s">
        <v>3564</v>
      </c>
      <c r="E9328" s="2" t="str">
        <f>"9789004528970"</f>
        <v>9789004528970</v>
      </c>
      <c r="F9328" s="2" t="str">
        <f>"9789004537439"</f>
        <v>9789004537439</v>
      </c>
    </row>
    <row r="9329" spans="1:6" s="3" customFormat="1" ht="29.1" customHeight="1" x14ac:dyDescent="0.25">
      <c r="A9329" s="2" t="s">
        <v>19255</v>
      </c>
      <c r="B9329" s="2" t="s">
        <v>19256</v>
      </c>
      <c r="C9329" s="2" t="s">
        <v>29</v>
      </c>
      <c r="D9329" s="2" t="s">
        <v>459</v>
      </c>
      <c r="E9329" s="2" t="str">
        <f>"9789004512627"</f>
        <v>9789004512627</v>
      </c>
      <c r="F9329" s="2" t="str">
        <f>"9789004512634"</f>
        <v>9789004512634</v>
      </c>
    </row>
    <row r="9330" spans="1:6" s="3" customFormat="1" ht="29.1" customHeight="1" x14ac:dyDescent="0.25">
      <c r="A9330" s="2" t="s">
        <v>19257</v>
      </c>
      <c r="B9330" s="2" t="s">
        <v>19258</v>
      </c>
      <c r="C9330" s="2" t="s">
        <v>29</v>
      </c>
      <c r="D9330" s="2" t="s">
        <v>1162</v>
      </c>
      <c r="E9330" s="2" t="str">
        <f>"9789004522916"</f>
        <v>9789004522916</v>
      </c>
      <c r="F9330" s="2" t="str">
        <f>"9789004522923"</f>
        <v>9789004522923</v>
      </c>
    </row>
    <row r="9331" spans="1:6" s="3" customFormat="1" ht="29.1" customHeight="1" x14ac:dyDescent="0.25">
      <c r="A9331" s="2" t="s">
        <v>19259</v>
      </c>
      <c r="B9331" s="2" t="s">
        <v>19260</v>
      </c>
      <c r="C9331" s="2" t="s">
        <v>29</v>
      </c>
      <c r="D9331" s="2" t="s">
        <v>501</v>
      </c>
      <c r="E9331" s="2" t="str">
        <f>"9789004503458"</f>
        <v>9789004503458</v>
      </c>
      <c r="F9331" s="2" t="str">
        <f>"9789004516489"</f>
        <v>9789004516489</v>
      </c>
    </row>
    <row r="9332" spans="1:6" s="3" customFormat="1" ht="29.1" customHeight="1" x14ac:dyDescent="0.25">
      <c r="A9332" s="2" t="s">
        <v>19261</v>
      </c>
      <c r="B9332" s="2" t="s">
        <v>19262</v>
      </c>
      <c r="C9332" s="2" t="s">
        <v>29</v>
      </c>
      <c r="D9332" s="2" t="s">
        <v>7669</v>
      </c>
      <c r="E9332" s="2" t="str">
        <f>"9789004462809"</f>
        <v>9789004462809</v>
      </c>
      <c r="F9332" s="2" t="str">
        <f>"9789004517370"</f>
        <v>9789004517370</v>
      </c>
    </row>
    <row r="9333" spans="1:6" s="3" customFormat="1" ht="29.1" customHeight="1" x14ac:dyDescent="0.25">
      <c r="A9333" s="2" t="s">
        <v>19263</v>
      </c>
      <c r="B9333" s="2" t="s">
        <v>122</v>
      </c>
      <c r="C9333" s="2" t="s">
        <v>29</v>
      </c>
      <c r="D9333" s="2" t="s">
        <v>121</v>
      </c>
      <c r="E9333" s="2" t="str">
        <f>"9789004532809"</f>
        <v>9789004532809</v>
      </c>
      <c r="F9333" s="2" t="str">
        <f>"9789004537651"</f>
        <v>9789004537651</v>
      </c>
    </row>
    <row r="9334" spans="1:6" s="3" customFormat="1" ht="29.1" customHeight="1" x14ac:dyDescent="0.25">
      <c r="A9334" s="2" t="s">
        <v>19264</v>
      </c>
      <c r="B9334" s="2" t="s">
        <v>19265</v>
      </c>
      <c r="C9334" s="2" t="s">
        <v>29</v>
      </c>
      <c r="D9334" s="2" t="s">
        <v>118</v>
      </c>
      <c r="E9334" s="2" t="str">
        <f>"9789004537132"</f>
        <v>9789004537132</v>
      </c>
      <c r="F9334" s="2" t="str">
        <f>"9789004537156"</f>
        <v>9789004537156</v>
      </c>
    </row>
    <row r="9335" spans="1:6" s="3" customFormat="1" ht="29.1" customHeight="1" x14ac:dyDescent="0.25">
      <c r="A9335" s="2" t="s">
        <v>19266</v>
      </c>
      <c r="B9335" s="2" t="s">
        <v>19267</v>
      </c>
      <c r="C9335" s="2" t="s">
        <v>29</v>
      </c>
      <c r="D9335" s="2" t="s">
        <v>1432</v>
      </c>
      <c r="E9335" s="2" t="str">
        <f>"9789004513167"</f>
        <v>9789004513167</v>
      </c>
      <c r="F9335" s="2" t="str">
        <f>"9789004513174"</f>
        <v>9789004513174</v>
      </c>
    </row>
    <row r="9336" spans="1:6" s="3" customFormat="1" ht="29.1" customHeight="1" x14ac:dyDescent="0.25">
      <c r="A9336" s="2" t="s">
        <v>19268</v>
      </c>
      <c r="B9336" s="2" t="s">
        <v>19269</v>
      </c>
      <c r="C9336" s="2" t="s">
        <v>29</v>
      </c>
      <c r="D9336" s="2" t="s">
        <v>192</v>
      </c>
      <c r="E9336" s="2" t="str">
        <f>"9789004526082"</f>
        <v>9789004526082</v>
      </c>
      <c r="F9336" s="2" t="str">
        <f>"9789004526136"</f>
        <v>9789004526136</v>
      </c>
    </row>
    <row r="9337" spans="1:6" s="3" customFormat="1" ht="29.1" customHeight="1" x14ac:dyDescent="0.25">
      <c r="A9337" s="2" t="s">
        <v>19270</v>
      </c>
      <c r="B9337" s="2" t="s">
        <v>19271</v>
      </c>
      <c r="C9337" s="2" t="s">
        <v>29</v>
      </c>
      <c r="D9337" s="2" t="s">
        <v>210</v>
      </c>
      <c r="E9337" s="2" t="str">
        <f>"9789004504547"</f>
        <v>9789004504547</v>
      </c>
      <c r="F9337" s="2" t="str">
        <f>"9789004529175"</f>
        <v>9789004529175</v>
      </c>
    </row>
    <row r="9338" spans="1:6" s="3" customFormat="1" ht="29.1" customHeight="1" x14ac:dyDescent="0.25">
      <c r="A9338" s="2" t="s">
        <v>19272</v>
      </c>
      <c r="B9338" s="2" t="s">
        <v>19273</v>
      </c>
      <c r="C9338" s="2" t="s">
        <v>29</v>
      </c>
      <c r="D9338" s="2" t="s">
        <v>192</v>
      </c>
      <c r="E9338" s="2" t="str">
        <f>"9789004512993"</f>
        <v>9789004512993</v>
      </c>
      <c r="F9338" s="2" t="str">
        <f>"9789004513006"</f>
        <v>9789004513006</v>
      </c>
    </row>
    <row r="9339" spans="1:6" s="3" customFormat="1" ht="29.1" customHeight="1" x14ac:dyDescent="0.25">
      <c r="A9339" s="2" t="s">
        <v>19274</v>
      </c>
      <c r="B9339" s="2" t="s">
        <v>19275</v>
      </c>
      <c r="C9339" s="2" t="s">
        <v>29</v>
      </c>
      <c r="D9339" s="2" t="s">
        <v>1944</v>
      </c>
      <c r="E9339" s="2" t="str">
        <f>"9789004534926"</f>
        <v>9789004534926</v>
      </c>
      <c r="F9339" s="2" t="str">
        <f>"9789004534933"</f>
        <v>9789004534933</v>
      </c>
    </row>
    <row r="9340" spans="1:6" s="3" customFormat="1" ht="29.1" customHeight="1" x14ac:dyDescent="0.25">
      <c r="A9340" s="2" t="s">
        <v>19276</v>
      </c>
      <c r="B9340" s="2" t="s">
        <v>19277</v>
      </c>
      <c r="C9340" s="2" t="s">
        <v>29</v>
      </c>
      <c r="D9340" s="2" t="s">
        <v>121</v>
      </c>
      <c r="E9340" s="2" t="str">
        <f>"9789004533486"</f>
        <v>9789004533486</v>
      </c>
      <c r="F9340" s="2" t="str">
        <f>"9789004535282"</f>
        <v>9789004535282</v>
      </c>
    </row>
    <row r="9341" spans="1:6" s="3" customFormat="1" ht="29.1" customHeight="1" x14ac:dyDescent="0.25">
      <c r="A9341" s="2" t="s">
        <v>19278</v>
      </c>
      <c r="B9341" s="2" t="s">
        <v>19279</v>
      </c>
      <c r="C9341" s="2" t="s">
        <v>29</v>
      </c>
      <c r="D9341" s="2" t="s">
        <v>33</v>
      </c>
      <c r="E9341" s="2" t="str">
        <f>"9789004518506"</f>
        <v>9789004518506</v>
      </c>
      <c r="F9341" s="2" t="str">
        <f>"9789004527454"</f>
        <v>9789004527454</v>
      </c>
    </row>
    <row r="9342" spans="1:6" s="3" customFormat="1" ht="29.1" customHeight="1" x14ac:dyDescent="0.25">
      <c r="A9342" s="2" t="s">
        <v>19280</v>
      </c>
      <c r="B9342" s="2" t="s">
        <v>19281</v>
      </c>
      <c r="C9342" s="2" t="s">
        <v>29</v>
      </c>
      <c r="D9342" s="2" t="s">
        <v>509</v>
      </c>
      <c r="E9342" s="2" t="str">
        <f>"9789004514713"</f>
        <v>9789004514713</v>
      </c>
      <c r="F9342" s="2" t="str">
        <f>"9789004526419"</f>
        <v>9789004526419</v>
      </c>
    </row>
    <row r="9343" spans="1:6" s="3" customFormat="1" ht="29.1" customHeight="1" x14ac:dyDescent="0.25">
      <c r="A9343" s="2" t="s">
        <v>19282</v>
      </c>
      <c r="B9343" s="2" t="s">
        <v>10032</v>
      </c>
      <c r="C9343" s="2" t="s">
        <v>29</v>
      </c>
      <c r="D9343" s="2" t="s">
        <v>6548</v>
      </c>
      <c r="E9343" s="2" t="str">
        <f>"9789004525924"</f>
        <v>9789004525924</v>
      </c>
      <c r="F9343" s="2" t="str">
        <f>"9789004525931"</f>
        <v>9789004525931</v>
      </c>
    </row>
    <row r="9344" spans="1:6" s="3" customFormat="1" ht="29.1" customHeight="1" x14ac:dyDescent="0.25">
      <c r="A9344" s="2" t="s">
        <v>19283</v>
      </c>
      <c r="B9344" s="2" t="s">
        <v>19284</v>
      </c>
      <c r="C9344" s="2" t="s">
        <v>29</v>
      </c>
      <c r="D9344" s="2" t="s">
        <v>4117</v>
      </c>
      <c r="E9344" s="2" t="str">
        <f>"9789004528932"</f>
        <v>9789004528932</v>
      </c>
      <c r="F9344" s="2" t="str">
        <f>"9789004529458"</f>
        <v>9789004529458</v>
      </c>
    </row>
    <row r="9345" spans="1:6" s="3" customFormat="1" ht="29.1" customHeight="1" x14ac:dyDescent="0.25">
      <c r="A9345" s="2" t="s">
        <v>19285</v>
      </c>
      <c r="B9345" s="2" t="s">
        <v>19286</v>
      </c>
      <c r="C9345" s="2" t="s">
        <v>29</v>
      </c>
      <c r="D9345" s="2" t="s">
        <v>3270</v>
      </c>
      <c r="E9345" s="2" t="str">
        <f>"9789004527546"</f>
        <v>9789004527546</v>
      </c>
      <c r="F9345" s="2" t="str">
        <f>"9789004527553"</f>
        <v>9789004527553</v>
      </c>
    </row>
    <row r="9346" spans="1:6" s="3" customFormat="1" ht="29.1" customHeight="1" x14ac:dyDescent="0.25">
      <c r="A9346" s="2" t="s">
        <v>19287</v>
      </c>
      <c r="B9346" s="2" t="s">
        <v>19288</v>
      </c>
      <c r="C9346" s="2" t="s">
        <v>29</v>
      </c>
      <c r="D9346" s="2" t="s">
        <v>509</v>
      </c>
      <c r="E9346" s="2" t="str">
        <f>"9789004449756"</f>
        <v>9789004449756</v>
      </c>
      <c r="F9346" s="2" t="str">
        <f>"9789004529137"</f>
        <v>9789004529137</v>
      </c>
    </row>
    <row r="9347" spans="1:6" s="3" customFormat="1" ht="29.1" customHeight="1" x14ac:dyDescent="0.25">
      <c r="A9347" s="2" t="s">
        <v>19289</v>
      </c>
      <c r="B9347" s="2" t="s">
        <v>19290</v>
      </c>
      <c r="C9347" s="2" t="s">
        <v>29</v>
      </c>
      <c r="D9347" s="2" t="s">
        <v>5716</v>
      </c>
      <c r="E9347" s="2" t="str">
        <f>"9789004524941"</f>
        <v>9789004524941</v>
      </c>
      <c r="F9347" s="2" t="str">
        <f>"9789004529427"</f>
        <v>9789004529427</v>
      </c>
    </row>
    <row r="9348" spans="1:6" s="3" customFormat="1" ht="29.1" customHeight="1" x14ac:dyDescent="0.25">
      <c r="A9348" s="2" t="s">
        <v>19291</v>
      </c>
      <c r="B9348" s="2" t="s">
        <v>19292</v>
      </c>
      <c r="C9348" s="2" t="s">
        <v>29</v>
      </c>
      <c r="D9348" s="2" t="s">
        <v>509</v>
      </c>
      <c r="E9348" s="2" t="str">
        <f>"9789004508385"</f>
        <v>9789004508385</v>
      </c>
      <c r="F9348" s="2" t="str">
        <f>"9789004523074"</f>
        <v>9789004523074</v>
      </c>
    </row>
    <row r="9349" spans="1:6" s="3" customFormat="1" ht="29.1" customHeight="1" x14ac:dyDescent="0.25">
      <c r="A9349" s="2" t="s">
        <v>19293</v>
      </c>
      <c r="B9349" s="2" t="s">
        <v>19294</v>
      </c>
      <c r="C9349" s="2" t="s">
        <v>29</v>
      </c>
      <c r="D9349" s="2" t="s">
        <v>33</v>
      </c>
      <c r="E9349" s="2" t="str">
        <f>"9789004527218"</f>
        <v>9789004527218</v>
      </c>
      <c r="F9349" s="2" t="str">
        <f>"9789004527225"</f>
        <v>9789004527225</v>
      </c>
    </row>
    <row r="9350" spans="1:6" s="3" customFormat="1" ht="29.1" customHeight="1" x14ac:dyDescent="0.25">
      <c r="A9350" s="2" t="s">
        <v>19295</v>
      </c>
      <c r="B9350" s="2" t="s">
        <v>14610</v>
      </c>
      <c r="C9350" s="2" t="s">
        <v>29</v>
      </c>
      <c r="D9350" s="2" t="s">
        <v>689</v>
      </c>
      <c r="E9350" s="2" t="str">
        <f>"9789004459403"</f>
        <v>9789004459403</v>
      </c>
      <c r="F9350" s="2" t="str">
        <f>"9789004459410"</f>
        <v>9789004459410</v>
      </c>
    </row>
    <row r="9351" spans="1:6" s="3" customFormat="1" ht="29.1" customHeight="1" x14ac:dyDescent="0.25">
      <c r="A9351" s="2" t="s">
        <v>19296</v>
      </c>
      <c r="B9351" s="2" t="s">
        <v>19297</v>
      </c>
      <c r="C9351" s="2" t="s">
        <v>29</v>
      </c>
      <c r="D9351" s="2" t="s">
        <v>118</v>
      </c>
      <c r="E9351" s="2" t="str">
        <f>"9789004528819"</f>
        <v>9789004528819</v>
      </c>
      <c r="F9351" s="2" t="str">
        <f>"9789004528871"</f>
        <v>9789004528871</v>
      </c>
    </row>
    <row r="9352" spans="1:6" s="3" customFormat="1" ht="29.1" customHeight="1" x14ac:dyDescent="0.25">
      <c r="A9352" s="2" t="s">
        <v>19298</v>
      </c>
      <c r="B9352" s="2" t="s">
        <v>19299</v>
      </c>
      <c r="C9352" s="2" t="s">
        <v>29</v>
      </c>
      <c r="D9352" s="2" t="s">
        <v>2208</v>
      </c>
      <c r="E9352" s="2" t="str">
        <f>"9789004523951"</f>
        <v>9789004523951</v>
      </c>
      <c r="F9352" s="2" t="str">
        <f>"9789004523968"</f>
        <v>9789004523968</v>
      </c>
    </row>
    <row r="9353" spans="1:6" s="3" customFormat="1" ht="29.1" customHeight="1" x14ac:dyDescent="0.25">
      <c r="A9353" s="2" t="s">
        <v>19300</v>
      </c>
      <c r="B9353" s="2" t="s">
        <v>19301</v>
      </c>
      <c r="C9353" s="2" t="s">
        <v>29</v>
      </c>
      <c r="D9353" s="2" t="s">
        <v>192</v>
      </c>
      <c r="E9353" s="2" t="str">
        <f>"9789004460003"</f>
        <v>9789004460003</v>
      </c>
      <c r="F9353" s="2" t="str">
        <f>"9789004460010"</f>
        <v>9789004460010</v>
      </c>
    </row>
    <row r="9354" spans="1:6" s="3" customFormat="1" ht="29.1" customHeight="1" x14ac:dyDescent="0.25">
      <c r="A9354" s="2" t="s">
        <v>19302</v>
      </c>
      <c r="B9354" s="2" t="s">
        <v>19303</v>
      </c>
      <c r="C9354" s="2" t="s">
        <v>29</v>
      </c>
      <c r="D9354" s="2" t="s">
        <v>1541</v>
      </c>
      <c r="E9354" s="2" t="str">
        <f>"9789004523272"</f>
        <v>9789004523272</v>
      </c>
      <c r="F9354" s="2" t="str">
        <f>"9789004523289"</f>
        <v>9789004523289</v>
      </c>
    </row>
    <row r="9355" spans="1:6" s="3" customFormat="1" ht="29.1" customHeight="1" x14ac:dyDescent="0.25">
      <c r="A9355" s="2" t="s">
        <v>19304</v>
      </c>
      <c r="B9355" s="2" t="s">
        <v>19305</v>
      </c>
      <c r="C9355" s="2" t="s">
        <v>29</v>
      </c>
      <c r="D9355" s="2" t="s">
        <v>4210</v>
      </c>
      <c r="E9355" s="2" t="str">
        <f>"9789004522640"</f>
        <v>9789004522640</v>
      </c>
      <c r="F9355" s="2" t="str">
        <f>"9789004522657"</f>
        <v>9789004522657</v>
      </c>
    </row>
    <row r="9356" spans="1:6" s="3" customFormat="1" ht="29.1" customHeight="1" x14ac:dyDescent="0.25">
      <c r="A9356" s="2" t="s">
        <v>19306</v>
      </c>
      <c r="B9356" s="2" t="s">
        <v>19307</v>
      </c>
      <c r="C9356" s="2" t="s">
        <v>29</v>
      </c>
      <c r="D9356" s="2" t="s">
        <v>1432</v>
      </c>
      <c r="E9356" s="2" t="str">
        <f>"9789004449626"</f>
        <v>9789004449626</v>
      </c>
      <c r="F9356" s="2" t="str">
        <f>"9789004449633"</f>
        <v>9789004449633</v>
      </c>
    </row>
    <row r="9357" spans="1:6" s="3" customFormat="1" ht="29.1" customHeight="1" x14ac:dyDescent="0.25">
      <c r="A9357" s="2" t="s">
        <v>19308</v>
      </c>
      <c r="B9357" s="2" t="s">
        <v>19309</v>
      </c>
      <c r="C9357" s="2" t="s">
        <v>29</v>
      </c>
      <c r="D9357" s="2" t="s">
        <v>14574</v>
      </c>
      <c r="E9357" s="2" t="str">
        <f>"9789004513785"</f>
        <v>9789004513785</v>
      </c>
      <c r="F9357" s="2" t="str">
        <f>"9789004513815"</f>
        <v>9789004513815</v>
      </c>
    </row>
    <row r="9358" spans="1:6" s="3" customFormat="1" ht="29.1" customHeight="1" x14ac:dyDescent="0.25">
      <c r="A9358" s="2" t="s">
        <v>19310</v>
      </c>
      <c r="B9358" s="2" t="s">
        <v>19311</v>
      </c>
      <c r="C9358" s="2" t="s">
        <v>29</v>
      </c>
      <c r="D9358" s="2" t="s">
        <v>1411</v>
      </c>
      <c r="E9358" s="2" t="str">
        <f>"9789004520615"</f>
        <v>9789004520615</v>
      </c>
      <c r="F9358" s="2" t="str">
        <f>"9789004523555"</f>
        <v>9789004523555</v>
      </c>
    </row>
    <row r="9359" spans="1:6" s="3" customFormat="1" ht="29.1" customHeight="1" x14ac:dyDescent="0.25">
      <c r="A9359" s="2" t="s">
        <v>19312</v>
      </c>
      <c r="B9359" s="2" t="s">
        <v>19313</v>
      </c>
      <c r="C9359" s="2" t="s">
        <v>29</v>
      </c>
      <c r="D9359" s="2" t="s">
        <v>606</v>
      </c>
      <c r="E9359" s="2" t="str">
        <f>"9789004501287"</f>
        <v>9789004501287</v>
      </c>
      <c r="F9359" s="2" t="str">
        <f>"9789004501294"</f>
        <v>9789004501294</v>
      </c>
    </row>
    <row r="9360" spans="1:6" s="3" customFormat="1" ht="29.1" customHeight="1" x14ac:dyDescent="0.25">
      <c r="A9360" s="2" t="s">
        <v>19314</v>
      </c>
      <c r="B9360" s="2" t="s">
        <v>19315</v>
      </c>
      <c r="C9360" s="2" t="s">
        <v>29</v>
      </c>
      <c r="D9360" s="2" t="s">
        <v>33</v>
      </c>
      <c r="E9360" s="2" t="str">
        <f>"9789004506398"</f>
        <v>9789004506398</v>
      </c>
      <c r="F9360" s="2" t="str">
        <f>"9789004506435"</f>
        <v>9789004506435</v>
      </c>
    </row>
    <row r="9361" spans="1:6" s="3" customFormat="1" ht="29.1" customHeight="1" x14ac:dyDescent="0.25">
      <c r="A9361" s="2" t="s">
        <v>19316</v>
      </c>
      <c r="B9361" s="2" t="s">
        <v>19317</v>
      </c>
      <c r="C9361" s="2" t="s">
        <v>29</v>
      </c>
      <c r="D9361" s="2" t="s">
        <v>661</v>
      </c>
      <c r="E9361" s="2" t="str">
        <f>"9789004516816"</f>
        <v>9789004516816</v>
      </c>
      <c r="F9361" s="2" t="str">
        <f>"9789004517073"</f>
        <v>9789004517073</v>
      </c>
    </row>
    <row r="9362" spans="1:6" s="3" customFormat="1" ht="29.1" customHeight="1" x14ac:dyDescent="0.25">
      <c r="A9362" s="2" t="s">
        <v>19318</v>
      </c>
      <c r="B9362" s="2" t="s">
        <v>19319</v>
      </c>
      <c r="C9362" s="2" t="s">
        <v>29</v>
      </c>
      <c r="D9362" s="2" t="s">
        <v>606</v>
      </c>
      <c r="E9362" s="2" t="str">
        <f>"9789004467132"</f>
        <v>9789004467132</v>
      </c>
      <c r="F9362" s="2" t="str">
        <f>"9789004467149"</f>
        <v>9789004467149</v>
      </c>
    </row>
    <row r="9363" spans="1:6" s="3" customFormat="1" ht="29.1" customHeight="1" x14ac:dyDescent="0.25">
      <c r="A9363" s="2" t="s">
        <v>19320</v>
      </c>
      <c r="B9363" s="2" t="s">
        <v>19321</v>
      </c>
      <c r="C9363" s="2" t="s">
        <v>29</v>
      </c>
      <c r="D9363" s="2" t="s">
        <v>192</v>
      </c>
      <c r="E9363" s="2" t="str">
        <f>"9789004517882"</f>
        <v>9789004517882</v>
      </c>
      <c r="F9363" s="2" t="str">
        <f>"9789004517899"</f>
        <v>9789004517899</v>
      </c>
    </row>
    <row r="9364" spans="1:6" s="3" customFormat="1" ht="29.1" customHeight="1" x14ac:dyDescent="0.25">
      <c r="A9364" s="2" t="s">
        <v>19322</v>
      </c>
      <c r="B9364" s="2" t="s">
        <v>19323</v>
      </c>
      <c r="C9364" s="2" t="s">
        <v>29</v>
      </c>
      <c r="D9364" s="2" t="s">
        <v>9</v>
      </c>
      <c r="E9364" s="2" t="str">
        <f>"9789004525641"</f>
        <v>9789004525641</v>
      </c>
      <c r="F9364" s="2" t="str">
        <f>"9789004525658"</f>
        <v>9789004525658</v>
      </c>
    </row>
    <row r="9365" spans="1:6" s="3" customFormat="1" ht="29.1" customHeight="1" x14ac:dyDescent="0.25">
      <c r="A9365" s="2" t="s">
        <v>19324</v>
      </c>
      <c r="B9365" s="2" t="s">
        <v>19325</v>
      </c>
      <c r="C9365" s="2" t="s">
        <v>29</v>
      </c>
      <c r="D9365" s="2" t="s">
        <v>192</v>
      </c>
      <c r="E9365" s="2" t="str">
        <f>"9789004518667"</f>
        <v>9789004518667</v>
      </c>
      <c r="F9365" s="2" t="str">
        <f>"9789004518681"</f>
        <v>9789004518681</v>
      </c>
    </row>
    <row r="9366" spans="1:6" s="3" customFormat="1" ht="29.1" customHeight="1" x14ac:dyDescent="0.25">
      <c r="A9366" s="2" t="s">
        <v>19326</v>
      </c>
      <c r="B9366" s="2" t="s">
        <v>19327</v>
      </c>
      <c r="C9366" s="2" t="s">
        <v>29</v>
      </c>
      <c r="D9366" s="2" t="s">
        <v>10950</v>
      </c>
      <c r="E9366" s="2" t="str">
        <f>"9789004525719"</f>
        <v>9789004525719</v>
      </c>
      <c r="F9366" s="2" t="str">
        <f>"9789004525726"</f>
        <v>9789004525726</v>
      </c>
    </row>
    <row r="9367" spans="1:6" s="3" customFormat="1" ht="29.1" customHeight="1" x14ac:dyDescent="0.25">
      <c r="A9367" s="2" t="s">
        <v>19328</v>
      </c>
      <c r="B9367" s="2" t="s">
        <v>19329</v>
      </c>
      <c r="C9367" s="2" t="s">
        <v>29</v>
      </c>
      <c r="D9367" s="2" t="s">
        <v>6669</v>
      </c>
      <c r="E9367" s="2" t="str">
        <f>"9789004515178"</f>
        <v>9789004515178</v>
      </c>
      <c r="F9367" s="2" t="str">
        <f>"9789004522138"</f>
        <v>9789004522138</v>
      </c>
    </row>
    <row r="9368" spans="1:6" s="3" customFormat="1" ht="29.1" customHeight="1" x14ac:dyDescent="0.25">
      <c r="A9368" s="2" t="s">
        <v>19330</v>
      </c>
      <c r="B9368" s="2" t="s">
        <v>19331</v>
      </c>
      <c r="C9368" s="2" t="s">
        <v>29</v>
      </c>
      <c r="D9368" s="2" t="s">
        <v>192</v>
      </c>
      <c r="E9368" s="2" t="str">
        <f>"9789004522268"</f>
        <v>9789004522268</v>
      </c>
      <c r="F9368" s="2" t="str">
        <f>"9789004522367"</f>
        <v>9789004522367</v>
      </c>
    </row>
    <row r="9369" spans="1:6" s="3" customFormat="1" ht="29.1" customHeight="1" x14ac:dyDescent="0.25">
      <c r="A9369" s="2" t="s">
        <v>19332</v>
      </c>
      <c r="B9369" s="2" t="s">
        <v>19333</v>
      </c>
      <c r="C9369" s="2" t="s">
        <v>29</v>
      </c>
      <c r="D9369" s="2" t="s">
        <v>5910</v>
      </c>
      <c r="E9369" s="2" t="str">
        <f>"9789004512863"</f>
        <v>9789004512863</v>
      </c>
      <c r="F9369" s="2" t="str">
        <f>"9789004514195"</f>
        <v>9789004514195</v>
      </c>
    </row>
    <row r="9370" spans="1:6" s="3" customFormat="1" ht="29.1" customHeight="1" x14ac:dyDescent="0.25">
      <c r="A9370" s="2" t="s">
        <v>19334</v>
      </c>
      <c r="B9370" s="2" t="s">
        <v>19335</v>
      </c>
      <c r="C9370" s="2" t="s">
        <v>29</v>
      </c>
      <c r="D9370" s="2" t="s">
        <v>183</v>
      </c>
      <c r="E9370" s="2" t="str">
        <f>"9789004512122"</f>
        <v>9789004512122</v>
      </c>
      <c r="F9370" s="2" t="str">
        <f>"9789004517295"</f>
        <v>9789004517295</v>
      </c>
    </row>
    <row r="9371" spans="1:6" s="3" customFormat="1" ht="29.1" customHeight="1" x14ac:dyDescent="0.25">
      <c r="A9371" s="2" t="s">
        <v>19336</v>
      </c>
      <c r="B9371" s="2" t="s">
        <v>19337</v>
      </c>
      <c r="C9371" s="2" t="s">
        <v>29</v>
      </c>
      <c r="D9371" s="2" t="s">
        <v>339</v>
      </c>
      <c r="E9371" s="2" t="str">
        <f>"9789004516823"</f>
        <v>9789004516823</v>
      </c>
      <c r="F9371" s="2" t="str">
        <f>"9789004522572"</f>
        <v>9789004522572</v>
      </c>
    </row>
    <row r="9372" spans="1:6" s="3" customFormat="1" ht="29.1" customHeight="1" x14ac:dyDescent="0.25">
      <c r="A9372" s="2" t="s">
        <v>19338</v>
      </c>
      <c r="B9372" s="2" t="s">
        <v>19339</v>
      </c>
      <c r="C9372" s="2" t="s">
        <v>29</v>
      </c>
      <c r="D9372" s="2" t="s">
        <v>192</v>
      </c>
      <c r="E9372" s="2" t="str">
        <f>"9789004509351"</f>
        <v>9789004509351</v>
      </c>
      <c r="F9372" s="2" t="str">
        <f>"9789004509368"</f>
        <v>9789004509368</v>
      </c>
    </row>
    <row r="9373" spans="1:6" s="3" customFormat="1" ht="29.1" customHeight="1" x14ac:dyDescent="0.25">
      <c r="A9373" s="2" t="s">
        <v>19340</v>
      </c>
      <c r="B9373" s="2" t="s">
        <v>19341</v>
      </c>
      <c r="C9373" s="2" t="s">
        <v>29</v>
      </c>
      <c r="D9373" s="2" t="s">
        <v>431</v>
      </c>
      <c r="E9373" s="2" t="str">
        <f>"9789004523180"</f>
        <v>9789004523180</v>
      </c>
      <c r="F9373" s="2" t="str">
        <f>"9789004523197"</f>
        <v>9789004523197</v>
      </c>
    </row>
    <row r="9374" spans="1:6" s="3" customFormat="1" ht="29.1" customHeight="1" x14ac:dyDescent="0.25">
      <c r="A9374" s="2" t="s">
        <v>19342</v>
      </c>
      <c r="B9374" s="2" t="s">
        <v>19343</v>
      </c>
      <c r="C9374" s="2" t="s">
        <v>29</v>
      </c>
      <c r="D9374" s="2" t="s">
        <v>14843</v>
      </c>
      <c r="E9374" s="2" t="str">
        <f>"9789004516809"</f>
        <v>9789004516809</v>
      </c>
      <c r="F9374" s="2" t="str">
        <f>"9789004522558"</f>
        <v>9789004522558</v>
      </c>
    </row>
    <row r="9375" spans="1:6" s="3" customFormat="1" ht="29.1" customHeight="1" x14ac:dyDescent="0.25">
      <c r="A9375" s="2" t="s">
        <v>19344</v>
      </c>
      <c r="B9375" s="2" t="s">
        <v>19345</v>
      </c>
      <c r="C9375" s="2" t="s">
        <v>29</v>
      </c>
      <c r="D9375" s="2" t="s">
        <v>210</v>
      </c>
      <c r="E9375" s="2" t="str">
        <f>"9789004518759"</f>
        <v>9789004518759</v>
      </c>
      <c r="F9375" s="2" t="str">
        <f>"9789004523067"</f>
        <v>9789004523067</v>
      </c>
    </row>
    <row r="9376" spans="1:6" s="3" customFormat="1" ht="29.1" customHeight="1" x14ac:dyDescent="0.25">
      <c r="A9376" s="2" t="s">
        <v>19346</v>
      </c>
      <c r="B9376" s="2" t="s">
        <v>19347</v>
      </c>
      <c r="C9376" s="2" t="s">
        <v>29</v>
      </c>
      <c r="D9376" s="2" t="s">
        <v>118</v>
      </c>
      <c r="E9376" s="2" t="str">
        <f>"9789004520257"</f>
        <v>9789004520257</v>
      </c>
      <c r="F9376" s="2" t="str">
        <f>"9789004520264"</f>
        <v>9789004520264</v>
      </c>
    </row>
    <row r="9377" spans="1:6" s="3" customFormat="1" ht="29.1" customHeight="1" x14ac:dyDescent="0.25">
      <c r="A9377" s="2" t="s">
        <v>19348</v>
      </c>
      <c r="B9377" s="2" t="s">
        <v>19349</v>
      </c>
      <c r="C9377" s="2" t="s">
        <v>29</v>
      </c>
      <c r="D9377" s="2" t="s">
        <v>4117</v>
      </c>
      <c r="E9377" s="2" t="str">
        <f>"9789004521292"</f>
        <v>9789004521292</v>
      </c>
      <c r="F9377" s="2" t="str">
        <f>"9789004521308"</f>
        <v>9789004521308</v>
      </c>
    </row>
    <row r="9378" spans="1:6" s="3" customFormat="1" ht="29.1" customHeight="1" x14ac:dyDescent="0.25">
      <c r="A9378" s="2" t="s">
        <v>19350</v>
      </c>
      <c r="B9378" s="2" t="s">
        <v>19351</v>
      </c>
      <c r="C9378" s="2" t="s">
        <v>29</v>
      </c>
      <c r="D9378" s="2" t="s">
        <v>3155</v>
      </c>
      <c r="E9378" s="2" t="str">
        <f>"9789004462021"</f>
        <v>9789004462021</v>
      </c>
      <c r="F9378" s="2" t="str">
        <f>"9789004517240"</f>
        <v>9789004517240</v>
      </c>
    </row>
    <row r="9379" spans="1:6" s="3" customFormat="1" ht="29.1" customHeight="1" x14ac:dyDescent="0.25">
      <c r="A9379" s="2" t="s">
        <v>19352</v>
      </c>
      <c r="B9379" s="2" t="s">
        <v>19353</v>
      </c>
      <c r="C9379" s="2" t="s">
        <v>29</v>
      </c>
      <c r="D9379" s="2" t="s">
        <v>297</v>
      </c>
      <c r="E9379" s="2" t="str">
        <f>"9789004520943"</f>
        <v>9789004520943</v>
      </c>
      <c r="F9379" s="2" t="str">
        <f>"9789004521025"</f>
        <v>9789004521025</v>
      </c>
    </row>
    <row r="9380" spans="1:6" s="3" customFormat="1" ht="29.1" customHeight="1" x14ac:dyDescent="0.25">
      <c r="A9380" s="2" t="s">
        <v>19354</v>
      </c>
      <c r="B9380" s="2" t="s">
        <v>358</v>
      </c>
      <c r="C9380" s="2" t="s">
        <v>29</v>
      </c>
      <c r="D9380" s="2" t="s">
        <v>192</v>
      </c>
      <c r="E9380" s="2" t="str">
        <f>"9789004467675"</f>
        <v>9789004467675</v>
      </c>
      <c r="F9380" s="2" t="str">
        <f>"9789004467682"</f>
        <v>9789004467682</v>
      </c>
    </row>
    <row r="9381" spans="1:6" s="3" customFormat="1" ht="29.1" customHeight="1" x14ac:dyDescent="0.25">
      <c r="A9381" s="2" t="s">
        <v>19355</v>
      </c>
      <c r="B9381" s="2" t="s">
        <v>19356</v>
      </c>
      <c r="C9381" s="2" t="s">
        <v>29</v>
      </c>
      <c r="D9381" s="2" t="s">
        <v>1432</v>
      </c>
      <c r="E9381" s="2" t="str">
        <f>"9789004503649"</f>
        <v>9789004503649</v>
      </c>
      <c r="F9381" s="2" t="str">
        <f>"9789004503656"</f>
        <v>9789004503656</v>
      </c>
    </row>
    <row r="9382" spans="1:6" s="3" customFormat="1" ht="29.1" customHeight="1" x14ac:dyDescent="0.25">
      <c r="A9382" s="2" t="s">
        <v>19357</v>
      </c>
      <c r="B9382" s="2" t="s">
        <v>19358</v>
      </c>
      <c r="C9382" s="2" t="s">
        <v>29</v>
      </c>
      <c r="D9382" s="2" t="s">
        <v>192</v>
      </c>
      <c r="E9382" s="2" t="str">
        <f>"9789004514829"</f>
        <v>9789004514829</v>
      </c>
      <c r="F9382" s="2" t="str">
        <f>"9789004514836"</f>
        <v>9789004514836</v>
      </c>
    </row>
    <row r="9383" spans="1:6" s="3" customFormat="1" ht="29.1" customHeight="1" x14ac:dyDescent="0.25">
      <c r="A9383" s="2" t="s">
        <v>19359</v>
      </c>
      <c r="B9383" s="2" t="s">
        <v>19360</v>
      </c>
      <c r="C9383" s="2" t="s">
        <v>29</v>
      </c>
      <c r="D9383" s="2" t="s">
        <v>1411</v>
      </c>
      <c r="E9383" s="2" t="str">
        <f>"9789004514669"</f>
        <v>9789004514669</v>
      </c>
      <c r="F9383" s="2" t="str">
        <f>"9789004514676"</f>
        <v>9789004514676</v>
      </c>
    </row>
    <row r="9384" spans="1:6" s="3" customFormat="1" ht="29.1" customHeight="1" x14ac:dyDescent="0.25">
      <c r="A9384" s="2" t="s">
        <v>19361</v>
      </c>
      <c r="B9384" s="2" t="s">
        <v>19362</v>
      </c>
      <c r="C9384" s="2" t="s">
        <v>29</v>
      </c>
      <c r="D9384" s="2" t="s">
        <v>4117</v>
      </c>
      <c r="E9384" s="2" t="str">
        <f>"9789004518889"</f>
        <v>9789004518889</v>
      </c>
      <c r="F9384" s="2" t="str">
        <f>"9789004519107"</f>
        <v>9789004519107</v>
      </c>
    </row>
    <row r="9385" spans="1:6" s="3" customFormat="1" ht="29.1" customHeight="1" x14ac:dyDescent="0.25">
      <c r="A9385" s="2" t="s">
        <v>19363</v>
      </c>
      <c r="B9385" s="2" t="s">
        <v>19364</v>
      </c>
      <c r="C9385" s="2" t="s">
        <v>29</v>
      </c>
      <c r="D9385" s="2" t="s">
        <v>210</v>
      </c>
      <c r="E9385" s="2" t="str">
        <f>"9789004428294"</f>
        <v>9789004428294</v>
      </c>
      <c r="F9385" s="2" t="str">
        <f>"9789004519251"</f>
        <v>9789004519251</v>
      </c>
    </row>
    <row r="9386" spans="1:6" s="3" customFormat="1" ht="29.1" customHeight="1" x14ac:dyDescent="0.25">
      <c r="A9386" s="2" t="s">
        <v>19365</v>
      </c>
      <c r="B9386" s="2" t="s">
        <v>19366</v>
      </c>
      <c r="C9386" s="2" t="s">
        <v>29</v>
      </c>
      <c r="D9386" s="2" t="s">
        <v>33</v>
      </c>
      <c r="E9386" s="2" t="str">
        <f>"9789004519275"</f>
        <v>9789004519275</v>
      </c>
      <c r="F9386" s="2" t="str">
        <f>"9789004519282"</f>
        <v>9789004519282</v>
      </c>
    </row>
    <row r="9387" spans="1:6" s="3" customFormat="1" ht="29.1" customHeight="1" x14ac:dyDescent="0.25">
      <c r="A9387" s="2" t="s">
        <v>19367</v>
      </c>
      <c r="B9387" s="2" t="s">
        <v>19368</v>
      </c>
      <c r="C9387" s="2" t="s">
        <v>29</v>
      </c>
      <c r="D9387" s="2" t="s">
        <v>33</v>
      </c>
      <c r="E9387" s="2" t="str">
        <f>"9789004426696"</f>
        <v>9789004426696</v>
      </c>
      <c r="F9387" s="2" t="str">
        <f>"9789004426702"</f>
        <v>9789004426702</v>
      </c>
    </row>
    <row r="9388" spans="1:6" s="3" customFormat="1" ht="29.1" customHeight="1" x14ac:dyDescent="0.25">
      <c r="A9388" s="2" t="s">
        <v>19369</v>
      </c>
      <c r="B9388" s="2" t="s">
        <v>19370</v>
      </c>
      <c r="C9388" s="2" t="s">
        <v>29</v>
      </c>
      <c r="D9388" s="2" t="s">
        <v>192</v>
      </c>
      <c r="E9388" s="2" t="str">
        <f>"9789004507883"</f>
        <v>9789004507883</v>
      </c>
      <c r="F9388" s="2" t="str">
        <f>"9789004507890"</f>
        <v>9789004507890</v>
      </c>
    </row>
    <row r="9389" spans="1:6" s="3" customFormat="1" ht="29.1" customHeight="1" x14ac:dyDescent="0.25">
      <c r="A9389" s="2" t="s">
        <v>19371</v>
      </c>
      <c r="B9389" s="2" t="s">
        <v>19372</v>
      </c>
      <c r="C9389" s="2" t="s">
        <v>29</v>
      </c>
      <c r="D9389" s="2" t="s">
        <v>63</v>
      </c>
      <c r="E9389" s="2" t="str">
        <f>"9789004519336"</f>
        <v>9789004519336</v>
      </c>
      <c r="F9389" s="2" t="str">
        <f>"9789004519350"</f>
        <v>9789004519350</v>
      </c>
    </row>
    <row r="9390" spans="1:6" s="3" customFormat="1" ht="29.1" customHeight="1" x14ac:dyDescent="0.25">
      <c r="A9390" s="2" t="s">
        <v>19373</v>
      </c>
      <c r="B9390" s="2" t="s">
        <v>19374</v>
      </c>
      <c r="C9390" s="2" t="s">
        <v>29</v>
      </c>
      <c r="D9390" s="2" t="s">
        <v>24</v>
      </c>
      <c r="E9390" s="2" t="str">
        <f>"9789004518025"</f>
        <v>9789004518025</v>
      </c>
      <c r="F9390" s="2" t="str">
        <f>"9789004518032"</f>
        <v>9789004518032</v>
      </c>
    </row>
    <row r="9391" spans="1:6" s="3" customFormat="1" ht="29.1" customHeight="1" x14ac:dyDescent="0.25">
      <c r="A9391" s="2" t="s">
        <v>19375</v>
      </c>
      <c r="B9391" s="2" t="s">
        <v>19376</v>
      </c>
      <c r="C9391" s="2" t="s">
        <v>29</v>
      </c>
      <c r="D9391" s="2" t="s">
        <v>14622</v>
      </c>
      <c r="E9391" s="2" t="str">
        <f>"9789004515390"</f>
        <v>9789004515390</v>
      </c>
      <c r="F9391" s="2" t="str">
        <f>"9789004516885"</f>
        <v>9789004516885</v>
      </c>
    </row>
    <row r="9392" spans="1:6" s="3" customFormat="1" ht="29.1" customHeight="1" x14ac:dyDescent="0.25">
      <c r="A9392" s="2" t="s">
        <v>19377</v>
      </c>
      <c r="B9392" s="2" t="s">
        <v>19378</v>
      </c>
      <c r="C9392" s="2" t="s">
        <v>29</v>
      </c>
      <c r="D9392" s="2" t="s">
        <v>1809</v>
      </c>
      <c r="E9392" s="2" t="str">
        <f>"9789004501690"</f>
        <v>9789004501690</v>
      </c>
      <c r="F9392" s="2" t="str">
        <f>"9789004516854"</f>
        <v>9789004516854</v>
      </c>
    </row>
    <row r="9393" spans="1:6" s="3" customFormat="1" ht="29.1" customHeight="1" x14ac:dyDescent="0.25">
      <c r="A9393" s="2" t="s">
        <v>19379</v>
      </c>
      <c r="B9393" s="2" t="s">
        <v>19380</v>
      </c>
      <c r="C9393" s="2" t="s">
        <v>29</v>
      </c>
      <c r="D9393" s="2" t="s">
        <v>402</v>
      </c>
      <c r="E9393" s="2" t="str">
        <f>"9789004513020"</f>
        <v>9789004513020</v>
      </c>
      <c r="F9393" s="2" t="str">
        <f>"9789004517561"</f>
        <v>9789004517561</v>
      </c>
    </row>
    <row r="9394" spans="1:6" s="3" customFormat="1" ht="29.1" customHeight="1" x14ac:dyDescent="0.25">
      <c r="A9394" s="2" t="s">
        <v>19381</v>
      </c>
      <c r="B9394" s="2" t="s">
        <v>19382</v>
      </c>
      <c r="C9394" s="2" t="s">
        <v>29</v>
      </c>
      <c r="D9394" s="2" t="s">
        <v>4117</v>
      </c>
      <c r="E9394" s="2" t="str">
        <f>"9789004512245"</f>
        <v>9789004512245</v>
      </c>
      <c r="F9394" s="2" t="str">
        <f>"9789004513648"</f>
        <v>9789004513648</v>
      </c>
    </row>
    <row r="9395" spans="1:6" s="3" customFormat="1" ht="29.1" customHeight="1" x14ac:dyDescent="0.25">
      <c r="A9395" s="2" t="s">
        <v>19383</v>
      </c>
      <c r="B9395" s="2" t="s">
        <v>19384</v>
      </c>
      <c r="C9395" s="2" t="s">
        <v>29</v>
      </c>
      <c r="D9395" s="2" t="s">
        <v>3270</v>
      </c>
      <c r="E9395" s="2" t="str">
        <f>"9789004504349"</f>
        <v>9789004504349</v>
      </c>
      <c r="F9395" s="2" t="str">
        <f>"9789004505254"</f>
        <v>9789004505254</v>
      </c>
    </row>
    <row r="9396" spans="1:6" s="3" customFormat="1" ht="29.1" customHeight="1" x14ac:dyDescent="0.25">
      <c r="A9396" s="2" t="s">
        <v>19385</v>
      </c>
      <c r="B9396" s="2" t="s">
        <v>19386</v>
      </c>
      <c r="C9396" s="2" t="s">
        <v>29</v>
      </c>
      <c r="D9396" s="2" t="s">
        <v>408</v>
      </c>
      <c r="E9396" s="2" t="str">
        <f>"9789004513822"</f>
        <v>9789004513822</v>
      </c>
      <c r="F9396" s="2" t="str">
        <f>"9789004515468"</f>
        <v>9789004515468</v>
      </c>
    </row>
    <row r="9397" spans="1:6" s="3" customFormat="1" ht="29.1" customHeight="1" x14ac:dyDescent="0.25">
      <c r="A9397" s="2" t="s">
        <v>19387</v>
      </c>
      <c r="B9397" s="2" t="s">
        <v>19388</v>
      </c>
      <c r="C9397" s="2" t="s">
        <v>29</v>
      </c>
      <c r="D9397" s="2" t="s">
        <v>10950</v>
      </c>
      <c r="E9397" s="2" t="str">
        <f>"9789004508231"</f>
        <v>9789004508231</v>
      </c>
      <c r="F9397" s="2" t="str">
        <f>"9789004512436"</f>
        <v>9789004512436</v>
      </c>
    </row>
    <row r="9398" spans="1:6" s="3" customFormat="1" ht="29.1" customHeight="1" x14ac:dyDescent="0.25">
      <c r="A9398" s="2" t="s">
        <v>19389</v>
      </c>
      <c r="B9398" s="2" t="s">
        <v>19390</v>
      </c>
      <c r="C9398" s="2" t="s">
        <v>29</v>
      </c>
      <c r="D9398" s="2" t="s">
        <v>1432</v>
      </c>
      <c r="E9398" s="2" t="str">
        <f>"9789004471474"</f>
        <v>9789004471474</v>
      </c>
      <c r="F9398" s="2" t="str">
        <f>"9789004471481"</f>
        <v>9789004471481</v>
      </c>
    </row>
    <row r="9399" spans="1:6" s="3" customFormat="1" ht="29.1" customHeight="1" x14ac:dyDescent="0.25">
      <c r="A9399" s="2" t="s">
        <v>19391</v>
      </c>
      <c r="B9399" s="2" t="s">
        <v>19392</v>
      </c>
      <c r="C9399" s="2" t="s">
        <v>29</v>
      </c>
      <c r="D9399" s="2" t="s">
        <v>33</v>
      </c>
      <c r="E9399" s="2" t="str">
        <f>"9789004450127"</f>
        <v>9789004450127</v>
      </c>
      <c r="F9399" s="2" t="str">
        <f>"9789004513150"</f>
        <v>9789004513150</v>
      </c>
    </row>
    <row r="9400" spans="1:6" s="3" customFormat="1" ht="29.1" customHeight="1" x14ac:dyDescent="0.25">
      <c r="A9400" s="2" t="s">
        <v>19393</v>
      </c>
      <c r="B9400" s="2" t="s">
        <v>19394</v>
      </c>
      <c r="C9400" s="2" t="s">
        <v>29</v>
      </c>
      <c r="D9400" s="2" t="s">
        <v>192</v>
      </c>
      <c r="E9400" s="2" t="str">
        <f>"9789004508606"</f>
        <v>9789004508606</v>
      </c>
      <c r="F9400" s="2" t="str">
        <f>"9789004508613"</f>
        <v>9789004508613</v>
      </c>
    </row>
    <row r="9401" spans="1:6" s="3" customFormat="1" ht="29.1" customHeight="1" x14ac:dyDescent="0.25">
      <c r="A9401" s="2" t="s">
        <v>19395</v>
      </c>
      <c r="B9401" s="2" t="s">
        <v>19396</v>
      </c>
      <c r="C9401" s="2" t="s">
        <v>29</v>
      </c>
      <c r="D9401" s="2" t="s">
        <v>1432</v>
      </c>
      <c r="E9401" s="2" t="str">
        <f>"9789004513594"</f>
        <v>9789004513594</v>
      </c>
      <c r="F9401" s="2" t="str">
        <f>"9789004513617"</f>
        <v>9789004513617</v>
      </c>
    </row>
    <row r="9402" spans="1:6" s="3" customFormat="1" ht="29.1" customHeight="1" x14ac:dyDescent="0.25">
      <c r="A9402" s="2" t="s">
        <v>19397</v>
      </c>
      <c r="B9402" s="2" t="s">
        <v>19398</v>
      </c>
      <c r="C9402" s="2" t="s">
        <v>29</v>
      </c>
      <c r="D9402" s="2" t="s">
        <v>339</v>
      </c>
      <c r="E9402" s="2" t="str">
        <f>"9789004435421"</f>
        <v>9789004435421</v>
      </c>
      <c r="F9402" s="2" t="str">
        <f>"9789004470651"</f>
        <v>9789004470651</v>
      </c>
    </row>
    <row r="9403" spans="1:6" s="3" customFormat="1" ht="29.1" customHeight="1" x14ac:dyDescent="0.25">
      <c r="A9403" s="2" t="s">
        <v>19399</v>
      </c>
      <c r="B9403" s="2" t="s">
        <v>19400</v>
      </c>
      <c r="C9403" s="2" t="s">
        <v>29</v>
      </c>
      <c r="D9403" s="2" t="s">
        <v>7669</v>
      </c>
      <c r="E9403" s="2" t="str">
        <f>"9789004462489"</f>
        <v>9789004462489</v>
      </c>
      <c r="F9403" s="2" t="str">
        <f>"9789004512856"</f>
        <v>9789004512856</v>
      </c>
    </row>
    <row r="9404" spans="1:6" s="3" customFormat="1" ht="29.1" customHeight="1" x14ac:dyDescent="0.25">
      <c r="A9404" s="2" t="s">
        <v>19401</v>
      </c>
      <c r="B9404" s="2" t="s">
        <v>19402</v>
      </c>
      <c r="C9404" s="2" t="s">
        <v>29</v>
      </c>
      <c r="D9404" s="2" t="s">
        <v>33</v>
      </c>
      <c r="E9404" s="2" t="str">
        <f>"9789004506817"</f>
        <v>9789004506817</v>
      </c>
      <c r="F9404" s="2" t="str">
        <f>"9789004506824"</f>
        <v>9789004506824</v>
      </c>
    </row>
    <row r="9405" spans="1:6" s="3" customFormat="1" ht="29.1" customHeight="1" x14ac:dyDescent="0.25">
      <c r="A9405" s="2" t="s">
        <v>19403</v>
      </c>
      <c r="B9405" s="2" t="s">
        <v>19404</v>
      </c>
      <c r="C9405" s="2" t="s">
        <v>29</v>
      </c>
      <c r="D9405" s="2" t="s">
        <v>1432</v>
      </c>
      <c r="E9405" s="2" t="str">
        <f>"9789004508521"</f>
        <v>9789004508521</v>
      </c>
      <c r="F9405" s="2" t="str">
        <f>"9789004510333"</f>
        <v>9789004510333</v>
      </c>
    </row>
    <row r="9406" spans="1:6" s="3" customFormat="1" ht="29.1" customHeight="1" x14ac:dyDescent="0.25">
      <c r="A9406" s="2" t="s">
        <v>19405</v>
      </c>
      <c r="B9406" s="2" t="s">
        <v>19406</v>
      </c>
      <c r="C9406" s="2" t="s">
        <v>29</v>
      </c>
      <c r="D9406" s="2" t="s">
        <v>512</v>
      </c>
      <c r="E9406" s="2" t="str">
        <f>"9789004510197"</f>
        <v>9789004510197</v>
      </c>
      <c r="F9406" s="2" t="str">
        <f>"9789004510203"</f>
        <v>9789004510203</v>
      </c>
    </row>
    <row r="9407" spans="1:6" s="3" customFormat="1" ht="29.1" customHeight="1" x14ac:dyDescent="0.25">
      <c r="A9407" s="2" t="s">
        <v>19407</v>
      </c>
      <c r="B9407" s="2" t="s">
        <v>19408</v>
      </c>
      <c r="C9407" s="2" t="s">
        <v>29</v>
      </c>
      <c r="D9407" s="2" t="s">
        <v>192</v>
      </c>
      <c r="E9407" s="2" t="str">
        <f>"9789004503304"</f>
        <v>9789004503304</v>
      </c>
      <c r="F9407" s="2" t="str">
        <f>"9789004511446"</f>
        <v>9789004511446</v>
      </c>
    </row>
    <row r="9408" spans="1:6" s="3" customFormat="1" ht="29.1" customHeight="1" x14ac:dyDescent="0.25">
      <c r="A9408" s="2" t="s">
        <v>19409</v>
      </c>
      <c r="B9408" s="2" t="s">
        <v>19410</v>
      </c>
      <c r="C9408" s="2" t="s">
        <v>29</v>
      </c>
      <c r="D9408" s="2" t="s">
        <v>522</v>
      </c>
      <c r="E9408" s="2" t="str">
        <f>"9789004506619"</f>
        <v>9789004506619</v>
      </c>
      <c r="F9408" s="2" t="str">
        <f>"9789004506626"</f>
        <v>9789004506626</v>
      </c>
    </row>
    <row r="9409" spans="1:6" s="3" customFormat="1" ht="29.1" customHeight="1" x14ac:dyDescent="0.25">
      <c r="A9409" s="2" t="s">
        <v>19411</v>
      </c>
      <c r="B9409" s="2" t="s">
        <v>19412</v>
      </c>
      <c r="C9409" s="2" t="s">
        <v>29</v>
      </c>
      <c r="D9409" s="2" t="s">
        <v>192</v>
      </c>
      <c r="E9409" s="2" t="str">
        <f>"9789004508729"</f>
        <v>9789004508729</v>
      </c>
      <c r="F9409" s="2" t="str">
        <f>"9789004508736"</f>
        <v>9789004508736</v>
      </c>
    </row>
    <row r="9410" spans="1:6" s="3" customFormat="1" ht="29.1" customHeight="1" x14ac:dyDescent="0.25">
      <c r="A9410" s="2" t="s">
        <v>19413</v>
      </c>
      <c r="B9410" s="2" t="s">
        <v>19414</v>
      </c>
      <c r="C9410" s="2" t="s">
        <v>29</v>
      </c>
      <c r="D9410" s="2" t="s">
        <v>192</v>
      </c>
      <c r="E9410" s="2" t="str">
        <f>"9789004511743"</f>
        <v>9789004511743</v>
      </c>
      <c r="F9410" s="2" t="str">
        <f>"9789004511750"</f>
        <v>9789004511750</v>
      </c>
    </row>
    <row r="9411" spans="1:6" s="3" customFormat="1" ht="29.1" customHeight="1" x14ac:dyDescent="0.25">
      <c r="A9411" s="2" t="s">
        <v>19415</v>
      </c>
      <c r="B9411" s="2" t="s">
        <v>19416</v>
      </c>
      <c r="C9411" s="2" t="s">
        <v>29</v>
      </c>
      <c r="D9411" s="2" t="s">
        <v>1432</v>
      </c>
      <c r="E9411" s="2" t="str">
        <f>"9789004511613"</f>
        <v>9789004511613</v>
      </c>
      <c r="F9411" s="2" t="str">
        <f>"9789004511620"</f>
        <v>9789004511620</v>
      </c>
    </row>
    <row r="9412" spans="1:6" s="3" customFormat="1" ht="29.1" customHeight="1" x14ac:dyDescent="0.25">
      <c r="A9412" s="2" t="s">
        <v>19417</v>
      </c>
      <c r="B9412" s="2" t="s">
        <v>19418</v>
      </c>
      <c r="C9412" s="2" t="s">
        <v>29</v>
      </c>
      <c r="D9412" s="2" t="s">
        <v>9739</v>
      </c>
      <c r="E9412" s="2" t="str">
        <f>"9789004509610"</f>
        <v>9789004509610</v>
      </c>
      <c r="F9412" s="2" t="str">
        <f>"9789004510227"</f>
        <v>9789004510227</v>
      </c>
    </row>
    <row r="9413" spans="1:6" s="3" customFormat="1" ht="29.1" customHeight="1" x14ac:dyDescent="0.25">
      <c r="A9413" s="2" t="s">
        <v>19419</v>
      </c>
      <c r="B9413" s="2" t="s">
        <v>19420</v>
      </c>
      <c r="C9413" s="2" t="s">
        <v>29</v>
      </c>
      <c r="D9413" s="2" t="s">
        <v>402</v>
      </c>
      <c r="E9413" s="2" t="str">
        <f>"9789004508224"</f>
        <v>9789004508224</v>
      </c>
      <c r="F9413" s="2" t="str">
        <f>"9789004510296"</f>
        <v>9789004510296</v>
      </c>
    </row>
    <row r="9414" spans="1:6" s="3" customFormat="1" ht="29.1" customHeight="1" x14ac:dyDescent="0.25">
      <c r="A9414" s="2" t="s">
        <v>19421</v>
      </c>
      <c r="B9414" s="2" t="s">
        <v>19422</v>
      </c>
      <c r="C9414" s="2" t="s">
        <v>29</v>
      </c>
      <c r="D9414" s="2" t="s">
        <v>210</v>
      </c>
      <c r="E9414" s="2" t="str">
        <f>"9789004511491"</f>
        <v>9789004511491</v>
      </c>
      <c r="F9414" s="2" t="str">
        <f>"9789004511583"</f>
        <v>9789004511583</v>
      </c>
    </row>
    <row r="9415" spans="1:6" s="3" customFormat="1" ht="29.1" customHeight="1" x14ac:dyDescent="0.25">
      <c r="A9415" s="2" t="s">
        <v>19423</v>
      </c>
      <c r="B9415" s="2" t="s">
        <v>19424</v>
      </c>
      <c r="C9415" s="2" t="s">
        <v>29</v>
      </c>
      <c r="D9415" s="2" t="s">
        <v>408</v>
      </c>
      <c r="E9415" s="2" t="str">
        <f>"9789004504660"</f>
        <v>9789004504660</v>
      </c>
      <c r="F9415" s="2" t="str">
        <f>"9789004508453"</f>
        <v>9789004508453</v>
      </c>
    </row>
    <row r="9416" spans="1:6" s="3" customFormat="1" ht="29.1" customHeight="1" x14ac:dyDescent="0.25">
      <c r="A9416" s="2" t="s">
        <v>19425</v>
      </c>
      <c r="B9416" s="2" t="s">
        <v>19426</v>
      </c>
      <c r="C9416" s="2" t="s">
        <v>29</v>
      </c>
      <c r="D9416" s="2" t="s">
        <v>699</v>
      </c>
      <c r="E9416" s="2" t="str">
        <f>"9789004507142"</f>
        <v>9789004507142</v>
      </c>
      <c r="F9416" s="2" t="str">
        <f>"9789004507159"</f>
        <v>9789004507159</v>
      </c>
    </row>
    <row r="9417" spans="1:6" s="3" customFormat="1" ht="29.1" customHeight="1" x14ac:dyDescent="0.25">
      <c r="A9417" s="2" t="s">
        <v>19427</v>
      </c>
      <c r="B9417" s="2" t="s">
        <v>19428</v>
      </c>
      <c r="C9417" s="2" t="s">
        <v>29</v>
      </c>
      <c r="D9417" s="2" t="s">
        <v>33</v>
      </c>
      <c r="E9417" s="2" t="str">
        <f>"9789004473355"</f>
        <v>9789004473355</v>
      </c>
      <c r="F9417" s="2" t="str">
        <f>"9789004499683"</f>
        <v>9789004499683</v>
      </c>
    </row>
    <row r="9418" spans="1:6" s="3" customFormat="1" ht="29.1" customHeight="1" x14ac:dyDescent="0.25">
      <c r="A9418" s="2" t="s">
        <v>19429</v>
      </c>
      <c r="B9418" s="2" t="s">
        <v>19430</v>
      </c>
      <c r="C9418" s="2" t="s">
        <v>29</v>
      </c>
      <c r="D9418" s="2" t="s">
        <v>192</v>
      </c>
      <c r="E9418" s="2" t="str">
        <f>"9789004507982"</f>
        <v>9789004507982</v>
      </c>
      <c r="F9418" s="2" t="str">
        <f>"9789004507999"</f>
        <v>9789004507999</v>
      </c>
    </row>
    <row r="9419" spans="1:6" s="3" customFormat="1" ht="29.1" customHeight="1" x14ac:dyDescent="0.25">
      <c r="A9419" s="2" t="s">
        <v>19431</v>
      </c>
      <c r="B9419" s="2" t="s">
        <v>10310</v>
      </c>
      <c r="C9419" s="2" t="s">
        <v>29</v>
      </c>
      <c r="D9419" s="2" t="s">
        <v>192</v>
      </c>
      <c r="E9419" s="2" t="str">
        <f>"9789004501232"</f>
        <v>9789004501232</v>
      </c>
      <c r="F9419" s="2" t="str">
        <f>"9789004501249"</f>
        <v>9789004501249</v>
      </c>
    </row>
    <row r="9420" spans="1:6" s="3" customFormat="1" ht="29.1" customHeight="1" x14ac:dyDescent="0.25">
      <c r="A9420" s="2" t="s">
        <v>19432</v>
      </c>
      <c r="B9420" s="2" t="s">
        <v>19433</v>
      </c>
      <c r="C9420" s="2" t="s">
        <v>29</v>
      </c>
      <c r="D9420" s="2" t="s">
        <v>192</v>
      </c>
      <c r="E9420" s="2" t="str">
        <f>"9789004414679"</f>
        <v>9789004414679</v>
      </c>
      <c r="F9420" s="2" t="str">
        <f>"9789004414709"</f>
        <v>9789004414709</v>
      </c>
    </row>
    <row r="9421" spans="1:6" s="3" customFormat="1" ht="29.1" customHeight="1" x14ac:dyDescent="0.25">
      <c r="A9421" s="2" t="s">
        <v>19434</v>
      </c>
      <c r="B9421" s="2" t="s">
        <v>19435</v>
      </c>
      <c r="C9421" s="2" t="s">
        <v>29</v>
      </c>
      <c r="D9421" s="2" t="s">
        <v>192</v>
      </c>
      <c r="E9421" s="2" t="str">
        <f>"9789004472358"</f>
        <v>9789004472358</v>
      </c>
      <c r="F9421" s="2" t="str">
        <f>"9789004472365"</f>
        <v>9789004472365</v>
      </c>
    </row>
    <row r="9422" spans="1:6" s="3" customFormat="1" ht="29.1" customHeight="1" x14ac:dyDescent="0.25">
      <c r="A9422" s="2" t="s">
        <v>19436</v>
      </c>
      <c r="B9422" s="2" t="s">
        <v>9120</v>
      </c>
      <c r="C9422" s="2" t="s">
        <v>29</v>
      </c>
      <c r="D9422" s="2" t="s">
        <v>63</v>
      </c>
      <c r="E9422" s="2" t="str">
        <f>"9789004472822"</f>
        <v>9789004472822</v>
      </c>
      <c r="F9422" s="2" t="str">
        <f>"9789004472839"</f>
        <v>9789004472839</v>
      </c>
    </row>
    <row r="9423" spans="1:6" s="3" customFormat="1" ht="29.1" customHeight="1" x14ac:dyDescent="0.25">
      <c r="A9423" s="2" t="s">
        <v>19437</v>
      </c>
      <c r="B9423" s="2" t="s">
        <v>19438</v>
      </c>
      <c r="C9423" s="2" t="s">
        <v>29</v>
      </c>
      <c r="D9423" s="2" t="s">
        <v>509</v>
      </c>
      <c r="E9423" s="2" t="str">
        <f>"9789004369146"</f>
        <v>9789004369146</v>
      </c>
      <c r="F9423" s="2" t="str">
        <f>"9789004504745"</f>
        <v>9789004504745</v>
      </c>
    </row>
    <row r="9424" spans="1:6" s="3" customFormat="1" ht="29.1" customHeight="1" x14ac:dyDescent="0.25">
      <c r="A9424" s="2" t="s">
        <v>19439</v>
      </c>
      <c r="B9424" s="2" t="s">
        <v>19440</v>
      </c>
      <c r="C9424" s="2" t="s">
        <v>29</v>
      </c>
      <c r="D9424" s="2" t="s">
        <v>4064</v>
      </c>
      <c r="E9424" s="2" t="str">
        <f>"9789004504264"</f>
        <v>9789004504264</v>
      </c>
      <c r="F9424" s="2" t="str">
        <f>"9789004504271"</f>
        <v>9789004504271</v>
      </c>
    </row>
    <row r="9425" spans="1:6" s="3" customFormat="1" ht="29.1" customHeight="1" x14ac:dyDescent="0.25">
      <c r="A9425" s="2" t="s">
        <v>19441</v>
      </c>
      <c r="B9425" s="2" t="s">
        <v>19442</v>
      </c>
      <c r="C9425" s="2" t="s">
        <v>29</v>
      </c>
      <c r="D9425" s="2" t="s">
        <v>297</v>
      </c>
      <c r="E9425" s="2" t="str">
        <f>"9789004500211"</f>
        <v>9789004500211</v>
      </c>
      <c r="F9425" s="2" t="str">
        <f>"9789004500228"</f>
        <v>9789004500228</v>
      </c>
    </row>
    <row r="9426" spans="1:6" s="3" customFormat="1" ht="29.1" customHeight="1" x14ac:dyDescent="0.25">
      <c r="A9426" s="2" t="s">
        <v>19443</v>
      </c>
      <c r="B9426" s="2" t="s">
        <v>18631</v>
      </c>
      <c r="C9426" s="2" t="s">
        <v>29</v>
      </c>
      <c r="D9426" s="2" t="s">
        <v>512</v>
      </c>
      <c r="E9426" s="2" t="str">
        <f>"9789004501324"</f>
        <v>9789004501324</v>
      </c>
      <c r="F9426" s="2" t="str">
        <f>"9789004501331"</f>
        <v>9789004501331</v>
      </c>
    </row>
    <row r="9427" spans="1:6" s="3" customFormat="1" ht="29.1" customHeight="1" x14ac:dyDescent="0.25">
      <c r="A9427" s="2" t="s">
        <v>19444</v>
      </c>
      <c r="B9427" s="2" t="s">
        <v>19445</v>
      </c>
      <c r="C9427" s="2" t="s">
        <v>29</v>
      </c>
      <c r="D9427" s="2" t="s">
        <v>408</v>
      </c>
      <c r="E9427" s="2" t="str">
        <f>"9789004499515"</f>
        <v>9789004499515</v>
      </c>
      <c r="F9427" s="2" t="str">
        <f>"9789004499546"</f>
        <v>9789004499546</v>
      </c>
    </row>
    <row r="9428" spans="1:6" s="3" customFormat="1" ht="29.1" customHeight="1" x14ac:dyDescent="0.25">
      <c r="A9428" s="2" t="s">
        <v>19446</v>
      </c>
      <c r="B9428" s="2" t="s">
        <v>19447</v>
      </c>
      <c r="C9428" s="2" t="s">
        <v>29</v>
      </c>
      <c r="D9428" s="2" t="s">
        <v>14574</v>
      </c>
      <c r="E9428" s="2" t="str">
        <f>"9789004468467"</f>
        <v>9789004468467</v>
      </c>
      <c r="F9428" s="2" t="str">
        <f>"9789004468474"</f>
        <v>9789004468474</v>
      </c>
    </row>
    <row r="9429" spans="1:6" s="3" customFormat="1" ht="29.1" customHeight="1" x14ac:dyDescent="0.25">
      <c r="A9429" s="2" t="s">
        <v>19448</v>
      </c>
      <c r="B9429" s="2" t="s">
        <v>19449</v>
      </c>
      <c r="C9429" s="2" t="s">
        <v>29</v>
      </c>
      <c r="D9429" s="2" t="s">
        <v>2005</v>
      </c>
      <c r="E9429" s="2" t="str">
        <f>"9789004499447"</f>
        <v>9789004499447</v>
      </c>
      <c r="F9429" s="2" t="str">
        <f>"9789004499614"</f>
        <v>9789004499614</v>
      </c>
    </row>
    <row r="9430" spans="1:6" s="3" customFormat="1" ht="29.1" customHeight="1" x14ac:dyDescent="0.25">
      <c r="A9430" s="2" t="s">
        <v>19450</v>
      </c>
      <c r="B9430" s="2" t="s">
        <v>19451</v>
      </c>
      <c r="C9430" s="2" t="s">
        <v>29</v>
      </c>
      <c r="D9430" s="2" t="s">
        <v>5032</v>
      </c>
      <c r="E9430" s="2" t="str">
        <f>"9789004412460"</f>
        <v>9789004412460</v>
      </c>
      <c r="F9430" s="2" t="str">
        <f>"9789004412477"</f>
        <v>9789004412477</v>
      </c>
    </row>
    <row r="9431" spans="1:6" s="3" customFormat="1" ht="29.1" customHeight="1" x14ac:dyDescent="0.25">
      <c r="A9431" s="2" t="s">
        <v>19452</v>
      </c>
      <c r="B9431" s="2" t="s">
        <v>19453</v>
      </c>
      <c r="C9431" s="2" t="s">
        <v>29</v>
      </c>
      <c r="D9431" s="2" t="s">
        <v>192</v>
      </c>
      <c r="E9431" s="2" t="str">
        <f>"9789004467552"</f>
        <v>9789004467552</v>
      </c>
      <c r="F9431" s="2" t="str">
        <f>"9789004467569"</f>
        <v>9789004467569</v>
      </c>
    </row>
    <row r="9432" spans="1:6" s="3" customFormat="1" ht="29.1" customHeight="1" x14ac:dyDescent="0.25">
      <c r="A9432" s="2" t="s">
        <v>19153</v>
      </c>
      <c r="B9432" s="2" t="s">
        <v>19454</v>
      </c>
      <c r="C9432" s="2" t="s">
        <v>29</v>
      </c>
      <c r="D9432" s="2" t="s">
        <v>6548</v>
      </c>
      <c r="E9432" s="2" t="str">
        <f>"9789004466746"</f>
        <v>9789004466746</v>
      </c>
      <c r="F9432" s="2" t="str">
        <f>"9789004466753"</f>
        <v>9789004466753</v>
      </c>
    </row>
    <row r="9433" spans="1:6" s="3" customFormat="1" ht="29.1" customHeight="1" x14ac:dyDescent="0.25">
      <c r="A9433" s="2" t="s">
        <v>19153</v>
      </c>
      <c r="B9433" s="2" t="s">
        <v>19455</v>
      </c>
      <c r="C9433" s="2" t="s">
        <v>29</v>
      </c>
      <c r="D9433" s="2" t="s">
        <v>6548</v>
      </c>
      <c r="E9433" s="2" t="str">
        <f>"9789004466722"</f>
        <v>9789004466722</v>
      </c>
      <c r="F9433" s="2" t="str">
        <f>"9789004466739"</f>
        <v>9789004466739</v>
      </c>
    </row>
    <row r="9434" spans="1:6" s="3" customFormat="1" ht="29.1" customHeight="1" x14ac:dyDescent="0.25">
      <c r="A9434" s="2" t="s">
        <v>19456</v>
      </c>
      <c r="B9434" s="2" t="s">
        <v>19457</v>
      </c>
      <c r="C9434" s="2" t="s">
        <v>29</v>
      </c>
      <c r="D9434" s="2" t="s">
        <v>509</v>
      </c>
      <c r="E9434" s="2" t="str">
        <f>"9789004250222"</f>
        <v>9789004250222</v>
      </c>
      <c r="F9434" s="2" t="str">
        <f>"9789004249394"</f>
        <v>9789004249394</v>
      </c>
    </row>
    <row r="9435" spans="1:6" s="3" customFormat="1" ht="29.1" customHeight="1" x14ac:dyDescent="0.25">
      <c r="A9435" s="2" t="s">
        <v>19458</v>
      </c>
      <c r="B9435" s="2" t="s">
        <v>19459</v>
      </c>
      <c r="C9435" s="2" t="s">
        <v>29</v>
      </c>
      <c r="D9435" s="2" t="s">
        <v>33</v>
      </c>
      <c r="E9435" s="2" t="str">
        <f>"9789004465657"</f>
        <v>9789004465657</v>
      </c>
      <c r="F9435" s="2" t="str">
        <f>"9789004466395"</f>
        <v>9789004466395</v>
      </c>
    </row>
    <row r="9436" spans="1:6" s="3" customFormat="1" ht="29.1" customHeight="1" x14ac:dyDescent="0.25">
      <c r="A9436" s="2" t="s">
        <v>19460</v>
      </c>
      <c r="B9436" s="2" t="s">
        <v>19461</v>
      </c>
      <c r="C9436" s="2" t="s">
        <v>29</v>
      </c>
      <c r="D9436" s="2" t="s">
        <v>509</v>
      </c>
      <c r="E9436" s="2" t="str">
        <f>"9789004462519"</f>
        <v>9789004462519</v>
      </c>
      <c r="F9436" s="2" t="str">
        <f>"9789004498228"</f>
        <v>9789004498228</v>
      </c>
    </row>
    <row r="9437" spans="1:6" s="3" customFormat="1" ht="29.1" customHeight="1" x14ac:dyDescent="0.25">
      <c r="A9437" s="2" t="s">
        <v>19462</v>
      </c>
      <c r="B9437" s="2" t="s">
        <v>19463</v>
      </c>
      <c r="C9437" s="2" t="s">
        <v>29</v>
      </c>
      <c r="D9437" s="2" t="s">
        <v>4155</v>
      </c>
      <c r="E9437" s="2" t="str">
        <f>"9789004448872"</f>
        <v>9789004448872</v>
      </c>
      <c r="F9437" s="2" t="str">
        <f>"9789004469358"</f>
        <v>9789004469358</v>
      </c>
    </row>
    <row r="9438" spans="1:6" s="3" customFormat="1" ht="29.1" customHeight="1" x14ac:dyDescent="0.25">
      <c r="A9438" s="2" t="s">
        <v>19464</v>
      </c>
      <c r="B9438" s="2" t="s">
        <v>19465</v>
      </c>
      <c r="C9438" s="2" t="s">
        <v>29</v>
      </c>
      <c r="D9438" s="2" t="s">
        <v>33</v>
      </c>
      <c r="E9438" s="2" t="str">
        <f>"9789004463400"</f>
        <v>9789004463400</v>
      </c>
      <c r="F9438" s="2" t="str">
        <f>"9789004467392"</f>
        <v>9789004467392</v>
      </c>
    </row>
    <row r="9439" spans="1:6" s="3" customFormat="1" ht="29.1" customHeight="1" x14ac:dyDescent="0.25">
      <c r="A9439" s="2" t="s">
        <v>19466</v>
      </c>
      <c r="B9439" s="2" t="s">
        <v>19467</v>
      </c>
      <c r="C9439" s="2" t="s">
        <v>29</v>
      </c>
      <c r="D9439" s="2" t="s">
        <v>183</v>
      </c>
      <c r="E9439" s="2" t="str">
        <f>"9789004421226"</f>
        <v>9789004421226</v>
      </c>
      <c r="F9439" s="2" t="str">
        <f>"9789004473263"</f>
        <v>9789004473263</v>
      </c>
    </row>
    <row r="9440" spans="1:6" s="3" customFormat="1" ht="29.1" customHeight="1" x14ac:dyDescent="0.25">
      <c r="A9440" s="2" t="s">
        <v>19468</v>
      </c>
      <c r="B9440" s="2" t="s">
        <v>19469</v>
      </c>
      <c r="C9440" s="2" t="s">
        <v>29</v>
      </c>
      <c r="D9440" s="2" t="s">
        <v>509</v>
      </c>
      <c r="E9440" s="2" t="str">
        <f>"9789004426399"</f>
        <v>9789004426399</v>
      </c>
      <c r="F9440" s="2" t="str">
        <f>"9789004473294"</f>
        <v>9789004473294</v>
      </c>
    </row>
    <row r="9441" spans="1:6" s="3" customFormat="1" ht="29.1" customHeight="1" x14ac:dyDescent="0.25">
      <c r="A9441" s="2" t="s">
        <v>19470</v>
      </c>
      <c r="B9441" s="2" t="s">
        <v>19471</v>
      </c>
      <c r="C9441" s="2" t="s">
        <v>29</v>
      </c>
      <c r="D9441" s="2" t="s">
        <v>509</v>
      </c>
      <c r="E9441" s="2" t="str">
        <f>"9789004120792"</f>
        <v>9789004120792</v>
      </c>
      <c r="F9441" s="2" t="str">
        <f>"9789004473461"</f>
        <v>9789004473461</v>
      </c>
    </row>
    <row r="9442" spans="1:6" s="3" customFormat="1" ht="29.1" customHeight="1" x14ac:dyDescent="0.25">
      <c r="A9442" s="2" t="s">
        <v>19472</v>
      </c>
      <c r="B9442" s="2" t="s">
        <v>19473</v>
      </c>
      <c r="C9442" s="2" t="s">
        <v>29</v>
      </c>
      <c r="D9442" s="2" t="s">
        <v>4742</v>
      </c>
      <c r="E9442" s="2" t="str">
        <f>"9789004471290"</f>
        <v>9789004471290</v>
      </c>
      <c r="F9442" s="2" t="str">
        <f>"9789004471306"</f>
        <v>9789004471306</v>
      </c>
    </row>
    <row r="9443" spans="1:6" s="3" customFormat="1" ht="29.1" customHeight="1" x14ac:dyDescent="0.25">
      <c r="A9443" s="2" t="s">
        <v>19474</v>
      </c>
      <c r="B9443" s="2" t="s">
        <v>19475</v>
      </c>
      <c r="C9443" s="2" t="s">
        <v>29</v>
      </c>
      <c r="D9443" s="2" t="s">
        <v>4117</v>
      </c>
      <c r="E9443" s="2" t="str">
        <f>"9789004469730"</f>
        <v>9789004469730</v>
      </c>
      <c r="F9443" s="2" t="str">
        <f>"9789004469747"</f>
        <v>9789004469747</v>
      </c>
    </row>
    <row r="9444" spans="1:6" s="3" customFormat="1" ht="29.1" customHeight="1" x14ac:dyDescent="0.25">
      <c r="A9444" s="2" t="s">
        <v>19476</v>
      </c>
      <c r="B9444" s="2" t="s">
        <v>19477</v>
      </c>
      <c r="C9444" s="2" t="s">
        <v>29</v>
      </c>
      <c r="D9444" s="2" t="s">
        <v>408</v>
      </c>
      <c r="E9444" s="2" t="str">
        <f>"9789004469136"</f>
        <v>9789004469136</v>
      </c>
      <c r="F9444" s="2" t="str">
        <f>"9789004469204"</f>
        <v>9789004469204</v>
      </c>
    </row>
    <row r="9445" spans="1:6" s="3" customFormat="1" ht="29.1" customHeight="1" x14ac:dyDescent="0.25">
      <c r="A9445" s="2" t="s">
        <v>19478</v>
      </c>
      <c r="B9445" s="2" t="s">
        <v>19479</v>
      </c>
      <c r="C9445" s="2" t="s">
        <v>677</v>
      </c>
      <c r="D9445" s="2" t="s">
        <v>16588</v>
      </c>
      <c r="E9445" s="2"/>
      <c r="F9445" s="2" t="str">
        <f>"9789493296077"</f>
        <v>9789493296077</v>
      </c>
    </row>
    <row r="9446" spans="1:6" s="3" customFormat="1" ht="29.1" customHeight="1" x14ac:dyDescent="0.25">
      <c r="A9446" s="2" t="s">
        <v>19480</v>
      </c>
      <c r="B9446" s="2" t="s">
        <v>19482</v>
      </c>
      <c r="C9446" s="2" t="s">
        <v>677</v>
      </c>
      <c r="D9446" s="2" t="s">
        <v>19481</v>
      </c>
      <c r="E9446" s="2"/>
      <c r="F9446" s="2" t="str">
        <f>"9789083178929"</f>
        <v>9789083178929</v>
      </c>
    </row>
    <row r="9447" spans="1:6" s="3" customFormat="1" ht="29.1" customHeight="1" x14ac:dyDescent="0.25">
      <c r="A9447" s="2" t="s">
        <v>19483</v>
      </c>
      <c r="B9447" s="2" t="s">
        <v>19484</v>
      </c>
      <c r="C9447" s="2" t="s">
        <v>677</v>
      </c>
      <c r="D9447" s="2" t="s">
        <v>4214</v>
      </c>
      <c r="E9447" s="2"/>
      <c r="F9447" s="2" t="str">
        <f>"9789083178905"</f>
        <v>9789083178905</v>
      </c>
    </row>
    <row r="9448" spans="1:6" s="3" customFormat="1" ht="29.1" customHeight="1" x14ac:dyDescent="0.25">
      <c r="A9448" s="2" t="s">
        <v>19485</v>
      </c>
      <c r="B9448" s="2" t="s">
        <v>19486</v>
      </c>
      <c r="C9448" s="2" t="s">
        <v>29</v>
      </c>
      <c r="D9448" s="2" t="s">
        <v>33</v>
      </c>
      <c r="E9448" s="2" t="str">
        <f>"9783770559404"</f>
        <v>9783770559404</v>
      </c>
      <c r="F9448" s="2" t="str">
        <f>"9783846759400"</f>
        <v>9783846759400</v>
      </c>
    </row>
    <row r="9449" spans="1:6" s="3" customFormat="1" ht="29.1" customHeight="1" x14ac:dyDescent="0.25">
      <c r="A9449" s="2" t="s">
        <v>19487</v>
      </c>
      <c r="B9449" s="2" t="s">
        <v>19488</v>
      </c>
      <c r="C9449" s="2" t="s">
        <v>29</v>
      </c>
      <c r="D9449" s="2" t="s">
        <v>69</v>
      </c>
      <c r="E9449" s="2" t="str">
        <f>"9783770559961"</f>
        <v>9783770559961</v>
      </c>
      <c r="F9449" s="2" t="str">
        <f>"9783846759967"</f>
        <v>9783846759967</v>
      </c>
    </row>
    <row r="9450" spans="1:6" s="3" customFormat="1" ht="29.1" customHeight="1" x14ac:dyDescent="0.25">
      <c r="A9450" s="2" t="s">
        <v>19489</v>
      </c>
      <c r="B9450" s="2" t="s">
        <v>19490</v>
      </c>
      <c r="C9450" s="2" t="s">
        <v>29</v>
      </c>
      <c r="D9450" s="2" t="s">
        <v>92</v>
      </c>
      <c r="E9450" s="2" t="str">
        <f>"9783506779977"</f>
        <v>9783506779977</v>
      </c>
      <c r="F9450" s="2" t="str">
        <f>"9783657779970"</f>
        <v>9783657779970</v>
      </c>
    </row>
    <row r="9451" spans="1:6" s="3" customFormat="1" ht="29.1" customHeight="1" x14ac:dyDescent="0.25">
      <c r="A9451" s="2" t="s">
        <v>19491</v>
      </c>
      <c r="B9451" s="2" t="s">
        <v>19492</v>
      </c>
      <c r="C9451" s="2" t="s">
        <v>29</v>
      </c>
      <c r="D9451" s="2" t="s">
        <v>324</v>
      </c>
      <c r="E9451" s="2" t="str">
        <f>"9783770554041"</f>
        <v>9783770554041</v>
      </c>
      <c r="F9451" s="2" t="str">
        <f>"9783846754047"</f>
        <v>9783846754047</v>
      </c>
    </row>
    <row r="9452" spans="1:6" s="3" customFormat="1" ht="29.1" customHeight="1" x14ac:dyDescent="0.25">
      <c r="A9452" s="2" t="s">
        <v>19493</v>
      </c>
      <c r="B9452" s="2" t="s">
        <v>19494</v>
      </c>
      <c r="C9452" s="2" t="s">
        <v>29</v>
      </c>
      <c r="D9452" s="2" t="s">
        <v>324</v>
      </c>
      <c r="E9452" s="2" t="str">
        <f>"9783770552078"</f>
        <v>9783770552078</v>
      </c>
      <c r="F9452" s="2" t="str">
        <f>"9783846752074"</f>
        <v>9783846752074</v>
      </c>
    </row>
    <row r="9453" spans="1:6" s="3" customFormat="1" ht="29.1" customHeight="1" x14ac:dyDescent="0.25">
      <c r="A9453" s="2" t="s">
        <v>19495</v>
      </c>
      <c r="B9453" s="2" t="s">
        <v>19497</v>
      </c>
      <c r="C9453" s="2" t="s">
        <v>327</v>
      </c>
      <c r="D9453" s="2" t="s">
        <v>19496</v>
      </c>
      <c r="E9453" s="2" t="str">
        <f>"9788383312408"</f>
        <v>9788383312408</v>
      </c>
      <c r="F9453" s="2" t="str">
        <f>"9788383312415"</f>
        <v>9788383312415</v>
      </c>
    </row>
    <row r="9454" spans="1:6" s="3" customFormat="1" ht="29.1" customHeight="1" x14ac:dyDescent="0.25">
      <c r="A9454" s="2" t="s">
        <v>19498</v>
      </c>
      <c r="B9454" s="2" t="s">
        <v>19499</v>
      </c>
      <c r="C9454" s="2" t="s">
        <v>327</v>
      </c>
      <c r="D9454" s="2" t="s">
        <v>1416</v>
      </c>
      <c r="E9454" s="2" t="str">
        <f>"9788383312064"</f>
        <v>9788383312064</v>
      </c>
      <c r="F9454" s="2" t="str">
        <f>"9788383312071"</f>
        <v>9788383312071</v>
      </c>
    </row>
    <row r="9455" spans="1:6" s="3" customFormat="1" ht="29.1" customHeight="1" x14ac:dyDescent="0.25">
      <c r="A9455" s="2" t="s">
        <v>19500</v>
      </c>
      <c r="B9455" s="2" t="s">
        <v>19501</v>
      </c>
      <c r="C9455" s="2" t="s">
        <v>327</v>
      </c>
      <c r="D9455" s="2" t="s">
        <v>17099</v>
      </c>
      <c r="E9455" s="2" t="str">
        <f>"9788383311982"</f>
        <v>9788383311982</v>
      </c>
      <c r="F9455" s="2" t="str">
        <f>"9788383311999"</f>
        <v>9788383311999</v>
      </c>
    </row>
    <row r="9456" spans="1:6" s="3" customFormat="1" ht="29.1" customHeight="1" x14ac:dyDescent="0.25">
      <c r="A9456" s="2" t="s">
        <v>19502</v>
      </c>
      <c r="B9456" s="2" t="s">
        <v>19503</v>
      </c>
      <c r="C9456" s="2" t="s">
        <v>327</v>
      </c>
      <c r="D9456" s="2" t="s">
        <v>4210</v>
      </c>
      <c r="E9456" s="2" t="str">
        <f>"9788383312903"</f>
        <v>9788383312903</v>
      </c>
      <c r="F9456" s="2" t="str">
        <f>"9788383312910"</f>
        <v>9788383312910</v>
      </c>
    </row>
    <row r="9457" spans="1:6" s="3" customFormat="1" ht="29.1" customHeight="1" x14ac:dyDescent="0.25">
      <c r="A9457" s="2" t="s">
        <v>19504</v>
      </c>
      <c r="B9457" s="2" t="s">
        <v>19505</v>
      </c>
      <c r="C9457" s="2" t="s">
        <v>327</v>
      </c>
      <c r="D9457" s="2" t="s">
        <v>183</v>
      </c>
      <c r="E9457" s="2" t="str">
        <f>"9788383311852"</f>
        <v>9788383311852</v>
      </c>
      <c r="F9457" s="2" t="str">
        <f>"9788383311869"</f>
        <v>9788383311869</v>
      </c>
    </row>
    <row r="9458" spans="1:6" s="3" customFormat="1" ht="29.1" customHeight="1" x14ac:dyDescent="0.25">
      <c r="A9458" s="2" t="s">
        <v>19506</v>
      </c>
      <c r="B9458" s="2" t="s">
        <v>19508</v>
      </c>
      <c r="C9458" s="2" t="s">
        <v>327</v>
      </c>
      <c r="D9458" s="2" t="s">
        <v>19507</v>
      </c>
      <c r="E9458" s="2" t="str">
        <f>"9788383312644"</f>
        <v>9788383312644</v>
      </c>
      <c r="F9458" s="2" t="str">
        <f>"9788383312651"</f>
        <v>9788383312651</v>
      </c>
    </row>
    <row r="9459" spans="1:6" s="3" customFormat="1" ht="29.1" customHeight="1" x14ac:dyDescent="0.25">
      <c r="A9459" s="2" t="s">
        <v>19509</v>
      </c>
      <c r="B9459" s="2" t="s">
        <v>19510</v>
      </c>
      <c r="C9459" s="2" t="s">
        <v>327</v>
      </c>
      <c r="D9459" s="2" t="s">
        <v>183</v>
      </c>
      <c r="E9459" s="2" t="str">
        <f>"9788383312279"</f>
        <v>9788383312279</v>
      </c>
      <c r="F9459" s="2" t="str">
        <f>"9788383312286"</f>
        <v>9788383312286</v>
      </c>
    </row>
    <row r="9460" spans="1:6" s="3" customFormat="1" ht="29.1" customHeight="1" x14ac:dyDescent="0.25">
      <c r="A9460" s="2" t="s">
        <v>19511</v>
      </c>
      <c r="B9460" s="2" t="s">
        <v>19512</v>
      </c>
      <c r="C9460" s="2" t="s">
        <v>327</v>
      </c>
      <c r="D9460" s="2" t="s">
        <v>537</v>
      </c>
      <c r="E9460" s="2"/>
      <c r="F9460" s="2" t="str">
        <f>"9788383313115"</f>
        <v>9788383313115</v>
      </c>
    </row>
    <row r="9461" spans="1:6" s="3" customFormat="1" ht="29.1" customHeight="1" x14ac:dyDescent="0.25">
      <c r="A9461" s="2" t="s">
        <v>19513</v>
      </c>
      <c r="B9461" s="2" t="s">
        <v>19514</v>
      </c>
      <c r="C9461" s="2" t="s">
        <v>327</v>
      </c>
      <c r="D9461" s="2" t="s">
        <v>1189</v>
      </c>
      <c r="E9461" s="2" t="str">
        <f>"9788383312934"</f>
        <v>9788383312934</v>
      </c>
      <c r="F9461" s="2" t="str">
        <f>"9788383312941"</f>
        <v>9788383312941</v>
      </c>
    </row>
    <row r="9462" spans="1:6" s="3" customFormat="1" ht="29.1" customHeight="1" x14ac:dyDescent="0.25">
      <c r="A9462" s="2" t="s">
        <v>19515</v>
      </c>
      <c r="B9462" s="2" t="s">
        <v>19516</v>
      </c>
      <c r="C9462" s="2" t="s">
        <v>8104</v>
      </c>
      <c r="D9462" s="2" t="s">
        <v>636</v>
      </c>
      <c r="E9462" s="2" t="str">
        <f>"9781805395850"</f>
        <v>9781805395850</v>
      </c>
      <c r="F9462" s="2" t="str">
        <f>"9781805395867"</f>
        <v>9781805395867</v>
      </c>
    </row>
    <row r="9463" spans="1:6" s="3" customFormat="1" ht="29.1" customHeight="1" x14ac:dyDescent="0.25">
      <c r="A9463" s="2" t="s">
        <v>19517</v>
      </c>
      <c r="B9463" s="2" t="s">
        <v>19518</v>
      </c>
      <c r="C9463" s="2" t="s">
        <v>8104</v>
      </c>
      <c r="D9463" s="2" t="s">
        <v>2142</v>
      </c>
      <c r="E9463" s="2" t="str">
        <f>"9781805395126"</f>
        <v>9781805395126</v>
      </c>
      <c r="F9463" s="2" t="str">
        <f>"9781805395133"</f>
        <v>9781805395133</v>
      </c>
    </row>
    <row r="9464" spans="1:6" s="3" customFormat="1" ht="29.1" customHeight="1" x14ac:dyDescent="0.25">
      <c r="A9464" s="2" t="s">
        <v>19519</v>
      </c>
      <c r="B9464" s="2" t="s">
        <v>19520</v>
      </c>
      <c r="C9464" s="2" t="s">
        <v>8104</v>
      </c>
      <c r="D9464" s="2" t="s">
        <v>202</v>
      </c>
      <c r="E9464" s="2" t="str">
        <f>"9781805395942"</f>
        <v>9781805395942</v>
      </c>
      <c r="F9464" s="2" t="str">
        <f>"9781805395959"</f>
        <v>9781805395959</v>
      </c>
    </row>
    <row r="9465" spans="1:6" s="3" customFormat="1" ht="29.1" customHeight="1" x14ac:dyDescent="0.25">
      <c r="A9465" s="2" t="s">
        <v>19521</v>
      </c>
      <c r="B9465" s="2" t="s">
        <v>19522</v>
      </c>
      <c r="C9465" s="2" t="s">
        <v>8104</v>
      </c>
      <c r="D9465" s="2" t="s">
        <v>3214</v>
      </c>
      <c r="E9465" s="2" t="str">
        <f>"9781805391869"</f>
        <v>9781805391869</v>
      </c>
      <c r="F9465" s="2" t="str">
        <f>"9781805392026"</f>
        <v>9781805392026</v>
      </c>
    </row>
    <row r="9466" spans="1:6" s="3" customFormat="1" ht="29.1" customHeight="1" x14ac:dyDescent="0.25">
      <c r="A9466" s="2" t="s">
        <v>19523</v>
      </c>
      <c r="B9466" s="2" t="s">
        <v>19524</v>
      </c>
      <c r="C9466" s="2" t="s">
        <v>29</v>
      </c>
      <c r="D9466" s="2" t="s">
        <v>78</v>
      </c>
      <c r="E9466" s="2" t="str">
        <f>"9783506773340"</f>
        <v>9783506773340</v>
      </c>
      <c r="F9466" s="2" t="str">
        <f>"9783657773343"</f>
        <v>9783657773343</v>
      </c>
    </row>
    <row r="9467" spans="1:6" s="3" customFormat="1" ht="29.1" customHeight="1" x14ac:dyDescent="0.25">
      <c r="A9467" s="2" t="s">
        <v>19525</v>
      </c>
      <c r="B9467" s="2" t="s">
        <v>19526</v>
      </c>
      <c r="C9467" s="2" t="s">
        <v>29</v>
      </c>
      <c r="D9467" s="2" t="s">
        <v>324</v>
      </c>
      <c r="E9467" s="2" t="str">
        <f>"9783506791580"</f>
        <v>9783506791580</v>
      </c>
      <c r="F9467" s="2" t="str">
        <f>"9783657791583"</f>
        <v>9783657791583</v>
      </c>
    </row>
    <row r="9468" spans="1:6" s="3" customFormat="1" ht="29.1" customHeight="1" x14ac:dyDescent="0.25">
      <c r="A9468" s="2" t="s">
        <v>19527</v>
      </c>
      <c r="B9468" s="2" t="s">
        <v>19528</v>
      </c>
      <c r="C9468" s="2" t="s">
        <v>29</v>
      </c>
      <c r="D9468" s="2" t="s">
        <v>63</v>
      </c>
      <c r="E9468" s="2" t="str">
        <f>"9783506791320"</f>
        <v>9783506791320</v>
      </c>
      <c r="F9468" s="2" t="str">
        <f>"9783657791323"</f>
        <v>9783657791323</v>
      </c>
    </row>
    <row r="9469" spans="1:6" s="3" customFormat="1" ht="29.1" customHeight="1" x14ac:dyDescent="0.25">
      <c r="A9469" s="2" t="s">
        <v>19529</v>
      </c>
      <c r="B9469" s="2" t="s">
        <v>19530</v>
      </c>
      <c r="C9469" s="2" t="s">
        <v>29</v>
      </c>
      <c r="D9469" s="2" t="s">
        <v>937</v>
      </c>
      <c r="E9469" s="2" t="str">
        <f>"9783506790811"</f>
        <v>9783506790811</v>
      </c>
      <c r="F9469" s="2" t="str">
        <f>"9783657790814"</f>
        <v>9783657790814</v>
      </c>
    </row>
    <row r="9470" spans="1:6" s="3" customFormat="1" ht="29.1" customHeight="1" x14ac:dyDescent="0.25">
      <c r="A9470" s="2" t="s">
        <v>19531</v>
      </c>
      <c r="B9470" s="2" t="s">
        <v>19532</v>
      </c>
      <c r="C9470" s="2" t="s">
        <v>29</v>
      </c>
      <c r="D9470" s="2" t="s">
        <v>33</v>
      </c>
      <c r="E9470" s="2" t="str">
        <f>"9783770567607"</f>
        <v>9783770567607</v>
      </c>
      <c r="F9470" s="2" t="str">
        <f>"9783846767603"</f>
        <v>9783846767603</v>
      </c>
    </row>
    <row r="9471" spans="1:6" s="3" customFormat="1" ht="29.1" customHeight="1" x14ac:dyDescent="0.25">
      <c r="A9471" s="2" t="s">
        <v>19533</v>
      </c>
      <c r="B9471" s="2" t="s">
        <v>19534</v>
      </c>
      <c r="C9471" s="2" t="s">
        <v>29</v>
      </c>
      <c r="D9471" s="2" t="s">
        <v>150</v>
      </c>
      <c r="E9471" s="2" t="str">
        <f>"9783506791559"</f>
        <v>9783506791559</v>
      </c>
      <c r="F9471" s="2" t="str">
        <f>"9783657791552"</f>
        <v>9783657791552</v>
      </c>
    </row>
    <row r="9472" spans="1:6" s="3" customFormat="1" ht="29.1" customHeight="1" x14ac:dyDescent="0.25">
      <c r="A9472" s="2" t="s">
        <v>19535</v>
      </c>
      <c r="B9472" s="2" t="s">
        <v>19536</v>
      </c>
      <c r="C9472" s="2" t="s">
        <v>29</v>
      </c>
      <c r="D9472" s="2" t="s">
        <v>14865</v>
      </c>
      <c r="E9472" s="2" t="str">
        <f>"9783506790439"</f>
        <v>9783506790439</v>
      </c>
      <c r="F9472" s="2" t="str">
        <f>"9783657790432"</f>
        <v>9783657790432</v>
      </c>
    </row>
    <row r="9473" spans="1:6" s="3" customFormat="1" ht="29.1" customHeight="1" x14ac:dyDescent="0.25">
      <c r="A9473" s="2" t="s">
        <v>19537</v>
      </c>
      <c r="B9473" s="2" t="s">
        <v>19538</v>
      </c>
      <c r="C9473" s="2" t="s">
        <v>29</v>
      </c>
      <c r="D9473" s="2" t="s">
        <v>818</v>
      </c>
      <c r="E9473" s="2" t="str">
        <f>"9783506790385"</f>
        <v>9783506790385</v>
      </c>
      <c r="F9473" s="2" t="str">
        <f>"9783657790388"</f>
        <v>9783657790388</v>
      </c>
    </row>
    <row r="9474" spans="1:6" s="3" customFormat="1" ht="29.1" customHeight="1" x14ac:dyDescent="0.25">
      <c r="A9474" s="2" t="s">
        <v>19539</v>
      </c>
      <c r="B9474" s="2" t="s">
        <v>19540</v>
      </c>
      <c r="C9474" s="2" t="s">
        <v>29</v>
      </c>
      <c r="D9474" s="2" t="s">
        <v>413</v>
      </c>
      <c r="E9474" s="2" t="str">
        <f>"9783770567775"</f>
        <v>9783770567775</v>
      </c>
      <c r="F9474" s="2" t="str">
        <f>"9783846767771"</f>
        <v>9783846767771</v>
      </c>
    </row>
    <row r="9475" spans="1:6" s="3" customFormat="1" ht="29.1" customHeight="1" x14ac:dyDescent="0.25">
      <c r="A9475" s="2" t="s">
        <v>19541</v>
      </c>
      <c r="B9475" s="2" t="s">
        <v>19543</v>
      </c>
      <c r="C9475" s="2" t="s">
        <v>29</v>
      </c>
      <c r="D9475" s="2" t="s">
        <v>19542</v>
      </c>
      <c r="E9475" s="2" t="str">
        <f>"9783770567829"</f>
        <v>9783770567829</v>
      </c>
      <c r="F9475" s="2" t="str">
        <f>"9783846767825"</f>
        <v>9783846767825</v>
      </c>
    </row>
    <row r="9476" spans="1:6" s="3" customFormat="1" ht="29.1" customHeight="1" x14ac:dyDescent="0.25">
      <c r="A9476" s="2" t="s">
        <v>19544</v>
      </c>
      <c r="B9476" s="2" t="s">
        <v>19545</v>
      </c>
      <c r="C9476" s="2" t="s">
        <v>29</v>
      </c>
      <c r="D9476" s="2" t="s">
        <v>413</v>
      </c>
      <c r="E9476" s="2" t="str">
        <f>"9783770567232"</f>
        <v>9783770567232</v>
      </c>
      <c r="F9476" s="2" t="str">
        <f>"9783846767238"</f>
        <v>9783846767238</v>
      </c>
    </row>
    <row r="9477" spans="1:6" s="3" customFormat="1" ht="29.1" customHeight="1" x14ac:dyDescent="0.25">
      <c r="A9477" s="2" t="s">
        <v>19546</v>
      </c>
      <c r="B9477" s="2" t="s">
        <v>19547</v>
      </c>
      <c r="C9477" s="2" t="s">
        <v>29</v>
      </c>
      <c r="D9477" s="2" t="s">
        <v>218</v>
      </c>
      <c r="E9477" s="2" t="str">
        <f>"9783506790309"</f>
        <v>9783506790309</v>
      </c>
      <c r="F9477" s="2" t="str">
        <f>"9783657790302"</f>
        <v>9783657790302</v>
      </c>
    </row>
    <row r="9478" spans="1:6" s="3" customFormat="1" ht="29.1" customHeight="1" x14ac:dyDescent="0.25">
      <c r="A9478" s="2" t="s">
        <v>19548</v>
      </c>
      <c r="B9478" s="2" t="s">
        <v>19549</v>
      </c>
      <c r="C9478" s="2" t="s">
        <v>29</v>
      </c>
      <c r="D9478" s="2" t="s">
        <v>1411</v>
      </c>
      <c r="E9478" s="2" t="str">
        <f>"9783770567294"</f>
        <v>9783770567294</v>
      </c>
      <c r="F9478" s="2" t="str">
        <f>"9783846767290"</f>
        <v>9783846767290</v>
      </c>
    </row>
    <row r="9479" spans="1:6" s="3" customFormat="1" ht="29.1" customHeight="1" x14ac:dyDescent="0.25">
      <c r="A9479" s="2" t="s">
        <v>19550</v>
      </c>
      <c r="B9479" s="2" t="s">
        <v>19551</v>
      </c>
      <c r="C9479" s="2" t="s">
        <v>29</v>
      </c>
      <c r="D9479" s="2" t="s">
        <v>243</v>
      </c>
      <c r="E9479" s="2" t="str">
        <f>"9783506793799"</f>
        <v>9783506793799</v>
      </c>
      <c r="F9479" s="2" t="str">
        <f>"9783657793792"</f>
        <v>9783657793792</v>
      </c>
    </row>
    <row r="9480" spans="1:6" s="3" customFormat="1" ht="29.1" customHeight="1" x14ac:dyDescent="0.25">
      <c r="A9480" s="2" t="s">
        <v>19552</v>
      </c>
      <c r="B9480" s="2" t="s">
        <v>19553</v>
      </c>
      <c r="C9480" s="2" t="s">
        <v>29</v>
      </c>
      <c r="D9480" s="2" t="s">
        <v>7102</v>
      </c>
      <c r="E9480" s="2" t="str">
        <f>"9783506708403"</f>
        <v>9783506708403</v>
      </c>
      <c r="F9480" s="2" t="str">
        <f>"9783657708406"</f>
        <v>9783657708406</v>
      </c>
    </row>
    <row r="9481" spans="1:6" s="3" customFormat="1" ht="29.1" customHeight="1" x14ac:dyDescent="0.25">
      <c r="A9481" s="2" t="s">
        <v>19554</v>
      </c>
      <c r="B9481" s="2" t="s">
        <v>19555</v>
      </c>
      <c r="C9481" s="2" t="s">
        <v>29</v>
      </c>
      <c r="D9481" s="2" t="s">
        <v>33</v>
      </c>
      <c r="E9481" s="2" t="str">
        <f>"9783770567430"</f>
        <v>9783770567430</v>
      </c>
      <c r="F9481" s="2" t="str">
        <f>"9783846767436"</f>
        <v>9783846767436</v>
      </c>
    </row>
    <row r="9482" spans="1:6" s="3" customFormat="1" ht="29.1" customHeight="1" x14ac:dyDescent="0.25">
      <c r="A9482" s="2" t="s">
        <v>19556</v>
      </c>
      <c r="B9482" s="2" t="s">
        <v>19557</v>
      </c>
      <c r="C9482" s="2" t="s">
        <v>29</v>
      </c>
      <c r="D9482" s="2" t="s">
        <v>150</v>
      </c>
      <c r="E9482" s="2" t="str">
        <f>"9783506793393"</f>
        <v>9783506793393</v>
      </c>
      <c r="F9482" s="2" t="str">
        <f>"9783657793396"</f>
        <v>9783657793396</v>
      </c>
    </row>
    <row r="9483" spans="1:6" s="3" customFormat="1" ht="29.1" customHeight="1" x14ac:dyDescent="0.25">
      <c r="A9483" s="2" t="s">
        <v>19558</v>
      </c>
      <c r="B9483" s="2" t="s">
        <v>19559</v>
      </c>
      <c r="C9483" s="2" t="s">
        <v>29</v>
      </c>
      <c r="D9483" s="2" t="s">
        <v>33</v>
      </c>
      <c r="E9483" s="2" t="str">
        <f>"9783506795281"</f>
        <v>9783506795281</v>
      </c>
      <c r="F9483" s="2" t="str">
        <f>"9783657795284"</f>
        <v>9783657795284</v>
      </c>
    </row>
    <row r="9484" spans="1:6" s="3" customFormat="1" ht="29.1" customHeight="1" x14ac:dyDescent="0.25">
      <c r="A9484" s="2" t="s">
        <v>19560</v>
      </c>
      <c r="B9484" s="2" t="s">
        <v>19561</v>
      </c>
      <c r="C9484" s="2" t="s">
        <v>29</v>
      </c>
      <c r="D9484" s="2" t="s">
        <v>215</v>
      </c>
      <c r="E9484" s="2" t="str">
        <f>"9783957432629"</f>
        <v>9783957432629</v>
      </c>
      <c r="F9484" s="2" t="str">
        <f>"9783969752623"</f>
        <v>9783969752623</v>
      </c>
    </row>
    <row r="9485" spans="1:6" s="3" customFormat="1" ht="29.1" customHeight="1" x14ac:dyDescent="0.25">
      <c r="A9485" s="2" t="s">
        <v>19562</v>
      </c>
      <c r="B9485" s="2" t="s">
        <v>19563</v>
      </c>
      <c r="C9485" s="2" t="s">
        <v>29</v>
      </c>
      <c r="D9485" s="2" t="s">
        <v>210</v>
      </c>
      <c r="E9485" s="2" t="str">
        <f>"9783506793775"</f>
        <v>9783506793775</v>
      </c>
      <c r="F9485" s="2" t="str">
        <f>"9783657793778"</f>
        <v>9783657793778</v>
      </c>
    </row>
    <row r="9486" spans="1:6" s="3" customFormat="1" ht="29.1" customHeight="1" x14ac:dyDescent="0.25">
      <c r="A9486" s="2" t="s">
        <v>19564</v>
      </c>
      <c r="B9486" s="2" t="s">
        <v>19565</v>
      </c>
      <c r="C9486" s="2" t="s">
        <v>29</v>
      </c>
      <c r="D9486" s="2" t="s">
        <v>9502</v>
      </c>
      <c r="E9486" s="2" t="str">
        <f>"9783770567409"</f>
        <v>9783770567409</v>
      </c>
      <c r="F9486" s="2" t="str">
        <f>"9783846767405"</f>
        <v>9783846767405</v>
      </c>
    </row>
    <row r="9487" spans="1:6" s="3" customFormat="1" ht="29.1" customHeight="1" x14ac:dyDescent="0.25">
      <c r="A9487" s="2" t="s">
        <v>19566</v>
      </c>
      <c r="B9487" s="2" t="s">
        <v>19567</v>
      </c>
      <c r="C9487" s="2" t="s">
        <v>29</v>
      </c>
      <c r="D9487" s="2" t="s">
        <v>324</v>
      </c>
      <c r="E9487" s="2" t="str">
        <f>"9783506795267"</f>
        <v>9783506795267</v>
      </c>
      <c r="F9487" s="2" t="str">
        <f>"9783657795260"</f>
        <v>9783657795260</v>
      </c>
    </row>
    <row r="9488" spans="1:6" s="3" customFormat="1" ht="29.1" customHeight="1" x14ac:dyDescent="0.25">
      <c r="A9488" s="2" t="s">
        <v>19568</v>
      </c>
      <c r="B9488" s="2" t="s">
        <v>19569</v>
      </c>
      <c r="C9488" s="2" t="s">
        <v>29</v>
      </c>
      <c r="D9488" s="2" t="s">
        <v>150</v>
      </c>
      <c r="E9488" s="2" t="str">
        <f>"9783506708397"</f>
        <v>9783506708397</v>
      </c>
      <c r="F9488" s="2" t="str">
        <f>"9783657708390"</f>
        <v>9783657708390</v>
      </c>
    </row>
    <row r="9489" spans="1:6" s="3" customFormat="1" ht="29.1" customHeight="1" x14ac:dyDescent="0.25">
      <c r="A9489" s="2" t="s">
        <v>19570</v>
      </c>
      <c r="B9489" s="2" t="s">
        <v>19571</v>
      </c>
      <c r="C9489" s="2" t="s">
        <v>29</v>
      </c>
      <c r="D9489" s="2" t="s">
        <v>661</v>
      </c>
      <c r="E9489" s="2" t="str">
        <f>"9783770566808"</f>
        <v>9783770566808</v>
      </c>
      <c r="F9489" s="2" t="str">
        <f>"9783846766804"</f>
        <v>9783846766804</v>
      </c>
    </row>
    <row r="9490" spans="1:6" s="3" customFormat="1" ht="29.1" customHeight="1" x14ac:dyDescent="0.25">
      <c r="A9490" s="2" t="s">
        <v>19572</v>
      </c>
      <c r="B9490" s="2" t="s">
        <v>19573</v>
      </c>
      <c r="C9490" s="2" t="s">
        <v>29</v>
      </c>
      <c r="D9490" s="2" t="s">
        <v>509</v>
      </c>
      <c r="E9490" s="2" t="str">
        <f>"9783506704870"</f>
        <v>9783506704870</v>
      </c>
      <c r="F9490" s="2" t="str">
        <f>"9783657704873"</f>
        <v>9783657704873</v>
      </c>
    </row>
    <row r="9491" spans="1:6" s="3" customFormat="1" ht="29.1" customHeight="1" x14ac:dyDescent="0.25">
      <c r="A9491" s="2" t="s">
        <v>19574</v>
      </c>
      <c r="B9491" s="2" t="s">
        <v>13731</v>
      </c>
      <c r="C9491" s="2" t="s">
        <v>29</v>
      </c>
      <c r="D9491" s="2" t="s">
        <v>218</v>
      </c>
      <c r="E9491" s="2" t="str">
        <f>"9783506705198"</f>
        <v>9783506705198</v>
      </c>
      <c r="F9491" s="2" t="str">
        <f>"9783657705191"</f>
        <v>9783657705191</v>
      </c>
    </row>
    <row r="9492" spans="1:6" s="3" customFormat="1" ht="29.1" customHeight="1" x14ac:dyDescent="0.25">
      <c r="A9492" s="2" t="s">
        <v>19575</v>
      </c>
      <c r="B9492" s="2" t="s">
        <v>19576</v>
      </c>
      <c r="C9492" s="2" t="s">
        <v>29</v>
      </c>
      <c r="D9492" s="2" t="s">
        <v>3166</v>
      </c>
      <c r="E9492" s="2" t="str">
        <f>"9783770564583"</f>
        <v>9783770564583</v>
      </c>
      <c r="F9492" s="2" t="str">
        <f>"9783846764589"</f>
        <v>9783846764589</v>
      </c>
    </row>
    <row r="9493" spans="1:6" s="3" customFormat="1" ht="29.1" customHeight="1" x14ac:dyDescent="0.25">
      <c r="A9493" s="2" t="s">
        <v>19577</v>
      </c>
      <c r="B9493" s="2" t="s">
        <v>19578</v>
      </c>
      <c r="C9493" s="2" t="s">
        <v>29</v>
      </c>
      <c r="D9493" s="2" t="s">
        <v>33</v>
      </c>
      <c r="E9493" s="2" t="str">
        <f>"9783770567058"</f>
        <v>9783770567058</v>
      </c>
      <c r="F9493" s="2" t="str">
        <f>"9783846767054"</f>
        <v>9783846767054</v>
      </c>
    </row>
    <row r="9494" spans="1:6" s="3" customFormat="1" ht="29.1" customHeight="1" x14ac:dyDescent="0.25">
      <c r="A9494" s="2" t="s">
        <v>19579</v>
      </c>
      <c r="B9494" s="2" t="s">
        <v>19580</v>
      </c>
      <c r="C9494" s="2" t="s">
        <v>29</v>
      </c>
      <c r="D9494" s="2" t="s">
        <v>33</v>
      </c>
      <c r="E9494" s="2" t="str">
        <f>"9783770566860"</f>
        <v>9783770566860</v>
      </c>
      <c r="F9494" s="2" t="str">
        <f>"9783846766866"</f>
        <v>9783846766866</v>
      </c>
    </row>
    <row r="9495" spans="1:6" s="3" customFormat="1" ht="29.1" customHeight="1" x14ac:dyDescent="0.25">
      <c r="A9495" s="2" t="s">
        <v>19581</v>
      </c>
      <c r="B9495" s="2" t="s">
        <v>19582</v>
      </c>
      <c r="C9495" s="2" t="s">
        <v>29</v>
      </c>
      <c r="D9495" s="2" t="s">
        <v>33</v>
      </c>
      <c r="E9495" s="2" t="str">
        <f>"9783770566730"</f>
        <v>9783770566730</v>
      </c>
      <c r="F9495" s="2" t="str">
        <f>"9783846766736"</f>
        <v>9783846766736</v>
      </c>
    </row>
    <row r="9496" spans="1:6" s="3" customFormat="1" ht="29.1" customHeight="1" x14ac:dyDescent="0.25">
      <c r="A9496" s="2" t="s">
        <v>19583</v>
      </c>
      <c r="B9496" s="2" t="s">
        <v>19584</v>
      </c>
      <c r="C9496" s="2" t="s">
        <v>29</v>
      </c>
      <c r="D9496" s="2" t="s">
        <v>218</v>
      </c>
      <c r="E9496" s="2" t="str">
        <f>"9783506791870"</f>
        <v>9783506791870</v>
      </c>
      <c r="F9496" s="2" t="str">
        <f>"9783657791873"</f>
        <v>9783657791873</v>
      </c>
    </row>
    <row r="9497" spans="1:6" s="3" customFormat="1" ht="29.1" customHeight="1" x14ac:dyDescent="0.25">
      <c r="A9497" s="2" t="s">
        <v>19585</v>
      </c>
      <c r="B9497" s="2" t="s">
        <v>19586</v>
      </c>
      <c r="C9497" s="2" t="s">
        <v>29</v>
      </c>
      <c r="D9497" s="2" t="s">
        <v>661</v>
      </c>
      <c r="E9497" s="2" t="str">
        <f>"9783770566747"</f>
        <v>9783770566747</v>
      </c>
      <c r="F9497" s="2" t="str">
        <f>"9783846766743"</f>
        <v>9783846766743</v>
      </c>
    </row>
    <row r="9498" spans="1:6" s="3" customFormat="1" ht="29.1" customHeight="1" x14ac:dyDescent="0.25">
      <c r="A9498" s="2" t="s">
        <v>19587</v>
      </c>
      <c r="B9498" s="2" t="s">
        <v>19588</v>
      </c>
      <c r="C9498" s="2" t="s">
        <v>29</v>
      </c>
      <c r="D9498" s="2" t="s">
        <v>33</v>
      </c>
      <c r="E9498" s="2" t="str">
        <f>"9783770566600"</f>
        <v>9783770566600</v>
      </c>
      <c r="F9498" s="2" t="str">
        <f>"9783846766606"</f>
        <v>9783846766606</v>
      </c>
    </row>
    <row r="9499" spans="1:6" s="3" customFormat="1" ht="29.1" customHeight="1" x14ac:dyDescent="0.25">
      <c r="A9499" s="2" t="s">
        <v>19589</v>
      </c>
      <c r="B9499" s="2" t="s">
        <v>19590</v>
      </c>
      <c r="C9499" s="2" t="s">
        <v>29</v>
      </c>
      <c r="D9499" s="2" t="s">
        <v>324</v>
      </c>
      <c r="E9499" s="2" t="str">
        <f>"9783506791245"</f>
        <v>9783506791245</v>
      </c>
      <c r="F9499" s="2" t="str">
        <f>"9783657791248"</f>
        <v>9783657791248</v>
      </c>
    </row>
    <row r="9500" spans="1:6" s="3" customFormat="1" ht="29.1" customHeight="1" x14ac:dyDescent="0.25">
      <c r="A9500" s="2" t="s">
        <v>19591</v>
      </c>
      <c r="B9500" s="2" t="s">
        <v>19592</v>
      </c>
      <c r="C9500" s="2" t="s">
        <v>29</v>
      </c>
      <c r="D9500" s="2" t="s">
        <v>210</v>
      </c>
      <c r="E9500" s="2" t="str">
        <f>"9783506760623"</f>
        <v>9783506760623</v>
      </c>
      <c r="F9500" s="2" t="str">
        <f>"9783657760626"</f>
        <v>9783657760626</v>
      </c>
    </row>
    <row r="9501" spans="1:6" s="3" customFormat="1" ht="29.1" customHeight="1" x14ac:dyDescent="0.25">
      <c r="A9501" s="2" t="s">
        <v>19593</v>
      </c>
      <c r="B9501" s="2" t="s">
        <v>19594</v>
      </c>
      <c r="C9501" s="2" t="s">
        <v>29</v>
      </c>
      <c r="D9501" s="2" t="s">
        <v>937</v>
      </c>
      <c r="E9501" s="2" t="str">
        <f>"9783506760654"</f>
        <v>9783506760654</v>
      </c>
      <c r="F9501" s="2" t="str">
        <f>"9783657760657"</f>
        <v>9783657760657</v>
      </c>
    </row>
    <row r="9502" spans="1:6" s="3" customFormat="1" ht="29.1" customHeight="1" x14ac:dyDescent="0.25">
      <c r="A9502" s="2" t="s">
        <v>19595</v>
      </c>
      <c r="B9502" s="2" t="s">
        <v>19596</v>
      </c>
      <c r="C9502" s="2" t="s">
        <v>29</v>
      </c>
      <c r="D9502" s="2" t="s">
        <v>33</v>
      </c>
      <c r="E9502" s="2" t="str">
        <f>"9783770566648"</f>
        <v>9783770566648</v>
      </c>
      <c r="F9502" s="2" t="str">
        <f>"9783846766644"</f>
        <v>9783846766644</v>
      </c>
    </row>
    <row r="9503" spans="1:6" s="3" customFormat="1" ht="29.1" customHeight="1" x14ac:dyDescent="0.25">
      <c r="A9503" s="2" t="s">
        <v>19597</v>
      </c>
      <c r="B9503" s="2" t="s">
        <v>19598</v>
      </c>
      <c r="C9503" s="2" t="s">
        <v>29</v>
      </c>
      <c r="D9503" s="2" t="s">
        <v>33</v>
      </c>
      <c r="E9503" s="2" t="str">
        <f>"9783770566662"</f>
        <v>9783770566662</v>
      </c>
      <c r="F9503" s="2" t="str">
        <f>"9783846766668"</f>
        <v>9783846766668</v>
      </c>
    </row>
    <row r="9504" spans="1:6" s="3" customFormat="1" ht="29.1" customHeight="1" x14ac:dyDescent="0.25">
      <c r="A9504" s="2" t="s">
        <v>19599</v>
      </c>
      <c r="B9504" s="2" t="s">
        <v>19600</v>
      </c>
      <c r="C9504" s="2" t="s">
        <v>29</v>
      </c>
      <c r="D9504" s="2" t="s">
        <v>3166</v>
      </c>
      <c r="E9504" s="2" t="str">
        <f>"9783770566228"</f>
        <v>9783770566228</v>
      </c>
      <c r="F9504" s="2" t="str">
        <f>"9783846766224"</f>
        <v>9783846766224</v>
      </c>
    </row>
    <row r="9505" spans="1:6" s="3" customFormat="1" ht="29.1" customHeight="1" x14ac:dyDescent="0.25">
      <c r="A9505" s="2" t="s">
        <v>19601</v>
      </c>
      <c r="B9505" s="2" t="s">
        <v>19602</v>
      </c>
      <c r="C9505" s="2" t="s">
        <v>29</v>
      </c>
      <c r="D9505" s="2" t="s">
        <v>215</v>
      </c>
      <c r="E9505" s="2" t="str">
        <f>"9783770566563"</f>
        <v>9783770566563</v>
      </c>
      <c r="F9505" s="2" t="str">
        <f>"9783846766569"</f>
        <v>9783846766569</v>
      </c>
    </row>
    <row r="9506" spans="1:6" s="3" customFormat="1" ht="29.1" customHeight="1" x14ac:dyDescent="0.25">
      <c r="A9506" s="2" t="s">
        <v>19603</v>
      </c>
      <c r="B9506" s="2" t="s">
        <v>19604</v>
      </c>
      <c r="C9506" s="2" t="s">
        <v>29</v>
      </c>
      <c r="D9506" s="2" t="s">
        <v>324</v>
      </c>
      <c r="E9506" s="2" t="str">
        <f>"9783957432315"</f>
        <v>9783957432315</v>
      </c>
      <c r="F9506" s="2" t="str">
        <f>"9783969752319"</f>
        <v>9783969752319</v>
      </c>
    </row>
    <row r="9507" spans="1:6" s="3" customFormat="1" ht="29.1" customHeight="1" x14ac:dyDescent="0.25">
      <c r="A9507" s="2" t="s">
        <v>19605</v>
      </c>
      <c r="B9507" s="2" t="s">
        <v>19606</v>
      </c>
      <c r="C9507" s="2" t="s">
        <v>29</v>
      </c>
      <c r="D9507" s="2" t="s">
        <v>33</v>
      </c>
      <c r="E9507" s="2" t="str">
        <f>"9783770566013"</f>
        <v>9783770566013</v>
      </c>
      <c r="F9507" s="2" t="str">
        <f>"9783846766019"</f>
        <v>9783846766019</v>
      </c>
    </row>
    <row r="9508" spans="1:6" s="3" customFormat="1" ht="29.1" customHeight="1" x14ac:dyDescent="0.25">
      <c r="A9508" s="2" t="s">
        <v>19607</v>
      </c>
      <c r="B9508" s="2" t="s">
        <v>19608</v>
      </c>
      <c r="C9508" s="2" t="s">
        <v>29</v>
      </c>
      <c r="D9508" s="2" t="s">
        <v>7000</v>
      </c>
      <c r="E9508" s="2" t="str">
        <f>"9783506760456"</f>
        <v>9783506760456</v>
      </c>
      <c r="F9508" s="2" t="str">
        <f>"9783657760459"</f>
        <v>9783657760459</v>
      </c>
    </row>
    <row r="9509" spans="1:6" s="3" customFormat="1" ht="29.1" customHeight="1" x14ac:dyDescent="0.25">
      <c r="A9509" s="2" t="s">
        <v>19609</v>
      </c>
      <c r="B9509" s="2" t="s">
        <v>19610</v>
      </c>
      <c r="C9509" s="2" t="s">
        <v>29</v>
      </c>
      <c r="D9509" s="2" t="s">
        <v>5969</v>
      </c>
      <c r="E9509" s="2" t="str">
        <f>"9783770565931"</f>
        <v>9783770565931</v>
      </c>
      <c r="F9509" s="2" t="str">
        <f>"9783846765937"</f>
        <v>9783846765937</v>
      </c>
    </row>
    <row r="9510" spans="1:6" s="3" customFormat="1" ht="29.1" customHeight="1" x14ac:dyDescent="0.25">
      <c r="A9510" s="2" t="s">
        <v>19611</v>
      </c>
      <c r="B9510" s="2" t="s">
        <v>19612</v>
      </c>
      <c r="C9510" s="2" t="s">
        <v>29</v>
      </c>
      <c r="D9510" s="2" t="s">
        <v>218</v>
      </c>
      <c r="E9510" s="2" t="str">
        <f>"9783506705204"</f>
        <v>9783506705204</v>
      </c>
      <c r="F9510" s="2" t="str">
        <f>"9783657705207"</f>
        <v>9783657705207</v>
      </c>
    </row>
    <row r="9511" spans="1:6" s="3" customFormat="1" ht="29.1" customHeight="1" x14ac:dyDescent="0.25">
      <c r="A9511" s="2" t="s">
        <v>19613</v>
      </c>
      <c r="B9511" s="2" t="s">
        <v>19614</v>
      </c>
      <c r="C9511" s="2" t="s">
        <v>29</v>
      </c>
      <c r="D9511" s="2" t="s">
        <v>3166</v>
      </c>
      <c r="E9511" s="2" t="str">
        <f>"9783770564866"</f>
        <v>9783770564866</v>
      </c>
      <c r="F9511" s="2" t="str">
        <f>"9783846764862"</f>
        <v>9783846764862</v>
      </c>
    </row>
    <row r="9512" spans="1:6" s="3" customFormat="1" ht="29.1" customHeight="1" x14ac:dyDescent="0.25">
      <c r="A9512" s="2" t="s">
        <v>19615</v>
      </c>
      <c r="B9512" s="2" t="s">
        <v>19616</v>
      </c>
      <c r="C9512" s="2" t="s">
        <v>29</v>
      </c>
      <c r="D9512" s="2" t="s">
        <v>3270</v>
      </c>
      <c r="E9512" s="2" t="str">
        <f>"9783506701558"</f>
        <v>9783506701558</v>
      </c>
      <c r="F9512" s="2" t="str">
        <f>"9783657701551"</f>
        <v>9783657701551</v>
      </c>
    </row>
    <row r="9513" spans="1:6" s="3" customFormat="1" ht="29.1" customHeight="1" x14ac:dyDescent="0.25">
      <c r="A9513" s="2" t="s">
        <v>19617</v>
      </c>
      <c r="B9513" s="2" t="s">
        <v>19618</v>
      </c>
      <c r="C9513" s="2" t="s">
        <v>29</v>
      </c>
      <c r="D9513" s="2" t="s">
        <v>3155</v>
      </c>
      <c r="E9513" s="2" t="str">
        <f>"9783506704993"</f>
        <v>9783506704993</v>
      </c>
      <c r="F9513" s="2" t="str">
        <f>"9783657704996"</f>
        <v>9783657704996</v>
      </c>
    </row>
    <row r="9514" spans="1:6" s="3" customFormat="1" ht="29.1" customHeight="1" x14ac:dyDescent="0.25">
      <c r="A9514" s="2" t="s">
        <v>19485</v>
      </c>
      <c r="B9514" s="2" t="s">
        <v>19619</v>
      </c>
      <c r="C9514" s="2" t="s">
        <v>29</v>
      </c>
      <c r="D9514" s="2" t="s">
        <v>33</v>
      </c>
      <c r="E9514" s="2" t="str">
        <f>"9783770565030"</f>
        <v>9783770565030</v>
      </c>
      <c r="F9514" s="2" t="str">
        <f>"9783846765036"</f>
        <v>9783846765036</v>
      </c>
    </row>
    <row r="9515" spans="1:6" s="3" customFormat="1" ht="29.1" customHeight="1" x14ac:dyDescent="0.25">
      <c r="A9515" s="2" t="s">
        <v>19620</v>
      </c>
      <c r="B9515" s="2" t="s">
        <v>19621</v>
      </c>
      <c r="C9515" s="2" t="s">
        <v>29</v>
      </c>
      <c r="D9515" s="2" t="s">
        <v>215</v>
      </c>
      <c r="E9515" s="2" t="str">
        <f>"9783770566235"</f>
        <v>9783770566235</v>
      </c>
      <c r="F9515" s="2" t="str">
        <f>"9783846766231"</f>
        <v>9783846766231</v>
      </c>
    </row>
    <row r="9516" spans="1:6" s="3" customFormat="1" ht="29.1" customHeight="1" x14ac:dyDescent="0.25">
      <c r="A9516" s="2" t="s">
        <v>19622</v>
      </c>
      <c r="B9516" s="2" t="s">
        <v>19623</v>
      </c>
      <c r="C9516" s="2" t="s">
        <v>29</v>
      </c>
      <c r="D9516" s="2" t="s">
        <v>10550</v>
      </c>
      <c r="E9516" s="2" t="str">
        <f>"9783506760388"</f>
        <v>9783506760388</v>
      </c>
      <c r="F9516" s="2" t="str">
        <f>"9783657760381"</f>
        <v>9783657760381</v>
      </c>
    </row>
    <row r="9517" spans="1:6" s="3" customFormat="1" ht="29.1" customHeight="1" x14ac:dyDescent="0.25">
      <c r="A9517" s="2" t="s">
        <v>19624</v>
      </c>
      <c r="B9517" s="2" t="s">
        <v>13731</v>
      </c>
      <c r="C9517" s="2" t="s">
        <v>29</v>
      </c>
      <c r="D9517" s="2" t="s">
        <v>218</v>
      </c>
      <c r="E9517" s="2" t="str">
        <f>"9783506705181"</f>
        <v>9783506705181</v>
      </c>
      <c r="F9517" s="2" t="str">
        <f>"9783657705184"</f>
        <v>9783657705184</v>
      </c>
    </row>
    <row r="9518" spans="1:6" s="3" customFormat="1" ht="29.1" customHeight="1" x14ac:dyDescent="0.25">
      <c r="A9518" s="2" t="s">
        <v>19625</v>
      </c>
      <c r="B9518" s="2" t="s">
        <v>19626</v>
      </c>
      <c r="C9518" s="2" t="s">
        <v>29</v>
      </c>
      <c r="D9518" s="2" t="s">
        <v>4030</v>
      </c>
      <c r="E9518" s="2" t="str">
        <f>"9783770565504"</f>
        <v>9783770565504</v>
      </c>
      <c r="F9518" s="2" t="str">
        <f>"9783846765500"</f>
        <v>9783846765500</v>
      </c>
    </row>
    <row r="9519" spans="1:6" s="3" customFormat="1" ht="29.1" customHeight="1" x14ac:dyDescent="0.25">
      <c r="A9519" s="2" t="s">
        <v>19627</v>
      </c>
      <c r="B9519" s="2" t="s">
        <v>19628</v>
      </c>
      <c r="C9519" s="2" t="s">
        <v>29</v>
      </c>
      <c r="D9519" s="2" t="s">
        <v>2208</v>
      </c>
      <c r="E9519" s="2" t="str">
        <f>"9783770566174"</f>
        <v>9783770566174</v>
      </c>
      <c r="F9519" s="2" t="str">
        <f>"9783846766170"</f>
        <v>9783846766170</v>
      </c>
    </row>
    <row r="9520" spans="1:6" s="3" customFormat="1" ht="29.1" customHeight="1" x14ac:dyDescent="0.25">
      <c r="A9520" s="2" t="s">
        <v>19629</v>
      </c>
      <c r="B9520" s="2" t="s">
        <v>19630</v>
      </c>
      <c r="C9520" s="2" t="s">
        <v>29</v>
      </c>
      <c r="D9520" s="2" t="s">
        <v>33</v>
      </c>
      <c r="E9520" s="2" t="str">
        <f>"9783770565832"</f>
        <v>9783770565832</v>
      </c>
      <c r="F9520" s="2" t="str">
        <f>"9783846765838"</f>
        <v>9783846765838</v>
      </c>
    </row>
    <row r="9521" spans="1:6" s="3" customFormat="1" ht="29.1" customHeight="1" x14ac:dyDescent="0.25">
      <c r="A9521" s="2" t="s">
        <v>19631</v>
      </c>
      <c r="B9521" s="2" t="s">
        <v>19632</v>
      </c>
      <c r="C9521" s="2" t="s">
        <v>29</v>
      </c>
      <c r="D9521" s="2" t="s">
        <v>4013</v>
      </c>
      <c r="E9521" s="2" t="str">
        <f>"9783957431943"</f>
        <v>9783957431943</v>
      </c>
      <c r="F9521" s="2" t="str">
        <f>"9783957437501"</f>
        <v>9783957437501</v>
      </c>
    </row>
    <row r="9522" spans="1:6" s="3" customFormat="1" ht="29.1" customHeight="1" x14ac:dyDescent="0.25">
      <c r="A9522" s="2" t="s">
        <v>19633</v>
      </c>
      <c r="B9522" s="2" t="s">
        <v>19634</v>
      </c>
      <c r="C9522" s="2" t="s">
        <v>29</v>
      </c>
      <c r="D9522" s="2" t="s">
        <v>33</v>
      </c>
      <c r="E9522" s="2" t="str">
        <f>"9783770565597"</f>
        <v>9783770565597</v>
      </c>
      <c r="F9522" s="2" t="str">
        <f>"9783846765593"</f>
        <v>9783846765593</v>
      </c>
    </row>
    <row r="9523" spans="1:6" s="3" customFormat="1" ht="29.1" customHeight="1" x14ac:dyDescent="0.25">
      <c r="A9523" s="2" t="s">
        <v>19635</v>
      </c>
      <c r="B9523" s="2" t="s">
        <v>19636</v>
      </c>
      <c r="C9523" s="2" t="s">
        <v>29</v>
      </c>
      <c r="D9523" s="2" t="s">
        <v>1466</v>
      </c>
      <c r="E9523" s="2" t="str">
        <f>"9783506704436"</f>
        <v>9783506704436</v>
      </c>
      <c r="F9523" s="2" t="str">
        <f>"9783657704439"</f>
        <v>9783657704439</v>
      </c>
    </row>
    <row r="9524" spans="1:6" s="3" customFormat="1" ht="29.1" customHeight="1" x14ac:dyDescent="0.25">
      <c r="A9524" s="2" t="s">
        <v>19637</v>
      </c>
      <c r="B9524" s="2" t="s">
        <v>19638</v>
      </c>
      <c r="C9524" s="2" t="s">
        <v>29</v>
      </c>
      <c r="D9524" s="2" t="s">
        <v>699</v>
      </c>
      <c r="E9524" s="2" t="str">
        <f>"9783957431899"</f>
        <v>9783957431899</v>
      </c>
      <c r="F9524" s="2" t="str">
        <f>"9783957437464"</f>
        <v>9783957437464</v>
      </c>
    </row>
    <row r="9525" spans="1:6" s="3" customFormat="1" ht="29.1" customHeight="1" x14ac:dyDescent="0.25">
      <c r="A9525" s="2" t="s">
        <v>19639</v>
      </c>
      <c r="B9525" s="2" t="s">
        <v>19640</v>
      </c>
      <c r="C9525" s="2" t="s">
        <v>29</v>
      </c>
      <c r="D9525" s="2" t="s">
        <v>33</v>
      </c>
      <c r="E9525" s="2" t="str">
        <f>"9783770565177"</f>
        <v>9783770565177</v>
      </c>
      <c r="F9525" s="2" t="str">
        <f>"9783846765173"</f>
        <v>9783846765173</v>
      </c>
    </row>
    <row r="9526" spans="1:6" s="3" customFormat="1" ht="29.1" customHeight="1" x14ac:dyDescent="0.25">
      <c r="A9526" s="2" t="s">
        <v>19641</v>
      </c>
      <c r="B9526" s="2" t="s">
        <v>19642</v>
      </c>
      <c r="C9526" s="2" t="s">
        <v>29</v>
      </c>
      <c r="D9526" s="2" t="s">
        <v>33</v>
      </c>
      <c r="E9526" s="2" t="str">
        <f>"9783770565016"</f>
        <v>9783770565016</v>
      </c>
      <c r="F9526" s="2" t="str">
        <f>"9783846765012"</f>
        <v>9783846765012</v>
      </c>
    </row>
    <row r="9527" spans="1:6" s="3" customFormat="1" ht="29.1" customHeight="1" x14ac:dyDescent="0.25">
      <c r="A9527" s="2" t="s">
        <v>19643</v>
      </c>
      <c r="B9527" s="2" t="s">
        <v>19644</v>
      </c>
      <c r="C9527" s="2" t="s">
        <v>29</v>
      </c>
      <c r="D9527" s="2" t="s">
        <v>33</v>
      </c>
      <c r="E9527" s="2" t="str">
        <f>"9783770565382"</f>
        <v>9783770565382</v>
      </c>
      <c r="F9527" s="2" t="str">
        <f>"9783846765388"</f>
        <v>9783846765388</v>
      </c>
    </row>
    <row r="9528" spans="1:6" s="3" customFormat="1" ht="29.1" customHeight="1" x14ac:dyDescent="0.25">
      <c r="A9528" s="2" t="s">
        <v>19645</v>
      </c>
      <c r="B9528" s="2" t="s">
        <v>19646</v>
      </c>
      <c r="C9528" s="2" t="s">
        <v>29</v>
      </c>
      <c r="D9528" s="2" t="s">
        <v>522</v>
      </c>
      <c r="E9528" s="2" t="str">
        <f>"9783957431714"</f>
        <v>9783957431714</v>
      </c>
      <c r="F9528" s="2" t="str">
        <f>"9783957437303"</f>
        <v>9783957437303</v>
      </c>
    </row>
    <row r="9529" spans="1:6" s="3" customFormat="1" ht="29.1" customHeight="1" x14ac:dyDescent="0.25">
      <c r="A9529" s="2" t="s">
        <v>19647</v>
      </c>
      <c r="B9529" s="2" t="s">
        <v>19648</v>
      </c>
      <c r="C9529" s="2" t="s">
        <v>29</v>
      </c>
      <c r="D9529" s="2" t="s">
        <v>33</v>
      </c>
      <c r="E9529" s="2" t="str">
        <f>"9783770565160"</f>
        <v>9783770565160</v>
      </c>
      <c r="F9529" s="2" t="str">
        <f>"9783846765166"</f>
        <v>9783846765166</v>
      </c>
    </row>
    <row r="9530" spans="1:6" s="3" customFormat="1" ht="29.1" customHeight="1" x14ac:dyDescent="0.25">
      <c r="A9530" s="2" t="s">
        <v>19649</v>
      </c>
      <c r="B9530" s="2" t="s">
        <v>19650</v>
      </c>
      <c r="C9530" s="2" t="s">
        <v>29</v>
      </c>
      <c r="D9530" s="2" t="s">
        <v>202</v>
      </c>
      <c r="E9530" s="2" t="str">
        <f>"9783770564606"</f>
        <v>9783770564606</v>
      </c>
      <c r="F9530" s="2" t="str">
        <f>"9783846764602"</f>
        <v>9783846764602</v>
      </c>
    </row>
    <row r="9531" spans="1:6" s="3" customFormat="1" ht="29.1" customHeight="1" x14ac:dyDescent="0.25">
      <c r="A9531" s="2" t="s">
        <v>19651</v>
      </c>
      <c r="B9531" s="2" t="s">
        <v>19652</v>
      </c>
      <c r="C9531" s="2" t="s">
        <v>29</v>
      </c>
      <c r="D9531" s="2" t="s">
        <v>509</v>
      </c>
      <c r="E9531" s="2" t="str">
        <f>"9783506703088"</f>
        <v>9783506703088</v>
      </c>
      <c r="F9531" s="2" t="str">
        <f>"9783657703081"</f>
        <v>9783657703081</v>
      </c>
    </row>
    <row r="9532" spans="1:6" s="3" customFormat="1" ht="29.1" customHeight="1" x14ac:dyDescent="0.25">
      <c r="A9532" s="2" t="s">
        <v>19653</v>
      </c>
      <c r="B9532" s="2" t="s">
        <v>19654</v>
      </c>
      <c r="C9532" s="2" t="s">
        <v>29</v>
      </c>
      <c r="D9532" s="2" t="s">
        <v>3564</v>
      </c>
      <c r="E9532" s="2" t="str">
        <f>"9783957431677"</f>
        <v>9783957431677</v>
      </c>
      <c r="F9532" s="2" t="str">
        <f>"9783957437259"</f>
        <v>9783957437259</v>
      </c>
    </row>
    <row r="9533" spans="1:6" s="3" customFormat="1" ht="29.1" customHeight="1" x14ac:dyDescent="0.25">
      <c r="A9533" s="2" t="s">
        <v>19655</v>
      </c>
      <c r="B9533" s="2" t="s">
        <v>19656</v>
      </c>
      <c r="C9533" s="2" t="s">
        <v>29</v>
      </c>
      <c r="D9533" s="2" t="s">
        <v>215</v>
      </c>
      <c r="E9533" s="2" t="str">
        <f>"9783770564729"</f>
        <v>9783770564729</v>
      </c>
      <c r="F9533" s="2" t="str">
        <f>"9783846764725"</f>
        <v>9783846764725</v>
      </c>
    </row>
    <row r="9534" spans="1:6" s="3" customFormat="1" ht="29.1" customHeight="1" x14ac:dyDescent="0.25">
      <c r="A9534" s="2" t="s">
        <v>19657</v>
      </c>
      <c r="B9534" s="2" t="s">
        <v>19658</v>
      </c>
      <c r="C9534" s="2" t="s">
        <v>29</v>
      </c>
      <c r="D9534" s="2" t="s">
        <v>413</v>
      </c>
      <c r="E9534" s="2" t="str">
        <f>"9783770564514"</f>
        <v>9783770564514</v>
      </c>
      <c r="F9534" s="2" t="str">
        <f>"9783846764510"</f>
        <v>9783846764510</v>
      </c>
    </row>
    <row r="9535" spans="1:6" s="3" customFormat="1" ht="29.1" customHeight="1" x14ac:dyDescent="0.25">
      <c r="A9535" s="2" t="s">
        <v>19659</v>
      </c>
      <c r="B9535" s="2" t="s">
        <v>19660</v>
      </c>
      <c r="C9535" s="2" t="s">
        <v>29</v>
      </c>
      <c r="D9535" s="2" t="s">
        <v>5969</v>
      </c>
      <c r="E9535" s="2" t="str">
        <f>"9783770564590"</f>
        <v>9783770564590</v>
      </c>
      <c r="F9535" s="2" t="str">
        <f>"9783846764596"</f>
        <v>9783846764596</v>
      </c>
    </row>
    <row r="9536" spans="1:6" s="3" customFormat="1" ht="29.1" customHeight="1" x14ac:dyDescent="0.25">
      <c r="A9536" s="2" t="s">
        <v>19661</v>
      </c>
      <c r="B9536" s="2" t="s">
        <v>19662</v>
      </c>
      <c r="C9536" s="2" t="s">
        <v>29</v>
      </c>
      <c r="D9536" s="2" t="s">
        <v>4678</v>
      </c>
      <c r="E9536" s="2" t="str">
        <f>"9783506707468"</f>
        <v>9783506707468</v>
      </c>
      <c r="F9536" s="2" t="str">
        <f>"9783657707461"</f>
        <v>9783657707461</v>
      </c>
    </row>
    <row r="9537" spans="1:6" s="3" customFormat="1" ht="29.1" customHeight="1" x14ac:dyDescent="0.25">
      <c r="A9537" s="2" t="s">
        <v>19663</v>
      </c>
      <c r="B9537" s="2" t="s">
        <v>19664</v>
      </c>
      <c r="C9537" s="2" t="s">
        <v>29</v>
      </c>
      <c r="D9537" s="2" t="s">
        <v>3345</v>
      </c>
      <c r="E9537" s="2" t="str">
        <f>"9783770564057"</f>
        <v>9783770564057</v>
      </c>
      <c r="F9537" s="2" t="str">
        <f>"9783846764053"</f>
        <v>9783846764053</v>
      </c>
    </row>
    <row r="9538" spans="1:6" s="3" customFormat="1" ht="29.1" customHeight="1" x14ac:dyDescent="0.25">
      <c r="A9538" s="2" t="s">
        <v>19665</v>
      </c>
      <c r="B9538" s="2" t="s">
        <v>19666</v>
      </c>
      <c r="C9538" s="2" t="s">
        <v>29</v>
      </c>
      <c r="D9538" s="2" t="s">
        <v>3445</v>
      </c>
      <c r="E9538" s="2" t="str">
        <f>"9783506732453"</f>
        <v>9783506732453</v>
      </c>
      <c r="F9538" s="2" t="str">
        <f>"9783657732456"</f>
        <v>9783657732456</v>
      </c>
    </row>
    <row r="9539" spans="1:6" s="3" customFormat="1" ht="29.1" customHeight="1" x14ac:dyDescent="0.25">
      <c r="A9539" s="2" t="s">
        <v>19667</v>
      </c>
      <c r="B9539" s="2" t="s">
        <v>19540</v>
      </c>
      <c r="C9539" s="2" t="s">
        <v>29</v>
      </c>
      <c r="D9539" s="2" t="s">
        <v>413</v>
      </c>
      <c r="E9539" s="2" t="str">
        <f>"9783770563517"</f>
        <v>9783770563517</v>
      </c>
      <c r="F9539" s="2" t="str">
        <f>"9783846763513"</f>
        <v>9783846763513</v>
      </c>
    </row>
    <row r="9540" spans="1:6" s="3" customFormat="1" ht="29.1" customHeight="1" x14ac:dyDescent="0.25">
      <c r="A9540" s="2" t="s">
        <v>19668</v>
      </c>
      <c r="B9540" s="2" t="s">
        <v>19669</v>
      </c>
      <c r="C9540" s="2" t="s">
        <v>29</v>
      </c>
      <c r="D9540" s="2" t="s">
        <v>661</v>
      </c>
      <c r="E9540" s="2" t="str">
        <f>"9783770563531"</f>
        <v>9783770563531</v>
      </c>
      <c r="F9540" s="2" t="str">
        <f>"9783846763537"</f>
        <v>9783846763537</v>
      </c>
    </row>
    <row r="9541" spans="1:6" s="3" customFormat="1" ht="29.1" customHeight="1" x14ac:dyDescent="0.25">
      <c r="A9541" s="2" t="s">
        <v>19670</v>
      </c>
      <c r="B9541" s="2" t="s">
        <v>19671</v>
      </c>
      <c r="C9541" s="2" t="s">
        <v>29</v>
      </c>
      <c r="D9541" s="2" t="s">
        <v>33</v>
      </c>
      <c r="E9541" s="2" t="str">
        <f>"9783770563999"</f>
        <v>9783770563999</v>
      </c>
      <c r="F9541" s="2" t="str">
        <f>"9783846763995"</f>
        <v>9783846763995</v>
      </c>
    </row>
    <row r="9542" spans="1:6" s="3" customFormat="1" ht="29.1" customHeight="1" x14ac:dyDescent="0.25">
      <c r="A9542" s="2" t="s">
        <v>19672</v>
      </c>
      <c r="B9542" s="2" t="s">
        <v>19673</v>
      </c>
      <c r="C9542" s="2" t="s">
        <v>29</v>
      </c>
      <c r="D9542" s="2" t="s">
        <v>215</v>
      </c>
      <c r="E9542" s="2" t="str">
        <f>"9783770563333"</f>
        <v>9783770563333</v>
      </c>
      <c r="F9542" s="2" t="str">
        <f>"9783846763339"</f>
        <v>9783846763339</v>
      </c>
    </row>
    <row r="9543" spans="1:6" s="3" customFormat="1" ht="29.1" customHeight="1" x14ac:dyDescent="0.25">
      <c r="A9543" s="2" t="s">
        <v>19674</v>
      </c>
      <c r="B9543" s="2" t="s">
        <v>19675</v>
      </c>
      <c r="C9543" s="2" t="s">
        <v>29</v>
      </c>
      <c r="D9543" s="2" t="s">
        <v>210</v>
      </c>
      <c r="E9543" s="2" t="str">
        <f>"9783506701480"</f>
        <v>9783506701480</v>
      </c>
      <c r="F9543" s="2" t="str">
        <f>"9783657701483"</f>
        <v>9783657701483</v>
      </c>
    </row>
    <row r="9544" spans="1:6" s="3" customFormat="1" ht="29.1" customHeight="1" x14ac:dyDescent="0.25">
      <c r="A9544" s="2" t="s">
        <v>19485</v>
      </c>
      <c r="B9544" s="2" t="s">
        <v>19486</v>
      </c>
      <c r="C9544" s="2" t="s">
        <v>29</v>
      </c>
      <c r="D9544" s="2" t="s">
        <v>33</v>
      </c>
      <c r="E9544" s="2" t="str">
        <f>"9783770562763"</f>
        <v>9783770562763</v>
      </c>
      <c r="F9544" s="2" t="str">
        <f>"9783846762769"</f>
        <v>9783846762769</v>
      </c>
    </row>
    <row r="9545" spans="1:6" s="3" customFormat="1" ht="29.1" customHeight="1" x14ac:dyDescent="0.25">
      <c r="A9545" s="2" t="s">
        <v>19676</v>
      </c>
      <c r="B9545" s="2" t="s">
        <v>19677</v>
      </c>
      <c r="C9545" s="2" t="s">
        <v>29</v>
      </c>
      <c r="D9545" s="2" t="s">
        <v>408</v>
      </c>
      <c r="E9545" s="2" t="str">
        <f>"9783770563456"</f>
        <v>9783770563456</v>
      </c>
      <c r="F9545" s="2" t="str">
        <f>"9783846763452"</f>
        <v>9783846763452</v>
      </c>
    </row>
    <row r="9546" spans="1:6" s="3" customFormat="1" ht="29.1" customHeight="1" x14ac:dyDescent="0.25">
      <c r="A9546" s="2" t="s">
        <v>19678</v>
      </c>
      <c r="B9546" s="2" t="s">
        <v>19679</v>
      </c>
      <c r="C9546" s="2" t="s">
        <v>29</v>
      </c>
      <c r="D9546" s="2" t="s">
        <v>33</v>
      </c>
      <c r="E9546" s="2" t="str">
        <f>"9783770560806"</f>
        <v>9783770560806</v>
      </c>
      <c r="F9546" s="2" t="str">
        <f>"9783846760802"</f>
        <v>9783846760802</v>
      </c>
    </row>
    <row r="9547" spans="1:6" s="3" customFormat="1" ht="29.1" customHeight="1" x14ac:dyDescent="0.25">
      <c r="A9547" s="2" t="s">
        <v>19680</v>
      </c>
      <c r="B9547" s="2" t="s">
        <v>19681</v>
      </c>
      <c r="C9547" s="2" t="s">
        <v>29</v>
      </c>
      <c r="D9547" s="2" t="s">
        <v>4742</v>
      </c>
      <c r="E9547" s="2" t="str">
        <f>"9783506777812"</f>
        <v>9783506777812</v>
      </c>
      <c r="F9547" s="2" t="str">
        <f>"9783657777815"</f>
        <v>9783657777815</v>
      </c>
    </row>
    <row r="9548" spans="1:6" s="3" customFormat="1" ht="29.1" customHeight="1" x14ac:dyDescent="0.25">
      <c r="A9548" s="2" t="s">
        <v>19682</v>
      </c>
      <c r="B9548" s="2" t="s">
        <v>19683</v>
      </c>
      <c r="C9548" s="2" t="s">
        <v>5</v>
      </c>
      <c r="D9548" s="2" t="s">
        <v>98</v>
      </c>
      <c r="E9548" s="2" t="str">
        <f>"9782384761456"</f>
        <v>9782384761456</v>
      </c>
      <c r="F9548" s="2" t="str">
        <f>"9782384761463"</f>
        <v>9782384761463</v>
      </c>
    </row>
    <row r="9549" spans="1:6" s="3" customFormat="1" ht="29.1" customHeight="1" x14ac:dyDescent="0.25">
      <c r="A9549" s="2" t="s">
        <v>19684</v>
      </c>
      <c r="B9549" s="2" t="s">
        <v>19685</v>
      </c>
      <c r="C9549" s="2" t="s">
        <v>124</v>
      </c>
      <c r="D9549" s="2" t="s">
        <v>462</v>
      </c>
      <c r="E9549" s="2" t="str">
        <f>"9780367637897"</f>
        <v>9780367637897</v>
      </c>
      <c r="F9549" s="2" t="str">
        <f>"9781003120704"</f>
        <v>9781003120704</v>
      </c>
    </row>
    <row r="9550" spans="1:6" s="3" customFormat="1" ht="29.1" customHeight="1" x14ac:dyDescent="0.25">
      <c r="A9550" s="2" t="s">
        <v>19686</v>
      </c>
      <c r="B9550" s="2" t="s">
        <v>19687</v>
      </c>
      <c r="C9550" s="2" t="s">
        <v>15775</v>
      </c>
      <c r="D9550" s="2" t="s">
        <v>1617</v>
      </c>
      <c r="E9550" s="2"/>
      <c r="F9550" s="2" t="str">
        <f>"9789811877018"</f>
        <v>9789811877018</v>
      </c>
    </row>
    <row r="9551" spans="1:6" s="3" customFormat="1" ht="29.1" customHeight="1" x14ac:dyDescent="0.25">
      <c r="A9551" s="2" t="s">
        <v>19688</v>
      </c>
      <c r="B9551" s="2" t="s">
        <v>19689</v>
      </c>
      <c r="C9551" s="2" t="s">
        <v>62</v>
      </c>
      <c r="D9551" s="2" t="s">
        <v>1809</v>
      </c>
      <c r="E9551" s="2" t="str">
        <f>"9783428186716"</f>
        <v>9783428186716</v>
      </c>
      <c r="F9551" s="2" t="str">
        <f>"9783428586714"</f>
        <v>9783428586714</v>
      </c>
    </row>
    <row r="9552" spans="1:6" s="3" customFormat="1" ht="29.1" customHeight="1" x14ac:dyDescent="0.25">
      <c r="A9552" s="2" t="s">
        <v>19690</v>
      </c>
      <c r="B9552" s="2" t="s">
        <v>19691</v>
      </c>
      <c r="C9552" s="2" t="s">
        <v>124</v>
      </c>
      <c r="D9552" s="2" t="s">
        <v>183</v>
      </c>
      <c r="E9552" s="2" t="str">
        <f>"9781032454504"</f>
        <v>9781032454504</v>
      </c>
      <c r="F9552" s="2" t="str">
        <f>"9781003377078"</f>
        <v>9781003377078</v>
      </c>
    </row>
    <row r="9553" spans="1:6" s="3" customFormat="1" ht="29.1" customHeight="1" x14ac:dyDescent="0.25">
      <c r="A9553" s="2" t="s">
        <v>19692</v>
      </c>
      <c r="B9553" s="2" t="s">
        <v>19693</v>
      </c>
      <c r="C9553" s="2" t="s">
        <v>5</v>
      </c>
      <c r="D9553" s="2" t="s">
        <v>4270</v>
      </c>
      <c r="E9553" s="2" t="str">
        <f>"9789464632996"</f>
        <v>9789464632996</v>
      </c>
      <c r="F9553" s="2" t="str">
        <f>"9789464633009"</f>
        <v>9789464633009</v>
      </c>
    </row>
    <row r="9554" spans="1:6" s="3" customFormat="1" ht="29.1" customHeight="1" x14ac:dyDescent="0.25">
      <c r="A9554" s="2" t="s">
        <v>19694</v>
      </c>
      <c r="B9554" s="2" t="s">
        <v>19695</v>
      </c>
      <c r="C9554" s="2" t="s">
        <v>5</v>
      </c>
      <c r="D9554" s="2" t="s">
        <v>674</v>
      </c>
      <c r="E9554" s="2" t="str">
        <f>"9783658427924"</f>
        <v>9783658427924</v>
      </c>
      <c r="F9554" s="2" t="str">
        <f>"9783658427931"</f>
        <v>9783658427931</v>
      </c>
    </row>
    <row r="9555" spans="1:6" s="3" customFormat="1" ht="29.1" customHeight="1" x14ac:dyDescent="0.25">
      <c r="A9555" s="2" t="s">
        <v>19696</v>
      </c>
      <c r="B9555" s="2" t="s">
        <v>19697</v>
      </c>
      <c r="C9555" s="2" t="s">
        <v>5</v>
      </c>
      <c r="D9555" s="2" t="s">
        <v>6511</v>
      </c>
      <c r="E9555" s="2" t="str">
        <f>"9789819976867"</f>
        <v>9789819976867</v>
      </c>
      <c r="F9555" s="2" t="str">
        <f>"9789819976874"</f>
        <v>9789819976874</v>
      </c>
    </row>
    <row r="9556" spans="1:6" s="3" customFormat="1" ht="29.1" customHeight="1" x14ac:dyDescent="0.25">
      <c r="A9556" s="2" t="s">
        <v>19698</v>
      </c>
      <c r="B9556" s="2" t="s">
        <v>19699</v>
      </c>
      <c r="C9556" s="2" t="s">
        <v>746</v>
      </c>
      <c r="D9556" s="2" t="s">
        <v>7702</v>
      </c>
      <c r="E9556" s="2" t="str">
        <f>"9781803276267"</f>
        <v>9781803276267</v>
      </c>
      <c r="F9556" s="2" t="str">
        <f>"9781803276274"</f>
        <v>9781803276274</v>
      </c>
    </row>
    <row r="9557" spans="1:6" s="3" customFormat="1" ht="29.1" customHeight="1" x14ac:dyDescent="0.25">
      <c r="A9557" s="2" t="s">
        <v>19700</v>
      </c>
      <c r="B9557" s="2" t="s">
        <v>19701</v>
      </c>
      <c r="C9557" s="2" t="s">
        <v>124</v>
      </c>
      <c r="D9557" s="2" t="s">
        <v>606</v>
      </c>
      <c r="E9557" s="2" t="str">
        <f>"9781032024844"</f>
        <v>9781032024844</v>
      </c>
      <c r="F9557" s="2" t="str">
        <f>"9781003183563"</f>
        <v>9781003183563</v>
      </c>
    </row>
    <row r="9558" spans="1:6" s="3" customFormat="1" ht="29.1" customHeight="1" x14ac:dyDescent="0.25">
      <c r="A9558" s="2" t="s">
        <v>19702</v>
      </c>
      <c r="B9558" s="2" t="s">
        <v>19703</v>
      </c>
      <c r="C9558" s="2" t="s">
        <v>124</v>
      </c>
      <c r="D9558" s="2" t="s">
        <v>186</v>
      </c>
      <c r="E9558" s="2" t="str">
        <f>"9781032260310"</f>
        <v>9781032260310</v>
      </c>
      <c r="F9558" s="2" t="str">
        <f>"9781003286189"</f>
        <v>9781003286189</v>
      </c>
    </row>
    <row r="9559" spans="1:6" s="3" customFormat="1" ht="29.1" customHeight="1" x14ac:dyDescent="0.25">
      <c r="A9559" s="2" t="s">
        <v>19704</v>
      </c>
      <c r="B9559" s="2" t="s">
        <v>19705</v>
      </c>
      <c r="C9559" s="2" t="s">
        <v>124</v>
      </c>
      <c r="D9559" s="2" t="s">
        <v>647</v>
      </c>
      <c r="E9559" s="2" t="str">
        <f>"9781032356204"</f>
        <v>9781032356204</v>
      </c>
      <c r="F9559" s="2" t="str">
        <f>"9781003327707"</f>
        <v>9781003327707</v>
      </c>
    </row>
    <row r="9560" spans="1:6" s="3" customFormat="1" ht="29.1" customHeight="1" x14ac:dyDescent="0.25">
      <c r="A9560" s="2" t="s">
        <v>19706</v>
      </c>
      <c r="B9560" s="2" t="s">
        <v>19707</v>
      </c>
      <c r="C9560" s="2" t="s">
        <v>927</v>
      </c>
      <c r="D9560" s="2" t="s">
        <v>297</v>
      </c>
      <c r="E9560" s="2" t="str">
        <f>"9780472056453"</f>
        <v>9780472056453</v>
      </c>
      <c r="F9560" s="2" t="str">
        <f>"9780472904624"</f>
        <v>9780472904624</v>
      </c>
    </row>
    <row r="9561" spans="1:6" s="3" customFormat="1" ht="29.1" customHeight="1" x14ac:dyDescent="0.25">
      <c r="A9561" s="2" t="s">
        <v>19708</v>
      </c>
      <c r="B9561" s="2" t="s">
        <v>19709</v>
      </c>
      <c r="C9561" s="2" t="s">
        <v>5</v>
      </c>
      <c r="D9561" s="2" t="s">
        <v>6</v>
      </c>
      <c r="E9561" s="2" t="str">
        <f>"9783031344466"</f>
        <v>9783031344466</v>
      </c>
      <c r="F9561" s="2" t="str">
        <f>"9783031344473"</f>
        <v>9783031344473</v>
      </c>
    </row>
    <row r="9562" spans="1:6" s="3" customFormat="1" ht="29.1" customHeight="1" x14ac:dyDescent="0.25">
      <c r="A9562" s="2" t="s">
        <v>19710</v>
      </c>
      <c r="B9562" s="2" t="s">
        <v>19711</v>
      </c>
      <c r="C9562" s="2" t="s">
        <v>5</v>
      </c>
      <c r="D9562" s="2" t="s">
        <v>81</v>
      </c>
      <c r="E9562" s="2" t="str">
        <f>"9783031214905"</f>
        <v>9783031214905</v>
      </c>
      <c r="F9562" s="2" t="str">
        <f>"9783031214912"</f>
        <v>9783031214912</v>
      </c>
    </row>
    <row r="9563" spans="1:6" s="3" customFormat="1" ht="29.1" customHeight="1" x14ac:dyDescent="0.25">
      <c r="A9563" s="2" t="s">
        <v>19712</v>
      </c>
      <c r="B9563" s="2" t="s">
        <v>19713</v>
      </c>
      <c r="C9563" s="2" t="s">
        <v>59</v>
      </c>
      <c r="D9563" s="2" t="s">
        <v>4002</v>
      </c>
      <c r="E9563" s="2" t="str">
        <f>"9782759238002"</f>
        <v>9782759238002</v>
      </c>
      <c r="F9563" s="2" t="str">
        <f>"9782759238019"</f>
        <v>9782759238019</v>
      </c>
    </row>
    <row r="9564" spans="1:6" s="3" customFormat="1" ht="29.1" customHeight="1" x14ac:dyDescent="0.25">
      <c r="A9564" s="2" t="s">
        <v>19714</v>
      </c>
      <c r="B9564" s="2" t="s">
        <v>19715</v>
      </c>
      <c r="C9564" s="2" t="s">
        <v>5</v>
      </c>
      <c r="D9564" s="2" t="s">
        <v>6128</v>
      </c>
      <c r="E9564" s="2" t="str">
        <f>"9783031419386"</f>
        <v>9783031419386</v>
      </c>
      <c r="F9564" s="2" t="str">
        <f>"9783031419393"</f>
        <v>9783031419393</v>
      </c>
    </row>
    <row r="9565" spans="1:6" s="3" customFormat="1" ht="29.1" customHeight="1" x14ac:dyDescent="0.25">
      <c r="A9565" s="2" t="s">
        <v>19716</v>
      </c>
      <c r="B9565" s="2" t="s">
        <v>19146</v>
      </c>
      <c r="C9565" s="2" t="s">
        <v>5</v>
      </c>
      <c r="D9565" s="2" t="s">
        <v>183</v>
      </c>
      <c r="E9565" s="2" t="str">
        <f>"9783031394959"</f>
        <v>9783031394959</v>
      </c>
      <c r="F9565" s="2" t="str">
        <f>"9783031394966"</f>
        <v>9783031394966</v>
      </c>
    </row>
    <row r="9566" spans="1:6" s="3" customFormat="1" ht="29.1" customHeight="1" x14ac:dyDescent="0.25">
      <c r="A9566" s="2" t="s">
        <v>19717</v>
      </c>
      <c r="B9566" s="2" t="s">
        <v>19718</v>
      </c>
      <c r="C9566" s="2" t="s">
        <v>5</v>
      </c>
      <c r="D9566" s="2" t="s">
        <v>2307</v>
      </c>
      <c r="E9566" s="2" t="str">
        <f>"9782384761432"</f>
        <v>9782384761432</v>
      </c>
      <c r="F9566" s="2" t="str">
        <f>"9782384761449"</f>
        <v>9782384761449</v>
      </c>
    </row>
    <row r="9567" spans="1:6" s="3" customFormat="1" ht="29.1" customHeight="1" x14ac:dyDescent="0.25">
      <c r="A9567" s="2" t="s">
        <v>19719</v>
      </c>
      <c r="B9567" s="2" t="s">
        <v>19720</v>
      </c>
      <c r="C9567" s="2" t="s">
        <v>124</v>
      </c>
      <c r="D9567" s="2" t="s">
        <v>273</v>
      </c>
      <c r="E9567" s="2" t="str">
        <f>"9781032409504"</f>
        <v>9781032409504</v>
      </c>
      <c r="F9567" s="2" t="str">
        <f>"9781003355519"</f>
        <v>9781003355519</v>
      </c>
    </row>
    <row r="9568" spans="1:6" s="3" customFormat="1" ht="29.1" customHeight="1" x14ac:dyDescent="0.25">
      <c r="A9568" s="2" t="s">
        <v>19721</v>
      </c>
      <c r="B9568" s="2" t="s">
        <v>19722</v>
      </c>
      <c r="C9568" s="2" t="s">
        <v>124</v>
      </c>
      <c r="D9568" s="2" t="s">
        <v>413</v>
      </c>
      <c r="E9568" s="2" t="str">
        <f>"9781032455723"</f>
        <v>9781032455723</v>
      </c>
      <c r="F9568" s="2" t="str">
        <f>"9781003380047"</f>
        <v>9781003380047</v>
      </c>
    </row>
    <row r="9569" spans="1:6" s="3" customFormat="1" ht="29.1" customHeight="1" x14ac:dyDescent="0.25">
      <c r="A9569" s="2" t="s">
        <v>19723</v>
      </c>
      <c r="B9569" s="2" t="s">
        <v>19724</v>
      </c>
      <c r="C9569" s="2" t="s">
        <v>124</v>
      </c>
      <c r="D9569" s="2" t="s">
        <v>81</v>
      </c>
      <c r="E9569" s="2" t="str">
        <f>"9781032574400"</f>
        <v>9781032574400</v>
      </c>
      <c r="F9569" s="2" t="str">
        <f>"9781003463016"</f>
        <v>9781003463016</v>
      </c>
    </row>
    <row r="9570" spans="1:6" s="3" customFormat="1" ht="29.1" customHeight="1" x14ac:dyDescent="0.25">
      <c r="A9570" s="2" t="s">
        <v>19725</v>
      </c>
      <c r="B9570" s="2" t="s">
        <v>19727</v>
      </c>
      <c r="C9570" s="2" t="s">
        <v>149</v>
      </c>
      <c r="D9570" s="2" t="s">
        <v>19726</v>
      </c>
      <c r="E9570" s="2"/>
      <c r="F9570" s="2" t="str">
        <f>"9781800648449"</f>
        <v>9781800648449</v>
      </c>
    </row>
    <row r="9571" spans="1:6" s="3" customFormat="1" ht="29.1" customHeight="1" x14ac:dyDescent="0.25">
      <c r="A9571" s="2" t="s">
        <v>19728</v>
      </c>
      <c r="B9571" s="2" t="s">
        <v>19730</v>
      </c>
      <c r="C9571" s="2" t="s">
        <v>149</v>
      </c>
      <c r="D9571" s="2" t="s">
        <v>19729</v>
      </c>
      <c r="E9571" s="2"/>
      <c r="F9571" s="2" t="str">
        <f>"9781800648067"</f>
        <v>9781800648067</v>
      </c>
    </row>
    <row r="9572" spans="1:6" s="3" customFormat="1" ht="29.1" customHeight="1" x14ac:dyDescent="0.25">
      <c r="A9572" s="2" t="s">
        <v>19728</v>
      </c>
      <c r="B9572" s="2" t="s">
        <v>19730</v>
      </c>
      <c r="C9572" s="2" t="s">
        <v>149</v>
      </c>
      <c r="D9572" s="2" t="s">
        <v>19729</v>
      </c>
      <c r="E9572" s="2"/>
      <c r="F9572" s="2" t="str">
        <f>"9781800649545"</f>
        <v>9781800649545</v>
      </c>
    </row>
    <row r="9573" spans="1:6" s="3" customFormat="1" ht="29.1" customHeight="1" x14ac:dyDescent="0.25">
      <c r="A9573" s="2" t="s">
        <v>19731</v>
      </c>
      <c r="B9573" s="2" t="s">
        <v>19732</v>
      </c>
      <c r="C9573" s="2" t="s">
        <v>8104</v>
      </c>
      <c r="D9573" s="2" t="s">
        <v>636</v>
      </c>
      <c r="E9573" s="2" t="str">
        <f>"9781805392576"</f>
        <v>9781805392576</v>
      </c>
      <c r="F9573" s="2" t="str">
        <f>"9781805392118"</f>
        <v>9781805392118</v>
      </c>
    </row>
    <row r="9574" spans="1:6" s="3" customFormat="1" ht="29.1" customHeight="1" x14ac:dyDescent="0.25">
      <c r="A9574" s="2" t="s">
        <v>19733</v>
      </c>
      <c r="B9574" s="2" t="s">
        <v>19734</v>
      </c>
      <c r="C9574" s="2" t="s">
        <v>8104</v>
      </c>
      <c r="D9574" s="2" t="s">
        <v>636</v>
      </c>
      <c r="E9574" s="2" t="str">
        <f>"9781805395218"</f>
        <v>9781805395218</v>
      </c>
      <c r="F9574" s="2" t="str">
        <f>"9781805395225"</f>
        <v>9781805395225</v>
      </c>
    </row>
    <row r="9575" spans="1:6" s="3" customFormat="1" ht="29.1" customHeight="1" x14ac:dyDescent="0.25">
      <c r="A9575" s="2" t="s">
        <v>19735</v>
      </c>
      <c r="B9575" s="2" t="s">
        <v>19736</v>
      </c>
      <c r="C9575" s="2" t="s">
        <v>8104</v>
      </c>
      <c r="D9575" s="2" t="s">
        <v>2142</v>
      </c>
      <c r="E9575" s="2" t="str">
        <f>"9781805393016"</f>
        <v>9781805393016</v>
      </c>
      <c r="F9575" s="2" t="str">
        <f>"9781805393023"</f>
        <v>9781805393023</v>
      </c>
    </row>
    <row r="9576" spans="1:6" s="3" customFormat="1" ht="29.1" customHeight="1" x14ac:dyDescent="0.25">
      <c r="A9576" s="2" t="s">
        <v>19737</v>
      </c>
      <c r="B9576" s="2" t="s">
        <v>19738</v>
      </c>
      <c r="C9576" s="2" t="s">
        <v>5</v>
      </c>
      <c r="D9576" s="2" t="s">
        <v>78</v>
      </c>
      <c r="E9576" s="2" t="str">
        <f>"9783031142239"</f>
        <v>9783031142239</v>
      </c>
      <c r="F9576" s="2" t="str">
        <f>"9783031142246"</f>
        <v>9783031142246</v>
      </c>
    </row>
    <row r="9577" spans="1:6" s="3" customFormat="1" ht="29.1" customHeight="1" x14ac:dyDescent="0.25">
      <c r="A9577" s="2" t="s">
        <v>19739</v>
      </c>
      <c r="B9577" s="2" t="s">
        <v>19740</v>
      </c>
      <c r="C9577" s="2" t="s">
        <v>5</v>
      </c>
      <c r="D9577" s="2" t="s">
        <v>2008</v>
      </c>
      <c r="E9577" s="2" t="str">
        <f>"9783030212926"</f>
        <v>9783030212926</v>
      </c>
      <c r="F9577" s="2" t="str">
        <f>"9783030212933"</f>
        <v>9783030212933</v>
      </c>
    </row>
    <row r="9578" spans="1:6" s="3" customFormat="1" ht="29.1" customHeight="1" x14ac:dyDescent="0.25">
      <c r="A9578" s="2" t="s">
        <v>19741</v>
      </c>
      <c r="B9578" s="2" t="s">
        <v>19742</v>
      </c>
      <c r="C9578" s="2" t="s">
        <v>5</v>
      </c>
      <c r="D9578" s="2" t="s">
        <v>165</v>
      </c>
      <c r="E9578" s="2" t="str">
        <f>"9789811384905"</f>
        <v>9789811384905</v>
      </c>
      <c r="F9578" s="2" t="str">
        <f>"9789811384912"</f>
        <v>9789811384912</v>
      </c>
    </row>
    <row r="9579" spans="1:6" s="3" customFormat="1" ht="29.1" customHeight="1" x14ac:dyDescent="0.25">
      <c r="A9579" s="2" t="s">
        <v>19743</v>
      </c>
      <c r="B9579" s="2" t="s">
        <v>19744</v>
      </c>
      <c r="C9579" s="2" t="s">
        <v>5</v>
      </c>
      <c r="D9579" s="2" t="s">
        <v>183</v>
      </c>
      <c r="E9579" s="2" t="str">
        <f>"9783662594650"</f>
        <v>9783662594650</v>
      </c>
      <c r="F9579" s="2" t="str">
        <f>"9783662594667"</f>
        <v>9783662594667</v>
      </c>
    </row>
    <row r="9580" spans="1:6" s="3" customFormat="1" ht="29.1" customHeight="1" x14ac:dyDescent="0.25">
      <c r="A9580" s="2" t="s">
        <v>19745</v>
      </c>
      <c r="B9580" s="2" t="s">
        <v>19746</v>
      </c>
      <c r="C9580" s="2" t="s">
        <v>5</v>
      </c>
      <c r="D9580" s="2" t="s">
        <v>984</v>
      </c>
      <c r="E9580" s="2" t="str">
        <f>"9783030539139"</f>
        <v>9783030539139</v>
      </c>
      <c r="F9580" s="2" t="str">
        <f>"9783030539146"</f>
        <v>9783030539146</v>
      </c>
    </row>
    <row r="9581" spans="1:6" s="3" customFormat="1" ht="29.1" customHeight="1" x14ac:dyDescent="0.25">
      <c r="A9581" s="2" t="s">
        <v>19747</v>
      </c>
      <c r="B9581" s="2" t="s">
        <v>19748</v>
      </c>
      <c r="C9581" s="2" t="s">
        <v>5</v>
      </c>
      <c r="D9581" s="2" t="s">
        <v>4013</v>
      </c>
      <c r="E9581" s="2" t="str">
        <f>"9783030225025"</f>
        <v>9783030225025</v>
      </c>
      <c r="F9581" s="2" t="str">
        <f>"9783030225032"</f>
        <v>9783030225032</v>
      </c>
    </row>
    <row r="9582" spans="1:6" s="3" customFormat="1" ht="29.1" customHeight="1" x14ac:dyDescent="0.25">
      <c r="A9582" s="2" t="s">
        <v>19749</v>
      </c>
      <c r="B9582" s="2" t="s">
        <v>19750</v>
      </c>
      <c r="C9582" s="2" t="s">
        <v>5</v>
      </c>
      <c r="D9582" s="2" t="s">
        <v>12298</v>
      </c>
      <c r="E9582" s="2" t="str">
        <f>"9783662589342"</f>
        <v>9783662589342</v>
      </c>
      <c r="F9582" s="2" t="str">
        <f>"9783662589359"</f>
        <v>9783662589359</v>
      </c>
    </row>
    <row r="9583" spans="1:6" s="3" customFormat="1" ht="29.1" customHeight="1" x14ac:dyDescent="0.25">
      <c r="A9583" s="2" t="s">
        <v>19751</v>
      </c>
      <c r="B9583" s="2" t="s">
        <v>19752</v>
      </c>
      <c r="C9583" s="2" t="s">
        <v>5</v>
      </c>
      <c r="D9583" s="2" t="s">
        <v>1840</v>
      </c>
      <c r="E9583" s="2" t="str">
        <f>"9783030151904"</f>
        <v>9783030151904</v>
      </c>
      <c r="F9583" s="2" t="str">
        <f>"9783030151911"</f>
        <v>9783030151911</v>
      </c>
    </row>
    <row r="9584" spans="1:6" s="3" customFormat="1" ht="29.1" customHeight="1" x14ac:dyDescent="0.25">
      <c r="A9584" s="2" t="s">
        <v>19753</v>
      </c>
      <c r="B9584" s="2" t="s">
        <v>19754</v>
      </c>
      <c r="C9584" s="2" t="s">
        <v>5</v>
      </c>
      <c r="D9584" s="2" t="s">
        <v>1278</v>
      </c>
      <c r="E9584" s="2" t="str">
        <f>"9783030138639"</f>
        <v>9783030138639</v>
      </c>
      <c r="F9584" s="2" t="str">
        <f>"9783030138646"</f>
        <v>9783030138646</v>
      </c>
    </row>
    <row r="9585" spans="1:6" s="3" customFormat="1" ht="29.1" customHeight="1" x14ac:dyDescent="0.25">
      <c r="A9585" s="2" t="s">
        <v>19755</v>
      </c>
      <c r="B9585" s="2" t="s">
        <v>19756</v>
      </c>
      <c r="C9585" s="2" t="s">
        <v>5</v>
      </c>
      <c r="D9585" s="2" t="s">
        <v>487</v>
      </c>
      <c r="E9585" s="2" t="str">
        <f>"9783030134983"</f>
        <v>9783030134983</v>
      </c>
      <c r="F9585" s="2" t="str">
        <f>"9783030134990"</f>
        <v>9783030134990</v>
      </c>
    </row>
    <row r="9586" spans="1:6" s="3" customFormat="1" ht="29.1" customHeight="1" x14ac:dyDescent="0.25">
      <c r="A9586" s="2" t="s">
        <v>19757</v>
      </c>
      <c r="B9586" s="2" t="s">
        <v>19758</v>
      </c>
      <c r="C9586" s="2" t="s">
        <v>5</v>
      </c>
      <c r="D9586" s="2" t="s">
        <v>2045</v>
      </c>
      <c r="E9586" s="2" t="str">
        <f>"9789811365270"</f>
        <v>9789811365270</v>
      </c>
      <c r="F9586" s="2" t="str">
        <f>"9789811365287"</f>
        <v>9789811365287</v>
      </c>
    </row>
    <row r="9587" spans="1:6" s="3" customFormat="1" ht="29.1" customHeight="1" x14ac:dyDescent="0.25">
      <c r="A9587" s="2" t="s">
        <v>19759</v>
      </c>
      <c r="B9587" s="2" t="s">
        <v>19760</v>
      </c>
      <c r="C9587" s="2" t="s">
        <v>5</v>
      </c>
      <c r="D9587" s="2" t="s">
        <v>694</v>
      </c>
      <c r="E9587" s="2" t="str">
        <f>"9789811363887"</f>
        <v>9789811363887</v>
      </c>
      <c r="F9587" s="2" t="str">
        <f>"9789811363894"</f>
        <v>9789811363894</v>
      </c>
    </row>
    <row r="9588" spans="1:6" s="3" customFormat="1" ht="29.1" customHeight="1" x14ac:dyDescent="0.25">
      <c r="A9588" s="2" t="s">
        <v>19761</v>
      </c>
      <c r="B9588" s="2" t="s">
        <v>19762</v>
      </c>
      <c r="C9588" s="2" t="s">
        <v>5</v>
      </c>
      <c r="D9588" s="2" t="s">
        <v>4172</v>
      </c>
      <c r="E9588" s="2" t="str">
        <f>"9783030654382"</f>
        <v>9783030654382</v>
      </c>
      <c r="F9588" s="2" t="str">
        <f>"9783030654399"</f>
        <v>9783030654399</v>
      </c>
    </row>
    <row r="9589" spans="1:6" s="3" customFormat="1" ht="29.1" customHeight="1" x14ac:dyDescent="0.25">
      <c r="A9589" s="2" t="s">
        <v>19763</v>
      </c>
      <c r="B9589" s="2" t="s">
        <v>19764</v>
      </c>
      <c r="C9589" s="2" t="s">
        <v>5</v>
      </c>
      <c r="D9589" s="2" t="s">
        <v>183</v>
      </c>
      <c r="E9589" s="2" t="str">
        <f>"9783031161155"</f>
        <v>9783031161155</v>
      </c>
      <c r="F9589" s="2" t="str">
        <f>"9783031161162"</f>
        <v>9783031161162</v>
      </c>
    </row>
    <row r="9590" spans="1:6" s="3" customFormat="1" ht="29.1" customHeight="1" x14ac:dyDescent="0.25">
      <c r="A9590" s="2" t="s">
        <v>19765</v>
      </c>
      <c r="B9590" s="2" t="s">
        <v>19767</v>
      </c>
      <c r="C9590" s="2" t="s">
        <v>5</v>
      </c>
      <c r="D9590" s="2" t="s">
        <v>19766</v>
      </c>
      <c r="E9590" s="2" t="str">
        <f>"9781484244265"</f>
        <v>9781484244265</v>
      </c>
      <c r="F9590" s="2" t="str">
        <f>"9781484244272"</f>
        <v>9781484244272</v>
      </c>
    </row>
    <row r="9591" spans="1:6" s="3" customFormat="1" ht="29.1" customHeight="1" x14ac:dyDescent="0.25">
      <c r="A9591" s="2" t="s">
        <v>19768</v>
      </c>
      <c r="B9591" s="2" t="s">
        <v>19770</v>
      </c>
      <c r="C9591" s="2" t="s">
        <v>5</v>
      </c>
      <c r="D9591" s="2" t="s">
        <v>19769</v>
      </c>
      <c r="E9591" s="2" t="str">
        <f>"9783662587089"</f>
        <v>9783662587089</v>
      </c>
      <c r="F9591" s="2" t="str">
        <f>"9783662587096"</f>
        <v>9783662587096</v>
      </c>
    </row>
    <row r="9592" spans="1:6" s="3" customFormat="1" ht="29.1" customHeight="1" x14ac:dyDescent="0.25">
      <c r="A9592" s="2" t="s">
        <v>19771</v>
      </c>
      <c r="B9592" s="2" t="s">
        <v>19772</v>
      </c>
      <c r="C9592" s="2" t="s">
        <v>5</v>
      </c>
      <c r="D9592" s="2" t="s">
        <v>10447</v>
      </c>
      <c r="E9592" s="2" t="str">
        <f>"9783658250782"</f>
        <v>9783658250782</v>
      </c>
      <c r="F9592" s="2" t="str">
        <f>"9783658250799"</f>
        <v>9783658250799</v>
      </c>
    </row>
    <row r="9593" spans="1:6" s="3" customFormat="1" ht="29.1" customHeight="1" x14ac:dyDescent="0.25">
      <c r="A9593" s="2" t="s">
        <v>19773</v>
      </c>
      <c r="B9593" s="2" t="s">
        <v>19774</v>
      </c>
      <c r="C9593" s="2" t="s">
        <v>5</v>
      </c>
      <c r="D9593" s="2" t="s">
        <v>98</v>
      </c>
      <c r="E9593" s="2" t="str">
        <f>"9783030787325"</f>
        <v>9783030787325</v>
      </c>
      <c r="F9593" s="2" t="str">
        <f>"9783030787332"</f>
        <v>9783030787332</v>
      </c>
    </row>
    <row r="9594" spans="1:6" s="3" customFormat="1" ht="29.1" customHeight="1" x14ac:dyDescent="0.25">
      <c r="A9594" s="2" t="s">
        <v>19775</v>
      </c>
      <c r="B9594" s="2" t="s">
        <v>19776</v>
      </c>
      <c r="C9594" s="2" t="s">
        <v>5</v>
      </c>
      <c r="D9594" s="2" t="s">
        <v>484</v>
      </c>
      <c r="E9594" s="2" t="str">
        <f>"9783658249441"</f>
        <v>9783658249441</v>
      </c>
      <c r="F9594" s="2" t="str">
        <f>"9783658249458"</f>
        <v>9783658249458</v>
      </c>
    </row>
    <row r="9595" spans="1:6" s="3" customFormat="1" ht="29.1" customHeight="1" x14ac:dyDescent="0.25">
      <c r="A9595" s="2" t="s">
        <v>19777</v>
      </c>
      <c r="B9595" s="2" t="s">
        <v>19778</v>
      </c>
      <c r="C9595" s="2" t="s">
        <v>5</v>
      </c>
      <c r="D9595" s="2" t="s">
        <v>5115</v>
      </c>
      <c r="E9595" s="2" t="str">
        <f>"9783030105907"</f>
        <v>9783030105907</v>
      </c>
      <c r="F9595" s="2" t="str">
        <f>"9783030105914"</f>
        <v>9783030105914</v>
      </c>
    </row>
    <row r="9596" spans="1:6" s="3" customFormat="1" ht="29.1" customHeight="1" x14ac:dyDescent="0.25">
      <c r="A9596" s="2" t="s">
        <v>19779</v>
      </c>
      <c r="B9596" s="2" t="s">
        <v>19780</v>
      </c>
      <c r="C9596" s="2" t="s">
        <v>5</v>
      </c>
      <c r="D9596" s="2" t="s">
        <v>81</v>
      </c>
      <c r="E9596" s="2" t="str">
        <f>"9783030105815"</f>
        <v>9783030105815</v>
      </c>
      <c r="F9596" s="2" t="str">
        <f>"9783030105822"</f>
        <v>9783030105822</v>
      </c>
    </row>
    <row r="9597" spans="1:6" s="3" customFormat="1" ht="29.1" customHeight="1" x14ac:dyDescent="0.25">
      <c r="A9597" s="2" t="s">
        <v>19781</v>
      </c>
      <c r="B9597" s="2" t="s">
        <v>19782</v>
      </c>
      <c r="C9597" s="2" t="s">
        <v>5</v>
      </c>
      <c r="D9597" s="2" t="s">
        <v>9545</v>
      </c>
      <c r="E9597" s="2" t="str">
        <f>"9783030052515"</f>
        <v>9783030052515</v>
      </c>
      <c r="F9597" s="2" t="str">
        <f>"9783030052522"</f>
        <v>9783030052522</v>
      </c>
    </row>
    <row r="9598" spans="1:6" s="3" customFormat="1" ht="29.1" customHeight="1" x14ac:dyDescent="0.25">
      <c r="A9598" s="2" t="s">
        <v>19783</v>
      </c>
      <c r="B9598" s="2" t="s">
        <v>19784</v>
      </c>
      <c r="C9598" s="2" t="s">
        <v>5</v>
      </c>
      <c r="D9598" s="2" t="s">
        <v>12495</v>
      </c>
      <c r="E9598" s="2" t="str">
        <f>"9789811332173"</f>
        <v>9789811332173</v>
      </c>
      <c r="F9598" s="2" t="str">
        <f>"9789811332180"</f>
        <v>9789811332180</v>
      </c>
    </row>
    <row r="9599" spans="1:6" s="3" customFormat="1" ht="29.1" customHeight="1" x14ac:dyDescent="0.25">
      <c r="A9599" s="2" t="s">
        <v>19785</v>
      </c>
      <c r="B9599" s="2" t="s">
        <v>19786</v>
      </c>
      <c r="C9599" s="2" t="s">
        <v>5</v>
      </c>
      <c r="D9599" s="2" t="s">
        <v>547</v>
      </c>
      <c r="E9599" s="2" t="str">
        <f>"9783030030827"</f>
        <v>9783030030827</v>
      </c>
      <c r="F9599" s="2" t="str">
        <f>"9783030030834"</f>
        <v>9783030030834</v>
      </c>
    </row>
    <row r="9600" spans="1:6" s="3" customFormat="1" ht="29.1" customHeight="1" x14ac:dyDescent="0.25">
      <c r="A9600" s="2" t="s">
        <v>19787</v>
      </c>
      <c r="B9600" s="2" t="s">
        <v>19788</v>
      </c>
      <c r="C9600" s="2" t="s">
        <v>5</v>
      </c>
      <c r="D9600" s="2" t="s">
        <v>7341</v>
      </c>
      <c r="E9600" s="2" t="str">
        <f>"9781484242209"</f>
        <v>9781484242209</v>
      </c>
      <c r="F9600" s="2" t="str">
        <f>"9781484242216"</f>
        <v>9781484242216</v>
      </c>
    </row>
    <row r="9601" spans="1:6" s="3" customFormat="1" ht="29.1" customHeight="1" x14ac:dyDescent="0.25">
      <c r="A9601" s="2" t="s">
        <v>19789</v>
      </c>
      <c r="B9601" s="2" t="s">
        <v>19790</v>
      </c>
      <c r="C9601" s="2" t="s">
        <v>5</v>
      </c>
      <c r="D9601" s="2" t="s">
        <v>101</v>
      </c>
      <c r="E9601" s="2" t="str">
        <f>"9783030023171"</f>
        <v>9783030023171</v>
      </c>
      <c r="F9601" s="2" t="str">
        <f>"9783030023188"</f>
        <v>9783030023188</v>
      </c>
    </row>
    <row r="9602" spans="1:6" s="3" customFormat="1" ht="29.1" customHeight="1" x14ac:dyDescent="0.25">
      <c r="A9602" s="2" t="s">
        <v>19791</v>
      </c>
      <c r="B9602" s="2" t="s">
        <v>19792</v>
      </c>
      <c r="C9602" s="2" t="s">
        <v>5</v>
      </c>
      <c r="D9602" s="2" t="s">
        <v>347</v>
      </c>
      <c r="E9602" s="2" t="str">
        <f>"9783662582244"</f>
        <v>9783662582244</v>
      </c>
      <c r="F9602" s="2" t="str">
        <f>"9783662582251"</f>
        <v>9783662582251</v>
      </c>
    </row>
    <row r="9603" spans="1:6" s="3" customFormat="1" ht="29.1" customHeight="1" x14ac:dyDescent="0.25">
      <c r="A9603" s="2" t="s">
        <v>19793</v>
      </c>
      <c r="B9603" s="2" t="s">
        <v>19794</v>
      </c>
      <c r="C9603" s="2" t="s">
        <v>5</v>
      </c>
      <c r="D9603" s="2" t="s">
        <v>724</v>
      </c>
      <c r="E9603" s="2" t="str">
        <f>"9783662580417"</f>
        <v>9783662580417</v>
      </c>
      <c r="F9603" s="2" t="str">
        <f>"9783662580424"</f>
        <v>9783662580424</v>
      </c>
    </row>
    <row r="9604" spans="1:6" s="3" customFormat="1" ht="29.1" customHeight="1" x14ac:dyDescent="0.25">
      <c r="A9604" s="2" t="s">
        <v>19795</v>
      </c>
      <c r="B9604" s="2" t="s">
        <v>19796</v>
      </c>
      <c r="C9604" s="2" t="s">
        <v>5</v>
      </c>
      <c r="D9604" s="2" t="s">
        <v>15191</v>
      </c>
      <c r="E9604" s="2" t="str">
        <f>"9783319997124"</f>
        <v>9783319997124</v>
      </c>
      <c r="F9604" s="2" t="str">
        <f>"9783319997131"</f>
        <v>9783319997131</v>
      </c>
    </row>
    <row r="9605" spans="1:6" s="3" customFormat="1" ht="29.1" customHeight="1" x14ac:dyDescent="0.25">
      <c r="A9605" s="2" t="s">
        <v>19797</v>
      </c>
      <c r="B9605" s="2" t="s">
        <v>19798</v>
      </c>
      <c r="C9605" s="2" t="s">
        <v>5</v>
      </c>
      <c r="D9605" s="2" t="s">
        <v>16084</v>
      </c>
      <c r="E9605" s="2" t="str">
        <f>"9783319979984"</f>
        <v>9783319979984</v>
      </c>
      <c r="F9605" s="2" t="str">
        <f>"9783319979991"</f>
        <v>9783319979991</v>
      </c>
    </row>
    <row r="9606" spans="1:6" s="3" customFormat="1" ht="29.1" customHeight="1" x14ac:dyDescent="0.25">
      <c r="A9606" s="2" t="s">
        <v>19799</v>
      </c>
      <c r="B9606" s="2" t="s">
        <v>19800</v>
      </c>
      <c r="C9606" s="2" t="s">
        <v>5</v>
      </c>
      <c r="D9606" s="2" t="s">
        <v>144</v>
      </c>
      <c r="E9606" s="2" t="str">
        <f>"9783658226473"</f>
        <v>9783658226473</v>
      </c>
      <c r="F9606" s="2" t="str">
        <f>"9783658226480"</f>
        <v>9783658226480</v>
      </c>
    </row>
    <row r="9607" spans="1:6" s="3" customFormat="1" ht="29.1" customHeight="1" x14ac:dyDescent="0.25">
      <c r="A9607" s="2" t="s">
        <v>19801</v>
      </c>
      <c r="B9607" s="2" t="s">
        <v>19802</v>
      </c>
      <c r="C9607" s="2" t="s">
        <v>5</v>
      </c>
      <c r="D9607" s="2" t="s">
        <v>168</v>
      </c>
      <c r="E9607" s="2" t="str">
        <f>"9783319947990"</f>
        <v>9783319947990</v>
      </c>
      <c r="F9607" s="2" t="str">
        <f>"9783319948003"</f>
        <v>9783319948003</v>
      </c>
    </row>
    <row r="9608" spans="1:6" s="3" customFormat="1" ht="29.1" customHeight="1" x14ac:dyDescent="0.25">
      <c r="A9608" s="2" t="s">
        <v>19803</v>
      </c>
      <c r="B9608" s="2" t="s">
        <v>19804</v>
      </c>
      <c r="C9608" s="2" t="s">
        <v>5</v>
      </c>
      <c r="D9608" s="2" t="s">
        <v>5716</v>
      </c>
      <c r="E9608" s="2" t="str">
        <f>"9789811955419"</f>
        <v>9789811955419</v>
      </c>
      <c r="F9608" s="2" t="str">
        <f>"9789811955426"</f>
        <v>9789811955426</v>
      </c>
    </row>
    <row r="9609" spans="1:6" s="3" customFormat="1" ht="29.1" customHeight="1" x14ac:dyDescent="0.25">
      <c r="A9609" s="2" t="s">
        <v>19805</v>
      </c>
      <c r="B9609" s="2" t="s">
        <v>1836</v>
      </c>
      <c r="C9609" s="2" t="s">
        <v>5</v>
      </c>
      <c r="D9609" s="2" t="s">
        <v>4138</v>
      </c>
      <c r="E9609" s="2" t="str">
        <f>"9789813292512"</f>
        <v>9789813292512</v>
      </c>
      <c r="F9609" s="2" t="str">
        <f>"9789813292529"</f>
        <v>9789813292529</v>
      </c>
    </row>
    <row r="9610" spans="1:6" s="3" customFormat="1" ht="29.1" customHeight="1" x14ac:dyDescent="0.25">
      <c r="A9610" s="2" t="s">
        <v>19806</v>
      </c>
      <c r="B9610" s="2" t="s">
        <v>19807</v>
      </c>
      <c r="C9610" s="2" t="s">
        <v>5</v>
      </c>
      <c r="D9610" s="2" t="s">
        <v>3489</v>
      </c>
      <c r="E9610" s="2" t="str">
        <f>"9783319943572"</f>
        <v>9783319943572</v>
      </c>
      <c r="F9610" s="2" t="str">
        <f>"9783319943589"</f>
        <v>9783319943589</v>
      </c>
    </row>
    <row r="9611" spans="1:6" s="3" customFormat="1" ht="29.1" customHeight="1" x14ac:dyDescent="0.25">
      <c r="A9611" s="2" t="s">
        <v>19808</v>
      </c>
      <c r="B9611" s="2" t="s">
        <v>19809</v>
      </c>
      <c r="C9611" s="2" t="s">
        <v>5</v>
      </c>
      <c r="D9611" s="2" t="s">
        <v>12492</v>
      </c>
      <c r="E9611" s="2" t="str">
        <f>"9789811310010"</f>
        <v>9789811310010</v>
      </c>
      <c r="F9611" s="2" t="str">
        <f>"9789811310027"</f>
        <v>9789811310027</v>
      </c>
    </row>
    <row r="9612" spans="1:6" s="3" customFormat="1" ht="29.1" customHeight="1" x14ac:dyDescent="0.25">
      <c r="A9612" s="2" t="s">
        <v>19810</v>
      </c>
      <c r="B9612" s="2" t="s">
        <v>8284</v>
      </c>
      <c r="C9612" s="2" t="s">
        <v>5</v>
      </c>
      <c r="D9612" s="2" t="s">
        <v>1888</v>
      </c>
      <c r="E9612" s="2" t="str">
        <f>"9789811308291"</f>
        <v>9789811308291</v>
      </c>
      <c r="F9612" s="2" t="str">
        <f>"9789811308307"</f>
        <v>9789811308307</v>
      </c>
    </row>
    <row r="9613" spans="1:6" s="3" customFormat="1" ht="29.1" customHeight="1" x14ac:dyDescent="0.25">
      <c r="A9613" s="2" t="s">
        <v>19811</v>
      </c>
      <c r="B9613" s="2" t="s">
        <v>19812</v>
      </c>
      <c r="C9613" s="2" t="s">
        <v>5</v>
      </c>
      <c r="D9613" s="2" t="s">
        <v>836</v>
      </c>
      <c r="E9613" s="2" t="str">
        <f>"9783658281274"</f>
        <v>9783658281274</v>
      </c>
      <c r="F9613" s="2" t="str">
        <f>"9783658281281"</f>
        <v>9783658281281</v>
      </c>
    </row>
    <row r="9614" spans="1:6" s="3" customFormat="1" ht="29.1" customHeight="1" x14ac:dyDescent="0.25">
      <c r="A9614" s="2" t="s">
        <v>19813</v>
      </c>
      <c r="B9614" s="2" t="s">
        <v>19814</v>
      </c>
      <c r="C9614" s="2" t="s">
        <v>5</v>
      </c>
      <c r="D9614" s="2" t="s">
        <v>553</v>
      </c>
      <c r="E9614" s="2" t="str">
        <f>"9789811301933"</f>
        <v>9789811301933</v>
      </c>
      <c r="F9614" s="2" t="str">
        <f>"9789811301940"</f>
        <v>9789811301940</v>
      </c>
    </row>
    <row r="9615" spans="1:6" s="3" customFormat="1" ht="29.1" customHeight="1" x14ac:dyDescent="0.25">
      <c r="A9615" s="2" t="s">
        <v>19815</v>
      </c>
      <c r="B9615" s="2" t="s">
        <v>19750</v>
      </c>
      <c r="C9615" s="2" t="s">
        <v>5</v>
      </c>
      <c r="D9615" s="2" t="s">
        <v>12298</v>
      </c>
      <c r="E9615" s="2" t="str">
        <f>"9783662568217"</f>
        <v>9783662568217</v>
      </c>
      <c r="F9615" s="2" t="str">
        <f>"9783662568224"</f>
        <v>9783662568224</v>
      </c>
    </row>
    <row r="9616" spans="1:6" s="3" customFormat="1" ht="29.1" customHeight="1" x14ac:dyDescent="0.25">
      <c r="A9616" s="2" t="s">
        <v>19816</v>
      </c>
      <c r="B9616" s="2" t="s">
        <v>19817</v>
      </c>
      <c r="C9616" s="2" t="s">
        <v>5</v>
      </c>
      <c r="D9616" s="2" t="s">
        <v>183</v>
      </c>
      <c r="E9616" s="2" t="str">
        <f>"9783658215293"</f>
        <v>9783658215293</v>
      </c>
      <c r="F9616" s="2" t="str">
        <f>"9783658215309"</f>
        <v>9783658215309</v>
      </c>
    </row>
    <row r="9617" spans="1:6" s="3" customFormat="1" ht="29.1" customHeight="1" x14ac:dyDescent="0.25">
      <c r="A9617" s="2" t="s">
        <v>19818</v>
      </c>
      <c r="B9617" s="2" t="s">
        <v>19819</v>
      </c>
      <c r="C9617" s="2" t="s">
        <v>5</v>
      </c>
      <c r="D9617" s="2" t="s">
        <v>9</v>
      </c>
      <c r="E9617" s="2" t="str">
        <f>"9783319785790"</f>
        <v>9783319785790</v>
      </c>
      <c r="F9617" s="2" t="str">
        <f>"9783319785806"</f>
        <v>9783319785806</v>
      </c>
    </row>
    <row r="9618" spans="1:6" s="3" customFormat="1" ht="29.1" customHeight="1" x14ac:dyDescent="0.25">
      <c r="A9618" s="2" t="s">
        <v>19820</v>
      </c>
      <c r="B9618" s="2" t="s">
        <v>19821</v>
      </c>
      <c r="C9618" s="2" t="s">
        <v>5</v>
      </c>
      <c r="D9618" s="2" t="s">
        <v>553</v>
      </c>
      <c r="E9618" s="2" t="str">
        <f>"9783319774060"</f>
        <v>9783319774060</v>
      </c>
      <c r="F9618" s="2" t="str">
        <f>"9783319774077"</f>
        <v>9783319774077</v>
      </c>
    </row>
    <row r="9619" spans="1:6" s="3" customFormat="1" ht="29.1" customHeight="1" x14ac:dyDescent="0.25">
      <c r="A9619" s="2" t="s">
        <v>19822</v>
      </c>
      <c r="B9619" s="2" t="s">
        <v>19823</v>
      </c>
      <c r="C9619" s="2" t="s">
        <v>5</v>
      </c>
      <c r="D9619" s="2" t="s">
        <v>370</v>
      </c>
      <c r="E9619" s="2" t="str">
        <f>"9789811084874"</f>
        <v>9789811084874</v>
      </c>
      <c r="F9619" s="2" t="str">
        <f>"9789811084881"</f>
        <v>9789811084881</v>
      </c>
    </row>
    <row r="9620" spans="1:6" s="3" customFormat="1" ht="29.1" customHeight="1" x14ac:dyDescent="0.25">
      <c r="A9620" s="2" t="s">
        <v>19824</v>
      </c>
      <c r="B9620" s="2" t="s">
        <v>19825</v>
      </c>
      <c r="C9620" s="2" t="s">
        <v>5</v>
      </c>
      <c r="D9620" s="2" t="s">
        <v>8343</v>
      </c>
      <c r="E9620" s="2" t="str">
        <f>"9783662564646"</f>
        <v>9783662564646</v>
      </c>
      <c r="F9620" s="2" t="str">
        <f>"9783662564653"</f>
        <v>9783662564653</v>
      </c>
    </row>
    <row r="9621" spans="1:6" s="3" customFormat="1" ht="29.1" customHeight="1" x14ac:dyDescent="0.25">
      <c r="A9621" s="2" t="s">
        <v>19826</v>
      </c>
      <c r="B9621" s="2" t="s">
        <v>19827</v>
      </c>
      <c r="C9621" s="2" t="s">
        <v>5</v>
      </c>
      <c r="D9621" s="2" t="s">
        <v>2877</v>
      </c>
      <c r="E9621" s="2" t="str">
        <f>"9783319739595"</f>
        <v>9783319739595</v>
      </c>
      <c r="F9621" s="2" t="str">
        <f>"9783319739601"</f>
        <v>9783319739601</v>
      </c>
    </row>
    <row r="9622" spans="1:6" s="3" customFormat="1" ht="29.1" customHeight="1" x14ac:dyDescent="0.25">
      <c r="A9622" s="2" t="s">
        <v>19828</v>
      </c>
      <c r="B9622" s="2" t="s">
        <v>19829</v>
      </c>
      <c r="C9622" s="2" t="s">
        <v>5</v>
      </c>
      <c r="D9622" s="2" t="s">
        <v>487</v>
      </c>
      <c r="E9622" s="2" t="str">
        <f>"9783319738963"</f>
        <v>9783319738963</v>
      </c>
      <c r="F9622" s="2" t="str">
        <f>"9783319738970"</f>
        <v>9783319738970</v>
      </c>
    </row>
    <row r="9623" spans="1:6" s="3" customFormat="1" ht="29.1" customHeight="1" x14ac:dyDescent="0.25">
      <c r="A9623" s="2" t="s">
        <v>19830</v>
      </c>
      <c r="B9623" s="2" t="s">
        <v>19831</v>
      </c>
      <c r="C9623" s="2" t="s">
        <v>5</v>
      </c>
      <c r="D9623" s="2" t="s">
        <v>104</v>
      </c>
      <c r="E9623" s="2" t="str">
        <f>"9783658375706"</f>
        <v>9783658375706</v>
      </c>
      <c r="F9623" s="2" t="str">
        <f>"9783658375713"</f>
        <v>9783658375713</v>
      </c>
    </row>
    <row r="9624" spans="1:6" s="3" customFormat="1" ht="29.1" customHeight="1" x14ac:dyDescent="0.25">
      <c r="A9624" s="2" t="s">
        <v>19830</v>
      </c>
      <c r="B9624" s="2" t="s">
        <v>19832</v>
      </c>
      <c r="C9624" s="2" t="s">
        <v>5</v>
      </c>
      <c r="D9624" s="2" t="s">
        <v>104</v>
      </c>
      <c r="E9624" s="2" t="str">
        <f>"9783658226237"</f>
        <v>9783658226237</v>
      </c>
      <c r="F9624" s="2" t="str">
        <f>"9783658226244"</f>
        <v>9783658226244</v>
      </c>
    </row>
    <row r="9625" spans="1:6" s="3" customFormat="1" ht="29.1" customHeight="1" x14ac:dyDescent="0.25">
      <c r="A9625" s="2" t="s">
        <v>19833</v>
      </c>
      <c r="B9625" s="2" t="s">
        <v>19834</v>
      </c>
      <c r="C9625" s="2" t="s">
        <v>5</v>
      </c>
      <c r="D9625" s="2" t="s">
        <v>81</v>
      </c>
      <c r="E9625" s="2" t="str">
        <f>"9789811381010"</f>
        <v>9789811381010</v>
      </c>
      <c r="F9625" s="2" t="str">
        <f>"9789811381027"</f>
        <v>9789811381027</v>
      </c>
    </row>
    <row r="9626" spans="1:6" s="3" customFormat="1" ht="29.1" customHeight="1" x14ac:dyDescent="0.25">
      <c r="A9626" s="2" t="s">
        <v>19835</v>
      </c>
      <c r="B9626" s="2" t="s">
        <v>19836</v>
      </c>
      <c r="C9626" s="2" t="s">
        <v>5</v>
      </c>
      <c r="D9626" s="2" t="s">
        <v>537</v>
      </c>
      <c r="E9626" s="2"/>
      <c r="F9626" s="2" t="str">
        <f>"9783662562703"</f>
        <v>9783662562703</v>
      </c>
    </row>
    <row r="9627" spans="1:6" s="3" customFormat="1" ht="29.1" customHeight="1" x14ac:dyDescent="0.25">
      <c r="A9627" s="2" t="s">
        <v>19837</v>
      </c>
      <c r="B9627" s="2" t="s">
        <v>19838</v>
      </c>
      <c r="C9627" s="2" t="s">
        <v>5</v>
      </c>
      <c r="D9627" s="2" t="s">
        <v>3567</v>
      </c>
      <c r="E9627" s="2" t="str">
        <f>"9783319713649"</f>
        <v>9783319713649</v>
      </c>
      <c r="F9627" s="2" t="str">
        <f>"9783319713656"</f>
        <v>9783319713656</v>
      </c>
    </row>
    <row r="9628" spans="1:6" s="3" customFormat="1" ht="29.1" customHeight="1" x14ac:dyDescent="0.25">
      <c r="A9628" s="2" t="s">
        <v>19839</v>
      </c>
      <c r="B9628" s="2" t="s">
        <v>19840</v>
      </c>
      <c r="C9628" s="2" t="s">
        <v>5</v>
      </c>
      <c r="D9628" s="2" t="s">
        <v>297</v>
      </c>
      <c r="E9628" s="2" t="str">
        <f>"9783031082146"</f>
        <v>9783031082146</v>
      </c>
      <c r="F9628" s="2" t="str">
        <f>"9783031082153"</f>
        <v>9783031082153</v>
      </c>
    </row>
    <row r="9629" spans="1:6" s="3" customFormat="1" ht="29.1" customHeight="1" x14ac:dyDescent="0.25">
      <c r="A9629" s="2" t="s">
        <v>19841</v>
      </c>
      <c r="B9629" s="2" t="s">
        <v>19794</v>
      </c>
      <c r="C9629" s="2" t="s">
        <v>5</v>
      </c>
      <c r="D9629" s="2" t="s">
        <v>724</v>
      </c>
      <c r="E9629" s="2" t="str">
        <f>"9783662557884"</f>
        <v>9783662557884</v>
      </c>
      <c r="F9629" s="2" t="str">
        <f>"9783662557969"</f>
        <v>9783662557969</v>
      </c>
    </row>
    <row r="9630" spans="1:6" s="3" customFormat="1" ht="29.1" customHeight="1" x14ac:dyDescent="0.25">
      <c r="A9630" s="2" t="s">
        <v>19842</v>
      </c>
      <c r="B9630" s="2" t="s">
        <v>19843</v>
      </c>
      <c r="C9630" s="2" t="s">
        <v>5</v>
      </c>
      <c r="D9630" s="2" t="s">
        <v>12</v>
      </c>
      <c r="E9630" s="2" t="str">
        <f>"9783319669809"</f>
        <v>9783319669809</v>
      </c>
      <c r="F9630" s="2" t="str">
        <f>"9783319669816"</f>
        <v>9783319669816</v>
      </c>
    </row>
    <row r="9631" spans="1:6" s="3" customFormat="1" ht="29.1" customHeight="1" x14ac:dyDescent="0.25">
      <c r="A9631" s="2" t="s">
        <v>19844</v>
      </c>
      <c r="B9631" s="2" t="s">
        <v>19846</v>
      </c>
      <c r="C9631" s="2" t="s">
        <v>5</v>
      </c>
      <c r="D9631" s="2" t="s">
        <v>19845</v>
      </c>
      <c r="E9631" s="2" t="str">
        <f>"9783319766805"</f>
        <v>9783319766805</v>
      </c>
      <c r="F9631" s="2" t="str">
        <f>"9783319766812"</f>
        <v>9783319766812</v>
      </c>
    </row>
    <row r="9632" spans="1:6" s="3" customFormat="1" ht="29.1" customHeight="1" x14ac:dyDescent="0.25">
      <c r="A9632" s="2" t="s">
        <v>19847</v>
      </c>
      <c r="B9632" s="2" t="s">
        <v>19848</v>
      </c>
      <c r="C9632" s="2" t="s">
        <v>5</v>
      </c>
      <c r="D9632" s="2" t="s">
        <v>8343</v>
      </c>
      <c r="E9632" s="2" t="str">
        <f>"9783030712808"</f>
        <v>9783030712808</v>
      </c>
      <c r="F9632" s="2" t="str">
        <f>"9783030712815"</f>
        <v>9783030712815</v>
      </c>
    </row>
    <row r="9633" spans="1:6" s="3" customFormat="1" ht="29.1" customHeight="1" x14ac:dyDescent="0.25">
      <c r="A9633" s="2" t="s">
        <v>19849</v>
      </c>
      <c r="B9633" s="2" t="s">
        <v>19848</v>
      </c>
      <c r="C9633" s="2" t="s">
        <v>5</v>
      </c>
      <c r="D9633" s="2" t="s">
        <v>8343</v>
      </c>
      <c r="E9633" s="2" t="str">
        <f>"9783030384890"</f>
        <v>9783030384890</v>
      </c>
      <c r="F9633" s="2" t="str">
        <f>"9783030384906"</f>
        <v>9783030384906</v>
      </c>
    </row>
    <row r="9634" spans="1:6" s="3" customFormat="1" ht="29.1" customHeight="1" x14ac:dyDescent="0.25">
      <c r="A9634" s="2" t="s">
        <v>19850</v>
      </c>
      <c r="B9634" s="2" t="s">
        <v>19848</v>
      </c>
      <c r="C9634" s="2" t="s">
        <v>5</v>
      </c>
      <c r="D9634" s="2" t="s">
        <v>8343</v>
      </c>
      <c r="E9634" s="2" t="str">
        <f>"9783030111489"</f>
        <v>9783030111489</v>
      </c>
      <c r="F9634" s="2" t="str">
        <f>"9783030111496"</f>
        <v>9783030111496</v>
      </c>
    </row>
    <row r="9635" spans="1:6" s="3" customFormat="1" ht="29.1" customHeight="1" x14ac:dyDescent="0.25">
      <c r="A9635" s="2" t="s">
        <v>19851</v>
      </c>
      <c r="B9635" s="2" t="s">
        <v>19848</v>
      </c>
      <c r="C9635" s="2" t="s">
        <v>5</v>
      </c>
      <c r="D9635" s="2" t="s">
        <v>8343</v>
      </c>
      <c r="E9635" s="2" t="str">
        <f>"9783319750187"</f>
        <v>9783319750187</v>
      </c>
      <c r="F9635" s="2" t="str">
        <f>"9783319750194"</f>
        <v>9783319750194</v>
      </c>
    </row>
    <row r="9636" spans="1:6" s="3" customFormat="1" ht="29.1" customHeight="1" x14ac:dyDescent="0.25">
      <c r="A9636" s="2" t="s">
        <v>19852</v>
      </c>
      <c r="B9636" s="2" t="s">
        <v>19853</v>
      </c>
      <c r="C9636" s="2" t="s">
        <v>5</v>
      </c>
      <c r="D9636" s="2" t="s">
        <v>3055</v>
      </c>
      <c r="E9636" s="2" t="str">
        <f>"9783319628691"</f>
        <v>9783319628691</v>
      </c>
      <c r="F9636" s="2" t="str">
        <f>"9783319628707"</f>
        <v>9783319628707</v>
      </c>
    </row>
    <row r="9637" spans="1:6" s="3" customFormat="1" ht="29.1" customHeight="1" x14ac:dyDescent="0.25">
      <c r="A9637" s="2" t="s">
        <v>19854</v>
      </c>
      <c r="B9637" s="2" t="s">
        <v>19855</v>
      </c>
      <c r="C9637" s="2" t="s">
        <v>5</v>
      </c>
      <c r="D9637" s="2" t="s">
        <v>2361</v>
      </c>
      <c r="E9637" s="2" t="str">
        <f>"9783319612904"</f>
        <v>9783319612904</v>
      </c>
      <c r="F9637" s="2" t="str">
        <f>"9783319612911"</f>
        <v>9783319612911</v>
      </c>
    </row>
    <row r="9638" spans="1:6" s="3" customFormat="1" ht="29.1" customHeight="1" x14ac:dyDescent="0.25">
      <c r="A9638" s="2" t="s">
        <v>19856</v>
      </c>
      <c r="B9638" s="2" t="s">
        <v>19857</v>
      </c>
      <c r="C9638" s="2" t="s">
        <v>5</v>
      </c>
      <c r="D9638" s="2" t="s">
        <v>144</v>
      </c>
      <c r="E9638" s="2" t="str">
        <f>"9781484228951"</f>
        <v>9781484228951</v>
      </c>
      <c r="F9638" s="2" t="str">
        <f>"9781484228968"</f>
        <v>9781484228968</v>
      </c>
    </row>
    <row r="9639" spans="1:6" s="3" customFormat="1" ht="29.1" customHeight="1" x14ac:dyDescent="0.25">
      <c r="A9639" s="2" t="s">
        <v>19858</v>
      </c>
      <c r="B9639" s="2" t="s">
        <v>19859</v>
      </c>
      <c r="C9639" s="2" t="s">
        <v>5</v>
      </c>
      <c r="D9639" s="2" t="s">
        <v>1878</v>
      </c>
      <c r="E9639" s="2" t="str">
        <f>"9783319535005"</f>
        <v>9783319535005</v>
      </c>
      <c r="F9639" s="2" t="str">
        <f>"9783319594699"</f>
        <v>9783319594699</v>
      </c>
    </row>
    <row r="9640" spans="1:6" s="3" customFormat="1" ht="29.1" customHeight="1" x14ac:dyDescent="0.25">
      <c r="A9640" s="2" t="s">
        <v>19860</v>
      </c>
      <c r="B9640" s="2" t="s">
        <v>19861</v>
      </c>
      <c r="C9640" s="2" t="s">
        <v>5</v>
      </c>
      <c r="D9640" s="2" t="s">
        <v>13640</v>
      </c>
      <c r="E9640" s="2" t="str">
        <f>"9783319956381"</f>
        <v>9783319956381</v>
      </c>
      <c r="F9640" s="2" t="str">
        <f>"9783319956398"</f>
        <v>9783319956398</v>
      </c>
    </row>
    <row r="9641" spans="1:6" s="3" customFormat="1" ht="29.1" customHeight="1" x14ac:dyDescent="0.25">
      <c r="A9641" s="2" t="s">
        <v>19862</v>
      </c>
      <c r="B9641" s="2" t="s">
        <v>19863</v>
      </c>
      <c r="C9641" s="2" t="s">
        <v>5</v>
      </c>
      <c r="D9641" s="2" t="s">
        <v>98</v>
      </c>
      <c r="E9641" s="2" t="str">
        <f>"9783319919706"</f>
        <v>9783319919706</v>
      </c>
      <c r="F9641" s="2" t="str">
        <f>"9783319919713"</f>
        <v>9783319919713</v>
      </c>
    </row>
    <row r="9642" spans="1:6" s="3" customFormat="1" ht="29.1" customHeight="1" x14ac:dyDescent="0.25">
      <c r="A9642" s="2" t="s">
        <v>19864</v>
      </c>
      <c r="B9642" s="2" t="s">
        <v>19865</v>
      </c>
      <c r="C9642" s="2" t="s">
        <v>5</v>
      </c>
      <c r="D9642" s="2" t="s">
        <v>487</v>
      </c>
      <c r="E9642" s="2" t="str">
        <f>"9783319531151"</f>
        <v>9783319531151</v>
      </c>
      <c r="F9642" s="2" t="str">
        <f>"9783319531168"</f>
        <v>9783319531168</v>
      </c>
    </row>
    <row r="9643" spans="1:6" s="3" customFormat="1" ht="29.1" customHeight="1" x14ac:dyDescent="0.25">
      <c r="A9643" s="2" t="s">
        <v>19866</v>
      </c>
      <c r="B9643" s="2" t="s">
        <v>19867</v>
      </c>
      <c r="C9643" s="2" t="s">
        <v>5</v>
      </c>
      <c r="D9643" s="2" t="s">
        <v>4742</v>
      </c>
      <c r="E9643" s="2" t="str">
        <f>"9783319516639"</f>
        <v>9783319516639</v>
      </c>
      <c r="F9643" s="2" t="str">
        <f>"9783319516646"</f>
        <v>9783319516646</v>
      </c>
    </row>
    <row r="9644" spans="1:6" s="3" customFormat="1" ht="29.1" customHeight="1" x14ac:dyDescent="0.25">
      <c r="A9644" s="2" t="s">
        <v>19868</v>
      </c>
      <c r="B9644" s="2" t="s">
        <v>19869</v>
      </c>
      <c r="C9644" s="2" t="s">
        <v>5</v>
      </c>
      <c r="D9644" s="2" t="s">
        <v>86</v>
      </c>
      <c r="E9644" s="2" t="str">
        <f>"9783030016258"</f>
        <v>9783030016258</v>
      </c>
      <c r="F9644" s="2" t="str">
        <f>"9783030016265"</f>
        <v>9783030016265</v>
      </c>
    </row>
    <row r="9645" spans="1:6" s="3" customFormat="1" ht="29.1" customHeight="1" x14ac:dyDescent="0.25">
      <c r="A9645" s="2" t="s">
        <v>19870</v>
      </c>
      <c r="B9645" s="2" t="s">
        <v>19871</v>
      </c>
      <c r="C9645" s="2" t="s">
        <v>5</v>
      </c>
      <c r="D9645" s="2" t="s">
        <v>2749</v>
      </c>
      <c r="E9645" s="2" t="str">
        <f>"9783030149307"</f>
        <v>9783030149307</v>
      </c>
      <c r="F9645" s="2" t="str">
        <f>"9783030149314"</f>
        <v>9783030149314</v>
      </c>
    </row>
    <row r="9646" spans="1:6" s="3" customFormat="1" ht="29.1" customHeight="1" x14ac:dyDescent="0.25">
      <c r="A9646" s="2" t="s">
        <v>19872</v>
      </c>
      <c r="B9646" s="2" t="s">
        <v>19873</v>
      </c>
      <c r="C9646" s="2" t="s">
        <v>5</v>
      </c>
      <c r="D9646" s="2" t="s">
        <v>2749</v>
      </c>
      <c r="E9646" s="2" t="str">
        <f>"9783319721699"</f>
        <v>9783319721699</v>
      </c>
      <c r="F9646" s="2" t="str">
        <f>"9783319721705"</f>
        <v>9783319721705</v>
      </c>
    </row>
    <row r="9647" spans="1:6" s="3" customFormat="1" ht="29.1" customHeight="1" x14ac:dyDescent="0.25">
      <c r="A9647" s="2" t="s">
        <v>19874</v>
      </c>
      <c r="B9647" s="2" t="s">
        <v>19875</v>
      </c>
      <c r="C9647" s="2" t="s">
        <v>5</v>
      </c>
      <c r="D9647" s="2" t="s">
        <v>2749</v>
      </c>
      <c r="E9647" s="2" t="str">
        <f>"9783319625966"</f>
        <v>9783319625966</v>
      </c>
      <c r="F9647" s="2" t="str">
        <f>"9783319625973"</f>
        <v>9783319625973</v>
      </c>
    </row>
    <row r="9648" spans="1:6" s="3" customFormat="1" ht="29.1" customHeight="1" x14ac:dyDescent="0.25">
      <c r="A9648" s="2" t="s">
        <v>19876</v>
      </c>
      <c r="B9648" s="2" t="s">
        <v>19877</v>
      </c>
      <c r="C9648" s="2" t="s">
        <v>5</v>
      </c>
      <c r="D9648" s="2" t="s">
        <v>101</v>
      </c>
      <c r="E9648" s="2" t="str">
        <f>"9783319471419"</f>
        <v>9783319471419</v>
      </c>
      <c r="F9648" s="2" t="str">
        <f>"9783319471433"</f>
        <v>9783319471433</v>
      </c>
    </row>
    <row r="9649" spans="1:6" s="3" customFormat="1" ht="29.1" customHeight="1" x14ac:dyDescent="0.25">
      <c r="A9649" s="2" t="s">
        <v>19878</v>
      </c>
      <c r="B9649" s="2" t="s">
        <v>19879</v>
      </c>
      <c r="C9649" s="2" t="s">
        <v>5</v>
      </c>
      <c r="D9649" s="2" t="s">
        <v>4019</v>
      </c>
      <c r="E9649" s="2" t="str">
        <f>"9783030974596"</f>
        <v>9783030974596</v>
      </c>
      <c r="F9649" s="2" t="str">
        <f>"9783030974602"</f>
        <v>9783030974602</v>
      </c>
    </row>
    <row r="9650" spans="1:6" s="3" customFormat="1" ht="29.1" customHeight="1" x14ac:dyDescent="0.25">
      <c r="A9650" s="2" t="s">
        <v>19880</v>
      </c>
      <c r="B9650" s="2" t="s">
        <v>19881</v>
      </c>
      <c r="C9650" s="2" t="s">
        <v>5</v>
      </c>
      <c r="D9650" s="2" t="s">
        <v>4172</v>
      </c>
      <c r="E9650" s="2" t="str">
        <f>"9783031319891"</f>
        <v>9783031319891</v>
      </c>
      <c r="F9650" s="2" t="str">
        <f>"9783031319907"</f>
        <v>9783031319907</v>
      </c>
    </row>
    <row r="9651" spans="1:6" s="3" customFormat="1" ht="29.1" customHeight="1" x14ac:dyDescent="0.25">
      <c r="A9651" s="2" t="s">
        <v>19882</v>
      </c>
      <c r="B9651" s="2" t="s">
        <v>19883</v>
      </c>
      <c r="C9651" s="2" t="s">
        <v>5</v>
      </c>
      <c r="D9651" s="2" t="s">
        <v>674</v>
      </c>
      <c r="E9651" s="2" t="str">
        <f>"9783319986951"</f>
        <v>9783319986951</v>
      </c>
      <c r="F9651" s="2" t="str">
        <f>"9783319986968"</f>
        <v>9783319986968</v>
      </c>
    </row>
    <row r="9652" spans="1:6" s="3" customFormat="1" ht="29.1" customHeight="1" x14ac:dyDescent="0.25">
      <c r="A9652" s="2" t="s">
        <v>19884</v>
      </c>
      <c r="B9652" s="2" t="s">
        <v>19885</v>
      </c>
      <c r="C9652" s="2" t="s">
        <v>5</v>
      </c>
      <c r="D9652" s="2" t="s">
        <v>694</v>
      </c>
      <c r="E9652" s="2" t="str">
        <f>"9789819942374"</f>
        <v>9789819942374</v>
      </c>
      <c r="F9652" s="2" t="str">
        <f>"9789819942381"</f>
        <v>9789819942381</v>
      </c>
    </row>
    <row r="9653" spans="1:6" s="3" customFormat="1" ht="29.1" customHeight="1" x14ac:dyDescent="0.25">
      <c r="A9653" s="2" t="s">
        <v>19886</v>
      </c>
      <c r="B9653" s="2" t="s">
        <v>19887</v>
      </c>
      <c r="C9653" s="2" t="s">
        <v>5</v>
      </c>
      <c r="D9653" s="2" t="s">
        <v>2435</v>
      </c>
      <c r="E9653" s="2" t="str">
        <f>"9783319511573"</f>
        <v>9783319511573</v>
      </c>
      <c r="F9653" s="2" t="str">
        <f>"9783319511597"</f>
        <v>9783319511597</v>
      </c>
    </row>
    <row r="9654" spans="1:6" s="3" customFormat="1" ht="29.1" customHeight="1" x14ac:dyDescent="0.25">
      <c r="A9654" s="2" t="s">
        <v>19888</v>
      </c>
      <c r="B9654" s="2" t="s">
        <v>19889</v>
      </c>
      <c r="C9654" s="2" t="s">
        <v>5</v>
      </c>
      <c r="D9654" s="2" t="s">
        <v>12</v>
      </c>
      <c r="E9654" s="2" t="str">
        <f>"9783319720258"</f>
        <v>9783319720258</v>
      </c>
      <c r="F9654" s="2" t="str">
        <f>"9783319720265"</f>
        <v>9783319720265</v>
      </c>
    </row>
    <row r="9655" spans="1:6" s="3" customFormat="1" ht="29.1" customHeight="1" x14ac:dyDescent="0.25">
      <c r="A9655" s="2" t="s">
        <v>19890</v>
      </c>
      <c r="B9655" s="2" t="s">
        <v>19891</v>
      </c>
      <c r="C9655" s="2" t="s">
        <v>5</v>
      </c>
      <c r="D9655" s="2" t="s">
        <v>12</v>
      </c>
      <c r="E9655" s="2" t="str">
        <f>"9783031071263"</f>
        <v>9783031071263</v>
      </c>
      <c r="F9655" s="2" t="str">
        <f>"9783031071270"</f>
        <v>9783031071270</v>
      </c>
    </row>
    <row r="9656" spans="1:6" s="3" customFormat="1" ht="29.1" customHeight="1" x14ac:dyDescent="0.25">
      <c r="A9656" s="2" t="s">
        <v>19892</v>
      </c>
      <c r="B9656" s="2" t="s">
        <v>19893</v>
      </c>
      <c r="C9656" s="2" t="s">
        <v>5</v>
      </c>
      <c r="D9656" s="2" t="s">
        <v>353</v>
      </c>
      <c r="E9656" s="2" t="str">
        <f>"9783031051814"</f>
        <v>9783031051814</v>
      </c>
      <c r="F9656" s="2" t="str">
        <f>"9783031051821"</f>
        <v>9783031051821</v>
      </c>
    </row>
    <row r="9657" spans="1:6" s="3" customFormat="1" ht="29.1" customHeight="1" x14ac:dyDescent="0.25">
      <c r="A9657" s="2" t="s">
        <v>19894</v>
      </c>
      <c r="B9657" s="2" t="s">
        <v>19895</v>
      </c>
      <c r="C9657" s="2" t="s">
        <v>5</v>
      </c>
      <c r="D9657" s="2" t="s">
        <v>72</v>
      </c>
      <c r="E9657" s="2" t="str">
        <f>"9783031039379"</f>
        <v>9783031039379</v>
      </c>
      <c r="F9657" s="2" t="str">
        <f>"9783031039386"</f>
        <v>9783031039386</v>
      </c>
    </row>
    <row r="9658" spans="1:6" s="3" customFormat="1" ht="29.1" customHeight="1" x14ac:dyDescent="0.25">
      <c r="A9658" s="2" t="s">
        <v>19896</v>
      </c>
      <c r="B9658" s="2" t="s">
        <v>19897</v>
      </c>
      <c r="C9658" s="2" t="s">
        <v>5</v>
      </c>
      <c r="D9658" s="2" t="s">
        <v>192</v>
      </c>
      <c r="E9658" s="2" t="str">
        <f>"9783319446950"</f>
        <v>9783319446950</v>
      </c>
      <c r="F9658" s="2" t="str">
        <f>"9783319446967"</f>
        <v>9783319446967</v>
      </c>
    </row>
    <row r="9659" spans="1:6" s="3" customFormat="1" ht="29.1" customHeight="1" x14ac:dyDescent="0.25">
      <c r="A9659" s="2" t="s">
        <v>19898</v>
      </c>
      <c r="B9659" s="2" t="s">
        <v>19899</v>
      </c>
      <c r="C9659" s="2" t="s">
        <v>5</v>
      </c>
      <c r="D9659" s="2" t="s">
        <v>12</v>
      </c>
      <c r="E9659" s="2" t="str">
        <f>"9783319437019"</f>
        <v>9783319437019</v>
      </c>
      <c r="F9659" s="2" t="str">
        <f>"9783319437026"</f>
        <v>9783319437026</v>
      </c>
    </row>
    <row r="9660" spans="1:6" s="3" customFormat="1" ht="29.1" customHeight="1" x14ac:dyDescent="0.25">
      <c r="A9660" s="2" t="s">
        <v>19900</v>
      </c>
      <c r="B9660" s="2" t="s">
        <v>19901</v>
      </c>
      <c r="C9660" s="2" t="s">
        <v>5</v>
      </c>
      <c r="D9660" s="2" t="s">
        <v>1471</v>
      </c>
      <c r="E9660" s="2" t="str">
        <f>"9783030481254"</f>
        <v>9783030481254</v>
      </c>
      <c r="F9660" s="2" t="str">
        <f>"9783030481261"</f>
        <v>9783030481261</v>
      </c>
    </row>
    <row r="9661" spans="1:6" s="3" customFormat="1" ht="29.1" customHeight="1" x14ac:dyDescent="0.25">
      <c r="A9661" s="2" t="s">
        <v>19902</v>
      </c>
      <c r="B9661" s="2" t="s">
        <v>19903</v>
      </c>
      <c r="C9661" s="2" t="s">
        <v>5</v>
      </c>
      <c r="D9661" s="2" t="s">
        <v>183</v>
      </c>
      <c r="E9661" s="2" t="str">
        <f>"9783658144388"</f>
        <v>9783658144388</v>
      </c>
      <c r="F9661" s="2" t="str">
        <f>"9783658144395"</f>
        <v>9783658144395</v>
      </c>
    </row>
    <row r="9662" spans="1:6" s="3" customFormat="1" ht="29.1" customHeight="1" x14ac:dyDescent="0.25">
      <c r="A9662" s="2" t="s">
        <v>19904</v>
      </c>
      <c r="B9662" s="2" t="s">
        <v>19794</v>
      </c>
      <c r="C9662" s="2" t="s">
        <v>5</v>
      </c>
      <c r="D9662" s="2" t="s">
        <v>724</v>
      </c>
      <c r="E9662" s="2" t="str">
        <f>"9783662528532"</f>
        <v>9783662528532</v>
      </c>
      <c r="F9662" s="2" t="str">
        <f>"9783662528549"</f>
        <v>9783662528549</v>
      </c>
    </row>
    <row r="9663" spans="1:6" s="3" customFormat="1" ht="29.1" customHeight="1" x14ac:dyDescent="0.25">
      <c r="A9663" s="2" t="s">
        <v>19905</v>
      </c>
      <c r="B9663" s="2" t="s">
        <v>19906</v>
      </c>
      <c r="C9663" s="2" t="s">
        <v>5</v>
      </c>
      <c r="D9663" s="2" t="s">
        <v>1867</v>
      </c>
      <c r="E9663" s="2" t="str">
        <f>"9783319597331"</f>
        <v>9783319597331</v>
      </c>
      <c r="F9663" s="2" t="str">
        <f>"9783319597348"</f>
        <v>9783319597348</v>
      </c>
    </row>
    <row r="9664" spans="1:6" s="3" customFormat="1" ht="29.1" customHeight="1" x14ac:dyDescent="0.25">
      <c r="A9664" s="2" t="s">
        <v>19907</v>
      </c>
      <c r="B9664" s="2" t="s">
        <v>19908</v>
      </c>
      <c r="C9664" s="2" t="s">
        <v>5</v>
      </c>
      <c r="D9664" s="2" t="s">
        <v>3028</v>
      </c>
      <c r="E9664" s="2" t="str">
        <f>"9789811015595"</f>
        <v>9789811015595</v>
      </c>
      <c r="F9664" s="2" t="str">
        <f>"9789811015601"</f>
        <v>9789811015601</v>
      </c>
    </row>
    <row r="9665" spans="1:6" s="3" customFormat="1" ht="29.1" customHeight="1" x14ac:dyDescent="0.25">
      <c r="A9665" s="2" t="s">
        <v>9862</v>
      </c>
      <c r="B9665" s="2" t="s">
        <v>19909</v>
      </c>
      <c r="C9665" s="2" t="s">
        <v>5</v>
      </c>
      <c r="D9665" s="2" t="s">
        <v>44</v>
      </c>
      <c r="E9665" s="2" t="str">
        <f>"9789811986567"</f>
        <v>9789811986567</v>
      </c>
      <c r="F9665" s="2" t="str">
        <f>"9789811986574"</f>
        <v>9789811986574</v>
      </c>
    </row>
    <row r="9666" spans="1:6" s="3" customFormat="1" ht="29.1" customHeight="1" x14ac:dyDescent="0.25">
      <c r="A9666" s="2" t="s">
        <v>19910</v>
      </c>
      <c r="B9666" s="2" t="s">
        <v>13785</v>
      </c>
      <c r="C9666" s="2" t="s">
        <v>5</v>
      </c>
      <c r="D9666" s="2" t="s">
        <v>44</v>
      </c>
      <c r="E9666" s="2" t="str">
        <f>"9789811912597"</f>
        <v>9789811912597</v>
      </c>
      <c r="F9666" s="2" t="str">
        <f>"9789811912603"</f>
        <v>9789811912603</v>
      </c>
    </row>
    <row r="9667" spans="1:6" s="3" customFormat="1" ht="29.1" customHeight="1" x14ac:dyDescent="0.25">
      <c r="A9667" s="2" t="s">
        <v>19911</v>
      </c>
      <c r="B9667" s="2" t="s">
        <v>10980</v>
      </c>
      <c r="C9667" s="2" t="s">
        <v>5</v>
      </c>
      <c r="D9667" s="2" t="s">
        <v>2877</v>
      </c>
      <c r="E9667" s="2" t="str">
        <f>"9783319393568"</f>
        <v>9783319393568</v>
      </c>
      <c r="F9667" s="2" t="str">
        <f>"9783319393575"</f>
        <v>9783319393575</v>
      </c>
    </row>
    <row r="9668" spans="1:6" s="3" customFormat="1" ht="29.1" customHeight="1" x14ac:dyDescent="0.25">
      <c r="A9668" s="2" t="s">
        <v>19912</v>
      </c>
      <c r="B9668" s="2" t="s">
        <v>19913</v>
      </c>
      <c r="C9668" s="2" t="s">
        <v>5</v>
      </c>
      <c r="D9668" s="2" t="s">
        <v>168</v>
      </c>
      <c r="E9668" s="2" t="str">
        <f>"9783030304683"</f>
        <v>9783030304683</v>
      </c>
      <c r="F9668" s="2" t="str">
        <f>"9783030304690"</f>
        <v>9783030304690</v>
      </c>
    </row>
    <row r="9669" spans="1:6" s="3" customFormat="1" ht="29.1" customHeight="1" x14ac:dyDescent="0.25">
      <c r="A9669" s="2" t="s">
        <v>19914</v>
      </c>
      <c r="B9669" s="2" t="s">
        <v>19915</v>
      </c>
      <c r="C9669" s="2" t="s">
        <v>5</v>
      </c>
      <c r="D9669" s="2" t="s">
        <v>1071</v>
      </c>
      <c r="E9669" s="2" t="str">
        <f>"9783662514191"</f>
        <v>9783662514191</v>
      </c>
      <c r="F9669" s="2" t="str">
        <f>"9783662514207"</f>
        <v>9783662514207</v>
      </c>
    </row>
    <row r="9670" spans="1:6" s="3" customFormat="1" ht="29.1" customHeight="1" x14ac:dyDescent="0.25">
      <c r="A9670" s="2" t="s">
        <v>19916</v>
      </c>
      <c r="B9670" s="2" t="s">
        <v>19918</v>
      </c>
      <c r="C9670" s="2" t="s">
        <v>5</v>
      </c>
      <c r="D9670" s="2" t="s">
        <v>19917</v>
      </c>
      <c r="E9670" s="2" t="str">
        <f>"9783662504468"</f>
        <v>9783662504468</v>
      </c>
      <c r="F9670" s="2" t="str">
        <f>"9783662504475"</f>
        <v>9783662504475</v>
      </c>
    </row>
    <row r="9671" spans="1:6" s="3" customFormat="1" ht="29.1" customHeight="1" x14ac:dyDescent="0.25">
      <c r="A9671" s="2" t="s">
        <v>19919</v>
      </c>
      <c r="B9671" s="2" t="s">
        <v>19920</v>
      </c>
      <c r="C9671" s="2" t="s">
        <v>5</v>
      </c>
      <c r="D9671" s="2" t="s">
        <v>12</v>
      </c>
      <c r="E9671" s="2" t="str">
        <f>"9783662503966"</f>
        <v>9783662503966</v>
      </c>
      <c r="F9671" s="2" t="str">
        <f>"9783662503973"</f>
        <v>9783662503973</v>
      </c>
    </row>
    <row r="9672" spans="1:6" s="3" customFormat="1" ht="29.1" customHeight="1" x14ac:dyDescent="0.25">
      <c r="A9672" s="2" t="s">
        <v>19921</v>
      </c>
      <c r="B9672" s="2" t="s">
        <v>19922</v>
      </c>
      <c r="C9672" s="2" t="s">
        <v>5</v>
      </c>
      <c r="D9672" s="2" t="s">
        <v>52</v>
      </c>
      <c r="E9672" s="2" t="str">
        <f>"9783031376481"</f>
        <v>9783031376481</v>
      </c>
      <c r="F9672" s="2" t="str">
        <f>"9783031376498"</f>
        <v>9783031376498</v>
      </c>
    </row>
    <row r="9673" spans="1:6" s="3" customFormat="1" ht="29.1" customHeight="1" x14ac:dyDescent="0.25">
      <c r="A9673" s="2" t="s">
        <v>19921</v>
      </c>
      <c r="B9673" s="2" t="s">
        <v>19922</v>
      </c>
      <c r="C9673" s="2" t="s">
        <v>5</v>
      </c>
      <c r="D9673" s="2" t="s">
        <v>52</v>
      </c>
      <c r="E9673" s="2" t="str">
        <f>"9783031114311"</f>
        <v>9783031114311</v>
      </c>
      <c r="F9673" s="2" t="str">
        <f>"9783031114328"</f>
        <v>9783031114328</v>
      </c>
    </row>
    <row r="9674" spans="1:6" s="3" customFormat="1" ht="29.1" customHeight="1" x14ac:dyDescent="0.25">
      <c r="A9674" s="2" t="s">
        <v>19923</v>
      </c>
      <c r="B9674" s="2" t="s">
        <v>19924</v>
      </c>
      <c r="C9674" s="2" t="s">
        <v>5</v>
      </c>
      <c r="D9674" s="2" t="s">
        <v>694</v>
      </c>
      <c r="E9674" s="2" t="str">
        <f>"9781349949281"</f>
        <v>9781349949281</v>
      </c>
      <c r="F9674" s="2" t="str">
        <f>"9781349949298"</f>
        <v>9781349949298</v>
      </c>
    </row>
    <row r="9675" spans="1:6" s="3" customFormat="1" ht="29.1" customHeight="1" x14ac:dyDescent="0.25">
      <c r="A9675" s="2" t="s">
        <v>19925</v>
      </c>
      <c r="B9675" s="2" t="s">
        <v>19926</v>
      </c>
      <c r="C9675" s="2" t="s">
        <v>5</v>
      </c>
      <c r="D9675" s="2" t="s">
        <v>4783</v>
      </c>
      <c r="E9675" s="2" t="str">
        <f>"9789811366345"</f>
        <v>9789811366345</v>
      </c>
      <c r="F9675" s="2" t="str">
        <f>"9789811366352"</f>
        <v>9789811366352</v>
      </c>
    </row>
    <row r="9676" spans="1:6" s="3" customFormat="1" ht="29.1" customHeight="1" x14ac:dyDescent="0.25">
      <c r="A9676" s="2" t="s">
        <v>19927</v>
      </c>
      <c r="B9676" s="2" t="s">
        <v>19928</v>
      </c>
      <c r="C9676" s="2" t="s">
        <v>5</v>
      </c>
      <c r="D9676" s="2" t="s">
        <v>650</v>
      </c>
      <c r="E9676" s="2" t="str">
        <f>"9783319310619"</f>
        <v>9783319310619</v>
      </c>
      <c r="F9676" s="2" t="str">
        <f>"9783319310633"</f>
        <v>9783319310633</v>
      </c>
    </row>
    <row r="9677" spans="1:6" s="3" customFormat="1" ht="29.1" customHeight="1" x14ac:dyDescent="0.25">
      <c r="A9677" s="2" t="s">
        <v>19929</v>
      </c>
      <c r="B9677" s="2" t="s">
        <v>6907</v>
      </c>
      <c r="C9677" s="2" t="s">
        <v>5</v>
      </c>
      <c r="D9677" s="2" t="s">
        <v>19930</v>
      </c>
      <c r="E9677" s="2" t="str">
        <f>"9783030839437"</f>
        <v>9783030839437</v>
      </c>
      <c r="F9677" s="2" t="str">
        <f>"9783030839444"</f>
        <v>9783030839444</v>
      </c>
    </row>
    <row r="9678" spans="1:6" s="3" customFormat="1" ht="29.1" customHeight="1" x14ac:dyDescent="0.25">
      <c r="A9678" s="2" t="s">
        <v>19931</v>
      </c>
      <c r="B9678" s="2" t="s">
        <v>19932</v>
      </c>
      <c r="C9678" s="2" t="s">
        <v>5</v>
      </c>
      <c r="D9678" s="2" t="s">
        <v>232</v>
      </c>
      <c r="E9678" s="2" t="str">
        <f>"9783030503550"</f>
        <v>9783030503550</v>
      </c>
      <c r="F9678" s="2" t="str">
        <f>"9783030503567"</f>
        <v>9783030503567</v>
      </c>
    </row>
    <row r="9679" spans="1:6" s="3" customFormat="1" ht="29.1" customHeight="1" x14ac:dyDescent="0.25">
      <c r="A9679" s="2" t="s">
        <v>19933</v>
      </c>
      <c r="B9679" s="2" t="s">
        <v>19934</v>
      </c>
      <c r="C9679" s="2" t="s">
        <v>5</v>
      </c>
      <c r="D9679" s="2" t="s">
        <v>2770</v>
      </c>
      <c r="E9679" s="2" t="str">
        <f>"9783319327259"</f>
        <v>9783319327259</v>
      </c>
      <c r="F9679" s="2" t="str">
        <f>"9783319327266"</f>
        <v>9783319327266</v>
      </c>
    </row>
    <row r="9680" spans="1:6" s="3" customFormat="1" ht="29.1" customHeight="1" x14ac:dyDescent="0.25">
      <c r="A9680" s="2" t="s">
        <v>19935</v>
      </c>
      <c r="B9680" s="2" t="s">
        <v>19936</v>
      </c>
      <c r="C9680" s="2" t="s">
        <v>5</v>
      </c>
      <c r="D9680" s="2" t="s">
        <v>2749</v>
      </c>
      <c r="E9680" s="2" t="str">
        <f>"9783319450032"</f>
        <v>9783319450032</v>
      </c>
      <c r="F9680" s="2" t="str">
        <f>"9783319450049"</f>
        <v>9783319450049</v>
      </c>
    </row>
    <row r="9681" spans="1:6" s="3" customFormat="1" ht="29.1" customHeight="1" x14ac:dyDescent="0.25">
      <c r="A9681" s="2" t="s">
        <v>19937</v>
      </c>
      <c r="B9681" s="2" t="s">
        <v>19938</v>
      </c>
      <c r="C9681" s="2" t="s">
        <v>5</v>
      </c>
      <c r="D9681" s="2" t="s">
        <v>2749</v>
      </c>
      <c r="E9681" s="2" t="str">
        <f>"9783319426105"</f>
        <v>9783319426105</v>
      </c>
      <c r="F9681" s="2" t="str">
        <f>"9783319426112"</f>
        <v>9783319426112</v>
      </c>
    </row>
    <row r="9682" spans="1:6" s="3" customFormat="1" ht="29.1" customHeight="1" x14ac:dyDescent="0.25">
      <c r="A9682" s="2" t="s">
        <v>19939</v>
      </c>
      <c r="B9682" s="2" t="s">
        <v>19940</v>
      </c>
      <c r="C9682" s="2" t="s">
        <v>5</v>
      </c>
      <c r="D9682" s="2" t="s">
        <v>2749</v>
      </c>
      <c r="E9682" s="2" t="str">
        <f>"9783319422664"</f>
        <v>9783319422664</v>
      </c>
      <c r="F9682" s="2" t="str">
        <f>"9783319422671"</f>
        <v>9783319422671</v>
      </c>
    </row>
    <row r="9683" spans="1:6" s="3" customFormat="1" ht="29.1" customHeight="1" x14ac:dyDescent="0.25">
      <c r="A9683" s="2" t="s">
        <v>19941</v>
      </c>
      <c r="B9683" s="2" t="s">
        <v>19942</v>
      </c>
      <c r="C9683" s="2" t="s">
        <v>5</v>
      </c>
      <c r="D9683" s="2" t="s">
        <v>2749</v>
      </c>
      <c r="E9683" s="2" t="str">
        <f>"9783319418131"</f>
        <v>9783319418131</v>
      </c>
      <c r="F9683" s="2" t="str">
        <f>"9783319418148"</f>
        <v>9783319418148</v>
      </c>
    </row>
    <row r="9684" spans="1:6" s="3" customFormat="1" ht="29.1" customHeight="1" x14ac:dyDescent="0.25">
      <c r="A9684" s="2" t="s">
        <v>19943</v>
      </c>
      <c r="B9684" s="2" t="s">
        <v>19944</v>
      </c>
      <c r="C9684" s="2" t="s">
        <v>5</v>
      </c>
      <c r="D9684" s="2" t="s">
        <v>2749</v>
      </c>
      <c r="E9684" s="2" t="str">
        <f>"9783319407296"</f>
        <v>9783319407296</v>
      </c>
      <c r="F9684" s="2" t="str">
        <f>"9783319407302"</f>
        <v>9783319407302</v>
      </c>
    </row>
    <row r="9685" spans="1:6" s="3" customFormat="1" ht="29.1" customHeight="1" x14ac:dyDescent="0.25">
      <c r="A9685" s="2" t="s">
        <v>19945</v>
      </c>
      <c r="B9685" s="2" t="s">
        <v>19946</v>
      </c>
      <c r="C9685" s="2" t="s">
        <v>5</v>
      </c>
      <c r="D9685" s="2" t="s">
        <v>2749</v>
      </c>
      <c r="E9685" s="2" t="str">
        <f>"9783319405681"</f>
        <v>9783319405681</v>
      </c>
      <c r="F9685" s="2" t="str">
        <f>"9783319405698"</f>
        <v>9783319405698</v>
      </c>
    </row>
    <row r="9686" spans="1:6" s="3" customFormat="1" ht="29.1" customHeight="1" x14ac:dyDescent="0.25">
      <c r="A9686" s="2" t="s">
        <v>19947</v>
      </c>
      <c r="B9686" s="2" t="s">
        <v>19948</v>
      </c>
      <c r="C9686" s="2" t="s">
        <v>5</v>
      </c>
      <c r="D9686" s="2" t="s">
        <v>2749</v>
      </c>
      <c r="E9686" s="2" t="str">
        <f>"9783319389646"</f>
        <v>9783319389646</v>
      </c>
      <c r="F9686" s="2" t="str">
        <f>"9783319389653"</f>
        <v>9783319389653</v>
      </c>
    </row>
    <row r="9687" spans="1:6" s="3" customFormat="1" ht="29.1" customHeight="1" x14ac:dyDescent="0.25">
      <c r="A9687" s="2" t="s">
        <v>19949</v>
      </c>
      <c r="B9687" s="2" t="s">
        <v>19950</v>
      </c>
      <c r="C9687" s="2" t="s">
        <v>5</v>
      </c>
      <c r="D9687" s="2" t="s">
        <v>2749</v>
      </c>
      <c r="E9687" s="2" t="str">
        <f>"9783319389677"</f>
        <v>9783319389677</v>
      </c>
      <c r="F9687" s="2" t="str">
        <f>"9783319389684"</f>
        <v>9783319389684</v>
      </c>
    </row>
    <row r="9688" spans="1:6" s="3" customFormat="1" ht="29.1" customHeight="1" x14ac:dyDescent="0.25">
      <c r="A9688" s="2" t="s">
        <v>19951</v>
      </c>
      <c r="B9688" s="2" t="s">
        <v>19952</v>
      </c>
      <c r="C9688" s="2" t="s">
        <v>5</v>
      </c>
      <c r="D9688" s="2" t="s">
        <v>2749</v>
      </c>
      <c r="E9688" s="2" t="str">
        <f>"9783319336657"</f>
        <v>9783319336657</v>
      </c>
      <c r="F9688" s="2" t="str">
        <f>"9783319336664"</f>
        <v>9783319336664</v>
      </c>
    </row>
    <row r="9689" spans="1:6" s="3" customFormat="1" ht="29.1" customHeight="1" x14ac:dyDescent="0.25">
      <c r="A9689" s="2" t="s">
        <v>19953</v>
      </c>
      <c r="B9689" s="2" t="s">
        <v>19954</v>
      </c>
      <c r="C9689" s="2" t="s">
        <v>5</v>
      </c>
      <c r="D9689" s="2" t="s">
        <v>2749</v>
      </c>
      <c r="E9689" s="2" t="str">
        <f>"9783319323930"</f>
        <v>9783319323930</v>
      </c>
      <c r="F9689" s="2" t="str">
        <f>"9783319323947"</f>
        <v>9783319323947</v>
      </c>
    </row>
    <row r="9690" spans="1:6" s="3" customFormat="1" ht="29.1" customHeight="1" x14ac:dyDescent="0.25">
      <c r="A9690" s="2" t="s">
        <v>19955</v>
      </c>
      <c r="B9690" s="2" t="s">
        <v>19956</v>
      </c>
      <c r="C9690" s="2" t="s">
        <v>5</v>
      </c>
      <c r="D9690" s="2" t="s">
        <v>2749</v>
      </c>
      <c r="E9690" s="2" t="str">
        <f>"9783319316215"</f>
        <v>9783319316215</v>
      </c>
      <c r="F9690" s="2" t="str">
        <f>"9783319316222"</f>
        <v>9783319316222</v>
      </c>
    </row>
    <row r="9691" spans="1:6" s="3" customFormat="1" ht="29.1" customHeight="1" x14ac:dyDescent="0.25">
      <c r="A9691" s="2" t="s">
        <v>19957</v>
      </c>
      <c r="B9691" s="2" t="s">
        <v>19958</v>
      </c>
      <c r="C9691" s="2" t="s">
        <v>5</v>
      </c>
      <c r="D9691" s="2" t="s">
        <v>2749</v>
      </c>
      <c r="E9691" s="2" t="str">
        <f>"9783319316154"</f>
        <v>9783319316154</v>
      </c>
      <c r="F9691" s="2" t="str">
        <f>"9783319316161"</f>
        <v>9783319316161</v>
      </c>
    </row>
    <row r="9692" spans="1:6" s="3" customFormat="1" ht="29.1" customHeight="1" x14ac:dyDescent="0.25">
      <c r="A9692" s="2" t="s">
        <v>19959</v>
      </c>
      <c r="B9692" s="2" t="s">
        <v>19960</v>
      </c>
      <c r="C9692" s="2" t="s">
        <v>5</v>
      </c>
      <c r="D9692" s="2" t="s">
        <v>2749</v>
      </c>
      <c r="E9692" s="2" t="str">
        <f>"9783319313696"</f>
        <v>9783319313696</v>
      </c>
      <c r="F9692" s="2" t="str">
        <f>"9783319313702"</f>
        <v>9783319313702</v>
      </c>
    </row>
    <row r="9693" spans="1:6" s="3" customFormat="1" ht="29.1" customHeight="1" x14ac:dyDescent="0.25">
      <c r="A9693" s="2" t="s">
        <v>19961</v>
      </c>
      <c r="B9693" s="2" t="s">
        <v>19962</v>
      </c>
      <c r="C9693" s="2" t="s">
        <v>5</v>
      </c>
      <c r="D9693" s="2" t="s">
        <v>2749</v>
      </c>
      <c r="E9693" s="2" t="str">
        <f>"9783319296548"</f>
        <v>9783319296548</v>
      </c>
      <c r="F9693" s="2" t="str">
        <f>"9783319296555"</f>
        <v>9783319296555</v>
      </c>
    </row>
    <row r="9694" spans="1:6" s="3" customFormat="1" ht="29.1" customHeight="1" x14ac:dyDescent="0.25">
      <c r="A9694" s="2" t="s">
        <v>19963</v>
      </c>
      <c r="B9694" s="2" t="s">
        <v>19964</v>
      </c>
      <c r="C9694" s="2" t="s">
        <v>5</v>
      </c>
      <c r="D9694" s="2" t="s">
        <v>636</v>
      </c>
      <c r="E9694" s="2" t="str">
        <f>"9783319295428"</f>
        <v>9783319295428</v>
      </c>
      <c r="F9694" s="2" t="str">
        <f>"9783319295442"</f>
        <v>9783319295442</v>
      </c>
    </row>
    <row r="9695" spans="1:6" s="3" customFormat="1" ht="29.1" customHeight="1" x14ac:dyDescent="0.25">
      <c r="A9695" s="2" t="s">
        <v>19965</v>
      </c>
      <c r="B9695" s="2" t="s">
        <v>19966</v>
      </c>
      <c r="C9695" s="2" t="s">
        <v>5</v>
      </c>
      <c r="D9695" s="2" t="s">
        <v>674</v>
      </c>
      <c r="E9695" s="2" t="str">
        <f>"9783319285207"</f>
        <v>9783319285207</v>
      </c>
      <c r="F9695" s="2" t="str">
        <f>"9783319285214"</f>
        <v>9783319285214</v>
      </c>
    </row>
    <row r="9696" spans="1:6" s="3" customFormat="1" ht="29.1" customHeight="1" x14ac:dyDescent="0.25">
      <c r="A9696" s="2" t="s">
        <v>19967</v>
      </c>
      <c r="B9696" s="2" t="s">
        <v>19968</v>
      </c>
      <c r="C9696" s="2" t="s">
        <v>5</v>
      </c>
      <c r="D9696" s="2" t="s">
        <v>294</v>
      </c>
      <c r="E9696" s="2" t="str">
        <f>"9783319934662"</f>
        <v>9783319934662</v>
      </c>
      <c r="F9696" s="2" t="str">
        <f>"9783319934679"</f>
        <v>9783319934679</v>
      </c>
    </row>
    <row r="9697" spans="1:6" s="3" customFormat="1" ht="29.1" customHeight="1" x14ac:dyDescent="0.25">
      <c r="A9697" s="2" t="s">
        <v>19969</v>
      </c>
      <c r="B9697" s="2" t="s">
        <v>19970</v>
      </c>
      <c r="C9697" s="2" t="s">
        <v>5</v>
      </c>
      <c r="D9697" s="2" t="s">
        <v>4019</v>
      </c>
      <c r="E9697" s="2" t="str">
        <f>"9783030119904"</f>
        <v>9783030119904</v>
      </c>
      <c r="F9697" s="2" t="str">
        <f>"9783030119911"</f>
        <v>9783030119911</v>
      </c>
    </row>
    <row r="9698" spans="1:6" s="3" customFormat="1" ht="29.1" customHeight="1" x14ac:dyDescent="0.25">
      <c r="A9698" s="2" t="s">
        <v>19971</v>
      </c>
      <c r="B9698" s="2" t="s">
        <v>19972</v>
      </c>
      <c r="C9698" s="2" t="s">
        <v>5</v>
      </c>
      <c r="D9698" s="2" t="s">
        <v>321</v>
      </c>
      <c r="E9698" s="2" t="str">
        <f>"9783662488454"</f>
        <v>9783662488454</v>
      </c>
      <c r="F9698" s="2" t="str">
        <f>"9783662488478"</f>
        <v>9783662488478</v>
      </c>
    </row>
    <row r="9699" spans="1:6" s="3" customFormat="1" ht="29.1" customHeight="1" x14ac:dyDescent="0.25">
      <c r="A9699" s="2" t="s">
        <v>19973</v>
      </c>
      <c r="B9699" s="2" t="s">
        <v>19974</v>
      </c>
      <c r="C9699" s="2" t="s">
        <v>5</v>
      </c>
      <c r="D9699" s="2" t="s">
        <v>553</v>
      </c>
      <c r="E9699" s="2" t="str">
        <f>"9783319263793"</f>
        <v>9783319263793</v>
      </c>
      <c r="F9699" s="2" t="str">
        <f>"9783319263809"</f>
        <v>9783319263809</v>
      </c>
    </row>
    <row r="9700" spans="1:6" s="3" customFormat="1" ht="29.1" customHeight="1" x14ac:dyDescent="0.25">
      <c r="A9700" s="2" t="s">
        <v>4094</v>
      </c>
      <c r="B9700" s="2" t="s">
        <v>4095</v>
      </c>
      <c r="C9700" s="2" t="s">
        <v>5</v>
      </c>
      <c r="D9700" s="2" t="s">
        <v>3354</v>
      </c>
      <c r="E9700" s="2" t="str">
        <f>"9783662667682"</f>
        <v>9783662667682</v>
      </c>
      <c r="F9700" s="2" t="str">
        <f>"9783662667699"</f>
        <v>9783662667699</v>
      </c>
    </row>
    <row r="9701" spans="1:6" s="3" customFormat="1" ht="29.1" customHeight="1" x14ac:dyDescent="0.25">
      <c r="A9701" s="2" t="s">
        <v>19975</v>
      </c>
      <c r="B9701" s="2" t="s">
        <v>19976</v>
      </c>
      <c r="C9701" s="2" t="s">
        <v>5</v>
      </c>
      <c r="D9701" s="2" t="s">
        <v>724</v>
      </c>
      <c r="E9701" s="2" t="str">
        <f>"9783662642825"</f>
        <v>9783662642825</v>
      </c>
      <c r="F9701" s="2" t="str">
        <f>"9783662642832"</f>
        <v>9783662642832</v>
      </c>
    </row>
    <row r="9702" spans="1:6" s="3" customFormat="1" ht="29.1" customHeight="1" x14ac:dyDescent="0.25">
      <c r="A9702" s="2" t="s">
        <v>19977</v>
      </c>
      <c r="B9702" s="2" t="s">
        <v>19978</v>
      </c>
      <c r="C9702" s="2" t="s">
        <v>5</v>
      </c>
      <c r="D9702" s="2" t="s">
        <v>4500</v>
      </c>
      <c r="E9702" s="2" t="str">
        <f>"9783662627457"</f>
        <v>9783662627457</v>
      </c>
      <c r="F9702" s="2" t="str">
        <f>"9783662627464"</f>
        <v>9783662627464</v>
      </c>
    </row>
    <row r="9703" spans="1:6" s="3" customFormat="1" ht="29.1" customHeight="1" x14ac:dyDescent="0.25">
      <c r="A9703" s="2" t="s">
        <v>19975</v>
      </c>
      <c r="B9703" s="2" t="s">
        <v>19976</v>
      </c>
      <c r="C9703" s="2" t="s">
        <v>5</v>
      </c>
      <c r="D9703" s="2" t="s">
        <v>724</v>
      </c>
      <c r="E9703" s="2" t="str">
        <f>"9783662598948"</f>
        <v>9783662598948</v>
      </c>
      <c r="F9703" s="2" t="str">
        <f>"9783662598955"</f>
        <v>9783662598955</v>
      </c>
    </row>
    <row r="9704" spans="1:6" s="3" customFormat="1" ht="29.1" customHeight="1" x14ac:dyDescent="0.25">
      <c r="A9704" s="2" t="s">
        <v>19977</v>
      </c>
      <c r="B9704" s="2" t="s">
        <v>19979</v>
      </c>
      <c r="C9704" s="2" t="s">
        <v>5</v>
      </c>
      <c r="D9704" s="2" t="s">
        <v>52</v>
      </c>
      <c r="E9704" s="2" t="str">
        <f>"9783662584842"</f>
        <v>9783662584842</v>
      </c>
      <c r="F9704" s="2" t="str">
        <f>"9783662584859"</f>
        <v>9783662584859</v>
      </c>
    </row>
    <row r="9705" spans="1:6" s="3" customFormat="1" ht="29.1" customHeight="1" x14ac:dyDescent="0.25">
      <c r="A9705" s="2" t="s">
        <v>19980</v>
      </c>
      <c r="B9705" s="2" t="s">
        <v>19981</v>
      </c>
      <c r="C9705" s="2" t="s">
        <v>5</v>
      </c>
      <c r="D9705" s="2" t="s">
        <v>3185</v>
      </c>
      <c r="E9705" s="2" t="str">
        <f>"9781137529619"</f>
        <v>9781137529619</v>
      </c>
      <c r="F9705" s="2" t="str">
        <f>"9781137529626"</f>
        <v>9781137529626</v>
      </c>
    </row>
    <row r="9706" spans="1:6" s="3" customFormat="1" ht="29.1" customHeight="1" x14ac:dyDescent="0.25">
      <c r="A9706" s="2" t="s">
        <v>19982</v>
      </c>
      <c r="B9706" s="2" t="s">
        <v>19983</v>
      </c>
      <c r="C9706" s="2" t="s">
        <v>5</v>
      </c>
      <c r="D9706" s="2" t="s">
        <v>92</v>
      </c>
      <c r="E9706" s="2" t="str">
        <f>"9783030185404"</f>
        <v>9783030185404</v>
      </c>
      <c r="F9706" s="2" t="str">
        <f>"9783030185411"</f>
        <v>9783030185411</v>
      </c>
    </row>
    <row r="9707" spans="1:6" s="3" customFormat="1" ht="29.1" customHeight="1" x14ac:dyDescent="0.25">
      <c r="A9707" s="2" t="s">
        <v>19984</v>
      </c>
      <c r="B9707" s="2" t="s">
        <v>19985</v>
      </c>
      <c r="C9707" s="2" t="s">
        <v>5</v>
      </c>
      <c r="D9707" s="2" t="s">
        <v>294</v>
      </c>
      <c r="E9707" s="2" t="str">
        <f>"9783031244971"</f>
        <v>9783031244971</v>
      </c>
      <c r="F9707" s="2" t="str">
        <f>"9783031244988"</f>
        <v>9783031244988</v>
      </c>
    </row>
    <row r="9708" spans="1:6" s="3" customFormat="1" ht="29.1" customHeight="1" x14ac:dyDescent="0.25">
      <c r="A9708" s="2" t="s">
        <v>19986</v>
      </c>
      <c r="B9708" s="2" t="s">
        <v>19987</v>
      </c>
      <c r="C9708" s="2" t="s">
        <v>5</v>
      </c>
      <c r="D9708" s="2" t="s">
        <v>2411</v>
      </c>
      <c r="E9708" s="2" t="str">
        <f>"9783031110689"</f>
        <v>9783031110689</v>
      </c>
      <c r="F9708" s="2" t="str">
        <f>"9783031110696"</f>
        <v>9783031110696</v>
      </c>
    </row>
    <row r="9709" spans="1:6" s="3" customFormat="1" ht="29.1" customHeight="1" x14ac:dyDescent="0.25">
      <c r="A9709" s="2" t="s">
        <v>19988</v>
      </c>
      <c r="B9709" s="2" t="s">
        <v>19989</v>
      </c>
      <c r="C9709" s="2" t="s">
        <v>5</v>
      </c>
      <c r="D9709" s="2" t="s">
        <v>294</v>
      </c>
      <c r="E9709" s="2" t="str">
        <f>"9783030536961"</f>
        <v>9783030536961</v>
      </c>
      <c r="F9709" s="2" t="str">
        <f>"9783030536978"</f>
        <v>9783030536978</v>
      </c>
    </row>
    <row r="9710" spans="1:6" s="3" customFormat="1" ht="29.1" customHeight="1" x14ac:dyDescent="0.25">
      <c r="A9710" s="2" t="s">
        <v>19990</v>
      </c>
      <c r="B9710" s="2" t="s">
        <v>19991</v>
      </c>
      <c r="C9710" s="2" t="s">
        <v>5</v>
      </c>
      <c r="D9710" s="2" t="s">
        <v>674</v>
      </c>
      <c r="E9710" s="2" t="str">
        <f>"9789811589829"</f>
        <v>9789811589829</v>
      </c>
      <c r="F9710" s="2" t="str">
        <f>"9789811589836"</f>
        <v>9789811589836</v>
      </c>
    </row>
    <row r="9711" spans="1:6" s="3" customFormat="1" ht="29.1" customHeight="1" x14ac:dyDescent="0.25">
      <c r="A9711" s="2" t="s">
        <v>19992</v>
      </c>
      <c r="B9711" s="2" t="s">
        <v>19993</v>
      </c>
      <c r="C9711" s="2" t="s">
        <v>5</v>
      </c>
      <c r="D9711" s="2" t="s">
        <v>95</v>
      </c>
      <c r="E9711" s="2" t="str">
        <f>"9783030677572"</f>
        <v>9783030677572</v>
      </c>
      <c r="F9711" s="2" t="str">
        <f>"9783030677589"</f>
        <v>9783030677589</v>
      </c>
    </row>
    <row r="9712" spans="1:6" s="3" customFormat="1" ht="29.1" customHeight="1" x14ac:dyDescent="0.25">
      <c r="A9712" s="2" t="s">
        <v>19994</v>
      </c>
      <c r="B9712" s="2" t="s">
        <v>19995</v>
      </c>
      <c r="C9712" s="2" t="s">
        <v>5</v>
      </c>
      <c r="D9712" s="2" t="s">
        <v>4190</v>
      </c>
      <c r="E9712" s="2" t="str">
        <f>"9781137536372"</f>
        <v>9781137536372</v>
      </c>
      <c r="F9712" s="2" t="str">
        <f>"9781137536389"</f>
        <v>9781137536389</v>
      </c>
    </row>
    <row r="9713" spans="1:6" s="3" customFormat="1" ht="29.1" customHeight="1" x14ac:dyDescent="0.25">
      <c r="A9713" s="2" t="s">
        <v>19996</v>
      </c>
      <c r="B9713" s="2" t="s">
        <v>19997</v>
      </c>
      <c r="C9713" s="2" t="s">
        <v>5</v>
      </c>
      <c r="D9713" s="2" t="s">
        <v>1883</v>
      </c>
      <c r="E9713" s="2" t="str">
        <f>"9781137487520"</f>
        <v>9781137487520</v>
      </c>
      <c r="F9713" s="2" t="str">
        <f>"9781137487537"</f>
        <v>9781137487537</v>
      </c>
    </row>
    <row r="9714" spans="1:6" s="3" customFormat="1" ht="29.1" customHeight="1" x14ac:dyDescent="0.25">
      <c r="A9714" s="2" t="s">
        <v>19998</v>
      </c>
      <c r="B9714" s="2" t="s">
        <v>19999</v>
      </c>
      <c r="C9714" s="2" t="s">
        <v>5</v>
      </c>
      <c r="D9714" s="2" t="s">
        <v>183</v>
      </c>
      <c r="E9714" s="2" t="str">
        <f>"9783030718657"</f>
        <v>9783030718657</v>
      </c>
      <c r="F9714" s="2" t="str">
        <f>"9783030718664"</f>
        <v>9783030718664</v>
      </c>
    </row>
    <row r="9715" spans="1:6" s="3" customFormat="1" ht="29.1" customHeight="1" x14ac:dyDescent="0.25">
      <c r="A9715" s="2" t="s">
        <v>20000</v>
      </c>
      <c r="B9715" s="2" t="s">
        <v>20001</v>
      </c>
      <c r="C9715" s="2" t="s">
        <v>5</v>
      </c>
      <c r="D9715" s="2" t="s">
        <v>196</v>
      </c>
      <c r="E9715" s="2" t="str">
        <f>"9783030898571"</f>
        <v>9783030898571</v>
      </c>
      <c r="F9715" s="2" t="str">
        <f>"9783030898588"</f>
        <v>9783030898588</v>
      </c>
    </row>
    <row r="9716" spans="1:6" s="3" customFormat="1" ht="29.1" customHeight="1" x14ac:dyDescent="0.25">
      <c r="A9716" s="2" t="s">
        <v>20002</v>
      </c>
      <c r="B9716" s="2" t="s">
        <v>20004</v>
      </c>
      <c r="C9716" s="2" t="s">
        <v>5</v>
      </c>
      <c r="D9716" s="2" t="s">
        <v>20003</v>
      </c>
      <c r="E9716" s="2" t="str">
        <f>"9783030785888"</f>
        <v>9783030785888</v>
      </c>
      <c r="F9716" s="2" t="str">
        <f>"9783030785895"</f>
        <v>9783030785895</v>
      </c>
    </row>
    <row r="9717" spans="1:6" s="3" customFormat="1" ht="29.1" customHeight="1" x14ac:dyDescent="0.25">
      <c r="A9717" s="2" t="s">
        <v>20005</v>
      </c>
      <c r="B9717" s="2" t="s">
        <v>20006</v>
      </c>
      <c r="C9717" s="2" t="s">
        <v>5</v>
      </c>
      <c r="D9717" s="2" t="s">
        <v>86</v>
      </c>
      <c r="E9717" s="2" t="str">
        <f>"9783319517735"</f>
        <v>9783319517735</v>
      </c>
      <c r="F9717" s="2" t="str">
        <f>"9783319517742"</f>
        <v>9783319517742</v>
      </c>
    </row>
    <row r="9718" spans="1:6" s="3" customFormat="1" ht="29.1" customHeight="1" x14ac:dyDescent="0.25">
      <c r="A9718" s="2" t="s">
        <v>20007</v>
      </c>
      <c r="B9718" s="2" t="s">
        <v>20008</v>
      </c>
      <c r="C9718" s="2" t="s">
        <v>5</v>
      </c>
      <c r="D9718" s="2" t="s">
        <v>15</v>
      </c>
      <c r="E9718" s="2" t="str">
        <f>"9781349995905"</f>
        <v>9781349995905</v>
      </c>
      <c r="F9718" s="2" t="str">
        <f>"9781137525024"</f>
        <v>9781137525024</v>
      </c>
    </row>
    <row r="9719" spans="1:6" s="3" customFormat="1" ht="29.1" customHeight="1" x14ac:dyDescent="0.25">
      <c r="A9719" s="2" t="s">
        <v>20009</v>
      </c>
      <c r="B9719" s="2" t="s">
        <v>20010</v>
      </c>
      <c r="C9719" s="2" t="s">
        <v>5</v>
      </c>
      <c r="D9719" s="2" t="s">
        <v>1265</v>
      </c>
      <c r="E9719" s="2" t="str">
        <f>"9783319254586"</f>
        <v>9783319254586</v>
      </c>
      <c r="F9719" s="2" t="str">
        <f>"9783319254609"</f>
        <v>9783319254609</v>
      </c>
    </row>
    <row r="9720" spans="1:6" s="3" customFormat="1" ht="29.1" customHeight="1" x14ac:dyDescent="0.25">
      <c r="A9720" s="2" t="s">
        <v>20011</v>
      </c>
      <c r="B9720" s="2" t="s">
        <v>20012</v>
      </c>
      <c r="C9720" s="2" t="s">
        <v>5</v>
      </c>
      <c r="D9720" s="2" t="s">
        <v>12</v>
      </c>
      <c r="E9720" s="2" t="str">
        <f>"9784431558262"</f>
        <v>9784431558262</v>
      </c>
      <c r="F9720" s="2" t="str">
        <f>"9784431558286"</f>
        <v>9784431558286</v>
      </c>
    </row>
    <row r="9721" spans="1:6" s="3" customFormat="1" ht="29.1" customHeight="1" x14ac:dyDescent="0.25">
      <c r="A9721" s="2" t="s">
        <v>20013</v>
      </c>
      <c r="B9721" s="2" t="s">
        <v>20014</v>
      </c>
      <c r="C9721" s="2" t="s">
        <v>5</v>
      </c>
      <c r="D9721" s="2" t="s">
        <v>144</v>
      </c>
      <c r="E9721" s="2" t="str">
        <f>"9789811989216"</f>
        <v>9789811989216</v>
      </c>
      <c r="F9721" s="2" t="str">
        <f>"9789811989223"</f>
        <v>9789811989223</v>
      </c>
    </row>
    <row r="9722" spans="1:6" s="3" customFormat="1" ht="29.1" customHeight="1" x14ac:dyDescent="0.25">
      <c r="A9722" s="2" t="s">
        <v>20015</v>
      </c>
      <c r="B9722" s="2" t="s">
        <v>20016</v>
      </c>
      <c r="C9722" s="2" t="s">
        <v>5</v>
      </c>
      <c r="D9722" s="2" t="s">
        <v>183</v>
      </c>
      <c r="E9722" s="2" t="str">
        <f>"9783658328719"</f>
        <v>9783658328719</v>
      </c>
      <c r="F9722" s="2" t="str">
        <f>"9783658328726"</f>
        <v>9783658328726</v>
      </c>
    </row>
    <row r="9723" spans="1:6" s="3" customFormat="1" ht="29.1" customHeight="1" x14ac:dyDescent="0.25">
      <c r="A9723" s="2" t="s">
        <v>20017</v>
      </c>
      <c r="B9723" s="2" t="s">
        <v>20018</v>
      </c>
      <c r="C9723" s="2" t="s">
        <v>5</v>
      </c>
      <c r="D9723" s="2" t="s">
        <v>1867</v>
      </c>
      <c r="E9723" s="2" t="str">
        <f>"9783319235752"</f>
        <v>9783319235752</v>
      </c>
      <c r="F9723" s="2" t="str">
        <f>"9783319235769"</f>
        <v>9783319235769</v>
      </c>
    </row>
    <row r="9724" spans="1:6" s="3" customFormat="1" ht="29.1" customHeight="1" x14ac:dyDescent="0.25">
      <c r="A9724" s="2" t="s">
        <v>20019</v>
      </c>
      <c r="B9724" s="2" t="s">
        <v>20020</v>
      </c>
      <c r="C9724" s="2" t="s">
        <v>5</v>
      </c>
      <c r="D9724" s="2" t="s">
        <v>37</v>
      </c>
      <c r="E9724" s="2" t="str">
        <f>"9789811575976"</f>
        <v>9789811575976</v>
      </c>
      <c r="F9724" s="2" t="str">
        <f>"9789811575983"</f>
        <v>9789811575983</v>
      </c>
    </row>
    <row r="9725" spans="1:6" s="3" customFormat="1" ht="29.1" customHeight="1" x14ac:dyDescent="0.25">
      <c r="A9725" s="2" t="s">
        <v>20021</v>
      </c>
      <c r="B9725" s="2" t="s">
        <v>20022</v>
      </c>
      <c r="C9725" s="2" t="s">
        <v>5</v>
      </c>
      <c r="D9725" s="2" t="s">
        <v>192</v>
      </c>
      <c r="E9725" s="2" t="str">
        <f>"9789462654709"</f>
        <v>9789462654709</v>
      </c>
      <c r="F9725" s="2" t="str">
        <f>"9789462654716"</f>
        <v>9789462654716</v>
      </c>
    </row>
    <row r="9726" spans="1:6" s="3" customFormat="1" ht="29.1" customHeight="1" x14ac:dyDescent="0.25">
      <c r="A9726" s="2" t="s">
        <v>20023</v>
      </c>
      <c r="B9726" s="2" t="s">
        <v>20024</v>
      </c>
      <c r="C9726" s="2" t="s">
        <v>5</v>
      </c>
      <c r="D9726" s="2" t="s">
        <v>192</v>
      </c>
      <c r="E9726" s="2" t="str">
        <f>"9789462654181"</f>
        <v>9789462654181</v>
      </c>
      <c r="F9726" s="2" t="str">
        <f>"9789462654198"</f>
        <v>9789462654198</v>
      </c>
    </row>
    <row r="9727" spans="1:6" s="3" customFormat="1" ht="29.1" customHeight="1" x14ac:dyDescent="0.25">
      <c r="A9727" s="2" t="s">
        <v>20025</v>
      </c>
      <c r="B9727" s="2" t="s">
        <v>20026</v>
      </c>
      <c r="C9727" s="2" t="s">
        <v>5</v>
      </c>
      <c r="D9727" s="2" t="s">
        <v>689</v>
      </c>
      <c r="E9727" s="2" t="str">
        <f>"9783031170393"</f>
        <v>9783031170393</v>
      </c>
      <c r="F9727" s="2" t="str">
        <f>"9783031170409"</f>
        <v>9783031170409</v>
      </c>
    </row>
    <row r="9728" spans="1:6" s="3" customFormat="1" ht="29.1" customHeight="1" x14ac:dyDescent="0.25">
      <c r="A9728" s="2" t="s">
        <v>20027</v>
      </c>
      <c r="B9728" s="2" t="s">
        <v>20028</v>
      </c>
      <c r="C9728" s="2" t="s">
        <v>5</v>
      </c>
      <c r="D9728" s="2" t="s">
        <v>1888</v>
      </c>
      <c r="E9728" s="2" t="str">
        <f>"9789402417197"</f>
        <v>9789402417197</v>
      </c>
      <c r="F9728" s="2" t="str">
        <f>"9789402417203"</f>
        <v>9789402417203</v>
      </c>
    </row>
    <row r="9729" spans="1:6" s="3" customFormat="1" ht="29.1" customHeight="1" x14ac:dyDescent="0.25">
      <c r="A9729" s="2" t="s">
        <v>20029</v>
      </c>
      <c r="B9729" s="2" t="s">
        <v>20030</v>
      </c>
      <c r="C9729" s="2" t="s">
        <v>5</v>
      </c>
      <c r="D9729" s="2" t="s">
        <v>553</v>
      </c>
      <c r="E9729" s="2" t="str">
        <f>"9783319187679"</f>
        <v>9783319187679</v>
      </c>
      <c r="F9729" s="2" t="str">
        <f>"9783319208770"</f>
        <v>9783319208770</v>
      </c>
    </row>
    <row r="9730" spans="1:6" s="3" customFormat="1" ht="29.1" customHeight="1" x14ac:dyDescent="0.25">
      <c r="A9730" s="2" t="s">
        <v>20031</v>
      </c>
      <c r="B9730" s="2" t="s">
        <v>20032</v>
      </c>
      <c r="C9730" s="2" t="s">
        <v>5</v>
      </c>
      <c r="D9730" s="2" t="s">
        <v>3567</v>
      </c>
      <c r="E9730" s="2" t="str">
        <f>"9784431556749"</f>
        <v>9784431556749</v>
      </c>
      <c r="F9730" s="2" t="str">
        <f>"9784431556756"</f>
        <v>9784431556756</v>
      </c>
    </row>
    <row r="9731" spans="1:6" s="3" customFormat="1" ht="29.1" customHeight="1" x14ac:dyDescent="0.25">
      <c r="A9731" s="2" t="s">
        <v>20033</v>
      </c>
      <c r="B9731" s="2" t="s">
        <v>20034</v>
      </c>
      <c r="C9731" s="2" t="s">
        <v>5</v>
      </c>
      <c r="D9731" s="2" t="s">
        <v>3019</v>
      </c>
      <c r="E9731" s="2" t="str">
        <f>"9783658093761"</f>
        <v>9783658093761</v>
      </c>
      <c r="F9731" s="2" t="str">
        <f>"9783658093778"</f>
        <v>9783658093778</v>
      </c>
    </row>
    <row r="9732" spans="1:6" s="3" customFormat="1" ht="29.1" customHeight="1" x14ac:dyDescent="0.25">
      <c r="A9732" s="2" t="s">
        <v>20035</v>
      </c>
      <c r="B9732" s="2" t="s">
        <v>20036</v>
      </c>
      <c r="C9732" s="2" t="s">
        <v>5</v>
      </c>
      <c r="D9732" s="2" t="s">
        <v>215</v>
      </c>
      <c r="E9732" s="2" t="str">
        <f>"9783319459752"</f>
        <v>9783319459752</v>
      </c>
      <c r="F9732" s="2" t="str">
        <f>"9783319459776"</f>
        <v>9783319459776</v>
      </c>
    </row>
    <row r="9733" spans="1:6" s="3" customFormat="1" ht="29.1" customHeight="1" x14ac:dyDescent="0.25">
      <c r="A9733" s="2" t="s">
        <v>20037</v>
      </c>
      <c r="B9733" s="2" t="s">
        <v>20039</v>
      </c>
      <c r="C9733" s="2" t="s">
        <v>5</v>
      </c>
      <c r="D9733" s="2" t="s">
        <v>20038</v>
      </c>
      <c r="E9733" s="2" t="str">
        <f>"9783319157917"</f>
        <v>9783319157917</v>
      </c>
      <c r="F9733" s="2" t="str">
        <f>"9783319161044"</f>
        <v>9783319161044</v>
      </c>
    </row>
    <row r="9734" spans="1:6" s="3" customFormat="1" ht="29.1" customHeight="1" x14ac:dyDescent="0.25">
      <c r="A9734" s="2" t="s">
        <v>20040</v>
      </c>
      <c r="B9734" s="2" t="s">
        <v>20041</v>
      </c>
      <c r="C9734" s="2" t="s">
        <v>5</v>
      </c>
      <c r="D9734" s="2" t="s">
        <v>674</v>
      </c>
      <c r="E9734" s="2" t="str">
        <f>"9783319537504"</f>
        <v>9783319537504</v>
      </c>
      <c r="F9734" s="2" t="str">
        <f>"9783319560915"</f>
        <v>9783319560915</v>
      </c>
    </row>
    <row r="9735" spans="1:6" s="3" customFormat="1" ht="29.1" customHeight="1" x14ac:dyDescent="0.25">
      <c r="A9735" s="2" t="s">
        <v>20042</v>
      </c>
      <c r="B9735" s="2" t="s">
        <v>20043</v>
      </c>
      <c r="C9735" s="2" t="s">
        <v>5</v>
      </c>
      <c r="D9735" s="2" t="s">
        <v>2877</v>
      </c>
      <c r="E9735" s="2" t="str">
        <f>"9783319142210"</f>
        <v>9783319142210</v>
      </c>
      <c r="F9735" s="2" t="str">
        <f>"9783319142227"</f>
        <v>9783319142227</v>
      </c>
    </row>
    <row r="9736" spans="1:6" s="3" customFormat="1" ht="29.1" customHeight="1" x14ac:dyDescent="0.25">
      <c r="A9736" s="2" t="s">
        <v>20044</v>
      </c>
      <c r="B9736" s="2" t="s">
        <v>20045</v>
      </c>
      <c r="C9736" s="2" t="s">
        <v>5</v>
      </c>
      <c r="D9736" s="2" t="s">
        <v>3489</v>
      </c>
      <c r="E9736" s="2" t="str">
        <f>"9783662459140"</f>
        <v>9783662459140</v>
      </c>
      <c r="F9736" s="2" t="str">
        <f>"9783662459157"</f>
        <v>9783662459157</v>
      </c>
    </row>
    <row r="9737" spans="1:6" s="3" customFormat="1" ht="29.1" customHeight="1" x14ac:dyDescent="0.25">
      <c r="A9737" s="2" t="s">
        <v>20046</v>
      </c>
      <c r="B9737" s="2" t="s">
        <v>20047</v>
      </c>
      <c r="C9737" s="2" t="s">
        <v>5</v>
      </c>
      <c r="D9737" s="2" t="s">
        <v>553</v>
      </c>
      <c r="E9737" s="2" t="str">
        <f>"9783319131344"</f>
        <v>9783319131344</v>
      </c>
      <c r="F9737" s="2" t="str">
        <f>"9783319131351"</f>
        <v>9783319131351</v>
      </c>
    </row>
    <row r="9738" spans="1:6" s="3" customFormat="1" ht="29.1" customHeight="1" x14ac:dyDescent="0.25">
      <c r="A9738" s="2" t="s">
        <v>20048</v>
      </c>
      <c r="B9738" s="2" t="s">
        <v>20049</v>
      </c>
      <c r="C9738" s="2" t="s">
        <v>5</v>
      </c>
      <c r="D9738" s="2" t="s">
        <v>78</v>
      </c>
      <c r="E9738" s="2" t="str">
        <f>"9783031422638"</f>
        <v>9783031422638</v>
      </c>
      <c r="F9738" s="2" t="str">
        <f>"9783031422645"</f>
        <v>9783031422645</v>
      </c>
    </row>
    <row r="9739" spans="1:6" s="3" customFormat="1" ht="29.1" customHeight="1" x14ac:dyDescent="0.25">
      <c r="A9739" s="2" t="s">
        <v>20050</v>
      </c>
      <c r="B9739" s="2" t="s">
        <v>20051</v>
      </c>
      <c r="C9739" s="2" t="s">
        <v>5</v>
      </c>
      <c r="D9739" s="2" t="s">
        <v>78</v>
      </c>
      <c r="E9739" s="2" t="str">
        <f>"9783031317156"</f>
        <v>9783031317156</v>
      </c>
      <c r="F9739" s="2" t="str">
        <f>"9783031317163"</f>
        <v>9783031317163</v>
      </c>
    </row>
    <row r="9740" spans="1:6" s="3" customFormat="1" ht="29.1" customHeight="1" x14ac:dyDescent="0.25">
      <c r="A9740" s="2" t="s">
        <v>20052</v>
      </c>
      <c r="B9740" s="2" t="s">
        <v>20053</v>
      </c>
      <c r="C9740" s="2" t="s">
        <v>5</v>
      </c>
      <c r="D9740" s="2" t="s">
        <v>78</v>
      </c>
      <c r="E9740" s="2" t="str">
        <f>"9783031114656"</f>
        <v>9783031114656</v>
      </c>
      <c r="F9740" s="2" t="str">
        <f>"9783031114663"</f>
        <v>9783031114663</v>
      </c>
    </row>
    <row r="9741" spans="1:6" s="3" customFormat="1" ht="29.1" customHeight="1" x14ac:dyDescent="0.25">
      <c r="A9741" s="2" t="s">
        <v>20054</v>
      </c>
      <c r="B9741" s="2" t="s">
        <v>20055</v>
      </c>
      <c r="C9741" s="2" t="s">
        <v>5</v>
      </c>
      <c r="D9741" s="2" t="s">
        <v>78</v>
      </c>
      <c r="E9741" s="2" t="str">
        <f>"9783031110603"</f>
        <v>9783031110603</v>
      </c>
      <c r="F9741" s="2" t="str">
        <f>"9783031110610"</f>
        <v>9783031110610</v>
      </c>
    </row>
    <row r="9742" spans="1:6" s="3" customFormat="1" ht="29.1" customHeight="1" x14ac:dyDescent="0.25">
      <c r="A9742" s="2" t="s">
        <v>20056</v>
      </c>
      <c r="B9742" s="2" t="s">
        <v>20057</v>
      </c>
      <c r="C9742" s="2" t="s">
        <v>5</v>
      </c>
      <c r="D9742" s="2" t="s">
        <v>78</v>
      </c>
      <c r="E9742" s="2" t="str">
        <f>"9783030992385"</f>
        <v>9783030992385</v>
      </c>
      <c r="F9742" s="2" t="str">
        <f>"9783030973223"</f>
        <v>9783030973223</v>
      </c>
    </row>
    <row r="9743" spans="1:6" s="3" customFormat="1" ht="29.1" customHeight="1" x14ac:dyDescent="0.25">
      <c r="A9743" s="2" t="s">
        <v>20058</v>
      </c>
      <c r="B9743" s="2" t="s">
        <v>20059</v>
      </c>
      <c r="C9743" s="2" t="s">
        <v>5</v>
      </c>
      <c r="D9743" s="2" t="s">
        <v>78</v>
      </c>
      <c r="E9743" s="2" t="str">
        <f>"9783030921132"</f>
        <v>9783030921132</v>
      </c>
      <c r="F9743" s="2" t="str">
        <f>"9783030921149"</f>
        <v>9783030921149</v>
      </c>
    </row>
    <row r="9744" spans="1:6" s="3" customFormat="1" ht="29.1" customHeight="1" x14ac:dyDescent="0.25">
      <c r="A9744" s="2" t="s">
        <v>20060</v>
      </c>
      <c r="B9744" s="2" t="s">
        <v>20061</v>
      </c>
      <c r="C9744" s="2" t="s">
        <v>5</v>
      </c>
      <c r="D9744" s="2" t="s">
        <v>544</v>
      </c>
      <c r="E9744" s="2" t="str">
        <f>"9783030919702"</f>
        <v>9783030919702</v>
      </c>
      <c r="F9744" s="2" t="str">
        <f>"9783030919719"</f>
        <v>9783030919719</v>
      </c>
    </row>
    <row r="9745" spans="1:6" s="3" customFormat="1" ht="29.1" customHeight="1" x14ac:dyDescent="0.25">
      <c r="A9745" s="2" t="s">
        <v>20062</v>
      </c>
      <c r="B9745" s="2" t="s">
        <v>20063</v>
      </c>
      <c r="C9745" s="2" t="s">
        <v>5</v>
      </c>
      <c r="D9745" s="2" t="s">
        <v>78</v>
      </c>
      <c r="E9745" s="2" t="str">
        <f>"9783030676148"</f>
        <v>9783030676148</v>
      </c>
      <c r="F9745" s="2" t="str">
        <f>"9783030676155"</f>
        <v>9783030676155</v>
      </c>
    </row>
    <row r="9746" spans="1:6" s="3" customFormat="1" ht="29.1" customHeight="1" x14ac:dyDescent="0.25">
      <c r="A9746" s="2" t="s">
        <v>20064</v>
      </c>
      <c r="B9746" s="2" t="s">
        <v>20065</v>
      </c>
      <c r="C9746" s="2" t="s">
        <v>5</v>
      </c>
      <c r="D9746" s="2" t="s">
        <v>78</v>
      </c>
      <c r="E9746" s="2" t="str">
        <f>"9783030672805"</f>
        <v>9783030672805</v>
      </c>
      <c r="F9746" s="2" t="str">
        <f>"9783030672812"</f>
        <v>9783030672812</v>
      </c>
    </row>
    <row r="9747" spans="1:6" s="3" customFormat="1" ht="29.1" customHeight="1" x14ac:dyDescent="0.25">
      <c r="A9747" s="2" t="s">
        <v>20066</v>
      </c>
      <c r="B9747" s="2" t="s">
        <v>20067</v>
      </c>
      <c r="C9747" s="2" t="s">
        <v>5</v>
      </c>
      <c r="D9747" s="2" t="s">
        <v>78</v>
      </c>
      <c r="E9747" s="2" t="str">
        <f>"9783030613891"</f>
        <v>9783030613891</v>
      </c>
      <c r="F9747" s="2" t="str">
        <f>"9783030613907"</f>
        <v>9783030613907</v>
      </c>
    </row>
    <row r="9748" spans="1:6" s="3" customFormat="1" ht="29.1" customHeight="1" x14ac:dyDescent="0.25">
      <c r="A9748" s="2" t="s">
        <v>20068</v>
      </c>
      <c r="B9748" s="2" t="s">
        <v>20069</v>
      </c>
      <c r="C9748" s="2" t="s">
        <v>5</v>
      </c>
      <c r="D9748" s="2" t="s">
        <v>297</v>
      </c>
      <c r="E9748" s="2" t="str">
        <f>"9783030512361"</f>
        <v>9783030512361</v>
      </c>
      <c r="F9748" s="2" t="str">
        <f>"9783030512378"</f>
        <v>9783030512378</v>
      </c>
    </row>
    <row r="9749" spans="1:6" s="3" customFormat="1" ht="29.1" customHeight="1" x14ac:dyDescent="0.25">
      <c r="A9749" s="2" t="s">
        <v>20070</v>
      </c>
      <c r="B9749" s="2" t="s">
        <v>20069</v>
      </c>
      <c r="C9749" s="2" t="s">
        <v>5</v>
      </c>
      <c r="D9749" s="2" t="s">
        <v>297</v>
      </c>
      <c r="E9749" s="2" t="str">
        <f>"9783030512446"</f>
        <v>9783030512446</v>
      </c>
      <c r="F9749" s="2" t="str">
        <f>"9783030512453"</f>
        <v>9783030512453</v>
      </c>
    </row>
    <row r="9750" spans="1:6" s="3" customFormat="1" ht="29.1" customHeight="1" x14ac:dyDescent="0.25">
      <c r="A9750" s="2" t="s">
        <v>20071</v>
      </c>
      <c r="B9750" s="2" t="s">
        <v>20069</v>
      </c>
      <c r="C9750" s="2" t="s">
        <v>5</v>
      </c>
      <c r="D9750" s="2" t="s">
        <v>297</v>
      </c>
      <c r="E9750" s="2" t="str">
        <f>"9783030512408"</f>
        <v>9783030512408</v>
      </c>
      <c r="F9750" s="2" t="str">
        <f>"9783030512415"</f>
        <v>9783030512415</v>
      </c>
    </row>
    <row r="9751" spans="1:6" s="3" customFormat="1" ht="29.1" customHeight="1" x14ac:dyDescent="0.25">
      <c r="A9751" s="2" t="s">
        <v>20072</v>
      </c>
      <c r="B9751" s="2" t="s">
        <v>20073</v>
      </c>
      <c r="C9751" s="2" t="s">
        <v>5</v>
      </c>
      <c r="D9751" s="2" t="s">
        <v>2752</v>
      </c>
      <c r="E9751" s="2" t="str">
        <f>"9783030806576"</f>
        <v>9783030806576</v>
      </c>
      <c r="F9751" s="2" t="str">
        <f>"9783030806583"</f>
        <v>9783030806583</v>
      </c>
    </row>
    <row r="9752" spans="1:6" s="3" customFormat="1" ht="29.1" customHeight="1" x14ac:dyDescent="0.25">
      <c r="A9752" s="2" t="s">
        <v>20074</v>
      </c>
      <c r="B9752" s="2" t="s">
        <v>20075</v>
      </c>
      <c r="C9752" s="2" t="s">
        <v>5</v>
      </c>
      <c r="D9752" s="2" t="s">
        <v>270</v>
      </c>
      <c r="E9752" s="2" t="str">
        <f>"9783319899046"</f>
        <v>9783319899046</v>
      </c>
      <c r="F9752" s="2" t="str">
        <f>"9783319899053"</f>
        <v>9783319899053</v>
      </c>
    </row>
    <row r="9753" spans="1:6" s="3" customFormat="1" ht="29.1" customHeight="1" x14ac:dyDescent="0.25">
      <c r="A9753" s="2" t="s">
        <v>20076</v>
      </c>
      <c r="B9753" s="2" t="s">
        <v>20077</v>
      </c>
      <c r="C9753" s="2" t="s">
        <v>5</v>
      </c>
      <c r="D9753" s="2" t="s">
        <v>78</v>
      </c>
      <c r="E9753" s="2" t="str">
        <f>"9783319779904"</f>
        <v>9783319779904</v>
      </c>
      <c r="F9753" s="2" t="str">
        <f>"9783319779911"</f>
        <v>9783319779911</v>
      </c>
    </row>
    <row r="9754" spans="1:6" s="3" customFormat="1" ht="29.1" customHeight="1" x14ac:dyDescent="0.25">
      <c r="A9754" s="2" t="s">
        <v>20078</v>
      </c>
      <c r="B9754" s="2" t="s">
        <v>20079</v>
      </c>
      <c r="C9754" s="2" t="s">
        <v>5</v>
      </c>
      <c r="D9754" s="2" t="s">
        <v>78</v>
      </c>
      <c r="E9754" s="2" t="str">
        <f>"9783319417745"</f>
        <v>9783319417745</v>
      </c>
      <c r="F9754" s="2" t="str">
        <f>"9783319417769"</f>
        <v>9783319417769</v>
      </c>
    </row>
    <row r="9755" spans="1:6" s="3" customFormat="1" ht="29.1" customHeight="1" x14ac:dyDescent="0.25">
      <c r="A9755" s="2" t="s">
        <v>20080</v>
      </c>
      <c r="B9755" s="2" t="s">
        <v>20081</v>
      </c>
      <c r="C9755" s="2" t="s">
        <v>5</v>
      </c>
      <c r="D9755" s="2" t="s">
        <v>2749</v>
      </c>
      <c r="E9755" s="2" t="str">
        <f>"9783319106854"</f>
        <v>9783319106854</v>
      </c>
      <c r="F9755" s="2" t="str">
        <f>"9783319126883"</f>
        <v>9783319126883</v>
      </c>
    </row>
    <row r="9756" spans="1:6" s="3" customFormat="1" ht="29.1" customHeight="1" x14ac:dyDescent="0.25">
      <c r="A9756" s="2" t="s">
        <v>20082</v>
      </c>
      <c r="B9756" s="2" t="s">
        <v>20083</v>
      </c>
      <c r="C9756" s="2" t="s">
        <v>5</v>
      </c>
      <c r="D9756" s="2" t="s">
        <v>6829</v>
      </c>
      <c r="E9756" s="2" t="str">
        <f>"9783319120898"</f>
        <v>9783319120898</v>
      </c>
      <c r="F9756" s="2" t="str">
        <f>"9783319120904"</f>
        <v>9783319120904</v>
      </c>
    </row>
    <row r="9757" spans="1:6" s="3" customFormat="1" ht="29.1" customHeight="1" x14ac:dyDescent="0.25">
      <c r="A9757" s="2" t="s">
        <v>20084</v>
      </c>
      <c r="B9757" s="2" t="s">
        <v>20085</v>
      </c>
      <c r="C9757" s="2" t="s">
        <v>5</v>
      </c>
      <c r="D9757" s="2" t="s">
        <v>1666</v>
      </c>
      <c r="E9757" s="2" t="str">
        <f>"9783030802332"</f>
        <v>9783030802332</v>
      </c>
      <c r="F9757" s="2" t="str">
        <f>"9783030802349"</f>
        <v>9783030802349</v>
      </c>
    </row>
    <row r="9758" spans="1:6" s="3" customFormat="1" ht="29.1" customHeight="1" x14ac:dyDescent="0.25">
      <c r="A9758" s="2" t="s">
        <v>20086</v>
      </c>
      <c r="B9758" s="2" t="s">
        <v>19908</v>
      </c>
      <c r="C9758" s="2" t="s">
        <v>5</v>
      </c>
      <c r="D9758" s="2" t="s">
        <v>3028</v>
      </c>
      <c r="E9758" s="2" t="str">
        <f>"9784431551256"</f>
        <v>9784431551256</v>
      </c>
      <c r="F9758" s="2" t="str">
        <f>"9784431551928"</f>
        <v>9784431551928</v>
      </c>
    </row>
    <row r="9759" spans="1:6" s="3" customFormat="1" ht="29.1" customHeight="1" x14ac:dyDescent="0.25">
      <c r="A9759" s="2" t="s">
        <v>20087</v>
      </c>
      <c r="B9759" s="2" t="s">
        <v>20088</v>
      </c>
      <c r="C9759" s="2" t="s">
        <v>5</v>
      </c>
      <c r="D9759" s="2" t="s">
        <v>553</v>
      </c>
      <c r="E9759" s="2" t="str">
        <f>"9783319080536"</f>
        <v>9783319080536</v>
      </c>
      <c r="F9759" s="2" t="str">
        <f>"9783319080543"</f>
        <v>9783319080543</v>
      </c>
    </row>
    <row r="9760" spans="1:6" s="3" customFormat="1" ht="29.1" customHeight="1" x14ac:dyDescent="0.25">
      <c r="A9760" s="2" t="s">
        <v>20089</v>
      </c>
      <c r="B9760" s="2" t="s">
        <v>20090</v>
      </c>
      <c r="C9760" s="2" t="s">
        <v>5</v>
      </c>
      <c r="D9760" s="2" t="s">
        <v>297</v>
      </c>
      <c r="E9760" s="2" t="str">
        <f>"9789401789585"</f>
        <v>9789401789585</v>
      </c>
      <c r="F9760" s="2" t="str">
        <f>"9789401789592"</f>
        <v>9789401789592</v>
      </c>
    </row>
    <row r="9761" spans="1:6" s="3" customFormat="1" ht="29.1" customHeight="1" x14ac:dyDescent="0.25">
      <c r="A9761" s="2" t="s">
        <v>20091</v>
      </c>
      <c r="B9761" s="2" t="s">
        <v>20092</v>
      </c>
      <c r="C9761" s="2" t="s">
        <v>5</v>
      </c>
      <c r="D9761" s="2" t="s">
        <v>141</v>
      </c>
      <c r="E9761" s="2" t="str">
        <f>"9783642548116"</f>
        <v>9783642548116</v>
      </c>
      <c r="F9761" s="2" t="str">
        <f>"9783642548123"</f>
        <v>9783642548123</v>
      </c>
    </row>
    <row r="9762" spans="1:6" s="3" customFormat="1" ht="29.1" customHeight="1" x14ac:dyDescent="0.25">
      <c r="A9762" s="2" t="s">
        <v>20093</v>
      </c>
      <c r="B9762" s="2" t="s">
        <v>20095</v>
      </c>
      <c r="C9762" s="2" t="s">
        <v>5</v>
      </c>
      <c r="D9762" s="2" t="s">
        <v>20094</v>
      </c>
      <c r="E9762" s="2" t="str">
        <f>"9783031224478"</f>
        <v>9783031224478</v>
      </c>
      <c r="F9762" s="2" t="str">
        <f>"9783031224485"</f>
        <v>9783031224485</v>
      </c>
    </row>
    <row r="9763" spans="1:6" s="3" customFormat="1" ht="29.1" customHeight="1" x14ac:dyDescent="0.25">
      <c r="A9763" s="2" t="s">
        <v>20096</v>
      </c>
      <c r="B9763" s="2" t="s">
        <v>20097</v>
      </c>
      <c r="C9763" s="2" t="s">
        <v>5</v>
      </c>
      <c r="D9763" s="2" t="s">
        <v>3633</v>
      </c>
      <c r="E9763" s="2" t="str">
        <f>"9783319045993"</f>
        <v>9783319045993</v>
      </c>
      <c r="F9763" s="2" t="str">
        <f>"9783319046006"</f>
        <v>9783319046006</v>
      </c>
    </row>
    <row r="9764" spans="1:6" s="3" customFormat="1" ht="29.1" customHeight="1" x14ac:dyDescent="0.25">
      <c r="A9764" s="2" t="s">
        <v>20098</v>
      </c>
      <c r="B9764" s="2" t="s">
        <v>20099</v>
      </c>
      <c r="C9764" s="2" t="s">
        <v>5</v>
      </c>
      <c r="D9764" s="2" t="s">
        <v>12</v>
      </c>
      <c r="E9764" s="2" t="str">
        <f>"9789401772204"</f>
        <v>9789401772204</v>
      </c>
      <c r="F9764" s="2" t="str">
        <f>"9789401772211"</f>
        <v>9789401772211</v>
      </c>
    </row>
    <row r="9765" spans="1:6" s="3" customFormat="1" ht="29.1" customHeight="1" x14ac:dyDescent="0.25">
      <c r="A9765" s="2" t="s">
        <v>726</v>
      </c>
      <c r="B9765" s="2" t="s">
        <v>20100</v>
      </c>
      <c r="C9765" s="2" t="s">
        <v>5</v>
      </c>
      <c r="D9765" s="2" t="s">
        <v>727</v>
      </c>
      <c r="E9765" s="2" t="str">
        <f>"9783031385407"</f>
        <v>9783031385407</v>
      </c>
      <c r="F9765" s="2" t="str">
        <f>"9783031385414"</f>
        <v>9783031385414</v>
      </c>
    </row>
    <row r="9766" spans="1:6" s="3" customFormat="1" ht="29.1" customHeight="1" x14ac:dyDescent="0.25">
      <c r="A9766" s="2" t="s">
        <v>20101</v>
      </c>
      <c r="B9766" s="2" t="s">
        <v>20102</v>
      </c>
      <c r="C9766" s="2" t="s">
        <v>5</v>
      </c>
      <c r="D9766" s="2" t="s">
        <v>2391</v>
      </c>
      <c r="E9766" s="2" t="str">
        <f>"9783031257513"</f>
        <v>9783031257513</v>
      </c>
      <c r="F9766" s="2" t="str">
        <f>"9783031257520"</f>
        <v>9783031257520</v>
      </c>
    </row>
    <row r="9767" spans="1:6" s="3" customFormat="1" ht="29.1" customHeight="1" x14ac:dyDescent="0.25">
      <c r="A9767" s="2" t="s">
        <v>20103</v>
      </c>
      <c r="B9767" s="2" t="s">
        <v>20104</v>
      </c>
      <c r="C9767" s="2" t="s">
        <v>5</v>
      </c>
      <c r="D9767" s="2" t="s">
        <v>1895</v>
      </c>
      <c r="E9767" s="2" t="str">
        <f>"9783658343651"</f>
        <v>9783658343651</v>
      </c>
      <c r="F9767" s="2" t="str">
        <f>"9783658343668"</f>
        <v>9783658343668</v>
      </c>
    </row>
    <row r="9768" spans="1:6" s="3" customFormat="1" ht="29.1" customHeight="1" x14ac:dyDescent="0.25">
      <c r="A9768" s="2" t="s">
        <v>20105</v>
      </c>
      <c r="B9768" s="2" t="s">
        <v>20107</v>
      </c>
      <c r="C9768" s="2" t="s">
        <v>5</v>
      </c>
      <c r="D9768" s="2" t="s">
        <v>20106</v>
      </c>
      <c r="E9768" s="2" t="str">
        <f>"9783658342241"</f>
        <v>9783658342241</v>
      </c>
      <c r="F9768" s="2" t="str">
        <f>"9783658342258"</f>
        <v>9783658342258</v>
      </c>
    </row>
    <row r="9769" spans="1:6" s="3" customFormat="1" ht="29.1" customHeight="1" x14ac:dyDescent="0.25">
      <c r="A9769" s="2" t="s">
        <v>20108</v>
      </c>
      <c r="B9769" s="2" t="s">
        <v>19524</v>
      </c>
      <c r="C9769" s="2" t="s">
        <v>5</v>
      </c>
      <c r="D9769" s="2" t="s">
        <v>183</v>
      </c>
      <c r="E9769" s="2" t="str">
        <f>"9783658332129"</f>
        <v>9783658332129</v>
      </c>
      <c r="F9769" s="2" t="str">
        <f>"9783658332136"</f>
        <v>9783658332136</v>
      </c>
    </row>
    <row r="9770" spans="1:6" s="3" customFormat="1" ht="29.1" customHeight="1" x14ac:dyDescent="0.25">
      <c r="A9770" s="2" t="s">
        <v>20109</v>
      </c>
      <c r="B9770" s="2" t="s">
        <v>20110</v>
      </c>
      <c r="C9770" s="2" t="s">
        <v>5</v>
      </c>
      <c r="D9770" s="2" t="s">
        <v>3817</v>
      </c>
      <c r="E9770" s="2" t="str">
        <f>"9783030333225"</f>
        <v>9783030333225</v>
      </c>
      <c r="F9770" s="2" t="str">
        <f>"9783030333232"</f>
        <v>9783030333232</v>
      </c>
    </row>
    <row r="9771" spans="1:6" s="3" customFormat="1" ht="29.1" customHeight="1" x14ac:dyDescent="0.25">
      <c r="A9771" s="2" t="s">
        <v>20111</v>
      </c>
      <c r="B9771" s="2" t="s">
        <v>20112</v>
      </c>
      <c r="C9771" s="2" t="s">
        <v>5</v>
      </c>
      <c r="D9771" s="2" t="s">
        <v>10447</v>
      </c>
      <c r="E9771" s="2" t="str">
        <f>"9784431545880"</f>
        <v>9784431545880</v>
      </c>
      <c r="F9771" s="2" t="str">
        <f>"9784431545897"</f>
        <v>9784431545897</v>
      </c>
    </row>
    <row r="9772" spans="1:6" s="3" customFormat="1" ht="29.1" customHeight="1" x14ac:dyDescent="0.25">
      <c r="A9772" s="2" t="s">
        <v>20113</v>
      </c>
      <c r="B9772" s="2" t="s">
        <v>20114</v>
      </c>
      <c r="C9772" s="2" t="s">
        <v>5</v>
      </c>
      <c r="D9772" s="2" t="s">
        <v>3958</v>
      </c>
      <c r="E9772" s="2" t="str">
        <f>"9783031190773"</f>
        <v>9783031190773</v>
      </c>
      <c r="F9772" s="2" t="str">
        <f>"9783031190780"</f>
        <v>9783031190780</v>
      </c>
    </row>
    <row r="9773" spans="1:6" s="3" customFormat="1" ht="29.1" customHeight="1" x14ac:dyDescent="0.25">
      <c r="A9773" s="2" t="s">
        <v>20115</v>
      </c>
      <c r="B9773" s="2" t="s">
        <v>20116</v>
      </c>
      <c r="C9773" s="2" t="s">
        <v>5</v>
      </c>
      <c r="D9773" s="2" t="s">
        <v>12</v>
      </c>
      <c r="E9773" s="2" t="str">
        <f>"9789811390609"</f>
        <v>9789811390609</v>
      </c>
      <c r="F9773" s="2" t="str">
        <f>"9789811390616"</f>
        <v>9789811390616</v>
      </c>
    </row>
    <row r="9774" spans="1:6" s="3" customFormat="1" ht="29.1" customHeight="1" x14ac:dyDescent="0.25">
      <c r="A9774" s="2" t="s">
        <v>20117</v>
      </c>
      <c r="B9774" s="2" t="s">
        <v>20118</v>
      </c>
      <c r="C9774" s="2" t="s">
        <v>5</v>
      </c>
      <c r="D9774" s="2" t="s">
        <v>12</v>
      </c>
      <c r="E9774" s="2" t="str">
        <f>"9784431566229"</f>
        <v>9784431566229</v>
      </c>
      <c r="F9774" s="2" t="str">
        <f>"9784431566236"</f>
        <v>9784431566236</v>
      </c>
    </row>
    <row r="9775" spans="1:6" s="3" customFormat="1" ht="29.1" customHeight="1" x14ac:dyDescent="0.25">
      <c r="A9775" s="2" t="s">
        <v>20119</v>
      </c>
      <c r="B9775" s="2" t="s">
        <v>20120</v>
      </c>
      <c r="C9775" s="2" t="s">
        <v>5</v>
      </c>
      <c r="D9775" s="2" t="s">
        <v>9</v>
      </c>
      <c r="E9775" s="2" t="str">
        <f>"9783030579265"</f>
        <v>9783030579265</v>
      </c>
      <c r="F9775" s="2" t="str">
        <f>"9783030579272"</f>
        <v>9783030579272</v>
      </c>
    </row>
    <row r="9776" spans="1:6" s="3" customFormat="1" ht="29.1" customHeight="1" x14ac:dyDescent="0.25">
      <c r="A9776" s="2" t="s">
        <v>20121</v>
      </c>
      <c r="B9776" s="2" t="s">
        <v>20122</v>
      </c>
      <c r="C9776" s="2" t="s">
        <v>5</v>
      </c>
      <c r="D9776" s="2" t="s">
        <v>694</v>
      </c>
      <c r="E9776" s="2" t="str">
        <f>"9783319607139"</f>
        <v>9783319607139</v>
      </c>
      <c r="F9776" s="2" t="str">
        <f>"9783319607146"</f>
        <v>9783319607146</v>
      </c>
    </row>
    <row r="9777" spans="1:6" s="3" customFormat="1" ht="29.1" customHeight="1" x14ac:dyDescent="0.25">
      <c r="A9777" s="2" t="s">
        <v>20123</v>
      </c>
      <c r="B9777" s="2" t="s">
        <v>20124</v>
      </c>
      <c r="C9777" s="2" t="s">
        <v>5</v>
      </c>
      <c r="D9777" s="2" t="s">
        <v>37</v>
      </c>
      <c r="E9777" s="2" t="str">
        <f>"9783031369698"</f>
        <v>9783031369698</v>
      </c>
      <c r="F9777" s="2" t="str">
        <f>"9783031369704"</f>
        <v>9783031369704</v>
      </c>
    </row>
    <row r="9778" spans="1:6" s="3" customFormat="1" ht="29.1" customHeight="1" x14ac:dyDescent="0.25">
      <c r="A9778" s="2" t="s">
        <v>20125</v>
      </c>
      <c r="B9778" s="2" t="s">
        <v>20126</v>
      </c>
      <c r="C9778" s="2" t="s">
        <v>5</v>
      </c>
      <c r="D9778" s="2" t="s">
        <v>547</v>
      </c>
      <c r="E9778" s="2" t="str">
        <f>"9789400770874"</f>
        <v>9789400770874</v>
      </c>
      <c r="F9778" s="2" t="str">
        <f>"9789400770881"</f>
        <v>9789400770881</v>
      </c>
    </row>
    <row r="9779" spans="1:6" s="3" customFormat="1" ht="29.1" customHeight="1" x14ac:dyDescent="0.25">
      <c r="A9779" s="2" t="s">
        <v>20127</v>
      </c>
      <c r="B9779" s="2" t="s">
        <v>20128</v>
      </c>
      <c r="C9779" s="2" t="s">
        <v>5</v>
      </c>
      <c r="D9779" s="2" t="s">
        <v>6994</v>
      </c>
      <c r="E9779" s="2" t="str">
        <f>"9783030862107"</f>
        <v>9783030862107</v>
      </c>
      <c r="F9779" s="2" t="str">
        <f>"9783030862114"</f>
        <v>9783030862114</v>
      </c>
    </row>
    <row r="9780" spans="1:6" s="3" customFormat="1" ht="29.1" customHeight="1" x14ac:dyDescent="0.25">
      <c r="A9780" s="2" t="s">
        <v>20129</v>
      </c>
      <c r="B9780" s="2" t="s">
        <v>20130</v>
      </c>
      <c r="C9780" s="2" t="s">
        <v>5</v>
      </c>
      <c r="D9780" s="2" t="s">
        <v>12</v>
      </c>
      <c r="E9780" s="2" t="str">
        <f>"9783319469386"</f>
        <v>9783319469386</v>
      </c>
      <c r="F9780" s="2" t="str">
        <f>"9783319469393"</f>
        <v>9783319469393</v>
      </c>
    </row>
    <row r="9781" spans="1:6" s="3" customFormat="1" ht="29.1" customHeight="1" x14ac:dyDescent="0.25">
      <c r="A9781" s="2" t="s">
        <v>20131</v>
      </c>
      <c r="B9781" s="2" t="s">
        <v>20132</v>
      </c>
      <c r="C9781" s="2" t="s">
        <v>5</v>
      </c>
      <c r="D9781" s="2" t="s">
        <v>553</v>
      </c>
      <c r="E9781" s="2" t="str">
        <f>"9789811915512"</f>
        <v>9789811915512</v>
      </c>
      <c r="F9781" s="2" t="str">
        <f>"9789811915529"</f>
        <v>9789811915529</v>
      </c>
    </row>
    <row r="9782" spans="1:6" s="3" customFormat="1" ht="29.1" customHeight="1" x14ac:dyDescent="0.25">
      <c r="A9782" s="2" t="s">
        <v>20133</v>
      </c>
      <c r="B9782" s="2" t="s">
        <v>20134</v>
      </c>
      <c r="C9782" s="2" t="s">
        <v>5</v>
      </c>
      <c r="D9782" s="2" t="s">
        <v>183</v>
      </c>
      <c r="E9782" s="2" t="str">
        <f>"9783030293321"</f>
        <v>9783030293321</v>
      </c>
      <c r="F9782" s="2" t="str">
        <f>"9783030293338"</f>
        <v>9783030293338</v>
      </c>
    </row>
    <row r="9783" spans="1:6" s="3" customFormat="1" ht="29.1" customHeight="1" x14ac:dyDescent="0.25">
      <c r="A9783" s="2" t="s">
        <v>20135</v>
      </c>
      <c r="B9783" s="2" t="s">
        <v>20136</v>
      </c>
      <c r="C9783" s="2" t="s">
        <v>5</v>
      </c>
      <c r="D9783" s="2" t="s">
        <v>144</v>
      </c>
      <c r="E9783" s="2" t="str">
        <f>"9781430257400"</f>
        <v>9781430257400</v>
      </c>
      <c r="F9783" s="2" t="str">
        <f>"9781430257417"</f>
        <v>9781430257417</v>
      </c>
    </row>
    <row r="9784" spans="1:6" s="3" customFormat="1" ht="29.1" customHeight="1" x14ac:dyDescent="0.25">
      <c r="A9784" s="2" t="s">
        <v>20137</v>
      </c>
      <c r="B9784" s="2" t="s">
        <v>20138</v>
      </c>
      <c r="C9784" s="2" t="s">
        <v>5</v>
      </c>
      <c r="D9784" s="2" t="s">
        <v>9205</v>
      </c>
      <c r="E9784" s="2" t="str">
        <f>"9783030783532"</f>
        <v>9783030783532</v>
      </c>
      <c r="F9784" s="2" t="str">
        <f>"9783030783549"</f>
        <v>9783030783549</v>
      </c>
    </row>
    <row r="9785" spans="1:6" s="3" customFormat="1" ht="29.1" customHeight="1" x14ac:dyDescent="0.25">
      <c r="A9785" s="2" t="s">
        <v>20139</v>
      </c>
      <c r="B9785" s="2" t="s">
        <v>20140</v>
      </c>
      <c r="C9785" s="2" t="s">
        <v>5</v>
      </c>
      <c r="D9785" s="2" t="s">
        <v>6511</v>
      </c>
      <c r="E9785" s="2" t="str">
        <f>"9783319270050"</f>
        <v>9783319270050</v>
      </c>
      <c r="F9785" s="2" t="str">
        <f>"9783319270067"</f>
        <v>9783319270067</v>
      </c>
    </row>
    <row r="9786" spans="1:6" s="3" customFormat="1" ht="29.1" customHeight="1" x14ac:dyDescent="0.25">
      <c r="A9786" s="2" t="s">
        <v>20141</v>
      </c>
      <c r="B9786" s="2" t="s">
        <v>20142</v>
      </c>
      <c r="C9786" s="2" t="s">
        <v>5</v>
      </c>
      <c r="D9786" s="2" t="s">
        <v>350</v>
      </c>
      <c r="E9786" s="2" t="str">
        <f>"9783031298301"</f>
        <v>9783031298301</v>
      </c>
      <c r="F9786" s="2" t="str">
        <f>"9783031298318"</f>
        <v>9783031298318</v>
      </c>
    </row>
    <row r="9787" spans="1:6" s="3" customFormat="1" ht="29.1" customHeight="1" x14ac:dyDescent="0.25">
      <c r="A9787" s="2" t="s">
        <v>20143</v>
      </c>
      <c r="B9787" s="2" t="s">
        <v>20144</v>
      </c>
      <c r="C9787" s="2" t="s">
        <v>5</v>
      </c>
      <c r="D9787" s="2" t="s">
        <v>13055</v>
      </c>
      <c r="E9787" s="2" t="str">
        <f>"9783031183256"</f>
        <v>9783031183256</v>
      </c>
      <c r="F9787" s="2" t="str">
        <f>"9783031183263"</f>
        <v>9783031183263</v>
      </c>
    </row>
    <row r="9788" spans="1:6" s="3" customFormat="1" ht="29.1" customHeight="1" x14ac:dyDescent="0.25">
      <c r="A9788" s="2" t="s">
        <v>20145</v>
      </c>
      <c r="B9788" s="2" t="s">
        <v>20146</v>
      </c>
      <c r="C9788" s="2" t="s">
        <v>5</v>
      </c>
      <c r="D9788" s="2" t="s">
        <v>9205</v>
      </c>
      <c r="E9788" s="2" t="str">
        <f>"9783030772550"</f>
        <v>9783030772550</v>
      </c>
      <c r="F9788" s="2" t="str">
        <f>"9783030772567"</f>
        <v>9783030772567</v>
      </c>
    </row>
    <row r="9789" spans="1:6" s="3" customFormat="1" ht="29.1" customHeight="1" x14ac:dyDescent="0.25">
      <c r="A9789" s="2" t="s">
        <v>20147</v>
      </c>
      <c r="B9789" s="2" t="s">
        <v>20148</v>
      </c>
      <c r="C9789" s="2" t="s">
        <v>5</v>
      </c>
      <c r="D9789" s="2" t="s">
        <v>9205</v>
      </c>
      <c r="E9789" s="2" t="str">
        <f>"9783030705657"</f>
        <v>9783030705657</v>
      </c>
      <c r="F9789" s="2" t="str">
        <f>"9783030705664"</f>
        <v>9783030705664</v>
      </c>
    </row>
    <row r="9790" spans="1:6" s="3" customFormat="1" ht="29.1" customHeight="1" x14ac:dyDescent="0.25">
      <c r="A9790" s="2" t="s">
        <v>20149</v>
      </c>
      <c r="B9790" s="2" t="s">
        <v>20150</v>
      </c>
      <c r="C9790" s="2" t="s">
        <v>5</v>
      </c>
      <c r="D9790" s="2" t="s">
        <v>9205</v>
      </c>
      <c r="E9790" s="2" t="str">
        <f>"9783030662998"</f>
        <v>9783030662998</v>
      </c>
      <c r="F9790" s="2" t="str">
        <f>"9783030663001"</f>
        <v>9783030663001</v>
      </c>
    </row>
    <row r="9791" spans="1:6" s="3" customFormat="1" ht="29.1" customHeight="1" x14ac:dyDescent="0.25">
      <c r="A9791" s="2" t="s">
        <v>20151</v>
      </c>
      <c r="B9791" s="2" t="s">
        <v>20152</v>
      </c>
      <c r="C9791" s="2" t="s">
        <v>5</v>
      </c>
      <c r="D9791" s="2" t="s">
        <v>889</v>
      </c>
      <c r="E9791" s="2" t="str">
        <f>"9783031261541"</f>
        <v>9783031261541</v>
      </c>
      <c r="F9791" s="2" t="str">
        <f>"9783031261558"</f>
        <v>9783031261558</v>
      </c>
    </row>
    <row r="9792" spans="1:6" s="3" customFormat="1" ht="29.1" customHeight="1" x14ac:dyDescent="0.25">
      <c r="A9792" s="2" t="s">
        <v>20153</v>
      </c>
      <c r="B9792" s="2" t="s">
        <v>20154</v>
      </c>
      <c r="C9792" s="2" t="s">
        <v>5</v>
      </c>
      <c r="D9792" s="2" t="s">
        <v>8338</v>
      </c>
      <c r="E9792" s="2" t="str">
        <f>"9783030112790"</f>
        <v>9783030112790</v>
      </c>
      <c r="F9792" s="2" t="str">
        <f>"9783030112806"</f>
        <v>9783030112806</v>
      </c>
    </row>
    <row r="9793" spans="1:6" s="3" customFormat="1" ht="29.1" customHeight="1" x14ac:dyDescent="0.25">
      <c r="A9793" s="2" t="s">
        <v>20155</v>
      </c>
      <c r="B9793" s="2" t="s">
        <v>8339</v>
      </c>
      <c r="C9793" s="2" t="s">
        <v>5</v>
      </c>
      <c r="D9793" s="2" t="s">
        <v>8338</v>
      </c>
      <c r="E9793" s="2" t="str">
        <f>"9783319123035"</f>
        <v>9783319123035</v>
      </c>
      <c r="F9793" s="2" t="str">
        <f>"9783319123042"</f>
        <v>9783319123042</v>
      </c>
    </row>
    <row r="9794" spans="1:6" s="3" customFormat="1" ht="29.1" customHeight="1" x14ac:dyDescent="0.25">
      <c r="A9794" s="2" t="s">
        <v>20156</v>
      </c>
      <c r="B9794" s="2" t="s">
        <v>20157</v>
      </c>
      <c r="C9794" s="2" t="s">
        <v>5</v>
      </c>
      <c r="D9794" s="2" t="s">
        <v>12</v>
      </c>
      <c r="E9794" s="2" t="str">
        <f>"9783030508401"</f>
        <v>9783030508401</v>
      </c>
      <c r="F9794" s="2" t="str">
        <f>"9783030508418"</f>
        <v>9783030508418</v>
      </c>
    </row>
    <row r="9795" spans="1:6" s="3" customFormat="1" ht="29.1" customHeight="1" x14ac:dyDescent="0.25">
      <c r="A9795" s="2" t="s">
        <v>20158</v>
      </c>
      <c r="B9795" s="2" t="s">
        <v>20159</v>
      </c>
      <c r="C9795" s="2" t="s">
        <v>5</v>
      </c>
      <c r="D9795" s="2" t="s">
        <v>183</v>
      </c>
      <c r="E9795" s="2" t="str">
        <f>"9783319954196"</f>
        <v>9783319954196</v>
      </c>
      <c r="F9795" s="2" t="str">
        <f>"9783319954202"</f>
        <v>9783319954202</v>
      </c>
    </row>
    <row r="9796" spans="1:6" s="3" customFormat="1" ht="29.1" customHeight="1" x14ac:dyDescent="0.25">
      <c r="A9796" s="2" t="s">
        <v>20160</v>
      </c>
      <c r="B9796" s="2" t="s">
        <v>20161</v>
      </c>
      <c r="C9796" s="2" t="s">
        <v>5</v>
      </c>
      <c r="D9796" s="2" t="s">
        <v>855</v>
      </c>
      <c r="E9796" s="2" t="str">
        <f>"9783319632933"</f>
        <v>9783319632933</v>
      </c>
      <c r="F9796" s="2" t="str">
        <f>"9783319632957"</f>
        <v>9783319632957</v>
      </c>
    </row>
    <row r="9797" spans="1:6" s="3" customFormat="1" ht="29.1" customHeight="1" x14ac:dyDescent="0.25">
      <c r="A9797" s="2" t="s">
        <v>20162</v>
      </c>
      <c r="B9797" s="2" t="s">
        <v>20163</v>
      </c>
      <c r="C9797" s="2" t="s">
        <v>5</v>
      </c>
      <c r="D9797" s="2" t="s">
        <v>44</v>
      </c>
      <c r="E9797" s="2" t="str">
        <f>"9783319398884"</f>
        <v>9783319398884</v>
      </c>
      <c r="F9797" s="2" t="str">
        <f>"9783319398891"</f>
        <v>9783319398891</v>
      </c>
    </row>
    <row r="9798" spans="1:6" s="3" customFormat="1" ht="29.1" customHeight="1" x14ac:dyDescent="0.25">
      <c r="A9798" s="2" t="s">
        <v>20164</v>
      </c>
      <c r="B9798" s="2" t="s">
        <v>20165</v>
      </c>
      <c r="C9798" s="2" t="s">
        <v>5</v>
      </c>
      <c r="D9798" s="2" t="s">
        <v>5588</v>
      </c>
      <c r="E9798" s="2" t="str">
        <f>"9783031248689"</f>
        <v>9783031248689</v>
      </c>
      <c r="F9798" s="2" t="str">
        <f>"9783031248696"</f>
        <v>9783031248696</v>
      </c>
    </row>
    <row r="9799" spans="1:6" s="3" customFormat="1" ht="29.1" customHeight="1" x14ac:dyDescent="0.25">
      <c r="A9799" s="2" t="s">
        <v>20166</v>
      </c>
      <c r="B9799" s="2" t="s">
        <v>20167</v>
      </c>
      <c r="C9799" s="2" t="s">
        <v>5</v>
      </c>
      <c r="D9799" s="2" t="s">
        <v>5588</v>
      </c>
      <c r="E9799" s="2" t="str">
        <f>"9783030420963"</f>
        <v>9783030420963</v>
      </c>
      <c r="F9799" s="2" t="str">
        <f>"9783030420970"</f>
        <v>9783030420970</v>
      </c>
    </row>
    <row r="9800" spans="1:6" s="3" customFormat="1" ht="29.1" customHeight="1" x14ac:dyDescent="0.25">
      <c r="A9800" s="2" t="s">
        <v>20168</v>
      </c>
      <c r="B9800" s="2" t="s">
        <v>20169</v>
      </c>
      <c r="C9800" s="2" t="s">
        <v>5</v>
      </c>
      <c r="D9800" s="2" t="s">
        <v>8338</v>
      </c>
      <c r="E9800" s="2" t="str">
        <f>"9783319485133"</f>
        <v>9783319485133</v>
      </c>
      <c r="F9800" s="2" t="str">
        <f>"9783319485140"</f>
        <v>9783319485140</v>
      </c>
    </row>
    <row r="9801" spans="1:6" s="3" customFormat="1" ht="29.1" customHeight="1" x14ac:dyDescent="0.25">
      <c r="A9801" s="2" t="s">
        <v>20170</v>
      </c>
      <c r="B9801" s="2" t="s">
        <v>20171</v>
      </c>
      <c r="C9801" s="2" t="s">
        <v>5</v>
      </c>
      <c r="D9801" s="2" t="s">
        <v>232</v>
      </c>
      <c r="E9801" s="2" t="str">
        <f>"9783319091136"</f>
        <v>9783319091136</v>
      </c>
      <c r="F9801" s="2" t="str">
        <f>"9783319091143"</f>
        <v>9783319091143</v>
      </c>
    </row>
    <row r="9802" spans="1:6" s="3" customFormat="1" ht="29.1" customHeight="1" x14ac:dyDescent="0.25">
      <c r="A9802" s="2" t="s">
        <v>20172</v>
      </c>
      <c r="B9802" s="2" t="s">
        <v>20173</v>
      </c>
      <c r="C9802" s="2" t="s">
        <v>5</v>
      </c>
      <c r="D9802" s="2" t="s">
        <v>232</v>
      </c>
      <c r="E9802" s="2" t="str">
        <f>"9783030862350"</f>
        <v>9783030862350</v>
      </c>
      <c r="F9802" s="2" t="str">
        <f>"9783030862367"</f>
        <v>9783030862367</v>
      </c>
    </row>
    <row r="9803" spans="1:6" s="3" customFormat="1" ht="29.1" customHeight="1" x14ac:dyDescent="0.25">
      <c r="A9803" s="2" t="s">
        <v>20174</v>
      </c>
      <c r="B9803" s="2" t="s">
        <v>20175</v>
      </c>
      <c r="C9803" s="2" t="s">
        <v>5</v>
      </c>
      <c r="D9803" s="2" t="s">
        <v>4368</v>
      </c>
      <c r="E9803" s="2" t="str">
        <f>"9783030643072"</f>
        <v>9783030643072</v>
      </c>
      <c r="F9803" s="2" t="str">
        <f>"9783030643089"</f>
        <v>9783030643089</v>
      </c>
    </row>
    <row r="9804" spans="1:6" s="3" customFormat="1" ht="29.1" customHeight="1" x14ac:dyDescent="0.25">
      <c r="A9804" s="2" t="s">
        <v>20176</v>
      </c>
      <c r="B9804" s="2" t="s">
        <v>20177</v>
      </c>
      <c r="C9804" s="2" t="s">
        <v>5</v>
      </c>
      <c r="D9804" s="2" t="s">
        <v>192</v>
      </c>
      <c r="E9804" s="2" t="str">
        <f>"9783030459789"</f>
        <v>9783030459789</v>
      </c>
      <c r="F9804" s="2" t="str">
        <f>"9783030459796"</f>
        <v>9783030459796</v>
      </c>
    </row>
    <row r="9805" spans="1:6" s="3" customFormat="1" ht="29.1" customHeight="1" x14ac:dyDescent="0.25">
      <c r="A9805" s="2" t="s">
        <v>20178</v>
      </c>
      <c r="B9805" s="2" t="s">
        <v>20179</v>
      </c>
      <c r="C9805" s="2" t="s">
        <v>5</v>
      </c>
      <c r="D9805" s="2" t="s">
        <v>101</v>
      </c>
      <c r="E9805" s="2" t="str">
        <f>"9783319238463"</f>
        <v>9783319238463</v>
      </c>
      <c r="F9805" s="2" t="str">
        <f>"9783319238470"</f>
        <v>9783319238470</v>
      </c>
    </row>
    <row r="9806" spans="1:6" s="3" customFormat="1" ht="29.1" customHeight="1" x14ac:dyDescent="0.25">
      <c r="A9806" s="2" t="s">
        <v>20180</v>
      </c>
      <c r="B9806" s="2" t="s">
        <v>20181</v>
      </c>
      <c r="C9806" s="2" t="s">
        <v>5</v>
      </c>
      <c r="D9806" s="2" t="s">
        <v>501</v>
      </c>
      <c r="E9806" s="2" t="str">
        <f>"9783030390655"</f>
        <v>9783030390655</v>
      </c>
      <c r="F9806" s="2" t="str">
        <f>"9783030390662"</f>
        <v>9783030390662</v>
      </c>
    </row>
    <row r="9807" spans="1:6" s="3" customFormat="1" ht="29.1" customHeight="1" x14ac:dyDescent="0.25">
      <c r="A9807" s="2" t="s">
        <v>20182</v>
      </c>
      <c r="B9807" s="2" t="s">
        <v>20183</v>
      </c>
      <c r="C9807" s="2" t="s">
        <v>5</v>
      </c>
      <c r="D9807" s="2" t="s">
        <v>189</v>
      </c>
      <c r="E9807" s="2" t="str">
        <f>"9783030970116"</f>
        <v>9783030970116</v>
      </c>
      <c r="F9807" s="2" t="str">
        <f>"9783030970123"</f>
        <v>9783030970123</v>
      </c>
    </row>
    <row r="9808" spans="1:6" s="3" customFormat="1" ht="29.1" customHeight="1" x14ac:dyDescent="0.25">
      <c r="A9808" s="2" t="s">
        <v>20184</v>
      </c>
      <c r="B9808" s="2" t="s">
        <v>20185</v>
      </c>
      <c r="C9808" s="2" t="s">
        <v>5</v>
      </c>
      <c r="D9808" s="2" t="s">
        <v>689</v>
      </c>
      <c r="E9808" s="2" t="str">
        <f>"9783031230349"</f>
        <v>9783031230349</v>
      </c>
      <c r="F9808" s="2" t="str">
        <f>"9783031230356"</f>
        <v>9783031230356</v>
      </c>
    </row>
    <row r="9809" spans="1:6" s="3" customFormat="1" ht="29.1" customHeight="1" x14ac:dyDescent="0.25">
      <c r="A9809" s="2" t="s">
        <v>20186</v>
      </c>
      <c r="B9809" s="2" t="s">
        <v>20187</v>
      </c>
      <c r="C9809" s="2" t="s">
        <v>5</v>
      </c>
      <c r="D9809" s="2" t="s">
        <v>1888</v>
      </c>
      <c r="E9809" s="2" t="str">
        <f>"9783030542863"</f>
        <v>9783030542863</v>
      </c>
      <c r="F9809" s="2" t="str">
        <f>"9783030578503"</f>
        <v>9783030578503</v>
      </c>
    </row>
    <row r="9810" spans="1:6" s="3" customFormat="1" ht="29.1" customHeight="1" x14ac:dyDescent="0.25">
      <c r="A9810" s="2" t="s">
        <v>20188</v>
      </c>
      <c r="B9810" s="2" t="s">
        <v>20189</v>
      </c>
      <c r="C9810" s="2" t="s">
        <v>5</v>
      </c>
      <c r="D9810" s="2" t="s">
        <v>689</v>
      </c>
      <c r="E9810" s="2" t="str">
        <f>"9783030511098"</f>
        <v>9783030511098</v>
      </c>
      <c r="F9810" s="2" t="str">
        <f>"9783030511104"</f>
        <v>9783030511104</v>
      </c>
    </row>
    <row r="9811" spans="1:6" s="3" customFormat="1" ht="29.1" customHeight="1" x14ac:dyDescent="0.25">
      <c r="A9811" s="2" t="s">
        <v>20190</v>
      </c>
      <c r="B9811" s="2" t="s">
        <v>20191</v>
      </c>
      <c r="C9811" s="2" t="s">
        <v>5</v>
      </c>
      <c r="D9811" s="2" t="s">
        <v>75</v>
      </c>
      <c r="E9811" s="2" t="str">
        <f>"9789811645778"</f>
        <v>9789811645778</v>
      </c>
      <c r="F9811" s="2" t="str">
        <f>"9789811645785"</f>
        <v>9789811645785</v>
      </c>
    </row>
    <row r="9812" spans="1:6" s="3" customFormat="1" ht="29.1" customHeight="1" x14ac:dyDescent="0.25">
      <c r="A9812" s="2" t="s">
        <v>20192</v>
      </c>
      <c r="B9812" s="2" t="s">
        <v>20193</v>
      </c>
      <c r="C9812" s="2" t="s">
        <v>5</v>
      </c>
      <c r="D9812" s="2" t="s">
        <v>101</v>
      </c>
      <c r="E9812" s="2" t="str">
        <f>"9783319776842"</f>
        <v>9783319776842</v>
      </c>
      <c r="F9812" s="2" t="str">
        <f>"9783319776859"</f>
        <v>9783319776859</v>
      </c>
    </row>
    <row r="9813" spans="1:6" s="3" customFormat="1" ht="29.1" customHeight="1" x14ac:dyDescent="0.25">
      <c r="A9813" s="2" t="s">
        <v>20194</v>
      </c>
      <c r="B9813" s="2" t="s">
        <v>20195</v>
      </c>
      <c r="C9813" s="2" t="s">
        <v>5</v>
      </c>
      <c r="D9813" s="2" t="s">
        <v>1189</v>
      </c>
      <c r="E9813" s="2" t="str">
        <f>"9783658356880"</f>
        <v>9783658356880</v>
      </c>
      <c r="F9813" s="2" t="str">
        <f>"9783658356897"</f>
        <v>9783658356897</v>
      </c>
    </row>
    <row r="9814" spans="1:6" s="3" customFormat="1" ht="29.1" customHeight="1" x14ac:dyDescent="0.25">
      <c r="A9814" s="2" t="s">
        <v>20196</v>
      </c>
      <c r="B9814" s="2" t="s">
        <v>20197</v>
      </c>
      <c r="C9814" s="2" t="s">
        <v>5</v>
      </c>
      <c r="D9814" s="2" t="s">
        <v>270</v>
      </c>
      <c r="E9814" s="2" t="str">
        <f>"9783658354114"</f>
        <v>9783658354114</v>
      </c>
      <c r="F9814" s="2" t="str">
        <f>"9783658354121"</f>
        <v>9783658354121</v>
      </c>
    </row>
    <row r="9815" spans="1:6" s="3" customFormat="1" ht="29.1" customHeight="1" x14ac:dyDescent="0.25">
      <c r="A9815" s="2" t="s">
        <v>20198</v>
      </c>
      <c r="B9815" s="2" t="s">
        <v>20199</v>
      </c>
      <c r="C9815" s="2" t="s">
        <v>5</v>
      </c>
      <c r="D9815" s="2" t="s">
        <v>4172</v>
      </c>
      <c r="E9815" s="2" t="str">
        <f>"9783658386580"</f>
        <v>9783658386580</v>
      </c>
      <c r="F9815" s="2" t="str">
        <f>"9783658386597"</f>
        <v>9783658386597</v>
      </c>
    </row>
    <row r="9816" spans="1:6" s="3" customFormat="1" ht="29.1" customHeight="1" x14ac:dyDescent="0.25">
      <c r="A9816" s="2" t="s">
        <v>20200</v>
      </c>
      <c r="B9816" s="2" t="s">
        <v>20201</v>
      </c>
      <c r="C9816" s="2" t="s">
        <v>5</v>
      </c>
      <c r="D9816" s="2" t="s">
        <v>2199</v>
      </c>
      <c r="E9816" s="2" t="str">
        <f>"9783658411466"</f>
        <v>9783658411466</v>
      </c>
      <c r="F9816" s="2" t="str">
        <f>"9783658411473"</f>
        <v>9783658411473</v>
      </c>
    </row>
    <row r="9817" spans="1:6" s="3" customFormat="1" ht="29.1" customHeight="1" x14ac:dyDescent="0.25">
      <c r="A9817" s="2" t="s">
        <v>20202</v>
      </c>
      <c r="B9817" s="2" t="s">
        <v>20203</v>
      </c>
      <c r="C9817" s="2" t="s">
        <v>5</v>
      </c>
      <c r="D9817" s="2" t="s">
        <v>855</v>
      </c>
      <c r="E9817" s="2" t="str">
        <f>"9783658353162"</f>
        <v>9783658353162</v>
      </c>
      <c r="F9817" s="2" t="str">
        <f>"9783658353179"</f>
        <v>9783658353179</v>
      </c>
    </row>
    <row r="9818" spans="1:6" s="3" customFormat="1" ht="29.1" customHeight="1" x14ac:dyDescent="0.25">
      <c r="A9818" s="2" t="s">
        <v>20202</v>
      </c>
      <c r="B9818" s="2" t="s">
        <v>20204</v>
      </c>
      <c r="C9818" s="2" t="s">
        <v>5</v>
      </c>
      <c r="D9818" s="2" t="s">
        <v>855</v>
      </c>
      <c r="E9818" s="2" t="str">
        <f>"9783658126438"</f>
        <v>9783658126438</v>
      </c>
      <c r="F9818" s="2" t="str">
        <f>"9783658126445"</f>
        <v>9783658126445</v>
      </c>
    </row>
    <row r="9819" spans="1:6" s="3" customFormat="1" ht="29.1" customHeight="1" x14ac:dyDescent="0.25">
      <c r="A9819" s="2" t="s">
        <v>20205</v>
      </c>
      <c r="B9819" s="2" t="s">
        <v>20206</v>
      </c>
      <c r="C9819" s="2" t="s">
        <v>5</v>
      </c>
      <c r="D9819" s="2" t="s">
        <v>8604</v>
      </c>
      <c r="E9819" s="2" t="str">
        <f>"9783031061264"</f>
        <v>9783031061264</v>
      </c>
      <c r="F9819" s="2" t="str">
        <f>"9783031061271"</f>
        <v>9783031061271</v>
      </c>
    </row>
    <row r="9820" spans="1:6" s="3" customFormat="1" ht="29.1" customHeight="1" x14ac:dyDescent="0.25">
      <c r="A9820" s="2" t="s">
        <v>20207</v>
      </c>
      <c r="B9820" s="2" t="s">
        <v>20208</v>
      </c>
      <c r="C9820" s="2" t="s">
        <v>5</v>
      </c>
      <c r="D9820" s="2" t="s">
        <v>2749</v>
      </c>
      <c r="E9820" s="2" t="str">
        <f>"9783031311925"</f>
        <v>9783031311925</v>
      </c>
      <c r="F9820" s="2" t="str">
        <f>"9783031311932"</f>
        <v>9783031311932</v>
      </c>
    </row>
    <row r="9821" spans="1:6" s="3" customFormat="1" ht="29.1" customHeight="1" x14ac:dyDescent="0.25">
      <c r="A9821" s="2" t="s">
        <v>20209</v>
      </c>
      <c r="B9821" s="2" t="s">
        <v>20210</v>
      </c>
      <c r="C9821" s="2" t="s">
        <v>5</v>
      </c>
      <c r="D9821" s="2" t="s">
        <v>2435</v>
      </c>
      <c r="E9821" s="2" t="str">
        <f>"9783319433486"</f>
        <v>9783319433486</v>
      </c>
      <c r="F9821" s="2" t="str">
        <f>"9783319433509"</f>
        <v>9783319433509</v>
      </c>
    </row>
    <row r="9822" spans="1:6" s="3" customFormat="1" ht="29.1" customHeight="1" x14ac:dyDescent="0.25">
      <c r="A9822" s="2" t="s">
        <v>20211</v>
      </c>
      <c r="B9822" s="2" t="s">
        <v>20212</v>
      </c>
      <c r="C9822" s="2" t="s">
        <v>5</v>
      </c>
      <c r="D9822" s="2" t="s">
        <v>674</v>
      </c>
      <c r="E9822" s="2" t="str">
        <f>"9789819929276"</f>
        <v>9789819929276</v>
      </c>
      <c r="F9822" s="2" t="str">
        <f>"9789819929283"</f>
        <v>9789819929283</v>
      </c>
    </row>
    <row r="9823" spans="1:6" s="3" customFormat="1" ht="29.1" customHeight="1" x14ac:dyDescent="0.25">
      <c r="A9823" s="2" t="s">
        <v>20213</v>
      </c>
      <c r="B9823" s="2" t="s">
        <v>20214</v>
      </c>
      <c r="C9823" s="2" t="s">
        <v>5</v>
      </c>
      <c r="D9823" s="2" t="s">
        <v>674</v>
      </c>
      <c r="E9823" s="2" t="str">
        <f>"9789811917004"</f>
        <v>9789811917004</v>
      </c>
      <c r="F9823" s="2" t="str">
        <f>"9789811917011"</f>
        <v>9789811917011</v>
      </c>
    </row>
    <row r="9824" spans="1:6" s="3" customFormat="1" ht="29.1" customHeight="1" x14ac:dyDescent="0.25">
      <c r="A9824" s="2" t="s">
        <v>20215</v>
      </c>
      <c r="B9824" s="2" t="s">
        <v>20216</v>
      </c>
      <c r="C9824" s="2" t="s">
        <v>5</v>
      </c>
      <c r="D9824" s="2" t="s">
        <v>10447</v>
      </c>
      <c r="E9824" s="2" t="str">
        <f>"9783319738192"</f>
        <v>9783319738192</v>
      </c>
      <c r="F9824" s="2" t="str">
        <f>"9783319738208"</f>
        <v>9783319738208</v>
      </c>
    </row>
    <row r="9825" spans="1:6" s="3" customFormat="1" ht="29.1" customHeight="1" x14ac:dyDescent="0.25">
      <c r="A9825" s="2" t="s">
        <v>20217</v>
      </c>
      <c r="B9825" s="2" t="s">
        <v>20218</v>
      </c>
      <c r="C9825" s="2" t="s">
        <v>5</v>
      </c>
      <c r="D9825" s="2" t="s">
        <v>98</v>
      </c>
      <c r="E9825" s="2" t="str">
        <f>"9789813347120"</f>
        <v>9789813347120</v>
      </c>
      <c r="F9825" s="2" t="str">
        <f>"9789813347137"</f>
        <v>9789813347137</v>
      </c>
    </row>
    <row r="9826" spans="1:6" s="3" customFormat="1" ht="29.1" customHeight="1" x14ac:dyDescent="0.25">
      <c r="A9826" s="2" t="s">
        <v>20219</v>
      </c>
      <c r="B9826" s="2" t="s">
        <v>20220</v>
      </c>
      <c r="C9826" s="2" t="s">
        <v>5</v>
      </c>
      <c r="D9826" s="2" t="s">
        <v>694</v>
      </c>
      <c r="E9826" s="2" t="str">
        <f>"9783030758288"</f>
        <v>9783030758288</v>
      </c>
      <c r="F9826" s="2" t="str">
        <f>"9783030758295"</f>
        <v>9783030758295</v>
      </c>
    </row>
    <row r="9827" spans="1:6" s="3" customFormat="1" ht="29.1" customHeight="1" x14ac:dyDescent="0.25">
      <c r="A9827" s="2" t="s">
        <v>20221</v>
      </c>
      <c r="B9827" s="2" t="s">
        <v>20222</v>
      </c>
      <c r="C9827" s="2" t="s">
        <v>5</v>
      </c>
      <c r="D9827" s="2" t="s">
        <v>3817</v>
      </c>
      <c r="E9827" s="2" t="str">
        <f>"9783030117344"</f>
        <v>9783030117344</v>
      </c>
      <c r="F9827" s="2" t="str">
        <f>"9783030117351"</f>
        <v>9783030117351</v>
      </c>
    </row>
    <row r="9828" spans="1:6" s="3" customFormat="1" ht="29.1" customHeight="1" x14ac:dyDescent="0.25">
      <c r="A9828" s="2" t="s">
        <v>20223</v>
      </c>
      <c r="B9828" s="2" t="s">
        <v>20224</v>
      </c>
      <c r="C9828" s="2" t="s">
        <v>5</v>
      </c>
      <c r="D9828" s="2" t="s">
        <v>89</v>
      </c>
      <c r="E9828" s="2" t="str">
        <f>"9783319922188"</f>
        <v>9783319922188</v>
      </c>
      <c r="F9828" s="2" t="str">
        <f>"9783319922195"</f>
        <v>9783319922195</v>
      </c>
    </row>
    <row r="9829" spans="1:6" s="3" customFormat="1" ht="29.1" customHeight="1" x14ac:dyDescent="0.25">
      <c r="A9829" s="2" t="s">
        <v>20225</v>
      </c>
      <c r="B9829" s="2" t="s">
        <v>20226</v>
      </c>
      <c r="C9829" s="2" t="s">
        <v>5</v>
      </c>
      <c r="D9829" s="2" t="s">
        <v>5588</v>
      </c>
      <c r="E9829" s="2" t="str">
        <f>"9783031045356"</f>
        <v>9783031045356</v>
      </c>
      <c r="F9829" s="2" t="str">
        <f>"9783031045363"</f>
        <v>9783031045363</v>
      </c>
    </row>
    <row r="9830" spans="1:6" s="3" customFormat="1" ht="29.1" customHeight="1" x14ac:dyDescent="0.25">
      <c r="A9830" s="2" t="s">
        <v>20227</v>
      </c>
      <c r="B9830" s="2" t="s">
        <v>20228</v>
      </c>
      <c r="C9830" s="2" t="s">
        <v>5</v>
      </c>
      <c r="D9830" s="2" t="s">
        <v>836</v>
      </c>
      <c r="E9830" s="2" t="str">
        <f>"9789819959365"</f>
        <v>9789819959365</v>
      </c>
      <c r="F9830" s="2" t="str">
        <f>"9789819959372"</f>
        <v>9789819959372</v>
      </c>
    </row>
    <row r="9831" spans="1:6" s="3" customFormat="1" ht="29.1" customHeight="1" x14ac:dyDescent="0.25">
      <c r="A9831" s="2" t="s">
        <v>20229</v>
      </c>
      <c r="B9831" s="2" t="s">
        <v>20230</v>
      </c>
      <c r="C9831" s="2" t="s">
        <v>5</v>
      </c>
      <c r="D9831" s="2" t="s">
        <v>836</v>
      </c>
      <c r="E9831" s="2" t="str">
        <f>"9783031199035"</f>
        <v>9783031199035</v>
      </c>
      <c r="F9831" s="2" t="str">
        <f>"9783031199042"</f>
        <v>9783031199042</v>
      </c>
    </row>
    <row r="9832" spans="1:6" s="3" customFormat="1" ht="29.1" customHeight="1" x14ac:dyDescent="0.25">
      <c r="A9832" s="2" t="s">
        <v>20231</v>
      </c>
      <c r="B9832" s="2" t="s">
        <v>20232</v>
      </c>
      <c r="C9832" s="2" t="s">
        <v>5</v>
      </c>
      <c r="D9832" s="2" t="s">
        <v>2045</v>
      </c>
      <c r="E9832" s="2" t="str">
        <f>"9789811357862"</f>
        <v>9789811357862</v>
      </c>
      <c r="F9832" s="2" t="str">
        <f>"9789811357879"</f>
        <v>9789811357879</v>
      </c>
    </row>
    <row r="9833" spans="1:6" s="3" customFormat="1" ht="29.1" customHeight="1" x14ac:dyDescent="0.25">
      <c r="A9833" s="2" t="s">
        <v>20233</v>
      </c>
      <c r="B9833" s="2" t="s">
        <v>20234</v>
      </c>
      <c r="C9833" s="2" t="s">
        <v>5</v>
      </c>
      <c r="D9833" s="2" t="s">
        <v>52</v>
      </c>
      <c r="E9833" s="2" t="str">
        <f>"9789811997211"</f>
        <v>9789811997211</v>
      </c>
      <c r="F9833" s="2" t="str">
        <f>"9789811997228"</f>
        <v>9789811997228</v>
      </c>
    </row>
    <row r="9834" spans="1:6" s="3" customFormat="1" ht="29.1" customHeight="1" x14ac:dyDescent="0.25">
      <c r="A9834" s="2" t="s">
        <v>7415</v>
      </c>
      <c r="B9834" s="2" t="s">
        <v>20235</v>
      </c>
      <c r="C9834" s="2" t="s">
        <v>5</v>
      </c>
      <c r="D9834" s="2" t="s">
        <v>477</v>
      </c>
      <c r="E9834" s="2" t="str">
        <f>"9783031153730"</f>
        <v>9783031153730</v>
      </c>
      <c r="F9834" s="2" t="str">
        <f>"9783031153747"</f>
        <v>9783031153747</v>
      </c>
    </row>
    <row r="9835" spans="1:6" s="3" customFormat="1" ht="29.1" customHeight="1" x14ac:dyDescent="0.25">
      <c r="A9835" s="2" t="s">
        <v>20236</v>
      </c>
      <c r="B9835" s="2" t="s">
        <v>20237</v>
      </c>
      <c r="C9835" s="2" t="s">
        <v>5</v>
      </c>
      <c r="D9835" s="2" t="s">
        <v>6511</v>
      </c>
      <c r="E9835" s="2" t="str">
        <f>"9783030995928"</f>
        <v>9783030995928</v>
      </c>
      <c r="F9835" s="2" t="str">
        <f>"9783030995935"</f>
        <v>9783030995935</v>
      </c>
    </row>
    <row r="9836" spans="1:6" s="3" customFormat="1" ht="29.1" customHeight="1" x14ac:dyDescent="0.25">
      <c r="A9836" s="2" t="s">
        <v>7415</v>
      </c>
      <c r="B9836" s="2" t="s">
        <v>20238</v>
      </c>
      <c r="C9836" s="2" t="s">
        <v>5</v>
      </c>
      <c r="D9836" s="2" t="s">
        <v>477</v>
      </c>
      <c r="E9836" s="2" t="str">
        <f>"9783030859176"</f>
        <v>9783030859176</v>
      </c>
      <c r="F9836" s="2" t="str">
        <f>"9783030859183"</f>
        <v>9783030859183</v>
      </c>
    </row>
    <row r="9837" spans="1:6" s="3" customFormat="1" ht="29.1" customHeight="1" x14ac:dyDescent="0.25">
      <c r="A9837" s="2" t="s">
        <v>20239</v>
      </c>
      <c r="B9837" s="2" t="s">
        <v>20240</v>
      </c>
      <c r="C9837" s="2" t="s">
        <v>5</v>
      </c>
      <c r="D9837" s="2" t="s">
        <v>317</v>
      </c>
      <c r="E9837" s="2" t="str">
        <f>"9783030685966"</f>
        <v>9783030685966</v>
      </c>
      <c r="F9837" s="2" t="str">
        <f>"9783030685973"</f>
        <v>9783030685973</v>
      </c>
    </row>
    <row r="9838" spans="1:6" s="3" customFormat="1" ht="29.1" customHeight="1" x14ac:dyDescent="0.25">
      <c r="A9838" s="2" t="s">
        <v>7415</v>
      </c>
      <c r="B9838" s="2" t="s">
        <v>20241</v>
      </c>
      <c r="C9838" s="2" t="s">
        <v>5</v>
      </c>
      <c r="D9838" s="2" t="s">
        <v>724</v>
      </c>
      <c r="E9838" s="2" t="str">
        <f>"9783030624750"</f>
        <v>9783030624750</v>
      </c>
      <c r="F9838" s="2" t="str">
        <f>"9783030624767"</f>
        <v>9783030624767</v>
      </c>
    </row>
    <row r="9839" spans="1:6" s="3" customFormat="1" ht="29.1" customHeight="1" x14ac:dyDescent="0.25">
      <c r="A9839" s="2" t="s">
        <v>7415</v>
      </c>
      <c r="B9839" s="2" t="s">
        <v>20242</v>
      </c>
      <c r="C9839" s="2" t="s">
        <v>5</v>
      </c>
      <c r="D9839" s="2" t="s">
        <v>724</v>
      </c>
      <c r="E9839" s="2" t="str">
        <f>"9783030320935"</f>
        <v>9783030320935</v>
      </c>
      <c r="F9839" s="2" t="str">
        <f>"9783030320942"</f>
        <v>9783030320942</v>
      </c>
    </row>
    <row r="9840" spans="1:6" s="3" customFormat="1" ht="29.1" customHeight="1" x14ac:dyDescent="0.25">
      <c r="A9840" s="2" t="s">
        <v>20243</v>
      </c>
      <c r="B9840" s="2" t="s">
        <v>20244</v>
      </c>
      <c r="C9840" s="2" t="s">
        <v>5</v>
      </c>
      <c r="D9840" s="2" t="s">
        <v>52</v>
      </c>
      <c r="E9840" s="2" t="str">
        <f>"9783319111360"</f>
        <v>9783319111360</v>
      </c>
      <c r="F9840" s="2" t="str">
        <f>"9783319111377"</f>
        <v>9783319111377</v>
      </c>
    </row>
    <row r="9841" spans="1:6" s="3" customFormat="1" ht="29.1" customHeight="1" x14ac:dyDescent="0.25">
      <c r="A9841" s="2" t="s">
        <v>20245</v>
      </c>
      <c r="B9841" s="2" t="s">
        <v>20246</v>
      </c>
      <c r="C9841" s="2" t="s">
        <v>5</v>
      </c>
      <c r="D9841" s="2" t="s">
        <v>2880</v>
      </c>
      <c r="E9841" s="2" t="str">
        <f>"9783030031886"</f>
        <v>9783030031886</v>
      </c>
      <c r="F9841" s="2" t="str">
        <f>"9783030031893"</f>
        <v>9783030031893</v>
      </c>
    </row>
    <row r="9842" spans="1:6" s="3" customFormat="1" ht="29.1" customHeight="1" x14ac:dyDescent="0.25">
      <c r="A9842" s="2" t="s">
        <v>20247</v>
      </c>
      <c r="B9842" s="2" t="s">
        <v>20248</v>
      </c>
      <c r="C9842" s="2" t="s">
        <v>5</v>
      </c>
      <c r="D9842" s="2" t="s">
        <v>2880</v>
      </c>
      <c r="E9842" s="2" t="str">
        <f>"9783319951287"</f>
        <v>9783319951287</v>
      </c>
      <c r="F9842" s="2" t="str">
        <f>"9783319951294"</f>
        <v>9783319951294</v>
      </c>
    </row>
    <row r="9843" spans="1:6" s="3" customFormat="1" ht="29.1" customHeight="1" x14ac:dyDescent="0.25">
      <c r="A9843" s="2" t="s">
        <v>20249</v>
      </c>
      <c r="B9843" s="2" t="s">
        <v>20250</v>
      </c>
      <c r="C9843" s="2" t="s">
        <v>5</v>
      </c>
      <c r="D9843" s="2" t="s">
        <v>2880</v>
      </c>
      <c r="E9843" s="2" t="str">
        <f>"9783319329383"</f>
        <v>9783319329383</v>
      </c>
      <c r="F9843" s="2" t="str">
        <f>"9783319329390"</f>
        <v>9783319329390</v>
      </c>
    </row>
    <row r="9844" spans="1:6" s="3" customFormat="1" ht="29.1" customHeight="1" x14ac:dyDescent="0.25">
      <c r="A9844" s="2" t="s">
        <v>20251</v>
      </c>
      <c r="B9844" s="2" t="s">
        <v>20252</v>
      </c>
      <c r="C9844" s="2" t="s">
        <v>5</v>
      </c>
      <c r="D9844" s="2" t="s">
        <v>7199</v>
      </c>
      <c r="E9844" s="2" t="str">
        <f>"9789811999284"</f>
        <v>9789811999284</v>
      </c>
      <c r="F9844" s="2" t="str">
        <f>"9789811999291"</f>
        <v>9789811999291</v>
      </c>
    </row>
    <row r="9845" spans="1:6" s="3" customFormat="1" ht="29.1" customHeight="1" x14ac:dyDescent="0.25">
      <c r="A9845" s="2" t="s">
        <v>20253</v>
      </c>
      <c r="B9845" s="2" t="s">
        <v>20254</v>
      </c>
      <c r="C9845" s="2" t="s">
        <v>5</v>
      </c>
      <c r="D9845" s="2" t="s">
        <v>504</v>
      </c>
      <c r="E9845" s="2" t="str">
        <f>"9783030836399"</f>
        <v>9783030836399</v>
      </c>
      <c r="F9845" s="2" t="str">
        <f>"9783030836405"</f>
        <v>9783030836405</v>
      </c>
    </row>
    <row r="9846" spans="1:6" s="3" customFormat="1" ht="29.1" customHeight="1" x14ac:dyDescent="0.25">
      <c r="A9846" s="2" t="s">
        <v>20255</v>
      </c>
      <c r="B9846" s="2" t="s">
        <v>20256</v>
      </c>
      <c r="C9846" s="2" t="s">
        <v>5</v>
      </c>
      <c r="D9846" s="2" t="s">
        <v>15336</v>
      </c>
      <c r="E9846" s="2" t="str">
        <f>"9783030589479"</f>
        <v>9783030589479</v>
      </c>
      <c r="F9846" s="2" t="str">
        <f>"9783030589486"</f>
        <v>9783030589486</v>
      </c>
    </row>
    <row r="9847" spans="1:6" s="3" customFormat="1" ht="29.1" customHeight="1" x14ac:dyDescent="0.25">
      <c r="A9847" s="2" t="s">
        <v>20257</v>
      </c>
      <c r="B9847" s="2" t="s">
        <v>20258</v>
      </c>
      <c r="C9847" s="2" t="s">
        <v>5</v>
      </c>
      <c r="D9847" s="2" t="s">
        <v>6</v>
      </c>
      <c r="E9847" s="2" t="str">
        <f>"9783030200237"</f>
        <v>9783030200237</v>
      </c>
      <c r="F9847" s="2" t="str">
        <f>"9783030200244"</f>
        <v>9783030200244</v>
      </c>
    </row>
    <row r="9848" spans="1:6" s="3" customFormat="1" ht="29.1" customHeight="1" x14ac:dyDescent="0.25">
      <c r="A9848" s="2" t="s">
        <v>20259</v>
      </c>
      <c r="B9848" s="2" t="s">
        <v>20260</v>
      </c>
      <c r="C9848" s="2" t="s">
        <v>5</v>
      </c>
      <c r="D9848" s="2" t="s">
        <v>553</v>
      </c>
      <c r="E9848" s="2" t="str">
        <f>"9783030448967"</f>
        <v>9783030448967</v>
      </c>
      <c r="F9848" s="2" t="str">
        <f>"9783030448974"</f>
        <v>9783030448974</v>
      </c>
    </row>
    <row r="9849" spans="1:6" s="3" customFormat="1" ht="29.1" customHeight="1" x14ac:dyDescent="0.25">
      <c r="A9849" s="2" t="s">
        <v>20261</v>
      </c>
      <c r="B9849" s="2" t="s">
        <v>20262</v>
      </c>
      <c r="C9849" s="2" t="s">
        <v>5</v>
      </c>
      <c r="D9849" s="2" t="s">
        <v>2019</v>
      </c>
      <c r="E9849" s="2" t="str">
        <f>"9783030768812"</f>
        <v>9783030768812</v>
      </c>
      <c r="F9849" s="2" t="str">
        <f>"9783030768829"</f>
        <v>9783030768829</v>
      </c>
    </row>
    <row r="9850" spans="1:6" s="3" customFormat="1" ht="29.1" customHeight="1" x14ac:dyDescent="0.25">
      <c r="A9850" s="2" t="s">
        <v>20263</v>
      </c>
      <c r="B9850" s="2" t="s">
        <v>20264</v>
      </c>
      <c r="C9850" s="2" t="s">
        <v>5</v>
      </c>
      <c r="D9850" s="2" t="s">
        <v>294</v>
      </c>
      <c r="E9850" s="2" t="str">
        <f>"9783031021077"</f>
        <v>9783031021077</v>
      </c>
      <c r="F9850" s="2" t="str">
        <f>"9783031021084"</f>
        <v>9783031021084</v>
      </c>
    </row>
    <row r="9851" spans="1:6" s="3" customFormat="1" ht="29.1" customHeight="1" x14ac:dyDescent="0.25">
      <c r="A9851" s="2" t="s">
        <v>20265</v>
      </c>
      <c r="B9851" s="2" t="s">
        <v>20266</v>
      </c>
      <c r="C9851" s="2" t="s">
        <v>5</v>
      </c>
      <c r="D9851" s="2" t="s">
        <v>4172</v>
      </c>
      <c r="E9851" s="2" t="str">
        <f>"9783030474072"</f>
        <v>9783030474072</v>
      </c>
      <c r="F9851" s="2" t="str">
        <f>"9783030474089"</f>
        <v>9783030474089</v>
      </c>
    </row>
    <row r="9852" spans="1:6" s="3" customFormat="1" ht="29.1" customHeight="1" x14ac:dyDescent="0.25">
      <c r="A9852" s="2" t="s">
        <v>20267</v>
      </c>
      <c r="B9852" s="2" t="s">
        <v>20268</v>
      </c>
      <c r="C9852" s="2" t="s">
        <v>5</v>
      </c>
      <c r="D9852" s="2" t="s">
        <v>52</v>
      </c>
      <c r="E9852" s="2" t="str">
        <f>"9783030528683"</f>
        <v>9783030528683</v>
      </c>
      <c r="F9852" s="2" t="str">
        <f>"9783030528690"</f>
        <v>9783030528690</v>
      </c>
    </row>
    <row r="9853" spans="1:6" s="3" customFormat="1" ht="29.1" customHeight="1" x14ac:dyDescent="0.25">
      <c r="A9853" s="2" t="s">
        <v>20269</v>
      </c>
      <c r="B9853" s="2" t="s">
        <v>20270</v>
      </c>
      <c r="C9853" s="2" t="s">
        <v>5</v>
      </c>
      <c r="D9853" s="2" t="s">
        <v>11063</v>
      </c>
      <c r="E9853" s="2" t="str">
        <f>"9783030520168"</f>
        <v>9783030520168</v>
      </c>
      <c r="F9853" s="2" t="str">
        <f>"9783030520175"</f>
        <v>9783030520175</v>
      </c>
    </row>
    <row r="9854" spans="1:6" s="3" customFormat="1" ht="29.1" customHeight="1" x14ac:dyDescent="0.25">
      <c r="A9854" s="2" t="s">
        <v>20271</v>
      </c>
      <c r="B9854" s="2" t="s">
        <v>20272</v>
      </c>
      <c r="C9854" s="2" t="s">
        <v>5</v>
      </c>
      <c r="D9854" s="2" t="s">
        <v>192</v>
      </c>
      <c r="E9854" s="2" t="str">
        <f>"9783030589158"</f>
        <v>9783030589158</v>
      </c>
      <c r="F9854" s="2" t="str">
        <f>"9783030589165"</f>
        <v>9783030589165</v>
      </c>
    </row>
    <row r="9855" spans="1:6" s="3" customFormat="1" ht="29.1" customHeight="1" x14ac:dyDescent="0.25">
      <c r="A9855" s="2" t="s">
        <v>20273</v>
      </c>
      <c r="B9855" s="2" t="s">
        <v>20274</v>
      </c>
      <c r="C9855" s="2" t="s">
        <v>5</v>
      </c>
      <c r="D9855" s="2" t="s">
        <v>178</v>
      </c>
      <c r="E9855" s="2" t="str">
        <f>"9783030441630"</f>
        <v>9783030441630</v>
      </c>
      <c r="F9855" s="2" t="str">
        <f>"9783030441647"</f>
        <v>9783030441647</v>
      </c>
    </row>
    <row r="9856" spans="1:6" s="3" customFormat="1" ht="29.1" customHeight="1" x14ac:dyDescent="0.25">
      <c r="A9856" s="2" t="s">
        <v>20275</v>
      </c>
      <c r="B9856" s="2" t="s">
        <v>20276</v>
      </c>
      <c r="C9856" s="2" t="s">
        <v>5</v>
      </c>
      <c r="D9856" s="2" t="s">
        <v>178</v>
      </c>
      <c r="E9856" s="2" t="str">
        <f>"9783662597316"</f>
        <v>9783662597316</v>
      </c>
      <c r="F9856" s="2" t="str">
        <f>"9783662597323"</f>
        <v>9783662597323</v>
      </c>
    </row>
    <row r="9857" spans="1:6" s="3" customFormat="1" ht="29.1" customHeight="1" x14ac:dyDescent="0.25">
      <c r="A9857" s="2" t="s">
        <v>20277</v>
      </c>
      <c r="B9857" s="2" t="s">
        <v>20278</v>
      </c>
      <c r="C9857" s="2" t="s">
        <v>5</v>
      </c>
      <c r="D9857" s="2" t="s">
        <v>317</v>
      </c>
      <c r="E9857" s="2" t="str">
        <f>"9783030721916"</f>
        <v>9783030721916</v>
      </c>
      <c r="F9857" s="2" t="str">
        <f>"9783030721923"</f>
        <v>9783030721923</v>
      </c>
    </row>
    <row r="9858" spans="1:6" s="3" customFormat="1" ht="29.1" customHeight="1" x14ac:dyDescent="0.25">
      <c r="A9858" s="2" t="s">
        <v>20279</v>
      </c>
      <c r="B9858" s="2" t="s">
        <v>20280</v>
      </c>
      <c r="C9858" s="2" t="s">
        <v>5</v>
      </c>
      <c r="D9858" s="2" t="s">
        <v>694</v>
      </c>
      <c r="E9858" s="2" t="str">
        <f>"9783030840433"</f>
        <v>9783030840433</v>
      </c>
      <c r="F9858" s="2" t="str">
        <f>"9783030840440"</f>
        <v>9783030840440</v>
      </c>
    </row>
    <row r="9859" spans="1:6" s="3" customFormat="1" ht="29.1" customHeight="1" x14ac:dyDescent="0.25">
      <c r="A9859" s="2" t="s">
        <v>20281</v>
      </c>
      <c r="B9859" s="2" t="s">
        <v>20282</v>
      </c>
      <c r="C9859" s="2" t="s">
        <v>5</v>
      </c>
      <c r="D9859" s="2" t="s">
        <v>1927</v>
      </c>
      <c r="E9859" s="2" t="str">
        <f>"9783031145827"</f>
        <v>9783031145827</v>
      </c>
      <c r="F9859" s="2" t="str">
        <f>"9783031145834"</f>
        <v>9783031145834</v>
      </c>
    </row>
    <row r="9860" spans="1:6" s="3" customFormat="1" ht="29.1" customHeight="1" x14ac:dyDescent="0.25">
      <c r="A9860" s="2" t="s">
        <v>20283</v>
      </c>
      <c r="B9860" s="2" t="s">
        <v>20284</v>
      </c>
      <c r="C9860" s="2" t="s">
        <v>5</v>
      </c>
      <c r="D9860" s="2" t="s">
        <v>1927</v>
      </c>
      <c r="E9860" s="2" t="str">
        <f>"9783030159573"</f>
        <v>9783030159573</v>
      </c>
      <c r="F9860" s="2" t="str">
        <f>"9783030159580"</f>
        <v>9783030159580</v>
      </c>
    </row>
    <row r="9861" spans="1:6" s="3" customFormat="1" ht="29.1" customHeight="1" x14ac:dyDescent="0.25">
      <c r="A9861" s="2" t="s">
        <v>20285</v>
      </c>
      <c r="B9861" s="2" t="s">
        <v>20287</v>
      </c>
      <c r="C9861" s="2" t="s">
        <v>5</v>
      </c>
      <c r="D9861" s="2" t="s">
        <v>20286</v>
      </c>
      <c r="E9861" s="2" t="str">
        <f>"9783031330193"</f>
        <v>9783031330193</v>
      </c>
      <c r="F9861" s="2" t="str">
        <f>"9783031330209"</f>
        <v>9783031330209</v>
      </c>
    </row>
    <row r="9862" spans="1:6" s="3" customFormat="1" ht="29.1" customHeight="1" x14ac:dyDescent="0.25">
      <c r="A9862" s="2" t="s">
        <v>20288</v>
      </c>
      <c r="B9862" s="2" t="s">
        <v>20289</v>
      </c>
      <c r="C9862" s="2" t="s">
        <v>5</v>
      </c>
      <c r="D9862" s="2" t="s">
        <v>1065</v>
      </c>
      <c r="E9862" s="2" t="str">
        <f>"9783031311451"</f>
        <v>9783031311451</v>
      </c>
      <c r="F9862" s="2" t="str">
        <f>"9783031311468"</f>
        <v>9783031311468</v>
      </c>
    </row>
    <row r="9863" spans="1:6" s="3" customFormat="1" ht="29.1" customHeight="1" x14ac:dyDescent="0.25">
      <c r="A9863" s="2" t="s">
        <v>20290</v>
      </c>
      <c r="B9863" s="2" t="s">
        <v>20291</v>
      </c>
      <c r="C9863" s="2" t="s">
        <v>5</v>
      </c>
      <c r="D9863" s="2" t="s">
        <v>1065</v>
      </c>
      <c r="E9863" s="2" t="str">
        <f>"9783031093708"</f>
        <v>9783031093708</v>
      </c>
      <c r="F9863" s="2" t="str">
        <f>"9783031093715"</f>
        <v>9783031093715</v>
      </c>
    </row>
    <row r="9864" spans="1:6" s="3" customFormat="1" ht="29.1" customHeight="1" x14ac:dyDescent="0.25">
      <c r="A9864" s="2" t="s">
        <v>20292</v>
      </c>
      <c r="B9864" s="2" t="s">
        <v>20293</v>
      </c>
      <c r="C9864" s="2" t="s">
        <v>5</v>
      </c>
      <c r="D9864" s="2" t="s">
        <v>674</v>
      </c>
      <c r="E9864" s="2" t="str">
        <f>"9783030711467"</f>
        <v>9783030711467</v>
      </c>
      <c r="F9864" s="2" t="str">
        <f>"9783030711474"</f>
        <v>9783030711474</v>
      </c>
    </row>
    <row r="9865" spans="1:6" s="3" customFormat="1" ht="29.1" customHeight="1" x14ac:dyDescent="0.25">
      <c r="A9865" s="2" t="s">
        <v>20294</v>
      </c>
      <c r="B9865" s="2" t="s">
        <v>20295</v>
      </c>
      <c r="C9865" s="2" t="s">
        <v>5</v>
      </c>
      <c r="D9865" s="2" t="s">
        <v>674</v>
      </c>
      <c r="E9865" s="2" t="str">
        <f>"9783030471491"</f>
        <v>9783030471491</v>
      </c>
      <c r="F9865" s="2" t="str">
        <f>"9783030471507"</f>
        <v>9783030471507</v>
      </c>
    </row>
    <row r="9866" spans="1:6" s="3" customFormat="1" ht="29.1" customHeight="1" x14ac:dyDescent="0.25">
      <c r="A9866" s="2" t="s">
        <v>20296</v>
      </c>
      <c r="B9866" s="2" t="s">
        <v>20297</v>
      </c>
      <c r="C9866" s="2" t="s">
        <v>5</v>
      </c>
      <c r="D9866" s="2" t="s">
        <v>674</v>
      </c>
      <c r="E9866" s="2" t="str">
        <f>"9783319450223"</f>
        <v>9783319450223</v>
      </c>
      <c r="F9866" s="2" t="str">
        <f>"9783319450230"</f>
        <v>9783319450230</v>
      </c>
    </row>
    <row r="9867" spans="1:6" s="3" customFormat="1" ht="29.1" customHeight="1" x14ac:dyDescent="0.25">
      <c r="A9867" s="2" t="s">
        <v>20298</v>
      </c>
      <c r="B9867" s="2" t="s">
        <v>20299</v>
      </c>
      <c r="C9867" s="2" t="s">
        <v>5</v>
      </c>
      <c r="D9867" s="2" t="s">
        <v>674</v>
      </c>
      <c r="E9867" s="2" t="str">
        <f>"9783319445878"</f>
        <v>9783319445878</v>
      </c>
      <c r="F9867" s="2" t="str">
        <f>"9783319445885"</f>
        <v>9783319445885</v>
      </c>
    </row>
    <row r="9868" spans="1:6" s="3" customFormat="1" ht="29.1" customHeight="1" x14ac:dyDescent="0.25">
      <c r="A9868" s="2" t="s">
        <v>20300</v>
      </c>
      <c r="B9868" s="2" t="s">
        <v>20301</v>
      </c>
      <c r="C9868" s="2" t="s">
        <v>5</v>
      </c>
      <c r="D9868" s="2" t="s">
        <v>689</v>
      </c>
      <c r="E9868" s="2" t="str">
        <f>"9783031348037"</f>
        <v>9783031348037</v>
      </c>
      <c r="F9868" s="2" t="str">
        <f>"9783031348044"</f>
        <v>9783031348044</v>
      </c>
    </row>
    <row r="9869" spans="1:6" s="3" customFormat="1" ht="29.1" customHeight="1" x14ac:dyDescent="0.25">
      <c r="A9869" s="2" t="s">
        <v>20302</v>
      </c>
      <c r="B9869" s="2" t="s">
        <v>20303</v>
      </c>
      <c r="C9869" s="2" t="s">
        <v>5</v>
      </c>
      <c r="D9869" s="2" t="s">
        <v>689</v>
      </c>
      <c r="E9869" s="2" t="str">
        <f>"9783030290528"</f>
        <v>9783030290528</v>
      </c>
      <c r="F9869" s="2" t="str">
        <f>"9783030290535"</f>
        <v>9783030290535</v>
      </c>
    </row>
    <row r="9870" spans="1:6" s="3" customFormat="1" ht="29.1" customHeight="1" x14ac:dyDescent="0.25">
      <c r="A9870" s="2" t="s">
        <v>17861</v>
      </c>
      <c r="B9870" s="2" t="s">
        <v>20304</v>
      </c>
      <c r="C9870" s="2" t="s">
        <v>5</v>
      </c>
      <c r="D9870" s="2" t="s">
        <v>353</v>
      </c>
      <c r="E9870" s="2" t="str">
        <f>"9783030577636"</f>
        <v>9783030577636</v>
      </c>
      <c r="F9870" s="2" t="str">
        <f>"9783030577643"</f>
        <v>9783030577643</v>
      </c>
    </row>
    <row r="9871" spans="1:6" s="3" customFormat="1" ht="29.1" customHeight="1" x14ac:dyDescent="0.25">
      <c r="A9871" s="2" t="s">
        <v>20305</v>
      </c>
      <c r="B9871" s="2" t="s">
        <v>20306</v>
      </c>
      <c r="C9871" s="2" t="s">
        <v>5</v>
      </c>
      <c r="D9871" s="2" t="s">
        <v>547</v>
      </c>
      <c r="E9871" s="2" t="str">
        <f>"9783030323936"</f>
        <v>9783030323936</v>
      </c>
      <c r="F9871" s="2" t="str">
        <f>"9783030323943"</f>
        <v>9783030323943</v>
      </c>
    </row>
    <row r="9872" spans="1:6" s="3" customFormat="1" ht="29.1" customHeight="1" x14ac:dyDescent="0.25">
      <c r="A9872" s="2" t="s">
        <v>20307</v>
      </c>
      <c r="B9872" s="2" t="s">
        <v>20308</v>
      </c>
      <c r="C9872" s="2" t="s">
        <v>5</v>
      </c>
      <c r="D9872" s="2" t="s">
        <v>1913</v>
      </c>
      <c r="E9872" s="2" t="str">
        <f>"9783030648565"</f>
        <v>9783030648565</v>
      </c>
      <c r="F9872" s="2" t="str">
        <f>"9783030648572"</f>
        <v>9783030648572</v>
      </c>
    </row>
    <row r="9873" spans="1:6" s="3" customFormat="1" ht="29.1" customHeight="1" x14ac:dyDescent="0.25">
      <c r="A9873" s="2" t="s">
        <v>20309</v>
      </c>
      <c r="B9873" s="2" t="s">
        <v>20310</v>
      </c>
      <c r="C9873" s="2" t="s">
        <v>5</v>
      </c>
      <c r="D9873" s="2" t="s">
        <v>52</v>
      </c>
      <c r="E9873" s="2" t="str">
        <f>"9783031264375"</f>
        <v>9783031264375</v>
      </c>
      <c r="F9873" s="2" t="str">
        <f>"9783031264382"</f>
        <v>9783031264382</v>
      </c>
    </row>
    <row r="9874" spans="1:6" s="3" customFormat="1" ht="29.1" customHeight="1" x14ac:dyDescent="0.25">
      <c r="A9874" s="2" t="s">
        <v>20311</v>
      </c>
      <c r="B9874" s="2" t="s">
        <v>20312</v>
      </c>
      <c r="C9874" s="2" t="s">
        <v>5</v>
      </c>
      <c r="D9874" s="2" t="s">
        <v>5115</v>
      </c>
      <c r="E9874" s="2" t="str">
        <f>"9783031240485"</f>
        <v>9783031240485</v>
      </c>
      <c r="F9874" s="2" t="str">
        <f>"9783031240492"</f>
        <v>9783031240492</v>
      </c>
    </row>
    <row r="9875" spans="1:6" s="3" customFormat="1" ht="29.1" customHeight="1" x14ac:dyDescent="0.25">
      <c r="A9875" s="2" t="s">
        <v>20313</v>
      </c>
      <c r="B9875" s="2" t="s">
        <v>20314</v>
      </c>
      <c r="C9875" s="2" t="s">
        <v>5</v>
      </c>
      <c r="D9875" s="2" t="s">
        <v>5115</v>
      </c>
      <c r="E9875" s="2" t="str">
        <f>"9789811982842"</f>
        <v>9789811982842</v>
      </c>
      <c r="F9875" s="2" t="str">
        <f>"9789811982859"</f>
        <v>9789811982859</v>
      </c>
    </row>
    <row r="9876" spans="1:6" s="3" customFormat="1" ht="29.1" customHeight="1" x14ac:dyDescent="0.25">
      <c r="A9876" s="2" t="s">
        <v>20315</v>
      </c>
      <c r="B9876" s="2" t="s">
        <v>20316</v>
      </c>
      <c r="C9876" s="2" t="s">
        <v>5</v>
      </c>
      <c r="D9876" s="2" t="s">
        <v>144</v>
      </c>
      <c r="E9876" s="2" t="str">
        <f>"9783031170294"</f>
        <v>9783031170294</v>
      </c>
      <c r="F9876" s="2" t="str">
        <f>"9783031170300"</f>
        <v>9783031170300</v>
      </c>
    </row>
    <row r="9877" spans="1:6" s="3" customFormat="1" ht="29.1" customHeight="1" x14ac:dyDescent="0.25">
      <c r="A9877" s="2" t="s">
        <v>20317</v>
      </c>
      <c r="B9877" s="2" t="s">
        <v>20318</v>
      </c>
      <c r="C9877" s="2" t="s">
        <v>5</v>
      </c>
      <c r="D9877" s="2" t="s">
        <v>5115</v>
      </c>
      <c r="E9877" s="2" t="str">
        <f>"9783031093562"</f>
        <v>9783031093562</v>
      </c>
      <c r="F9877" s="2" t="str">
        <f>"9783031093579"</f>
        <v>9783031093579</v>
      </c>
    </row>
    <row r="9878" spans="1:6" s="3" customFormat="1" ht="29.1" customHeight="1" x14ac:dyDescent="0.25">
      <c r="A9878" s="2" t="s">
        <v>20313</v>
      </c>
      <c r="B9878" s="2" t="s">
        <v>20314</v>
      </c>
      <c r="C9878" s="2" t="s">
        <v>5</v>
      </c>
      <c r="D9878" s="2" t="s">
        <v>5115</v>
      </c>
      <c r="E9878" s="2" t="str">
        <f>"9789811692284"</f>
        <v>9789811692284</v>
      </c>
      <c r="F9878" s="2" t="str">
        <f>"9789811692291"</f>
        <v>9789811692291</v>
      </c>
    </row>
    <row r="9879" spans="1:6" s="3" customFormat="1" ht="29.1" customHeight="1" x14ac:dyDescent="0.25">
      <c r="A9879" s="2" t="s">
        <v>20313</v>
      </c>
      <c r="B9879" s="2" t="s">
        <v>20319</v>
      </c>
      <c r="C9879" s="2" t="s">
        <v>5</v>
      </c>
      <c r="D9879" s="2" t="s">
        <v>5115</v>
      </c>
      <c r="E9879" s="2" t="str">
        <f>"9789813349216"</f>
        <v>9789813349216</v>
      </c>
      <c r="F9879" s="2" t="str">
        <f>"9789813349223"</f>
        <v>9789813349223</v>
      </c>
    </row>
    <row r="9880" spans="1:6" s="3" customFormat="1" ht="29.1" customHeight="1" x14ac:dyDescent="0.25">
      <c r="A9880" s="2" t="s">
        <v>20313</v>
      </c>
      <c r="B9880" s="2" t="s">
        <v>20320</v>
      </c>
      <c r="C9880" s="2" t="s">
        <v>5</v>
      </c>
      <c r="D9880" s="2" t="s">
        <v>5115</v>
      </c>
      <c r="E9880" s="2" t="str">
        <f>"9789811366208"</f>
        <v>9789811366208</v>
      </c>
      <c r="F9880" s="2" t="str">
        <f>"9789811366215"</f>
        <v>9789811366215</v>
      </c>
    </row>
    <row r="9881" spans="1:6" s="3" customFormat="1" ht="29.1" customHeight="1" x14ac:dyDescent="0.25">
      <c r="A9881" s="2" t="s">
        <v>20317</v>
      </c>
      <c r="B9881" s="2" t="s">
        <v>20321</v>
      </c>
      <c r="C9881" s="2" t="s">
        <v>5</v>
      </c>
      <c r="D9881" s="2" t="s">
        <v>5115</v>
      </c>
      <c r="E9881" s="2" t="str">
        <f>"9783319951881"</f>
        <v>9783319951881</v>
      </c>
      <c r="F9881" s="2" t="str">
        <f>"9783319951898"</f>
        <v>9783319951898</v>
      </c>
    </row>
    <row r="9882" spans="1:6" s="3" customFormat="1" ht="29.1" customHeight="1" x14ac:dyDescent="0.25">
      <c r="A9882" s="2" t="s">
        <v>20322</v>
      </c>
      <c r="B9882" s="2" t="s">
        <v>20323</v>
      </c>
      <c r="C9882" s="2" t="s">
        <v>5</v>
      </c>
      <c r="D9882" s="2" t="s">
        <v>144</v>
      </c>
      <c r="E9882" s="2" t="str">
        <f>"9783319472164"</f>
        <v>9783319472164</v>
      </c>
      <c r="F9882" s="2" t="str">
        <f>"9783319472171"</f>
        <v>9783319472171</v>
      </c>
    </row>
    <row r="9883" spans="1:6" s="3" customFormat="1" ht="29.1" customHeight="1" x14ac:dyDescent="0.25">
      <c r="A9883" s="2" t="s">
        <v>6214</v>
      </c>
      <c r="B9883" s="2" t="s">
        <v>20324</v>
      </c>
      <c r="C9883" s="2" t="s">
        <v>5</v>
      </c>
      <c r="D9883" s="2" t="s">
        <v>487</v>
      </c>
      <c r="E9883" s="2" t="str">
        <f>"9783031081682"</f>
        <v>9783031081682</v>
      </c>
      <c r="F9883" s="2" t="str">
        <f>"9783031081699"</f>
        <v>9783031081699</v>
      </c>
    </row>
    <row r="9884" spans="1:6" s="3" customFormat="1" ht="29.1" customHeight="1" x14ac:dyDescent="0.25">
      <c r="A9884" s="2" t="s">
        <v>7464</v>
      </c>
      <c r="B9884" s="2" t="s">
        <v>20325</v>
      </c>
      <c r="C9884" s="2" t="s">
        <v>5</v>
      </c>
      <c r="D9884" s="2" t="s">
        <v>1585</v>
      </c>
      <c r="E9884" s="2" t="str">
        <f>"9783030985806"</f>
        <v>9783030985806</v>
      </c>
      <c r="F9884" s="2" t="str">
        <f>"9783030985813"</f>
        <v>9783030985813</v>
      </c>
    </row>
    <row r="9885" spans="1:6" s="3" customFormat="1" ht="29.1" customHeight="1" x14ac:dyDescent="0.25">
      <c r="A9885" s="2" t="s">
        <v>486</v>
      </c>
      <c r="B9885" s="2" t="s">
        <v>20326</v>
      </c>
      <c r="C9885" s="2" t="s">
        <v>5</v>
      </c>
      <c r="D9885" s="2" t="s">
        <v>487</v>
      </c>
      <c r="E9885" s="2" t="str">
        <f>"9783030885823"</f>
        <v>9783030885823</v>
      </c>
      <c r="F9885" s="2" t="str">
        <f>"9783030885830"</f>
        <v>9783030885830</v>
      </c>
    </row>
    <row r="9886" spans="1:6" s="3" customFormat="1" ht="29.1" customHeight="1" x14ac:dyDescent="0.25">
      <c r="A9886" s="2" t="s">
        <v>6214</v>
      </c>
      <c r="B9886" s="2" t="s">
        <v>20327</v>
      </c>
      <c r="C9886" s="2" t="s">
        <v>5</v>
      </c>
      <c r="D9886" s="2" t="s">
        <v>487</v>
      </c>
      <c r="E9886" s="2" t="str">
        <f>"9783030780975"</f>
        <v>9783030780975</v>
      </c>
      <c r="F9886" s="2" t="str">
        <f>"9783030780982"</f>
        <v>9783030780982</v>
      </c>
    </row>
    <row r="9887" spans="1:6" s="3" customFormat="1" ht="29.1" customHeight="1" x14ac:dyDescent="0.25">
      <c r="A9887" s="2" t="s">
        <v>6214</v>
      </c>
      <c r="B9887" s="2" t="s">
        <v>20328</v>
      </c>
      <c r="C9887" s="2" t="s">
        <v>5</v>
      </c>
      <c r="D9887" s="2" t="s">
        <v>487</v>
      </c>
      <c r="E9887" s="2" t="str">
        <f>"9783030493912"</f>
        <v>9783030493912</v>
      </c>
      <c r="F9887" s="2" t="str">
        <f>"9783030493929"</f>
        <v>9783030493929</v>
      </c>
    </row>
    <row r="9888" spans="1:6" s="3" customFormat="1" ht="29.1" customHeight="1" x14ac:dyDescent="0.25">
      <c r="A9888" s="2" t="s">
        <v>486</v>
      </c>
      <c r="B9888" s="2" t="s">
        <v>20329</v>
      </c>
      <c r="C9888" s="2" t="s">
        <v>5</v>
      </c>
      <c r="D9888" s="2" t="s">
        <v>487</v>
      </c>
      <c r="E9888" s="2" t="str">
        <f>"9783030301255"</f>
        <v>9783030301255</v>
      </c>
      <c r="F9888" s="2" t="str">
        <f>"9783030301262"</f>
        <v>9783030301262</v>
      </c>
    </row>
    <row r="9889" spans="1:6" s="3" customFormat="1" ht="29.1" customHeight="1" x14ac:dyDescent="0.25">
      <c r="A9889" s="2" t="s">
        <v>6214</v>
      </c>
      <c r="B9889" s="2" t="s">
        <v>20330</v>
      </c>
      <c r="C9889" s="2" t="s">
        <v>5</v>
      </c>
      <c r="D9889" s="2" t="s">
        <v>487</v>
      </c>
      <c r="E9889" s="2" t="str">
        <f>"9783030190330"</f>
        <v>9783030190330</v>
      </c>
      <c r="F9889" s="2" t="str">
        <f>"9783030190347"</f>
        <v>9783030190347</v>
      </c>
    </row>
    <row r="9890" spans="1:6" s="3" customFormat="1" ht="29.1" customHeight="1" x14ac:dyDescent="0.25">
      <c r="A9890" s="2" t="s">
        <v>6214</v>
      </c>
      <c r="B9890" s="2" t="s">
        <v>20331</v>
      </c>
      <c r="C9890" s="2" t="s">
        <v>5</v>
      </c>
      <c r="D9890" s="2" t="s">
        <v>487</v>
      </c>
      <c r="E9890" s="2" t="str">
        <f>"9783319916019"</f>
        <v>9783319916019</v>
      </c>
      <c r="F9890" s="2" t="str">
        <f>"9783319916026"</f>
        <v>9783319916026</v>
      </c>
    </row>
    <row r="9891" spans="1:6" s="3" customFormat="1" ht="29.1" customHeight="1" x14ac:dyDescent="0.25">
      <c r="A9891" s="2" t="s">
        <v>6214</v>
      </c>
      <c r="B9891" s="2" t="s">
        <v>20332</v>
      </c>
      <c r="C9891" s="2" t="s">
        <v>5</v>
      </c>
      <c r="D9891" s="2" t="s">
        <v>487</v>
      </c>
      <c r="E9891" s="2" t="str">
        <f>"9783319576329"</f>
        <v>9783319576329</v>
      </c>
      <c r="F9891" s="2" t="str">
        <f>"9783319576336"</f>
        <v>9783319576336</v>
      </c>
    </row>
    <row r="9892" spans="1:6" s="3" customFormat="1" ht="29.1" customHeight="1" x14ac:dyDescent="0.25">
      <c r="A9892" s="2" t="s">
        <v>20333</v>
      </c>
      <c r="B9892" s="2" t="s">
        <v>20334</v>
      </c>
      <c r="C9892" s="2" t="s">
        <v>5</v>
      </c>
      <c r="D9892" s="2" t="s">
        <v>16287</v>
      </c>
      <c r="E9892" s="2" t="str">
        <f>"9783319335148"</f>
        <v>9783319335148</v>
      </c>
      <c r="F9892" s="2" t="str">
        <f>"9783319335155"</f>
        <v>9783319335155</v>
      </c>
    </row>
    <row r="9893" spans="1:6" s="3" customFormat="1" ht="29.1" customHeight="1" x14ac:dyDescent="0.25">
      <c r="A9893" s="2" t="s">
        <v>20335</v>
      </c>
      <c r="B9893" s="2" t="s">
        <v>20336</v>
      </c>
      <c r="C9893" s="2" t="s">
        <v>5</v>
      </c>
      <c r="D9893" s="2" t="s">
        <v>724</v>
      </c>
      <c r="E9893" s="2" t="str">
        <f>"9789811924552"</f>
        <v>9789811924552</v>
      </c>
      <c r="F9893" s="2" t="str">
        <f>"9789811924569"</f>
        <v>9789811924569</v>
      </c>
    </row>
    <row r="9894" spans="1:6" s="3" customFormat="1" ht="29.1" customHeight="1" x14ac:dyDescent="0.25">
      <c r="A9894" s="2" t="s">
        <v>20337</v>
      </c>
      <c r="B9894" s="2" t="s">
        <v>20338</v>
      </c>
      <c r="C9894" s="2" t="s">
        <v>5</v>
      </c>
      <c r="D9894" s="2" t="s">
        <v>6994</v>
      </c>
      <c r="E9894" s="2" t="str">
        <f>"9783319397436"</f>
        <v>9783319397436</v>
      </c>
      <c r="F9894" s="2" t="str">
        <f>"9783319397450"</f>
        <v>9783319397450</v>
      </c>
    </row>
    <row r="9895" spans="1:6" s="3" customFormat="1" ht="29.1" customHeight="1" x14ac:dyDescent="0.25">
      <c r="A9895" s="2" t="s">
        <v>20339</v>
      </c>
      <c r="B9895" s="2" t="s">
        <v>20340</v>
      </c>
      <c r="C9895" s="2" t="s">
        <v>5</v>
      </c>
      <c r="D9895" s="2" t="s">
        <v>6</v>
      </c>
      <c r="E9895" s="2" t="str">
        <f>"9783319160054"</f>
        <v>9783319160054</v>
      </c>
      <c r="F9895" s="2" t="str">
        <f>"9783319160061"</f>
        <v>9783319160061</v>
      </c>
    </row>
    <row r="9896" spans="1:6" s="3" customFormat="1" ht="29.1" customHeight="1" x14ac:dyDescent="0.25">
      <c r="A9896" s="2" t="s">
        <v>20341</v>
      </c>
      <c r="B9896" s="2" t="s">
        <v>20342</v>
      </c>
      <c r="C9896" s="2" t="s">
        <v>5</v>
      </c>
      <c r="D9896" s="2" t="s">
        <v>694</v>
      </c>
      <c r="E9896" s="2" t="str">
        <f>"9789812874191"</f>
        <v>9789812874191</v>
      </c>
      <c r="F9896" s="2" t="str">
        <f>"9789812874207"</f>
        <v>9789812874207</v>
      </c>
    </row>
    <row r="9897" spans="1:6" s="3" customFormat="1" ht="29.1" customHeight="1" x14ac:dyDescent="0.25">
      <c r="A9897" s="2" t="s">
        <v>20343</v>
      </c>
      <c r="B9897" s="2" t="s">
        <v>20344</v>
      </c>
      <c r="C9897" s="2" t="s">
        <v>5</v>
      </c>
      <c r="D9897" s="2" t="s">
        <v>694</v>
      </c>
      <c r="E9897" s="2" t="str">
        <f>"9783319031361"</f>
        <v>9783319031361</v>
      </c>
      <c r="F9897" s="2" t="str">
        <f>"9783319031378"</f>
        <v>9783319031378</v>
      </c>
    </row>
    <row r="9898" spans="1:6" s="3" customFormat="1" ht="29.1" customHeight="1" x14ac:dyDescent="0.25">
      <c r="A9898" s="2" t="s">
        <v>20345</v>
      </c>
      <c r="B9898" s="2" t="s">
        <v>20346</v>
      </c>
      <c r="C9898" s="2" t="s">
        <v>5</v>
      </c>
      <c r="D9898" s="2" t="s">
        <v>8642</v>
      </c>
      <c r="E9898" s="2" t="str">
        <f>"9783030902209"</f>
        <v>9783030902209</v>
      </c>
      <c r="F9898" s="2" t="str">
        <f>"9783030902216"</f>
        <v>9783030902216</v>
      </c>
    </row>
    <row r="9899" spans="1:6" s="3" customFormat="1" ht="29.1" customHeight="1" x14ac:dyDescent="0.25">
      <c r="A9899" s="2" t="s">
        <v>20347</v>
      </c>
      <c r="B9899" s="2" t="s">
        <v>20348</v>
      </c>
      <c r="C9899" s="2" t="s">
        <v>5</v>
      </c>
      <c r="D9899" s="2" t="s">
        <v>9052</v>
      </c>
      <c r="E9899" s="2" t="str">
        <f>"9783030910167"</f>
        <v>9783030910167</v>
      </c>
      <c r="F9899" s="2" t="str">
        <f>"9783030910174"</f>
        <v>9783030910174</v>
      </c>
    </row>
    <row r="9900" spans="1:6" s="3" customFormat="1" ht="29.1" customHeight="1" x14ac:dyDescent="0.25">
      <c r="A9900" s="2" t="s">
        <v>20349</v>
      </c>
      <c r="B9900" s="2" t="s">
        <v>20350</v>
      </c>
      <c r="C9900" s="2" t="s">
        <v>5</v>
      </c>
      <c r="D9900" s="2" t="s">
        <v>4201</v>
      </c>
      <c r="E9900" s="2" t="str">
        <f>"9783030367138"</f>
        <v>9783030367138</v>
      </c>
      <c r="F9900" s="2" t="str">
        <f>"9783030367145"</f>
        <v>9783030367145</v>
      </c>
    </row>
    <row r="9901" spans="1:6" s="3" customFormat="1" ht="29.1" customHeight="1" x14ac:dyDescent="0.25">
      <c r="A9901" s="2" t="s">
        <v>20351</v>
      </c>
      <c r="B9901" s="2" t="s">
        <v>20353</v>
      </c>
      <c r="C9901" s="2" t="s">
        <v>5</v>
      </c>
      <c r="D9901" s="2" t="s">
        <v>6</v>
      </c>
      <c r="E9901" s="2" t="str">
        <f>"9783319169637"</f>
        <v>9783319169637</v>
      </c>
      <c r="F9901" s="2" t="str">
        <f>"9783319169644"</f>
        <v>9783319169644</v>
      </c>
    </row>
    <row r="9902" spans="1:6" s="3" customFormat="1" ht="29.1" customHeight="1" x14ac:dyDescent="0.25">
      <c r="A9902" s="2" t="s">
        <v>20351</v>
      </c>
      <c r="B9902" s="2" t="s">
        <v>20353</v>
      </c>
      <c r="C9902" s="2" t="s">
        <v>5</v>
      </c>
      <c r="D9902" s="2" t="s">
        <v>44</v>
      </c>
      <c r="E9902" s="2" t="str">
        <f>"9783319071176"</f>
        <v>9783319071176</v>
      </c>
      <c r="F9902" s="2" t="str">
        <f>"9783319071183"</f>
        <v>9783319071183</v>
      </c>
    </row>
    <row r="9903" spans="1:6" s="3" customFormat="1" ht="29.1" customHeight="1" x14ac:dyDescent="0.25">
      <c r="A9903" s="2" t="s">
        <v>20355</v>
      </c>
      <c r="B9903" s="2" t="s">
        <v>20356</v>
      </c>
      <c r="C9903" s="2" t="s">
        <v>5</v>
      </c>
      <c r="D9903" s="2" t="s">
        <v>20094</v>
      </c>
      <c r="E9903" s="2" t="str">
        <f>"9783031406805"</f>
        <v>9783031406805</v>
      </c>
      <c r="F9903" s="2" t="str">
        <f>"9783031406812"</f>
        <v>9783031406812</v>
      </c>
    </row>
    <row r="9904" spans="1:6" s="3" customFormat="1" ht="29.1" customHeight="1" x14ac:dyDescent="0.25">
      <c r="A9904" s="2" t="s">
        <v>20357</v>
      </c>
      <c r="B9904" s="2" t="s">
        <v>20358</v>
      </c>
      <c r="C9904" s="2" t="s">
        <v>5</v>
      </c>
      <c r="D9904" s="2" t="s">
        <v>52</v>
      </c>
      <c r="E9904" s="2" t="str">
        <f>"9783030670238"</f>
        <v>9783030670238</v>
      </c>
      <c r="F9904" s="2" t="str">
        <f>"9783030670245"</f>
        <v>9783030670245</v>
      </c>
    </row>
    <row r="9905" spans="1:6" s="3" customFormat="1" ht="29.1" customHeight="1" x14ac:dyDescent="0.25">
      <c r="A9905" s="2" t="s">
        <v>20359</v>
      </c>
      <c r="B9905" s="2" t="s">
        <v>20360</v>
      </c>
      <c r="C9905" s="2" t="s">
        <v>5</v>
      </c>
      <c r="D9905" s="2" t="s">
        <v>1292</v>
      </c>
      <c r="E9905" s="2" t="str">
        <f>"9783319601915"</f>
        <v>9783319601915</v>
      </c>
      <c r="F9905" s="2" t="str">
        <f>"9783319601922"</f>
        <v>9783319601922</v>
      </c>
    </row>
    <row r="9906" spans="1:6" s="3" customFormat="1" ht="29.1" customHeight="1" x14ac:dyDescent="0.25">
      <c r="A9906" s="2" t="s">
        <v>20361</v>
      </c>
      <c r="B9906" s="2" t="s">
        <v>20362</v>
      </c>
      <c r="C9906" s="2" t="s">
        <v>5</v>
      </c>
      <c r="D9906" s="2" t="s">
        <v>1888</v>
      </c>
      <c r="E9906" s="2" t="str">
        <f>"9783662634486"</f>
        <v>9783662634486</v>
      </c>
      <c r="F9906" s="2" t="str">
        <f>"9783662634493"</f>
        <v>9783662634493</v>
      </c>
    </row>
    <row r="9907" spans="1:6" s="3" customFormat="1" ht="29.1" customHeight="1" x14ac:dyDescent="0.25">
      <c r="A9907" s="2" t="s">
        <v>20363</v>
      </c>
      <c r="B9907" s="2" t="s">
        <v>20364</v>
      </c>
      <c r="C9907" s="2" t="s">
        <v>5</v>
      </c>
      <c r="D9907" s="2" t="s">
        <v>3564</v>
      </c>
      <c r="E9907" s="2" t="str">
        <f>"9783319226859"</f>
        <v>9783319226859</v>
      </c>
      <c r="F9907" s="2" t="str">
        <f>"9783319226866"</f>
        <v>9783319226866</v>
      </c>
    </row>
    <row r="9908" spans="1:6" s="3" customFormat="1" ht="29.1" customHeight="1" x14ac:dyDescent="0.25">
      <c r="A9908" s="2" t="s">
        <v>20365</v>
      </c>
      <c r="B9908" s="2" t="s">
        <v>20366</v>
      </c>
      <c r="C9908" s="2" t="s">
        <v>5</v>
      </c>
      <c r="D9908" s="2" t="s">
        <v>850</v>
      </c>
      <c r="E9908" s="2" t="str">
        <f>"9789819910229"</f>
        <v>9789819910229</v>
      </c>
      <c r="F9908" s="2" t="str">
        <f>"9789819910236"</f>
        <v>9789819910236</v>
      </c>
    </row>
    <row r="9909" spans="1:6" s="3" customFormat="1" ht="29.1" customHeight="1" x14ac:dyDescent="0.25">
      <c r="A9909" s="2" t="s">
        <v>20367</v>
      </c>
      <c r="B9909" s="2" t="s">
        <v>20368</v>
      </c>
      <c r="C9909" s="2" t="s">
        <v>5</v>
      </c>
      <c r="D9909" s="2" t="s">
        <v>12574</v>
      </c>
      <c r="E9909" s="2" t="str">
        <f>"9783030646226"</f>
        <v>9783030646226</v>
      </c>
      <c r="F9909" s="2" t="str">
        <f>"9783030646233"</f>
        <v>9783030646233</v>
      </c>
    </row>
    <row r="9910" spans="1:6" s="3" customFormat="1" ht="29.1" customHeight="1" x14ac:dyDescent="0.25">
      <c r="A9910" s="2" t="s">
        <v>20369</v>
      </c>
      <c r="B9910" s="2" t="s">
        <v>20370</v>
      </c>
      <c r="C9910" s="2" t="s">
        <v>5</v>
      </c>
      <c r="D9910" s="2" t="s">
        <v>2083</v>
      </c>
      <c r="E9910" s="2" t="str">
        <f>"9783030429126"</f>
        <v>9783030429126</v>
      </c>
      <c r="F9910" s="2" t="str">
        <f>"9783030429133"</f>
        <v>9783030429133</v>
      </c>
    </row>
    <row r="9911" spans="1:6" s="3" customFormat="1" ht="29.1" customHeight="1" x14ac:dyDescent="0.25">
      <c r="A9911" s="2" t="s">
        <v>20371</v>
      </c>
      <c r="B9911" s="2" t="s">
        <v>20372</v>
      </c>
      <c r="C9911" s="2" t="s">
        <v>5</v>
      </c>
      <c r="D9911" s="2" t="s">
        <v>2083</v>
      </c>
      <c r="E9911" s="2" t="str">
        <f>"9783662573655"</f>
        <v>9783662573655</v>
      </c>
      <c r="F9911" s="2" t="str">
        <f>"9783662573662"</f>
        <v>9783662573662</v>
      </c>
    </row>
    <row r="9912" spans="1:6" s="3" customFormat="1" ht="29.1" customHeight="1" x14ac:dyDescent="0.25">
      <c r="A9912" s="2" t="s">
        <v>20373</v>
      </c>
      <c r="B9912" s="2" t="s">
        <v>20374</v>
      </c>
      <c r="C9912" s="2" t="s">
        <v>5</v>
      </c>
      <c r="D9912" s="2" t="s">
        <v>1823</v>
      </c>
      <c r="E9912" s="2" t="str">
        <f>"9783030656164"</f>
        <v>9783030656164</v>
      </c>
      <c r="F9912" s="2" t="str">
        <f>"9783030656171"</f>
        <v>9783030656171</v>
      </c>
    </row>
    <row r="9913" spans="1:6" s="3" customFormat="1" ht="29.1" customHeight="1" x14ac:dyDescent="0.25">
      <c r="A9913" s="2" t="s">
        <v>20375</v>
      </c>
      <c r="B9913" s="2" t="s">
        <v>20376</v>
      </c>
      <c r="C9913" s="2" t="s">
        <v>5</v>
      </c>
      <c r="D9913" s="2" t="s">
        <v>1823</v>
      </c>
      <c r="E9913" s="2" t="str">
        <f>"9783030210281"</f>
        <v>9783030210281</v>
      </c>
      <c r="F9913" s="2" t="str">
        <f>"9783030210298"</f>
        <v>9783030210298</v>
      </c>
    </row>
    <row r="9914" spans="1:6" s="3" customFormat="1" ht="29.1" customHeight="1" x14ac:dyDescent="0.25">
      <c r="A9914" s="2" t="s">
        <v>20377</v>
      </c>
      <c r="B9914" s="2" t="s">
        <v>20378</v>
      </c>
      <c r="C9914" s="2" t="s">
        <v>5</v>
      </c>
      <c r="D9914" s="2" t="s">
        <v>5115</v>
      </c>
      <c r="E9914" s="2" t="str">
        <f>"9789811676208"</f>
        <v>9789811676208</v>
      </c>
      <c r="F9914" s="2" t="str">
        <f>"9789811676215"</f>
        <v>9789811676215</v>
      </c>
    </row>
    <row r="9915" spans="1:6" s="3" customFormat="1" ht="29.1" customHeight="1" x14ac:dyDescent="0.25">
      <c r="A9915" s="2" t="s">
        <v>20379</v>
      </c>
      <c r="B9915" s="2" t="s">
        <v>20380</v>
      </c>
      <c r="C9915" s="2" t="s">
        <v>5</v>
      </c>
      <c r="D9915" s="2" t="s">
        <v>381</v>
      </c>
      <c r="E9915" s="2" t="str">
        <f>"9783030277307"</f>
        <v>9783030277307</v>
      </c>
      <c r="F9915" s="2" t="str">
        <f>"9783030277314"</f>
        <v>9783030277314</v>
      </c>
    </row>
    <row r="9916" spans="1:6" s="3" customFormat="1" ht="29.1" customHeight="1" x14ac:dyDescent="0.25">
      <c r="A9916" s="2" t="s">
        <v>20381</v>
      </c>
      <c r="B9916" s="2" t="s">
        <v>20382</v>
      </c>
      <c r="C9916" s="2" t="s">
        <v>5</v>
      </c>
      <c r="D9916" s="2" t="s">
        <v>850</v>
      </c>
      <c r="E9916" s="2" t="str">
        <f>"9783030570309"</f>
        <v>9783030570309</v>
      </c>
      <c r="F9916" s="2" t="str">
        <f>"9783030570316"</f>
        <v>9783030570316</v>
      </c>
    </row>
    <row r="9917" spans="1:6" s="3" customFormat="1" ht="29.1" customHeight="1" x14ac:dyDescent="0.25">
      <c r="A9917" s="2" t="s">
        <v>20383</v>
      </c>
      <c r="B9917" s="2" t="s">
        <v>20384</v>
      </c>
      <c r="C9917" s="2" t="s">
        <v>5</v>
      </c>
      <c r="D9917" s="2" t="s">
        <v>724</v>
      </c>
      <c r="E9917" s="2" t="str">
        <f>"9783319511023"</f>
        <v>9783319511023</v>
      </c>
      <c r="F9917" s="2" t="str">
        <f>"9783319511030"</f>
        <v>9783319511030</v>
      </c>
    </row>
    <row r="9918" spans="1:6" s="3" customFormat="1" ht="29.1" customHeight="1" x14ac:dyDescent="0.25">
      <c r="A9918" s="2" t="s">
        <v>20385</v>
      </c>
      <c r="B9918" s="2" t="s">
        <v>20386</v>
      </c>
      <c r="C9918" s="2" t="s">
        <v>5</v>
      </c>
      <c r="D9918" s="2" t="s">
        <v>16192</v>
      </c>
      <c r="E9918" s="2" t="str">
        <f>"9783319295572"</f>
        <v>9783319295572</v>
      </c>
      <c r="F9918" s="2" t="str">
        <f>"9783319295589"</f>
        <v>9783319295589</v>
      </c>
    </row>
    <row r="9919" spans="1:6" s="3" customFormat="1" ht="29.1" customHeight="1" x14ac:dyDescent="0.25">
      <c r="A9919" s="2" t="s">
        <v>20387</v>
      </c>
      <c r="B9919" s="2" t="s">
        <v>20388</v>
      </c>
      <c r="C9919" s="2" t="s">
        <v>5</v>
      </c>
      <c r="D9919" s="2" t="s">
        <v>813</v>
      </c>
      <c r="E9919" s="2" t="str">
        <f>"9783319096643"</f>
        <v>9783319096643</v>
      </c>
      <c r="F9919" s="2" t="str">
        <f>"9783319096650"</f>
        <v>9783319096650</v>
      </c>
    </row>
    <row r="9920" spans="1:6" s="3" customFormat="1" ht="29.1" customHeight="1" x14ac:dyDescent="0.25">
      <c r="A9920" s="2" t="s">
        <v>20389</v>
      </c>
      <c r="B9920" s="2" t="s">
        <v>20390</v>
      </c>
      <c r="C9920" s="2" t="s">
        <v>5</v>
      </c>
      <c r="D9920" s="2" t="s">
        <v>791</v>
      </c>
      <c r="E9920" s="2" t="str">
        <f>"9783031159039"</f>
        <v>9783031159039</v>
      </c>
      <c r="F9920" s="2" t="str">
        <f>"9783031159046"</f>
        <v>9783031159046</v>
      </c>
    </row>
    <row r="9921" spans="1:6" s="3" customFormat="1" ht="29.1" customHeight="1" x14ac:dyDescent="0.25">
      <c r="A9921" s="2" t="s">
        <v>20391</v>
      </c>
      <c r="B9921" s="2" t="s">
        <v>10002</v>
      </c>
      <c r="C9921" s="2" t="s">
        <v>5</v>
      </c>
      <c r="D9921" s="2" t="s">
        <v>101</v>
      </c>
      <c r="E9921" s="2" t="str">
        <f>"9783662676684"</f>
        <v>9783662676684</v>
      </c>
      <c r="F9921" s="2" t="str">
        <f>"9783662676691"</f>
        <v>9783662676691</v>
      </c>
    </row>
    <row r="9922" spans="1:6" s="3" customFormat="1" ht="29.1" customHeight="1" x14ac:dyDescent="0.25">
      <c r="A9922" s="2" t="s">
        <v>20392</v>
      </c>
      <c r="B9922" s="2" t="s">
        <v>20393</v>
      </c>
      <c r="C9922" s="2" t="s">
        <v>5</v>
      </c>
      <c r="D9922" s="2" t="s">
        <v>8343</v>
      </c>
      <c r="E9922" s="2" t="str">
        <f>"9783662676301"</f>
        <v>9783662676301</v>
      </c>
      <c r="F9922" s="2" t="str">
        <f>"9783662676318"</f>
        <v>9783662676318</v>
      </c>
    </row>
    <row r="9923" spans="1:6" s="3" customFormat="1" ht="29.1" customHeight="1" x14ac:dyDescent="0.25">
      <c r="A9923" s="2" t="s">
        <v>20394</v>
      </c>
      <c r="B9923" s="2" t="s">
        <v>20395</v>
      </c>
      <c r="C9923" s="2" t="s">
        <v>5</v>
      </c>
      <c r="D9923" s="2" t="s">
        <v>6655</v>
      </c>
      <c r="E9923" s="2" t="str">
        <f>"9783031360329"</f>
        <v>9783031360329</v>
      </c>
      <c r="F9923" s="2" t="str">
        <f>"9783031360336"</f>
        <v>9783031360336</v>
      </c>
    </row>
    <row r="9924" spans="1:6" s="3" customFormat="1" ht="29.1" customHeight="1" x14ac:dyDescent="0.25">
      <c r="A9924" s="2" t="s">
        <v>20396</v>
      </c>
      <c r="B9924" s="2" t="s">
        <v>20397</v>
      </c>
      <c r="C9924" s="2" t="s">
        <v>5</v>
      </c>
      <c r="D9924" s="2" t="s">
        <v>8343</v>
      </c>
      <c r="E9924" s="2" t="str">
        <f>"9783031352126"</f>
        <v>9783031352126</v>
      </c>
      <c r="F9924" s="2" t="str">
        <f>"9783031352133"</f>
        <v>9783031352133</v>
      </c>
    </row>
    <row r="9925" spans="1:6" s="3" customFormat="1" ht="29.1" customHeight="1" x14ac:dyDescent="0.25">
      <c r="A9925" s="2" t="s">
        <v>20398</v>
      </c>
      <c r="B9925" s="2" t="s">
        <v>20399</v>
      </c>
      <c r="C9925" s="2" t="s">
        <v>5</v>
      </c>
      <c r="D9925" s="2" t="s">
        <v>490</v>
      </c>
      <c r="E9925" s="2" t="str">
        <f>"9783031344503"</f>
        <v>9783031344503</v>
      </c>
      <c r="F9925" s="2" t="str">
        <f>"9783031344510"</f>
        <v>9783031344510</v>
      </c>
    </row>
    <row r="9926" spans="1:6" s="3" customFormat="1" ht="29.1" customHeight="1" x14ac:dyDescent="0.25">
      <c r="A9926" s="2" t="s">
        <v>20400</v>
      </c>
      <c r="B9926" s="2" t="s">
        <v>20401</v>
      </c>
      <c r="C9926" s="2" t="s">
        <v>5</v>
      </c>
      <c r="D9926" s="2" t="s">
        <v>2356</v>
      </c>
      <c r="E9926" s="2" t="str">
        <f>"9783031327995"</f>
        <v>9783031327995</v>
      </c>
      <c r="F9926" s="2" t="str">
        <f>"9783031328008"</f>
        <v>9783031328008</v>
      </c>
    </row>
    <row r="9927" spans="1:6" s="3" customFormat="1" ht="29.1" customHeight="1" x14ac:dyDescent="0.25">
      <c r="A9927" s="2" t="s">
        <v>20402</v>
      </c>
      <c r="B9927" s="2" t="s">
        <v>20403</v>
      </c>
      <c r="C9927" s="2" t="s">
        <v>5</v>
      </c>
      <c r="D9927" s="2" t="s">
        <v>3567</v>
      </c>
      <c r="E9927" s="2" t="str">
        <f>"9783031301742"</f>
        <v>9783031301742</v>
      </c>
      <c r="F9927" s="2" t="str">
        <f>"9783031301759"</f>
        <v>9783031301759</v>
      </c>
    </row>
    <row r="9928" spans="1:6" s="3" customFormat="1" ht="29.1" customHeight="1" x14ac:dyDescent="0.25">
      <c r="A9928" s="2" t="s">
        <v>20404</v>
      </c>
      <c r="B9928" s="2" t="s">
        <v>20405</v>
      </c>
      <c r="C9928" s="2" t="s">
        <v>5</v>
      </c>
      <c r="D9928" s="2" t="s">
        <v>12696</v>
      </c>
      <c r="E9928" s="2" t="str">
        <f>"9789819914937"</f>
        <v>9789819914937</v>
      </c>
      <c r="F9928" s="2" t="str">
        <f>"9789819914944"</f>
        <v>9789819914944</v>
      </c>
    </row>
    <row r="9929" spans="1:6" s="3" customFormat="1" ht="29.1" customHeight="1" x14ac:dyDescent="0.25">
      <c r="A9929" s="2" t="s">
        <v>20406</v>
      </c>
      <c r="B9929" s="2" t="s">
        <v>20407</v>
      </c>
      <c r="C9929" s="2" t="s">
        <v>5</v>
      </c>
      <c r="D9929" s="2" t="s">
        <v>101</v>
      </c>
      <c r="E9929" s="2" t="str">
        <f>"9783662668801"</f>
        <v>9783662668801</v>
      </c>
      <c r="F9929" s="2" t="str">
        <f>"9783662668818"</f>
        <v>9783662668818</v>
      </c>
    </row>
    <row r="9930" spans="1:6" s="3" customFormat="1" ht="29.1" customHeight="1" x14ac:dyDescent="0.25">
      <c r="A9930" s="2" t="s">
        <v>20408</v>
      </c>
      <c r="B9930" s="2" t="s">
        <v>20409</v>
      </c>
      <c r="C9930" s="2" t="s">
        <v>5</v>
      </c>
      <c r="D9930" s="2" t="s">
        <v>98</v>
      </c>
      <c r="E9930" s="2" t="str">
        <f>"9783658405434"</f>
        <v>9783658405434</v>
      </c>
      <c r="F9930" s="2" t="str">
        <f>"9783658405441"</f>
        <v>9783658405441</v>
      </c>
    </row>
    <row r="9931" spans="1:6" s="3" customFormat="1" ht="29.1" customHeight="1" x14ac:dyDescent="0.25">
      <c r="A9931" s="2" t="s">
        <v>20410</v>
      </c>
      <c r="B9931" s="2" t="s">
        <v>20411</v>
      </c>
      <c r="C9931" s="2" t="s">
        <v>5</v>
      </c>
      <c r="D9931" s="2" t="s">
        <v>339</v>
      </c>
      <c r="E9931" s="2" t="str">
        <f>"9783031166693"</f>
        <v>9783031166693</v>
      </c>
      <c r="F9931" s="2" t="str">
        <f>"9783031166709"</f>
        <v>9783031166709</v>
      </c>
    </row>
    <row r="9932" spans="1:6" s="3" customFormat="1" ht="29.1" customHeight="1" x14ac:dyDescent="0.25">
      <c r="A9932" s="2" t="s">
        <v>20412</v>
      </c>
      <c r="B9932" s="2" t="s">
        <v>20413</v>
      </c>
      <c r="C9932" s="2" t="s">
        <v>5</v>
      </c>
      <c r="D9932" s="2" t="s">
        <v>270</v>
      </c>
      <c r="E9932" s="2" t="str">
        <f>"9783031246425"</f>
        <v>9783031246425</v>
      </c>
      <c r="F9932" s="2" t="str">
        <f>"9783031246432"</f>
        <v>9783031246432</v>
      </c>
    </row>
    <row r="9933" spans="1:6" s="3" customFormat="1" ht="29.1" customHeight="1" x14ac:dyDescent="0.25">
      <c r="A9933" s="2" t="s">
        <v>20414</v>
      </c>
      <c r="B9933" s="2" t="s">
        <v>20415</v>
      </c>
      <c r="C9933" s="2" t="s">
        <v>5</v>
      </c>
      <c r="D9933" s="2" t="s">
        <v>12</v>
      </c>
      <c r="E9933" s="2" t="str">
        <f>"9783031222443"</f>
        <v>9783031222443</v>
      </c>
      <c r="F9933" s="2" t="str">
        <f>"9783031222450"</f>
        <v>9783031222450</v>
      </c>
    </row>
    <row r="9934" spans="1:6" s="3" customFormat="1" ht="29.1" customHeight="1" x14ac:dyDescent="0.25">
      <c r="A9934" s="2" t="s">
        <v>20416</v>
      </c>
      <c r="B9934" s="2" t="s">
        <v>20417</v>
      </c>
      <c r="C9934" s="2" t="s">
        <v>5</v>
      </c>
      <c r="D9934" s="2" t="s">
        <v>183</v>
      </c>
      <c r="E9934" s="2" t="str">
        <f>"9783658399108"</f>
        <v>9783658399108</v>
      </c>
      <c r="F9934" s="2" t="str">
        <f>"9783658399115"</f>
        <v>9783658399115</v>
      </c>
    </row>
    <row r="9935" spans="1:6" s="3" customFormat="1" ht="29.1" customHeight="1" x14ac:dyDescent="0.25">
      <c r="A9935" s="2" t="s">
        <v>20418</v>
      </c>
      <c r="B9935" s="2" t="s">
        <v>20419</v>
      </c>
      <c r="C9935" s="2" t="s">
        <v>5</v>
      </c>
      <c r="D9935" s="2" t="s">
        <v>1806</v>
      </c>
      <c r="E9935" s="2" t="str">
        <f>"9789811980565"</f>
        <v>9789811980565</v>
      </c>
      <c r="F9935" s="2" t="str">
        <f>"9789811980572"</f>
        <v>9789811980572</v>
      </c>
    </row>
    <row r="9936" spans="1:6" s="3" customFormat="1" ht="29.1" customHeight="1" x14ac:dyDescent="0.25">
      <c r="A9936" s="2" t="s">
        <v>20420</v>
      </c>
      <c r="B9936" s="2" t="s">
        <v>20421</v>
      </c>
      <c r="C9936" s="2" t="s">
        <v>5</v>
      </c>
      <c r="D9936" s="2" t="s">
        <v>1840</v>
      </c>
      <c r="E9936" s="2" t="str">
        <f>"9783662662267"</f>
        <v>9783662662267</v>
      </c>
      <c r="F9936" s="2" t="str">
        <f>"9783662662274"</f>
        <v>9783662662274</v>
      </c>
    </row>
    <row r="9937" spans="1:6" s="3" customFormat="1" ht="29.1" customHeight="1" x14ac:dyDescent="0.25">
      <c r="A9937" s="2" t="s">
        <v>20422</v>
      </c>
      <c r="B9937" s="2" t="s">
        <v>20423</v>
      </c>
      <c r="C9937" s="2" t="s">
        <v>5</v>
      </c>
      <c r="D9937" s="2" t="s">
        <v>141</v>
      </c>
      <c r="E9937" s="2" t="str">
        <f>"9783662662021"</f>
        <v>9783662662021</v>
      </c>
      <c r="F9937" s="2" t="str">
        <f>"9783662662038"</f>
        <v>9783662662038</v>
      </c>
    </row>
    <row r="9938" spans="1:6" s="3" customFormat="1" ht="29.1" customHeight="1" x14ac:dyDescent="0.25">
      <c r="A9938" s="2" t="s">
        <v>20424</v>
      </c>
      <c r="B9938" s="2" t="s">
        <v>20425</v>
      </c>
      <c r="C9938" s="2" t="s">
        <v>5</v>
      </c>
      <c r="D9938" s="2" t="s">
        <v>7842</v>
      </c>
      <c r="E9938" s="2" t="str">
        <f>"9789811963742"</f>
        <v>9789811963742</v>
      </c>
      <c r="F9938" s="2" t="str">
        <f>"9789811963759"</f>
        <v>9789811963759</v>
      </c>
    </row>
    <row r="9939" spans="1:6" s="3" customFormat="1" ht="29.1" customHeight="1" x14ac:dyDescent="0.25">
      <c r="A9939" s="2" t="s">
        <v>20426</v>
      </c>
      <c r="B9939" s="2" t="s">
        <v>20427</v>
      </c>
      <c r="C9939" s="2" t="s">
        <v>5</v>
      </c>
      <c r="D9939" s="2" t="s">
        <v>4291</v>
      </c>
      <c r="E9939" s="2" t="str">
        <f>"9783662660720"</f>
        <v>9783662660720</v>
      </c>
      <c r="F9939" s="2" t="str">
        <f>"9783662660737"</f>
        <v>9783662660737</v>
      </c>
    </row>
    <row r="9940" spans="1:6" s="3" customFormat="1" ht="29.1" customHeight="1" x14ac:dyDescent="0.25">
      <c r="A9940" s="2" t="s">
        <v>20428</v>
      </c>
      <c r="B9940" s="2" t="s">
        <v>20429</v>
      </c>
      <c r="C9940" s="2" t="s">
        <v>5</v>
      </c>
      <c r="D9940" s="2" t="s">
        <v>477</v>
      </c>
      <c r="E9940" s="2" t="str">
        <f>"9789811986369"</f>
        <v>9789811986369</v>
      </c>
      <c r="F9940" s="2" t="str">
        <f>"9789811986376"</f>
        <v>9789811986376</v>
      </c>
    </row>
    <row r="9941" spans="1:6" s="3" customFormat="1" ht="29.1" customHeight="1" x14ac:dyDescent="0.25">
      <c r="A9941" s="2" t="s">
        <v>20430</v>
      </c>
      <c r="B9941" s="2" t="s">
        <v>20431</v>
      </c>
      <c r="C9941" s="2" t="s">
        <v>5</v>
      </c>
      <c r="D9941" s="2" t="s">
        <v>101</v>
      </c>
      <c r="E9941" s="2" t="str">
        <f>"9783662660409"</f>
        <v>9783662660409</v>
      </c>
      <c r="F9941" s="2" t="str">
        <f>"9783662660416"</f>
        <v>9783662660416</v>
      </c>
    </row>
    <row r="9942" spans="1:6" s="3" customFormat="1" ht="29.1" customHeight="1" x14ac:dyDescent="0.25">
      <c r="A9942" s="2" t="s">
        <v>20432</v>
      </c>
      <c r="B9942" s="2" t="s">
        <v>20433</v>
      </c>
      <c r="C9942" s="2" t="s">
        <v>5</v>
      </c>
      <c r="D9942" s="2" t="s">
        <v>501</v>
      </c>
      <c r="E9942" s="2" t="str">
        <f>"9783031153884"</f>
        <v>9783031153884</v>
      </c>
      <c r="F9942" s="2" t="str">
        <f>"9783031153891"</f>
        <v>9783031153891</v>
      </c>
    </row>
    <row r="9943" spans="1:6" s="3" customFormat="1" ht="29.1" customHeight="1" x14ac:dyDescent="0.25">
      <c r="A9943" s="2" t="s">
        <v>20434</v>
      </c>
      <c r="B9943" s="2" t="s">
        <v>20436</v>
      </c>
      <c r="C9943" s="2" t="s">
        <v>5</v>
      </c>
      <c r="D9943" s="2" t="s">
        <v>20435</v>
      </c>
      <c r="E9943" s="2" t="str">
        <f>"9789811959073"</f>
        <v>9789811959073</v>
      </c>
      <c r="F9943" s="2" t="str">
        <f>"9789811959080"</f>
        <v>9789811959080</v>
      </c>
    </row>
    <row r="9944" spans="1:6" s="3" customFormat="1" ht="29.1" customHeight="1" x14ac:dyDescent="0.25">
      <c r="A9944" s="2" t="s">
        <v>20437</v>
      </c>
      <c r="B9944" s="2" t="s">
        <v>20438</v>
      </c>
      <c r="C9944" s="2" t="s">
        <v>5</v>
      </c>
      <c r="D9944" s="2" t="s">
        <v>1071</v>
      </c>
      <c r="E9944" s="2" t="str">
        <f>"9783031144356"</f>
        <v>9783031144356</v>
      </c>
      <c r="F9944" s="2" t="str">
        <f>"9783031144363"</f>
        <v>9783031144363</v>
      </c>
    </row>
    <row r="9945" spans="1:6" s="3" customFormat="1" ht="29.1" customHeight="1" x14ac:dyDescent="0.25">
      <c r="A9945" s="2" t="s">
        <v>20439</v>
      </c>
      <c r="B9945" s="2" t="s">
        <v>20440</v>
      </c>
      <c r="C9945" s="2" t="s">
        <v>5</v>
      </c>
      <c r="D9945" s="2" t="s">
        <v>11063</v>
      </c>
      <c r="E9945" s="2" t="str">
        <f>"9783031141850"</f>
        <v>9783031141850</v>
      </c>
      <c r="F9945" s="2" t="str">
        <f>"9783031141867"</f>
        <v>9783031141867</v>
      </c>
    </row>
    <row r="9946" spans="1:6" s="3" customFormat="1" ht="29.1" customHeight="1" x14ac:dyDescent="0.25">
      <c r="A9946" s="2" t="s">
        <v>20441</v>
      </c>
      <c r="B9946" s="2" t="s">
        <v>20442</v>
      </c>
      <c r="C9946" s="2" t="s">
        <v>5</v>
      </c>
      <c r="D9946" s="2" t="s">
        <v>72</v>
      </c>
      <c r="E9946" s="2" t="str">
        <f>"9789811955532"</f>
        <v>9789811955532</v>
      </c>
      <c r="F9946" s="2" t="str">
        <f>"9789811955549"</f>
        <v>9789811955549</v>
      </c>
    </row>
    <row r="9947" spans="1:6" s="3" customFormat="1" ht="29.1" customHeight="1" x14ac:dyDescent="0.25">
      <c r="A9947" s="2" t="s">
        <v>20443</v>
      </c>
      <c r="B9947" s="2" t="s">
        <v>20444</v>
      </c>
      <c r="C9947" s="2" t="s">
        <v>5</v>
      </c>
      <c r="D9947" s="2" t="s">
        <v>321</v>
      </c>
      <c r="E9947" s="2" t="str">
        <f>"9789811955075"</f>
        <v>9789811955075</v>
      </c>
      <c r="F9947" s="2" t="str">
        <f>"9789811955082"</f>
        <v>9789811955082</v>
      </c>
    </row>
    <row r="9948" spans="1:6" s="3" customFormat="1" ht="29.1" customHeight="1" x14ac:dyDescent="0.25">
      <c r="A9948" s="2" t="s">
        <v>20445</v>
      </c>
      <c r="B9948" s="2" t="s">
        <v>20446</v>
      </c>
      <c r="C9948" s="2" t="s">
        <v>5</v>
      </c>
      <c r="D9948" s="2" t="s">
        <v>192</v>
      </c>
      <c r="E9948" s="2" t="str">
        <f>"9783031134937"</f>
        <v>9783031134937</v>
      </c>
      <c r="F9948" s="2" t="str">
        <f>"9783031134944"</f>
        <v>9783031134944</v>
      </c>
    </row>
    <row r="9949" spans="1:6" s="3" customFormat="1" ht="29.1" customHeight="1" x14ac:dyDescent="0.25">
      <c r="A9949" s="2" t="s">
        <v>20447</v>
      </c>
      <c r="B9949" s="2" t="s">
        <v>20448</v>
      </c>
      <c r="C9949" s="2" t="s">
        <v>5</v>
      </c>
      <c r="D9949" s="2" t="s">
        <v>321</v>
      </c>
      <c r="E9949" s="2" t="str">
        <f>"9783662658116"</f>
        <v>9783662658116</v>
      </c>
      <c r="F9949" s="2" t="str">
        <f>"9783662658123"</f>
        <v>9783662658123</v>
      </c>
    </row>
    <row r="9950" spans="1:6" s="3" customFormat="1" ht="29.1" customHeight="1" x14ac:dyDescent="0.25">
      <c r="A9950" s="2" t="s">
        <v>146</v>
      </c>
      <c r="B9950" s="2" t="s">
        <v>20449</v>
      </c>
      <c r="C9950" s="2" t="s">
        <v>5</v>
      </c>
      <c r="D9950" s="2" t="s">
        <v>284</v>
      </c>
      <c r="E9950" s="2" t="str">
        <f>"9783031124815"</f>
        <v>9783031124815</v>
      </c>
      <c r="F9950" s="2" t="str">
        <f>"9783031124822"</f>
        <v>9783031124822</v>
      </c>
    </row>
    <row r="9951" spans="1:6" s="3" customFormat="1" ht="29.1" customHeight="1" x14ac:dyDescent="0.25">
      <c r="A9951" s="2" t="s">
        <v>20450</v>
      </c>
      <c r="B9951" s="2" t="s">
        <v>20451</v>
      </c>
      <c r="C9951" s="2" t="s">
        <v>5</v>
      </c>
      <c r="D9951" s="2" t="s">
        <v>12475</v>
      </c>
      <c r="E9951" s="2" t="str">
        <f>"9783031340857"</f>
        <v>9783031340857</v>
      </c>
      <c r="F9951" s="2" t="str">
        <f>"9783031340871"</f>
        <v>9783031340871</v>
      </c>
    </row>
    <row r="9952" spans="1:6" s="3" customFormat="1" ht="29.1" customHeight="1" x14ac:dyDescent="0.25">
      <c r="A9952" s="2" t="s">
        <v>20452</v>
      </c>
      <c r="B9952" s="2" t="s">
        <v>20453</v>
      </c>
      <c r="C9952" s="2" t="s">
        <v>5</v>
      </c>
      <c r="D9952" s="2" t="s">
        <v>547</v>
      </c>
      <c r="E9952" s="2" t="str">
        <f>"9783662657447"</f>
        <v>9783662657447</v>
      </c>
      <c r="F9952" s="2" t="str">
        <f>"9783662657454"</f>
        <v>9783662657454</v>
      </c>
    </row>
    <row r="9953" spans="1:6" s="3" customFormat="1" ht="29.1" customHeight="1" x14ac:dyDescent="0.25">
      <c r="A9953" s="2" t="s">
        <v>20454</v>
      </c>
      <c r="B9953" s="2" t="s">
        <v>20455</v>
      </c>
      <c r="C9953" s="2" t="s">
        <v>5</v>
      </c>
      <c r="D9953" s="2" t="s">
        <v>7734</v>
      </c>
      <c r="E9953" s="2" t="str">
        <f>"9783031106941"</f>
        <v>9783031106941</v>
      </c>
      <c r="F9953" s="2" t="str">
        <f>"9783031106958"</f>
        <v>9783031106958</v>
      </c>
    </row>
    <row r="9954" spans="1:6" s="3" customFormat="1" ht="29.1" customHeight="1" x14ac:dyDescent="0.25">
      <c r="A9954" s="2" t="s">
        <v>20456</v>
      </c>
      <c r="B9954" s="2" t="s">
        <v>20457</v>
      </c>
      <c r="C9954" s="2" t="s">
        <v>5</v>
      </c>
      <c r="D9954" s="2" t="s">
        <v>294</v>
      </c>
      <c r="E9954" s="2" t="str">
        <f>"9783031106644"</f>
        <v>9783031106644</v>
      </c>
      <c r="F9954" s="2" t="str">
        <f>"9783031106651"</f>
        <v>9783031106651</v>
      </c>
    </row>
    <row r="9955" spans="1:6" s="3" customFormat="1" ht="29.1" customHeight="1" x14ac:dyDescent="0.25">
      <c r="A9955" s="2" t="s">
        <v>20458</v>
      </c>
      <c r="B9955" s="2" t="s">
        <v>20459</v>
      </c>
      <c r="C9955" s="2" t="s">
        <v>5</v>
      </c>
      <c r="D9955" s="2" t="s">
        <v>2985</v>
      </c>
      <c r="E9955" s="2" t="str">
        <f>"9783031100703"</f>
        <v>9783031100703</v>
      </c>
      <c r="F9955" s="2" t="str">
        <f>"9783031100710"</f>
        <v>9783031100710</v>
      </c>
    </row>
    <row r="9956" spans="1:6" s="3" customFormat="1" ht="29.1" customHeight="1" x14ac:dyDescent="0.25">
      <c r="A9956" s="2" t="s">
        <v>20460</v>
      </c>
      <c r="B9956" s="2" t="s">
        <v>20461</v>
      </c>
      <c r="C9956" s="2" t="s">
        <v>5</v>
      </c>
      <c r="D9956" s="2" t="s">
        <v>727</v>
      </c>
      <c r="E9956" s="2" t="str">
        <f>"9783658382056"</f>
        <v>9783658382056</v>
      </c>
      <c r="F9956" s="2" t="str">
        <f>"9783658382063"</f>
        <v>9783658382063</v>
      </c>
    </row>
    <row r="9957" spans="1:6" s="3" customFormat="1" ht="29.1" customHeight="1" x14ac:dyDescent="0.25">
      <c r="A9957" s="2" t="s">
        <v>20462</v>
      </c>
      <c r="B9957" s="2" t="s">
        <v>20463</v>
      </c>
      <c r="C9957" s="2" t="s">
        <v>5</v>
      </c>
      <c r="D9957" s="2" t="s">
        <v>694</v>
      </c>
      <c r="E9957" s="2" t="str">
        <f>"9783031079009"</f>
        <v>9783031079009</v>
      </c>
      <c r="F9957" s="2" t="str">
        <f>"9783031079016"</f>
        <v>9783031079016</v>
      </c>
    </row>
    <row r="9958" spans="1:6" s="3" customFormat="1" ht="29.1" customHeight="1" x14ac:dyDescent="0.25">
      <c r="A9958" s="2" t="s">
        <v>20464</v>
      </c>
      <c r="B9958" s="2" t="s">
        <v>20465</v>
      </c>
      <c r="C9958" s="2" t="s">
        <v>5</v>
      </c>
      <c r="D9958" s="2" t="s">
        <v>331</v>
      </c>
      <c r="E9958" s="2" t="str">
        <f>"9783031052750"</f>
        <v>9783031052750</v>
      </c>
      <c r="F9958" s="2" t="str">
        <f>"9783031052767"</f>
        <v>9783031052767</v>
      </c>
    </row>
    <row r="9959" spans="1:6" s="3" customFormat="1" ht="29.1" customHeight="1" x14ac:dyDescent="0.25">
      <c r="A9959" s="2" t="s">
        <v>20466</v>
      </c>
      <c r="B9959" s="2" t="s">
        <v>20467</v>
      </c>
      <c r="C9959" s="2" t="s">
        <v>5</v>
      </c>
      <c r="D9959" s="2" t="s">
        <v>294</v>
      </c>
      <c r="E9959" s="2" t="str">
        <f>"9783030997236"</f>
        <v>9783030997236</v>
      </c>
      <c r="F9959" s="2" t="str">
        <f>"9783030997243"</f>
        <v>9783030997243</v>
      </c>
    </row>
    <row r="9960" spans="1:6" s="3" customFormat="1" ht="29.1" customHeight="1" x14ac:dyDescent="0.25">
      <c r="A9960" s="2" t="s">
        <v>20468</v>
      </c>
      <c r="B9960" s="2" t="s">
        <v>20469</v>
      </c>
      <c r="C9960" s="2" t="s">
        <v>5</v>
      </c>
      <c r="D9960" s="2" t="s">
        <v>16423</v>
      </c>
      <c r="E9960" s="2" t="str">
        <f>"9783030976057"</f>
        <v>9783030976057</v>
      </c>
      <c r="F9960" s="2" t="str">
        <f>"9783030976064"</f>
        <v>9783030976064</v>
      </c>
    </row>
    <row r="9961" spans="1:6" s="3" customFormat="1" ht="29.1" customHeight="1" x14ac:dyDescent="0.25">
      <c r="A9961" s="2" t="s">
        <v>20470</v>
      </c>
      <c r="B9961" s="2" t="s">
        <v>20471</v>
      </c>
      <c r="C9961" s="2" t="s">
        <v>5</v>
      </c>
      <c r="D9961" s="2" t="s">
        <v>9</v>
      </c>
      <c r="E9961" s="2" t="str">
        <f>"9783658369248"</f>
        <v>9783658369248</v>
      </c>
      <c r="F9961" s="2" t="str">
        <f>"9783658369255"</f>
        <v>9783658369255</v>
      </c>
    </row>
    <row r="9962" spans="1:6" s="3" customFormat="1" ht="29.1" customHeight="1" x14ac:dyDescent="0.25">
      <c r="A9962" s="2" t="s">
        <v>20472</v>
      </c>
      <c r="B9962" s="2" t="s">
        <v>20473</v>
      </c>
      <c r="C9962" s="2" t="s">
        <v>5</v>
      </c>
      <c r="D9962" s="2" t="s">
        <v>294</v>
      </c>
      <c r="E9962" s="2" t="str">
        <f>"9783030972578"</f>
        <v>9783030972578</v>
      </c>
      <c r="F9962" s="2" t="str">
        <f>"9783030972585"</f>
        <v>9783030972585</v>
      </c>
    </row>
    <row r="9963" spans="1:6" s="3" customFormat="1" ht="29.1" customHeight="1" x14ac:dyDescent="0.25">
      <c r="A9963" s="2" t="s">
        <v>20474</v>
      </c>
      <c r="B9963" s="2" t="s">
        <v>20475</v>
      </c>
      <c r="C9963" s="2" t="s">
        <v>5</v>
      </c>
      <c r="D9963" s="2" t="s">
        <v>183</v>
      </c>
      <c r="E9963" s="2" t="str">
        <f>"9783658367534"</f>
        <v>9783658367534</v>
      </c>
      <c r="F9963" s="2" t="str">
        <f>"9783658367541"</f>
        <v>9783658367541</v>
      </c>
    </row>
    <row r="9964" spans="1:6" s="3" customFormat="1" ht="29.1" customHeight="1" x14ac:dyDescent="0.25">
      <c r="A9964" s="2" t="s">
        <v>20476</v>
      </c>
      <c r="B9964" s="2" t="s">
        <v>20477</v>
      </c>
      <c r="C9964" s="2" t="s">
        <v>5</v>
      </c>
      <c r="D9964" s="2" t="s">
        <v>2391</v>
      </c>
      <c r="E9964" s="2" t="str">
        <f>"9783030947507"</f>
        <v>9783030947507</v>
      </c>
      <c r="F9964" s="2" t="str">
        <f>"9783030947514"</f>
        <v>9783030947514</v>
      </c>
    </row>
    <row r="9965" spans="1:6" s="3" customFormat="1" ht="29.1" customHeight="1" x14ac:dyDescent="0.25">
      <c r="A9965" s="2" t="s">
        <v>20478</v>
      </c>
      <c r="B9965" s="2" t="s">
        <v>20479</v>
      </c>
      <c r="C9965" s="2" t="s">
        <v>5</v>
      </c>
      <c r="D9965" s="2" t="s">
        <v>1071</v>
      </c>
      <c r="E9965" s="2" t="str">
        <f>"9783030945763"</f>
        <v>9783030945763</v>
      </c>
      <c r="F9965" s="2" t="str">
        <f>"9783030945770"</f>
        <v>9783030945770</v>
      </c>
    </row>
    <row r="9966" spans="1:6" s="3" customFormat="1" ht="29.1" customHeight="1" x14ac:dyDescent="0.25">
      <c r="A9966" s="2" t="s">
        <v>20480</v>
      </c>
      <c r="B9966" s="2" t="s">
        <v>20481</v>
      </c>
      <c r="C9966" s="2" t="s">
        <v>5</v>
      </c>
      <c r="D9966" s="2" t="s">
        <v>724</v>
      </c>
      <c r="E9966" s="2" t="str">
        <f>"9783030945893"</f>
        <v>9783030945893</v>
      </c>
      <c r="F9966" s="2" t="str">
        <f>"9783030945909"</f>
        <v>9783030945909</v>
      </c>
    </row>
    <row r="9967" spans="1:6" s="3" customFormat="1" ht="29.1" customHeight="1" x14ac:dyDescent="0.25">
      <c r="A9967" s="2" t="s">
        <v>20482</v>
      </c>
      <c r="B9967" s="2" t="s">
        <v>20483</v>
      </c>
      <c r="C9967" s="2" t="s">
        <v>5</v>
      </c>
      <c r="D9967" s="2" t="s">
        <v>553</v>
      </c>
      <c r="E9967" s="2" t="str">
        <f>"9783030944957"</f>
        <v>9783030944957</v>
      </c>
      <c r="F9967" s="2" t="str">
        <f>"9783030944964"</f>
        <v>9783030944964</v>
      </c>
    </row>
    <row r="9968" spans="1:6" s="3" customFormat="1" ht="29.1" customHeight="1" x14ac:dyDescent="0.25">
      <c r="A9968" s="2" t="s">
        <v>20484</v>
      </c>
      <c r="B9968" s="2" t="s">
        <v>20485</v>
      </c>
      <c r="C9968" s="2" t="s">
        <v>5</v>
      </c>
      <c r="D9968" s="2" t="s">
        <v>636</v>
      </c>
      <c r="E9968" s="2" t="str">
        <f>"9783030932084"</f>
        <v>9783030932084</v>
      </c>
      <c r="F9968" s="2" t="str">
        <f>"9783030932091"</f>
        <v>9783030932091</v>
      </c>
    </row>
    <row r="9969" spans="1:6" s="3" customFormat="1" ht="29.1" customHeight="1" x14ac:dyDescent="0.25">
      <c r="A9969" s="2" t="s">
        <v>20486</v>
      </c>
      <c r="B9969" s="2" t="s">
        <v>20407</v>
      </c>
      <c r="C9969" s="2" t="s">
        <v>5</v>
      </c>
      <c r="D9969" s="2" t="s">
        <v>2237</v>
      </c>
      <c r="E9969" s="2" t="str">
        <f>"9783662646847"</f>
        <v>9783662646847</v>
      </c>
      <c r="F9969" s="2" t="str">
        <f>"9783662646854"</f>
        <v>9783662646854</v>
      </c>
    </row>
    <row r="9970" spans="1:6" s="3" customFormat="1" ht="29.1" customHeight="1" x14ac:dyDescent="0.25">
      <c r="A9970" s="2" t="s">
        <v>20487</v>
      </c>
      <c r="B9970" s="2" t="s">
        <v>20488</v>
      </c>
      <c r="C9970" s="2" t="s">
        <v>5</v>
      </c>
      <c r="D9970" s="2" t="s">
        <v>3489</v>
      </c>
      <c r="E9970" s="2" t="str">
        <f>"9783662644072"</f>
        <v>9783662644072</v>
      </c>
      <c r="F9970" s="2" t="str">
        <f>"9783662644089"</f>
        <v>9783662644089</v>
      </c>
    </row>
    <row r="9971" spans="1:6" s="3" customFormat="1" ht="29.1" customHeight="1" x14ac:dyDescent="0.25">
      <c r="A9971" s="2" t="s">
        <v>20489</v>
      </c>
      <c r="B9971" s="2" t="s">
        <v>20490</v>
      </c>
      <c r="C9971" s="2" t="s">
        <v>5</v>
      </c>
      <c r="D9971" s="2" t="s">
        <v>347</v>
      </c>
      <c r="E9971" s="2" t="str">
        <f>"9783030892883"</f>
        <v>9783030892883</v>
      </c>
      <c r="F9971" s="2" t="str">
        <f>"9783030892890"</f>
        <v>9783030892890</v>
      </c>
    </row>
    <row r="9972" spans="1:6" s="3" customFormat="1" ht="29.1" customHeight="1" x14ac:dyDescent="0.25">
      <c r="A9972" s="2" t="s">
        <v>20491</v>
      </c>
      <c r="B9972" s="2" t="s">
        <v>20492</v>
      </c>
      <c r="C9972" s="2" t="s">
        <v>5</v>
      </c>
      <c r="D9972" s="2" t="s">
        <v>249</v>
      </c>
      <c r="E9972" s="2" t="str">
        <f>"9783658357634"</f>
        <v>9783658357634</v>
      </c>
      <c r="F9972" s="2" t="str">
        <f>"9783658357641"</f>
        <v>9783658357641</v>
      </c>
    </row>
    <row r="9973" spans="1:6" s="3" customFormat="1" ht="29.1" customHeight="1" x14ac:dyDescent="0.25">
      <c r="A9973" s="2" t="s">
        <v>20493</v>
      </c>
      <c r="B9973" s="2" t="s">
        <v>20494</v>
      </c>
      <c r="C9973" s="2" t="s">
        <v>5</v>
      </c>
      <c r="D9973" s="2" t="s">
        <v>5761</v>
      </c>
      <c r="E9973" s="2" t="str">
        <f>"9783030886615"</f>
        <v>9783030886615</v>
      </c>
      <c r="F9973" s="2" t="str">
        <f>"9783030886622"</f>
        <v>9783030886622</v>
      </c>
    </row>
    <row r="9974" spans="1:6" s="3" customFormat="1" ht="29.1" customHeight="1" x14ac:dyDescent="0.25">
      <c r="A9974" s="2" t="s">
        <v>20495</v>
      </c>
      <c r="B9974" s="2" t="s">
        <v>20496</v>
      </c>
      <c r="C9974" s="2" t="s">
        <v>5</v>
      </c>
      <c r="D9974" s="2" t="s">
        <v>547</v>
      </c>
      <c r="E9974" s="2" t="str">
        <f>"9789811698927"</f>
        <v>9789811698927</v>
      </c>
      <c r="F9974" s="2" t="str">
        <f>"9789811698934"</f>
        <v>9789811698934</v>
      </c>
    </row>
    <row r="9975" spans="1:6" s="3" customFormat="1" ht="29.1" customHeight="1" x14ac:dyDescent="0.25">
      <c r="A9975" s="2" t="s">
        <v>20497</v>
      </c>
      <c r="B9975" s="2" t="s">
        <v>20498</v>
      </c>
      <c r="C9975" s="2" t="s">
        <v>5</v>
      </c>
      <c r="D9975" s="2" t="s">
        <v>6714</v>
      </c>
      <c r="E9975" s="2" t="str">
        <f>"9783030882020"</f>
        <v>9783030882020</v>
      </c>
      <c r="F9975" s="2" t="str">
        <f>"9783030882037"</f>
        <v>9783030882037</v>
      </c>
    </row>
    <row r="9976" spans="1:6" s="3" customFormat="1" ht="29.1" customHeight="1" x14ac:dyDescent="0.25">
      <c r="A9976" s="2" t="s">
        <v>20499</v>
      </c>
      <c r="B9976" s="2" t="s">
        <v>20500</v>
      </c>
      <c r="C9976" s="2" t="s">
        <v>5</v>
      </c>
      <c r="D9976" s="2" t="s">
        <v>302</v>
      </c>
      <c r="E9976" s="2" t="str">
        <f>"9783030868833"</f>
        <v>9783030868833</v>
      </c>
      <c r="F9976" s="2" t="str">
        <f>"9783030868840"</f>
        <v>9783030868840</v>
      </c>
    </row>
    <row r="9977" spans="1:6" s="3" customFormat="1" ht="29.1" customHeight="1" x14ac:dyDescent="0.25">
      <c r="A9977" s="2" t="s">
        <v>20501</v>
      </c>
      <c r="B9977" s="2" t="s">
        <v>20502</v>
      </c>
      <c r="C9977" s="2" t="s">
        <v>5</v>
      </c>
      <c r="D9977" s="2" t="s">
        <v>477</v>
      </c>
      <c r="E9977" s="2" t="str">
        <f>"9789811659829"</f>
        <v>9789811659829</v>
      </c>
      <c r="F9977" s="2" t="str">
        <f>"9789811659836"</f>
        <v>9789811659836</v>
      </c>
    </row>
    <row r="9978" spans="1:6" s="3" customFormat="1" ht="29.1" customHeight="1" x14ac:dyDescent="0.25">
      <c r="A9978" s="2" t="s">
        <v>20503</v>
      </c>
      <c r="B9978" s="2" t="s">
        <v>20504</v>
      </c>
      <c r="C9978" s="2" t="s">
        <v>5</v>
      </c>
      <c r="D9978" s="2" t="s">
        <v>98</v>
      </c>
      <c r="E9978" s="2" t="str">
        <f>"9783031097850"</f>
        <v>9783031097850</v>
      </c>
      <c r="F9978" s="2" t="str">
        <f>"9783031097867"</f>
        <v>9783031097867</v>
      </c>
    </row>
    <row r="9979" spans="1:6" s="3" customFormat="1" ht="29.1" customHeight="1" x14ac:dyDescent="0.25">
      <c r="A9979" s="2" t="s">
        <v>20505</v>
      </c>
      <c r="B9979" s="2" t="s">
        <v>7068</v>
      </c>
      <c r="C9979" s="2" t="s">
        <v>5</v>
      </c>
      <c r="D9979" s="2" t="s">
        <v>12</v>
      </c>
      <c r="E9979" s="2" t="str">
        <f>"9789811647987"</f>
        <v>9789811647987</v>
      </c>
      <c r="F9979" s="2" t="str">
        <f>"9789811647994"</f>
        <v>9789811647994</v>
      </c>
    </row>
    <row r="9980" spans="1:6" s="3" customFormat="1" ht="29.1" customHeight="1" x14ac:dyDescent="0.25">
      <c r="A9980" s="2" t="s">
        <v>20506</v>
      </c>
      <c r="B9980" s="2" t="s">
        <v>20508</v>
      </c>
      <c r="C9980" s="2" t="s">
        <v>5</v>
      </c>
      <c r="D9980" s="2" t="s">
        <v>20507</v>
      </c>
      <c r="E9980" s="2" t="str">
        <f>"9783030820510"</f>
        <v>9783030820510</v>
      </c>
      <c r="F9980" s="2" t="str">
        <f>"9783030820527"</f>
        <v>9783030820527</v>
      </c>
    </row>
    <row r="9981" spans="1:6" s="3" customFormat="1" ht="29.1" customHeight="1" x14ac:dyDescent="0.25">
      <c r="A9981" s="2" t="s">
        <v>20509</v>
      </c>
      <c r="B9981" s="2" t="s">
        <v>20510</v>
      </c>
      <c r="C9981" s="2" t="s">
        <v>5</v>
      </c>
      <c r="D9981" s="2" t="s">
        <v>12</v>
      </c>
      <c r="E9981" s="2" t="str">
        <f>"9783030818807"</f>
        <v>9783030818807</v>
      </c>
      <c r="F9981" s="2" t="str">
        <f>"9783030818814"</f>
        <v>9783030818814</v>
      </c>
    </row>
    <row r="9982" spans="1:6" s="3" customFormat="1" ht="29.1" customHeight="1" x14ac:dyDescent="0.25">
      <c r="A9982" s="2" t="s">
        <v>20511</v>
      </c>
      <c r="B9982" s="2" t="s">
        <v>20512</v>
      </c>
      <c r="C9982" s="2" t="s">
        <v>5</v>
      </c>
      <c r="D9982" s="2" t="s">
        <v>192</v>
      </c>
      <c r="E9982" s="2" t="str">
        <f>"9783030807863"</f>
        <v>9783030807863</v>
      </c>
      <c r="F9982" s="2" t="str">
        <f>"9783030807870"</f>
        <v>9783030807870</v>
      </c>
    </row>
    <row r="9983" spans="1:6" s="3" customFormat="1" ht="29.1" customHeight="1" x14ac:dyDescent="0.25">
      <c r="A9983" s="2" t="s">
        <v>20513</v>
      </c>
      <c r="B9983" s="2" t="s">
        <v>20514</v>
      </c>
      <c r="C9983" s="2" t="s">
        <v>5</v>
      </c>
      <c r="D9983" s="2" t="s">
        <v>12</v>
      </c>
      <c r="E9983" s="2" t="str">
        <f>"9783030807900"</f>
        <v>9783030807900</v>
      </c>
      <c r="F9983" s="2" t="str">
        <f>"9783030807917"</f>
        <v>9783030807917</v>
      </c>
    </row>
    <row r="9984" spans="1:6" s="3" customFormat="1" ht="29.1" customHeight="1" x14ac:dyDescent="0.25">
      <c r="A9984" s="2" t="s">
        <v>20515</v>
      </c>
      <c r="B9984" s="2" t="s">
        <v>20516</v>
      </c>
      <c r="C9984" s="2" t="s">
        <v>5</v>
      </c>
      <c r="D9984" s="2" t="s">
        <v>984</v>
      </c>
      <c r="E9984" s="2" t="str">
        <f>"9783030789343"</f>
        <v>9783030789343</v>
      </c>
      <c r="F9984" s="2" t="str">
        <f>"9783030789350"</f>
        <v>9783030789350</v>
      </c>
    </row>
    <row r="9985" spans="1:6" s="3" customFormat="1" ht="29.1" customHeight="1" x14ac:dyDescent="0.25">
      <c r="A9985" s="2" t="s">
        <v>20517</v>
      </c>
      <c r="B9985" s="2" t="s">
        <v>20518</v>
      </c>
      <c r="C9985" s="2" t="s">
        <v>5</v>
      </c>
      <c r="D9985" s="2" t="s">
        <v>350</v>
      </c>
      <c r="E9985" s="2" t="str">
        <f>"9783030788926"</f>
        <v>9783030788926</v>
      </c>
      <c r="F9985" s="2" t="str">
        <f>"9783030788933"</f>
        <v>9783030788933</v>
      </c>
    </row>
    <row r="9986" spans="1:6" s="3" customFormat="1" ht="29.1" customHeight="1" x14ac:dyDescent="0.25">
      <c r="A9986" s="2" t="s">
        <v>20519</v>
      </c>
      <c r="B9986" s="2" t="s">
        <v>20520</v>
      </c>
      <c r="C9986" s="2" t="s">
        <v>5</v>
      </c>
      <c r="D9986" s="2" t="s">
        <v>712</v>
      </c>
      <c r="E9986" s="2" t="str">
        <f>"9783030787233"</f>
        <v>9783030787233</v>
      </c>
      <c r="F9986" s="2" t="str">
        <f>"9783030787240"</f>
        <v>9783030787240</v>
      </c>
    </row>
    <row r="9987" spans="1:6" s="3" customFormat="1" ht="29.1" customHeight="1" x14ac:dyDescent="0.25">
      <c r="A9987" s="2" t="s">
        <v>20521</v>
      </c>
      <c r="B9987" s="2" t="s">
        <v>20522</v>
      </c>
      <c r="C9987" s="2" t="s">
        <v>5</v>
      </c>
      <c r="D9987" s="2" t="s">
        <v>1585</v>
      </c>
      <c r="E9987" s="2" t="str">
        <f>"9783030783068"</f>
        <v>9783030783068</v>
      </c>
      <c r="F9987" s="2" t="str">
        <f>"9783030783075"</f>
        <v>9783030783075</v>
      </c>
    </row>
    <row r="9988" spans="1:6" s="3" customFormat="1" ht="29.1" customHeight="1" x14ac:dyDescent="0.25">
      <c r="A9988" s="2" t="s">
        <v>20523</v>
      </c>
      <c r="B9988" s="2" t="s">
        <v>20524</v>
      </c>
      <c r="C9988" s="2" t="s">
        <v>5</v>
      </c>
      <c r="D9988" s="2" t="s">
        <v>6511</v>
      </c>
      <c r="E9988" s="2" t="str">
        <f>"9783030771263"</f>
        <v>9783030771263</v>
      </c>
      <c r="F9988" s="2" t="str">
        <f>"9783030771270"</f>
        <v>9783030771270</v>
      </c>
    </row>
    <row r="9989" spans="1:6" s="3" customFormat="1" ht="29.1" customHeight="1" x14ac:dyDescent="0.25">
      <c r="A9989" s="2" t="s">
        <v>20525</v>
      </c>
      <c r="B9989" s="2" t="s">
        <v>20526</v>
      </c>
      <c r="C9989" s="2" t="s">
        <v>5</v>
      </c>
      <c r="D9989" s="2" t="s">
        <v>302</v>
      </c>
      <c r="E9989" s="2" t="str">
        <f>"9783031356636"</f>
        <v>9783031356636</v>
      </c>
      <c r="F9989" s="2" t="str">
        <f>"9783031356643"</f>
        <v>9783031356643</v>
      </c>
    </row>
    <row r="9990" spans="1:6" s="3" customFormat="1" ht="29.1" customHeight="1" x14ac:dyDescent="0.25">
      <c r="A9990" s="2" t="s">
        <v>20527</v>
      </c>
      <c r="B9990" s="2" t="s">
        <v>20528</v>
      </c>
      <c r="C9990" s="2" t="s">
        <v>5</v>
      </c>
      <c r="D9990" s="2" t="s">
        <v>5758</v>
      </c>
      <c r="E9990" s="2" t="str">
        <f>"9783030750305"</f>
        <v>9783030750305</v>
      </c>
      <c r="F9990" s="2" t="str">
        <f>"9783030750312"</f>
        <v>9783030750312</v>
      </c>
    </row>
    <row r="9991" spans="1:6" s="3" customFormat="1" ht="29.1" customHeight="1" x14ac:dyDescent="0.25">
      <c r="A9991" s="2" t="s">
        <v>20529</v>
      </c>
      <c r="B9991" s="2" t="s">
        <v>20530</v>
      </c>
      <c r="C9991" s="2" t="s">
        <v>5</v>
      </c>
      <c r="D9991" s="2" t="s">
        <v>2985</v>
      </c>
      <c r="E9991" s="2" t="str">
        <f>"9783030740313"</f>
        <v>9783030740313</v>
      </c>
      <c r="F9991" s="2" t="str">
        <f>"9783030740320"</f>
        <v>9783030740320</v>
      </c>
    </row>
    <row r="9992" spans="1:6" s="3" customFormat="1" ht="29.1" customHeight="1" x14ac:dyDescent="0.25">
      <c r="A9992" s="2" t="s">
        <v>20531</v>
      </c>
      <c r="B9992" s="2" t="s">
        <v>20532</v>
      </c>
      <c r="C9992" s="2" t="s">
        <v>5</v>
      </c>
      <c r="D9992" s="2" t="s">
        <v>2045</v>
      </c>
      <c r="E9992" s="2" t="str">
        <f>"9783030717773"</f>
        <v>9783030717773</v>
      </c>
      <c r="F9992" s="2" t="str">
        <f>"9783030717780"</f>
        <v>9783030717780</v>
      </c>
    </row>
    <row r="9993" spans="1:6" s="3" customFormat="1" ht="29.1" customHeight="1" x14ac:dyDescent="0.25">
      <c r="A9993" s="2" t="s">
        <v>20533</v>
      </c>
      <c r="B9993" s="2" t="s">
        <v>19750</v>
      </c>
      <c r="C9993" s="2" t="s">
        <v>5</v>
      </c>
      <c r="D9993" s="2" t="s">
        <v>101</v>
      </c>
      <c r="E9993" s="2" t="str">
        <f>"9783662631065"</f>
        <v>9783662631065</v>
      </c>
      <c r="F9993" s="2" t="str">
        <f>"9783662631072"</f>
        <v>9783662631072</v>
      </c>
    </row>
    <row r="9994" spans="1:6" s="3" customFormat="1" ht="29.1" customHeight="1" x14ac:dyDescent="0.25">
      <c r="A9994" s="2" t="s">
        <v>20534</v>
      </c>
      <c r="B9994" s="2" t="s">
        <v>20535</v>
      </c>
      <c r="C9994" s="2" t="s">
        <v>5</v>
      </c>
      <c r="D9994" s="2" t="s">
        <v>37</v>
      </c>
      <c r="E9994" s="2" t="str">
        <f>"9783030708245"</f>
        <v>9783030708245</v>
      </c>
      <c r="F9994" s="2" t="str">
        <f>"9783030708252"</f>
        <v>9783030708252</v>
      </c>
    </row>
    <row r="9995" spans="1:6" s="3" customFormat="1" ht="29.1" customHeight="1" x14ac:dyDescent="0.25">
      <c r="A9995" s="2" t="s">
        <v>20536</v>
      </c>
      <c r="B9995" s="2" t="s">
        <v>20537</v>
      </c>
      <c r="C9995" s="2" t="s">
        <v>5</v>
      </c>
      <c r="D9995" s="2" t="s">
        <v>294</v>
      </c>
      <c r="E9995" s="2" t="str">
        <f>"9783030706913"</f>
        <v>9783030706913</v>
      </c>
      <c r="F9995" s="2" t="str">
        <f>"9783030706920"</f>
        <v>9783030706920</v>
      </c>
    </row>
    <row r="9996" spans="1:6" s="3" customFormat="1" ht="29.1" customHeight="1" x14ac:dyDescent="0.25">
      <c r="A9996" s="2" t="s">
        <v>20538</v>
      </c>
      <c r="B9996" s="2" t="s">
        <v>20539</v>
      </c>
      <c r="C9996" s="2" t="s">
        <v>5</v>
      </c>
      <c r="D9996" s="2" t="s">
        <v>98</v>
      </c>
      <c r="E9996" s="2" t="str">
        <f>"9783030705152"</f>
        <v>9783030705152</v>
      </c>
      <c r="F9996" s="2" t="str">
        <f>"9783030705169"</f>
        <v>9783030705169</v>
      </c>
    </row>
    <row r="9997" spans="1:6" s="3" customFormat="1" ht="29.1" customHeight="1" x14ac:dyDescent="0.25">
      <c r="A9997" s="2" t="s">
        <v>20540</v>
      </c>
      <c r="B9997" s="2" t="s">
        <v>20541</v>
      </c>
      <c r="C9997" s="2" t="s">
        <v>5</v>
      </c>
      <c r="D9997" s="2" t="s">
        <v>6511</v>
      </c>
      <c r="E9997" s="2" t="str">
        <f>"9789811606793"</f>
        <v>9789811606793</v>
      </c>
      <c r="F9997" s="2" t="str">
        <f>"9789811606809"</f>
        <v>9789811606809</v>
      </c>
    </row>
    <row r="9998" spans="1:6" s="3" customFormat="1" ht="29.1" customHeight="1" x14ac:dyDescent="0.25">
      <c r="A9998" s="2" t="s">
        <v>20542</v>
      </c>
      <c r="B9998" s="2" t="s">
        <v>20543</v>
      </c>
      <c r="C9998" s="2" t="s">
        <v>5</v>
      </c>
      <c r="D9998" s="2" t="s">
        <v>1046</v>
      </c>
      <c r="E9998" s="2" t="str">
        <f>"9789811680854"</f>
        <v>9789811680854</v>
      </c>
      <c r="F9998" s="2" t="str">
        <f>"9789811680861"</f>
        <v>9789811680861</v>
      </c>
    </row>
    <row r="9999" spans="1:6" s="3" customFormat="1" ht="29.1" customHeight="1" x14ac:dyDescent="0.25">
      <c r="A9999" s="2" t="s">
        <v>20544</v>
      </c>
      <c r="B9999" s="2" t="s">
        <v>20545</v>
      </c>
      <c r="C9999" s="2" t="s">
        <v>5</v>
      </c>
      <c r="D9999" s="2" t="s">
        <v>95</v>
      </c>
      <c r="E9999" s="2" t="str">
        <f>"9789811668104"</f>
        <v>9789811668104</v>
      </c>
      <c r="F9999" s="2" t="str">
        <f>"9789811668111"</f>
        <v>9789811668111</v>
      </c>
    </row>
    <row r="10000" spans="1:6" s="3" customFormat="1" ht="29.1" customHeight="1" x14ac:dyDescent="0.25">
      <c r="A10000" s="2" t="s">
        <v>20546</v>
      </c>
      <c r="B10000" s="2" t="s">
        <v>20547</v>
      </c>
      <c r="C10000" s="2" t="s">
        <v>5</v>
      </c>
      <c r="D10000" s="2" t="s">
        <v>302</v>
      </c>
      <c r="E10000" s="2" t="str">
        <f>"9783030684099"</f>
        <v>9783030684099</v>
      </c>
      <c r="F10000" s="2" t="str">
        <f>"9783030684105"</f>
        <v>9783030684105</v>
      </c>
    </row>
    <row r="10001" spans="1:6" s="3" customFormat="1" ht="29.1" customHeight="1" x14ac:dyDescent="0.25">
      <c r="A10001" s="2" t="s">
        <v>20548</v>
      </c>
      <c r="B10001" s="2" t="s">
        <v>20549</v>
      </c>
      <c r="C10001" s="2" t="s">
        <v>5</v>
      </c>
      <c r="D10001" s="2" t="s">
        <v>553</v>
      </c>
      <c r="E10001" s="2" t="str">
        <f>"9783030832544"</f>
        <v>9783030832544</v>
      </c>
      <c r="F10001" s="2" t="str">
        <f>"9783030832551"</f>
        <v>9783030832551</v>
      </c>
    </row>
    <row r="10002" spans="1:6" s="3" customFormat="1" ht="29.1" customHeight="1" x14ac:dyDescent="0.25">
      <c r="A10002" s="2" t="s">
        <v>20550</v>
      </c>
      <c r="B10002" s="2" t="s">
        <v>20551</v>
      </c>
      <c r="C10002" s="2" t="s">
        <v>5</v>
      </c>
      <c r="D10002" s="2" t="s">
        <v>1585</v>
      </c>
      <c r="E10002" s="2" t="str">
        <f>"9783030668907"</f>
        <v>9783030668907</v>
      </c>
      <c r="F10002" s="2" t="str">
        <f>"9783030668914"</f>
        <v>9783030668914</v>
      </c>
    </row>
    <row r="10003" spans="1:6" s="3" customFormat="1" ht="29.1" customHeight="1" x14ac:dyDescent="0.25">
      <c r="A10003" s="2" t="s">
        <v>20552</v>
      </c>
      <c r="B10003" s="2" t="s">
        <v>20553</v>
      </c>
      <c r="C10003" s="2" t="s">
        <v>5</v>
      </c>
      <c r="D10003" s="2" t="s">
        <v>479</v>
      </c>
      <c r="E10003" s="2" t="str">
        <f>"9783030665296"</f>
        <v>9783030665296</v>
      </c>
      <c r="F10003" s="2" t="str">
        <f>"9783030665302"</f>
        <v>9783030665302</v>
      </c>
    </row>
    <row r="10004" spans="1:6" s="3" customFormat="1" ht="29.1" customHeight="1" x14ac:dyDescent="0.25">
      <c r="A10004" s="2" t="s">
        <v>20554</v>
      </c>
      <c r="B10004" s="2" t="s">
        <v>20555</v>
      </c>
      <c r="C10004" s="2" t="s">
        <v>5</v>
      </c>
      <c r="D10004" s="2" t="s">
        <v>2391</v>
      </c>
      <c r="E10004" s="2" t="str">
        <f>"9783030657840"</f>
        <v>9783030657840</v>
      </c>
      <c r="F10004" s="2" t="str">
        <f>"9783030657857"</f>
        <v>9783030657857</v>
      </c>
    </row>
    <row r="10005" spans="1:6" s="3" customFormat="1" ht="29.1" customHeight="1" x14ac:dyDescent="0.25">
      <c r="A10005" s="2" t="s">
        <v>20556</v>
      </c>
      <c r="B10005" s="2" t="s">
        <v>20557</v>
      </c>
      <c r="C10005" s="2" t="s">
        <v>5</v>
      </c>
      <c r="D10005" s="2" t="s">
        <v>636</v>
      </c>
      <c r="E10005" s="2" t="str">
        <f>"9783662668955"</f>
        <v>9783662668955</v>
      </c>
      <c r="F10005" s="2" t="str">
        <f>"9783662668962"</f>
        <v>9783662668962</v>
      </c>
    </row>
    <row r="10006" spans="1:6" s="3" customFormat="1" ht="29.1" customHeight="1" x14ac:dyDescent="0.25">
      <c r="A10006" s="2" t="s">
        <v>20558</v>
      </c>
      <c r="B10006" s="2" t="s">
        <v>20559</v>
      </c>
      <c r="C10006" s="2" t="s">
        <v>5</v>
      </c>
      <c r="D10006" s="2" t="s">
        <v>5118</v>
      </c>
      <c r="E10006" s="2" t="str">
        <f>"9783030645366"</f>
        <v>9783030645366</v>
      </c>
      <c r="F10006" s="2" t="str">
        <f>"9783030645373"</f>
        <v>9783030645373</v>
      </c>
    </row>
    <row r="10007" spans="1:6" s="3" customFormat="1" ht="29.1" customHeight="1" x14ac:dyDescent="0.25">
      <c r="A10007" s="2" t="s">
        <v>20560</v>
      </c>
      <c r="B10007" s="2" t="s">
        <v>20561</v>
      </c>
      <c r="C10007" s="2" t="s">
        <v>5</v>
      </c>
      <c r="D10007" s="2" t="s">
        <v>3489</v>
      </c>
      <c r="E10007" s="2" t="str">
        <f>"9783031058622"</f>
        <v>9783031058622</v>
      </c>
      <c r="F10007" s="2" t="str">
        <f>"9783031058639"</f>
        <v>9783031058639</v>
      </c>
    </row>
    <row r="10008" spans="1:6" s="3" customFormat="1" ht="29.1" customHeight="1" x14ac:dyDescent="0.25">
      <c r="A10008" s="2" t="s">
        <v>20562</v>
      </c>
      <c r="B10008" s="2" t="s">
        <v>20563</v>
      </c>
      <c r="C10008" s="2" t="s">
        <v>5</v>
      </c>
      <c r="D10008" s="2" t="s">
        <v>477</v>
      </c>
      <c r="E10008" s="2" t="str">
        <f>"9789813343993"</f>
        <v>9789813343993</v>
      </c>
      <c r="F10008" s="2" t="str">
        <f>"9789813344006"</f>
        <v>9789813344006</v>
      </c>
    </row>
    <row r="10009" spans="1:6" s="3" customFormat="1" ht="29.1" customHeight="1" x14ac:dyDescent="0.25">
      <c r="A10009" s="2" t="s">
        <v>20564</v>
      </c>
      <c r="B10009" s="2" t="s">
        <v>20565</v>
      </c>
      <c r="C10009" s="2" t="s">
        <v>5</v>
      </c>
      <c r="D10009" s="2" t="s">
        <v>86</v>
      </c>
      <c r="E10009" s="2" t="str">
        <f>"9783030632656"</f>
        <v>9783030632656</v>
      </c>
      <c r="F10009" s="2" t="str">
        <f>"9783030632663"</f>
        <v>9783030632663</v>
      </c>
    </row>
    <row r="10010" spans="1:6" s="3" customFormat="1" ht="29.1" customHeight="1" x14ac:dyDescent="0.25">
      <c r="A10010" s="2" t="s">
        <v>6500</v>
      </c>
      <c r="B10010" s="2" t="s">
        <v>20566</v>
      </c>
      <c r="C10010" s="2" t="s">
        <v>5</v>
      </c>
      <c r="D10010" s="2" t="s">
        <v>1071</v>
      </c>
      <c r="E10010" s="2" t="str">
        <f>"9783030632335"</f>
        <v>9783030632335</v>
      </c>
      <c r="F10010" s="2" t="str">
        <f>"9783030632342"</f>
        <v>9783030632342</v>
      </c>
    </row>
    <row r="10011" spans="1:6" s="3" customFormat="1" ht="29.1" customHeight="1" x14ac:dyDescent="0.25">
      <c r="A10011" s="2" t="s">
        <v>20567</v>
      </c>
      <c r="B10011" s="2" t="s">
        <v>20568</v>
      </c>
      <c r="C10011" s="2" t="s">
        <v>5</v>
      </c>
      <c r="D10011" s="2" t="s">
        <v>294</v>
      </c>
      <c r="E10011" s="2" t="str">
        <f>"9783658321055"</f>
        <v>9783658321055</v>
      </c>
      <c r="F10011" s="2" t="str">
        <f>"9783658321062"</f>
        <v>9783658321062</v>
      </c>
    </row>
    <row r="10012" spans="1:6" s="3" customFormat="1" ht="29.1" customHeight="1" x14ac:dyDescent="0.25">
      <c r="A10012" s="2" t="s">
        <v>20569</v>
      </c>
      <c r="B10012" s="2" t="s">
        <v>20570</v>
      </c>
      <c r="C10012" s="2" t="s">
        <v>5</v>
      </c>
      <c r="D10012" s="2" t="s">
        <v>487</v>
      </c>
      <c r="E10012" s="2" t="str">
        <f>"9783030621353"</f>
        <v>9783030621353</v>
      </c>
      <c r="F10012" s="2" t="str">
        <f>"9783030621360"</f>
        <v>9783030621360</v>
      </c>
    </row>
    <row r="10013" spans="1:6" s="3" customFormat="1" ht="29.1" customHeight="1" x14ac:dyDescent="0.25">
      <c r="A10013" s="2" t="s">
        <v>20571</v>
      </c>
      <c r="B10013" s="2" t="s">
        <v>20572</v>
      </c>
      <c r="C10013" s="2" t="s">
        <v>5</v>
      </c>
      <c r="D10013" s="2" t="s">
        <v>2749</v>
      </c>
      <c r="E10013" s="2" t="str">
        <f>"9783030615697"</f>
        <v>9783030615697</v>
      </c>
      <c r="F10013" s="2" t="str">
        <f>"9783030615703"</f>
        <v>9783030615703</v>
      </c>
    </row>
    <row r="10014" spans="1:6" s="3" customFormat="1" ht="29.1" customHeight="1" x14ac:dyDescent="0.25">
      <c r="A10014" s="2" t="s">
        <v>20573</v>
      </c>
      <c r="B10014" s="2" t="s">
        <v>20574</v>
      </c>
      <c r="C10014" s="2" t="s">
        <v>5</v>
      </c>
      <c r="D10014" s="2" t="s">
        <v>183</v>
      </c>
      <c r="E10014" s="2" t="str">
        <f>"9783658319939"</f>
        <v>9783658319939</v>
      </c>
      <c r="F10014" s="2" t="str">
        <f>"9783658319946"</f>
        <v>9783658319946</v>
      </c>
    </row>
    <row r="10015" spans="1:6" s="3" customFormat="1" ht="29.1" customHeight="1" x14ac:dyDescent="0.25">
      <c r="A10015" s="2" t="s">
        <v>20575</v>
      </c>
      <c r="B10015" s="2" t="s">
        <v>20576</v>
      </c>
      <c r="C10015" s="2" t="s">
        <v>5</v>
      </c>
      <c r="D10015" s="2" t="s">
        <v>791</v>
      </c>
      <c r="E10015" s="2" t="str">
        <f>"9783030613143"</f>
        <v>9783030613143</v>
      </c>
      <c r="F10015" s="2" t="str">
        <f>"9783030613150"</f>
        <v>9783030613150</v>
      </c>
    </row>
    <row r="10016" spans="1:6" s="3" customFormat="1" ht="29.1" customHeight="1" x14ac:dyDescent="0.25">
      <c r="A10016" s="2" t="s">
        <v>20577</v>
      </c>
      <c r="B10016" s="2" t="s">
        <v>13710</v>
      </c>
      <c r="C10016" s="2" t="s">
        <v>5</v>
      </c>
      <c r="D10016" s="2" t="s">
        <v>37</v>
      </c>
      <c r="E10016" s="2" t="str">
        <f>"9789811916038"</f>
        <v>9789811916038</v>
      </c>
      <c r="F10016" s="2" t="str">
        <f>"9789811916045"</f>
        <v>9789811916045</v>
      </c>
    </row>
    <row r="10017" spans="1:6" s="3" customFormat="1" ht="29.1" customHeight="1" x14ac:dyDescent="0.25">
      <c r="A10017" s="2" t="s">
        <v>20578</v>
      </c>
      <c r="B10017" s="2" t="s">
        <v>20579</v>
      </c>
      <c r="C10017" s="2" t="s">
        <v>5</v>
      </c>
      <c r="D10017" s="2" t="s">
        <v>37</v>
      </c>
      <c r="E10017" s="2" t="str">
        <f>"9789811696398"</f>
        <v>9789811696398</v>
      </c>
      <c r="F10017" s="2" t="str">
        <f>"9789811696404"</f>
        <v>9789811696404</v>
      </c>
    </row>
    <row r="10018" spans="1:6" s="3" customFormat="1" ht="29.1" customHeight="1" x14ac:dyDescent="0.25">
      <c r="A10018" s="2" t="s">
        <v>20580</v>
      </c>
      <c r="B10018" s="2" t="s">
        <v>20581</v>
      </c>
      <c r="C10018" s="2" t="s">
        <v>5</v>
      </c>
      <c r="D10018" s="2" t="s">
        <v>16423</v>
      </c>
      <c r="E10018" s="2" t="str">
        <f>"9789811583223"</f>
        <v>9789811583223</v>
      </c>
      <c r="F10018" s="2" t="str">
        <f>"9789811583230"</f>
        <v>9789811583230</v>
      </c>
    </row>
    <row r="10019" spans="1:6" s="3" customFormat="1" ht="29.1" customHeight="1" x14ac:dyDescent="0.25">
      <c r="A10019" s="2" t="s">
        <v>20582</v>
      </c>
      <c r="B10019" s="2" t="s">
        <v>20583</v>
      </c>
      <c r="C10019" s="2" t="s">
        <v>5</v>
      </c>
      <c r="D10019" s="2" t="s">
        <v>33</v>
      </c>
      <c r="E10019" s="2" t="str">
        <f>"9783662669273"</f>
        <v>9783662669273</v>
      </c>
      <c r="F10019" s="2" t="str">
        <f>"9783662669280"</f>
        <v>9783662669280</v>
      </c>
    </row>
    <row r="10020" spans="1:6" s="3" customFormat="1" ht="29.1" customHeight="1" x14ac:dyDescent="0.25">
      <c r="A10020" s="2" t="s">
        <v>20584</v>
      </c>
      <c r="B10020" s="2" t="s">
        <v>20585</v>
      </c>
      <c r="C10020" s="2" t="s">
        <v>5</v>
      </c>
      <c r="D10020" s="2" t="s">
        <v>712</v>
      </c>
      <c r="E10020" s="2" t="str">
        <f>"9783030582777"</f>
        <v>9783030582777</v>
      </c>
      <c r="F10020" s="2" t="str">
        <f>"9783030582784"</f>
        <v>9783030582784</v>
      </c>
    </row>
    <row r="10021" spans="1:6" s="3" customFormat="1" ht="29.1" customHeight="1" x14ac:dyDescent="0.25">
      <c r="A10021" s="2" t="s">
        <v>20586</v>
      </c>
      <c r="B10021" s="2" t="s">
        <v>20587</v>
      </c>
      <c r="C10021" s="2" t="s">
        <v>5</v>
      </c>
      <c r="D10021" s="2" t="s">
        <v>353</v>
      </c>
      <c r="E10021" s="2" t="str">
        <f>"9783030611590"</f>
        <v>9783030611590</v>
      </c>
      <c r="F10021" s="2" t="str">
        <f>"9783030611606"</f>
        <v>9783030611606</v>
      </c>
    </row>
    <row r="10022" spans="1:6" s="3" customFormat="1" ht="29.1" customHeight="1" x14ac:dyDescent="0.25">
      <c r="A10022" s="2" t="s">
        <v>20588</v>
      </c>
      <c r="B10022" s="2" t="s">
        <v>20589</v>
      </c>
      <c r="C10022" s="2" t="s">
        <v>5</v>
      </c>
      <c r="D10022" s="2" t="s">
        <v>9</v>
      </c>
      <c r="E10022" s="2" t="str">
        <f>"9783658314880"</f>
        <v>9783658314880</v>
      </c>
      <c r="F10022" s="2" t="str">
        <f>"9783658314897"</f>
        <v>9783658314897</v>
      </c>
    </row>
    <row r="10023" spans="1:6" s="3" customFormat="1" ht="29.1" customHeight="1" x14ac:dyDescent="0.25">
      <c r="A10023" s="2" t="s">
        <v>20590</v>
      </c>
      <c r="B10023" s="2" t="s">
        <v>19821</v>
      </c>
      <c r="C10023" s="2" t="s">
        <v>5</v>
      </c>
      <c r="D10023" s="2" t="s">
        <v>553</v>
      </c>
      <c r="E10023" s="2" t="str">
        <f>"9783030563158"</f>
        <v>9783030563158</v>
      </c>
      <c r="F10023" s="2" t="str">
        <f>"9783030563165"</f>
        <v>9783030563165</v>
      </c>
    </row>
    <row r="10024" spans="1:6" s="3" customFormat="1" ht="29.1" customHeight="1" x14ac:dyDescent="0.25">
      <c r="A10024" s="2" t="s">
        <v>20591</v>
      </c>
      <c r="B10024" s="2" t="s">
        <v>20592</v>
      </c>
      <c r="C10024" s="2" t="s">
        <v>5</v>
      </c>
      <c r="D10024" s="2" t="s">
        <v>2260</v>
      </c>
      <c r="E10024" s="2" t="str">
        <f>"9783030558772"</f>
        <v>9783030558772</v>
      </c>
      <c r="F10024" s="2" t="str">
        <f>"9783030558789"</f>
        <v>9783030558789</v>
      </c>
    </row>
    <row r="10025" spans="1:6" s="3" customFormat="1" ht="29.1" customHeight="1" x14ac:dyDescent="0.25">
      <c r="A10025" s="2" t="s">
        <v>20593</v>
      </c>
      <c r="B10025" s="2" t="s">
        <v>20594</v>
      </c>
      <c r="C10025" s="2" t="s">
        <v>5</v>
      </c>
      <c r="D10025" s="2" t="s">
        <v>7734</v>
      </c>
      <c r="E10025" s="2" t="str">
        <f>"9783030555665"</f>
        <v>9783030555665</v>
      </c>
      <c r="F10025" s="2" t="str">
        <f>"9783030555672"</f>
        <v>9783030555672</v>
      </c>
    </row>
    <row r="10026" spans="1:6" s="3" customFormat="1" ht="29.1" customHeight="1" x14ac:dyDescent="0.25">
      <c r="A10026" s="2" t="s">
        <v>20595</v>
      </c>
      <c r="B10026" s="2" t="s">
        <v>20596</v>
      </c>
      <c r="C10026" s="2" t="s">
        <v>5</v>
      </c>
      <c r="D10026" s="2" t="s">
        <v>2048</v>
      </c>
      <c r="E10026" s="2" t="str">
        <f>"9783030553999"</f>
        <v>9783030553999</v>
      </c>
      <c r="F10026" s="2" t="str">
        <f>"9783030554002"</f>
        <v>9783030554002</v>
      </c>
    </row>
    <row r="10027" spans="1:6" s="3" customFormat="1" ht="29.1" customHeight="1" x14ac:dyDescent="0.25">
      <c r="A10027" s="2" t="s">
        <v>20597</v>
      </c>
      <c r="B10027" s="2" t="s">
        <v>20598</v>
      </c>
      <c r="C10027" s="2" t="s">
        <v>5</v>
      </c>
      <c r="D10027" s="2" t="s">
        <v>72</v>
      </c>
      <c r="E10027" s="2" t="str">
        <f>"9783030546175"</f>
        <v>9783030546175</v>
      </c>
      <c r="F10027" s="2" t="str">
        <f>"9783030546182"</f>
        <v>9783030546182</v>
      </c>
    </row>
    <row r="10028" spans="1:6" s="3" customFormat="1" ht="29.1" customHeight="1" x14ac:dyDescent="0.25">
      <c r="A10028" s="2" t="s">
        <v>20599</v>
      </c>
      <c r="B10028" s="2" t="s">
        <v>20600</v>
      </c>
      <c r="C10028" s="2" t="s">
        <v>5</v>
      </c>
      <c r="D10028" s="2" t="s">
        <v>165</v>
      </c>
      <c r="E10028" s="2" t="str">
        <f>"9789811556319"</f>
        <v>9789811556319</v>
      </c>
      <c r="F10028" s="2" t="str">
        <f>"9789811556326"</f>
        <v>9789811556326</v>
      </c>
    </row>
    <row r="10029" spans="1:6" s="3" customFormat="1" ht="29.1" customHeight="1" x14ac:dyDescent="0.25">
      <c r="A10029" s="2" t="s">
        <v>20601</v>
      </c>
      <c r="B10029" s="2" t="s">
        <v>20603</v>
      </c>
      <c r="C10029" s="2" t="s">
        <v>5</v>
      </c>
      <c r="D10029" s="2" t="s">
        <v>20602</v>
      </c>
      <c r="E10029" s="2" t="str">
        <f>"9789811555725"</f>
        <v>9789811555725</v>
      </c>
      <c r="F10029" s="2" t="str">
        <f>"9789811555732"</f>
        <v>9789811555732</v>
      </c>
    </row>
    <row r="10030" spans="1:6" s="3" customFormat="1" ht="29.1" customHeight="1" x14ac:dyDescent="0.25">
      <c r="A10030" s="2" t="s">
        <v>20604</v>
      </c>
      <c r="B10030" s="2" t="s">
        <v>20605</v>
      </c>
      <c r="C10030" s="2" t="s">
        <v>5</v>
      </c>
      <c r="D10030" s="2" t="s">
        <v>75</v>
      </c>
      <c r="E10030" s="2" t="str">
        <f>"9783030803018"</f>
        <v>9783030803018</v>
      </c>
      <c r="F10030" s="2" t="str">
        <f>"9783030803025"</f>
        <v>9783030803025</v>
      </c>
    </row>
    <row r="10031" spans="1:6" s="3" customFormat="1" ht="29.1" customHeight="1" x14ac:dyDescent="0.25">
      <c r="A10031" s="2" t="s">
        <v>20606</v>
      </c>
      <c r="B10031" s="2" t="s">
        <v>20607</v>
      </c>
      <c r="C10031" s="2" t="s">
        <v>5</v>
      </c>
      <c r="D10031" s="2" t="s">
        <v>8343</v>
      </c>
      <c r="E10031" s="2" t="str">
        <f>"9783030477004"</f>
        <v>9783030477004</v>
      </c>
      <c r="F10031" s="2" t="str">
        <f>"9783030477011"</f>
        <v>9783030477011</v>
      </c>
    </row>
    <row r="10032" spans="1:6" s="3" customFormat="1" ht="29.1" customHeight="1" x14ac:dyDescent="0.25">
      <c r="A10032" s="2" t="s">
        <v>20608</v>
      </c>
      <c r="B10032" s="2" t="s">
        <v>20609</v>
      </c>
      <c r="C10032" s="2" t="s">
        <v>5</v>
      </c>
      <c r="D10032" s="2" t="s">
        <v>11063</v>
      </c>
      <c r="E10032" s="2" t="str">
        <f>"9783030474867"</f>
        <v>9783030474867</v>
      </c>
      <c r="F10032" s="2" t="str">
        <f>"9783030474874"</f>
        <v>9783030474874</v>
      </c>
    </row>
    <row r="10033" spans="1:6" s="3" customFormat="1" ht="29.1" customHeight="1" x14ac:dyDescent="0.25">
      <c r="A10033" s="2" t="s">
        <v>20610</v>
      </c>
      <c r="B10033" s="2" t="s">
        <v>20611</v>
      </c>
      <c r="C10033" s="2" t="s">
        <v>5</v>
      </c>
      <c r="D10033" s="2" t="s">
        <v>5118</v>
      </c>
      <c r="E10033" s="2" t="str">
        <f>"9783030464882"</f>
        <v>9783030464882</v>
      </c>
      <c r="F10033" s="2" t="str">
        <f>"9783030464899"</f>
        <v>9783030464899</v>
      </c>
    </row>
    <row r="10034" spans="1:6" s="3" customFormat="1" ht="29.1" customHeight="1" x14ac:dyDescent="0.25">
      <c r="A10034" s="2" t="s">
        <v>20612</v>
      </c>
      <c r="B10034" s="2" t="s">
        <v>20613</v>
      </c>
      <c r="C10034" s="2" t="s">
        <v>5</v>
      </c>
      <c r="D10034" s="2" t="s">
        <v>547</v>
      </c>
      <c r="E10034" s="2" t="str">
        <f>"9783030458423"</f>
        <v>9783030458423</v>
      </c>
      <c r="F10034" s="2" t="str">
        <f>"9783030458430"</f>
        <v>9783030458430</v>
      </c>
    </row>
    <row r="10035" spans="1:6" s="3" customFormat="1" ht="29.1" customHeight="1" x14ac:dyDescent="0.25">
      <c r="A10035" s="2" t="s">
        <v>20614</v>
      </c>
      <c r="B10035" s="2" t="s">
        <v>20615</v>
      </c>
      <c r="C10035" s="2" t="s">
        <v>5</v>
      </c>
      <c r="D10035" s="2" t="s">
        <v>12</v>
      </c>
      <c r="E10035" s="2" t="str">
        <f>"9783662615218"</f>
        <v>9783662615218</v>
      </c>
      <c r="F10035" s="2" t="str">
        <f>"9783662615225"</f>
        <v>9783662615225</v>
      </c>
    </row>
    <row r="10036" spans="1:6" s="3" customFormat="1" ht="29.1" customHeight="1" x14ac:dyDescent="0.25">
      <c r="A10036" s="2" t="s">
        <v>15413</v>
      </c>
      <c r="B10036" s="2" t="s">
        <v>20616</v>
      </c>
      <c r="C10036" s="2" t="s">
        <v>5</v>
      </c>
      <c r="D10036" s="2" t="s">
        <v>4019</v>
      </c>
      <c r="E10036" s="2" t="str">
        <f>"9783030446161"</f>
        <v>9783030446161</v>
      </c>
      <c r="F10036" s="2" t="str">
        <f>"9783030446178"</f>
        <v>9783030446178</v>
      </c>
    </row>
    <row r="10037" spans="1:6" s="3" customFormat="1" ht="29.1" customHeight="1" x14ac:dyDescent="0.25">
      <c r="A10037" s="2" t="s">
        <v>20617</v>
      </c>
      <c r="B10037" s="2" t="s">
        <v>20618</v>
      </c>
      <c r="C10037" s="2" t="s">
        <v>5</v>
      </c>
      <c r="D10037" s="2" t="s">
        <v>712</v>
      </c>
      <c r="E10037" s="2" t="str">
        <f>"9783030428549"</f>
        <v>9783030428549</v>
      </c>
      <c r="F10037" s="2" t="str">
        <f>"9783030428556"</f>
        <v>9783030428556</v>
      </c>
    </row>
    <row r="10038" spans="1:6" s="3" customFormat="1" ht="29.1" customHeight="1" x14ac:dyDescent="0.25">
      <c r="A10038" s="2" t="s">
        <v>20619</v>
      </c>
      <c r="B10038" s="2" t="s">
        <v>6927</v>
      </c>
      <c r="C10038" s="2" t="s">
        <v>5</v>
      </c>
      <c r="D10038" s="2" t="s">
        <v>347</v>
      </c>
      <c r="E10038" s="2" t="str">
        <f>"9789811529887"</f>
        <v>9789811529887</v>
      </c>
      <c r="F10038" s="2" t="str">
        <f>"9789811529894"</f>
        <v>9789811529894</v>
      </c>
    </row>
    <row r="10039" spans="1:6" s="3" customFormat="1" ht="29.1" customHeight="1" x14ac:dyDescent="0.25">
      <c r="A10039" s="2" t="s">
        <v>20620</v>
      </c>
      <c r="B10039" s="2" t="s">
        <v>20621</v>
      </c>
      <c r="C10039" s="2" t="s">
        <v>5</v>
      </c>
      <c r="D10039" s="2" t="s">
        <v>78</v>
      </c>
      <c r="E10039" s="2" t="str">
        <f>"9783031123498"</f>
        <v>9783031123498</v>
      </c>
      <c r="F10039" s="2" t="str">
        <f>"9783031123504"</f>
        <v>9783031123504</v>
      </c>
    </row>
    <row r="10040" spans="1:6" s="3" customFormat="1" ht="29.1" customHeight="1" x14ac:dyDescent="0.25">
      <c r="A10040" s="2" t="s">
        <v>20622</v>
      </c>
      <c r="B10040" s="2" t="s">
        <v>20623</v>
      </c>
      <c r="C10040" s="2" t="s">
        <v>5</v>
      </c>
      <c r="D10040" s="2" t="s">
        <v>1097</v>
      </c>
      <c r="E10040" s="2" t="str">
        <f>"9783030382803"</f>
        <v>9783030382803</v>
      </c>
      <c r="F10040" s="2" t="str">
        <f>"9783030382810"</f>
        <v>9783030382810</v>
      </c>
    </row>
    <row r="10041" spans="1:6" s="3" customFormat="1" ht="29.1" customHeight="1" x14ac:dyDescent="0.25">
      <c r="A10041" s="2" t="s">
        <v>20624</v>
      </c>
      <c r="B10041" s="2" t="s">
        <v>20625</v>
      </c>
      <c r="C10041" s="2" t="s">
        <v>5</v>
      </c>
      <c r="D10041" s="2" t="s">
        <v>4019</v>
      </c>
      <c r="E10041" s="2" t="str">
        <f>"9789811516276"</f>
        <v>9789811516276</v>
      </c>
      <c r="F10041" s="2" t="str">
        <f>"9789811516283"</f>
        <v>9789811516283</v>
      </c>
    </row>
    <row r="10042" spans="1:6" s="3" customFormat="1" ht="29.1" customHeight="1" x14ac:dyDescent="0.25">
      <c r="A10042" s="2" t="s">
        <v>20626</v>
      </c>
      <c r="B10042" s="2" t="s">
        <v>20627</v>
      </c>
      <c r="C10042" s="2" t="s">
        <v>5</v>
      </c>
      <c r="D10042" s="2" t="s">
        <v>12513</v>
      </c>
      <c r="E10042" s="2" t="str">
        <f>"9783030359171"</f>
        <v>9783030359171</v>
      </c>
      <c r="F10042" s="2" t="str">
        <f>"9783030359188"</f>
        <v>9783030359188</v>
      </c>
    </row>
    <row r="10043" spans="1:6" s="3" customFormat="1" ht="29.1" customHeight="1" x14ac:dyDescent="0.25">
      <c r="A10043" s="2" t="s">
        <v>20628</v>
      </c>
      <c r="B10043" s="2" t="s">
        <v>20629</v>
      </c>
      <c r="C10043" s="2" t="s">
        <v>5</v>
      </c>
      <c r="D10043" s="2" t="s">
        <v>2168</v>
      </c>
      <c r="E10043" s="2" t="str">
        <f>"9789819923656"</f>
        <v>9789819923656</v>
      </c>
      <c r="F10043" s="2" t="str">
        <f>"9789819923663"</f>
        <v>9789819923663</v>
      </c>
    </row>
    <row r="10044" spans="1:6" s="3" customFormat="1" ht="29.1" customHeight="1" x14ac:dyDescent="0.25">
      <c r="A10044" s="2" t="s">
        <v>20630</v>
      </c>
      <c r="B10044" s="2" t="s">
        <v>20631</v>
      </c>
      <c r="C10044" s="2" t="s">
        <v>5</v>
      </c>
      <c r="D10044" s="2" t="s">
        <v>1278</v>
      </c>
      <c r="E10044" s="2" t="str">
        <f>"9789811511844"</f>
        <v>9789811511844</v>
      </c>
      <c r="F10044" s="2" t="str">
        <f>"9789811511851"</f>
        <v>9789811511851</v>
      </c>
    </row>
    <row r="10045" spans="1:6" s="3" customFormat="1" ht="29.1" customHeight="1" x14ac:dyDescent="0.25">
      <c r="A10045" s="2" t="s">
        <v>20632</v>
      </c>
      <c r="B10045" s="2" t="s">
        <v>16244</v>
      </c>
      <c r="C10045" s="2" t="s">
        <v>5</v>
      </c>
      <c r="D10045" s="2" t="s">
        <v>1189</v>
      </c>
      <c r="E10045" s="2" t="str">
        <f>"9783030329877"</f>
        <v>9783030329877</v>
      </c>
      <c r="F10045" s="2" t="str">
        <f>"9783030329884"</f>
        <v>9783030329884</v>
      </c>
    </row>
    <row r="10046" spans="1:6" s="3" customFormat="1" ht="29.1" customHeight="1" x14ac:dyDescent="0.25">
      <c r="A10046" s="2" t="s">
        <v>20633</v>
      </c>
      <c r="B10046" s="2" t="s">
        <v>20634</v>
      </c>
      <c r="C10046" s="2" t="s">
        <v>5</v>
      </c>
      <c r="D10046" s="2" t="s">
        <v>712</v>
      </c>
      <c r="E10046" s="2" t="str">
        <f>"9783658280079"</f>
        <v>9783658280079</v>
      </c>
      <c r="F10046" s="2" t="str">
        <f>"9783658280086"</f>
        <v>9783658280086</v>
      </c>
    </row>
    <row r="10047" spans="1:6" s="3" customFormat="1" ht="29.1" customHeight="1" x14ac:dyDescent="0.25">
      <c r="A10047" s="2" t="s">
        <v>20635</v>
      </c>
      <c r="B10047" s="2" t="s">
        <v>20636</v>
      </c>
      <c r="C10047" s="2" t="s">
        <v>5</v>
      </c>
      <c r="D10047" s="2" t="s">
        <v>2260</v>
      </c>
      <c r="E10047" s="2" t="str">
        <f>"9789811505553"</f>
        <v>9789811505553</v>
      </c>
      <c r="F10047" s="2" t="str">
        <f>"9789811507496"</f>
        <v>9789811507496</v>
      </c>
    </row>
    <row r="10048" spans="1:6" s="3" customFormat="1" ht="29.1" customHeight="1" x14ac:dyDescent="0.25">
      <c r="A10048" s="2" t="s">
        <v>20637</v>
      </c>
      <c r="B10048" s="2" t="s">
        <v>20638</v>
      </c>
      <c r="C10048" s="2" t="s">
        <v>5</v>
      </c>
      <c r="D10048" s="2" t="s">
        <v>75</v>
      </c>
      <c r="E10048" s="2" t="str">
        <f>"9789811506130"</f>
        <v>9789811506130</v>
      </c>
      <c r="F10048" s="2" t="str">
        <f>"9789811506147"</f>
        <v>9789811506147</v>
      </c>
    </row>
    <row r="10049" spans="1:6" s="3" customFormat="1" ht="29.1" customHeight="1" x14ac:dyDescent="0.25">
      <c r="A10049" s="2" t="s">
        <v>20639</v>
      </c>
      <c r="B10049" s="2" t="s">
        <v>20640</v>
      </c>
      <c r="C10049" s="2" t="s">
        <v>5</v>
      </c>
      <c r="D10049" s="2" t="s">
        <v>19769</v>
      </c>
      <c r="E10049" s="2" t="str">
        <f>"9783662602959"</f>
        <v>9783662602959</v>
      </c>
      <c r="F10049" s="2" t="str">
        <f>"9783662602966"</f>
        <v>9783662602966</v>
      </c>
    </row>
    <row r="10050" spans="1:6" s="3" customFormat="1" ht="29.1" customHeight="1" x14ac:dyDescent="0.25">
      <c r="A10050" s="2" t="s">
        <v>20641</v>
      </c>
      <c r="B10050" s="2" t="s">
        <v>20642</v>
      </c>
      <c r="C10050" s="2" t="s">
        <v>5</v>
      </c>
      <c r="D10050" s="2" t="s">
        <v>13055</v>
      </c>
      <c r="E10050" s="2" t="str">
        <f>"9789811680434"</f>
        <v>9789811680434</v>
      </c>
      <c r="F10050" s="2" t="str">
        <f>"9789811680441"</f>
        <v>9789811680441</v>
      </c>
    </row>
    <row r="10051" spans="1:6" s="3" customFormat="1" ht="29.1" customHeight="1" x14ac:dyDescent="0.25">
      <c r="A10051" s="2" t="s">
        <v>20643</v>
      </c>
      <c r="B10051" s="2" t="s">
        <v>20644</v>
      </c>
      <c r="C10051" s="2" t="s">
        <v>5</v>
      </c>
      <c r="D10051" s="2" t="s">
        <v>3814</v>
      </c>
      <c r="E10051" s="2" t="str">
        <f>"9783030279936"</f>
        <v>9783030279936</v>
      </c>
      <c r="F10051" s="2" t="str">
        <f>"9783030279943"</f>
        <v>9783030279943</v>
      </c>
    </row>
    <row r="10052" spans="1:6" s="3" customFormat="1" ht="29.1" customHeight="1" x14ac:dyDescent="0.25">
      <c r="A10052" s="2" t="s">
        <v>20645</v>
      </c>
      <c r="B10052" s="2" t="s">
        <v>8541</v>
      </c>
      <c r="C10052" s="2" t="s">
        <v>5</v>
      </c>
      <c r="D10052" s="2" t="s">
        <v>81</v>
      </c>
      <c r="E10052" s="2" t="str">
        <f>"9783662621783"</f>
        <v>9783662621783</v>
      </c>
      <c r="F10052" s="2" t="str">
        <f>"9783662621790"</f>
        <v>9783662621790</v>
      </c>
    </row>
    <row r="10053" spans="1:6" s="3" customFormat="1" ht="29.1" customHeight="1" x14ac:dyDescent="0.25">
      <c r="A10053" s="2" t="s">
        <v>20646</v>
      </c>
      <c r="B10053" s="2" t="s">
        <v>20647</v>
      </c>
      <c r="C10053" s="2" t="s">
        <v>5</v>
      </c>
      <c r="D10053" s="2" t="s">
        <v>12</v>
      </c>
      <c r="E10053" s="2" t="str">
        <f>"9789811395963"</f>
        <v>9789811395963</v>
      </c>
      <c r="F10053" s="2" t="str">
        <f>"9789811395970"</f>
        <v>9789811395970</v>
      </c>
    </row>
    <row r="10054" spans="1:6" s="3" customFormat="1" ht="29.1" customHeight="1" x14ac:dyDescent="0.25">
      <c r="A10054" s="2" t="s">
        <v>20648</v>
      </c>
      <c r="B10054" s="2" t="s">
        <v>20649</v>
      </c>
      <c r="C10054" s="2" t="s">
        <v>5</v>
      </c>
      <c r="D10054" s="2" t="s">
        <v>894</v>
      </c>
      <c r="E10054" s="2" t="str">
        <f>"9783658269593"</f>
        <v>9783658269593</v>
      </c>
      <c r="F10054" s="2" t="str">
        <f>"9783658269609"</f>
        <v>9783658269609</v>
      </c>
    </row>
    <row r="10055" spans="1:6" s="3" customFormat="1" ht="29.1" customHeight="1" x14ac:dyDescent="0.25">
      <c r="A10055" s="2" t="s">
        <v>20650</v>
      </c>
      <c r="B10055" s="2" t="s">
        <v>20651</v>
      </c>
      <c r="C10055" s="2" t="s">
        <v>5</v>
      </c>
      <c r="D10055" s="2" t="s">
        <v>294</v>
      </c>
      <c r="E10055" s="2" t="str">
        <f>"9789811973970"</f>
        <v>9789811973970</v>
      </c>
      <c r="F10055" s="2" t="str">
        <f>"9789811973987"</f>
        <v>9789811973987</v>
      </c>
    </row>
    <row r="10056" spans="1:6" s="3" customFormat="1" ht="29.1" customHeight="1" x14ac:dyDescent="0.25">
      <c r="A10056" s="2" t="s">
        <v>20652</v>
      </c>
      <c r="B10056" s="2" t="s">
        <v>20653</v>
      </c>
      <c r="C10056" s="2" t="s">
        <v>5</v>
      </c>
      <c r="D10056" s="2" t="s">
        <v>712</v>
      </c>
      <c r="E10056" s="2" t="str">
        <f>"9783476049759"</f>
        <v>9783476049759</v>
      </c>
      <c r="F10056" s="2" t="str">
        <f>"9783476049766"</f>
        <v>9783476049766</v>
      </c>
    </row>
    <row r="10057" spans="1:6" s="3" customFormat="1" ht="29.1" customHeight="1" x14ac:dyDescent="0.25">
      <c r="A10057" s="2" t="s">
        <v>20654</v>
      </c>
      <c r="B10057" s="2" t="s">
        <v>20655</v>
      </c>
      <c r="C10057" s="2" t="s">
        <v>5</v>
      </c>
      <c r="D10057" s="2" t="s">
        <v>1471</v>
      </c>
      <c r="E10057" s="2" t="str">
        <f>"9789811389375"</f>
        <v>9789811389375</v>
      </c>
      <c r="F10057" s="2" t="str">
        <f>"9789811389382"</f>
        <v>9789811389382</v>
      </c>
    </row>
    <row r="10058" spans="1:6" s="3" customFormat="1" ht="29.1" customHeight="1" x14ac:dyDescent="0.25">
      <c r="A10058" s="2" t="s">
        <v>20656</v>
      </c>
      <c r="B10058" s="2" t="s">
        <v>20657</v>
      </c>
      <c r="C10058" s="2" t="s">
        <v>5</v>
      </c>
      <c r="D10058" s="2" t="s">
        <v>2271</v>
      </c>
      <c r="E10058" s="2" t="str">
        <f>"9789813341258"</f>
        <v>9789813341258</v>
      </c>
      <c r="F10058" s="2" t="str">
        <f>"9789813341265"</f>
        <v>9789813341265</v>
      </c>
    </row>
    <row r="10059" spans="1:6" s="3" customFormat="1" ht="29.1" customHeight="1" x14ac:dyDescent="0.25">
      <c r="A10059" s="2" t="s">
        <v>20658</v>
      </c>
      <c r="B10059" s="2" t="s">
        <v>20660</v>
      </c>
      <c r="C10059" s="2" t="s">
        <v>5</v>
      </c>
      <c r="D10059" s="2" t="s">
        <v>20659</v>
      </c>
      <c r="E10059" s="2" t="str">
        <f>"9783030223304"</f>
        <v>9783030223304</v>
      </c>
      <c r="F10059" s="2" t="str">
        <f>"9783030223311"</f>
        <v>9783030223311</v>
      </c>
    </row>
    <row r="10060" spans="1:6" s="3" customFormat="1" ht="29.1" customHeight="1" x14ac:dyDescent="0.25">
      <c r="A10060" s="2" t="s">
        <v>20661</v>
      </c>
      <c r="B10060" s="2" t="s">
        <v>20662</v>
      </c>
      <c r="C10060" s="2" t="s">
        <v>5</v>
      </c>
      <c r="D10060" s="2" t="s">
        <v>12709</v>
      </c>
      <c r="E10060" s="2" t="str">
        <f>"9783030479558"</f>
        <v>9783030479558</v>
      </c>
      <c r="F10060" s="2" t="str">
        <f>"9783030479565"</f>
        <v>9783030479565</v>
      </c>
    </row>
    <row r="10061" spans="1:6" s="3" customFormat="1" ht="29.1" customHeight="1" x14ac:dyDescent="0.25">
      <c r="A10061" s="2" t="s">
        <v>20663</v>
      </c>
      <c r="B10061" s="2" t="s">
        <v>20664</v>
      </c>
      <c r="C10061" s="2" t="s">
        <v>5</v>
      </c>
      <c r="D10061" s="2" t="s">
        <v>2770</v>
      </c>
      <c r="E10061" s="2" t="str">
        <f>"9783030396466"</f>
        <v>9783030396466</v>
      </c>
      <c r="F10061" s="2" t="str">
        <f>"9783030396473"</f>
        <v>9783030396473</v>
      </c>
    </row>
    <row r="10062" spans="1:6" s="3" customFormat="1" ht="29.1" customHeight="1" x14ac:dyDescent="0.25">
      <c r="A10062" s="2" t="s">
        <v>20665</v>
      </c>
      <c r="B10062" s="2" t="s">
        <v>20666</v>
      </c>
      <c r="C10062" s="2" t="s">
        <v>5</v>
      </c>
      <c r="D10062" s="2" t="s">
        <v>504</v>
      </c>
      <c r="E10062" s="2" t="str">
        <f>"9783030958596"</f>
        <v>9783030958596</v>
      </c>
      <c r="F10062" s="2" t="str">
        <f>"9783030958602"</f>
        <v>9783030958602</v>
      </c>
    </row>
    <row r="10063" spans="1:6" s="3" customFormat="1" ht="29.1" customHeight="1" x14ac:dyDescent="0.25">
      <c r="A10063" s="2" t="s">
        <v>20667</v>
      </c>
      <c r="B10063" s="2" t="s">
        <v>20668</v>
      </c>
      <c r="C10063" s="2" t="s">
        <v>5</v>
      </c>
      <c r="D10063" s="2" t="s">
        <v>5716</v>
      </c>
      <c r="E10063" s="2" t="str">
        <f>"9789811980459"</f>
        <v>9789811980459</v>
      </c>
      <c r="F10063" s="2" t="str">
        <f>"9789811980466"</f>
        <v>9789811980466</v>
      </c>
    </row>
    <row r="10064" spans="1:6" s="3" customFormat="1" ht="29.1" customHeight="1" x14ac:dyDescent="0.25">
      <c r="A10064" s="2" t="s">
        <v>20669</v>
      </c>
      <c r="B10064" s="2" t="s">
        <v>20670</v>
      </c>
      <c r="C10064" s="2" t="s">
        <v>5</v>
      </c>
      <c r="D10064" s="2" t="s">
        <v>5716</v>
      </c>
      <c r="E10064" s="2" t="str">
        <f>"9783319611938"</f>
        <v>9783319611938</v>
      </c>
      <c r="F10064" s="2" t="str">
        <f>"9783319611945"</f>
        <v>9783319611945</v>
      </c>
    </row>
    <row r="10065" spans="1:6" s="3" customFormat="1" ht="29.1" customHeight="1" x14ac:dyDescent="0.25">
      <c r="A10065" s="2" t="s">
        <v>20671</v>
      </c>
      <c r="B10065" s="2" t="s">
        <v>20672</v>
      </c>
      <c r="C10065" s="2" t="s">
        <v>5</v>
      </c>
      <c r="D10065" s="2" t="s">
        <v>1924</v>
      </c>
      <c r="E10065" s="2" t="str">
        <f>"9783031159879"</f>
        <v>9783031159879</v>
      </c>
      <c r="F10065" s="2" t="str">
        <f>"9783031159886"</f>
        <v>9783031159886</v>
      </c>
    </row>
    <row r="10066" spans="1:6" s="3" customFormat="1" ht="29.1" customHeight="1" x14ac:dyDescent="0.25">
      <c r="A10066" s="2" t="s">
        <v>20673</v>
      </c>
      <c r="B10066" s="2" t="s">
        <v>20674</v>
      </c>
      <c r="C10066" s="2" t="s">
        <v>5</v>
      </c>
      <c r="D10066" s="2" t="s">
        <v>11572</v>
      </c>
      <c r="E10066" s="2" t="str">
        <f>"9783030043629"</f>
        <v>9783030043629</v>
      </c>
      <c r="F10066" s="2" t="str">
        <f>"9783030043636"</f>
        <v>9783030043636</v>
      </c>
    </row>
    <row r="10067" spans="1:6" s="3" customFormat="1" ht="29.1" customHeight="1" x14ac:dyDescent="0.25">
      <c r="A10067" s="2" t="s">
        <v>20675</v>
      </c>
      <c r="B10067" s="2" t="s">
        <v>20676</v>
      </c>
      <c r="C10067" s="2" t="s">
        <v>5</v>
      </c>
      <c r="D10067" s="2" t="s">
        <v>331</v>
      </c>
      <c r="E10067" s="2" t="str">
        <f>"9783030726317"</f>
        <v>9783030726317</v>
      </c>
      <c r="F10067" s="2" t="str">
        <f>"9783030726324"</f>
        <v>9783030726324</v>
      </c>
    </row>
    <row r="10068" spans="1:6" s="3" customFormat="1" ht="29.1" customHeight="1" x14ac:dyDescent="0.25">
      <c r="A10068" s="2" t="s">
        <v>20677</v>
      </c>
      <c r="B10068" s="2" t="s">
        <v>20679</v>
      </c>
      <c r="C10068" s="2" t="s">
        <v>5</v>
      </c>
      <c r="D10068" s="2" t="s">
        <v>20678</v>
      </c>
      <c r="E10068" s="2" t="str">
        <f>"9783030156503"</f>
        <v>9783030156503</v>
      </c>
      <c r="F10068" s="2" t="str">
        <f>"9783030156510"</f>
        <v>9783030156510</v>
      </c>
    </row>
    <row r="10069" spans="1:6" s="3" customFormat="1" ht="29.1" customHeight="1" x14ac:dyDescent="0.25">
      <c r="A10069" s="2" t="s">
        <v>20680</v>
      </c>
      <c r="B10069" s="2" t="s">
        <v>20681</v>
      </c>
      <c r="C10069" s="2" t="s">
        <v>5</v>
      </c>
      <c r="D10069" s="2" t="s">
        <v>16287</v>
      </c>
      <c r="E10069" s="2" t="str">
        <f>"9783319577340"</f>
        <v>9783319577340</v>
      </c>
      <c r="F10069" s="2" t="str">
        <f>"9783319577357"</f>
        <v>9783319577357</v>
      </c>
    </row>
    <row r="10070" spans="1:6" s="3" customFormat="1" ht="29.1" customHeight="1" x14ac:dyDescent="0.25">
      <c r="A10070" s="2" t="s">
        <v>20682</v>
      </c>
      <c r="B10070" s="2" t="s">
        <v>20684</v>
      </c>
      <c r="C10070" s="2" t="s">
        <v>5</v>
      </c>
      <c r="D10070" s="2" t="s">
        <v>20683</v>
      </c>
      <c r="E10070" s="2" t="str">
        <f>"9783031104466"</f>
        <v>9783031104466</v>
      </c>
      <c r="F10070" s="2" t="str">
        <f>"9783031104473"</f>
        <v>9783031104473</v>
      </c>
    </row>
    <row r="10071" spans="1:6" s="3" customFormat="1" ht="29.1" customHeight="1" x14ac:dyDescent="0.25">
      <c r="A10071" s="2" t="s">
        <v>20685</v>
      </c>
      <c r="B10071" s="2" t="s">
        <v>20686</v>
      </c>
      <c r="C10071" s="2" t="s">
        <v>5</v>
      </c>
      <c r="D10071" s="2" t="s">
        <v>370</v>
      </c>
      <c r="E10071" s="2" t="str">
        <f>"9783319416021"</f>
        <v>9783319416021</v>
      </c>
      <c r="F10071" s="2" t="str">
        <f>"9783319416038"</f>
        <v>9783319416038</v>
      </c>
    </row>
    <row r="10072" spans="1:6" s="3" customFormat="1" ht="29.1" customHeight="1" x14ac:dyDescent="0.25">
      <c r="A10072" s="2" t="s">
        <v>20687</v>
      </c>
      <c r="B10072" s="2" t="s">
        <v>20688</v>
      </c>
      <c r="C10072" s="2" t="s">
        <v>5</v>
      </c>
      <c r="D10072" s="2" t="s">
        <v>7359</v>
      </c>
      <c r="E10072" s="2" t="str">
        <f>"9783319270685"</f>
        <v>9783319270685</v>
      </c>
      <c r="F10072" s="2" t="str">
        <f>"9783319270692"</f>
        <v>9783319270692</v>
      </c>
    </row>
    <row r="10073" spans="1:6" s="3" customFormat="1" ht="29.1" customHeight="1" x14ac:dyDescent="0.25">
      <c r="A10073" s="2" t="s">
        <v>20689</v>
      </c>
      <c r="B10073" s="2" t="s">
        <v>20690</v>
      </c>
      <c r="C10073" s="2" t="s">
        <v>5</v>
      </c>
      <c r="D10073" s="2" t="s">
        <v>1071</v>
      </c>
      <c r="E10073" s="2" t="str">
        <f>"9783030657673"</f>
        <v>9783030657673</v>
      </c>
      <c r="F10073" s="2" t="str">
        <f>"9783030657680"</f>
        <v>9783030657680</v>
      </c>
    </row>
    <row r="10074" spans="1:6" s="3" customFormat="1" ht="29.1" customHeight="1" x14ac:dyDescent="0.25">
      <c r="A10074" s="2" t="s">
        <v>20691</v>
      </c>
      <c r="B10074" s="2" t="s">
        <v>20692</v>
      </c>
      <c r="C10074" s="2" t="s">
        <v>5</v>
      </c>
      <c r="D10074" s="2" t="s">
        <v>9545</v>
      </c>
      <c r="E10074" s="2" t="str">
        <f>"9783030321567"</f>
        <v>9783030321567</v>
      </c>
      <c r="F10074" s="2" t="str">
        <f>"9783030321574"</f>
        <v>9783030321574</v>
      </c>
    </row>
    <row r="10075" spans="1:6" s="3" customFormat="1" ht="29.1" customHeight="1" x14ac:dyDescent="0.25">
      <c r="A10075" s="2" t="s">
        <v>20693</v>
      </c>
      <c r="B10075" s="2" t="s">
        <v>20694</v>
      </c>
      <c r="C10075" s="2" t="s">
        <v>5</v>
      </c>
      <c r="D10075" s="2" t="s">
        <v>4229</v>
      </c>
      <c r="E10075" s="2" t="str">
        <f>"9783030634520"</f>
        <v>9783030634520</v>
      </c>
      <c r="F10075" s="2" t="str">
        <f>"9783030634537"</f>
        <v>9783030634537</v>
      </c>
    </row>
    <row r="10076" spans="1:6" s="3" customFormat="1" ht="29.1" customHeight="1" x14ac:dyDescent="0.25">
      <c r="A10076" s="2" t="s">
        <v>20695</v>
      </c>
      <c r="B10076" s="2" t="s">
        <v>20697</v>
      </c>
      <c r="C10076" s="2" t="s">
        <v>5</v>
      </c>
      <c r="D10076" s="2" t="s">
        <v>20696</v>
      </c>
      <c r="E10076" s="2" t="str">
        <f>"9789811555534"</f>
        <v>9789811555534</v>
      </c>
      <c r="F10076" s="2" t="str">
        <f>"9789811555541"</f>
        <v>9789811555541</v>
      </c>
    </row>
    <row r="10077" spans="1:6" s="3" customFormat="1" ht="29.1" customHeight="1" x14ac:dyDescent="0.25">
      <c r="A10077" s="2" t="s">
        <v>20698</v>
      </c>
      <c r="B10077" s="2" t="s">
        <v>20699</v>
      </c>
      <c r="C10077" s="2" t="s">
        <v>5</v>
      </c>
      <c r="D10077" s="2" t="s">
        <v>2770</v>
      </c>
      <c r="E10077" s="2" t="str">
        <f>"9783030893965"</f>
        <v>9783030893965</v>
      </c>
      <c r="F10077" s="2" t="str">
        <f>"9783030893972"</f>
        <v>9783030893972</v>
      </c>
    </row>
    <row r="10078" spans="1:6" s="3" customFormat="1" ht="29.1" customHeight="1" x14ac:dyDescent="0.25">
      <c r="A10078" s="2" t="s">
        <v>20700</v>
      </c>
      <c r="B10078" s="2" t="s">
        <v>20701</v>
      </c>
      <c r="C10078" s="2" t="s">
        <v>5</v>
      </c>
      <c r="D10078" s="2" t="s">
        <v>353</v>
      </c>
      <c r="E10078" s="2" t="str">
        <f>"9783030565022"</f>
        <v>9783030565022</v>
      </c>
      <c r="F10078" s="2" t="str">
        <f>"9783030565046"</f>
        <v>9783030565046</v>
      </c>
    </row>
    <row r="10079" spans="1:6" s="3" customFormat="1" ht="29.1" customHeight="1" x14ac:dyDescent="0.25">
      <c r="A10079" s="2" t="s">
        <v>20702</v>
      </c>
      <c r="B10079" s="2" t="s">
        <v>20703</v>
      </c>
      <c r="C10079" s="2" t="s">
        <v>5</v>
      </c>
      <c r="D10079" s="2" t="s">
        <v>2458</v>
      </c>
      <c r="E10079" s="2" t="str">
        <f>"9783319412849"</f>
        <v>9783319412849</v>
      </c>
      <c r="F10079" s="2" t="str">
        <f>"9783319412856"</f>
        <v>9783319412856</v>
      </c>
    </row>
    <row r="10080" spans="1:6" s="3" customFormat="1" ht="29.1" customHeight="1" x14ac:dyDescent="0.25">
      <c r="A10080" s="2" t="s">
        <v>20704</v>
      </c>
      <c r="B10080" s="2" t="s">
        <v>20705</v>
      </c>
      <c r="C10080" s="2" t="s">
        <v>5</v>
      </c>
      <c r="D10080" s="2" t="s">
        <v>12475</v>
      </c>
      <c r="E10080" s="2" t="str">
        <f>"9783030542597"</f>
        <v>9783030542597</v>
      </c>
      <c r="F10080" s="2" t="str">
        <f>"9783030542603"</f>
        <v>9783030542603</v>
      </c>
    </row>
    <row r="10081" spans="1:6" s="3" customFormat="1" ht="29.1" customHeight="1" x14ac:dyDescent="0.25">
      <c r="A10081" s="2" t="s">
        <v>20706</v>
      </c>
      <c r="B10081" s="2" t="s">
        <v>20707</v>
      </c>
      <c r="C10081" s="2" t="s">
        <v>5</v>
      </c>
      <c r="D10081" s="2" t="s">
        <v>12475</v>
      </c>
      <c r="E10081" s="2" t="str">
        <f>"9783319616148"</f>
        <v>9783319616148</v>
      </c>
      <c r="F10081" s="2" t="str">
        <f>"9783319616155"</f>
        <v>9783319616155</v>
      </c>
    </row>
    <row r="10082" spans="1:6" s="3" customFormat="1" ht="29.1" customHeight="1" x14ac:dyDescent="0.25">
      <c r="A10082" s="2" t="s">
        <v>2216</v>
      </c>
      <c r="B10082" s="2" t="s">
        <v>20708</v>
      </c>
      <c r="C10082" s="2" t="s">
        <v>5</v>
      </c>
      <c r="D10082" s="2" t="s">
        <v>2217</v>
      </c>
      <c r="E10082" s="2" t="str">
        <f>"9783031437557"</f>
        <v>9783031437557</v>
      </c>
      <c r="F10082" s="2" t="str">
        <f>"9783031437564"</f>
        <v>9783031437564</v>
      </c>
    </row>
    <row r="10083" spans="1:6" s="3" customFormat="1" ht="29.1" customHeight="1" x14ac:dyDescent="0.25">
      <c r="A10083" s="2" t="s">
        <v>1980</v>
      </c>
      <c r="B10083" s="2" t="s">
        <v>20709</v>
      </c>
      <c r="C10083" s="2" t="s">
        <v>5</v>
      </c>
      <c r="D10083" s="2" t="s">
        <v>52</v>
      </c>
      <c r="E10083" s="2" t="str">
        <f>"9783031435126"</f>
        <v>9783031435126</v>
      </c>
      <c r="F10083" s="2" t="str">
        <f>"9783031435133"</f>
        <v>9783031435133</v>
      </c>
    </row>
    <row r="10084" spans="1:6" s="3" customFormat="1" ht="29.1" customHeight="1" x14ac:dyDescent="0.25">
      <c r="A10084" s="2" t="s">
        <v>2157</v>
      </c>
      <c r="B10084" s="2" t="s">
        <v>20710</v>
      </c>
      <c r="C10084" s="2" t="s">
        <v>5</v>
      </c>
      <c r="D10084" s="2" t="s">
        <v>52</v>
      </c>
      <c r="E10084" s="2" t="str">
        <f>"9783031433689"</f>
        <v>9783031433689</v>
      </c>
      <c r="F10084" s="2" t="str">
        <f>"9783031433696"</f>
        <v>9783031433696</v>
      </c>
    </row>
    <row r="10085" spans="1:6" s="3" customFormat="1" ht="29.1" customHeight="1" x14ac:dyDescent="0.25">
      <c r="A10085" s="2" t="s">
        <v>3706</v>
      </c>
      <c r="B10085" s="2" t="s">
        <v>20711</v>
      </c>
      <c r="C10085" s="2" t="s">
        <v>5</v>
      </c>
      <c r="D10085" s="2" t="s">
        <v>487</v>
      </c>
      <c r="E10085" s="2" t="str">
        <f>"9783031377051"</f>
        <v>9783031377051</v>
      </c>
      <c r="F10085" s="2" t="str">
        <f>"9783031377068"</f>
        <v>9783031377068</v>
      </c>
    </row>
    <row r="10086" spans="1:6" s="3" customFormat="1" ht="29.1" customHeight="1" x14ac:dyDescent="0.25">
      <c r="A10086" s="2" t="s">
        <v>3706</v>
      </c>
      <c r="B10086" s="2" t="s">
        <v>20711</v>
      </c>
      <c r="C10086" s="2" t="s">
        <v>5</v>
      </c>
      <c r="D10086" s="2" t="s">
        <v>487</v>
      </c>
      <c r="E10086" s="2" t="str">
        <f>"9783031377082"</f>
        <v>9783031377082</v>
      </c>
      <c r="F10086" s="2" t="str">
        <f>"9783031377099"</f>
        <v>9783031377099</v>
      </c>
    </row>
    <row r="10087" spans="1:6" s="3" customFormat="1" ht="29.1" customHeight="1" x14ac:dyDescent="0.25">
      <c r="A10087" s="2" t="s">
        <v>3706</v>
      </c>
      <c r="B10087" s="2" t="s">
        <v>20711</v>
      </c>
      <c r="C10087" s="2" t="s">
        <v>5</v>
      </c>
      <c r="D10087" s="2" t="s">
        <v>487</v>
      </c>
      <c r="E10087" s="2" t="str">
        <f>"9783031377020"</f>
        <v>9783031377020</v>
      </c>
      <c r="F10087" s="2" t="str">
        <f>"9783031377037"</f>
        <v>9783031377037</v>
      </c>
    </row>
    <row r="10088" spans="1:6" s="3" customFormat="1" ht="29.1" customHeight="1" x14ac:dyDescent="0.25">
      <c r="A10088" s="2" t="s">
        <v>20712</v>
      </c>
      <c r="B10088" s="2" t="s">
        <v>20713</v>
      </c>
      <c r="C10088" s="2" t="s">
        <v>5</v>
      </c>
      <c r="D10088" s="2" t="s">
        <v>20696</v>
      </c>
      <c r="E10088" s="2" t="str">
        <f>"9783031355929"</f>
        <v>9783031355929</v>
      </c>
      <c r="F10088" s="2" t="str">
        <f>"9783031355936"</f>
        <v>9783031355936</v>
      </c>
    </row>
    <row r="10089" spans="1:6" s="3" customFormat="1" ht="29.1" customHeight="1" x14ac:dyDescent="0.25">
      <c r="A10089" s="2" t="s">
        <v>20714</v>
      </c>
      <c r="B10089" s="2" t="s">
        <v>20715</v>
      </c>
      <c r="C10089" s="2" t="s">
        <v>5</v>
      </c>
      <c r="D10089" s="2" t="s">
        <v>331</v>
      </c>
      <c r="E10089" s="2" t="str">
        <f>"9783031331763"</f>
        <v>9783031331763</v>
      </c>
      <c r="F10089" s="2" t="str">
        <f>"9783031331770"</f>
        <v>9783031331770</v>
      </c>
    </row>
    <row r="10090" spans="1:6" s="3" customFormat="1" ht="29.1" customHeight="1" x14ac:dyDescent="0.25">
      <c r="A10090" s="2" t="s">
        <v>20716</v>
      </c>
      <c r="B10090" s="2" t="s">
        <v>20717</v>
      </c>
      <c r="C10090" s="2" t="s">
        <v>5</v>
      </c>
      <c r="D10090" s="2" t="s">
        <v>144</v>
      </c>
      <c r="E10090" s="2" t="str">
        <f>"9783031215339"</f>
        <v>9783031215339</v>
      </c>
      <c r="F10090" s="2" t="str">
        <f>"9783031215346"</f>
        <v>9783031215346</v>
      </c>
    </row>
    <row r="10091" spans="1:6" s="3" customFormat="1" ht="29.1" customHeight="1" x14ac:dyDescent="0.25">
      <c r="A10091" s="2" t="s">
        <v>2216</v>
      </c>
      <c r="B10091" s="2" t="s">
        <v>20718</v>
      </c>
      <c r="C10091" s="2" t="s">
        <v>5</v>
      </c>
      <c r="D10091" s="2" t="s">
        <v>2217</v>
      </c>
      <c r="E10091" s="2" t="str">
        <f>"9783031159107"</f>
        <v>9783031159107</v>
      </c>
      <c r="F10091" s="2" t="str">
        <f>"9783031159114"</f>
        <v>9783031159114</v>
      </c>
    </row>
    <row r="10092" spans="1:6" s="3" customFormat="1" ht="29.1" customHeight="1" x14ac:dyDescent="0.25">
      <c r="A10092" s="2" t="s">
        <v>3706</v>
      </c>
      <c r="B10092" s="2" t="s">
        <v>20719</v>
      </c>
      <c r="C10092" s="2" t="s">
        <v>5</v>
      </c>
      <c r="D10092" s="2" t="s">
        <v>487</v>
      </c>
      <c r="E10092" s="2" t="str">
        <f>"9783031131875"</f>
        <v>9783031131875</v>
      </c>
      <c r="F10092" s="2" t="str">
        <f>"9783031131882"</f>
        <v>9783031131882</v>
      </c>
    </row>
    <row r="10093" spans="1:6" s="3" customFormat="1" ht="29.1" customHeight="1" x14ac:dyDescent="0.25">
      <c r="A10093" s="2" t="s">
        <v>3706</v>
      </c>
      <c r="B10093" s="2" t="s">
        <v>20719</v>
      </c>
      <c r="C10093" s="2" t="s">
        <v>5</v>
      </c>
      <c r="D10093" s="2" t="s">
        <v>487</v>
      </c>
      <c r="E10093" s="2" t="str">
        <f>"9783031131844"</f>
        <v>9783031131844</v>
      </c>
      <c r="F10093" s="2" t="str">
        <f>"9783031131851"</f>
        <v>9783031131851</v>
      </c>
    </row>
    <row r="10094" spans="1:6" s="3" customFormat="1" ht="29.1" customHeight="1" x14ac:dyDescent="0.25">
      <c r="A10094" s="2" t="s">
        <v>14017</v>
      </c>
      <c r="B10094" s="2" t="s">
        <v>20720</v>
      </c>
      <c r="C10094" s="2" t="s">
        <v>5</v>
      </c>
      <c r="D10094" s="2" t="s">
        <v>1902</v>
      </c>
      <c r="E10094" s="2" t="str">
        <f>"9783031107689"</f>
        <v>9783031107689</v>
      </c>
      <c r="F10094" s="2" t="str">
        <f>"9783031107696"</f>
        <v>9783031107696</v>
      </c>
    </row>
    <row r="10095" spans="1:6" s="3" customFormat="1" ht="29.1" customHeight="1" x14ac:dyDescent="0.25">
      <c r="A10095" s="2" t="s">
        <v>20721</v>
      </c>
      <c r="B10095" s="2" t="s">
        <v>20722</v>
      </c>
      <c r="C10095" s="2" t="s">
        <v>5</v>
      </c>
      <c r="D10095" s="2" t="s">
        <v>367</v>
      </c>
      <c r="E10095" s="2" t="str">
        <f>"9783031104183"</f>
        <v>9783031104183</v>
      </c>
      <c r="F10095" s="2" t="str">
        <f>"9783031104190"</f>
        <v>9783031104190</v>
      </c>
    </row>
    <row r="10096" spans="1:6" s="3" customFormat="1" ht="29.1" customHeight="1" x14ac:dyDescent="0.25">
      <c r="A10096" s="2" t="s">
        <v>6877</v>
      </c>
      <c r="B10096" s="2" t="s">
        <v>20723</v>
      </c>
      <c r="C10096" s="2" t="s">
        <v>5</v>
      </c>
      <c r="D10096" s="2" t="s">
        <v>1902</v>
      </c>
      <c r="E10096" s="2" t="str">
        <f>"9783030995232"</f>
        <v>9783030995232</v>
      </c>
      <c r="F10096" s="2" t="str">
        <f>"9783030995249"</f>
        <v>9783030995249</v>
      </c>
    </row>
    <row r="10097" spans="1:6" s="3" customFormat="1" ht="29.1" customHeight="1" x14ac:dyDescent="0.25">
      <c r="A10097" s="2" t="s">
        <v>6885</v>
      </c>
      <c r="B10097" s="2" t="s">
        <v>20724</v>
      </c>
      <c r="C10097" s="2" t="s">
        <v>5</v>
      </c>
      <c r="D10097" s="2" t="s">
        <v>487</v>
      </c>
      <c r="E10097" s="2" t="str">
        <f>"9783030994280"</f>
        <v>9783030994280</v>
      </c>
      <c r="F10097" s="2" t="str">
        <f>"9783030994297"</f>
        <v>9783030994297</v>
      </c>
    </row>
    <row r="10098" spans="1:6" s="3" customFormat="1" ht="29.1" customHeight="1" x14ac:dyDescent="0.25">
      <c r="A10098" s="2" t="s">
        <v>6874</v>
      </c>
      <c r="B10098" s="2" t="s">
        <v>20725</v>
      </c>
      <c r="C10098" s="2" t="s">
        <v>5</v>
      </c>
      <c r="D10098" s="2" t="s">
        <v>7341</v>
      </c>
      <c r="E10098" s="2" t="str">
        <f>"9783030993351"</f>
        <v>9783030993351</v>
      </c>
      <c r="F10098" s="2" t="str">
        <f>"9783030993368"</f>
        <v>9783030993368</v>
      </c>
    </row>
    <row r="10099" spans="1:6" s="3" customFormat="1" ht="29.1" customHeight="1" x14ac:dyDescent="0.25">
      <c r="A10099" s="2" t="s">
        <v>6883</v>
      </c>
      <c r="B10099" s="2" t="s">
        <v>20726</v>
      </c>
      <c r="C10099" s="2" t="s">
        <v>5</v>
      </c>
      <c r="D10099" s="2" t="s">
        <v>1902</v>
      </c>
      <c r="E10099" s="2" t="str">
        <f>"9783030992521"</f>
        <v>9783030992521</v>
      </c>
      <c r="F10099" s="2" t="str">
        <f>"9783030992538"</f>
        <v>9783030992538</v>
      </c>
    </row>
    <row r="10100" spans="1:6" s="3" customFormat="1" ht="29.1" customHeight="1" x14ac:dyDescent="0.25">
      <c r="A10100" s="2" t="s">
        <v>20727</v>
      </c>
      <c r="B10100" s="2" t="s">
        <v>20728</v>
      </c>
      <c r="C10100" s="2" t="s">
        <v>5</v>
      </c>
      <c r="D10100" s="2" t="s">
        <v>5588</v>
      </c>
      <c r="E10100" s="2" t="str">
        <f>"9783030824266"</f>
        <v>9783030824266</v>
      </c>
      <c r="F10100" s="2" t="str">
        <f>"9783030824273"</f>
        <v>9783030824273</v>
      </c>
    </row>
    <row r="10101" spans="1:6" s="3" customFormat="1" ht="29.1" customHeight="1" x14ac:dyDescent="0.25">
      <c r="A10101" s="2" t="s">
        <v>3706</v>
      </c>
      <c r="B10101" s="2" t="s">
        <v>20729</v>
      </c>
      <c r="C10101" s="2" t="s">
        <v>5</v>
      </c>
      <c r="D10101" s="2" t="s">
        <v>487</v>
      </c>
      <c r="E10101" s="2" t="str">
        <f>"9783030816872"</f>
        <v>9783030816872</v>
      </c>
      <c r="F10101" s="2" t="str">
        <f>"9783030816889"</f>
        <v>9783030816889</v>
      </c>
    </row>
    <row r="10102" spans="1:6" s="3" customFormat="1" ht="29.1" customHeight="1" x14ac:dyDescent="0.25">
      <c r="A10102" s="2" t="s">
        <v>3706</v>
      </c>
      <c r="B10102" s="2" t="s">
        <v>20729</v>
      </c>
      <c r="C10102" s="2" t="s">
        <v>5</v>
      </c>
      <c r="D10102" s="2" t="s">
        <v>487</v>
      </c>
      <c r="E10102" s="2" t="str">
        <f>"9783030816841"</f>
        <v>9783030816841</v>
      </c>
      <c r="F10102" s="2" t="str">
        <f>"9783030816858"</f>
        <v>9783030816858</v>
      </c>
    </row>
    <row r="10103" spans="1:6" s="3" customFormat="1" ht="29.1" customHeight="1" x14ac:dyDescent="0.25">
      <c r="A10103" s="2" t="s">
        <v>20730</v>
      </c>
      <c r="B10103" s="2" t="s">
        <v>20731</v>
      </c>
      <c r="C10103" s="2" t="s">
        <v>5</v>
      </c>
      <c r="D10103" s="2" t="s">
        <v>52</v>
      </c>
      <c r="E10103" s="2" t="str">
        <f>"9783030798758"</f>
        <v>9783030798758</v>
      </c>
      <c r="F10103" s="2" t="str">
        <f>"9783030798765"</f>
        <v>9783030798765</v>
      </c>
    </row>
    <row r="10104" spans="1:6" s="3" customFormat="1" ht="29.1" customHeight="1" x14ac:dyDescent="0.25">
      <c r="A10104" s="2" t="s">
        <v>20732</v>
      </c>
      <c r="B10104" s="2" t="s">
        <v>20733</v>
      </c>
      <c r="C10104" s="2" t="s">
        <v>5</v>
      </c>
      <c r="D10104" s="2" t="s">
        <v>52</v>
      </c>
      <c r="E10104" s="2" t="str">
        <f>"9783030723071"</f>
        <v>9783030723071</v>
      </c>
      <c r="F10104" s="2" t="str">
        <f>"9783030723088"</f>
        <v>9783030723088</v>
      </c>
    </row>
    <row r="10105" spans="1:6" s="3" customFormat="1" ht="29.1" customHeight="1" x14ac:dyDescent="0.25">
      <c r="A10105" s="2" t="s">
        <v>6883</v>
      </c>
      <c r="B10105" s="2" t="s">
        <v>20734</v>
      </c>
      <c r="C10105" s="2" t="s">
        <v>5</v>
      </c>
      <c r="D10105" s="2" t="s">
        <v>1902</v>
      </c>
      <c r="E10105" s="2" t="str">
        <f>"9783030719944"</f>
        <v>9783030719944</v>
      </c>
      <c r="F10105" s="2" t="str">
        <f>"9783030719951"</f>
        <v>9783030719951</v>
      </c>
    </row>
    <row r="10106" spans="1:6" s="3" customFormat="1" ht="29.1" customHeight="1" x14ac:dyDescent="0.25">
      <c r="A10106" s="2" t="s">
        <v>20735</v>
      </c>
      <c r="B10106" s="2" t="s">
        <v>20737</v>
      </c>
      <c r="C10106" s="2" t="s">
        <v>5</v>
      </c>
      <c r="D10106" s="2" t="s">
        <v>20736</v>
      </c>
      <c r="E10106" s="2" t="str">
        <f>"9783030598327"</f>
        <v>9783030598327</v>
      </c>
      <c r="F10106" s="2" t="str">
        <f>"9783030598334"</f>
        <v>9783030598334</v>
      </c>
    </row>
    <row r="10107" spans="1:6" s="3" customFormat="1" ht="29.1" customHeight="1" x14ac:dyDescent="0.25">
      <c r="A10107" s="2" t="s">
        <v>20738</v>
      </c>
      <c r="B10107" s="2" t="s">
        <v>20739</v>
      </c>
      <c r="C10107" s="2" t="s">
        <v>5</v>
      </c>
      <c r="D10107" s="2" t="s">
        <v>5588</v>
      </c>
      <c r="E10107" s="2" t="str">
        <f>"9783030581466"</f>
        <v>9783030581466</v>
      </c>
      <c r="F10107" s="2" t="str">
        <f>"9783030581473"</f>
        <v>9783030581473</v>
      </c>
    </row>
    <row r="10108" spans="1:6" s="3" customFormat="1" ht="29.1" customHeight="1" x14ac:dyDescent="0.25">
      <c r="A10108" s="2" t="s">
        <v>3706</v>
      </c>
      <c r="B10108" s="2" t="s">
        <v>20740</v>
      </c>
      <c r="C10108" s="2" t="s">
        <v>5</v>
      </c>
      <c r="D10108" s="2" t="s">
        <v>487</v>
      </c>
      <c r="E10108" s="2" t="str">
        <f>"9783030532871"</f>
        <v>9783030532871</v>
      </c>
      <c r="F10108" s="2" t="str">
        <f>"9783030532888"</f>
        <v>9783030532888</v>
      </c>
    </row>
    <row r="10109" spans="1:6" s="3" customFormat="1" ht="29.1" customHeight="1" x14ac:dyDescent="0.25">
      <c r="A10109" s="2" t="s">
        <v>3706</v>
      </c>
      <c r="B10109" s="2" t="s">
        <v>20740</v>
      </c>
      <c r="C10109" s="2" t="s">
        <v>5</v>
      </c>
      <c r="D10109" s="2" t="s">
        <v>487</v>
      </c>
      <c r="E10109" s="2" t="str">
        <f>"9783030532901"</f>
        <v>9783030532901</v>
      </c>
      <c r="F10109" s="2" t="str">
        <f>"9783030532918"</f>
        <v>9783030532918</v>
      </c>
    </row>
    <row r="10110" spans="1:6" s="3" customFormat="1" ht="29.1" customHeight="1" x14ac:dyDescent="0.25">
      <c r="A10110" s="2" t="s">
        <v>20721</v>
      </c>
      <c r="B10110" s="2" t="s">
        <v>20741</v>
      </c>
      <c r="C10110" s="2" t="s">
        <v>5</v>
      </c>
      <c r="D10110" s="2" t="s">
        <v>367</v>
      </c>
      <c r="E10110" s="2" t="str">
        <f>"9783030488413"</f>
        <v>9783030488413</v>
      </c>
      <c r="F10110" s="2" t="str">
        <f>"9783030488420"</f>
        <v>9783030488420</v>
      </c>
    </row>
    <row r="10111" spans="1:6" s="3" customFormat="1" ht="29.1" customHeight="1" x14ac:dyDescent="0.25">
      <c r="A10111" s="2" t="s">
        <v>6885</v>
      </c>
      <c r="B10111" s="2" t="s">
        <v>20742</v>
      </c>
      <c r="C10111" s="2" t="s">
        <v>5</v>
      </c>
      <c r="D10111" s="2" t="s">
        <v>487</v>
      </c>
      <c r="E10111" s="2" t="str">
        <f>"9783030452339"</f>
        <v>9783030452339</v>
      </c>
      <c r="F10111" s="2" t="str">
        <f>"9783030452346"</f>
        <v>9783030452346</v>
      </c>
    </row>
    <row r="10112" spans="1:6" s="3" customFormat="1" ht="29.1" customHeight="1" x14ac:dyDescent="0.25">
      <c r="A10112" s="2" t="s">
        <v>6877</v>
      </c>
      <c r="B10112" s="2" t="s">
        <v>20743</v>
      </c>
      <c r="C10112" s="2" t="s">
        <v>5</v>
      </c>
      <c r="D10112" s="2" t="s">
        <v>487</v>
      </c>
      <c r="E10112" s="2" t="str">
        <f>"9783030452360"</f>
        <v>9783030452360</v>
      </c>
      <c r="F10112" s="2" t="str">
        <f>"9783030452377"</f>
        <v>9783030452377</v>
      </c>
    </row>
    <row r="10113" spans="1:6" s="3" customFormat="1" ht="29.1" customHeight="1" x14ac:dyDescent="0.25">
      <c r="A10113" s="2" t="s">
        <v>6883</v>
      </c>
      <c r="B10113" s="2" t="s">
        <v>20745</v>
      </c>
      <c r="C10113" s="2" t="s">
        <v>5</v>
      </c>
      <c r="D10113" s="2" t="s">
        <v>20744</v>
      </c>
      <c r="E10113" s="2" t="str">
        <f>"9783030452308"</f>
        <v>9783030452308</v>
      </c>
      <c r="F10113" s="2" t="str">
        <f>"9783030452315"</f>
        <v>9783030452315</v>
      </c>
    </row>
    <row r="10114" spans="1:6" s="3" customFormat="1" ht="29.1" customHeight="1" x14ac:dyDescent="0.25">
      <c r="A10114" s="2" t="s">
        <v>6877</v>
      </c>
      <c r="B10114" s="2" t="s">
        <v>20743</v>
      </c>
      <c r="C10114" s="2" t="s">
        <v>5</v>
      </c>
      <c r="D10114" s="2" t="s">
        <v>1902</v>
      </c>
      <c r="E10114" s="2" t="str">
        <f>"9783030451899"</f>
        <v>9783030451899</v>
      </c>
      <c r="F10114" s="2" t="str">
        <f>"9783030451905"</f>
        <v>9783030451905</v>
      </c>
    </row>
    <row r="10115" spans="1:6" s="3" customFormat="1" ht="29.1" customHeight="1" x14ac:dyDescent="0.25">
      <c r="A10115" s="2" t="s">
        <v>6874</v>
      </c>
      <c r="B10115" s="2" t="s">
        <v>20746</v>
      </c>
      <c r="C10115" s="2" t="s">
        <v>5</v>
      </c>
      <c r="D10115" s="2" t="s">
        <v>7341</v>
      </c>
      <c r="E10115" s="2" t="str">
        <f>"9783030449131"</f>
        <v>9783030449131</v>
      </c>
      <c r="F10115" s="2" t="str">
        <f>"9783030449148"</f>
        <v>9783030449148</v>
      </c>
    </row>
    <row r="10116" spans="1:6" s="3" customFormat="1" ht="29.1" customHeight="1" x14ac:dyDescent="0.25">
      <c r="A10116" s="2" t="s">
        <v>20747</v>
      </c>
      <c r="B10116" s="2" t="s">
        <v>20748</v>
      </c>
      <c r="C10116" s="2" t="s">
        <v>5</v>
      </c>
      <c r="D10116" s="2" t="s">
        <v>5228</v>
      </c>
      <c r="E10116" s="2" t="str">
        <f>"9783030445836"</f>
        <v>9783030445836</v>
      </c>
      <c r="F10116" s="2" t="str">
        <f>"9783030445843"</f>
        <v>9783030445843</v>
      </c>
    </row>
    <row r="10117" spans="1:6" s="3" customFormat="1" ht="29.1" customHeight="1" x14ac:dyDescent="0.25">
      <c r="A10117" s="2" t="s">
        <v>20749</v>
      </c>
      <c r="B10117" s="2" t="s">
        <v>20750</v>
      </c>
      <c r="C10117" s="2" t="s">
        <v>5</v>
      </c>
      <c r="D10117" s="2" t="s">
        <v>20736</v>
      </c>
      <c r="E10117" s="2" t="str">
        <f>"9783030332198"</f>
        <v>9783030332198</v>
      </c>
      <c r="F10117" s="2" t="str">
        <f>"9783030332204"</f>
        <v>9783030332204</v>
      </c>
    </row>
    <row r="10118" spans="1:6" s="3" customFormat="1" ht="29.1" customHeight="1" x14ac:dyDescent="0.25">
      <c r="A10118" s="2" t="s">
        <v>3706</v>
      </c>
      <c r="B10118" s="2" t="s">
        <v>20751</v>
      </c>
      <c r="C10118" s="2" t="s">
        <v>5</v>
      </c>
      <c r="D10118" s="2" t="s">
        <v>487</v>
      </c>
      <c r="E10118" s="2" t="str">
        <f>"9783030255398"</f>
        <v>9783030255398</v>
      </c>
      <c r="F10118" s="2" t="str">
        <f>"9783030255404"</f>
        <v>9783030255404</v>
      </c>
    </row>
    <row r="10119" spans="1:6" s="3" customFormat="1" ht="29.1" customHeight="1" x14ac:dyDescent="0.25">
      <c r="A10119" s="2" t="s">
        <v>3706</v>
      </c>
      <c r="B10119" s="2" t="s">
        <v>20751</v>
      </c>
      <c r="C10119" s="2" t="s">
        <v>5</v>
      </c>
      <c r="D10119" s="2" t="s">
        <v>487</v>
      </c>
      <c r="E10119" s="2" t="str">
        <f>"9783030255428"</f>
        <v>9783030255428</v>
      </c>
      <c r="F10119" s="2" t="str">
        <f>"9783030255435"</f>
        <v>9783030255435</v>
      </c>
    </row>
    <row r="10120" spans="1:6" s="3" customFormat="1" ht="29.1" customHeight="1" x14ac:dyDescent="0.25">
      <c r="A10120" s="2" t="s">
        <v>20721</v>
      </c>
      <c r="B10120" s="2" t="s">
        <v>20752</v>
      </c>
      <c r="C10120" s="2" t="s">
        <v>5</v>
      </c>
      <c r="D10120" s="2" t="s">
        <v>367</v>
      </c>
      <c r="E10120" s="2" t="str">
        <f>"9783030186449"</f>
        <v>9783030186449</v>
      </c>
      <c r="F10120" s="2" t="str">
        <f>"9783030186456"</f>
        <v>9783030186456</v>
      </c>
    </row>
    <row r="10121" spans="1:6" s="3" customFormat="1" ht="29.1" customHeight="1" x14ac:dyDescent="0.25">
      <c r="A10121" s="2" t="s">
        <v>6877</v>
      </c>
      <c r="B10121" s="2" t="s">
        <v>20753</v>
      </c>
      <c r="C10121" s="2" t="s">
        <v>5</v>
      </c>
      <c r="D10121" s="2" t="s">
        <v>1902</v>
      </c>
      <c r="E10121" s="2" t="str">
        <f>"9783030174613"</f>
        <v>9783030174613</v>
      </c>
      <c r="F10121" s="2" t="str">
        <f>"9783030174620"</f>
        <v>9783030174620</v>
      </c>
    </row>
    <row r="10122" spans="1:6" s="3" customFormat="1" ht="29.1" customHeight="1" x14ac:dyDescent="0.25">
      <c r="A10122" s="2" t="s">
        <v>6883</v>
      </c>
      <c r="B10122" s="2" t="s">
        <v>20754</v>
      </c>
      <c r="C10122" s="2" t="s">
        <v>5</v>
      </c>
      <c r="D10122" s="2" t="s">
        <v>1902</v>
      </c>
      <c r="E10122" s="2" t="str">
        <f>"9783030171261"</f>
        <v>9783030171261</v>
      </c>
      <c r="F10122" s="2" t="str">
        <f>"9783030171278"</f>
        <v>9783030171278</v>
      </c>
    </row>
    <row r="10123" spans="1:6" s="3" customFormat="1" ht="29.1" customHeight="1" x14ac:dyDescent="0.25">
      <c r="A10123" s="2" t="s">
        <v>20755</v>
      </c>
      <c r="B10123" s="2" t="s">
        <v>20756</v>
      </c>
      <c r="C10123" s="2" t="s">
        <v>5</v>
      </c>
      <c r="D10123" s="2" t="s">
        <v>5115</v>
      </c>
      <c r="E10123" s="2" t="str">
        <f>"9783030171377"</f>
        <v>9783030171377</v>
      </c>
      <c r="F10123" s="2" t="str">
        <f>"9783030171384"</f>
        <v>9783030171384</v>
      </c>
    </row>
    <row r="10124" spans="1:6" s="3" customFormat="1" ht="29.1" customHeight="1" x14ac:dyDescent="0.25">
      <c r="A10124" s="2" t="s">
        <v>3706</v>
      </c>
      <c r="B10124" s="2" t="s">
        <v>20757</v>
      </c>
      <c r="C10124" s="2" t="s">
        <v>5</v>
      </c>
      <c r="D10124" s="2" t="s">
        <v>1902</v>
      </c>
      <c r="E10124" s="2" t="str">
        <f>"9783319961415"</f>
        <v>9783319961415</v>
      </c>
      <c r="F10124" s="2" t="str">
        <f>"9783319961422"</f>
        <v>9783319961422</v>
      </c>
    </row>
    <row r="10125" spans="1:6" s="3" customFormat="1" ht="29.1" customHeight="1" x14ac:dyDescent="0.25">
      <c r="A10125" s="2" t="s">
        <v>3706</v>
      </c>
      <c r="B10125" s="2" t="s">
        <v>20757</v>
      </c>
      <c r="C10125" s="2" t="s">
        <v>5</v>
      </c>
      <c r="D10125" s="2" t="s">
        <v>1902</v>
      </c>
      <c r="E10125" s="2" t="str">
        <f>"9783319961446"</f>
        <v>9783319961446</v>
      </c>
      <c r="F10125" s="2" t="str">
        <f>"9783319961453"</f>
        <v>9783319961453</v>
      </c>
    </row>
    <row r="10126" spans="1:6" s="3" customFormat="1" ht="29.1" customHeight="1" x14ac:dyDescent="0.25">
      <c r="A10126" s="2" t="s">
        <v>6877</v>
      </c>
      <c r="B10126" s="2" t="s">
        <v>20758</v>
      </c>
      <c r="C10126" s="2" t="s">
        <v>5</v>
      </c>
      <c r="D10126" s="2" t="s">
        <v>1902</v>
      </c>
      <c r="E10126" s="2" t="str">
        <f>"9783319899626"</f>
        <v>9783319899626</v>
      </c>
      <c r="F10126" s="2" t="str">
        <f>"9783319899633"</f>
        <v>9783319899633</v>
      </c>
    </row>
    <row r="10127" spans="1:6" s="3" customFormat="1" ht="29.1" customHeight="1" x14ac:dyDescent="0.25">
      <c r="A10127" s="2" t="s">
        <v>6877</v>
      </c>
      <c r="B10127" s="2" t="s">
        <v>20758</v>
      </c>
      <c r="C10127" s="2" t="s">
        <v>5</v>
      </c>
      <c r="D10127" s="2" t="s">
        <v>1902</v>
      </c>
      <c r="E10127" s="2" t="str">
        <f>"9783319899596"</f>
        <v>9783319899596</v>
      </c>
      <c r="F10127" s="2" t="str">
        <f>"9783319899602"</f>
        <v>9783319899602</v>
      </c>
    </row>
    <row r="10128" spans="1:6" s="3" customFormat="1" ht="29.1" customHeight="1" x14ac:dyDescent="0.25">
      <c r="A10128" s="2" t="s">
        <v>6874</v>
      </c>
      <c r="B10128" s="2" t="s">
        <v>20759</v>
      </c>
      <c r="C10128" s="2" t="s">
        <v>5</v>
      </c>
      <c r="D10128" s="2" t="s">
        <v>7341</v>
      </c>
      <c r="E10128" s="2" t="str">
        <f>"9783319898834"</f>
        <v>9783319898834</v>
      </c>
      <c r="F10128" s="2" t="str">
        <f>"9783319898841"</f>
        <v>9783319898841</v>
      </c>
    </row>
    <row r="10129" spans="1:6" s="3" customFormat="1" ht="29.1" customHeight="1" x14ac:dyDescent="0.25">
      <c r="A10129" s="2" t="s">
        <v>20760</v>
      </c>
      <c r="B10129" s="2" t="s">
        <v>20761</v>
      </c>
      <c r="C10129" s="2" t="s">
        <v>5</v>
      </c>
      <c r="D10129" s="2" t="s">
        <v>479</v>
      </c>
      <c r="E10129" s="2" t="str">
        <f>"9783030362829"</f>
        <v>9783030362829</v>
      </c>
      <c r="F10129" s="2" t="str">
        <f>"9783030362836"</f>
        <v>9783030362836</v>
      </c>
    </row>
    <row r="10130" spans="1:6" s="3" customFormat="1" ht="29.1" customHeight="1" x14ac:dyDescent="0.25">
      <c r="A10130" s="2" t="s">
        <v>20762</v>
      </c>
      <c r="B10130" s="2" t="s">
        <v>20763</v>
      </c>
      <c r="C10130" s="2" t="s">
        <v>5</v>
      </c>
      <c r="D10130" s="2" t="s">
        <v>294</v>
      </c>
      <c r="E10130" s="2" t="str">
        <f>"9783319784601"</f>
        <v>9783319784601</v>
      </c>
      <c r="F10130" s="2" t="str">
        <f>"9783319784618"</f>
        <v>9783319784618</v>
      </c>
    </row>
    <row r="10131" spans="1:6" s="3" customFormat="1" ht="29.1" customHeight="1" x14ac:dyDescent="0.25">
      <c r="A10131" s="2" t="s">
        <v>20764</v>
      </c>
      <c r="B10131" s="2" t="s">
        <v>15080</v>
      </c>
      <c r="C10131" s="2" t="s">
        <v>5</v>
      </c>
      <c r="D10131" s="2" t="s">
        <v>1437</v>
      </c>
      <c r="E10131" s="2" t="str">
        <f>"9783658213435"</f>
        <v>9783658213435</v>
      </c>
      <c r="F10131" s="2" t="str">
        <f>"9783658213442"</f>
        <v>9783658213442</v>
      </c>
    </row>
    <row r="10132" spans="1:6" s="3" customFormat="1" ht="29.1" customHeight="1" x14ac:dyDescent="0.25">
      <c r="A10132" s="2" t="s">
        <v>20765</v>
      </c>
      <c r="B10132" s="2" t="s">
        <v>20766</v>
      </c>
      <c r="C10132" s="2" t="s">
        <v>5</v>
      </c>
      <c r="D10132" s="2" t="s">
        <v>459</v>
      </c>
      <c r="E10132" s="2" t="str">
        <f>"9783319782133"</f>
        <v>9783319782133</v>
      </c>
      <c r="F10132" s="2" t="str">
        <f>"9783319782140"</f>
        <v>9783319782140</v>
      </c>
    </row>
    <row r="10133" spans="1:6" s="3" customFormat="1" ht="29.1" customHeight="1" x14ac:dyDescent="0.25">
      <c r="A10133" s="2" t="s">
        <v>20767</v>
      </c>
      <c r="B10133" s="2" t="s">
        <v>20768</v>
      </c>
      <c r="C10133" s="2" t="s">
        <v>5</v>
      </c>
      <c r="D10133" s="2" t="s">
        <v>3581</v>
      </c>
      <c r="E10133" s="2" t="str">
        <f>"9783662666296"</f>
        <v>9783662666296</v>
      </c>
      <c r="F10133" s="2" t="str">
        <f>"9783662666302"</f>
        <v>9783662666302</v>
      </c>
    </row>
    <row r="10134" spans="1:6" s="3" customFormat="1" ht="29.1" customHeight="1" x14ac:dyDescent="0.25">
      <c r="A10134" s="2" t="s">
        <v>20769</v>
      </c>
      <c r="B10134" s="2" t="s">
        <v>20770</v>
      </c>
      <c r="C10134" s="2" t="s">
        <v>5</v>
      </c>
      <c r="D10134" s="2" t="s">
        <v>378</v>
      </c>
      <c r="E10134" s="2" t="str">
        <f>"9783319766959"</f>
        <v>9783319766959</v>
      </c>
      <c r="F10134" s="2" t="str">
        <f>"9783319766966"</f>
        <v>9783319766966</v>
      </c>
    </row>
    <row r="10135" spans="1:6" s="3" customFormat="1" ht="29.1" customHeight="1" x14ac:dyDescent="0.25">
      <c r="A10135" s="2" t="s">
        <v>20771</v>
      </c>
      <c r="B10135" s="2" t="s">
        <v>20772</v>
      </c>
      <c r="C10135" s="2" t="s">
        <v>5</v>
      </c>
      <c r="D10135" s="2" t="s">
        <v>5716</v>
      </c>
      <c r="E10135" s="2" t="str">
        <f>"9783319762210"</f>
        <v>9783319762210</v>
      </c>
      <c r="F10135" s="2" t="str">
        <f>"9783319762227"</f>
        <v>9783319762227</v>
      </c>
    </row>
    <row r="10136" spans="1:6" s="3" customFormat="1" ht="29.1" customHeight="1" x14ac:dyDescent="0.25">
      <c r="A10136" s="2" t="s">
        <v>20773</v>
      </c>
      <c r="B10136" s="2" t="s">
        <v>20774</v>
      </c>
      <c r="C10136" s="2" t="s">
        <v>5</v>
      </c>
      <c r="D10136" s="2" t="s">
        <v>98</v>
      </c>
      <c r="E10136" s="2" t="str">
        <f>"9783031323089"</f>
        <v>9783031323089</v>
      </c>
      <c r="F10136" s="2" t="str">
        <f>"9783031323096"</f>
        <v>9783031323096</v>
      </c>
    </row>
    <row r="10137" spans="1:6" s="3" customFormat="1" ht="29.1" customHeight="1" x14ac:dyDescent="0.25">
      <c r="A10137" s="2" t="s">
        <v>20775</v>
      </c>
      <c r="B10137" s="2" t="s">
        <v>20776</v>
      </c>
      <c r="C10137" s="2" t="s">
        <v>5</v>
      </c>
      <c r="D10137" s="2" t="s">
        <v>141</v>
      </c>
      <c r="E10137" s="2" t="str">
        <f>"9783031314933"</f>
        <v>9783031314933</v>
      </c>
      <c r="F10137" s="2" t="str">
        <f>"9783031314940"</f>
        <v>9783031314940</v>
      </c>
    </row>
    <row r="10138" spans="1:6" s="3" customFormat="1" ht="29.1" customHeight="1" x14ac:dyDescent="0.25">
      <c r="A10138" s="2" t="s">
        <v>20777</v>
      </c>
      <c r="B10138" s="2" t="s">
        <v>20778</v>
      </c>
      <c r="C10138" s="2" t="s">
        <v>5</v>
      </c>
      <c r="D10138" s="2" t="s">
        <v>98</v>
      </c>
      <c r="E10138" s="2" t="str">
        <f>"9783030546595"</f>
        <v>9783030546595</v>
      </c>
      <c r="F10138" s="2" t="str">
        <f>"9783030546601"</f>
        <v>9783030546601</v>
      </c>
    </row>
    <row r="10139" spans="1:6" s="3" customFormat="1" ht="29.1" customHeight="1" x14ac:dyDescent="0.25">
      <c r="A10139" s="2" t="s">
        <v>20779</v>
      </c>
      <c r="B10139" s="2" t="s">
        <v>20780</v>
      </c>
      <c r="C10139" s="2" t="s">
        <v>5</v>
      </c>
      <c r="D10139" s="2" t="s">
        <v>98</v>
      </c>
      <c r="E10139" s="2" t="str">
        <f>"9783030431976"</f>
        <v>9783030431976</v>
      </c>
      <c r="F10139" s="2" t="str">
        <f>"9783030431983"</f>
        <v>9783030431983</v>
      </c>
    </row>
    <row r="10140" spans="1:6" s="3" customFormat="1" ht="29.1" customHeight="1" x14ac:dyDescent="0.25">
      <c r="A10140" s="2" t="s">
        <v>20781</v>
      </c>
      <c r="B10140" s="2" t="s">
        <v>20782</v>
      </c>
      <c r="C10140" s="2" t="s">
        <v>5</v>
      </c>
      <c r="D10140" s="2" t="s">
        <v>98</v>
      </c>
      <c r="E10140" s="2" t="str">
        <f>"9783030411091"</f>
        <v>9783030411091</v>
      </c>
      <c r="F10140" s="2" t="str">
        <f>"9783030411107"</f>
        <v>9783030411107</v>
      </c>
    </row>
    <row r="10141" spans="1:6" s="3" customFormat="1" ht="29.1" customHeight="1" x14ac:dyDescent="0.25">
      <c r="A10141" s="2" t="s">
        <v>20783</v>
      </c>
      <c r="B10141" s="2" t="s">
        <v>20784</v>
      </c>
      <c r="C10141" s="2" t="s">
        <v>5</v>
      </c>
      <c r="D10141" s="2" t="s">
        <v>98</v>
      </c>
      <c r="E10141" s="2" t="str">
        <f>"9783030398620"</f>
        <v>9783030398620</v>
      </c>
      <c r="F10141" s="2" t="str">
        <f>"9783030398637"</f>
        <v>9783030398637</v>
      </c>
    </row>
    <row r="10142" spans="1:6" s="3" customFormat="1" ht="29.1" customHeight="1" x14ac:dyDescent="0.25">
      <c r="A10142" s="2" t="s">
        <v>20785</v>
      </c>
      <c r="B10142" s="2" t="s">
        <v>20786</v>
      </c>
      <c r="C10142" s="2" t="s">
        <v>5</v>
      </c>
      <c r="D10142" s="2" t="s">
        <v>98</v>
      </c>
      <c r="E10142" s="2" t="str">
        <f>"9783030023294"</f>
        <v>9783030023294</v>
      </c>
      <c r="F10142" s="2" t="str">
        <f>"9783030023300"</f>
        <v>9783030023300</v>
      </c>
    </row>
    <row r="10143" spans="1:6" s="3" customFormat="1" ht="29.1" customHeight="1" x14ac:dyDescent="0.25">
      <c r="A10143" s="2" t="s">
        <v>20787</v>
      </c>
      <c r="B10143" s="2" t="s">
        <v>20788</v>
      </c>
      <c r="C10143" s="2" t="s">
        <v>5</v>
      </c>
      <c r="D10143" s="2" t="s">
        <v>5228</v>
      </c>
      <c r="E10143" s="2" t="str">
        <f>"9783319760377"</f>
        <v>9783319760377</v>
      </c>
      <c r="F10143" s="2" t="str">
        <f>"9783319760384"</f>
        <v>9783319760384</v>
      </c>
    </row>
    <row r="10144" spans="1:6" s="3" customFormat="1" ht="29.1" customHeight="1" x14ac:dyDescent="0.25">
      <c r="A10144" s="2" t="s">
        <v>20789</v>
      </c>
      <c r="B10144" s="2" t="s">
        <v>20790</v>
      </c>
      <c r="C10144" s="2" t="s">
        <v>5</v>
      </c>
      <c r="D10144" s="2" t="s">
        <v>15</v>
      </c>
      <c r="E10144" s="2" t="str">
        <f>"9783319752914"</f>
        <v>9783319752914</v>
      </c>
      <c r="F10144" s="2" t="str">
        <f>"9783319752921"</f>
        <v>9783319752921</v>
      </c>
    </row>
    <row r="10145" spans="1:6" s="3" customFormat="1" ht="29.1" customHeight="1" x14ac:dyDescent="0.25">
      <c r="A10145" s="2" t="s">
        <v>20791</v>
      </c>
      <c r="B10145" s="2" t="s">
        <v>20792</v>
      </c>
      <c r="C10145" s="2" t="s">
        <v>5</v>
      </c>
      <c r="D10145" s="2" t="s">
        <v>889</v>
      </c>
      <c r="E10145" s="2" t="str">
        <f>"9783030886813"</f>
        <v>9783030886813</v>
      </c>
      <c r="F10145" s="2" t="str">
        <f>"9783030886820"</f>
        <v>9783030886820</v>
      </c>
    </row>
    <row r="10146" spans="1:6" s="3" customFormat="1" ht="29.1" customHeight="1" x14ac:dyDescent="0.25">
      <c r="A10146" s="2" t="s">
        <v>20793</v>
      </c>
      <c r="B10146" s="2" t="s">
        <v>10980</v>
      </c>
      <c r="C10146" s="2" t="s">
        <v>5</v>
      </c>
      <c r="D10146" s="2" t="s">
        <v>2877</v>
      </c>
      <c r="E10146" s="2" t="str">
        <f>"9783319739625"</f>
        <v>9783319739625</v>
      </c>
      <c r="F10146" s="2" t="str">
        <f>"9783319739632"</f>
        <v>9783319739632</v>
      </c>
    </row>
    <row r="10147" spans="1:6" s="3" customFormat="1" ht="29.1" customHeight="1" x14ac:dyDescent="0.25">
      <c r="A10147" s="2" t="s">
        <v>20794</v>
      </c>
      <c r="B10147" s="2" t="s">
        <v>20795</v>
      </c>
      <c r="C10147" s="2" t="s">
        <v>5</v>
      </c>
      <c r="D10147" s="2" t="s">
        <v>431</v>
      </c>
      <c r="E10147" s="2" t="str">
        <f>"9783319739892"</f>
        <v>9783319739892</v>
      </c>
      <c r="F10147" s="2" t="str">
        <f>"9783319739908"</f>
        <v>9783319739908</v>
      </c>
    </row>
    <row r="10148" spans="1:6" s="3" customFormat="1" ht="29.1" customHeight="1" x14ac:dyDescent="0.25">
      <c r="A10148" s="2" t="s">
        <v>20796</v>
      </c>
      <c r="B10148" s="2" t="s">
        <v>20798</v>
      </c>
      <c r="C10148" s="2" t="s">
        <v>5</v>
      </c>
      <c r="D10148" s="2" t="s">
        <v>20797</v>
      </c>
      <c r="E10148" s="2" t="str">
        <f>"9783662667835"</f>
        <v>9783662667835</v>
      </c>
      <c r="F10148" s="2" t="str">
        <f>"9783662667842"</f>
        <v>9783662667842</v>
      </c>
    </row>
    <row r="10149" spans="1:6" s="3" customFormat="1" ht="29.1" customHeight="1" x14ac:dyDescent="0.25">
      <c r="A10149" s="2" t="s">
        <v>20799</v>
      </c>
      <c r="B10149" s="2" t="s">
        <v>20800</v>
      </c>
      <c r="C10149" s="2" t="s">
        <v>5</v>
      </c>
      <c r="D10149" s="2" t="s">
        <v>12</v>
      </c>
      <c r="E10149" s="2" t="str">
        <f>"9783030994310"</f>
        <v>9783030994310</v>
      </c>
      <c r="F10149" s="2" t="str">
        <f>"9783030994327"</f>
        <v>9783030994327</v>
      </c>
    </row>
    <row r="10150" spans="1:6" s="3" customFormat="1" ht="29.1" customHeight="1" x14ac:dyDescent="0.25">
      <c r="A10150" s="2" t="s">
        <v>20801</v>
      </c>
      <c r="B10150" s="2" t="s">
        <v>20802</v>
      </c>
      <c r="C10150" s="2" t="s">
        <v>5</v>
      </c>
      <c r="D10150" s="2" t="s">
        <v>364</v>
      </c>
      <c r="E10150" s="2" t="str">
        <f>"9783658417888"</f>
        <v>9783658417888</v>
      </c>
      <c r="F10150" s="2" t="str">
        <f>"9783658417895"</f>
        <v>9783658417895</v>
      </c>
    </row>
    <row r="10151" spans="1:6" s="3" customFormat="1" ht="29.1" customHeight="1" x14ac:dyDescent="0.25">
      <c r="A10151" s="2" t="s">
        <v>20803</v>
      </c>
      <c r="B10151" s="2" t="s">
        <v>20804</v>
      </c>
      <c r="C10151" s="2" t="s">
        <v>5</v>
      </c>
      <c r="D10151" s="2" t="s">
        <v>364</v>
      </c>
      <c r="E10151" s="2" t="str">
        <f>"9783658383008"</f>
        <v>9783658383008</v>
      </c>
      <c r="F10151" s="2" t="str">
        <f>"9783658383015"</f>
        <v>9783658383015</v>
      </c>
    </row>
    <row r="10152" spans="1:6" s="3" customFormat="1" ht="29.1" customHeight="1" x14ac:dyDescent="0.25">
      <c r="A10152" s="2" t="s">
        <v>20805</v>
      </c>
      <c r="B10152" s="2" t="s">
        <v>20806</v>
      </c>
      <c r="C10152" s="2" t="s">
        <v>5</v>
      </c>
      <c r="D10152" s="2" t="s">
        <v>381</v>
      </c>
      <c r="E10152" s="2" t="str">
        <f>"9783658205393"</f>
        <v>9783658205393</v>
      </c>
      <c r="F10152" s="2" t="str">
        <f>"9783658205409"</f>
        <v>9783658205409</v>
      </c>
    </row>
    <row r="10153" spans="1:6" s="3" customFormat="1" ht="29.1" customHeight="1" x14ac:dyDescent="0.25">
      <c r="A10153" s="2" t="s">
        <v>20807</v>
      </c>
      <c r="B10153" s="2" t="s">
        <v>20808</v>
      </c>
      <c r="C10153" s="2" t="s">
        <v>5</v>
      </c>
      <c r="D10153" s="2" t="s">
        <v>178</v>
      </c>
      <c r="E10153" s="2" t="str">
        <f>"9783319730189"</f>
        <v>9783319730189</v>
      </c>
      <c r="F10153" s="2" t="str">
        <f>"9783319730196"</f>
        <v>9783319730196</v>
      </c>
    </row>
    <row r="10154" spans="1:6" s="3" customFormat="1" ht="29.1" customHeight="1" x14ac:dyDescent="0.25">
      <c r="A10154" s="2" t="s">
        <v>20809</v>
      </c>
      <c r="B10154" s="2" t="s">
        <v>20810</v>
      </c>
      <c r="C10154" s="2" t="s">
        <v>5</v>
      </c>
      <c r="D10154" s="2" t="s">
        <v>3055</v>
      </c>
      <c r="E10154" s="2" t="str">
        <f>"9789811076169"</f>
        <v>9789811076169</v>
      </c>
      <c r="F10154" s="2" t="str">
        <f>"9789811076176"</f>
        <v>9789811076176</v>
      </c>
    </row>
    <row r="10155" spans="1:6" s="3" customFormat="1" ht="29.1" customHeight="1" x14ac:dyDescent="0.25">
      <c r="A10155" s="2" t="s">
        <v>20811</v>
      </c>
      <c r="B10155" s="2" t="s">
        <v>20812</v>
      </c>
      <c r="C10155" s="2" t="s">
        <v>5</v>
      </c>
      <c r="D10155" s="2" t="s">
        <v>3062</v>
      </c>
      <c r="E10155" s="2" t="str">
        <f>"9783319723556"</f>
        <v>9783319723556</v>
      </c>
      <c r="F10155" s="2" t="str">
        <f>"9783319723563"</f>
        <v>9783319723563</v>
      </c>
    </row>
    <row r="10156" spans="1:6" s="3" customFormat="1" ht="29.1" customHeight="1" x14ac:dyDescent="0.25">
      <c r="A10156" s="2" t="s">
        <v>20813</v>
      </c>
      <c r="B10156" s="2" t="s">
        <v>20814</v>
      </c>
      <c r="C10156" s="2" t="s">
        <v>5</v>
      </c>
      <c r="D10156" s="2" t="s">
        <v>6</v>
      </c>
      <c r="E10156" s="2" t="str">
        <f>"9789811075476"</f>
        <v>9789811075476</v>
      </c>
      <c r="F10156" s="2" t="str">
        <f>"9789811075483"</f>
        <v>9789811075483</v>
      </c>
    </row>
    <row r="10157" spans="1:6" s="3" customFormat="1" ht="29.1" customHeight="1" x14ac:dyDescent="0.25">
      <c r="A10157" s="2" t="s">
        <v>20815</v>
      </c>
      <c r="B10157" s="2" t="s">
        <v>20816</v>
      </c>
      <c r="C10157" s="2" t="s">
        <v>5</v>
      </c>
      <c r="D10157" s="2" t="s">
        <v>13618</v>
      </c>
      <c r="E10157" s="2" t="str">
        <f>"9783030742263"</f>
        <v>9783030742263</v>
      </c>
      <c r="F10157" s="2" t="str">
        <f>"9783030742270"</f>
        <v>9783030742270</v>
      </c>
    </row>
    <row r="10158" spans="1:6" s="3" customFormat="1" ht="29.1" customHeight="1" x14ac:dyDescent="0.25">
      <c r="A10158" s="2" t="s">
        <v>20817</v>
      </c>
      <c r="B10158" s="2" t="s">
        <v>20818</v>
      </c>
      <c r="C10158" s="2" t="s">
        <v>5</v>
      </c>
      <c r="D10158" s="2" t="s">
        <v>791</v>
      </c>
      <c r="E10158" s="2" t="str">
        <f>"9783030610708"</f>
        <v>9783030610708</v>
      </c>
      <c r="F10158" s="2" t="str">
        <f>"9783030610715"</f>
        <v>9783030610715</v>
      </c>
    </row>
    <row r="10159" spans="1:6" s="3" customFormat="1" ht="29.1" customHeight="1" x14ac:dyDescent="0.25">
      <c r="A10159" s="2" t="s">
        <v>20819</v>
      </c>
      <c r="B10159" s="2" t="s">
        <v>20516</v>
      </c>
      <c r="C10159" s="2" t="s">
        <v>5</v>
      </c>
      <c r="D10159" s="2" t="s">
        <v>984</v>
      </c>
      <c r="E10159" s="2" t="str">
        <f>"9783319717814"</f>
        <v>9783319717814</v>
      </c>
      <c r="F10159" s="2" t="str">
        <f>"9783319717821"</f>
        <v>9783319717821</v>
      </c>
    </row>
    <row r="10160" spans="1:6" s="3" customFormat="1" ht="29.1" customHeight="1" x14ac:dyDescent="0.25">
      <c r="A10160" s="2" t="s">
        <v>20820</v>
      </c>
      <c r="B10160" s="2" t="s">
        <v>20821</v>
      </c>
      <c r="C10160" s="2" t="s">
        <v>5</v>
      </c>
      <c r="D10160" s="2" t="s">
        <v>72</v>
      </c>
      <c r="E10160" s="2" t="str">
        <f>"9783319714721"</f>
        <v>9783319714721</v>
      </c>
      <c r="F10160" s="2" t="str">
        <f>"9783319714738"</f>
        <v>9783319714738</v>
      </c>
    </row>
    <row r="10161" spans="1:6" s="3" customFormat="1" ht="29.1" customHeight="1" x14ac:dyDescent="0.25">
      <c r="A10161" s="2" t="s">
        <v>20822</v>
      </c>
      <c r="B10161" s="2" t="s">
        <v>20823</v>
      </c>
      <c r="C10161" s="2" t="s">
        <v>5</v>
      </c>
      <c r="D10161" s="2" t="s">
        <v>2749</v>
      </c>
      <c r="E10161" s="2" t="str">
        <f>"9783319714158"</f>
        <v>9783319714158</v>
      </c>
      <c r="F10161" s="2" t="str">
        <f>"9783319714165"</f>
        <v>9783319714165</v>
      </c>
    </row>
    <row r="10162" spans="1:6" s="3" customFormat="1" ht="29.1" customHeight="1" x14ac:dyDescent="0.25">
      <c r="A10162" s="2" t="s">
        <v>20824</v>
      </c>
      <c r="B10162" s="2" t="s">
        <v>20825</v>
      </c>
      <c r="C10162" s="2" t="s">
        <v>5</v>
      </c>
      <c r="D10162" s="2" t="s">
        <v>256</v>
      </c>
      <c r="E10162" s="2" t="str">
        <f>"9783319714639"</f>
        <v>9783319714639</v>
      </c>
      <c r="F10162" s="2" t="str">
        <f>"9783319714646"</f>
        <v>9783319714646</v>
      </c>
    </row>
    <row r="10163" spans="1:6" s="3" customFormat="1" ht="29.1" customHeight="1" x14ac:dyDescent="0.25">
      <c r="A10163" s="2" t="s">
        <v>20826</v>
      </c>
      <c r="B10163" s="2" t="s">
        <v>20827</v>
      </c>
      <c r="C10163" s="2" t="s">
        <v>5</v>
      </c>
      <c r="D10163" s="2" t="s">
        <v>353</v>
      </c>
      <c r="E10163" s="2" t="str">
        <f>"9783319710921"</f>
        <v>9783319710921</v>
      </c>
      <c r="F10163" s="2" t="str">
        <f>"9783319710938"</f>
        <v>9783319710938</v>
      </c>
    </row>
    <row r="10164" spans="1:6" s="3" customFormat="1" ht="29.1" customHeight="1" x14ac:dyDescent="0.25">
      <c r="A10164" s="2" t="s">
        <v>20828</v>
      </c>
      <c r="B10164" s="2" t="s">
        <v>20829</v>
      </c>
      <c r="C10164" s="2" t="s">
        <v>5</v>
      </c>
      <c r="D10164" s="2" t="s">
        <v>95</v>
      </c>
      <c r="E10164" s="2" t="str">
        <f>"9789811071812"</f>
        <v>9789811071812</v>
      </c>
      <c r="F10164" s="2" t="str">
        <f>"9789811071829"</f>
        <v>9789811071829</v>
      </c>
    </row>
    <row r="10165" spans="1:6" s="3" customFormat="1" ht="29.1" customHeight="1" x14ac:dyDescent="0.25">
      <c r="A10165" s="2" t="s">
        <v>20830</v>
      </c>
      <c r="B10165" s="2" t="s">
        <v>20831</v>
      </c>
      <c r="C10165" s="2" t="s">
        <v>5</v>
      </c>
      <c r="D10165" s="2" t="s">
        <v>249</v>
      </c>
      <c r="E10165" s="2" t="str">
        <f>"9789811071188"</f>
        <v>9789811071188</v>
      </c>
      <c r="F10165" s="2" t="str">
        <f>"9789811071195"</f>
        <v>9789811071195</v>
      </c>
    </row>
    <row r="10166" spans="1:6" s="3" customFormat="1" ht="29.1" customHeight="1" x14ac:dyDescent="0.25">
      <c r="A10166" s="2" t="s">
        <v>20832</v>
      </c>
      <c r="B10166" s="2" t="s">
        <v>20833</v>
      </c>
      <c r="C10166" s="2" t="s">
        <v>5</v>
      </c>
      <c r="D10166" s="2" t="s">
        <v>302</v>
      </c>
      <c r="E10166" s="2" t="str">
        <f>"9783658332457"</f>
        <v>9783658332457</v>
      </c>
      <c r="F10166" s="2" t="str">
        <f>"9783658332464"</f>
        <v>9783658332464</v>
      </c>
    </row>
    <row r="10167" spans="1:6" s="3" customFormat="1" ht="29.1" customHeight="1" x14ac:dyDescent="0.25">
      <c r="A10167" s="2" t="s">
        <v>20834</v>
      </c>
      <c r="B10167" s="2" t="s">
        <v>20835</v>
      </c>
      <c r="C10167" s="2" t="s">
        <v>5</v>
      </c>
      <c r="D10167" s="2" t="s">
        <v>86</v>
      </c>
      <c r="E10167" s="2" t="str">
        <f>"9783319699288"</f>
        <v>9783319699288</v>
      </c>
      <c r="F10167" s="2" t="str">
        <f>"9783319699295"</f>
        <v>9783319699295</v>
      </c>
    </row>
    <row r="10168" spans="1:6" s="3" customFormat="1" ht="29.1" customHeight="1" x14ac:dyDescent="0.25">
      <c r="A10168" s="2" t="s">
        <v>20836</v>
      </c>
      <c r="B10168" s="2" t="s">
        <v>20837</v>
      </c>
      <c r="C10168" s="2" t="s">
        <v>5</v>
      </c>
      <c r="D10168" s="2" t="s">
        <v>339</v>
      </c>
      <c r="E10168" s="2" t="str">
        <f>"9783662667774"</f>
        <v>9783662667774</v>
      </c>
      <c r="F10168" s="2" t="str">
        <f>"9783662667781"</f>
        <v>9783662667781</v>
      </c>
    </row>
    <row r="10169" spans="1:6" s="3" customFormat="1" ht="29.1" customHeight="1" x14ac:dyDescent="0.25">
      <c r="A10169" s="2" t="s">
        <v>20838</v>
      </c>
      <c r="B10169" s="2" t="s">
        <v>20839</v>
      </c>
      <c r="C10169" s="2" t="s">
        <v>5</v>
      </c>
      <c r="D10169" s="2" t="s">
        <v>2019</v>
      </c>
      <c r="E10169" s="2" t="str">
        <f>"9783319697710"</f>
        <v>9783319697710</v>
      </c>
      <c r="F10169" s="2" t="str">
        <f>"9783319697727"</f>
        <v>9783319697727</v>
      </c>
    </row>
    <row r="10170" spans="1:6" s="3" customFormat="1" ht="29.1" customHeight="1" x14ac:dyDescent="0.25">
      <c r="A10170" s="2" t="s">
        <v>20840</v>
      </c>
      <c r="B10170" s="2" t="s">
        <v>20841</v>
      </c>
      <c r="C10170" s="2" t="s">
        <v>5</v>
      </c>
      <c r="D10170" s="2" t="s">
        <v>479</v>
      </c>
      <c r="E10170" s="2" t="str">
        <f>"9783319695389"</f>
        <v>9783319695389</v>
      </c>
      <c r="F10170" s="2" t="str">
        <f>"9783319695396"</f>
        <v>9783319695396</v>
      </c>
    </row>
    <row r="10171" spans="1:6" s="3" customFormat="1" ht="29.1" customHeight="1" x14ac:dyDescent="0.25">
      <c r="A10171" s="2" t="s">
        <v>20842</v>
      </c>
      <c r="B10171" s="2" t="s">
        <v>20843</v>
      </c>
      <c r="C10171" s="2" t="s">
        <v>5</v>
      </c>
      <c r="D10171" s="2" t="s">
        <v>12</v>
      </c>
      <c r="E10171" s="2" t="str">
        <f>"9783319692982"</f>
        <v>9783319692982</v>
      </c>
      <c r="F10171" s="2" t="str">
        <f>"9783319692999"</f>
        <v>9783319692999</v>
      </c>
    </row>
    <row r="10172" spans="1:6" s="3" customFormat="1" ht="29.1" customHeight="1" x14ac:dyDescent="0.25">
      <c r="A10172" s="2" t="s">
        <v>20844</v>
      </c>
      <c r="B10172" s="2" t="s">
        <v>20845</v>
      </c>
      <c r="C10172" s="2" t="s">
        <v>5</v>
      </c>
      <c r="D10172" s="2" t="s">
        <v>270</v>
      </c>
      <c r="E10172" s="2" t="str">
        <f>"9783319689654"</f>
        <v>9783319689654</v>
      </c>
      <c r="F10172" s="2" t="str">
        <f>"9783319689661"</f>
        <v>9783319689661</v>
      </c>
    </row>
    <row r="10173" spans="1:6" s="3" customFormat="1" ht="29.1" customHeight="1" x14ac:dyDescent="0.25">
      <c r="A10173" s="2" t="s">
        <v>20846</v>
      </c>
      <c r="B10173" s="2" t="s">
        <v>20847</v>
      </c>
      <c r="C10173" s="2" t="s">
        <v>5</v>
      </c>
      <c r="D10173" s="2" t="s">
        <v>20659</v>
      </c>
      <c r="E10173" s="2" t="str">
        <f>"9783662559178"</f>
        <v>9783662559178</v>
      </c>
      <c r="F10173" s="2" t="str">
        <f>"9783662559185"</f>
        <v>9783662559185</v>
      </c>
    </row>
    <row r="10174" spans="1:6" s="3" customFormat="1" ht="29.1" customHeight="1" x14ac:dyDescent="0.25">
      <c r="A10174" s="2" t="s">
        <v>20848</v>
      </c>
      <c r="B10174" s="2" t="s">
        <v>20849</v>
      </c>
      <c r="C10174" s="2" t="s">
        <v>5</v>
      </c>
      <c r="D10174" s="2" t="s">
        <v>12</v>
      </c>
      <c r="E10174" s="2" t="str">
        <f>"9783319684178"</f>
        <v>9783319684178</v>
      </c>
      <c r="F10174" s="2" t="str">
        <f>"9783319684185"</f>
        <v>9783319684185</v>
      </c>
    </row>
    <row r="10175" spans="1:6" s="3" customFormat="1" ht="29.1" customHeight="1" x14ac:dyDescent="0.25">
      <c r="A10175" s="2" t="s">
        <v>20850</v>
      </c>
      <c r="B10175" s="2" t="s">
        <v>20851</v>
      </c>
      <c r="C10175" s="2" t="s">
        <v>5</v>
      </c>
      <c r="D10175" s="2" t="s">
        <v>20736</v>
      </c>
      <c r="E10175" s="2" t="str">
        <f>"9789819942497"</f>
        <v>9789819942497</v>
      </c>
      <c r="F10175" s="2" t="str">
        <f>"9789819942503"</f>
        <v>9789819942503</v>
      </c>
    </row>
    <row r="10176" spans="1:6" s="3" customFormat="1" ht="29.1" customHeight="1" x14ac:dyDescent="0.25">
      <c r="A10176" s="2" t="s">
        <v>20852</v>
      </c>
      <c r="B10176" s="2" t="s">
        <v>20853</v>
      </c>
      <c r="C10176" s="2" t="s">
        <v>5</v>
      </c>
      <c r="D10176" s="2" t="s">
        <v>113</v>
      </c>
      <c r="E10176" s="2" t="str">
        <f>"9783030638917"</f>
        <v>9783030638917</v>
      </c>
      <c r="F10176" s="2" t="str">
        <f>"9783030638924"</f>
        <v>9783030638924</v>
      </c>
    </row>
    <row r="10177" spans="1:6" s="3" customFormat="1" ht="29.1" customHeight="1" x14ac:dyDescent="0.25">
      <c r="A10177" s="2" t="s">
        <v>20854</v>
      </c>
      <c r="B10177" s="2" t="s">
        <v>20855</v>
      </c>
      <c r="C10177" s="2" t="s">
        <v>5</v>
      </c>
      <c r="D10177" s="2" t="s">
        <v>14256</v>
      </c>
      <c r="E10177" s="2" t="str">
        <f>"9783030845131"</f>
        <v>9783030845131</v>
      </c>
      <c r="F10177" s="2" t="str">
        <f>"9783030845148"</f>
        <v>9783030845148</v>
      </c>
    </row>
    <row r="10178" spans="1:6" s="3" customFormat="1" ht="29.1" customHeight="1" x14ac:dyDescent="0.25">
      <c r="A10178" s="2" t="s">
        <v>20856</v>
      </c>
      <c r="B10178" s="2" t="s">
        <v>20857</v>
      </c>
      <c r="C10178" s="2" t="s">
        <v>5</v>
      </c>
      <c r="D10178" s="2" t="s">
        <v>5099</v>
      </c>
      <c r="E10178" s="2" t="str">
        <f>"9783662557044"</f>
        <v>9783662557044</v>
      </c>
      <c r="F10178" s="2" t="str">
        <f>"9783662557051"</f>
        <v>9783662557051</v>
      </c>
    </row>
    <row r="10179" spans="1:6" s="3" customFormat="1" ht="29.1" customHeight="1" x14ac:dyDescent="0.25">
      <c r="A10179" s="2" t="s">
        <v>20858</v>
      </c>
      <c r="B10179" s="2" t="s">
        <v>20857</v>
      </c>
      <c r="C10179" s="2" t="s">
        <v>5</v>
      </c>
      <c r="D10179" s="2" t="s">
        <v>5099</v>
      </c>
      <c r="E10179" s="2" t="str">
        <f>"9783662557068"</f>
        <v>9783662557068</v>
      </c>
      <c r="F10179" s="2" t="str">
        <f>"9783662557075"</f>
        <v>9783662557075</v>
      </c>
    </row>
    <row r="10180" spans="1:6" s="3" customFormat="1" ht="29.1" customHeight="1" x14ac:dyDescent="0.25">
      <c r="A10180" s="2" t="s">
        <v>20859</v>
      </c>
      <c r="B10180" s="2" t="s">
        <v>20860</v>
      </c>
      <c r="C10180" s="2" t="s">
        <v>5</v>
      </c>
      <c r="D10180" s="2" t="s">
        <v>3319</v>
      </c>
      <c r="E10180" s="2" t="str">
        <f>"9783319656380"</f>
        <v>9783319656380</v>
      </c>
      <c r="F10180" s="2" t="str">
        <f>"9783319656397"</f>
        <v>9783319656397</v>
      </c>
    </row>
    <row r="10181" spans="1:6" s="3" customFormat="1" ht="29.1" customHeight="1" x14ac:dyDescent="0.25">
      <c r="A10181" s="2" t="s">
        <v>20861</v>
      </c>
      <c r="B10181" s="2" t="s">
        <v>20862</v>
      </c>
      <c r="C10181" s="2" t="s">
        <v>5</v>
      </c>
      <c r="D10181" s="2" t="s">
        <v>636</v>
      </c>
      <c r="E10181" s="2" t="str">
        <f>"9783030570804"</f>
        <v>9783030570804</v>
      </c>
      <c r="F10181" s="2" t="str">
        <f>"9783030570811"</f>
        <v>9783030570811</v>
      </c>
    </row>
    <row r="10182" spans="1:6" s="3" customFormat="1" ht="29.1" customHeight="1" x14ac:dyDescent="0.25">
      <c r="A10182" s="2" t="s">
        <v>20863</v>
      </c>
      <c r="B10182" s="2" t="s">
        <v>20864</v>
      </c>
      <c r="C10182" s="2" t="s">
        <v>5</v>
      </c>
      <c r="D10182" s="2" t="s">
        <v>192</v>
      </c>
      <c r="E10182" s="2" t="str">
        <f>"9789811061288"</f>
        <v>9789811061288</v>
      </c>
      <c r="F10182" s="2" t="str">
        <f>"9789811061295"</f>
        <v>9789811061295</v>
      </c>
    </row>
    <row r="10183" spans="1:6" s="3" customFormat="1" ht="29.1" customHeight="1" x14ac:dyDescent="0.25">
      <c r="A10183" s="2" t="s">
        <v>20865</v>
      </c>
      <c r="B10183" s="2" t="s">
        <v>20866</v>
      </c>
      <c r="C10183" s="2" t="s">
        <v>5</v>
      </c>
      <c r="D10183" s="2" t="s">
        <v>6511</v>
      </c>
      <c r="E10183" s="2" t="str">
        <f>"9783030786267"</f>
        <v>9783030786267</v>
      </c>
      <c r="F10183" s="2" t="str">
        <f>"9783030786274"</f>
        <v>9783030786274</v>
      </c>
    </row>
    <row r="10184" spans="1:6" s="3" customFormat="1" ht="29.1" customHeight="1" x14ac:dyDescent="0.25">
      <c r="A10184" s="2" t="s">
        <v>20867</v>
      </c>
      <c r="B10184" s="2" t="s">
        <v>20868</v>
      </c>
      <c r="C10184" s="2" t="s">
        <v>5</v>
      </c>
      <c r="D10184" s="2" t="s">
        <v>81</v>
      </c>
      <c r="E10184" s="2" t="str">
        <f>"9789811060106"</f>
        <v>9789811060106</v>
      </c>
      <c r="F10184" s="2" t="str">
        <f>"9789811060113"</f>
        <v>9789811060113</v>
      </c>
    </row>
    <row r="10185" spans="1:6" s="3" customFormat="1" ht="29.1" customHeight="1" x14ac:dyDescent="0.25">
      <c r="A10185" s="2" t="s">
        <v>20869</v>
      </c>
      <c r="B10185" s="2" t="s">
        <v>20870</v>
      </c>
      <c r="C10185" s="2" t="s">
        <v>5</v>
      </c>
      <c r="D10185" s="2" t="s">
        <v>2008</v>
      </c>
      <c r="E10185" s="2" t="str">
        <f>"9783031367045"</f>
        <v>9783031367045</v>
      </c>
      <c r="F10185" s="2" t="str">
        <f>"9783031367052"</f>
        <v>9783031367052</v>
      </c>
    </row>
    <row r="10186" spans="1:6" s="3" customFormat="1" ht="29.1" customHeight="1" x14ac:dyDescent="0.25">
      <c r="A10186" s="2" t="s">
        <v>20871</v>
      </c>
      <c r="B10186" s="2" t="s">
        <v>20872</v>
      </c>
      <c r="C10186" s="2" t="s">
        <v>5</v>
      </c>
      <c r="D10186" s="2" t="s">
        <v>183</v>
      </c>
      <c r="E10186" s="2" t="str">
        <f>"9783658309190"</f>
        <v>9783658309190</v>
      </c>
      <c r="F10186" s="2" t="str">
        <f>"9783658309206"</f>
        <v>9783658309206</v>
      </c>
    </row>
    <row r="10187" spans="1:6" s="3" customFormat="1" ht="29.1" customHeight="1" x14ac:dyDescent="0.25">
      <c r="A10187" s="2" t="s">
        <v>20873</v>
      </c>
      <c r="B10187" s="2" t="s">
        <v>19752</v>
      </c>
      <c r="C10187" s="2" t="s">
        <v>5</v>
      </c>
      <c r="D10187" s="2" t="s">
        <v>104</v>
      </c>
      <c r="E10187" s="2" t="str">
        <f>"9783319633176"</f>
        <v>9783319633176</v>
      </c>
      <c r="F10187" s="2" t="str">
        <f>"9783319633183"</f>
        <v>9783319633183</v>
      </c>
    </row>
    <row r="10188" spans="1:6" s="3" customFormat="1" ht="29.1" customHeight="1" x14ac:dyDescent="0.25">
      <c r="A10188" s="2" t="s">
        <v>20874</v>
      </c>
      <c r="B10188" s="2" t="s">
        <v>20875</v>
      </c>
      <c r="C10188" s="2" t="s">
        <v>5</v>
      </c>
      <c r="D10188" s="2" t="s">
        <v>350</v>
      </c>
      <c r="E10188" s="2" t="str">
        <f>"9783658368265"</f>
        <v>9783658368265</v>
      </c>
      <c r="F10188" s="2" t="str">
        <f>"9783658368272"</f>
        <v>9783658368272</v>
      </c>
    </row>
    <row r="10189" spans="1:6" s="3" customFormat="1" ht="29.1" customHeight="1" x14ac:dyDescent="0.25">
      <c r="A10189" s="2" t="s">
        <v>20876</v>
      </c>
      <c r="B10189" s="2" t="s">
        <v>20877</v>
      </c>
      <c r="C10189" s="2" t="s">
        <v>5</v>
      </c>
      <c r="D10189" s="2" t="s">
        <v>33</v>
      </c>
      <c r="E10189" s="2" t="str">
        <f>"9783662670460"</f>
        <v>9783662670460</v>
      </c>
      <c r="F10189" s="2" t="str">
        <f>"9783662670477"</f>
        <v>9783662670477</v>
      </c>
    </row>
    <row r="10190" spans="1:6" s="3" customFormat="1" ht="29.1" customHeight="1" x14ac:dyDescent="0.25">
      <c r="A10190" s="2" t="s">
        <v>20878</v>
      </c>
      <c r="B10190" s="2" t="s">
        <v>20879</v>
      </c>
      <c r="C10190" s="2" t="s">
        <v>5</v>
      </c>
      <c r="D10190" s="2" t="s">
        <v>33</v>
      </c>
      <c r="E10190" s="2" t="str">
        <f>"9783476057631"</f>
        <v>9783476057631</v>
      </c>
      <c r="F10190" s="2" t="str">
        <f>"9783476057648"</f>
        <v>9783476057648</v>
      </c>
    </row>
    <row r="10191" spans="1:6" s="3" customFormat="1" ht="29.1" customHeight="1" x14ac:dyDescent="0.25">
      <c r="A10191" s="2" t="s">
        <v>20880</v>
      </c>
      <c r="B10191" s="2" t="s">
        <v>20881</v>
      </c>
      <c r="C10191" s="2" t="s">
        <v>5</v>
      </c>
      <c r="D10191" s="2" t="s">
        <v>674</v>
      </c>
      <c r="E10191" s="2" t="str">
        <f>"9783658186708"</f>
        <v>9783658186708</v>
      </c>
      <c r="F10191" s="2" t="str">
        <f>"9783658186715"</f>
        <v>9783658186715</v>
      </c>
    </row>
    <row r="10192" spans="1:6" s="3" customFormat="1" ht="29.1" customHeight="1" x14ac:dyDescent="0.25">
      <c r="A10192" s="2" t="s">
        <v>20882</v>
      </c>
      <c r="B10192" s="2" t="s">
        <v>20883</v>
      </c>
      <c r="C10192" s="2" t="s">
        <v>5</v>
      </c>
      <c r="D10192" s="2" t="s">
        <v>12</v>
      </c>
      <c r="E10192" s="2" t="str">
        <f>"9783662553787"</f>
        <v>9783662553787</v>
      </c>
      <c r="F10192" s="2" t="str">
        <f>"9783662553794"</f>
        <v>9783662553794</v>
      </c>
    </row>
    <row r="10193" spans="1:6" s="3" customFormat="1" ht="29.1" customHeight="1" x14ac:dyDescent="0.25">
      <c r="A10193" s="2" t="s">
        <v>20884</v>
      </c>
      <c r="B10193" s="2" t="s">
        <v>20885</v>
      </c>
      <c r="C10193" s="2" t="s">
        <v>5</v>
      </c>
      <c r="D10193" s="2" t="s">
        <v>479</v>
      </c>
      <c r="E10193" s="2" t="str">
        <f>"9789811052682"</f>
        <v>9789811052682</v>
      </c>
      <c r="F10193" s="2" t="str">
        <f>"9789811052699"</f>
        <v>9789811052699</v>
      </c>
    </row>
    <row r="10194" spans="1:6" s="3" customFormat="1" ht="29.1" customHeight="1" x14ac:dyDescent="0.25">
      <c r="A10194" s="2" t="s">
        <v>20886</v>
      </c>
      <c r="B10194" s="2" t="s">
        <v>20887</v>
      </c>
      <c r="C10194" s="2" t="s">
        <v>5</v>
      </c>
      <c r="D10194" s="2" t="s">
        <v>894</v>
      </c>
      <c r="E10194" s="2" t="str">
        <f>"9783030717636"</f>
        <v>9783030717636</v>
      </c>
      <c r="F10194" s="2" t="str">
        <f>"9783030717643"</f>
        <v>9783030717643</v>
      </c>
    </row>
    <row r="10195" spans="1:6" s="3" customFormat="1" ht="29.1" customHeight="1" x14ac:dyDescent="0.25">
      <c r="A10195" s="2" t="s">
        <v>20888</v>
      </c>
      <c r="B10195" s="2" t="s">
        <v>20889</v>
      </c>
      <c r="C10195" s="2" t="s">
        <v>5</v>
      </c>
      <c r="D10195" s="2" t="s">
        <v>894</v>
      </c>
      <c r="E10195" s="2" t="str">
        <f>"9783030432782"</f>
        <v>9783030432782</v>
      </c>
      <c r="F10195" s="2" t="str">
        <f>"9783030432799"</f>
        <v>9783030432799</v>
      </c>
    </row>
    <row r="10196" spans="1:6" s="3" customFormat="1" ht="29.1" customHeight="1" x14ac:dyDescent="0.25">
      <c r="A10196" s="2" t="s">
        <v>20890</v>
      </c>
      <c r="B10196" s="2" t="s">
        <v>20891</v>
      </c>
      <c r="C10196" s="2" t="s">
        <v>5</v>
      </c>
      <c r="D10196" s="2" t="s">
        <v>4789</v>
      </c>
      <c r="E10196" s="2" t="str">
        <f>"9783030436223"</f>
        <v>9783030436223</v>
      </c>
      <c r="F10196" s="2" t="str">
        <f>"9783030436230"</f>
        <v>9783030436230</v>
      </c>
    </row>
    <row r="10197" spans="1:6" s="3" customFormat="1" ht="29.1" customHeight="1" x14ac:dyDescent="0.25">
      <c r="A10197" s="2" t="s">
        <v>20892</v>
      </c>
      <c r="B10197" s="2" t="s">
        <v>20893</v>
      </c>
      <c r="C10197" s="2" t="s">
        <v>5</v>
      </c>
      <c r="D10197" s="2" t="s">
        <v>183</v>
      </c>
      <c r="E10197" s="2" t="str">
        <f>"9783319595061"</f>
        <v>9783319595061</v>
      </c>
      <c r="F10197" s="2" t="str">
        <f>"9783319595078"</f>
        <v>9783319595078</v>
      </c>
    </row>
    <row r="10198" spans="1:6" s="3" customFormat="1" ht="29.1" customHeight="1" x14ac:dyDescent="0.25">
      <c r="A10198" s="2" t="s">
        <v>20894</v>
      </c>
      <c r="B10198" s="2" t="s">
        <v>20895</v>
      </c>
      <c r="C10198" s="2" t="s">
        <v>5</v>
      </c>
      <c r="D10198" s="2" t="s">
        <v>2834</v>
      </c>
      <c r="E10198" s="2" t="str">
        <f>"9789811049552"</f>
        <v>9789811049552</v>
      </c>
      <c r="F10198" s="2" t="str">
        <f>"9789811049569"</f>
        <v>9789811049569</v>
      </c>
    </row>
    <row r="10199" spans="1:6" s="3" customFormat="1" ht="29.1" customHeight="1" x14ac:dyDescent="0.25">
      <c r="A10199" s="2" t="s">
        <v>20896</v>
      </c>
      <c r="B10199" s="2" t="s">
        <v>20897</v>
      </c>
      <c r="C10199" s="2" t="s">
        <v>5</v>
      </c>
      <c r="D10199" s="2" t="s">
        <v>321</v>
      </c>
      <c r="E10199" s="2" t="str">
        <f>"9783662549810"</f>
        <v>9783662549810</v>
      </c>
      <c r="F10199" s="2" t="str">
        <f>"9783662549971"</f>
        <v>9783662549971</v>
      </c>
    </row>
    <row r="10200" spans="1:6" s="3" customFormat="1" ht="29.1" customHeight="1" x14ac:dyDescent="0.25">
      <c r="A10200" s="2" t="s">
        <v>20898</v>
      </c>
      <c r="B10200" s="2" t="s">
        <v>20899</v>
      </c>
      <c r="C10200" s="2" t="s">
        <v>5</v>
      </c>
      <c r="D10200" s="2" t="s">
        <v>20038</v>
      </c>
      <c r="E10200" s="2" t="str">
        <f>"9783031326912"</f>
        <v>9783031326912</v>
      </c>
      <c r="F10200" s="2" t="str">
        <f>"9783031326929"</f>
        <v>9783031326929</v>
      </c>
    </row>
    <row r="10201" spans="1:6" s="3" customFormat="1" ht="29.1" customHeight="1" x14ac:dyDescent="0.25">
      <c r="A10201" s="2" t="s">
        <v>20900</v>
      </c>
      <c r="B10201" s="2" t="s">
        <v>20901</v>
      </c>
      <c r="C10201" s="2" t="s">
        <v>5</v>
      </c>
      <c r="D10201" s="2" t="s">
        <v>13640</v>
      </c>
      <c r="E10201" s="2" t="str">
        <f>"9783030260019"</f>
        <v>9783030260019</v>
      </c>
      <c r="F10201" s="2" t="str">
        <f>"9783030260026"</f>
        <v>9783030260026</v>
      </c>
    </row>
    <row r="10202" spans="1:6" s="3" customFormat="1" ht="29.1" customHeight="1" x14ac:dyDescent="0.25">
      <c r="A10202" s="2" t="s">
        <v>20902</v>
      </c>
      <c r="B10202" s="2" t="s">
        <v>20903</v>
      </c>
      <c r="C10202" s="2" t="s">
        <v>5</v>
      </c>
      <c r="D10202" s="2" t="s">
        <v>12495</v>
      </c>
      <c r="E10202" s="2" t="str">
        <f>"9783319587677"</f>
        <v>9783319587677</v>
      </c>
      <c r="F10202" s="2" t="str">
        <f>"9783319587684"</f>
        <v>9783319587684</v>
      </c>
    </row>
    <row r="10203" spans="1:6" s="3" customFormat="1" ht="29.1" customHeight="1" x14ac:dyDescent="0.25">
      <c r="A10203" s="2" t="s">
        <v>20904</v>
      </c>
      <c r="B10203" s="2" t="s">
        <v>20905</v>
      </c>
      <c r="C10203" s="2" t="s">
        <v>5</v>
      </c>
      <c r="D10203" s="2" t="s">
        <v>37</v>
      </c>
      <c r="E10203" s="2" t="str">
        <f>"9783319585468"</f>
        <v>9783319585468</v>
      </c>
      <c r="F10203" s="2" t="str">
        <f>"9783319585475"</f>
        <v>9783319585475</v>
      </c>
    </row>
    <row r="10204" spans="1:6" s="3" customFormat="1" ht="29.1" customHeight="1" x14ac:dyDescent="0.25">
      <c r="A10204" s="2" t="s">
        <v>20906</v>
      </c>
      <c r="B10204" s="2" t="s">
        <v>15128</v>
      </c>
      <c r="C10204" s="2" t="s">
        <v>5</v>
      </c>
      <c r="D10204" s="2" t="s">
        <v>15</v>
      </c>
      <c r="E10204" s="2" t="str">
        <f>"9783319583877"</f>
        <v>9783319583877</v>
      </c>
      <c r="F10204" s="2" t="str">
        <f>"9783319583884"</f>
        <v>9783319583884</v>
      </c>
    </row>
    <row r="10205" spans="1:6" s="3" customFormat="1" ht="29.1" customHeight="1" x14ac:dyDescent="0.25">
      <c r="A10205" s="2" t="s">
        <v>20907</v>
      </c>
      <c r="B10205" s="2" t="s">
        <v>20908</v>
      </c>
      <c r="C10205" s="2" t="s">
        <v>5</v>
      </c>
      <c r="D10205" s="2" t="s">
        <v>215</v>
      </c>
      <c r="E10205" s="2" t="str">
        <f>"9783030378912"</f>
        <v>9783030378912</v>
      </c>
      <c r="F10205" s="2" t="str">
        <f>"9783030378929"</f>
        <v>9783030378929</v>
      </c>
    </row>
    <row r="10206" spans="1:6" s="3" customFormat="1" ht="29.1" customHeight="1" x14ac:dyDescent="0.25">
      <c r="A10206" s="2" t="s">
        <v>20909</v>
      </c>
      <c r="B10206" s="2" t="s">
        <v>20910</v>
      </c>
      <c r="C10206" s="2" t="s">
        <v>5</v>
      </c>
      <c r="D10206" s="2" t="s">
        <v>547</v>
      </c>
      <c r="E10206" s="2" t="str">
        <f>"9783319574950"</f>
        <v>9783319574950</v>
      </c>
      <c r="F10206" s="2" t="str">
        <f>"9783319574967"</f>
        <v>9783319574967</v>
      </c>
    </row>
    <row r="10207" spans="1:6" s="3" customFormat="1" ht="29.1" customHeight="1" x14ac:dyDescent="0.25">
      <c r="A10207" s="2" t="s">
        <v>20911</v>
      </c>
      <c r="B10207" s="2" t="s">
        <v>20912</v>
      </c>
      <c r="C10207" s="2" t="s">
        <v>5</v>
      </c>
      <c r="D10207" s="2" t="s">
        <v>4783</v>
      </c>
      <c r="E10207" s="2" t="str">
        <f>"9789811565397"</f>
        <v>9789811565397</v>
      </c>
      <c r="F10207" s="2" t="str">
        <f>"9789811565403"</f>
        <v>9789811565403</v>
      </c>
    </row>
    <row r="10208" spans="1:6" s="3" customFormat="1" ht="29.1" customHeight="1" x14ac:dyDescent="0.25">
      <c r="A10208" s="2" t="s">
        <v>20913</v>
      </c>
      <c r="B10208" s="2" t="s">
        <v>20914</v>
      </c>
      <c r="C10208" s="2" t="s">
        <v>5</v>
      </c>
      <c r="D10208" s="2" t="s">
        <v>10410</v>
      </c>
      <c r="E10208" s="2" t="str">
        <f>"9783030965877"</f>
        <v>9783030965877</v>
      </c>
      <c r="F10208" s="2" t="str">
        <f>"9783030965884"</f>
        <v>9783030965884</v>
      </c>
    </row>
    <row r="10209" spans="1:6" s="3" customFormat="1" ht="29.1" customHeight="1" x14ac:dyDescent="0.25">
      <c r="A10209" s="2" t="s">
        <v>20915</v>
      </c>
      <c r="B10209" s="2" t="s">
        <v>20916</v>
      </c>
      <c r="C10209" s="2" t="s">
        <v>5</v>
      </c>
      <c r="D10209" s="2" t="s">
        <v>509</v>
      </c>
      <c r="E10209" s="2" t="str">
        <f>"9783030701307"</f>
        <v>9783030701307</v>
      </c>
      <c r="F10209" s="2" t="str">
        <f>"9783030701314"</f>
        <v>9783030701314</v>
      </c>
    </row>
    <row r="10210" spans="1:6" s="3" customFormat="1" ht="29.1" customHeight="1" x14ac:dyDescent="0.25">
      <c r="A10210" s="2" t="s">
        <v>20917</v>
      </c>
      <c r="B10210" s="2" t="s">
        <v>20918</v>
      </c>
      <c r="C10210" s="2" t="s">
        <v>5</v>
      </c>
      <c r="D10210" s="2" t="s">
        <v>49</v>
      </c>
      <c r="E10210" s="2" t="str">
        <f>"9789811578649"</f>
        <v>9789811578649</v>
      </c>
      <c r="F10210" s="2" t="str">
        <f>"9789811578656"</f>
        <v>9789811578656</v>
      </c>
    </row>
    <row r="10211" spans="1:6" s="3" customFormat="1" ht="29.1" customHeight="1" x14ac:dyDescent="0.25">
      <c r="A10211" s="2" t="s">
        <v>20919</v>
      </c>
      <c r="B10211" s="2" t="s">
        <v>20920</v>
      </c>
      <c r="C10211" s="2" t="s">
        <v>5</v>
      </c>
      <c r="D10211" s="2" t="s">
        <v>210</v>
      </c>
      <c r="E10211" s="2" t="str">
        <f>"9789811308321"</f>
        <v>9789811308321</v>
      </c>
      <c r="F10211" s="2" t="str">
        <f>"9789811308338"</f>
        <v>9789811308338</v>
      </c>
    </row>
    <row r="10212" spans="1:6" s="3" customFormat="1" ht="29.1" customHeight="1" x14ac:dyDescent="0.25">
      <c r="A10212" s="2" t="s">
        <v>20921</v>
      </c>
      <c r="B10212" s="2" t="s">
        <v>20922</v>
      </c>
      <c r="C10212" s="2" t="s">
        <v>5</v>
      </c>
      <c r="D10212" s="2" t="s">
        <v>428</v>
      </c>
      <c r="E10212" s="2" t="str">
        <f>"9789811040528"</f>
        <v>9789811040528</v>
      </c>
      <c r="F10212" s="2" t="str">
        <f>"9789811040535"</f>
        <v>9789811040535</v>
      </c>
    </row>
    <row r="10213" spans="1:6" s="3" customFormat="1" ht="29.1" customHeight="1" x14ac:dyDescent="0.25">
      <c r="A10213" s="2" t="s">
        <v>20923</v>
      </c>
      <c r="B10213" s="2" t="s">
        <v>20924</v>
      </c>
      <c r="C10213" s="2" t="s">
        <v>5</v>
      </c>
      <c r="D10213" s="2" t="s">
        <v>284</v>
      </c>
      <c r="E10213" s="2" t="str">
        <f>"9783319557342"</f>
        <v>9783319557342</v>
      </c>
      <c r="F10213" s="2" t="str">
        <f>"9783319557359"</f>
        <v>9783319557359</v>
      </c>
    </row>
    <row r="10214" spans="1:6" s="3" customFormat="1" ht="29.1" customHeight="1" x14ac:dyDescent="0.25">
      <c r="A10214" s="2" t="s">
        <v>20925</v>
      </c>
      <c r="B10214" s="2" t="s">
        <v>20926</v>
      </c>
      <c r="C10214" s="2" t="s">
        <v>5</v>
      </c>
      <c r="D10214" s="2" t="s">
        <v>6655</v>
      </c>
      <c r="E10214" s="2" t="str">
        <f>"9783030852139"</f>
        <v>9783030852139</v>
      </c>
      <c r="F10214" s="2" t="str">
        <f>"9783030852146"</f>
        <v>9783030852146</v>
      </c>
    </row>
    <row r="10215" spans="1:6" s="3" customFormat="1" ht="29.1" customHeight="1" x14ac:dyDescent="0.25">
      <c r="A10215" s="2" t="s">
        <v>20927</v>
      </c>
      <c r="B10215" s="2" t="s">
        <v>20928</v>
      </c>
      <c r="C10215" s="2" t="s">
        <v>5</v>
      </c>
      <c r="D10215" s="2" t="s">
        <v>1988</v>
      </c>
      <c r="E10215" s="2" t="str">
        <f>"9783319553801"</f>
        <v>9783319553801</v>
      </c>
      <c r="F10215" s="2" t="str">
        <f>"9783319553818"</f>
        <v>9783319553818</v>
      </c>
    </row>
    <row r="10216" spans="1:6" s="3" customFormat="1" ht="29.1" customHeight="1" x14ac:dyDescent="0.25">
      <c r="A10216" s="2" t="s">
        <v>20929</v>
      </c>
      <c r="B10216" s="2" t="s">
        <v>20930</v>
      </c>
      <c r="C10216" s="2" t="s">
        <v>5</v>
      </c>
      <c r="D10216" s="2" t="s">
        <v>1416</v>
      </c>
      <c r="E10216" s="2" t="str">
        <f>"9783319546803"</f>
        <v>9783319546803</v>
      </c>
      <c r="F10216" s="2" t="str">
        <f>"9783319546810"</f>
        <v>9783319546810</v>
      </c>
    </row>
    <row r="10217" spans="1:6" s="3" customFormat="1" ht="29.1" customHeight="1" x14ac:dyDescent="0.25">
      <c r="A10217" s="2" t="s">
        <v>20931</v>
      </c>
      <c r="B10217" s="2" t="s">
        <v>20932</v>
      </c>
      <c r="C10217" s="2" t="s">
        <v>5</v>
      </c>
      <c r="D10217" s="2" t="s">
        <v>302</v>
      </c>
      <c r="E10217" s="2" t="str">
        <f>"9783031307041"</f>
        <v>9783031307041</v>
      </c>
      <c r="F10217" s="2" t="str">
        <f>"9783031307058"</f>
        <v>9783031307058</v>
      </c>
    </row>
    <row r="10218" spans="1:6" s="3" customFormat="1" ht="29.1" customHeight="1" x14ac:dyDescent="0.25">
      <c r="A10218" s="2" t="s">
        <v>20933</v>
      </c>
      <c r="B10218" s="2" t="s">
        <v>20934</v>
      </c>
      <c r="C10218" s="2" t="s">
        <v>5</v>
      </c>
      <c r="D10218" s="2" t="s">
        <v>553</v>
      </c>
      <c r="E10218" s="2" t="str">
        <f>"9789811040610"</f>
        <v>9789811040610</v>
      </c>
      <c r="F10218" s="2" t="str">
        <f>"9789811040627"</f>
        <v>9789811040627</v>
      </c>
    </row>
    <row r="10219" spans="1:6" s="3" customFormat="1" ht="29.1" customHeight="1" x14ac:dyDescent="0.25">
      <c r="A10219" s="2" t="s">
        <v>20935</v>
      </c>
      <c r="B10219" s="2" t="s">
        <v>20936</v>
      </c>
      <c r="C10219" s="2" t="s">
        <v>5</v>
      </c>
      <c r="D10219" s="2" t="s">
        <v>232</v>
      </c>
      <c r="E10219" s="2" t="str">
        <f>"9783031124082"</f>
        <v>9783031124082</v>
      </c>
      <c r="F10219" s="2" t="str">
        <f>"9783031124099"</f>
        <v>9783031124099</v>
      </c>
    </row>
    <row r="10220" spans="1:6" s="3" customFormat="1" ht="29.1" customHeight="1" x14ac:dyDescent="0.25">
      <c r="A10220" s="2" t="s">
        <v>20937</v>
      </c>
      <c r="B10220" s="2" t="s">
        <v>20938</v>
      </c>
      <c r="C10220" s="2" t="s">
        <v>5</v>
      </c>
      <c r="D10220" s="2" t="s">
        <v>232</v>
      </c>
      <c r="E10220" s="2" t="str">
        <f>"9783030783334"</f>
        <v>9783030783334</v>
      </c>
      <c r="F10220" s="2" t="str">
        <f>"9783030783341"</f>
        <v>9783030783341</v>
      </c>
    </row>
    <row r="10221" spans="1:6" s="3" customFormat="1" ht="29.1" customHeight="1" x14ac:dyDescent="0.25">
      <c r="A10221" s="2" t="s">
        <v>20939</v>
      </c>
      <c r="B10221" s="2" t="s">
        <v>20940</v>
      </c>
      <c r="C10221" s="2" t="s">
        <v>5</v>
      </c>
      <c r="D10221" s="2" t="s">
        <v>4172</v>
      </c>
      <c r="E10221" s="2" t="str">
        <f>"9783658172756"</f>
        <v>9783658172756</v>
      </c>
      <c r="F10221" s="2" t="str">
        <f>"9783658172763"</f>
        <v>9783658172763</v>
      </c>
    </row>
    <row r="10222" spans="1:6" s="3" customFormat="1" ht="29.1" customHeight="1" x14ac:dyDescent="0.25">
      <c r="A10222" s="2" t="s">
        <v>20941</v>
      </c>
      <c r="B10222" s="2" t="s">
        <v>20942</v>
      </c>
      <c r="C10222" s="2" t="s">
        <v>5</v>
      </c>
      <c r="D10222" s="2" t="s">
        <v>537</v>
      </c>
      <c r="E10222" s="2" t="str">
        <f>"9789811909900"</f>
        <v>9789811909900</v>
      </c>
      <c r="F10222" s="2" t="str">
        <f>"9789811909917"</f>
        <v>9789811909917</v>
      </c>
    </row>
    <row r="10223" spans="1:6" s="3" customFormat="1" ht="29.1" customHeight="1" x14ac:dyDescent="0.25">
      <c r="A10223" s="2" t="s">
        <v>20943</v>
      </c>
      <c r="B10223" s="2" t="s">
        <v>20944</v>
      </c>
      <c r="C10223" s="2" t="s">
        <v>5</v>
      </c>
      <c r="D10223" s="2" t="s">
        <v>12</v>
      </c>
      <c r="E10223" s="2" t="str">
        <f>"9789811037122"</f>
        <v>9789811037122</v>
      </c>
      <c r="F10223" s="2" t="str">
        <f>"9789811037139"</f>
        <v>9789811037139</v>
      </c>
    </row>
    <row r="10224" spans="1:6" s="3" customFormat="1" ht="29.1" customHeight="1" x14ac:dyDescent="0.25">
      <c r="A10224" s="2" t="s">
        <v>20945</v>
      </c>
      <c r="B10224" s="2" t="s">
        <v>20946</v>
      </c>
      <c r="C10224" s="2" t="s">
        <v>5</v>
      </c>
      <c r="D10224" s="2" t="s">
        <v>544</v>
      </c>
      <c r="E10224" s="2" t="str">
        <f>"9783319527543"</f>
        <v>9783319527543</v>
      </c>
      <c r="F10224" s="2" t="str">
        <f>"9783319527550"</f>
        <v>9783319527550</v>
      </c>
    </row>
    <row r="10225" spans="1:6" s="3" customFormat="1" ht="29.1" customHeight="1" x14ac:dyDescent="0.25">
      <c r="A10225" s="2" t="s">
        <v>20947</v>
      </c>
      <c r="B10225" s="2" t="s">
        <v>20948</v>
      </c>
      <c r="C10225" s="2" t="s">
        <v>5</v>
      </c>
      <c r="D10225" s="2" t="s">
        <v>490</v>
      </c>
      <c r="E10225" s="2" t="str">
        <f>"9783658169800"</f>
        <v>9783658169800</v>
      </c>
      <c r="F10225" s="2" t="str">
        <f>"9783658169817"</f>
        <v>9783658169817</v>
      </c>
    </row>
    <row r="10226" spans="1:6" s="3" customFormat="1" ht="29.1" customHeight="1" x14ac:dyDescent="0.25">
      <c r="A10226" s="2" t="s">
        <v>20949</v>
      </c>
      <c r="B10226" s="2" t="s">
        <v>20950</v>
      </c>
      <c r="C10226" s="2" t="s">
        <v>5</v>
      </c>
      <c r="D10226" s="2" t="s">
        <v>192</v>
      </c>
      <c r="E10226" s="2" t="str">
        <f>"9783031388361"</f>
        <v>9783031388361</v>
      </c>
      <c r="F10226" s="2" t="str">
        <f>"9783031388378"</f>
        <v>9783031388378</v>
      </c>
    </row>
    <row r="10227" spans="1:6" s="3" customFormat="1" ht="29.1" customHeight="1" x14ac:dyDescent="0.25">
      <c r="A10227" s="2" t="s">
        <v>20951</v>
      </c>
      <c r="B10227" s="2" t="s">
        <v>20950</v>
      </c>
      <c r="C10227" s="2" t="s">
        <v>5</v>
      </c>
      <c r="D10227" s="2" t="s">
        <v>192</v>
      </c>
      <c r="E10227" s="2" t="str">
        <f>"9783030929008"</f>
        <v>9783030929008</v>
      </c>
      <c r="F10227" s="2" t="str">
        <f>"9783030929015"</f>
        <v>9783030929015</v>
      </c>
    </row>
    <row r="10228" spans="1:6" s="3" customFormat="1" ht="29.1" customHeight="1" x14ac:dyDescent="0.25">
      <c r="A10228" s="2" t="s">
        <v>20952</v>
      </c>
      <c r="B10228" s="2" t="s">
        <v>20953</v>
      </c>
      <c r="C10228" s="2" t="s">
        <v>5</v>
      </c>
      <c r="D10228" s="2" t="s">
        <v>7734</v>
      </c>
      <c r="E10228" s="2" t="str">
        <f>"9783658416928"</f>
        <v>9783658416928</v>
      </c>
      <c r="F10228" s="2" t="str">
        <f>"9783658416935"</f>
        <v>9783658416935</v>
      </c>
    </row>
    <row r="10229" spans="1:6" s="3" customFormat="1" ht="29.1" customHeight="1" x14ac:dyDescent="0.25">
      <c r="A10229" s="2" t="s">
        <v>20954</v>
      </c>
      <c r="B10229" s="2" t="s">
        <v>20955</v>
      </c>
      <c r="C10229" s="2" t="s">
        <v>5</v>
      </c>
      <c r="D10229" s="2" t="s">
        <v>183</v>
      </c>
      <c r="E10229" s="2" t="str">
        <f>"9783658384555"</f>
        <v>9783658384555</v>
      </c>
      <c r="F10229" s="2" t="str">
        <f>"9783658384562"</f>
        <v>9783658384562</v>
      </c>
    </row>
    <row r="10230" spans="1:6" s="3" customFormat="1" ht="29.1" customHeight="1" x14ac:dyDescent="0.25">
      <c r="A10230" s="2" t="s">
        <v>20956</v>
      </c>
      <c r="B10230" s="2" t="s">
        <v>20957</v>
      </c>
      <c r="C10230" s="2" t="s">
        <v>5</v>
      </c>
      <c r="D10230" s="2" t="s">
        <v>501</v>
      </c>
      <c r="E10230" s="2" t="str">
        <f>"9783030919986"</f>
        <v>9783030919986</v>
      </c>
      <c r="F10230" s="2" t="str">
        <f>"9783030919993"</f>
        <v>9783030919993</v>
      </c>
    </row>
    <row r="10231" spans="1:6" s="3" customFormat="1" ht="29.1" customHeight="1" x14ac:dyDescent="0.25">
      <c r="A10231" s="2" t="s">
        <v>20958</v>
      </c>
      <c r="B10231" s="2" t="s">
        <v>20959</v>
      </c>
      <c r="C10231" s="2" t="s">
        <v>5</v>
      </c>
      <c r="D10231" s="2" t="s">
        <v>1557</v>
      </c>
      <c r="E10231" s="2" t="str">
        <f>"9783030526726"</f>
        <v>9783030526726</v>
      </c>
      <c r="F10231" s="2" t="str">
        <f>"9783030526733"</f>
        <v>9783030526733</v>
      </c>
    </row>
    <row r="10232" spans="1:6" s="3" customFormat="1" ht="29.1" customHeight="1" x14ac:dyDescent="0.25">
      <c r="A10232" s="2" t="s">
        <v>20960</v>
      </c>
      <c r="B10232" s="2" t="s">
        <v>20961</v>
      </c>
      <c r="C10232" s="2" t="s">
        <v>5</v>
      </c>
      <c r="D10232" s="2" t="s">
        <v>522</v>
      </c>
      <c r="E10232" s="2" t="str">
        <f>"9783030261139"</f>
        <v>9783030261139</v>
      </c>
      <c r="F10232" s="2" t="str">
        <f>"9783030261146"</f>
        <v>9783030261146</v>
      </c>
    </row>
    <row r="10233" spans="1:6" s="3" customFormat="1" ht="29.1" customHeight="1" x14ac:dyDescent="0.25">
      <c r="A10233" s="2" t="s">
        <v>20962</v>
      </c>
      <c r="B10233" s="2" t="s">
        <v>20963</v>
      </c>
      <c r="C10233" s="2" t="s">
        <v>5</v>
      </c>
      <c r="D10233" s="2" t="s">
        <v>270</v>
      </c>
      <c r="E10233" s="2" t="str">
        <f>"9783658405311"</f>
        <v>9783658405311</v>
      </c>
      <c r="F10233" s="2" t="str">
        <f>"9783658405328"</f>
        <v>9783658405328</v>
      </c>
    </row>
    <row r="10234" spans="1:6" s="3" customFormat="1" ht="29.1" customHeight="1" x14ac:dyDescent="0.25">
      <c r="A10234" s="2" t="s">
        <v>20964</v>
      </c>
      <c r="B10234" s="2" t="s">
        <v>20965</v>
      </c>
      <c r="C10234" s="2" t="s">
        <v>5</v>
      </c>
      <c r="D10234" s="2" t="s">
        <v>192</v>
      </c>
      <c r="E10234" s="2" t="str">
        <f>"9783319512730"</f>
        <v>9783319512730</v>
      </c>
      <c r="F10234" s="2" t="str">
        <f>"9783319512747"</f>
        <v>9783319512747</v>
      </c>
    </row>
    <row r="10235" spans="1:6" s="3" customFormat="1" ht="29.1" customHeight="1" x14ac:dyDescent="0.25">
      <c r="A10235" s="2" t="s">
        <v>20966</v>
      </c>
      <c r="B10235" s="2" t="s">
        <v>20967</v>
      </c>
      <c r="C10235" s="2" t="s">
        <v>5</v>
      </c>
      <c r="D10235" s="2" t="s">
        <v>162</v>
      </c>
      <c r="E10235" s="2" t="str">
        <f>"9783030784393"</f>
        <v>9783030784393</v>
      </c>
      <c r="F10235" s="2" t="str">
        <f>"9783030784409"</f>
        <v>9783030784409</v>
      </c>
    </row>
    <row r="10236" spans="1:6" s="3" customFormat="1" ht="29.1" customHeight="1" x14ac:dyDescent="0.25">
      <c r="A10236" s="2" t="s">
        <v>20968</v>
      </c>
      <c r="B10236" s="2" t="s">
        <v>20969</v>
      </c>
      <c r="C10236" s="2" t="s">
        <v>5</v>
      </c>
      <c r="D10236" s="2" t="s">
        <v>2336</v>
      </c>
      <c r="E10236" s="2" t="str">
        <f>"9783030944285"</f>
        <v>9783030944285</v>
      </c>
      <c r="F10236" s="2" t="str">
        <f>"9783030944292"</f>
        <v>9783030944292</v>
      </c>
    </row>
    <row r="10237" spans="1:6" s="3" customFormat="1" ht="29.1" customHeight="1" x14ac:dyDescent="0.25">
      <c r="A10237" s="2" t="s">
        <v>20970</v>
      </c>
      <c r="B10237" s="2" t="s">
        <v>20971</v>
      </c>
      <c r="C10237" s="2" t="s">
        <v>5</v>
      </c>
      <c r="D10237" s="2" t="s">
        <v>509</v>
      </c>
      <c r="E10237" s="2" t="str">
        <f>"9783030985264"</f>
        <v>9783030985264</v>
      </c>
      <c r="F10237" s="2" t="str">
        <f>"9783030985271"</f>
        <v>9783030985271</v>
      </c>
    </row>
    <row r="10238" spans="1:6" s="3" customFormat="1" ht="29.1" customHeight="1" x14ac:dyDescent="0.25">
      <c r="A10238" s="2" t="s">
        <v>20972</v>
      </c>
      <c r="B10238" s="2" t="s">
        <v>20973</v>
      </c>
      <c r="C10238" s="2" t="s">
        <v>5</v>
      </c>
      <c r="D10238" s="2" t="s">
        <v>2178</v>
      </c>
      <c r="E10238" s="2" t="str">
        <f>"9789811920714"</f>
        <v>9789811920714</v>
      </c>
      <c r="F10238" s="2" t="str">
        <f>"9789811920721"</f>
        <v>9789811920721</v>
      </c>
    </row>
    <row r="10239" spans="1:6" s="3" customFormat="1" ht="29.1" customHeight="1" x14ac:dyDescent="0.25">
      <c r="A10239" s="2" t="s">
        <v>20974</v>
      </c>
      <c r="B10239" s="2" t="s">
        <v>20975</v>
      </c>
      <c r="C10239" s="2" t="s">
        <v>5</v>
      </c>
      <c r="D10239" s="2" t="s">
        <v>636</v>
      </c>
      <c r="E10239" s="2" t="str">
        <f>"9783031056598"</f>
        <v>9783031056598</v>
      </c>
      <c r="F10239" s="2" t="str">
        <f>"9783031056604"</f>
        <v>9783031056604</v>
      </c>
    </row>
    <row r="10240" spans="1:6" s="3" customFormat="1" ht="29.1" customHeight="1" x14ac:dyDescent="0.25">
      <c r="A10240" s="2" t="s">
        <v>20976</v>
      </c>
      <c r="B10240" s="2" t="s">
        <v>20977</v>
      </c>
      <c r="C10240" s="2" t="s">
        <v>5</v>
      </c>
      <c r="D10240" s="2" t="s">
        <v>636</v>
      </c>
      <c r="E10240" s="2" t="str">
        <f>"9789811040702"</f>
        <v>9789811040702</v>
      </c>
      <c r="F10240" s="2" t="str">
        <f>"9789811040719"</f>
        <v>9789811040719</v>
      </c>
    </row>
    <row r="10241" spans="1:6" s="3" customFormat="1" ht="29.1" customHeight="1" x14ac:dyDescent="0.25">
      <c r="A10241" s="2" t="s">
        <v>20978</v>
      </c>
      <c r="B10241" s="2" t="s">
        <v>20979</v>
      </c>
      <c r="C10241" s="2" t="s">
        <v>5</v>
      </c>
      <c r="D10241" s="2" t="s">
        <v>168</v>
      </c>
      <c r="E10241" s="2" t="str">
        <f>"9783319504681"</f>
        <v>9783319504681</v>
      </c>
      <c r="F10241" s="2" t="str">
        <f>"9783319504698"</f>
        <v>9783319504698</v>
      </c>
    </row>
    <row r="10242" spans="1:6" s="3" customFormat="1" ht="29.1" customHeight="1" x14ac:dyDescent="0.25">
      <c r="A10242" s="2" t="s">
        <v>20980</v>
      </c>
      <c r="B10242" s="2" t="s">
        <v>20981</v>
      </c>
      <c r="C10242" s="2" t="s">
        <v>5</v>
      </c>
      <c r="D10242" s="2" t="s">
        <v>1823</v>
      </c>
      <c r="E10242" s="2" t="str">
        <f>"9783030737696"</f>
        <v>9783030737696</v>
      </c>
      <c r="F10242" s="2" t="str">
        <f>"9783030737702"</f>
        <v>9783030737702</v>
      </c>
    </row>
    <row r="10243" spans="1:6" s="3" customFormat="1" ht="29.1" customHeight="1" x14ac:dyDescent="0.25">
      <c r="A10243" s="2" t="s">
        <v>20982</v>
      </c>
      <c r="B10243" s="2" t="s">
        <v>20983</v>
      </c>
      <c r="C10243" s="2" t="s">
        <v>5</v>
      </c>
      <c r="D10243" s="2" t="s">
        <v>2861</v>
      </c>
      <c r="E10243" s="2" t="str">
        <f>"9783030612986"</f>
        <v>9783030612986</v>
      </c>
      <c r="F10243" s="2" t="str">
        <f>"9783030612993"</f>
        <v>9783030612993</v>
      </c>
    </row>
    <row r="10244" spans="1:6" s="3" customFormat="1" ht="29.1" customHeight="1" x14ac:dyDescent="0.25">
      <c r="A10244" s="2" t="s">
        <v>20984</v>
      </c>
      <c r="B10244" s="2" t="s">
        <v>20985</v>
      </c>
      <c r="C10244" s="2" t="s">
        <v>5</v>
      </c>
      <c r="D10244" s="2" t="s">
        <v>836</v>
      </c>
      <c r="E10244" s="2" t="str">
        <f>"9783658406622"</f>
        <v>9783658406622</v>
      </c>
      <c r="F10244" s="2" t="str">
        <f>"9783658406639"</f>
        <v>9783658406639</v>
      </c>
    </row>
    <row r="10245" spans="1:6" s="3" customFormat="1" ht="29.1" customHeight="1" x14ac:dyDescent="0.25">
      <c r="A10245" s="2" t="s">
        <v>20986</v>
      </c>
      <c r="B10245" s="2" t="s">
        <v>10014</v>
      </c>
      <c r="C10245" s="2" t="s">
        <v>5</v>
      </c>
      <c r="D10245" s="2" t="s">
        <v>159</v>
      </c>
      <c r="E10245" s="2" t="str">
        <f>"9783031326172"</f>
        <v>9783031326172</v>
      </c>
      <c r="F10245" s="2" t="str">
        <f>"9783031326189"</f>
        <v>9783031326189</v>
      </c>
    </row>
    <row r="10246" spans="1:6" s="3" customFormat="1" ht="29.1" customHeight="1" x14ac:dyDescent="0.25">
      <c r="A10246" s="2" t="s">
        <v>20987</v>
      </c>
      <c r="B10246" s="2" t="s">
        <v>20988</v>
      </c>
      <c r="C10246" s="2" t="s">
        <v>5</v>
      </c>
      <c r="D10246" s="2" t="s">
        <v>52</v>
      </c>
      <c r="E10246" s="2" t="str">
        <f>"9783030053178"</f>
        <v>9783030053178</v>
      </c>
      <c r="F10246" s="2" t="str">
        <f>"9783030053185"</f>
        <v>9783030053185</v>
      </c>
    </row>
    <row r="10247" spans="1:6" s="3" customFormat="1" ht="29.1" customHeight="1" x14ac:dyDescent="0.25">
      <c r="A10247" s="2" t="s">
        <v>20989</v>
      </c>
      <c r="B10247" s="2" t="s">
        <v>20990</v>
      </c>
      <c r="C10247" s="2" t="s">
        <v>5</v>
      </c>
      <c r="D10247" s="2" t="s">
        <v>509</v>
      </c>
      <c r="E10247" s="2" t="str">
        <f>"9783031095030"</f>
        <v>9783031095030</v>
      </c>
      <c r="F10247" s="2" t="str">
        <f>"9783031095047"</f>
        <v>9783031095047</v>
      </c>
    </row>
    <row r="10248" spans="1:6" s="3" customFormat="1" ht="29.1" customHeight="1" x14ac:dyDescent="0.25">
      <c r="A10248" s="2" t="s">
        <v>20991</v>
      </c>
      <c r="B10248" s="2" t="s">
        <v>20992</v>
      </c>
      <c r="C10248" s="2" t="s">
        <v>5</v>
      </c>
      <c r="D10248" s="2" t="s">
        <v>15191</v>
      </c>
      <c r="E10248" s="2" t="str">
        <f>"9783319496429"</f>
        <v>9783319496429</v>
      </c>
      <c r="F10248" s="2" t="str">
        <f>"9783319496443"</f>
        <v>9783319496443</v>
      </c>
    </row>
    <row r="10249" spans="1:6" s="3" customFormat="1" ht="29.1" customHeight="1" x14ac:dyDescent="0.25">
      <c r="A10249" s="2" t="s">
        <v>20993</v>
      </c>
      <c r="B10249" s="2" t="s">
        <v>20994</v>
      </c>
      <c r="C10249" s="2" t="s">
        <v>5</v>
      </c>
      <c r="D10249" s="2" t="s">
        <v>1988</v>
      </c>
      <c r="E10249" s="2" t="str">
        <f>"9783319607672"</f>
        <v>9783319607672</v>
      </c>
      <c r="F10249" s="2" t="str">
        <f>"9783319607689"</f>
        <v>9783319607689</v>
      </c>
    </row>
    <row r="10250" spans="1:6" s="3" customFormat="1" ht="29.1" customHeight="1" x14ac:dyDescent="0.25">
      <c r="A10250" s="2" t="s">
        <v>20995</v>
      </c>
      <c r="B10250" s="2" t="s">
        <v>20996</v>
      </c>
      <c r="C10250" s="2" t="s">
        <v>5</v>
      </c>
      <c r="D10250" s="2" t="s">
        <v>2749</v>
      </c>
      <c r="E10250" s="2" t="str">
        <f>"9783030338237"</f>
        <v>9783030338237</v>
      </c>
      <c r="F10250" s="2" t="str">
        <f>"9783030338244"</f>
        <v>9783030338244</v>
      </c>
    </row>
    <row r="10251" spans="1:6" s="3" customFormat="1" ht="29.1" customHeight="1" x14ac:dyDescent="0.25">
      <c r="A10251" s="2" t="s">
        <v>20997</v>
      </c>
      <c r="B10251" s="2" t="s">
        <v>20998</v>
      </c>
      <c r="C10251" s="2" t="s">
        <v>5</v>
      </c>
      <c r="D10251" s="2" t="s">
        <v>2749</v>
      </c>
      <c r="E10251" s="2" t="str">
        <f>"9783030202224"</f>
        <v>9783030202224</v>
      </c>
      <c r="F10251" s="2" t="str">
        <f>"9783030202231"</f>
        <v>9783030202231</v>
      </c>
    </row>
    <row r="10252" spans="1:6" s="3" customFormat="1" ht="29.1" customHeight="1" x14ac:dyDescent="0.25">
      <c r="A10252" s="2" t="s">
        <v>20999</v>
      </c>
      <c r="B10252" s="2" t="s">
        <v>21000</v>
      </c>
      <c r="C10252" s="2" t="s">
        <v>5</v>
      </c>
      <c r="D10252" s="2" t="s">
        <v>2749</v>
      </c>
      <c r="E10252" s="2" t="str">
        <f>"9783030168919"</f>
        <v>9783030168919</v>
      </c>
      <c r="F10252" s="2" t="str">
        <f>"9783030168926"</f>
        <v>9783030168926</v>
      </c>
    </row>
    <row r="10253" spans="1:6" s="3" customFormat="1" ht="29.1" customHeight="1" x14ac:dyDescent="0.25">
      <c r="A10253" s="2" t="s">
        <v>21001</v>
      </c>
      <c r="B10253" s="2" t="s">
        <v>21002</v>
      </c>
      <c r="C10253" s="2" t="s">
        <v>5</v>
      </c>
      <c r="D10253" s="2" t="s">
        <v>2749</v>
      </c>
      <c r="E10253" s="2" t="str">
        <f>"9783030156350"</f>
        <v>9783030156350</v>
      </c>
      <c r="F10253" s="2" t="str">
        <f>"9783030156367"</f>
        <v>9783030156367</v>
      </c>
    </row>
    <row r="10254" spans="1:6" s="3" customFormat="1" ht="29.1" customHeight="1" x14ac:dyDescent="0.25">
      <c r="A10254" s="2" t="s">
        <v>21003</v>
      </c>
      <c r="B10254" s="2" t="s">
        <v>21004</v>
      </c>
      <c r="C10254" s="2" t="s">
        <v>5</v>
      </c>
      <c r="D10254" s="2" t="s">
        <v>2749</v>
      </c>
      <c r="E10254" s="2" t="str">
        <f>"9783030137601"</f>
        <v>9783030137601</v>
      </c>
      <c r="F10254" s="2" t="str">
        <f>"9783030137618"</f>
        <v>9783030137618</v>
      </c>
    </row>
    <row r="10255" spans="1:6" s="3" customFormat="1" ht="29.1" customHeight="1" x14ac:dyDescent="0.25">
      <c r="A10255" s="2" t="s">
        <v>21005</v>
      </c>
      <c r="B10255" s="2" t="s">
        <v>21006</v>
      </c>
      <c r="C10255" s="2" t="s">
        <v>5</v>
      </c>
      <c r="D10255" s="2" t="s">
        <v>2749</v>
      </c>
      <c r="E10255" s="2" t="str">
        <f>"9783030110680"</f>
        <v>9783030110680</v>
      </c>
      <c r="F10255" s="2" t="str">
        <f>"9783030110697"</f>
        <v>9783030110697</v>
      </c>
    </row>
    <row r="10256" spans="1:6" s="3" customFormat="1" ht="29.1" customHeight="1" x14ac:dyDescent="0.25">
      <c r="A10256" s="2" t="s">
        <v>19939</v>
      </c>
      <c r="B10256" s="2" t="s">
        <v>21007</v>
      </c>
      <c r="C10256" s="2" t="s">
        <v>5</v>
      </c>
      <c r="D10256" s="2" t="s">
        <v>2749</v>
      </c>
      <c r="E10256" s="2" t="str">
        <f>"9783030110659"</f>
        <v>9783030110659</v>
      </c>
      <c r="F10256" s="2" t="str">
        <f>"9783030110666"</f>
        <v>9783030110666</v>
      </c>
    </row>
    <row r="10257" spans="1:6" s="3" customFormat="1" ht="29.1" customHeight="1" x14ac:dyDescent="0.25">
      <c r="A10257" s="2" t="s">
        <v>21008</v>
      </c>
      <c r="B10257" s="2" t="s">
        <v>21009</v>
      </c>
      <c r="C10257" s="2" t="s">
        <v>5</v>
      </c>
      <c r="D10257" s="2" t="s">
        <v>2749</v>
      </c>
      <c r="E10257" s="2" t="str">
        <f>"9783030055134"</f>
        <v>9783030055134</v>
      </c>
      <c r="F10257" s="2" t="str">
        <f>"9783030055141"</f>
        <v>9783030055141</v>
      </c>
    </row>
    <row r="10258" spans="1:6" s="3" customFormat="1" ht="29.1" customHeight="1" x14ac:dyDescent="0.25">
      <c r="A10258" s="2" t="s">
        <v>21010</v>
      </c>
      <c r="B10258" s="2" t="s">
        <v>21011</v>
      </c>
      <c r="C10258" s="2" t="s">
        <v>5</v>
      </c>
      <c r="D10258" s="2" t="s">
        <v>2749</v>
      </c>
      <c r="E10258" s="2" t="str">
        <f>"9783319993850"</f>
        <v>9783319993850</v>
      </c>
      <c r="F10258" s="2" t="str">
        <f>"9783319993867"</f>
        <v>9783319993867</v>
      </c>
    </row>
    <row r="10259" spans="1:6" s="3" customFormat="1" ht="29.1" customHeight="1" x14ac:dyDescent="0.25">
      <c r="A10259" s="2" t="s">
        <v>21012</v>
      </c>
      <c r="B10259" s="2" t="s">
        <v>21013</v>
      </c>
      <c r="C10259" s="2" t="s">
        <v>5</v>
      </c>
      <c r="D10259" s="2" t="s">
        <v>501</v>
      </c>
      <c r="E10259" s="2" t="str">
        <f>"9789811926105"</f>
        <v>9789811926105</v>
      </c>
      <c r="F10259" s="2" t="str">
        <f>"9789811926112"</f>
        <v>9789811926112</v>
      </c>
    </row>
    <row r="10260" spans="1:6" s="3" customFormat="1" ht="29.1" customHeight="1" x14ac:dyDescent="0.25">
      <c r="A10260" s="2" t="s">
        <v>21014</v>
      </c>
      <c r="B10260" s="2" t="s">
        <v>21015</v>
      </c>
      <c r="C10260" s="2" t="s">
        <v>5</v>
      </c>
      <c r="D10260" s="2" t="s">
        <v>294</v>
      </c>
      <c r="E10260" s="2" t="str">
        <f>"9783030989842"</f>
        <v>9783030989842</v>
      </c>
      <c r="F10260" s="2" t="str">
        <f>"9783030989859"</f>
        <v>9783030989859</v>
      </c>
    </row>
    <row r="10261" spans="1:6" s="3" customFormat="1" ht="29.1" customHeight="1" x14ac:dyDescent="0.25">
      <c r="A10261" s="2" t="s">
        <v>21016</v>
      </c>
      <c r="B10261" s="2" t="s">
        <v>21017</v>
      </c>
      <c r="C10261" s="2" t="s">
        <v>5</v>
      </c>
      <c r="D10261" s="2" t="s">
        <v>294</v>
      </c>
      <c r="E10261" s="2" t="str">
        <f>"9783319723679"</f>
        <v>9783319723679</v>
      </c>
      <c r="F10261" s="2" t="str">
        <f>"9783319723686"</f>
        <v>9783319723686</v>
      </c>
    </row>
    <row r="10262" spans="1:6" s="3" customFormat="1" ht="29.1" customHeight="1" x14ac:dyDescent="0.25">
      <c r="A10262" s="2" t="s">
        <v>21018</v>
      </c>
      <c r="B10262" s="2" t="s">
        <v>20516</v>
      </c>
      <c r="C10262" s="2" t="s">
        <v>5</v>
      </c>
      <c r="D10262" s="2" t="s">
        <v>984</v>
      </c>
      <c r="E10262" s="2" t="str">
        <f>"9783319487007"</f>
        <v>9783319487007</v>
      </c>
      <c r="F10262" s="2" t="str">
        <f>"9783319487014"</f>
        <v>9783319487014</v>
      </c>
    </row>
    <row r="10263" spans="1:6" s="3" customFormat="1" ht="29.1" customHeight="1" x14ac:dyDescent="0.25">
      <c r="A10263" s="2" t="s">
        <v>21019</v>
      </c>
      <c r="B10263" s="2" t="s">
        <v>21020</v>
      </c>
      <c r="C10263" s="2" t="s">
        <v>5</v>
      </c>
      <c r="D10263" s="2" t="s">
        <v>331</v>
      </c>
      <c r="E10263" s="2" t="str">
        <f>"9783319484655"</f>
        <v>9783319484655</v>
      </c>
      <c r="F10263" s="2" t="str">
        <f>"9783319484662"</f>
        <v>9783319484662</v>
      </c>
    </row>
    <row r="10264" spans="1:6" s="3" customFormat="1" ht="29.1" customHeight="1" x14ac:dyDescent="0.25">
      <c r="A10264" s="2" t="s">
        <v>21021</v>
      </c>
      <c r="B10264" s="2" t="s">
        <v>21022</v>
      </c>
      <c r="C10264" s="2" t="s">
        <v>5</v>
      </c>
      <c r="D10264" s="2" t="s">
        <v>4172</v>
      </c>
      <c r="E10264" s="2" t="str">
        <f>"9783319483627"</f>
        <v>9783319483627</v>
      </c>
      <c r="F10264" s="2" t="str">
        <f>"9783319483634"</f>
        <v>9783319483634</v>
      </c>
    </row>
    <row r="10265" spans="1:6" s="3" customFormat="1" ht="29.1" customHeight="1" x14ac:dyDescent="0.25">
      <c r="A10265" s="2" t="s">
        <v>21023</v>
      </c>
      <c r="B10265" s="2" t="s">
        <v>21024</v>
      </c>
      <c r="C10265" s="2" t="s">
        <v>5</v>
      </c>
      <c r="D10265" s="2" t="s">
        <v>4172</v>
      </c>
      <c r="E10265" s="2" t="str">
        <f>"9783319483658"</f>
        <v>9783319483658</v>
      </c>
      <c r="F10265" s="2" t="str">
        <f>"9783319483665"</f>
        <v>9783319483665</v>
      </c>
    </row>
    <row r="10266" spans="1:6" s="3" customFormat="1" ht="29.1" customHeight="1" x14ac:dyDescent="0.25">
      <c r="A10266" s="2" t="s">
        <v>21025</v>
      </c>
      <c r="B10266" s="2" t="s">
        <v>21026</v>
      </c>
      <c r="C10266" s="2" t="s">
        <v>5</v>
      </c>
      <c r="D10266" s="2" t="s">
        <v>183</v>
      </c>
      <c r="E10266" s="2" t="str">
        <f>"9783658411169"</f>
        <v>9783658411169</v>
      </c>
      <c r="F10266" s="2" t="str">
        <f>"9783658411176"</f>
        <v>9783658411176</v>
      </c>
    </row>
    <row r="10267" spans="1:6" s="3" customFormat="1" ht="29.1" customHeight="1" x14ac:dyDescent="0.25">
      <c r="A10267" s="2" t="s">
        <v>21027</v>
      </c>
      <c r="B10267" s="2" t="s">
        <v>21028</v>
      </c>
      <c r="C10267" s="2" t="s">
        <v>5</v>
      </c>
      <c r="D10267" s="2" t="s">
        <v>490</v>
      </c>
      <c r="E10267" s="2" t="str">
        <f>"9783658363529"</f>
        <v>9783658363529</v>
      </c>
      <c r="F10267" s="2" t="str">
        <f>"9783658363536"</f>
        <v>9783658363536</v>
      </c>
    </row>
    <row r="10268" spans="1:6" s="3" customFormat="1" ht="29.1" customHeight="1" x14ac:dyDescent="0.25">
      <c r="A10268" s="2" t="s">
        <v>21029</v>
      </c>
      <c r="B10268" s="2" t="s">
        <v>21030</v>
      </c>
      <c r="C10268" s="2" t="s">
        <v>5</v>
      </c>
      <c r="D10268" s="2" t="s">
        <v>490</v>
      </c>
      <c r="E10268" s="2" t="str">
        <f>"9783658361921"</f>
        <v>9783658361921</v>
      </c>
      <c r="F10268" s="2" t="str">
        <f>"9783658361938"</f>
        <v>9783658361938</v>
      </c>
    </row>
    <row r="10269" spans="1:6" s="3" customFormat="1" ht="29.1" customHeight="1" x14ac:dyDescent="0.25">
      <c r="A10269" s="2" t="s">
        <v>21031</v>
      </c>
      <c r="B10269" s="2" t="s">
        <v>21032</v>
      </c>
      <c r="C10269" s="2" t="s">
        <v>5</v>
      </c>
      <c r="D10269" s="2" t="s">
        <v>183</v>
      </c>
      <c r="E10269" s="2" t="str">
        <f>"9783658343057"</f>
        <v>9783658343057</v>
      </c>
      <c r="F10269" s="2" t="str">
        <f>"9783658343064"</f>
        <v>9783658343064</v>
      </c>
    </row>
    <row r="10270" spans="1:6" s="3" customFormat="1" ht="29.1" customHeight="1" x14ac:dyDescent="0.25">
      <c r="A10270" s="2" t="s">
        <v>21033</v>
      </c>
      <c r="B10270" s="2" t="s">
        <v>21034</v>
      </c>
      <c r="C10270" s="2" t="s">
        <v>5</v>
      </c>
      <c r="D10270" s="2" t="s">
        <v>183</v>
      </c>
      <c r="E10270" s="2" t="str">
        <f>"9783658254360"</f>
        <v>9783658254360</v>
      </c>
      <c r="F10270" s="2" t="str">
        <f>"9783658254377"</f>
        <v>9783658254377</v>
      </c>
    </row>
    <row r="10271" spans="1:6" s="3" customFormat="1" ht="29.1" customHeight="1" x14ac:dyDescent="0.25">
      <c r="A10271" s="2" t="s">
        <v>21035</v>
      </c>
      <c r="B10271" s="2" t="s">
        <v>21036</v>
      </c>
      <c r="C10271" s="2" t="s">
        <v>5</v>
      </c>
      <c r="D10271" s="2" t="s">
        <v>270</v>
      </c>
      <c r="E10271" s="2" t="str">
        <f>"9783658158972"</f>
        <v>9783658158972</v>
      </c>
      <c r="F10271" s="2" t="str">
        <f>"9783658158989"</f>
        <v>9783658158989</v>
      </c>
    </row>
    <row r="10272" spans="1:6" s="3" customFormat="1" ht="29.1" customHeight="1" x14ac:dyDescent="0.25">
      <c r="A10272" s="2" t="s">
        <v>21037</v>
      </c>
      <c r="B10272" s="2" t="s">
        <v>21038</v>
      </c>
      <c r="C10272" s="2" t="s">
        <v>5</v>
      </c>
      <c r="D10272" s="2" t="s">
        <v>712</v>
      </c>
      <c r="E10272" s="2" t="str">
        <f>"9783030961794"</f>
        <v>9783030961794</v>
      </c>
      <c r="F10272" s="2" t="str">
        <f>"9783030961800"</f>
        <v>9783030961800</v>
      </c>
    </row>
    <row r="10273" spans="1:6" s="3" customFormat="1" ht="29.1" customHeight="1" x14ac:dyDescent="0.25">
      <c r="A10273" s="2" t="s">
        <v>21039</v>
      </c>
      <c r="B10273" s="2" t="s">
        <v>21040</v>
      </c>
      <c r="C10273" s="2" t="s">
        <v>5</v>
      </c>
      <c r="D10273" s="2" t="s">
        <v>712</v>
      </c>
      <c r="E10273" s="2" t="str">
        <f>"9783030026523"</f>
        <v>9783030026523</v>
      </c>
      <c r="F10273" s="2" t="str">
        <f>"9783030026530"</f>
        <v>9783030026530</v>
      </c>
    </row>
    <row r="10274" spans="1:6" s="3" customFormat="1" ht="29.1" customHeight="1" x14ac:dyDescent="0.25">
      <c r="A10274" s="2" t="s">
        <v>21041</v>
      </c>
      <c r="B10274" s="2" t="s">
        <v>21042</v>
      </c>
      <c r="C10274" s="2" t="s">
        <v>5</v>
      </c>
      <c r="D10274" s="2" t="s">
        <v>712</v>
      </c>
      <c r="E10274" s="2" t="str">
        <f>"9783319655833"</f>
        <v>9783319655833</v>
      </c>
      <c r="F10274" s="2" t="str">
        <f>"9783319655840"</f>
        <v>9783319655840</v>
      </c>
    </row>
    <row r="10275" spans="1:6" s="3" customFormat="1" ht="29.1" customHeight="1" x14ac:dyDescent="0.25">
      <c r="A10275" s="2" t="s">
        <v>21043</v>
      </c>
      <c r="B10275" s="2" t="s">
        <v>21044</v>
      </c>
      <c r="C10275" s="2" t="s">
        <v>5</v>
      </c>
      <c r="D10275" s="2" t="s">
        <v>294</v>
      </c>
      <c r="E10275" s="2" t="str">
        <f>"9783030022297"</f>
        <v>9783030022297</v>
      </c>
      <c r="F10275" s="2" t="str">
        <f>"9783030022303"</f>
        <v>9783030022303</v>
      </c>
    </row>
    <row r="10276" spans="1:6" s="3" customFormat="1" ht="29.1" customHeight="1" x14ac:dyDescent="0.25">
      <c r="A10276" s="2" t="s">
        <v>21045</v>
      </c>
      <c r="B10276" s="2" t="s">
        <v>21046</v>
      </c>
      <c r="C10276" s="2" t="s">
        <v>5</v>
      </c>
      <c r="D10276" s="2" t="s">
        <v>1209</v>
      </c>
      <c r="E10276" s="2" t="str">
        <f>"9783319931937"</f>
        <v>9783319931937</v>
      </c>
      <c r="F10276" s="2" t="str">
        <f>"9783319931944"</f>
        <v>9783319931944</v>
      </c>
    </row>
    <row r="10277" spans="1:6" s="3" customFormat="1" ht="29.1" customHeight="1" x14ac:dyDescent="0.25">
      <c r="A10277" s="2" t="s">
        <v>21047</v>
      </c>
      <c r="B10277" s="2" t="s">
        <v>21048</v>
      </c>
      <c r="C10277" s="2" t="s">
        <v>5</v>
      </c>
      <c r="D10277" s="2" t="s">
        <v>183</v>
      </c>
      <c r="E10277" s="2" t="str">
        <f>"9783658390648"</f>
        <v>9783658390648</v>
      </c>
      <c r="F10277" s="2" t="str">
        <f>"9783658390655"</f>
        <v>9783658390655</v>
      </c>
    </row>
    <row r="10278" spans="1:6" s="3" customFormat="1" ht="29.1" customHeight="1" x14ac:dyDescent="0.25">
      <c r="A10278" s="2" t="s">
        <v>21049</v>
      </c>
      <c r="B10278" s="2" t="s">
        <v>21050</v>
      </c>
      <c r="C10278" s="2" t="s">
        <v>5</v>
      </c>
      <c r="D10278" s="2" t="s">
        <v>183</v>
      </c>
      <c r="E10278" s="2" t="str">
        <f>"9783658373917"</f>
        <v>9783658373917</v>
      </c>
      <c r="F10278" s="2" t="str">
        <f>"9783658373924"</f>
        <v>9783658373924</v>
      </c>
    </row>
    <row r="10279" spans="1:6" s="3" customFormat="1" ht="29.1" customHeight="1" x14ac:dyDescent="0.25">
      <c r="A10279" s="2" t="s">
        <v>21051</v>
      </c>
      <c r="B10279" s="2" t="s">
        <v>21052</v>
      </c>
      <c r="C10279" s="2" t="s">
        <v>5</v>
      </c>
      <c r="D10279" s="2" t="s">
        <v>15</v>
      </c>
      <c r="E10279" s="2" t="str">
        <f>"9783319466835"</f>
        <v>9783319466835</v>
      </c>
      <c r="F10279" s="2" t="str">
        <f>"9783319466842"</f>
        <v>9783319466842</v>
      </c>
    </row>
    <row r="10280" spans="1:6" s="3" customFormat="1" ht="29.1" customHeight="1" x14ac:dyDescent="0.25">
      <c r="A10280" s="2" t="s">
        <v>21053</v>
      </c>
      <c r="B10280" s="2" t="s">
        <v>21054</v>
      </c>
      <c r="C10280" s="2" t="s">
        <v>5</v>
      </c>
      <c r="D10280" s="2" t="s">
        <v>141</v>
      </c>
      <c r="E10280" s="2" t="str">
        <f>"9781484222737"</f>
        <v>9781484222737</v>
      </c>
      <c r="F10280" s="2" t="str">
        <f>"9781484222744"</f>
        <v>9781484222744</v>
      </c>
    </row>
    <row r="10281" spans="1:6" s="3" customFormat="1" ht="29.1" customHeight="1" x14ac:dyDescent="0.25">
      <c r="A10281" s="2" t="s">
        <v>21055</v>
      </c>
      <c r="B10281" s="2" t="s">
        <v>21056</v>
      </c>
      <c r="C10281" s="2" t="s">
        <v>5</v>
      </c>
      <c r="D10281" s="2" t="s">
        <v>712</v>
      </c>
      <c r="E10281" s="2" t="str">
        <f>"9783319464985"</f>
        <v>9783319464985</v>
      </c>
      <c r="F10281" s="2" t="str">
        <f>"9783319464992"</f>
        <v>9783319464992</v>
      </c>
    </row>
    <row r="10282" spans="1:6" s="3" customFormat="1" ht="29.1" customHeight="1" x14ac:dyDescent="0.25">
      <c r="A10282" s="2" t="s">
        <v>21057</v>
      </c>
      <c r="B10282" s="2" t="s">
        <v>21058</v>
      </c>
      <c r="C10282" s="2" t="s">
        <v>5</v>
      </c>
      <c r="D10282" s="2" t="s">
        <v>2861</v>
      </c>
      <c r="E10282" s="2" t="str">
        <f>"9783030796211"</f>
        <v>9783030796211</v>
      </c>
      <c r="F10282" s="2" t="str">
        <f>"9783030796228"</f>
        <v>9783030796228</v>
      </c>
    </row>
    <row r="10283" spans="1:6" s="3" customFormat="1" ht="29.1" customHeight="1" x14ac:dyDescent="0.25">
      <c r="A10283" s="2" t="s">
        <v>21059</v>
      </c>
      <c r="B10283" s="2" t="s">
        <v>21060</v>
      </c>
      <c r="C10283" s="2" t="s">
        <v>5</v>
      </c>
      <c r="D10283" s="2" t="s">
        <v>9</v>
      </c>
      <c r="E10283" s="2" t="str">
        <f>"9783658430481"</f>
        <v>9783658430481</v>
      </c>
      <c r="F10283" s="2" t="str">
        <f>"9783658430498"</f>
        <v>9783658430498</v>
      </c>
    </row>
    <row r="10284" spans="1:6" s="3" customFormat="1" ht="29.1" customHeight="1" x14ac:dyDescent="0.25">
      <c r="A10284" s="2" t="s">
        <v>21061</v>
      </c>
      <c r="B10284" s="2" t="s">
        <v>21062</v>
      </c>
      <c r="C10284" s="2" t="s">
        <v>5</v>
      </c>
      <c r="D10284" s="2" t="s">
        <v>297</v>
      </c>
      <c r="E10284" s="2" t="str">
        <f>"9783031422881"</f>
        <v>9783031422881</v>
      </c>
      <c r="F10284" s="2" t="str">
        <f>"9783031422898"</f>
        <v>9783031422898</v>
      </c>
    </row>
    <row r="10285" spans="1:6" s="3" customFormat="1" ht="29.1" customHeight="1" x14ac:dyDescent="0.25">
      <c r="A10285" s="2" t="s">
        <v>21061</v>
      </c>
      <c r="B10285" s="2" t="s">
        <v>21062</v>
      </c>
      <c r="C10285" s="2" t="s">
        <v>5</v>
      </c>
      <c r="D10285" s="2" t="s">
        <v>297</v>
      </c>
      <c r="E10285" s="2" t="str">
        <f>"9783031176241"</f>
        <v>9783031176241</v>
      </c>
      <c r="F10285" s="2" t="str">
        <f>"9783031176258"</f>
        <v>9783031176258</v>
      </c>
    </row>
    <row r="10286" spans="1:6" s="3" customFormat="1" ht="29.1" customHeight="1" x14ac:dyDescent="0.25">
      <c r="A10286" s="2" t="s">
        <v>21063</v>
      </c>
      <c r="B10286" s="2" t="s">
        <v>21064</v>
      </c>
      <c r="C10286" s="2" t="s">
        <v>5</v>
      </c>
      <c r="D10286" s="2" t="s">
        <v>353</v>
      </c>
      <c r="E10286" s="2" t="str">
        <f>"9783030449742"</f>
        <v>9783030449742</v>
      </c>
      <c r="F10286" s="2" t="str">
        <f>"9783030449759"</f>
        <v>9783030449759</v>
      </c>
    </row>
    <row r="10287" spans="1:6" s="3" customFormat="1" ht="29.1" customHeight="1" x14ac:dyDescent="0.25">
      <c r="A10287" s="2" t="s">
        <v>21065</v>
      </c>
      <c r="B10287" s="2" t="s">
        <v>21066</v>
      </c>
      <c r="C10287" s="2" t="s">
        <v>5</v>
      </c>
      <c r="D10287" s="2" t="s">
        <v>6511</v>
      </c>
      <c r="E10287" s="2" t="str">
        <f>"9783319575315"</f>
        <v>9783319575315</v>
      </c>
      <c r="F10287" s="2" t="str">
        <f>"9783319575322"</f>
        <v>9783319575322</v>
      </c>
    </row>
    <row r="10288" spans="1:6" s="3" customFormat="1" ht="29.1" customHeight="1" x14ac:dyDescent="0.25">
      <c r="A10288" s="2" t="s">
        <v>21067</v>
      </c>
      <c r="B10288" s="2" t="s">
        <v>21068</v>
      </c>
      <c r="C10288" s="2" t="s">
        <v>5</v>
      </c>
      <c r="D10288" s="2" t="s">
        <v>37</v>
      </c>
      <c r="E10288" s="2" t="str">
        <f>"9783030278007"</f>
        <v>9783030278007</v>
      </c>
      <c r="F10288" s="2" t="str">
        <f>"9783030278014"</f>
        <v>9783030278014</v>
      </c>
    </row>
    <row r="10289" spans="1:6" s="3" customFormat="1" ht="29.1" customHeight="1" x14ac:dyDescent="0.25">
      <c r="A10289" s="2" t="s">
        <v>21069</v>
      </c>
      <c r="B10289" s="2" t="s">
        <v>21070</v>
      </c>
      <c r="C10289" s="2" t="s">
        <v>5</v>
      </c>
      <c r="D10289" s="2" t="s">
        <v>270</v>
      </c>
      <c r="E10289" s="2" t="str">
        <f>"9783031233784"</f>
        <v>9783031233784</v>
      </c>
      <c r="F10289" s="2" t="str">
        <f>"9783031233791"</f>
        <v>9783031233791</v>
      </c>
    </row>
    <row r="10290" spans="1:6" s="3" customFormat="1" ht="29.1" customHeight="1" x14ac:dyDescent="0.25">
      <c r="A10290" s="2" t="s">
        <v>21071</v>
      </c>
      <c r="B10290" s="2" t="s">
        <v>21072</v>
      </c>
      <c r="C10290" s="2" t="s">
        <v>5</v>
      </c>
      <c r="D10290" s="2" t="s">
        <v>4172</v>
      </c>
      <c r="E10290" s="2" t="str">
        <f>"9783319457680"</f>
        <v>9783319457680</v>
      </c>
      <c r="F10290" s="2" t="str">
        <f>"9783319457697"</f>
        <v>9783319457697</v>
      </c>
    </row>
    <row r="10291" spans="1:6" s="3" customFormat="1" ht="29.1" customHeight="1" x14ac:dyDescent="0.25">
      <c r="A10291" s="2" t="s">
        <v>21073</v>
      </c>
      <c r="B10291" s="2" t="s">
        <v>21074</v>
      </c>
      <c r="C10291" s="2" t="s">
        <v>5</v>
      </c>
      <c r="D10291" s="2" t="s">
        <v>1018</v>
      </c>
      <c r="E10291" s="2" t="str">
        <f>"9783031350191"</f>
        <v>9783031350191</v>
      </c>
      <c r="F10291" s="2" t="str">
        <f>"9783031350207"</f>
        <v>9783031350207</v>
      </c>
    </row>
    <row r="10292" spans="1:6" s="3" customFormat="1" ht="29.1" customHeight="1" x14ac:dyDescent="0.25">
      <c r="A10292" s="2" t="s">
        <v>21075</v>
      </c>
      <c r="B10292" s="2" t="s">
        <v>21076</v>
      </c>
      <c r="C10292" s="2" t="s">
        <v>5</v>
      </c>
      <c r="D10292" s="2" t="s">
        <v>12</v>
      </c>
      <c r="E10292" s="2" t="str">
        <f>"9783031157721"</f>
        <v>9783031157721</v>
      </c>
      <c r="F10292" s="2" t="str">
        <f>"9783031157738"</f>
        <v>9783031157738</v>
      </c>
    </row>
    <row r="10293" spans="1:6" s="3" customFormat="1" ht="29.1" customHeight="1" x14ac:dyDescent="0.25">
      <c r="A10293" s="2" t="s">
        <v>21077</v>
      </c>
      <c r="B10293" s="2" t="s">
        <v>21078</v>
      </c>
      <c r="C10293" s="2" t="s">
        <v>5</v>
      </c>
      <c r="D10293" s="2" t="s">
        <v>4783</v>
      </c>
      <c r="E10293" s="2" t="str">
        <f>"9789811951442"</f>
        <v>9789811951442</v>
      </c>
      <c r="F10293" s="2" t="str">
        <f>"9789811951459"</f>
        <v>9789811951459</v>
      </c>
    </row>
    <row r="10294" spans="1:6" s="3" customFormat="1" ht="29.1" customHeight="1" x14ac:dyDescent="0.25">
      <c r="A10294" s="2" t="s">
        <v>21079</v>
      </c>
      <c r="B10294" s="2" t="s">
        <v>21080</v>
      </c>
      <c r="C10294" s="2" t="s">
        <v>5</v>
      </c>
      <c r="D10294" s="2" t="s">
        <v>4190</v>
      </c>
      <c r="E10294" s="2" t="str">
        <f>"9789811948589"</f>
        <v>9789811948589</v>
      </c>
      <c r="F10294" s="2" t="str">
        <f>"9789811948596"</f>
        <v>9789811948596</v>
      </c>
    </row>
    <row r="10295" spans="1:6" s="3" customFormat="1" ht="29.1" customHeight="1" x14ac:dyDescent="0.25">
      <c r="A10295" s="2" t="s">
        <v>21081</v>
      </c>
      <c r="B10295" s="2" t="s">
        <v>21082</v>
      </c>
      <c r="C10295" s="2" t="s">
        <v>5</v>
      </c>
      <c r="D10295" s="2" t="s">
        <v>12</v>
      </c>
      <c r="E10295" s="2" t="str">
        <f>"9789811942334"</f>
        <v>9789811942334</v>
      </c>
      <c r="F10295" s="2" t="str">
        <f>"9789811942341"</f>
        <v>9789811942341</v>
      </c>
    </row>
    <row r="10296" spans="1:6" s="3" customFormat="1" ht="29.1" customHeight="1" x14ac:dyDescent="0.25">
      <c r="A10296" s="2" t="s">
        <v>21083</v>
      </c>
      <c r="B10296" s="2" t="s">
        <v>21084</v>
      </c>
      <c r="C10296" s="2" t="s">
        <v>5</v>
      </c>
      <c r="D10296" s="2" t="s">
        <v>72</v>
      </c>
      <c r="E10296" s="2" t="str">
        <f>"9783030972424"</f>
        <v>9783030972424</v>
      </c>
      <c r="F10296" s="2" t="str">
        <f>"9783030972431"</f>
        <v>9783030972431</v>
      </c>
    </row>
    <row r="10297" spans="1:6" s="3" customFormat="1" ht="29.1" customHeight="1" x14ac:dyDescent="0.25">
      <c r="A10297" s="2" t="s">
        <v>21085</v>
      </c>
      <c r="B10297" s="2" t="s">
        <v>21086</v>
      </c>
      <c r="C10297" s="2" t="s">
        <v>5</v>
      </c>
      <c r="D10297" s="2" t="s">
        <v>1071</v>
      </c>
      <c r="E10297" s="2" t="str">
        <f>"9783030960520"</f>
        <v>9783030960520</v>
      </c>
      <c r="F10297" s="2" t="str">
        <f>"9783030960537"</f>
        <v>9783030960537</v>
      </c>
    </row>
    <row r="10298" spans="1:6" s="3" customFormat="1" ht="29.1" customHeight="1" x14ac:dyDescent="0.25">
      <c r="A10298" s="2" t="s">
        <v>21087</v>
      </c>
      <c r="B10298" s="2" t="s">
        <v>21088</v>
      </c>
      <c r="C10298" s="2" t="s">
        <v>5</v>
      </c>
      <c r="D10298" s="2" t="s">
        <v>694</v>
      </c>
      <c r="E10298" s="2" t="str">
        <f>"9789811697470"</f>
        <v>9789811697470</v>
      </c>
      <c r="F10298" s="2" t="str">
        <f>"9789811697487"</f>
        <v>9789811697487</v>
      </c>
    </row>
    <row r="10299" spans="1:6" s="3" customFormat="1" ht="29.1" customHeight="1" x14ac:dyDescent="0.25">
      <c r="A10299" s="2" t="s">
        <v>21089</v>
      </c>
      <c r="B10299" s="2" t="s">
        <v>21090</v>
      </c>
      <c r="C10299" s="2" t="s">
        <v>5</v>
      </c>
      <c r="D10299" s="2" t="s">
        <v>1895</v>
      </c>
      <c r="E10299" s="2" t="str">
        <f>"9783030925765"</f>
        <v>9783030925765</v>
      </c>
      <c r="F10299" s="2" t="str">
        <f>"9783030925772"</f>
        <v>9783030925772</v>
      </c>
    </row>
    <row r="10300" spans="1:6" s="3" customFormat="1" ht="29.1" customHeight="1" x14ac:dyDescent="0.25">
      <c r="A10300" s="2" t="s">
        <v>21091</v>
      </c>
      <c r="B10300" s="2" t="s">
        <v>21092</v>
      </c>
      <c r="C10300" s="2" t="s">
        <v>5</v>
      </c>
      <c r="D10300" s="2" t="s">
        <v>5716</v>
      </c>
      <c r="E10300" s="2" t="str">
        <f>"9783030888015"</f>
        <v>9783030888015</v>
      </c>
      <c r="F10300" s="2" t="str">
        <f>"9783030888022"</f>
        <v>9783030888022</v>
      </c>
    </row>
    <row r="10301" spans="1:6" s="3" customFormat="1" ht="29.1" customHeight="1" x14ac:dyDescent="0.25">
      <c r="A10301" s="2" t="s">
        <v>21093</v>
      </c>
      <c r="B10301" s="2" t="s">
        <v>21094</v>
      </c>
      <c r="C10301" s="2" t="s">
        <v>5</v>
      </c>
      <c r="D10301" s="2" t="s">
        <v>294</v>
      </c>
      <c r="E10301" s="2" t="str">
        <f>"9783030885083"</f>
        <v>9783030885083</v>
      </c>
      <c r="F10301" s="2" t="str">
        <f>"9783030885090"</f>
        <v>9783030885090</v>
      </c>
    </row>
    <row r="10302" spans="1:6" s="3" customFormat="1" ht="29.1" customHeight="1" x14ac:dyDescent="0.25">
      <c r="A10302" s="2" t="s">
        <v>21095</v>
      </c>
      <c r="B10302" s="2" t="s">
        <v>21096</v>
      </c>
      <c r="C10302" s="2" t="s">
        <v>5</v>
      </c>
      <c r="D10302" s="2" t="s">
        <v>7737</v>
      </c>
      <c r="E10302" s="2" t="str">
        <f>"9783030835811"</f>
        <v>9783030835811</v>
      </c>
      <c r="F10302" s="2" t="str">
        <f>"9783030835828"</f>
        <v>9783030835828</v>
      </c>
    </row>
    <row r="10303" spans="1:6" s="3" customFormat="1" ht="29.1" customHeight="1" x14ac:dyDescent="0.25">
      <c r="A10303" s="2" t="s">
        <v>21097</v>
      </c>
      <c r="B10303" s="2" t="s">
        <v>21098</v>
      </c>
      <c r="C10303" s="2" t="s">
        <v>5</v>
      </c>
      <c r="D10303" s="2" t="s">
        <v>12</v>
      </c>
      <c r="E10303" s="2" t="str">
        <f>"9783030788520"</f>
        <v>9783030788520</v>
      </c>
      <c r="F10303" s="2" t="str">
        <f>"9783030788537"</f>
        <v>9783030788537</v>
      </c>
    </row>
    <row r="10304" spans="1:6" s="3" customFormat="1" ht="29.1" customHeight="1" x14ac:dyDescent="0.25">
      <c r="A10304" s="2" t="s">
        <v>21099</v>
      </c>
      <c r="B10304" s="2" t="s">
        <v>21100</v>
      </c>
      <c r="C10304" s="2" t="s">
        <v>5</v>
      </c>
      <c r="D10304" s="2" t="s">
        <v>98</v>
      </c>
      <c r="E10304" s="2" t="str">
        <f>"9783319454375"</f>
        <v>9783319454375</v>
      </c>
      <c r="F10304" s="2" t="str">
        <f>"9783319454382"</f>
        <v>9783319454382</v>
      </c>
    </row>
    <row r="10305" spans="1:6" s="3" customFormat="1" ht="29.1" customHeight="1" x14ac:dyDescent="0.25">
      <c r="A10305" s="2" t="s">
        <v>21101</v>
      </c>
      <c r="B10305" s="2" t="s">
        <v>21102</v>
      </c>
      <c r="C10305" s="2" t="s">
        <v>5</v>
      </c>
      <c r="D10305" s="2" t="s">
        <v>3086</v>
      </c>
      <c r="E10305" s="2" t="str">
        <f>"9783319452630"</f>
        <v>9783319452630</v>
      </c>
      <c r="F10305" s="2" t="str">
        <f>"9783319452647"</f>
        <v>9783319452647</v>
      </c>
    </row>
    <row r="10306" spans="1:6" s="3" customFormat="1" ht="29.1" customHeight="1" x14ac:dyDescent="0.25">
      <c r="A10306" s="2" t="s">
        <v>21103</v>
      </c>
      <c r="B10306" s="2" t="s">
        <v>21104</v>
      </c>
      <c r="C10306" s="2" t="s">
        <v>5</v>
      </c>
      <c r="D10306" s="2" t="s">
        <v>836</v>
      </c>
      <c r="E10306" s="2" t="str">
        <f>"9783031201639"</f>
        <v>9783031201639</v>
      </c>
      <c r="F10306" s="2" t="str">
        <f>"9783031201646"</f>
        <v>9783031201646</v>
      </c>
    </row>
    <row r="10307" spans="1:6" s="3" customFormat="1" ht="29.1" customHeight="1" x14ac:dyDescent="0.25">
      <c r="A10307" s="2" t="s">
        <v>21105</v>
      </c>
      <c r="B10307" s="2" t="s">
        <v>21106</v>
      </c>
      <c r="C10307" s="2" t="s">
        <v>5</v>
      </c>
      <c r="D10307" s="2" t="s">
        <v>3567</v>
      </c>
      <c r="E10307" s="2" t="str">
        <f>"9783319450193"</f>
        <v>9783319450193</v>
      </c>
      <c r="F10307" s="2" t="str">
        <f>"9783319450216"</f>
        <v>9783319450216</v>
      </c>
    </row>
    <row r="10308" spans="1:6" s="3" customFormat="1" ht="29.1" customHeight="1" x14ac:dyDescent="0.25">
      <c r="A10308" s="2" t="s">
        <v>21107</v>
      </c>
      <c r="B10308" s="2" t="s">
        <v>21108</v>
      </c>
      <c r="C10308" s="2" t="s">
        <v>5</v>
      </c>
      <c r="D10308" s="2" t="s">
        <v>86</v>
      </c>
      <c r="E10308" s="2" t="str">
        <f>"9783319974682"</f>
        <v>9783319974682</v>
      </c>
      <c r="F10308" s="2" t="str">
        <f>"9783319974699"</f>
        <v>9783319974699</v>
      </c>
    </row>
    <row r="10309" spans="1:6" s="3" customFormat="1" ht="29.1" customHeight="1" x14ac:dyDescent="0.25">
      <c r="A10309" s="2" t="s">
        <v>21109</v>
      </c>
      <c r="B10309" s="2" t="s">
        <v>21110</v>
      </c>
      <c r="C10309" s="2" t="s">
        <v>5</v>
      </c>
      <c r="D10309" s="2" t="s">
        <v>2168</v>
      </c>
      <c r="E10309" s="2" t="str">
        <f>"9789811678295"</f>
        <v>9789811678295</v>
      </c>
      <c r="F10309" s="2" t="str">
        <f>"9789811678301"</f>
        <v>9789811678301</v>
      </c>
    </row>
    <row r="10310" spans="1:6" s="3" customFormat="1" ht="29.1" customHeight="1" x14ac:dyDescent="0.25">
      <c r="A10310" s="2" t="s">
        <v>21111</v>
      </c>
      <c r="B10310" s="2" t="s">
        <v>21112</v>
      </c>
      <c r="C10310" s="2" t="s">
        <v>5</v>
      </c>
      <c r="D10310" s="2" t="s">
        <v>2005</v>
      </c>
      <c r="E10310" s="2" t="str">
        <f>"9783319446202"</f>
        <v>9783319446202</v>
      </c>
      <c r="F10310" s="2" t="str">
        <f>"9783319446219"</f>
        <v>9783319446219</v>
      </c>
    </row>
    <row r="10311" spans="1:6" s="3" customFormat="1" ht="29.1" customHeight="1" x14ac:dyDescent="0.25">
      <c r="A10311" s="2" t="s">
        <v>21113</v>
      </c>
      <c r="B10311" s="2" t="s">
        <v>21114</v>
      </c>
      <c r="C10311" s="2" t="s">
        <v>5</v>
      </c>
      <c r="D10311" s="2" t="s">
        <v>712</v>
      </c>
      <c r="E10311" s="2" t="str">
        <f>"9783319454702"</f>
        <v>9783319454702</v>
      </c>
      <c r="F10311" s="2" t="str">
        <f>"9783319454719"</f>
        <v>9783319454719</v>
      </c>
    </row>
    <row r="10312" spans="1:6" s="3" customFormat="1" ht="29.1" customHeight="1" x14ac:dyDescent="0.25">
      <c r="A10312" s="2" t="s">
        <v>21115</v>
      </c>
      <c r="B10312" s="2" t="s">
        <v>21116</v>
      </c>
      <c r="C10312" s="2" t="s">
        <v>5</v>
      </c>
      <c r="D10312" s="2" t="s">
        <v>1189</v>
      </c>
      <c r="E10312" s="2" t="str">
        <f>"9783319451794"</f>
        <v>9783319451794</v>
      </c>
      <c r="F10312" s="2" t="str">
        <f>"9783319451800"</f>
        <v>9783319451800</v>
      </c>
    </row>
    <row r="10313" spans="1:6" s="3" customFormat="1" ht="29.1" customHeight="1" x14ac:dyDescent="0.25">
      <c r="A10313" s="2" t="s">
        <v>21117</v>
      </c>
      <c r="B10313" s="2" t="s">
        <v>21118</v>
      </c>
      <c r="C10313" s="2" t="s">
        <v>5</v>
      </c>
      <c r="D10313" s="2" t="s">
        <v>12</v>
      </c>
      <c r="E10313" s="2" t="str">
        <f>"9783319424675"</f>
        <v>9783319424675</v>
      </c>
      <c r="F10313" s="2" t="str">
        <f>"9783319424682"</f>
        <v>9783319424682</v>
      </c>
    </row>
    <row r="10314" spans="1:6" s="3" customFormat="1" ht="29.1" customHeight="1" x14ac:dyDescent="0.25">
      <c r="A10314" s="2" t="s">
        <v>21119</v>
      </c>
      <c r="B10314" s="2" t="s">
        <v>21120</v>
      </c>
      <c r="C10314" s="2" t="s">
        <v>5</v>
      </c>
      <c r="D10314" s="2" t="s">
        <v>370</v>
      </c>
      <c r="E10314" s="2" t="str">
        <f>"9783030279196"</f>
        <v>9783030279196</v>
      </c>
      <c r="F10314" s="2" t="str">
        <f>"9783030279202"</f>
        <v>9783030279202</v>
      </c>
    </row>
    <row r="10315" spans="1:6" s="3" customFormat="1" ht="29.1" customHeight="1" x14ac:dyDescent="0.25">
      <c r="A10315" s="2" t="s">
        <v>21121</v>
      </c>
      <c r="B10315" s="2" t="s">
        <v>21122</v>
      </c>
      <c r="C10315" s="2" t="s">
        <v>5</v>
      </c>
      <c r="D10315" s="2" t="s">
        <v>11248</v>
      </c>
      <c r="E10315" s="2" t="str">
        <f>"9783319916880"</f>
        <v>9783319916880</v>
      </c>
      <c r="F10315" s="2" t="str">
        <f>"9783319916897"</f>
        <v>9783319916897</v>
      </c>
    </row>
    <row r="10316" spans="1:6" s="3" customFormat="1" ht="29.1" customHeight="1" x14ac:dyDescent="0.25">
      <c r="A10316" s="2" t="s">
        <v>21123</v>
      </c>
      <c r="B10316" s="2" t="s">
        <v>21124</v>
      </c>
      <c r="C10316" s="2" t="s">
        <v>5</v>
      </c>
      <c r="D10316" s="2" t="s">
        <v>712</v>
      </c>
      <c r="E10316" s="2" t="str">
        <f>"9783658144135"</f>
        <v>9783658144135</v>
      </c>
      <c r="F10316" s="2" t="str">
        <f>"9783658144142"</f>
        <v>9783658144142</v>
      </c>
    </row>
    <row r="10317" spans="1:6" s="3" customFormat="1" ht="29.1" customHeight="1" x14ac:dyDescent="0.25">
      <c r="A10317" s="2" t="s">
        <v>21125</v>
      </c>
      <c r="B10317" s="2" t="s">
        <v>19906</v>
      </c>
      <c r="C10317" s="2" t="s">
        <v>5</v>
      </c>
      <c r="D10317" s="2" t="s">
        <v>12</v>
      </c>
      <c r="E10317" s="2" t="str">
        <f>"9783030401535"</f>
        <v>9783030401535</v>
      </c>
      <c r="F10317" s="2" t="str">
        <f>"9783030401542"</f>
        <v>9783030401542</v>
      </c>
    </row>
    <row r="10318" spans="1:6" s="3" customFormat="1" ht="29.1" customHeight="1" x14ac:dyDescent="0.25">
      <c r="A10318" s="2" t="s">
        <v>21126</v>
      </c>
      <c r="B10318" s="2" t="s">
        <v>21127</v>
      </c>
      <c r="C10318" s="2" t="s">
        <v>5</v>
      </c>
      <c r="D10318" s="2" t="s">
        <v>1927</v>
      </c>
      <c r="E10318" s="2" t="str">
        <f>"9783319398464"</f>
        <v>9783319398464</v>
      </c>
      <c r="F10318" s="2" t="str">
        <f>"9783319398471"</f>
        <v>9783319398471</v>
      </c>
    </row>
    <row r="10319" spans="1:6" s="3" customFormat="1" ht="29.1" customHeight="1" x14ac:dyDescent="0.25">
      <c r="A10319" s="2" t="s">
        <v>21128</v>
      </c>
      <c r="B10319" s="2" t="s">
        <v>21129</v>
      </c>
      <c r="C10319" s="2" t="s">
        <v>5</v>
      </c>
      <c r="D10319" s="2" t="s">
        <v>431</v>
      </c>
      <c r="E10319" s="2" t="str">
        <f>"9783476058850"</f>
        <v>9783476058850</v>
      </c>
      <c r="F10319" s="2" t="str">
        <f>"9783476058867"</f>
        <v>9783476058867</v>
      </c>
    </row>
    <row r="10320" spans="1:6" s="3" customFormat="1" ht="29.1" customHeight="1" x14ac:dyDescent="0.25">
      <c r="A10320" s="2" t="s">
        <v>21130</v>
      </c>
      <c r="B10320" s="2" t="s">
        <v>7498</v>
      </c>
      <c r="C10320" s="2" t="s">
        <v>5</v>
      </c>
      <c r="D10320" s="2" t="s">
        <v>183</v>
      </c>
      <c r="E10320" s="2" t="str">
        <f>"9789811551314"</f>
        <v>9789811551314</v>
      </c>
      <c r="F10320" s="2" t="str">
        <f>"9789811551321"</f>
        <v>9789811551321</v>
      </c>
    </row>
    <row r="10321" spans="1:6" s="3" customFormat="1" ht="29.1" customHeight="1" x14ac:dyDescent="0.25">
      <c r="A10321" s="2" t="s">
        <v>21131</v>
      </c>
      <c r="B10321" s="2" t="s">
        <v>7498</v>
      </c>
      <c r="C10321" s="2" t="s">
        <v>5</v>
      </c>
      <c r="D10321" s="2" t="s">
        <v>183</v>
      </c>
      <c r="E10321" s="2" t="str">
        <f>"9789811551277"</f>
        <v>9789811551277</v>
      </c>
      <c r="F10321" s="2" t="str">
        <f>"9789811551284"</f>
        <v>9789811551284</v>
      </c>
    </row>
    <row r="10322" spans="1:6" s="3" customFormat="1" ht="29.1" customHeight="1" x14ac:dyDescent="0.25">
      <c r="A10322" s="2" t="s">
        <v>21132</v>
      </c>
      <c r="B10322" s="2" t="s">
        <v>7498</v>
      </c>
      <c r="C10322" s="2" t="s">
        <v>5</v>
      </c>
      <c r="D10322" s="2" t="s">
        <v>183</v>
      </c>
      <c r="E10322" s="2" t="str">
        <f>"9789811550041"</f>
        <v>9789811550041</v>
      </c>
      <c r="F10322" s="2" t="str">
        <f>"9789811550058"</f>
        <v>9789811550058</v>
      </c>
    </row>
    <row r="10323" spans="1:6" s="3" customFormat="1" ht="29.1" customHeight="1" x14ac:dyDescent="0.25">
      <c r="A10323" s="2" t="s">
        <v>21133</v>
      </c>
      <c r="B10323" s="2" t="s">
        <v>21134</v>
      </c>
      <c r="C10323" s="2" t="s">
        <v>5</v>
      </c>
      <c r="D10323" s="2" t="s">
        <v>3055</v>
      </c>
      <c r="E10323" s="2" t="str">
        <f>"9789819933297"</f>
        <v>9789819933297</v>
      </c>
      <c r="F10323" s="2" t="str">
        <f>"9789819933303"</f>
        <v>9789819933303</v>
      </c>
    </row>
    <row r="10324" spans="1:6" s="3" customFormat="1" ht="29.1" customHeight="1" x14ac:dyDescent="0.25">
      <c r="A10324" s="2" t="s">
        <v>21135</v>
      </c>
      <c r="B10324" s="2" t="s">
        <v>21136</v>
      </c>
      <c r="C10324" s="2" t="s">
        <v>5</v>
      </c>
      <c r="D10324" s="2" t="s">
        <v>44</v>
      </c>
      <c r="E10324" s="2" t="str">
        <f>"9789811961373"</f>
        <v>9789811961373</v>
      </c>
      <c r="F10324" s="2" t="str">
        <f>"9789811961380"</f>
        <v>9789811961380</v>
      </c>
    </row>
    <row r="10325" spans="1:6" s="3" customFormat="1" ht="29.1" customHeight="1" x14ac:dyDescent="0.25">
      <c r="A10325" s="2" t="s">
        <v>21137</v>
      </c>
      <c r="B10325" s="2" t="s">
        <v>21138</v>
      </c>
      <c r="C10325" s="2" t="s">
        <v>5</v>
      </c>
      <c r="D10325" s="2" t="s">
        <v>4739</v>
      </c>
      <c r="E10325" s="2" t="str">
        <f>"9783658390518"</f>
        <v>9783658390518</v>
      </c>
      <c r="F10325" s="2" t="str">
        <f>"9783658390525"</f>
        <v>9783658390525</v>
      </c>
    </row>
    <row r="10326" spans="1:6" s="3" customFormat="1" ht="29.1" customHeight="1" x14ac:dyDescent="0.25">
      <c r="A10326" s="2" t="s">
        <v>21139</v>
      </c>
      <c r="B10326" s="2" t="s">
        <v>21140</v>
      </c>
      <c r="C10326" s="2" t="s">
        <v>5</v>
      </c>
      <c r="D10326" s="2" t="s">
        <v>168</v>
      </c>
      <c r="E10326" s="2" t="str">
        <f>"9783030738341"</f>
        <v>9783030738341</v>
      </c>
      <c r="F10326" s="2" t="str">
        <f>"9783030738358"</f>
        <v>9783030738358</v>
      </c>
    </row>
    <row r="10327" spans="1:6" s="3" customFormat="1" ht="29.1" customHeight="1" x14ac:dyDescent="0.25">
      <c r="A10327" s="2" t="s">
        <v>21141</v>
      </c>
      <c r="B10327" s="2" t="s">
        <v>21142</v>
      </c>
      <c r="C10327" s="2" t="s">
        <v>5</v>
      </c>
      <c r="D10327" s="2" t="s">
        <v>3817</v>
      </c>
      <c r="E10327" s="2" t="str">
        <f>"9783319390949"</f>
        <v>9783319390949</v>
      </c>
      <c r="F10327" s="2" t="str">
        <f>"9783319390956"</f>
        <v>9783319390956</v>
      </c>
    </row>
    <row r="10328" spans="1:6" s="3" customFormat="1" ht="29.1" customHeight="1" x14ac:dyDescent="0.25">
      <c r="A10328" s="2" t="s">
        <v>21143</v>
      </c>
      <c r="B10328" s="2" t="s">
        <v>21144</v>
      </c>
      <c r="C10328" s="2" t="s">
        <v>5</v>
      </c>
      <c r="D10328" s="2" t="s">
        <v>4002</v>
      </c>
      <c r="E10328" s="2" t="str">
        <f>"9783030315887"</f>
        <v>9783030315887</v>
      </c>
      <c r="F10328" s="2" t="str">
        <f>"9783030315894"</f>
        <v>9783030315894</v>
      </c>
    </row>
    <row r="10329" spans="1:6" s="3" customFormat="1" ht="29.1" customHeight="1" x14ac:dyDescent="0.25">
      <c r="A10329" s="2" t="s">
        <v>21145</v>
      </c>
      <c r="B10329" s="2" t="s">
        <v>21146</v>
      </c>
      <c r="C10329" s="2" t="s">
        <v>5</v>
      </c>
      <c r="D10329" s="2" t="s">
        <v>4783</v>
      </c>
      <c r="E10329" s="2" t="str">
        <f>"9781137578808"</f>
        <v>9781137578808</v>
      </c>
      <c r="F10329" s="2" t="str">
        <f>"9781137578785"</f>
        <v>9781137578785</v>
      </c>
    </row>
    <row r="10330" spans="1:6" s="3" customFormat="1" ht="29.1" customHeight="1" x14ac:dyDescent="0.25">
      <c r="A10330" s="2" t="s">
        <v>21147</v>
      </c>
      <c r="B10330" s="2" t="s">
        <v>21148</v>
      </c>
      <c r="C10330" s="2" t="s">
        <v>5</v>
      </c>
      <c r="D10330" s="2" t="s">
        <v>15</v>
      </c>
      <c r="E10330" s="2" t="str">
        <f>"9783658331030"</f>
        <v>9783658331030</v>
      </c>
      <c r="F10330" s="2" t="str">
        <f>"9783658331047"</f>
        <v>9783658331047</v>
      </c>
    </row>
    <row r="10331" spans="1:6" s="3" customFormat="1" ht="29.1" customHeight="1" x14ac:dyDescent="0.25">
      <c r="A10331" s="2" t="s">
        <v>21149</v>
      </c>
      <c r="B10331" s="2" t="s">
        <v>21150</v>
      </c>
      <c r="C10331" s="2" t="s">
        <v>5</v>
      </c>
      <c r="D10331" s="2" t="s">
        <v>477</v>
      </c>
      <c r="E10331" s="2" t="str">
        <f>"9783030770396"</f>
        <v>9783030770396</v>
      </c>
      <c r="F10331" s="2" t="str">
        <f>"9783030770402"</f>
        <v>9783030770402</v>
      </c>
    </row>
    <row r="10332" spans="1:6" s="3" customFormat="1" ht="29.1" customHeight="1" x14ac:dyDescent="0.25">
      <c r="A10332" s="2" t="s">
        <v>21151</v>
      </c>
      <c r="B10332" s="2" t="s">
        <v>21152</v>
      </c>
      <c r="C10332" s="2" t="s">
        <v>5</v>
      </c>
      <c r="D10332" s="2" t="s">
        <v>2877</v>
      </c>
      <c r="E10332" s="2" t="str">
        <f>"9783030475147"</f>
        <v>9783030475147</v>
      </c>
      <c r="F10332" s="2" t="str">
        <f>"9783030475154"</f>
        <v>9783030475154</v>
      </c>
    </row>
    <row r="10333" spans="1:6" s="3" customFormat="1" ht="29.1" customHeight="1" x14ac:dyDescent="0.25">
      <c r="A10333" s="2" t="s">
        <v>21153</v>
      </c>
      <c r="B10333" s="2" t="s">
        <v>21154</v>
      </c>
      <c r="C10333" s="2" t="s">
        <v>5</v>
      </c>
      <c r="D10333" s="2" t="s">
        <v>2877</v>
      </c>
      <c r="E10333" s="2" t="str">
        <f>"9783030184797"</f>
        <v>9783030184797</v>
      </c>
      <c r="F10333" s="2" t="str">
        <f>"9783030184803"</f>
        <v>9783030184803</v>
      </c>
    </row>
    <row r="10334" spans="1:6" s="3" customFormat="1" ht="29.1" customHeight="1" x14ac:dyDescent="0.25">
      <c r="A10334" s="2" t="s">
        <v>21155</v>
      </c>
      <c r="B10334" s="2" t="s">
        <v>21156</v>
      </c>
      <c r="C10334" s="2" t="s">
        <v>5</v>
      </c>
      <c r="D10334" s="2" t="s">
        <v>2877</v>
      </c>
      <c r="E10334" s="2" t="str">
        <f>"9783319586878"</f>
        <v>9783319586878</v>
      </c>
      <c r="F10334" s="2" t="str">
        <f>"9783319586892"</f>
        <v>9783319586892</v>
      </c>
    </row>
    <row r="10335" spans="1:6" s="3" customFormat="1" ht="29.1" customHeight="1" x14ac:dyDescent="0.25">
      <c r="A10335" s="2" t="s">
        <v>21157</v>
      </c>
      <c r="B10335" s="2" t="s">
        <v>21158</v>
      </c>
      <c r="C10335" s="2" t="s">
        <v>5</v>
      </c>
      <c r="D10335" s="2" t="s">
        <v>1878</v>
      </c>
      <c r="E10335" s="2" t="str">
        <f>"9783030272043"</f>
        <v>9783030272043</v>
      </c>
      <c r="F10335" s="2" t="str">
        <f>"9783030272050"</f>
        <v>9783030272050</v>
      </c>
    </row>
    <row r="10336" spans="1:6" s="3" customFormat="1" ht="29.1" customHeight="1" x14ac:dyDescent="0.25">
      <c r="A10336" s="2" t="s">
        <v>21159</v>
      </c>
      <c r="B10336" s="2" t="s">
        <v>21160</v>
      </c>
      <c r="C10336" s="2" t="s">
        <v>5</v>
      </c>
      <c r="D10336" s="2" t="s">
        <v>104</v>
      </c>
      <c r="E10336" s="2" t="str">
        <f>"9789811009822"</f>
        <v>9789811009822</v>
      </c>
      <c r="F10336" s="2" t="str">
        <f>"9789811009839"</f>
        <v>9789811009839</v>
      </c>
    </row>
    <row r="10337" spans="1:6" s="3" customFormat="1" ht="29.1" customHeight="1" x14ac:dyDescent="0.25">
      <c r="A10337" s="2" t="s">
        <v>21161</v>
      </c>
      <c r="B10337" s="2" t="s">
        <v>21162</v>
      </c>
      <c r="C10337" s="2" t="s">
        <v>5</v>
      </c>
      <c r="D10337" s="2" t="s">
        <v>12</v>
      </c>
      <c r="E10337" s="2" t="str">
        <f>"9783031253072"</f>
        <v>9783031253072</v>
      </c>
      <c r="F10337" s="2" t="str">
        <f>"9783031253089"</f>
        <v>9783031253089</v>
      </c>
    </row>
    <row r="10338" spans="1:6" s="3" customFormat="1" ht="29.1" customHeight="1" x14ac:dyDescent="0.25">
      <c r="A10338" s="2" t="s">
        <v>21163</v>
      </c>
      <c r="B10338" s="2" t="s">
        <v>21164</v>
      </c>
      <c r="C10338" s="2" t="s">
        <v>5</v>
      </c>
      <c r="D10338" s="2" t="s">
        <v>2880</v>
      </c>
      <c r="E10338" s="2" t="str">
        <f>"9783031079153"</f>
        <v>9783031079153</v>
      </c>
      <c r="F10338" s="2" t="str">
        <f>"9783031079160"</f>
        <v>9783031079160</v>
      </c>
    </row>
    <row r="10339" spans="1:6" s="3" customFormat="1" ht="29.1" customHeight="1" x14ac:dyDescent="0.25">
      <c r="A10339" s="2" t="s">
        <v>21165</v>
      </c>
      <c r="B10339" s="2" t="s">
        <v>21166</v>
      </c>
      <c r="C10339" s="2" t="s">
        <v>5</v>
      </c>
      <c r="D10339" s="2" t="s">
        <v>1932</v>
      </c>
      <c r="E10339" s="2" t="str">
        <f>"9783030323448"</f>
        <v>9783030323448</v>
      </c>
      <c r="F10339" s="2" t="str">
        <f>"9783030323455"</f>
        <v>9783030323455</v>
      </c>
    </row>
    <row r="10340" spans="1:6" s="3" customFormat="1" ht="29.1" customHeight="1" x14ac:dyDescent="0.25">
      <c r="A10340" s="2" t="s">
        <v>21167</v>
      </c>
      <c r="B10340" s="2" t="s">
        <v>21168</v>
      </c>
      <c r="C10340" s="2" t="s">
        <v>5</v>
      </c>
      <c r="D10340" s="2" t="s">
        <v>2880</v>
      </c>
      <c r="E10340" s="2" t="str">
        <f>"9783319918419"</f>
        <v>9783319918419</v>
      </c>
      <c r="F10340" s="2" t="str">
        <f>"9783319918433"</f>
        <v>9783319918433</v>
      </c>
    </row>
    <row r="10341" spans="1:6" s="3" customFormat="1" ht="29.1" customHeight="1" x14ac:dyDescent="0.25">
      <c r="A10341" s="2" t="s">
        <v>21169</v>
      </c>
      <c r="B10341" s="2" t="s">
        <v>21170</v>
      </c>
      <c r="C10341" s="2" t="s">
        <v>5</v>
      </c>
      <c r="D10341" s="2" t="s">
        <v>636</v>
      </c>
      <c r="E10341" s="2" t="str">
        <f>"9789811008856"</f>
        <v>9789811008856</v>
      </c>
      <c r="F10341" s="2" t="str">
        <f>"9789811008863"</f>
        <v>9789811008863</v>
      </c>
    </row>
    <row r="10342" spans="1:6" s="3" customFormat="1" ht="29.1" customHeight="1" x14ac:dyDescent="0.25">
      <c r="A10342" s="2" t="s">
        <v>21171</v>
      </c>
      <c r="B10342" s="2" t="s">
        <v>21172</v>
      </c>
      <c r="C10342" s="2" t="s">
        <v>5</v>
      </c>
      <c r="D10342" s="2" t="s">
        <v>353</v>
      </c>
      <c r="E10342" s="2" t="str">
        <f>"9783319774398"</f>
        <v>9783319774398</v>
      </c>
      <c r="F10342" s="2" t="str">
        <f>"9783319774404"</f>
        <v>9783319774404</v>
      </c>
    </row>
    <row r="10343" spans="1:6" s="3" customFormat="1" ht="29.1" customHeight="1" x14ac:dyDescent="0.25">
      <c r="A10343" s="2" t="s">
        <v>21173</v>
      </c>
      <c r="B10343" s="2" t="s">
        <v>21174</v>
      </c>
      <c r="C10343" s="2" t="s">
        <v>5</v>
      </c>
      <c r="D10343" s="2" t="s">
        <v>12</v>
      </c>
      <c r="E10343" s="2" t="str">
        <f>"9783319437651"</f>
        <v>9783319437651</v>
      </c>
      <c r="F10343" s="2" t="str">
        <f>"9783319437668"</f>
        <v>9783319437668</v>
      </c>
    </row>
    <row r="10344" spans="1:6" s="3" customFormat="1" ht="29.1" customHeight="1" x14ac:dyDescent="0.25">
      <c r="A10344" s="2" t="s">
        <v>21175</v>
      </c>
      <c r="B10344" s="2" t="s">
        <v>21176</v>
      </c>
      <c r="C10344" s="2" t="s">
        <v>5</v>
      </c>
      <c r="D10344" s="2" t="s">
        <v>5032</v>
      </c>
      <c r="E10344" s="2" t="str">
        <f>"9783031061295"</f>
        <v>9783031061295</v>
      </c>
      <c r="F10344" s="2" t="str">
        <f>"9783031061301"</f>
        <v>9783031061301</v>
      </c>
    </row>
    <row r="10345" spans="1:6" s="3" customFormat="1" ht="29.1" customHeight="1" x14ac:dyDescent="0.25">
      <c r="A10345" s="2" t="s">
        <v>21177</v>
      </c>
      <c r="B10345" s="2" t="s">
        <v>21178</v>
      </c>
      <c r="C10345" s="2" t="s">
        <v>5</v>
      </c>
      <c r="D10345" s="2" t="s">
        <v>7132</v>
      </c>
      <c r="E10345" s="2" t="str">
        <f>"9783030186845"</f>
        <v>9783030186845</v>
      </c>
      <c r="F10345" s="2" t="str">
        <f>"9783030186852"</f>
        <v>9783030186852</v>
      </c>
    </row>
    <row r="10346" spans="1:6" s="3" customFormat="1" ht="29.1" customHeight="1" x14ac:dyDescent="0.25">
      <c r="A10346" s="2" t="s">
        <v>21179</v>
      </c>
      <c r="B10346" s="2" t="s">
        <v>21180</v>
      </c>
      <c r="C10346" s="2" t="s">
        <v>5</v>
      </c>
      <c r="D10346" s="2" t="s">
        <v>5032</v>
      </c>
      <c r="E10346" s="2" t="str">
        <f>"9783319786100"</f>
        <v>9783319786100</v>
      </c>
      <c r="F10346" s="2" t="str">
        <f>"9783319789347"</f>
        <v>9783319789347</v>
      </c>
    </row>
    <row r="10347" spans="1:6" s="3" customFormat="1" ht="29.1" customHeight="1" x14ac:dyDescent="0.25">
      <c r="A10347" s="2" t="s">
        <v>21181</v>
      </c>
      <c r="B10347" s="2" t="s">
        <v>21182</v>
      </c>
      <c r="C10347" s="2" t="s">
        <v>5</v>
      </c>
      <c r="D10347" s="2" t="s">
        <v>5032</v>
      </c>
      <c r="E10347" s="2" t="str">
        <f>"9783319643366"</f>
        <v>9783319643366</v>
      </c>
      <c r="F10347" s="2" t="str">
        <f>"9783319643373"</f>
        <v>9783319643373</v>
      </c>
    </row>
    <row r="10348" spans="1:6" s="3" customFormat="1" ht="29.1" customHeight="1" x14ac:dyDescent="0.25">
      <c r="A10348" s="2" t="s">
        <v>21183</v>
      </c>
      <c r="B10348" s="2" t="s">
        <v>21184</v>
      </c>
      <c r="C10348" s="2" t="s">
        <v>5</v>
      </c>
      <c r="D10348" s="2" t="s">
        <v>1924</v>
      </c>
      <c r="E10348" s="2" t="str">
        <f>"9783030986773"</f>
        <v>9783030986773</v>
      </c>
      <c r="F10348" s="2" t="str">
        <f>"9783030986780"</f>
        <v>9783030986780</v>
      </c>
    </row>
    <row r="10349" spans="1:6" s="3" customFormat="1" ht="29.1" customHeight="1" x14ac:dyDescent="0.25">
      <c r="A10349" s="2" t="s">
        <v>21185</v>
      </c>
      <c r="B10349" s="2" t="s">
        <v>21186</v>
      </c>
      <c r="C10349" s="2" t="s">
        <v>5</v>
      </c>
      <c r="D10349" s="2" t="s">
        <v>281</v>
      </c>
      <c r="E10349" s="2" t="str">
        <f>"9783030975555"</f>
        <v>9783030975555</v>
      </c>
      <c r="F10349" s="2" t="str">
        <f>"9783030975562"</f>
        <v>9783030975562</v>
      </c>
    </row>
    <row r="10350" spans="1:6" s="3" customFormat="1" ht="29.1" customHeight="1" x14ac:dyDescent="0.25">
      <c r="A10350" s="2" t="s">
        <v>21187</v>
      </c>
      <c r="B10350" s="2" t="s">
        <v>21188</v>
      </c>
      <c r="C10350" s="2" t="s">
        <v>5</v>
      </c>
      <c r="D10350" s="2" t="s">
        <v>3304</v>
      </c>
      <c r="E10350" s="2" t="str">
        <f>"9783030688127"</f>
        <v>9783030688127</v>
      </c>
      <c r="F10350" s="2" t="str">
        <f>"9783030688134"</f>
        <v>9783030688134</v>
      </c>
    </row>
    <row r="10351" spans="1:6" s="3" customFormat="1" ht="29.1" customHeight="1" x14ac:dyDescent="0.25">
      <c r="A10351" s="2" t="s">
        <v>21189</v>
      </c>
      <c r="B10351" s="2" t="s">
        <v>21190</v>
      </c>
      <c r="C10351" s="2" t="s">
        <v>5</v>
      </c>
      <c r="D10351" s="2" t="s">
        <v>1988</v>
      </c>
      <c r="E10351" s="2" t="str">
        <f>"9783658133467"</f>
        <v>9783658133467</v>
      </c>
      <c r="F10351" s="2" t="str">
        <f>"9783658133474"</f>
        <v>9783658133474</v>
      </c>
    </row>
    <row r="10352" spans="1:6" s="3" customFormat="1" ht="29.1" customHeight="1" x14ac:dyDescent="0.25">
      <c r="A10352" s="2" t="s">
        <v>21191</v>
      </c>
      <c r="B10352" s="2" t="s">
        <v>21192</v>
      </c>
      <c r="C10352" s="2" t="s">
        <v>5</v>
      </c>
      <c r="D10352" s="2" t="s">
        <v>20435</v>
      </c>
      <c r="E10352" s="2" t="str">
        <f>"9783319319025"</f>
        <v>9783319319025</v>
      </c>
      <c r="F10352" s="2" t="str">
        <f>"9783319319032"</f>
        <v>9783319319032</v>
      </c>
    </row>
    <row r="10353" spans="1:6" s="3" customFormat="1" ht="29.1" customHeight="1" x14ac:dyDescent="0.25">
      <c r="A10353" s="2" t="s">
        <v>21193</v>
      </c>
      <c r="B10353" s="2" t="s">
        <v>21194</v>
      </c>
      <c r="C10353" s="2" t="s">
        <v>5</v>
      </c>
      <c r="D10353" s="2" t="s">
        <v>6511</v>
      </c>
      <c r="E10353" s="2" t="str">
        <f>"9783658195052"</f>
        <v>9783658195052</v>
      </c>
      <c r="F10353" s="2" t="str">
        <f>"9783658195069"</f>
        <v>9783658195069</v>
      </c>
    </row>
    <row r="10354" spans="1:6" s="3" customFormat="1" ht="29.1" customHeight="1" x14ac:dyDescent="0.25">
      <c r="A10354" s="2" t="s">
        <v>21195</v>
      </c>
      <c r="B10354" s="2" t="s">
        <v>21196</v>
      </c>
      <c r="C10354" s="2" t="s">
        <v>5</v>
      </c>
      <c r="D10354" s="2" t="s">
        <v>3062</v>
      </c>
      <c r="E10354" s="2" t="str">
        <f>"9783319314402"</f>
        <v>9783319314402</v>
      </c>
      <c r="F10354" s="2" t="str">
        <f>"9783319314426"</f>
        <v>9783319314426</v>
      </c>
    </row>
    <row r="10355" spans="1:6" s="3" customFormat="1" ht="29.1" customHeight="1" x14ac:dyDescent="0.25">
      <c r="A10355" s="2" t="s">
        <v>21197</v>
      </c>
      <c r="B10355" s="2" t="s">
        <v>21198</v>
      </c>
      <c r="C10355" s="2" t="s">
        <v>5</v>
      </c>
      <c r="D10355" s="2" t="s">
        <v>218</v>
      </c>
      <c r="E10355" s="2" t="str">
        <f>"9783319311128"</f>
        <v>9783319311128</v>
      </c>
      <c r="F10355" s="2" t="str">
        <f>"9783319311135"</f>
        <v>9783319311135</v>
      </c>
    </row>
    <row r="10356" spans="1:6" s="3" customFormat="1" ht="29.1" customHeight="1" x14ac:dyDescent="0.25">
      <c r="A10356" s="2" t="s">
        <v>21199</v>
      </c>
      <c r="B10356" s="2" t="s">
        <v>21200</v>
      </c>
      <c r="C10356" s="2" t="s">
        <v>5</v>
      </c>
      <c r="D10356" s="2" t="s">
        <v>2877</v>
      </c>
      <c r="E10356" s="2" t="str">
        <f>"9783030693442"</f>
        <v>9783030693442</v>
      </c>
      <c r="F10356" s="2" t="str">
        <f>"9783030693459"</f>
        <v>9783030693459</v>
      </c>
    </row>
    <row r="10357" spans="1:6" s="3" customFormat="1" ht="29.1" customHeight="1" x14ac:dyDescent="0.25">
      <c r="A10357" s="2" t="s">
        <v>21201</v>
      </c>
      <c r="B10357" s="2" t="s">
        <v>21202</v>
      </c>
      <c r="C10357" s="2" t="s">
        <v>5</v>
      </c>
      <c r="D10357" s="2" t="s">
        <v>490</v>
      </c>
      <c r="E10357" s="2" t="str">
        <f>"9783319307787"</f>
        <v>9783319307787</v>
      </c>
      <c r="F10357" s="2" t="str">
        <f>"9783319307794"</f>
        <v>9783319307794</v>
      </c>
    </row>
    <row r="10358" spans="1:6" s="3" customFormat="1" ht="29.1" customHeight="1" x14ac:dyDescent="0.25">
      <c r="A10358" s="2" t="s">
        <v>21203</v>
      </c>
      <c r="B10358" s="2" t="s">
        <v>21204</v>
      </c>
      <c r="C10358" s="2" t="s">
        <v>5</v>
      </c>
      <c r="D10358" s="2" t="s">
        <v>232</v>
      </c>
      <c r="E10358" s="2" t="str">
        <f>"9783031253737"</f>
        <v>9783031253737</v>
      </c>
      <c r="F10358" s="2" t="str">
        <f>"9783031253744"</f>
        <v>9783031253744</v>
      </c>
    </row>
    <row r="10359" spans="1:6" s="3" customFormat="1" ht="29.1" customHeight="1" x14ac:dyDescent="0.25">
      <c r="A10359" s="2" t="s">
        <v>21205</v>
      </c>
      <c r="B10359" s="2" t="s">
        <v>21206</v>
      </c>
      <c r="C10359" s="2" t="s">
        <v>5</v>
      </c>
      <c r="D10359" s="2" t="s">
        <v>6152</v>
      </c>
      <c r="E10359" s="2" t="str">
        <f>"9783031054655"</f>
        <v>9783031054655</v>
      </c>
      <c r="F10359" s="2" t="str">
        <f>"9783031054662"</f>
        <v>9783031054662</v>
      </c>
    </row>
    <row r="10360" spans="1:6" s="3" customFormat="1" ht="29.1" customHeight="1" x14ac:dyDescent="0.25">
      <c r="A10360" s="2" t="s">
        <v>21203</v>
      </c>
      <c r="B10360" s="2" t="s">
        <v>21204</v>
      </c>
      <c r="C10360" s="2" t="s">
        <v>5</v>
      </c>
      <c r="D10360" s="2" t="s">
        <v>232</v>
      </c>
      <c r="E10360" s="2" t="str">
        <f>"9783031051630"</f>
        <v>9783031051630</v>
      </c>
      <c r="F10360" s="2" t="str">
        <f>"9783031051647"</f>
        <v>9783031051647</v>
      </c>
    </row>
    <row r="10361" spans="1:6" s="3" customFormat="1" ht="29.1" customHeight="1" x14ac:dyDescent="0.25">
      <c r="A10361" s="2" t="s">
        <v>21207</v>
      </c>
      <c r="B10361" s="2" t="s">
        <v>21208</v>
      </c>
      <c r="C10361" s="2" t="s">
        <v>5</v>
      </c>
      <c r="D10361" s="2" t="s">
        <v>232</v>
      </c>
      <c r="E10361" s="2" t="str">
        <f>"9783030951351"</f>
        <v>9783030951351</v>
      </c>
      <c r="F10361" s="2" t="str">
        <f>"9783030951368"</f>
        <v>9783030951368</v>
      </c>
    </row>
    <row r="10362" spans="1:6" s="3" customFormat="1" ht="29.1" customHeight="1" x14ac:dyDescent="0.25">
      <c r="A10362" s="2" t="s">
        <v>21209</v>
      </c>
      <c r="B10362" s="2" t="s">
        <v>21210</v>
      </c>
      <c r="C10362" s="2" t="s">
        <v>5</v>
      </c>
      <c r="D10362" s="2" t="s">
        <v>12680</v>
      </c>
      <c r="E10362" s="2" t="str">
        <f>"9783030742171"</f>
        <v>9783030742171</v>
      </c>
      <c r="F10362" s="2" t="str">
        <f>"9783030742188"</f>
        <v>9783030742188</v>
      </c>
    </row>
    <row r="10363" spans="1:6" s="3" customFormat="1" ht="29.1" customHeight="1" x14ac:dyDescent="0.25">
      <c r="A10363" s="2" t="s">
        <v>21211</v>
      </c>
      <c r="B10363" s="2" t="s">
        <v>21212</v>
      </c>
      <c r="C10363" s="2" t="s">
        <v>5</v>
      </c>
      <c r="D10363" s="2" t="s">
        <v>232</v>
      </c>
      <c r="E10363" s="2" t="str">
        <f>"9783030611569"</f>
        <v>9783030611569</v>
      </c>
      <c r="F10363" s="2" t="str">
        <f>"9783030611576"</f>
        <v>9783030611576</v>
      </c>
    </row>
    <row r="10364" spans="1:6" s="3" customFormat="1" ht="29.1" customHeight="1" x14ac:dyDescent="0.25">
      <c r="A10364" s="2" t="s">
        <v>21213</v>
      </c>
      <c r="B10364" s="2" t="s">
        <v>21214</v>
      </c>
      <c r="C10364" s="2" t="s">
        <v>5</v>
      </c>
      <c r="D10364" s="2" t="s">
        <v>10329</v>
      </c>
      <c r="E10364" s="2" t="str">
        <f>"9783319749495"</f>
        <v>9783319749495</v>
      </c>
      <c r="F10364" s="2" t="str">
        <f>"9783319749501"</f>
        <v>9783319749501</v>
      </c>
    </row>
    <row r="10365" spans="1:6" s="3" customFormat="1" ht="29.1" customHeight="1" x14ac:dyDescent="0.25">
      <c r="A10365" s="2" t="s">
        <v>21215</v>
      </c>
      <c r="B10365" s="2" t="s">
        <v>21216</v>
      </c>
      <c r="C10365" s="2" t="s">
        <v>5</v>
      </c>
      <c r="D10365" s="2" t="s">
        <v>1209</v>
      </c>
      <c r="E10365" s="2" t="str">
        <f>"9783319749525"</f>
        <v>9783319749525</v>
      </c>
      <c r="F10365" s="2" t="str">
        <f>"9783319749532"</f>
        <v>9783319749532</v>
      </c>
    </row>
    <row r="10366" spans="1:6" s="3" customFormat="1" ht="29.1" customHeight="1" x14ac:dyDescent="0.25">
      <c r="A10366" s="2" t="s">
        <v>21217</v>
      </c>
      <c r="B10366" s="2" t="s">
        <v>21218</v>
      </c>
      <c r="C10366" s="2" t="s">
        <v>5</v>
      </c>
      <c r="D10366" s="2" t="s">
        <v>232</v>
      </c>
      <c r="E10366" s="2" t="str">
        <f>"9783319524610"</f>
        <v>9783319524610</v>
      </c>
      <c r="F10366" s="2" t="str">
        <f>"9783319524627"</f>
        <v>9783319524627</v>
      </c>
    </row>
    <row r="10367" spans="1:6" s="3" customFormat="1" ht="29.1" customHeight="1" x14ac:dyDescent="0.25">
      <c r="A10367" s="2" t="s">
        <v>21219</v>
      </c>
      <c r="B10367" s="2" t="s">
        <v>21220</v>
      </c>
      <c r="C10367" s="2" t="s">
        <v>5</v>
      </c>
      <c r="D10367" s="2" t="s">
        <v>367</v>
      </c>
      <c r="E10367" s="2" t="str">
        <f>"9783319300689"</f>
        <v>9783319300689</v>
      </c>
      <c r="F10367" s="2" t="str">
        <f>"9783319300702"</f>
        <v>9783319300702</v>
      </c>
    </row>
    <row r="10368" spans="1:6" s="3" customFormat="1" ht="29.1" customHeight="1" x14ac:dyDescent="0.25">
      <c r="A10368" s="2" t="s">
        <v>21221</v>
      </c>
      <c r="B10368" s="2" t="s">
        <v>21222</v>
      </c>
      <c r="C10368" s="2" t="s">
        <v>5</v>
      </c>
      <c r="D10368" s="2" t="s">
        <v>479</v>
      </c>
      <c r="E10368" s="2" t="str">
        <f>"9783319297927"</f>
        <v>9783319297927</v>
      </c>
      <c r="F10368" s="2" t="str">
        <f>"9783319297941"</f>
        <v>9783319297941</v>
      </c>
    </row>
    <row r="10369" spans="1:6" s="3" customFormat="1" ht="29.1" customHeight="1" x14ac:dyDescent="0.25">
      <c r="A10369" s="2" t="s">
        <v>21223</v>
      </c>
      <c r="B10369" s="2" t="s">
        <v>21224</v>
      </c>
      <c r="C10369" s="2" t="s">
        <v>5</v>
      </c>
      <c r="D10369" s="2" t="s">
        <v>9</v>
      </c>
      <c r="E10369" s="2" t="str">
        <f>"9783031380518"</f>
        <v>9783031380518</v>
      </c>
      <c r="F10369" s="2" t="str">
        <f>"9783031380525"</f>
        <v>9783031380525</v>
      </c>
    </row>
    <row r="10370" spans="1:6" s="3" customFormat="1" ht="29.1" customHeight="1" x14ac:dyDescent="0.25">
      <c r="A10370" s="2" t="s">
        <v>21225</v>
      </c>
      <c r="B10370" s="2" t="s">
        <v>21226</v>
      </c>
      <c r="C10370" s="2" t="s">
        <v>5</v>
      </c>
      <c r="D10370" s="2" t="s">
        <v>37</v>
      </c>
      <c r="E10370" s="2" t="str">
        <f>"9783031108648"</f>
        <v>9783031108648</v>
      </c>
      <c r="F10370" s="2" t="str">
        <f>"9783031108655"</f>
        <v>9783031108655</v>
      </c>
    </row>
    <row r="10371" spans="1:6" s="3" customFormat="1" ht="29.1" customHeight="1" x14ac:dyDescent="0.25">
      <c r="A10371" s="2" t="s">
        <v>21227</v>
      </c>
      <c r="B10371" s="2" t="s">
        <v>21228</v>
      </c>
      <c r="C10371" s="2" t="s">
        <v>5</v>
      </c>
      <c r="D10371" s="2" t="s">
        <v>9</v>
      </c>
      <c r="E10371" s="2" t="str">
        <f>"9783030843427"</f>
        <v>9783030843427</v>
      </c>
      <c r="F10371" s="2" t="str">
        <f>"9783030843434"</f>
        <v>9783030843434</v>
      </c>
    </row>
    <row r="10372" spans="1:6" s="3" customFormat="1" ht="29.1" customHeight="1" x14ac:dyDescent="0.25">
      <c r="A10372" s="2" t="s">
        <v>21229</v>
      </c>
      <c r="B10372" s="2" t="s">
        <v>21230</v>
      </c>
      <c r="C10372" s="2" t="s">
        <v>5</v>
      </c>
      <c r="D10372" s="2" t="s">
        <v>836</v>
      </c>
      <c r="E10372" s="2" t="str">
        <f>"9783030119980"</f>
        <v>9783030119980</v>
      </c>
      <c r="F10372" s="2" t="str">
        <f>"9783030119997"</f>
        <v>9783030119997</v>
      </c>
    </row>
    <row r="10373" spans="1:6" s="3" customFormat="1" ht="29.1" customHeight="1" x14ac:dyDescent="0.25">
      <c r="A10373" s="2" t="s">
        <v>21231</v>
      </c>
      <c r="B10373" s="2" t="s">
        <v>21232</v>
      </c>
      <c r="C10373" s="2" t="s">
        <v>5</v>
      </c>
      <c r="D10373" s="2" t="s">
        <v>12</v>
      </c>
      <c r="E10373" s="2" t="str">
        <f>"9783319296692"</f>
        <v>9783319296692</v>
      </c>
      <c r="F10373" s="2" t="str">
        <f>"9783319296715"</f>
        <v>9783319296715</v>
      </c>
    </row>
    <row r="10374" spans="1:6" s="3" customFormat="1" ht="29.1" customHeight="1" x14ac:dyDescent="0.25">
      <c r="A10374" s="2" t="s">
        <v>21233</v>
      </c>
      <c r="B10374" s="2" t="s">
        <v>21234</v>
      </c>
      <c r="C10374" s="2" t="s">
        <v>5</v>
      </c>
      <c r="D10374" s="2" t="s">
        <v>2749</v>
      </c>
      <c r="E10374" s="2" t="str">
        <f>"9783319451121"</f>
        <v>9783319451121</v>
      </c>
      <c r="F10374" s="2" t="str">
        <f>"9783319451138"</f>
        <v>9783319451138</v>
      </c>
    </row>
    <row r="10375" spans="1:6" s="3" customFormat="1" ht="29.1" customHeight="1" x14ac:dyDescent="0.25">
      <c r="A10375" s="2" t="s">
        <v>21235</v>
      </c>
      <c r="B10375" s="2" t="s">
        <v>21236</v>
      </c>
      <c r="C10375" s="2" t="s">
        <v>5</v>
      </c>
      <c r="D10375" s="2" t="s">
        <v>2749</v>
      </c>
      <c r="E10375" s="2" t="str">
        <f>"9783319442716"</f>
        <v>9783319442716</v>
      </c>
      <c r="F10375" s="2" t="str">
        <f>"9783319442723"</f>
        <v>9783319442723</v>
      </c>
    </row>
    <row r="10376" spans="1:6" s="3" customFormat="1" ht="29.1" customHeight="1" x14ac:dyDescent="0.25">
      <c r="A10376" s="2" t="s">
        <v>21237</v>
      </c>
      <c r="B10376" s="2" t="s">
        <v>21238</v>
      </c>
      <c r="C10376" s="2" t="s">
        <v>5</v>
      </c>
      <c r="D10376" s="2" t="s">
        <v>2749</v>
      </c>
      <c r="E10376" s="2" t="str">
        <f>"9783319435411"</f>
        <v>9783319435411</v>
      </c>
      <c r="F10376" s="2" t="str">
        <f>"9783319435428"</f>
        <v>9783319435428</v>
      </c>
    </row>
    <row r="10377" spans="1:6" s="3" customFormat="1" ht="29.1" customHeight="1" x14ac:dyDescent="0.25">
      <c r="A10377" s="2" t="s">
        <v>21239</v>
      </c>
      <c r="B10377" s="2" t="s">
        <v>21240</v>
      </c>
      <c r="C10377" s="2" t="s">
        <v>5</v>
      </c>
      <c r="D10377" s="2" t="s">
        <v>2749</v>
      </c>
      <c r="E10377" s="2" t="str">
        <f>"9783319425887"</f>
        <v>9783319425887</v>
      </c>
      <c r="F10377" s="2" t="str">
        <f>"9783319425894"</f>
        <v>9783319425894</v>
      </c>
    </row>
    <row r="10378" spans="1:6" s="3" customFormat="1" ht="29.1" customHeight="1" x14ac:dyDescent="0.25">
      <c r="A10378" s="2" t="s">
        <v>21241</v>
      </c>
      <c r="B10378" s="2" t="s">
        <v>21242</v>
      </c>
      <c r="C10378" s="2" t="s">
        <v>5</v>
      </c>
      <c r="D10378" s="2" t="s">
        <v>2749</v>
      </c>
      <c r="E10378" s="2" t="str">
        <f>"9783319424132"</f>
        <v>9783319424132</v>
      </c>
      <c r="F10378" s="2" t="str">
        <f>"9783319424149"</f>
        <v>9783319424149</v>
      </c>
    </row>
    <row r="10379" spans="1:6" s="3" customFormat="1" ht="29.1" customHeight="1" x14ac:dyDescent="0.25">
      <c r="A10379" s="2" t="s">
        <v>21243</v>
      </c>
      <c r="B10379" s="2" t="s">
        <v>21244</v>
      </c>
      <c r="C10379" s="2" t="s">
        <v>5</v>
      </c>
      <c r="D10379" s="2" t="s">
        <v>2749</v>
      </c>
      <c r="E10379" s="2" t="str">
        <f>"9783319394497"</f>
        <v>9783319394497</v>
      </c>
      <c r="F10379" s="2" t="str">
        <f>"9783319394503"</f>
        <v>9783319394503</v>
      </c>
    </row>
    <row r="10380" spans="1:6" s="3" customFormat="1" ht="29.1" customHeight="1" x14ac:dyDescent="0.25">
      <c r="A10380" s="2" t="s">
        <v>21245</v>
      </c>
      <c r="B10380" s="2" t="s">
        <v>21246</v>
      </c>
      <c r="C10380" s="2" t="s">
        <v>5</v>
      </c>
      <c r="D10380" s="2" t="s">
        <v>2749</v>
      </c>
      <c r="E10380" s="2" t="str">
        <f>"9783319329741"</f>
        <v>9783319329741</v>
      </c>
      <c r="F10380" s="2" t="str">
        <f>"9783319329758"</f>
        <v>9783319329758</v>
      </c>
    </row>
    <row r="10381" spans="1:6" s="3" customFormat="1" ht="29.1" customHeight="1" x14ac:dyDescent="0.25">
      <c r="A10381" s="2" t="s">
        <v>21247</v>
      </c>
      <c r="B10381" s="2" t="s">
        <v>21248</v>
      </c>
      <c r="C10381" s="2" t="s">
        <v>5</v>
      </c>
      <c r="D10381" s="2" t="s">
        <v>2749</v>
      </c>
      <c r="E10381" s="2" t="str">
        <f>"9783319328072"</f>
        <v>9783319328072</v>
      </c>
      <c r="F10381" s="2" t="str">
        <f>"9783319328089"</f>
        <v>9783319328089</v>
      </c>
    </row>
    <row r="10382" spans="1:6" s="3" customFormat="1" ht="29.1" customHeight="1" x14ac:dyDescent="0.25">
      <c r="A10382" s="2" t="s">
        <v>21249</v>
      </c>
      <c r="B10382" s="2" t="s">
        <v>21250</v>
      </c>
      <c r="C10382" s="2" t="s">
        <v>5</v>
      </c>
      <c r="D10382" s="2" t="s">
        <v>2749</v>
      </c>
      <c r="E10382" s="2" t="str">
        <f>"9783319328102"</f>
        <v>9783319328102</v>
      </c>
      <c r="F10382" s="2" t="str">
        <f>"9783319328119"</f>
        <v>9783319328119</v>
      </c>
    </row>
    <row r="10383" spans="1:6" s="3" customFormat="1" ht="29.1" customHeight="1" x14ac:dyDescent="0.25">
      <c r="A10383" s="2" t="s">
        <v>21251</v>
      </c>
      <c r="B10383" s="2" t="s">
        <v>21252</v>
      </c>
      <c r="C10383" s="2" t="s">
        <v>5</v>
      </c>
      <c r="D10383" s="2" t="s">
        <v>2749</v>
      </c>
      <c r="E10383" s="2" t="str">
        <f>"9783319322575"</f>
        <v>9783319322575</v>
      </c>
      <c r="F10383" s="2" t="str">
        <f>"9783319322582"</f>
        <v>9783319322582</v>
      </c>
    </row>
    <row r="10384" spans="1:6" s="3" customFormat="1" ht="29.1" customHeight="1" x14ac:dyDescent="0.25">
      <c r="A10384" s="2" t="s">
        <v>21253</v>
      </c>
      <c r="B10384" s="2" t="s">
        <v>21254</v>
      </c>
      <c r="C10384" s="2" t="s">
        <v>5</v>
      </c>
      <c r="D10384" s="2" t="s">
        <v>2749</v>
      </c>
      <c r="E10384" s="2" t="str">
        <f>"9783319316246"</f>
        <v>9783319316246</v>
      </c>
      <c r="F10384" s="2" t="str">
        <f>"9783319316253"</f>
        <v>9783319316253</v>
      </c>
    </row>
    <row r="10385" spans="1:6" s="3" customFormat="1" ht="29.1" customHeight="1" x14ac:dyDescent="0.25">
      <c r="A10385" s="2" t="s">
        <v>21255</v>
      </c>
      <c r="B10385" s="2" t="s">
        <v>21256</v>
      </c>
      <c r="C10385" s="2" t="s">
        <v>5</v>
      </c>
      <c r="D10385" s="2" t="s">
        <v>2749</v>
      </c>
      <c r="E10385" s="2" t="str">
        <f>"9783319301198"</f>
        <v>9783319301198</v>
      </c>
      <c r="F10385" s="2" t="str">
        <f>"9783319301204"</f>
        <v>9783319301204</v>
      </c>
    </row>
    <row r="10386" spans="1:6" s="3" customFormat="1" ht="29.1" customHeight="1" x14ac:dyDescent="0.25">
      <c r="A10386" s="2" t="s">
        <v>21257</v>
      </c>
      <c r="B10386" s="2" t="s">
        <v>21258</v>
      </c>
      <c r="C10386" s="2" t="s">
        <v>5</v>
      </c>
      <c r="D10386" s="2" t="s">
        <v>487</v>
      </c>
      <c r="E10386" s="2" t="str">
        <f>"9781484218419"</f>
        <v>9781484218419</v>
      </c>
      <c r="F10386" s="2" t="str">
        <f>"9781484218426"</f>
        <v>9781484218426</v>
      </c>
    </row>
    <row r="10387" spans="1:6" s="3" customFormat="1" ht="29.1" customHeight="1" x14ac:dyDescent="0.25">
      <c r="A10387" s="2" t="s">
        <v>21259</v>
      </c>
      <c r="B10387" s="2" t="s">
        <v>21260</v>
      </c>
      <c r="C10387" s="2" t="s">
        <v>5</v>
      </c>
      <c r="D10387" s="2" t="s">
        <v>694</v>
      </c>
      <c r="E10387" s="2" t="str">
        <f>"9781349581504"</f>
        <v>9781349581504</v>
      </c>
      <c r="F10387" s="2" t="str">
        <f>"9781349581511"</f>
        <v>9781349581511</v>
      </c>
    </row>
    <row r="10388" spans="1:6" s="3" customFormat="1" ht="29.1" customHeight="1" x14ac:dyDescent="0.25">
      <c r="A10388" s="2" t="s">
        <v>21261</v>
      </c>
      <c r="B10388" s="2" t="s">
        <v>21262</v>
      </c>
      <c r="C10388" s="2" t="s">
        <v>5</v>
      </c>
      <c r="D10388" s="2" t="s">
        <v>2877</v>
      </c>
      <c r="E10388" s="2" t="str">
        <f>"9783319290140"</f>
        <v>9783319290140</v>
      </c>
      <c r="F10388" s="2" t="str">
        <f>"9783319290164"</f>
        <v>9783319290164</v>
      </c>
    </row>
    <row r="10389" spans="1:6" s="3" customFormat="1" ht="29.1" customHeight="1" x14ac:dyDescent="0.25">
      <c r="A10389" s="2" t="s">
        <v>21263</v>
      </c>
      <c r="B10389" s="2" t="s">
        <v>21264</v>
      </c>
      <c r="C10389" s="2" t="s">
        <v>5</v>
      </c>
      <c r="D10389" s="2" t="s">
        <v>3489</v>
      </c>
      <c r="E10389" s="2" t="str">
        <f>"9783662492659"</f>
        <v>9783662492659</v>
      </c>
      <c r="F10389" s="2" t="str">
        <f>"9783662492666"</f>
        <v>9783662492666</v>
      </c>
    </row>
    <row r="10390" spans="1:6" s="3" customFormat="1" ht="29.1" customHeight="1" x14ac:dyDescent="0.25">
      <c r="A10390" s="2" t="s">
        <v>21265</v>
      </c>
      <c r="B10390" s="2" t="s">
        <v>21266</v>
      </c>
      <c r="C10390" s="2" t="s">
        <v>5</v>
      </c>
      <c r="D10390" s="2" t="s">
        <v>89</v>
      </c>
      <c r="E10390" s="2" t="str">
        <f>"9783662492635"</f>
        <v>9783662492635</v>
      </c>
      <c r="F10390" s="2" t="str">
        <f>"9783662492642"</f>
        <v>9783662492642</v>
      </c>
    </row>
    <row r="10391" spans="1:6" s="3" customFormat="1" ht="29.1" customHeight="1" x14ac:dyDescent="0.25">
      <c r="A10391" s="2" t="s">
        <v>21267</v>
      </c>
      <c r="B10391" s="2" t="s">
        <v>11699</v>
      </c>
      <c r="C10391" s="2" t="s">
        <v>5</v>
      </c>
      <c r="D10391" s="2" t="s">
        <v>1557</v>
      </c>
      <c r="E10391" s="2"/>
      <c r="F10391" s="2" t="str">
        <f>"9781137592613"</f>
        <v>9781137592613</v>
      </c>
    </row>
    <row r="10392" spans="1:6" s="3" customFormat="1" ht="29.1" customHeight="1" x14ac:dyDescent="0.25">
      <c r="A10392" s="2" t="s">
        <v>21268</v>
      </c>
      <c r="B10392" s="2" t="s">
        <v>21269</v>
      </c>
      <c r="C10392" s="2" t="s">
        <v>5</v>
      </c>
      <c r="D10392" s="2" t="s">
        <v>636</v>
      </c>
      <c r="E10392" s="2" t="str">
        <f>"9783030780395"</f>
        <v>9783030780395</v>
      </c>
      <c r="F10392" s="2" t="str">
        <f>"9783030780401"</f>
        <v>9783030780401</v>
      </c>
    </row>
    <row r="10393" spans="1:6" s="3" customFormat="1" ht="29.1" customHeight="1" x14ac:dyDescent="0.25">
      <c r="A10393" s="2" t="s">
        <v>21270</v>
      </c>
      <c r="B10393" s="2" t="s">
        <v>21271</v>
      </c>
      <c r="C10393" s="2" t="s">
        <v>5</v>
      </c>
      <c r="D10393" s="2" t="s">
        <v>183</v>
      </c>
      <c r="E10393" s="2" t="str">
        <f>"9783030812256"</f>
        <v>9783030812256</v>
      </c>
      <c r="F10393" s="2" t="str">
        <f>"9783030812263"</f>
        <v>9783030812263</v>
      </c>
    </row>
    <row r="10394" spans="1:6" s="3" customFormat="1" ht="29.1" customHeight="1" x14ac:dyDescent="0.25">
      <c r="A10394" s="2" t="s">
        <v>21272</v>
      </c>
      <c r="B10394" s="2" t="s">
        <v>21273</v>
      </c>
      <c r="C10394" s="2" t="s">
        <v>5</v>
      </c>
      <c r="D10394" s="2" t="s">
        <v>818</v>
      </c>
      <c r="E10394" s="2" t="str">
        <f>"9783319934341"</f>
        <v>9783319934341</v>
      </c>
      <c r="F10394" s="2" t="str">
        <f>"9783319934358"</f>
        <v>9783319934358</v>
      </c>
    </row>
    <row r="10395" spans="1:6" s="3" customFormat="1" ht="29.1" customHeight="1" x14ac:dyDescent="0.25">
      <c r="A10395" s="2" t="s">
        <v>21274</v>
      </c>
      <c r="B10395" s="2" t="s">
        <v>21275</v>
      </c>
      <c r="C10395" s="2" t="s">
        <v>5</v>
      </c>
      <c r="D10395" s="2" t="s">
        <v>818</v>
      </c>
      <c r="E10395" s="2" t="str">
        <f>"9783319615356"</f>
        <v>9783319615356</v>
      </c>
      <c r="F10395" s="2" t="str">
        <f>"9783319615363"</f>
        <v>9783319615363</v>
      </c>
    </row>
    <row r="10396" spans="1:6" s="3" customFormat="1" ht="29.1" customHeight="1" x14ac:dyDescent="0.25">
      <c r="A10396" s="2" t="s">
        <v>21276</v>
      </c>
      <c r="B10396" s="2" t="s">
        <v>21277</v>
      </c>
      <c r="C10396" s="2" t="s">
        <v>5</v>
      </c>
      <c r="D10396" s="2" t="s">
        <v>183</v>
      </c>
      <c r="E10396" s="2" t="str">
        <f>"9783658125325"</f>
        <v>9783658125325</v>
      </c>
      <c r="F10396" s="2" t="str">
        <f>"9783658125332"</f>
        <v>9783658125332</v>
      </c>
    </row>
    <row r="10397" spans="1:6" s="3" customFormat="1" ht="29.1" customHeight="1" x14ac:dyDescent="0.25">
      <c r="A10397" s="2" t="s">
        <v>21278</v>
      </c>
      <c r="B10397" s="2" t="s">
        <v>21279</v>
      </c>
      <c r="C10397" s="2" t="s">
        <v>5</v>
      </c>
      <c r="D10397" s="2" t="s">
        <v>1895</v>
      </c>
      <c r="E10397" s="2" t="str">
        <f>"9783030021726"</f>
        <v>9783030021726</v>
      </c>
      <c r="F10397" s="2" t="str">
        <f>"9783030021733"</f>
        <v>9783030021733</v>
      </c>
    </row>
    <row r="10398" spans="1:6" s="3" customFormat="1" ht="29.1" customHeight="1" x14ac:dyDescent="0.25">
      <c r="A10398" s="2" t="s">
        <v>21280</v>
      </c>
      <c r="B10398" s="2" t="s">
        <v>21281</v>
      </c>
      <c r="C10398" s="2" t="s">
        <v>5</v>
      </c>
      <c r="D10398" s="2" t="s">
        <v>168</v>
      </c>
      <c r="E10398" s="2" t="str">
        <f>"9783030615116"</f>
        <v>9783030615116</v>
      </c>
      <c r="F10398" s="2" t="str">
        <f>"9783030615123"</f>
        <v>9783030615123</v>
      </c>
    </row>
    <row r="10399" spans="1:6" s="3" customFormat="1" ht="29.1" customHeight="1" x14ac:dyDescent="0.25">
      <c r="A10399" s="2" t="s">
        <v>21282</v>
      </c>
      <c r="B10399" s="2" t="s">
        <v>21283</v>
      </c>
      <c r="C10399" s="2" t="s">
        <v>5</v>
      </c>
      <c r="D10399" s="2" t="s">
        <v>168</v>
      </c>
      <c r="E10399" s="2" t="str">
        <f>"9783319947488"</f>
        <v>9783319947488</v>
      </c>
      <c r="F10399" s="2" t="str">
        <f>"9783319947495"</f>
        <v>9783319947495</v>
      </c>
    </row>
    <row r="10400" spans="1:6" s="3" customFormat="1" ht="29.1" customHeight="1" x14ac:dyDescent="0.25">
      <c r="A10400" s="2" t="s">
        <v>21284</v>
      </c>
      <c r="B10400" s="2" t="s">
        <v>21285</v>
      </c>
      <c r="C10400" s="2" t="s">
        <v>5</v>
      </c>
      <c r="D10400" s="2" t="s">
        <v>3062</v>
      </c>
      <c r="E10400" s="2" t="str">
        <f>"9783658125011"</f>
        <v>9783658125011</v>
      </c>
      <c r="F10400" s="2" t="str">
        <f>"9783658125028"</f>
        <v>9783658125028</v>
      </c>
    </row>
    <row r="10401" spans="1:6" s="3" customFormat="1" ht="29.1" customHeight="1" x14ac:dyDescent="0.25">
      <c r="A10401" s="2" t="s">
        <v>21286</v>
      </c>
      <c r="B10401" s="2" t="s">
        <v>21287</v>
      </c>
      <c r="C10401" s="2" t="s">
        <v>5</v>
      </c>
      <c r="D10401" s="2" t="s">
        <v>8343</v>
      </c>
      <c r="E10401" s="2" t="str">
        <f>"9783319286235"</f>
        <v>9783319286235</v>
      </c>
      <c r="F10401" s="2" t="str">
        <f>"9783319286242"</f>
        <v>9783319286242</v>
      </c>
    </row>
    <row r="10402" spans="1:6" s="3" customFormat="1" ht="29.1" customHeight="1" x14ac:dyDescent="0.25">
      <c r="A10402" s="2" t="s">
        <v>21288</v>
      </c>
      <c r="B10402" s="2" t="s">
        <v>21289</v>
      </c>
      <c r="C10402" s="2" t="s">
        <v>5</v>
      </c>
      <c r="D10402" s="2" t="s">
        <v>12699</v>
      </c>
      <c r="E10402" s="2" t="str">
        <f>"9781137598318"</f>
        <v>9781137598318</v>
      </c>
      <c r="F10402" s="2" t="str">
        <f>"9781137598295"</f>
        <v>9781137598295</v>
      </c>
    </row>
    <row r="10403" spans="1:6" s="3" customFormat="1" ht="29.1" customHeight="1" x14ac:dyDescent="0.25">
      <c r="A10403" s="2" t="s">
        <v>21290</v>
      </c>
      <c r="B10403" s="2" t="s">
        <v>21291</v>
      </c>
      <c r="C10403" s="2" t="s">
        <v>5</v>
      </c>
      <c r="D10403" s="2" t="s">
        <v>294</v>
      </c>
      <c r="E10403" s="2" t="str">
        <f>"9783031057731"</f>
        <v>9783031057731</v>
      </c>
      <c r="F10403" s="2" t="str">
        <f>"9783031057748"</f>
        <v>9783031057748</v>
      </c>
    </row>
    <row r="10404" spans="1:6" s="3" customFormat="1" ht="29.1" customHeight="1" x14ac:dyDescent="0.25">
      <c r="A10404" s="2" t="s">
        <v>21292</v>
      </c>
      <c r="B10404" s="2" t="s">
        <v>21293</v>
      </c>
      <c r="C10404" s="2" t="s">
        <v>5</v>
      </c>
      <c r="D10404" s="2" t="s">
        <v>547</v>
      </c>
      <c r="E10404" s="2" t="str">
        <f>"9783319282978"</f>
        <v>9783319282978</v>
      </c>
      <c r="F10404" s="2" t="str">
        <f>"9783319282985"</f>
        <v>9783319282985</v>
      </c>
    </row>
    <row r="10405" spans="1:6" s="3" customFormat="1" ht="29.1" customHeight="1" x14ac:dyDescent="0.25">
      <c r="A10405" s="2" t="s">
        <v>21294</v>
      </c>
      <c r="B10405" s="2" t="s">
        <v>21295</v>
      </c>
      <c r="C10405" s="2" t="s">
        <v>5</v>
      </c>
      <c r="D10405" s="2" t="s">
        <v>69</v>
      </c>
      <c r="E10405" s="2" t="str">
        <f>"9783031272677"</f>
        <v>9783031272677</v>
      </c>
      <c r="F10405" s="2" t="str">
        <f>"9783031272684"</f>
        <v>9783031272684</v>
      </c>
    </row>
    <row r="10406" spans="1:6" s="3" customFormat="1" ht="29.1" customHeight="1" x14ac:dyDescent="0.25">
      <c r="A10406" s="2" t="s">
        <v>21296</v>
      </c>
      <c r="B10406" s="2" t="s">
        <v>21297</v>
      </c>
      <c r="C10406" s="2" t="s">
        <v>5</v>
      </c>
      <c r="D10406" s="2" t="s">
        <v>653</v>
      </c>
      <c r="E10406" s="2" t="str">
        <f>"9783030949631"</f>
        <v>9783030949631</v>
      </c>
      <c r="F10406" s="2" t="str">
        <f>"9783030949648"</f>
        <v>9783030949648</v>
      </c>
    </row>
    <row r="10407" spans="1:6" s="3" customFormat="1" ht="29.1" customHeight="1" x14ac:dyDescent="0.25">
      <c r="A10407" s="2" t="s">
        <v>21298</v>
      </c>
      <c r="B10407" s="2" t="s">
        <v>21299</v>
      </c>
      <c r="C10407" s="2" t="s">
        <v>5</v>
      </c>
      <c r="D10407" s="2" t="s">
        <v>5716</v>
      </c>
      <c r="E10407" s="2" t="str">
        <f>"9783319281995"</f>
        <v>9783319281995</v>
      </c>
      <c r="F10407" s="2" t="str">
        <f>"9783319282015"</f>
        <v>9783319282015</v>
      </c>
    </row>
    <row r="10408" spans="1:6" s="3" customFormat="1" ht="29.1" customHeight="1" x14ac:dyDescent="0.25">
      <c r="A10408" s="2" t="s">
        <v>21300</v>
      </c>
      <c r="B10408" s="2" t="s">
        <v>21301</v>
      </c>
      <c r="C10408" s="2" t="s">
        <v>5</v>
      </c>
      <c r="D10408" s="2" t="s">
        <v>2877</v>
      </c>
      <c r="E10408" s="2" t="str">
        <f>"9783030858018"</f>
        <v>9783030858018</v>
      </c>
      <c r="F10408" s="2" t="str">
        <f>"9783030858025"</f>
        <v>9783030858025</v>
      </c>
    </row>
    <row r="10409" spans="1:6" s="3" customFormat="1" ht="29.1" customHeight="1" x14ac:dyDescent="0.25">
      <c r="A10409" s="2" t="s">
        <v>21302</v>
      </c>
      <c r="B10409" s="2" t="s">
        <v>21303</v>
      </c>
      <c r="C10409" s="2" t="s">
        <v>5</v>
      </c>
      <c r="D10409" s="2" t="s">
        <v>4019</v>
      </c>
      <c r="E10409" s="2" t="str">
        <f>"9783030757458"</f>
        <v>9783030757458</v>
      </c>
      <c r="F10409" s="2" t="str">
        <f>"9783030757465"</f>
        <v>9783030757465</v>
      </c>
    </row>
    <row r="10410" spans="1:6" s="3" customFormat="1" ht="29.1" customHeight="1" x14ac:dyDescent="0.25">
      <c r="A10410" s="2" t="s">
        <v>21304</v>
      </c>
      <c r="B10410" s="2" t="s">
        <v>21305</v>
      </c>
      <c r="C10410" s="2" t="s">
        <v>5</v>
      </c>
      <c r="D10410" s="2" t="s">
        <v>2877</v>
      </c>
      <c r="E10410" s="2" t="str">
        <f>"9783030667870"</f>
        <v>9783030667870</v>
      </c>
      <c r="F10410" s="2" t="str">
        <f>"9783030667887"</f>
        <v>9783030667887</v>
      </c>
    </row>
    <row r="10411" spans="1:6" s="3" customFormat="1" ht="29.1" customHeight="1" x14ac:dyDescent="0.25">
      <c r="A10411" s="2" t="s">
        <v>21306</v>
      </c>
      <c r="B10411" s="2" t="s">
        <v>21307</v>
      </c>
      <c r="C10411" s="2" t="s">
        <v>5</v>
      </c>
      <c r="D10411" s="2" t="s">
        <v>2877</v>
      </c>
      <c r="E10411" s="2" t="str">
        <f>"9783030530808"</f>
        <v>9783030530808</v>
      </c>
      <c r="F10411" s="2" t="str">
        <f>"9783030530815"</f>
        <v>9783030530815</v>
      </c>
    </row>
    <row r="10412" spans="1:6" s="3" customFormat="1" ht="29.1" customHeight="1" x14ac:dyDescent="0.25">
      <c r="A10412" s="2" t="s">
        <v>21308</v>
      </c>
      <c r="B10412" s="2" t="s">
        <v>21309</v>
      </c>
      <c r="C10412" s="2" t="s">
        <v>5</v>
      </c>
      <c r="D10412" s="2" t="s">
        <v>4019</v>
      </c>
      <c r="E10412" s="2" t="str">
        <f>"9783030301873"</f>
        <v>9783030301873</v>
      </c>
      <c r="F10412" s="2" t="str">
        <f>"9783030301880"</f>
        <v>9783030301880</v>
      </c>
    </row>
    <row r="10413" spans="1:6" s="3" customFormat="1" ht="29.1" customHeight="1" x14ac:dyDescent="0.25">
      <c r="A10413" s="2" t="s">
        <v>21310</v>
      </c>
      <c r="B10413" s="2" t="s">
        <v>21311</v>
      </c>
      <c r="C10413" s="2" t="s">
        <v>5</v>
      </c>
      <c r="D10413" s="2" t="s">
        <v>2877</v>
      </c>
      <c r="E10413" s="2" t="str">
        <f>"9783030261825"</f>
        <v>9783030261825</v>
      </c>
      <c r="F10413" s="2" t="str">
        <f>"9783030261832"</f>
        <v>9783030261832</v>
      </c>
    </row>
    <row r="10414" spans="1:6" s="3" customFormat="1" ht="29.1" customHeight="1" x14ac:dyDescent="0.25">
      <c r="A10414" s="2" t="s">
        <v>21312</v>
      </c>
      <c r="B10414" s="2" t="s">
        <v>21313</v>
      </c>
      <c r="C10414" s="2" t="s">
        <v>5</v>
      </c>
      <c r="D10414" s="2" t="s">
        <v>75</v>
      </c>
      <c r="E10414" s="2" t="str">
        <f>"9783030262020"</f>
        <v>9783030262020</v>
      </c>
      <c r="F10414" s="2" t="str">
        <f>"9783030262037"</f>
        <v>9783030262037</v>
      </c>
    </row>
    <row r="10415" spans="1:6" s="3" customFormat="1" ht="29.1" customHeight="1" x14ac:dyDescent="0.25">
      <c r="A10415" s="2" t="s">
        <v>21314</v>
      </c>
      <c r="B10415" s="2" t="s">
        <v>21315</v>
      </c>
      <c r="C10415" s="2" t="s">
        <v>5</v>
      </c>
      <c r="D10415" s="2" t="s">
        <v>2877</v>
      </c>
      <c r="E10415" s="2" t="str">
        <f>"9783030161507"</f>
        <v>9783030161507</v>
      </c>
      <c r="F10415" s="2" t="str">
        <f>"9783030161514"</f>
        <v>9783030161514</v>
      </c>
    </row>
    <row r="10416" spans="1:6" s="3" customFormat="1" ht="29.1" customHeight="1" x14ac:dyDescent="0.25">
      <c r="A10416" s="2" t="s">
        <v>21316</v>
      </c>
      <c r="B10416" s="2" t="s">
        <v>21317</v>
      </c>
      <c r="C10416" s="2" t="s">
        <v>5</v>
      </c>
      <c r="D10416" s="2" t="s">
        <v>2877</v>
      </c>
      <c r="E10416" s="2" t="str">
        <f>"9783319786919"</f>
        <v>9783319786919</v>
      </c>
      <c r="F10416" s="2" t="str">
        <f>"9783319786926"</f>
        <v>9783319786926</v>
      </c>
    </row>
    <row r="10417" spans="1:6" s="3" customFormat="1" ht="29.1" customHeight="1" x14ac:dyDescent="0.25">
      <c r="A10417" s="2" t="s">
        <v>21318</v>
      </c>
      <c r="B10417" s="2" t="s">
        <v>21319</v>
      </c>
      <c r="C10417" s="2" t="s">
        <v>5</v>
      </c>
      <c r="D10417" s="2" t="s">
        <v>4019</v>
      </c>
      <c r="E10417" s="2" t="str">
        <f>"9783319715315"</f>
        <v>9783319715315</v>
      </c>
      <c r="F10417" s="2" t="str">
        <f>"9783319715322"</f>
        <v>9783319715322</v>
      </c>
    </row>
    <row r="10418" spans="1:6" s="3" customFormat="1" ht="29.1" customHeight="1" x14ac:dyDescent="0.25">
      <c r="A10418" s="2" t="s">
        <v>21320</v>
      </c>
      <c r="B10418" s="2" t="s">
        <v>21321</v>
      </c>
      <c r="C10418" s="2" t="s">
        <v>5</v>
      </c>
      <c r="D10418" s="2" t="s">
        <v>2877</v>
      </c>
      <c r="E10418" s="2" t="str">
        <f>"9783319412511"</f>
        <v>9783319412511</v>
      </c>
      <c r="F10418" s="2" t="str">
        <f>"9783319412528"</f>
        <v>9783319412528</v>
      </c>
    </row>
    <row r="10419" spans="1:6" s="3" customFormat="1" ht="29.1" customHeight="1" x14ac:dyDescent="0.25">
      <c r="A10419" s="2" t="s">
        <v>21322</v>
      </c>
      <c r="B10419" s="2" t="s">
        <v>21323</v>
      </c>
      <c r="C10419" s="2" t="s">
        <v>5</v>
      </c>
      <c r="D10419" s="2" t="s">
        <v>2877</v>
      </c>
      <c r="E10419" s="2" t="str">
        <f>"9783319280639"</f>
        <v>9783319280639</v>
      </c>
      <c r="F10419" s="2" t="str">
        <f>"9783319280646"</f>
        <v>9783319280646</v>
      </c>
    </row>
    <row r="10420" spans="1:6" s="3" customFormat="1" ht="29.1" customHeight="1" x14ac:dyDescent="0.25">
      <c r="A10420" s="2" t="s">
        <v>21324</v>
      </c>
      <c r="B10420" s="2" t="s">
        <v>21325</v>
      </c>
      <c r="C10420" s="2" t="s">
        <v>5</v>
      </c>
      <c r="D10420" s="2" t="s">
        <v>504</v>
      </c>
      <c r="E10420" s="2" t="str">
        <f>"9783030384371"</f>
        <v>9783030384371</v>
      </c>
      <c r="F10420" s="2" t="str">
        <f>"9783030384388"</f>
        <v>9783030384388</v>
      </c>
    </row>
    <row r="10421" spans="1:6" s="3" customFormat="1" ht="29.1" customHeight="1" x14ac:dyDescent="0.25">
      <c r="A10421" s="2" t="s">
        <v>21326</v>
      </c>
      <c r="B10421" s="2" t="s">
        <v>21327</v>
      </c>
      <c r="C10421" s="2" t="s">
        <v>5</v>
      </c>
      <c r="D10421" s="2" t="s">
        <v>2199</v>
      </c>
      <c r="E10421" s="2" t="str">
        <f>"9783031313639"</f>
        <v>9783031313639</v>
      </c>
      <c r="F10421" s="2" t="str">
        <f>"9783031313646"</f>
        <v>9783031313646</v>
      </c>
    </row>
    <row r="10422" spans="1:6" s="3" customFormat="1" ht="29.1" customHeight="1" x14ac:dyDescent="0.25">
      <c r="A10422" s="2" t="s">
        <v>21328</v>
      </c>
      <c r="B10422" s="2" t="s">
        <v>21329</v>
      </c>
      <c r="C10422" s="2" t="s">
        <v>5</v>
      </c>
      <c r="D10422" s="2" t="s">
        <v>547</v>
      </c>
      <c r="E10422" s="2" t="str">
        <f>"9783319272863"</f>
        <v>9783319272863</v>
      </c>
      <c r="F10422" s="2" t="str">
        <f>"9783319272887"</f>
        <v>9783319272887</v>
      </c>
    </row>
    <row r="10423" spans="1:6" s="3" customFormat="1" ht="29.1" customHeight="1" x14ac:dyDescent="0.25">
      <c r="A10423" s="2" t="s">
        <v>21330</v>
      </c>
      <c r="B10423" s="2" t="s">
        <v>21331</v>
      </c>
      <c r="C10423" s="2" t="s">
        <v>5</v>
      </c>
      <c r="D10423" s="2" t="s">
        <v>4180</v>
      </c>
      <c r="E10423" s="2" t="str">
        <f>"9781137597915"</f>
        <v>9781137597915</v>
      </c>
      <c r="F10423" s="2" t="str">
        <f>"9781137597922"</f>
        <v>9781137597922</v>
      </c>
    </row>
    <row r="10424" spans="1:6" s="3" customFormat="1" ht="29.1" customHeight="1" x14ac:dyDescent="0.25">
      <c r="A10424" s="2" t="s">
        <v>21332</v>
      </c>
      <c r="B10424" s="2" t="s">
        <v>21333</v>
      </c>
      <c r="C10424" s="2" t="s">
        <v>5</v>
      </c>
      <c r="D10424" s="2" t="s">
        <v>8343</v>
      </c>
      <c r="E10424" s="2" t="str">
        <f>"9784431558927"</f>
        <v>9784431558927</v>
      </c>
      <c r="F10424" s="2" t="str">
        <f>"9784431558941"</f>
        <v>9784431558941</v>
      </c>
    </row>
    <row r="10425" spans="1:6" s="3" customFormat="1" ht="29.1" customHeight="1" x14ac:dyDescent="0.25">
      <c r="A10425" s="2" t="s">
        <v>21334</v>
      </c>
      <c r="B10425" s="2" t="s">
        <v>21335</v>
      </c>
      <c r="C10425" s="2" t="s">
        <v>5</v>
      </c>
      <c r="D10425" s="2" t="s">
        <v>3567</v>
      </c>
      <c r="E10425" s="2" t="str">
        <f>"9783319265889"</f>
        <v>9783319265889</v>
      </c>
      <c r="F10425" s="2" t="str">
        <f>"9783319265902"</f>
        <v>9783319265902</v>
      </c>
    </row>
    <row r="10426" spans="1:6" s="3" customFormat="1" ht="29.1" customHeight="1" x14ac:dyDescent="0.25">
      <c r="A10426" s="2" t="s">
        <v>21336</v>
      </c>
      <c r="B10426" s="2" t="s">
        <v>21337</v>
      </c>
      <c r="C10426" s="2" t="s">
        <v>5</v>
      </c>
      <c r="D10426" s="2" t="s">
        <v>367</v>
      </c>
      <c r="E10426" s="2" t="str">
        <f>"9781137561718"</f>
        <v>9781137561718</v>
      </c>
      <c r="F10426" s="2" t="str">
        <f>"9781137561725"</f>
        <v>9781137561725</v>
      </c>
    </row>
    <row r="10427" spans="1:6" s="3" customFormat="1" ht="29.1" customHeight="1" x14ac:dyDescent="0.25">
      <c r="A10427" s="2" t="s">
        <v>21338</v>
      </c>
      <c r="B10427" s="2" t="s">
        <v>21339</v>
      </c>
      <c r="C10427" s="2" t="s">
        <v>5</v>
      </c>
      <c r="D10427" s="2" t="s">
        <v>2880</v>
      </c>
      <c r="E10427" s="2" t="str">
        <f>"9783662578049"</f>
        <v>9783662578049</v>
      </c>
      <c r="F10427" s="2" t="str">
        <f>"9783662578056"</f>
        <v>9783662578056</v>
      </c>
    </row>
    <row r="10428" spans="1:6" s="3" customFormat="1" ht="29.1" customHeight="1" x14ac:dyDescent="0.25">
      <c r="A10428" s="2" t="s">
        <v>21340</v>
      </c>
      <c r="B10428" s="2" t="s">
        <v>21341</v>
      </c>
      <c r="C10428" s="2" t="s">
        <v>5</v>
      </c>
      <c r="D10428" s="2" t="s">
        <v>1712</v>
      </c>
      <c r="E10428" s="2" t="str">
        <f>"9783031131042"</f>
        <v>9783031131042</v>
      </c>
      <c r="F10428" s="2" t="str">
        <f>"9783031131059"</f>
        <v>9783031131059</v>
      </c>
    </row>
    <row r="10429" spans="1:6" s="3" customFormat="1" ht="29.1" customHeight="1" x14ac:dyDescent="0.25">
      <c r="A10429" s="2" t="s">
        <v>21342</v>
      </c>
      <c r="B10429" s="2" t="s">
        <v>21343</v>
      </c>
      <c r="C10429" s="2" t="s">
        <v>5</v>
      </c>
      <c r="D10429" s="2" t="s">
        <v>218</v>
      </c>
      <c r="E10429" s="2" t="str">
        <f>"9783030548018"</f>
        <v>9783030548018</v>
      </c>
      <c r="F10429" s="2" t="str">
        <f>"9783030548025"</f>
        <v>9783030548025</v>
      </c>
    </row>
    <row r="10430" spans="1:6" s="3" customFormat="1" ht="29.1" customHeight="1" x14ac:dyDescent="0.25">
      <c r="A10430" s="2" t="s">
        <v>21344</v>
      </c>
      <c r="B10430" s="2" t="s">
        <v>21345</v>
      </c>
      <c r="C10430" s="2" t="s">
        <v>5</v>
      </c>
      <c r="D10430" s="2" t="s">
        <v>218</v>
      </c>
      <c r="E10430" s="2" t="str">
        <f>"9783030548704"</f>
        <v>9783030548704</v>
      </c>
      <c r="F10430" s="2" t="str">
        <f>"9783030548711"</f>
        <v>9783030548711</v>
      </c>
    </row>
    <row r="10431" spans="1:6" s="3" customFormat="1" ht="29.1" customHeight="1" x14ac:dyDescent="0.25">
      <c r="A10431" s="2" t="s">
        <v>21346</v>
      </c>
      <c r="B10431" s="2" t="s">
        <v>21347</v>
      </c>
      <c r="C10431" s="2" t="s">
        <v>5</v>
      </c>
      <c r="D10431" s="2" t="s">
        <v>218</v>
      </c>
      <c r="E10431" s="2" t="str">
        <f>"9783030272746"</f>
        <v>9783030272746</v>
      </c>
      <c r="F10431" s="2" t="str">
        <f>"9783030272753"</f>
        <v>9783030272753</v>
      </c>
    </row>
    <row r="10432" spans="1:6" s="3" customFormat="1" ht="29.1" customHeight="1" x14ac:dyDescent="0.25">
      <c r="A10432" s="2" t="s">
        <v>21348</v>
      </c>
      <c r="B10432" s="2" t="s">
        <v>21349</v>
      </c>
      <c r="C10432" s="2" t="s">
        <v>5</v>
      </c>
      <c r="D10432" s="2" t="s">
        <v>7132</v>
      </c>
      <c r="E10432" s="2" t="str">
        <f>"9783319652436"</f>
        <v>9783319652436</v>
      </c>
      <c r="F10432" s="2" t="str">
        <f>"9783319652443"</f>
        <v>9783319652443</v>
      </c>
    </row>
    <row r="10433" spans="1:6" s="3" customFormat="1" ht="29.1" customHeight="1" x14ac:dyDescent="0.25">
      <c r="A10433" s="2" t="s">
        <v>21350</v>
      </c>
      <c r="B10433" s="2" t="s">
        <v>21351</v>
      </c>
      <c r="C10433" s="2" t="s">
        <v>5</v>
      </c>
      <c r="D10433" s="2" t="s">
        <v>218</v>
      </c>
      <c r="E10433" s="2" t="str">
        <f>"9783319567136"</f>
        <v>9783319567136</v>
      </c>
      <c r="F10433" s="2" t="str">
        <f>"9783319567143"</f>
        <v>9783319567143</v>
      </c>
    </row>
    <row r="10434" spans="1:6" s="3" customFormat="1" ht="29.1" customHeight="1" x14ac:dyDescent="0.25">
      <c r="A10434" s="2" t="s">
        <v>21352</v>
      </c>
      <c r="B10434" s="2" t="s">
        <v>21345</v>
      </c>
      <c r="C10434" s="2" t="s">
        <v>5</v>
      </c>
      <c r="D10434" s="2" t="s">
        <v>7132</v>
      </c>
      <c r="E10434" s="2" t="str">
        <f>"9783319548128"</f>
        <v>9783319548128</v>
      </c>
      <c r="F10434" s="2" t="str">
        <f>"9783319548135"</f>
        <v>9783319548135</v>
      </c>
    </row>
    <row r="10435" spans="1:6" s="3" customFormat="1" ht="29.1" customHeight="1" x14ac:dyDescent="0.25">
      <c r="A10435" s="2" t="s">
        <v>21353</v>
      </c>
      <c r="B10435" s="2" t="s">
        <v>21354</v>
      </c>
      <c r="C10435" s="2" t="s">
        <v>5</v>
      </c>
      <c r="D10435" s="2" t="s">
        <v>879</v>
      </c>
      <c r="E10435" s="2" t="str">
        <f>"9781137600943"</f>
        <v>9781137600943</v>
      </c>
      <c r="F10435" s="2" t="str">
        <f>"9781137600950"</f>
        <v>9781137600950</v>
      </c>
    </row>
    <row r="10436" spans="1:6" s="3" customFormat="1" ht="29.1" customHeight="1" x14ac:dyDescent="0.25">
      <c r="A10436" s="2" t="s">
        <v>21355</v>
      </c>
      <c r="B10436" s="2" t="s">
        <v>21356</v>
      </c>
      <c r="C10436" s="2" t="s">
        <v>5</v>
      </c>
      <c r="D10436" s="2" t="s">
        <v>674</v>
      </c>
      <c r="E10436" s="2" t="str">
        <f>"9789811311895"</f>
        <v>9789811311895</v>
      </c>
      <c r="F10436" s="2" t="str">
        <f>"9789811311901"</f>
        <v>9789811311901</v>
      </c>
    </row>
    <row r="10437" spans="1:6" s="3" customFormat="1" ht="29.1" customHeight="1" x14ac:dyDescent="0.25">
      <c r="A10437" s="2" t="s">
        <v>21357</v>
      </c>
      <c r="B10437" s="2" t="s">
        <v>21358</v>
      </c>
      <c r="C10437" s="2" t="s">
        <v>5</v>
      </c>
      <c r="D10437" s="2" t="s">
        <v>75</v>
      </c>
      <c r="E10437" s="2" t="str">
        <f>"9783031135071"</f>
        <v>9783031135071</v>
      </c>
      <c r="F10437" s="2" t="str">
        <f>"9783031135088"</f>
        <v>9783031135088</v>
      </c>
    </row>
    <row r="10438" spans="1:6" s="3" customFormat="1" ht="29.1" customHeight="1" x14ac:dyDescent="0.25">
      <c r="A10438" s="2" t="s">
        <v>21359</v>
      </c>
      <c r="B10438" s="2" t="s">
        <v>21360</v>
      </c>
      <c r="C10438" s="2" t="s">
        <v>5</v>
      </c>
      <c r="D10438" s="2" t="s">
        <v>4190</v>
      </c>
      <c r="E10438" s="2" t="str">
        <f>"9783319697895"</f>
        <v>9783319697895</v>
      </c>
      <c r="F10438" s="2" t="str">
        <f>"9783319697901"</f>
        <v>9783319697901</v>
      </c>
    </row>
    <row r="10439" spans="1:6" s="3" customFormat="1" ht="29.1" customHeight="1" x14ac:dyDescent="0.25">
      <c r="A10439" s="2" t="s">
        <v>21361</v>
      </c>
      <c r="B10439" s="2" t="s">
        <v>21363</v>
      </c>
      <c r="C10439" s="2" t="s">
        <v>5</v>
      </c>
      <c r="D10439" s="2" t="s">
        <v>21362</v>
      </c>
      <c r="E10439" s="2" t="str">
        <f>"9783030114633"</f>
        <v>9783030114633</v>
      </c>
      <c r="F10439" s="2" t="str">
        <f>"9783030114640"</f>
        <v>9783030114640</v>
      </c>
    </row>
    <row r="10440" spans="1:6" s="3" customFormat="1" ht="29.1" customHeight="1" x14ac:dyDescent="0.25">
      <c r="A10440" s="2" t="s">
        <v>21364</v>
      </c>
      <c r="B10440" s="2" t="s">
        <v>21365</v>
      </c>
      <c r="C10440" s="2" t="s">
        <v>5</v>
      </c>
      <c r="D10440" s="2" t="s">
        <v>4190</v>
      </c>
      <c r="E10440" s="2" t="str">
        <f>"9783031303074"</f>
        <v>9783031303074</v>
      </c>
      <c r="F10440" s="2" t="str">
        <f>"9783031303081"</f>
        <v>9783031303081</v>
      </c>
    </row>
    <row r="10441" spans="1:6" s="3" customFormat="1" ht="29.1" customHeight="1" x14ac:dyDescent="0.25">
      <c r="A10441" s="2" t="s">
        <v>21366</v>
      </c>
      <c r="B10441" s="2" t="s">
        <v>21367</v>
      </c>
      <c r="C10441" s="2" t="s">
        <v>5</v>
      </c>
      <c r="D10441" s="2" t="s">
        <v>69</v>
      </c>
      <c r="E10441" s="2" t="str">
        <f>"9783031141706"</f>
        <v>9783031141706</v>
      </c>
      <c r="F10441" s="2" t="str">
        <f>"9783031141713"</f>
        <v>9783031141713</v>
      </c>
    </row>
    <row r="10442" spans="1:6" s="3" customFormat="1" ht="29.1" customHeight="1" x14ac:dyDescent="0.25">
      <c r="A10442" s="2" t="s">
        <v>21368</v>
      </c>
      <c r="B10442" s="2" t="s">
        <v>21369</v>
      </c>
      <c r="C10442" s="2" t="s">
        <v>5</v>
      </c>
      <c r="D10442" s="2" t="s">
        <v>1913</v>
      </c>
      <c r="E10442" s="2" t="str">
        <f>"9783319635903"</f>
        <v>9783319635903</v>
      </c>
      <c r="F10442" s="2" t="str">
        <f>"9783319635910"</f>
        <v>9783319635910</v>
      </c>
    </row>
    <row r="10443" spans="1:6" s="3" customFormat="1" ht="29.1" customHeight="1" x14ac:dyDescent="0.25">
      <c r="A10443" s="2" t="s">
        <v>21370</v>
      </c>
      <c r="B10443" s="2" t="s">
        <v>21371</v>
      </c>
      <c r="C10443" s="2" t="s">
        <v>5</v>
      </c>
      <c r="D10443" s="2" t="s">
        <v>294</v>
      </c>
      <c r="E10443" s="2" t="str">
        <f>"9783030782009"</f>
        <v>9783030782009</v>
      </c>
      <c r="F10443" s="2" t="str">
        <f>"9783030782016"</f>
        <v>9783030782016</v>
      </c>
    </row>
    <row r="10444" spans="1:6" s="3" customFormat="1" ht="29.1" customHeight="1" x14ac:dyDescent="0.25">
      <c r="A10444" s="2" t="s">
        <v>21372</v>
      </c>
      <c r="B10444" s="2" t="s">
        <v>21373</v>
      </c>
      <c r="C10444" s="2" t="s">
        <v>5</v>
      </c>
      <c r="D10444" s="2" t="s">
        <v>7132</v>
      </c>
      <c r="E10444" s="2" t="str">
        <f>"9783031092848"</f>
        <v>9783031092848</v>
      </c>
      <c r="F10444" s="2" t="str">
        <f>"9783031092855"</f>
        <v>9783031092855</v>
      </c>
    </row>
    <row r="10445" spans="1:6" s="3" customFormat="1" ht="29.1" customHeight="1" x14ac:dyDescent="0.25">
      <c r="A10445" s="2" t="s">
        <v>21374</v>
      </c>
      <c r="B10445" s="2" t="s">
        <v>21375</v>
      </c>
      <c r="C10445" s="2" t="s">
        <v>5</v>
      </c>
      <c r="D10445" s="2" t="s">
        <v>6714</v>
      </c>
      <c r="E10445" s="2" t="str">
        <f>"9783031174025"</f>
        <v>9783031174025</v>
      </c>
      <c r="F10445" s="2" t="str">
        <f>"9783031174032"</f>
        <v>9783031174032</v>
      </c>
    </row>
    <row r="10446" spans="1:6" s="3" customFormat="1" ht="29.1" customHeight="1" x14ac:dyDescent="0.25">
      <c r="A10446" s="2" t="s">
        <v>21376</v>
      </c>
      <c r="B10446" s="2" t="s">
        <v>21377</v>
      </c>
      <c r="C10446" s="2" t="s">
        <v>5</v>
      </c>
      <c r="D10446" s="2" t="s">
        <v>294</v>
      </c>
      <c r="E10446" s="2" t="str">
        <f>"9783031329234"</f>
        <v>9783031329234</v>
      </c>
      <c r="F10446" s="2" t="str">
        <f>"9783031329241"</f>
        <v>9783031329241</v>
      </c>
    </row>
    <row r="10447" spans="1:6" s="3" customFormat="1" ht="29.1" customHeight="1" x14ac:dyDescent="0.25">
      <c r="A10447" s="2" t="s">
        <v>21378</v>
      </c>
      <c r="B10447" s="2" t="s">
        <v>21379</v>
      </c>
      <c r="C10447" s="2" t="s">
        <v>5</v>
      </c>
      <c r="D10447" s="2" t="s">
        <v>6511</v>
      </c>
      <c r="E10447" s="2" t="str">
        <f>"9781493934546"</f>
        <v>9781493934546</v>
      </c>
      <c r="F10447" s="2" t="str">
        <f>"9781493934560"</f>
        <v>9781493934560</v>
      </c>
    </row>
    <row r="10448" spans="1:6" s="3" customFormat="1" ht="29.1" customHeight="1" x14ac:dyDescent="0.25">
      <c r="A10448" s="2" t="s">
        <v>21380</v>
      </c>
      <c r="B10448" s="2" t="s">
        <v>21381</v>
      </c>
      <c r="C10448" s="2" t="s">
        <v>5</v>
      </c>
      <c r="D10448" s="2" t="s">
        <v>1895</v>
      </c>
      <c r="E10448" s="2" t="str">
        <f>"9783030936532"</f>
        <v>9783030936532</v>
      </c>
      <c r="F10448" s="2" t="str">
        <f>"9783030936549"</f>
        <v>9783030936549</v>
      </c>
    </row>
    <row r="10449" spans="1:6" s="3" customFormat="1" ht="29.1" customHeight="1" x14ac:dyDescent="0.25">
      <c r="A10449" s="2" t="s">
        <v>21382</v>
      </c>
      <c r="B10449" s="2" t="s">
        <v>21383</v>
      </c>
      <c r="C10449" s="2" t="s">
        <v>5</v>
      </c>
      <c r="D10449" s="2" t="s">
        <v>4190</v>
      </c>
      <c r="E10449" s="2" t="str">
        <f>"9783031209277"</f>
        <v>9783031209277</v>
      </c>
      <c r="F10449" s="2" t="str">
        <f>"9783031209284"</f>
        <v>9783031209284</v>
      </c>
    </row>
    <row r="10450" spans="1:6" s="3" customFormat="1" ht="29.1" customHeight="1" x14ac:dyDescent="0.25">
      <c r="A10450" s="2" t="s">
        <v>21384</v>
      </c>
      <c r="B10450" s="2" t="s">
        <v>21385</v>
      </c>
      <c r="C10450" s="2" t="s">
        <v>5</v>
      </c>
      <c r="D10450" s="2" t="s">
        <v>270</v>
      </c>
      <c r="E10450" s="2" t="str">
        <f>"9783030826536"</f>
        <v>9783030826536</v>
      </c>
      <c r="F10450" s="2" t="str">
        <f>"9783030826543"</f>
        <v>9783030826543</v>
      </c>
    </row>
    <row r="10451" spans="1:6" s="3" customFormat="1" ht="29.1" customHeight="1" x14ac:dyDescent="0.25">
      <c r="A10451" s="2" t="s">
        <v>21386</v>
      </c>
      <c r="B10451" s="2" t="s">
        <v>21387</v>
      </c>
      <c r="C10451" s="2" t="s">
        <v>5</v>
      </c>
      <c r="D10451" s="2" t="s">
        <v>4783</v>
      </c>
      <c r="E10451" s="2" t="str">
        <f>"9783031132308"</f>
        <v>9783031132308</v>
      </c>
      <c r="F10451" s="2" t="str">
        <f>"9783031132315"</f>
        <v>9783031132315</v>
      </c>
    </row>
    <row r="10452" spans="1:6" s="3" customFormat="1" ht="29.1" customHeight="1" x14ac:dyDescent="0.25">
      <c r="A10452" s="2" t="s">
        <v>21388</v>
      </c>
      <c r="B10452" s="2" t="s">
        <v>21389</v>
      </c>
      <c r="C10452" s="2" t="s">
        <v>5</v>
      </c>
      <c r="D10452" s="2" t="s">
        <v>2016</v>
      </c>
      <c r="E10452" s="2" t="str">
        <f>"9783030210915"</f>
        <v>9783030210915</v>
      </c>
      <c r="F10452" s="2" t="str">
        <f>"9783030210922"</f>
        <v>9783030210922</v>
      </c>
    </row>
    <row r="10453" spans="1:6" s="3" customFormat="1" ht="29.1" customHeight="1" x14ac:dyDescent="0.25">
      <c r="A10453" s="2" t="s">
        <v>21390</v>
      </c>
      <c r="B10453" s="2" t="s">
        <v>21391</v>
      </c>
      <c r="C10453" s="2" t="s">
        <v>5</v>
      </c>
      <c r="D10453" s="2" t="s">
        <v>1927</v>
      </c>
      <c r="E10453" s="2" t="str">
        <f>"9783031255519"</f>
        <v>9783031255519</v>
      </c>
      <c r="F10453" s="2" t="str">
        <f>"9783031255526"</f>
        <v>9783031255526</v>
      </c>
    </row>
    <row r="10454" spans="1:6" s="3" customFormat="1" ht="29.1" customHeight="1" x14ac:dyDescent="0.25">
      <c r="A10454" s="2" t="s">
        <v>21392</v>
      </c>
      <c r="B10454" s="2" t="s">
        <v>21393</v>
      </c>
      <c r="C10454" s="2" t="s">
        <v>5</v>
      </c>
      <c r="D10454" s="2" t="s">
        <v>4071</v>
      </c>
      <c r="E10454" s="2" t="str">
        <f>"9783030944025"</f>
        <v>9783030944025</v>
      </c>
      <c r="F10454" s="2" t="str">
        <f>"9783030944032"</f>
        <v>9783030944032</v>
      </c>
    </row>
    <row r="10455" spans="1:6" s="3" customFormat="1" ht="29.1" customHeight="1" x14ac:dyDescent="0.25">
      <c r="A10455" s="2" t="s">
        <v>21394</v>
      </c>
      <c r="B10455" s="2" t="s">
        <v>21395</v>
      </c>
      <c r="C10455" s="2" t="s">
        <v>5</v>
      </c>
      <c r="D10455" s="2" t="s">
        <v>465</v>
      </c>
      <c r="E10455" s="2" t="str">
        <f>"9783030233525"</f>
        <v>9783030233525</v>
      </c>
      <c r="F10455" s="2" t="str">
        <f>"9783030233532"</f>
        <v>9783030233532</v>
      </c>
    </row>
    <row r="10456" spans="1:6" s="3" customFormat="1" ht="29.1" customHeight="1" x14ac:dyDescent="0.25">
      <c r="A10456" s="2" t="s">
        <v>21396</v>
      </c>
      <c r="B10456" s="2" t="s">
        <v>21397</v>
      </c>
      <c r="C10456" s="2" t="s">
        <v>5</v>
      </c>
      <c r="D10456" s="2" t="s">
        <v>183</v>
      </c>
      <c r="E10456" s="2" t="str">
        <f>"9783031207792"</f>
        <v>9783031207792</v>
      </c>
      <c r="F10456" s="2" t="str">
        <f>"9783031207808"</f>
        <v>9783031207808</v>
      </c>
    </row>
    <row r="10457" spans="1:6" s="3" customFormat="1" ht="29.1" customHeight="1" x14ac:dyDescent="0.25">
      <c r="A10457" s="2" t="s">
        <v>21398</v>
      </c>
      <c r="B10457" s="2" t="s">
        <v>21399</v>
      </c>
      <c r="C10457" s="2" t="s">
        <v>5</v>
      </c>
      <c r="D10457" s="2" t="s">
        <v>818</v>
      </c>
      <c r="E10457" s="2" t="str">
        <f>"9783030855796"</f>
        <v>9783030855796</v>
      </c>
      <c r="F10457" s="2" t="str">
        <f>"9783030855802"</f>
        <v>9783030855802</v>
      </c>
    </row>
    <row r="10458" spans="1:6" s="3" customFormat="1" ht="29.1" customHeight="1" x14ac:dyDescent="0.25">
      <c r="A10458" s="2" t="s">
        <v>21400</v>
      </c>
      <c r="B10458" s="2" t="s">
        <v>21401</v>
      </c>
      <c r="C10458" s="2" t="s">
        <v>5</v>
      </c>
      <c r="D10458" s="2" t="s">
        <v>78</v>
      </c>
      <c r="E10458" s="2" t="str">
        <f>"9783030277895"</f>
        <v>9783030277895</v>
      </c>
      <c r="F10458" s="2" t="str">
        <f>"9783030277901"</f>
        <v>9783030277901</v>
      </c>
    </row>
    <row r="10459" spans="1:6" s="3" customFormat="1" ht="29.1" customHeight="1" x14ac:dyDescent="0.25">
      <c r="A10459" s="2" t="s">
        <v>21402</v>
      </c>
      <c r="B10459" s="2" t="s">
        <v>21403</v>
      </c>
      <c r="C10459" s="2" t="s">
        <v>5</v>
      </c>
      <c r="D10459" s="2" t="s">
        <v>818</v>
      </c>
      <c r="E10459" s="2" t="str">
        <f>"9781137450623"</f>
        <v>9781137450623</v>
      </c>
      <c r="F10459" s="2" t="str">
        <f>"9781137450630"</f>
        <v>9781137450630</v>
      </c>
    </row>
    <row r="10460" spans="1:6" s="3" customFormat="1" ht="29.1" customHeight="1" x14ac:dyDescent="0.25">
      <c r="A10460" s="2" t="s">
        <v>21404</v>
      </c>
      <c r="B10460" s="2" t="s">
        <v>18733</v>
      </c>
      <c r="C10460" s="2" t="s">
        <v>5</v>
      </c>
      <c r="D10460" s="2" t="s">
        <v>1883</v>
      </c>
      <c r="E10460" s="2" t="str">
        <f>"9783031233555"</f>
        <v>9783031233555</v>
      </c>
      <c r="F10460" s="2" t="str">
        <f>"9783031233562"</f>
        <v>9783031233562</v>
      </c>
    </row>
    <row r="10461" spans="1:6" s="3" customFormat="1" ht="29.1" customHeight="1" x14ac:dyDescent="0.25">
      <c r="A10461" s="2" t="s">
        <v>21405</v>
      </c>
      <c r="B10461" s="2" t="s">
        <v>21406</v>
      </c>
      <c r="C10461" s="2" t="s">
        <v>5</v>
      </c>
      <c r="D10461" s="2" t="s">
        <v>553</v>
      </c>
      <c r="E10461" s="2" t="str">
        <f>"9783030696900"</f>
        <v>9783030696900</v>
      </c>
      <c r="F10461" s="2" t="str">
        <f>"9783030696917"</f>
        <v>9783030696917</v>
      </c>
    </row>
    <row r="10462" spans="1:6" s="3" customFormat="1" ht="29.1" customHeight="1" x14ac:dyDescent="0.25">
      <c r="A10462" s="2" t="s">
        <v>21407</v>
      </c>
      <c r="B10462" s="2" t="s">
        <v>21408</v>
      </c>
      <c r="C10462" s="2" t="s">
        <v>5</v>
      </c>
      <c r="D10462" s="2" t="s">
        <v>636</v>
      </c>
      <c r="E10462" s="2" t="str">
        <f>"9783319560670"</f>
        <v>9783319560670</v>
      </c>
      <c r="F10462" s="2" t="str">
        <f>"9783319560687"</f>
        <v>9783319560687</v>
      </c>
    </row>
    <row r="10463" spans="1:6" s="3" customFormat="1" ht="29.1" customHeight="1" x14ac:dyDescent="0.25">
      <c r="A10463" s="2" t="s">
        <v>21409</v>
      </c>
      <c r="B10463" s="2" t="s">
        <v>21410</v>
      </c>
      <c r="C10463" s="2" t="s">
        <v>5</v>
      </c>
      <c r="D10463" s="2" t="s">
        <v>1654</v>
      </c>
      <c r="E10463" s="2" t="str">
        <f>"9783030009939"</f>
        <v>9783030009939</v>
      </c>
      <c r="F10463" s="2" t="str">
        <f>"9783030009946"</f>
        <v>9783030009946</v>
      </c>
    </row>
    <row r="10464" spans="1:6" s="3" customFormat="1" ht="29.1" customHeight="1" x14ac:dyDescent="0.25">
      <c r="A10464" s="2" t="s">
        <v>21411</v>
      </c>
      <c r="B10464" s="2" t="s">
        <v>21412</v>
      </c>
      <c r="C10464" s="2" t="s">
        <v>5</v>
      </c>
      <c r="D10464" s="2" t="s">
        <v>297</v>
      </c>
      <c r="E10464" s="2" t="str">
        <f>"9789811691775"</f>
        <v>9789811691775</v>
      </c>
      <c r="F10464" s="2" t="str">
        <f>"9789811691782"</f>
        <v>9789811691782</v>
      </c>
    </row>
    <row r="10465" spans="1:6" s="3" customFormat="1" ht="29.1" customHeight="1" x14ac:dyDescent="0.25">
      <c r="A10465" s="2" t="s">
        <v>21413</v>
      </c>
      <c r="B10465" s="2" t="s">
        <v>21414</v>
      </c>
      <c r="C10465" s="2" t="s">
        <v>5</v>
      </c>
      <c r="D10465" s="2" t="s">
        <v>183</v>
      </c>
      <c r="E10465" s="2" t="str">
        <f>"9783030749095"</f>
        <v>9783030749095</v>
      </c>
      <c r="F10465" s="2" t="str">
        <f>"9783030749101"</f>
        <v>9783030749101</v>
      </c>
    </row>
    <row r="10466" spans="1:6" s="3" customFormat="1" ht="29.1" customHeight="1" x14ac:dyDescent="0.25">
      <c r="A10466" s="2" t="s">
        <v>21415</v>
      </c>
      <c r="B10466" s="2" t="s">
        <v>21416</v>
      </c>
      <c r="C10466" s="2" t="s">
        <v>5</v>
      </c>
      <c r="D10466" s="2" t="s">
        <v>3033</v>
      </c>
      <c r="E10466" s="2" t="str">
        <f>"9783031332265"</f>
        <v>9783031332265</v>
      </c>
      <c r="F10466" s="2" t="str">
        <f>"9783031332272"</f>
        <v>9783031332272</v>
      </c>
    </row>
    <row r="10467" spans="1:6" s="3" customFormat="1" ht="29.1" customHeight="1" x14ac:dyDescent="0.25">
      <c r="A10467" s="2" t="s">
        <v>21417</v>
      </c>
      <c r="B10467" s="2" t="s">
        <v>21418</v>
      </c>
      <c r="C10467" s="2" t="s">
        <v>5</v>
      </c>
      <c r="D10467" s="2" t="s">
        <v>3379</v>
      </c>
      <c r="E10467" s="2" t="str">
        <f>"9783030010027"</f>
        <v>9783030010027</v>
      </c>
      <c r="F10467" s="2" t="str">
        <f>"9783030010034"</f>
        <v>9783030010034</v>
      </c>
    </row>
    <row r="10468" spans="1:6" s="3" customFormat="1" ht="29.1" customHeight="1" x14ac:dyDescent="0.25">
      <c r="A10468" s="2" t="s">
        <v>21419</v>
      </c>
      <c r="B10468" s="2" t="s">
        <v>21420</v>
      </c>
      <c r="C10468" s="2" t="s">
        <v>5</v>
      </c>
      <c r="D10468" s="2" t="s">
        <v>294</v>
      </c>
      <c r="E10468" s="2" t="str">
        <f>"9783319923802"</f>
        <v>9783319923802</v>
      </c>
      <c r="F10468" s="2" t="str">
        <f>"9783319923819"</f>
        <v>9783319923819</v>
      </c>
    </row>
    <row r="10469" spans="1:6" s="3" customFormat="1" ht="29.1" customHeight="1" x14ac:dyDescent="0.25">
      <c r="A10469" s="2" t="s">
        <v>21421</v>
      </c>
      <c r="B10469" s="2" t="s">
        <v>21422</v>
      </c>
      <c r="C10469" s="2" t="s">
        <v>5</v>
      </c>
      <c r="D10469" s="2" t="s">
        <v>6972</v>
      </c>
      <c r="E10469" s="2" t="str">
        <f>"9783030462383"</f>
        <v>9783030462383</v>
      </c>
      <c r="F10469" s="2" t="str">
        <f>"9783030462390"</f>
        <v>9783030462390</v>
      </c>
    </row>
    <row r="10470" spans="1:6" s="3" customFormat="1" ht="29.1" customHeight="1" x14ac:dyDescent="0.25">
      <c r="A10470" s="2" t="s">
        <v>21423</v>
      </c>
      <c r="B10470" s="2" t="s">
        <v>21424</v>
      </c>
      <c r="C10470" s="2" t="s">
        <v>5</v>
      </c>
      <c r="D10470" s="2" t="s">
        <v>37</v>
      </c>
      <c r="E10470" s="2" t="str">
        <f>"9783319259895"</f>
        <v>9783319259895</v>
      </c>
      <c r="F10470" s="2" t="str">
        <f>"9783319259918"</f>
        <v>9783319259918</v>
      </c>
    </row>
    <row r="10471" spans="1:6" s="3" customFormat="1" ht="29.1" customHeight="1" x14ac:dyDescent="0.25">
      <c r="A10471" s="2" t="s">
        <v>21425</v>
      </c>
      <c r="B10471" s="2" t="s">
        <v>21426</v>
      </c>
      <c r="C10471" s="2" t="s">
        <v>5</v>
      </c>
      <c r="D10471" s="2" t="s">
        <v>674</v>
      </c>
      <c r="E10471" s="2" t="str">
        <f>"9783031197475"</f>
        <v>9783031197475</v>
      </c>
      <c r="F10471" s="2" t="str">
        <f>"9783031197482"</f>
        <v>9783031197482</v>
      </c>
    </row>
    <row r="10472" spans="1:6" s="3" customFormat="1" ht="29.1" customHeight="1" x14ac:dyDescent="0.25">
      <c r="A10472" s="2" t="s">
        <v>21427</v>
      </c>
      <c r="B10472" s="2" t="s">
        <v>21428</v>
      </c>
      <c r="C10472" s="2" t="s">
        <v>5</v>
      </c>
      <c r="D10472" s="2" t="s">
        <v>1717</v>
      </c>
      <c r="E10472" s="2" t="str">
        <f>"9783031065491"</f>
        <v>9783031065491</v>
      </c>
      <c r="F10472" s="2" t="str">
        <f>"9783031065507"</f>
        <v>9783031065507</v>
      </c>
    </row>
    <row r="10473" spans="1:6" s="3" customFormat="1" ht="29.1" customHeight="1" x14ac:dyDescent="0.25">
      <c r="A10473" s="2" t="s">
        <v>21429</v>
      </c>
      <c r="B10473" s="2" t="s">
        <v>21430</v>
      </c>
      <c r="C10473" s="2" t="s">
        <v>5</v>
      </c>
      <c r="D10473" s="2" t="s">
        <v>353</v>
      </c>
      <c r="E10473" s="2" t="str">
        <f>"9783030822071"</f>
        <v>9783030822071</v>
      </c>
      <c r="F10473" s="2" t="str">
        <f>"9783030822088"</f>
        <v>9783030822088</v>
      </c>
    </row>
    <row r="10474" spans="1:6" s="3" customFormat="1" ht="29.1" customHeight="1" x14ac:dyDescent="0.25">
      <c r="A10474" s="2" t="s">
        <v>21431</v>
      </c>
      <c r="B10474" s="2" t="s">
        <v>21432</v>
      </c>
      <c r="C10474" s="2" t="s">
        <v>5</v>
      </c>
      <c r="D10474" s="2" t="s">
        <v>353</v>
      </c>
      <c r="E10474" s="2" t="str">
        <f>"9783030745431"</f>
        <v>9783030745431</v>
      </c>
      <c r="F10474" s="2" t="str">
        <f>"9783030745448"</f>
        <v>9783030745448</v>
      </c>
    </row>
    <row r="10475" spans="1:6" s="3" customFormat="1" ht="29.1" customHeight="1" x14ac:dyDescent="0.25">
      <c r="A10475" s="2" t="s">
        <v>21433</v>
      </c>
      <c r="B10475" s="2" t="s">
        <v>21434</v>
      </c>
      <c r="C10475" s="2" t="s">
        <v>5</v>
      </c>
      <c r="D10475" s="2" t="s">
        <v>674</v>
      </c>
      <c r="E10475" s="2" t="str">
        <f>"9783030660727"</f>
        <v>9783030660727</v>
      </c>
      <c r="F10475" s="2" t="str">
        <f>"9783030660734"</f>
        <v>9783030660734</v>
      </c>
    </row>
    <row r="10476" spans="1:6" s="3" customFormat="1" ht="29.1" customHeight="1" x14ac:dyDescent="0.25">
      <c r="A10476" s="2" t="s">
        <v>21435</v>
      </c>
      <c r="B10476" s="2" t="s">
        <v>21436</v>
      </c>
      <c r="C10476" s="2" t="s">
        <v>5</v>
      </c>
      <c r="D10476" s="2" t="s">
        <v>1189</v>
      </c>
      <c r="E10476" s="2" t="str">
        <f>"9783030645687"</f>
        <v>9783030645687</v>
      </c>
      <c r="F10476" s="2" t="str">
        <f>"9783030645694"</f>
        <v>9783030645694</v>
      </c>
    </row>
    <row r="10477" spans="1:6" s="3" customFormat="1" ht="29.1" customHeight="1" x14ac:dyDescent="0.25">
      <c r="A10477" s="2" t="s">
        <v>21437</v>
      </c>
      <c r="B10477" s="2" t="s">
        <v>21438</v>
      </c>
      <c r="C10477" s="2" t="s">
        <v>5</v>
      </c>
      <c r="D10477" s="2" t="s">
        <v>1189</v>
      </c>
      <c r="E10477" s="2" t="str">
        <f>"9783030631307"</f>
        <v>9783030631307</v>
      </c>
      <c r="F10477" s="2" t="str">
        <f>"9783030631314"</f>
        <v>9783030631314</v>
      </c>
    </row>
    <row r="10478" spans="1:6" s="3" customFormat="1" ht="29.1" customHeight="1" x14ac:dyDescent="0.25">
      <c r="A10478" s="2" t="s">
        <v>21439</v>
      </c>
      <c r="B10478" s="2" t="s">
        <v>21440</v>
      </c>
      <c r="C10478" s="2" t="s">
        <v>5</v>
      </c>
      <c r="D10478" s="2" t="s">
        <v>1189</v>
      </c>
      <c r="E10478" s="2" t="str">
        <f>"9783030280130"</f>
        <v>9783030280130</v>
      </c>
      <c r="F10478" s="2" t="str">
        <f>"9783030280147"</f>
        <v>9783030280147</v>
      </c>
    </row>
    <row r="10479" spans="1:6" s="3" customFormat="1" ht="29.1" customHeight="1" x14ac:dyDescent="0.25">
      <c r="A10479" s="2" t="s">
        <v>21441</v>
      </c>
      <c r="B10479" s="2" t="s">
        <v>21442</v>
      </c>
      <c r="C10479" s="2" t="s">
        <v>5</v>
      </c>
      <c r="D10479" s="2" t="s">
        <v>1189</v>
      </c>
      <c r="E10479" s="2" t="str">
        <f>"9783030233914"</f>
        <v>9783030233914</v>
      </c>
      <c r="F10479" s="2" t="str">
        <f>"9783030233921"</f>
        <v>9783030233921</v>
      </c>
    </row>
    <row r="10480" spans="1:6" s="3" customFormat="1" ht="29.1" customHeight="1" x14ac:dyDescent="0.25">
      <c r="A10480" s="2" t="s">
        <v>21443</v>
      </c>
      <c r="B10480" s="2" t="s">
        <v>21444</v>
      </c>
      <c r="C10480" s="2" t="s">
        <v>5</v>
      </c>
      <c r="D10480" s="2" t="s">
        <v>1189</v>
      </c>
      <c r="E10480" s="2" t="str">
        <f>"9783319928128"</f>
        <v>9783319928128</v>
      </c>
      <c r="F10480" s="2" t="str">
        <f>"9783319928135"</f>
        <v>9783319928135</v>
      </c>
    </row>
    <row r="10481" spans="1:6" s="3" customFormat="1" ht="29.1" customHeight="1" x14ac:dyDescent="0.25">
      <c r="A10481" s="2" t="s">
        <v>21378</v>
      </c>
      <c r="B10481" s="2" t="s">
        <v>21379</v>
      </c>
      <c r="C10481" s="2" t="s">
        <v>5</v>
      </c>
      <c r="D10481" s="2" t="s">
        <v>6511</v>
      </c>
      <c r="E10481" s="2" t="str">
        <f>"9781493934454"</f>
        <v>9781493934454</v>
      </c>
      <c r="F10481" s="2" t="str">
        <f>"9781493934478"</f>
        <v>9781493934478</v>
      </c>
    </row>
    <row r="10482" spans="1:6" s="3" customFormat="1" ht="29.1" customHeight="1" x14ac:dyDescent="0.25">
      <c r="A10482" s="2" t="s">
        <v>21445</v>
      </c>
      <c r="B10482" s="2" t="s">
        <v>21446</v>
      </c>
      <c r="C10482" s="2" t="s">
        <v>5</v>
      </c>
      <c r="D10482" s="2" t="s">
        <v>1913</v>
      </c>
      <c r="E10482" s="2" t="str">
        <f>"9789811557279"</f>
        <v>9789811557279</v>
      </c>
      <c r="F10482" s="2" t="str">
        <f>"9789811557286"</f>
        <v>9789811557286</v>
      </c>
    </row>
    <row r="10483" spans="1:6" s="3" customFormat="1" ht="29.1" customHeight="1" x14ac:dyDescent="0.25">
      <c r="A10483" s="2" t="s">
        <v>21447</v>
      </c>
      <c r="B10483" s="2" t="s">
        <v>21448</v>
      </c>
      <c r="C10483" s="2" t="s">
        <v>5</v>
      </c>
      <c r="D10483" s="2" t="s">
        <v>1422</v>
      </c>
      <c r="E10483" s="2" t="str">
        <f>"9783031323119"</f>
        <v>9783031323119</v>
      </c>
      <c r="F10483" s="2" t="str">
        <f>"9783031323126"</f>
        <v>9783031323126</v>
      </c>
    </row>
    <row r="10484" spans="1:6" s="3" customFormat="1" ht="29.1" customHeight="1" x14ac:dyDescent="0.25">
      <c r="A10484" s="2" t="s">
        <v>21449</v>
      </c>
      <c r="B10484" s="2" t="s">
        <v>21450</v>
      </c>
      <c r="C10484" s="2" t="s">
        <v>5</v>
      </c>
      <c r="D10484" s="2" t="s">
        <v>1422</v>
      </c>
      <c r="E10484" s="2" t="str">
        <f>"9783030729363"</f>
        <v>9783030729363</v>
      </c>
      <c r="F10484" s="2" t="str">
        <f>"9783030729370"</f>
        <v>9783030729370</v>
      </c>
    </row>
    <row r="10485" spans="1:6" s="3" customFormat="1" ht="29.1" customHeight="1" x14ac:dyDescent="0.25">
      <c r="A10485" s="2" t="s">
        <v>21451</v>
      </c>
      <c r="B10485" s="2" t="s">
        <v>21452</v>
      </c>
      <c r="C10485" s="2" t="s">
        <v>5</v>
      </c>
      <c r="D10485" s="2" t="s">
        <v>15</v>
      </c>
      <c r="E10485" s="2" t="str">
        <f>"9783030320850"</f>
        <v>9783030320850</v>
      </c>
      <c r="F10485" s="2" t="str">
        <f>"9783030320867"</f>
        <v>9783030320867</v>
      </c>
    </row>
    <row r="10486" spans="1:6" s="3" customFormat="1" ht="29.1" customHeight="1" x14ac:dyDescent="0.25">
      <c r="A10486" s="2" t="s">
        <v>21453</v>
      </c>
      <c r="B10486" s="2" t="s">
        <v>21454</v>
      </c>
      <c r="C10486" s="2" t="s">
        <v>5</v>
      </c>
      <c r="D10486" s="2" t="s">
        <v>1864</v>
      </c>
      <c r="E10486" s="2" t="str">
        <f>"9781137515124"</f>
        <v>9781137515124</v>
      </c>
      <c r="F10486" s="2" t="str">
        <f>"9781137536020"</f>
        <v>9781137536020</v>
      </c>
    </row>
    <row r="10487" spans="1:6" s="3" customFormat="1" ht="29.1" customHeight="1" x14ac:dyDescent="0.25">
      <c r="A10487" s="2" t="s">
        <v>21455</v>
      </c>
      <c r="B10487" s="2" t="s">
        <v>21456</v>
      </c>
      <c r="C10487" s="2" t="s">
        <v>5</v>
      </c>
      <c r="D10487" s="2" t="s">
        <v>69</v>
      </c>
      <c r="E10487" s="2" t="str">
        <f>"9783030891541"</f>
        <v>9783030891541</v>
      </c>
      <c r="F10487" s="2" t="str">
        <f>"9783030891558"</f>
        <v>9783030891558</v>
      </c>
    </row>
    <row r="10488" spans="1:6" s="3" customFormat="1" ht="29.1" customHeight="1" x14ac:dyDescent="0.25">
      <c r="A10488" s="2" t="s">
        <v>21457</v>
      </c>
      <c r="B10488" s="2" t="s">
        <v>21458</v>
      </c>
      <c r="C10488" s="2" t="s">
        <v>5</v>
      </c>
      <c r="D10488" s="2" t="s">
        <v>75</v>
      </c>
      <c r="E10488" s="2" t="str">
        <f>"9783030955076"</f>
        <v>9783030955076</v>
      </c>
      <c r="F10488" s="2" t="str">
        <f>"9783030955083"</f>
        <v>9783030955083</v>
      </c>
    </row>
    <row r="10489" spans="1:6" s="3" customFormat="1" ht="29.1" customHeight="1" x14ac:dyDescent="0.25">
      <c r="A10489" s="2" t="s">
        <v>21459</v>
      </c>
      <c r="B10489" s="2" t="s">
        <v>21460</v>
      </c>
      <c r="C10489" s="2" t="s">
        <v>5</v>
      </c>
      <c r="D10489" s="2" t="s">
        <v>1001</v>
      </c>
      <c r="E10489" s="2" t="str">
        <f>"9783030844509"</f>
        <v>9783030844509</v>
      </c>
      <c r="F10489" s="2" t="str">
        <f>"9783030844516"</f>
        <v>9783030844516</v>
      </c>
    </row>
    <row r="10490" spans="1:6" s="3" customFormat="1" ht="29.1" customHeight="1" x14ac:dyDescent="0.25">
      <c r="A10490" s="2" t="s">
        <v>21461</v>
      </c>
      <c r="B10490" s="2" t="s">
        <v>21462</v>
      </c>
      <c r="C10490" s="2" t="s">
        <v>5</v>
      </c>
      <c r="D10490" s="2" t="s">
        <v>553</v>
      </c>
      <c r="E10490" s="2" t="str">
        <f>"9783319529790"</f>
        <v>9783319529790</v>
      </c>
      <c r="F10490" s="2" t="str">
        <f>"9783319529806"</f>
        <v>9783319529806</v>
      </c>
    </row>
    <row r="10491" spans="1:6" s="3" customFormat="1" ht="29.1" customHeight="1" x14ac:dyDescent="0.25">
      <c r="A10491" s="2" t="s">
        <v>21463</v>
      </c>
      <c r="B10491" s="2" t="s">
        <v>21464</v>
      </c>
      <c r="C10491" s="2" t="s">
        <v>5</v>
      </c>
      <c r="D10491" s="2" t="s">
        <v>7132</v>
      </c>
      <c r="E10491" s="2" t="str">
        <f>"9783319779072"</f>
        <v>9783319779072</v>
      </c>
      <c r="F10491" s="2" t="str">
        <f>"9783319779089"</f>
        <v>9783319779089</v>
      </c>
    </row>
    <row r="10492" spans="1:6" s="3" customFormat="1" ht="29.1" customHeight="1" x14ac:dyDescent="0.25">
      <c r="A10492" s="2" t="s">
        <v>21465</v>
      </c>
      <c r="B10492" s="2" t="s">
        <v>16662</v>
      </c>
      <c r="C10492" s="2" t="s">
        <v>5</v>
      </c>
      <c r="D10492" s="2" t="s">
        <v>7132</v>
      </c>
      <c r="E10492" s="2" t="str">
        <f>"9783319620176"</f>
        <v>9783319620176</v>
      </c>
      <c r="F10492" s="2" t="str">
        <f>"9783319620183"</f>
        <v>9783319620183</v>
      </c>
    </row>
    <row r="10493" spans="1:6" s="3" customFormat="1" ht="29.1" customHeight="1" x14ac:dyDescent="0.25">
      <c r="A10493" s="2" t="s">
        <v>21466</v>
      </c>
      <c r="B10493" s="2" t="s">
        <v>21467</v>
      </c>
      <c r="C10493" s="2" t="s">
        <v>5</v>
      </c>
      <c r="D10493" s="2" t="s">
        <v>218</v>
      </c>
      <c r="E10493" s="2" t="str">
        <f>"9783319595184"</f>
        <v>9783319595184</v>
      </c>
      <c r="F10493" s="2" t="str">
        <f>"9783319595191"</f>
        <v>9783319595191</v>
      </c>
    </row>
    <row r="10494" spans="1:6" s="3" customFormat="1" ht="29.1" customHeight="1" x14ac:dyDescent="0.25">
      <c r="A10494" s="2" t="s">
        <v>21468</v>
      </c>
      <c r="B10494" s="2" t="s">
        <v>21469</v>
      </c>
      <c r="C10494" s="2" t="s">
        <v>5</v>
      </c>
      <c r="D10494" s="2" t="s">
        <v>7132</v>
      </c>
      <c r="E10494" s="2" t="str">
        <f>"9781137600882"</f>
        <v>9781137600882</v>
      </c>
      <c r="F10494" s="2" t="str">
        <f>"9781137600899"</f>
        <v>9781137600899</v>
      </c>
    </row>
    <row r="10495" spans="1:6" s="3" customFormat="1" ht="29.1" customHeight="1" x14ac:dyDescent="0.25">
      <c r="A10495" s="2" t="s">
        <v>21470</v>
      </c>
      <c r="B10495" s="2" t="s">
        <v>21471</v>
      </c>
      <c r="C10495" s="2" t="s">
        <v>5</v>
      </c>
      <c r="D10495" s="2" t="s">
        <v>218</v>
      </c>
      <c r="E10495" s="2" t="str">
        <f>"9781137583277"</f>
        <v>9781137583277</v>
      </c>
      <c r="F10495" s="2" t="str">
        <f>"9781137583284"</f>
        <v>9781137583284</v>
      </c>
    </row>
    <row r="10496" spans="1:6" s="3" customFormat="1" ht="29.1" customHeight="1" x14ac:dyDescent="0.25">
      <c r="A10496" s="2" t="s">
        <v>21472</v>
      </c>
      <c r="B10496" s="2" t="s">
        <v>21473</v>
      </c>
      <c r="C10496" s="2" t="s">
        <v>5</v>
      </c>
      <c r="D10496" s="2" t="s">
        <v>7132</v>
      </c>
      <c r="E10496" s="2" t="str">
        <f>"9781137582485"</f>
        <v>9781137582485</v>
      </c>
      <c r="F10496" s="2" t="str">
        <f>"9781137582492"</f>
        <v>9781137582492</v>
      </c>
    </row>
    <row r="10497" spans="1:6" s="3" customFormat="1" ht="29.1" customHeight="1" x14ac:dyDescent="0.25">
      <c r="A10497" s="2" t="s">
        <v>21474</v>
      </c>
      <c r="B10497" s="2" t="s">
        <v>21475</v>
      </c>
      <c r="C10497" s="2" t="s">
        <v>5</v>
      </c>
      <c r="D10497" s="2" t="s">
        <v>15</v>
      </c>
      <c r="E10497" s="2" t="str">
        <f>"9783031125898"</f>
        <v>9783031125898</v>
      </c>
      <c r="F10497" s="2" t="str">
        <f>"9783031125904"</f>
        <v>9783031125904</v>
      </c>
    </row>
    <row r="10498" spans="1:6" s="3" customFormat="1" ht="29.1" customHeight="1" x14ac:dyDescent="0.25">
      <c r="A10498" s="2" t="s">
        <v>21476</v>
      </c>
      <c r="B10498" s="2" t="s">
        <v>21477</v>
      </c>
      <c r="C10498" s="2" t="s">
        <v>5</v>
      </c>
      <c r="D10498" s="2" t="s">
        <v>20003</v>
      </c>
      <c r="E10498" s="2" t="str">
        <f>"9783030847166"</f>
        <v>9783030847166</v>
      </c>
      <c r="F10498" s="2" t="str">
        <f>"9783030847173"</f>
        <v>9783030847173</v>
      </c>
    </row>
    <row r="10499" spans="1:6" s="3" customFormat="1" ht="29.1" customHeight="1" x14ac:dyDescent="0.25">
      <c r="A10499" s="2" t="s">
        <v>21478</v>
      </c>
      <c r="B10499" s="2" t="s">
        <v>21479</v>
      </c>
      <c r="C10499" s="2" t="s">
        <v>5</v>
      </c>
      <c r="D10499" s="2" t="s">
        <v>162</v>
      </c>
      <c r="E10499" s="2" t="str">
        <f>"9783030744427"</f>
        <v>9783030744427</v>
      </c>
      <c r="F10499" s="2" t="str">
        <f>"9783030744434"</f>
        <v>9783030744434</v>
      </c>
    </row>
    <row r="10500" spans="1:6" s="3" customFormat="1" ht="29.1" customHeight="1" x14ac:dyDescent="0.25">
      <c r="A10500" s="2" t="s">
        <v>21480</v>
      </c>
      <c r="B10500" s="2" t="s">
        <v>21481</v>
      </c>
      <c r="C10500" s="2" t="s">
        <v>5</v>
      </c>
      <c r="D10500" s="2" t="s">
        <v>1427</v>
      </c>
      <c r="E10500" s="2" t="str">
        <f>"9783319999470"</f>
        <v>9783319999470</v>
      </c>
      <c r="F10500" s="2" t="str">
        <f>"9783319999487"</f>
        <v>9783319999487</v>
      </c>
    </row>
    <row r="10501" spans="1:6" s="3" customFormat="1" ht="29.1" customHeight="1" x14ac:dyDescent="0.25">
      <c r="A10501" s="2" t="s">
        <v>21482</v>
      </c>
      <c r="B10501" s="2" t="s">
        <v>21483</v>
      </c>
      <c r="C10501" s="2" t="s">
        <v>5</v>
      </c>
      <c r="D10501" s="2" t="s">
        <v>3033</v>
      </c>
      <c r="E10501" s="2" t="str">
        <f>"9783319443874"</f>
        <v>9783319443874</v>
      </c>
      <c r="F10501" s="2" t="str">
        <f>"9783319443881"</f>
        <v>9783319443881</v>
      </c>
    </row>
    <row r="10502" spans="1:6" s="3" customFormat="1" ht="29.1" customHeight="1" x14ac:dyDescent="0.25">
      <c r="A10502" s="2" t="s">
        <v>21484</v>
      </c>
      <c r="B10502" s="2" t="s">
        <v>21485</v>
      </c>
      <c r="C10502" s="2" t="s">
        <v>5</v>
      </c>
      <c r="D10502" s="2" t="s">
        <v>1888</v>
      </c>
      <c r="E10502" s="2" t="str">
        <f>"9783030020675"</f>
        <v>9783030020675</v>
      </c>
      <c r="F10502" s="2" t="str">
        <f>"9783030020682"</f>
        <v>9783030020682</v>
      </c>
    </row>
    <row r="10503" spans="1:6" s="3" customFormat="1" ht="29.1" customHeight="1" x14ac:dyDescent="0.25">
      <c r="A10503" s="2" t="s">
        <v>21486</v>
      </c>
      <c r="B10503" s="2" t="s">
        <v>21487</v>
      </c>
      <c r="C10503" s="2" t="s">
        <v>5</v>
      </c>
      <c r="D10503" s="2" t="s">
        <v>509</v>
      </c>
      <c r="E10503" s="2" t="str">
        <f>"9783030666576"</f>
        <v>9783030666576</v>
      </c>
      <c r="F10503" s="2" t="str">
        <f>"9783030666583"</f>
        <v>9783030666583</v>
      </c>
    </row>
    <row r="10504" spans="1:6" s="3" customFormat="1" ht="29.1" customHeight="1" x14ac:dyDescent="0.25">
      <c r="A10504" s="2" t="s">
        <v>21488</v>
      </c>
      <c r="B10504" s="2" t="s">
        <v>21489</v>
      </c>
      <c r="C10504" s="2" t="s">
        <v>5</v>
      </c>
      <c r="D10504" s="2" t="s">
        <v>431</v>
      </c>
      <c r="E10504" s="2" t="str">
        <f>"9783030536138"</f>
        <v>9783030536138</v>
      </c>
      <c r="F10504" s="2" t="str">
        <f>"9783030536145"</f>
        <v>9783030536145</v>
      </c>
    </row>
    <row r="10505" spans="1:6" s="3" customFormat="1" ht="29.1" customHeight="1" x14ac:dyDescent="0.25">
      <c r="A10505" s="2" t="s">
        <v>21490</v>
      </c>
      <c r="B10505" s="2" t="s">
        <v>21491</v>
      </c>
      <c r="C10505" s="2" t="s">
        <v>5</v>
      </c>
      <c r="D10505" s="2" t="s">
        <v>431</v>
      </c>
      <c r="E10505" s="2" t="str">
        <f>"9783030204259"</f>
        <v>9783030204259</v>
      </c>
      <c r="F10505" s="2" t="str">
        <f>"9783030204266"</f>
        <v>9783030204266</v>
      </c>
    </row>
    <row r="10506" spans="1:6" s="3" customFormat="1" ht="29.1" customHeight="1" x14ac:dyDescent="0.25">
      <c r="A10506" s="2" t="s">
        <v>21492</v>
      </c>
      <c r="B10506" s="2" t="s">
        <v>21493</v>
      </c>
      <c r="C10506" s="2" t="s">
        <v>5</v>
      </c>
      <c r="D10506" s="2" t="s">
        <v>528</v>
      </c>
      <c r="E10506" s="2" t="str">
        <f>"9783319975016"</f>
        <v>9783319975016</v>
      </c>
      <c r="F10506" s="2" t="str">
        <f>"9783319975023"</f>
        <v>9783319975023</v>
      </c>
    </row>
    <row r="10507" spans="1:6" s="3" customFormat="1" ht="29.1" customHeight="1" x14ac:dyDescent="0.25">
      <c r="A10507" s="2" t="s">
        <v>21494</v>
      </c>
      <c r="B10507" s="2" t="s">
        <v>21495</v>
      </c>
      <c r="C10507" s="2" t="s">
        <v>5</v>
      </c>
      <c r="D10507" s="2" t="s">
        <v>428</v>
      </c>
      <c r="E10507" s="2" t="str">
        <f>"9783031067754"</f>
        <v>9783031067754</v>
      </c>
      <c r="F10507" s="2" t="str">
        <f>"9783031067761"</f>
        <v>9783031067761</v>
      </c>
    </row>
    <row r="10508" spans="1:6" s="3" customFormat="1" ht="29.1" customHeight="1" x14ac:dyDescent="0.25">
      <c r="A10508" s="2" t="s">
        <v>21496</v>
      </c>
      <c r="B10508" s="2" t="s">
        <v>21497</v>
      </c>
      <c r="C10508" s="2" t="s">
        <v>5</v>
      </c>
      <c r="D10508" s="2" t="s">
        <v>1104</v>
      </c>
      <c r="E10508" s="2" t="str">
        <f>"9783031122040"</f>
        <v>9783031122040</v>
      </c>
      <c r="F10508" s="2" t="str">
        <f>"9783031122057"</f>
        <v>9783031122057</v>
      </c>
    </row>
    <row r="10509" spans="1:6" s="3" customFormat="1" ht="29.1" customHeight="1" x14ac:dyDescent="0.25">
      <c r="A10509" s="2" t="s">
        <v>21498</v>
      </c>
      <c r="B10509" s="2" t="s">
        <v>21499</v>
      </c>
      <c r="C10509" s="2" t="s">
        <v>5</v>
      </c>
      <c r="D10509" s="2" t="s">
        <v>16468</v>
      </c>
      <c r="E10509" s="2" t="str">
        <f>"9783319696133"</f>
        <v>9783319696133</v>
      </c>
      <c r="F10509" s="2" t="str">
        <f>"9783319696140"</f>
        <v>9783319696140</v>
      </c>
    </row>
    <row r="10510" spans="1:6" s="3" customFormat="1" ht="29.1" customHeight="1" x14ac:dyDescent="0.25">
      <c r="A10510" s="2" t="s">
        <v>21500</v>
      </c>
      <c r="B10510" s="2" t="s">
        <v>21501</v>
      </c>
      <c r="C10510" s="2" t="s">
        <v>5</v>
      </c>
      <c r="D10510" s="2" t="s">
        <v>1432</v>
      </c>
      <c r="E10510" s="2" t="str">
        <f>"9789811901232"</f>
        <v>9789811901232</v>
      </c>
      <c r="F10510" s="2" t="str">
        <f>"9789811901249"</f>
        <v>9789811901249</v>
      </c>
    </row>
    <row r="10511" spans="1:6" s="3" customFormat="1" ht="29.1" customHeight="1" x14ac:dyDescent="0.25">
      <c r="A10511" s="2" t="s">
        <v>21502</v>
      </c>
      <c r="B10511" s="2" t="s">
        <v>21503</v>
      </c>
      <c r="C10511" s="2" t="s">
        <v>5</v>
      </c>
      <c r="D10511" s="2" t="s">
        <v>5716</v>
      </c>
      <c r="E10511" s="2" t="str">
        <f>"9783030144081"</f>
        <v>9783030144081</v>
      </c>
      <c r="F10511" s="2" t="str">
        <f>"9783030144098"</f>
        <v>9783030144098</v>
      </c>
    </row>
    <row r="10512" spans="1:6" s="3" customFormat="1" ht="29.1" customHeight="1" x14ac:dyDescent="0.25">
      <c r="A10512" s="2" t="s">
        <v>21504</v>
      </c>
      <c r="B10512" s="2" t="s">
        <v>21505</v>
      </c>
      <c r="C10512" s="2" t="s">
        <v>5</v>
      </c>
      <c r="D10512" s="2" t="s">
        <v>75</v>
      </c>
      <c r="E10512" s="2" t="str">
        <f>"9781349950812"</f>
        <v>9781349950812</v>
      </c>
      <c r="F10512" s="2" t="str">
        <f>"9781349950829"</f>
        <v>9781349950829</v>
      </c>
    </row>
    <row r="10513" spans="1:6" s="3" customFormat="1" ht="29.1" customHeight="1" x14ac:dyDescent="0.25">
      <c r="A10513" s="2" t="s">
        <v>21506</v>
      </c>
      <c r="B10513" s="2" t="s">
        <v>21507</v>
      </c>
      <c r="C10513" s="2" t="s">
        <v>5</v>
      </c>
      <c r="D10513" s="2" t="s">
        <v>689</v>
      </c>
      <c r="E10513" s="2" t="str">
        <f>"9783031019296"</f>
        <v>9783031019296</v>
      </c>
      <c r="F10513" s="2" t="str">
        <f>"9783031019302"</f>
        <v>9783031019302</v>
      </c>
    </row>
    <row r="10514" spans="1:6" s="3" customFormat="1" ht="29.1" customHeight="1" x14ac:dyDescent="0.25">
      <c r="A10514" s="2" t="s">
        <v>21508</v>
      </c>
      <c r="B10514" s="2" t="s">
        <v>4681</v>
      </c>
      <c r="C10514" s="2" t="s">
        <v>5</v>
      </c>
      <c r="D10514" s="2" t="s">
        <v>4071</v>
      </c>
      <c r="E10514" s="2" t="str">
        <f>"9783030284077"</f>
        <v>9783030284077</v>
      </c>
      <c r="F10514" s="2" t="str">
        <f>"9783030284084"</f>
        <v>9783030284084</v>
      </c>
    </row>
    <row r="10515" spans="1:6" s="3" customFormat="1" ht="29.1" customHeight="1" x14ac:dyDescent="0.25">
      <c r="A10515" s="2" t="s">
        <v>21509</v>
      </c>
      <c r="B10515" s="2" t="s">
        <v>21510</v>
      </c>
      <c r="C10515" s="2" t="s">
        <v>5</v>
      </c>
      <c r="D10515" s="2" t="s">
        <v>689</v>
      </c>
      <c r="E10515" s="2" t="str">
        <f>"9781137556967"</f>
        <v>9781137556967</v>
      </c>
      <c r="F10515" s="2" t="str">
        <f>"9781137556974"</f>
        <v>9781137556974</v>
      </c>
    </row>
    <row r="10516" spans="1:6" s="3" customFormat="1" ht="29.1" customHeight="1" x14ac:dyDescent="0.25">
      <c r="A10516" s="2" t="s">
        <v>21511</v>
      </c>
      <c r="B10516" s="2" t="s">
        <v>21512</v>
      </c>
      <c r="C10516" s="2" t="s">
        <v>5</v>
      </c>
      <c r="D10516" s="2" t="s">
        <v>1895</v>
      </c>
      <c r="E10516" s="2" t="str">
        <f>"9783319606200"</f>
        <v>9783319606200</v>
      </c>
      <c r="F10516" s="2" t="str">
        <f>"9783319606217"</f>
        <v>9783319606217</v>
      </c>
    </row>
    <row r="10517" spans="1:6" s="3" customFormat="1" ht="29.1" customHeight="1" x14ac:dyDescent="0.25">
      <c r="A10517" s="2" t="s">
        <v>21513</v>
      </c>
      <c r="B10517" s="2" t="s">
        <v>21514</v>
      </c>
      <c r="C10517" s="2" t="s">
        <v>5</v>
      </c>
      <c r="D10517" s="2" t="s">
        <v>196</v>
      </c>
      <c r="E10517" s="2" t="str">
        <f>"9783031228124"</f>
        <v>9783031228124</v>
      </c>
      <c r="F10517" s="2" t="str">
        <f>"9783031228131"</f>
        <v>9783031228131</v>
      </c>
    </row>
    <row r="10518" spans="1:6" s="3" customFormat="1" ht="29.1" customHeight="1" x14ac:dyDescent="0.25">
      <c r="A10518" s="2" t="s">
        <v>21515</v>
      </c>
      <c r="B10518" s="2" t="s">
        <v>21516</v>
      </c>
      <c r="C10518" s="2" t="s">
        <v>5</v>
      </c>
      <c r="D10518" s="2" t="s">
        <v>218</v>
      </c>
      <c r="E10518" s="2" t="str">
        <f>"9783031008238"</f>
        <v>9783031008238</v>
      </c>
      <c r="F10518" s="2" t="str">
        <f>"9783031008245"</f>
        <v>9783031008245</v>
      </c>
    </row>
    <row r="10519" spans="1:6" s="3" customFormat="1" ht="29.1" customHeight="1" x14ac:dyDescent="0.25">
      <c r="A10519" s="2" t="s">
        <v>21517</v>
      </c>
      <c r="B10519" s="2" t="s">
        <v>21518</v>
      </c>
      <c r="C10519" s="2" t="s">
        <v>5</v>
      </c>
      <c r="D10519" s="2" t="s">
        <v>712</v>
      </c>
      <c r="E10519" s="2" t="str">
        <f>"9783030952198"</f>
        <v>9783030952198</v>
      </c>
      <c r="F10519" s="2" t="str">
        <f>"9783030952204"</f>
        <v>9783030952204</v>
      </c>
    </row>
    <row r="10520" spans="1:6" s="3" customFormat="1" ht="29.1" customHeight="1" x14ac:dyDescent="0.25">
      <c r="A10520" s="2" t="s">
        <v>21519</v>
      </c>
      <c r="B10520" s="2" t="s">
        <v>21520</v>
      </c>
      <c r="C10520" s="2" t="s">
        <v>5</v>
      </c>
      <c r="D10520" s="2" t="s">
        <v>2902</v>
      </c>
      <c r="E10520" s="2" t="str">
        <f>"9781137407955"</f>
        <v>9781137407955</v>
      </c>
      <c r="F10520" s="2" t="str">
        <f>"9781137407962"</f>
        <v>9781137407962</v>
      </c>
    </row>
    <row r="10521" spans="1:6" s="3" customFormat="1" ht="29.1" customHeight="1" x14ac:dyDescent="0.25">
      <c r="A10521" s="2" t="s">
        <v>21521</v>
      </c>
      <c r="B10521" s="2" t="s">
        <v>21522</v>
      </c>
      <c r="C10521" s="2" t="s">
        <v>5</v>
      </c>
      <c r="D10521" s="2" t="s">
        <v>7132</v>
      </c>
      <c r="E10521" s="2" t="str">
        <f>"9783030697273"</f>
        <v>9783030697273</v>
      </c>
      <c r="F10521" s="2" t="str">
        <f>"9783030697280"</f>
        <v>9783030697280</v>
      </c>
    </row>
    <row r="10522" spans="1:6" s="3" customFormat="1" ht="29.1" customHeight="1" x14ac:dyDescent="0.25">
      <c r="A10522" s="2" t="s">
        <v>21523</v>
      </c>
      <c r="B10522" s="2" t="s">
        <v>21524</v>
      </c>
      <c r="C10522" s="2" t="s">
        <v>5</v>
      </c>
      <c r="D10522" s="2" t="s">
        <v>218</v>
      </c>
      <c r="E10522" s="2" t="str">
        <f>"9783319947174"</f>
        <v>9783319947174</v>
      </c>
      <c r="F10522" s="2" t="str">
        <f>"9783319947181"</f>
        <v>9783319947181</v>
      </c>
    </row>
    <row r="10523" spans="1:6" s="3" customFormat="1" ht="29.1" customHeight="1" x14ac:dyDescent="0.25">
      <c r="A10523" s="2" t="s">
        <v>21525</v>
      </c>
      <c r="B10523" s="2" t="s">
        <v>21526</v>
      </c>
      <c r="C10523" s="2" t="s">
        <v>5</v>
      </c>
      <c r="D10523" s="2" t="s">
        <v>15</v>
      </c>
      <c r="E10523" s="2" t="str">
        <f>"9783030039936"</f>
        <v>9783030039936</v>
      </c>
      <c r="F10523" s="2" t="str">
        <f>"9783030039943"</f>
        <v>9783030039943</v>
      </c>
    </row>
    <row r="10524" spans="1:6" s="3" customFormat="1" ht="29.1" customHeight="1" x14ac:dyDescent="0.25">
      <c r="A10524" s="2" t="s">
        <v>21527</v>
      </c>
      <c r="B10524" s="2" t="s">
        <v>21528</v>
      </c>
      <c r="C10524" s="2" t="s">
        <v>5</v>
      </c>
      <c r="D10524" s="2" t="s">
        <v>4190</v>
      </c>
      <c r="E10524" s="2" t="str">
        <f>"9783030650667"</f>
        <v>9783030650667</v>
      </c>
      <c r="F10524" s="2" t="str">
        <f>"9783030650674"</f>
        <v>9783030650674</v>
      </c>
    </row>
    <row r="10525" spans="1:6" s="3" customFormat="1" ht="29.1" customHeight="1" x14ac:dyDescent="0.25">
      <c r="A10525" s="2" t="s">
        <v>21529</v>
      </c>
      <c r="B10525" s="2" t="s">
        <v>21530</v>
      </c>
      <c r="C10525" s="2" t="s">
        <v>5</v>
      </c>
      <c r="D10525" s="2" t="s">
        <v>479</v>
      </c>
      <c r="E10525" s="2" t="str">
        <f>"9783319257167"</f>
        <v>9783319257167</v>
      </c>
      <c r="F10525" s="2" t="str">
        <f>"9783319257181"</f>
        <v>9783319257181</v>
      </c>
    </row>
    <row r="10526" spans="1:6" s="3" customFormat="1" ht="29.1" customHeight="1" x14ac:dyDescent="0.25">
      <c r="A10526" s="2" t="s">
        <v>21531</v>
      </c>
      <c r="B10526" s="2" t="s">
        <v>21532</v>
      </c>
      <c r="C10526" s="2" t="s">
        <v>5</v>
      </c>
      <c r="D10526" s="2" t="s">
        <v>218</v>
      </c>
      <c r="E10526" s="2" t="str">
        <f>"9783031273698"</f>
        <v>9783031273698</v>
      </c>
      <c r="F10526" s="2" t="str">
        <f>"9783031273704"</f>
        <v>9783031273704</v>
      </c>
    </row>
    <row r="10527" spans="1:6" s="3" customFormat="1" ht="29.1" customHeight="1" x14ac:dyDescent="0.25">
      <c r="A10527" s="2" t="s">
        <v>21533</v>
      </c>
      <c r="B10527" s="2" t="s">
        <v>21534</v>
      </c>
      <c r="C10527" s="2" t="s">
        <v>5</v>
      </c>
      <c r="D10527" s="2" t="s">
        <v>5032</v>
      </c>
      <c r="E10527" s="2" t="str">
        <f>"9783030627911"</f>
        <v>9783030627911</v>
      </c>
      <c r="F10527" s="2" t="str">
        <f>"9783030627928"</f>
        <v>9783030627928</v>
      </c>
    </row>
    <row r="10528" spans="1:6" s="3" customFormat="1" ht="29.1" customHeight="1" x14ac:dyDescent="0.25">
      <c r="A10528" s="2" t="s">
        <v>21535</v>
      </c>
      <c r="B10528" s="2" t="s">
        <v>21536</v>
      </c>
      <c r="C10528" s="2" t="s">
        <v>5</v>
      </c>
      <c r="D10528" s="2" t="s">
        <v>16606</v>
      </c>
      <c r="E10528" s="2" t="str">
        <f>"9783031416132"</f>
        <v>9783031416132</v>
      </c>
      <c r="F10528" s="2" t="str">
        <f>"9783031416149"</f>
        <v>9783031416149</v>
      </c>
    </row>
    <row r="10529" spans="1:6" s="3" customFormat="1" ht="29.1" customHeight="1" x14ac:dyDescent="0.25">
      <c r="A10529" s="2" t="s">
        <v>21537</v>
      </c>
      <c r="B10529" s="2" t="s">
        <v>21538</v>
      </c>
      <c r="C10529" s="2" t="s">
        <v>5</v>
      </c>
      <c r="D10529" s="2" t="s">
        <v>30</v>
      </c>
      <c r="E10529" s="2" t="str">
        <f>"9783030796747"</f>
        <v>9783030796747</v>
      </c>
      <c r="F10529" s="2" t="str">
        <f>"9783030796754"</f>
        <v>9783030796754</v>
      </c>
    </row>
    <row r="10530" spans="1:6" s="3" customFormat="1" ht="29.1" customHeight="1" x14ac:dyDescent="0.25">
      <c r="A10530" s="2" t="s">
        <v>21539</v>
      </c>
      <c r="B10530" s="2" t="s">
        <v>21540</v>
      </c>
      <c r="C10530" s="2" t="s">
        <v>5</v>
      </c>
      <c r="D10530" s="2" t="s">
        <v>294</v>
      </c>
      <c r="E10530" s="2" t="str">
        <f>"9783030820718"</f>
        <v>9783030820718</v>
      </c>
      <c r="F10530" s="2" t="str">
        <f>"9783030820725"</f>
        <v>9783030820725</v>
      </c>
    </row>
    <row r="10531" spans="1:6" s="3" customFormat="1" ht="29.1" customHeight="1" x14ac:dyDescent="0.25">
      <c r="A10531" s="2" t="s">
        <v>21541</v>
      </c>
      <c r="B10531" s="2" t="s">
        <v>21542</v>
      </c>
      <c r="C10531" s="2" t="s">
        <v>5</v>
      </c>
      <c r="D10531" s="2" t="s">
        <v>1162</v>
      </c>
      <c r="E10531" s="2" t="str">
        <f>"9783319653518"</f>
        <v>9783319653518</v>
      </c>
      <c r="F10531" s="2" t="str">
        <f>"9783319653525"</f>
        <v>9783319653525</v>
      </c>
    </row>
    <row r="10532" spans="1:6" s="3" customFormat="1" ht="29.1" customHeight="1" x14ac:dyDescent="0.25">
      <c r="A10532" s="2" t="s">
        <v>21543</v>
      </c>
      <c r="B10532" s="2" t="s">
        <v>21544</v>
      </c>
      <c r="C10532" s="2" t="s">
        <v>5</v>
      </c>
      <c r="D10532" s="2" t="s">
        <v>4190</v>
      </c>
      <c r="E10532" s="2" t="str">
        <f>"9783030301309"</f>
        <v>9783030301309</v>
      </c>
      <c r="F10532" s="2" t="str">
        <f>"9783030301316"</f>
        <v>9783030301316</v>
      </c>
    </row>
    <row r="10533" spans="1:6" s="3" customFormat="1" ht="29.1" customHeight="1" x14ac:dyDescent="0.25">
      <c r="A10533" s="2" t="s">
        <v>21545</v>
      </c>
      <c r="B10533" s="2" t="s">
        <v>13606</v>
      </c>
      <c r="C10533" s="2" t="s">
        <v>5</v>
      </c>
      <c r="D10533" s="2" t="s">
        <v>2005</v>
      </c>
      <c r="E10533" s="2" t="str">
        <f>"9783319580418"</f>
        <v>9783319580418</v>
      </c>
      <c r="F10533" s="2" t="str">
        <f>"9783319580425"</f>
        <v>9783319580425</v>
      </c>
    </row>
    <row r="10534" spans="1:6" s="3" customFormat="1" ht="29.1" customHeight="1" x14ac:dyDescent="0.25">
      <c r="A10534" s="2" t="s">
        <v>21546</v>
      </c>
      <c r="B10534" s="2" t="s">
        <v>21547</v>
      </c>
      <c r="C10534" s="2" t="s">
        <v>5</v>
      </c>
      <c r="D10534" s="2" t="s">
        <v>86</v>
      </c>
      <c r="E10534" s="2" t="str">
        <f>"9783030940119"</f>
        <v>9783030940119</v>
      </c>
      <c r="F10534" s="2" t="str">
        <f>"9783030940126"</f>
        <v>9783030940126</v>
      </c>
    </row>
    <row r="10535" spans="1:6" s="3" customFormat="1" ht="29.1" customHeight="1" x14ac:dyDescent="0.25">
      <c r="A10535" s="2" t="s">
        <v>21548</v>
      </c>
      <c r="B10535" s="2" t="s">
        <v>21549</v>
      </c>
      <c r="C10535" s="2" t="s">
        <v>5</v>
      </c>
      <c r="D10535" s="2" t="s">
        <v>86</v>
      </c>
      <c r="E10535" s="2" t="str">
        <f>"9783030546731"</f>
        <v>9783030546731</v>
      </c>
      <c r="F10535" s="2" t="str">
        <f>"9783030546748"</f>
        <v>9783030546748</v>
      </c>
    </row>
    <row r="10536" spans="1:6" s="3" customFormat="1" ht="29.1" customHeight="1" x14ac:dyDescent="0.25">
      <c r="A10536" s="2" t="s">
        <v>21550</v>
      </c>
      <c r="B10536" s="2" t="s">
        <v>21551</v>
      </c>
      <c r="C10536" s="2" t="s">
        <v>5</v>
      </c>
      <c r="D10536" s="2" t="s">
        <v>86</v>
      </c>
      <c r="E10536" s="2" t="str">
        <f>"9783030216283"</f>
        <v>9783030216283</v>
      </c>
      <c r="F10536" s="2" t="str">
        <f>"9783030216290"</f>
        <v>9783030216290</v>
      </c>
    </row>
    <row r="10537" spans="1:6" s="3" customFormat="1" ht="29.1" customHeight="1" x14ac:dyDescent="0.25">
      <c r="A10537" s="2" t="s">
        <v>21552</v>
      </c>
      <c r="B10537" s="2" t="s">
        <v>21553</v>
      </c>
      <c r="C10537" s="2" t="s">
        <v>5</v>
      </c>
      <c r="D10537" s="2" t="s">
        <v>86</v>
      </c>
      <c r="E10537" s="2" t="str">
        <f>"9783031356711"</f>
        <v>9783031356711</v>
      </c>
      <c r="F10537" s="2" t="str">
        <f>"9783031356728"</f>
        <v>9783031356728</v>
      </c>
    </row>
    <row r="10538" spans="1:6" s="3" customFormat="1" ht="29.1" customHeight="1" x14ac:dyDescent="0.25">
      <c r="A10538" s="2" t="s">
        <v>21554</v>
      </c>
      <c r="B10538" s="2" t="s">
        <v>21555</v>
      </c>
      <c r="C10538" s="2" t="s">
        <v>5</v>
      </c>
      <c r="D10538" s="2" t="s">
        <v>86</v>
      </c>
      <c r="E10538" s="2" t="str">
        <f>"9783031136931"</f>
        <v>9783031136931</v>
      </c>
      <c r="F10538" s="2" t="str">
        <f>"9783031136948"</f>
        <v>9783031136948</v>
      </c>
    </row>
    <row r="10539" spans="1:6" s="3" customFormat="1" ht="29.1" customHeight="1" x14ac:dyDescent="0.25">
      <c r="A10539" s="2" t="s">
        <v>21556</v>
      </c>
      <c r="B10539" s="2" t="s">
        <v>21557</v>
      </c>
      <c r="C10539" s="2" t="s">
        <v>5</v>
      </c>
      <c r="D10539" s="2" t="s">
        <v>183</v>
      </c>
      <c r="E10539" s="2" t="str">
        <f>"9783030496586"</f>
        <v>9783030496586</v>
      </c>
      <c r="F10539" s="2" t="str">
        <f>"9783030496593"</f>
        <v>9783030496593</v>
      </c>
    </row>
    <row r="10540" spans="1:6" s="3" customFormat="1" ht="29.1" customHeight="1" x14ac:dyDescent="0.25">
      <c r="A10540" s="2" t="s">
        <v>21558</v>
      </c>
      <c r="B10540" s="2" t="s">
        <v>21559</v>
      </c>
      <c r="C10540" s="2" t="s">
        <v>5</v>
      </c>
      <c r="D10540" s="2" t="s">
        <v>86</v>
      </c>
      <c r="E10540" s="2" t="str">
        <f>"9783319733340"</f>
        <v>9783319733340</v>
      </c>
      <c r="F10540" s="2" t="str">
        <f>"9783319733357"</f>
        <v>9783319733357</v>
      </c>
    </row>
    <row r="10541" spans="1:6" s="3" customFormat="1" ht="29.1" customHeight="1" x14ac:dyDescent="0.25">
      <c r="A10541" s="2" t="s">
        <v>21560</v>
      </c>
      <c r="B10541" s="2" t="s">
        <v>21561</v>
      </c>
      <c r="C10541" s="2" t="s">
        <v>5</v>
      </c>
      <c r="D10541" s="2" t="s">
        <v>4172</v>
      </c>
      <c r="E10541" s="2" t="str">
        <f>"9781137558329"</f>
        <v>9781137558329</v>
      </c>
      <c r="F10541" s="2" t="str">
        <f>"9781137558336"</f>
        <v>9781137558336</v>
      </c>
    </row>
    <row r="10542" spans="1:6" s="3" customFormat="1" ht="29.1" customHeight="1" x14ac:dyDescent="0.25">
      <c r="A10542" s="2" t="s">
        <v>21562</v>
      </c>
      <c r="B10542" s="2" t="s">
        <v>21563</v>
      </c>
      <c r="C10542" s="2" t="s">
        <v>5</v>
      </c>
      <c r="D10542" s="2" t="s">
        <v>5276</v>
      </c>
      <c r="E10542" s="2" t="str">
        <f>"9783319255576"</f>
        <v>9783319255576</v>
      </c>
      <c r="F10542" s="2" t="str">
        <f>"9783319255590"</f>
        <v>9783319255590</v>
      </c>
    </row>
    <row r="10543" spans="1:6" s="3" customFormat="1" ht="29.1" customHeight="1" x14ac:dyDescent="0.25">
      <c r="A10543" s="2" t="s">
        <v>21564</v>
      </c>
      <c r="B10543" s="2" t="s">
        <v>21565</v>
      </c>
      <c r="C10543" s="2" t="s">
        <v>5</v>
      </c>
      <c r="D10543" s="2" t="s">
        <v>12495</v>
      </c>
      <c r="E10543" s="2" t="str">
        <f>"9784431558477"</f>
        <v>9784431558477</v>
      </c>
      <c r="F10543" s="2" t="str">
        <f>"9784431558484"</f>
        <v>9784431558484</v>
      </c>
    </row>
    <row r="10544" spans="1:6" s="3" customFormat="1" ht="29.1" customHeight="1" x14ac:dyDescent="0.25">
      <c r="A10544" s="2" t="s">
        <v>21566</v>
      </c>
      <c r="B10544" s="2" t="s">
        <v>21567</v>
      </c>
      <c r="C10544" s="2" t="s">
        <v>5</v>
      </c>
      <c r="D10544" s="2" t="s">
        <v>712</v>
      </c>
      <c r="E10544" s="2" t="str">
        <f>"9789402412505"</f>
        <v>9789402412505</v>
      </c>
      <c r="F10544" s="2" t="str">
        <f>"9789402412512"</f>
        <v>9789402412512</v>
      </c>
    </row>
    <row r="10545" spans="1:6" s="3" customFormat="1" ht="29.1" customHeight="1" x14ac:dyDescent="0.25">
      <c r="A10545" s="2" t="s">
        <v>21568</v>
      </c>
      <c r="B10545" s="2" t="s">
        <v>21569</v>
      </c>
      <c r="C10545" s="2" t="s">
        <v>5</v>
      </c>
      <c r="D10545" s="2" t="s">
        <v>547</v>
      </c>
      <c r="E10545" s="2" t="str">
        <f>"9783319252186"</f>
        <v>9783319252186</v>
      </c>
      <c r="F10545" s="2" t="str">
        <f>"9783319252209"</f>
        <v>9783319252209</v>
      </c>
    </row>
    <row r="10546" spans="1:6" s="3" customFormat="1" ht="29.1" customHeight="1" x14ac:dyDescent="0.25">
      <c r="A10546" s="2" t="s">
        <v>21570</v>
      </c>
      <c r="B10546" s="2" t="s">
        <v>21571</v>
      </c>
      <c r="C10546" s="2" t="s">
        <v>5</v>
      </c>
      <c r="D10546" s="2" t="s">
        <v>6511</v>
      </c>
      <c r="E10546" s="2" t="str">
        <f>"9784431558200"</f>
        <v>9784431558200</v>
      </c>
      <c r="F10546" s="2" t="str">
        <f>"9784431558224"</f>
        <v>9784431558224</v>
      </c>
    </row>
    <row r="10547" spans="1:6" s="3" customFormat="1" ht="29.1" customHeight="1" x14ac:dyDescent="0.25">
      <c r="A10547" s="2" t="s">
        <v>21572</v>
      </c>
      <c r="B10547" s="2" t="s">
        <v>21573</v>
      </c>
      <c r="C10547" s="2" t="s">
        <v>5</v>
      </c>
      <c r="D10547" s="2" t="s">
        <v>183</v>
      </c>
      <c r="E10547" s="2" t="str">
        <f>"9783030599508"</f>
        <v>9783030599508</v>
      </c>
      <c r="F10547" s="2" t="str">
        <f>"9783030599515"</f>
        <v>9783030599515</v>
      </c>
    </row>
    <row r="10548" spans="1:6" s="3" customFormat="1" ht="29.1" customHeight="1" x14ac:dyDescent="0.25">
      <c r="A10548" s="2" t="s">
        <v>21574</v>
      </c>
      <c r="B10548" s="2" t="s">
        <v>21575</v>
      </c>
      <c r="C10548" s="2" t="s">
        <v>5</v>
      </c>
      <c r="D10548" s="2" t="s">
        <v>1228</v>
      </c>
      <c r="E10548" s="2" t="str">
        <f>"9781137506795"</f>
        <v>9781137506795</v>
      </c>
      <c r="F10548" s="2" t="str">
        <f>"9781137506801"</f>
        <v>9781137506801</v>
      </c>
    </row>
    <row r="10549" spans="1:6" s="3" customFormat="1" ht="29.1" customHeight="1" x14ac:dyDescent="0.25">
      <c r="A10549" s="2" t="s">
        <v>21576</v>
      </c>
      <c r="B10549" s="2" t="s">
        <v>21577</v>
      </c>
      <c r="C10549" s="2" t="s">
        <v>5</v>
      </c>
      <c r="D10549" s="2" t="s">
        <v>324</v>
      </c>
      <c r="E10549" s="2" t="str">
        <f>"9781137426017"</f>
        <v>9781137426017</v>
      </c>
      <c r="F10549" s="2" t="str">
        <f>"9781137426024"</f>
        <v>9781137426024</v>
      </c>
    </row>
    <row r="10550" spans="1:6" s="3" customFormat="1" ht="29.1" customHeight="1" x14ac:dyDescent="0.25">
      <c r="A10550" s="2" t="s">
        <v>21578</v>
      </c>
      <c r="B10550" s="2" t="s">
        <v>21579</v>
      </c>
      <c r="C10550" s="2" t="s">
        <v>5</v>
      </c>
      <c r="D10550" s="2" t="s">
        <v>3166</v>
      </c>
      <c r="E10550" s="2" t="str">
        <f>"9781349950737"</f>
        <v>9781349950737</v>
      </c>
      <c r="F10550" s="2" t="str">
        <f>"9781137544391"</f>
        <v>9781137544391</v>
      </c>
    </row>
    <row r="10551" spans="1:6" s="3" customFormat="1" ht="29.1" customHeight="1" x14ac:dyDescent="0.25">
      <c r="A10551" s="2" t="s">
        <v>21580</v>
      </c>
      <c r="B10551" s="2" t="s">
        <v>21581</v>
      </c>
      <c r="C10551" s="2" t="s">
        <v>5</v>
      </c>
      <c r="D10551" s="2" t="s">
        <v>1463</v>
      </c>
      <c r="E10551" s="2" t="str">
        <f>"9783031370496"</f>
        <v>9783031370496</v>
      </c>
      <c r="F10551" s="2" t="str">
        <f>"9783031370502"</f>
        <v>9783031370502</v>
      </c>
    </row>
    <row r="10552" spans="1:6" s="3" customFormat="1" ht="29.1" customHeight="1" x14ac:dyDescent="0.25">
      <c r="A10552" s="2" t="s">
        <v>21582</v>
      </c>
      <c r="B10552" s="2" t="s">
        <v>21583</v>
      </c>
      <c r="C10552" s="2" t="s">
        <v>5</v>
      </c>
      <c r="D10552" s="2" t="s">
        <v>5032</v>
      </c>
      <c r="E10552" s="2" t="str">
        <f>"9783030226381"</f>
        <v>9783030226381</v>
      </c>
      <c r="F10552" s="2" t="str">
        <f>"9783030226398"</f>
        <v>9783030226398</v>
      </c>
    </row>
    <row r="10553" spans="1:6" s="3" customFormat="1" ht="29.1" customHeight="1" x14ac:dyDescent="0.25">
      <c r="A10553" s="2" t="s">
        <v>21584</v>
      </c>
      <c r="B10553" s="2" t="s">
        <v>21585</v>
      </c>
      <c r="C10553" s="2" t="s">
        <v>5</v>
      </c>
      <c r="D10553" s="2" t="s">
        <v>15</v>
      </c>
      <c r="E10553" s="2" t="str">
        <f>"9783658089641"</f>
        <v>9783658089641</v>
      </c>
      <c r="F10553" s="2" t="str">
        <f>"9783658089658"</f>
        <v>9783658089658</v>
      </c>
    </row>
    <row r="10554" spans="1:6" s="3" customFormat="1" ht="29.1" customHeight="1" x14ac:dyDescent="0.25">
      <c r="A10554" s="2" t="s">
        <v>21586</v>
      </c>
      <c r="B10554" s="2" t="s">
        <v>21587</v>
      </c>
      <c r="C10554" s="2" t="s">
        <v>5</v>
      </c>
      <c r="D10554" s="2" t="s">
        <v>12</v>
      </c>
      <c r="E10554" s="2" t="str">
        <f>"9789812878250"</f>
        <v>9789812878250</v>
      </c>
      <c r="F10554" s="2" t="str">
        <f>"9789812878267"</f>
        <v>9789812878267</v>
      </c>
    </row>
    <row r="10555" spans="1:6" s="3" customFormat="1" ht="29.1" customHeight="1" x14ac:dyDescent="0.25">
      <c r="A10555" s="2" t="s">
        <v>21588</v>
      </c>
      <c r="B10555" s="2" t="s">
        <v>21589</v>
      </c>
      <c r="C10555" s="2" t="s">
        <v>5</v>
      </c>
      <c r="D10555" s="2" t="s">
        <v>313</v>
      </c>
      <c r="E10555" s="2" t="str">
        <f>"9783030214319"</f>
        <v>9783030214319</v>
      </c>
      <c r="F10555" s="2" t="str">
        <f>"9783030214326"</f>
        <v>9783030214326</v>
      </c>
    </row>
    <row r="10556" spans="1:6" s="3" customFormat="1" ht="29.1" customHeight="1" x14ac:dyDescent="0.25">
      <c r="A10556" s="2" t="s">
        <v>21590</v>
      </c>
      <c r="B10556" s="2" t="s">
        <v>21591</v>
      </c>
      <c r="C10556" s="2" t="s">
        <v>5</v>
      </c>
      <c r="D10556" s="2" t="s">
        <v>6</v>
      </c>
      <c r="E10556" s="2" t="str">
        <f>"9783030941369"</f>
        <v>9783030941369</v>
      </c>
      <c r="F10556" s="2" t="str">
        <f>"9783030941376"</f>
        <v>9783030941376</v>
      </c>
    </row>
    <row r="10557" spans="1:6" s="3" customFormat="1" ht="29.1" customHeight="1" x14ac:dyDescent="0.25">
      <c r="A10557" s="2" t="s">
        <v>21592</v>
      </c>
      <c r="B10557" s="2" t="s">
        <v>21593</v>
      </c>
      <c r="C10557" s="2" t="s">
        <v>5</v>
      </c>
      <c r="D10557" s="2" t="s">
        <v>232</v>
      </c>
      <c r="E10557" s="2" t="str">
        <f>"9783031400933"</f>
        <v>9783031400933</v>
      </c>
      <c r="F10557" s="2" t="str">
        <f>"9783031400940"</f>
        <v>9783031400940</v>
      </c>
    </row>
    <row r="10558" spans="1:6" s="3" customFormat="1" ht="29.1" customHeight="1" x14ac:dyDescent="0.25">
      <c r="A10558" s="2" t="s">
        <v>21594</v>
      </c>
      <c r="B10558" s="2" t="s">
        <v>21593</v>
      </c>
      <c r="C10558" s="2" t="s">
        <v>5</v>
      </c>
      <c r="D10558" s="2" t="s">
        <v>232</v>
      </c>
      <c r="E10558" s="2" t="str">
        <f>"9783031189876"</f>
        <v>9783031189876</v>
      </c>
      <c r="F10558" s="2" t="str">
        <f>"9783031189883"</f>
        <v>9783031189883</v>
      </c>
    </row>
    <row r="10559" spans="1:6" s="3" customFormat="1" ht="29.1" customHeight="1" x14ac:dyDescent="0.25">
      <c r="A10559" s="2" t="s">
        <v>21595</v>
      </c>
      <c r="B10559" s="2" t="s">
        <v>21596</v>
      </c>
      <c r="C10559" s="2" t="s">
        <v>5</v>
      </c>
      <c r="D10559" s="2" t="s">
        <v>232</v>
      </c>
      <c r="E10559" s="2" t="str">
        <f>"9783030286682"</f>
        <v>9783030286682</v>
      </c>
      <c r="F10559" s="2" t="str">
        <f>"9783030286699"</f>
        <v>9783030286699</v>
      </c>
    </row>
    <row r="10560" spans="1:6" s="3" customFormat="1" ht="29.1" customHeight="1" x14ac:dyDescent="0.25">
      <c r="A10560" s="2" t="s">
        <v>21597</v>
      </c>
      <c r="B10560" s="2" t="s">
        <v>21598</v>
      </c>
      <c r="C10560" s="2" t="s">
        <v>5</v>
      </c>
      <c r="D10560" s="2" t="s">
        <v>183</v>
      </c>
      <c r="E10560" s="2" t="str">
        <f>"9783031192456"</f>
        <v>9783031192456</v>
      </c>
      <c r="F10560" s="2" t="str">
        <f>"9783031192463"</f>
        <v>9783031192463</v>
      </c>
    </row>
    <row r="10561" spans="1:6" s="3" customFormat="1" ht="29.1" customHeight="1" x14ac:dyDescent="0.25">
      <c r="A10561" s="2" t="s">
        <v>21599</v>
      </c>
      <c r="B10561" s="2" t="s">
        <v>21600</v>
      </c>
      <c r="C10561" s="2" t="s">
        <v>5</v>
      </c>
      <c r="D10561" s="2" t="s">
        <v>1913</v>
      </c>
      <c r="E10561" s="2" t="str">
        <f>"9783030992552"</f>
        <v>9783030992552</v>
      </c>
      <c r="F10561" s="2" t="str">
        <f>"9783030992569"</f>
        <v>9783030992569</v>
      </c>
    </row>
    <row r="10562" spans="1:6" s="3" customFormat="1" ht="29.1" customHeight="1" x14ac:dyDescent="0.25">
      <c r="A10562" s="2" t="s">
        <v>21601</v>
      </c>
      <c r="B10562" s="2" t="s">
        <v>21602</v>
      </c>
      <c r="C10562" s="2" t="s">
        <v>5</v>
      </c>
      <c r="D10562" s="2" t="s">
        <v>1437</v>
      </c>
      <c r="E10562" s="2" t="str">
        <f>"9781137546463"</f>
        <v>9781137546463</v>
      </c>
      <c r="F10562" s="2" t="str">
        <f>"9781137546470"</f>
        <v>9781137546470</v>
      </c>
    </row>
    <row r="10563" spans="1:6" s="3" customFormat="1" ht="29.1" customHeight="1" x14ac:dyDescent="0.25">
      <c r="A10563" s="2" t="s">
        <v>21603</v>
      </c>
      <c r="B10563" s="2" t="s">
        <v>21604</v>
      </c>
      <c r="C10563" s="2" t="s">
        <v>5</v>
      </c>
      <c r="D10563" s="2" t="s">
        <v>694</v>
      </c>
      <c r="E10563" s="2" t="str">
        <f>"9783030714567"</f>
        <v>9783030714567</v>
      </c>
      <c r="F10563" s="2" t="str">
        <f>"9783030714574"</f>
        <v>9783030714574</v>
      </c>
    </row>
    <row r="10564" spans="1:6" s="3" customFormat="1" ht="29.1" customHeight="1" x14ac:dyDescent="0.25">
      <c r="A10564" s="2" t="s">
        <v>21605</v>
      </c>
      <c r="B10564" s="2" t="s">
        <v>21606</v>
      </c>
      <c r="C10564" s="2" t="s">
        <v>5</v>
      </c>
      <c r="D10564" s="2" t="s">
        <v>553</v>
      </c>
      <c r="E10564" s="2" t="str">
        <f>"9783030211424"</f>
        <v>9783030211424</v>
      </c>
      <c r="F10564" s="2" t="str">
        <f>"9783030211431"</f>
        <v>9783030211431</v>
      </c>
    </row>
    <row r="10565" spans="1:6" s="3" customFormat="1" ht="29.1" customHeight="1" x14ac:dyDescent="0.25">
      <c r="A10565" s="2" t="s">
        <v>21607</v>
      </c>
      <c r="B10565" s="2" t="s">
        <v>21608</v>
      </c>
      <c r="C10565" s="2" t="s">
        <v>5</v>
      </c>
      <c r="D10565" s="2" t="s">
        <v>183</v>
      </c>
      <c r="E10565" s="2" t="str">
        <f>"9789811960581"</f>
        <v>9789811960581</v>
      </c>
      <c r="F10565" s="2" t="str">
        <f>"9789811960598"</f>
        <v>9789811960598</v>
      </c>
    </row>
    <row r="10566" spans="1:6" s="3" customFormat="1" ht="29.1" customHeight="1" x14ac:dyDescent="0.25">
      <c r="A10566" s="2" t="s">
        <v>21609</v>
      </c>
      <c r="B10566" s="2" t="s">
        <v>21610</v>
      </c>
      <c r="C10566" s="2" t="s">
        <v>5</v>
      </c>
      <c r="D10566" s="2" t="s">
        <v>270</v>
      </c>
      <c r="E10566" s="2" t="str">
        <f>"9789811953330"</f>
        <v>9789811953330</v>
      </c>
      <c r="F10566" s="2" t="str">
        <f>"9789811953347"</f>
        <v>9789811953347</v>
      </c>
    </row>
    <row r="10567" spans="1:6" s="3" customFormat="1" ht="29.1" customHeight="1" x14ac:dyDescent="0.25">
      <c r="A10567" s="2" t="s">
        <v>21611</v>
      </c>
      <c r="B10567" s="2" t="s">
        <v>21612</v>
      </c>
      <c r="C10567" s="2" t="s">
        <v>5</v>
      </c>
      <c r="D10567" s="2" t="s">
        <v>547</v>
      </c>
      <c r="E10567" s="2" t="str">
        <f>"9789811667183"</f>
        <v>9789811667183</v>
      </c>
      <c r="F10567" s="2" t="str">
        <f>"9789811667190"</f>
        <v>9789811667190</v>
      </c>
    </row>
    <row r="10568" spans="1:6" s="3" customFormat="1" ht="29.1" customHeight="1" x14ac:dyDescent="0.25">
      <c r="A10568" s="2" t="s">
        <v>21613</v>
      </c>
      <c r="B10568" s="2" t="s">
        <v>21614</v>
      </c>
      <c r="C10568" s="2" t="s">
        <v>5</v>
      </c>
      <c r="D10568" s="2" t="s">
        <v>52</v>
      </c>
      <c r="E10568" s="2" t="str">
        <f>"9783030699772"</f>
        <v>9783030699772</v>
      </c>
      <c r="F10568" s="2" t="str">
        <f>"9783030699789"</f>
        <v>9783030699789</v>
      </c>
    </row>
    <row r="10569" spans="1:6" s="3" customFormat="1" ht="29.1" customHeight="1" x14ac:dyDescent="0.25">
      <c r="A10569" s="2" t="s">
        <v>21615</v>
      </c>
      <c r="B10569" s="2" t="s">
        <v>21616</v>
      </c>
      <c r="C10569" s="2" t="s">
        <v>5</v>
      </c>
      <c r="D10569" s="2" t="s">
        <v>1888</v>
      </c>
      <c r="E10569" s="2" t="str">
        <f>"9783030157449"</f>
        <v>9783030157449</v>
      </c>
      <c r="F10569" s="2" t="str">
        <f>"9783030157456"</f>
        <v>9783030157456</v>
      </c>
    </row>
    <row r="10570" spans="1:6" s="3" customFormat="1" ht="29.1" customHeight="1" x14ac:dyDescent="0.25">
      <c r="A10570" s="2" t="s">
        <v>21617</v>
      </c>
      <c r="B10570" s="2" t="s">
        <v>21618</v>
      </c>
      <c r="C10570" s="2" t="s">
        <v>5</v>
      </c>
      <c r="D10570" s="2" t="s">
        <v>1888</v>
      </c>
      <c r="E10570" s="2" t="str">
        <f>"9783319647302"</f>
        <v>9783319647302</v>
      </c>
      <c r="F10570" s="2" t="str">
        <f>"9783319647319"</f>
        <v>9783319647319</v>
      </c>
    </row>
    <row r="10571" spans="1:6" s="3" customFormat="1" ht="29.1" customHeight="1" x14ac:dyDescent="0.25">
      <c r="A10571" s="2" t="s">
        <v>21619</v>
      </c>
      <c r="B10571" s="2" t="s">
        <v>21620</v>
      </c>
      <c r="C10571" s="2" t="s">
        <v>5</v>
      </c>
      <c r="D10571" s="2" t="s">
        <v>490</v>
      </c>
      <c r="E10571" s="2" t="str">
        <f>"9783031419171"</f>
        <v>9783031419171</v>
      </c>
      <c r="F10571" s="2" t="str">
        <f>"9783031419195"</f>
        <v>9783031419195</v>
      </c>
    </row>
    <row r="10572" spans="1:6" s="3" customFormat="1" ht="29.1" customHeight="1" x14ac:dyDescent="0.25">
      <c r="A10572" s="2" t="s">
        <v>21621</v>
      </c>
      <c r="B10572" s="2" t="s">
        <v>21622</v>
      </c>
      <c r="C10572" s="2" t="s">
        <v>5</v>
      </c>
      <c r="D10572" s="2" t="s">
        <v>20696</v>
      </c>
      <c r="E10572" s="2" t="str">
        <f>"9783319215686"</f>
        <v>9783319215686</v>
      </c>
      <c r="F10572" s="2" t="str">
        <f>"9783319215693"</f>
        <v>9783319215693</v>
      </c>
    </row>
    <row r="10573" spans="1:6" s="3" customFormat="1" ht="29.1" customHeight="1" x14ac:dyDescent="0.25">
      <c r="A10573" s="2" t="s">
        <v>21623</v>
      </c>
      <c r="B10573" s="2" t="s">
        <v>21624</v>
      </c>
      <c r="C10573" s="2" t="s">
        <v>5</v>
      </c>
      <c r="D10573" s="2" t="s">
        <v>12</v>
      </c>
      <c r="E10573" s="2" t="str">
        <f>"9783319205700"</f>
        <v>9783319205700</v>
      </c>
      <c r="F10573" s="2" t="str">
        <f>"9783319205717"</f>
        <v>9783319205717</v>
      </c>
    </row>
    <row r="10574" spans="1:6" s="3" customFormat="1" ht="29.1" customHeight="1" x14ac:dyDescent="0.25">
      <c r="A10574" s="2" t="s">
        <v>21625</v>
      </c>
      <c r="B10574" s="2" t="s">
        <v>21626</v>
      </c>
      <c r="C10574" s="2" t="s">
        <v>5</v>
      </c>
      <c r="D10574" s="2" t="s">
        <v>2178</v>
      </c>
      <c r="E10574" s="2" t="str">
        <f>"9783658100933"</f>
        <v>9783658100933</v>
      </c>
      <c r="F10574" s="2" t="str">
        <f>"9783658100940"</f>
        <v>9783658100940</v>
      </c>
    </row>
    <row r="10575" spans="1:6" s="3" customFormat="1" ht="29.1" customHeight="1" x14ac:dyDescent="0.25">
      <c r="A10575" s="2" t="s">
        <v>21627</v>
      </c>
      <c r="B10575" s="2" t="s">
        <v>21628</v>
      </c>
      <c r="C10575" s="2" t="s">
        <v>5</v>
      </c>
      <c r="D10575" s="2" t="s">
        <v>144</v>
      </c>
      <c r="E10575" s="2" t="str">
        <f>"9783319193656"</f>
        <v>9783319193656</v>
      </c>
      <c r="F10575" s="2" t="str">
        <f>"9783319193663"</f>
        <v>9783319193663</v>
      </c>
    </row>
    <row r="10576" spans="1:6" s="3" customFormat="1" ht="29.1" customHeight="1" x14ac:dyDescent="0.25">
      <c r="A10576" s="2" t="s">
        <v>21629</v>
      </c>
      <c r="B10576" s="2" t="s">
        <v>21630</v>
      </c>
      <c r="C10576" s="2" t="s">
        <v>5</v>
      </c>
      <c r="D10576" s="2" t="s">
        <v>302</v>
      </c>
      <c r="E10576" s="2" t="str">
        <f>"9783319191676"</f>
        <v>9783319191676</v>
      </c>
      <c r="F10576" s="2" t="str">
        <f>"9783319191683"</f>
        <v>9783319191683</v>
      </c>
    </row>
    <row r="10577" spans="1:6" s="3" customFormat="1" ht="29.1" customHeight="1" x14ac:dyDescent="0.25">
      <c r="A10577" s="2" t="s">
        <v>21631</v>
      </c>
      <c r="B10577" s="2" t="s">
        <v>21632</v>
      </c>
      <c r="C10577" s="2" t="s">
        <v>5</v>
      </c>
      <c r="D10577" s="2" t="s">
        <v>606</v>
      </c>
      <c r="E10577" s="2" t="str">
        <f>"9783031039553"</f>
        <v>9783031039553</v>
      </c>
      <c r="F10577" s="2" t="str">
        <f>"9783031039560"</f>
        <v>9783031039560</v>
      </c>
    </row>
    <row r="10578" spans="1:6" s="3" customFormat="1" ht="29.1" customHeight="1" x14ac:dyDescent="0.25">
      <c r="A10578" s="2" t="s">
        <v>21633</v>
      </c>
      <c r="B10578" s="2" t="s">
        <v>21634</v>
      </c>
      <c r="C10578" s="2" t="s">
        <v>5</v>
      </c>
      <c r="D10578" s="2" t="s">
        <v>2045</v>
      </c>
      <c r="E10578" s="2" t="str">
        <f>"9783030640217"</f>
        <v>9783030640217</v>
      </c>
      <c r="F10578" s="2" t="str">
        <f>"9783030640224"</f>
        <v>9783030640224</v>
      </c>
    </row>
    <row r="10579" spans="1:6" s="3" customFormat="1" ht="29.1" customHeight="1" x14ac:dyDescent="0.25">
      <c r="A10579" s="2" t="s">
        <v>21635</v>
      </c>
      <c r="B10579" s="2" t="s">
        <v>21636</v>
      </c>
      <c r="C10579" s="2" t="s">
        <v>5</v>
      </c>
      <c r="D10579" s="2" t="s">
        <v>3319</v>
      </c>
      <c r="E10579" s="2" t="str">
        <f>"9784431556503"</f>
        <v>9784431556503</v>
      </c>
      <c r="F10579" s="2" t="str">
        <f>"9784431556510"</f>
        <v>9784431556510</v>
      </c>
    </row>
    <row r="10580" spans="1:6" s="3" customFormat="1" ht="29.1" customHeight="1" x14ac:dyDescent="0.25">
      <c r="A10580" s="2" t="s">
        <v>21637</v>
      </c>
      <c r="B10580" s="2" t="s">
        <v>21638</v>
      </c>
      <c r="C10580" s="2" t="s">
        <v>5</v>
      </c>
      <c r="D10580" s="2" t="s">
        <v>1292</v>
      </c>
      <c r="E10580" s="2" t="str">
        <f>"9783319184272"</f>
        <v>9783319184272</v>
      </c>
      <c r="F10580" s="2" t="str">
        <f>"9783319184289"</f>
        <v>9783319184289</v>
      </c>
    </row>
    <row r="10581" spans="1:6" s="3" customFormat="1" ht="29.1" customHeight="1" x14ac:dyDescent="0.25">
      <c r="A10581" s="2" t="s">
        <v>21639</v>
      </c>
      <c r="B10581" s="2" t="s">
        <v>21640</v>
      </c>
      <c r="C10581" s="2" t="s">
        <v>5</v>
      </c>
      <c r="D10581" s="2" t="s">
        <v>984</v>
      </c>
      <c r="E10581" s="2" t="str">
        <f>"9783031113703"</f>
        <v>9783031113703</v>
      </c>
      <c r="F10581" s="2" t="str">
        <f>"9783031113710"</f>
        <v>9783031113710</v>
      </c>
    </row>
    <row r="10582" spans="1:6" s="3" customFormat="1" ht="29.1" customHeight="1" x14ac:dyDescent="0.25">
      <c r="A10582" s="2" t="s">
        <v>21641</v>
      </c>
      <c r="B10582" s="2" t="s">
        <v>21642</v>
      </c>
      <c r="C10582" s="2" t="s">
        <v>5</v>
      </c>
      <c r="D10582" s="2" t="s">
        <v>331</v>
      </c>
      <c r="E10582" s="2" t="str">
        <f>"9783319175416"</f>
        <v>9783319175416</v>
      </c>
      <c r="F10582" s="2" t="str">
        <f>"9783319175423"</f>
        <v>9783319175423</v>
      </c>
    </row>
    <row r="10583" spans="1:6" s="3" customFormat="1" ht="29.1" customHeight="1" x14ac:dyDescent="0.25">
      <c r="A10583" s="2" t="s">
        <v>21643</v>
      </c>
      <c r="B10583" s="2" t="s">
        <v>21644</v>
      </c>
      <c r="C10583" s="2" t="s">
        <v>5</v>
      </c>
      <c r="D10583" s="2" t="s">
        <v>850</v>
      </c>
      <c r="E10583" s="2" t="str">
        <f>"9783319175447"</f>
        <v>9783319175447</v>
      </c>
      <c r="F10583" s="2" t="str">
        <f>"9783319175454"</f>
        <v>9783319175454</v>
      </c>
    </row>
    <row r="10584" spans="1:6" s="3" customFormat="1" ht="29.1" customHeight="1" x14ac:dyDescent="0.25">
      <c r="A10584" s="2" t="s">
        <v>21645</v>
      </c>
      <c r="B10584" s="2" t="s">
        <v>21646</v>
      </c>
      <c r="C10584" s="2" t="s">
        <v>5</v>
      </c>
      <c r="D10584" s="2" t="s">
        <v>98</v>
      </c>
      <c r="E10584" s="2" t="str">
        <f>"9783662468050"</f>
        <v>9783662468050</v>
      </c>
      <c r="F10584" s="2" t="str">
        <f>"9783662468067"</f>
        <v>9783662468067</v>
      </c>
    </row>
    <row r="10585" spans="1:6" s="3" customFormat="1" ht="29.1" customHeight="1" x14ac:dyDescent="0.25">
      <c r="A10585" s="2" t="s">
        <v>21647</v>
      </c>
      <c r="B10585" s="2" t="s">
        <v>21648</v>
      </c>
      <c r="C10585" s="2" t="s">
        <v>5</v>
      </c>
      <c r="D10585" s="2" t="s">
        <v>189</v>
      </c>
      <c r="E10585" s="2" t="str">
        <f>"9783658371401"</f>
        <v>9783658371401</v>
      </c>
      <c r="F10585" s="2" t="str">
        <f>"9783658371418"</f>
        <v>9783658371418</v>
      </c>
    </row>
    <row r="10586" spans="1:6" s="3" customFormat="1" ht="29.1" customHeight="1" x14ac:dyDescent="0.25">
      <c r="A10586" s="2" t="s">
        <v>21649</v>
      </c>
      <c r="B10586" s="2" t="s">
        <v>21650</v>
      </c>
      <c r="C10586" s="2" t="s">
        <v>5</v>
      </c>
      <c r="D10586" s="2" t="s">
        <v>459</v>
      </c>
      <c r="E10586" s="2" t="str">
        <f>"9783030698225"</f>
        <v>9783030698225</v>
      </c>
      <c r="F10586" s="2" t="str">
        <f>"9783030698232"</f>
        <v>9783030698232</v>
      </c>
    </row>
    <row r="10587" spans="1:6" s="3" customFormat="1" ht="29.1" customHeight="1" x14ac:dyDescent="0.25">
      <c r="A10587" s="2" t="s">
        <v>21651</v>
      </c>
      <c r="B10587" s="2" t="s">
        <v>21652</v>
      </c>
      <c r="C10587" s="2" t="s">
        <v>5</v>
      </c>
      <c r="D10587" s="2" t="s">
        <v>3328</v>
      </c>
      <c r="E10587" s="2" t="str">
        <f>"9783030501990"</f>
        <v>9783030501990</v>
      </c>
      <c r="F10587" s="2" t="str">
        <f>"9783030502003"</f>
        <v>9783030502003</v>
      </c>
    </row>
    <row r="10588" spans="1:6" s="3" customFormat="1" ht="29.1" customHeight="1" x14ac:dyDescent="0.25">
      <c r="A10588" s="2" t="s">
        <v>21653</v>
      </c>
      <c r="B10588" s="2" t="s">
        <v>21654</v>
      </c>
      <c r="C10588" s="2" t="s">
        <v>5</v>
      </c>
      <c r="D10588" s="2" t="s">
        <v>9052</v>
      </c>
      <c r="E10588" s="2" t="str">
        <f>"9783030318444"</f>
        <v>9783030318444</v>
      </c>
      <c r="F10588" s="2" t="str">
        <f>"9783030318468"</f>
        <v>9783030318468</v>
      </c>
    </row>
    <row r="10589" spans="1:6" s="3" customFormat="1" ht="29.1" customHeight="1" x14ac:dyDescent="0.25">
      <c r="A10589" s="2" t="s">
        <v>21655</v>
      </c>
      <c r="B10589" s="2" t="s">
        <v>21656</v>
      </c>
      <c r="C10589" s="2" t="s">
        <v>5</v>
      </c>
      <c r="D10589" s="2" t="s">
        <v>12495</v>
      </c>
      <c r="E10589" s="2" t="str">
        <f>"9784431555575"</f>
        <v>9784431555575</v>
      </c>
      <c r="F10589" s="2" t="str">
        <f>"9784431555582"</f>
        <v>9784431555582</v>
      </c>
    </row>
    <row r="10590" spans="1:6" s="3" customFormat="1" ht="29.1" customHeight="1" x14ac:dyDescent="0.25">
      <c r="A10590" s="2" t="s">
        <v>21657</v>
      </c>
      <c r="B10590" s="2" t="s">
        <v>21658</v>
      </c>
      <c r="C10590" s="2" t="s">
        <v>5</v>
      </c>
      <c r="D10590" s="2" t="s">
        <v>547</v>
      </c>
      <c r="E10590" s="2" t="str">
        <f>"9783319165097"</f>
        <v>9783319165097</v>
      </c>
      <c r="F10590" s="2" t="str">
        <f>"9783319165103"</f>
        <v>9783319165103</v>
      </c>
    </row>
    <row r="10591" spans="1:6" s="3" customFormat="1" ht="29.1" customHeight="1" x14ac:dyDescent="0.25">
      <c r="A10591" s="2" t="s">
        <v>21659</v>
      </c>
      <c r="B10591" s="2" t="s">
        <v>21660</v>
      </c>
      <c r="C10591" s="2" t="s">
        <v>5</v>
      </c>
      <c r="D10591" s="2" t="s">
        <v>479</v>
      </c>
      <c r="E10591" s="2" t="str">
        <f>"9783319163567"</f>
        <v>9783319163567</v>
      </c>
      <c r="F10591" s="2" t="str">
        <f>"9783319163574"</f>
        <v>9783319163574</v>
      </c>
    </row>
    <row r="10592" spans="1:6" s="3" customFormat="1" ht="29.1" customHeight="1" x14ac:dyDescent="0.25">
      <c r="A10592" s="2" t="s">
        <v>21661</v>
      </c>
      <c r="B10592" s="2" t="s">
        <v>21662</v>
      </c>
      <c r="C10592" s="2" t="s">
        <v>5</v>
      </c>
      <c r="D10592" s="2" t="s">
        <v>3567</v>
      </c>
      <c r="E10592" s="2" t="str">
        <f>"9783319162584"</f>
        <v>9783319162584</v>
      </c>
      <c r="F10592" s="2" t="str">
        <f>"9783319162591"</f>
        <v>9783319162591</v>
      </c>
    </row>
    <row r="10593" spans="1:6" s="3" customFormat="1" ht="29.1" customHeight="1" x14ac:dyDescent="0.25">
      <c r="A10593" s="2" t="s">
        <v>21663</v>
      </c>
      <c r="B10593" s="2" t="s">
        <v>21664</v>
      </c>
      <c r="C10593" s="2" t="s">
        <v>5</v>
      </c>
      <c r="D10593" s="2" t="s">
        <v>755</v>
      </c>
      <c r="E10593" s="2" t="str">
        <f>"9784431555360"</f>
        <v>9784431555360</v>
      </c>
      <c r="F10593" s="2" t="str">
        <f>"9784431555377"</f>
        <v>9784431555377</v>
      </c>
    </row>
    <row r="10594" spans="1:6" s="3" customFormat="1" ht="29.1" customHeight="1" x14ac:dyDescent="0.25">
      <c r="A10594" s="2" t="s">
        <v>21665</v>
      </c>
      <c r="B10594" s="2" t="s">
        <v>21666</v>
      </c>
      <c r="C10594" s="2" t="s">
        <v>5</v>
      </c>
      <c r="D10594" s="2" t="s">
        <v>2880</v>
      </c>
      <c r="E10594" s="2" t="str">
        <f>"9783030263379"</f>
        <v>9783030263379</v>
      </c>
      <c r="F10594" s="2" t="str">
        <f>"9783030263386"</f>
        <v>9783030263386</v>
      </c>
    </row>
    <row r="10595" spans="1:6" s="3" customFormat="1" ht="29.1" customHeight="1" x14ac:dyDescent="0.25">
      <c r="A10595" s="2" t="s">
        <v>21667</v>
      </c>
      <c r="B10595" s="2" t="s">
        <v>21668</v>
      </c>
      <c r="C10595" s="2" t="s">
        <v>5</v>
      </c>
      <c r="D10595" s="2" t="s">
        <v>694</v>
      </c>
      <c r="E10595" s="2" t="str">
        <f>"9783319146928"</f>
        <v>9783319146928</v>
      </c>
      <c r="F10595" s="2" t="str">
        <f>"9783319146935"</f>
        <v>9783319146935</v>
      </c>
    </row>
    <row r="10596" spans="1:6" s="3" customFormat="1" ht="29.1" customHeight="1" x14ac:dyDescent="0.25">
      <c r="A10596" s="2" t="s">
        <v>21669</v>
      </c>
      <c r="B10596" s="2" t="s">
        <v>21670</v>
      </c>
      <c r="C10596" s="2" t="s">
        <v>5</v>
      </c>
      <c r="D10596" s="2" t="s">
        <v>712</v>
      </c>
      <c r="E10596" s="2" t="str">
        <f>"9789812873804"</f>
        <v>9789812873804</v>
      </c>
      <c r="F10596" s="2" t="str">
        <f>"9789812873811"</f>
        <v>9789812873811</v>
      </c>
    </row>
    <row r="10597" spans="1:6" s="3" customFormat="1" ht="29.1" customHeight="1" x14ac:dyDescent="0.25">
      <c r="A10597" s="2" t="s">
        <v>21671</v>
      </c>
      <c r="B10597" s="2" t="s">
        <v>21672</v>
      </c>
      <c r="C10597" s="2" t="s">
        <v>5</v>
      </c>
      <c r="D10597" s="2" t="s">
        <v>89</v>
      </c>
      <c r="E10597" s="2" t="str">
        <f>"9783658084622"</f>
        <v>9783658084622</v>
      </c>
      <c r="F10597" s="2" t="str">
        <f>"9783658084639"</f>
        <v>9783658084639</v>
      </c>
    </row>
    <row r="10598" spans="1:6" s="3" customFormat="1" ht="29.1" customHeight="1" x14ac:dyDescent="0.25">
      <c r="A10598" s="2" t="s">
        <v>21673</v>
      </c>
      <c r="B10598" s="2" t="s">
        <v>21674</v>
      </c>
      <c r="C10598" s="2" t="s">
        <v>5</v>
      </c>
      <c r="D10598" s="2" t="s">
        <v>192</v>
      </c>
      <c r="E10598" s="2" t="str">
        <f>"9783319137902"</f>
        <v>9783319137902</v>
      </c>
      <c r="F10598" s="2" t="str">
        <f>"9783319137919"</f>
        <v>9783319137919</v>
      </c>
    </row>
    <row r="10599" spans="1:6" s="3" customFormat="1" ht="29.1" customHeight="1" x14ac:dyDescent="0.25">
      <c r="A10599" s="2" t="s">
        <v>11247</v>
      </c>
      <c r="B10599" s="2" t="s">
        <v>11249</v>
      </c>
      <c r="C10599" s="2" t="s">
        <v>5</v>
      </c>
      <c r="D10599" s="2" t="s">
        <v>547</v>
      </c>
      <c r="E10599" s="2" t="str">
        <f>"9783319137544"</f>
        <v>9783319137544</v>
      </c>
      <c r="F10599" s="2" t="str">
        <f>"9783319137551"</f>
        <v>9783319137551</v>
      </c>
    </row>
    <row r="10600" spans="1:6" s="3" customFormat="1" ht="29.1" customHeight="1" x14ac:dyDescent="0.25">
      <c r="A10600" s="2" t="s">
        <v>21675</v>
      </c>
      <c r="B10600" s="2" t="s">
        <v>21676</v>
      </c>
      <c r="C10600" s="2" t="s">
        <v>5</v>
      </c>
      <c r="D10600" s="2" t="s">
        <v>281</v>
      </c>
      <c r="E10600" s="2" t="str">
        <f>"9789811337468"</f>
        <v>9789811337468</v>
      </c>
      <c r="F10600" s="2" t="str">
        <f>"9789811337475"</f>
        <v>9789811337475</v>
      </c>
    </row>
    <row r="10601" spans="1:6" s="3" customFormat="1" ht="29.1" customHeight="1" x14ac:dyDescent="0.25">
      <c r="A10601" s="2" t="s">
        <v>21677</v>
      </c>
      <c r="B10601" s="2" t="s">
        <v>21678</v>
      </c>
      <c r="C10601" s="2" t="s">
        <v>5</v>
      </c>
      <c r="D10601" s="2" t="s">
        <v>78</v>
      </c>
      <c r="E10601" s="2" t="str">
        <f>"9783031413476"</f>
        <v>9783031413476</v>
      </c>
      <c r="F10601" s="2" t="str">
        <f>"9783031413483"</f>
        <v>9783031413483</v>
      </c>
    </row>
    <row r="10602" spans="1:6" s="3" customFormat="1" ht="29.1" customHeight="1" x14ac:dyDescent="0.25">
      <c r="A10602" s="2" t="s">
        <v>21679</v>
      </c>
      <c r="B10602" s="2" t="s">
        <v>21680</v>
      </c>
      <c r="C10602" s="2" t="s">
        <v>5</v>
      </c>
      <c r="D10602" s="2" t="s">
        <v>78</v>
      </c>
      <c r="E10602" s="2" t="str">
        <f>"9783031257254"</f>
        <v>9783031257254</v>
      </c>
      <c r="F10602" s="2" t="str">
        <f>"9783031257261"</f>
        <v>9783031257261</v>
      </c>
    </row>
    <row r="10603" spans="1:6" s="3" customFormat="1" ht="29.1" customHeight="1" x14ac:dyDescent="0.25">
      <c r="A10603" s="2" t="s">
        <v>21681</v>
      </c>
      <c r="B10603" s="2" t="s">
        <v>21682</v>
      </c>
      <c r="C10603" s="2" t="s">
        <v>5</v>
      </c>
      <c r="D10603" s="2" t="s">
        <v>78</v>
      </c>
      <c r="E10603" s="2" t="str">
        <f>"9783031239953"</f>
        <v>9783031239953</v>
      </c>
      <c r="F10603" s="2" t="str">
        <f>"9783031239960"</f>
        <v>9783031239960</v>
      </c>
    </row>
    <row r="10604" spans="1:6" s="3" customFormat="1" ht="29.1" customHeight="1" x14ac:dyDescent="0.25">
      <c r="A10604" s="2" t="s">
        <v>21683</v>
      </c>
      <c r="B10604" s="2" t="s">
        <v>21684</v>
      </c>
      <c r="C10604" s="2" t="s">
        <v>5</v>
      </c>
      <c r="D10604" s="2" t="s">
        <v>78</v>
      </c>
      <c r="E10604" s="2" t="str">
        <f>"9783031140082"</f>
        <v>9783031140082</v>
      </c>
      <c r="F10604" s="2" t="str">
        <f>"9783031140099"</f>
        <v>9783031140099</v>
      </c>
    </row>
    <row r="10605" spans="1:6" s="3" customFormat="1" ht="29.1" customHeight="1" x14ac:dyDescent="0.25">
      <c r="A10605" s="2" t="s">
        <v>21685</v>
      </c>
      <c r="B10605" s="2" t="s">
        <v>21686</v>
      </c>
      <c r="C10605" s="2" t="s">
        <v>5</v>
      </c>
      <c r="D10605" s="2" t="s">
        <v>78</v>
      </c>
      <c r="E10605" s="2" t="str">
        <f>"9783031125027"</f>
        <v>9783031125027</v>
      </c>
      <c r="F10605" s="2" t="str">
        <f>"9783031125034"</f>
        <v>9783031125034</v>
      </c>
    </row>
    <row r="10606" spans="1:6" s="3" customFormat="1" ht="29.1" customHeight="1" x14ac:dyDescent="0.25">
      <c r="A10606" s="2" t="s">
        <v>21687</v>
      </c>
      <c r="B10606" s="2" t="s">
        <v>21688</v>
      </c>
      <c r="C10606" s="2" t="s">
        <v>5</v>
      </c>
      <c r="D10606" s="2" t="s">
        <v>78</v>
      </c>
      <c r="E10606" s="2" t="str">
        <f>"9783031115738"</f>
        <v>9783031115738</v>
      </c>
      <c r="F10606" s="2" t="str">
        <f>"9783031115745"</f>
        <v>9783031115745</v>
      </c>
    </row>
    <row r="10607" spans="1:6" s="3" customFormat="1" ht="29.1" customHeight="1" x14ac:dyDescent="0.25">
      <c r="A10607" s="2" t="s">
        <v>21689</v>
      </c>
      <c r="B10607" s="2" t="s">
        <v>21690</v>
      </c>
      <c r="C10607" s="2" t="s">
        <v>5</v>
      </c>
      <c r="D10607" s="2" t="s">
        <v>78</v>
      </c>
      <c r="E10607" s="2" t="str">
        <f>"9783031055652"</f>
        <v>9783031055652</v>
      </c>
      <c r="F10607" s="2" t="str">
        <f>"9783031055669"</f>
        <v>9783031055669</v>
      </c>
    </row>
    <row r="10608" spans="1:6" s="3" customFormat="1" ht="29.1" customHeight="1" x14ac:dyDescent="0.25">
      <c r="A10608" s="2" t="s">
        <v>21691</v>
      </c>
      <c r="B10608" s="2" t="s">
        <v>21692</v>
      </c>
      <c r="C10608" s="2" t="s">
        <v>5</v>
      </c>
      <c r="D10608" s="2" t="s">
        <v>78</v>
      </c>
      <c r="E10608" s="2" t="str">
        <f>"9783031013188"</f>
        <v>9783031013188</v>
      </c>
      <c r="F10608" s="2" t="str">
        <f>"9783031013195"</f>
        <v>9783031013195</v>
      </c>
    </row>
    <row r="10609" spans="1:6" s="3" customFormat="1" ht="29.1" customHeight="1" x14ac:dyDescent="0.25">
      <c r="A10609" s="2" t="s">
        <v>21693</v>
      </c>
      <c r="B10609" s="2" t="s">
        <v>21694</v>
      </c>
      <c r="C10609" s="2" t="s">
        <v>5</v>
      </c>
      <c r="D10609" s="2" t="s">
        <v>78</v>
      </c>
      <c r="E10609" s="2" t="str">
        <f>"9783030949716"</f>
        <v>9783030949716</v>
      </c>
      <c r="F10609" s="2" t="str">
        <f>"9783030949723"</f>
        <v>9783030949723</v>
      </c>
    </row>
    <row r="10610" spans="1:6" s="3" customFormat="1" ht="29.1" customHeight="1" x14ac:dyDescent="0.25">
      <c r="A10610" s="2" t="s">
        <v>21695</v>
      </c>
      <c r="B10610" s="2" t="s">
        <v>21696</v>
      </c>
      <c r="C10610" s="2" t="s">
        <v>5</v>
      </c>
      <c r="D10610" s="2" t="s">
        <v>78</v>
      </c>
      <c r="E10610" s="2" t="str">
        <f>"9783030930349"</f>
        <v>9783030930349</v>
      </c>
      <c r="F10610" s="2" t="str">
        <f>"9783030930356"</f>
        <v>9783030930356</v>
      </c>
    </row>
    <row r="10611" spans="1:6" s="3" customFormat="1" ht="29.1" customHeight="1" x14ac:dyDescent="0.25">
      <c r="A10611" s="2" t="s">
        <v>21697</v>
      </c>
      <c r="B10611" s="2" t="s">
        <v>21698</v>
      </c>
      <c r="C10611" s="2" t="s">
        <v>5</v>
      </c>
      <c r="D10611" s="2" t="s">
        <v>78</v>
      </c>
      <c r="E10611" s="2" t="str">
        <f>"9783030920913"</f>
        <v>9783030920913</v>
      </c>
      <c r="F10611" s="2" t="str">
        <f>"9783030920920"</f>
        <v>9783030920920</v>
      </c>
    </row>
    <row r="10612" spans="1:6" s="3" customFormat="1" ht="29.1" customHeight="1" x14ac:dyDescent="0.25">
      <c r="A10612" s="2" t="s">
        <v>21699</v>
      </c>
      <c r="B10612" s="2" t="s">
        <v>21700</v>
      </c>
      <c r="C10612" s="2" t="s">
        <v>5</v>
      </c>
      <c r="D10612" s="2" t="s">
        <v>78</v>
      </c>
      <c r="E10612" s="2" t="str">
        <f>"9783030917302"</f>
        <v>9783030917302</v>
      </c>
      <c r="F10612" s="2" t="str">
        <f>"9783030917319"</f>
        <v>9783030917319</v>
      </c>
    </row>
    <row r="10613" spans="1:6" s="3" customFormat="1" ht="29.1" customHeight="1" x14ac:dyDescent="0.25">
      <c r="A10613" s="2" t="s">
        <v>21701</v>
      </c>
      <c r="B10613" s="2" t="s">
        <v>21702</v>
      </c>
      <c r="C10613" s="2" t="s">
        <v>5</v>
      </c>
      <c r="D10613" s="2" t="s">
        <v>78</v>
      </c>
      <c r="E10613" s="2" t="str">
        <f>"9783030812096"</f>
        <v>9783030812096</v>
      </c>
      <c r="F10613" s="2" t="str">
        <f>"9783030812102"</f>
        <v>9783030812102</v>
      </c>
    </row>
    <row r="10614" spans="1:6" s="3" customFormat="1" ht="29.1" customHeight="1" x14ac:dyDescent="0.25">
      <c r="A10614" s="2" t="s">
        <v>21703</v>
      </c>
      <c r="B10614" s="2" t="s">
        <v>21704</v>
      </c>
      <c r="C10614" s="2" t="s">
        <v>5</v>
      </c>
      <c r="D10614" s="2" t="s">
        <v>78</v>
      </c>
      <c r="E10614" s="2"/>
      <c r="F10614" s="2" t="str">
        <f>"9783030778101"</f>
        <v>9783030778101</v>
      </c>
    </row>
    <row r="10615" spans="1:6" s="3" customFormat="1" ht="29.1" customHeight="1" x14ac:dyDescent="0.25">
      <c r="A10615" s="2" t="s">
        <v>21705</v>
      </c>
      <c r="B10615" s="2" t="s">
        <v>21706</v>
      </c>
      <c r="C10615" s="2" t="s">
        <v>5</v>
      </c>
      <c r="D10615" s="2" t="s">
        <v>78</v>
      </c>
      <c r="E10615" s="2" t="str">
        <f>"9783030711429"</f>
        <v>9783030711429</v>
      </c>
      <c r="F10615" s="2" t="str">
        <f>"9783030711436"</f>
        <v>9783030711436</v>
      </c>
    </row>
    <row r="10616" spans="1:6" s="3" customFormat="1" ht="29.1" customHeight="1" x14ac:dyDescent="0.25">
      <c r="A10616" s="2" t="s">
        <v>21707</v>
      </c>
      <c r="B10616" s="2" t="s">
        <v>21708</v>
      </c>
      <c r="C10616" s="2" t="s">
        <v>5</v>
      </c>
      <c r="D10616" s="2" t="s">
        <v>78</v>
      </c>
      <c r="E10616" s="2" t="str">
        <f>"9783030694401"</f>
        <v>9783030694401</v>
      </c>
      <c r="F10616" s="2" t="str">
        <f>"9783030694418"</f>
        <v>9783030694418</v>
      </c>
    </row>
    <row r="10617" spans="1:6" s="3" customFormat="1" ht="29.1" customHeight="1" x14ac:dyDescent="0.25">
      <c r="A10617" s="2" t="s">
        <v>21709</v>
      </c>
      <c r="B10617" s="2" t="s">
        <v>21710</v>
      </c>
      <c r="C10617" s="2" t="s">
        <v>5</v>
      </c>
      <c r="D10617" s="2" t="s">
        <v>78</v>
      </c>
      <c r="E10617" s="2" t="str">
        <f>"9783030684136"</f>
        <v>9783030684136</v>
      </c>
      <c r="F10617" s="2" t="str">
        <f>"9783030684143"</f>
        <v>9783030684143</v>
      </c>
    </row>
    <row r="10618" spans="1:6" s="3" customFormat="1" ht="29.1" customHeight="1" x14ac:dyDescent="0.25">
      <c r="A10618" s="2" t="s">
        <v>21711</v>
      </c>
      <c r="B10618" s="2" t="s">
        <v>21712</v>
      </c>
      <c r="C10618" s="2" t="s">
        <v>5</v>
      </c>
      <c r="D10618" s="2" t="s">
        <v>78</v>
      </c>
      <c r="E10618" s="2" t="str">
        <f>"9783030676070"</f>
        <v>9783030676070</v>
      </c>
      <c r="F10618" s="2" t="str">
        <f>"9783030676087"</f>
        <v>9783030676087</v>
      </c>
    </row>
    <row r="10619" spans="1:6" s="3" customFormat="1" ht="29.1" customHeight="1" x14ac:dyDescent="0.25">
      <c r="A10619" s="2" t="s">
        <v>21713</v>
      </c>
      <c r="B10619" s="2" t="s">
        <v>21714</v>
      </c>
      <c r="C10619" s="2" t="s">
        <v>5</v>
      </c>
      <c r="D10619" s="2" t="s">
        <v>78</v>
      </c>
      <c r="E10619" s="2" t="str">
        <f>"9783030674977"</f>
        <v>9783030674977</v>
      </c>
      <c r="F10619" s="2" t="str">
        <f>"9783030674984"</f>
        <v>9783030674984</v>
      </c>
    </row>
    <row r="10620" spans="1:6" s="3" customFormat="1" ht="29.1" customHeight="1" x14ac:dyDescent="0.25">
      <c r="A10620" s="2" t="s">
        <v>21715</v>
      </c>
      <c r="B10620" s="2" t="s">
        <v>21716</v>
      </c>
      <c r="C10620" s="2" t="s">
        <v>5</v>
      </c>
      <c r="D10620" s="2" t="s">
        <v>78</v>
      </c>
      <c r="E10620" s="2" t="str">
        <f>"9783030673642"</f>
        <v>9783030673642</v>
      </c>
      <c r="F10620" s="2" t="str">
        <f>"9783030673659"</f>
        <v>9783030673659</v>
      </c>
    </row>
    <row r="10621" spans="1:6" s="3" customFormat="1" ht="29.1" customHeight="1" x14ac:dyDescent="0.25">
      <c r="A10621" s="2" t="s">
        <v>21717</v>
      </c>
      <c r="B10621" s="2" t="s">
        <v>21718</v>
      </c>
      <c r="C10621" s="2" t="s">
        <v>5</v>
      </c>
      <c r="D10621" s="2" t="s">
        <v>78</v>
      </c>
      <c r="E10621" s="2" t="str">
        <f>"9783030672836"</f>
        <v>9783030672836</v>
      </c>
      <c r="F10621" s="2" t="str">
        <f>"9783030672843"</f>
        <v>9783030672843</v>
      </c>
    </row>
    <row r="10622" spans="1:6" s="3" customFormat="1" ht="29.1" customHeight="1" x14ac:dyDescent="0.25">
      <c r="A10622" s="2" t="s">
        <v>21719</v>
      </c>
      <c r="B10622" s="2" t="s">
        <v>21720</v>
      </c>
      <c r="C10622" s="2" t="s">
        <v>5</v>
      </c>
      <c r="D10622" s="2" t="s">
        <v>78</v>
      </c>
      <c r="E10622" s="2" t="str">
        <f>"9783030526887"</f>
        <v>9783030526887</v>
      </c>
      <c r="F10622" s="2" t="str">
        <f>"9783030526894"</f>
        <v>9783030526894</v>
      </c>
    </row>
    <row r="10623" spans="1:6" s="3" customFormat="1" ht="29.1" customHeight="1" x14ac:dyDescent="0.25">
      <c r="A10623" s="2" t="s">
        <v>21721</v>
      </c>
      <c r="B10623" s="2" t="s">
        <v>21722</v>
      </c>
      <c r="C10623" s="2" t="s">
        <v>5</v>
      </c>
      <c r="D10623" s="2" t="s">
        <v>297</v>
      </c>
      <c r="E10623" s="2" t="str">
        <f>"9783030428624"</f>
        <v>9783030428624</v>
      </c>
      <c r="F10623" s="2" t="str">
        <f>"9783030428631"</f>
        <v>9783030428631</v>
      </c>
    </row>
    <row r="10624" spans="1:6" s="3" customFormat="1" ht="29.1" customHeight="1" x14ac:dyDescent="0.25">
      <c r="A10624" s="2" t="s">
        <v>21723</v>
      </c>
      <c r="B10624" s="2" t="s">
        <v>21724</v>
      </c>
      <c r="C10624" s="2" t="s">
        <v>5</v>
      </c>
      <c r="D10624" s="2" t="s">
        <v>297</v>
      </c>
      <c r="E10624" s="2" t="str">
        <f>"9783030422035"</f>
        <v>9783030422035</v>
      </c>
      <c r="F10624" s="2" t="str">
        <f>"9783030422042"</f>
        <v>9783030422042</v>
      </c>
    </row>
    <row r="10625" spans="1:6" s="3" customFormat="1" ht="29.1" customHeight="1" x14ac:dyDescent="0.25">
      <c r="A10625" s="2" t="s">
        <v>21725</v>
      </c>
      <c r="B10625" s="2" t="s">
        <v>21726</v>
      </c>
      <c r="C10625" s="2" t="s">
        <v>5</v>
      </c>
      <c r="D10625" s="2" t="s">
        <v>78</v>
      </c>
      <c r="E10625" s="2" t="str">
        <f>"9783030416935"</f>
        <v>9783030416935</v>
      </c>
      <c r="F10625" s="2" t="str">
        <f>"9783030416942"</f>
        <v>9783030416942</v>
      </c>
    </row>
    <row r="10626" spans="1:6" s="3" customFormat="1" ht="29.1" customHeight="1" x14ac:dyDescent="0.25">
      <c r="A10626" s="2" t="s">
        <v>21727</v>
      </c>
      <c r="B10626" s="2" t="s">
        <v>21728</v>
      </c>
      <c r="C10626" s="2" t="s">
        <v>5</v>
      </c>
      <c r="D10626" s="2" t="s">
        <v>78</v>
      </c>
      <c r="E10626" s="2" t="str">
        <f>"9783030409029"</f>
        <v>9783030409029</v>
      </c>
      <c r="F10626" s="2" t="str">
        <f>"9783030409036"</f>
        <v>9783030409036</v>
      </c>
    </row>
    <row r="10627" spans="1:6" s="3" customFormat="1" ht="29.1" customHeight="1" x14ac:dyDescent="0.25">
      <c r="A10627" s="2" t="s">
        <v>21729</v>
      </c>
      <c r="B10627" s="2" t="s">
        <v>21730</v>
      </c>
      <c r="C10627" s="2" t="s">
        <v>5</v>
      </c>
      <c r="D10627" s="2" t="s">
        <v>78</v>
      </c>
      <c r="E10627" s="2" t="str">
        <f>"9783030343231"</f>
        <v>9783030343231</v>
      </c>
      <c r="F10627" s="2" t="str">
        <f>"9783030343248"</f>
        <v>9783030343248</v>
      </c>
    </row>
    <row r="10628" spans="1:6" s="3" customFormat="1" ht="29.1" customHeight="1" x14ac:dyDescent="0.25">
      <c r="A10628" s="2" t="s">
        <v>21731</v>
      </c>
      <c r="B10628" s="2" t="s">
        <v>21732</v>
      </c>
      <c r="C10628" s="2" t="s">
        <v>5</v>
      </c>
      <c r="D10628" s="2" t="s">
        <v>78</v>
      </c>
      <c r="E10628" s="2" t="str">
        <f>"9783030256654"</f>
        <v>9783030256654</v>
      </c>
      <c r="F10628" s="2" t="str">
        <f>"9783030256661"</f>
        <v>9783030256661</v>
      </c>
    </row>
    <row r="10629" spans="1:6" s="3" customFormat="1" ht="29.1" customHeight="1" x14ac:dyDescent="0.25">
      <c r="A10629" s="2" t="s">
        <v>21733</v>
      </c>
      <c r="B10629" s="2" t="s">
        <v>21734</v>
      </c>
      <c r="C10629" s="2" t="s">
        <v>5</v>
      </c>
      <c r="D10629" s="2" t="s">
        <v>78</v>
      </c>
      <c r="E10629" s="2" t="str">
        <f>"9783030250881"</f>
        <v>9783030250881</v>
      </c>
      <c r="F10629" s="2" t="str">
        <f>"9783030250898"</f>
        <v>9783030250898</v>
      </c>
    </row>
    <row r="10630" spans="1:6" s="3" customFormat="1" ht="29.1" customHeight="1" x14ac:dyDescent="0.25">
      <c r="A10630" s="2" t="s">
        <v>21735</v>
      </c>
      <c r="B10630" s="2" t="s">
        <v>21736</v>
      </c>
      <c r="C10630" s="2" t="s">
        <v>5</v>
      </c>
      <c r="D10630" s="2" t="s">
        <v>78</v>
      </c>
      <c r="E10630" s="2" t="str">
        <f>"9783030211219"</f>
        <v>9783030211219</v>
      </c>
      <c r="F10630" s="2" t="str">
        <f>"9783030211226"</f>
        <v>9783030211226</v>
      </c>
    </row>
    <row r="10631" spans="1:6" s="3" customFormat="1" ht="29.1" customHeight="1" x14ac:dyDescent="0.25">
      <c r="A10631" s="2" t="s">
        <v>21737</v>
      </c>
      <c r="B10631" s="2" t="s">
        <v>21738</v>
      </c>
      <c r="C10631" s="2" t="s">
        <v>5</v>
      </c>
      <c r="D10631" s="2" t="s">
        <v>78</v>
      </c>
      <c r="E10631" s="2" t="str">
        <f>"9783030151331"</f>
        <v>9783030151331</v>
      </c>
      <c r="F10631" s="2" t="str">
        <f>"9783030151348"</f>
        <v>9783030151348</v>
      </c>
    </row>
    <row r="10632" spans="1:6" s="3" customFormat="1" ht="29.1" customHeight="1" x14ac:dyDescent="0.25">
      <c r="A10632" s="2" t="s">
        <v>21739</v>
      </c>
      <c r="B10632" s="2" t="s">
        <v>21740</v>
      </c>
      <c r="C10632" s="2" t="s">
        <v>5</v>
      </c>
      <c r="D10632" s="2" t="s">
        <v>78</v>
      </c>
      <c r="E10632" s="2" t="str">
        <f>"9783030120917"</f>
        <v>9783030120917</v>
      </c>
      <c r="F10632" s="2" t="str">
        <f>"9783030120924"</f>
        <v>9783030120924</v>
      </c>
    </row>
    <row r="10633" spans="1:6" s="3" customFormat="1" ht="29.1" customHeight="1" x14ac:dyDescent="0.25">
      <c r="A10633" s="2" t="s">
        <v>21741</v>
      </c>
      <c r="B10633" s="2" t="s">
        <v>21742</v>
      </c>
      <c r="C10633" s="2" t="s">
        <v>5</v>
      </c>
      <c r="D10633" s="2" t="s">
        <v>78</v>
      </c>
      <c r="E10633" s="2" t="str">
        <f>"9783030120870"</f>
        <v>9783030120870</v>
      </c>
      <c r="F10633" s="2" t="str">
        <f>"9783030120887"</f>
        <v>9783030120887</v>
      </c>
    </row>
    <row r="10634" spans="1:6" s="3" customFormat="1" ht="29.1" customHeight="1" x14ac:dyDescent="0.25">
      <c r="A10634" s="2" t="s">
        <v>21743</v>
      </c>
      <c r="B10634" s="2" t="s">
        <v>21744</v>
      </c>
      <c r="C10634" s="2" t="s">
        <v>5</v>
      </c>
      <c r="D10634" s="2" t="s">
        <v>78</v>
      </c>
      <c r="E10634" s="2" t="str">
        <f>"9783030117894"</f>
        <v>9783030117894</v>
      </c>
      <c r="F10634" s="2" t="str">
        <f>"9783030117900"</f>
        <v>9783030117900</v>
      </c>
    </row>
    <row r="10635" spans="1:6" s="3" customFormat="1" ht="29.1" customHeight="1" x14ac:dyDescent="0.25">
      <c r="A10635" s="2" t="s">
        <v>21745</v>
      </c>
      <c r="B10635" s="2" t="s">
        <v>21746</v>
      </c>
      <c r="C10635" s="2" t="s">
        <v>5</v>
      </c>
      <c r="D10635" s="2" t="s">
        <v>78</v>
      </c>
      <c r="E10635" s="2" t="str">
        <f>"9783030113728"</f>
        <v>9783030113728</v>
      </c>
      <c r="F10635" s="2" t="str">
        <f>"9783030113735"</f>
        <v>9783030113735</v>
      </c>
    </row>
    <row r="10636" spans="1:6" s="3" customFormat="1" ht="29.1" customHeight="1" x14ac:dyDescent="0.25">
      <c r="A10636" s="2" t="s">
        <v>21747</v>
      </c>
      <c r="B10636" s="2" t="s">
        <v>21748</v>
      </c>
      <c r="C10636" s="2" t="s">
        <v>5</v>
      </c>
      <c r="D10636" s="2" t="s">
        <v>78</v>
      </c>
      <c r="E10636" s="2" t="str">
        <f>"9783030056704"</f>
        <v>9783030056704</v>
      </c>
      <c r="F10636" s="2" t="str">
        <f>"9783030056711"</f>
        <v>9783030056711</v>
      </c>
    </row>
    <row r="10637" spans="1:6" s="3" customFormat="1" ht="29.1" customHeight="1" x14ac:dyDescent="0.25">
      <c r="A10637" s="2" t="s">
        <v>21749</v>
      </c>
      <c r="B10637" s="2" t="s">
        <v>21750</v>
      </c>
      <c r="C10637" s="2" t="s">
        <v>5</v>
      </c>
      <c r="D10637" s="2" t="s">
        <v>78</v>
      </c>
      <c r="E10637" s="2" t="str">
        <f>"9783319995953"</f>
        <v>9783319995953</v>
      </c>
      <c r="F10637" s="2" t="str">
        <f>"9783319995960"</f>
        <v>9783319995960</v>
      </c>
    </row>
    <row r="10638" spans="1:6" s="3" customFormat="1" ht="29.1" customHeight="1" x14ac:dyDescent="0.25">
      <c r="A10638" s="2" t="s">
        <v>21751</v>
      </c>
      <c r="B10638" s="2" t="s">
        <v>21752</v>
      </c>
      <c r="C10638" s="2" t="s">
        <v>5</v>
      </c>
      <c r="D10638" s="2" t="s">
        <v>78</v>
      </c>
      <c r="E10638" s="2" t="str">
        <f>"9783319960401"</f>
        <v>9783319960401</v>
      </c>
      <c r="F10638" s="2" t="str">
        <f>"9783319960418"</f>
        <v>9783319960418</v>
      </c>
    </row>
    <row r="10639" spans="1:6" s="3" customFormat="1" ht="29.1" customHeight="1" x14ac:dyDescent="0.25">
      <c r="A10639" s="2" t="s">
        <v>21753</v>
      </c>
      <c r="B10639" s="2" t="s">
        <v>21754</v>
      </c>
      <c r="C10639" s="2" t="s">
        <v>5</v>
      </c>
      <c r="D10639" s="2" t="s">
        <v>78</v>
      </c>
      <c r="E10639" s="2" t="str">
        <f>"9783319956596"</f>
        <v>9783319956596</v>
      </c>
      <c r="F10639" s="2" t="str">
        <f>"9783319956602"</f>
        <v>9783319956602</v>
      </c>
    </row>
    <row r="10640" spans="1:6" s="3" customFormat="1" ht="29.1" customHeight="1" x14ac:dyDescent="0.25">
      <c r="A10640" s="2" t="s">
        <v>21755</v>
      </c>
      <c r="B10640" s="2" t="s">
        <v>20075</v>
      </c>
      <c r="C10640" s="2" t="s">
        <v>5</v>
      </c>
      <c r="D10640" s="2" t="s">
        <v>270</v>
      </c>
      <c r="E10640" s="2" t="str">
        <f>"9783319927183"</f>
        <v>9783319927183</v>
      </c>
      <c r="F10640" s="2" t="str">
        <f>"9783319927190"</f>
        <v>9783319927190</v>
      </c>
    </row>
    <row r="10641" spans="1:6" s="3" customFormat="1" ht="29.1" customHeight="1" x14ac:dyDescent="0.25">
      <c r="A10641" s="2" t="s">
        <v>21756</v>
      </c>
      <c r="B10641" s="2" t="s">
        <v>21757</v>
      </c>
      <c r="C10641" s="2" t="s">
        <v>5</v>
      </c>
      <c r="D10641" s="2" t="s">
        <v>78</v>
      </c>
      <c r="E10641" s="2" t="str">
        <f>"9783319768601"</f>
        <v>9783319768601</v>
      </c>
      <c r="F10641" s="2" t="str">
        <f>"9783319768618"</f>
        <v>9783319768618</v>
      </c>
    </row>
    <row r="10642" spans="1:6" s="3" customFormat="1" ht="29.1" customHeight="1" x14ac:dyDescent="0.25">
      <c r="A10642" s="2" t="s">
        <v>21758</v>
      </c>
      <c r="B10642" s="2" t="s">
        <v>21759</v>
      </c>
      <c r="C10642" s="2" t="s">
        <v>5</v>
      </c>
      <c r="D10642" s="2" t="s">
        <v>78</v>
      </c>
      <c r="E10642" s="2" t="str">
        <f>"9783319746951"</f>
        <v>9783319746951</v>
      </c>
      <c r="F10642" s="2" t="str">
        <f>"9783319746968"</f>
        <v>9783319746968</v>
      </c>
    </row>
    <row r="10643" spans="1:6" s="3" customFormat="1" ht="29.1" customHeight="1" x14ac:dyDescent="0.25">
      <c r="A10643" s="2" t="s">
        <v>21760</v>
      </c>
      <c r="B10643" s="2" t="s">
        <v>21761</v>
      </c>
      <c r="C10643" s="2" t="s">
        <v>5</v>
      </c>
      <c r="D10643" s="2" t="s">
        <v>78</v>
      </c>
      <c r="E10643" s="2" t="str">
        <f>"9783319649757"</f>
        <v>9783319649757</v>
      </c>
      <c r="F10643" s="2" t="str">
        <f>"9783319649764"</f>
        <v>9783319649764</v>
      </c>
    </row>
    <row r="10644" spans="1:6" s="3" customFormat="1" ht="29.1" customHeight="1" x14ac:dyDescent="0.25">
      <c r="A10644" s="2" t="s">
        <v>21762</v>
      </c>
      <c r="B10644" s="2" t="s">
        <v>21763</v>
      </c>
      <c r="C10644" s="2" t="s">
        <v>5</v>
      </c>
      <c r="D10644" s="2" t="s">
        <v>78</v>
      </c>
      <c r="E10644" s="2" t="str">
        <f>"9783319446080"</f>
        <v>9783319446080</v>
      </c>
      <c r="F10644" s="2" t="str">
        <f>"9783319446103"</f>
        <v>9783319446103</v>
      </c>
    </row>
    <row r="10645" spans="1:6" s="3" customFormat="1" ht="29.1" customHeight="1" x14ac:dyDescent="0.25">
      <c r="A10645" s="2" t="s">
        <v>21764</v>
      </c>
      <c r="B10645" s="2" t="s">
        <v>21765</v>
      </c>
      <c r="C10645" s="2" t="s">
        <v>5</v>
      </c>
      <c r="D10645" s="2" t="s">
        <v>78</v>
      </c>
      <c r="E10645" s="2" t="str">
        <f>"9783319397610"</f>
        <v>9783319397610</v>
      </c>
      <c r="F10645" s="2" t="str">
        <f>"9783319397634"</f>
        <v>9783319397634</v>
      </c>
    </row>
    <row r="10646" spans="1:6" s="3" customFormat="1" ht="29.1" customHeight="1" x14ac:dyDescent="0.25">
      <c r="A10646" s="2" t="s">
        <v>21766</v>
      </c>
      <c r="B10646" s="2" t="s">
        <v>21767</v>
      </c>
      <c r="C10646" s="2" t="s">
        <v>5</v>
      </c>
      <c r="D10646" s="2" t="s">
        <v>78</v>
      </c>
      <c r="E10646" s="2" t="str">
        <f>"9783319230955"</f>
        <v>9783319230955</v>
      </c>
      <c r="F10646" s="2" t="str">
        <f>"9783319230962"</f>
        <v>9783319230962</v>
      </c>
    </row>
    <row r="10647" spans="1:6" s="3" customFormat="1" ht="29.1" customHeight="1" x14ac:dyDescent="0.25">
      <c r="A10647" s="2" t="s">
        <v>21768</v>
      </c>
      <c r="B10647" s="2" t="s">
        <v>21769</v>
      </c>
      <c r="C10647" s="2" t="s">
        <v>5</v>
      </c>
      <c r="D10647" s="2" t="s">
        <v>78</v>
      </c>
      <c r="E10647" s="2" t="str">
        <f>"9783319216737"</f>
        <v>9783319216737</v>
      </c>
      <c r="F10647" s="2" t="str">
        <f>"9783319216744"</f>
        <v>9783319216744</v>
      </c>
    </row>
    <row r="10648" spans="1:6" s="3" customFormat="1" ht="29.1" customHeight="1" x14ac:dyDescent="0.25">
      <c r="A10648" s="2" t="s">
        <v>21770</v>
      </c>
      <c r="B10648" s="2" t="s">
        <v>21771</v>
      </c>
      <c r="C10648" s="2" t="s">
        <v>5</v>
      </c>
      <c r="D10648" s="2" t="s">
        <v>78</v>
      </c>
      <c r="E10648" s="2" t="str">
        <f>"9783319200941"</f>
        <v>9783319200941</v>
      </c>
      <c r="F10648" s="2" t="str">
        <f>"9783319200958"</f>
        <v>9783319200958</v>
      </c>
    </row>
    <row r="10649" spans="1:6" s="3" customFormat="1" ht="29.1" customHeight="1" x14ac:dyDescent="0.25">
      <c r="A10649" s="2" t="s">
        <v>21772</v>
      </c>
      <c r="B10649" s="2" t="s">
        <v>21773</v>
      </c>
      <c r="C10649" s="2" t="s">
        <v>5</v>
      </c>
      <c r="D10649" s="2" t="s">
        <v>78</v>
      </c>
      <c r="E10649" s="2" t="str">
        <f>"9783319162553"</f>
        <v>9783319162553</v>
      </c>
      <c r="F10649" s="2" t="str">
        <f>"9783319162560"</f>
        <v>9783319162560</v>
      </c>
    </row>
    <row r="10650" spans="1:6" s="3" customFormat="1" ht="29.1" customHeight="1" x14ac:dyDescent="0.25">
      <c r="A10650" s="2" t="s">
        <v>21774</v>
      </c>
      <c r="B10650" s="2" t="s">
        <v>21775</v>
      </c>
      <c r="C10650" s="2" t="s">
        <v>5</v>
      </c>
      <c r="D10650" s="2" t="s">
        <v>78</v>
      </c>
      <c r="E10650" s="2" t="str">
        <f>"9783319137186"</f>
        <v>9783319137186</v>
      </c>
      <c r="F10650" s="2" t="str">
        <f>"9783319137193"</f>
        <v>9783319137193</v>
      </c>
    </row>
    <row r="10651" spans="1:6" s="3" customFormat="1" ht="29.1" customHeight="1" x14ac:dyDescent="0.25">
      <c r="A10651" s="2" t="s">
        <v>21776</v>
      </c>
      <c r="B10651" s="2" t="s">
        <v>21777</v>
      </c>
      <c r="C10651" s="2" t="s">
        <v>5</v>
      </c>
      <c r="D10651" s="2" t="s">
        <v>78</v>
      </c>
      <c r="E10651" s="2" t="str">
        <f>"9783319130231"</f>
        <v>9783319130231</v>
      </c>
      <c r="F10651" s="2" t="str">
        <f>"9783319130248"</f>
        <v>9783319130248</v>
      </c>
    </row>
    <row r="10652" spans="1:6" s="3" customFormat="1" ht="29.1" customHeight="1" x14ac:dyDescent="0.25">
      <c r="A10652" s="2" t="s">
        <v>21778</v>
      </c>
      <c r="B10652" s="2"/>
      <c r="C10652" s="2" t="s">
        <v>5</v>
      </c>
      <c r="D10652" s="2" t="s">
        <v>12</v>
      </c>
      <c r="E10652" s="2" t="str">
        <f>"9789811666902"</f>
        <v>9789811666902</v>
      </c>
      <c r="F10652" s="2" t="str">
        <f>"9789811666919"</f>
        <v>9789811666919</v>
      </c>
    </row>
    <row r="10653" spans="1:6" s="3" customFormat="1" ht="29.1" customHeight="1" x14ac:dyDescent="0.25">
      <c r="A10653" s="2" t="s">
        <v>21779</v>
      </c>
      <c r="B10653" s="2" t="s">
        <v>21780</v>
      </c>
      <c r="C10653" s="2" t="s">
        <v>5</v>
      </c>
      <c r="D10653" s="2" t="s">
        <v>553</v>
      </c>
      <c r="E10653" s="2" t="str">
        <f>"9783319129181"</f>
        <v>9783319129181</v>
      </c>
      <c r="F10653" s="2" t="str">
        <f>"9783319129198"</f>
        <v>9783319129198</v>
      </c>
    </row>
    <row r="10654" spans="1:6" s="3" customFormat="1" ht="29.1" customHeight="1" x14ac:dyDescent="0.25">
      <c r="A10654" s="2" t="s">
        <v>21781</v>
      </c>
      <c r="B10654" s="2" t="s">
        <v>21782</v>
      </c>
      <c r="C10654" s="2" t="s">
        <v>5</v>
      </c>
      <c r="D10654" s="2" t="s">
        <v>2168</v>
      </c>
      <c r="E10654" s="2" t="str">
        <f>"9789812872838"</f>
        <v>9789812872838</v>
      </c>
      <c r="F10654" s="2" t="str">
        <f>"9789812872845"</f>
        <v>9789812872845</v>
      </c>
    </row>
    <row r="10655" spans="1:6" s="3" customFormat="1" ht="29.1" customHeight="1" x14ac:dyDescent="0.25">
      <c r="A10655" s="2" t="s">
        <v>21783</v>
      </c>
      <c r="B10655" s="2" t="s">
        <v>21784</v>
      </c>
      <c r="C10655" s="2" t="s">
        <v>5</v>
      </c>
      <c r="D10655" s="2" t="s">
        <v>294</v>
      </c>
      <c r="E10655" s="2" t="str">
        <f>"9789811657269"</f>
        <v>9789811657269</v>
      </c>
      <c r="F10655" s="2" t="str">
        <f>"9789811657276"</f>
        <v>9789811657276</v>
      </c>
    </row>
    <row r="10656" spans="1:6" s="3" customFormat="1" ht="29.1" customHeight="1" x14ac:dyDescent="0.25">
      <c r="A10656" s="2" t="s">
        <v>21785</v>
      </c>
      <c r="B10656" s="2" t="s">
        <v>21786</v>
      </c>
      <c r="C10656" s="2" t="s">
        <v>5</v>
      </c>
      <c r="D10656" s="2" t="s">
        <v>350</v>
      </c>
      <c r="E10656" s="2" t="str">
        <f>"9789811569630"</f>
        <v>9789811569630</v>
      </c>
      <c r="F10656" s="2" t="str">
        <f>"9789811569647"</f>
        <v>9789811569647</v>
      </c>
    </row>
    <row r="10657" spans="1:6" s="3" customFormat="1" ht="29.1" customHeight="1" x14ac:dyDescent="0.25">
      <c r="A10657" s="2" t="s">
        <v>21787</v>
      </c>
      <c r="B10657" s="2" t="s">
        <v>21788</v>
      </c>
      <c r="C10657" s="2" t="s">
        <v>5</v>
      </c>
      <c r="D10657" s="2" t="s">
        <v>104</v>
      </c>
      <c r="E10657" s="2" t="str">
        <f>"9789811533754"</f>
        <v>9789811533754</v>
      </c>
      <c r="F10657" s="2" t="str">
        <f>"9789811533761"</f>
        <v>9789811533761</v>
      </c>
    </row>
    <row r="10658" spans="1:6" s="3" customFormat="1" ht="29.1" customHeight="1" x14ac:dyDescent="0.25">
      <c r="A10658" s="2" t="s">
        <v>21789</v>
      </c>
      <c r="B10658" s="2" t="s">
        <v>21790</v>
      </c>
      <c r="C10658" s="2" t="s">
        <v>5</v>
      </c>
      <c r="D10658" s="2" t="s">
        <v>2005</v>
      </c>
      <c r="E10658" s="2" t="str">
        <f>"9789811519864"</f>
        <v>9789811519864</v>
      </c>
      <c r="F10658" s="2" t="str">
        <f>"9789811519871"</f>
        <v>9789811519871</v>
      </c>
    </row>
    <row r="10659" spans="1:6" s="3" customFormat="1" ht="29.1" customHeight="1" x14ac:dyDescent="0.25">
      <c r="A10659" s="2" t="s">
        <v>21791</v>
      </c>
      <c r="B10659" s="2" t="s">
        <v>21792</v>
      </c>
      <c r="C10659" s="2" t="s">
        <v>5</v>
      </c>
      <c r="D10659" s="2" t="s">
        <v>4739</v>
      </c>
      <c r="E10659" s="2" t="str">
        <f>"9783658426415"</f>
        <v>9783658426415</v>
      </c>
      <c r="F10659" s="2" t="str">
        <f>"9783658426422"</f>
        <v>9783658426422</v>
      </c>
    </row>
    <row r="10660" spans="1:6" s="3" customFormat="1" ht="29.1" customHeight="1" x14ac:dyDescent="0.25">
      <c r="A10660" s="2" t="s">
        <v>21793</v>
      </c>
      <c r="B10660" s="2" t="s">
        <v>21794</v>
      </c>
      <c r="C10660" s="2" t="s">
        <v>5</v>
      </c>
      <c r="D10660" s="2" t="s">
        <v>4739</v>
      </c>
      <c r="E10660" s="2" t="str">
        <f>"9783658383862"</f>
        <v>9783658383862</v>
      </c>
      <c r="F10660" s="2" t="str">
        <f>"9783658383879"</f>
        <v>9783658383879</v>
      </c>
    </row>
    <row r="10661" spans="1:6" s="3" customFormat="1" ht="29.1" customHeight="1" x14ac:dyDescent="0.25">
      <c r="A10661" s="2" t="s">
        <v>21795</v>
      </c>
      <c r="B10661" s="2" t="s">
        <v>21796</v>
      </c>
      <c r="C10661" s="2" t="s">
        <v>5</v>
      </c>
      <c r="D10661" s="2" t="s">
        <v>4739</v>
      </c>
      <c r="E10661" s="2" t="str">
        <f>"9783658371791"</f>
        <v>9783658371791</v>
      </c>
      <c r="F10661" s="2" t="str">
        <f>"9783658371807"</f>
        <v>9783658371807</v>
      </c>
    </row>
    <row r="10662" spans="1:6" s="3" customFormat="1" ht="29.1" customHeight="1" x14ac:dyDescent="0.25">
      <c r="A10662" s="2" t="s">
        <v>21797</v>
      </c>
      <c r="B10662" s="2" t="s">
        <v>21798</v>
      </c>
      <c r="C10662" s="2" t="s">
        <v>5</v>
      </c>
      <c r="D10662" s="2" t="s">
        <v>4739</v>
      </c>
      <c r="E10662" s="2" t="str">
        <f>"9783658339807"</f>
        <v>9783658339807</v>
      </c>
      <c r="F10662" s="2" t="str">
        <f>"9783658339814"</f>
        <v>9783658339814</v>
      </c>
    </row>
    <row r="10663" spans="1:6" s="3" customFormat="1" ht="29.1" customHeight="1" x14ac:dyDescent="0.25">
      <c r="A10663" s="2" t="s">
        <v>21799</v>
      </c>
      <c r="B10663" s="2" t="s">
        <v>21800</v>
      </c>
      <c r="C10663" s="2" t="s">
        <v>5</v>
      </c>
      <c r="D10663" s="2" t="s">
        <v>4739</v>
      </c>
      <c r="E10663" s="2" t="str">
        <f>"9783658330026"</f>
        <v>9783658330026</v>
      </c>
      <c r="F10663" s="2" t="str">
        <f>"9783658330033"</f>
        <v>9783658330033</v>
      </c>
    </row>
    <row r="10664" spans="1:6" s="3" customFormat="1" ht="29.1" customHeight="1" x14ac:dyDescent="0.25">
      <c r="A10664" s="2" t="s">
        <v>21801</v>
      </c>
      <c r="B10664" s="2" t="s">
        <v>21802</v>
      </c>
      <c r="C10664" s="2" t="s">
        <v>5</v>
      </c>
      <c r="D10664" s="2" t="s">
        <v>11603</v>
      </c>
      <c r="E10664" s="2" t="str">
        <f>"9783030978327"</f>
        <v>9783030978327</v>
      </c>
      <c r="F10664" s="2" t="str">
        <f>"9783030978334"</f>
        <v>9783030978334</v>
      </c>
    </row>
    <row r="10665" spans="1:6" s="3" customFormat="1" ht="29.1" customHeight="1" x14ac:dyDescent="0.25">
      <c r="A10665" s="2" t="s">
        <v>21803</v>
      </c>
      <c r="B10665" s="2" t="s">
        <v>21804</v>
      </c>
      <c r="C10665" s="2" t="s">
        <v>5</v>
      </c>
      <c r="D10665" s="2" t="s">
        <v>547</v>
      </c>
      <c r="E10665" s="2" t="str">
        <f>"9783319120386"</f>
        <v>9783319120386</v>
      </c>
      <c r="F10665" s="2" t="str">
        <f>"9783319120393"</f>
        <v>9783319120393</v>
      </c>
    </row>
    <row r="10666" spans="1:6" s="3" customFormat="1" ht="29.1" customHeight="1" x14ac:dyDescent="0.25">
      <c r="A10666" s="2" t="s">
        <v>21805</v>
      </c>
      <c r="B10666" s="2" t="s">
        <v>21806</v>
      </c>
      <c r="C10666" s="2" t="s">
        <v>5</v>
      </c>
      <c r="D10666" s="2" t="s">
        <v>6</v>
      </c>
      <c r="E10666" s="2" t="str">
        <f>"9783030619084"</f>
        <v>9783030619084</v>
      </c>
      <c r="F10666" s="2" t="str">
        <f>"9783030619091"</f>
        <v>9783030619091</v>
      </c>
    </row>
    <row r="10667" spans="1:6" s="3" customFormat="1" ht="29.1" customHeight="1" x14ac:dyDescent="0.25">
      <c r="A10667" s="2" t="s">
        <v>21807</v>
      </c>
      <c r="B10667" s="2" t="s">
        <v>21808</v>
      </c>
      <c r="C10667" s="2" t="s">
        <v>5</v>
      </c>
      <c r="D10667" s="2" t="s">
        <v>2861</v>
      </c>
      <c r="E10667" s="2" t="str">
        <f>"9783030202484"</f>
        <v>9783030202484</v>
      </c>
      <c r="F10667" s="2" t="str">
        <f>"9783030202491"</f>
        <v>9783030202491</v>
      </c>
    </row>
    <row r="10668" spans="1:6" s="3" customFormat="1" ht="29.1" customHeight="1" x14ac:dyDescent="0.25">
      <c r="A10668" s="2" t="s">
        <v>21809</v>
      </c>
      <c r="B10668" s="2" t="s">
        <v>21810</v>
      </c>
      <c r="C10668" s="2" t="s">
        <v>5</v>
      </c>
      <c r="D10668" s="2" t="s">
        <v>459</v>
      </c>
      <c r="E10668" s="2" t="str">
        <f>"9783319726038"</f>
        <v>9783319726038</v>
      </c>
      <c r="F10668" s="2" t="str">
        <f>"9783319726045"</f>
        <v>9783319726045</v>
      </c>
    </row>
    <row r="10669" spans="1:6" s="3" customFormat="1" ht="29.1" customHeight="1" x14ac:dyDescent="0.25">
      <c r="A10669" s="2" t="s">
        <v>21811</v>
      </c>
      <c r="B10669" s="2" t="s">
        <v>21812</v>
      </c>
      <c r="C10669" s="2" t="s">
        <v>5</v>
      </c>
      <c r="D10669" s="2" t="s">
        <v>52</v>
      </c>
      <c r="E10669" s="2" t="str">
        <f>"9783031090158"</f>
        <v>9783031090158</v>
      </c>
      <c r="F10669" s="2" t="str">
        <f>"9783031090165"</f>
        <v>9783031090165</v>
      </c>
    </row>
    <row r="10670" spans="1:6" s="3" customFormat="1" ht="29.1" customHeight="1" x14ac:dyDescent="0.25">
      <c r="A10670" s="2" t="s">
        <v>21813</v>
      </c>
      <c r="B10670" s="2" t="s">
        <v>21814</v>
      </c>
      <c r="C10670" s="2" t="s">
        <v>5</v>
      </c>
      <c r="D10670" s="2" t="s">
        <v>12</v>
      </c>
      <c r="E10670" s="2" t="str">
        <f>"9783319104249"</f>
        <v>9783319104249</v>
      </c>
      <c r="F10670" s="2" t="str">
        <f>"9783319104256"</f>
        <v>9783319104256</v>
      </c>
    </row>
    <row r="10671" spans="1:6" s="3" customFormat="1" ht="29.1" customHeight="1" x14ac:dyDescent="0.25">
      <c r="A10671" s="2" t="s">
        <v>21815</v>
      </c>
      <c r="B10671" s="2" t="s">
        <v>21816</v>
      </c>
      <c r="C10671" s="2" t="s">
        <v>5</v>
      </c>
      <c r="D10671" s="2" t="s">
        <v>4783</v>
      </c>
      <c r="E10671" s="2" t="str">
        <f>"9783319099903"</f>
        <v>9783319099903</v>
      </c>
      <c r="F10671" s="2" t="str">
        <f>"9783319099910"</f>
        <v>9783319099910</v>
      </c>
    </row>
    <row r="10672" spans="1:6" s="3" customFormat="1" ht="29.1" customHeight="1" x14ac:dyDescent="0.25">
      <c r="A10672" s="2" t="s">
        <v>21817</v>
      </c>
      <c r="B10672" s="2" t="s">
        <v>21818</v>
      </c>
      <c r="C10672" s="2" t="s">
        <v>5</v>
      </c>
      <c r="D10672" s="2" t="s">
        <v>479</v>
      </c>
      <c r="E10672" s="2" t="str">
        <f>"9783030139575"</f>
        <v>9783030139575</v>
      </c>
      <c r="F10672" s="2" t="str">
        <f>"9783030139582"</f>
        <v>9783030139582</v>
      </c>
    </row>
    <row r="10673" spans="1:6" s="3" customFormat="1" ht="29.1" customHeight="1" x14ac:dyDescent="0.25">
      <c r="A10673" s="2" t="s">
        <v>21819</v>
      </c>
      <c r="B10673" s="2" t="s">
        <v>21820</v>
      </c>
      <c r="C10673" s="2" t="s">
        <v>5</v>
      </c>
      <c r="D10673" s="2" t="s">
        <v>1130</v>
      </c>
      <c r="E10673" s="2" t="str">
        <f>"9783658361600"</f>
        <v>9783658361600</v>
      </c>
      <c r="F10673" s="2" t="str">
        <f>"9783658361617"</f>
        <v>9783658361617</v>
      </c>
    </row>
    <row r="10674" spans="1:6" s="3" customFormat="1" ht="29.1" customHeight="1" x14ac:dyDescent="0.25">
      <c r="A10674" s="2" t="s">
        <v>21821</v>
      </c>
      <c r="B10674" s="2" t="s">
        <v>21822</v>
      </c>
      <c r="C10674" s="2" t="s">
        <v>5</v>
      </c>
      <c r="D10674" s="2" t="s">
        <v>69</v>
      </c>
      <c r="E10674" s="2" t="str">
        <f>"9783658246051"</f>
        <v>9783658246051</v>
      </c>
      <c r="F10674" s="2" t="str">
        <f>"9783658246068"</f>
        <v>9783658246068</v>
      </c>
    </row>
    <row r="10675" spans="1:6" s="3" customFormat="1" ht="29.1" customHeight="1" x14ac:dyDescent="0.25">
      <c r="A10675" s="2" t="s">
        <v>21823</v>
      </c>
      <c r="B10675" s="2" t="s">
        <v>21824</v>
      </c>
      <c r="C10675" s="2" t="s">
        <v>5</v>
      </c>
      <c r="D10675" s="2" t="s">
        <v>321</v>
      </c>
      <c r="E10675" s="2" t="str">
        <f>"9783658061944"</f>
        <v>9783658061944</v>
      </c>
      <c r="F10675" s="2" t="str">
        <f>"9783658064303"</f>
        <v>9783658064303</v>
      </c>
    </row>
    <row r="10676" spans="1:6" s="3" customFormat="1" ht="29.1" customHeight="1" x14ac:dyDescent="0.25">
      <c r="A10676" s="2" t="s">
        <v>21825</v>
      </c>
      <c r="B10676" s="2" t="s">
        <v>21826</v>
      </c>
      <c r="C10676" s="2" t="s">
        <v>5</v>
      </c>
      <c r="D10676" s="2" t="s">
        <v>3052</v>
      </c>
      <c r="E10676" s="2" t="str">
        <f>"9783319925301"</f>
        <v>9783319925301</v>
      </c>
      <c r="F10676" s="2" t="str">
        <f>"9783319925318"</f>
        <v>9783319925318</v>
      </c>
    </row>
    <row r="10677" spans="1:6" s="3" customFormat="1" ht="29.1" customHeight="1" x14ac:dyDescent="0.25">
      <c r="A10677" s="2" t="s">
        <v>21827</v>
      </c>
      <c r="B10677" s="2" t="s">
        <v>21828</v>
      </c>
      <c r="C10677" s="2" t="s">
        <v>5</v>
      </c>
      <c r="D10677" s="2" t="s">
        <v>3052</v>
      </c>
      <c r="E10677" s="2" t="str">
        <f>"9783319086040"</f>
        <v>9783319086040</v>
      </c>
      <c r="F10677" s="2" t="str">
        <f>"9783319086057"</f>
        <v>9783319086057</v>
      </c>
    </row>
    <row r="10678" spans="1:6" s="3" customFormat="1" ht="29.1" customHeight="1" x14ac:dyDescent="0.25">
      <c r="A10678" s="2" t="s">
        <v>21829</v>
      </c>
      <c r="B10678" s="2" t="s">
        <v>21830</v>
      </c>
      <c r="C10678" s="2" t="s">
        <v>5</v>
      </c>
      <c r="D10678" s="2" t="s">
        <v>12495</v>
      </c>
      <c r="E10678" s="2" t="str">
        <f>"9784431551102"</f>
        <v>9784431551102</v>
      </c>
      <c r="F10678" s="2" t="str">
        <f>"9784431551119"</f>
        <v>9784431551119</v>
      </c>
    </row>
    <row r="10679" spans="1:6" s="3" customFormat="1" ht="29.1" customHeight="1" x14ac:dyDescent="0.25">
      <c r="A10679" s="2" t="s">
        <v>21831</v>
      </c>
      <c r="B10679" s="2" t="s">
        <v>21832</v>
      </c>
      <c r="C10679" s="2" t="s">
        <v>5</v>
      </c>
      <c r="D10679" s="2" t="s">
        <v>2336</v>
      </c>
      <c r="E10679" s="2" t="str">
        <f>"9783030475758"</f>
        <v>9783030475758</v>
      </c>
      <c r="F10679" s="2" t="str">
        <f>"9783030475765"</f>
        <v>9783030475765</v>
      </c>
    </row>
    <row r="10680" spans="1:6" s="3" customFormat="1" ht="29.1" customHeight="1" x14ac:dyDescent="0.25">
      <c r="A10680" s="2" t="s">
        <v>21833</v>
      </c>
      <c r="B10680" s="2" t="s">
        <v>21834</v>
      </c>
      <c r="C10680" s="2" t="s">
        <v>5</v>
      </c>
      <c r="D10680" s="2" t="s">
        <v>636</v>
      </c>
      <c r="E10680" s="2" t="str">
        <f>"9783319077697"</f>
        <v>9783319077697</v>
      </c>
      <c r="F10680" s="2" t="str">
        <f>"9783319077703"</f>
        <v>9783319077703</v>
      </c>
    </row>
    <row r="10681" spans="1:6" s="3" customFormat="1" ht="29.1" customHeight="1" x14ac:dyDescent="0.25">
      <c r="A10681" s="2" t="s">
        <v>21835</v>
      </c>
      <c r="B10681" s="2" t="s">
        <v>21836</v>
      </c>
      <c r="C10681" s="2" t="s">
        <v>5</v>
      </c>
      <c r="D10681" s="2" t="s">
        <v>2435</v>
      </c>
      <c r="E10681" s="2" t="str">
        <f>"9789811658426"</f>
        <v>9789811658426</v>
      </c>
      <c r="F10681" s="2" t="str">
        <f>"9789811658433"</f>
        <v>9789811658433</v>
      </c>
    </row>
    <row r="10682" spans="1:6" s="3" customFormat="1" ht="29.1" customHeight="1" x14ac:dyDescent="0.25">
      <c r="A10682" s="2" t="s">
        <v>21837</v>
      </c>
      <c r="B10682" s="2" t="s">
        <v>21838</v>
      </c>
      <c r="C10682" s="2" t="s">
        <v>5</v>
      </c>
      <c r="D10682" s="2" t="s">
        <v>270</v>
      </c>
      <c r="E10682" s="2" t="str">
        <f>"9783658418281"</f>
        <v>9783658418281</v>
      </c>
      <c r="F10682" s="2" t="str">
        <f>"9783658418298"</f>
        <v>9783658418298</v>
      </c>
    </row>
    <row r="10683" spans="1:6" s="3" customFormat="1" ht="29.1" customHeight="1" x14ac:dyDescent="0.25">
      <c r="A10683" s="2" t="s">
        <v>21839</v>
      </c>
      <c r="B10683" s="2" t="s">
        <v>21840</v>
      </c>
      <c r="C10683" s="2" t="s">
        <v>5</v>
      </c>
      <c r="D10683" s="2" t="s">
        <v>350</v>
      </c>
      <c r="E10683" s="2" t="str">
        <f>"9783662651292"</f>
        <v>9783662651292</v>
      </c>
      <c r="F10683" s="2" t="str">
        <f>"9783662651308"</f>
        <v>9783662651308</v>
      </c>
    </row>
    <row r="10684" spans="1:6" s="3" customFormat="1" ht="29.1" customHeight="1" x14ac:dyDescent="0.25">
      <c r="A10684" s="2" t="s">
        <v>21841</v>
      </c>
      <c r="B10684" s="2" t="s">
        <v>21842</v>
      </c>
      <c r="C10684" s="2" t="s">
        <v>5</v>
      </c>
      <c r="D10684" s="2" t="s">
        <v>3489</v>
      </c>
      <c r="E10684" s="2" t="str">
        <f>"9783662615836"</f>
        <v>9783662615836</v>
      </c>
      <c r="F10684" s="2" t="str">
        <f>"9783662615843"</f>
        <v>9783662615843</v>
      </c>
    </row>
    <row r="10685" spans="1:6" s="3" customFormat="1" ht="29.1" customHeight="1" x14ac:dyDescent="0.25">
      <c r="A10685" s="2" t="s">
        <v>21843</v>
      </c>
      <c r="B10685" s="2" t="s">
        <v>21844</v>
      </c>
      <c r="C10685" s="2" t="s">
        <v>5</v>
      </c>
      <c r="D10685" s="2" t="s">
        <v>81</v>
      </c>
      <c r="E10685" s="2" t="str">
        <f>"9783030742393"</f>
        <v>9783030742393</v>
      </c>
      <c r="F10685" s="2" t="str">
        <f>"9783030742409"</f>
        <v>9783030742409</v>
      </c>
    </row>
    <row r="10686" spans="1:6" s="3" customFormat="1" ht="29.1" customHeight="1" x14ac:dyDescent="0.25">
      <c r="A10686" s="2" t="s">
        <v>21845</v>
      </c>
      <c r="B10686" s="2" t="s">
        <v>21846</v>
      </c>
      <c r="C10686" s="2" t="s">
        <v>5</v>
      </c>
      <c r="D10686" s="2" t="s">
        <v>81</v>
      </c>
      <c r="E10686" s="2" t="str">
        <f>"9783319730363"</f>
        <v>9783319730363</v>
      </c>
      <c r="F10686" s="2" t="str">
        <f>"9783319730370"</f>
        <v>9783319730370</v>
      </c>
    </row>
    <row r="10687" spans="1:6" s="3" customFormat="1" ht="29.1" customHeight="1" x14ac:dyDescent="0.25">
      <c r="A10687" s="2" t="s">
        <v>21847</v>
      </c>
      <c r="B10687" s="2" t="s">
        <v>21846</v>
      </c>
      <c r="C10687" s="2" t="s">
        <v>5</v>
      </c>
      <c r="D10687" s="2" t="s">
        <v>3963</v>
      </c>
      <c r="E10687" s="2" t="str">
        <f>"9783319424040"</f>
        <v>9783319424040</v>
      </c>
      <c r="F10687" s="2" t="str">
        <f>"9783319424057"</f>
        <v>9783319424057</v>
      </c>
    </row>
    <row r="10688" spans="1:6" s="3" customFormat="1" ht="29.1" customHeight="1" x14ac:dyDescent="0.25">
      <c r="A10688" s="2" t="s">
        <v>21848</v>
      </c>
      <c r="B10688" s="2" t="s">
        <v>21849</v>
      </c>
      <c r="C10688" s="2" t="s">
        <v>5</v>
      </c>
      <c r="D10688" s="2" t="s">
        <v>3817</v>
      </c>
      <c r="E10688" s="2" t="str">
        <f>"9783031309595"</f>
        <v>9783031309595</v>
      </c>
      <c r="F10688" s="2" t="str">
        <f>"9783031309601"</f>
        <v>9783031309601</v>
      </c>
    </row>
    <row r="10689" spans="1:6" s="3" customFormat="1" ht="29.1" customHeight="1" x14ac:dyDescent="0.25">
      <c r="A10689" s="2" t="s">
        <v>21850</v>
      </c>
      <c r="B10689" s="2" t="s">
        <v>21851</v>
      </c>
      <c r="C10689" s="2" t="s">
        <v>5</v>
      </c>
      <c r="D10689" s="2" t="s">
        <v>3817</v>
      </c>
      <c r="E10689" s="2" t="str">
        <f>"9783030639150"</f>
        <v>9783030639150</v>
      </c>
      <c r="F10689" s="2" t="str">
        <f>"9783030639167"</f>
        <v>9783030639167</v>
      </c>
    </row>
    <row r="10690" spans="1:6" s="3" customFormat="1" ht="29.1" customHeight="1" x14ac:dyDescent="0.25">
      <c r="A10690" s="2" t="s">
        <v>21852</v>
      </c>
      <c r="B10690" s="2" t="s">
        <v>21853</v>
      </c>
      <c r="C10690" s="2" t="s">
        <v>5</v>
      </c>
      <c r="D10690" s="2" t="s">
        <v>3817</v>
      </c>
      <c r="E10690" s="2" t="str">
        <f>"9783319934372"</f>
        <v>9783319934372</v>
      </c>
      <c r="F10690" s="2" t="str">
        <f>"9783319934389"</f>
        <v>9783319934389</v>
      </c>
    </row>
    <row r="10691" spans="1:6" s="3" customFormat="1" ht="29.1" customHeight="1" x14ac:dyDescent="0.25">
      <c r="A10691" s="2" t="s">
        <v>21854</v>
      </c>
      <c r="B10691" s="2" t="s">
        <v>21855</v>
      </c>
      <c r="C10691" s="2" t="s">
        <v>5</v>
      </c>
      <c r="D10691" s="2" t="s">
        <v>2260</v>
      </c>
      <c r="E10691" s="2" t="str">
        <f>"9783031376030"</f>
        <v>9783031376030</v>
      </c>
      <c r="F10691" s="2" t="str">
        <f>"9783031376047"</f>
        <v>9783031376047</v>
      </c>
    </row>
    <row r="10692" spans="1:6" s="3" customFormat="1" ht="29.1" customHeight="1" x14ac:dyDescent="0.25">
      <c r="A10692" s="2" t="s">
        <v>21856</v>
      </c>
      <c r="B10692" s="2" t="s">
        <v>21857</v>
      </c>
      <c r="C10692" s="2" t="s">
        <v>5</v>
      </c>
      <c r="D10692" s="2" t="s">
        <v>37</v>
      </c>
      <c r="E10692" s="2" t="str">
        <f>"9783031305504"</f>
        <v>9783031305504</v>
      </c>
      <c r="F10692" s="2" t="str">
        <f>"9783031305511"</f>
        <v>9783031305511</v>
      </c>
    </row>
    <row r="10693" spans="1:6" s="3" customFormat="1" ht="29.1" customHeight="1" x14ac:dyDescent="0.25">
      <c r="A10693" s="2" t="s">
        <v>21858</v>
      </c>
      <c r="B10693" s="2" t="s">
        <v>21859</v>
      </c>
      <c r="C10693" s="2" t="s">
        <v>5</v>
      </c>
      <c r="D10693" s="2" t="s">
        <v>256</v>
      </c>
      <c r="E10693" s="2" t="str">
        <f>"9783319586489"</f>
        <v>9783319586489</v>
      </c>
      <c r="F10693" s="2" t="str">
        <f>"9783319586502"</f>
        <v>9783319586502</v>
      </c>
    </row>
    <row r="10694" spans="1:6" s="3" customFormat="1" ht="29.1" customHeight="1" x14ac:dyDescent="0.25">
      <c r="A10694" s="2" t="s">
        <v>21860</v>
      </c>
      <c r="B10694" s="2" t="s">
        <v>21862</v>
      </c>
      <c r="C10694" s="2" t="s">
        <v>5</v>
      </c>
      <c r="D10694" s="2" t="s">
        <v>21861</v>
      </c>
      <c r="E10694" s="2" t="str">
        <f>"9783031074646"</f>
        <v>9783031074646</v>
      </c>
      <c r="F10694" s="2" t="str">
        <f>"9783031074653"</f>
        <v>9783031074653</v>
      </c>
    </row>
    <row r="10695" spans="1:6" s="3" customFormat="1" ht="29.1" customHeight="1" x14ac:dyDescent="0.25">
      <c r="A10695" s="2" t="s">
        <v>21863</v>
      </c>
      <c r="B10695" s="2" t="s">
        <v>21864</v>
      </c>
      <c r="C10695" s="2" t="s">
        <v>5</v>
      </c>
      <c r="D10695" s="2" t="s">
        <v>636</v>
      </c>
      <c r="E10695" s="2" t="str">
        <f>"9783658049157"</f>
        <v>9783658049157</v>
      </c>
      <c r="F10695" s="2" t="str">
        <f>"9783658049164"</f>
        <v>9783658049164</v>
      </c>
    </row>
    <row r="10696" spans="1:6" s="3" customFormat="1" ht="29.1" customHeight="1" x14ac:dyDescent="0.25">
      <c r="A10696" s="2" t="s">
        <v>21865</v>
      </c>
      <c r="B10696" s="2" t="s">
        <v>21866</v>
      </c>
      <c r="C10696" s="2" t="s">
        <v>5</v>
      </c>
      <c r="D10696" s="2" t="s">
        <v>6</v>
      </c>
      <c r="E10696" s="2" t="str">
        <f>"9784431548645"</f>
        <v>9784431548645</v>
      </c>
      <c r="F10696" s="2" t="str">
        <f>"9784431548652"</f>
        <v>9784431548652</v>
      </c>
    </row>
    <row r="10697" spans="1:6" s="3" customFormat="1" ht="29.1" customHeight="1" x14ac:dyDescent="0.25">
      <c r="A10697" s="2" t="s">
        <v>21867</v>
      </c>
      <c r="B10697" s="2" t="s">
        <v>21868</v>
      </c>
      <c r="C10697" s="2" t="s">
        <v>5</v>
      </c>
      <c r="D10697" s="2" t="s">
        <v>186</v>
      </c>
      <c r="E10697" s="2" t="str">
        <f>"9783658411367"</f>
        <v>9783658411367</v>
      </c>
      <c r="F10697" s="2" t="str">
        <f>"9783658411374"</f>
        <v>9783658411374</v>
      </c>
    </row>
    <row r="10698" spans="1:6" s="3" customFormat="1" ht="29.1" customHeight="1" x14ac:dyDescent="0.25">
      <c r="A10698" s="2" t="s">
        <v>21869</v>
      </c>
      <c r="B10698" s="2" t="s">
        <v>21870</v>
      </c>
      <c r="C10698" s="2" t="s">
        <v>5</v>
      </c>
      <c r="D10698" s="2" t="s">
        <v>477</v>
      </c>
      <c r="E10698" s="2" t="str">
        <f>"9783319648156"</f>
        <v>9783319648156</v>
      </c>
      <c r="F10698" s="2" t="str">
        <f>"9783319648163"</f>
        <v>9783319648163</v>
      </c>
    </row>
    <row r="10699" spans="1:6" s="3" customFormat="1" ht="29.1" customHeight="1" x14ac:dyDescent="0.25">
      <c r="A10699" s="2" t="s">
        <v>21871</v>
      </c>
      <c r="B10699" s="2" t="s">
        <v>21872</v>
      </c>
      <c r="C10699" s="2" t="s">
        <v>5</v>
      </c>
      <c r="D10699" s="2" t="s">
        <v>20094</v>
      </c>
      <c r="E10699" s="2" t="str">
        <f>"9783319510422"</f>
        <v>9783319510422</v>
      </c>
      <c r="F10699" s="2" t="str">
        <f>"9783319510439"</f>
        <v>9783319510439</v>
      </c>
    </row>
    <row r="10700" spans="1:6" s="3" customFormat="1" ht="29.1" customHeight="1" x14ac:dyDescent="0.25">
      <c r="A10700" s="2" t="s">
        <v>21873</v>
      </c>
      <c r="B10700" s="2" t="s">
        <v>21874</v>
      </c>
      <c r="C10700" s="2" t="s">
        <v>5</v>
      </c>
      <c r="D10700" s="2" t="s">
        <v>5092</v>
      </c>
      <c r="E10700" s="2" t="str">
        <f>"9789811551901"</f>
        <v>9789811551901</v>
      </c>
      <c r="F10700" s="2" t="str">
        <f>"9789811551918"</f>
        <v>9789811551918</v>
      </c>
    </row>
    <row r="10701" spans="1:6" s="3" customFormat="1" ht="29.1" customHeight="1" x14ac:dyDescent="0.25">
      <c r="A10701" s="2" t="s">
        <v>21875</v>
      </c>
      <c r="B10701" s="2" t="s">
        <v>21876</v>
      </c>
      <c r="C10701" s="2" t="s">
        <v>5</v>
      </c>
      <c r="D10701" s="2" t="s">
        <v>694</v>
      </c>
      <c r="E10701" s="2" t="str">
        <f>"9783642540332"</f>
        <v>9783642540332</v>
      </c>
      <c r="F10701" s="2" t="str">
        <f>"9783642540349"</f>
        <v>9783642540349</v>
      </c>
    </row>
    <row r="10702" spans="1:6" s="3" customFormat="1" ht="29.1" customHeight="1" x14ac:dyDescent="0.25">
      <c r="A10702" s="2" t="s">
        <v>21877</v>
      </c>
      <c r="B10702" s="2" t="s">
        <v>21878</v>
      </c>
      <c r="C10702" s="2" t="s">
        <v>5</v>
      </c>
      <c r="D10702" s="2" t="s">
        <v>515</v>
      </c>
      <c r="E10702" s="2" t="str">
        <f>"9783031281532"</f>
        <v>9783031281532</v>
      </c>
      <c r="F10702" s="2" t="str">
        <f>"9783031281549"</f>
        <v>9783031281549</v>
      </c>
    </row>
    <row r="10703" spans="1:6" s="3" customFormat="1" ht="29.1" customHeight="1" x14ac:dyDescent="0.25">
      <c r="A10703" s="2" t="s">
        <v>21879</v>
      </c>
      <c r="B10703" s="2" t="s">
        <v>21880</v>
      </c>
      <c r="C10703" s="2" t="s">
        <v>5</v>
      </c>
      <c r="D10703" s="2" t="s">
        <v>186</v>
      </c>
      <c r="E10703" s="2" t="str">
        <f>"9789811588471"</f>
        <v>9789811588471</v>
      </c>
      <c r="F10703" s="2" t="str">
        <f>"9789811588488"</f>
        <v>9789811588488</v>
      </c>
    </row>
    <row r="10704" spans="1:6" s="3" customFormat="1" ht="29.1" customHeight="1" x14ac:dyDescent="0.25">
      <c r="A10704" s="2" t="s">
        <v>21881</v>
      </c>
      <c r="B10704" s="2" t="s">
        <v>21882</v>
      </c>
      <c r="C10704" s="2" t="s">
        <v>5</v>
      </c>
      <c r="D10704" s="2" t="s">
        <v>81</v>
      </c>
      <c r="E10704" s="2" t="str">
        <f>"9783662674512"</f>
        <v>9783662674512</v>
      </c>
      <c r="F10704" s="2" t="str">
        <f>"9783662674529"</f>
        <v>9783662674529</v>
      </c>
    </row>
    <row r="10705" spans="1:6" s="3" customFormat="1" ht="29.1" customHeight="1" x14ac:dyDescent="0.25">
      <c r="A10705" s="2" t="s">
        <v>21883</v>
      </c>
      <c r="B10705" s="2" t="s">
        <v>21884</v>
      </c>
      <c r="C10705" s="2" t="s">
        <v>5</v>
      </c>
      <c r="D10705" s="2" t="s">
        <v>6</v>
      </c>
      <c r="E10705" s="2" t="str">
        <f>"9784431548034"</f>
        <v>9784431548034</v>
      </c>
      <c r="F10705" s="2" t="str">
        <f>"9784431548041"</f>
        <v>9784431548041</v>
      </c>
    </row>
    <row r="10706" spans="1:6" s="3" customFormat="1" ht="29.1" customHeight="1" x14ac:dyDescent="0.25">
      <c r="A10706" s="2" t="s">
        <v>21885</v>
      </c>
      <c r="B10706" s="2" t="s">
        <v>21886</v>
      </c>
      <c r="C10706" s="2" t="s">
        <v>5</v>
      </c>
      <c r="D10706" s="2" t="s">
        <v>378</v>
      </c>
      <c r="E10706" s="2" t="str">
        <f>"9783319040929"</f>
        <v>9783319040929</v>
      </c>
      <c r="F10706" s="2" t="str">
        <f>"9783319040936"</f>
        <v>9783319040936</v>
      </c>
    </row>
    <row r="10707" spans="1:6" s="3" customFormat="1" ht="29.1" customHeight="1" x14ac:dyDescent="0.25">
      <c r="A10707" s="2" t="s">
        <v>21887</v>
      </c>
      <c r="B10707" s="2" t="s">
        <v>21888</v>
      </c>
      <c r="C10707" s="2" t="s">
        <v>5</v>
      </c>
      <c r="D10707" s="2" t="s">
        <v>689</v>
      </c>
      <c r="E10707" s="2" t="str">
        <f>"9783319927213"</f>
        <v>9783319927213</v>
      </c>
      <c r="F10707" s="2" t="str">
        <f>"9783319927220"</f>
        <v>9783319927220</v>
      </c>
    </row>
    <row r="10708" spans="1:6" s="3" customFormat="1" ht="29.1" customHeight="1" x14ac:dyDescent="0.25">
      <c r="A10708" s="2" t="s">
        <v>21889</v>
      </c>
      <c r="B10708" s="2" t="s">
        <v>21890</v>
      </c>
      <c r="C10708" s="2" t="s">
        <v>5</v>
      </c>
      <c r="D10708" s="2" t="s">
        <v>15</v>
      </c>
      <c r="E10708" s="2" t="str">
        <f>"9783658405298"</f>
        <v>9783658405298</v>
      </c>
      <c r="F10708" s="2" t="str">
        <f>"9783658405304"</f>
        <v>9783658405304</v>
      </c>
    </row>
    <row r="10709" spans="1:6" s="3" customFormat="1" ht="29.1" customHeight="1" x14ac:dyDescent="0.25">
      <c r="A10709" s="2" t="s">
        <v>21891</v>
      </c>
      <c r="B10709" s="2" t="s">
        <v>21892</v>
      </c>
      <c r="C10709" s="2" t="s">
        <v>5</v>
      </c>
      <c r="D10709" s="2" t="s">
        <v>183</v>
      </c>
      <c r="E10709" s="2" t="str">
        <f>"9783658398644"</f>
        <v>9783658398644</v>
      </c>
      <c r="F10709" s="2" t="str">
        <f>"9783658398651"</f>
        <v>9783658398651</v>
      </c>
    </row>
    <row r="10710" spans="1:6" s="3" customFormat="1" ht="29.1" customHeight="1" x14ac:dyDescent="0.25">
      <c r="A10710" s="2" t="s">
        <v>21893</v>
      </c>
      <c r="B10710" s="2" t="s">
        <v>21894</v>
      </c>
      <c r="C10710" s="2" t="s">
        <v>5</v>
      </c>
      <c r="D10710" s="2" t="s">
        <v>98</v>
      </c>
      <c r="E10710" s="2" t="str">
        <f>"9783658390327"</f>
        <v>9783658390327</v>
      </c>
      <c r="F10710" s="2" t="str">
        <f>"9783658390334"</f>
        <v>9783658390334</v>
      </c>
    </row>
    <row r="10711" spans="1:6" s="3" customFormat="1" ht="29.1" customHeight="1" x14ac:dyDescent="0.25">
      <c r="A10711" s="2" t="s">
        <v>21895</v>
      </c>
      <c r="B10711" s="2" t="s">
        <v>21896</v>
      </c>
      <c r="C10711" s="2" t="s">
        <v>5</v>
      </c>
      <c r="D10711" s="2" t="s">
        <v>2271</v>
      </c>
      <c r="E10711" s="2" t="str">
        <f>"9783658362867"</f>
        <v>9783658362867</v>
      </c>
      <c r="F10711" s="2" t="str">
        <f>"9783658362874"</f>
        <v>9783658362874</v>
      </c>
    </row>
    <row r="10712" spans="1:6" s="3" customFormat="1" ht="29.1" customHeight="1" x14ac:dyDescent="0.25">
      <c r="A10712" s="2" t="s">
        <v>21897</v>
      </c>
      <c r="B10712" s="2" t="s">
        <v>21898</v>
      </c>
      <c r="C10712" s="2" t="s">
        <v>5</v>
      </c>
      <c r="D10712" s="2" t="s">
        <v>636</v>
      </c>
      <c r="E10712" s="2" t="str">
        <f>"9783658043230"</f>
        <v>9783658043230</v>
      </c>
      <c r="F10712" s="2" t="str">
        <f>"9783658043247"</f>
        <v>9783658043247</v>
      </c>
    </row>
    <row r="10713" spans="1:6" s="3" customFormat="1" ht="29.1" customHeight="1" x14ac:dyDescent="0.25">
      <c r="A10713" s="2" t="s">
        <v>21899</v>
      </c>
      <c r="B10713" s="2" t="s">
        <v>21900</v>
      </c>
      <c r="C10713" s="2" t="s">
        <v>5</v>
      </c>
      <c r="D10713" s="2" t="s">
        <v>9</v>
      </c>
      <c r="E10713" s="2" t="str">
        <f>"9783031143496"</f>
        <v>9783031143496</v>
      </c>
      <c r="F10713" s="2" t="str">
        <f>"9783031143502"</f>
        <v>9783031143502</v>
      </c>
    </row>
    <row r="10714" spans="1:6" s="3" customFormat="1" ht="29.1" customHeight="1" x14ac:dyDescent="0.25">
      <c r="A10714" s="2" t="s">
        <v>21901</v>
      </c>
      <c r="B10714" s="2" t="s">
        <v>21902</v>
      </c>
      <c r="C10714" s="2" t="s">
        <v>5</v>
      </c>
      <c r="D10714" s="2" t="s">
        <v>3198</v>
      </c>
      <c r="E10714" s="2" t="str">
        <f>"9783030635046"</f>
        <v>9783030635046</v>
      </c>
      <c r="F10714" s="2" t="str">
        <f>"9783030635053"</f>
        <v>9783030635053</v>
      </c>
    </row>
    <row r="10715" spans="1:6" s="3" customFormat="1" ht="29.1" customHeight="1" x14ac:dyDescent="0.25">
      <c r="A10715" s="2" t="s">
        <v>21903</v>
      </c>
      <c r="B10715" s="2" t="s">
        <v>21904</v>
      </c>
      <c r="C10715" s="2" t="s">
        <v>5</v>
      </c>
      <c r="D10715" s="2" t="s">
        <v>1278</v>
      </c>
      <c r="E10715" s="2" t="str">
        <f>"9784431546276"</f>
        <v>9784431546276</v>
      </c>
      <c r="F10715" s="2" t="str">
        <f>"9784431546283"</f>
        <v>9784431546283</v>
      </c>
    </row>
    <row r="10716" spans="1:6" s="3" customFormat="1" ht="29.1" customHeight="1" x14ac:dyDescent="0.25">
      <c r="A10716" s="2" t="s">
        <v>21905</v>
      </c>
      <c r="B10716" s="2" t="s">
        <v>21906</v>
      </c>
      <c r="C10716" s="2" t="s">
        <v>5</v>
      </c>
      <c r="D10716" s="2" t="s">
        <v>3062</v>
      </c>
      <c r="E10716" s="2" t="str">
        <f>"9783658343859"</f>
        <v>9783658343859</v>
      </c>
      <c r="F10716" s="2" t="str">
        <f>"9783658343866"</f>
        <v>9783658343866</v>
      </c>
    </row>
    <row r="10717" spans="1:6" s="3" customFormat="1" ht="29.1" customHeight="1" x14ac:dyDescent="0.25">
      <c r="A10717" s="2" t="s">
        <v>21907</v>
      </c>
      <c r="B10717" s="2" t="s">
        <v>21908</v>
      </c>
      <c r="C10717" s="2" t="s">
        <v>5</v>
      </c>
      <c r="D10717" s="2" t="s">
        <v>101</v>
      </c>
      <c r="E10717" s="2" t="str">
        <f>"9783662670071"</f>
        <v>9783662670071</v>
      </c>
      <c r="F10717" s="2" t="str">
        <f>"9783662670088"</f>
        <v>9783662670088</v>
      </c>
    </row>
    <row r="10718" spans="1:6" s="3" customFormat="1" ht="29.1" customHeight="1" x14ac:dyDescent="0.25">
      <c r="A10718" s="2" t="s">
        <v>21909</v>
      </c>
      <c r="B10718" s="2" t="s">
        <v>21910</v>
      </c>
      <c r="C10718" s="2" t="s">
        <v>5</v>
      </c>
      <c r="D10718" s="2" t="s">
        <v>1864</v>
      </c>
      <c r="E10718" s="2" t="str">
        <f>"9783658407001"</f>
        <v>9783658407001</v>
      </c>
      <c r="F10718" s="2" t="str">
        <f>"9783658407018"</f>
        <v>9783658407018</v>
      </c>
    </row>
    <row r="10719" spans="1:6" s="3" customFormat="1" ht="29.1" customHeight="1" x14ac:dyDescent="0.25">
      <c r="A10719" s="2" t="s">
        <v>21911</v>
      </c>
      <c r="B10719" s="2" t="s">
        <v>1911</v>
      </c>
      <c r="C10719" s="2" t="s">
        <v>5</v>
      </c>
      <c r="D10719" s="2" t="s">
        <v>633</v>
      </c>
      <c r="E10719" s="2" t="str">
        <f>"9783658384791"</f>
        <v>9783658384791</v>
      </c>
      <c r="F10719" s="2" t="str">
        <f>"9783658384807"</f>
        <v>9783658384807</v>
      </c>
    </row>
    <row r="10720" spans="1:6" s="3" customFormat="1" ht="29.1" customHeight="1" x14ac:dyDescent="0.25">
      <c r="A10720" s="2" t="s">
        <v>21912</v>
      </c>
      <c r="B10720" s="2" t="s">
        <v>21913</v>
      </c>
      <c r="C10720" s="2" t="s">
        <v>5</v>
      </c>
      <c r="D10720" s="2" t="s">
        <v>2199</v>
      </c>
      <c r="E10720" s="2" t="str">
        <f>"9783658368074"</f>
        <v>9783658368074</v>
      </c>
      <c r="F10720" s="2" t="str">
        <f>"9783658368081"</f>
        <v>9783658368081</v>
      </c>
    </row>
    <row r="10721" spans="1:6" s="3" customFormat="1" ht="29.1" customHeight="1" x14ac:dyDescent="0.25">
      <c r="A10721" s="2" t="s">
        <v>21914</v>
      </c>
      <c r="B10721" s="2" t="s">
        <v>21915</v>
      </c>
      <c r="C10721" s="2" t="s">
        <v>5</v>
      </c>
      <c r="D10721" s="2" t="s">
        <v>454</v>
      </c>
      <c r="E10721" s="2" t="str">
        <f>"9783662649336"</f>
        <v>9783662649336</v>
      </c>
      <c r="F10721" s="2" t="str">
        <f>"9783662649343"</f>
        <v>9783662649343</v>
      </c>
    </row>
    <row r="10722" spans="1:6" s="3" customFormat="1" ht="29.1" customHeight="1" x14ac:dyDescent="0.25">
      <c r="A10722" s="2" t="s">
        <v>21916</v>
      </c>
      <c r="B10722" s="2" t="s">
        <v>21917</v>
      </c>
      <c r="C10722" s="2" t="s">
        <v>5</v>
      </c>
      <c r="D10722" s="2" t="s">
        <v>1189</v>
      </c>
      <c r="E10722" s="2" t="str">
        <f>"9783658339265"</f>
        <v>9783658339265</v>
      </c>
      <c r="F10722" s="2" t="str">
        <f>"9783658339272"</f>
        <v>9783658339272</v>
      </c>
    </row>
    <row r="10723" spans="1:6" s="3" customFormat="1" ht="29.1" customHeight="1" x14ac:dyDescent="0.25">
      <c r="A10723" s="2" t="s">
        <v>21918</v>
      </c>
      <c r="B10723" s="2" t="s">
        <v>21919</v>
      </c>
      <c r="C10723" s="2" t="s">
        <v>5</v>
      </c>
      <c r="D10723" s="2" t="s">
        <v>2883</v>
      </c>
      <c r="E10723" s="2" t="str">
        <f>"9783658337711"</f>
        <v>9783658337711</v>
      </c>
      <c r="F10723" s="2" t="str">
        <f>"9783658337728"</f>
        <v>9783658337728</v>
      </c>
    </row>
    <row r="10724" spans="1:6" s="3" customFormat="1" ht="29.1" customHeight="1" x14ac:dyDescent="0.25">
      <c r="A10724" s="2" t="s">
        <v>21920</v>
      </c>
      <c r="B10724" s="2" t="s">
        <v>21921</v>
      </c>
      <c r="C10724" s="2" t="s">
        <v>5</v>
      </c>
      <c r="D10724" s="2" t="s">
        <v>294</v>
      </c>
      <c r="E10724" s="2" t="str">
        <f>"9783658337544"</f>
        <v>9783658337544</v>
      </c>
      <c r="F10724" s="2" t="str">
        <f>"9783658337551"</f>
        <v>9783658337551</v>
      </c>
    </row>
    <row r="10725" spans="1:6" s="3" customFormat="1" ht="29.1" customHeight="1" x14ac:dyDescent="0.25">
      <c r="A10725" s="2" t="s">
        <v>21922</v>
      </c>
      <c r="B10725" s="2" t="s">
        <v>21923</v>
      </c>
      <c r="C10725" s="2" t="s">
        <v>5</v>
      </c>
      <c r="D10725" s="2" t="s">
        <v>4190</v>
      </c>
      <c r="E10725" s="2" t="str">
        <f>"9783658208004"</f>
        <v>9783658208004</v>
      </c>
      <c r="F10725" s="2" t="str">
        <f>"9783658208011"</f>
        <v>9783658208011</v>
      </c>
    </row>
    <row r="10726" spans="1:6" s="3" customFormat="1" ht="29.1" customHeight="1" x14ac:dyDescent="0.25">
      <c r="A10726" s="2" t="s">
        <v>21924</v>
      </c>
      <c r="B10726" s="2" t="s">
        <v>21925</v>
      </c>
      <c r="C10726" s="2" t="s">
        <v>5</v>
      </c>
      <c r="D10726" s="2" t="s">
        <v>4262</v>
      </c>
      <c r="E10726" s="2" t="str">
        <f>"9783030336868"</f>
        <v>9783030336868</v>
      </c>
      <c r="F10726" s="2" t="str">
        <f>"9783030336875"</f>
        <v>9783030336875</v>
      </c>
    </row>
    <row r="10727" spans="1:6" s="3" customFormat="1" ht="29.1" customHeight="1" x14ac:dyDescent="0.25">
      <c r="A10727" s="2" t="s">
        <v>21926</v>
      </c>
      <c r="B10727" s="2" t="s">
        <v>21927</v>
      </c>
      <c r="C10727" s="2" t="s">
        <v>5</v>
      </c>
      <c r="D10727" s="2" t="s">
        <v>4262</v>
      </c>
      <c r="E10727" s="2" t="str">
        <f>"9783030335694"</f>
        <v>9783030335694</v>
      </c>
      <c r="F10727" s="2" t="str">
        <f>"9783030335700"</f>
        <v>9783030335700</v>
      </c>
    </row>
    <row r="10728" spans="1:6" s="3" customFormat="1" ht="29.1" customHeight="1" x14ac:dyDescent="0.25">
      <c r="A10728" s="2" t="s">
        <v>21928</v>
      </c>
      <c r="B10728" s="2" t="s">
        <v>21929</v>
      </c>
      <c r="C10728" s="2" t="s">
        <v>5</v>
      </c>
      <c r="D10728" s="2" t="s">
        <v>4262</v>
      </c>
      <c r="E10728" s="2" t="str">
        <f>"9783030332556"</f>
        <v>9783030332556</v>
      </c>
      <c r="F10728" s="2" t="str">
        <f>"9783030332563"</f>
        <v>9783030332563</v>
      </c>
    </row>
    <row r="10729" spans="1:6" s="3" customFormat="1" ht="29.1" customHeight="1" x14ac:dyDescent="0.25">
      <c r="A10729" s="2" t="s">
        <v>21930</v>
      </c>
      <c r="B10729" s="2" t="s">
        <v>21931</v>
      </c>
      <c r="C10729" s="2" t="s">
        <v>5</v>
      </c>
      <c r="D10729" s="2" t="s">
        <v>12495</v>
      </c>
      <c r="E10729" s="2" t="str">
        <f>"9784431545828"</f>
        <v>9784431545828</v>
      </c>
      <c r="F10729" s="2" t="str">
        <f>"9784431545835"</f>
        <v>9784431545835</v>
      </c>
    </row>
    <row r="10730" spans="1:6" s="3" customFormat="1" ht="29.1" customHeight="1" x14ac:dyDescent="0.25">
      <c r="A10730" s="2" t="s">
        <v>21932</v>
      </c>
      <c r="B10730" s="2" t="s">
        <v>21933</v>
      </c>
      <c r="C10730" s="2" t="s">
        <v>5</v>
      </c>
      <c r="D10730" s="2" t="s">
        <v>2861</v>
      </c>
      <c r="E10730" s="2" t="str">
        <f>"9783319025643"</f>
        <v>9783319025643</v>
      </c>
      <c r="F10730" s="2" t="str">
        <f>"9783319025650"</f>
        <v>9783319025650</v>
      </c>
    </row>
    <row r="10731" spans="1:6" s="3" customFormat="1" ht="29.1" customHeight="1" x14ac:dyDescent="0.25">
      <c r="A10731" s="2" t="s">
        <v>21934</v>
      </c>
      <c r="B10731" s="2" t="s">
        <v>21935</v>
      </c>
      <c r="C10731" s="2" t="s">
        <v>5</v>
      </c>
      <c r="D10731" s="2" t="s">
        <v>547</v>
      </c>
      <c r="E10731" s="2" t="str">
        <f>"9783658422974"</f>
        <v>9783658422974</v>
      </c>
      <c r="F10731" s="2" t="str">
        <f>"9783658422981"</f>
        <v>9783658422981</v>
      </c>
    </row>
    <row r="10732" spans="1:6" s="3" customFormat="1" ht="29.1" customHeight="1" x14ac:dyDescent="0.25">
      <c r="A10732" s="2" t="s">
        <v>21936</v>
      </c>
      <c r="B10732" s="2" t="s">
        <v>21937</v>
      </c>
      <c r="C10732" s="2" t="s">
        <v>5</v>
      </c>
      <c r="D10732" s="2" t="s">
        <v>1560</v>
      </c>
      <c r="E10732" s="2" t="str">
        <f>"9783658366889"</f>
        <v>9783658366889</v>
      </c>
      <c r="F10732" s="2" t="str">
        <f>"9783658366896"</f>
        <v>9783658366896</v>
      </c>
    </row>
    <row r="10733" spans="1:6" s="3" customFormat="1" ht="29.1" customHeight="1" x14ac:dyDescent="0.25">
      <c r="A10733" s="2" t="s">
        <v>21938</v>
      </c>
      <c r="B10733" s="2" t="s">
        <v>21939</v>
      </c>
      <c r="C10733" s="2" t="s">
        <v>5</v>
      </c>
      <c r="D10733" s="2" t="s">
        <v>9</v>
      </c>
      <c r="E10733" s="2" t="str">
        <f>"9783319023984"</f>
        <v>9783319023984</v>
      </c>
      <c r="F10733" s="2" t="str">
        <f>"9783319023991"</f>
        <v>9783319023991</v>
      </c>
    </row>
    <row r="10734" spans="1:6" s="3" customFormat="1" ht="29.1" customHeight="1" x14ac:dyDescent="0.25">
      <c r="A10734" s="2" t="s">
        <v>21940</v>
      </c>
      <c r="B10734" s="2" t="s">
        <v>21941</v>
      </c>
      <c r="C10734" s="2" t="s">
        <v>5</v>
      </c>
      <c r="D10734" s="2" t="s">
        <v>6511</v>
      </c>
      <c r="E10734" s="2" t="str">
        <f>"9789811511325"</f>
        <v>9789811511325</v>
      </c>
      <c r="F10734" s="2" t="str">
        <f>"9789811511332"</f>
        <v>9789811511332</v>
      </c>
    </row>
    <row r="10735" spans="1:6" s="3" customFormat="1" ht="29.1" customHeight="1" x14ac:dyDescent="0.25">
      <c r="A10735" s="2" t="s">
        <v>21942</v>
      </c>
      <c r="B10735" s="2" t="s">
        <v>21943</v>
      </c>
      <c r="C10735" s="2" t="s">
        <v>5</v>
      </c>
      <c r="D10735" s="2" t="s">
        <v>12</v>
      </c>
      <c r="E10735" s="2" t="str">
        <f>"9784431548942"</f>
        <v>9784431548942</v>
      </c>
      <c r="F10735" s="2" t="str">
        <f>"9784431548959"</f>
        <v>9784431548959</v>
      </c>
    </row>
    <row r="10736" spans="1:6" s="3" customFormat="1" ht="29.1" customHeight="1" x14ac:dyDescent="0.25">
      <c r="A10736" s="2" t="s">
        <v>21944</v>
      </c>
      <c r="B10736" s="2" t="s">
        <v>21945</v>
      </c>
      <c r="C10736" s="2" t="s">
        <v>5</v>
      </c>
      <c r="D10736" s="2" t="s">
        <v>12</v>
      </c>
      <c r="E10736" s="2" t="str">
        <f>"9784431545583"</f>
        <v>9784431545583</v>
      </c>
      <c r="F10736" s="2" t="str">
        <f>"9784431545590"</f>
        <v>9784431545590</v>
      </c>
    </row>
    <row r="10737" spans="1:6" s="3" customFormat="1" ht="29.1" customHeight="1" x14ac:dyDescent="0.25">
      <c r="A10737" s="2" t="s">
        <v>21946</v>
      </c>
      <c r="B10737" s="2" t="s">
        <v>21947</v>
      </c>
      <c r="C10737" s="2" t="s">
        <v>5</v>
      </c>
      <c r="D10737" s="2" t="s">
        <v>553</v>
      </c>
      <c r="E10737" s="2" t="str">
        <f>"9783658404918"</f>
        <v>9783658404918</v>
      </c>
      <c r="F10737" s="2" t="str">
        <f>"9783658403591"</f>
        <v>9783658403591</v>
      </c>
    </row>
    <row r="10738" spans="1:6" s="3" customFormat="1" ht="29.1" customHeight="1" x14ac:dyDescent="0.25">
      <c r="A10738" s="2" t="s">
        <v>21948</v>
      </c>
      <c r="B10738" s="2" t="s">
        <v>21949</v>
      </c>
      <c r="C10738" s="2" t="s">
        <v>5</v>
      </c>
      <c r="D10738" s="2" t="s">
        <v>183</v>
      </c>
      <c r="E10738" s="2" t="str">
        <f>"9783658266523"</f>
        <v>9783658266523</v>
      </c>
      <c r="F10738" s="2" t="str">
        <f>"9783658266530"</f>
        <v>9783658266530</v>
      </c>
    </row>
    <row r="10739" spans="1:6" s="3" customFormat="1" ht="29.1" customHeight="1" x14ac:dyDescent="0.25">
      <c r="A10739" s="2" t="s">
        <v>21950</v>
      </c>
      <c r="B10739" s="2" t="s">
        <v>21951</v>
      </c>
      <c r="C10739" s="2" t="s">
        <v>5</v>
      </c>
      <c r="D10739" s="2" t="s">
        <v>490</v>
      </c>
      <c r="E10739" s="2" t="str">
        <f>"9783658257811"</f>
        <v>9783658257811</v>
      </c>
      <c r="F10739" s="2" t="str">
        <f>"9783658257828"</f>
        <v>9783658257828</v>
      </c>
    </row>
    <row r="10740" spans="1:6" s="3" customFormat="1" ht="29.1" customHeight="1" x14ac:dyDescent="0.25">
      <c r="A10740" s="2" t="s">
        <v>21952</v>
      </c>
      <c r="B10740" s="2" t="s">
        <v>21953</v>
      </c>
      <c r="C10740" s="2" t="s">
        <v>5</v>
      </c>
      <c r="D10740" s="2" t="s">
        <v>3319</v>
      </c>
      <c r="E10740" s="2" t="str">
        <f>"9789400775954"</f>
        <v>9789400775954</v>
      </c>
      <c r="F10740" s="2" t="str">
        <f>"9789400775961"</f>
        <v>9789400775961</v>
      </c>
    </row>
    <row r="10741" spans="1:6" s="3" customFormat="1" ht="29.1" customHeight="1" x14ac:dyDescent="0.25">
      <c r="A10741" s="2" t="s">
        <v>21954</v>
      </c>
      <c r="B10741" s="2" t="s">
        <v>21955</v>
      </c>
      <c r="C10741" s="2" t="s">
        <v>5</v>
      </c>
      <c r="D10741" s="2" t="s">
        <v>331</v>
      </c>
      <c r="E10741" s="2" t="str">
        <f>"9783642404023"</f>
        <v>9783642404023</v>
      </c>
      <c r="F10741" s="2" t="str">
        <f>"9783642404030"</f>
        <v>9783642404030</v>
      </c>
    </row>
    <row r="10742" spans="1:6" s="3" customFormat="1" ht="29.1" customHeight="1" x14ac:dyDescent="0.25">
      <c r="A10742" s="2" t="s">
        <v>21956</v>
      </c>
      <c r="B10742" s="2" t="s">
        <v>21957</v>
      </c>
      <c r="C10742" s="2" t="s">
        <v>5</v>
      </c>
      <c r="D10742" s="2" t="s">
        <v>44</v>
      </c>
      <c r="E10742" s="2" t="str">
        <f>"9783662489574"</f>
        <v>9783662489574</v>
      </c>
      <c r="F10742" s="2" t="str">
        <f>"9783662489598"</f>
        <v>9783662489598</v>
      </c>
    </row>
    <row r="10743" spans="1:6" s="3" customFormat="1" ht="29.1" customHeight="1" x14ac:dyDescent="0.25">
      <c r="A10743" s="2" t="s">
        <v>21958</v>
      </c>
      <c r="B10743" s="2" t="s">
        <v>21959</v>
      </c>
      <c r="C10743" s="2" t="s">
        <v>5</v>
      </c>
      <c r="D10743" s="2" t="s">
        <v>553</v>
      </c>
      <c r="E10743" s="2" t="str">
        <f>"9783030821586"</f>
        <v>9783030821586</v>
      </c>
      <c r="F10743" s="2" t="str">
        <f>"9783030821593"</f>
        <v>9783030821593</v>
      </c>
    </row>
    <row r="10744" spans="1:6" s="3" customFormat="1" ht="29.1" customHeight="1" x14ac:dyDescent="0.25">
      <c r="A10744" s="2" t="s">
        <v>21960</v>
      </c>
      <c r="B10744" s="2" t="s">
        <v>21961</v>
      </c>
      <c r="C10744" s="2" t="s">
        <v>5</v>
      </c>
      <c r="D10744" s="2" t="s">
        <v>86</v>
      </c>
      <c r="E10744" s="2" t="str">
        <f>"9783031110801"</f>
        <v>9783031110801</v>
      </c>
      <c r="F10744" s="2" t="str">
        <f>"9783031110818"</f>
        <v>9783031110818</v>
      </c>
    </row>
    <row r="10745" spans="1:6" s="3" customFormat="1" ht="29.1" customHeight="1" x14ac:dyDescent="0.25">
      <c r="A10745" s="2" t="s">
        <v>21962</v>
      </c>
      <c r="B10745" s="2" t="s">
        <v>21963</v>
      </c>
      <c r="C10745" s="2" t="s">
        <v>5</v>
      </c>
      <c r="D10745" s="2" t="s">
        <v>86</v>
      </c>
      <c r="E10745" s="2" t="str">
        <f>"9783031086076"</f>
        <v>9783031086076</v>
      </c>
      <c r="F10745" s="2" t="str">
        <f>"9783031086083"</f>
        <v>9783031086083</v>
      </c>
    </row>
    <row r="10746" spans="1:6" s="3" customFormat="1" ht="29.1" customHeight="1" x14ac:dyDescent="0.25">
      <c r="A10746" s="2" t="s">
        <v>21964</v>
      </c>
      <c r="B10746" s="2" t="s">
        <v>21965</v>
      </c>
      <c r="C10746" s="2" t="s">
        <v>5</v>
      </c>
      <c r="D10746" s="2" t="s">
        <v>694</v>
      </c>
      <c r="E10746" s="2" t="str">
        <f>"9783319456195"</f>
        <v>9783319456195</v>
      </c>
      <c r="F10746" s="2" t="str">
        <f>"9783319456201"</f>
        <v>9783319456201</v>
      </c>
    </row>
    <row r="10747" spans="1:6" s="3" customFormat="1" ht="29.1" customHeight="1" x14ac:dyDescent="0.25">
      <c r="A10747" s="2" t="s">
        <v>21964</v>
      </c>
      <c r="B10747" s="2" t="s">
        <v>21965</v>
      </c>
      <c r="C10747" s="2" t="s">
        <v>5</v>
      </c>
      <c r="D10747" s="2" t="s">
        <v>694</v>
      </c>
      <c r="E10747" s="2" t="str">
        <f>"9783319269399"</f>
        <v>9783319269399</v>
      </c>
      <c r="F10747" s="2" t="str">
        <f>"9783319269405"</f>
        <v>9783319269405</v>
      </c>
    </row>
    <row r="10748" spans="1:6" s="3" customFormat="1" ht="29.1" customHeight="1" x14ac:dyDescent="0.25">
      <c r="A10748" s="2" t="s">
        <v>21966</v>
      </c>
      <c r="B10748" s="2" t="s">
        <v>21967</v>
      </c>
      <c r="C10748" s="2" t="s">
        <v>5</v>
      </c>
      <c r="D10748" s="2" t="s">
        <v>3564</v>
      </c>
      <c r="E10748" s="2" t="str">
        <f>"9783319017532"</f>
        <v>9783319017532</v>
      </c>
      <c r="F10748" s="2" t="str">
        <f>"9783319017549"</f>
        <v>9783319017549</v>
      </c>
    </row>
    <row r="10749" spans="1:6" s="3" customFormat="1" ht="29.1" customHeight="1" x14ac:dyDescent="0.25">
      <c r="A10749" s="2" t="s">
        <v>21968</v>
      </c>
      <c r="B10749" s="2" t="s">
        <v>21969</v>
      </c>
      <c r="C10749" s="2" t="s">
        <v>5</v>
      </c>
      <c r="D10749" s="2" t="s">
        <v>9</v>
      </c>
      <c r="E10749" s="2" t="str">
        <f>"9783030996338"</f>
        <v>9783030996338</v>
      </c>
      <c r="F10749" s="2" t="str">
        <f>"9783030996345"</f>
        <v>9783030996345</v>
      </c>
    </row>
    <row r="10750" spans="1:6" s="3" customFormat="1" ht="29.1" customHeight="1" x14ac:dyDescent="0.25">
      <c r="A10750" s="2" t="s">
        <v>21970</v>
      </c>
      <c r="B10750" s="2" t="s">
        <v>21971</v>
      </c>
      <c r="C10750" s="2" t="s">
        <v>5</v>
      </c>
      <c r="D10750" s="2" t="s">
        <v>12</v>
      </c>
      <c r="E10750" s="2" t="str">
        <f>"9789400770607"</f>
        <v>9789400770607</v>
      </c>
      <c r="F10750" s="2" t="str">
        <f>"9789400770614"</f>
        <v>9789400770614</v>
      </c>
    </row>
    <row r="10751" spans="1:6" s="3" customFormat="1" ht="29.1" customHeight="1" x14ac:dyDescent="0.25">
      <c r="A10751" s="2" t="s">
        <v>21972</v>
      </c>
      <c r="B10751" s="2" t="s">
        <v>21973</v>
      </c>
      <c r="C10751" s="2" t="s">
        <v>5</v>
      </c>
      <c r="D10751" s="2" t="s">
        <v>6511</v>
      </c>
      <c r="E10751" s="2" t="str">
        <f>"9783030827588"</f>
        <v>9783030827588</v>
      </c>
      <c r="F10751" s="2" t="str">
        <f>"9783030827595"</f>
        <v>9783030827595</v>
      </c>
    </row>
    <row r="10752" spans="1:6" s="3" customFormat="1" ht="29.1" customHeight="1" x14ac:dyDescent="0.25">
      <c r="A10752" s="2" t="s">
        <v>21974</v>
      </c>
      <c r="B10752" s="2" t="s">
        <v>21975</v>
      </c>
      <c r="C10752" s="2" t="s">
        <v>5</v>
      </c>
      <c r="D10752" s="2" t="s">
        <v>9</v>
      </c>
      <c r="E10752" s="2" t="str">
        <f>"9789811542756"</f>
        <v>9789811542756</v>
      </c>
      <c r="F10752" s="2" t="str">
        <f>"9789811542763"</f>
        <v>9789811542763</v>
      </c>
    </row>
    <row r="10753" spans="1:6" s="3" customFormat="1" ht="29.1" customHeight="1" x14ac:dyDescent="0.25">
      <c r="A10753" s="2" t="s">
        <v>21976</v>
      </c>
      <c r="B10753" s="2" t="s">
        <v>21977</v>
      </c>
      <c r="C10753" s="2" t="s">
        <v>5</v>
      </c>
      <c r="D10753" s="2" t="s">
        <v>183</v>
      </c>
      <c r="E10753" s="2" t="str">
        <f>"9783030045753"</f>
        <v>9783030045753</v>
      </c>
      <c r="F10753" s="2" t="str">
        <f>"9783030045760"</f>
        <v>9783030045760</v>
      </c>
    </row>
    <row r="10754" spans="1:6" s="3" customFormat="1" ht="29.1" customHeight="1" x14ac:dyDescent="0.25">
      <c r="A10754" s="2" t="s">
        <v>21978</v>
      </c>
      <c r="B10754" s="2" t="s">
        <v>21979</v>
      </c>
      <c r="C10754" s="2" t="s">
        <v>5</v>
      </c>
      <c r="D10754" s="2" t="s">
        <v>674</v>
      </c>
      <c r="E10754" s="2" t="str">
        <f>"9789812872449"</f>
        <v>9789812872449</v>
      </c>
      <c r="F10754" s="2" t="str">
        <f>"9789812872456"</f>
        <v>9789812872456</v>
      </c>
    </row>
    <row r="10755" spans="1:6" s="3" customFormat="1" ht="29.1" customHeight="1" x14ac:dyDescent="0.25">
      <c r="A10755" s="2" t="s">
        <v>21980</v>
      </c>
      <c r="B10755" s="2" t="s">
        <v>21981</v>
      </c>
      <c r="C10755" s="2" t="s">
        <v>5</v>
      </c>
      <c r="D10755" s="2" t="s">
        <v>4783</v>
      </c>
      <c r="E10755" s="2" t="str">
        <f>"9789811652097"</f>
        <v>9789811652097</v>
      </c>
      <c r="F10755" s="2" t="str">
        <f>"9789811652103"</f>
        <v>9789811652103</v>
      </c>
    </row>
    <row r="10756" spans="1:6" s="3" customFormat="1" ht="29.1" customHeight="1" x14ac:dyDescent="0.25">
      <c r="A10756" s="2" t="s">
        <v>21982</v>
      </c>
      <c r="B10756" s="2" t="s">
        <v>21983</v>
      </c>
      <c r="C10756" s="2" t="s">
        <v>5</v>
      </c>
      <c r="D10756" s="2" t="s">
        <v>1878</v>
      </c>
      <c r="E10756" s="2" t="str">
        <f>"9789811629037"</f>
        <v>9789811629037</v>
      </c>
      <c r="F10756" s="2" t="str">
        <f>"9789811629044"</f>
        <v>9789811629044</v>
      </c>
    </row>
    <row r="10757" spans="1:6" s="3" customFormat="1" ht="29.1" customHeight="1" x14ac:dyDescent="0.25">
      <c r="A10757" s="2" t="s">
        <v>21984</v>
      </c>
      <c r="B10757" s="2" t="s">
        <v>21985</v>
      </c>
      <c r="C10757" s="2" t="s">
        <v>5</v>
      </c>
      <c r="D10757" s="2" t="s">
        <v>9205</v>
      </c>
      <c r="E10757" s="2" t="str">
        <f>"9783031446405"</f>
        <v>9783031446405</v>
      </c>
      <c r="F10757" s="2" t="str">
        <f>"9783031446412"</f>
        <v>9783031446412</v>
      </c>
    </row>
    <row r="10758" spans="1:6" s="3" customFormat="1" ht="29.1" customHeight="1" x14ac:dyDescent="0.25">
      <c r="A10758" s="2" t="s">
        <v>21986</v>
      </c>
      <c r="B10758" s="2" t="s">
        <v>21987</v>
      </c>
      <c r="C10758" s="2" t="s">
        <v>5</v>
      </c>
      <c r="D10758" s="2" t="s">
        <v>19769</v>
      </c>
      <c r="E10758" s="2" t="str">
        <f>"9783030601232"</f>
        <v>9783030601232</v>
      </c>
      <c r="F10758" s="2" t="str">
        <f>"9783030601249"</f>
        <v>9783030601249</v>
      </c>
    </row>
    <row r="10759" spans="1:6" s="3" customFormat="1" ht="29.1" customHeight="1" x14ac:dyDescent="0.25">
      <c r="A10759" s="2" t="s">
        <v>21988</v>
      </c>
      <c r="B10759" s="2" t="s">
        <v>21989</v>
      </c>
      <c r="C10759" s="2" t="s">
        <v>5</v>
      </c>
      <c r="D10759" s="2" t="s">
        <v>1878</v>
      </c>
      <c r="E10759" s="2" t="str">
        <f>"9783319584119"</f>
        <v>9783319584119</v>
      </c>
      <c r="F10759" s="2" t="str">
        <f>"9783319584126"</f>
        <v>9783319584126</v>
      </c>
    </row>
    <row r="10760" spans="1:6" s="3" customFormat="1" ht="29.1" customHeight="1" x14ac:dyDescent="0.25">
      <c r="A10760" s="2" t="s">
        <v>21990</v>
      </c>
      <c r="B10760" s="2" t="s">
        <v>21991</v>
      </c>
      <c r="C10760" s="2" t="s">
        <v>5</v>
      </c>
      <c r="D10760" s="2" t="s">
        <v>1878</v>
      </c>
      <c r="E10760" s="2" t="str">
        <f>"9783319440958"</f>
        <v>9783319440958</v>
      </c>
      <c r="F10760" s="2" t="str">
        <f>"9783319440972"</f>
        <v>9783319440972</v>
      </c>
    </row>
    <row r="10761" spans="1:6" s="3" customFormat="1" ht="29.1" customHeight="1" x14ac:dyDescent="0.25">
      <c r="A10761" s="2" t="s">
        <v>21992</v>
      </c>
      <c r="B10761" s="2" t="s">
        <v>21993</v>
      </c>
      <c r="C10761" s="2" t="s">
        <v>5</v>
      </c>
      <c r="D10761" s="2" t="s">
        <v>20094</v>
      </c>
      <c r="E10761" s="2" t="str">
        <f>"9783319656267"</f>
        <v>9783319656267</v>
      </c>
      <c r="F10761" s="2" t="str">
        <f>"9783319656274"</f>
        <v>9783319656274</v>
      </c>
    </row>
    <row r="10762" spans="1:6" s="3" customFormat="1" ht="29.1" customHeight="1" x14ac:dyDescent="0.25">
      <c r="A10762" s="2" t="s">
        <v>21994</v>
      </c>
      <c r="B10762" s="2" t="s">
        <v>21995</v>
      </c>
      <c r="C10762" s="2" t="s">
        <v>5</v>
      </c>
      <c r="D10762" s="2" t="s">
        <v>20094</v>
      </c>
      <c r="E10762" s="2" t="str">
        <f>"9783319205908"</f>
        <v>9783319205908</v>
      </c>
      <c r="F10762" s="2" t="str">
        <f>"9783319205915"</f>
        <v>9783319205915</v>
      </c>
    </row>
    <row r="10763" spans="1:6" s="3" customFormat="1" ht="29.1" customHeight="1" x14ac:dyDescent="0.25">
      <c r="A10763" s="2" t="s">
        <v>21996</v>
      </c>
      <c r="B10763" s="2" t="s">
        <v>21997</v>
      </c>
      <c r="C10763" s="2" t="s">
        <v>5</v>
      </c>
      <c r="D10763" s="2" t="s">
        <v>297</v>
      </c>
      <c r="E10763" s="2" t="str">
        <f>"9783319000251"</f>
        <v>9783319000251</v>
      </c>
      <c r="F10763" s="2" t="str">
        <f>"9783319000268"</f>
        <v>9783319000268</v>
      </c>
    </row>
    <row r="10764" spans="1:6" s="3" customFormat="1" ht="29.1" customHeight="1" x14ac:dyDescent="0.25">
      <c r="A10764" s="2" t="s">
        <v>21998</v>
      </c>
      <c r="B10764" s="2" t="s">
        <v>21999</v>
      </c>
      <c r="C10764" s="2" t="s">
        <v>5</v>
      </c>
      <c r="D10764" s="2" t="s">
        <v>20602</v>
      </c>
      <c r="E10764" s="2" t="str">
        <f>"9783319967516"</f>
        <v>9783319967516</v>
      </c>
      <c r="F10764" s="2" t="str">
        <f>"9783319967523"</f>
        <v>9783319967523</v>
      </c>
    </row>
    <row r="10765" spans="1:6" s="3" customFormat="1" ht="29.1" customHeight="1" x14ac:dyDescent="0.25">
      <c r="A10765" s="2" t="s">
        <v>22000</v>
      </c>
      <c r="B10765" s="2" t="s">
        <v>22001</v>
      </c>
      <c r="C10765" s="2" t="s">
        <v>5</v>
      </c>
      <c r="D10765" s="2" t="s">
        <v>12</v>
      </c>
      <c r="E10765" s="2" t="str">
        <f>"9783031207396"</f>
        <v>9783031207396</v>
      </c>
      <c r="F10765" s="2" t="str">
        <f>"9783031207402"</f>
        <v>9783031207402</v>
      </c>
    </row>
    <row r="10766" spans="1:6" s="3" customFormat="1" ht="29.1" customHeight="1" x14ac:dyDescent="0.25">
      <c r="A10766" s="2" t="s">
        <v>22002</v>
      </c>
      <c r="B10766" s="2" t="s">
        <v>22004</v>
      </c>
      <c r="C10766" s="2" t="s">
        <v>5</v>
      </c>
      <c r="D10766" s="2" t="s">
        <v>22003</v>
      </c>
      <c r="E10766" s="2" t="str">
        <f>"9783658313210"</f>
        <v>9783658313210</v>
      </c>
      <c r="F10766" s="2" t="str">
        <f>"9783658313227"</f>
        <v>9783658313227</v>
      </c>
    </row>
    <row r="10767" spans="1:6" s="3" customFormat="1" ht="29.1" customHeight="1" x14ac:dyDescent="0.25">
      <c r="A10767" s="2" t="s">
        <v>22005</v>
      </c>
      <c r="B10767" s="2" t="s">
        <v>22006</v>
      </c>
      <c r="C10767" s="2" t="s">
        <v>5</v>
      </c>
      <c r="D10767" s="2" t="s">
        <v>1867</v>
      </c>
      <c r="E10767" s="2" t="str">
        <f>"9783031072888"</f>
        <v>9783031072888</v>
      </c>
      <c r="F10767" s="2" t="str">
        <f>"9783031072895"</f>
        <v>9783031072895</v>
      </c>
    </row>
    <row r="10768" spans="1:6" s="3" customFormat="1" ht="29.1" customHeight="1" x14ac:dyDescent="0.25">
      <c r="A10768" s="2" t="s">
        <v>22007</v>
      </c>
      <c r="B10768" s="2" t="s">
        <v>22008</v>
      </c>
      <c r="C10768" s="2" t="s">
        <v>5</v>
      </c>
      <c r="D10768" s="2" t="s">
        <v>699</v>
      </c>
      <c r="E10768" s="2" t="str">
        <f>"9783031043321"</f>
        <v>9783031043321</v>
      </c>
      <c r="F10768" s="2" t="str">
        <f>"9783031043338"</f>
        <v>9783031043338</v>
      </c>
    </row>
    <row r="10769" spans="1:6" s="3" customFormat="1" ht="29.1" customHeight="1" x14ac:dyDescent="0.25">
      <c r="A10769" s="2" t="s">
        <v>22009</v>
      </c>
      <c r="B10769" s="2" t="s">
        <v>22010</v>
      </c>
      <c r="C10769" s="2" t="s">
        <v>5</v>
      </c>
      <c r="D10769" s="2" t="s">
        <v>4002</v>
      </c>
      <c r="E10769" s="2" t="str">
        <f>"9783030978259"</f>
        <v>9783030978259</v>
      </c>
      <c r="F10769" s="2" t="str">
        <f>"9783030978266"</f>
        <v>9783030978266</v>
      </c>
    </row>
    <row r="10770" spans="1:6" s="3" customFormat="1" ht="29.1" customHeight="1" x14ac:dyDescent="0.25">
      <c r="A10770" s="2" t="s">
        <v>22011</v>
      </c>
      <c r="B10770" s="2" t="s">
        <v>22012</v>
      </c>
      <c r="C10770" s="2" t="s">
        <v>5</v>
      </c>
      <c r="D10770" s="2" t="s">
        <v>791</v>
      </c>
      <c r="E10770" s="2" t="str">
        <f>"9783030853211"</f>
        <v>9783030853211</v>
      </c>
      <c r="F10770" s="2" t="str">
        <f>"9783030853228"</f>
        <v>9783030853228</v>
      </c>
    </row>
    <row r="10771" spans="1:6" s="3" customFormat="1" ht="29.1" customHeight="1" x14ac:dyDescent="0.25">
      <c r="A10771" s="2" t="s">
        <v>22013</v>
      </c>
      <c r="B10771" s="2" t="s">
        <v>22014</v>
      </c>
      <c r="C10771" s="2" t="s">
        <v>5</v>
      </c>
      <c r="D10771" s="2" t="s">
        <v>6994</v>
      </c>
      <c r="E10771" s="2" t="str">
        <f>"9783030812065"</f>
        <v>9783030812065</v>
      </c>
      <c r="F10771" s="2" t="str">
        <f>"9783030812072"</f>
        <v>9783030812072</v>
      </c>
    </row>
    <row r="10772" spans="1:6" s="3" customFormat="1" ht="29.1" customHeight="1" x14ac:dyDescent="0.25">
      <c r="A10772" s="2" t="s">
        <v>22015</v>
      </c>
      <c r="B10772" s="2" t="s">
        <v>22016</v>
      </c>
      <c r="C10772" s="2" t="s">
        <v>5</v>
      </c>
      <c r="D10772" s="2" t="s">
        <v>2168</v>
      </c>
      <c r="E10772" s="2" t="str">
        <f>"9783030708832"</f>
        <v>9783030708832</v>
      </c>
      <c r="F10772" s="2" t="str">
        <f>"9783030708849"</f>
        <v>9783030708849</v>
      </c>
    </row>
    <row r="10773" spans="1:6" s="3" customFormat="1" ht="29.1" customHeight="1" x14ac:dyDescent="0.25">
      <c r="A10773" s="2" t="s">
        <v>22017</v>
      </c>
      <c r="B10773" s="2" t="s">
        <v>22018</v>
      </c>
      <c r="C10773" s="2" t="s">
        <v>5</v>
      </c>
      <c r="D10773" s="2" t="s">
        <v>5716</v>
      </c>
      <c r="E10773" s="2" t="str">
        <f>"9789819944125"</f>
        <v>9789819944125</v>
      </c>
      <c r="F10773" s="2" t="str">
        <f>"9789819944132"</f>
        <v>9789819944132</v>
      </c>
    </row>
    <row r="10774" spans="1:6" s="3" customFormat="1" ht="29.1" customHeight="1" x14ac:dyDescent="0.25">
      <c r="A10774" s="2" t="s">
        <v>22019</v>
      </c>
      <c r="B10774" s="2" t="s">
        <v>22020</v>
      </c>
      <c r="C10774" s="2" t="s">
        <v>5</v>
      </c>
      <c r="D10774" s="2" t="s">
        <v>5716</v>
      </c>
      <c r="E10774" s="2" t="str">
        <f>"9789811907623"</f>
        <v>9789811907623</v>
      </c>
      <c r="F10774" s="2" t="str">
        <f>"9789811907630"</f>
        <v>9789811907630</v>
      </c>
    </row>
    <row r="10775" spans="1:6" s="3" customFormat="1" ht="29.1" customHeight="1" x14ac:dyDescent="0.25">
      <c r="A10775" s="2" t="s">
        <v>22021</v>
      </c>
      <c r="B10775" s="2" t="s">
        <v>22022</v>
      </c>
      <c r="C10775" s="2" t="s">
        <v>5</v>
      </c>
      <c r="D10775" s="2" t="s">
        <v>5716</v>
      </c>
      <c r="E10775" s="2" t="str">
        <f>"9789813342675"</f>
        <v>9789813342675</v>
      </c>
      <c r="F10775" s="2" t="str">
        <f>"9789813342682"</f>
        <v>9789813342682</v>
      </c>
    </row>
    <row r="10776" spans="1:6" s="3" customFormat="1" ht="29.1" customHeight="1" x14ac:dyDescent="0.25">
      <c r="A10776" s="2" t="s">
        <v>22023</v>
      </c>
      <c r="B10776" s="2" t="s">
        <v>22024</v>
      </c>
      <c r="C10776" s="2" t="s">
        <v>5</v>
      </c>
      <c r="D10776" s="2" t="s">
        <v>5716</v>
      </c>
      <c r="E10776" s="2" t="str">
        <f>"9789811593345"</f>
        <v>9789811593345</v>
      </c>
      <c r="F10776" s="2" t="str">
        <f>"9789811593352"</f>
        <v>9789811593352</v>
      </c>
    </row>
    <row r="10777" spans="1:6" s="3" customFormat="1" ht="29.1" customHeight="1" x14ac:dyDescent="0.25">
      <c r="A10777" s="2" t="s">
        <v>22025</v>
      </c>
      <c r="B10777" s="2" t="s">
        <v>22026</v>
      </c>
      <c r="C10777" s="2" t="s">
        <v>5</v>
      </c>
      <c r="D10777" s="2" t="s">
        <v>192</v>
      </c>
      <c r="E10777" s="2" t="str">
        <f>"9783030498245"</f>
        <v>9783030498245</v>
      </c>
      <c r="F10777" s="2" t="str">
        <f>"9783030498252"</f>
        <v>9783030498252</v>
      </c>
    </row>
    <row r="10778" spans="1:6" s="3" customFormat="1" ht="29.1" customHeight="1" x14ac:dyDescent="0.25">
      <c r="A10778" s="2" t="s">
        <v>22027</v>
      </c>
      <c r="B10778" s="2" t="s">
        <v>22028</v>
      </c>
      <c r="C10778" s="2" t="s">
        <v>5</v>
      </c>
      <c r="D10778" s="2" t="s">
        <v>101</v>
      </c>
      <c r="E10778" s="2" t="str">
        <f>"9783031157455"</f>
        <v>9783031157455</v>
      </c>
      <c r="F10778" s="2" t="str">
        <f>"9783031157462"</f>
        <v>9783031157462</v>
      </c>
    </row>
    <row r="10779" spans="1:6" s="3" customFormat="1" ht="29.1" customHeight="1" x14ac:dyDescent="0.25">
      <c r="A10779" s="2" t="s">
        <v>22029</v>
      </c>
      <c r="B10779" s="2" t="s">
        <v>22030</v>
      </c>
      <c r="C10779" s="2" t="s">
        <v>5</v>
      </c>
      <c r="D10779" s="2" t="s">
        <v>183</v>
      </c>
      <c r="E10779" s="2" t="str">
        <f>"9783031330988"</f>
        <v>9783031330988</v>
      </c>
      <c r="F10779" s="2" t="str">
        <f>"9783031330995"</f>
        <v>9783031330995</v>
      </c>
    </row>
    <row r="10780" spans="1:6" s="3" customFormat="1" ht="29.1" customHeight="1" x14ac:dyDescent="0.25">
      <c r="A10780" s="2" t="s">
        <v>22031</v>
      </c>
      <c r="B10780" s="2" t="s">
        <v>22032</v>
      </c>
      <c r="C10780" s="2" t="s">
        <v>5</v>
      </c>
      <c r="D10780" s="2" t="s">
        <v>818</v>
      </c>
      <c r="E10780" s="2" t="str">
        <f>"9783030603953"</f>
        <v>9783030603953</v>
      </c>
      <c r="F10780" s="2" t="str">
        <f>"9783030603960"</f>
        <v>9783030603960</v>
      </c>
    </row>
    <row r="10781" spans="1:6" s="3" customFormat="1" ht="29.1" customHeight="1" x14ac:dyDescent="0.25">
      <c r="A10781" s="2" t="s">
        <v>22033</v>
      </c>
      <c r="B10781" s="2" t="s">
        <v>22034</v>
      </c>
      <c r="C10781" s="2" t="s">
        <v>5</v>
      </c>
      <c r="D10781" s="2" t="s">
        <v>479</v>
      </c>
      <c r="E10781" s="2" t="str">
        <f>"9783030208998"</f>
        <v>9783030208998</v>
      </c>
      <c r="F10781" s="2" t="str">
        <f>"9783030209001"</f>
        <v>9783030209001</v>
      </c>
    </row>
    <row r="10782" spans="1:6" s="3" customFormat="1" ht="29.1" customHeight="1" x14ac:dyDescent="0.25">
      <c r="A10782" s="2" t="s">
        <v>22035</v>
      </c>
      <c r="B10782" s="2" t="s">
        <v>22036</v>
      </c>
      <c r="C10782" s="2" t="s">
        <v>5</v>
      </c>
      <c r="D10782" s="2" t="s">
        <v>44</v>
      </c>
      <c r="E10782" s="2" t="str">
        <f>"9789813367333"</f>
        <v>9789813367333</v>
      </c>
      <c r="F10782" s="2" t="str">
        <f>"9789813367340"</f>
        <v>9789813367340</v>
      </c>
    </row>
    <row r="10783" spans="1:6" s="3" customFormat="1" ht="29.1" customHeight="1" x14ac:dyDescent="0.25">
      <c r="A10783" s="2" t="s">
        <v>22037</v>
      </c>
      <c r="B10783" s="2" t="s">
        <v>22038</v>
      </c>
      <c r="C10783" s="2" t="s">
        <v>5</v>
      </c>
      <c r="D10783" s="2" t="s">
        <v>302</v>
      </c>
      <c r="E10783" s="2" t="str">
        <f>"9783642546778"</f>
        <v>9783642546778</v>
      </c>
      <c r="F10783" s="2" t="str">
        <f>"9783642546785"</f>
        <v>9783642546785</v>
      </c>
    </row>
    <row r="10784" spans="1:6" s="3" customFormat="1" ht="29.1" customHeight="1" x14ac:dyDescent="0.25">
      <c r="A10784" s="2" t="s">
        <v>22039</v>
      </c>
      <c r="B10784" s="2" t="s">
        <v>22040</v>
      </c>
      <c r="C10784" s="2" t="s">
        <v>5</v>
      </c>
      <c r="D10784" s="2" t="s">
        <v>270</v>
      </c>
      <c r="E10784" s="2" t="str">
        <f>"9783031169045"</f>
        <v>9783031169045</v>
      </c>
      <c r="F10784" s="2" t="str">
        <f>"9783031169052"</f>
        <v>9783031169052</v>
      </c>
    </row>
    <row r="10785" spans="1:6" s="3" customFormat="1" ht="29.1" customHeight="1" x14ac:dyDescent="0.25">
      <c r="A10785" s="2" t="s">
        <v>22041</v>
      </c>
      <c r="B10785" s="2" t="s">
        <v>21144</v>
      </c>
      <c r="C10785" s="2" t="s">
        <v>5</v>
      </c>
      <c r="D10785" s="2" t="s">
        <v>501</v>
      </c>
      <c r="E10785" s="2" t="str">
        <f>"9783319544625"</f>
        <v>9783319544625</v>
      </c>
      <c r="F10785" s="2" t="str">
        <f>"9783319544632"</f>
        <v>9783319544632</v>
      </c>
    </row>
    <row r="10786" spans="1:6" s="3" customFormat="1" ht="29.1" customHeight="1" x14ac:dyDescent="0.25">
      <c r="A10786" s="2" t="s">
        <v>22042</v>
      </c>
      <c r="B10786" s="2" t="s">
        <v>21144</v>
      </c>
      <c r="C10786" s="2" t="s">
        <v>5</v>
      </c>
      <c r="D10786" s="2" t="s">
        <v>4002</v>
      </c>
      <c r="E10786" s="2" t="str">
        <f>"9783319038193"</f>
        <v>9783319038193</v>
      </c>
      <c r="F10786" s="2" t="str">
        <f>"9783319038209"</f>
        <v>9783319038209</v>
      </c>
    </row>
    <row r="10787" spans="1:6" s="3" customFormat="1" ht="29.1" customHeight="1" x14ac:dyDescent="0.25">
      <c r="A10787" s="2" t="s">
        <v>22043</v>
      </c>
      <c r="B10787" s="2" t="s">
        <v>22044</v>
      </c>
      <c r="C10787" s="2" t="s">
        <v>5</v>
      </c>
      <c r="D10787" s="2" t="s">
        <v>3062</v>
      </c>
      <c r="E10787" s="2" t="str">
        <f>"9783031135118"</f>
        <v>9783031135118</v>
      </c>
      <c r="F10787" s="2" t="str">
        <f>"9783031135125"</f>
        <v>9783031135125</v>
      </c>
    </row>
    <row r="10788" spans="1:6" s="3" customFormat="1" ht="29.1" customHeight="1" x14ac:dyDescent="0.25">
      <c r="A10788" s="2" t="s">
        <v>22045</v>
      </c>
      <c r="B10788" s="2" t="s">
        <v>22046</v>
      </c>
      <c r="C10788" s="2" t="s">
        <v>5</v>
      </c>
      <c r="D10788" s="2" t="s">
        <v>3062</v>
      </c>
      <c r="E10788" s="2" t="str">
        <f>"9783031122231"</f>
        <v>9783031122231</v>
      </c>
      <c r="F10788" s="2" t="str">
        <f>"9783031122248"</f>
        <v>9783031122248</v>
      </c>
    </row>
    <row r="10789" spans="1:6" s="3" customFormat="1" ht="29.1" customHeight="1" x14ac:dyDescent="0.25">
      <c r="A10789" s="2" t="s">
        <v>22047</v>
      </c>
      <c r="B10789" s="2" t="s">
        <v>22048</v>
      </c>
      <c r="C10789" s="2" t="s">
        <v>5</v>
      </c>
      <c r="D10789" s="2" t="s">
        <v>3062</v>
      </c>
      <c r="E10789" s="2" t="str">
        <f>"9783031112713"</f>
        <v>9783031112713</v>
      </c>
      <c r="F10789" s="2" t="str">
        <f>"9783031112720"</f>
        <v>9783031112720</v>
      </c>
    </row>
    <row r="10790" spans="1:6" s="3" customFormat="1" ht="29.1" customHeight="1" x14ac:dyDescent="0.25">
      <c r="A10790" s="2" t="s">
        <v>22049</v>
      </c>
      <c r="B10790" s="2" t="s">
        <v>22050</v>
      </c>
      <c r="C10790" s="2" t="s">
        <v>5</v>
      </c>
      <c r="D10790" s="2" t="s">
        <v>3062</v>
      </c>
      <c r="E10790" s="2" t="str">
        <f>"9783030445744"</f>
        <v>9783030445744</v>
      </c>
      <c r="F10790" s="2" t="str">
        <f>"9783030445751"</f>
        <v>9783030445751</v>
      </c>
    </row>
    <row r="10791" spans="1:6" s="3" customFormat="1" ht="29.1" customHeight="1" x14ac:dyDescent="0.25">
      <c r="A10791" s="2" t="s">
        <v>22051</v>
      </c>
      <c r="B10791" s="2" t="s">
        <v>22052</v>
      </c>
      <c r="C10791" s="2" t="s">
        <v>5</v>
      </c>
      <c r="D10791" s="2" t="s">
        <v>347</v>
      </c>
      <c r="E10791" s="2" t="str">
        <f>"9783319895567"</f>
        <v>9783319895567</v>
      </c>
      <c r="F10791" s="2" t="str">
        <f>"9783319895574"</f>
        <v>9783319895574</v>
      </c>
    </row>
    <row r="10792" spans="1:6" s="3" customFormat="1" ht="29.1" customHeight="1" x14ac:dyDescent="0.25">
      <c r="A10792" s="2" t="s">
        <v>22053</v>
      </c>
      <c r="B10792" s="2" t="s">
        <v>22054</v>
      </c>
      <c r="C10792" s="2" t="s">
        <v>5</v>
      </c>
      <c r="D10792" s="2" t="s">
        <v>78</v>
      </c>
      <c r="E10792" s="2" t="str">
        <f>"9789402411393"</f>
        <v>9789402411393</v>
      </c>
      <c r="F10792" s="2" t="str">
        <f>"9789402411416"</f>
        <v>9789402411416</v>
      </c>
    </row>
    <row r="10793" spans="1:6" s="3" customFormat="1" ht="29.1" customHeight="1" x14ac:dyDescent="0.25">
      <c r="A10793" s="2" t="s">
        <v>22055</v>
      </c>
      <c r="B10793" s="2" t="s">
        <v>22056</v>
      </c>
      <c r="C10793" s="2" t="s">
        <v>5</v>
      </c>
      <c r="D10793" s="2" t="s">
        <v>855</v>
      </c>
      <c r="E10793" s="2" t="str">
        <f>"9783319429687"</f>
        <v>9783319429687</v>
      </c>
      <c r="F10793" s="2" t="str">
        <f>"9783319429700"</f>
        <v>9783319429700</v>
      </c>
    </row>
    <row r="10794" spans="1:6" s="3" customFormat="1" ht="29.1" customHeight="1" x14ac:dyDescent="0.25">
      <c r="A10794" s="2" t="s">
        <v>22057</v>
      </c>
      <c r="B10794" s="2" t="s">
        <v>22058</v>
      </c>
      <c r="C10794" s="2" t="s">
        <v>5</v>
      </c>
      <c r="D10794" s="2" t="s">
        <v>183</v>
      </c>
      <c r="E10794" s="2" t="str">
        <f>"9783319397528"</f>
        <v>9783319397528</v>
      </c>
      <c r="F10794" s="2" t="str">
        <f>"9783319397542"</f>
        <v>9783319397542</v>
      </c>
    </row>
    <row r="10795" spans="1:6" s="3" customFormat="1" ht="29.1" customHeight="1" x14ac:dyDescent="0.25">
      <c r="A10795" s="2" t="s">
        <v>22059</v>
      </c>
      <c r="B10795" s="2" t="s">
        <v>22060</v>
      </c>
      <c r="C10795" s="2" t="s">
        <v>5</v>
      </c>
      <c r="D10795" s="2" t="s">
        <v>183</v>
      </c>
      <c r="E10795" s="2" t="str">
        <f>"9783319241555"</f>
        <v>9783319241555</v>
      </c>
      <c r="F10795" s="2" t="str">
        <f>"9783319241579"</f>
        <v>9783319241579</v>
      </c>
    </row>
    <row r="10796" spans="1:6" s="3" customFormat="1" ht="29.1" customHeight="1" x14ac:dyDescent="0.25">
      <c r="A10796" s="2" t="s">
        <v>22061</v>
      </c>
      <c r="B10796" s="2" t="s">
        <v>22062</v>
      </c>
      <c r="C10796" s="2" t="s">
        <v>5</v>
      </c>
      <c r="D10796" s="2" t="s">
        <v>101</v>
      </c>
      <c r="E10796" s="2" t="str">
        <f>"9783319204833"</f>
        <v>9783319204833</v>
      </c>
      <c r="F10796" s="2" t="str">
        <f>"9783319204840"</f>
        <v>9783319204840</v>
      </c>
    </row>
    <row r="10797" spans="1:6" s="3" customFormat="1" ht="29.1" customHeight="1" x14ac:dyDescent="0.25">
      <c r="A10797" s="2" t="s">
        <v>22063</v>
      </c>
      <c r="B10797" s="2" t="s">
        <v>22064</v>
      </c>
      <c r="C10797" s="2" t="s">
        <v>5</v>
      </c>
      <c r="D10797" s="2" t="s">
        <v>44</v>
      </c>
      <c r="E10797" s="2" t="str">
        <f>"9783030399696"</f>
        <v>9783030399696</v>
      </c>
      <c r="F10797" s="2" t="str">
        <f>"9783030399702"</f>
        <v>9783030399702</v>
      </c>
    </row>
    <row r="10798" spans="1:6" s="3" customFormat="1" ht="29.1" customHeight="1" x14ac:dyDescent="0.25">
      <c r="A10798" s="2" t="s">
        <v>22065</v>
      </c>
      <c r="B10798" s="2" t="s">
        <v>22066</v>
      </c>
      <c r="C10798" s="2" t="s">
        <v>5</v>
      </c>
      <c r="D10798" s="2" t="s">
        <v>12872</v>
      </c>
      <c r="E10798" s="2" t="str">
        <f>"9783030233693"</f>
        <v>9783030233693</v>
      </c>
      <c r="F10798" s="2" t="str">
        <f>"9783030233709"</f>
        <v>9783030233709</v>
      </c>
    </row>
    <row r="10799" spans="1:6" s="3" customFormat="1" ht="29.1" customHeight="1" x14ac:dyDescent="0.25">
      <c r="A10799" s="2" t="s">
        <v>22067</v>
      </c>
      <c r="B10799" s="2" t="s">
        <v>22068</v>
      </c>
      <c r="C10799" s="2" t="s">
        <v>5</v>
      </c>
      <c r="D10799" s="2" t="s">
        <v>92</v>
      </c>
      <c r="E10799" s="2" t="str">
        <f>"9783030528720"</f>
        <v>9783030528720</v>
      </c>
      <c r="F10799" s="2" t="str">
        <f>"9783030528737"</f>
        <v>9783030528737</v>
      </c>
    </row>
    <row r="10800" spans="1:6" s="3" customFormat="1" ht="29.1" customHeight="1" x14ac:dyDescent="0.25">
      <c r="A10800" s="2" t="s">
        <v>22069</v>
      </c>
      <c r="B10800" s="2" t="s">
        <v>22071</v>
      </c>
      <c r="C10800" s="2" t="s">
        <v>5</v>
      </c>
      <c r="D10800" s="2" t="s">
        <v>22070</v>
      </c>
      <c r="E10800" s="2" t="str">
        <f>"9783030267315"</f>
        <v>9783030267315</v>
      </c>
      <c r="F10800" s="2" t="str">
        <f>"9783030267322"</f>
        <v>9783030267322</v>
      </c>
    </row>
    <row r="10801" spans="1:6" s="3" customFormat="1" ht="29.1" customHeight="1" x14ac:dyDescent="0.25">
      <c r="A10801" s="2" t="s">
        <v>22072</v>
      </c>
      <c r="B10801" s="2" t="s">
        <v>22073</v>
      </c>
      <c r="C10801" s="2" t="s">
        <v>5</v>
      </c>
      <c r="D10801" s="2" t="s">
        <v>6</v>
      </c>
      <c r="E10801" s="2" t="str">
        <f>"9783319656328"</f>
        <v>9783319656328</v>
      </c>
      <c r="F10801" s="2" t="str">
        <f>"9783319656335"</f>
        <v>9783319656335</v>
      </c>
    </row>
    <row r="10802" spans="1:6" s="3" customFormat="1" ht="29.1" customHeight="1" x14ac:dyDescent="0.25">
      <c r="A10802" s="2" t="s">
        <v>22074</v>
      </c>
      <c r="B10802" s="2" t="s">
        <v>22075</v>
      </c>
      <c r="C10802" s="2" t="s">
        <v>5</v>
      </c>
      <c r="D10802" s="2" t="s">
        <v>7296</v>
      </c>
      <c r="E10802" s="2" t="str">
        <f>"9783319201696"</f>
        <v>9783319201696</v>
      </c>
      <c r="F10802" s="2" t="str">
        <f>"9783319201702"</f>
        <v>9783319201702</v>
      </c>
    </row>
    <row r="10803" spans="1:6" s="3" customFormat="1" ht="29.1" customHeight="1" x14ac:dyDescent="0.25">
      <c r="A10803" s="2" t="s">
        <v>22076</v>
      </c>
      <c r="B10803" s="2" t="s">
        <v>22077</v>
      </c>
      <c r="C10803" s="2" t="s">
        <v>5</v>
      </c>
      <c r="D10803" s="2" t="s">
        <v>3489</v>
      </c>
      <c r="E10803" s="2" t="str">
        <f>"9783030442477"</f>
        <v>9783030442477</v>
      </c>
      <c r="F10803" s="2" t="str">
        <f>"9783030442484"</f>
        <v>9783030442484</v>
      </c>
    </row>
    <row r="10804" spans="1:6" s="3" customFormat="1" ht="29.1" customHeight="1" x14ac:dyDescent="0.25">
      <c r="A10804" s="2" t="s">
        <v>22078</v>
      </c>
      <c r="B10804" s="2" t="s">
        <v>22079</v>
      </c>
      <c r="C10804" s="2" t="s">
        <v>5</v>
      </c>
      <c r="D10804" s="2" t="s">
        <v>1189</v>
      </c>
      <c r="E10804" s="2" t="str">
        <f>"9783658376802"</f>
        <v>9783658376802</v>
      </c>
      <c r="F10804" s="2" t="str">
        <f>"9783658376819"</f>
        <v>9783658376819</v>
      </c>
    </row>
    <row r="10805" spans="1:6" s="3" customFormat="1" ht="29.1" customHeight="1" x14ac:dyDescent="0.25">
      <c r="A10805" s="2" t="s">
        <v>22080</v>
      </c>
      <c r="B10805" s="2" t="s">
        <v>22081</v>
      </c>
      <c r="C10805" s="2" t="s">
        <v>5</v>
      </c>
      <c r="D10805" s="2" t="s">
        <v>232</v>
      </c>
      <c r="E10805" s="2" t="str">
        <f>"9783319334455"</f>
        <v>9783319334455</v>
      </c>
      <c r="F10805" s="2" t="str">
        <f>"9783319334462"</f>
        <v>9783319334462</v>
      </c>
    </row>
    <row r="10806" spans="1:6" s="3" customFormat="1" ht="29.1" customHeight="1" x14ac:dyDescent="0.25">
      <c r="A10806" s="2" t="s">
        <v>22082</v>
      </c>
      <c r="B10806" s="2" t="s">
        <v>22083</v>
      </c>
      <c r="C10806" s="2" t="s">
        <v>5</v>
      </c>
      <c r="D10806" s="2" t="s">
        <v>20094</v>
      </c>
      <c r="E10806" s="2" t="str">
        <f>"9783319234243"</f>
        <v>9783319234243</v>
      </c>
      <c r="F10806" s="2" t="str">
        <f>"9783319234250"</f>
        <v>9783319234250</v>
      </c>
    </row>
    <row r="10807" spans="1:6" s="3" customFormat="1" ht="29.1" customHeight="1" x14ac:dyDescent="0.25">
      <c r="A10807" s="2" t="s">
        <v>22084</v>
      </c>
      <c r="B10807" s="2" t="s">
        <v>22085</v>
      </c>
      <c r="C10807" s="2" t="s">
        <v>5</v>
      </c>
      <c r="D10807" s="2" t="s">
        <v>183</v>
      </c>
      <c r="E10807" s="2" t="str">
        <f>"9783658421618"</f>
        <v>9783658421618</v>
      </c>
      <c r="F10807" s="2" t="str">
        <f>"9783658421625"</f>
        <v>9783658421625</v>
      </c>
    </row>
    <row r="10808" spans="1:6" s="3" customFormat="1" ht="29.1" customHeight="1" x14ac:dyDescent="0.25">
      <c r="A10808" s="2" t="s">
        <v>22086</v>
      </c>
      <c r="B10808" s="2" t="s">
        <v>22087</v>
      </c>
      <c r="C10808" s="2" t="s">
        <v>5</v>
      </c>
      <c r="D10808" s="2" t="s">
        <v>183</v>
      </c>
      <c r="E10808" s="2" t="str">
        <f>"9783658367039"</f>
        <v>9783658367039</v>
      </c>
      <c r="F10808" s="2" t="str">
        <f>"9783658367046"</f>
        <v>9783658367046</v>
      </c>
    </row>
    <row r="10809" spans="1:6" s="3" customFormat="1" ht="29.1" customHeight="1" x14ac:dyDescent="0.25">
      <c r="A10809" s="2" t="s">
        <v>22088</v>
      </c>
      <c r="B10809" s="2" t="s">
        <v>22089</v>
      </c>
      <c r="C10809" s="2" t="s">
        <v>5</v>
      </c>
      <c r="D10809" s="2" t="s">
        <v>2336</v>
      </c>
      <c r="E10809" s="2" t="str">
        <f>"9783658338541"</f>
        <v>9783658338541</v>
      </c>
      <c r="F10809" s="2" t="str">
        <f>"9783658338558"</f>
        <v>9783658338558</v>
      </c>
    </row>
    <row r="10810" spans="1:6" s="3" customFormat="1" ht="29.1" customHeight="1" x14ac:dyDescent="0.25">
      <c r="A10810" s="2" t="s">
        <v>22090</v>
      </c>
      <c r="B10810" s="2" t="s">
        <v>22091</v>
      </c>
      <c r="C10810" s="2" t="s">
        <v>5</v>
      </c>
      <c r="D10810" s="2" t="s">
        <v>183</v>
      </c>
      <c r="E10810" s="2" t="str">
        <f>"9783658330187"</f>
        <v>9783658330187</v>
      </c>
      <c r="F10810" s="2" t="str">
        <f>"9783658330194"</f>
        <v>9783658330194</v>
      </c>
    </row>
    <row r="10811" spans="1:6" s="3" customFormat="1" ht="29.1" customHeight="1" x14ac:dyDescent="0.25">
      <c r="A10811" s="2" t="s">
        <v>22092</v>
      </c>
      <c r="B10811" s="2" t="s">
        <v>22093</v>
      </c>
      <c r="C10811" s="2" t="s">
        <v>5</v>
      </c>
      <c r="D10811" s="2" t="s">
        <v>183</v>
      </c>
      <c r="E10811" s="2" t="str">
        <f>"9783031114465"</f>
        <v>9783031114465</v>
      </c>
      <c r="F10811" s="2" t="str">
        <f>"9783031114472"</f>
        <v>9783031114472</v>
      </c>
    </row>
    <row r="10812" spans="1:6" s="3" customFormat="1" ht="29.1" customHeight="1" x14ac:dyDescent="0.25">
      <c r="A10812" s="2" t="s">
        <v>22094</v>
      </c>
      <c r="B10812" s="2" t="s">
        <v>22095</v>
      </c>
      <c r="C10812" s="2" t="s">
        <v>5</v>
      </c>
      <c r="D10812" s="2" t="s">
        <v>855</v>
      </c>
      <c r="E10812" s="2" t="str">
        <f>"9783030663025"</f>
        <v>9783030663025</v>
      </c>
      <c r="F10812" s="2" t="str">
        <f>"9783030663032"</f>
        <v>9783030663032</v>
      </c>
    </row>
    <row r="10813" spans="1:6" s="3" customFormat="1" ht="29.1" customHeight="1" x14ac:dyDescent="0.25">
      <c r="A10813" s="2" t="s">
        <v>22096</v>
      </c>
      <c r="B10813" s="2" t="s">
        <v>22097</v>
      </c>
      <c r="C10813" s="2" t="s">
        <v>5</v>
      </c>
      <c r="D10813" s="2" t="s">
        <v>855</v>
      </c>
      <c r="E10813" s="2" t="str">
        <f>"9783030482985"</f>
        <v>9783030482985</v>
      </c>
      <c r="F10813" s="2" t="str">
        <f>"9783030482992"</f>
        <v>9783030482992</v>
      </c>
    </row>
    <row r="10814" spans="1:6" s="3" customFormat="1" ht="29.1" customHeight="1" x14ac:dyDescent="0.25">
      <c r="A10814" s="2" t="s">
        <v>22098</v>
      </c>
      <c r="B10814" s="2" t="s">
        <v>22099</v>
      </c>
      <c r="C10814" s="2" t="s">
        <v>5</v>
      </c>
      <c r="D10814" s="2" t="s">
        <v>183</v>
      </c>
      <c r="E10814" s="2" t="str">
        <f>"9783658392260"</f>
        <v>9783658392260</v>
      </c>
      <c r="F10814" s="2" t="str">
        <f>"9783658392277"</f>
        <v>9783658392277</v>
      </c>
    </row>
    <row r="10815" spans="1:6" s="3" customFormat="1" ht="29.1" customHeight="1" x14ac:dyDescent="0.25">
      <c r="A10815" s="2" t="s">
        <v>22100</v>
      </c>
      <c r="B10815" s="2" t="s">
        <v>22101</v>
      </c>
      <c r="C10815" s="2" t="s">
        <v>5</v>
      </c>
      <c r="D10815" s="2" t="s">
        <v>81</v>
      </c>
      <c r="E10815" s="2" t="str">
        <f>"9783031464164"</f>
        <v>9783031464164</v>
      </c>
      <c r="F10815" s="2" t="str">
        <f>"9783031464171"</f>
        <v>9783031464171</v>
      </c>
    </row>
    <row r="10816" spans="1:6" s="3" customFormat="1" ht="29.1" customHeight="1" x14ac:dyDescent="0.25">
      <c r="A10816" s="2" t="s">
        <v>22102</v>
      </c>
      <c r="B10816" s="2" t="s">
        <v>22103</v>
      </c>
      <c r="C10816" s="2" t="s">
        <v>5</v>
      </c>
      <c r="D10816" s="2" t="s">
        <v>168</v>
      </c>
      <c r="E10816" s="2" t="str">
        <f>"9783031192005"</f>
        <v>9783031192005</v>
      </c>
      <c r="F10816" s="2" t="str">
        <f>"9783031192012"</f>
        <v>9783031192012</v>
      </c>
    </row>
    <row r="10817" spans="1:6" s="3" customFormat="1" ht="29.1" customHeight="1" x14ac:dyDescent="0.25">
      <c r="A10817" s="2" t="s">
        <v>22104</v>
      </c>
      <c r="B10817" s="2" t="s">
        <v>15209</v>
      </c>
      <c r="C10817" s="2" t="s">
        <v>5</v>
      </c>
      <c r="D10817" s="2" t="s">
        <v>192</v>
      </c>
      <c r="E10817" s="2" t="str">
        <f>"9783030242213"</f>
        <v>9783030242213</v>
      </c>
      <c r="F10817" s="2" t="str">
        <f>"9783030242220"</f>
        <v>9783030242220</v>
      </c>
    </row>
    <row r="10818" spans="1:6" s="3" customFormat="1" ht="29.1" customHeight="1" x14ac:dyDescent="0.25">
      <c r="A10818" s="2" t="s">
        <v>22105</v>
      </c>
      <c r="B10818" s="2" t="s">
        <v>22106</v>
      </c>
      <c r="C10818" s="2" t="s">
        <v>5</v>
      </c>
      <c r="D10818" s="2" t="s">
        <v>81</v>
      </c>
      <c r="E10818" s="2" t="str">
        <f>"9783030133627"</f>
        <v>9783030133627</v>
      </c>
      <c r="F10818" s="2" t="str">
        <f>"9783030133634"</f>
        <v>9783030133634</v>
      </c>
    </row>
    <row r="10819" spans="1:6" s="3" customFormat="1" ht="29.1" customHeight="1" x14ac:dyDescent="0.25">
      <c r="A10819" s="2" t="s">
        <v>22107</v>
      </c>
      <c r="B10819" s="2" t="s">
        <v>22108</v>
      </c>
      <c r="C10819" s="2" t="s">
        <v>5</v>
      </c>
      <c r="D10819" s="2" t="s">
        <v>192</v>
      </c>
      <c r="E10819" s="2" t="str">
        <f>"9783319710860"</f>
        <v>9783319710860</v>
      </c>
      <c r="F10819" s="2" t="str">
        <f>"9783319710877"</f>
        <v>9783319710877</v>
      </c>
    </row>
    <row r="10820" spans="1:6" s="3" customFormat="1" ht="29.1" customHeight="1" x14ac:dyDescent="0.25">
      <c r="A10820" s="2" t="s">
        <v>22109</v>
      </c>
      <c r="B10820" s="2" t="s">
        <v>22110</v>
      </c>
      <c r="C10820" s="2" t="s">
        <v>5</v>
      </c>
      <c r="D10820" s="2" t="s">
        <v>81</v>
      </c>
      <c r="E10820" s="2" t="str">
        <f>"9783319624600"</f>
        <v>9783319624600</v>
      </c>
      <c r="F10820" s="2" t="str">
        <f>"9783319624617"</f>
        <v>9783319624617</v>
      </c>
    </row>
    <row r="10821" spans="1:6" s="3" customFormat="1" ht="29.1" customHeight="1" x14ac:dyDescent="0.25">
      <c r="A10821" s="2" t="s">
        <v>22111</v>
      </c>
      <c r="B10821" s="2" t="s">
        <v>22112</v>
      </c>
      <c r="C10821" s="2" t="s">
        <v>5</v>
      </c>
      <c r="D10821" s="2" t="s">
        <v>192</v>
      </c>
      <c r="E10821" s="2" t="str">
        <f>"9783319425047"</f>
        <v>9783319425047</v>
      </c>
      <c r="F10821" s="2" t="str">
        <f>"9783319425054"</f>
        <v>9783319425054</v>
      </c>
    </row>
    <row r="10822" spans="1:6" s="3" customFormat="1" ht="29.1" customHeight="1" x14ac:dyDescent="0.25">
      <c r="A10822" s="2" t="s">
        <v>22113</v>
      </c>
      <c r="B10822" s="2" t="s">
        <v>22114</v>
      </c>
      <c r="C10822" s="2" t="s">
        <v>5</v>
      </c>
      <c r="D10822" s="2" t="s">
        <v>297</v>
      </c>
      <c r="E10822" s="2" t="str">
        <f>"9783030662615"</f>
        <v>9783030662615</v>
      </c>
      <c r="F10822" s="2" t="str">
        <f>"9783030662622"</f>
        <v>9783030662622</v>
      </c>
    </row>
    <row r="10823" spans="1:6" s="3" customFormat="1" ht="29.1" customHeight="1" x14ac:dyDescent="0.25">
      <c r="A10823" s="2" t="s">
        <v>22115</v>
      </c>
      <c r="B10823" s="2" t="s">
        <v>22116</v>
      </c>
      <c r="C10823" s="2" t="s">
        <v>5</v>
      </c>
      <c r="D10823" s="2" t="s">
        <v>689</v>
      </c>
      <c r="E10823" s="2" t="str">
        <f>"9783030914431"</f>
        <v>9783030914431</v>
      </c>
      <c r="F10823" s="2" t="str">
        <f>"9783030920807"</f>
        <v>9783030920807</v>
      </c>
    </row>
    <row r="10824" spans="1:6" s="3" customFormat="1" ht="29.1" customHeight="1" x14ac:dyDescent="0.25">
      <c r="A10824" s="2" t="s">
        <v>22117</v>
      </c>
      <c r="B10824" s="2" t="s">
        <v>22118</v>
      </c>
      <c r="C10824" s="2" t="s">
        <v>5</v>
      </c>
      <c r="D10824" s="2" t="s">
        <v>1888</v>
      </c>
      <c r="E10824" s="2" t="str">
        <f>"9783030278731"</f>
        <v>9783030278731</v>
      </c>
      <c r="F10824" s="2" t="str">
        <f>"9783030278748"</f>
        <v>9783030278748</v>
      </c>
    </row>
    <row r="10825" spans="1:6" s="3" customFormat="1" ht="29.1" customHeight="1" x14ac:dyDescent="0.25">
      <c r="A10825" s="2" t="s">
        <v>22119</v>
      </c>
      <c r="B10825" s="2" t="s">
        <v>22121</v>
      </c>
      <c r="C10825" s="2" t="s">
        <v>5</v>
      </c>
      <c r="D10825" s="2" t="s">
        <v>22120</v>
      </c>
      <c r="E10825" s="2" t="str">
        <f>"9783031162473"</f>
        <v>9783031162473</v>
      </c>
      <c r="F10825" s="2" t="str">
        <f>"9783031162480"</f>
        <v>9783031162480</v>
      </c>
    </row>
    <row r="10826" spans="1:6" s="3" customFormat="1" ht="29.1" customHeight="1" x14ac:dyDescent="0.25">
      <c r="A10826" s="2" t="s">
        <v>22122</v>
      </c>
      <c r="B10826" s="2" t="s">
        <v>22123</v>
      </c>
      <c r="C10826" s="2" t="s">
        <v>5</v>
      </c>
      <c r="D10826" s="2" t="s">
        <v>1840</v>
      </c>
      <c r="E10826" s="2" t="str">
        <f>"9783031102004"</f>
        <v>9783031102004</v>
      </c>
      <c r="F10826" s="2" t="str">
        <f>"9783031102011"</f>
        <v>9783031102011</v>
      </c>
    </row>
    <row r="10827" spans="1:6" s="3" customFormat="1" ht="29.1" customHeight="1" x14ac:dyDescent="0.25">
      <c r="A10827" s="2" t="s">
        <v>22124</v>
      </c>
      <c r="B10827" s="2" t="s">
        <v>22125</v>
      </c>
      <c r="C10827" s="2" t="s">
        <v>5</v>
      </c>
      <c r="D10827" s="2" t="s">
        <v>270</v>
      </c>
      <c r="E10827" s="2" t="str">
        <f>"9783030902551"</f>
        <v>9783030902551</v>
      </c>
      <c r="F10827" s="2" t="str">
        <f>"9783030902568"</f>
        <v>9783030902568</v>
      </c>
    </row>
    <row r="10828" spans="1:6" s="3" customFormat="1" ht="29.1" customHeight="1" x14ac:dyDescent="0.25">
      <c r="A10828" s="2" t="s">
        <v>22126</v>
      </c>
      <c r="B10828" s="2" t="s">
        <v>22127</v>
      </c>
      <c r="C10828" s="2" t="s">
        <v>5</v>
      </c>
      <c r="D10828" s="2" t="s">
        <v>1888</v>
      </c>
      <c r="E10828" s="2" t="str">
        <f>"9783030414795"</f>
        <v>9783030414795</v>
      </c>
      <c r="F10828" s="2" t="str">
        <f>"9783030414801"</f>
        <v>9783030414801</v>
      </c>
    </row>
    <row r="10829" spans="1:6" s="3" customFormat="1" ht="29.1" customHeight="1" x14ac:dyDescent="0.25">
      <c r="A10829" s="2" t="s">
        <v>22128</v>
      </c>
      <c r="B10829" s="2" t="s">
        <v>22129</v>
      </c>
      <c r="C10829" s="2" t="s">
        <v>5</v>
      </c>
      <c r="D10829" s="2" t="s">
        <v>60</v>
      </c>
      <c r="E10829" s="2" t="str">
        <f>"9783319191317"</f>
        <v>9783319191317</v>
      </c>
      <c r="F10829" s="2" t="str">
        <f>"9783319191324"</f>
        <v>9783319191324</v>
      </c>
    </row>
    <row r="10830" spans="1:6" s="3" customFormat="1" ht="29.1" customHeight="1" x14ac:dyDescent="0.25">
      <c r="A10830" s="2" t="s">
        <v>22130</v>
      </c>
      <c r="B10830" s="2" t="s">
        <v>22131</v>
      </c>
      <c r="C10830" s="2" t="s">
        <v>5</v>
      </c>
      <c r="D10830" s="2" t="s">
        <v>1162</v>
      </c>
      <c r="E10830" s="2" t="str">
        <f>"9783658388041"</f>
        <v>9783658388041</v>
      </c>
      <c r="F10830" s="2" t="str">
        <f>"9783658388058"</f>
        <v>9783658388058</v>
      </c>
    </row>
    <row r="10831" spans="1:6" s="3" customFormat="1" ht="29.1" customHeight="1" x14ac:dyDescent="0.25">
      <c r="A10831" s="2" t="s">
        <v>22132</v>
      </c>
      <c r="B10831" s="2" t="s">
        <v>22133</v>
      </c>
      <c r="C10831" s="2" t="s">
        <v>5</v>
      </c>
      <c r="D10831" s="2" t="s">
        <v>98</v>
      </c>
      <c r="E10831" s="2" t="str">
        <f>"9783658328856"</f>
        <v>9783658328856</v>
      </c>
      <c r="F10831" s="2" t="str">
        <f>"9783658328863"</f>
        <v>9783658328863</v>
      </c>
    </row>
    <row r="10832" spans="1:6" s="3" customFormat="1" ht="29.1" customHeight="1" x14ac:dyDescent="0.25">
      <c r="A10832" s="2" t="s">
        <v>22134</v>
      </c>
      <c r="B10832" s="2" t="s">
        <v>22135</v>
      </c>
      <c r="C10832" s="2" t="s">
        <v>5</v>
      </c>
      <c r="D10832" s="2" t="s">
        <v>15</v>
      </c>
      <c r="E10832" s="2" t="str">
        <f>"9783030982898"</f>
        <v>9783030982898</v>
      </c>
      <c r="F10832" s="2" t="str">
        <f>"9783030982904"</f>
        <v>9783030982904</v>
      </c>
    </row>
    <row r="10833" spans="1:6" s="3" customFormat="1" ht="29.1" customHeight="1" x14ac:dyDescent="0.25">
      <c r="A10833" s="2" t="s">
        <v>22136</v>
      </c>
      <c r="B10833" s="2" t="s">
        <v>22137</v>
      </c>
      <c r="C10833" s="2" t="s">
        <v>5</v>
      </c>
      <c r="D10833" s="2" t="s">
        <v>15</v>
      </c>
      <c r="E10833" s="2" t="str">
        <f>"9783030968434"</f>
        <v>9783030968434</v>
      </c>
      <c r="F10833" s="2" t="str">
        <f>"9783030968441"</f>
        <v>9783030968441</v>
      </c>
    </row>
    <row r="10834" spans="1:6" s="3" customFormat="1" ht="29.1" customHeight="1" x14ac:dyDescent="0.25">
      <c r="A10834" s="2" t="s">
        <v>22138</v>
      </c>
      <c r="B10834" s="2" t="s">
        <v>22139</v>
      </c>
      <c r="C10834" s="2" t="s">
        <v>5</v>
      </c>
      <c r="D10834" s="2" t="s">
        <v>15</v>
      </c>
      <c r="E10834" s="2" t="str">
        <f>"9783030744939"</f>
        <v>9783030744939</v>
      </c>
      <c r="F10834" s="2" t="str">
        <f>"9783030744946"</f>
        <v>9783030744946</v>
      </c>
    </row>
    <row r="10835" spans="1:6" s="3" customFormat="1" ht="29.1" customHeight="1" x14ac:dyDescent="0.25">
      <c r="A10835" s="2" t="s">
        <v>22140</v>
      </c>
      <c r="B10835" s="2" t="s">
        <v>22141</v>
      </c>
      <c r="C10835" s="2" t="s">
        <v>5</v>
      </c>
      <c r="D10835" s="2" t="s">
        <v>15</v>
      </c>
      <c r="E10835" s="2" t="str">
        <f>"9783319892931"</f>
        <v>9783319892931</v>
      </c>
      <c r="F10835" s="2" t="str">
        <f>"9783319892948"</f>
        <v>9783319892948</v>
      </c>
    </row>
    <row r="10836" spans="1:6" s="3" customFormat="1" ht="29.1" customHeight="1" x14ac:dyDescent="0.25">
      <c r="A10836" s="2" t="s">
        <v>22142</v>
      </c>
      <c r="B10836" s="2" t="s">
        <v>22141</v>
      </c>
      <c r="C10836" s="2" t="s">
        <v>5</v>
      </c>
      <c r="D10836" s="2" t="s">
        <v>15</v>
      </c>
      <c r="E10836" s="2" t="str">
        <f>"9783319892962"</f>
        <v>9783319892962</v>
      </c>
      <c r="F10836" s="2" t="str">
        <f>"9783319892979"</f>
        <v>9783319892979</v>
      </c>
    </row>
    <row r="10837" spans="1:6" s="3" customFormat="1" ht="29.1" customHeight="1" x14ac:dyDescent="0.25">
      <c r="A10837" s="2" t="s">
        <v>22143</v>
      </c>
      <c r="B10837" s="2" t="s">
        <v>22144</v>
      </c>
      <c r="C10837" s="2" t="s">
        <v>5</v>
      </c>
      <c r="D10837" s="2" t="s">
        <v>3086</v>
      </c>
      <c r="E10837" s="2" t="str">
        <f>"9783658249953"</f>
        <v>9783658249953</v>
      </c>
      <c r="F10837" s="2" t="str">
        <f>"9783658249960"</f>
        <v>9783658249960</v>
      </c>
    </row>
    <row r="10838" spans="1:6" s="3" customFormat="1" ht="29.1" customHeight="1" x14ac:dyDescent="0.25">
      <c r="A10838" s="2" t="s">
        <v>22145</v>
      </c>
      <c r="B10838" s="2" t="s">
        <v>22146</v>
      </c>
      <c r="C10838" s="2" t="s">
        <v>5</v>
      </c>
      <c r="D10838" s="2" t="s">
        <v>10433</v>
      </c>
      <c r="E10838" s="2" t="str">
        <f>"9783658344351"</f>
        <v>9783658344351</v>
      </c>
      <c r="F10838" s="2" t="str">
        <f>"9783658344368"</f>
        <v>9783658344368</v>
      </c>
    </row>
    <row r="10839" spans="1:6" s="3" customFormat="1" ht="29.1" customHeight="1" x14ac:dyDescent="0.25">
      <c r="A10839" s="2" t="s">
        <v>22147</v>
      </c>
      <c r="B10839" s="2" t="s">
        <v>22148</v>
      </c>
      <c r="C10839" s="2" t="s">
        <v>5</v>
      </c>
      <c r="D10839" s="2" t="s">
        <v>10433</v>
      </c>
      <c r="E10839" s="2" t="str">
        <f>"9783658361280"</f>
        <v>9783658361280</v>
      </c>
      <c r="F10839" s="2" t="str">
        <f>"9783658361297"</f>
        <v>9783658361297</v>
      </c>
    </row>
    <row r="10840" spans="1:6" s="3" customFormat="1" ht="29.1" customHeight="1" x14ac:dyDescent="0.25">
      <c r="A10840" s="2" t="s">
        <v>22149</v>
      </c>
      <c r="B10840" s="2" t="s">
        <v>22150</v>
      </c>
      <c r="C10840" s="2" t="s">
        <v>5</v>
      </c>
      <c r="D10840" s="2" t="s">
        <v>10329</v>
      </c>
      <c r="E10840" s="2" t="str">
        <f>"9783658352622"</f>
        <v>9783658352622</v>
      </c>
      <c r="F10840" s="2" t="str">
        <f>"9783658352639"</f>
        <v>9783658352639</v>
      </c>
    </row>
    <row r="10841" spans="1:6" s="3" customFormat="1" ht="29.1" customHeight="1" x14ac:dyDescent="0.25">
      <c r="A10841" s="2" t="s">
        <v>22151</v>
      </c>
      <c r="B10841" s="2" t="s">
        <v>22152</v>
      </c>
      <c r="C10841" s="2" t="s">
        <v>5</v>
      </c>
      <c r="D10841" s="2" t="s">
        <v>192</v>
      </c>
      <c r="E10841" s="2" t="str">
        <f>"9783658333058"</f>
        <v>9783658333058</v>
      </c>
      <c r="F10841" s="2" t="str">
        <f>"9783658333065"</f>
        <v>9783658333065</v>
      </c>
    </row>
    <row r="10842" spans="1:6" s="3" customFormat="1" ht="29.1" customHeight="1" x14ac:dyDescent="0.25">
      <c r="A10842" s="2" t="s">
        <v>22153</v>
      </c>
      <c r="B10842" s="2" t="s">
        <v>22154</v>
      </c>
      <c r="C10842" s="2" t="s">
        <v>5</v>
      </c>
      <c r="D10842" s="2" t="s">
        <v>9545</v>
      </c>
      <c r="E10842" s="2" t="str">
        <f>"9783658308391"</f>
        <v>9783658308391</v>
      </c>
      <c r="F10842" s="2" t="str">
        <f>"9783658308407"</f>
        <v>9783658308407</v>
      </c>
    </row>
    <row r="10843" spans="1:6" s="3" customFormat="1" ht="29.1" customHeight="1" x14ac:dyDescent="0.25">
      <c r="A10843" s="2" t="s">
        <v>22155</v>
      </c>
      <c r="B10843" s="2" t="s">
        <v>22156</v>
      </c>
      <c r="C10843" s="2" t="s">
        <v>5</v>
      </c>
      <c r="D10843" s="2" t="s">
        <v>141</v>
      </c>
      <c r="E10843" s="2" t="str">
        <f>"9783658379193"</f>
        <v>9783658379193</v>
      </c>
      <c r="F10843" s="2" t="str">
        <f>"9783658379209"</f>
        <v>9783658379209</v>
      </c>
    </row>
    <row r="10844" spans="1:6" s="3" customFormat="1" ht="29.1" customHeight="1" x14ac:dyDescent="0.25">
      <c r="A10844" s="2" t="s">
        <v>22157</v>
      </c>
      <c r="B10844" s="2" t="s">
        <v>22158</v>
      </c>
      <c r="C10844" s="2" t="s">
        <v>5</v>
      </c>
      <c r="D10844" s="2" t="s">
        <v>1840</v>
      </c>
      <c r="E10844" s="2" t="str">
        <f>"9783658345686"</f>
        <v>9783658345686</v>
      </c>
      <c r="F10844" s="2" t="str">
        <f>"9783658345693"</f>
        <v>9783658345693</v>
      </c>
    </row>
    <row r="10845" spans="1:6" s="3" customFormat="1" ht="29.1" customHeight="1" x14ac:dyDescent="0.25">
      <c r="A10845" s="2" t="s">
        <v>22159</v>
      </c>
      <c r="B10845" s="2" t="s">
        <v>22160</v>
      </c>
      <c r="C10845" s="2" t="s">
        <v>5</v>
      </c>
      <c r="D10845" s="2" t="s">
        <v>9</v>
      </c>
      <c r="E10845" s="2" t="str">
        <f>"9783658320645"</f>
        <v>9783658320645</v>
      </c>
      <c r="F10845" s="2" t="str">
        <f>"9783658320652"</f>
        <v>9783658320652</v>
      </c>
    </row>
    <row r="10846" spans="1:6" s="3" customFormat="1" ht="29.1" customHeight="1" x14ac:dyDescent="0.25">
      <c r="A10846" s="2" t="s">
        <v>22161</v>
      </c>
      <c r="B10846" s="2" t="s">
        <v>22162</v>
      </c>
      <c r="C10846" s="2" t="s">
        <v>5</v>
      </c>
      <c r="D10846" s="2" t="s">
        <v>189</v>
      </c>
      <c r="E10846" s="2" t="str">
        <f>"9783658338879"</f>
        <v>9783658338879</v>
      </c>
      <c r="F10846" s="2" t="str">
        <f>"9783658338886"</f>
        <v>9783658338886</v>
      </c>
    </row>
    <row r="10847" spans="1:6" s="3" customFormat="1" ht="29.1" customHeight="1" x14ac:dyDescent="0.25">
      <c r="A10847" s="2" t="s">
        <v>22163</v>
      </c>
      <c r="B10847" s="2" t="s">
        <v>22164</v>
      </c>
      <c r="C10847" s="2" t="s">
        <v>5</v>
      </c>
      <c r="D10847" s="2" t="s">
        <v>270</v>
      </c>
      <c r="E10847" s="2" t="str">
        <f>"9783658318208"</f>
        <v>9783658318208</v>
      </c>
      <c r="F10847" s="2" t="str">
        <f>"9783658318215"</f>
        <v>9783658318215</v>
      </c>
    </row>
    <row r="10848" spans="1:6" s="3" customFormat="1" ht="29.1" customHeight="1" x14ac:dyDescent="0.25">
      <c r="A10848" s="2" t="s">
        <v>22165</v>
      </c>
      <c r="B10848" s="2" t="s">
        <v>22166</v>
      </c>
      <c r="C10848" s="2" t="s">
        <v>5</v>
      </c>
      <c r="D10848" s="2" t="s">
        <v>3062</v>
      </c>
      <c r="E10848" s="2" t="str">
        <f>"9783658368432"</f>
        <v>9783658368432</v>
      </c>
      <c r="F10848" s="2" t="str">
        <f>"9783658368449"</f>
        <v>9783658368449</v>
      </c>
    </row>
    <row r="10849" spans="1:6" s="3" customFormat="1" ht="29.1" customHeight="1" x14ac:dyDescent="0.25">
      <c r="A10849" s="2" t="s">
        <v>22167</v>
      </c>
      <c r="B10849" s="2" t="s">
        <v>22168</v>
      </c>
      <c r="C10849" s="2" t="s">
        <v>5</v>
      </c>
      <c r="D10849" s="2" t="s">
        <v>2336</v>
      </c>
      <c r="E10849" s="2" t="str">
        <f>"9783658275938"</f>
        <v>9783658275938</v>
      </c>
      <c r="F10849" s="2" t="str">
        <f>"9783658275945"</f>
        <v>9783658275945</v>
      </c>
    </row>
    <row r="10850" spans="1:6" s="3" customFormat="1" ht="29.1" customHeight="1" x14ac:dyDescent="0.25">
      <c r="A10850" s="2" t="s">
        <v>22169</v>
      </c>
      <c r="B10850" s="2" t="s">
        <v>22170</v>
      </c>
      <c r="C10850" s="2" t="s">
        <v>5</v>
      </c>
      <c r="D10850" s="2" t="s">
        <v>484</v>
      </c>
      <c r="E10850" s="2" t="str">
        <f>"9783658395353"</f>
        <v>9783658395353</v>
      </c>
      <c r="F10850" s="2" t="str">
        <f>"9783658395360"</f>
        <v>9783658395360</v>
      </c>
    </row>
    <row r="10851" spans="1:6" s="3" customFormat="1" ht="29.1" customHeight="1" x14ac:dyDescent="0.25">
      <c r="A10851" s="2" t="s">
        <v>22171</v>
      </c>
      <c r="B10851" s="2" t="s">
        <v>22172</v>
      </c>
      <c r="C10851" s="2" t="s">
        <v>5</v>
      </c>
      <c r="D10851" s="2" t="s">
        <v>836</v>
      </c>
      <c r="E10851" s="2" t="str">
        <f>"9783658332884"</f>
        <v>9783658332884</v>
      </c>
      <c r="F10851" s="2" t="str">
        <f>"9783658332891"</f>
        <v>9783658332891</v>
      </c>
    </row>
    <row r="10852" spans="1:6" s="3" customFormat="1" ht="29.1" customHeight="1" x14ac:dyDescent="0.25">
      <c r="A10852" s="2" t="s">
        <v>22173</v>
      </c>
      <c r="B10852" s="2" t="s">
        <v>22174</v>
      </c>
      <c r="C10852" s="2" t="s">
        <v>5</v>
      </c>
      <c r="D10852" s="2" t="s">
        <v>1189</v>
      </c>
      <c r="E10852" s="2" t="str">
        <f>"9783658373856"</f>
        <v>9783658373856</v>
      </c>
      <c r="F10852" s="2" t="str">
        <f>"9783658373863"</f>
        <v>9783658373863</v>
      </c>
    </row>
    <row r="10853" spans="1:6" s="3" customFormat="1" ht="29.1" customHeight="1" x14ac:dyDescent="0.25">
      <c r="A10853" s="2" t="s">
        <v>22175</v>
      </c>
      <c r="B10853" s="2" t="s">
        <v>22176</v>
      </c>
      <c r="C10853" s="2" t="s">
        <v>5</v>
      </c>
      <c r="D10853" s="2" t="s">
        <v>674</v>
      </c>
      <c r="E10853" s="2" t="str">
        <f>"9783658262341"</f>
        <v>9783658262341</v>
      </c>
      <c r="F10853" s="2" t="str">
        <f>"9783658262358"</f>
        <v>9783658262358</v>
      </c>
    </row>
    <row r="10854" spans="1:6" s="3" customFormat="1" ht="29.1" customHeight="1" x14ac:dyDescent="0.25">
      <c r="A10854" s="2" t="s">
        <v>22177</v>
      </c>
      <c r="B10854" s="2" t="s">
        <v>22178</v>
      </c>
      <c r="C10854" s="2" t="s">
        <v>5</v>
      </c>
      <c r="D10854" s="2" t="s">
        <v>11572</v>
      </c>
      <c r="E10854" s="2" t="str">
        <f>"9783658407599"</f>
        <v>9783658407599</v>
      </c>
      <c r="F10854" s="2" t="str">
        <f>"9783658407605"</f>
        <v>9783658407605</v>
      </c>
    </row>
    <row r="10855" spans="1:6" s="3" customFormat="1" ht="29.1" customHeight="1" x14ac:dyDescent="0.25">
      <c r="A10855" s="2" t="s">
        <v>22179</v>
      </c>
      <c r="B10855" s="2" t="s">
        <v>22180</v>
      </c>
      <c r="C10855" s="2" t="s">
        <v>5</v>
      </c>
      <c r="D10855" s="2" t="s">
        <v>86</v>
      </c>
      <c r="E10855" s="2" t="str">
        <f>"9783658404956"</f>
        <v>9783658404956</v>
      </c>
      <c r="F10855" s="2" t="str">
        <f>"9783658404963"</f>
        <v>9783658404963</v>
      </c>
    </row>
    <row r="10856" spans="1:6" s="3" customFormat="1" ht="29.1" customHeight="1" x14ac:dyDescent="0.25">
      <c r="A10856" s="2" t="s">
        <v>22181</v>
      </c>
      <c r="B10856" s="2" t="s">
        <v>22182</v>
      </c>
      <c r="C10856" s="2" t="s">
        <v>5</v>
      </c>
      <c r="D10856" s="2" t="s">
        <v>8275</v>
      </c>
      <c r="E10856" s="2" t="str">
        <f>"9783658382148"</f>
        <v>9783658382148</v>
      </c>
      <c r="F10856" s="2" t="str">
        <f>"9783658382155"</f>
        <v>9783658382155</v>
      </c>
    </row>
    <row r="10857" spans="1:6" s="3" customFormat="1" ht="29.1" customHeight="1" x14ac:dyDescent="0.25">
      <c r="A10857" s="2" t="s">
        <v>22183</v>
      </c>
      <c r="B10857" s="2" t="s">
        <v>22184</v>
      </c>
      <c r="C10857" s="2" t="s">
        <v>5</v>
      </c>
      <c r="D10857" s="2" t="s">
        <v>270</v>
      </c>
      <c r="E10857" s="2" t="str">
        <f>"9783658259860"</f>
        <v>9783658259860</v>
      </c>
      <c r="F10857" s="2" t="str">
        <f>"9783658259877"</f>
        <v>9783658259877</v>
      </c>
    </row>
    <row r="10858" spans="1:6" s="3" customFormat="1" ht="29.1" customHeight="1" x14ac:dyDescent="0.25">
      <c r="A10858" s="2" t="s">
        <v>22185</v>
      </c>
      <c r="B10858" s="2" t="s">
        <v>22186</v>
      </c>
      <c r="C10858" s="2" t="s">
        <v>5</v>
      </c>
      <c r="D10858" s="2" t="s">
        <v>270</v>
      </c>
      <c r="E10858" s="2" t="str">
        <f>"9783658422578"</f>
        <v>9783658422578</v>
      </c>
      <c r="F10858" s="2" t="str">
        <f>"9783658422585"</f>
        <v>9783658422585</v>
      </c>
    </row>
    <row r="10859" spans="1:6" s="3" customFormat="1" ht="29.1" customHeight="1" x14ac:dyDescent="0.25">
      <c r="A10859" s="2" t="s">
        <v>22187</v>
      </c>
      <c r="B10859" s="2" t="s">
        <v>22188</v>
      </c>
      <c r="C10859" s="2" t="s">
        <v>5</v>
      </c>
      <c r="D10859" s="2" t="s">
        <v>270</v>
      </c>
      <c r="E10859" s="2" t="str">
        <f>"9783658341145"</f>
        <v>9783658341145</v>
      </c>
      <c r="F10859" s="2" t="str">
        <f>"9783658341152"</f>
        <v>9783658341152</v>
      </c>
    </row>
    <row r="10860" spans="1:6" s="3" customFormat="1" ht="29.1" customHeight="1" x14ac:dyDescent="0.25">
      <c r="A10860" s="2" t="s">
        <v>22189</v>
      </c>
      <c r="B10860" s="2" t="s">
        <v>22190</v>
      </c>
      <c r="C10860" s="2" t="s">
        <v>5</v>
      </c>
      <c r="D10860" s="2" t="s">
        <v>3172</v>
      </c>
      <c r="E10860" s="2" t="str">
        <f>"9783658311599"</f>
        <v>9783658311599</v>
      </c>
      <c r="F10860" s="2" t="str">
        <f>"9783658311605"</f>
        <v>9783658311605</v>
      </c>
    </row>
    <row r="10861" spans="1:6" s="3" customFormat="1" ht="29.1" customHeight="1" x14ac:dyDescent="0.25">
      <c r="A10861" s="2" t="s">
        <v>22191</v>
      </c>
      <c r="B10861" s="2" t="s">
        <v>22192</v>
      </c>
      <c r="C10861" s="2" t="s">
        <v>5</v>
      </c>
      <c r="D10861" s="2" t="s">
        <v>294</v>
      </c>
      <c r="E10861" s="2" t="str">
        <f>"9783658229573"</f>
        <v>9783658229573</v>
      </c>
      <c r="F10861" s="2" t="str">
        <f>"9783658229580"</f>
        <v>9783658229580</v>
      </c>
    </row>
    <row r="10862" spans="1:6" s="3" customFormat="1" ht="29.1" customHeight="1" x14ac:dyDescent="0.25">
      <c r="A10862" s="2" t="s">
        <v>22193</v>
      </c>
      <c r="B10862" s="2" t="s">
        <v>22194</v>
      </c>
      <c r="C10862" s="2" t="s">
        <v>5</v>
      </c>
      <c r="D10862" s="2" t="s">
        <v>3958</v>
      </c>
      <c r="E10862" s="2" t="str">
        <f>"9783658420352"</f>
        <v>9783658420352</v>
      </c>
      <c r="F10862" s="2" t="str">
        <f>"9783658420369"</f>
        <v>9783658420369</v>
      </c>
    </row>
    <row r="10863" spans="1:6" s="3" customFormat="1" ht="29.1" customHeight="1" x14ac:dyDescent="0.25">
      <c r="A10863" s="2" t="s">
        <v>22195</v>
      </c>
      <c r="B10863" s="2" t="s">
        <v>22196</v>
      </c>
      <c r="C10863" s="2" t="s">
        <v>5</v>
      </c>
      <c r="D10863" s="2" t="s">
        <v>3958</v>
      </c>
      <c r="E10863" s="2" t="str">
        <f>"9783658413750"</f>
        <v>9783658413750</v>
      </c>
      <c r="F10863" s="2" t="str">
        <f>"9783658413767"</f>
        <v>9783658413767</v>
      </c>
    </row>
    <row r="10864" spans="1:6" s="3" customFormat="1" ht="29.1" customHeight="1" x14ac:dyDescent="0.25">
      <c r="A10864" s="2" t="s">
        <v>22197</v>
      </c>
      <c r="B10864" s="2" t="s">
        <v>22198</v>
      </c>
      <c r="C10864" s="2" t="s">
        <v>5</v>
      </c>
      <c r="D10864" s="2" t="s">
        <v>9</v>
      </c>
      <c r="E10864" s="2" t="str">
        <f>"9783658388508"</f>
        <v>9783658388508</v>
      </c>
      <c r="F10864" s="2" t="str">
        <f>"9783658388515"</f>
        <v>9783658388515</v>
      </c>
    </row>
    <row r="10865" spans="1:6" s="3" customFormat="1" ht="29.1" customHeight="1" x14ac:dyDescent="0.25">
      <c r="A10865" s="2" t="s">
        <v>22199</v>
      </c>
      <c r="B10865" s="2" t="s">
        <v>22200</v>
      </c>
      <c r="C10865" s="2" t="s">
        <v>5</v>
      </c>
      <c r="D10865" s="2" t="s">
        <v>294</v>
      </c>
      <c r="E10865" s="2" t="str">
        <f>"9783658348502"</f>
        <v>9783658348502</v>
      </c>
      <c r="F10865" s="2" t="str">
        <f>"9783658348519"</f>
        <v>9783658348519</v>
      </c>
    </row>
    <row r="10866" spans="1:6" s="3" customFormat="1" ht="29.1" customHeight="1" x14ac:dyDescent="0.25">
      <c r="A10866" s="2" t="s">
        <v>22201</v>
      </c>
      <c r="B10866" s="2" t="s">
        <v>22202</v>
      </c>
      <c r="C10866" s="2" t="s">
        <v>5</v>
      </c>
      <c r="D10866" s="2" t="s">
        <v>1189</v>
      </c>
      <c r="E10866" s="2" t="str">
        <f>"9783658253929"</f>
        <v>9783658253929</v>
      </c>
      <c r="F10866" s="2" t="str">
        <f>"9783658253936"</f>
        <v>9783658253936</v>
      </c>
    </row>
    <row r="10867" spans="1:6" s="3" customFormat="1" ht="29.1" customHeight="1" x14ac:dyDescent="0.25">
      <c r="A10867" s="2" t="s">
        <v>22203</v>
      </c>
      <c r="B10867" s="2" t="s">
        <v>22204</v>
      </c>
      <c r="C10867" s="2" t="s">
        <v>5</v>
      </c>
      <c r="D10867" s="2" t="s">
        <v>1717</v>
      </c>
      <c r="E10867" s="2" t="str">
        <f>"9783658361808"</f>
        <v>9783658361808</v>
      </c>
      <c r="F10867" s="2" t="str">
        <f>"9783658361815"</f>
        <v>9783658361815</v>
      </c>
    </row>
    <row r="10868" spans="1:6" s="3" customFormat="1" ht="29.1" customHeight="1" x14ac:dyDescent="0.25">
      <c r="A10868" s="2" t="s">
        <v>22205</v>
      </c>
      <c r="B10868" s="2" t="s">
        <v>22206</v>
      </c>
      <c r="C10868" s="2" t="s">
        <v>5</v>
      </c>
      <c r="D10868" s="2" t="s">
        <v>183</v>
      </c>
      <c r="E10868" s="2" t="str">
        <f>"9783658394219"</f>
        <v>9783658394219</v>
      </c>
      <c r="F10868" s="2" t="str">
        <f>"9783658394226"</f>
        <v>9783658394226</v>
      </c>
    </row>
    <row r="10869" spans="1:6" s="3" customFormat="1" ht="29.1" customHeight="1" x14ac:dyDescent="0.25">
      <c r="A10869" s="2" t="s">
        <v>22207</v>
      </c>
      <c r="B10869" s="2" t="s">
        <v>22208</v>
      </c>
      <c r="C10869" s="2" t="s">
        <v>5</v>
      </c>
      <c r="D10869" s="2" t="s">
        <v>1988</v>
      </c>
      <c r="E10869" s="2" t="str">
        <f>"9783658361402"</f>
        <v>9783658361402</v>
      </c>
      <c r="F10869" s="2" t="str">
        <f>"9783658361419"</f>
        <v>9783658361419</v>
      </c>
    </row>
    <row r="10870" spans="1:6" s="3" customFormat="1" ht="29.1" customHeight="1" x14ac:dyDescent="0.25">
      <c r="A10870" s="2" t="s">
        <v>22209</v>
      </c>
      <c r="B10870" s="2" t="s">
        <v>22210</v>
      </c>
      <c r="C10870" s="2" t="s">
        <v>5</v>
      </c>
      <c r="D10870" s="2" t="s">
        <v>10471</v>
      </c>
      <c r="E10870" s="2" t="str">
        <f>"9783658368173"</f>
        <v>9783658368173</v>
      </c>
      <c r="F10870" s="2" t="str">
        <f>"9783658368180"</f>
        <v>9783658368180</v>
      </c>
    </row>
    <row r="10871" spans="1:6" s="3" customFormat="1" ht="29.1" customHeight="1" x14ac:dyDescent="0.25">
      <c r="A10871" s="2" t="s">
        <v>22211</v>
      </c>
      <c r="B10871" s="2" t="s">
        <v>22212</v>
      </c>
      <c r="C10871" s="2" t="s">
        <v>5</v>
      </c>
      <c r="D10871" s="2" t="s">
        <v>183</v>
      </c>
      <c r="E10871" s="2" t="str">
        <f>"9783658408343"</f>
        <v>9783658408343</v>
      </c>
      <c r="F10871" s="2" t="str">
        <f>"9783658408350"</f>
        <v>9783658408350</v>
      </c>
    </row>
    <row r="10872" spans="1:6" s="3" customFormat="1" ht="29.1" customHeight="1" x14ac:dyDescent="0.25">
      <c r="A10872" s="2" t="s">
        <v>22213</v>
      </c>
      <c r="B10872" s="2" t="s">
        <v>22214</v>
      </c>
      <c r="C10872" s="2" t="s">
        <v>5</v>
      </c>
      <c r="D10872" s="2" t="s">
        <v>183</v>
      </c>
      <c r="E10872" s="2" t="str">
        <f>"9783658370527"</f>
        <v>9783658370527</v>
      </c>
      <c r="F10872" s="2" t="str">
        <f>"9783658370534"</f>
        <v>9783658370534</v>
      </c>
    </row>
    <row r="10873" spans="1:6" s="3" customFormat="1" ht="29.1" customHeight="1" x14ac:dyDescent="0.25">
      <c r="A10873" s="2" t="s">
        <v>22215</v>
      </c>
      <c r="B10873" s="2" t="s">
        <v>22216</v>
      </c>
      <c r="C10873" s="2" t="s">
        <v>5</v>
      </c>
      <c r="D10873" s="2" t="s">
        <v>183</v>
      </c>
      <c r="E10873" s="2" t="str">
        <f>"9783658367183"</f>
        <v>9783658367183</v>
      </c>
      <c r="F10873" s="2" t="str">
        <f>"9783658367190"</f>
        <v>9783658367190</v>
      </c>
    </row>
    <row r="10874" spans="1:6" s="3" customFormat="1" ht="29.1" customHeight="1" x14ac:dyDescent="0.25">
      <c r="A10874" s="2" t="s">
        <v>22217</v>
      </c>
      <c r="B10874" s="2" t="s">
        <v>22218</v>
      </c>
      <c r="C10874" s="2" t="s">
        <v>5</v>
      </c>
      <c r="D10874" s="2" t="s">
        <v>712</v>
      </c>
      <c r="E10874" s="2" t="str">
        <f>"9783658361662"</f>
        <v>9783658361662</v>
      </c>
      <c r="F10874" s="2" t="str">
        <f>"9783658361679"</f>
        <v>9783658361679</v>
      </c>
    </row>
    <row r="10875" spans="1:6" s="3" customFormat="1" ht="29.1" customHeight="1" x14ac:dyDescent="0.25">
      <c r="A10875" s="2" t="s">
        <v>22219</v>
      </c>
      <c r="B10875" s="2" t="s">
        <v>22220</v>
      </c>
      <c r="C10875" s="2" t="s">
        <v>5</v>
      </c>
      <c r="D10875" s="2" t="s">
        <v>5118</v>
      </c>
      <c r="E10875" s="2" t="str">
        <f>"9783030928162"</f>
        <v>9783030928162</v>
      </c>
      <c r="F10875" s="2" t="str">
        <f>"9783030928179"</f>
        <v>9783030928179</v>
      </c>
    </row>
    <row r="10876" spans="1:6" s="3" customFormat="1" ht="29.1" customHeight="1" x14ac:dyDescent="0.25">
      <c r="A10876" s="2" t="s">
        <v>22221</v>
      </c>
      <c r="B10876" s="2" t="s">
        <v>22222</v>
      </c>
      <c r="C10876" s="2" t="s">
        <v>5</v>
      </c>
      <c r="D10876" s="2" t="s">
        <v>2902</v>
      </c>
      <c r="E10876" s="2" t="str">
        <f>"9783030199258"</f>
        <v>9783030199258</v>
      </c>
      <c r="F10876" s="2" t="str">
        <f>"9783030199265"</f>
        <v>9783030199265</v>
      </c>
    </row>
    <row r="10877" spans="1:6" s="3" customFormat="1" ht="29.1" customHeight="1" x14ac:dyDescent="0.25">
      <c r="A10877" s="2" t="s">
        <v>22223</v>
      </c>
      <c r="B10877" s="2" t="s">
        <v>22224</v>
      </c>
      <c r="C10877" s="2" t="s">
        <v>5</v>
      </c>
      <c r="D10877" s="2" t="s">
        <v>16084</v>
      </c>
      <c r="E10877" s="2" t="str">
        <f>"9783319781594"</f>
        <v>9783319781594</v>
      </c>
      <c r="F10877" s="2" t="str">
        <f>"9783319781600"</f>
        <v>9783319781600</v>
      </c>
    </row>
    <row r="10878" spans="1:6" s="3" customFormat="1" ht="29.1" customHeight="1" x14ac:dyDescent="0.25">
      <c r="A10878" s="2" t="s">
        <v>22225</v>
      </c>
      <c r="B10878" s="2" t="s">
        <v>22226</v>
      </c>
      <c r="C10878" s="2" t="s">
        <v>5</v>
      </c>
      <c r="D10878" s="2" t="s">
        <v>6511</v>
      </c>
      <c r="E10878" s="2" t="str">
        <f>"9783031264924"</f>
        <v>9783031264924</v>
      </c>
      <c r="F10878" s="2" t="str">
        <f>"9783031264931"</f>
        <v>9783031264931</v>
      </c>
    </row>
    <row r="10879" spans="1:6" s="3" customFormat="1" ht="29.1" customHeight="1" x14ac:dyDescent="0.25">
      <c r="A10879" s="2" t="s">
        <v>22227</v>
      </c>
      <c r="B10879" s="2" t="s">
        <v>22228</v>
      </c>
      <c r="C10879" s="2" t="s">
        <v>5</v>
      </c>
      <c r="D10879" s="2" t="s">
        <v>353</v>
      </c>
      <c r="E10879" s="2" t="str">
        <f>"9783031169533"</f>
        <v>9783031169533</v>
      </c>
      <c r="F10879" s="2" t="str">
        <f>"9783031169540"</f>
        <v>9783031169540</v>
      </c>
    </row>
    <row r="10880" spans="1:6" s="3" customFormat="1" ht="29.1" customHeight="1" x14ac:dyDescent="0.25">
      <c r="A10880" s="2" t="s">
        <v>22229</v>
      </c>
      <c r="B10880" s="2" t="s">
        <v>22230</v>
      </c>
      <c r="C10880" s="2" t="s">
        <v>5</v>
      </c>
      <c r="D10880" s="2" t="s">
        <v>1867</v>
      </c>
      <c r="E10880" s="2" t="str">
        <f>"9789811927829"</f>
        <v>9789811927829</v>
      </c>
      <c r="F10880" s="2" t="str">
        <f>"9789811927836"</f>
        <v>9789811927836</v>
      </c>
    </row>
    <row r="10881" spans="1:6" s="3" customFormat="1" ht="29.1" customHeight="1" x14ac:dyDescent="0.25">
      <c r="A10881" s="2" t="s">
        <v>22231</v>
      </c>
      <c r="B10881" s="2" t="s">
        <v>22232</v>
      </c>
      <c r="C10881" s="2" t="s">
        <v>5</v>
      </c>
      <c r="D10881" s="2" t="s">
        <v>6</v>
      </c>
      <c r="E10881" s="2" t="str">
        <f>"9783030995454"</f>
        <v>9783030995454</v>
      </c>
      <c r="F10881" s="2" t="str">
        <f>"9783030995461"</f>
        <v>9783030995461</v>
      </c>
    </row>
    <row r="10882" spans="1:6" s="3" customFormat="1" ht="29.1" customHeight="1" x14ac:dyDescent="0.25">
      <c r="A10882" s="2" t="s">
        <v>22233</v>
      </c>
      <c r="B10882" s="2" t="s">
        <v>22234</v>
      </c>
      <c r="C10882" s="2" t="s">
        <v>5</v>
      </c>
      <c r="D10882" s="2" t="s">
        <v>6</v>
      </c>
      <c r="E10882" s="2" t="str">
        <f>"9783030108212"</f>
        <v>9783030108212</v>
      </c>
      <c r="F10882" s="2" t="str">
        <f>"9783030108229"</f>
        <v>9783030108229</v>
      </c>
    </row>
    <row r="10883" spans="1:6" s="3" customFormat="1" ht="29.1" customHeight="1" x14ac:dyDescent="0.25">
      <c r="A10883" s="2" t="s">
        <v>22235</v>
      </c>
      <c r="B10883" s="2" t="s">
        <v>22236</v>
      </c>
      <c r="C10883" s="2" t="s">
        <v>5</v>
      </c>
      <c r="D10883" s="2" t="s">
        <v>183</v>
      </c>
      <c r="E10883" s="2" t="str">
        <f>"9783031117558"</f>
        <v>9783031117558</v>
      </c>
      <c r="F10883" s="2" t="str">
        <f>"9783031117565"</f>
        <v>9783031117565</v>
      </c>
    </row>
    <row r="10884" spans="1:6" s="3" customFormat="1" ht="29.1" customHeight="1" x14ac:dyDescent="0.25">
      <c r="A10884" s="2" t="s">
        <v>22237</v>
      </c>
      <c r="B10884" s="2" t="s">
        <v>22238</v>
      </c>
      <c r="C10884" s="2" t="s">
        <v>5</v>
      </c>
      <c r="D10884" s="2" t="s">
        <v>674</v>
      </c>
      <c r="E10884" s="2" t="str">
        <f>"9789811980602"</f>
        <v>9789811980602</v>
      </c>
      <c r="F10884" s="2" t="str">
        <f>"9789811980619"</f>
        <v>9789811980619</v>
      </c>
    </row>
    <row r="10885" spans="1:6" s="3" customFormat="1" ht="29.1" customHeight="1" x14ac:dyDescent="0.25">
      <c r="A10885" s="2" t="s">
        <v>22239</v>
      </c>
      <c r="B10885" s="2" t="s">
        <v>22240</v>
      </c>
      <c r="C10885" s="2" t="s">
        <v>5</v>
      </c>
      <c r="D10885" s="2" t="s">
        <v>1189</v>
      </c>
      <c r="E10885" s="2" t="str">
        <f>"9783030385521"</f>
        <v>9783030385521</v>
      </c>
      <c r="F10885" s="2" t="str">
        <f>"9783030385538"</f>
        <v>9783030385538</v>
      </c>
    </row>
    <row r="10886" spans="1:6" s="3" customFormat="1" ht="29.1" customHeight="1" x14ac:dyDescent="0.25">
      <c r="A10886" s="2" t="s">
        <v>22241</v>
      </c>
      <c r="B10886" s="2" t="s">
        <v>22242</v>
      </c>
      <c r="C10886" s="2" t="s">
        <v>5</v>
      </c>
      <c r="D10886" s="2" t="s">
        <v>378</v>
      </c>
      <c r="E10886" s="2" t="str">
        <f>"9783031126031"</f>
        <v>9783031126031</v>
      </c>
      <c r="F10886" s="2" t="str">
        <f>"9783031126048"</f>
        <v>9783031126048</v>
      </c>
    </row>
    <row r="10887" spans="1:6" s="3" customFormat="1" ht="29.1" customHeight="1" x14ac:dyDescent="0.25">
      <c r="A10887" s="2" t="s">
        <v>22243</v>
      </c>
      <c r="B10887" s="2" t="s">
        <v>22244</v>
      </c>
      <c r="C10887" s="2" t="s">
        <v>5</v>
      </c>
      <c r="D10887" s="2" t="s">
        <v>378</v>
      </c>
      <c r="E10887" s="2" t="str">
        <f>"9783030109905"</f>
        <v>9783030109905</v>
      </c>
      <c r="F10887" s="2" t="str">
        <f>"9783030109912"</f>
        <v>9783030109912</v>
      </c>
    </row>
    <row r="10888" spans="1:6" s="3" customFormat="1" ht="29.1" customHeight="1" x14ac:dyDescent="0.25">
      <c r="A10888" s="2" t="s">
        <v>22245</v>
      </c>
      <c r="B10888" s="2" t="s">
        <v>22246</v>
      </c>
      <c r="C10888" s="2" t="s">
        <v>5</v>
      </c>
      <c r="D10888" s="2" t="s">
        <v>850</v>
      </c>
      <c r="E10888" s="2" t="str">
        <f>"9783030523909"</f>
        <v>9783030523909</v>
      </c>
      <c r="F10888" s="2" t="str">
        <f>"9783030523916"</f>
        <v>9783030523916</v>
      </c>
    </row>
    <row r="10889" spans="1:6" s="3" customFormat="1" ht="29.1" customHeight="1" x14ac:dyDescent="0.25">
      <c r="A10889" s="2" t="s">
        <v>22247</v>
      </c>
      <c r="B10889" s="2" t="s">
        <v>22248</v>
      </c>
      <c r="C10889" s="2" t="s">
        <v>5</v>
      </c>
      <c r="D10889" s="2" t="s">
        <v>12594</v>
      </c>
      <c r="E10889" s="2" t="str">
        <f>"9789811621703"</f>
        <v>9789811621703</v>
      </c>
      <c r="F10889" s="2" t="str">
        <f>"9789811621710"</f>
        <v>9789811621710</v>
      </c>
    </row>
    <row r="10890" spans="1:6" s="3" customFormat="1" ht="29.1" customHeight="1" x14ac:dyDescent="0.25">
      <c r="A10890" s="2" t="s">
        <v>22249</v>
      </c>
      <c r="B10890" s="2" t="s">
        <v>22250</v>
      </c>
      <c r="C10890" s="2" t="s">
        <v>5</v>
      </c>
      <c r="D10890" s="2" t="s">
        <v>3062</v>
      </c>
      <c r="E10890" s="2" t="str">
        <f>"9783030780623"</f>
        <v>9783030780623</v>
      </c>
      <c r="F10890" s="2" t="str">
        <f>"9783030780630"</f>
        <v>9783030780630</v>
      </c>
    </row>
    <row r="10891" spans="1:6" s="3" customFormat="1" ht="29.1" customHeight="1" x14ac:dyDescent="0.25">
      <c r="A10891" s="2" t="s">
        <v>22251</v>
      </c>
      <c r="B10891" s="2" t="s">
        <v>22252</v>
      </c>
      <c r="C10891" s="2" t="s">
        <v>5</v>
      </c>
      <c r="D10891" s="2" t="s">
        <v>3062</v>
      </c>
      <c r="E10891" s="2" t="str">
        <f>"9783030514051"</f>
        <v>9783030514051</v>
      </c>
      <c r="F10891" s="2" t="str">
        <f>"9783030514068"</f>
        <v>9783030514068</v>
      </c>
    </row>
    <row r="10892" spans="1:6" s="3" customFormat="1" ht="29.1" customHeight="1" x14ac:dyDescent="0.25">
      <c r="A10892" s="2" t="s">
        <v>22253</v>
      </c>
      <c r="B10892" s="2" t="s">
        <v>22254</v>
      </c>
      <c r="C10892" s="2" t="s">
        <v>5</v>
      </c>
      <c r="D10892" s="2" t="s">
        <v>5761</v>
      </c>
      <c r="E10892" s="2" t="str">
        <f>"9783030986391"</f>
        <v>9783030986391</v>
      </c>
      <c r="F10892" s="2" t="str">
        <f>"9783030986407"</f>
        <v>9783030986407</v>
      </c>
    </row>
    <row r="10893" spans="1:6" s="3" customFormat="1" ht="29.1" customHeight="1" x14ac:dyDescent="0.25">
      <c r="A10893" s="2" t="s">
        <v>22255</v>
      </c>
      <c r="B10893" s="2" t="s">
        <v>22256</v>
      </c>
      <c r="C10893" s="2" t="s">
        <v>5</v>
      </c>
      <c r="D10893" s="2" t="s">
        <v>2742</v>
      </c>
      <c r="E10893" s="2" t="str">
        <f>"9789811088179"</f>
        <v>9789811088179</v>
      </c>
      <c r="F10893" s="2" t="str">
        <f>"9789811088186"</f>
        <v>9789811088186</v>
      </c>
    </row>
    <row r="10894" spans="1:6" s="3" customFormat="1" ht="29.1" customHeight="1" x14ac:dyDescent="0.25">
      <c r="A10894" s="2" t="s">
        <v>22257</v>
      </c>
      <c r="B10894" s="2" t="s">
        <v>22258</v>
      </c>
      <c r="C10894" s="2" t="s">
        <v>5</v>
      </c>
      <c r="D10894" s="2" t="s">
        <v>1867</v>
      </c>
      <c r="E10894" s="2" t="str">
        <f>"9783031167263"</f>
        <v>9783031167263</v>
      </c>
      <c r="F10894" s="2" t="str">
        <f>"9783031167270"</f>
        <v>9783031167270</v>
      </c>
    </row>
    <row r="10895" spans="1:6" s="3" customFormat="1" ht="29.1" customHeight="1" x14ac:dyDescent="0.25">
      <c r="A10895" s="2" t="s">
        <v>22259</v>
      </c>
      <c r="B10895" s="2" t="s">
        <v>22260</v>
      </c>
      <c r="C10895" s="2" t="s">
        <v>5</v>
      </c>
      <c r="D10895" s="2" t="s">
        <v>101</v>
      </c>
      <c r="E10895" s="2" t="str">
        <f>"9789811677106"</f>
        <v>9789811677106</v>
      </c>
      <c r="F10895" s="2" t="str">
        <f>"9789811677113"</f>
        <v>9789811677113</v>
      </c>
    </row>
    <row r="10896" spans="1:6" s="3" customFormat="1" ht="29.1" customHeight="1" x14ac:dyDescent="0.25">
      <c r="A10896" s="2" t="s">
        <v>22261</v>
      </c>
      <c r="B10896" s="2" t="s">
        <v>22262</v>
      </c>
      <c r="C10896" s="2" t="s">
        <v>5</v>
      </c>
      <c r="D10896" s="2" t="s">
        <v>755</v>
      </c>
      <c r="E10896" s="2" t="str">
        <f>"9783030115449"</f>
        <v>9783030115449</v>
      </c>
      <c r="F10896" s="2" t="str">
        <f>"9783030115456"</f>
        <v>9783030115456</v>
      </c>
    </row>
    <row r="10897" spans="1:6" s="3" customFormat="1" ht="29.1" customHeight="1" x14ac:dyDescent="0.25">
      <c r="A10897" s="2" t="s">
        <v>22263</v>
      </c>
      <c r="B10897" s="2" t="s">
        <v>22264</v>
      </c>
      <c r="C10897" s="2" t="s">
        <v>5</v>
      </c>
      <c r="D10897" s="2" t="s">
        <v>10336</v>
      </c>
      <c r="E10897" s="2" t="str">
        <f>"9783031277030"</f>
        <v>9783031277030</v>
      </c>
      <c r="F10897" s="2" t="str">
        <f>"9783031277047"</f>
        <v>9783031277047</v>
      </c>
    </row>
    <row r="10898" spans="1:6" s="3" customFormat="1" ht="29.1" customHeight="1" x14ac:dyDescent="0.25">
      <c r="A10898" s="2" t="s">
        <v>22265</v>
      </c>
      <c r="B10898" s="2" t="s">
        <v>22266</v>
      </c>
      <c r="C10898" s="2" t="s">
        <v>5</v>
      </c>
      <c r="D10898" s="2" t="s">
        <v>889</v>
      </c>
      <c r="E10898" s="2" t="str">
        <f>"9783030379650"</f>
        <v>9783030379650</v>
      </c>
      <c r="F10898" s="2" t="str">
        <f>"9783030379667"</f>
        <v>9783030379667</v>
      </c>
    </row>
    <row r="10899" spans="1:6" s="3" customFormat="1" ht="29.1" customHeight="1" x14ac:dyDescent="0.25">
      <c r="A10899" s="2" t="s">
        <v>22267</v>
      </c>
      <c r="B10899" s="2" t="s">
        <v>22268</v>
      </c>
      <c r="C10899" s="2" t="s">
        <v>5</v>
      </c>
      <c r="D10899" s="2" t="s">
        <v>3817</v>
      </c>
      <c r="E10899" s="2" t="str">
        <f>"9783319579658"</f>
        <v>9783319579658</v>
      </c>
      <c r="F10899" s="2" t="str">
        <f>"9783319579665"</f>
        <v>9783319579665</v>
      </c>
    </row>
    <row r="10900" spans="1:6" s="3" customFormat="1" ht="29.1" customHeight="1" x14ac:dyDescent="0.25">
      <c r="A10900" s="2" t="s">
        <v>22269</v>
      </c>
      <c r="B10900" s="2" t="s">
        <v>22270</v>
      </c>
      <c r="C10900" s="2" t="s">
        <v>5</v>
      </c>
      <c r="D10900" s="2" t="s">
        <v>5758</v>
      </c>
      <c r="E10900" s="2" t="str">
        <f>"9783030370800"</f>
        <v>9783030370800</v>
      </c>
      <c r="F10900" s="2" t="str">
        <f>"9783030370817"</f>
        <v>9783030370817</v>
      </c>
    </row>
    <row r="10901" spans="1:6" s="3" customFormat="1" ht="29.1" customHeight="1" x14ac:dyDescent="0.25">
      <c r="A10901" s="2" t="s">
        <v>22271</v>
      </c>
      <c r="B10901" s="2" t="s">
        <v>22272</v>
      </c>
      <c r="C10901" s="2" t="s">
        <v>5</v>
      </c>
      <c r="D10901" s="2" t="s">
        <v>5588</v>
      </c>
      <c r="E10901" s="2" t="str">
        <f>"9783319583150"</f>
        <v>9783319583150</v>
      </c>
      <c r="F10901" s="2" t="str">
        <f>"9783319583167"</f>
        <v>9783319583167</v>
      </c>
    </row>
    <row r="10902" spans="1:6" s="3" customFormat="1" ht="29.1" customHeight="1" x14ac:dyDescent="0.25">
      <c r="A10902" s="2" t="s">
        <v>22273</v>
      </c>
      <c r="B10902" s="2" t="s">
        <v>22274</v>
      </c>
      <c r="C10902" s="2" t="s">
        <v>5</v>
      </c>
      <c r="D10902" s="2" t="s">
        <v>553</v>
      </c>
      <c r="E10902" s="2" t="str">
        <f>"9789811951770"</f>
        <v>9789811951770</v>
      </c>
      <c r="F10902" s="2" t="str">
        <f>"9789811951787"</f>
        <v>9789811951787</v>
      </c>
    </row>
    <row r="10903" spans="1:6" s="3" customFormat="1" ht="29.1" customHeight="1" x14ac:dyDescent="0.25">
      <c r="A10903" s="2" t="s">
        <v>22275</v>
      </c>
      <c r="B10903" s="2" t="s">
        <v>22277</v>
      </c>
      <c r="C10903" s="2" t="s">
        <v>5</v>
      </c>
      <c r="D10903" s="2" t="s">
        <v>22276</v>
      </c>
      <c r="E10903" s="2" t="str">
        <f>"9783030909833"</f>
        <v>9783030909833</v>
      </c>
      <c r="F10903" s="2" t="str">
        <f>"9783030909840"</f>
        <v>9783030909840</v>
      </c>
    </row>
    <row r="10904" spans="1:6" s="3" customFormat="1" ht="29.1" customHeight="1" x14ac:dyDescent="0.25">
      <c r="A10904" s="2" t="s">
        <v>22278</v>
      </c>
      <c r="B10904" s="2" t="s">
        <v>22279</v>
      </c>
      <c r="C10904" s="2" t="s">
        <v>5</v>
      </c>
      <c r="D10904" s="2" t="s">
        <v>553</v>
      </c>
      <c r="E10904" s="2" t="str">
        <f>"9789811665059"</f>
        <v>9789811665059</v>
      </c>
      <c r="F10904" s="2" t="str">
        <f>"9789811665066"</f>
        <v>9789811665066</v>
      </c>
    </row>
    <row r="10905" spans="1:6" s="3" customFormat="1" ht="29.1" customHeight="1" x14ac:dyDescent="0.25">
      <c r="A10905" s="2" t="s">
        <v>22280</v>
      </c>
      <c r="B10905" s="2" t="s">
        <v>22281</v>
      </c>
      <c r="C10905" s="2" t="s">
        <v>5</v>
      </c>
      <c r="D10905" s="2" t="s">
        <v>553</v>
      </c>
      <c r="E10905" s="2" t="str">
        <f>"9789811553509"</f>
        <v>9789811553509</v>
      </c>
      <c r="F10905" s="2" t="str">
        <f>"9789811553516"</f>
        <v>9789811553516</v>
      </c>
    </row>
    <row r="10906" spans="1:6" s="3" customFormat="1" ht="29.1" customHeight="1" x14ac:dyDescent="0.25">
      <c r="A10906" s="2" t="s">
        <v>22282</v>
      </c>
      <c r="B10906" s="2" t="s">
        <v>20120</v>
      </c>
      <c r="C10906" s="2" t="s">
        <v>5</v>
      </c>
      <c r="D10906" s="2" t="s">
        <v>256</v>
      </c>
      <c r="E10906" s="2" t="str">
        <f>"9789811538865"</f>
        <v>9789811538865</v>
      </c>
      <c r="F10906" s="2" t="str">
        <f>"9789811538872"</f>
        <v>9789811538872</v>
      </c>
    </row>
    <row r="10907" spans="1:6" s="3" customFormat="1" ht="29.1" customHeight="1" x14ac:dyDescent="0.25">
      <c r="A10907" s="2" t="s">
        <v>22283</v>
      </c>
      <c r="B10907" s="2" t="s">
        <v>16464</v>
      </c>
      <c r="C10907" s="2" t="s">
        <v>5</v>
      </c>
      <c r="D10907" s="2" t="s">
        <v>490</v>
      </c>
      <c r="E10907" s="2" t="str">
        <f>"9789811526824"</f>
        <v>9789811526824</v>
      </c>
      <c r="F10907" s="2" t="str">
        <f>"9789811526831"</f>
        <v>9789811526831</v>
      </c>
    </row>
    <row r="10908" spans="1:6" s="3" customFormat="1" ht="29.1" customHeight="1" x14ac:dyDescent="0.25">
      <c r="A10908" s="2" t="s">
        <v>22284</v>
      </c>
      <c r="B10908" s="2" t="s">
        <v>20120</v>
      </c>
      <c r="C10908" s="2" t="s">
        <v>5</v>
      </c>
      <c r="D10908" s="2" t="s">
        <v>836</v>
      </c>
      <c r="E10908" s="2" t="str">
        <f>"9789811521362"</f>
        <v>9789811521362</v>
      </c>
      <c r="F10908" s="2" t="str">
        <f>"9789811521379"</f>
        <v>9789811521379</v>
      </c>
    </row>
    <row r="10909" spans="1:6" s="3" customFormat="1" ht="29.1" customHeight="1" x14ac:dyDescent="0.25">
      <c r="A10909" s="2" t="s">
        <v>22285</v>
      </c>
      <c r="B10909" s="2" t="s">
        <v>22286</v>
      </c>
      <c r="C10909" s="2" t="s">
        <v>5</v>
      </c>
      <c r="D10909" s="2" t="s">
        <v>2178</v>
      </c>
      <c r="E10909" s="2" t="str">
        <f>"9783030025700"</f>
        <v>9783030025700</v>
      </c>
      <c r="F10909" s="2" t="str">
        <f>"9783030025717"</f>
        <v>9783030025717</v>
      </c>
    </row>
    <row r="10910" spans="1:6" s="3" customFormat="1" ht="29.1" customHeight="1" x14ac:dyDescent="0.25">
      <c r="A10910" s="2" t="s">
        <v>22287</v>
      </c>
      <c r="B10910" s="2" t="s">
        <v>22288</v>
      </c>
      <c r="C10910" s="2" t="s">
        <v>5</v>
      </c>
      <c r="D10910" s="2" t="s">
        <v>2045</v>
      </c>
      <c r="E10910" s="2" t="str">
        <f>"9789811302978"</f>
        <v>9789811302978</v>
      </c>
      <c r="F10910" s="2" t="str">
        <f>"9789811302985"</f>
        <v>9789811302985</v>
      </c>
    </row>
    <row r="10911" spans="1:6" s="3" customFormat="1" ht="29.1" customHeight="1" x14ac:dyDescent="0.25">
      <c r="A10911" s="2" t="s">
        <v>22289</v>
      </c>
      <c r="B10911" s="2" t="s">
        <v>22291</v>
      </c>
      <c r="C10911" s="2" t="s">
        <v>5</v>
      </c>
      <c r="D10911" s="2" t="s">
        <v>22290</v>
      </c>
      <c r="E10911" s="2" t="str">
        <f>"9783030547943"</f>
        <v>9783030547943</v>
      </c>
      <c r="F10911" s="2" t="str">
        <f>"9783030547950"</f>
        <v>9783030547950</v>
      </c>
    </row>
    <row r="10912" spans="1:6" s="3" customFormat="1" ht="29.1" customHeight="1" x14ac:dyDescent="0.25">
      <c r="A10912" s="2" t="s">
        <v>22292</v>
      </c>
      <c r="B10912" s="2" t="s">
        <v>22293</v>
      </c>
      <c r="C10912" s="2" t="s">
        <v>5</v>
      </c>
      <c r="D10912" s="2" t="s">
        <v>1109</v>
      </c>
      <c r="E10912" s="2" t="str">
        <f>"9783319946092"</f>
        <v>9783319946092</v>
      </c>
      <c r="F10912" s="2" t="str">
        <f>"9783319946108"</f>
        <v>9783319946108</v>
      </c>
    </row>
    <row r="10913" spans="1:6" s="3" customFormat="1" ht="29.1" customHeight="1" x14ac:dyDescent="0.25">
      <c r="A10913" s="2" t="s">
        <v>22294</v>
      </c>
      <c r="B10913" s="2" t="s">
        <v>22295</v>
      </c>
      <c r="C10913" s="2" t="s">
        <v>5</v>
      </c>
      <c r="D10913" s="2" t="s">
        <v>689</v>
      </c>
      <c r="E10913" s="2" t="str">
        <f>"9783319580197"</f>
        <v>9783319580197</v>
      </c>
      <c r="F10913" s="2" t="str">
        <f>"9783319580203"</f>
        <v>9783319580203</v>
      </c>
    </row>
    <row r="10914" spans="1:6" s="3" customFormat="1" ht="29.1" customHeight="1" x14ac:dyDescent="0.25">
      <c r="A10914" s="2" t="s">
        <v>22296</v>
      </c>
      <c r="B10914" s="2" t="s">
        <v>22297</v>
      </c>
      <c r="C10914" s="2" t="s">
        <v>5</v>
      </c>
      <c r="D10914" s="2" t="s">
        <v>3354</v>
      </c>
      <c r="E10914" s="2" t="str">
        <f>"9789811003783"</f>
        <v>9789811003783</v>
      </c>
      <c r="F10914" s="2" t="str">
        <f>"9789811003790"</f>
        <v>9789811003790</v>
      </c>
    </row>
    <row r="10915" spans="1:6" s="3" customFormat="1" ht="29.1" customHeight="1" x14ac:dyDescent="0.25">
      <c r="A10915" s="2" t="s">
        <v>22298</v>
      </c>
      <c r="B10915" s="2" t="s">
        <v>22299</v>
      </c>
      <c r="C10915" s="2" t="s">
        <v>5</v>
      </c>
      <c r="D10915" s="2" t="s">
        <v>606</v>
      </c>
      <c r="E10915" s="2" t="str">
        <f>"9783030373665"</f>
        <v>9783030373665</v>
      </c>
      <c r="F10915" s="2" t="str">
        <f>"9783030373672"</f>
        <v>9783030373672</v>
      </c>
    </row>
    <row r="10916" spans="1:6" s="3" customFormat="1" ht="29.1" customHeight="1" x14ac:dyDescent="0.25">
      <c r="A10916" s="2" t="s">
        <v>22300</v>
      </c>
      <c r="B10916" s="2" t="s">
        <v>22301</v>
      </c>
      <c r="C10916" s="2" t="s">
        <v>5</v>
      </c>
      <c r="D10916" s="2" t="s">
        <v>353</v>
      </c>
      <c r="E10916" s="2" t="str">
        <f>"9783030036348"</f>
        <v>9783030036348</v>
      </c>
      <c r="F10916" s="2" t="str">
        <f>"9783030036355"</f>
        <v>9783030036355</v>
      </c>
    </row>
    <row r="10917" spans="1:6" s="3" customFormat="1" ht="29.1" customHeight="1" x14ac:dyDescent="0.25">
      <c r="A10917" s="2" t="s">
        <v>22302</v>
      </c>
      <c r="B10917" s="2" t="s">
        <v>16257</v>
      </c>
      <c r="C10917" s="2" t="s">
        <v>5</v>
      </c>
      <c r="D10917" s="2" t="s">
        <v>3198</v>
      </c>
      <c r="E10917" s="2" t="str">
        <f>"9783031351624"</f>
        <v>9783031351624</v>
      </c>
      <c r="F10917" s="2" t="str">
        <f>"9783031351631"</f>
        <v>9783031351631</v>
      </c>
    </row>
    <row r="10918" spans="1:6" s="3" customFormat="1" ht="29.1" customHeight="1" x14ac:dyDescent="0.25">
      <c r="A10918" s="2" t="s">
        <v>22303</v>
      </c>
      <c r="B10918" s="2" t="s">
        <v>22304</v>
      </c>
      <c r="C10918" s="2" t="s">
        <v>5</v>
      </c>
      <c r="D10918" s="2" t="s">
        <v>3198</v>
      </c>
      <c r="E10918" s="2" t="str">
        <f>"9783031326325"</f>
        <v>9783031326325</v>
      </c>
      <c r="F10918" s="2" t="str">
        <f>"9783031326332"</f>
        <v>9783031326332</v>
      </c>
    </row>
    <row r="10919" spans="1:6" s="3" customFormat="1" ht="29.1" customHeight="1" x14ac:dyDescent="0.25">
      <c r="A10919" s="2" t="s">
        <v>22305</v>
      </c>
      <c r="B10919" s="2" t="s">
        <v>22306</v>
      </c>
      <c r="C10919" s="2" t="s">
        <v>5</v>
      </c>
      <c r="D10919" s="2" t="s">
        <v>44</v>
      </c>
      <c r="E10919" s="2" t="str">
        <f>"9789819904976"</f>
        <v>9789819904976</v>
      </c>
      <c r="F10919" s="2" t="str">
        <f>"9789819904983"</f>
        <v>9789819904983</v>
      </c>
    </row>
    <row r="10920" spans="1:6" s="3" customFormat="1" ht="29.1" customHeight="1" x14ac:dyDescent="0.25">
      <c r="A10920" s="2" t="s">
        <v>22307</v>
      </c>
      <c r="B10920" s="2" t="s">
        <v>22308</v>
      </c>
      <c r="C10920" s="2" t="s">
        <v>5</v>
      </c>
      <c r="D10920" s="2" t="s">
        <v>4180</v>
      </c>
      <c r="E10920" s="2" t="str">
        <f>"9783031260179"</f>
        <v>9783031260179</v>
      </c>
      <c r="F10920" s="2" t="str">
        <f>"9783031260186"</f>
        <v>9783031260186</v>
      </c>
    </row>
    <row r="10921" spans="1:6" s="3" customFormat="1" ht="29.1" customHeight="1" x14ac:dyDescent="0.25">
      <c r="A10921" s="2" t="s">
        <v>22309</v>
      </c>
      <c r="B10921" s="2" t="s">
        <v>22310</v>
      </c>
      <c r="C10921" s="2" t="s">
        <v>5</v>
      </c>
      <c r="D10921" s="2" t="s">
        <v>2391</v>
      </c>
      <c r="E10921" s="2" t="str">
        <f>"9783031154560"</f>
        <v>9783031154560</v>
      </c>
      <c r="F10921" s="2" t="str">
        <f>"9783031154577"</f>
        <v>9783031154577</v>
      </c>
    </row>
    <row r="10922" spans="1:6" s="3" customFormat="1" ht="29.1" customHeight="1" x14ac:dyDescent="0.25">
      <c r="A10922" s="2" t="s">
        <v>22311</v>
      </c>
      <c r="B10922" s="2" t="s">
        <v>22312</v>
      </c>
      <c r="C10922" s="2" t="s">
        <v>5</v>
      </c>
      <c r="D10922" s="2" t="s">
        <v>11074</v>
      </c>
      <c r="E10922" s="2" t="str">
        <f>"9783031078040"</f>
        <v>9783031078040</v>
      </c>
      <c r="F10922" s="2" t="str">
        <f>"9783031078057"</f>
        <v>9783031078057</v>
      </c>
    </row>
    <row r="10923" spans="1:6" s="3" customFormat="1" ht="29.1" customHeight="1" x14ac:dyDescent="0.25">
      <c r="A10923" s="2" t="s">
        <v>22313</v>
      </c>
      <c r="B10923" s="2" t="s">
        <v>22314</v>
      </c>
      <c r="C10923" s="2" t="s">
        <v>5</v>
      </c>
      <c r="D10923" s="2" t="s">
        <v>487</v>
      </c>
      <c r="E10923" s="2" t="str">
        <f>"9783031049606"</f>
        <v>9783031049606</v>
      </c>
      <c r="F10923" s="2" t="str">
        <f>"9783031049613"</f>
        <v>9783031049613</v>
      </c>
    </row>
    <row r="10924" spans="1:6" s="3" customFormat="1" ht="29.1" customHeight="1" x14ac:dyDescent="0.25">
      <c r="A10924" s="2" t="s">
        <v>22315</v>
      </c>
      <c r="B10924" s="2" t="s">
        <v>22316</v>
      </c>
      <c r="C10924" s="2" t="s">
        <v>5</v>
      </c>
      <c r="D10924" s="2" t="s">
        <v>4262</v>
      </c>
      <c r="E10924" s="2" t="str">
        <f>"9783031046698"</f>
        <v>9783031046698</v>
      </c>
      <c r="F10924" s="2" t="str">
        <f>"9783031046704"</f>
        <v>9783031046704</v>
      </c>
    </row>
    <row r="10925" spans="1:6" s="3" customFormat="1" ht="29.1" customHeight="1" x14ac:dyDescent="0.25">
      <c r="A10925" s="2" t="s">
        <v>22317</v>
      </c>
      <c r="B10925" s="2" t="s">
        <v>22318</v>
      </c>
      <c r="C10925" s="2" t="s">
        <v>5</v>
      </c>
      <c r="D10925" s="2" t="s">
        <v>3489</v>
      </c>
      <c r="E10925" s="2" t="str">
        <f>"9783030897918"</f>
        <v>9783030897918</v>
      </c>
      <c r="F10925" s="2" t="str">
        <f>"9783030897925"</f>
        <v>9783030897925</v>
      </c>
    </row>
    <row r="10926" spans="1:6" s="3" customFormat="1" ht="29.1" customHeight="1" x14ac:dyDescent="0.25">
      <c r="A10926" s="2" t="s">
        <v>22319</v>
      </c>
      <c r="B10926" s="2" t="s">
        <v>22320</v>
      </c>
      <c r="C10926" s="2" t="s">
        <v>5</v>
      </c>
      <c r="D10926" s="2" t="s">
        <v>3489</v>
      </c>
      <c r="E10926" s="2" t="str">
        <f>"9783030748852"</f>
        <v>9783030748852</v>
      </c>
      <c r="F10926" s="2" t="str">
        <f>"9783030748869"</f>
        <v>9783030748869</v>
      </c>
    </row>
    <row r="10927" spans="1:6" s="3" customFormat="1" ht="29.1" customHeight="1" x14ac:dyDescent="0.25">
      <c r="A10927" s="2" t="s">
        <v>22321</v>
      </c>
      <c r="B10927" s="2" t="s">
        <v>22322</v>
      </c>
      <c r="C10927" s="2" t="s">
        <v>5</v>
      </c>
      <c r="D10927" s="2" t="s">
        <v>15184</v>
      </c>
      <c r="E10927" s="2" t="str">
        <f>"9783030713997"</f>
        <v>9783030713997</v>
      </c>
      <c r="F10927" s="2" t="str">
        <f>"9783030714000"</f>
        <v>9783030714000</v>
      </c>
    </row>
    <row r="10928" spans="1:6" s="3" customFormat="1" ht="29.1" customHeight="1" x14ac:dyDescent="0.25">
      <c r="A10928" s="2" t="s">
        <v>22323</v>
      </c>
      <c r="B10928" s="2" t="s">
        <v>22324</v>
      </c>
      <c r="C10928" s="2" t="s">
        <v>5</v>
      </c>
      <c r="D10928" s="2" t="s">
        <v>353</v>
      </c>
      <c r="E10928" s="2" t="str">
        <f>"9783030636920"</f>
        <v>9783030636920</v>
      </c>
      <c r="F10928" s="2" t="str">
        <f>"9783030636937"</f>
        <v>9783030636937</v>
      </c>
    </row>
    <row r="10929" spans="1:6" s="3" customFormat="1" ht="29.1" customHeight="1" x14ac:dyDescent="0.25">
      <c r="A10929" s="2" t="s">
        <v>22325</v>
      </c>
      <c r="B10929" s="2" t="s">
        <v>22326</v>
      </c>
      <c r="C10929" s="2" t="s">
        <v>5</v>
      </c>
      <c r="D10929" s="2" t="s">
        <v>2880</v>
      </c>
      <c r="E10929" s="2" t="str">
        <f>"9783030472283"</f>
        <v>9783030472283</v>
      </c>
      <c r="F10929" s="2" t="str">
        <f>"9783030472290"</f>
        <v>9783030472290</v>
      </c>
    </row>
    <row r="10930" spans="1:6" s="3" customFormat="1" ht="29.1" customHeight="1" x14ac:dyDescent="0.25">
      <c r="A10930" s="2" t="s">
        <v>22327</v>
      </c>
      <c r="B10930" s="2" t="s">
        <v>22328</v>
      </c>
      <c r="C10930" s="2" t="s">
        <v>5</v>
      </c>
      <c r="D10930" s="2" t="s">
        <v>3198</v>
      </c>
      <c r="E10930" s="2" t="str">
        <f>"9783030256388"</f>
        <v>9783030256388</v>
      </c>
      <c r="F10930" s="2" t="str">
        <f>"9783030256395"</f>
        <v>9783030256395</v>
      </c>
    </row>
    <row r="10931" spans="1:6" s="3" customFormat="1" ht="29.1" customHeight="1" x14ac:dyDescent="0.25">
      <c r="A10931" s="2" t="s">
        <v>22329</v>
      </c>
      <c r="B10931" s="2" t="s">
        <v>22330</v>
      </c>
      <c r="C10931" s="2" t="s">
        <v>5</v>
      </c>
      <c r="D10931" s="2" t="s">
        <v>1189</v>
      </c>
      <c r="E10931" s="2" t="str">
        <f>"9783030001223"</f>
        <v>9783030001223</v>
      </c>
      <c r="F10931" s="2" t="str">
        <f>"9783030001230"</f>
        <v>9783030001230</v>
      </c>
    </row>
    <row r="10932" spans="1:6" s="3" customFormat="1" ht="29.1" customHeight="1" x14ac:dyDescent="0.25">
      <c r="A10932" s="2" t="s">
        <v>22331</v>
      </c>
      <c r="B10932" s="2" t="s">
        <v>22332</v>
      </c>
      <c r="C10932" s="2" t="s">
        <v>5</v>
      </c>
      <c r="D10932" s="2" t="s">
        <v>8338</v>
      </c>
      <c r="E10932" s="2" t="str">
        <f>"9783319958484"</f>
        <v>9783319958484</v>
      </c>
      <c r="F10932" s="2" t="str">
        <f>"9783319958491"</f>
        <v>9783319958491</v>
      </c>
    </row>
    <row r="10933" spans="1:6" s="3" customFormat="1" ht="29.1" customHeight="1" x14ac:dyDescent="0.25">
      <c r="A10933" s="2" t="s">
        <v>22333</v>
      </c>
      <c r="B10933" s="2" t="s">
        <v>22334</v>
      </c>
      <c r="C10933" s="2" t="s">
        <v>5</v>
      </c>
      <c r="D10933" s="2" t="s">
        <v>477</v>
      </c>
      <c r="E10933" s="2" t="str">
        <f>"9783319917061"</f>
        <v>9783319917061</v>
      </c>
      <c r="F10933" s="2" t="str">
        <f>"9783319917078"</f>
        <v>9783319917078</v>
      </c>
    </row>
    <row r="10934" spans="1:6" s="3" customFormat="1" ht="29.1" customHeight="1" x14ac:dyDescent="0.25">
      <c r="A10934" s="2" t="s">
        <v>22335</v>
      </c>
      <c r="B10934" s="2" t="s">
        <v>22336</v>
      </c>
      <c r="C10934" s="2" t="s">
        <v>5</v>
      </c>
      <c r="D10934" s="2" t="s">
        <v>2880</v>
      </c>
      <c r="E10934" s="2" t="str">
        <f>"9783319740973"</f>
        <v>9783319740973</v>
      </c>
      <c r="F10934" s="2" t="str">
        <f>"9783319740980"</f>
        <v>9783319740980</v>
      </c>
    </row>
    <row r="10935" spans="1:6" s="3" customFormat="1" ht="29.1" customHeight="1" x14ac:dyDescent="0.25">
      <c r="A10935" s="2" t="s">
        <v>22337</v>
      </c>
      <c r="B10935" s="2" t="s">
        <v>22338</v>
      </c>
      <c r="C10935" s="2" t="s">
        <v>5</v>
      </c>
      <c r="D10935" s="2" t="s">
        <v>2880</v>
      </c>
      <c r="E10935" s="2" t="str">
        <f>"9783319655260"</f>
        <v>9783319655260</v>
      </c>
      <c r="F10935" s="2" t="str">
        <f>"9783319655277"</f>
        <v>9783319655277</v>
      </c>
    </row>
    <row r="10936" spans="1:6" s="3" customFormat="1" ht="29.1" customHeight="1" x14ac:dyDescent="0.25">
      <c r="A10936" s="2" t="s">
        <v>22339</v>
      </c>
      <c r="B10936" s="2" t="s">
        <v>22340</v>
      </c>
      <c r="C10936" s="2" t="s">
        <v>5</v>
      </c>
      <c r="D10936" s="2" t="s">
        <v>724</v>
      </c>
      <c r="E10936" s="2" t="str">
        <f>"9783319460307"</f>
        <v>9783319460307</v>
      </c>
      <c r="F10936" s="2" t="str">
        <f>"9783319460314"</f>
        <v>9783319460314</v>
      </c>
    </row>
    <row r="10937" spans="1:6" s="3" customFormat="1" ht="29.1" customHeight="1" x14ac:dyDescent="0.25">
      <c r="A10937" s="2" t="s">
        <v>22341</v>
      </c>
      <c r="B10937" s="2" t="s">
        <v>22342</v>
      </c>
      <c r="C10937" s="2" t="s">
        <v>5</v>
      </c>
      <c r="D10937" s="2" t="s">
        <v>487</v>
      </c>
      <c r="E10937" s="2" t="str">
        <f>"9783031116575"</f>
        <v>9783031116575</v>
      </c>
      <c r="F10937" s="2" t="str">
        <f>"9783031116582"</f>
        <v>9783031116582</v>
      </c>
    </row>
    <row r="10938" spans="1:6" s="3" customFormat="1" ht="29.1" customHeight="1" x14ac:dyDescent="0.25">
      <c r="A10938" s="2" t="s">
        <v>22343</v>
      </c>
      <c r="B10938" s="2" t="s">
        <v>22344</v>
      </c>
      <c r="C10938" s="2" t="s">
        <v>5</v>
      </c>
      <c r="D10938" s="2" t="s">
        <v>20602</v>
      </c>
      <c r="E10938" s="2" t="str">
        <f>"9789811628801"</f>
        <v>9789811628801</v>
      </c>
      <c r="F10938" s="2" t="str">
        <f>"9789811628818"</f>
        <v>9789811628818</v>
      </c>
    </row>
    <row r="10939" spans="1:6" s="3" customFormat="1" ht="29.1" customHeight="1" x14ac:dyDescent="0.25">
      <c r="A10939" s="2" t="s">
        <v>22345</v>
      </c>
      <c r="B10939" s="2" t="s">
        <v>22346</v>
      </c>
      <c r="C10939" s="2" t="s">
        <v>5</v>
      </c>
      <c r="D10939" s="2" t="s">
        <v>232</v>
      </c>
      <c r="E10939" s="2" t="str">
        <f>"9783030259617"</f>
        <v>9783030259617</v>
      </c>
      <c r="F10939" s="2" t="str">
        <f>"9783030259624"</f>
        <v>9783030259624</v>
      </c>
    </row>
    <row r="10940" spans="1:6" s="3" customFormat="1" ht="29.1" customHeight="1" x14ac:dyDescent="0.25">
      <c r="A10940" s="2" t="s">
        <v>22347</v>
      </c>
      <c r="B10940" s="2" t="s">
        <v>22348</v>
      </c>
      <c r="C10940" s="2" t="s">
        <v>5</v>
      </c>
      <c r="D10940" s="2" t="s">
        <v>3062</v>
      </c>
      <c r="E10940" s="2" t="str">
        <f>"9783031118395"</f>
        <v>9783031118395</v>
      </c>
      <c r="F10940" s="2" t="str">
        <f>"9783031118401"</f>
        <v>9783031118401</v>
      </c>
    </row>
    <row r="10941" spans="1:6" s="3" customFormat="1" ht="29.1" customHeight="1" x14ac:dyDescent="0.25">
      <c r="A10941" s="2" t="s">
        <v>22349</v>
      </c>
      <c r="B10941" s="2" t="s">
        <v>22350</v>
      </c>
      <c r="C10941" s="2" t="s">
        <v>5</v>
      </c>
      <c r="D10941" s="2" t="s">
        <v>3062</v>
      </c>
      <c r="E10941" s="2" t="str">
        <f>"9783030791100"</f>
        <v>9783030791100</v>
      </c>
      <c r="F10941" s="2" t="str">
        <f>"9783030791117"</f>
        <v>9783030791117</v>
      </c>
    </row>
    <row r="10942" spans="1:6" s="3" customFormat="1" ht="29.1" customHeight="1" x14ac:dyDescent="0.25">
      <c r="A10942" s="2" t="s">
        <v>22351</v>
      </c>
      <c r="B10942" s="2" t="s">
        <v>22352</v>
      </c>
      <c r="C10942" s="2" t="s">
        <v>5</v>
      </c>
      <c r="D10942" s="2" t="s">
        <v>3062</v>
      </c>
      <c r="E10942" s="2" t="str">
        <f>"9783030109721"</f>
        <v>9783030109721</v>
      </c>
      <c r="F10942" s="2" t="str">
        <f>"9783030109738"</f>
        <v>9783030109738</v>
      </c>
    </row>
    <row r="10943" spans="1:6" s="3" customFormat="1" ht="29.1" customHeight="1" x14ac:dyDescent="0.25">
      <c r="A10943" s="2" t="s">
        <v>22353</v>
      </c>
      <c r="B10943" s="2" t="s">
        <v>22354</v>
      </c>
      <c r="C10943" s="2" t="s">
        <v>5</v>
      </c>
      <c r="D10943" s="2" t="s">
        <v>1895</v>
      </c>
      <c r="E10943" s="2" t="str">
        <f>"9783319778235"</f>
        <v>9783319778235</v>
      </c>
      <c r="F10943" s="2" t="str">
        <f>"9783319778242"</f>
        <v>9783319778242</v>
      </c>
    </row>
    <row r="10944" spans="1:6" s="3" customFormat="1" ht="29.1" customHeight="1" x14ac:dyDescent="0.25">
      <c r="A10944" s="2" t="s">
        <v>22355</v>
      </c>
      <c r="B10944" s="2" t="s">
        <v>22356</v>
      </c>
      <c r="C10944" s="2" t="s">
        <v>5</v>
      </c>
      <c r="D10944" s="2" t="s">
        <v>12</v>
      </c>
      <c r="E10944" s="2" t="str">
        <f>"9783031248795"</f>
        <v>9783031248795</v>
      </c>
      <c r="F10944" s="2" t="str">
        <f>"9783031248801"</f>
        <v>9783031248801</v>
      </c>
    </row>
    <row r="10945" spans="1:6" s="3" customFormat="1" ht="29.1" customHeight="1" x14ac:dyDescent="0.25">
      <c r="A10945" s="2" t="s">
        <v>22357</v>
      </c>
      <c r="B10945" s="2" t="s">
        <v>22358</v>
      </c>
      <c r="C10945" s="2" t="s">
        <v>5</v>
      </c>
      <c r="D10945" s="2" t="s">
        <v>12</v>
      </c>
      <c r="E10945" s="2" t="str">
        <f>"9783030701758"</f>
        <v>9783030701758</v>
      </c>
      <c r="F10945" s="2" t="str">
        <f>"9783030701765"</f>
        <v>9783030701765</v>
      </c>
    </row>
    <row r="10946" spans="1:6" s="3" customFormat="1" ht="29.1" customHeight="1" x14ac:dyDescent="0.25">
      <c r="A10946" s="2" t="s">
        <v>22359</v>
      </c>
      <c r="B10946" s="2" t="s">
        <v>22360</v>
      </c>
      <c r="C10946" s="2" t="s">
        <v>5</v>
      </c>
      <c r="D10946" s="2" t="s">
        <v>12</v>
      </c>
      <c r="E10946" s="2" t="str">
        <f>"9789811073915"</f>
        <v>9789811073915</v>
      </c>
      <c r="F10946" s="2" t="str">
        <f>"9789811073922"</f>
        <v>9789811073922</v>
      </c>
    </row>
    <row r="10947" spans="1:6" s="3" customFormat="1" ht="29.1" customHeight="1" x14ac:dyDescent="0.25">
      <c r="A10947" s="2" t="s">
        <v>22361</v>
      </c>
      <c r="B10947" s="2" t="s">
        <v>22362</v>
      </c>
      <c r="C10947" s="2" t="s">
        <v>5</v>
      </c>
      <c r="D10947" s="2" t="s">
        <v>183</v>
      </c>
      <c r="E10947" s="2" t="str">
        <f>"9788132221463"</f>
        <v>9788132221463</v>
      </c>
      <c r="F10947" s="2" t="str">
        <f>"9788132220145"</f>
        <v>9788132220145</v>
      </c>
    </row>
    <row r="10948" spans="1:6" s="3" customFormat="1" ht="29.1" customHeight="1" x14ac:dyDescent="0.25">
      <c r="A10948" s="2" t="s">
        <v>22363</v>
      </c>
      <c r="B10948" s="2" t="s">
        <v>22364</v>
      </c>
      <c r="C10948" s="2" t="s">
        <v>5</v>
      </c>
      <c r="D10948" s="2" t="s">
        <v>6714</v>
      </c>
      <c r="E10948" s="2" t="str">
        <f>"9783031431319"</f>
        <v>9783031431319</v>
      </c>
      <c r="F10948" s="2" t="str">
        <f>"9783031431326"</f>
        <v>9783031431326</v>
      </c>
    </row>
    <row r="10949" spans="1:6" s="3" customFormat="1" ht="29.1" customHeight="1" x14ac:dyDescent="0.25">
      <c r="A10949" s="2" t="s">
        <v>22365</v>
      </c>
      <c r="B10949" s="2" t="s">
        <v>22366</v>
      </c>
      <c r="C10949" s="2" t="s">
        <v>5</v>
      </c>
      <c r="D10949" s="2" t="s">
        <v>98</v>
      </c>
      <c r="E10949" s="2" t="str">
        <f>"9789811947582"</f>
        <v>9789811947582</v>
      </c>
      <c r="F10949" s="2" t="str">
        <f>"9789811947599"</f>
        <v>9789811947599</v>
      </c>
    </row>
    <row r="10950" spans="1:6" s="3" customFormat="1" ht="29.1" customHeight="1" x14ac:dyDescent="0.25">
      <c r="A10950" s="2" t="s">
        <v>22367</v>
      </c>
      <c r="B10950" s="2" t="s">
        <v>22368</v>
      </c>
      <c r="C10950" s="2" t="s">
        <v>5</v>
      </c>
      <c r="D10950" s="2" t="s">
        <v>894</v>
      </c>
      <c r="E10950" s="2" t="str">
        <f>"9783030998073"</f>
        <v>9783030998073</v>
      </c>
      <c r="F10950" s="2" t="str">
        <f>"9783030998080"</f>
        <v>9783030998080</v>
      </c>
    </row>
    <row r="10951" spans="1:6" s="3" customFormat="1" ht="29.1" customHeight="1" x14ac:dyDescent="0.25">
      <c r="A10951" s="2" t="s">
        <v>22369</v>
      </c>
      <c r="B10951" s="2" t="s">
        <v>22370</v>
      </c>
      <c r="C10951" s="2" t="s">
        <v>5</v>
      </c>
      <c r="D10951" s="2" t="s">
        <v>2271</v>
      </c>
      <c r="E10951" s="2" t="str">
        <f>"9783030464622"</f>
        <v>9783030464622</v>
      </c>
      <c r="F10951" s="2" t="str">
        <f>"9783030464639"</f>
        <v>9783030464639</v>
      </c>
    </row>
    <row r="10952" spans="1:6" s="3" customFormat="1" ht="29.1" customHeight="1" x14ac:dyDescent="0.25">
      <c r="A10952" s="2" t="s">
        <v>22371</v>
      </c>
      <c r="B10952" s="2" t="s">
        <v>22372</v>
      </c>
      <c r="C10952" s="2" t="s">
        <v>5</v>
      </c>
      <c r="D10952" s="2" t="s">
        <v>313</v>
      </c>
      <c r="E10952" s="2" t="str">
        <f>"9783031122743"</f>
        <v>9783031122743</v>
      </c>
      <c r="F10952" s="2" t="str">
        <f>"9783031122750"</f>
        <v>9783031122750</v>
      </c>
    </row>
    <row r="10953" spans="1:6" s="3" customFormat="1" ht="29.1" customHeight="1" x14ac:dyDescent="0.25">
      <c r="A10953" s="2" t="s">
        <v>22373</v>
      </c>
      <c r="B10953" s="2" t="s">
        <v>22374</v>
      </c>
      <c r="C10953" s="2" t="s">
        <v>5</v>
      </c>
      <c r="D10953" s="2" t="s">
        <v>364</v>
      </c>
      <c r="E10953" s="2" t="str">
        <f>"9783031118135"</f>
        <v>9783031118135</v>
      </c>
      <c r="F10953" s="2" t="str">
        <f>"9783031118142"</f>
        <v>9783031118142</v>
      </c>
    </row>
    <row r="10954" spans="1:6" s="3" customFormat="1" ht="29.1" customHeight="1" x14ac:dyDescent="0.25">
      <c r="A10954" s="2" t="s">
        <v>22375</v>
      </c>
      <c r="B10954" s="2" t="s">
        <v>22376</v>
      </c>
      <c r="C10954" s="2" t="s">
        <v>5</v>
      </c>
      <c r="D10954" s="2" t="s">
        <v>4783</v>
      </c>
      <c r="E10954" s="2" t="str">
        <f>"9789811697968"</f>
        <v>9789811697968</v>
      </c>
      <c r="F10954" s="2" t="str">
        <f>"9789811697975"</f>
        <v>9789811697975</v>
      </c>
    </row>
    <row r="10955" spans="1:6" s="3" customFormat="1" ht="29.1" customHeight="1" x14ac:dyDescent="0.25">
      <c r="A10955" s="2" t="s">
        <v>22377</v>
      </c>
      <c r="B10955" s="2" t="s">
        <v>22378</v>
      </c>
      <c r="C10955" s="2" t="s">
        <v>5</v>
      </c>
      <c r="D10955" s="2" t="s">
        <v>4783</v>
      </c>
      <c r="E10955" s="2" t="str">
        <f>"9789811651373"</f>
        <v>9789811651373</v>
      </c>
      <c r="F10955" s="2" t="str">
        <f>"9789811651380"</f>
        <v>9789811651380</v>
      </c>
    </row>
    <row r="10956" spans="1:6" s="3" customFormat="1" ht="29.1" customHeight="1" x14ac:dyDescent="0.25">
      <c r="A10956" s="2" t="s">
        <v>22379</v>
      </c>
      <c r="B10956" s="2" t="s">
        <v>22380</v>
      </c>
      <c r="C10956" s="2" t="s">
        <v>5</v>
      </c>
      <c r="D10956" s="2" t="s">
        <v>302</v>
      </c>
      <c r="E10956" s="2" t="str">
        <f>"9783030626686"</f>
        <v>9783030626686</v>
      </c>
      <c r="F10956" s="2" t="str">
        <f>"9783030626693"</f>
        <v>9783030626693</v>
      </c>
    </row>
    <row r="10957" spans="1:6" s="3" customFormat="1" ht="29.1" customHeight="1" x14ac:dyDescent="0.25">
      <c r="A10957" s="2" t="s">
        <v>22381</v>
      </c>
      <c r="B10957" s="2" t="s">
        <v>22382</v>
      </c>
      <c r="C10957" s="2" t="s">
        <v>5</v>
      </c>
      <c r="D10957" s="2" t="s">
        <v>1845</v>
      </c>
      <c r="E10957" s="2" t="str">
        <f>"9783030106881"</f>
        <v>9783030106881</v>
      </c>
      <c r="F10957" s="2" t="str">
        <f>"9783030106898"</f>
        <v>9783030106898</v>
      </c>
    </row>
    <row r="10958" spans="1:6" s="3" customFormat="1" ht="29.1" customHeight="1" x14ac:dyDescent="0.25">
      <c r="A10958" s="2" t="s">
        <v>22383</v>
      </c>
      <c r="B10958" s="2" t="s">
        <v>22384</v>
      </c>
      <c r="C10958" s="2" t="s">
        <v>5</v>
      </c>
      <c r="D10958" s="2" t="s">
        <v>5716</v>
      </c>
      <c r="E10958" s="2" t="str">
        <f>"9783319741406"</f>
        <v>9783319741406</v>
      </c>
      <c r="F10958" s="2" t="str">
        <f>"9783319741413"</f>
        <v>9783319741413</v>
      </c>
    </row>
    <row r="10959" spans="1:6" s="3" customFormat="1" ht="29.1" customHeight="1" x14ac:dyDescent="0.25">
      <c r="A10959" s="2" t="s">
        <v>22385</v>
      </c>
      <c r="B10959" s="2" t="s">
        <v>22386</v>
      </c>
      <c r="C10959" s="2" t="s">
        <v>5</v>
      </c>
      <c r="D10959" s="2" t="s">
        <v>350</v>
      </c>
      <c r="E10959" s="2" t="str">
        <f>"9783319550916"</f>
        <v>9783319550916</v>
      </c>
      <c r="F10959" s="2" t="str">
        <f>"9783319550923"</f>
        <v>9783319550923</v>
      </c>
    </row>
    <row r="10960" spans="1:6" s="3" customFormat="1" ht="29.1" customHeight="1" x14ac:dyDescent="0.25">
      <c r="A10960" s="2" t="s">
        <v>22387</v>
      </c>
      <c r="B10960" s="2" t="s">
        <v>22388</v>
      </c>
      <c r="C10960" s="2" t="s">
        <v>5</v>
      </c>
      <c r="D10960" s="2" t="s">
        <v>192</v>
      </c>
      <c r="E10960" s="2" t="str">
        <f>"9783030493875"</f>
        <v>9783030493875</v>
      </c>
      <c r="F10960" s="2" t="str">
        <f>"9783030493882"</f>
        <v>9783030493882</v>
      </c>
    </row>
    <row r="10961" spans="1:6" s="3" customFormat="1" ht="29.1" customHeight="1" x14ac:dyDescent="0.25">
      <c r="A10961" s="2" t="s">
        <v>22389</v>
      </c>
      <c r="B10961" s="2" t="s">
        <v>22390</v>
      </c>
      <c r="C10961" s="2" t="s">
        <v>5</v>
      </c>
      <c r="D10961" s="2" t="s">
        <v>12</v>
      </c>
      <c r="E10961" s="2" t="str">
        <f>"9783319137636"</f>
        <v>9783319137636</v>
      </c>
      <c r="F10961" s="2" t="str">
        <f>"9783319137643"</f>
        <v>9783319137643</v>
      </c>
    </row>
    <row r="10962" spans="1:6" s="3" customFormat="1" ht="29.1" customHeight="1" x14ac:dyDescent="0.25">
      <c r="A10962" s="2" t="s">
        <v>22391</v>
      </c>
      <c r="B10962" s="2" t="s">
        <v>22392</v>
      </c>
      <c r="C10962" s="2" t="s">
        <v>5</v>
      </c>
      <c r="D10962" s="2" t="s">
        <v>270</v>
      </c>
      <c r="E10962" s="2" t="str">
        <f>"9783031390234"</f>
        <v>9783031390234</v>
      </c>
      <c r="F10962" s="2" t="str">
        <f>"9783031390241"</f>
        <v>9783031390241</v>
      </c>
    </row>
    <row r="10963" spans="1:6" s="3" customFormat="1" ht="29.1" customHeight="1" x14ac:dyDescent="0.25">
      <c r="A10963" s="2" t="s">
        <v>22393</v>
      </c>
      <c r="B10963" s="2" t="s">
        <v>22394</v>
      </c>
      <c r="C10963" s="2" t="s">
        <v>5</v>
      </c>
      <c r="D10963" s="2" t="s">
        <v>207</v>
      </c>
      <c r="E10963" s="2" t="str">
        <f>"9783031279713"</f>
        <v>9783031279713</v>
      </c>
      <c r="F10963" s="2" t="str">
        <f>"9783031279720"</f>
        <v>9783031279720</v>
      </c>
    </row>
    <row r="10964" spans="1:6" s="3" customFormat="1" ht="29.1" customHeight="1" x14ac:dyDescent="0.25">
      <c r="A10964" s="2" t="s">
        <v>22395</v>
      </c>
      <c r="B10964" s="2" t="s">
        <v>12443</v>
      </c>
      <c r="C10964" s="2" t="s">
        <v>5</v>
      </c>
      <c r="D10964" s="2" t="s">
        <v>8642</v>
      </c>
      <c r="E10964" s="2" t="str">
        <f>"9783031248535"</f>
        <v>9783031248535</v>
      </c>
      <c r="F10964" s="2" t="str">
        <f>"9783031248542"</f>
        <v>9783031248542</v>
      </c>
    </row>
    <row r="10965" spans="1:6" s="3" customFormat="1" ht="29.1" customHeight="1" x14ac:dyDescent="0.25">
      <c r="A10965" s="2" t="s">
        <v>22396</v>
      </c>
      <c r="B10965" s="2" t="s">
        <v>22397</v>
      </c>
      <c r="C10965" s="2" t="s">
        <v>5</v>
      </c>
      <c r="D10965" s="2" t="s">
        <v>547</v>
      </c>
      <c r="E10965" s="2" t="str">
        <f>"9789811667909"</f>
        <v>9789811667909</v>
      </c>
      <c r="F10965" s="2" t="str">
        <f>"9789811667916"</f>
        <v>9789811667916</v>
      </c>
    </row>
    <row r="10966" spans="1:6" s="3" customFormat="1" ht="29.1" customHeight="1" x14ac:dyDescent="0.25">
      <c r="A10966" s="2" t="s">
        <v>22398</v>
      </c>
      <c r="B10966" s="2" t="s">
        <v>22399</v>
      </c>
      <c r="C10966" s="2" t="s">
        <v>5</v>
      </c>
      <c r="D10966" s="2" t="s">
        <v>547</v>
      </c>
      <c r="E10966" s="2" t="str">
        <f>"9789811530081"</f>
        <v>9789811530081</v>
      </c>
      <c r="F10966" s="2" t="str">
        <f>"9789811530098"</f>
        <v>9789811530098</v>
      </c>
    </row>
    <row r="10967" spans="1:6" s="3" customFormat="1" ht="29.1" customHeight="1" x14ac:dyDescent="0.25">
      <c r="A10967" s="2" t="s">
        <v>22400</v>
      </c>
      <c r="B10967" s="2" t="s">
        <v>22401</v>
      </c>
      <c r="C10967" s="2" t="s">
        <v>5</v>
      </c>
      <c r="D10967" s="2" t="s">
        <v>81</v>
      </c>
      <c r="E10967" s="2" t="str">
        <f>"9789462655300"</f>
        <v>9789462655300</v>
      </c>
      <c r="F10967" s="2" t="str">
        <f>"9789462655317"</f>
        <v>9789462655317</v>
      </c>
    </row>
    <row r="10968" spans="1:6" s="3" customFormat="1" ht="29.1" customHeight="1" x14ac:dyDescent="0.25">
      <c r="A10968" s="2" t="s">
        <v>22402</v>
      </c>
      <c r="B10968" s="2" t="s">
        <v>22403</v>
      </c>
      <c r="C10968" s="2" t="s">
        <v>5</v>
      </c>
      <c r="D10968" s="2" t="s">
        <v>850</v>
      </c>
      <c r="E10968" s="2" t="str">
        <f>"9789819957996"</f>
        <v>9789819957996</v>
      </c>
      <c r="F10968" s="2" t="str">
        <f>"9789819958009"</f>
        <v>9789819958009</v>
      </c>
    </row>
    <row r="10969" spans="1:6" s="3" customFormat="1" ht="29.1" customHeight="1" x14ac:dyDescent="0.25">
      <c r="A10969" s="2" t="s">
        <v>22404</v>
      </c>
      <c r="B10969" s="2" t="s">
        <v>22405</v>
      </c>
      <c r="C10969" s="2" t="s">
        <v>5</v>
      </c>
      <c r="D10969" s="2" t="s">
        <v>2008</v>
      </c>
      <c r="E10969" s="2" t="str">
        <f>"9783319303291"</f>
        <v>9783319303291</v>
      </c>
      <c r="F10969" s="2" t="str">
        <f>"9783319303307"</f>
        <v>9783319303307</v>
      </c>
    </row>
    <row r="10970" spans="1:6" s="3" customFormat="1" ht="29.1" customHeight="1" x14ac:dyDescent="0.25">
      <c r="A10970" s="2" t="s">
        <v>22406</v>
      </c>
      <c r="B10970" s="2" t="s">
        <v>22407</v>
      </c>
      <c r="C10970" s="2" t="s">
        <v>5</v>
      </c>
      <c r="D10970" s="2" t="s">
        <v>7296</v>
      </c>
      <c r="E10970" s="2" t="str">
        <f>"9783319169248"</f>
        <v>9783319169248</v>
      </c>
      <c r="F10970" s="2" t="str">
        <f>"9783319169255"</f>
        <v>9783319169255</v>
      </c>
    </row>
    <row r="10971" spans="1:6" s="3" customFormat="1" ht="29.1" customHeight="1" x14ac:dyDescent="0.25">
      <c r="A10971" s="2" t="s">
        <v>22408</v>
      </c>
      <c r="B10971" s="2" t="s">
        <v>22409</v>
      </c>
      <c r="C10971" s="2" t="s">
        <v>5</v>
      </c>
      <c r="D10971" s="2" t="s">
        <v>364</v>
      </c>
      <c r="E10971" s="2" t="str">
        <f>"9789811518300"</f>
        <v>9789811518300</v>
      </c>
      <c r="F10971" s="2" t="str">
        <f>"9789811518317"</f>
        <v>9789811518317</v>
      </c>
    </row>
    <row r="10972" spans="1:6" s="3" customFormat="1" ht="29.1" customHeight="1" x14ac:dyDescent="0.25">
      <c r="A10972" s="2" t="s">
        <v>22410</v>
      </c>
      <c r="B10972" s="2" t="s">
        <v>22411</v>
      </c>
      <c r="C10972" s="2" t="s">
        <v>5</v>
      </c>
      <c r="D10972" s="2" t="s">
        <v>192</v>
      </c>
      <c r="E10972" s="2" t="str">
        <f>"9783031198922"</f>
        <v>9783031198922</v>
      </c>
      <c r="F10972" s="2" t="str">
        <f>"9783031198939"</f>
        <v>9783031198939</v>
      </c>
    </row>
    <row r="10973" spans="1:6" s="3" customFormat="1" ht="29.1" customHeight="1" x14ac:dyDescent="0.25">
      <c r="A10973" s="2" t="s">
        <v>22412</v>
      </c>
      <c r="B10973" s="2" t="s">
        <v>22413</v>
      </c>
      <c r="C10973" s="2" t="s">
        <v>5</v>
      </c>
      <c r="D10973" s="2" t="s">
        <v>192</v>
      </c>
      <c r="E10973" s="2" t="str">
        <f>"9783030894955"</f>
        <v>9783030894955</v>
      </c>
      <c r="F10973" s="2" t="str">
        <f>"9783030894962"</f>
        <v>9783030894962</v>
      </c>
    </row>
    <row r="10974" spans="1:6" s="3" customFormat="1" ht="29.1" customHeight="1" x14ac:dyDescent="0.25">
      <c r="A10974" s="2" t="s">
        <v>22414</v>
      </c>
      <c r="B10974" s="2" t="s">
        <v>22415</v>
      </c>
      <c r="C10974" s="2" t="s">
        <v>5</v>
      </c>
      <c r="D10974" s="2" t="s">
        <v>378</v>
      </c>
      <c r="E10974" s="2" t="str">
        <f>"9783031084232"</f>
        <v>9783031084232</v>
      </c>
      <c r="F10974" s="2" t="str">
        <f>"9783031084249"</f>
        <v>9783031084249</v>
      </c>
    </row>
    <row r="10975" spans="1:6" s="3" customFormat="1" ht="29.1" customHeight="1" x14ac:dyDescent="0.25">
      <c r="A10975" s="2" t="s">
        <v>22416</v>
      </c>
      <c r="B10975" s="2" t="s">
        <v>22417</v>
      </c>
      <c r="C10975" s="2" t="s">
        <v>5</v>
      </c>
      <c r="D10975" s="2" t="s">
        <v>378</v>
      </c>
      <c r="E10975" s="2" t="str">
        <f>"9783030845698"</f>
        <v>9783030845698</v>
      </c>
      <c r="F10975" s="2" t="str">
        <f>"9783030845704"</f>
        <v>9783030845704</v>
      </c>
    </row>
    <row r="10976" spans="1:6" s="3" customFormat="1" ht="29.1" customHeight="1" x14ac:dyDescent="0.25">
      <c r="A10976" s="2" t="s">
        <v>22418</v>
      </c>
      <c r="B10976" s="2" t="s">
        <v>22419</v>
      </c>
      <c r="C10976" s="2" t="s">
        <v>5</v>
      </c>
      <c r="D10976" s="2" t="s">
        <v>249</v>
      </c>
      <c r="E10976" s="2" t="str">
        <f>"9783030846466"</f>
        <v>9783030846466</v>
      </c>
      <c r="F10976" s="2" t="str">
        <f>"9783030846473"</f>
        <v>9783030846473</v>
      </c>
    </row>
    <row r="10977" spans="1:6" s="3" customFormat="1" ht="29.1" customHeight="1" x14ac:dyDescent="0.25">
      <c r="A10977" s="2" t="s">
        <v>22420</v>
      </c>
      <c r="B10977" s="2" t="s">
        <v>22421</v>
      </c>
      <c r="C10977" s="2" t="s">
        <v>5</v>
      </c>
      <c r="D10977" s="2" t="s">
        <v>3567</v>
      </c>
      <c r="E10977" s="2" t="str">
        <f>"9783030998103"</f>
        <v>9783030998103</v>
      </c>
      <c r="F10977" s="2" t="str">
        <f>"9783030998110"</f>
        <v>9783030998110</v>
      </c>
    </row>
    <row r="10978" spans="1:6" s="3" customFormat="1" ht="29.1" customHeight="1" x14ac:dyDescent="0.25">
      <c r="A10978" s="2" t="s">
        <v>22422</v>
      </c>
      <c r="B10978" s="2" t="s">
        <v>22423</v>
      </c>
      <c r="C10978" s="2" t="s">
        <v>5</v>
      </c>
      <c r="D10978" s="2" t="s">
        <v>52</v>
      </c>
      <c r="E10978" s="2" t="str">
        <f>"9783030793524"</f>
        <v>9783030793524</v>
      </c>
      <c r="F10978" s="2" t="str">
        <f>"9783030793531"</f>
        <v>9783030793531</v>
      </c>
    </row>
    <row r="10979" spans="1:6" s="3" customFormat="1" ht="29.1" customHeight="1" x14ac:dyDescent="0.25">
      <c r="A10979" s="2" t="s">
        <v>22424</v>
      </c>
      <c r="B10979" s="2" t="s">
        <v>22425</v>
      </c>
      <c r="C10979" s="2" t="s">
        <v>5</v>
      </c>
      <c r="D10979" s="2" t="s">
        <v>2336</v>
      </c>
      <c r="E10979" s="2" t="str">
        <f>"9783030958794"</f>
        <v>9783030958794</v>
      </c>
      <c r="F10979" s="2" t="str">
        <f>"9783030958800"</f>
        <v>9783030958800</v>
      </c>
    </row>
    <row r="10980" spans="1:6" s="3" customFormat="1" ht="29.1" customHeight="1" x14ac:dyDescent="0.25">
      <c r="A10980" s="2" t="s">
        <v>22426</v>
      </c>
      <c r="B10980" s="2" t="s">
        <v>22427</v>
      </c>
      <c r="C10980" s="2" t="s">
        <v>5</v>
      </c>
      <c r="D10980" s="2" t="s">
        <v>547</v>
      </c>
      <c r="E10980" s="2" t="str">
        <f>"9783030718183"</f>
        <v>9783030718183</v>
      </c>
      <c r="F10980" s="2" t="str">
        <f>"9783030718190"</f>
        <v>9783030718190</v>
      </c>
    </row>
    <row r="10981" spans="1:6" s="3" customFormat="1" ht="29.1" customHeight="1" x14ac:dyDescent="0.25">
      <c r="A10981" s="2" t="s">
        <v>22428</v>
      </c>
      <c r="B10981" s="2" t="s">
        <v>22429</v>
      </c>
      <c r="C10981" s="2" t="s">
        <v>5</v>
      </c>
      <c r="D10981" s="2" t="s">
        <v>674</v>
      </c>
      <c r="E10981" s="2" t="str">
        <f>"9783030284183"</f>
        <v>9783030284183</v>
      </c>
      <c r="F10981" s="2" t="str">
        <f>"9783030284190"</f>
        <v>9783030284190</v>
      </c>
    </row>
    <row r="10982" spans="1:6" s="3" customFormat="1" ht="29.1" customHeight="1" x14ac:dyDescent="0.25">
      <c r="A10982" s="2" t="s">
        <v>22430</v>
      </c>
      <c r="B10982" s="2" t="s">
        <v>22431</v>
      </c>
      <c r="C10982" s="2" t="s">
        <v>5</v>
      </c>
      <c r="D10982" s="2" t="s">
        <v>1927</v>
      </c>
      <c r="E10982" s="2" t="str">
        <f>"9783030725945"</f>
        <v>9783030725945</v>
      </c>
      <c r="F10982" s="2" t="str">
        <f>"9783030725952"</f>
        <v>9783030725952</v>
      </c>
    </row>
    <row r="10983" spans="1:6" s="3" customFormat="1" ht="29.1" customHeight="1" x14ac:dyDescent="0.25">
      <c r="A10983" s="2" t="s">
        <v>22432</v>
      </c>
      <c r="B10983" s="2" t="s">
        <v>22433</v>
      </c>
      <c r="C10983" s="2" t="s">
        <v>5</v>
      </c>
      <c r="D10983" s="2" t="s">
        <v>1927</v>
      </c>
      <c r="E10983" s="2" t="str">
        <f>"9783030362706"</f>
        <v>9783030362706</v>
      </c>
      <c r="F10983" s="2" t="str">
        <f>"9783030362713"</f>
        <v>9783030362713</v>
      </c>
    </row>
    <row r="10984" spans="1:6" s="3" customFormat="1" ht="29.1" customHeight="1" x14ac:dyDescent="0.25">
      <c r="A10984" s="2" t="s">
        <v>22434</v>
      </c>
      <c r="B10984" s="2" t="s">
        <v>22435</v>
      </c>
      <c r="C10984" s="2" t="s">
        <v>5</v>
      </c>
      <c r="D10984" s="2" t="s">
        <v>674</v>
      </c>
      <c r="E10984" s="2" t="str">
        <f>"9783030785963"</f>
        <v>9783030785963</v>
      </c>
      <c r="F10984" s="2" t="str">
        <f>"9783030785970"</f>
        <v>9783030785970</v>
      </c>
    </row>
    <row r="10985" spans="1:6" s="3" customFormat="1" ht="29.1" customHeight="1" x14ac:dyDescent="0.25">
      <c r="A10985" s="2" t="s">
        <v>22436</v>
      </c>
      <c r="B10985" s="2" t="s">
        <v>22437</v>
      </c>
      <c r="C10985" s="2" t="s">
        <v>5</v>
      </c>
      <c r="D10985" s="2" t="s">
        <v>674</v>
      </c>
      <c r="E10985" s="2" t="str">
        <f>"9783030187989"</f>
        <v>9783030187989</v>
      </c>
      <c r="F10985" s="2" t="str">
        <f>"9783030187996"</f>
        <v>9783030187996</v>
      </c>
    </row>
    <row r="10986" spans="1:6" s="3" customFormat="1" ht="29.1" customHeight="1" x14ac:dyDescent="0.25">
      <c r="A10986" s="2" t="s">
        <v>22438</v>
      </c>
      <c r="B10986" s="2" t="s">
        <v>22439</v>
      </c>
      <c r="C10986" s="2" t="s">
        <v>5</v>
      </c>
      <c r="D10986" s="2" t="s">
        <v>674</v>
      </c>
      <c r="E10986" s="2" t="str">
        <f>"9783319755922"</f>
        <v>9783319755922</v>
      </c>
      <c r="F10986" s="2" t="str">
        <f>"9783319755939"</f>
        <v>9783319755939</v>
      </c>
    </row>
    <row r="10987" spans="1:6" s="3" customFormat="1" ht="29.1" customHeight="1" x14ac:dyDescent="0.25">
      <c r="A10987" s="2" t="s">
        <v>22440</v>
      </c>
      <c r="B10987" s="2" t="s">
        <v>22441</v>
      </c>
      <c r="C10987" s="2" t="s">
        <v>5</v>
      </c>
      <c r="D10987" s="2" t="s">
        <v>674</v>
      </c>
      <c r="E10987" s="2" t="str">
        <f>"9783319753270"</f>
        <v>9783319753270</v>
      </c>
      <c r="F10987" s="2" t="str">
        <f>"9783319753287"</f>
        <v>9783319753287</v>
      </c>
    </row>
    <row r="10988" spans="1:6" s="3" customFormat="1" ht="29.1" customHeight="1" x14ac:dyDescent="0.25">
      <c r="A10988" s="2" t="s">
        <v>22442</v>
      </c>
      <c r="B10988" s="2" t="s">
        <v>22443</v>
      </c>
      <c r="C10988" s="2" t="s">
        <v>5</v>
      </c>
      <c r="D10988" s="2" t="s">
        <v>674</v>
      </c>
      <c r="E10988" s="2" t="str">
        <f>"9783319446530"</f>
        <v>9783319446530</v>
      </c>
      <c r="F10988" s="2" t="str">
        <f>"9783319446547"</f>
        <v>9783319446547</v>
      </c>
    </row>
    <row r="10989" spans="1:6" s="3" customFormat="1" ht="29.1" customHeight="1" x14ac:dyDescent="0.25">
      <c r="A10989" s="2" t="s">
        <v>22444</v>
      </c>
      <c r="B10989" s="2" t="s">
        <v>22445</v>
      </c>
      <c r="C10989" s="2" t="s">
        <v>5</v>
      </c>
      <c r="D10989" s="2" t="s">
        <v>3354</v>
      </c>
      <c r="E10989" s="2" t="str">
        <f>"9783030172060"</f>
        <v>9783030172060</v>
      </c>
      <c r="F10989" s="2" t="str">
        <f>"9783030172077"</f>
        <v>9783030172077</v>
      </c>
    </row>
    <row r="10990" spans="1:6" s="3" customFormat="1" ht="29.1" customHeight="1" x14ac:dyDescent="0.25">
      <c r="A10990" s="2" t="s">
        <v>22446</v>
      </c>
      <c r="B10990" s="2" t="s">
        <v>22447</v>
      </c>
      <c r="C10990" s="2" t="s">
        <v>5</v>
      </c>
      <c r="D10990" s="2" t="s">
        <v>694</v>
      </c>
      <c r="E10990" s="2" t="str">
        <f>"9783319300351"</f>
        <v>9783319300351</v>
      </c>
      <c r="F10990" s="2" t="str">
        <f>"9783319300368"</f>
        <v>9783319300368</v>
      </c>
    </row>
    <row r="10991" spans="1:6" s="3" customFormat="1" ht="29.1" customHeight="1" x14ac:dyDescent="0.25">
      <c r="A10991" s="2" t="s">
        <v>22448</v>
      </c>
      <c r="B10991" s="2" t="s">
        <v>22449</v>
      </c>
      <c r="C10991" s="2" t="s">
        <v>5</v>
      </c>
      <c r="D10991" s="2" t="s">
        <v>22276</v>
      </c>
      <c r="E10991" s="2" t="str">
        <f>"9783030551513"</f>
        <v>9783030551513</v>
      </c>
      <c r="F10991" s="2" t="str">
        <f>"9783030551520"</f>
        <v>9783030551520</v>
      </c>
    </row>
    <row r="10992" spans="1:6" s="3" customFormat="1" ht="29.1" customHeight="1" x14ac:dyDescent="0.25">
      <c r="A10992" s="2" t="s">
        <v>22450</v>
      </c>
      <c r="B10992" s="2" t="s">
        <v>22451</v>
      </c>
      <c r="C10992" s="2" t="s">
        <v>5</v>
      </c>
      <c r="D10992" s="2" t="s">
        <v>317</v>
      </c>
      <c r="E10992" s="2" t="str">
        <f>"9783031013393"</f>
        <v>9783031013393</v>
      </c>
      <c r="F10992" s="2" t="str">
        <f>"9783031013409"</f>
        <v>9783031013409</v>
      </c>
    </row>
    <row r="10993" spans="1:6" s="3" customFormat="1" ht="29.1" customHeight="1" x14ac:dyDescent="0.25">
      <c r="A10993" s="2" t="s">
        <v>22452</v>
      </c>
      <c r="B10993" s="2" t="s">
        <v>22453</v>
      </c>
      <c r="C10993" s="2" t="s">
        <v>5</v>
      </c>
      <c r="D10993" s="2" t="s">
        <v>3817</v>
      </c>
      <c r="E10993" s="2" t="str">
        <f>"9783319702223"</f>
        <v>9783319702223</v>
      </c>
      <c r="F10993" s="2" t="str">
        <f>"9783319702230"</f>
        <v>9783319702230</v>
      </c>
    </row>
    <row r="10994" spans="1:6" s="3" customFormat="1" ht="29.1" customHeight="1" x14ac:dyDescent="0.25">
      <c r="A10994" s="2" t="s">
        <v>22454</v>
      </c>
      <c r="B10994" s="2" t="s">
        <v>22455</v>
      </c>
      <c r="C10994" s="2" t="s">
        <v>5</v>
      </c>
      <c r="D10994" s="2" t="s">
        <v>353</v>
      </c>
      <c r="E10994" s="2" t="str">
        <f>"9783319590950"</f>
        <v>9783319590950</v>
      </c>
      <c r="F10994" s="2" t="str">
        <f>"9783319590967"</f>
        <v>9783319590967</v>
      </c>
    </row>
    <row r="10995" spans="1:6" s="3" customFormat="1" ht="29.1" customHeight="1" x14ac:dyDescent="0.25">
      <c r="A10995" s="2" t="s">
        <v>22456</v>
      </c>
      <c r="B10995" s="2" t="s">
        <v>22457</v>
      </c>
      <c r="C10995" s="2" t="s">
        <v>5</v>
      </c>
      <c r="D10995" s="2" t="s">
        <v>544</v>
      </c>
      <c r="E10995" s="2" t="str">
        <f>"9789402420852"</f>
        <v>9789402420852</v>
      </c>
      <c r="F10995" s="2" t="str">
        <f>"9789402420869"</f>
        <v>9789402420869</v>
      </c>
    </row>
    <row r="10996" spans="1:6" s="3" customFormat="1" ht="29.1" customHeight="1" x14ac:dyDescent="0.25">
      <c r="A10996" s="2" t="s">
        <v>22458</v>
      </c>
      <c r="B10996" s="2" t="s">
        <v>22459</v>
      </c>
      <c r="C10996" s="2" t="s">
        <v>5</v>
      </c>
      <c r="D10996" s="2" t="s">
        <v>302</v>
      </c>
      <c r="E10996" s="2" t="str">
        <f>"9783031225659"</f>
        <v>9783031225659</v>
      </c>
      <c r="F10996" s="2" t="str">
        <f>"9783031225666"</f>
        <v>9783031225666</v>
      </c>
    </row>
    <row r="10997" spans="1:6" s="3" customFormat="1" ht="29.1" customHeight="1" x14ac:dyDescent="0.25">
      <c r="A10997" s="2" t="s">
        <v>22460</v>
      </c>
      <c r="B10997" s="2" t="s">
        <v>22461</v>
      </c>
      <c r="C10997" s="2" t="s">
        <v>5</v>
      </c>
      <c r="D10997" s="2" t="s">
        <v>16084</v>
      </c>
      <c r="E10997" s="2" t="str">
        <f>"9783030221751"</f>
        <v>9783030221751</v>
      </c>
      <c r="F10997" s="2" t="str">
        <f>"9783030221768"</f>
        <v>9783030221768</v>
      </c>
    </row>
    <row r="10998" spans="1:6" s="3" customFormat="1" ht="29.1" customHeight="1" x14ac:dyDescent="0.25">
      <c r="A10998" s="2" t="s">
        <v>22462</v>
      </c>
      <c r="B10998" s="2" t="s">
        <v>22463</v>
      </c>
      <c r="C10998" s="2" t="s">
        <v>5</v>
      </c>
      <c r="D10998" s="2" t="s">
        <v>3567</v>
      </c>
      <c r="E10998" s="2" t="str">
        <f>"9783030926977"</f>
        <v>9783030926977</v>
      </c>
      <c r="F10998" s="2" t="str">
        <f>"9783030926984"</f>
        <v>9783030926984</v>
      </c>
    </row>
    <row r="10999" spans="1:6" s="3" customFormat="1" ht="29.1" customHeight="1" x14ac:dyDescent="0.25">
      <c r="A10999" s="2" t="s">
        <v>22464</v>
      </c>
      <c r="B10999" s="2" t="s">
        <v>22465</v>
      </c>
      <c r="C10999" s="2" t="s">
        <v>5</v>
      </c>
      <c r="D10999" s="2" t="s">
        <v>324</v>
      </c>
      <c r="E10999" s="2" t="str">
        <f>"9783030773625"</f>
        <v>9783030773625</v>
      </c>
      <c r="F10999" s="2" t="str">
        <f>"9783030773632"</f>
        <v>9783030773632</v>
      </c>
    </row>
    <row r="11000" spans="1:6" s="3" customFormat="1" ht="29.1" customHeight="1" x14ac:dyDescent="0.25">
      <c r="A11000" s="2" t="s">
        <v>22466</v>
      </c>
      <c r="B11000" s="2" t="s">
        <v>22467</v>
      </c>
      <c r="C11000" s="2" t="s">
        <v>5</v>
      </c>
      <c r="D11000" s="2" t="s">
        <v>324</v>
      </c>
      <c r="E11000" s="2" t="str">
        <f>"9783319696225"</f>
        <v>9783319696225</v>
      </c>
      <c r="F11000" s="2" t="str">
        <f>"9783319696232"</f>
        <v>9783319696232</v>
      </c>
    </row>
    <row r="11001" spans="1:6" s="3" customFormat="1" ht="29.1" customHeight="1" x14ac:dyDescent="0.25">
      <c r="A11001" s="2" t="s">
        <v>22468</v>
      </c>
      <c r="B11001" s="2" t="s">
        <v>22469</v>
      </c>
      <c r="C11001" s="2" t="s">
        <v>5</v>
      </c>
      <c r="D11001" s="2" t="s">
        <v>192</v>
      </c>
      <c r="E11001" s="2" t="str">
        <f>"9783030748500"</f>
        <v>9783030748500</v>
      </c>
      <c r="F11001" s="2" t="str">
        <f>"9783030748517"</f>
        <v>9783030748517</v>
      </c>
    </row>
    <row r="11002" spans="1:6" s="3" customFormat="1" ht="29.1" customHeight="1" x14ac:dyDescent="0.25">
      <c r="A11002" s="2" t="s">
        <v>22470</v>
      </c>
      <c r="B11002" s="2" t="s">
        <v>22471</v>
      </c>
      <c r="C11002" s="2" t="s">
        <v>5</v>
      </c>
      <c r="D11002" s="2" t="s">
        <v>192</v>
      </c>
      <c r="E11002" s="2" t="str">
        <f>"9783030125196"</f>
        <v>9783030125196</v>
      </c>
      <c r="F11002" s="2" t="str">
        <f>"9783030125202"</f>
        <v>9783030125202</v>
      </c>
    </row>
    <row r="11003" spans="1:6" s="3" customFormat="1" ht="29.1" customHeight="1" x14ac:dyDescent="0.25">
      <c r="A11003" s="2" t="s">
        <v>22472</v>
      </c>
      <c r="B11003" s="2" t="s">
        <v>22473</v>
      </c>
      <c r="C11003" s="2" t="s">
        <v>5</v>
      </c>
      <c r="D11003" s="2" t="s">
        <v>331</v>
      </c>
      <c r="E11003" s="2" t="str">
        <f>"9783031158445"</f>
        <v>9783031158445</v>
      </c>
      <c r="F11003" s="2" t="str">
        <f>"9783031158452"</f>
        <v>9783031158452</v>
      </c>
    </row>
    <row r="11004" spans="1:6" s="3" customFormat="1" ht="29.1" customHeight="1" x14ac:dyDescent="0.25">
      <c r="A11004" s="2" t="s">
        <v>22474</v>
      </c>
      <c r="B11004" s="2" t="s">
        <v>22475</v>
      </c>
      <c r="C11004" s="2" t="s">
        <v>5</v>
      </c>
      <c r="D11004" s="2" t="s">
        <v>12709</v>
      </c>
      <c r="E11004" s="2" t="str">
        <f>"9783030058180"</f>
        <v>9783030058180</v>
      </c>
      <c r="F11004" s="2" t="str">
        <f>"9783030058197"</f>
        <v>9783030058197</v>
      </c>
    </row>
    <row r="11005" spans="1:6" s="3" customFormat="1" ht="29.1" customHeight="1" x14ac:dyDescent="0.25">
      <c r="A11005" s="2" t="s">
        <v>486</v>
      </c>
      <c r="B11005" s="2" t="s">
        <v>22476</v>
      </c>
      <c r="C11005" s="2" t="s">
        <v>5</v>
      </c>
      <c r="D11005" s="2" t="s">
        <v>16287</v>
      </c>
      <c r="E11005" s="2" t="str">
        <f>"9783030588571"</f>
        <v>9783030588571</v>
      </c>
      <c r="F11005" s="2" t="str">
        <f>"9783030588588"</f>
        <v>9783030588588</v>
      </c>
    </row>
    <row r="11006" spans="1:6" s="3" customFormat="1" ht="29.1" customHeight="1" x14ac:dyDescent="0.25">
      <c r="A11006" s="2" t="s">
        <v>22477</v>
      </c>
      <c r="B11006" s="2" t="s">
        <v>22478</v>
      </c>
      <c r="C11006" s="2" t="s">
        <v>5</v>
      </c>
      <c r="D11006" s="2" t="s">
        <v>4500</v>
      </c>
      <c r="E11006" s="2" t="str">
        <f>"9783030486013"</f>
        <v>9783030486013</v>
      </c>
      <c r="F11006" s="2" t="str">
        <f>"9783030486020"</f>
        <v>9783030486020</v>
      </c>
    </row>
    <row r="11007" spans="1:6" s="3" customFormat="1" ht="29.1" customHeight="1" x14ac:dyDescent="0.25">
      <c r="A11007" s="2" t="s">
        <v>22479</v>
      </c>
      <c r="B11007" s="2" t="s">
        <v>22480</v>
      </c>
      <c r="C11007" s="2" t="s">
        <v>5</v>
      </c>
      <c r="D11007" s="2" t="s">
        <v>4713</v>
      </c>
      <c r="E11007" s="2" t="str">
        <f>"9783030378172"</f>
        <v>9783030378172</v>
      </c>
      <c r="F11007" s="2" t="str">
        <f>"9783030378189"</f>
        <v>9783030378189</v>
      </c>
    </row>
    <row r="11008" spans="1:6" s="3" customFormat="1" ht="29.1" customHeight="1" x14ac:dyDescent="0.25">
      <c r="A11008" s="2" t="s">
        <v>22481</v>
      </c>
      <c r="B11008" s="2" t="s">
        <v>22482</v>
      </c>
      <c r="C11008" s="2" t="s">
        <v>5</v>
      </c>
      <c r="D11008" s="2" t="s">
        <v>192</v>
      </c>
      <c r="E11008" s="2" t="str">
        <f>"9783662623169"</f>
        <v>9783662623169</v>
      </c>
      <c r="F11008" s="2" t="str">
        <f>"9783662623176"</f>
        <v>9783662623176</v>
      </c>
    </row>
    <row r="11009" spans="1:6" s="3" customFormat="1" ht="29.1" customHeight="1" x14ac:dyDescent="0.25">
      <c r="A11009" s="2" t="s">
        <v>22483</v>
      </c>
      <c r="B11009" s="2" t="s">
        <v>22484</v>
      </c>
      <c r="C11009" s="2" t="s">
        <v>5</v>
      </c>
      <c r="D11009" s="2" t="s">
        <v>192</v>
      </c>
      <c r="E11009" s="2" t="str">
        <f>"9783662623039"</f>
        <v>9783662623039</v>
      </c>
      <c r="F11009" s="2" t="str">
        <f>"9783662623046"</f>
        <v>9783662623046</v>
      </c>
    </row>
    <row r="11010" spans="1:6" s="3" customFormat="1" ht="29.1" customHeight="1" x14ac:dyDescent="0.25">
      <c r="A11010" s="2" t="s">
        <v>22485</v>
      </c>
      <c r="B11010" s="2" t="s">
        <v>22486</v>
      </c>
      <c r="C11010" s="2" t="s">
        <v>5</v>
      </c>
      <c r="D11010" s="2" t="s">
        <v>168</v>
      </c>
      <c r="E11010" s="2" t="str">
        <f>"9783662611753"</f>
        <v>9783662611753</v>
      </c>
      <c r="F11010" s="2" t="str">
        <f>"9783662611760"</f>
        <v>9783662611760</v>
      </c>
    </row>
    <row r="11011" spans="1:6" s="3" customFormat="1" ht="29.1" customHeight="1" x14ac:dyDescent="0.25">
      <c r="A11011" s="2" t="s">
        <v>22487</v>
      </c>
      <c r="B11011" s="2" t="s">
        <v>22488</v>
      </c>
      <c r="C11011" s="2" t="s">
        <v>5</v>
      </c>
      <c r="D11011" s="2" t="s">
        <v>192</v>
      </c>
      <c r="E11011" s="2" t="str">
        <f>"9783662607558"</f>
        <v>9783662607558</v>
      </c>
      <c r="F11011" s="2" t="str">
        <f>"9783662607565"</f>
        <v>9783662607565</v>
      </c>
    </row>
    <row r="11012" spans="1:6" s="3" customFormat="1" ht="29.1" customHeight="1" x14ac:dyDescent="0.25">
      <c r="A11012" s="2" t="s">
        <v>22489</v>
      </c>
      <c r="B11012" s="2" t="s">
        <v>22490</v>
      </c>
      <c r="C11012" s="2" t="s">
        <v>5</v>
      </c>
      <c r="D11012" s="2" t="s">
        <v>168</v>
      </c>
      <c r="E11012" s="2" t="str">
        <f>"9783662588864"</f>
        <v>9783662588864</v>
      </c>
      <c r="F11012" s="2" t="str">
        <f>"9783662588871"</f>
        <v>9783662588871</v>
      </c>
    </row>
    <row r="11013" spans="1:6" s="3" customFormat="1" ht="29.1" customHeight="1" x14ac:dyDescent="0.25">
      <c r="A11013" s="2" t="s">
        <v>22491</v>
      </c>
      <c r="B11013" s="2" t="s">
        <v>22492</v>
      </c>
      <c r="C11013" s="2" t="s">
        <v>5</v>
      </c>
      <c r="D11013" s="2" t="s">
        <v>547</v>
      </c>
      <c r="E11013" s="2" t="str">
        <f>"9783319224602"</f>
        <v>9783319224602</v>
      </c>
      <c r="F11013" s="2" t="str">
        <f>"9783319224619"</f>
        <v>9783319224619</v>
      </c>
    </row>
    <row r="11014" spans="1:6" s="3" customFormat="1" ht="29.1" customHeight="1" x14ac:dyDescent="0.25">
      <c r="A11014" s="2" t="s">
        <v>22493</v>
      </c>
      <c r="B11014" s="2" t="s">
        <v>22494</v>
      </c>
      <c r="C11014" s="2" t="s">
        <v>5</v>
      </c>
      <c r="D11014" s="2" t="s">
        <v>3062</v>
      </c>
      <c r="E11014" s="2" t="str">
        <f>"9783030499693"</f>
        <v>9783030499693</v>
      </c>
      <c r="F11014" s="2" t="str">
        <f>"9783030499709"</f>
        <v>9783030499709</v>
      </c>
    </row>
    <row r="11015" spans="1:6" s="3" customFormat="1" ht="29.1" customHeight="1" x14ac:dyDescent="0.25">
      <c r="A11015" s="2" t="s">
        <v>22495</v>
      </c>
      <c r="B11015" s="2" t="s">
        <v>22496</v>
      </c>
      <c r="C11015" s="2" t="s">
        <v>5</v>
      </c>
      <c r="D11015" s="2" t="s">
        <v>3062</v>
      </c>
      <c r="E11015" s="2" t="str">
        <f>"9783030105334"</f>
        <v>9783030105334</v>
      </c>
      <c r="F11015" s="2" t="str">
        <f>"9783030105341"</f>
        <v>9783030105341</v>
      </c>
    </row>
    <row r="11016" spans="1:6" s="3" customFormat="1" ht="29.1" customHeight="1" x14ac:dyDescent="0.25">
      <c r="A11016" s="2" t="s">
        <v>22497</v>
      </c>
      <c r="B11016" s="2" t="s">
        <v>22498</v>
      </c>
      <c r="C11016" s="2" t="s">
        <v>5</v>
      </c>
      <c r="D11016" s="2" t="s">
        <v>3062</v>
      </c>
      <c r="E11016" s="2" t="str">
        <f>"9783030050740"</f>
        <v>9783030050740</v>
      </c>
      <c r="F11016" s="2" t="str">
        <f>"9783030050757"</f>
        <v>9783030050757</v>
      </c>
    </row>
    <row r="11017" spans="1:6" s="3" customFormat="1" ht="29.1" customHeight="1" x14ac:dyDescent="0.25">
      <c r="A11017" s="2" t="s">
        <v>22499</v>
      </c>
      <c r="B11017" s="2" t="s">
        <v>22500</v>
      </c>
      <c r="C11017" s="2" t="s">
        <v>5</v>
      </c>
      <c r="D11017" s="2" t="s">
        <v>3062</v>
      </c>
      <c r="E11017" s="2" t="str">
        <f>"9783319654324"</f>
        <v>9783319654324</v>
      </c>
      <c r="F11017" s="2" t="str">
        <f>"9783319654331"</f>
        <v>9783319654331</v>
      </c>
    </row>
    <row r="11018" spans="1:6" s="3" customFormat="1" ht="29.1" customHeight="1" x14ac:dyDescent="0.25">
      <c r="A11018" s="2" t="s">
        <v>22501</v>
      </c>
      <c r="B11018" s="2" t="s">
        <v>22502</v>
      </c>
      <c r="C11018" s="2" t="s">
        <v>5</v>
      </c>
      <c r="D11018" s="2" t="s">
        <v>3062</v>
      </c>
      <c r="E11018" s="2" t="str">
        <f>"9783319446653"</f>
        <v>9783319446653</v>
      </c>
      <c r="F11018" s="2" t="str">
        <f>"9783319446677"</f>
        <v>9783319446677</v>
      </c>
    </row>
    <row r="11019" spans="1:6" s="3" customFormat="1" ht="29.1" customHeight="1" x14ac:dyDescent="0.25">
      <c r="A11019" s="2" t="s">
        <v>22503</v>
      </c>
      <c r="B11019" s="2" t="s">
        <v>22504</v>
      </c>
      <c r="C11019" s="2" t="s">
        <v>5</v>
      </c>
      <c r="D11019" s="2" t="s">
        <v>7809</v>
      </c>
      <c r="E11019" s="2" t="str">
        <f>"9783031132377"</f>
        <v>9783031132377</v>
      </c>
      <c r="F11019" s="2" t="str">
        <f>"9783031132384"</f>
        <v>9783031132384</v>
      </c>
    </row>
    <row r="11020" spans="1:6" s="3" customFormat="1" ht="29.1" customHeight="1" x14ac:dyDescent="0.25">
      <c r="A11020" s="2" t="s">
        <v>22505</v>
      </c>
      <c r="B11020" s="2" t="s">
        <v>22506</v>
      </c>
      <c r="C11020" s="2" t="s">
        <v>5</v>
      </c>
      <c r="D11020" s="2" t="s">
        <v>378</v>
      </c>
      <c r="E11020" s="2" t="str">
        <f>"9783030848866"</f>
        <v>9783030848866</v>
      </c>
      <c r="F11020" s="2" t="str">
        <f>"9783030848873"</f>
        <v>9783030848873</v>
      </c>
    </row>
    <row r="11021" spans="1:6" s="3" customFormat="1" ht="29.1" customHeight="1" x14ac:dyDescent="0.25">
      <c r="A11021" s="2" t="s">
        <v>22507</v>
      </c>
      <c r="B11021" s="2" t="s">
        <v>22508</v>
      </c>
      <c r="C11021" s="2" t="s">
        <v>5</v>
      </c>
      <c r="D11021" s="2" t="s">
        <v>378</v>
      </c>
      <c r="E11021" s="2" t="str">
        <f>"9783030582500"</f>
        <v>9783030582500</v>
      </c>
      <c r="F11021" s="2" t="str">
        <f>"9783030582517"</f>
        <v>9783030582517</v>
      </c>
    </row>
    <row r="11022" spans="1:6" s="3" customFormat="1" ht="29.1" customHeight="1" x14ac:dyDescent="0.25">
      <c r="A11022" s="2" t="s">
        <v>22509</v>
      </c>
      <c r="B11022" s="2" t="s">
        <v>22510</v>
      </c>
      <c r="C11022" s="2" t="s">
        <v>5</v>
      </c>
      <c r="D11022" s="2" t="s">
        <v>6511</v>
      </c>
      <c r="E11022" s="2" t="str">
        <f>"9783319467078"</f>
        <v>9783319467078</v>
      </c>
      <c r="F11022" s="2" t="str">
        <f>"9783319467092"</f>
        <v>9783319467092</v>
      </c>
    </row>
    <row r="11023" spans="1:6" s="3" customFormat="1" ht="29.1" customHeight="1" x14ac:dyDescent="0.25">
      <c r="A11023" s="2" t="s">
        <v>22511</v>
      </c>
      <c r="B11023" s="2" t="s">
        <v>22512</v>
      </c>
      <c r="C11023" s="2" t="s">
        <v>5</v>
      </c>
      <c r="D11023" s="2" t="s">
        <v>183</v>
      </c>
      <c r="E11023" s="2" t="str">
        <f>"9783031054525"</f>
        <v>9783031054525</v>
      </c>
      <c r="F11023" s="2" t="str">
        <f>"9783031054532"</f>
        <v>9783031054532</v>
      </c>
    </row>
    <row r="11024" spans="1:6" s="3" customFormat="1" ht="29.1" customHeight="1" x14ac:dyDescent="0.25">
      <c r="A11024" s="2" t="s">
        <v>22513</v>
      </c>
      <c r="B11024" s="2" t="s">
        <v>22514</v>
      </c>
      <c r="C11024" s="2" t="s">
        <v>5</v>
      </c>
      <c r="D11024" s="2" t="s">
        <v>3062</v>
      </c>
      <c r="E11024" s="2" t="str">
        <f>"9783030830380"</f>
        <v>9783030830380</v>
      </c>
      <c r="F11024" s="2" t="str">
        <f>"9783030830397"</f>
        <v>9783030830397</v>
      </c>
    </row>
    <row r="11025" spans="1:6" s="3" customFormat="1" ht="29.1" customHeight="1" x14ac:dyDescent="0.25">
      <c r="A11025" s="2" t="s">
        <v>22515</v>
      </c>
      <c r="B11025" s="2" t="s">
        <v>22516</v>
      </c>
      <c r="C11025" s="2" t="s">
        <v>5</v>
      </c>
      <c r="D11025" s="2" t="s">
        <v>297</v>
      </c>
      <c r="E11025" s="2" t="str">
        <f>"9783030451745"</f>
        <v>9783030451745</v>
      </c>
      <c r="F11025" s="2" t="str">
        <f>"9783030451752"</f>
        <v>9783030451752</v>
      </c>
    </row>
    <row r="11026" spans="1:6" s="3" customFormat="1" ht="29.1" customHeight="1" x14ac:dyDescent="0.25">
      <c r="A11026" s="2" t="s">
        <v>22517</v>
      </c>
      <c r="B11026" s="2" t="s">
        <v>22518</v>
      </c>
      <c r="C11026" s="2" t="s">
        <v>5</v>
      </c>
      <c r="D11026" s="2" t="s">
        <v>183</v>
      </c>
      <c r="E11026" s="2" t="str">
        <f>"9783319724065"</f>
        <v>9783319724065</v>
      </c>
      <c r="F11026" s="2" t="str">
        <f>"9783319724089"</f>
        <v>9783319724089</v>
      </c>
    </row>
    <row r="11027" spans="1:6" s="3" customFormat="1" ht="29.1" customHeight="1" x14ac:dyDescent="0.25">
      <c r="A11027" s="2" t="s">
        <v>22519</v>
      </c>
      <c r="B11027" s="2" t="s">
        <v>22520</v>
      </c>
      <c r="C11027" s="2" t="s">
        <v>5</v>
      </c>
      <c r="D11027" s="2" t="s">
        <v>689</v>
      </c>
      <c r="E11027" s="2" t="str">
        <f>"9783030635220"</f>
        <v>9783030635220</v>
      </c>
      <c r="F11027" s="2" t="str">
        <f>"9783030635237"</f>
        <v>9783030635237</v>
      </c>
    </row>
    <row r="11028" spans="1:6" s="3" customFormat="1" ht="29.1" customHeight="1" x14ac:dyDescent="0.25">
      <c r="A11028" s="2" t="s">
        <v>22521</v>
      </c>
      <c r="B11028" s="2" t="s">
        <v>22522</v>
      </c>
      <c r="C11028" s="2" t="s">
        <v>5</v>
      </c>
      <c r="D11028" s="2" t="s">
        <v>1924</v>
      </c>
      <c r="E11028" s="2" t="str">
        <f>"9783030992057"</f>
        <v>9783030992057</v>
      </c>
      <c r="F11028" s="2" t="str">
        <f>"9783030992064"</f>
        <v>9783030992064</v>
      </c>
    </row>
    <row r="11029" spans="1:6" s="3" customFormat="1" ht="29.1" customHeight="1" x14ac:dyDescent="0.25">
      <c r="A11029" s="2" t="s">
        <v>22523</v>
      </c>
      <c r="B11029" s="2" t="s">
        <v>22524</v>
      </c>
      <c r="C11029" s="2" t="s">
        <v>5</v>
      </c>
      <c r="D11029" s="2" t="s">
        <v>1924</v>
      </c>
      <c r="E11029" s="2" t="str">
        <f>"9783030807665"</f>
        <v>9783030807665</v>
      </c>
      <c r="F11029" s="2" t="str">
        <f>"9783030807672"</f>
        <v>9783030807672</v>
      </c>
    </row>
    <row r="11030" spans="1:6" s="3" customFormat="1" ht="29.1" customHeight="1" x14ac:dyDescent="0.25">
      <c r="A11030" s="2" t="s">
        <v>22525</v>
      </c>
      <c r="B11030" s="2" t="s">
        <v>22526</v>
      </c>
      <c r="C11030" s="2" t="s">
        <v>5</v>
      </c>
      <c r="D11030" s="2" t="s">
        <v>20094</v>
      </c>
      <c r="E11030" s="2" t="str">
        <f>"9783319424224"</f>
        <v>9783319424224</v>
      </c>
      <c r="F11030" s="2" t="str">
        <f>"9783319424248"</f>
        <v>9783319424248</v>
      </c>
    </row>
    <row r="11031" spans="1:6" s="3" customFormat="1" ht="29.1" customHeight="1" x14ac:dyDescent="0.25">
      <c r="A11031" s="2" t="s">
        <v>22527</v>
      </c>
      <c r="B11031" s="2" t="s">
        <v>22528</v>
      </c>
      <c r="C11031" s="2" t="s">
        <v>5</v>
      </c>
      <c r="D11031" s="2" t="s">
        <v>650</v>
      </c>
      <c r="E11031" s="2" t="str">
        <f>"9783030538460"</f>
        <v>9783030538460</v>
      </c>
      <c r="F11031" s="2" t="str">
        <f>"9783030538477"</f>
        <v>9783030538477</v>
      </c>
    </row>
    <row r="11032" spans="1:6" s="3" customFormat="1" ht="29.1" customHeight="1" x14ac:dyDescent="0.25">
      <c r="A11032" s="2" t="s">
        <v>22529</v>
      </c>
      <c r="B11032" s="2" t="s">
        <v>22530</v>
      </c>
      <c r="C11032" s="2" t="s">
        <v>5</v>
      </c>
      <c r="D11032" s="2" t="s">
        <v>5588</v>
      </c>
      <c r="E11032" s="2" t="str">
        <f>"9783030477745"</f>
        <v>9783030477745</v>
      </c>
      <c r="F11032" s="2" t="str">
        <f>"9783030477752"</f>
        <v>9783030477752</v>
      </c>
    </row>
    <row r="11033" spans="1:6" s="3" customFormat="1" ht="29.1" customHeight="1" x14ac:dyDescent="0.25">
      <c r="A11033" s="2" t="s">
        <v>22531</v>
      </c>
      <c r="B11033" s="2" t="s">
        <v>22532</v>
      </c>
      <c r="C11033" s="2" t="s">
        <v>5</v>
      </c>
      <c r="D11033" s="2" t="s">
        <v>5588</v>
      </c>
      <c r="E11033" s="2" t="str">
        <f>"9783030245634"</f>
        <v>9783030245634</v>
      </c>
      <c r="F11033" s="2" t="str">
        <f>"9783030245641"</f>
        <v>9783030245641</v>
      </c>
    </row>
    <row r="11034" spans="1:6" s="3" customFormat="1" ht="29.1" customHeight="1" x14ac:dyDescent="0.25">
      <c r="A11034" s="2" t="s">
        <v>22533</v>
      </c>
      <c r="B11034" s="2" t="s">
        <v>22534</v>
      </c>
      <c r="C11034" s="2" t="s">
        <v>5</v>
      </c>
      <c r="D11034" s="2" t="s">
        <v>20602</v>
      </c>
      <c r="E11034" s="2" t="str">
        <f>"9783031172571"</f>
        <v>9783031172571</v>
      </c>
      <c r="F11034" s="2" t="str">
        <f>"9783031172588"</f>
        <v>9783031172588</v>
      </c>
    </row>
    <row r="11035" spans="1:6" s="3" customFormat="1" ht="29.1" customHeight="1" x14ac:dyDescent="0.25">
      <c r="A11035" s="2" t="s">
        <v>22535</v>
      </c>
      <c r="B11035" s="2" t="s">
        <v>22536</v>
      </c>
      <c r="C11035" s="2" t="s">
        <v>5</v>
      </c>
      <c r="D11035" s="2" t="s">
        <v>20602</v>
      </c>
      <c r="E11035" s="2" t="str">
        <f>"9789811956065"</f>
        <v>9789811956065</v>
      </c>
      <c r="F11035" s="2" t="str">
        <f>"9789811956072"</f>
        <v>9789811956072</v>
      </c>
    </row>
    <row r="11036" spans="1:6" s="3" customFormat="1" ht="29.1" customHeight="1" x14ac:dyDescent="0.25">
      <c r="A11036" s="2" t="s">
        <v>22537</v>
      </c>
      <c r="B11036" s="2" t="s">
        <v>22538</v>
      </c>
      <c r="C11036" s="2" t="s">
        <v>5</v>
      </c>
      <c r="D11036" s="2" t="s">
        <v>370</v>
      </c>
      <c r="E11036" s="2" t="str">
        <f>"9783319288017"</f>
        <v>9783319288017</v>
      </c>
      <c r="F11036" s="2" t="str">
        <f>"9783319288024"</f>
        <v>9783319288024</v>
      </c>
    </row>
    <row r="11037" spans="1:6" s="3" customFormat="1" ht="29.1" customHeight="1" x14ac:dyDescent="0.25">
      <c r="A11037" s="2" t="s">
        <v>22539</v>
      </c>
      <c r="B11037" s="2" t="s">
        <v>22540</v>
      </c>
      <c r="C11037" s="2" t="s">
        <v>5</v>
      </c>
      <c r="D11037" s="2" t="s">
        <v>370</v>
      </c>
      <c r="E11037" s="2" t="str">
        <f>"9783319277769"</f>
        <v>9783319277769</v>
      </c>
      <c r="F11037" s="2" t="str">
        <f>"9783319277776"</f>
        <v>9783319277776</v>
      </c>
    </row>
    <row r="11038" spans="1:6" s="3" customFormat="1" ht="29.1" customHeight="1" x14ac:dyDescent="0.25">
      <c r="A11038" s="2" t="s">
        <v>22541</v>
      </c>
      <c r="B11038" s="2" t="s">
        <v>22542</v>
      </c>
      <c r="C11038" s="2" t="s">
        <v>5</v>
      </c>
      <c r="D11038" s="2" t="s">
        <v>3564</v>
      </c>
      <c r="E11038" s="2" t="str">
        <f>"9783031097058"</f>
        <v>9783031097058</v>
      </c>
      <c r="F11038" s="2" t="str">
        <f>"9783031097065"</f>
        <v>9783031097065</v>
      </c>
    </row>
    <row r="11039" spans="1:6" s="3" customFormat="1" ht="29.1" customHeight="1" x14ac:dyDescent="0.25">
      <c r="A11039" s="2" t="s">
        <v>22543</v>
      </c>
      <c r="B11039" s="2" t="s">
        <v>22544</v>
      </c>
      <c r="C11039" s="2" t="s">
        <v>5</v>
      </c>
      <c r="D11039" s="2" t="s">
        <v>3564</v>
      </c>
      <c r="E11039" s="2" t="str">
        <f>"9783030949259"</f>
        <v>9783030949259</v>
      </c>
      <c r="F11039" s="2" t="str">
        <f>"9783030949266"</f>
        <v>9783030949266</v>
      </c>
    </row>
    <row r="11040" spans="1:6" s="3" customFormat="1" ht="29.1" customHeight="1" x14ac:dyDescent="0.25">
      <c r="A11040" s="2" t="s">
        <v>22545</v>
      </c>
      <c r="B11040" s="2" t="s">
        <v>22546</v>
      </c>
      <c r="C11040" s="2" t="s">
        <v>5</v>
      </c>
      <c r="D11040" s="2" t="s">
        <v>1018</v>
      </c>
      <c r="E11040" s="2" t="str">
        <f>"9783319648279"</f>
        <v>9783319648279</v>
      </c>
      <c r="F11040" s="2" t="str">
        <f>"9783319648286"</f>
        <v>9783319648286</v>
      </c>
    </row>
    <row r="11041" spans="1:6" s="3" customFormat="1" ht="29.1" customHeight="1" x14ac:dyDescent="0.25">
      <c r="A11041" s="2" t="s">
        <v>22547</v>
      </c>
      <c r="B11041" s="2" t="s">
        <v>22548</v>
      </c>
      <c r="C11041" s="2" t="s">
        <v>5</v>
      </c>
      <c r="D11041" s="2" t="s">
        <v>2260</v>
      </c>
      <c r="E11041" s="2" t="str">
        <f>"9783030768362"</f>
        <v>9783030768362</v>
      </c>
      <c r="F11041" s="2" t="str">
        <f>"9783030768379"</f>
        <v>9783030768379</v>
      </c>
    </row>
    <row r="11042" spans="1:6" s="3" customFormat="1" ht="29.1" customHeight="1" x14ac:dyDescent="0.25">
      <c r="A11042" s="2" t="s">
        <v>22549</v>
      </c>
      <c r="B11042" s="2" t="s">
        <v>22550</v>
      </c>
      <c r="C11042" s="2" t="s">
        <v>5</v>
      </c>
      <c r="D11042" s="2" t="s">
        <v>2749</v>
      </c>
      <c r="E11042" s="2" t="str">
        <f>"9783319635545"</f>
        <v>9783319635545</v>
      </c>
      <c r="F11042" s="2" t="str">
        <f>"9783319635552"</f>
        <v>9783319635552</v>
      </c>
    </row>
    <row r="11043" spans="1:6" s="3" customFormat="1" ht="29.1" customHeight="1" x14ac:dyDescent="0.25">
      <c r="A11043" s="2" t="s">
        <v>22551</v>
      </c>
      <c r="B11043" s="2" t="s">
        <v>4369</v>
      </c>
      <c r="C11043" s="2" t="s">
        <v>5</v>
      </c>
      <c r="D11043" s="2" t="s">
        <v>4368</v>
      </c>
      <c r="E11043" s="2" t="str">
        <f>"9783031295065"</f>
        <v>9783031295065</v>
      </c>
      <c r="F11043" s="2" t="str">
        <f>"9783031295072"</f>
        <v>9783031295072</v>
      </c>
    </row>
    <row r="11044" spans="1:6" s="3" customFormat="1" ht="29.1" customHeight="1" x14ac:dyDescent="0.25">
      <c r="A11044" s="2" t="s">
        <v>22552</v>
      </c>
      <c r="B11044" s="2" t="s">
        <v>4369</v>
      </c>
      <c r="C11044" s="2" t="s">
        <v>5</v>
      </c>
      <c r="D11044" s="2" t="s">
        <v>1867</v>
      </c>
      <c r="E11044" s="2" t="str">
        <f>"9783031098567"</f>
        <v>9783031098567</v>
      </c>
      <c r="F11044" s="2" t="str">
        <f>"9783031098574"</f>
        <v>9783031098574</v>
      </c>
    </row>
    <row r="11045" spans="1:6" s="3" customFormat="1" ht="29.1" customHeight="1" x14ac:dyDescent="0.25">
      <c r="A11045" s="2" t="s">
        <v>22553</v>
      </c>
      <c r="B11045" s="2" t="s">
        <v>22554</v>
      </c>
      <c r="C11045" s="2" t="s">
        <v>5</v>
      </c>
      <c r="D11045" s="2" t="s">
        <v>381</v>
      </c>
      <c r="E11045" s="2" t="str">
        <f>"9783030876630"</f>
        <v>9783030876630</v>
      </c>
      <c r="F11045" s="2" t="str">
        <f>"9783030876647"</f>
        <v>9783030876647</v>
      </c>
    </row>
    <row r="11046" spans="1:6" s="3" customFormat="1" ht="29.1" customHeight="1" x14ac:dyDescent="0.25">
      <c r="A11046" s="2" t="s">
        <v>22555</v>
      </c>
      <c r="B11046" s="2" t="s">
        <v>22556</v>
      </c>
      <c r="C11046" s="2" t="s">
        <v>5</v>
      </c>
      <c r="D11046" s="2" t="s">
        <v>24</v>
      </c>
      <c r="E11046" s="2" t="str">
        <f>"9783030650018"</f>
        <v>9783030650018</v>
      </c>
      <c r="F11046" s="2" t="str">
        <f>"9783030650025"</f>
        <v>9783030650025</v>
      </c>
    </row>
    <row r="11047" spans="1:6" s="3" customFormat="1" ht="29.1" customHeight="1" x14ac:dyDescent="0.25">
      <c r="A11047" s="2" t="s">
        <v>22557</v>
      </c>
      <c r="B11047" s="2" t="s">
        <v>22558</v>
      </c>
      <c r="C11047" s="2" t="s">
        <v>5</v>
      </c>
      <c r="D11047" s="2" t="s">
        <v>12475</v>
      </c>
      <c r="E11047" s="2" t="str">
        <f>"9783319038643"</f>
        <v>9783319038643</v>
      </c>
      <c r="F11047" s="2" t="str">
        <f>"9783319038650"</f>
        <v>9783319038650</v>
      </c>
    </row>
    <row r="11048" spans="1:6" s="3" customFormat="1" ht="29.1" customHeight="1" x14ac:dyDescent="0.25">
      <c r="A11048" s="2" t="s">
        <v>22559</v>
      </c>
      <c r="B11048" s="2" t="s">
        <v>22560</v>
      </c>
      <c r="C11048" s="2" t="s">
        <v>5</v>
      </c>
      <c r="D11048" s="2" t="s">
        <v>850</v>
      </c>
      <c r="E11048" s="2" t="str">
        <f>"9783030657703"</f>
        <v>9783030657703</v>
      </c>
      <c r="F11048" s="2" t="str">
        <f>"9783030657710"</f>
        <v>9783030657710</v>
      </c>
    </row>
    <row r="11049" spans="1:6" s="3" customFormat="1" ht="29.1" customHeight="1" x14ac:dyDescent="0.25">
      <c r="A11049" s="2" t="s">
        <v>22561</v>
      </c>
      <c r="B11049" s="2" t="s">
        <v>22562</v>
      </c>
      <c r="C11049" s="2" t="s">
        <v>5</v>
      </c>
      <c r="D11049" s="2" t="s">
        <v>850</v>
      </c>
      <c r="E11049" s="2" t="str">
        <f>"9783030161170"</f>
        <v>9783030161170</v>
      </c>
      <c r="F11049" s="2" t="str">
        <f>"9783030161187"</f>
        <v>9783030161187</v>
      </c>
    </row>
    <row r="11050" spans="1:6" s="3" customFormat="1" ht="29.1" customHeight="1" x14ac:dyDescent="0.25">
      <c r="A11050" s="2" t="s">
        <v>22563</v>
      </c>
      <c r="B11050" s="2" t="s">
        <v>22564</v>
      </c>
      <c r="C11050" s="2" t="s">
        <v>5</v>
      </c>
      <c r="D11050" s="2" t="s">
        <v>724</v>
      </c>
      <c r="E11050" s="2" t="str">
        <f>"9789811507755"</f>
        <v>9789811507755</v>
      </c>
      <c r="F11050" s="2" t="str">
        <f>"9789811507762"</f>
        <v>9789811507762</v>
      </c>
    </row>
    <row r="11051" spans="1:6" s="3" customFormat="1" ht="29.1" customHeight="1" x14ac:dyDescent="0.25">
      <c r="A11051" s="2" t="s">
        <v>22565</v>
      </c>
      <c r="B11051" s="2" t="s">
        <v>22566</v>
      </c>
      <c r="C11051" s="2" t="s">
        <v>5</v>
      </c>
      <c r="D11051" s="2" t="s">
        <v>16201</v>
      </c>
      <c r="E11051" s="2" t="str">
        <f>"9783030562144"</f>
        <v>9783030562144</v>
      </c>
      <c r="F11051" s="2" t="str">
        <f>"9783030562151"</f>
        <v>9783030562151</v>
      </c>
    </row>
    <row r="11052" spans="1:6" s="3" customFormat="1" ht="29.1" customHeight="1" x14ac:dyDescent="0.25">
      <c r="A11052" s="2" t="s">
        <v>22567</v>
      </c>
      <c r="B11052" s="2" t="s">
        <v>22568</v>
      </c>
      <c r="C11052" s="2" t="s">
        <v>5</v>
      </c>
      <c r="D11052" s="2" t="s">
        <v>2880</v>
      </c>
      <c r="E11052" s="2" t="str">
        <f>"9783030036317"</f>
        <v>9783030036317</v>
      </c>
      <c r="F11052" s="2" t="str">
        <f>"9783030036331"</f>
        <v>9783030036331</v>
      </c>
    </row>
    <row r="11053" spans="1:6" s="3" customFormat="1" ht="29.1" customHeight="1" x14ac:dyDescent="0.25">
      <c r="A11053" s="2" t="s">
        <v>22569</v>
      </c>
      <c r="B11053" s="2" t="s">
        <v>22570</v>
      </c>
      <c r="C11053" s="2" t="s">
        <v>5</v>
      </c>
      <c r="D11053" s="2" t="s">
        <v>378</v>
      </c>
      <c r="E11053" s="2" t="str">
        <f>"9783319262987"</f>
        <v>9783319262987</v>
      </c>
      <c r="F11053" s="2" t="str">
        <f>"9783319263007"</f>
        <v>9783319263007</v>
      </c>
    </row>
    <row r="11054" spans="1:6" s="3" customFormat="1" ht="29.1" customHeight="1" x14ac:dyDescent="0.25">
      <c r="A11054" s="2" t="s">
        <v>22571</v>
      </c>
      <c r="B11054" s="2" t="s">
        <v>22572</v>
      </c>
      <c r="C11054" s="2" t="s">
        <v>5</v>
      </c>
      <c r="D11054" s="2" t="s">
        <v>1902</v>
      </c>
      <c r="E11054" s="2" t="str">
        <f>"9789811998904"</f>
        <v>9789811998904</v>
      </c>
      <c r="F11054" s="2" t="str">
        <f>"9789811998911"</f>
        <v>9789811998911</v>
      </c>
    </row>
    <row r="11055" spans="1:6" s="3" customFormat="1" ht="29.1" customHeight="1" x14ac:dyDescent="0.25">
      <c r="A11055" s="2" t="s">
        <v>22573</v>
      </c>
      <c r="B11055" s="2" t="s">
        <v>22574</v>
      </c>
      <c r="C11055" s="2" t="s">
        <v>5</v>
      </c>
      <c r="D11055" s="2" t="s">
        <v>16192</v>
      </c>
      <c r="E11055" s="2" t="str">
        <f>"9783030028947"</f>
        <v>9783030028947</v>
      </c>
      <c r="F11055" s="2" t="str">
        <f>"9783030028954"</f>
        <v>9783030028954</v>
      </c>
    </row>
    <row r="11056" spans="1:6" s="3" customFormat="1" ht="29.1" customHeight="1" x14ac:dyDescent="0.25">
      <c r="A11056" s="2" t="s">
        <v>22575</v>
      </c>
      <c r="B11056" s="2" t="s">
        <v>22576</v>
      </c>
      <c r="C11056" s="2" t="s">
        <v>5</v>
      </c>
      <c r="D11056" s="2" t="s">
        <v>15191</v>
      </c>
      <c r="E11056" s="2" t="str">
        <f>"9783030942113"</f>
        <v>9783030942113</v>
      </c>
      <c r="F11056" s="2" t="str">
        <f>"9783030942120"</f>
        <v>9783030942120</v>
      </c>
    </row>
    <row r="11057" spans="1:6" s="3" customFormat="1" ht="29.1" customHeight="1" x14ac:dyDescent="0.25">
      <c r="A11057" s="2" t="s">
        <v>22577</v>
      </c>
      <c r="B11057" s="2" t="s">
        <v>22578</v>
      </c>
      <c r="C11057" s="2" t="s">
        <v>5</v>
      </c>
      <c r="D11057" s="2" t="s">
        <v>15191</v>
      </c>
      <c r="E11057" s="2" t="str">
        <f>"9783319510187"</f>
        <v>9783319510187</v>
      </c>
      <c r="F11057" s="2" t="str">
        <f>"9783319510200"</f>
        <v>9783319510200</v>
      </c>
    </row>
    <row r="11058" spans="1:6" s="3" customFormat="1" ht="29.1" customHeight="1" x14ac:dyDescent="0.25">
      <c r="A11058" s="2" t="s">
        <v>22579</v>
      </c>
      <c r="B11058" s="2" t="s">
        <v>22580</v>
      </c>
      <c r="C11058" s="2" t="s">
        <v>5</v>
      </c>
      <c r="D11058" s="2" t="s">
        <v>20507</v>
      </c>
      <c r="E11058" s="2" t="str">
        <f>"9783030860752"</f>
        <v>9783030860752</v>
      </c>
      <c r="F11058" s="2" t="str">
        <f>"9783030860769"</f>
        <v>9783030860769</v>
      </c>
    </row>
    <row r="11059" spans="1:6" s="3" customFormat="1" ht="29.1" customHeight="1" x14ac:dyDescent="0.25">
      <c r="A11059" s="2" t="s">
        <v>22581</v>
      </c>
      <c r="B11059" s="2" t="s">
        <v>22582</v>
      </c>
      <c r="C11059" s="2" t="s">
        <v>5</v>
      </c>
      <c r="D11059" s="2" t="s">
        <v>813</v>
      </c>
      <c r="E11059" s="2" t="str">
        <f>"9783030336554"</f>
        <v>9783030336554</v>
      </c>
      <c r="F11059" s="2" t="str">
        <f>"9783030336561"</f>
        <v>9783030336561</v>
      </c>
    </row>
    <row r="11060" spans="1:6" s="3" customFormat="1" ht="29.1" customHeight="1" x14ac:dyDescent="0.25">
      <c r="A11060" s="2" t="s">
        <v>22583</v>
      </c>
      <c r="B11060" s="2" t="s">
        <v>22584</v>
      </c>
      <c r="C11060" s="2" t="s">
        <v>5</v>
      </c>
      <c r="D11060" s="2" t="s">
        <v>6128</v>
      </c>
      <c r="E11060" s="2" t="str">
        <f>"9783030214272"</f>
        <v>9783030214272</v>
      </c>
      <c r="F11060" s="2" t="str">
        <f>"9783030214289"</f>
        <v>9783030214289</v>
      </c>
    </row>
    <row r="11061" spans="1:6" s="3" customFormat="1" ht="29.1" customHeight="1" x14ac:dyDescent="0.25">
      <c r="A11061" s="2" t="s">
        <v>22585</v>
      </c>
      <c r="B11061" s="2" t="s">
        <v>22586</v>
      </c>
      <c r="C11061" s="2" t="s">
        <v>5</v>
      </c>
      <c r="D11061" s="2" t="s">
        <v>297</v>
      </c>
      <c r="E11061" s="2" t="str">
        <f>"9783031214479"</f>
        <v>9783031214479</v>
      </c>
      <c r="F11061" s="2" t="str">
        <f>"9783031214486"</f>
        <v>9783031214486</v>
      </c>
    </row>
    <row r="11062" spans="1:6" s="3" customFormat="1" ht="29.1" customHeight="1" x14ac:dyDescent="0.25">
      <c r="A11062" s="2" t="s">
        <v>22587</v>
      </c>
      <c r="B11062" s="2" t="s">
        <v>22588</v>
      </c>
      <c r="C11062" s="2" t="s">
        <v>5</v>
      </c>
      <c r="D11062" s="2" t="s">
        <v>183</v>
      </c>
      <c r="E11062" s="2" t="str">
        <f>"9783030786816"</f>
        <v>9783030786816</v>
      </c>
      <c r="F11062" s="2" t="str">
        <f>"9783030786823"</f>
        <v>9783030786823</v>
      </c>
    </row>
    <row r="11063" spans="1:6" s="3" customFormat="1" ht="29.1" customHeight="1" x14ac:dyDescent="0.25">
      <c r="A11063" s="2" t="s">
        <v>22589</v>
      </c>
      <c r="B11063" s="2" t="s">
        <v>22590</v>
      </c>
      <c r="C11063" s="2" t="s">
        <v>5</v>
      </c>
      <c r="D11063" s="2" t="s">
        <v>1437</v>
      </c>
      <c r="E11063" s="2" t="str">
        <f>"9783030702496"</f>
        <v>9783030702496</v>
      </c>
      <c r="F11063" s="2" t="str">
        <f>"9783030702502"</f>
        <v>9783030702502</v>
      </c>
    </row>
    <row r="11064" spans="1:6" s="3" customFormat="1" ht="29.1" customHeight="1" x14ac:dyDescent="0.25">
      <c r="A11064" s="2" t="s">
        <v>22591</v>
      </c>
      <c r="B11064" s="2" t="s">
        <v>22592</v>
      </c>
      <c r="C11064" s="2" t="s">
        <v>5</v>
      </c>
      <c r="D11064" s="2" t="s">
        <v>501</v>
      </c>
      <c r="E11064" s="2" t="str">
        <f>"9783030376055"</f>
        <v>9783030376055</v>
      </c>
      <c r="F11064" s="2" t="str">
        <f>"9783030376062"</f>
        <v>9783030376062</v>
      </c>
    </row>
    <row r="11065" spans="1:6" s="3" customFormat="1" ht="29.1" customHeight="1" x14ac:dyDescent="0.25">
      <c r="A11065" s="2" t="s">
        <v>22593</v>
      </c>
      <c r="B11065" s="2" t="s">
        <v>22594</v>
      </c>
      <c r="C11065" s="2" t="s">
        <v>5</v>
      </c>
      <c r="D11065" s="2" t="s">
        <v>501</v>
      </c>
      <c r="E11065" s="2" t="str">
        <f>"9783030328924"</f>
        <v>9783030328924</v>
      </c>
      <c r="F11065" s="2" t="str">
        <f>"9783030328931"</f>
        <v>9783030328931</v>
      </c>
    </row>
    <row r="11066" spans="1:6" s="3" customFormat="1" ht="29.1" customHeight="1" x14ac:dyDescent="0.25">
      <c r="A11066" s="2" t="s">
        <v>22595</v>
      </c>
      <c r="B11066" s="2" t="s">
        <v>22596</v>
      </c>
      <c r="C11066" s="2" t="s">
        <v>5</v>
      </c>
      <c r="D11066" s="2" t="s">
        <v>294</v>
      </c>
      <c r="E11066" s="2" t="str">
        <f>"9789402417241"</f>
        <v>9789402417241</v>
      </c>
      <c r="F11066" s="2" t="str">
        <f>"9789402417258"</f>
        <v>9789402417258</v>
      </c>
    </row>
    <row r="11067" spans="1:6" s="3" customFormat="1" ht="29.1" customHeight="1" x14ac:dyDescent="0.25">
      <c r="A11067" s="2" t="s">
        <v>22597</v>
      </c>
      <c r="B11067" s="2" t="s">
        <v>22598</v>
      </c>
      <c r="C11067" s="2" t="s">
        <v>5</v>
      </c>
      <c r="D11067" s="2" t="s">
        <v>547</v>
      </c>
      <c r="E11067" s="2" t="str">
        <f>"9783031380471"</f>
        <v>9783031380471</v>
      </c>
      <c r="F11067" s="2" t="str">
        <f>"9783031380488"</f>
        <v>9783031380488</v>
      </c>
    </row>
    <row r="11068" spans="1:6" s="3" customFormat="1" ht="29.1" customHeight="1" x14ac:dyDescent="0.25">
      <c r="A11068" s="2" t="s">
        <v>22599</v>
      </c>
      <c r="B11068" s="2" t="s">
        <v>22600</v>
      </c>
      <c r="C11068" s="2" t="s">
        <v>5</v>
      </c>
      <c r="D11068" s="2" t="s">
        <v>183</v>
      </c>
      <c r="E11068" s="2" t="str">
        <f>"9789811384363"</f>
        <v>9789811384363</v>
      </c>
      <c r="F11068" s="2" t="str">
        <f>"9789811384370"</f>
        <v>9789811384370</v>
      </c>
    </row>
    <row r="11069" spans="1:6" s="3" customFormat="1" ht="29.1" customHeight="1" x14ac:dyDescent="0.25">
      <c r="A11069" s="2" t="s">
        <v>22601</v>
      </c>
      <c r="B11069" s="2" t="s">
        <v>22602</v>
      </c>
      <c r="C11069" s="2" t="s">
        <v>5</v>
      </c>
      <c r="D11069" s="2" t="s">
        <v>321</v>
      </c>
      <c r="E11069" s="2" t="str">
        <f>"9783662594056"</f>
        <v>9783662594056</v>
      </c>
      <c r="F11069" s="2" t="str">
        <f>"9783662594063"</f>
        <v>9783662594063</v>
      </c>
    </row>
    <row r="11070" spans="1:6" s="3" customFormat="1" ht="29.1" customHeight="1" x14ac:dyDescent="0.25">
      <c r="A11070" s="2" t="s">
        <v>22603</v>
      </c>
      <c r="B11070" s="2" t="s">
        <v>22604</v>
      </c>
      <c r="C11070" s="2" t="s">
        <v>5</v>
      </c>
      <c r="D11070" s="2" t="s">
        <v>37</v>
      </c>
      <c r="E11070" s="2" t="str">
        <f>"9789811383465"</f>
        <v>9789811383465</v>
      </c>
      <c r="F11070" s="2" t="str">
        <f>"9789811383472"</f>
        <v>9789811383472</v>
      </c>
    </row>
    <row r="11071" spans="1:6" s="3" customFormat="1" ht="29.1" customHeight="1" x14ac:dyDescent="0.25">
      <c r="A11071" s="2" t="s">
        <v>22603</v>
      </c>
      <c r="B11071" s="2" t="s">
        <v>22604</v>
      </c>
      <c r="C11071" s="2" t="s">
        <v>5</v>
      </c>
      <c r="D11071" s="2" t="s">
        <v>37</v>
      </c>
      <c r="E11071" s="2" t="str">
        <f>"9789811383427"</f>
        <v>9789811383427</v>
      </c>
      <c r="F11071" s="2" t="str">
        <f>"9789811383434"</f>
        <v>9789811383434</v>
      </c>
    </row>
    <row r="11072" spans="1:6" s="3" customFormat="1" ht="29.1" customHeight="1" x14ac:dyDescent="0.25">
      <c r="A11072" s="2" t="s">
        <v>22605</v>
      </c>
      <c r="B11072" s="2" t="s">
        <v>22606</v>
      </c>
      <c r="C11072" s="2" t="s">
        <v>5</v>
      </c>
      <c r="D11072" s="2" t="s">
        <v>232</v>
      </c>
      <c r="E11072" s="2" t="str">
        <f>"9789819908752"</f>
        <v>9789819908752</v>
      </c>
      <c r="F11072" s="2" t="str">
        <f>"9789819908769"</f>
        <v>9789819908769</v>
      </c>
    </row>
    <row r="11073" spans="1:6" s="3" customFormat="1" ht="29.1" customHeight="1" x14ac:dyDescent="0.25">
      <c r="A11073" s="2" t="s">
        <v>22607</v>
      </c>
      <c r="B11073" s="2" t="s">
        <v>22608</v>
      </c>
      <c r="C11073" s="2" t="s">
        <v>5</v>
      </c>
      <c r="D11073" s="2" t="s">
        <v>547</v>
      </c>
      <c r="E11073" s="2" t="str">
        <f>"9783030203887"</f>
        <v>9783030203887</v>
      </c>
      <c r="F11073" s="2" t="str">
        <f>"9783030203894"</f>
        <v>9783030203894</v>
      </c>
    </row>
    <row r="11074" spans="1:6" s="3" customFormat="1" ht="29.1" customHeight="1" x14ac:dyDescent="0.25">
      <c r="A11074" s="2" t="s">
        <v>22609</v>
      </c>
      <c r="B11074" s="2" t="s">
        <v>22610</v>
      </c>
      <c r="C11074" s="2" t="s">
        <v>5</v>
      </c>
      <c r="D11074" s="2" t="s">
        <v>12</v>
      </c>
      <c r="E11074" s="2" t="str">
        <f>"9783030203382"</f>
        <v>9783030203382</v>
      </c>
      <c r="F11074" s="2" t="str">
        <f>"9783030203399"</f>
        <v>9783030203399</v>
      </c>
    </row>
    <row r="11075" spans="1:6" s="3" customFormat="1" ht="29.1" customHeight="1" x14ac:dyDescent="0.25">
      <c r="A11075" s="2" t="s">
        <v>22611</v>
      </c>
      <c r="B11075" s="2" t="s">
        <v>22612</v>
      </c>
      <c r="C11075" s="2" t="s">
        <v>5</v>
      </c>
      <c r="D11075" s="2" t="s">
        <v>2834</v>
      </c>
      <c r="E11075" s="2" t="str">
        <f>"9789811382178"</f>
        <v>9789811382178</v>
      </c>
      <c r="F11075" s="2" t="str">
        <f>"9789811382185"</f>
        <v>9789811382185</v>
      </c>
    </row>
    <row r="11076" spans="1:6" s="3" customFormat="1" ht="29.1" customHeight="1" x14ac:dyDescent="0.25">
      <c r="A11076" s="2" t="s">
        <v>22613</v>
      </c>
      <c r="B11076" s="2" t="s">
        <v>22614</v>
      </c>
      <c r="C11076" s="2" t="s">
        <v>5</v>
      </c>
      <c r="D11076" s="2" t="s">
        <v>256</v>
      </c>
      <c r="E11076" s="2" t="str">
        <f>"9783030200619"</f>
        <v>9783030200619</v>
      </c>
      <c r="F11076" s="2" t="str">
        <f>"9783030200626"</f>
        <v>9783030200626</v>
      </c>
    </row>
    <row r="11077" spans="1:6" s="3" customFormat="1" ht="29.1" customHeight="1" x14ac:dyDescent="0.25">
      <c r="A11077" s="2" t="s">
        <v>22615</v>
      </c>
      <c r="B11077" s="2" t="s">
        <v>22616</v>
      </c>
      <c r="C11077" s="2" t="s">
        <v>5</v>
      </c>
      <c r="D11077" s="2" t="s">
        <v>347</v>
      </c>
      <c r="E11077" s="2" t="str">
        <f>"9783030194116"</f>
        <v>9783030194116</v>
      </c>
      <c r="F11077" s="2" t="str">
        <f>"9783030194123"</f>
        <v>9783030194123</v>
      </c>
    </row>
    <row r="11078" spans="1:6" s="3" customFormat="1" ht="29.1" customHeight="1" x14ac:dyDescent="0.25">
      <c r="A11078" s="2" t="s">
        <v>22617</v>
      </c>
      <c r="B11078" s="2" t="s">
        <v>22618</v>
      </c>
      <c r="C11078" s="2" t="s">
        <v>5</v>
      </c>
      <c r="D11078" s="2" t="s">
        <v>2877</v>
      </c>
      <c r="E11078" s="2" t="str">
        <f>"9783030193881"</f>
        <v>9783030193881</v>
      </c>
      <c r="F11078" s="2" t="str">
        <f>"9783030193898"</f>
        <v>9783030193898</v>
      </c>
    </row>
    <row r="11079" spans="1:6" s="3" customFormat="1" ht="29.1" customHeight="1" x14ac:dyDescent="0.25">
      <c r="A11079" s="2" t="s">
        <v>22619</v>
      </c>
      <c r="B11079" s="2" t="s">
        <v>22620</v>
      </c>
      <c r="C11079" s="2" t="s">
        <v>5</v>
      </c>
      <c r="D11079" s="2" t="s">
        <v>21362</v>
      </c>
      <c r="E11079" s="2" t="str">
        <f>"9783030194277"</f>
        <v>9783030194277</v>
      </c>
      <c r="F11079" s="2" t="str">
        <f>"9783030194284"</f>
        <v>9783030194284</v>
      </c>
    </row>
    <row r="11080" spans="1:6" s="3" customFormat="1" ht="29.1" customHeight="1" x14ac:dyDescent="0.25">
      <c r="A11080" s="2" t="s">
        <v>22621</v>
      </c>
      <c r="B11080" s="2" t="s">
        <v>22622</v>
      </c>
      <c r="C11080" s="2" t="s">
        <v>5</v>
      </c>
      <c r="D11080" s="2" t="s">
        <v>144</v>
      </c>
      <c r="E11080" s="2" t="str">
        <f>"9781484249314"</f>
        <v>9781484249314</v>
      </c>
      <c r="F11080" s="2" t="str">
        <f>"9781484249321"</f>
        <v>9781484249321</v>
      </c>
    </row>
    <row r="11081" spans="1:6" s="3" customFormat="1" ht="29.1" customHeight="1" x14ac:dyDescent="0.25">
      <c r="A11081" s="2" t="s">
        <v>22623</v>
      </c>
      <c r="B11081" s="2" t="s">
        <v>22624</v>
      </c>
      <c r="C11081" s="2" t="s">
        <v>5</v>
      </c>
      <c r="D11081" s="2" t="s">
        <v>7132</v>
      </c>
      <c r="E11081" s="2" t="str">
        <f>"9783030191856"</f>
        <v>9783030191856</v>
      </c>
      <c r="F11081" s="2" t="str">
        <f>"9783030191863"</f>
        <v>9783030191863</v>
      </c>
    </row>
    <row r="11082" spans="1:6" s="3" customFormat="1" ht="29.1" customHeight="1" x14ac:dyDescent="0.25">
      <c r="A11082" s="2" t="s">
        <v>22625</v>
      </c>
      <c r="B11082" s="2" t="s">
        <v>22626</v>
      </c>
      <c r="C11082" s="2" t="s">
        <v>5</v>
      </c>
      <c r="D11082" s="2" t="s">
        <v>553</v>
      </c>
      <c r="E11082" s="2" t="str">
        <f>"9783658262051"</f>
        <v>9783658262051</v>
      </c>
      <c r="F11082" s="2" t="str">
        <f>"9783658262068"</f>
        <v>9783658262068</v>
      </c>
    </row>
    <row r="11083" spans="1:6" s="3" customFormat="1" ht="29.1" customHeight="1" x14ac:dyDescent="0.25">
      <c r="A11083" s="2" t="s">
        <v>22627</v>
      </c>
      <c r="B11083" s="2" t="s">
        <v>22628</v>
      </c>
      <c r="C11083" s="2" t="s">
        <v>5</v>
      </c>
      <c r="D11083" s="2" t="s">
        <v>1071</v>
      </c>
      <c r="E11083" s="2" t="str">
        <f>"9783030187569"</f>
        <v>9783030187569</v>
      </c>
      <c r="F11083" s="2" t="str">
        <f>"9783030187576"</f>
        <v>9783030187576</v>
      </c>
    </row>
    <row r="11084" spans="1:6" s="3" customFormat="1" ht="29.1" customHeight="1" x14ac:dyDescent="0.25">
      <c r="A11084" s="2" t="s">
        <v>22629</v>
      </c>
      <c r="B11084" s="2" t="s">
        <v>22630</v>
      </c>
      <c r="C11084" s="2" t="s">
        <v>5</v>
      </c>
      <c r="D11084" s="2" t="s">
        <v>370</v>
      </c>
      <c r="E11084" s="2" t="str">
        <f>"9789811379079"</f>
        <v>9789811379079</v>
      </c>
      <c r="F11084" s="2" t="str">
        <f>"9789811379086"</f>
        <v>9789811379086</v>
      </c>
    </row>
    <row r="11085" spans="1:6" s="3" customFormat="1" ht="29.1" customHeight="1" x14ac:dyDescent="0.25">
      <c r="A11085" s="2" t="s">
        <v>22631</v>
      </c>
      <c r="B11085" s="2" t="s">
        <v>22632</v>
      </c>
      <c r="C11085" s="2" t="s">
        <v>5</v>
      </c>
      <c r="D11085" s="2" t="s">
        <v>12</v>
      </c>
      <c r="E11085" s="2" t="str">
        <f>"9783030182052"</f>
        <v>9783030182052</v>
      </c>
      <c r="F11085" s="2" t="str">
        <f>"9783030182069"</f>
        <v>9783030182069</v>
      </c>
    </row>
    <row r="11086" spans="1:6" s="3" customFormat="1" ht="29.1" customHeight="1" x14ac:dyDescent="0.25">
      <c r="A11086" s="2" t="s">
        <v>22633</v>
      </c>
      <c r="B11086" s="2" t="s">
        <v>22634</v>
      </c>
      <c r="C11086" s="2" t="s">
        <v>5</v>
      </c>
      <c r="D11086" s="2" t="s">
        <v>98</v>
      </c>
      <c r="E11086" s="2" t="str">
        <f>"9783031363818"</f>
        <v>9783031363818</v>
      </c>
      <c r="F11086" s="2" t="str">
        <f>"9783031363825"</f>
        <v>9783031363825</v>
      </c>
    </row>
    <row r="11087" spans="1:6" s="3" customFormat="1" ht="29.1" customHeight="1" x14ac:dyDescent="0.25">
      <c r="A11087" s="2" t="s">
        <v>22635</v>
      </c>
      <c r="B11087" s="2" t="s">
        <v>22636</v>
      </c>
      <c r="C11087" s="2" t="s">
        <v>5</v>
      </c>
      <c r="D11087" s="2" t="s">
        <v>9656</v>
      </c>
      <c r="E11087" s="2" t="str">
        <f>"9783031009273"</f>
        <v>9783031009273</v>
      </c>
      <c r="F11087" s="2" t="str">
        <f>"9783031009280"</f>
        <v>9783031009280</v>
      </c>
    </row>
    <row r="11088" spans="1:6" s="3" customFormat="1" ht="29.1" customHeight="1" x14ac:dyDescent="0.25">
      <c r="A11088" s="2" t="s">
        <v>22637</v>
      </c>
      <c r="B11088" s="2" t="s">
        <v>22638</v>
      </c>
      <c r="C11088" s="2" t="s">
        <v>5</v>
      </c>
      <c r="D11088" s="2" t="s">
        <v>141</v>
      </c>
      <c r="E11088" s="2" t="str">
        <f>"9783030176730"</f>
        <v>9783030176730</v>
      </c>
      <c r="F11088" s="2" t="str">
        <f>"9783030176747"</f>
        <v>9783030176747</v>
      </c>
    </row>
    <row r="11089" spans="1:6" s="3" customFormat="1" ht="29.1" customHeight="1" x14ac:dyDescent="0.25">
      <c r="A11089" s="2" t="s">
        <v>22639</v>
      </c>
      <c r="B11089" s="2" t="s">
        <v>22640</v>
      </c>
      <c r="C11089" s="2" t="s">
        <v>5</v>
      </c>
      <c r="D11089" s="2" t="s">
        <v>19208</v>
      </c>
      <c r="E11089" s="2" t="str">
        <f>"9783030947460"</f>
        <v>9783030947460</v>
      </c>
      <c r="F11089" s="2" t="str">
        <f>"9783030947477"</f>
        <v>9783030947477</v>
      </c>
    </row>
    <row r="11090" spans="1:6" s="3" customFormat="1" ht="29.1" customHeight="1" x14ac:dyDescent="0.25">
      <c r="A11090" s="2" t="s">
        <v>22641</v>
      </c>
      <c r="B11090" s="2" t="s">
        <v>22642</v>
      </c>
      <c r="C11090" s="2" t="s">
        <v>5</v>
      </c>
      <c r="D11090" s="2" t="s">
        <v>3019</v>
      </c>
      <c r="E11090" s="2" t="str">
        <f>"9783658259020"</f>
        <v>9783658259020</v>
      </c>
      <c r="F11090" s="2" t="str">
        <f>"9783658259037"</f>
        <v>9783658259037</v>
      </c>
    </row>
    <row r="11091" spans="1:6" s="3" customFormat="1" ht="29.1" customHeight="1" x14ac:dyDescent="0.25">
      <c r="A11091" s="2" t="s">
        <v>22643</v>
      </c>
      <c r="B11091" s="2" t="s">
        <v>22644</v>
      </c>
      <c r="C11091" s="2" t="s">
        <v>5</v>
      </c>
      <c r="D11091" s="2" t="s">
        <v>98</v>
      </c>
      <c r="E11091" s="2" t="str">
        <f>"9789811375064"</f>
        <v>9789811375064</v>
      </c>
      <c r="F11091" s="2" t="str">
        <f>"9789811375071"</f>
        <v>9789811375071</v>
      </c>
    </row>
    <row r="11092" spans="1:6" s="3" customFormat="1" ht="29.1" customHeight="1" x14ac:dyDescent="0.25">
      <c r="A11092" s="2" t="s">
        <v>22645</v>
      </c>
      <c r="B11092" s="2" t="s">
        <v>22646</v>
      </c>
      <c r="C11092" s="2" t="s">
        <v>5</v>
      </c>
      <c r="D11092" s="2" t="s">
        <v>165</v>
      </c>
      <c r="E11092" s="2" t="str">
        <f>"9783030166373"</f>
        <v>9783030166373</v>
      </c>
      <c r="F11092" s="2" t="str">
        <f>"9783030166380"</f>
        <v>9783030166380</v>
      </c>
    </row>
    <row r="11093" spans="1:6" s="3" customFormat="1" ht="29.1" customHeight="1" x14ac:dyDescent="0.25">
      <c r="A11093" s="2" t="s">
        <v>22647</v>
      </c>
      <c r="B11093" s="2" t="s">
        <v>22648</v>
      </c>
      <c r="C11093" s="2" t="s">
        <v>5</v>
      </c>
      <c r="D11093" s="2" t="s">
        <v>15</v>
      </c>
      <c r="E11093" s="2" t="str">
        <f>"9783030162863"</f>
        <v>9783030162863</v>
      </c>
      <c r="F11093" s="2" t="str">
        <f>"9783030162870"</f>
        <v>9783030162870</v>
      </c>
    </row>
    <row r="11094" spans="1:6" s="3" customFormat="1" ht="29.1" customHeight="1" x14ac:dyDescent="0.25">
      <c r="A11094" s="2" t="s">
        <v>22649</v>
      </c>
      <c r="B11094" s="2" t="s">
        <v>22650</v>
      </c>
      <c r="C11094" s="2" t="s">
        <v>5</v>
      </c>
      <c r="D11094" s="2" t="s">
        <v>9</v>
      </c>
      <c r="E11094" s="2" t="str">
        <f>"9783031152658"</f>
        <v>9783031152658</v>
      </c>
      <c r="F11094" s="2" t="str">
        <f>"9783031152665"</f>
        <v>9783031152665</v>
      </c>
    </row>
    <row r="11095" spans="1:6" s="3" customFormat="1" ht="29.1" customHeight="1" x14ac:dyDescent="0.25">
      <c r="A11095" s="2" t="s">
        <v>22651</v>
      </c>
      <c r="B11095" s="2" t="s">
        <v>22652</v>
      </c>
      <c r="C11095" s="2" t="s">
        <v>5</v>
      </c>
      <c r="D11095" s="2" t="s">
        <v>547</v>
      </c>
      <c r="E11095" s="2" t="str">
        <f>"9783030159429"</f>
        <v>9783030159429</v>
      </c>
      <c r="F11095" s="2" t="str">
        <f>"9783030159436"</f>
        <v>9783030159436</v>
      </c>
    </row>
    <row r="11096" spans="1:6" s="3" customFormat="1" ht="29.1" customHeight="1" x14ac:dyDescent="0.25">
      <c r="A11096" s="2" t="s">
        <v>22653</v>
      </c>
      <c r="B11096" s="2" t="s">
        <v>22654</v>
      </c>
      <c r="C11096" s="2" t="s">
        <v>5</v>
      </c>
      <c r="D11096" s="2" t="s">
        <v>192</v>
      </c>
      <c r="E11096" s="2" t="str">
        <f>"9783030858162"</f>
        <v>9783030858162</v>
      </c>
      <c r="F11096" s="2" t="str">
        <f>"9783030858179"</f>
        <v>9783030858179</v>
      </c>
    </row>
    <row r="11097" spans="1:6" s="3" customFormat="1" ht="29.1" customHeight="1" x14ac:dyDescent="0.25">
      <c r="A11097" s="2" t="s">
        <v>22655</v>
      </c>
      <c r="B11097" s="2" t="s">
        <v>22654</v>
      </c>
      <c r="C11097" s="2" t="s">
        <v>5</v>
      </c>
      <c r="D11097" s="2" t="s">
        <v>192</v>
      </c>
      <c r="E11097" s="2" t="str">
        <f>"9783030527372"</f>
        <v>9783030527372</v>
      </c>
      <c r="F11097" s="2" t="str">
        <f>"9783030527389"</f>
        <v>9783030527389</v>
      </c>
    </row>
    <row r="11098" spans="1:6" s="3" customFormat="1" ht="29.1" customHeight="1" x14ac:dyDescent="0.25">
      <c r="A11098" s="2" t="s">
        <v>22656</v>
      </c>
      <c r="B11098" s="2" t="s">
        <v>22657</v>
      </c>
      <c r="C11098" s="2" t="s">
        <v>5</v>
      </c>
      <c r="D11098" s="2" t="s">
        <v>3553</v>
      </c>
      <c r="E11098" s="2" t="str">
        <f>"9783658256869"</f>
        <v>9783658256869</v>
      </c>
      <c r="F11098" s="2" t="str">
        <f>"9783658256876"</f>
        <v>9783658256876</v>
      </c>
    </row>
    <row r="11099" spans="1:6" s="3" customFormat="1" ht="29.1" customHeight="1" x14ac:dyDescent="0.25">
      <c r="A11099" s="2" t="s">
        <v>22658</v>
      </c>
      <c r="B11099" s="2" t="s">
        <v>22659</v>
      </c>
      <c r="C11099" s="2" t="s">
        <v>5</v>
      </c>
      <c r="D11099" s="2" t="s">
        <v>33</v>
      </c>
      <c r="E11099" s="2" t="str">
        <f>"9783476051035"</f>
        <v>9783476051035</v>
      </c>
      <c r="F11099" s="2" t="str">
        <f>"9783476051042"</f>
        <v>9783476051042</v>
      </c>
    </row>
    <row r="11100" spans="1:6" s="3" customFormat="1" ht="29.1" customHeight="1" x14ac:dyDescent="0.25">
      <c r="A11100" s="2" t="s">
        <v>22660</v>
      </c>
      <c r="B11100" s="2" t="s">
        <v>22661</v>
      </c>
      <c r="C11100" s="2" t="s">
        <v>5</v>
      </c>
      <c r="D11100" s="2" t="s">
        <v>553</v>
      </c>
      <c r="E11100" s="2" t="str">
        <f>"9783030142223"</f>
        <v>9783030142223</v>
      </c>
      <c r="F11100" s="2" t="str">
        <f>"9783030142230"</f>
        <v>9783030142230</v>
      </c>
    </row>
    <row r="11101" spans="1:6" s="3" customFormat="1" ht="29.1" customHeight="1" x14ac:dyDescent="0.25">
      <c r="A11101" s="2" t="s">
        <v>22662</v>
      </c>
      <c r="B11101" s="2" t="s">
        <v>22663</v>
      </c>
      <c r="C11101" s="2" t="s">
        <v>5</v>
      </c>
      <c r="D11101" s="2" t="s">
        <v>636</v>
      </c>
      <c r="E11101" s="2" t="str">
        <f>"9789811920363"</f>
        <v>9789811920363</v>
      </c>
      <c r="F11101" s="2" t="str">
        <f>"9789811920370"</f>
        <v>9789811920370</v>
      </c>
    </row>
    <row r="11102" spans="1:6" s="3" customFormat="1" ht="29.1" customHeight="1" x14ac:dyDescent="0.25">
      <c r="A11102" s="2" t="s">
        <v>22664</v>
      </c>
      <c r="B11102" s="2" t="s">
        <v>22665</v>
      </c>
      <c r="C11102" s="2" t="s">
        <v>5</v>
      </c>
      <c r="D11102" s="2" t="s">
        <v>6972</v>
      </c>
      <c r="E11102" s="2" t="str">
        <f>"9789811367786"</f>
        <v>9789811367786</v>
      </c>
      <c r="F11102" s="2" t="str">
        <f>"9789811367793"</f>
        <v>9789811367793</v>
      </c>
    </row>
    <row r="11103" spans="1:6" s="3" customFormat="1" ht="29.1" customHeight="1" x14ac:dyDescent="0.25">
      <c r="A11103" s="2" t="s">
        <v>22666</v>
      </c>
      <c r="B11103" s="2" t="s">
        <v>22668</v>
      </c>
      <c r="C11103" s="2" t="s">
        <v>5</v>
      </c>
      <c r="D11103" s="2" t="s">
        <v>22667</v>
      </c>
      <c r="E11103" s="2" t="str">
        <f>"9783662671306"</f>
        <v>9783662671306</v>
      </c>
      <c r="F11103" s="2" t="str">
        <f>"9783662671313"</f>
        <v>9783662671313</v>
      </c>
    </row>
    <row r="11104" spans="1:6" s="3" customFormat="1" ht="29.1" customHeight="1" x14ac:dyDescent="0.25">
      <c r="A11104" s="2" t="s">
        <v>22669</v>
      </c>
      <c r="B11104" s="2" t="s">
        <v>22670</v>
      </c>
      <c r="C11104" s="2" t="s">
        <v>5</v>
      </c>
      <c r="D11104" s="2" t="s">
        <v>98</v>
      </c>
      <c r="E11104" s="2" t="str">
        <f>"9783030122584"</f>
        <v>9783030122584</v>
      </c>
      <c r="F11104" s="2" t="str">
        <f>"9783030122591"</f>
        <v>9783030122591</v>
      </c>
    </row>
    <row r="11105" spans="1:6" s="3" customFormat="1" ht="29.1" customHeight="1" x14ac:dyDescent="0.25">
      <c r="A11105" s="2" t="s">
        <v>22671</v>
      </c>
      <c r="B11105" s="2" t="s">
        <v>22672</v>
      </c>
      <c r="C11105" s="2" t="s">
        <v>5</v>
      </c>
      <c r="D11105" s="2" t="s">
        <v>1259</v>
      </c>
      <c r="E11105" s="2" t="str">
        <f>"9789811361890"</f>
        <v>9789811361890</v>
      </c>
      <c r="F11105" s="2" t="str">
        <f>"9789811361906"</f>
        <v>9789811361906</v>
      </c>
    </row>
    <row r="11106" spans="1:6" s="3" customFormat="1" ht="29.1" customHeight="1" x14ac:dyDescent="0.25">
      <c r="A11106" s="2" t="s">
        <v>22673</v>
      </c>
      <c r="B11106" s="2" t="s">
        <v>22674</v>
      </c>
      <c r="C11106" s="2" t="s">
        <v>5</v>
      </c>
      <c r="D11106" s="2" t="s">
        <v>2404</v>
      </c>
      <c r="E11106" s="2" t="str">
        <f>"9783030118983"</f>
        <v>9783030118983</v>
      </c>
      <c r="F11106" s="2" t="str">
        <f>"9783030118990"</f>
        <v>9783030118990</v>
      </c>
    </row>
    <row r="11107" spans="1:6" s="3" customFormat="1" ht="29.1" customHeight="1" x14ac:dyDescent="0.25">
      <c r="A11107" s="2" t="s">
        <v>22675</v>
      </c>
      <c r="B11107" s="2" t="s">
        <v>22676</v>
      </c>
      <c r="C11107" s="2" t="s">
        <v>5</v>
      </c>
      <c r="D11107" s="2" t="s">
        <v>72</v>
      </c>
      <c r="E11107" s="2" t="str">
        <f>"9783030910877"</f>
        <v>9783030910877</v>
      </c>
      <c r="F11107" s="2" t="str">
        <f>"9783030910884"</f>
        <v>9783030910884</v>
      </c>
    </row>
    <row r="11108" spans="1:6" s="3" customFormat="1" ht="29.1" customHeight="1" x14ac:dyDescent="0.25">
      <c r="A11108" s="2" t="s">
        <v>22677</v>
      </c>
      <c r="B11108" s="2" t="s">
        <v>22678</v>
      </c>
      <c r="C11108" s="2" t="s">
        <v>5</v>
      </c>
      <c r="D11108" s="2" t="s">
        <v>72</v>
      </c>
      <c r="E11108" s="2" t="str">
        <f>"9783030866440"</f>
        <v>9783030866440</v>
      </c>
      <c r="F11108" s="2" t="str">
        <f>"9783030866457"</f>
        <v>9783030866457</v>
      </c>
    </row>
    <row r="11109" spans="1:6" s="3" customFormat="1" ht="29.1" customHeight="1" x14ac:dyDescent="0.25">
      <c r="A11109" s="2" t="s">
        <v>22679</v>
      </c>
      <c r="B11109" s="2" t="s">
        <v>22680</v>
      </c>
      <c r="C11109" s="2" t="s">
        <v>5</v>
      </c>
      <c r="D11109" s="2" t="s">
        <v>72</v>
      </c>
      <c r="E11109" s="2" t="str">
        <f>"9783030834029"</f>
        <v>9783030834029</v>
      </c>
      <c r="F11109" s="2" t="str">
        <f>"9783030834036"</f>
        <v>9783030834036</v>
      </c>
    </row>
    <row r="11110" spans="1:6" s="3" customFormat="1" ht="29.1" customHeight="1" x14ac:dyDescent="0.25">
      <c r="A11110" s="2" t="s">
        <v>22681</v>
      </c>
      <c r="B11110" s="2" t="s">
        <v>22682</v>
      </c>
      <c r="C11110" s="2" t="s">
        <v>5</v>
      </c>
      <c r="D11110" s="2" t="s">
        <v>4172</v>
      </c>
      <c r="E11110" s="2" t="str">
        <f>"9783030788841"</f>
        <v>9783030788841</v>
      </c>
      <c r="F11110" s="2" t="str">
        <f>"9783030788858"</f>
        <v>9783030788858</v>
      </c>
    </row>
    <row r="11111" spans="1:6" s="3" customFormat="1" ht="29.1" customHeight="1" x14ac:dyDescent="0.25">
      <c r="A11111" s="2" t="s">
        <v>22683</v>
      </c>
      <c r="B11111" s="2" t="s">
        <v>22684</v>
      </c>
      <c r="C11111" s="2" t="s">
        <v>5</v>
      </c>
      <c r="D11111" s="2" t="s">
        <v>72</v>
      </c>
      <c r="E11111" s="2" t="str">
        <f>"9783030549589"</f>
        <v>9783030549589</v>
      </c>
      <c r="F11111" s="2" t="str">
        <f>"9783030549596"</f>
        <v>9783030549596</v>
      </c>
    </row>
    <row r="11112" spans="1:6" s="3" customFormat="1" ht="29.1" customHeight="1" x14ac:dyDescent="0.25">
      <c r="A11112" s="2" t="s">
        <v>22685</v>
      </c>
      <c r="B11112" s="2" t="s">
        <v>22686</v>
      </c>
      <c r="C11112" s="2" t="s">
        <v>5</v>
      </c>
      <c r="D11112" s="2" t="s">
        <v>72</v>
      </c>
      <c r="E11112" s="2" t="str">
        <f>"9783030420536"</f>
        <v>9783030420536</v>
      </c>
      <c r="F11112" s="2" t="str">
        <f>"9783030420543"</f>
        <v>9783030420543</v>
      </c>
    </row>
    <row r="11113" spans="1:6" s="3" customFormat="1" ht="29.1" customHeight="1" x14ac:dyDescent="0.25">
      <c r="A11113" s="2" t="s">
        <v>22687</v>
      </c>
      <c r="B11113" s="2" t="s">
        <v>22688</v>
      </c>
      <c r="C11113" s="2" t="s">
        <v>5</v>
      </c>
      <c r="D11113" s="2" t="s">
        <v>4172</v>
      </c>
      <c r="E11113" s="2" t="str">
        <f>"9783030381998"</f>
        <v>9783030381998</v>
      </c>
      <c r="F11113" s="2" t="str">
        <f>"9783030382001"</f>
        <v>9783030382001</v>
      </c>
    </row>
    <row r="11114" spans="1:6" s="3" customFormat="1" ht="29.1" customHeight="1" x14ac:dyDescent="0.25">
      <c r="A11114" s="2" t="s">
        <v>22689</v>
      </c>
      <c r="B11114" s="2" t="s">
        <v>22690</v>
      </c>
      <c r="C11114" s="2" t="s">
        <v>5</v>
      </c>
      <c r="D11114" s="2" t="s">
        <v>294</v>
      </c>
      <c r="E11114" s="2" t="str">
        <f>"9783030117375"</f>
        <v>9783030117375</v>
      </c>
      <c r="F11114" s="2" t="str">
        <f>"9783030117382"</f>
        <v>9783030117382</v>
      </c>
    </row>
    <row r="11115" spans="1:6" s="3" customFormat="1" ht="29.1" customHeight="1" x14ac:dyDescent="0.25">
      <c r="A11115" s="2" t="s">
        <v>22691</v>
      </c>
      <c r="B11115" s="2" t="s">
        <v>22692</v>
      </c>
      <c r="C11115" s="2" t="s">
        <v>5</v>
      </c>
      <c r="D11115" s="2" t="s">
        <v>4180</v>
      </c>
      <c r="E11115" s="2" t="str">
        <f>"9783030116736"</f>
        <v>9783030116736</v>
      </c>
      <c r="F11115" s="2" t="str">
        <f>"9783030116743"</f>
        <v>9783030116743</v>
      </c>
    </row>
    <row r="11116" spans="1:6" s="3" customFormat="1" ht="29.1" customHeight="1" x14ac:dyDescent="0.25">
      <c r="A11116" s="2" t="s">
        <v>22693</v>
      </c>
      <c r="B11116" s="2" t="s">
        <v>22694</v>
      </c>
      <c r="C11116" s="2" t="s">
        <v>5</v>
      </c>
      <c r="D11116" s="2" t="s">
        <v>4783</v>
      </c>
      <c r="E11116" s="2" t="str">
        <f>"9783030113605"</f>
        <v>9783030113605</v>
      </c>
      <c r="F11116" s="2" t="str">
        <f>"9783030113612"</f>
        <v>9783030113612</v>
      </c>
    </row>
    <row r="11117" spans="1:6" s="3" customFormat="1" ht="29.1" customHeight="1" x14ac:dyDescent="0.25">
      <c r="A11117" s="2" t="s">
        <v>22695</v>
      </c>
      <c r="B11117" s="2" t="s">
        <v>22696</v>
      </c>
      <c r="C11117" s="2" t="s">
        <v>5</v>
      </c>
      <c r="D11117" s="2" t="s">
        <v>547</v>
      </c>
      <c r="E11117" s="2" t="str">
        <f>"9783030113292"</f>
        <v>9783030113292</v>
      </c>
      <c r="F11117" s="2" t="str">
        <f>"9783030113308"</f>
        <v>9783030113308</v>
      </c>
    </row>
    <row r="11118" spans="1:6" s="3" customFormat="1" ht="29.1" customHeight="1" x14ac:dyDescent="0.25">
      <c r="A11118" s="2" t="s">
        <v>22697</v>
      </c>
      <c r="B11118" s="2" t="s">
        <v>22698</v>
      </c>
      <c r="C11118" s="2" t="s">
        <v>5</v>
      </c>
      <c r="D11118" s="2" t="s">
        <v>7341</v>
      </c>
      <c r="E11118" s="2" t="str">
        <f>"9781484243978"</f>
        <v>9781484243978</v>
      </c>
      <c r="F11118" s="2" t="str">
        <f>"9781484243985"</f>
        <v>9781484243985</v>
      </c>
    </row>
    <row r="11119" spans="1:6" s="3" customFormat="1" ht="29.1" customHeight="1" x14ac:dyDescent="0.25">
      <c r="A11119" s="2" t="s">
        <v>22699</v>
      </c>
      <c r="B11119" s="2" t="s">
        <v>22700</v>
      </c>
      <c r="C11119" s="2" t="s">
        <v>5</v>
      </c>
      <c r="D11119" s="2" t="s">
        <v>2590</v>
      </c>
      <c r="E11119" s="2" t="str">
        <f>"9783030111137"</f>
        <v>9783030111137</v>
      </c>
      <c r="F11119" s="2" t="str">
        <f>"9783030111144"</f>
        <v>9783030111144</v>
      </c>
    </row>
    <row r="11120" spans="1:6" s="3" customFormat="1" ht="29.1" customHeight="1" x14ac:dyDescent="0.25">
      <c r="A11120" s="2" t="s">
        <v>22701</v>
      </c>
      <c r="B11120" s="2" t="s">
        <v>22702</v>
      </c>
      <c r="C11120" s="2" t="s">
        <v>5</v>
      </c>
      <c r="D11120" s="2" t="s">
        <v>3445</v>
      </c>
      <c r="E11120" s="2" t="str">
        <f>"9783030111106"</f>
        <v>9783030111106</v>
      </c>
      <c r="F11120" s="2" t="str">
        <f>"9783030111113"</f>
        <v>9783030111113</v>
      </c>
    </row>
    <row r="11121" spans="1:6" s="3" customFormat="1" ht="29.1" customHeight="1" x14ac:dyDescent="0.25">
      <c r="A11121" s="2" t="s">
        <v>22703</v>
      </c>
      <c r="B11121" s="2" t="s">
        <v>22704</v>
      </c>
      <c r="C11121" s="2" t="s">
        <v>5</v>
      </c>
      <c r="D11121" s="2" t="s">
        <v>479</v>
      </c>
      <c r="E11121" s="2" t="str">
        <f>"9783030109813"</f>
        <v>9783030109813</v>
      </c>
      <c r="F11121" s="2" t="str">
        <f>"9783030109820"</f>
        <v>9783030109820</v>
      </c>
    </row>
    <row r="11122" spans="1:6" s="3" customFormat="1" ht="29.1" customHeight="1" x14ac:dyDescent="0.25">
      <c r="A11122" s="2" t="s">
        <v>22705</v>
      </c>
      <c r="B11122" s="2" t="s">
        <v>22706</v>
      </c>
      <c r="C11122" s="2" t="s">
        <v>5</v>
      </c>
      <c r="D11122" s="2" t="s">
        <v>192</v>
      </c>
      <c r="E11122" s="2" t="str">
        <f>"9783662586556"</f>
        <v>9783662586556</v>
      </c>
      <c r="F11122" s="2" t="str">
        <f>"9783662586563"</f>
        <v>9783662586563</v>
      </c>
    </row>
    <row r="11123" spans="1:6" s="3" customFormat="1" ht="29.1" customHeight="1" x14ac:dyDescent="0.25">
      <c r="A11123" s="2" t="s">
        <v>22707</v>
      </c>
      <c r="B11123" s="2" t="s">
        <v>22708</v>
      </c>
      <c r="C11123" s="2" t="s">
        <v>5</v>
      </c>
      <c r="D11123" s="2" t="s">
        <v>183</v>
      </c>
      <c r="E11123" s="2" t="str">
        <f>"9783658249656"</f>
        <v>9783658249656</v>
      </c>
      <c r="F11123" s="2" t="str">
        <f>"9783658249663"</f>
        <v>9783658249663</v>
      </c>
    </row>
    <row r="11124" spans="1:6" s="3" customFormat="1" ht="29.1" customHeight="1" x14ac:dyDescent="0.25">
      <c r="A11124" s="2" t="s">
        <v>22709</v>
      </c>
      <c r="B11124" s="2" t="s">
        <v>22710</v>
      </c>
      <c r="C11124" s="2" t="s">
        <v>5</v>
      </c>
      <c r="D11124" s="2" t="s">
        <v>98</v>
      </c>
      <c r="E11124" s="2" t="str">
        <f>"9783030562816"</f>
        <v>9783030562816</v>
      </c>
      <c r="F11124" s="2" t="str">
        <f>"9783030562823"</f>
        <v>9783030562823</v>
      </c>
    </row>
    <row r="11125" spans="1:6" s="3" customFormat="1" ht="29.1" customHeight="1" x14ac:dyDescent="0.25">
      <c r="A11125" s="2" t="s">
        <v>22711</v>
      </c>
      <c r="B11125" s="2" t="s">
        <v>22712</v>
      </c>
      <c r="C11125" s="2" t="s">
        <v>5</v>
      </c>
      <c r="D11125" s="2" t="s">
        <v>636</v>
      </c>
      <c r="E11125" s="2" t="str">
        <f>"9783662625613"</f>
        <v>9783662625613</v>
      </c>
      <c r="F11125" s="2" t="str">
        <f>"9783662625620"</f>
        <v>9783662625620</v>
      </c>
    </row>
    <row r="11126" spans="1:6" s="3" customFormat="1" ht="29.1" customHeight="1" x14ac:dyDescent="0.25">
      <c r="A11126" s="2" t="s">
        <v>22713</v>
      </c>
      <c r="B11126" s="2" t="s">
        <v>22714</v>
      </c>
      <c r="C11126" s="2" t="s">
        <v>5</v>
      </c>
      <c r="D11126" s="2" t="s">
        <v>3817</v>
      </c>
      <c r="E11126" s="2" t="str">
        <f>"9783030104269"</f>
        <v>9783030104269</v>
      </c>
      <c r="F11126" s="2" t="str">
        <f>"9783030104276"</f>
        <v>9783030104276</v>
      </c>
    </row>
    <row r="11127" spans="1:6" s="3" customFormat="1" ht="29.1" customHeight="1" x14ac:dyDescent="0.25">
      <c r="A11127" s="2" t="s">
        <v>22715</v>
      </c>
      <c r="B11127" s="2" t="s">
        <v>22716</v>
      </c>
      <c r="C11127" s="2" t="s">
        <v>5</v>
      </c>
      <c r="D11127" s="2" t="s">
        <v>1867</v>
      </c>
      <c r="E11127" s="2" t="str">
        <f>"9789811337857"</f>
        <v>9789811337857</v>
      </c>
      <c r="F11127" s="2" t="str">
        <f>"9789811337864"</f>
        <v>9789811337864</v>
      </c>
    </row>
    <row r="11128" spans="1:6" s="3" customFormat="1" ht="29.1" customHeight="1" x14ac:dyDescent="0.25">
      <c r="A11128" s="2" t="s">
        <v>22717</v>
      </c>
      <c r="B11128" s="2" t="s">
        <v>22718</v>
      </c>
      <c r="C11128" s="2" t="s">
        <v>5</v>
      </c>
      <c r="D11128" s="2" t="s">
        <v>509</v>
      </c>
      <c r="E11128" s="2" t="str">
        <f>"9783030921392"</f>
        <v>9783030921392</v>
      </c>
      <c r="F11128" s="2" t="str">
        <f>"9783030921408"</f>
        <v>9783030921408</v>
      </c>
    </row>
    <row r="11129" spans="1:6" s="3" customFormat="1" ht="29.1" customHeight="1" x14ac:dyDescent="0.25">
      <c r="A11129" s="2" t="s">
        <v>22719</v>
      </c>
      <c r="B11129" s="2" t="s">
        <v>22720</v>
      </c>
      <c r="C11129" s="2" t="s">
        <v>5</v>
      </c>
      <c r="D11129" s="2" t="s">
        <v>218</v>
      </c>
      <c r="E11129" s="2" t="str">
        <f>"9783030698812"</f>
        <v>9783030698812</v>
      </c>
      <c r="F11129" s="2" t="str">
        <f>"9783030698829"</f>
        <v>9783030698829</v>
      </c>
    </row>
    <row r="11130" spans="1:6" s="3" customFormat="1" ht="29.1" customHeight="1" x14ac:dyDescent="0.25">
      <c r="A11130" s="2" t="s">
        <v>22721</v>
      </c>
      <c r="B11130" s="2" t="s">
        <v>22722</v>
      </c>
      <c r="C11130" s="2" t="s">
        <v>5</v>
      </c>
      <c r="D11130" s="2" t="s">
        <v>3817</v>
      </c>
      <c r="E11130" s="2" t="str">
        <f>"9783030058425"</f>
        <v>9783030058425</v>
      </c>
      <c r="F11130" s="2" t="str">
        <f>"9783030058432"</f>
        <v>9783030058432</v>
      </c>
    </row>
    <row r="11131" spans="1:6" s="3" customFormat="1" ht="29.1" customHeight="1" x14ac:dyDescent="0.25">
      <c r="A11131" s="2" t="s">
        <v>22723</v>
      </c>
      <c r="B11131" s="2" t="s">
        <v>22724</v>
      </c>
      <c r="C11131" s="2" t="s">
        <v>5</v>
      </c>
      <c r="D11131" s="2" t="s">
        <v>2713</v>
      </c>
      <c r="E11131" s="2" t="str">
        <f>"9783030050283"</f>
        <v>9783030050283</v>
      </c>
      <c r="F11131" s="2" t="str">
        <f>"9783030050290"</f>
        <v>9783030050290</v>
      </c>
    </row>
    <row r="11132" spans="1:6" s="3" customFormat="1" ht="29.1" customHeight="1" x14ac:dyDescent="0.25">
      <c r="A11132" s="2" t="s">
        <v>22725</v>
      </c>
      <c r="B11132" s="2" t="s">
        <v>22726</v>
      </c>
      <c r="C11132" s="2" t="s">
        <v>5</v>
      </c>
      <c r="D11132" s="2" t="s">
        <v>689</v>
      </c>
      <c r="E11132" s="2" t="str">
        <f>"9783030047221"</f>
        <v>9783030047221</v>
      </c>
      <c r="F11132" s="2" t="str">
        <f>"9783030047238"</f>
        <v>9783030047238</v>
      </c>
    </row>
    <row r="11133" spans="1:6" s="3" customFormat="1" ht="29.1" customHeight="1" x14ac:dyDescent="0.25">
      <c r="A11133" s="2" t="s">
        <v>22727</v>
      </c>
      <c r="B11133" s="2" t="s">
        <v>22728</v>
      </c>
      <c r="C11133" s="2" t="s">
        <v>5</v>
      </c>
      <c r="D11133" s="2" t="s">
        <v>249</v>
      </c>
      <c r="E11133" s="2" t="str">
        <f>"9783658243739"</f>
        <v>9783658243739</v>
      </c>
      <c r="F11133" s="2" t="str">
        <f>"9783658243746"</f>
        <v>9783658243746</v>
      </c>
    </row>
    <row r="11134" spans="1:6" s="3" customFormat="1" ht="29.1" customHeight="1" x14ac:dyDescent="0.25">
      <c r="A11134" s="2" t="s">
        <v>22729</v>
      </c>
      <c r="B11134" s="2" t="s">
        <v>22730</v>
      </c>
      <c r="C11134" s="2" t="s">
        <v>5</v>
      </c>
      <c r="D11134" s="2" t="s">
        <v>4190</v>
      </c>
      <c r="E11134" s="2" t="str">
        <f>"9783030041182"</f>
        <v>9783030041182</v>
      </c>
      <c r="F11134" s="2" t="str">
        <f>"9783030041199"</f>
        <v>9783030041199</v>
      </c>
    </row>
    <row r="11135" spans="1:6" s="3" customFormat="1" ht="29.1" customHeight="1" x14ac:dyDescent="0.25">
      <c r="A11135" s="2" t="s">
        <v>22731</v>
      </c>
      <c r="B11135" s="2" t="s">
        <v>22732</v>
      </c>
      <c r="C11135" s="2" t="s">
        <v>5</v>
      </c>
      <c r="D11135" s="2" t="s">
        <v>694</v>
      </c>
      <c r="E11135" s="2" t="str">
        <f>"9783030039455"</f>
        <v>9783030039455</v>
      </c>
      <c r="F11135" s="2" t="str">
        <f>"9783030039462"</f>
        <v>9783030039462</v>
      </c>
    </row>
    <row r="11136" spans="1:6" s="3" customFormat="1" ht="29.1" customHeight="1" x14ac:dyDescent="0.25">
      <c r="A11136" s="2" t="s">
        <v>22733</v>
      </c>
      <c r="B11136" s="2" t="s">
        <v>22734</v>
      </c>
      <c r="C11136" s="2" t="s">
        <v>5</v>
      </c>
      <c r="D11136" s="2" t="s">
        <v>547</v>
      </c>
      <c r="E11136" s="2" t="str">
        <f>"9783030033071"</f>
        <v>9783030033071</v>
      </c>
      <c r="F11136" s="2" t="str">
        <f>"9783030033088"</f>
        <v>9783030033088</v>
      </c>
    </row>
    <row r="11137" spans="1:6" s="3" customFormat="1" ht="29.1" customHeight="1" x14ac:dyDescent="0.25">
      <c r="A11137" s="2" t="s">
        <v>22735</v>
      </c>
      <c r="B11137" s="2" t="s">
        <v>22737</v>
      </c>
      <c r="C11137" s="2" t="s">
        <v>5</v>
      </c>
      <c r="D11137" s="2" t="s">
        <v>22736</v>
      </c>
      <c r="E11137" s="2" t="str">
        <f>"9783030031428"</f>
        <v>9783030031428</v>
      </c>
      <c r="F11137" s="2" t="str">
        <f>"9783030031435"</f>
        <v>9783030031435</v>
      </c>
    </row>
    <row r="11138" spans="1:6" s="3" customFormat="1" ht="29.1" customHeight="1" x14ac:dyDescent="0.25">
      <c r="A11138" s="2" t="s">
        <v>22738</v>
      </c>
      <c r="B11138" s="2" t="s">
        <v>22739</v>
      </c>
      <c r="C11138" s="2" t="s">
        <v>5</v>
      </c>
      <c r="D11138" s="2" t="s">
        <v>113</v>
      </c>
      <c r="E11138" s="2" t="str">
        <f>"9783030031480"</f>
        <v>9783030031480</v>
      </c>
      <c r="F11138" s="2" t="str">
        <f>"9783030031497"</f>
        <v>9783030031497</v>
      </c>
    </row>
    <row r="11139" spans="1:6" s="3" customFormat="1" ht="29.1" customHeight="1" x14ac:dyDescent="0.25">
      <c r="A11139" s="2" t="s">
        <v>22740</v>
      </c>
      <c r="B11139" s="2" t="s">
        <v>22741</v>
      </c>
      <c r="C11139" s="2" t="s">
        <v>5</v>
      </c>
      <c r="D11139" s="2" t="s">
        <v>302</v>
      </c>
      <c r="E11139" s="2" t="str">
        <f>"9783030031510"</f>
        <v>9783030031510</v>
      </c>
      <c r="F11139" s="2" t="str">
        <f>"9783030031527"</f>
        <v>9783030031527</v>
      </c>
    </row>
    <row r="11140" spans="1:6" s="3" customFormat="1" ht="29.1" customHeight="1" x14ac:dyDescent="0.25">
      <c r="A11140" s="2" t="s">
        <v>22742</v>
      </c>
      <c r="B11140" s="2" t="s">
        <v>22743</v>
      </c>
      <c r="C11140" s="2" t="s">
        <v>5</v>
      </c>
      <c r="D11140" s="2" t="s">
        <v>712</v>
      </c>
      <c r="E11140" s="2" t="str">
        <f>"9783030024802"</f>
        <v>9783030024802</v>
      </c>
      <c r="F11140" s="2" t="str">
        <f>"9783030024819"</f>
        <v>9783030024819</v>
      </c>
    </row>
    <row r="11141" spans="1:6" s="3" customFormat="1" ht="29.1" customHeight="1" x14ac:dyDescent="0.25">
      <c r="A11141" s="2" t="s">
        <v>22744</v>
      </c>
      <c r="B11141" s="2" t="s">
        <v>22745</v>
      </c>
      <c r="C11141" s="2" t="s">
        <v>5</v>
      </c>
      <c r="D11141" s="2" t="s">
        <v>8338</v>
      </c>
      <c r="E11141" s="2" t="str">
        <f>"9783030022020"</f>
        <v>9783030022020</v>
      </c>
      <c r="F11141" s="2" t="str">
        <f>"9783030022037"</f>
        <v>9783030022037</v>
      </c>
    </row>
    <row r="11142" spans="1:6" s="3" customFormat="1" ht="29.1" customHeight="1" x14ac:dyDescent="0.25">
      <c r="A11142" s="2" t="s">
        <v>22746</v>
      </c>
      <c r="B11142" s="2" t="s">
        <v>22747</v>
      </c>
      <c r="C11142" s="2" t="s">
        <v>5</v>
      </c>
      <c r="D11142" s="2" t="s">
        <v>479</v>
      </c>
      <c r="E11142" s="2" t="str">
        <f>"9783030019525"</f>
        <v>9783030019525</v>
      </c>
      <c r="F11142" s="2" t="str">
        <f>"9783030019532"</f>
        <v>9783030019532</v>
      </c>
    </row>
    <row r="11143" spans="1:6" s="3" customFormat="1" ht="29.1" customHeight="1" x14ac:dyDescent="0.25">
      <c r="A11143" s="2" t="s">
        <v>22748</v>
      </c>
      <c r="B11143" s="2" t="s">
        <v>22749</v>
      </c>
      <c r="C11143" s="2" t="s">
        <v>5</v>
      </c>
      <c r="D11143" s="2" t="s">
        <v>3963</v>
      </c>
      <c r="E11143" s="2" t="str">
        <f>"9789462652729"</f>
        <v>9789462652729</v>
      </c>
      <c r="F11143" s="2" t="str">
        <f>"9789462652736"</f>
        <v>9789462652736</v>
      </c>
    </row>
    <row r="11144" spans="1:6" s="3" customFormat="1" ht="29.1" customHeight="1" x14ac:dyDescent="0.25">
      <c r="A11144" s="2" t="s">
        <v>22750</v>
      </c>
      <c r="B11144" s="2" t="s">
        <v>22751</v>
      </c>
      <c r="C11144" s="2" t="s">
        <v>5</v>
      </c>
      <c r="D11144" s="2" t="s">
        <v>98</v>
      </c>
      <c r="E11144" s="2" t="str">
        <f>"9783030015312"</f>
        <v>9783030015312</v>
      </c>
      <c r="F11144" s="2" t="str">
        <f>"9783030015329"</f>
        <v>9783030015329</v>
      </c>
    </row>
    <row r="11145" spans="1:6" s="3" customFormat="1" ht="29.1" customHeight="1" x14ac:dyDescent="0.25">
      <c r="A11145" s="2" t="s">
        <v>22752</v>
      </c>
      <c r="B11145" s="2" t="s">
        <v>22753</v>
      </c>
      <c r="C11145" s="2" t="s">
        <v>5</v>
      </c>
      <c r="D11145" s="2" t="s">
        <v>712</v>
      </c>
      <c r="E11145" s="2" t="str">
        <f>"9783030012939"</f>
        <v>9783030012939</v>
      </c>
      <c r="F11145" s="2" t="str">
        <f>"9783030012946"</f>
        <v>9783030012946</v>
      </c>
    </row>
    <row r="11146" spans="1:6" s="3" customFormat="1" ht="29.1" customHeight="1" x14ac:dyDescent="0.25">
      <c r="A11146" s="2" t="s">
        <v>22754</v>
      </c>
      <c r="B11146" s="2" t="s">
        <v>22755</v>
      </c>
      <c r="C11146" s="2" t="s">
        <v>5</v>
      </c>
      <c r="D11146" s="2" t="s">
        <v>606</v>
      </c>
      <c r="E11146" s="2" t="str">
        <f>"9789811640780"</f>
        <v>9789811640780</v>
      </c>
      <c r="F11146" s="2" t="str">
        <f>"9789811640797"</f>
        <v>9789811640797</v>
      </c>
    </row>
    <row r="11147" spans="1:6" s="3" customFormat="1" ht="29.1" customHeight="1" x14ac:dyDescent="0.25">
      <c r="A11147" s="2" t="s">
        <v>22756</v>
      </c>
      <c r="B11147" s="2" t="s">
        <v>22757</v>
      </c>
      <c r="C11147" s="2" t="s">
        <v>5</v>
      </c>
      <c r="D11147" s="2" t="s">
        <v>724</v>
      </c>
      <c r="E11147" s="2" t="str">
        <f>"9789811326936"</f>
        <v>9789811326936</v>
      </c>
      <c r="F11147" s="2" t="str">
        <f>"9789811326943"</f>
        <v>9789811326943</v>
      </c>
    </row>
    <row r="11148" spans="1:6" s="3" customFormat="1" ht="29.1" customHeight="1" x14ac:dyDescent="0.25">
      <c r="A11148" s="2" t="s">
        <v>22758</v>
      </c>
      <c r="B11148" s="2" t="s">
        <v>22759</v>
      </c>
      <c r="C11148" s="2" t="s">
        <v>5</v>
      </c>
      <c r="D11148" s="2" t="s">
        <v>186</v>
      </c>
      <c r="E11148" s="2" t="str">
        <f>"9783658304126"</f>
        <v>9783658304126</v>
      </c>
      <c r="F11148" s="2" t="str">
        <f>"9783658304133"</f>
        <v>9783658304133</v>
      </c>
    </row>
    <row r="11149" spans="1:6" s="3" customFormat="1" ht="29.1" customHeight="1" x14ac:dyDescent="0.25">
      <c r="A11149" s="2" t="s">
        <v>22760</v>
      </c>
      <c r="B11149" s="2" t="s">
        <v>22761</v>
      </c>
      <c r="C11149" s="2" t="s">
        <v>5</v>
      </c>
      <c r="D11149" s="2" t="s">
        <v>4783</v>
      </c>
      <c r="E11149" s="2" t="str">
        <f>"9783658235338"</f>
        <v>9783658235338</v>
      </c>
      <c r="F11149" s="2" t="str">
        <f>"9783658235345"</f>
        <v>9783658235345</v>
      </c>
    </row>
    <row r="11150" spans="1:6" s="3" customFormat="1" ht="29.1" customHeight="1" x14ac:dyDescent="0.25">
      <c r="A11150" s="2" t="s">
        <v>22762</v>
      </c>
      <c r="B11150" s="2" t="s">
        <v>22763</v>
      </c>
      <c r="C11150" s="2" t="s">
        <v>5</v>
      </c>
      <c r="D11150" s="2" t="s">
        <v>727</v>
      </c>
      <c r="E11150" s="2" t="str">
        <f>"9783658403454"</f>
        <v>9783658403454</v>
      </c>
      <c r="F11150" s="2" t="str">
        <f>"9783658403461"</f>
        <v>9783658403461</v>
      </c>
    </row>
    <row r="11151" spans="1:6" s="3" customFormat="1" ht="29.1" customHeight="1" x14ac:dyDescent="0.25">
      <c r="A11151" s="2" t="s">
        <v>22764</v>
      </c>
      <c r="B11151" s="2" t="s">
        <v>22765</v>
      </c>
      <c r="C11151" s="2" t="s">
        <v>5</v>
      </c>
      <c r="D11151" s="2" t="s">
        <v>694</v>
      </c>
      <c r="E11151" s="2" t="str">
        <f>"9783658388560"</f>
        <v>9783658388560</v>
      </c>
      <c r="F11151" s="2" t="str">
        <f>"9783658388577"</f>
        <v>9783658388577</v>
      </c>
    </row>
    <row r="11152" spans="1:6" s="3" customFormat="1" ht="29.1" customHeight="1" x14ac:dyDescent="0.25">
      <c r="A11152" s="2" t="s">
        <v>22766</v>
      </c>
      <c r="B11152" s="2" t="s">
        <v>22767</v>
      </c>
      <c r="C11152" s="2" t="s">
        <v>5</v>
      </c>
      <c r="D11152" s="2" t="s">
        <v>894</v>
      </c>
      <c r="E11152" s="2" t="str">
        <f>"9783658291662"</f>
        <v>9783658291662</v>
      </c>
      <c r="F11152" s="2" t="str">
        <f>"9783658291679"</f>
        <v>9783658291679</v>
      </c>
    </row>
    <row r="11153" spans="1:6" s="3" customFormat="1" ht="29.1" customHeight="1" x14ac:dyDescent="0.25">
      <c r="A11153" s="2" t="s">
        <v>22768</v>
      </c>
      <c r="B11153" s="2" t="s">
        <v>22769</v>
      </c>
      <c r="C11153" s="2" t="s">
        <v>5</v>
      </c>
      <c r="D11153" s="2" t="s">
        <v>98</v>
      </c>
      <c r="E11153" s="2" t="str">
        <f>"9783658331382"</f>
        <v>9783658331382</v>
      </c>
      <c r="F11153" s="2" t="str">
        <f>"9783658331399"</f>
        <v>9783658331399</v>
      </c>
    </row>
    <row r="11154" spans="1:6" s="3" customFormat="1" ht="29.1" customHeight="1" x14ac:dyDescent="0.25">
      <c r="A11154" s="2" t="s">
        <v>22770</v>
      </c>
      <c r="B11154" s="2" t="s">
        <v>22771</v>
      </c>
      <c r="C11154" s="2" t="s">
        <v>5</v>
      </c>
      <c r="D11154" s="2" t="s">
        <v>9317</v>
      </c>
      <c r="E11154" s="2" t="str">
        <f>"9783030008123"</f>
        <v>9783030008123</v>
      </c>
      <c r="F11154" s="2" t="str">
        <f>"9783030008130"</f>
        <v>9783030008130</v>
      </c>
    </row>
    <row r="11155" spans="1:6" s="3" customFormat="1" ht="29.1" customHeight="1" x14ac:dyDescent="0.25">
      <c r="A11155" s="2" t="s">
        <v>22772</v>
      </c>
      <c r="B11155" s="2" t="s">
        <v>22773</v>
      </c>
      <c r="C11155" s="2" t="s">
        <v>5</v>
      </c>
      <c r="D11155" s="2" t="s">
        <v>674</v>
      </c>
      <c r="E11155" s="2" t="str">
        <f>"9783030007270"</f>
        <v>9783030007270</v>
      </c>
      <c r="F11155" s="2" t="str">
        <f>"9783030007287"</f>
        <v>9783030007287</v>
      </c>
    </row>
    <row r="11156" spans="1:6" s="3" customFormat="1" ht="29.1" customHeight="1" x14ac:dyDescent="0.25">
      <c r="A11156" s="2" t="s">
        <v>22774</v>
      </c>
      <c r="B11156" s="2" t="s">
        <v>22775</v>
      </c>
      <c r="C11156" s="2" t="s">
        <v>5</v>
      </c>
      <c r="D11156" s="2" t="s">
        <v>297</v>
      </c>
      <c r="E11156" s="2" t="str">
        <f>"9783030005771"</f>
        <v>9783030005771</v>
      </c>
      <c r="F11156" s="2" t="str">
        <f>"9783030005788"</f>
        <v>9783030005788</v>
      </c>
    </row>
    <row r="11157" spans="1:6" s="3" customFormat="1" ht="29.1" customHeight="1" x14ac:dyDescent="0.25">
      <c r="A11157" s="2" t="s">
        <v>22776</v>
      </c>
      <c r="B11157" s="2" t="s">
        <v>22777</v>
      </c>
      <c r="C11157" s="2" t="s">
        <v>5</v>
      </c>
      <c r="D11157" s="2" t="s">
        <v>674</v>
      </c>
      <c r="E11157" s="2" t="str">
        <f>"9783030002671"</f>
        <v>9783030002671</v>
      </c>
      <c r="F11157" s="2" t="str">
        <f>"9783030002688"</f>
        <v>9783030002688</v>
      </c>
    </row>
    <row r="11158" spans="1:6" s="3" customFormat="1" ht="29.1" customHeight="1" x14ac:dyDescent="0.25">
      <c r="A11158" s="2" t="s">
        <v>22778</v>
      </c>
      <c r="B11158" s="2" t="s">
        <v>22779</v>
      </c>
      <c r="C11158" s="2" t="s">
        <v>5</v>
      </c>
      <c r="D11158" s="2" t="s">
        <v>813</v>
      </c>
      <c r="E11158" s="2" t="str">
        <f>"9789811324468"</f>
        <v>9789811324468</v>
      </c>
      <c r="F11158" s="2" t="str">
        <f>"9789811324475"</f>
        <v>9789811324475</v>
      </c>
    </row>
    <row r="11159" spans="1:6" s="3" customFormat="1" ht="29.1" customHeight="1" x14ac:dyDescent="0.25">
      <c r="A11159" s="2" t="s">
        <v>22780</v>
      </c>
      <c r="B11159" s="2" t="s">
        <v>22781</v>
      </c>
      <c r="C11159" s="2" t="s">
        <v>5</v>
      </c>
      <c r="D11159" s="2" t="s">
        <v>24</v>
      </c>
      <c r="E11159" s="2" t="str">
        <f>"9783030964535"</f>
        <v>9783030964535</v>
      </c>
      <c r="F11159" s="2" t="str">
        <f>"9783030964542"</f>
        <v>9783030964542</v>
      </c>
    </row>
    <row r="11160" spans="1:6" s="3" customFormat="1" ht="29.1" customHeight="1" x14ac:dyDescent="0.25">
      <c r="A11160" s="2" t="s">
        <v>22782</v>
      </c>
      <c r="B11160" s="2" t="s">
        <v>22783</v>
      </c>
      <c r="C11160" s="2" t="s">
        <v>5</v>
      </c>
      <c r="D11160" s="2" t="s">
        <v>4783</v>
      </c>
      <c r="E11160" s="2" t="str">
        <f>"9783030001445"</f>
        <v>9783030001445</v>
      </c>
      <c r="F11160" s="2" t="str">
        <f>"9783030001452"</f>
        <v>9783030001452</v>
      </c>
    </row>
    <row r="11161" spans="1:6" s="3" customFormat="1" ht="29.1" customHeight="1" x14ac:dyDescent="0.25">
      <c r="A11161" s="2" t="s">
        <v>22784</v>
      </c>
      <c r="B11161" s="2" t="s">
        <v>22785</v>
      </c>
      <c r="C11161" s="2" t="s">
        <v>5</v>
      </c>
      <c r="D11161" s="2" t="s">
        <v>11063</v>
      </c>
      <c r="E11161" s="2" t="str">
        <f>"9789811322815"</f>
        <v>9789811322815</v>
      </c>
      <c r="F11161" s="2" t="str">
        <f>"9789811322822"</f>
        <v>9789811322822</v>
      </c>
    </row>
    <row r="11162" spans="1:6" s="3" customFormat="1" ht="29.1" customHeight="1" x14ac:dyDescent="0.25">
      <c r="A11162" s="2" t="s">
        <v>22786</v>
      </c>
      <c r="B11162" s="2" t="s">
        <v>22787</v>
      </c>
      <c r="C11162" s="2" t="s">
        <v>5</v>
      </c>
      <c r="D11162" s="2" t="s">
        <v>81</v>
      </c>
      <c r="E11162" s="2" t="str">
        <f>"9783658396633"</f>
        <v>9783658396633</v>
      </c>
      <c r="F11162" s="2" t="str">
        <f>"9783658396640"</f>
        <v>9783658396640</v>
      </c>
    </row>
    <row r="11163" spans="1:6" s="3" customFormat="1" ht="29.1" customHeight="1" x14ac:dyDescent="0.25">
      <c r="A11163" s="2" t="s">
        <v>22788</v>
      </c>
      <c r="B11163" s="2" t="s">
        <v>22789</v>
      </c>
      <c r="C11163" s="2" t="s">
        <v>5</v>
      </c>
      <c r="D11163" s="2" t="s">
        <v>81</v>
      </c>
      <c r="E11163" s="2" t="str">
        <f>"9783658307967"</f>
        <v>9783658307967</v>
      </c>
      <c r="F11163" s="2" t="str">
        <f>"9783658307974"</f>
        <v>9783658307974</v>
      </c>
    </row>
    <row r="11164" spans="1:6" s="3" customFormat="1" ht="29.1" customHeight="1" x14ac:dyDescent="0.25">
      <c r="A11164" s="2" t="s">
        <v>22790</v>
      </c>
      <c r="B11164" s="2" t="s">
        <v>22791</v>
      </c>
      <c r="C11164" s="2" t="s">
        <v>5</v>
      </c>
      <c r="D11164" s="2" t="s">
        <v>81</v>
      </c>
      <c r="E11164" s="2" t="str">
        <f>"9783658299927"</f>
        <v>9783658299927</v>
      </c>
      <c r="F11164" s="2" t="str">
        <f>"9783658299934"</f>
        <v>9783658299934</v>
      </c>
    </row>
    <row r="11165" spans="1:6" s="3" customFormat="1" ht="29.1" customHeight="1" x14ac:dyDescent="0.25">
      <c r="A11165" s="2" t="s">
        <v>22792</v>
      </c>
      <c r="B11165" s="2" t="s">
        <v>22793</v>
      </c>
      <c r="C11165" s="2" t="s">
        <v>5</v>
      </c>
      <c r="D11165" s="2" t="s">
        <v>1895</v>
      </c>
      <c r="E11165" s="2" t="str">
        <f>"9783319991054"</f>
        <v>9783319991054</v>
      </c>
      <c r="F11165" s="2" t="str">
        <f>"9783319991061"</f>
        <v>9783319991061</v>
      </c>
    </row>
    <row r="11166" spans="1:6" s="3" customFormat="1" ht="29.1" customHeight="1" x14ac:dyDescent="0.25">
      <c r="A11166" s="2" t="s">
        <v>22794</v>
      </c>
      <c r="B11166" s="2" t="s">
        <v>22795</v>
      </c>
      <c r="C11166" s="2" t="s">
        <v>5</v>
      </c>
      <c r="D11166" s="2" t="s">
        <v>89</v>
      </c>
      <c r="E11166" s="2" t="str">
        <f>"9783319990965"</f>
        <v>9783319990965</v>
      </c>
      <c r="F11166" s="2" t="str">
        <f>"9783319990972"</f>
        <v>9783319990972</v>
      </c>
    </row>
    <row r="11167" spans="1:6" s="3" customFormat="1" ht="29.1" customHeight="1" x14ac:dyDescent="0.25">
      <c r="A11167" s="2" t="s">
        <v>22796</v>
      </c>
      <c r="B11167" s="2" t="s">
        <v>22797</v>
      </c>
      <c r="C11167" s="2" t="s">
        <v>5</v>
      </c>
      <c r="D11167" s="2" t="s">
        <v>1471</v>
      </c>
      <c r="E11167" s="2" t="str">
        <f>"9789811321634"</f>
        <v>9789811321634</v>
      </c>
      <c r="F11167" s="2" t="str">
        <f>"9789811321641"</f>
        <v>9789811321641</v>
      </c>
    </row>
    <row r="11168" spans="1:6" s="3" customFormat="1" ht="29.1" customHeight="1" x14ac:dyDescent="0.25">
      <c r="A11168" s="2" t="s">
        <v>22798</v>
      </c>
      <c r="B11168" s="2" t="s">
        <v>10438</v>
      </c>
      <c r="C11168" s="2" t="s">
        <v>5</v>
      </c>
      <c r="D11168" s="2" t="s">
        <v>2404</v>
      </c>
      <c r="E11168" s="2" t="str">
        <f>"9783319972015"</f>
        <v>9783319972015</v>
      </c>
      <c r="F11168" s="2" t="str">
        <f>"9783319972022"</f>
        <v>9783319972022</v>
      </c>
    </row>
    <row r="11169" spans="1:6" s="3" customFormat="1" ht="29.1" customHeight="1" x14ac:dyDescent="0.25">
      <c r="A11169" s="2" t="s">
        <v>22799</v>
      </c>
      <c r="B11169" s="2" t="s">
        <v>22800</v>
      </c>
      <c r="C11169" s="2" t="s">
        <v>5</v>
      </c>
      <c r="D11169" s="2" t="s">
        <v>192</v>
      </c>
      <c r="E11169" s="2" t="str">
        <f>"9783030774509"</f>
        <v>9783030774509</v>
      </c>
      <c r="F11169" s="2" t="str">
        <f>"9783030774516"</f>
        <v>9783030774516</v>
      </c>
    </row>
    <row r="11170" spans="1:6" s="3" customFormat="1" ht="29.1" customHeight="1" x14ac:dyDescent="0.25">
      <c r="A11170" s="2" t="s">
        <v>22801</v>
      </c>
      <c r="B11170" s="2" t="s">
        <v>22802</v>
      </c>
      <c r="C11170" s="2" t="s">
        <v>5</v>
      </c>
      <c r="D11170" s="2" t="s">
        <v>547</v>
      </c>
      <c r="E11170" s="2" t="str">
        <f>"9783319967752"</f>
        <v>9783319967752</v>
      </c>
      <c r="F11170" s="2" t="str">
        <f>"9783319967769"</f>
        <v>9783319967769</v>
      </c>
    </row>
    <row r="11171" spans="1:6" s="3" customFormat="1" ht="29.1" customHeight="1" x14ac:dyDescent="0.25">
      <c r="A11171" s="2" t="s">
        <v>22803</v>
      </c>
      <c r="B11171" s="2" t="s">
        <v>22804</v>
      </c>
      <c r="C11171" s="2" t="s">
        <v>5</v>
      </c>
      <c r="D11171" s="2" t="s">
        <v>1109</v>
      </c>
      <c r="E11171" s="2" t="str">
        <f>"9783030926113"</f>
        <v>9783030926113</v>
      </c>
      <c r="F11171" s="2" t="str">
        <f>"9783030926120"</f>
        <v>9783030926120</v>
      </c>
    </row>
    <row r="11172" spans="1:6" s="3" customFormat="1" ht="29.1" customHeight="1" x14ac:dyDescent="0.25">
      <c r="A11172" s="2" t="s">
        <v>22805</v>
      </c>
      <c r="B11172" s="2" t="s">
        <v>22806</v>
      </c>
      <c r="C11172" s="2" t="s">
        <v>5</v>
      </c>
      <c r="D11172" s="2" t="s">
        <v>479</v>
      </c>
      <c r="E11172" s="2" t="str">
        <f>"9783319961897"</f>
        <v>9783319961897</v>
      </c>
      <c r="F11172" s="2" t="str">
        <f>"9783319961903"</f>
        <v>9783319961903</v>
      </c>
    </row>
    <row r="11173" spans="1:6" s="3" customFormat="1" ht="29.1" customHeight="1" x14ac:dyDescent="0.25">
      <c r="A11173" s="2" t="s">
        <v>22807</v>
      </c>
      <c r="B11173" s="2" t="s">
        <v>22808</v>
      </c>
      <c r="C11173" s="2" t="s">
        <v>5</v>
      </c>
      <c r="D11173" s="2" t="s">
        <v>694</v>
      </c>
      <c r="E11173" s="2" t="str">
        <f>"9789811315367"</f>
        <v>9789811315367</v>
      </c>
      <c r="F11173" s="2" t="str">
        <f>"9789811315374"</f>
        <v>9789811315374</v>
      </c>
    </row>
    <row r="11174" spans="1:6" s="3" customFormat="1" ht="29.1" customHeight="1" x14ac:dyDescent="0.25">
      <c r="A11174" s="2" t="s">
        <v>22809</v>
      </c>
      <c r="B11174" s="2" t="s">
        <v>22810</v>
      </c>
      <c r="C11174" s="2" t="s">
        <v>5</v>
      </c>
      <c r="D11174" s="2" t="s">
        <v>2877</v>
      </c>
      <c r="E11174" s="2" t="str">
        <f>"9783319953922"</f>
        <v>9783319953922</v>
      </c>
      <c r="F11174" s="2" t="str">
        <f>"9783319953939"</f>
        <v>9783319953939</v>
      </c>
    </row>
    <row r="11175" spans="1:6" s="3" customFormat="1" ht="29.1" customHeight="1" x14ac:dyDescent="0.25">
      <c r="A11175" s="2" t="s">
        <v>22811</v>
      </c>
      <c r="B11175" s="2" t="s">
        <v>22812</v>
      </c>
      <c r="C11175" s="2" t="s">
        <v>5</v>
      </c>
      <c r="D11175" s="2" t="s">
        <v>98</v>
      </c>
      <c r="E11175" s="2" t="str">
        <f>"9783319952604"</f>
        <v>9783319952604</v>
      </c>
      <c r="F11175" s="2" t="str">
        <f>"9783319952611"</f>
        <v>9783319952611</v>
      </c>
    </row>
    <row r="11176" spans="1:6" s="3" customFormat="1" ht="29.1" customHeight="1" x14ac:dyDescent="0.25">
      <c r="A11176" s="2" t="s">
        <v>22813</v>
      </c>
      <c r="B11176" s="2" t="s">
        <v>22814</v>
      </c>
      <c r="C11176" s="2" t="s">
        <v>5</v>
      </c>
      <c r="D11176" s="2" t="s">
        <v>1840</v>
      </c>
      <c r="E11176" s="2" t="str">
        <f>"9783658226978"</f>
        <v>9783658226978</v>
      </c>
      <c r="F11176" s="2" t="str">
        <f>"9783658226985"</f>
        <v>9783658226985</v>
      </c>
    </row>
    <row r="11177" spans="1:6" s="3" customFormat="1" ht="29.1" customHeight="1" x14ac:dyDescent="0.25">
      <c r="A11177" s="2" t="s">
        <v>22815</v>
      </c>
      <c r="B11177" s="2" t="s">
        <v>22816</v>
      </c>
      <c r="C11177" s="2" t="s">
        <v>5</v>
      </c>
      <c r="D11177" s="2" t="s">
        <v>5758</v>
      </c>
      <c r="E11177" s="2" t="str">
        <f>"9789811955907"</f>
        <v>9789811955907</v>
      </c>
      <c r="F11177" s="2" t="str">
        <f>"9789811955914"</f>
        <v>9789811955914</v>
      </c>
    </row>
    <row r="11178" spans="1:6" s="3" customFormat="1" ht="29.1" customHeight="1" x14ac:dyDescent="0.25">
      <c r="A11178" s="2" t="s">
        <v>22817</v>
      </c>
      <c r="B11178" s="2" t="s">
        <v>22818</v>
      </c>
      <c r="C11178" s="2" t="s">
        <v>5</v>
      </c>
      <c r="D11178" s="2" t="s">
        <v>4210</v>
      </c>
      <c r="E11178" s="2" t="str">
        <f>"9789813369030"</f>
        <v>9789813369030</v>
      </c>
      <c r="F11178" s="2" t="str">
        <f>"9789813369047"</f>
        <v>9789813369047</v>
      </c>
    </row>
    <row r="11179" spans="1:6" s="3" customFormat="1" ht="29.1" customHeight="1" x14ac:dyDescent="0.25">
      <c r="A11179" s="2" t="s">
        <v>22819</v>
      </c>
      <c r="B11179" s="2" t="s">
        <v>22820</v>
      </c>
      <c r="C11179" s="2" t="s">
        <v>5</v>
      </c>
      <c r="D11179" s="2" t="s">
        <v>75</v>
      </c>
      <c r="E11179" s="2" t="str">
        <f>"9783658226435"</f>
        <v>9783658226435</v>
      </c>
      <c r="F11179" s="2" t="str">
        <f>"9783658226442"</f>
        <v>9783658226442</v>
      </c>
    </row>
    <row r="11180" spans="1:6" s="3" customFormat="1" ht="29.1" customHeight="1" x14ac:dyDescent="0.25">
      <c r="A11180" s="2" t="s">
        <v>22821</v>
      </c>
      <c r="B11180" s="2" t="s">
        <v>22822</v>
      </c>
      <c r="C11180" s="2" t="s">
        <v>5</v>
      </c>
      <c r="D11180" s="2" t="s">
        <v>2005</v>
      </c>
      <c r="E11180" s="2" t="str">
        <f>"9789811331305"</f>
        <v>9789811331305</v>
      </c>
      <c r="F11180" s="2" t="str">
        <f>"9789811331312"</f>
        <v>9789811331312</v>
      </c>
    </row>
    <row r="11181" spans="1:6" s="3" customFormat="1" ht="29.1" customHeight="1" x14ac:dyDescent="0.25">
      <c r="A11181" s="2" t="s">
        <v>22823</v>
      </c>
      <c r="B11181" s="2" t="s">
        <v>22824</v>
      </c>
      <c r="C11181" s="2" t="s">
        <v>5</v>
      </c>
      <c r="D11181" s="2" t="s">
        <v>1437</v>
      </c>
      <c r="E11181" s="2" t="str">
        <f>"9789811329036"</f>
        <v>9789811329036</v>
      </c>
      <c r="F11181" s="2" t="str">
        <f>"9789811329043"</f>
        <v>9789811329043</v>
      </c>
    </row>
    <row r="11182" spans="1:6" s="3" customFormat="1" ht="29.1" customHeight="1" x14ac:dyDescent="0.25">
      <c r="A11182" s="2" t="s">
        <v>22825</v>
      </c>
      <c r="B11182" s="2" t="s">
        <v>22826</v>
      </c>
      <c r="C11182" s="2" t="s">
        <v>5</v>
      </c>
      <c r="D11182" s="2" t="s">
        <v>1437</v>
      </c>
      <c r="E11182" s="2" t="str">
        <f>"9789811328589"</f>
        <v>9789811328589</v>
      </c>
      <c r="F11182" s="2" t="str">
        <f>"9789811328596"</f>
        <v>9789811328596</v>
      </c>
    </row>
    <row r="11183" spans="1:6" s="3" customFormat="1" ht="29.1" customHeight="1" x14ac:dyDescent="0.25">
      <c r="A11183" s="2" t="s">
        <v>22827</v>
      </c>
      <c r="B11183" s="2" t="s">
        <v>22828</v>
      </c>
      <c r="C11183" s="2" t="s">
        <v>5</v>
      </c>
      <c r="D11183" s="2" t="s">
        <v>1437</v>
      </c>
      <c r="E11183" s="2" t="str">
        <f>"9789811326332"</f>
        <v>9789811326332</v>
      </c>
      <c r="F11183" s="2" t="str">
        <f>"9789811326349"</f>
        <v>9789811326349</v>
      </c>
    </row>
    <row r="11184" spans="1:6" s="3" customFormat="1" ht="29.1" customHeight="1" x14ac:dyDescent="0.25">
      <c r="A11184" s="2" t="s">
        <v>22829</v>
      </c>
      <c r="B11184" s="2" t="s">
        <v>20868</v>
      </c>
      <c r="C11184" s="2" t="s">
        <v>5</v>
      </c>
      <c r="D11184" s="2" t="s">
        <v>81</v>
      </c>
      <c r="E11184" s="2" t="str">
        <f>"9789811312311"</f>
        <v>9789811312311</v>
      </c>
      <c r="F11184" s="2" t="str">
        <f>"9789811312328"</f>
        <v>9789811312328</v>
      </c>
    </row>
    <row r="11185" spans="1:6" s="3" customFormat="1" ht="29.1" customHeight="1" x14ac:dyDescent="0.25">
      <c r="A11185" s="2" t="s">
        <v>22830</v>
      </c>
      <c r="B11185" s="2" t="s">
        <v>22831</v>
      </c>
      <c r="C11185" s="2" t="s">
        <v>5</v>
      </c>
      <c r="D11185" s="2" t="s">
        <v>479</v>
      </c>
      <c r="E11185" s="2" t="str">
        <f>"9789811312137"</f>
        <v>9789811312137</v>
      </c>
      <c r="F11185" s="2" t="str">
        <f>"9789811312144"</f>
        <v>9789811312144</v>
      </c>
    </row>
    <row r="11186" spans="1:6" s="3" customFormat="1" ht="29.1" customHeight="1" x14ac:dyDescent="0.25">
      <c r="A11186" s="2" t="s">
        <v>22832</v>
      </c>
      <c r="B11186" s="2" t="s">
        <v>22833</v>
      </c>
      <c r="C11186" s="2" t="s">
        <v>5</v>
      </c>
      <c r="D11186" s="2" t="s">
        <v>1278</v>
      </c>
      <c r="E11186" s="2" t="str">
        <f>"9789811311130"</f>
        <v>9789811311130</v>
      </c>
      <c r="F11186" s="2" t="str">
        <f>"9789811311147"</f>
        <v>9789811311147</v>
      </c>
    </row>
    <row r="11187" spans="1:6" s="3" customFormat="1" ht="29.1" customHeight="1" x14ac:dyDescent="0.25">
      <c r="A11187" s="2" t="s">
        <v>22834</v>
      </c>
      <c r="B11187" s="2" t="s">
        <v>22835</v>
      </c>
      <c r="C11187" s="2" t="s">
        <v>5</v>
      </c>
      <c r="D11187" s="2" t="s">
        <v>2435</v>
      </c>
      <c r="E11187" s="2" t="str">
        <f>"9783319932835"</f>
        <v>9783319932835</v>
      </c>
      <c r="F11187" s="2" t="str">
        <f>"9783319932842"</f>
        <v>9783319932842</v>
      </c>
    </row>
    <row r="11188" spans="1:6" s="3" customFormat="1" ht="29.1" customHeight="1" x14ac:dyDescent="0.25">
      <c r="A11188" s="2" t="s">
        <v>22836</v>
      </c>
      <c r="B11188" s="2" t="s">
        <v>22837</v>
      </c>
      <c r="C11188" s="2" t="s">
        <v>5</v>
      </c>
      <c r="D11188" s="2" t="s">
        <v>7132</v>
      </c>
      <c r="E11188" s="2" t="str">
        <f>"9783319929637"</f>
        <v>9783319929637</v>
      </c>
      <c r="F11188" s="2" t="str">
        <f>"9783319929644"</f>
        <v>9783319929644</v>
      </c>
    </row>
    <row r="11189" spans="1:6" s="3" customFormat="1" ht="29.1" customHeight="1" x14ac:dyDescent="0.25">
      <c r="A11189" s="2" t="s">
        <v>22838</v>
      </c>
      <c r="B11189" s="2" t="s">
        <v>22839</v>
      </c>
      <c r="C11189" s="2" t="s">
        <v>5</v>
      </c>
      <c r="D11189" s="2" t="s">
        <v>317</v>
      </c>
      <c r="E11189" s="2" t="str">
        <f>"9783319928098"</f>
        <v>9783319928098</v>
      </c>
      <c r="F11189" s="2" t="str">
        <f>"9783319928104"</f>
        <v>9783319928104</v>
      </c>
    </row>
    <row r="11190" spans="1:6" s="3" customFormat="1" ht="29.1" customHeight="1" x14ac:dyDescent="0.25">
      <c r="A11190" s="2" t="s">
        <v>22840</v>
      </c>
      <c r="B11190" s="2" t="s">
        <v>22841</v>
      </c>
      <c r="C11190" s="2" t="s">
        <v>5</v>
      </c>
      <c r="D11190" s="2" t="s">
        <v>6511</v>
      </c>
      <c r="E11190" s="2" t="str">
        <f>"9783319927978"</f>
        <v>9783319927978</v>
      </c>
      <c r="F11190" s="2" t="str">
        <f>"9783319927985"</f>
        <v>9783319927985</v>
      </c>
    </row>
    <row r="11191" spans="1:6" s="3" customFormat="1" ht="29.1" customHeight="1" x14ac:dyDescent="0.25">
      <c r="A11191" s="2" t="s">
        <v>22842</v>
      </c>
      <c r="B11191" s="2" t="s">
        <v>22843</v>
      </c>
      <c r="C11191" s="2" t="s">
        <v>5</v>
      </c>
      <c r="D11191" s="2" t="s">
        <v>1189</v>
      </c>
      <c r="E11191" s="2" t="str">
        <f>"9789811307423"</f>
        <v>9789811307423</v>
      </c>
      <c r="F11191" s="2" t="str">
        <f>"9789811307430"</f>
        <v>9789811307430</v>
      </c>
    </row>
    <row r="11192" spans="1:6" s="3" customFormat="1" ht="29.1" customHeight="1" x14ac:dyDescent="0.25">
      <c r="A11192" s="2" t="s">
        <v>22844</v>
      </c>
      <c r="B11192" s="2" t="s">
        <v>22845</v>
      </c>
      <c r="C11192" s="2" t="s">
        <v>5</v>
      </c>
      <c r="D11192" s="2" t="s">
        <v>353</v>
      </c>
      <c r="E11192" s="2" t="str">
        <f>"9783319922874"</f>
        <v>9783319922874</v>
      </c>
      <c r="F11192" s="2" t="str">
        <f>"9783319922881"</f>
        <v>9783319922881</v>
      </c>
    </row>
    <row r="11193" spans="1:6" s="3" customFormat="1" ht="29.1" customHeight="1" x14ac:dyDescent="0.25">
      <c r="A11193" s="2" t="s">
        <v>22846</v>
      </c>
      <c r="B11193" s="2" t="s">
        <v>22847</v>
      </c>
      <c r="C11193" s="2" t="s">
        <v>5</v>
      </c>
      <c r="D11193" s="2" t="s">
        <v>350</v>
      </c>
      <c r="E11193" s="2" t="str">
        <f>"9783319913995"</f>
        <v>9783319913995</v>
      </c>
      <c r="F11193" s="2" t="str">
        <f>"9783319914008"</f>
        <v>9783319914008</v>
      </c>
    </row>
    <row r="11194" spans="1:6" s="3" customFormat="1" ht="29.1" customHeight="1" x14ac:dyDescent="0.25">
      <c r="A11194" s="2" t="s">
        <v>22848</v>
      </c>
      <c r="B11194" s="2" t="s">
        <v>22849</v>
      </c>
      <c r="C11194" s="2" t="s">
        <v>5</v>
      </c>
      <c r="D11194" s="2" t="s">
        <v>2356</v>
      </c>
      <c r="E11194" s="2" t="str">
        <f>"9783319912226"</f>
        <v>9783319912226</v>
      </c>
      <c r="F11194" s="2" t="str">
        <f>"9783319912233"</f>
        <v>9783319912233</v>
      </c>
    </row>
    <row r="11195" spans="1:6" s="3" customFormat="1" ht="29.1" customHeight="1" x14ac:dyDescent="0.25">
      <c r="A11195" s="2" t="s">
        <v>22850</v>
      </c>
      <c r="B11195" s="2" t="s">
        <v>22851</v>
      </c>
      <c r="C11195" s="2" t="s">
        <v>5</v>
      </c>
      <c r="D11195" s="2" t="s">
        <v>553</v>
      </c>
      <c r="E11195" s="2" t="str">
        <f>"9783319911335"</f>
        <v>9783319911335</v>
      </c>
      <c r="F11195" s="2" t="str">
        <f>"9783319911342"</f>
        <v>9783319911342</v>
      </c>
    </row>
    <row r="11196" spans="1:6" s="3" customFormat="1" ht="29.1" customHeight="1" x14ac:dyDescent="0.25">
      <c r="A11196" s="2" t="s">
        <v>22852</v>
      </c>
      <c r="B11196" s="2" t="s">
        <v>22853</v>
      </c>
      <c r="C11196" s="2" t="s">
        <v>5</v>
      </c>
      <c r="D11196" s="2" t="s">
        <v>12</v>
      </c>
      <c r="E11196" s="2" t="str">
        <f>"9783319910673"</f>
        <v>9783319910673</v>
      </c>
      <c r="F11196" s="2" t="str">
        <f>"9783319910680"</f>
        <v>9783319910680</v>
      </c>
    </row>
    <row r="11197" spans="1:6" s="3" customFormat="1" ht="29.1" customHeight="1" x14ac:dyDescent="0.25">
      <c r="A11197" s="2" t="s">
        <v>22854</v>
      </c>
      <c r="B11197" s="2" t="s">
        <v>22855</v>
      </c>
      <c r="C11197" s="2" t="s">
        <v>5</v>
      </c>
      <c r="D11197" s="2" t="s">
        <v>689</v>
      </c>
      <c r="E11197" s="2" t="str">
        <f>"9783319909530"</f>
        <v>9783319909530</v>
      </c>
      <c r="F11197" s="2" t="str">
        <f>"9783319909554"</f>
        <v>9783319909554</v>
      </c>
    </row>
    <row r="11198" spans="1:6" s="3" customFormat="1" ht="29.1" customHeight="1" x14ac:dyDescent="0.25">
      <c r="A11198" s="2" t="s">
        <v>22856</v>
      </c>
      <c r="B11198" s="2" t="s">
        <v>22857</v>
      </c>
      <c r="C11198" s="2" t="s">
        <v>5</v>
      </c>
      <c r="D11198" s="2" t="s">
        <v>86</v>
      </c>
      <c r="E11198" s="2" t="str">
        <f>"9783030271831"</f>
        <v>9783030271831</v>
      </c>
      <c r="F11198" s="2" t="str">
        <f>"9783030271848"</f>
        <v>9783030271848</v>
      </c>
    </row>
    <row r="11199" spans="1:6" s="3" customFormat="1" ht="29.1" customHeight="1" x14ac:dyDescent="0.25">
      <c r="A11199" s="2" t="s">
        <v>22858</v>
      </c>
      <c r="B11199" s="2" t="s">
        <v>22859</v>
      </c>
      <c r="C11199" s="2" t="s">
        <v>5</v>
      </c>
      <c r="D11199" s="2" t="s">
        <v>6</v>
      </c>
      <c r="E11199" s="2" t="str">
        <f>"9783031198441"</f>
        <v>9783031198441</v>
      </c>
      <c r="F11199" s="2" t="str">
        <f>"9783031198458"</f>
        <v>9783031198458</v>
      </c>
    </row>
    <row r="11200" spans="1:6" s="3" customFormat="1" ht="29.1" customHeight="1" x14ac:dyDescent="0.25">
      <c r="A11200" s="2" t="s">
        <v>22860</v>
      </c>
      <c r="B11200" s="2" t="s">
        <v>22861</v>
      </c>
      <c r="C11200" s="2" t="s">
        <v>5</v>
      </c>
      <c r="D11200" s="2" t="s">
        <v>13023</v>
      </c>
      <c r="E11200" s="2" t="str">
        <f>"9783030229733"</f>
        <v>9783030229733</v>
      </c>
      <c r="F11200" s="2" t="str">
        <f>"9783030229740"</f>
        <v>9783030229740</v>
      </c>
    </row>
    <row r="11201" spans="1:6" s="3" customFormat="1" ht="29.1" customHeight="1" x14ac:dyDescent="0.25">
      <c r="A11201" s="2" t="s">
        <v>22862</v>
      </c>
      <c r="B11201" s="2" t="s">
        <v>22863</v>
      </c>
      <c r="C11201" s="2" t="s">
        <v>5</v>
      </c>
      <c r="D11201" s="2" t="s">
        <v>727</v>
      </c>
      <c r="E11201" s="2" t="str">
        <f>"9783030448493"</f>
        <v>9783030448493</v>
      </c>
      <c r="F11201" s="2" t="str">
        <f>"9783030448509"</f>
        <v>9783030448509</v>
      </c>
    </row>
    <row r="11202" spans="1:6" s="3" customFormat="1" ht="29.1" customHeight="1" x14ac:dyDescent="0.25">
      <c r="A11202" s="2" t="s">
        <v>22864</v>
      </c>
      <c r="B11202" s="2" t="s">
        <v>22865</v>
      </c>
      <c r="C11202" s="2" t="s">
        <v>5</v>
      </c>
      <c r="D11202" s="2" t="s">
        <v>183</v>
      </c>
      <c r="E11202" s="2" t="str">
        <f>"9783658216580"</f>
        <v>9783658216580</v>
      </c>
      <c r="F11202" s="2" t="str">
        <f>"9783658216597"</f>
        <v>9783658216597</v>
      </c>
    </row>
    <row r="11203" spans="1:6" s="3" customFormat="1" ht="29.1" customHeight="1" x14ac:dyDescent="0.25">
      <c r="A11203" s="2" t="s">
        <v>22866</v>
      </c>
      <c r="B11203" s="2" t="s">
        <v>22867</v>
      </c>
      <c r="C11203" s="2" t="s">
        <v>5</v>
      </c>
      <c r="D11203" s="2" t="s">
        <v>1867</v>
      </c>
      <c r="E11203" s="2" t="str">
        <f>"9783319789989"</f>
        <v>9783319789989</v>
      </c>
      <c r="F11203" s="2" t="str">
        <f>"9783319789996"</f>
        <v>9783319789996</v>
      </c>
    </row>
    <row r="11204" spans="1:6" s="3" customFormat="1" ht="29.1" customHeight="1" x14ac:dyDescent="0.25">
      <c r="A11204" s="2" t="s">
        <v>22868</v>
      </c>
      <c r="B11204" s="2" t="s">
        <v>22869</v>
      </c>
      <c r="C11204" s="2" t="s">
        <v>5</v>
      </c>
      <c r="D11204" s="2" t="s">
        <v>20696</v>
      </c>
      <c r="E11204" s="2" t="str">
        <f>"9783319785028"</f>
        <v>9783319785028</v>
      </c>
      <c r="F11204" s="2" t="str">
        <f>"9783319785035"</f>
        <v>9783319785035</v>
      </c>
    </row>
    <row r="11205" spans="1:6" s="3" customFormat="1" ht="29.1" customHeight="1" x14ac:dyDescent="0.25">
      <c r="A11205" s="2" t="s">
        <v>22870</v>
      </c>
      <c r="B11205" s="2" t="s">
        <v>22871</v>
      </c>
      <c r="C11205" s="2" t="s">
        <v>5</v>
      </c>
      <c r="D11205" s="2" t="s">
        <v>20678</v>
      </c>
      <c r="E11205" s="2" t="str">
        <f>"9783031367625"</f>
        <v>9783031367625</v>
      </c>
      <c r="F11205" s="2" t="str">
        <f>"9783031367632"</f>
        <v>9783031367632</v>
      </c>
    </row>
    <row r="11206" spans="1:6" s="3" customFormat="1" ht="29.1" customHeight="1" x14ac:dyDescent="0.25">
      <c r="A11206" s="2" t="s">
        <v>22872</v>
      </c>
      <c r="B11206" s="2" t="s">
        <v>22873</v>
      </c>
      <c r="C11206" s="2" t="s">
        <v>5</v>
      </c>
      <c r="D11206" s="2" t="s">
        <v>8788</v>
      </c>
      <c r="E11206" s="2" t="str">
        <f>"9783031362828"</f>
        <v>9783031362828</v>
      </c>
      <c r="F11206" s="2" t="str">
        <f>"9783031362835"</f>
        <v>9783031362835</v>
      </c>
    </row>
    <row r="11207" spans="1:6" s="3" customFormat="1" ht="29.1" customHeight="1" x14ac:dyDescent="0.25">
      <c r="A11207" s="2" t="s">
        <v>22874</v>
      </c>
      <c r="B11207" s="2" t="s">
        <v>22875</v>
      </c>
      <c r="C11207" s="2" t="s">
        <v>5</v>
      </c>
      <c r="D11207" s="2" t="s">
        <v>3489</v>
      </c>
      <c r="E11207" s="2" t="str">
        <f>"9783031357787"</f>
        <v>9783031357787</v>
      </c>
      <c r="F11207" s="2" t="str">
        <f>"9783031357794"</f>
        <v>9783031357794</v>
      </c>
    </row>
    <row r="11208" spans="1:6" s="3" customFormat="1" ht="29.1" customHeight="1" x14ac:dyDescent="0.25">
      <c r="A11208" s="2" t="s">
        <v>22876</v>
      </c>
      <c r="B11208" s="2" t="s">
        <v>22877</v>
      </c>
      <c r="C11208" s="2" t="s">
        <v>5</v>
      </c>
      <c r="D11208" s="2" t="s">
        <v>547</v>
      </c>
      <c r="E11208" s="2" t="str">
        <f>"9783031356506"</f>
        <v>9783031356506</v>
      </c>
      <c r="F11208" s="2" t="str">
        <f>"9783031356513"</f>
        <v>9783031356513</v>
      </c>
    </row>
    <row r="11209" spans="1:6" s="3" customFormat="1" ht="29.1" customHeight="1" x14ac:dyDescent="0.25">
      <c r="A11209" s="2" t="s">
        <v>22878</v>
      </c>
      <c r="B11209" s="2" t="s">
        <v>22879</v>
      </c>
      <c r="C11209" s="2" t="s">
        <v>5</v>
      </c>
      <c r="D11209" s="2" t="s">
        <v>1864</v>
      </c>
      <c r="E11209" s="2" t="str">
        <f>"9783031350658"</f>
        <v>9783031350658</v>
      </c>
      <c r="F11209" s="2" t="str">
        <f>"9783031350665"</f>
        <v>9783031350665</v>
      </c>
    </row>
    <row r="11210" spans="1:6" s="3" customFormat="1" ht="29.1" customHeight="1" x14ac:dyDescent="0.25">
      <c r="A11210" s="2" t="s">
        <v>22880</v>
      </c>
      <c r="B11210" s="2" t="s">
        <v>22881</v>
      </c>
      <c r="C11210" s="2" t="s">
        <v>5</v>
      </c>
      <c r="D11210" s="2" t="s">
        <v>547</v>
      </c>
      <c r="E11210" s="2" t="str">
        <f>"9783031340369"</f>
        <v>9783031340369</v>
      </c>
      <c r="F11210" s="2" t="str">
        <f>"9783031340376"</f>
        <v>9783031340376</v>
      </c>
    </row>
    <row r="11211" spans="1:6" s="3" customFormat="1" ht="29.1" customHeight="1" x14ac:dyDescent="0.25">
      <c r="A11211" s="2" t="s">
        <v>22882</v>
      </c>
      <c r="B11211" s="2" t="s">
        <v>22883</v>
      </c>
      <c r="C11211" s="2" t="s">
        <v>5</v>
      </c>
      <c r="D11211" s="2" t="s">
        <v>504</v>
      </c>
      <c r="E11211" s="2" t="str">
        <f>"9783658417505"</f>
        <v>9783658417505</v>
      </c>
      <c r="F11211" s="2" t="str">
        <f>"9783658417512"</f>
        <v>9783658417512</v>
      </c>
    </row>
    <row r="11212" spans="1:6" s="3" customFormat="1" ht="29.1" customHeight="1" x14ac:dyDescent="0.25">
      <c r="A11212" s="2" t="s">
        <v>22884</v>
      </c>
      <c r="B11212" s="2" t="s">
        <v>22885</v>
      </c>
      <c r="C11212" s="2" t="s">
        <v>5</v>
      </c>
      <c r="D11212" s="2" t="s">
        <v>490</v>
      </c>
      <c r="E11212" s="2" t="str">
        <f>"9783658416997"</f>
        <v>9783658416997</v>
      </c>
      <c r="F11212" s="2" t="str">
        <f>"9783658417000"</f>
        <v>9783658417000</v>
      </c>
    </row>
    <row r="11213" spans="1:6" s="3" customFormat="1" ht="29.1" customHeight="1" x14ac:dyDescent="0.25">
      <c r="A11213" s="2" t="s">
        <v>22886</v>
      </c>
      <c r="B11213" s="2" t="s">
        <v>22887</v>
      </c>
      <c r="C11213" s="2" t="s">
        <v>5</v>
      </c>
      <c r="D11213" s="2" t="s">
        <v>5115</v>
      </c>
      <c r="E11213" s="2" t="str">
        <f>"9783031333859"</f>
        <v>9783031333859</v>
      </c>
      <c r="F11213" s="2" t="str">
        <f>"9783031333866"</f>
        <v>9783031333866</v>
      </c>
    </row>
    <row r="11214" spans="1:6" s="3" customFormat="1" ht="29.1" customHeight="1" x14ac:dyDescent="0.25">
      <c r="A11214" s="2" t="s">
        <v>22888</v>
      </c>
      <c r="B11214" s="2" t="s">
        <v>22889</v>
      </c>
      <c r="C11214" s="2" t="s">
        <v>5</v>
      </c>
      <c r="D11214" s="2" t="s">
        <v>4742</v>
      </c>
      <c r="E11214" s="2" t="str">
        <f>"9789819929962"</f>
        <v>9789819929962</v>
      </c>
      <c r="F11214" s="2" t="str">
        <f>"9789819929979"</f>
        <v>9789819929979</v>
      </c>
    </row>
    <row r="11215" spans="1:6" s="3" customFormat="1" ht="29.1" customHeight="1" x14ac:dyDescent="0.25">
      <c r="A11215" s="2" t="s">
        <v>22890</v>
      </c>
      <c r="B11215" s="2" t="s">
        <v>22891</v>
      </c>
      <c r="C11215" s="2" t="s">
        <v>5</v>
      </c>
      <c r="D11215" s="2" t="s">
        <v>727</v>
      </c>
      <c r="E11215" s="2" t="str">
        <f>"9783031332456"</f>
        <v>9783031332456</v>
      </c>
      <c r="F11215" s="2" t="str">
        <f>"9783031332463"</f>
        <v>9783031332463</v>
      </c>
    </row>
    <row r="11216" spans="1:6" s="3" customFormat="1" ht="29.1" customHeight="1" x14ac:dyDescent="0.25">
      <c r="A11216" s="2" t="s">
        <v>22892</v>
      </c>
      <c r="B11216" s="2" t="s">
        <v>22893</v>
      </c>
      <c r="C11216" s="2" t="s">
        <v>5</v>
      </c>
      <c r="D11216" s="2" t="s">
        <v>98</v>
      </c>
      <c r="E11216" s="2" t="str">
        <f>"9783031331909"</f>
        <v>9783031331909</v>
      </c>
      <c r="F11216" s="2" t="str">
        <f>"9783031331916"</f>
        <v>9783031331916</v>
      </c>
    </row>
    <row r="11217" spans="1:6" s="3" customFormat="1" ht="29.1" customHeight="1" x14ac:dyDescent="0.25">
      <c r="A11217" s="2" t="s">
        <v>22894</v>
      </c>
      <c r="B11217" s="2" t="s">
        <v>22895</v>
      </c>
      <c r="C11217" s="2" t="s">
        <v>5</v>
      </c>
      <c r="D11217" s="2" t="s">
        <v>10336</v>
      </c>
      <c r="E11217" s="2" t="str">
        <f>"9783658416409"</f>
        <v>9783658416409</v>
      </c>
      <c r="F11217" s="2" t="str">
        <f>"9783658416416"</f>
        <v>9783658416416</v>
      </c>
    </row>
    <row r="11218" spans="1:6" s="3" customFormat="1" ht="29.1" customHeight="1" x14ac:dyDescent="0.25">
      <c r="A11218" s="2" t="s">
        <v>22896</v>
      </c>
      <c r="B11218" s="2" t="s">
        <v>22897</v>
      </c>
      <c r="C11218" s="2" t="s">
        <v>5</v>
      </c>
      <c r="D11218" s="2" t="s">
        <v>33</v>
      </c>
      <c r="E11218" s="2" t="str">
        <f>"9789819929467"</f>
        <v>9789819929467</v>
      </c>
      <c r="F11218" s="2" t="str">
        <f>"9789819929474"</f>
        <v>9789819929474</v>
      </c>
    </row>
    <row r="11219" spans="1:6" s="3" customFormat="1" ht="29.1" customHeight="1" x14ac:dyDescent="0.25">
      <c r="A11219" s="2" t="s">
        <v>22898</v>
      </c>
      <c r="B11219" s="2" t="s">
        <v>22899</v>
      </c>
      <c r="C11219" s="2" t="s">
        <v>5</v>
      </c>
      <c r="D11219" s="2" t="s">
        <v>72</v>
      </c>
      <c r="E11219" s="2" t="str">
        <f>"9783031327926"</f>
        <v>9783031327926</v>
      </c>
      <c r="F11219" s="2" t="str">
        <f>"9783031327933"</f>
        <v>9783031327933</v>
      </c>
    </row>
    <row r="11220" spans="1:6" s="3" customFormat="1" ht="29.1" customHeight="1" x14ac:dyDescent="0.25">
      <c r="A11220" s="2" t="s">
        <v>22900</v>
      </c>
      <c r="B11220" s="2" t="s">
        <v>22901</v>
      </c>
      <c r="C11220" s="2" t="s">
        <v>5</v>
      </c>
      <c r="D11220" s="2" t="s">
        <v>11489</v>
      </c>
      <c r="E11220" s="2" t="str">
        <f>"9783658414801"</f>
        <v>9783658414801</v>
      </c>
      <c r="F11220" s="2" t="str">
        <f>"9783658414818"</f>
        <v>9783658414818</v>
      </c>
    </row>
    <row r="11221" spans="1:6" s="3" customFormat="1" ht="29.1" customHeight="1" x14ac:dyDescent="0.25">
      <c r="A11221" s="2" t="s">
        <v>22902</v>
      </c>
      <c r="B11221" s="2" t="s">
        <v>22903</v>
      </c>
      <c r="C11221" s="2" t="s">
        <v>5</v>
      </c>
      <c r="D11221" s="2" t="s">
        <v>2902</v>
      </c>
      <c r="E11221" s="2" t="str">
        <f>"9783658414481"</f>
        <v>9783658414481</v>
      </c>
      <c r="F11221" s="2" t="str">
        <f>"9783658414498"</f>
        <v>9783658414498</v>
      </c>
    </row>
    <row r="11222" spans="1:6" s="3" customFormat="1" ht="29.1" customHeight="1" x14ac:dyDescent="0.25">
      <c r="A11222" s="2" t="s">
        <v>22904</v>
      </c>
      <c r="B11222" s="2" t="s">
        <v>22905</v>
      </c>
      <c r="C11222" s="2" t="s">
        <v>5</v>
      </c>
      <c r="D11222" s="2" t="s">
        <v>9</v>
      </c>
      <c r="E11222" s="2" t="str">
        <f>"9783658414207"</f>
        <v>9783658414207</v>
      </c>
      <c r="F11222" s="2" t="str">
        <f>"9783658414214"</f>
        <v>9783658414214</v>
      </c>
    </row>
    <row r="11223" spans="1:6" s="3" customFormat="1" ht="29.1" customHeight="1" x14ac:dyDescent="0.25">
      <c r="A11223" s="2" t="s">
        <v>22906</v>
      </c>
      <c r="B11223" s="2" t="s">
        <v>22907</v>
      </c>
      <c r="C11223" s="2" t="s">
        <v>5</v>
      </c>
      <c r="D11223" s="2" t="s">
        <v>3567</v>
      </c>
      <c r="E11223" s="2" t="str">
        <f>"9783662672723"</f>
        <v>9783662672723</v>
      </c>
      <c r="F11223" s="2" t="str">
        <f>"9783662672730"</f>
        <v>9783662672730</v>
      </c>
    </row>
    <row r="11224" spans="1:6" s="3" customFormat="1" ht="29.1" customHeight="1" x14ac:dyDescent="0.25">
      <c r="A11224" s="2" t="s">
        <v>22908</v>
      </c>
      <c r="B11224" s="2" t="s">
        <v>22909</v>
      </c>
      <c r="C11224" s="2" t="s">
        <v>5</v>
      </c>
      <c r="D11224" s="2" t="s">
        <v>6511</v>
      </c>
      <c r="E11224" s="2" t="str">
        <f>"9783031310577"</f>
        <v>9783031310577</v>
      </c>
      <c r="F11224" s="2" t="str">
        <f>"9783031310584"</f>
        <v>9783031310584</v>
      </c>
    </row>
    <row r="11225" spans="1:6" s="3" customFormat="1" ht="29.1" customHeight="1" x14ac:dyDescent="0.25">
      <c r="A11225" s="2" t="s">
        <v>22910</v>
      </c>
      <c r="B11225" s="2" t="s">
        <v>22911</v>
      </c>
      <c r="C11225" s="2" t="s">
        <v>5</v>
      </c>
      <c r="D11225" s="2" t="s">
        <v>1809</v>
      </c>
      <c r="E11225" s="2" t="str">
        <f>"9789819919949"</f>
        <v>9789819919949</v>
      </c>
      <c r="F11225" s="2" t="str">
        <f>"9789819919956"</f>
        <v>9789819919956</v>
      </c>
    </row>
    <row r="11226" spans="1:6" s="3" customFormat="1" ht="29.1" customHeight="1" x14ac:dyDescent="0.25">
      <c r="A11226" s="2" t="s">
        <v>22912</v>
      </c>
      <c r="B11226" s="2" t="s">
        <v>22913</v>
      </c>
      <c r="C11226" s="2" t="s">
        <v>5</v>
      </c>
      <c r="D11226" s="2" t="s">
        <v>836</v>
      </c>
      <c r="E11226" s="2" t="str">
        <f>"9789819919260"</f>
        <v>9789819919260</v>
      </c>
      <c r="F11226" s="2" t="str">
        <f>"9789819919277"</f>
        <v>9789819919277</v>
      </c>
    </row>
    <row r="11227" spans="1:6" s="3" customFormat="1" ht="29.1" customHeight="1" x14ac:dyDescent="0.25">
      <c r="A11227" s="2" t="s">
        <v>22914</v>
      </c>
      <c r="B11227" s="2" t="s">
        <v>22915</v>
      </c>
      <c r="C11227" s="2" t="s">
        <v>5</v>
      </c>
      <c r="D11227" s="2" t="s">
        <v>11048</v>
      </c>
      <c r="E11227" s="2" t="str">
        <f>"9783662671894"</f>
        <v>9783662671894</v>
      </c>
      <c r="F11227" s="2" t="str">
        <f>"9783662671900"</f>
        <v>9783662671900</v>
      </c>
    </row>
    <row r="11228" spans="1:6" s="3" customFormat="1" ht="29.1" customHeight="1" x14ac:dyDescent="0.25">
      <c r="A11228" s="2" t="s">
        <v>22916</v>
      </c>
      <c r="B11228" s="2" t="s">
        <v>22917</v>
      </c>
      <c r="C11228" s="2" t="s">
        <v>5</v>
      </c>
      <c r="D11228" s="2" t="s">
        <v>855</v>
      </c>
      <c r="E11228" s="2" t="str">
        <f>"9783658412234"</f>
        <v>9783658412234</v>
      </c>
      <c r="F11228" s="2" t="str">
        <f>"9783658412241"</f>
        <v>9783658412241</v>
      </c>
    </row>
    <row r="11229" spans="1:6" s="3" customFormat="1" ht="29.1" customHeight="1" x14ac:dyDescent="0.25">
      <c r="A11229" s="2" t="s">
        <v>22918</v>
      </c>
      <c r="B11229" s="2" t="s">
        <v>22919</v>
      </c>
      <c r="C11229" s="2" t="s">
        <v>5</v>
      </c>
      <c r="D11229" s="2" t="s">
        <v>15</v>
      </c>
      <c r="E11229" s="2" t="str">
        <f>"9783031293559"</f>
        <v>9783031293559</v>
      </c>
      <c r="F11229" s="2" t="str">
        <f>"9783031293566"</f>
        <v>9783031293566</v>
      </c>
    </row>
    <row r="11230" spans="1:6" s="3" customFormat="1" ht="29.1" customHeight="1" x14ac:dyDescent="0.25">
      <c r="A11230" s="2" t="s">
        <v>22920</v>
      </c>
      <c r="B11230" s="2" t="s">
        <v>22921</v>
      </c>
      <c r="C11230" s="2" t="s">
        <v>5</v>
      </c>
      <c r="D11230" s="2" t="s">
        <v>712</v>
      </c>
      <c r="E11230" s="2" t="str">
        <f>"9783658411206"</f>
        <v>9783658411206</v>
      </c>
      <c r="F11230" s="2" t="str">
        <f>"9783658411213"</f>
        <v>9783658411213</v>
      </c>
    </row>
    <row r="11231" spans="1:6" s="3" customFormat="1" ht="29.1" customHeight="1" x14ac:dyDescent="0.25">
      <c r="A11231" s="2" t="s">
        <v>22922</v>
      </c>
      <c r="B11231" s="2" t="s">
        <v>22923</v>
      </c>
      <c r="C11231" s="2" t="s">
        <v>5</v>
      </c>
      <c r="D11231" s="2" t="s">
        <v>75</v>
      </c>
      <c r="E11231" s="2" t="str">
        <f>"9783658411442"</f>
        <v>9783658411442</v>
      </c>
      <c r="F11231" s="2" t="str">
        <f>"9783658411459"</f>
        <v>9783658411459</v>
      </c>
    </row>
    <row r="11232" spans="1:6" s="3" customFormat="1" ht="29.1" customHeight="1" x14ac:dyDescent="0.25">
      <c r="A11232" s="2" t="s">
        <v>22924</v>
      </c>
      <c r="B11232" s="2" t="s">
        <v>22925</v>
      </c>
      <c r="C11232" s="2" t="s">
        <v>5</v>
      </c>
      <c r="D11232" s="2" t="s">
        <v>30</v>
      </c>
      <c r="E11232" s="2" t="str">
        <f>"9783031286421"</f>
        <v>9783031286421</v>
      </c>
      <c r="F11232" s="2" t="str">
        <f>"9783031286438"</f>
        <v>9783031286438</v>
      </c>
    </row>
    <row r="11233" spans="1:6" s="3" customFormat="1" ht="29.1" customHeight="1" x14ac:dyDescent="0.25">
      <c r="A11233" s="2" t="s">
        <v>22926</v>
      </c>
      <c r="B11233" s="2" t="s">
        <v>22927</v>
      </c>
      <c r="C11233" s="2" t="s">
        <v>5</v>
      </c>
      <c r="D11233" s="2" t="s">
        <v>183</v>
      </c>
      <c r="E11233" s="2" t="str">
        <f>"9789819911059"</f>
        <v>9789819911059</v>
      </c>
      <c r="F11233" s="2" t="str">
        <f>"9789819911066"</f>
        <v>9789819911066</v>
      </c>
    </row>
    <row r="11234" spans="1:6" s="3" customFormat="1" ht="29.1" customHeight="1" x14ac:dyDescent="0.25">
      <c r="A11234" s="2" t="s">
        <v>22928</v>
      </c>
      <c r="B11234" s="2" t="s">
        <v>22929</v>
      </c>
      <c r="C11234" s="2" t="s">
        <v>5</v>
      </c>
      <c r="D11234" s="2" t="s">
        <v>3062</v>
      </c>
      <c r="E11234" s="2" t="str">
        <f>"9783658409722"</f>
        <v>9783658409722</v>
      </c>
      <c r="F11234" s="2" t="str">
        <f>"9783658409739"</f>
        <v>9783658409739</v>
      </c>
    </row>
    <row r="11235" spans="1:6" s="3" customFormat="1" ht="29.1" customHeight="1" x14ac:dyDescent="0.25">
      <c r="A11235" s="2" t="s">
        <v>22930</v>
      </c>
      <c r="B11235" s="2" t="s">
        <v>22931</v>
      </c>
      <c r="C11235" s="2" t="s">
        <v>5</v>
      </c>
      <c r="D11235" s="2" t="s">
        <v>101</v>
      </c>
      <c r="E11235" s="2" t="str">
        <f>"9783031277887"</f>
        <v>9783031277887</v>
      </c>
      <c r="F11235" s="2" t="str">
        <f>"9783031277894"</f>
        <v>9783031277894</v>
      </c>
    </row>
    <row r="11236" spans="1:6" s="3" customFormat="1" ht="29.1" customHeight="1" x14ac:dyDescent="0.25">
      <c r="A11236" s="2" t="s">
        <v>22932</v>
      </c>
      <c r="B11236" s="2" t="s">
        <v>22933</v>
      </c>
      <c r="C11236" s="2" t="s">
        <v>5</v>
      </c>
      <c r="D11236" s="2" t="s">
        <v>270</v>
      </c>
      <c r="E11236" s="2" t="str">
        <f>"9783658407971"</f>
        <v>9783658407971</v>
      </c>
      <c r="F11236" s="2" t="str">
        <f>"9783658407988"</f>
        <v>9783658407988</v>
      </c>
    </row>
    <row r="11237" spans="1:6" s="3" customFormat="1" ht="29.1" customHeight="1" x14ac:dyDescent="0.25">
      <c r="A11237" s="2" t="s">
        <v>22934</v>
      </c>
      <c r="B11237" s="2" t="s">
        <v>22935</v>
      </c>
      <c r="C11237" s="2" t="s">
        <v>5</v>
      </c>
      <c r="D11237" s="2" t="s">
        <v>6</v>
      </c>
      <c r="E11237" s="2" t="str">
        <f>"9783662669150"</f>
        <v>9783662669150</v>
      </c>
      <c r="F11237" s="2" t="str">
        <f>"9783662669167"</f>
        <v>9783662669167</v>
      </c>
    </row>
    <row r="11238" spans="1:6" s="3" customFormat="1" ht="29.1" customHeight="1" x14ac:dyDescent="0.25">
      <c r="A11238" s="2" t="s">
        <v>22936</v>
      </c>
      <c r="B11238" s="2" t="s">
        <v>22937</v>
      </c>
      <c r="C11238" s="2" t="s">
        <v>5</v>
      </c>
      <c r="D11238" s="2" t="s">
        <v>183</v>
      </c>
      <c r="E11238" s="2" t="str">
        <f>"9783658407063"</f>
        <v>9783658407063</v>
      </c>
      <c r="F11238" s="2" t="str">
        <f>"9783658407070"</f>
        <v>9783658407070</v>
      </c>
    </row>
    <row r="11239" spans="1:6" s="3" customFormat="1" ht="29.1" customHeight="1" x14ac:dyDescent="0.25">
      <c r="A11239" s="2" t="s">
        <v>22938</v>
      </c>
      <c r="B11239" s="2" t="s">
        <v>22939</v>
      </c>
      <c r="C11239" s="2" t="s">
        <v>5</v>
      </c>
      <c r="D11239" s="2" t="s">
        <v>183</v>
      </c>
      <c r="E11239" s="2" t="str">
        <f>"9789819904006"</f>
        <v>9789819904006</v>
      </c>
      <c r="F11239" s="2" t="str">
        <f>"9789819904013"</f>
        <v>9789819904013</v>
      </c>
    </row>
    <row r="11240" spans="1:6" s="3" customFormat="1" ht="29.1" customHeight="1" x14ac:dyDescent="0.25">
      <c r="A11240" s="2" t="s">
        <v>22940</v>
      </c>
      <c r="B11240" s="2" t="s">
        <v>22941</v>
      </c>
      <c r="C11240" s="2" t="s">
        <v>5</v>
      </c>
      <c r="D11240" s="2" t="s">
        <v>12</v>
      </c>
      <c r="E11240" s="2" t="str">
        <f>"9783031265877"</f>
        <v>9783031265877</v>
      </c>
      <c r="F11240" s="2" t="str">
        <f>"9783031265884"</f>
        <v>9783031265884</v>
      </c>
    </row>
    <row r="11241" spans="1:6" s="3" customFormat="1" ht="29.1" customHeight="1" x14ac:dyDescent="0.25">
      <c r="A11241" s="2" t="s">
        <v>22942</v>
      </c>
      <c r="B11241" s="2" t="s">
        <v>22943</v>
      </c>
      <c r="C11241" s="2" t="s">
        <v>5</v>
      </c>
      <c r="D11241" s="2" t="s">
        <v>294</v>
      </c>
      <c r="E11241" s="2" t="str">
        <f>"9783031263927"</f>
        <v>9783031263927</v>
      </c>
      <c r="F11241" s="2" t="str">
        <f>"9783031263934"</f>
        <v>9783031263934</v>
      </c>
    </row>
    <row r="11242" spans="1:6" s="3" customFormat="1" ht="29.1" customHeight="1" x14ac:dyDescent="0.25">
      <c r="A11242" s="2" t="s">
        <v>22944</v>
      </c>
      <c r="B11242" s="2" t="s">
        <v>22945</v>
      </c>
      <c r="C11242" s="2" t="s">
        <v>5</v>
      </c>
      <c r="D11242" s="2" t="s">
        <v>2237</v>
      </c>
      <c r="E11242" s="2" t="str">
        <f>"9783662668245"</f>
        <v>9783662668245</v>
      </c>
      <c r="F11242" s="2" t="str">
        <f>"9783662668252"</f>
        <v>9783662668252</v>
      </c>
    </row>
    <row r="11243" spans="1:6" s="3" customFormat="1" ht="29.1" customHeight="1" x14ac:dyDescent="0.25">
      <c r="A11243" s="2" t="s">
        <v>22946</v>
      </c>
      <c r="B11243" s="2" t="s">
        <v>22947</v>
      </c>
      <c r="C11243" s="2" t="s">
        <v>5</v>
      </c>
      <c r="D11243" s="2" t="s">
        <v>2861</v>
      </c>
      <c r="E11243" s="2" t="str">
        <f>"9783658405472"</f>
        <v>9783658405472</v>
      </c>
      <c r="F11243" s="2" t="str">
        <f>"9783658405489"</f>
        <v>9783658405489</v>
      </c>
    </row>
    <row r="11244" spans="1:6" s="3" customFormat="1" ht="29.1" customHeight="1" x14ac:dyDescent="0.25">
      <c r="A11244" s="2" t="s">
        <v>22948</v>
      </c>
      <c r="B11244" s="2" t="s">
        <v>22949</v>
      </c>
      <c r="C11244" s="2" t="s">
        <v>5</v>
      </c>
      <c r="D11244" s="2" t="s">
        <v>5228</v>
      </c>
      <c r="E11244" s="2" t="str">
        <f>"9783658405106"</f>
        <v>9783658405106</v>
      </c>
      <c r="F11244" s="2" t="str">
        <f>"9783658405113"</f>
        <v>9783658405113</v>
      </c>
    </row>
    <row r="11245" spans="1:6" s="3" customFormat="1" ht="29.1" customHeight="1" x14ac:dyDescent="0.25">
      <c r="A11245" s="2" t="s">
        <v>22950</v>
      </c>
      <c r="B11245" s="2" t="s">
        <v>22951</v>
      </c>
      <c r="C11245" s="2" t="s">
        <v>5</v>
      </c>
      <c r="D11245" s="2" t="s">
        <v>5092</v>
      </c>
      <c r="E11245" s="2" t="str">
        <f>"9783658404727"</f>
        <v>9783658404727</v>
      </c>
      <c r="F11245" s="2" t="str">
        <f>"9783658404734"</f>
        <v>9783658404734</v>
      </c>
    </row>
    <row r="11246" spans="1:6" s="3" customFormat="1" ht="29.1" customHeight="1" x14ac:dyDescent="0.25">
      <c r="A11246" s="2" t="s">
        <v>22952</v>
      </c>
      <c r="B11246" s="2" t="s">
        <v>22953</v>
      </c>
      <c r="C11246" s="2" t="s">
        <v>5</v>
      </c>
      <c r="D11246" s="2" t="s">
        <v>95</v>
      </c>
      <c r="E11246" s="2" t="str">
        <f>"9789811994326"</f>
        <v>9789811994326</v>
      </c>
      <c r="F11246" s="2" t="str">
        <f>"9789811994333"</f>
        <v>9789811994333</v>
      </c>
    </row>
    <row r="11247" spans="1:6" s="3" customFormat="1" ht="29.1" customHeight="1" x14ac:dyDescent="0.25">
      <c r="A11247" s="2" t="s">
        <v>22954</v>
      </c>
      <c r="B11247" s="2" t="s">
        <v>20516</v>
      </c>
      <c r="C11247" s="2" t="s">
        <v>5</v>
      </c>
      <c r="D11247" s="2" t="s">
        <v>984</v>
      </c>
      <c r="E11247" s="2" t="str">
        <f>"9783031240447"</f>
        <v>9783031240447</v>
      </c>
      <c r="F11247" s="2" t="str">
        <f>"9783031240454"</f>
        <v>9783031240454</v>
      </c>
    </row>
    <row r="11248" spans="1:6" s="3" customFormat="1" ht="29.1" customHeight="1" x14ac:dyDescent="0.25">
      <c r="A11248" s="2" t="s">
        <v>22955</v>
      </c>
      <c r="B11248" s="2" t="s">
        <v>22956</v>
      </c>
      <c r="C11248" s="2" t="s">
        <v>5</v>
      </c>
      <c r="D11248" s="2" t="s">
        <v>44</v>
      </c>
      <c r="E11248" s="2" t="str">
        <f>"9789811992582"</f>
        <v>9789811992582</v>
      </c>
      <c r="F11248" s="2" t="str">
        <f>"9789811992599"</f>
        <v>9789811992599</v>
      </c>
    </row>
    <row r="11249" spans="1:6" s="3" customFormat="1" ht="29.1" customHeight="1" x14ac:dyDescent="0.25">
      <c r="A11249" s="2" t="s">
        <v>22957</v>
      </c>
      <c r="B11249" s="2" t="s">
        <v>22958</v>
      </c>
      <c r="C11249" s="2" t="s">
        <v>5</v>
      </c>
      <c r="D11249" s="2" t="s">
        <v>75</v>
      </c>
      <c r="E11249" s="2" t="str">
        <f>"9783031237553"</f>
        <v>9783031237553</v>
      </c>
      <c r="F11249" s="2" t="str">
        <f>"9783031237560"</f>
        <v>9783031237560</v>
      </c>
    </row>
    <row r="11250" spans="1:6" s="3" customFormat="1" ht="29.1" customHeight="1" x14ac:dyDescent="0.25">
      <c r="A11250" s="2" t="s">
        <v>22959</v>
      </c>
      <c r="B11250" s="2" t="s">
        <v>22960</v>
      </c>
      <c r="C11250" s="2" t="s">
        <v>5</v>
      </c>
      <c r="D11250" s="2" t="s">
        <v>3817</v>
      </c>
      <c r="E11250" s="2" t="str">
        <f>"9789811991264"</f>
        <v>9789811991264</v>
      </c>
      <c r="F11250" s="2" t="str">
        <f>"9789811991271"</f>
        <v>9789811991271</v>
      </c>
    </row>
    <row r="11251" spans="1:6" s="3" customFormat="1" ht="29.1" customHeight="1" x14ac:dyDescent="0.25">
      <c r="A11251" s="2" t="s">
        <v>22961</v>
      </c>
      <c r="B11251" s="2" t="s">
        <v>22962</v>
      </c>
      <c r="C11251" s="2" t="s">
        <v>5</v>
      </c>
      <c r="D11251" s="2" t="s">
        <v>1845</v>
      </c>
      <c r="E11251" s="2" t="str">
        <f>"9783031231933"</f>
        <v>9783031231933</v>
      </c>
      <c r="F11251" s="2" t="str">
        <f>"9783031231940"</f>
        <v>9783031231940</v>
      </c>
    </row>
    <row r="11252" spans="1:6" s="3" customFormat="1" ht="29.1" customHeight="1" x14ac:dyDescent="0.25">
      <c r="A11252" s="2" t="s">
        <v>22963</v>
      </c>
      <c r="B11252" s="2" t="s">
        <v>22964</v>
      </c>
      <c r="C11252" s="2" t="s">
        <v>5</v>
      </c>
      <c r="D11252" s="2" t="s">
        <v>1422</v>
      </c>
      <c r="E11252" s="2" t="str">
        <f>"9783658400309"</f>
        <v>9783658400309</v>
      </c>
      <c r="F11252" s="2" t="str">
        <f>"9783658400316"</f>
        <v>9783658400316</v>
      </c>
    </row>
    <row r="11253" spans="1:6" s="3" customFormat="1" ht="29.1" customHeight="1" x14ac:dyDescent="0.25">
      <c r="A11253" s="2" t="s">
        <v>22965</v>
      </c>
      <c r="B11253" s="2" t="s">
        <v>22966</v>
      </c>
      <c r="C11253" s="2" t="s">
        <v>5</v>
      </c>
      <c r="D11253" s="2" t="s">
        <v>12</v>
      </c>
      <c r="E11253" s="2" t="str">
        <f>"9783662664964"</f>
        <v>9783662664964</v>
      </c>
      <c r="F11253" s="2" t="str">
        <f>"9783662664971"</f>
        <v>9783662664971</v>
      </c>
    </row>
    <row r="11254" spans="1:6" s="3" customFormat="1" ht="29.1" customHeight="1" x14ac:dyDescent="0.25">
      <c r="A11254" s="2" t="s">
        <v>22967</v>
      </c>
      <c r="B11254" s="2" t="s">
        <v>22968</v>
      </c>
      <c r="C11254" s="2" t="s">
        <v>5</v>
      </c>
      <c r="D11254" s="2" t="s">
        <v>98</v>
      </c>
      <c r="E11254" s="2" t="str">
        <f>"9783662664575"</f>
        <v>9783662664575</v>
      </c>
      <c r="F11254" s="2" t="str">
        <f>"9783662664582"</f>
        <v>9783662664582</v>
      </c>
    </row>
    <row r="11255" spans="1:6" s="3" customFormat="1" ht="29.1" customHeight="1" x14ac:dyDescent="0.25">
      <c r="A11255" s="2" t="s">
        <v>22969</v>
      </c>
      <c r="B11255" s="2" t="s">
        <v>22970</v>
      </c>
      <c r="C11255" s="2" t="s">
        <v>5</v>
      </c>
      <c r="D11255" s="2" t="s">
        <v>37</v>
      </c>
      <c r="E11255" s="2" t="str">
        <f>"9789811982408"</f>
        <v>9789811982408</v>
      </c>
      <c r="F11255" s="2" t="str">
        <f>"9789811982415"</f>
        <v>9789811982415</v>
      </c>
    </row>
    <row r="11256" spans="1:6" s="3" customFormat="1" ht="29.1" customHeight="1" x14ac:dyDescent="0.25">
      <c r="A11256" s="2" t="s">
        <v>22971</v>
      </c>
      <c r="B11256" s="2" t="s">
        <v>22972</v>
      </c>
      <c r="C11256" s="2" t="s">
        <v>5</v>
      </c>
      <c r="D11256" s="2" t="s">
        <v>49</v>
      </c>
      <c r="E11256" s="2" t="str">
        <f>"9789811980350"</f>
        <v>9789811980350</v>
      </c>
      <c r="F11256" s="2" t="str">
        <f>"9789811980367"</f>
        <v>9789811980367</v>
      </c>
    </row>
    <row r="11257" spans="1:6" s="3" customFormat="1" ht="29.1" customHeight="1" x14ac:dyDescent="0.25">
      <c r="A11257" s="2" t="s">
        <v>22973</v>
      </c>
      <c r="B11257" s="2" t="s">
        <v>22974</v>
      </c>
      <c r="C11257" s="2" t="s">
        <v>5</v>
      </c>
      <c r="D11257" s="2" t="s">
        <v>15</v>
      </c>
      <c r="E11257" s="2" t="str">
        <f>"9783658397722"</f>
        <v>9783658397722</v>
      </c>
      <c r="F11257" s="2" t="str">
        <f>"9783658397739"</f>
        <v>9783658397739</v>
      </c>
    </row>
    <row r="11258" spans="1:6" s="3" customFormat="1" ht="29.1" customHeight="1" x14ac:dyDescent="0.25">
      <c r="A11258" s="2" t="s">
        <v>14442</v>
      </c>
      <c r="B11258" s="2" t="s">
        <v>22975</v>
      </c>
      <c r="C11258" s="2" t="s">
        <v>5</v>
      </c>
      <c r="D11258" s="2" t="s">
        <v>490</v>
      </c>
      <c r="E11258" s="2" t="str">
        <f>"9789811979842"</f>
        <v>9789811979842</v>
      </c>
      <c r="F11258" s="2" t="str">
        <f>"9789811979859"</f>
        <v>9789811979859</v>
      </c>
    </row>
    <row r="11259" spans="1:6" s="3" customFormat="1" ht="29.1" customHeight="1" x14ac:dyDescent="0.25">
      <c r="A11259" s="2" t="s">
        <v>22976</v>
      </c>
      <c r="B11259" s="2" t="s">
        <v>22977</v>
      </c>
      <c r="C11259" s="2" t="s">
        <v>5</v>
      </c>
      <c r="D11259" s="2" t="s">
        <v>2139</v>
      </c>
      <c r="E11259" s="2" t="str">
        <f>"9783658397609"</f>
        <v>9783658397609</v>
      </c>
      <c r="F11259" s="2" t="str">
        <f>"9783658397616"</f>
        <v>9783658397616</v>
      </c>
    </row>
    <row r="11260" spans="1:6" s="3" customFormat="1" ht="29.1" customHeight="1" x14ac:dyDescent="0.25">
      <c r="A11260" s="2" t="s">
        <v>22978</v>
      </c>
      <c r="B11260" s="2" t="s">
        <v>22979</v>
      </c>
      <c r="C11260" s="2" t="s">
        <v>5</v>
      </c>
      <c r="D11260" s="2" t="s">
        <v>1189</v>
      </c>
      <c r="E11260" s="2" t="str">
        <f>"9783031208843"</f>
        <v>9783031208843</v>
      </c>
      <c r="F11260" s="2" t="str">
        <f>"9783031208850"</f>
        <v>9783031208850</v>
      </c>
    </row>
    <row r="11261" spans="1:6" s="3" customFormat="1" ht="29.1" customHeight="1" x14ac:dyDescent="0.25">
      <c r="A11261" s="2" t="s">
        <v>22980</v>
      </c>
      <c r="B11261" s="2" t="s">
        <v>22981</v>
      </c>
      <c r="C11261" s="2" t="s">
        <v>5</v>
      </c>
      <c r="D11261" s="2" t="s">
        <v>636</v>
      </c>
      <c r="E11261" s="2" t="str">
        <f>"9783658396367"</f>
        <v>9783658396367</v>
      </c>
      <c r="F11261" s="2" t="str">
        <f>"9783658396374"</f>
        <v>9783658396374</v>
      </c>
    </row>
    <row r="11262" spans="1:6" s="3" customFormat="1" ht="29.1" customHeight="1" x14ac:dyDescent="0.25">
      <c r="A11262" s="2" t="s">
        <v>22982</v>
      </c>
      <c r="B11262" s="2" t="s">
        <v>20417</v>
      </c>
      <c r="C11262" s="2" t="s">
        <v>5</v>
      </c>
      <c r="D11262" s="2" t="s">
        <v>712</v>
      </c>
      <c r="E11262" s="2" t="str">
        <f>"9783658396282"</f>
        <v>9783658396282</v>
      </c>
      <c r="F11262" s="2" t="str">
        <f>"9783658396299"</f>
        <v>9783658396299</v>
      </c>
    </row>
    <row r="11263" spans="1:6" s="3" customFormat="1" ht="29.1" customHeight="1" x14ac:dyDescent="0.25">
      <c r="A11263" s="2" t="s">
        <v>22983</v>
      </c>
      <c r="B11263" s="2" t="s">
        <v>22984</v>
      </c>
      <c r="C11263" s="2" t="s">
        <v>5</v>
      </c>
      <c r="D11263" s="2" t="s">
        <v>297</v>
      </c>
      <c r="E11263" s="2" t="str">
        <f>"9783658395810"</f>
        <v>9783658395810</v>
      </c>
      <c r="F11263" s="2" t="str">
        <f>"9783658395827"</f>
        <v>9783658395827</v>
      </c>
    </row>
    <row r="11264" spans="1:6" s="3" customFormat="1" ht="29.1" customHeight="1" x14ac:dyDescent="0.25">
      <c r="A11264" s="2" t="s">
        <v>22985</v>
      </c>
      <c r="B11264" s="2" t="s">
        <v>22986</v>
      </c>
      <c r="C11264" s="2" t="s">
        <v>5</v>
      </c>
      <c r="D11264" s="2" t="s">
        <v>509</v>
      </c>
      <c r="E11264" s="2" t="str">
        <f>"9783658395605"</f>
        <v>9783658395605</v>
      </c>
      <c r="F11264" s="2" t="str">
        <f>"9783658395612"</f>
        <v>9783658395612</v>
      </c>
    </row>
    <row r="11265" spans="1:6" s="3" customFormat="1" ht="29.1" customHeight="1" x14ac:dyDescent="0.25">
      <c r="A11265" s="2" t="s">
        <v>22987</v>
      </c>
      <c r="B11265" s="2" t="s">
        <v>22988</v>
      </c>
      <c r="C11265" s="2" t="s">
        <v>5</v>
      </c>
      <c r="D11265" s="2" t="s">
        <v>86</v>
      </c>
      <c r="E11265" s="2" t="str">
        <f>"9783031198557"</f>
        <v>9783031198557</v>
      </c>
      <c r="F11265" s="2" t="str">
        <f>"9783031198564"</f>
        <v>9783031198564</v>
      </c>
    </row>
    <row r="11266" spans="1:6" s="3" customFormat="1" ht="29.1" customHeight="1" x14ac:dyDescent="0.25">
      <c r="A11266" s="2" t="s">
        <v>22989</v>
      </c>
      <c r="B11266" s="2" t="s">
        <v>22990</v>
      </c>
      <c r="C11266" s="2" t="s">
        <v>5</v>
      </c>
      <c r="D11266" s="2" t="s">
        <v>178</v>
      </c>
      <c r="E11266" s="2" t="str">
        <f>"9783662663004"</f>
        <v>9783662663004</v>
      </c>
      <c r="F11266" s="2" t="str">
        <f>"9783662663011"</f>
        <v>9783662663011</v>
      </c>
    </row>
    <row r="11267" spans="1:6" s="3" customFormat="1" ht="29.1" customHeight="1" x14ac:dyDescent="0.25">
      <c r="A11267" s="2" t="s">
        <v>22991</v>
      </c>
      <c r="B11267" s="2" t="s">
        <v>22992</v>
      </c>
      <c r="C11267" s="2" t="s">
        <v>5</v>
      </c>
      <c r="D11267" s="2" t="s">
        <v>2008</v>
      </c>
      <c r="E11267" s="2" t="str">
        <f>"9783658394868"</f>
        <v>9783658394868</v>
      </c>
      <c r="F11267" s="2" t="str">
        <f>"9783658394875"</f>
        <v>9783658394875</v>
      </c>
    </row>
    <row r="11268" spans="1:6" s="3" customFormat="1" ht="29.1" customHeight="1" x14ac:dyDescent="0.25">
      <c r="A11268" s="2" t="s">
        <v>22993</v>
      </c>
      <c r="B11268" s="2" t="s">
        <v>22994</v>
      </c>
      <c r="C11268" s="2" t="s">
        <v>5</v>
      </c>
      <c r="D11268" s="2" t="s">
        <v>2045</v>
      </c>
      <c r="E11268" s="2" t="str">
        <f>"9783658394431"</f>
        <v>9783658394431</v>
      </c>
      <c r="F11268" s="2" t="str">
        <f>"9783658394448"</f>
        <v>9783658394448</v>
      </c>
    </row>
    <row r="11269" spans="1:6" s="3" customFormat="1" ht="29.1" customHeight="1" x14ac:dyDescent="0.25">
      <c r="A11269" s="2" t="s">
        <v>22995</v>
      </c>
      <c r="B11269" s="2" t="s">
        <v>22356</v>
      </c>
      <c r="C11269" s="2" t="s">
        <v>5</v>
      </c>
      <c r="D11269" s="2" t="s">
        <v>547</v>
      </c>
      <c r="E11269" s="2" t="str">
        <f>"9783031189227"</f>
        <v>9783031189227</v>
      </c>
      <c r="F11269" s="2" t="str">
        <f>"9783031189234"</f>
        <v>9783031189234</v>
      </c>
    </row>
    <row r="11270" spans="1:6" s="3" customFormat="1" ht="29.1" customHeight="1" x14ac:dyDescent="0.25">
      <c r="A11270" s="2" t="s">
        <v>22996</v>
      </c>
      <c r="B11270" s="2" t="s">
        <v>22972</v>
      </c>
      <c r="C11270" s="2" t="s">
        <v>5</v>
      </c>
      <c r="D11270" s="2" t="s">
        <v>49</v>
      </c>
      <c r="E11270" s="2" t="str">
        <f>"9789811972805"</f>
        <v>9789811972805</v>
      </c>
      <c r="F11270" s="2" t="str">
        <f>"9789811972812"</f>
        <v>9789811972812</v>
      </c>
    </row>
    <row r="11271" spans="1:6" s="3" customFormat="1" ht="29.1" customHeight="1" x14ac:dyDescent="0.25">
      <c r="A11271" s="2" t="s">
        <v>22997</v>
      </c>
      <c r="B11271" s="2" t="s">
        <v>22998</v>
      </c>
      <c r="C11271" s="2" t="s">
        <v>5</v>
      </c>
      <c r="D11271" s="2" t="s">
        <v>1809</v>
      </c>
      <c r="E11271" s="2" t="str">
        <f>"9783031186660"</f>
        <v>9783031186660</v>
      </c>
      <c r="F11271" s="2" t="str">
        <f>"9783031186677"</f>
        <v>9783031186677</v>
      </c>
    </row>
    <row r="11272" spans="1:6" s="3" customFormat="1" ht="29.1" customHeight="1" x14ac:dyDescent="0.25">
      <c r="A11272" s="2" t="s">
        <v>22999</v>
      </c>
      <c r="B11272" s="2" t="s">
        <v>23000</v>
      </c>
      <c r="C11272" s="2" t="s">
        <v>5</v>
      </c>
      <c r="D11272" s="2" t="s">
        <v>20602</v>
      </c>
      <c r="E11272" s="2" t="str">
        <f>"9783031176920"</f>
        <v>9783031176920</v>
      </c>
      <c r="F11272" s="2" t="str">
        <f>"9783031176937"</f>
        <v>9783031176937</v>
      </c>
    </row>
    <row r="11273" spans="1:6" s="3" customFormat="1" ht="29.1" customHeight="1" x14ac:dyDescent="0.25">
      <c r="A11273" s="2" t="s">
        <v>23001</v>
      </c>
      <c r="B11273" s="2" t="s">
        <v>23002</v>
      </c>
      <c r="C11273" s="2" t="s">
        <v>5</v>
      </c>
      <c r="D11273" s="2" t="s">
        <v>183</v>
      </c>
      <c r="E11273" s="2" t="str">
        <f>"9783031176814"</f>
        <v>9783031176814</v>
      </c>
      <c r="F11273" s="2" t="str">
        <f>"9783031176821"</f>
        <v>9783031176821</v>
      </c>
    </row>
    <row r="11274" spans="1:6" s="3" customFormat="1" ht="29.1" customHeight="1" x14ac:dyDescent="0.25">
      <c r="A11274" s="2" t="s">
        <v>23003</v>
      </c>
      <c r="B11274" s="2" t="s">
        <v>23004</v>
      </c>
      <c r="C11274" s="2" t="s">
        <v>5</v>
      </c>
      <c r="D11274" s="2" t="s">
        <v>8642</v>
      </c>
      <c r="E11274" s="2" t="str">
        <f>"9783658392840"</f>
        <v>9783658392840</v>
      </c>
      <c r="F11274" s="2" t="str">
        <f>"9783658392857"</f>
        <v>9783658392857</v>
      </c>
    </row>
    <row r="11275" spans="1:6" s="3" customFormat="1" ht="29.1" customHeight="1" x14ac:dyDescent="0.25">
      <c r="A11275" s="2" t="s">
        <v>23005</v>
      </c>
      <c r="B11275" s="2" t="s">
        <v>23006</v>
      </c>
      <c r="C11275" s="2" t="s">
        <v>5</v>
      </c>
      <c r="D11275" s="2" t="s">
        <v>183</v>
      </c>
      <c r="E11275" s="2" t="str">
        <f>"9783658392581"</f>
        <v>9783658392581</v>
      </c>
      <c r="F11275" s="2" t="str">
        <f>"9783658392598"</f>
        <v>9783658392598</v>
      </c>
    </row>
    <row r="11276" spans="1:6" s="3" customFormat="1" ht="29.1" customHeight="1" x14ac:dyDescent="0.25">
      <c r="A11276" s="2" t="s">
        <v>23007</v>
      </c>
      <c r="B11276" s="2" t="s">
        <v>23008</v>
      </c>
      <c r="C11276" s="2" t="s">
        <v>5</v>
      </c>
      <c r="D11276" s="2" t="s">
        <v>984</v>
      </c>
      <c r="E11276" s="2" t="str">
        <f>"9783658392505"</f>
        <v>9783658392505</v>
      </c>
      <c r="F11276" s="2" t="str">
        <f>"9783658392512"</f>
        <v>9783658392512</v>
      </c>
    </row>
    <row r="11277" spans="1:6" s="3" customFormat="1" ht="29.1" customHeight="1" x14ac:dyDescent="0.25">
      <c r="A11277" s="2" t="s">
        <v>23009</v>
      </c>
      <c r="B11277" s="2" t="s">
        <v>23010</v>
      </c>
      <c r="C11277" s="2" t="s">
        <v>5</v>
      </c>
      <c r="D11277" s="2" t="s">
        <v>674</v>
      </c>
      <c r="E11277" s="2" t="str">
        <f>"9789811967511"</f>
        <v>9789811967511</v>
      </c>
      <c r="F11277" s="2" t="str">
        <f>"9789811967528"</f>
        <v>9789811967528</v>
      </c>
    </row>
    <row r="11278" spans="1:6" s="3" customFormat="1" ht="29.1" customHeight="1" x14ac:dyDescent="0.25">
      <c r="A11278" s="2" t="s">
        <v>23011</v>
      </c>
      <c r="B11278" s="2" t="s">
        <v>23012</v>
      </c>
      <c r="C11278" s="2" t="s">
        <v>5</v>
      </c>
      <c r="D11278" s="2" t="s">
        <v>6875</v>
      </c>
      <c r="E11278" s="2" t="str">
        <f>"9781484288528"</f>
        <v>9781484288528</v>
      </c>
      <c r="F11278" s="2" t="str">
        <f>"9781484288535"</f>
        <v>9781484288535</v>
      </c>
    </row>
    <row r="11279" spans="1:6" s="3" customFormat="1" ht="29.1" customHeight="1" x14ac:dyDescent="0.25">
      <c r="A11279" s="2" t="s">
        <v>23013</v>
      </c>
      <c r="B11279" s="2" t="s">
        <v>23014</v>
      </c>
      <c r="C11279" s="2" t="s">
        <v>5</v>
      </c>
      <c r="D11279" s="2" t="s">
        <v>168</v>
      </c>
      <c r="E11279" s="2" t="str">
        <f>"9789811967221"</f>
        <v>9789811967221</v>
      </c>
      <c r="F11279" s="2" t="str">
        <f>"9789811967238"</f>
        <v>9789811967238</v>
      </c>
    </row>
    <row r="11280" spans="1:6" s="3" customFormat="1" ht="29.1" customHeight="1" x14ac:dyDescent="0.25">
      <c r="A11280" s="2" t="s">
        <v>23015</v>
      </c>
      <c r="B11280" s="2" t="s">
        <v>23016</v>
      </c>
      <c r="C11280" s="2" t="s">
        <v>5</v>
      </c>
      <c r="D11280" s="2" t="s">
        <v>294</v>
      </c>
      <c r="E11280" s="2" t="str">
        <f>"9783031170836"</f>
        <v>9783031170836</v>
      </c>
      <c r="F11280" s="2" t="str">
        <f>"9783031170843"</f>
        <v>9783031170843</v>
      </c>
    </row>
    <row r="11281" spans="1:6" s="3" customFormat="1" ht="29.1" customHeight="1" x14ac:dyDescent="0.25">
      <c r="A11281" s="2" t="s">
        <v>23017</v>
      </c>
      <c r="B11281" s="2" t="s">
        <v>23018</v>
      </c>
      <c r="C11281" s="2" t="s">
        <v>5</v>
      </c>
      <c r="D11281" s="2" t="s">
        <v>4739</v>
      </c>
      <c r="E11281" s="2" t="str">
        <f>"9783662661307"</f>
        <v>9783662661307</v>
      </c>
      <c r="F11281" s="2" t="str">
        <f>"9783662661314"</f>
        <v>9783662661314</v>
      </c>
    </row>
    <row r="11282" spans="1:6" s="3" customFormat="1" ht="29.1" customHeight="1" x14ac:dyDescent="0.25">
      <c r="A11282" s="2" t="s">
        <v>23019</v>
      </c>
      <c r="B11282" s="2" t="s">
        <v>23018</v>
      </c>
      <c r="C11282" s="2" t="s">
        <v>5</v>
      </c>
      <c r="D11282" s="2" t="s">
        <v>4739</v>
      </c>
      <c r="E11282" s="2" t="str">
        <f>"9783662661321"</f>
        <v>9783662661321</v>
      </c>
      <c r="F11282" s="2" t="str">
        <f>"9783662661338"</f>
        <v>9783662661338</v>
      </c>
    </row>
    <row r="11283" spans="1:6" s="3" customFormat="1" ht="29.1" customHeight="1" x14ac:dyDescent="0.25">
      <c r="A11283" s="2" t="s">
        <v>23020</v>
      </c>
      <c r="B11283" s="2" t="s">
        <v>23021</v>
      </c>
      <c r="C11283" s="2" t="s">
        <v>5</v>
      </c>
      <c r="D11283" s="2" t="s">
        <v>712</v>
      </c>
      <c r="E11283" s="2" t="str">
        <f>"9783031167553"</f>
        <v>9783031167553</v>
      </c>
      <c r="F11283" s="2" t="str">
        <f>"9783031167560"</f>
        <v>9783031167560</v>
      </c>
    </row>
    <row r="11284" spans="1:6" s="3" customFormat="1" ht="29.1" customHeight="1" x14ac:dyDescent="0.25">
      <c r="A11284" s="2" t="s">
        <v>23022</v>
      </c>
      <c r="B11284" s="2" t="s">
        <v>23023</v>
      </c>
      <c r="C11284" s="2" t="s">
        <v>5</v>
      </c>
      <c r="D11284" s="2" t="s">
        <v>12</v>
      </c>
      <c r="E11284" s="2" t="str">
        <f>"9783031167072"</f>
        <v>9783031167072</v>
      </c>
      <c r="F11284" s="2" t="str">
        <f>"9783031167089"</f>
        <v>9783031167089</v>
      </c>
    </row>
    <row r="11285" spans="1:6" s="3" customFormat="1" ht="29.1" customHeight="1" x14ac:dyDescent="0.25">
      <c r="A11285" s="2" t="s">
        <v>23024</v>
      </c>
      <c r="B11285" s="2" t="s">
        <v>23025</v>
      </c>
      <c r="C11285" s="2" t="s">
        <v>5</v>
      </c>
      <c r="D11285" s="2" t="s">
        <v>189</v>
      </c>
      <c r="E11285" s="2" t="str">
        <f>"9783031166587"</f>
        <v>9783031166587</v>
      </c>
      <c r="F11285" s="2" t="str">
        <f>"9783031166594"</f>
        <v>9783031166594</v>
      </c>
    </row>
    <row r="11286" spans="1:6" s="3" customFormat="1" ht="29.1" customHeight="1" x14ac:dyDescent="0.25">
      <c r="A11286" s="2" t="s">
        <v>23026</v>
      </c>
      <c r="B11286" s="2" t="s">
        <v>23027</v>
      </c>
      <c r="C11286" s="2" t="s">
        <v>5</v>
      </c>
      <c r="D11286" s="2" t="s">
        <v>5228</v>
      </c>
      <c r="E11286" s="2" t="str">
        <f>"9783031166235"</f>
        <v>9783031166235</v>
      </c>
      <c r="F11286" s="2" t="str">
        <f>"9783031166242"</f>
        <v>9783031166242</v>
      </c>
    </row>
    <row r="11287" spans="1:6" s="3" customFormat="1" ht="29.1" customHeight="1" x14ac:dyDescent="0.25">
      <c r="A11287" s="2" t="s">
        <v>23028</v>
      </c>
      <c r="B11287" s="2" t="s">
        <v>19794</v>
      </c>
      <c r="C11287" s="2" t="s">
        <v>5</v>
      </c>
      <c r="D11287" s="2" t="s">
        <v>3489</v>
      </c>
      <c r="E11287" s="2" t="str">
        <f>"9783662660560"</f>
        <v>9783662660560</v>
      </c>
      <c r="F11287" s="2" t="str">
        <f>"9783662660577"</f>
        <v>9783662660577</v>
      </c>
    </row>
    <row r="11288" spans="1:6" s="3" customFormat="1" ht="29.1" customHeight="1" x14ac:dyDescent="0.25">
      <c r="A11288" s="2" t="s">
        <v>23029</v>
      </c>
      <c r="B11288" s="2" t="s">
        <v>23030</v>
      </c>
      <c r="C11288" s="2" t="s">
        <v>5</v>
      </c>
      <c r="D11288" s="2" t="s">
        <v>479</v>
      </c>
      <c r="E11288" s="2" t="str">
        <f>"9783031157028"</f>
        <v>9783031157028</v>
      </c>
      <c r="F11288" s="2" t="str">
        <f>"9783031157035"</f>
        <v>9783031157035</v>
      </c>
    </row>
    <row r="11289" spans="1:6" s="3" customFormat="1" ht="29.1" customHeight="1" x14ac:dyDescent="0.25">
      <c r="A11289" s="2" t="s">
        <v>23031</v>
      </c>
      <c r="B11289" s="2" t="s">
        <v>23032</v>
      </c>
      <c r="C11289" s="2" t="s">
        <v>5</v>
      </c>
      <c r="D11289" s="2" t="s">
        <v>2008</v>
      </c>
      <c r="E11289" s="2" t="str">
        <f>"9783031154508"</f>
        <v>9783031154508</v>
      </c>
      <c r="F11289" s="2" t="str">
        <f>"9783031154515"</f>
        <v>9783031154515</v>
      </c>
    </row>
    <row r="11290" spans="1:6" s="3" customFormat="1" ht="29.1" customHeight="1" x14ac:dyDescent="0.25">
      <c r="A11290" s="2" t="s">
        <v>23033</v>
      </c>
      <c r="B11290" s="2" t="s">
        <v>23034</v>
      </c>
      <c r="C11290" s="2" t="s">
        <v>5</v>
      </c>
      <c r="D11290" s="2" t="s">
        <v>98</v>
      </c>
      <c r="E11290" s="2" t="str">
        <f>"9783658389574"</f>
        <v>9783658389574</v>
      </c>
      <c r="F11290" s="2" t="str">
        <f>"9783658389581"</f>
        <v>9783658389581</v>
      </c>
    </row>
    <row r="11291" spans="1:6" s="3" customFormat="1" ht="29.1" customHeight="1" x14ac:dyDescent="0.25">
      <c r="A11291" s="2" t="s">
        <v>23035</v>
      </c>
      <c r="B11291" s="2" t="s">
        <v>23036</v>
      </c>
      <c r="C11291" s="2" t="s">
        <v>5</v>
      </c>
      <c r="D11291" s="2" t="s">
        <v>2517</v>
      </c>
      <c r="E11291" s="2" t="str">
        <f>"9783658389444"</f>
        <v>9783658389444</v>
      </c>
      <c r="F11291" s="2" t="str">
        <f>"9783658389451"</f>
        <v>9783658389451</v>
      </c>
    </row>
    <row r="11292" spans="1:6" s="3" customFormat="1" ht="29.1" customHeight="1" x14ac:dyDescent="0.25">
      <c r="A11292" s="2" t="s">
        <v>23037</v>
      </c>
      <c r="B11292" s="2" t="s">
        <v>23038</v>
      </c>
      <c r="C11292" s="2" t="s">
        <v>5</v>
      </c>
      <c r="D11292" s="2" t="s">
        <v>1245</v>
      </c>
      <c r="E11292" s="2" t="str">
        <f>"9783662659632"</f>
        <v>9783662659632</v>
      </c>
      <c r="F11292" s="2" t="str">
        <f>"9783662659649"</f>
        <v>9783662659649</v>
      </c>
    </row>
    <row r="11293" spans="1:6" s="3" customFormat="1" ht="29.1" customHeight="1" x14ac:dyDescent="0.25">
      <c r="A11293" s="2" t="s">
        <v>23039</v>
      </c>
      <c r="B11293" s="2" t="s">
        <v>23040</v>
      </c>
      <c r="C11293" s="2" t="s">
        <v>5</v>
      </c>
      <c r="D11293" s="2" t="s">
        <v>2880</v>
      </c>
      <c r="E11293" s="2" t="str">
        <f>"9789811957543"</f>
        <v>9789811957543</v>
      </c>
      <c r="F11293" s="2" t="str">
        <f>"9789811957550"</f>
        <v>9789811957550</v>
      </c>
    </row>
    <row r="11294" spans="1:6" s="3" customFormat="1" ht="29.1" customHeight="1" x14ac:dyDescent="0.25">
      <c r="A11294" s="2" t="s">
        <v>23041</v>
      </c>
      <c r="B11294" s="2" t="s">
        <v>23042</v>
      </c>
      <c r="C11294" s="2" t="s">
        <v>5</v>
      </c>
      <c r="D11294" s="2" t="s">
        <v>1463</v>
      </c>
      <c r="E11294" s="2" t="str">
        <f>"9783031146442"</f>
        <v>9783031146442</v>
      </c>
      <c r="F11294" s="2" t="str">
        <f>"9783031146459"</f>
        <v>9783031146459</v>
      </c>
    </row>
    <row r="11295" spans="1:6" s="3" customFormat="1" ht="29.1" customHeight="1" x14ac:dyDescent="0.25">
      <c r="A11295" s="2" t="s">
        <v>23043</v>
      </c>
      <c r="B11295" s="2" t="s">
        <v>23044</v>
      </c>
      <c r="C11295" s="2" t="s">
        <v>5</v>
      </c>
      <c r="D11295" s="2" t="s">
        <v>63</v>
      </c>
      <c r="E11295" s="2" t="str">
        <f>"9783031145162"</f>
        <v>9783031145162</v>
      </c>
      <c r="F11295" s="2" t="str">
        <f>"9783031145179"</f>
        <v>9783031145179</v>
      </c>
    </row>
    <row r="11296" spans="1:6" s="3" customFormat="1" ht="29.1" customHeight="1" x14ac:dyDescent="0.25">
      <c r="A11296" s="2" t="s">
        <v>23045</v>
      </c>
      <c r="B11296" s="2" t="s">
        <v>23046</v>
      </c>
      <c r="C11296" s="2" t="s">
        <v>5</v>
      </c>
      <c r="D11296" s="2" t="s">
        <v>192</v>
      </c>
      <c r="E11296" s="2" t="str">
        <f>"9783031142154"</f>
        <v>9783031142154</v>
      </c>
      <c r="F11296" s="2" t="str">
        <f>"9783031142161"</f>
        <v>9783031142161</v>
      </c>
    </row>
    <row r="11297" spans="1:6" s="3" customFormat="1" ht="29.1" customHeight="1" x14ac:dyDescent="0.25">
      <c r="A11297" s="2" t="s">
        <v>23047</v>
      </c>
      <c r="B11297" s="2" t="s">
        <v>23048</v>
      </c>
      <c r="C11297" s="2" t="s">
        <v>5</v>
      </c>
      <c r="D11297" s="2" t="s">
        <v>537</v>
      </c>
      <c r="E11297" s="2" t="str">
        <f>"9783031138461"</f>
        <v>9783031138461</v>
      </c>
      <c r="F11297" s="2" t="str">
        <f>"9783031138478"</f>
        <v>9783031138478</v>
      </c>
    </row>
    <row r="11298" spans="1:6" s="3" customFormat="1" ht="29.1" customHeight="1" x14ac:dyDescent="0.25">
      <c r="A11298" s="2" t="s">
        <v>23049</v>
      </c>
      <c r="B11298" s="2" t="s">
        <v>8028</v>
      </c>
      <c r="C11298" s="2" t="s">
        <v>5</v>
      </c>
      <c r="D11298" s="2" t="s">
        <v>4739</v>
      </c>
      <c r="E11298" s="2" t="str">
        <f>"9783031135651"</f>
        <v>9783031135651</v>
      </c>
      <c r="F11298" s="2" t="str">
        <f>"9783031135668"</f>
        <v>9783031135668</v>
      </c>
    </row>
    <row r="11299" spans="1:6" s="3" customFormat="1" ht="29.1" customHeight="1" x14ac:dyDescent="0.25">
      <c r="A11299" s="2" t="s">
        <v>23050</v>
      </c>
      <c r="B11299" s="2" t="s">
        <v>23051</v>
      </c>
      <c r="C11299" s="2" t="s">
        <v>5</v>
      </c>
      <c r="D11299" s="2" t="s">
        <v>270</v>
      </c>
      <c r="E11299" s="2" t="str">
        <f>"9783031135507"</f>
        <v>9783031135507</v>
      </c>
      <c r="F11299" s="2" t="str">
        <f>"9783031135514"</f>
        <v>9783031135514</v>
      </c>
    </row>
    <row r="11300" spans="1:6" s="3" customFormat="1" ht="29.1" customHeight="1" x14ac:dyDescent="0.25">
      <c r="A11300" s="2" t="s">
        <v>23052</v>
      </c>
      <c r="B11300" s="2" t="s">
        <v>23053</v>
      </c>
      <c r="C11300" s="2" t="s">
        <v>5</v>
      </c>
      <c r="D11300" s="2" t="s">
        <v>553</v>
      </c>
      <c r="E11300" s="2" t="str">
        <f>"9783658387020"</f>
        <v>9783658387020</v>
      </c>
      <c r="F11300" s="2" t="str">
        <f>"9783658387037"</f>
        <v>9783658387037</v>
      </c>
    </row>
    <row r="11301" spans="1:6" s="3" customFormat="1" ht="29.1" customHeight="1" x14ac:dyDescent="0.25">
      <c r="A11301" s="2" t="s">
        <v>23054</v>
      </c>
      <c r="B11301" s="2" t="s">
        <v>23055</v>
      </c>
      <c r="C11301" s="2" t="s">
        <v>5</v>
      </c>
      <c r="D11301" s="2" t="s">
        <v>342</v>
      </c>
      <c r="E11301" s="2" t="str">
        <f>"9783031133138"</f>
        <v>9783031133138</v>
      </c>
      <c r="F11301" s="2" t="str">
        <f>"9783031133145"</f>
        <v>9783031133145</v>
      </c>
    </row>
    <row r="11302" spans="1:6" s="3" customFormat="1" ht="29.1" customHeight="1" x14ac:dyDescent="0.25">
      <c r="A11302" s="2" t="s">
        <v>23056</v>
      </c>
      <c r="B11302" s="2" t="s">
        <v>23057</v>
      </c>
      <c r="C11302" s="2" t="s">
        <v>5</v>
      </c>
      <c r="D11302" s="2" t="s">
        <v>192</v>
      </c>
      <c r="E11302" s="2" t="str">
        <f>"9783031132636"</f>
        <v>9783031132636</v>
      </c>
      <c r="F11302" s="2" t="str">
        <f>"9783031132643"</f>
        <v>9783031132643</v>
      </c>
    </row>
    <row r="11303" spans="1:6" s="3" customFormat="1" ht="29.1" customHeight="1" x14ac:dyDescent="0.25">
      <c r="A11303" s="2" t="s">
        <v>23058</v>
      </c>
      <c r="B11303" s="2" t="s">
        <v>23059</v>
      </c>
      <c r="C11303" s="2" t="s">
        <v>5</v>
      </c>
      <c r="D11303" s="2" t="s">
        <v>378</v>
      </c>
      <c r="E11303" s="2" t="str">
        <f>"9783031132759"</f>
        <v>9783031132759</v>
      </c>
      <c r="F11303" s="2" t="str">
        <f>"9783031132766"</f>
        <v>9783031132766</v>
      </c>
    </row>
    <row r="11304" spans="1:6" s="3" customFormat="1" ht="29.1" customHeight="1" x14ac:dyDescent="0.25">
      <c r="A11304" s="2" t="s">
        <v>23060</v>
      </c>
      <c r="B11304" s="2" t="s">
        <v>23061</v>
      </c>
      <c r="C11304" s="2" t="s">
        <v>5</v>
      </c>
      <c r="D11304" s="2" t="s">
        <v>1557</v>
      </c>
      <c r="E11304" s="2" t="str">
        <f>"9783031130700"</f>
        <v>9783031130700</v>
      </c>
      <c r="F11304" s="2" t="str">
        <f>"9783031130717"</f>
        <v>9783031130717</v>
      </c>
    </row>
    <row r="11305" spans="1:6" s="3" customFormat="1" ht="29.1" customHeight="1" x14ac:dyDescent="0.25">
      <c r="A11305" s="2" t="s">
        <v>23062</v>
      </c>
      <c r="B11305" s="2" t="s">
        <v>23063</v>
      </c>
      <c r="C11305" s="2" t="s">
        <v>5</v>
      </c>
      <c r="D11305" s="2" t="s">
        <v>9</v>
      </c>
      <c r="E11305" s="2" t="str">
        <f>"9783658386504"</f>
        <v>9783658386504</v>
      </c>
      <c r="F11305" s="2" t="str">
        <f>"9783658386511"</f>
        <v>9783658386511</v>
      </c>
    </row>
    <row r="11306" spans="1:6" s="3" customFormat="1" ht="29.1" customHeight="1" x14ac:dyDescent="0.25">
      <c r="A11306" s="2" t="s">
        <v>23064</v>
      </c>
      <c r="B11306" s="2" t="s">
        <v>19780</v>
      </c>
      <c r="C11306" s="2" t="s">
        <v>5</v>
      </c>
      <c r="D11306" s="2" t="s">
        <v>192</v>
      </c>
      <c r="E11306" s="2" t="str">
        <f>"9783031127137"</f>
        <v>9783031127137</v>
      </c>
      <c r="F11306" s="2" t="str">
        <f>"9783031127144"</f>
        <v>9783031127144</v>
      </c>
    </row>
    <row r="11307" spans="1:6" s="3" customFormat="1" ht="29.1" customHeight="1" x14ac:dyDescent="0.25">
      <c r="A11307" s="2" t="s">
        <v>23065</v>
      </c>
      <c r="B11307" s="2" t="s">
        <v>23066</v>
      </c>
      <c r="C11307" s="2" t="s">
        <v>5</v>
      </c>
      <c r="D11307" s="2" t="s">
        <v>52</v>
      </c>
      <c r="E11307" s="2" t="str">
        <f>"9789811951695"</f>
        <v>9789811951695</v>
      </c>
      <c r="F11307" s="2" t="str">
        <f>"9789811951701"</f>
        <v>9789811951701</v>
      </c>
    </row>
    <row r="11308" spans="1:6" s="3" customFormat="1" ht="29.1" customHeight="1" x14ac:dyDescent="0.25">
      <c r="A11308" s="2" t="s">
        <v>23067</v>
      </c>
      <c r="B11308" s="2" t="s">
        <v>23068</v>
      </c>
      <c r="C11308" s="2" t="s">
        <v>5</v>
      </c>
      <c r="D11308" s="2" t="s">
        <v>7970</v>
      </c>
      <c r="E11308" s="2" t="str">
        <f>"9783658384364"</f>
        <v>9783658384364</v>
      </c>
      <c r="F11308" s="2" t="str">
        <f>"9783658384371"</f>
        <v>9783658384371</v>
      </c>
    </row>
    <row r="11309" spans="1:6" s="3" customFormat="1" ht="29.1" customHeight="1" x14ac:dyDescent="0.25">
      <c r="A11309" s="2" t="s">
        <v>23069</v>
      </c>
      <c r="B11309" s="2" t="s">
        <v>23070</v>
      </c>
      <c r="C11309" s="2" t="s">
        <v>5</v>
      </c>
      <c r="D11309" s="2" t="s">
        <v>270</v>
      </c>
      <c r="E11309" s="2" t="str">
        <f>"9789811949524"</f>
        <v>9789811949524</v>
      </c>
      <c r="F11309" s="2" t="str">
        <f>"9789811949531"</f>
        <v>9789811949531</v>
      </c>
    </row>
    <row r="11310" spans="1:6" s="3" customFormat="1" ht="29.1" customHeight="1" x14ac:dyDescent="0.25">
      <c r="A11310" s="2" t="s">
        <v>23071</v>
      </c>
      <c r="B11310" s="2" t="s">
        <v>23072</v>
      </c>
      <c r="C11310" s="2" t="s">
        <v>5</v>
      </c>
      <c r="D11310" s="2" t="s">
        <v>836</v>
      </c>
      <c r="E11310" s="2" t="str">
        <f>"9789819962723"</f>
        <v>9789819962723</v>
      </c>
      <c r="F11310" s="2" t="str">
        <f>"9789819962730"</f>
        <v>9789819962730</v>
      </c>
    </row>
    <row r="11311" spans="1:6" s="3" customFormat="1" ht="29.1" customHeight="1" x14ac:dyDescent="0.25">
      <c r="A11311" s="2" t="s">
        <v>23073</v>
      </c>
      <c r="B11311" s="2" t="s">
        <v>23074</v>
      </c>
      <c r="C11311" s="2" t="s">
        <v>5</v>
      </c>
      <c r="D11311" s="2" t="s">
        <v>477</v>
      </c>
      <c r="E11311" s="2" t="str">
        <f>"9789819959280"</f>
        <v>9789819959280</v>
      </c>
      <c r="F11311" s="2" t="str">
        <f>"9789819959297"</f>
        <v>9789819959297</v>
      </c>
    </row>
    <row r="11312" spans="1:6" s="3" customFormat="1" ht="29.1" customHeight="1" x14ac:dyDescent="0.25">
      <c r="A11312" s="2" t="s">
        <v>23075</v>
      </c>
      <c r="B11312" s="2" t="s">
        <v>23076</v>
      </c>
      <c r="C11312" s="2" t="s">
        <v>5</v>
      </c>
      <c r="D11312" s="2" t="s">
        <v>13383</v>
      </c>
      <c r="E11312" s="2" t="str">
        <f>"9783031423901"</f>
        <v>9783031423901</v>
      </c>
      <c r="F11312" s="2" t="str">
        <f>"9783031423918"</f>
        <v>9783031423918</v>
      </c>
    </row>
    <row r="11313" spans="1:6" s="3" customFormat="1" ht="29.1" customHeight="1" x14ac:dyDescent="0.25">
      <c r="A11313" s="2" t="s">
        <v>23077</v>
      </c>
      <c r="B11313" s="2" t="s">
        <v>23078</v>
      </c>
      <c r="C11313" s="2" t="s">
        <v>5</v>
      </c>
      <c r="D11313" s="2" t="s">
        <v>297</v>
      </c>
      <c r="E11313" s="2" t="str">
        <f>"9789819951864"</f>
        <v>9789819951864</v>
      </c>
      <c r="F11313" s="2" t="str">
        <f>"9789819951871"</f>
        <v>9789819951871</v>
      </c>
    </row>
    <row r="11314" spans="1:6" s="3" customFormat="1" ht="29.1" customHeight="1" x14ac:dyDescent="0.25">
      <c r="A11314" s="2" t="s">
        <v>23079</v>
      </c>
      <c r="B11314" s="2" t="s">
        <v>23080</v>
      </c>
      <c r="C11314" s="2" t="s">
        <v>5</v>
      </c>
      <c r="D11314" s="2" t="s">
        <v>7341</v>
      </c>
      <c r="E11314" s="2" t="str">
        <f>"9781484296905"</f>
        <v>9781484296905</v>
      </c>
      <c r="F11314" s="2" t="str">
        <f>"9781484296912"</f>
        <v>9781484296912</v>
      </c>
    </row>
    <row r="11315" spans="1:6" s="3" customFormat="1" ht="29.1" customHeight="1" x14ac:dyDescent="0.25">
      <c r="A11315" s="2" t="s">
        <v>23081</v>
      </c>
      <c r="B11315" s="2" t="s">
        <v>23082</v>
      </c>
      <c r="C11315" s="2" t="s">
        <v>5</v>
      </c>
      <c r="D11315" s="2" t="s">
        <v>1245</v>
      </c>
      <c r="E11315" s="2" t="str">
        <f>"9789819947744"</f>
        <v>9789819947744</v>
      </c>
      <c r="F11315" s="2" t="str">
        <f>"9789819947751"</f>
        <v>9789819947751</v>
      </c>
    </row>
    <row r="11316" spans="1:6" s="3" customFormat="1" ht="29.1" customHeight="1" x14ac:dyDescent="0.25">
      <c r="A11316" s="2" t="s">
        <v>19914</v>
      </c>
      <c r="B11316" s="2" t="s">
        <v>23083</v>
      </c>
      <c r="C11316" s="2" t="s">
        <v>5</v>
      </c>
      <c r="D11316" s="2" t="s">
        <v>1071</v>
      </c>
      <c r="E11316" s="2" t="str">
        <f>"9783662677483"</f>
        <v>9783662677483</v>
      </c>
      <c r="F11316" s="2" t="str">
        <f>"9783662677490"</f>
        <v>9783662677490</v>
      </c>
    </row>
    <row r="11317" spans="1:6" s="3" customFormat="1" ht="29.1" customHeight="1" x14ac:dyDescent="0.25">
      <c r="A11317" s="2" t="s">
        <v>23084</v>
      </c>
      <c r="B11317" s="2" t="s">
        <v>23085</v>
      </c>
      <c r="C11317" s="2" t="s">
        <v>5</v>
      </c>
      <c r="D11317" s="2" t="s">
        <v>689</v>
      </c>
      <c r="E11317" s="2" t="str">
        <f>"9783031375217"</f>
        <v>9783031375217</v>
      </c>
      <c r="F11317" s="2" t="str">
        <f>"9783031375224"</f>
        <v>9783031375224</v>
      </c>
    </row>
    <row r="11318" spans="1:6" s="3" customFormat="1" ht="29.1" customHeight="1" x14ac:dyDescent="0.25">
      <c r="A11318" s="2" t="s">
        <v>23086</v>
      </c>
      <c r="B11318" s="2" t="s">
        <v>23087</v>
      </c>
      <c r="C11318" s="2" t="s">
        <v>5</v>
      </c>
      <c r="D11318" s="2" t="s">
        <v>2551</v>
      </c>
      <c r="E11318" s="2" t="str">
        <f>"9783658431181"</f>
        <v>9783658431181</v>
      </c>
      <c r="F11318" s="2" t="str">
        <f>"9783658431198"</f>
        <v>9783658431198</v>
      </c>
    </row>
    <row r="11319" spans="1:6" s="3" customFormat="1" ht="29.1" customHeight="1" x14ac:dyDescent="0.25">
      <c r="A11319" s="2" t="s">
        <v>23088</v>
      </c>
      <c r="B11319" s="2" t="s">
        <v>23089</v>
      </c>
      <c r="C11319" s="2" t="s">
        <v>5</v>
      </c>
      <c r="D11319" s="2" t="s">
        <v>2861</v>
      </c>
      <c r="E11319" s="2" t="str">
        <f>"9783031439520"</f>
        <v>9783031439520</v>
      </c>
      <c r="F11319" s="2" t="str">
        <f>"9783031439537"</f>
        <v>9783031439537</v>
      </c>
    </row>
    <row r="11320" spans="1:6" s="3" customFormat="1" ht="29.1" customHeight="1" x14ac:dyDescent="0.25">
      <c r="A11320" s="2" t="s">
        <v>23090</v>
      </c>
      <c r="B11320" s="2" t="s">
        <v>23091</v>
      </c>
      <c r="C11320" s="2" t="s">
        <v>5</v>
      </c>
      <c r="D11320" s="2" t="s">
        <v>553</v>
      </c>
      <c r="E11320" s="2" t="str">
        <f>"9789819962686"</f>
        <v>9789819962686</v>
      </c>
      <c r="F11320" s="2" t="str">
        <f>"9789819962693"</f>
        <v>9789819962693</v>
      </c>
    </row>
    <row r="11321" spans="1:6" s="3" customFormat="1" ht="29.1" customHeight="1" x14ac:dyDescent="0.25">
      <c r="A11321" s="2" t="s">
        <v>23092</v>
      </c>
      <c r="B11321" s="2" t="s">
        <v>23093</v>
      </c>
      <c r="C11321" s="2" t="s">
        <v>5</v>
      </c>
      <c r="D11321" s="2" t="s">
        <v>6128</v>
      </c>
      <c r="E11321" s="2" t="str">
        <f>"9783658427344"</f>
        <v>9783658427344</v>
      </c>
      <c r="F11321" s="2" t="str">
        <f>"9783658427351"</f>
        <v>9783658427351</v>
      </c>
    </row>
    <row r="11322" spans="1:6" s="3" customFormat="1" ht="29.1" customHeight="1" x14ac:dyDescent="0.25">
      <c r="A11322" s="2" t="s">
        <v>23094</v>
      </c>
      <c r="B11322" s="2" t="s">
        <v>23095</v>
      </c>
      <c r="C11322" s="2" t="s">
        <v>5</v>
      </c>
      <c r="D11322" s="2" t="s">
        <v>1666</v>
      </c>
      <c r="E11322" s="2" t="str">
        <f>"9789819959051"</f>
        <v>9789819959051</v>
      </c>
      <c r="F11322" s="2" t="str">
        <f>"9789819959068"</f>
        <v>9789819959068</v>
      </c>
    </row>
    <row r="11323" spans="1:6" s="3" customFormat="1" ht="29.1" customHeight="1" x14ac:dyDescent="0.25">
      <c r="A11323" s="2" t="s">
        <v>23096</v>
      </c>
      <c r="B11323" s="2" t="s">
        <v>20120</v>
      </c>
      <c r="C11323" s="2" t="s">
        <v>5</v>
      </c>
      <c r="D11323" s="2" t="s">
        <v>37</v>
      </c>
      <c r="E11323" s="2" t="str">
        <f>"9783031426704"</f>
        <v>9783031426704</v>
      </c>
      <c r="F11323" s="2" t="str">
        <f>"9783031426711"</f>
        <v>9783031426711</v>
      </c>
    </row>
    <row r="11324" spans="1:6" s="3" customFormat="1" ht="29.1" customHeight="1" x14ac:dyDescent="0.25">
      <c r="A11324" s="2" t="s">
        <v>23097</v>
      </c>
      <c r="B11324" s="2" t="s">
        <v>23098</v>
      </c>
      <c r="C11324" s="2" t="s">
        <v>5</v>
      </c>
      <c r="D11324" s="2" t="s">
        <v>297</v>
      </c>
      <c r="E11324" s="2" t="str">
        <f>"9783658425821"</f>
        <v>9783658425821</v>
      </c>
      <c r="F11324" s="2" t="str">
        <f>"9783658425838"</f>
        <v>9783658425838</v>
      </c>
    </row>
    <row r="11325" spans="1:6" s="3" customFormat="1" ht="29.1" customHeight="1" x14ac:dyDescent="0.25">
      <c r="A11325" s="2" t="s">
        <v>23099</v>
      </c>
      <c r="B11325" s="2" t="s">
        <v>23100</v>
      </c>
      <c r="C11325" s="2" t="s">
        <v>5</v>
      </c>
      <c r="D11325" s="2" t="s">
        <v>5228</v>
      </c>
      <c r="E11325" s="2" t="str">
        <f>"9781484297100"</f>
        <v>9781484297100</v>
      </c>
      <c r="F11325" s="2" t="str">
        <f>"9781484297117"</f>
        <v>9781484297117</v>
      </c>
    </row>
    <row r="11326" spans="1:6" s="3" customFormat="1" ht="29.1" customHeight="1" x14ac:dyDescent="0.25">
      <c r="A11326" s="2" t="s">
        <v>23101</v>
      </c>
      <c r="B11326" s="2" t="s">
        <v>23102</v>
      </c>
      <c r="C11326" s="2" t="s">
        <v>5</v>
      </c>
      <c r="D11326" s="2" t="s">
        <v>674</v>
      </c>
      <c r="E11326" s="2" t="str">
        <f>"9789819953615"</f>
        <v>9789819953615</v>
      </c>
      <c r="F11326" s="2" t="str">
        <f>"9789819953622"</f>
        <v>9789819953622</v>
      </c>
    </row>
    <row r="11327" spans="1:6" s="3" customFormat="1" ht="29.1" customHeight="1" x14ac:dyDescent="0.25">
      <c r="A11327" s="2" t="s">
        <v>23103</v>
      </c>
      <c r="B11327" s="2" t="s">
        <v>23104</v>
      </c>
      <c r="C11327" s="2" t="s">
        <v>5</v>
      </c>
      <c r="D11327" s="2" t="s">
        <v>11489</v>
      </c>
      <c r="E11327" s="2" t="str">
        <f>"9783658424428"</f>
        <v>9783658424428</v>
      </c>
      <c r="F11327" s="2" t="str">
        <f>"9783658424435"</f>
        <v>9783658424435</v>
      </c>
    </row>
    <row r="11328" spans="1:6" s="3" customFormat="1" ht="29.1" customHeight="1" x14ac:dyDescent="0.25">
      <c r="A11328" s="2" t="s">
        <v>23105</v>
      </c>
      <c r="B11328" s="2" t="s">
        <v>23106</v>
      </c>
      <c r="C11328" s="2" t="s">
        <v>5</v>
      </c>
      <c r="D11328" s="2" t="s">
        <v>553</v>
      </c>
      <c r="E11328" s="2" t="str">
        <f>"9783031398162"</f>
        <v>9783031398162</v>
      </c>
      <c r="F11328" s="2" t="str">
        <f>"9783031398179"</f>
        <v>9783031398179</v>
      </c>
    </row>
    <row r="11329" spans="1:6" s="3" customFormat="1" ht="29.1" customHeight="1" x14ac:dyDescent="0.25">
      <c r="A11329" s="2" t="s">
        <v>23107</v>
      </c>
      <c r="B11329" s="2" t="s">
        <v>23108</v>
      </c>
      <c r="C11329" s="2" t="s">
        <v>5</v>
      </c>
      <c r="D11329" s="2" t="s">
        <v>52</v>
      </c>
      <c r="E11329" s="2" t="str">
        <f>"9789819950713"</f>
        <v>9789819950713</v>
      </c>
      <c r="F11329" s="2" t="str">
        <f>"9789819950720"</f>
        <v>9789819950720</v>
      </c>
    </row>
    <row r="11330" spans="1:6" s="3" customFormat="1" ht="29.1" customHeight="1" x14ac:dyDescent="0.25">
      <c r="A11330" s="2" t="s">
        <v>23109</v>
      </c>
      <c r="B11330" s="2" t="s">
        <v>23110</v>
      </c>
      <c r="C11330" s="2" t="s">
        <v>5</v>
      </c>
      <c r="D11330" s="2" t="s">
        <v>98</v>
      </c>
      <c r="E11330" s="2" t="str">
        <f>"9783658423612"</f>
        <v>9783658423612</v>
      </c>
      <c r="F11330" s="2" t="str">
        <f>"9783658423629"</f>
        <v>9783658423629</v>
      </c>
    </row>
    <row r="11331" spans="1:6" s="3" customFormat="1" ht="29.1" customHeight="1" x14ac:dyDescent="0.25">
      <c r="A11331" s="2" t="s">
        <v>23111</v>
      </c>
      <c r="B11331" s="2" t="s">
        <v>23112</v>
      </c>
      <c r="C11331" s="2" t="s">
        <v>5</v>
      </c>
      <c r="D11331" s="2" t="s">
        <v>650</v>
      </c>
      <c r="E11331" s="2" t="str">
        <f>"9783031385629"</f>
        <v>9783031385629</v>
      </c>
      <c r="F11331" s="2" t="str">
        <f>"9783031385636"</f>
        <v>9783031385636</v>
      </c>
    </row>
    <row r="11332" spans="1:6" s="3" customFormat="1" ht="29.1" customHeight="1" x14ac:dyDescent="0.25">
      <c r="A11332" s="2" t="s">
        <v>23113</v>
      </c>
      <c r="B11332" s="2" t="s">
        <v>23114</v>
      </c>
      <c r="C11332" s="2" t="s">
        <v>5</v>
      </c>
      <c r="D11332" s="2" t="s">
        <v>3958</v>
      </c>
      <c r="E11332" s="2" t="str">
        <f>"9783658422202"</f>
        <v>9783658422202</v>
      </c>
      <c r="F11332" s="2" t="str">
        <f>"9783658422219"</f>
        <v>9783658422219</v>
      </c>
    </row>
    <row r="11333" spans="1:6" s="3" customFormat="1" ht="29.1" customHeight="1" x14ac:dyDescent="0.25">
      <c r="A11333" s="2" t="s">
        <v>23115</v>
      </c>
      <c r="B11333" s="2" t="s">
        <v>23116</v>
      </c>
      <c r="C11333" s="2" t="s">
        <v>5</v>
      </c>
      <c r="D11333" s="2" t="s">
        <v>479</v>
      </c>
      <c r="E11333" s="2" t="str">
        <f>"9783031379468"</f>
        <v>9783031379468</v>
      </c>
      <c r="F11333" s="2" t="str">
        <f>"9783031379475"</f>
        <v>9783031379475</v>
      </c>
    </row>
    <row r="11334" spans="1:6" s="3" customFormat="1" ht="29.1" customHeight="1" x14ac:dyDescent="0.25">
      <c r="A11334" s="2" t="s">
        <v>23117</v>
      </c>
      <c r="B11334" s="2" t="s">
        <v>23118</v>
      </c>
      <c r="C11334" s="2" t="s">
        <v>5</v>
      </c>
      <c r="D11334" s="2" t="s">
        <v>1927</v>
      </c>
      <c r="E11334" s="2" t="str">
        <f>"9783031376627"</f>
        <v>9783031376627</v>
      </c>
      <c r="F11334" s="2" t="str">
        <f>"9783031376634"</f>
        <v>9783031376634</v>
      </c>
    </row>
    <row r="11335" spans="1:6" s="3" customFormat="1" ht="29.1" customHeight="1" x14ac:dyDescent="0.25">
      <c r="A11335" s="2" t="s">
        <v>23119</v>
      </c>
      <c r="B11335" s="2" t="s">
        <v>23120</v>
      </c>
      <c r="C11335" s="2" t="s">
        <v>5</v>
      </c>
      <c r="D11335" s="2" t="s">
        <v>13038</v>
      </c>
      <c r="E11335" s="2" t="str">
        <f>"9789819944552"</f>
        <v>9789819944552</v>
      </c>
      <c r="F11335" s="2" t="str">
        <f>"9789819944569"</f>
        <v>9789819944569</v>
      </c>
    </row>
    <row r="11336" spans="1:6" s="3" customFormat="1" ht="29.1" customHeight="1" x14ac:dyDescent="0.25">
      <c r="A11336" s="2" t="s">
        <v>23121</v>
      </c>
      <c r="B11336" s="2" t="s">
        <v>23122</v>
      </c>
      <c r="C11336" s="2" t="s">
        <v>5</v>
      </c>
      <c r="D11336" s="2" t="s">
        <v>2517</v>
      </c>
      <c r="E11336" s="2" t="str">
        <f>"9783658421472"</f>
        <v>9783658421472</v>
      </c>
      <c r="F11336" s="2" t="str">
        <f>"9783658421489"</f>
        <v>9783658421489</v>
      </c>
    </row>
    <row r="11337" spans="1:6" s="3" customFormat="1" ht="29.1" customHeight="1" x14ac:dyDescent="0.25">
      <c r="A11337" s="2" t="s">
        <v>23123</v>
      </c>
      <c r="B11337" s="2" t="s">
        <v>23124</v>
      </c>
      <c r="C11337" s="2" t="s">
        <v>5</v>
      </c>
      <c r="D11337" s="2" t="s">
        <v>547</v>
      </c>
      <c r="E11337" s="2" t="str">
        <f>"9783031373961"</f>
        <v>9783031373961</v>
      </c>
      <c r="F11337" s="2" t="str">
        <f>"9783031373978"</f>
        <v>9783031373978</v>
      </c>
    </row>
    <row r="11338" spans="1:6" s="3" customFormat="1" ht="29.1" customHeight="1" x14ac:dyDescent="0.25">
      <c r="A11338" s="2" t="s">
        <v>23125</v>
      </c>
      <c r="B11338" s="2" t="s">
        <v>23126</v>
      </c>
      <c r="C11338" s="2" t="s">
        <v>5</v>
      </c>
      <c r="D11338" s="2" t="s">
        <v>984</v>
      </c>
      <c r="E11338" s="2" t="str">
        <f>"9783031115776"</f>
        <v>9783031115776</v>
      </c>
      <c r="F11338" s="2" t="str">
        <f>"9783031115783"</f>
        <v>9783031115783</v>
      </c>
    </row>
    <row r="11339" spans="1:6" s="3" customFormat="1" ht="29.1" customHeight="1" x14ac:dyDescent="0.25">
      <c r="A11339" s="2" t="s">
        <v>23127</v>
      </c>
      <c r="B11339" s="2" t="s">
        <v>23128</v>
      </c>
      <c r="C11339" s="2" t="s">
        <v>5</v>
      </c>
      <c r="D11339" s="2" t="s">
        <v>3958</v>
      </c>
      <c r="E11339" s="2" t="str">
        <f>"9783031111075"</f>
        <v>9783031111075</v>
      </c>
      <c r="F11339" s="2" t="str">
        <f>"9783031111082"</f>
        <v>9783031111082</v>
      </c>
    </row>
    <row r="11340" spans="1:6" s="3" customFormat="1" ht="29.1" customHeight="1" x14ac:dyDescent="0.25">
      <c r="A11340" s="2" t="s">
        <v>23129</v>
      </c>
      <c r="B11340" s="2" t="s">
        <v>23130</v>
      </c>
      <c r="C11340" s="2" t="s">
        <v>5</v>
      </c>
      <c r="D11340" s="2" t="s">
        <v>294</v>
      </c>
      <c r="E11340" s="2" t="str">
        <f>"9783031106163"</f>
        <v>9783031106163</v>
      </c>
      <c r="F11340" s="2" t="str">
        <f>"9783031106170"</f>
        <v>9783031106170</v>
      </c>
    </row>
    <row r="11341" spans="1:6" s="3" customFormat="1" ht="29.1" customHeight="1" x14ac:dyDescent="0.25">
      <c r="A11341" s="2" t="s">
        <v>23131</v>
      </c>
      <c r="B11341" s="2" t="s">
        <v>23132</v>
      </c>
      <c r="C11341" s="2" t="s">
        <v>5</v>
      </c>
      <c r="D11341" s="2" t="s">
        <v>183</v>
      </c>
      <c r="E11341" s="2" t="str">
        <f>"9789811945663"</f>
        <v>9789811945663</v>
      </c>
      <c r="F11341" s="2" t="str">
        <f>"9789811945670"</f>
        <v>9789811945670</v>
      </c>
    </row>
    <row r="11342" spans="1:6" s="3" customFormat="1" ht="29.1" customHeight="1" x14ac:dyDescent="0.25">
      <c r="A11342" s="2" t="s">
        <v>23133</v>
      </c>
      <c r="B11342" s="2" t="s">
        <v>23135</v>
      </c>
      <c r="C11342" s="2" t="s">
        <v>5</v>
      </c>
      <c r="D11342" s="2" t="s">
        <v>23134</v>
      </c>
      <c r="E11342" s="2" t="str">
        <f>"9783031103988"</f>
        <v>9783031103988</v>
      </c>
      <c r="F11342" s="2" t="str">
        <f>"9783031103995"</f>
        <v>9783031103995</v>
      </c>
    </row>
    <row r="11343" spans="1:6" s="3" customFormat="1" ht="29.1" customHeight="1" x14ac:dyDescent="0.25">
      <c r="A11343" s="2" t="s">
        <v>23136</v>
      </c>
      <c r="B11343" s="2" t="s">
        <v>23137</v>
      </c>
      <c r="C11343" s="2" t="s">
        <v>5</v>
      </c>
      <c r="D11343" s="2" t="s">
        <v>5118</v>
      </c>
      <c r="E11343" s="2" t="str">
        <f>"9783031102738"</f>
        <v>9783031102738</v>
      </c>
      <c r="F11343" s="2" t="str">
        <f>"9783031102745"</f>
        <v>9783031102745</v>
      </c>
    </row>
    <row r="11344" spans="1:6" s="3" customFormat="1" ht="29.1" customHeight="1" x14ac:dyDescent="0.25">
      <c r="A11344" s="2" t="s">
        <v>23138</v>
      </c>
      <c r="B11344" s="2" t="s">
        <v>23139</v>
      </c>
      <c r="C11344" s="2" t="s">
        <v>5</v>
      </c>
      <c r="D11344" s="2" t="s">
        <v>30</v>
      </c>
      <c r="E11344" s="2" t="str">
        <f>"9783031096860"</f>
        <v>9783031096860</v>
      </c>
      <c r="F11344" s="2" t="str">
        <f>"9783031096877"</f>
        <v>9783031096877</v>
      </c>
    </row>
    <row r="11345" spans="1:6" s="3" customFormat="1" ht="29.1" customHeight="1" x14ac:dyDescent="0.25">
      <c r="A11345" s="2" t="s">
        <v>23140</v>
      </c>
      <c r="B11345" s="2" t="s">
        <v>23141</v>
      </c>
      <c r="C11345" s="2" t="s">
        <v>5</v>
      </c>
      <c r="D11345" s="2" t="s">
        <v>5115</v>
      </c>
      <c r="E11345" s="2" t="str">
        <f>"9783658381530"</f>
        <v>9783658381530</v>
      </c>
      <c r="F11345" s="2" t="str">
        <f>"9783658381547"</f>
        <v>9783658381547</v>
      </c>
    </row>
    <row r="11346" spans="1:6" s="3" customFormat="1" ht="29.1" customHeight="1" x14ac:dyDescent="0.25">
      <c r="A11346" s="2" t="s">
        <v>23142</v>
      </c>
      <c r="B11346" s="2" t="s">
        <v>23143</v>
      </c>
      <c r="C11346" s="2" t="s">
        <v>5</v>
      </c>
      <c r="D11346" s="2" t="s">
        <v>501</v>
      </c>
      <c r="E11346" s="2" t="str">
        <f>"9789811940286"</f>
        <v>9789811940286</v>
      </c>
      <c r="F11346" s="2" t="str">
        <f>"9789811940293"</f>
        <v>9789811940293</v>
      </c>
    </row>
    <row r="11347" spans="1:6" s="3" customFormat="1" ht="29.1" customHeight="1" x14ac:dyDescent="0.25">
      <c r="A11347" s="2" t="s">
        <v>23144</v>
      </c>
      <c r="B11347" s="2" t="s">
        <v>23145</v>
      </c>
      <c r="C11347" s="2" t="s">
        <v>5</v>
      </c>
      <c r="D11347" s="2" t="s">
        <v>370</v>
      </c>
      <c r="E11347" s="2" t="str">
        <f>"9783031086502"</f>
        <v>9783031086502</v>
      </c>
      <c r="F11347" s="2" t="str">
        <f>"9783031086519"</f>
        <v>9783031086519</v>
      </c>
    </row>
    <row r="11348" spans="1:6" s="3" customFormat="1" ht="29.1" customHeight="1" x14ac:dyDescent="0.25">
      <c r="A11348" s="2" t="s">
        <v>23146</v>
      </c>
      <c r="B11348" s="2" t="s">
        <v>23147</v>
      </c>
      <c r="C11348" s="2" t="s">
        <v>5</v>
      </c>
      <c r="D11348" s="2" t="s">
        <v>12</v>
      </c>
      <c r="E11348" s="2" t="str">
        <f>"9783031086250"</f>
        <v>9783031086250</v>
      </c>
      <c r="F11348" s="2" t="str">
        <f>"9783031086267"</f>
        <v>9783031086267</v>
      </c>
    </row>
    <row r="11349" spans="1:6" s="3" customFormat="1" ht="29.1" customHeight="1" x14ac:dyDescent="0.25">
      <c r="A11349" s="2" t="s">
        <v>23148</v>
      </c>
      <c r="B11349" s="2" t="s">
        <v>23149</v>
      </c>
      <c r="C11349" s="2" t="s">
        <v>5</v>
      </c>
      <c r="D11349" s="2" t="s">
        <v>183</v>
      </c>
      <c r="E11349" s="2" t="str">
        <f>"9783658380250"</f>
        <v>9783658380250</v>
      </c>
      <c r="F11349" s="2" t="str">
        <f>"9783658380267"</f>
        <v>9783658380267</v>
      </c>
    </row>
    <row r="11350" spans="1:6" s="3" customFormat="1" ht="29.1" customHeight="1" x14ac:dyDescent="0.25">
      <c r="A11350" s="2" t="s">
        <v>23150</v>
      </c>
      <c r="B11350" s="2" t="s">
        <v>20543</v>
      </c>
      <c r="C11350" s="2" t="s">
        <v>5</v>
      </c>
      <c r="D11350" s="2" t="s">
        <v>501</v>
      </c>
      <c r="E11350" s="2" t="str">
        <f>"9789811938450"</f>
        <v>9789811938450</v>
      </c>
      <c r="F11350" s="2" t="str">
        <f>"9789811938467"</f>
        <v>9789811938467</v>
      </c>
    </row>
    <row r="11351" spans="1:6" s="3" customFormat="1" ht="29.1" customHeight="1" x14ac:dyDescent="0.25">
      <c r="A11351" s="2" t="s">
        <v>23151</v>
      </c>
      <c r="B11351" s="2" t="s">
        <v>23152</v>
      </c>
      <c r="C11351" s="2" t="s">
        <v>5</v>
      </c>
      <c r="D11351" s="2" t="s">
        <v>21861</v>
      </c>
      <c r="E11351" s="2" t="str">
        <f>"9789811937460"</f>
        <v>9789811937460</v>
      </c>
      <c r="F11351" s="2" t="str">
        <f>"9789811937477"</f>
        <v>9789811937477</v>
      </c>
    </row>
    <row r="11352" spans="1:6" s="3" customFormat="1" ht="29.1" customHeight="1" x14ac:dyDescent="0.25">
      <c r="A11352" s="2" t="s">
        <v>23153</v>
      </c>
      <c r="B11352" s="2" t="s">
        <v>23154</v>
      </c>
      <c r="C11352" s="2" t="s">
        <v>5</v>
      </c>
      <c r="D11352" s="2" t="s">
        <v>504</v>
      </c>
      <c r="E11352" s="2" t="str">
        <f>"9789811936388"</f>
        <v>9789811936388</v>
      </c>
      <c r="F11352" s="2" t="str">
        <f>"9789811936395"</f>
        <v>9789811936395</v>
      </c>
    </row>
    <row r="11353" spans="1:6" s="3" customFormat="1" ht="29.1" customHeight="1" x14ac:dyDescent="0.25">
      <c r="A11353" s="2" t="s">
        <v>23155</v>
      </c>
      <c r="B11353" s="2" t="s">
        <v>23156</v>
      </c>
      <c r="C11353" s="2" t="s">
        <v>5</v>
      </c>
      <c r="D11353" s="2" t="s">
        <v>2517</v>
      </c>
      <c r="E11353" s="2" t="str">
        <f>"9783658379278"</f>
        <v>9783658379278</v>
      </c>
      <c r="F11353" s="2" t="str">
        <f>"9783658379285"</f>
        <v>9783658379285</v>
      </c>
    </row>
    <row r="11354" spans="1:6" s="3" customFormat="1" ht="29.1" customHeight="1" x14ac:dyDescent="0.25">
      <c r="A11354" s="2" t="s">
        <v>23157</v>
      </c>
      <c r="B11354" s="2" t="s">
        <v>23158</v>
      </c>
      <c r="C11354" s="2" t="s">
        <v>5</v>
      </c>
      <c r="D11354" s="2" t="s">
        <v>490</v>
      </c>
      <c r="E11354" s="2" t="str">
        <f>"9783031074370"</f>
        <v>9783031074370</v>
      </c>
      <c r="F11354" s="2" t="str">
        <f>"9783031074387"</f>
        <v>9783031074387</v>
      </c>
    </row>
    <row r="11355" spans="1:6" s="3" customFormat="1" ht="29.1" customHeight="1" x14ac:dyDescent="0.25">
      <c r="A11355" s="2" t="s">
        <v>23159</v>
      </c>
      <c r="B11355" s="2" t="s">
        <v>23160</v>
      </c>
      <c r="C11355" s="2" t="s">
        <v>5</v>
      </c>
      <c r="D11355" s="2" t="s">
        <v>674</v>
      </c>
      <c r="E11355" s="2" t="str">
        <f>"9789811931543"</f>
        <v>9789811931543</v>
      </c>
      <c r="F11355" s="2" t="str">
        <f>"9789811931550"</f>
        <v>9789811931550</v>
      </c>
    </row>
    <row r="11356" spans="1:6" s="3" customFormat="1" ht="29.1" customHeight="1" x14ac:dyDescent="0.25">
      <c r="A11356" s="2" t="s">
        <v>23161</v>
      </c>
      <c r="B11356" s="2" t="s">
        <v>23162</v>
      </c>
      <c r="C11356" s="2" t="s">
        <v>5</v>
      </c>
      <c r="D11356" s="2" t="s">
        <v>4071</v>
      </c>
      <c r="E11356" s="2" t="str">
        <f>"9783031065699"</f>
        <v>9783031065699</v>
      </c>
      <c r="F11356" s="2" t="str">
        <f>"9783031065705"</f>
        <v>9783031065705</v>
      </c>
    </row>
    <row r="11357" spans="1:6" s="3" customFormat="1" ht="29.1" customHeight="1" x14ac:dyDescent="0.25">
      <c r="A11357" s="2" t="s">
        <v>23163</v>
      </c>
      <c r="B11357" s="2" t="s">
        <v>23164</v>
      </c>
      <c r="C11357" s="2" t="s">
        <v>5</v>
      </c>
      <c r="D11357" s="2" t="s">
        <v>1209</v>
      </c>
      <c r="E11357" s="2" t="str">
        <f>"9783658378028"</f>
        <v>9783658378028</v>
      </c>
      <c r="F11357" s="2" t="str">
        <f>"9783658378035"</f>
        <v>9783658378035</v>
      </c>
    </row>
    <row r="11358" spans="1:6" s="3" customFormat="1" ht="29.1" customHeight="1" x14ac:dyDescent="0.25">
      <c r="A11358" s="2" t="s">
        <v>23165</v>
      </c>
      <c r="B11358" s="2" t="s">
        <v>23166</v>
      </c>
      <c r="C11358" s="2" t="s">
        <v>5</v>
      </c>
      <c r="D11358" s="2" t="s">
        <v>547</v>
      </c>
      <c r="E11358" s="2" t="str">
        <f>"9783031061523"</f>
        <v>9783031061523</v>
      </c>
      <c r="F11358" s="2" t="str">
        <f>"9783031061530"</f>
        <v>9783031061530</v>
      </c>
    </row>
    <row r="11359" spans="1:6" s="3" customFormat="1" ht="29.1" customHeight="1" x14ac:dyDescent="0.25">
      <c r="A11359" s="2" t="s">
        <v>23167</v>
      </c>
      <c r="B11359" s="2" t="s">
        <v>23168</v>
      </c>
      <c r="C11359" s="2" t="s">
        <v>5</v>
      </c>
      <c r="D11359" s="2" t="s">
        <v>712</v>
      </c>
      <c r="E11359" s="2" t="str">
        <f>"9783658377168"</f>
        <v>9783658377168</v>
      </c>
      <c r="F11359" s="2" t="str">
        <f>"9783658377175"</f>
        <v>9783658377175</v>
      </c>
    </row>
    <row r="11360" spans="1:6" s="3" customFormat="1" ht="29.1" customHeight="1" x14ac:dyDescent="0.25">
      <c r="A11360" s="2" t="s">
        <v>23169</v>
      </c>
      <c r="B11360" s="2" t="s">
        <v>23170</v>
      </c>
      <c r="C11360" s="2" t="s">
        <v>5</v>
      </c>
      <c r="D11360" s="2" t="s">
        <v>712</v>
      </c>
      <c r="E11360" s="2" t="str">
        <f>"9783031051708"</f>
        <v>9783031051708</v>
      </c>
      <c r="F11360" s="2" t="str">
        <f>"9783031051715"</f>
        <v>9783031051715</v>
      </c>
    </row>
    <row r="11361" spans="1:6" s="3" customFormat="1" ht="29.1" customHeight="1" x14ac:dyDescent="0.25">
      <c r="A11361" s="2" t="s">
        <v>23171</v>
      </c>
      <c r="B11361" s="2" t="s">
        <v>23172</v>
      </c>
      <c r="C11361" s="2" t="s">
        <v>5</v>
      </c>
      <c r="D11361" s="2" t="s">
        <v>347</v>
      </c>
      <c r="E11361" s="2" t="str">
        <f>"9783031051593"</f>
        <v>9783031051593</v>
      </c>
      <c r="F11361" s="2" t="str">
        <f>"9783031051609"</f>
        <v>9783031051609</v>
      </c>
    </row>
    <row r="11362" spans="1:6" s="3" customFormat="1" ht="29.1" customHeight="1" x14ac:dyDescent="0.25">
      <c r="A11362" s="2" t="s">
        <v>23173</v>
      </c>
      <c r="B11362" s="2" t="s">
        <v>23174</v>
      </c>
      <c r="C11362" s="2" t="s">
        <v>5</v>
      </c>
      <c r="D11362" s="2" t="s">
        <v>984</v>
      </c>
      <c r="E11362" s="2" t="str">
        <f>"9783031048838"</f>
        <v>9783031048838</v>
      </c>
      <c r="F11362" s="2" t="str">
        <f>"9783031048845"</f>
        <v>9783031048845</v>
      </c>
    </row>
    <row r="11363" spans="1:6" s="3" customFormat="1" ht="29.1" customHeight="1" x14ac:dyDescent="0.25">
      <c r="A11363" s="2" t="s">
        <v>23175</v>
      </c>
      <c r="B11363" s="2" t="s">
        <v>23176</v>
      </c>
      <c r="C11363" s="2" t="s">
        <v>5</v>
      </c>
      <c r="D11363" s="2" t="s">
        <v>297</v>
      </c>
      <c r="E11363" s="2" t="str">
        <f>"9789811924750"</f>
        <v>9789811924750</v>
      </c>
      <c r="F11363" s="2" t="str">
        <f>"9789811924767"</f>
        <v>9789811924767</v>
      </c>
    </row>
    <row r="11364" spans="1:6" s="3" customFormat="1" ht="29.1" customHeight="1" x14ac:dyDescent="0.25">
      <c r="A11364" s="2" t="s">
        <v>23177</v>
      </c>
      <c r="B11364" s="2" t="s">
        <v>23178</v>
      </c>
      <c r="C11364" s="2" t="s">
        <v>5</v>
      </c>
      <c r="D11364" s="2" t="s">
        <v>1065</v>
      </c>
      <c r="E11364" s="2" t="str">
        <f>"9783031044830"</f>
        <v>9783031044830</v>
      </c>
      <c r="F11364" s="2" t="str">
        <f>"9783031044847"</f>
        <v>9783031044847</v>
      </c>
    </row>
    <row r="11365" spans="1:6" s="3" customFormat="1" ht="29.1" customHeight="1" x14ac:dyDescent="0.25">
      <c r="A11365" s="2" t="s">
        <v>23179</v>
      </c>
      <c r="B11365" s="2" t="s">
        <v>23180</v>
      </c>
      <c r="C11365" s="2" t="s">
        <v>5</v>
      </c>
      <c r="D11365" s="2" t="s">
        <v>537</v>
      </c>
      <c r="E11365" s="2" t="str">
        <f>"9789819943371"</f>
        <v>9789819943371</v>
      </c>
      <c r="F11365" s="2" t="str">
        <f>"9789819943388"</f>
        <v>9789819943388</v>
      </c>
    </row>
    <row r="11366" spans="1:6" s="3" customFormat="1" ht="29.1" customHeight="1" x14ac:dyDescent="0.25">
      <c r="A11366" s="2" t="s">
        <v>23181</v>
      </c>
      <c r="B11366" s="2" t="s">
        <v>23182</v>
      </c>
      <c r="C11366" s="2" t="s">
        <v>5</v>
      </c>
      <c r="D11366" s="2" t="s">
        <v>636</v>
      </c>
      <c r="E11366" s="2" t="str">
        <f>"9789819933495"</f>
        <v>9789819933495</v>
      </c>
      <c r="F11366" s="2" t="str">
        <f>"9789819933501"</f>
        <v>9789819933501</v>
      </c>
    </row>
    <row r="11367" spans="1:6" s="3" customFormat="1" ht="29.1" customHeight="1" x14ac:dyDescent="0.25">
      <c r="A11367" s="2" t="s">
        <v>23183</v>
      </c>
      <c r="B11367" s="2" t="s">
        <v>23184</v>
      </c>
      <c r="C11367" s="2" t="s">
        <v>5</v>
      </c>
      <c r="D11367" s="2" t="s">
        <v>1310</v>
      </c>
      <c r="E11367" s="2" t="str">
        <f>"9783031044618"</f>
        <v>9783031044618</v>
      </c>
      <c r="F11367" s="2" t="str">
        <f>"9783031044625"</f>
        <v>9783031044625</v>
      </c>
    </row>
    <row r="11368" spans="1:6" s="3" customFormat="1" ht="29.1" customHeight="1" x14ac:dyDescent="0.25">
      <c r="A11368" s="2" t="s">
        <v>23185</v>
      </c>
      <c r="B11368" s="2" t="s">
        <v>23186</v>
      </c>
      <c r="C11368" s="2" t="s">
        <v>5</v>
      </c>
      <c r="D11368" s="2" t="s">
        <v>331</v>
      </c>
      <c r="E11368" s="2" t="str">
        <f>"9783658375119"</f>
        <v>9783658375119</v>
      </c>
      <c r="F11368" s="2" t="str">
        <f>"9783658375126"</f>
        <v>9783658375126</v>
      </c>
    </row>
    <row r="11369" spans="1:6" s="3" customFormat="1" ht="29.1" customHeight="1" x14ac:dyDescent="0.25">
      <c r="A11369" s="2" t="s">
        <v>23187</v>
      </c>
      <c r="B11369" s="2" t="s">
        <v>23188</v>
      </c>
      <c r="C11369" s="2" t="s">
        <v>5</v>
      </c>
      <c r="D11369" s="2" t="s">
        <v>674</v>
      </c>
      <c r="E11369" s="2" t="str">
        <f>"9783031042331"</f>
        <v>9783031042331</v>
      </c>
      <c r="F11369" s="2" t="str">
        <f>"9783031042348"</f>
        <v>9783031042348</v>
      </c>
    </row>
    <row r="11370" spans="1:6" s="3" customFormat="1" ht="29.1" customHeight="1" x14ac:dyDescent="0.25">
      <c r="A11370" s="2" t="s">
        <v>23189</v>
      </c>
      <c r="B11370" s="2" t="s">
        <v>23190</v>
      </c>
      <c r="C11370" s="2" t="s">
        <v>5</v>
      </c>
      <c r="D11370" s="2" t="s">
        <v>850</v>
      </c>
      <c r="E11370" s="2" t="str">
        <f>"9783031041280"</f>
        <v>9783031041280</v>
      </c>
      <c r="F11370" s="2" t="str">
        <f>"9783031041297"</f>
        <v>9783031041297</v>
      </c>
    </row>
    <row r="11371" spans="1:6" s="3" customFormat="1" ht="29.1" customHeight="1" x14ac:dyDescent="0.25">
      <c r="A11371" s="2" t="s">
        <v>23191</v>
      </c>
      <c r="B11371" s="2" t="s">
        <v>23192</v>
      </c>
      <c r="C11371" s="2" t="s">
        <v>5</v>
      </c>
      <c r="D11371" s="2" t="s">
        <v>4214</v>
      </c>
      <c r="E11371" s="2" t="str">
        <f>"9783031041075"</f>
        <v>9783031041075</v>
      </c>
      <c r="F11371" s="2" t="str">
        <f>"9783031041082"</f>
        <v>9783031041082</v>
      </c>
    </row>
    <row r="11372" spans="1:6" s="3" customFormat="1" ht="29.1" customHeight="1" x14ac:dyDescent="0.25">
      <c r="A11372" s="2" t="s">
        <v>23193</v>
      </c>
      <c r="B11372" s="2" t="s">
        <v>23194</v>
      </c>
      <c r="C11372" s="2" t="s">
        <v>5</v>
      </c>
      <c r="D11372" s="2" t="s">
        <v>107</v>
      </c>
      <c r="E11372" s="2" t="str">
        <f>"9783031041174"</f>
        <v>9783031041174</v>
      </c>
      <c r="F11372" s="2" t="str">
        <f>"9783031041181"</f>
        <v>9783031041181</v>
      </c>
    </row>
    <row r="11373" spans="1:6" s="3" customFormat="1" ht="29.1" customHeight="1" x14ac:dyDescent="0.25">
      <c r="A11373" s="2" t="s">
        <v>23195</v>
      </c>
      <c r="B11373" s="2" t="s">
        <v>23196</v>
      </c>
      <c r="C11373" s="2" t="s">
        <v>5</v>
      </c>
      <c r="D11373" s="2" t="s">
        <v>294</v>
      </c>
      <c r="E11373" s="2" t="str">
        <f>"9789811921223"</f>
        <v>9789811921223</v>
      </c>
      <c r="F11373" s="2" t="str">
        <f>"9789811921230"</f>
        <v>9789811921230</v>
      </c>
    </row>
    <row r="11374" spans="1:6" s="3" customFormat="1" ht="29.1" customHeight="1" x14ac:dyDescent="0.25">
      <c r="A11374" s="2" t="s">
        <v>23197</v>
      </c>
      <c r="B11374" s="2" t="s">
        <v>23198</v>
      </c>
      <c r="C11374" s="2" t="s">
        <v>5</v>
      </c>
      <c r="D11374" s="2" t="s">
        <v>2271</v>
      </c>
      <c r="E11374" s="2" t="str">
        <f>"9783658374372"</f>
        <v>9783658374372</v>
      </c>
      <c r="F11374" s="2" t="str">
        <f>"9783658374389"</f>
        <v>9783658374389</v>
      </c>
    </row>
    <row r="11375" spans="1:6" s="3" customFormat="1" ht="29.1" customHeight="1" x14ac:dyDescent="0.25">
      <c r="A11375" s="2" t="s">
        <v>23199</v>
      </c>
      <c r="B11375" s="2" t="s">
        <v>23200</v>
      </c>
      <c r="C11375" s="2" t="s">
        <v>5</v>
      </c>
      <c r="D11375" s="2" t="s">
        <v>894</v>
      </c>
      <c r="E11375" s="2" t="str">
        <f>"9783031037986"</f>
        <v>9783031037986</v>
      </c>
      <c r="F11375" s="2" t="str">
        <f>"9783031037993"</f>
        <v>9783031037993</v>
      </c>
    </row>
    <row r="11376" spans="1:6" s="3" customFormat="1" ht="29.1" customHeight="1" x14ac:dyDescent="0.25">
      <c r="A11376" s="2" t="s">
        <v>23201</v>
      </c>
      <c r="B11376" s="2" t="s">
        <v>23202</v>
      </c>
      <c r="C11376" s="2" t="s">
        <v>5</v>
      </c>
      <c r="D11376" s="2" t="s">
        <v>547</v>
      </c>
      <c r="E11376" s="2" t="str">
        <f>"9783031019791"</f>
        <v>9783031019791</v>
      </c>
      <c r="F11376" s="2" t="str">
        <f>"9783031019807"</f>
        <v>9783031019807</v>
      </c>
    </row>
    <row r="11377" spans="1:6" s="3" customFormat="1" ht="29.1" customHeight="1" x14ac:dyDescent="0.25">
      <c r="A11377" s="2" t="s">
        <v>23203</v>
      </c>
      <c r="B11377" s="2" t="s">
        <v>23204</v>
      </c>
      <c r="C11377" s="2" t="s">
        <v>5</v>
      </c>
      <c r="D11377" s="2" t="s">
        <v>297</v>
      </c>
      <c r="E11377" s="2" t="str">
        <f>"9783031018336"</f>
        <v>9783031018336</v>
      </c>
      <c r="F11377" s="2" t="str">
        <f>"9783031019197"</f>
        <v>9783031019197</v>
      </c>
    </row>
    <row r="11378" spans="1:6" s="3" customFormat="1" ht="29.1" customHeight="1" x14ac:dyDescent="0.25">
      <c r="A11378" s="2" t="s">
        <v>23205</v>
      </c>
      <c r="B11378" s="2" t="s">
        <v>23206</v>
      </c>
      <c r="C11378" s="2" t="s">
        <v>5</v>
      </c>
      <c r="D11378" s="2" t="s">
        <v>183</v>
      </c>
      <c r="E11378" s="2" t="str">
        <f>"9783031017902"</f>
        <v>9783031017902</v>
      </c>
      <c r="F11378" s="2" t="str">
        <f>"9783031017919"</f>
        <v>9783031017919</v>
      </c>
    </row>
    <row r="11379" spans="1:6" s="3" customFormat="1" ht="29.1" customHeight="1" x14ac:dyDescent="0.25">
      <c r="A11379" s="2" t="s">
        <v>23207</v>
      </c>
      <c r="B11379" s="2" t="s">
        <v>23208</v>
      </c>
      <c r="C11379" s="2" t="s">
        <v>5</v>
      </c>
      <c r="D11379" s="2" t="s">
        <v>321</v>
      </c>
      <c r="E11379" s="2" t="str">
        <f>"9783031012327"</f>
        <v>9783031012327</v>
      </c>
      <c r="F11379" s="2" t="str">
        <f>"9783031012334"</f>
        <v>9783031012334</v>
      </c>
    </row>
    <row r="11380" spans="1:6" s="3" customFormat="1" ht="29.1" customHeight="1" x14ac:dyDescent="0.25">
      <c r="A11380" s="2" t="s">
        <v>23209</v>
      </c>
      <c r="B11380" s="2" t="s">
        <v>23210</v>
      </c>
      <c r="C11380" s="2" t="s">
        <v>5</v>
      </c>
      <c r="D11380" s="2" t="s">
        <v>3489</v>
      </c>
      <c r="E11380" s="2" t="str">
        <f>"9783031223518"</f>
        <v>9783031223518</v>
      </c>
      <c r="F11380" s="2" t="str">
        <f>"9783031223525"</f>
        <v>9783031223525</v>
      </c>
    </row>
    <row r="11381" spans="1:6" s="3" customFormat="1" ht="29.1" customHeight="1" x14ac:dyDescent="0.25">
      <c r="A11381" s="2" t="s">
        <v>23211</v>
      </c>
      <c r="B11381" s="2" t="s">
        <v>23212</v>
      </c>
      <c r="C11381" s="2" t="s">
        <v>5</v>
      </c>
      <c r="D11381" s="2" t="s">
        <v>544</v>
      </c>
      <c r="E11381" s="2" t="str">
        <f>"9783662652091"</f>
        <v>9783662652091</v>
      </c>
      <c r="F11381" s="2" t="str">
        <f>"9783662652107"</f>
        <v>9783662652107</v>
      </c>
    </row>
    <row r="11382" spans="1:6" s="3" customFormat="1" ht="29.1" customHeight="1" x14ac:dyDescent="0.25">
      <c r="A11382" s="2" t="s">
        <v>23213</v>
      </c>
      <c r="B11382" s="2" t="s">
        <v>23214</v>
      </c>
      <c r="C11382" s="2" t="s">
        <v>5</v>
      </c>
      <c r="D11382" s="2" t="s">
        <v>183</v>
      </c>
      <c r="E11382" s="2" t="str">
        <f>"9789811919497"</f>
        <v>9789811919497</v>
      </c>
      <c r="F11382" s="2" t="str">
        <f>"9789811919503"</f>
        <v>9789811919503</v>
      </c>
    </row>
    <row r="11383" spans="1:6" s="3" customFormat="1" ht="29.1" customHeight="1" x14ac:dyDescent="0.25">
      <c r="A11383" s="2" t="s">
        <v>23215</v>
      </c>
      <c r="B11383" s="2" t="s">
        <v>23216</v>
      </c>
      <c r="C11383" s="2" t="s">
        <v>5</v>
      </c>
      <c r="D11383" s="2" t="s">
        <v>294</v>
      </c>
      <c r="E11383" s="2" t="str">
        <f>"9783030999391"</f>
        <v>9783030999391</v>
      </c>
      <c r="F11383" s="2" t="str">
        <f>"9783030999407"</f>
        <v>9783030999407</v>
      </c>
    </row>
    <row r="11384" spans="1:6" s="3" customFormat="1" ht="29.1" customHeight="1" x14ac:dyDescent="0.25">
      <c r="A11384" s="2" t="s">
        <v>23217</v>
      </c>
      <c r="B11384" s="2" t="s">
        <v>19750</v>
      </c>
      <c r="C11384" s="2" t="s">
        <v>5</v>
      </c>
      <c r="D11384" s="2" t="s">
        <v>101</v>
      </c>
      <c r="E11384" s="2" t="str">
        <f>"9783662652039"</f>
        <v>9783662652039</v>
      </c>
      <c r="F11384" s="2" t="str">
        <f>"9783662652046"</f>
        <v>9783662652046</v>
      </c>
    </row>
    <row r="11385" spans="1:6" s="3" customFormat="1" ht="29.1" customHeight="1" x14ac:dyDescent="0.25">
      <c r="A11385" s="2" t="s">
        <v>23218</v>
      </c>
      <c r="B11385" s="2" t="s">
        <v>23219</v>
      </c>
      <c r="C11385" s="2" t="s">
        <v>5</v>
      </c>
      <c r="D11385" s="2" t="s">
        <v>183</v>
      </c>
      <c r="E11385" s="2" t="str">
        <f>"9783658372552"</f>
        <v>9783658372552</v>
      </c>
      <c r="F11385" s="2" t="str">
        <f>"9783658372569"</f>
        <v>9783658372569</v>
      </c>
    </row>
    <row r="11386" spans="1:6" s="3" customFormat="1" ht="29.1" customHeight="1" x14ac:dyDescent="0.25">
      <c r="A11386" s="2" t="s">
        <v>23220</v>
      </c>
      <c r="B11386" s="2" t="s">
        <v>23221</v>
      </c>
      <c r="C11386" s="2" t="s">
        <v>5</v>
      </c>
      <c r="D11386" s="2" t="s">
        <v>294</v>
      </c>
      <c r="E11386" s="2" t="str">
        <f>"9783658372736"</f>
        <v>9783658372736</v>
      </c>
      <c r="F11386" s="2" t="str">
        <f>"9783658372743"</f>
        <v>9783658372743</v>
      </c>
    </row>
    <row r="11387" spans="1:6" s="3" customFormat="1" ht="29.1" customHeight="1" x14ac:dyDescent="0.25">
      <c r="A11387" s="2" t="s">
        <v>22721</v>
      </c>
      <c r="B11387" s="2" t="s">
        <v>22722</v>
      </c>
      <c r="C11387" s="2" t="s">
        <v>5</v>
      </c>
      <c r="D11387" s="2" t="s">
        <v>6994</v>
      </c>
      <c r="E11387" s="2" t="str">
        <f>"9783030991760"</f>
        <v>9783030991760</v>
      </c>
      <c r="F11387" s="2" t="str">
        <f>"9783030991777"</f>
        <v>9783030991777</v>
      </c>
    </row>
    <row r="11388" spans="1:6" s="3" customFormat="1" ht="29.1" customHeight="1" x14ac:dyDescent="0.25">
      <c r="A11388" s="2" t="s">
        <v>23222</v>
      </c>
      <c r="B11388" s="2" t="s">
        <v>23223</v>
      </c>
      <c r="C11388" s="2" t="s">
        <v>5</v>
      </c>
      <c r="D11388" s="2" t="s">
        <v>6511</v>
      </c>
      <c r="E11388" s="2" t="str">
        <f>"9783030991371"</f>
        <v>9783030991371</v>
      </c>
      <c r="F11388" s="2" t="str">
        <f>"9783030991388"</f>
        <v>9783030991388</v>
      </c>
    </row>
    <row r="11389" spans="1:6" s="3" customFormat="1" ht="29.1" customHeight="1" x14ac:dyDescent="0.25">
      <c r="A11389" s="2" t="s">
        <v>23224</v>
      </c>
      <c r="B11389" s="2" t="s">
        <v>23225</v>
      </c>
      <c r="C11389" s="2" t="s">
        <v>5</v>
      </c>
      <c r="D11389" s="2" t="s">
        <v>5915</v>
      </c>
      <c r="E11389" s="2" t="str">
        <f>"9783030990299"</f>
        <v>9783030990299</v>
      </c>
      <c r="F11389" s="2" t="str">
        <f>"9783030990312"</f>
        <v>9783030990312</v>
      </c>
    </row>
    <row r="11390" spans="1:6" s="3" customFormat="1" ht="29.1" customHeight="1" x14ac:dyDescent="0.25">
      <c r="A11390" s="2" t="s">
        <v>23226</v>
      </c>
      <c r="B11390" s="2" t="s">
        <v>23227</v>
      </c>
      <c r="C11390" s="2" t="s">
        <v>5</v>
      </c>
      <c r="D11390" s="2" t="s">
        <v>6</v>
      </c>
      <c r="E11390" s="2" t="str">
        <f>"9783030989880"</f>
        <v>9783030989880</v>
      </c>
      <c r="F11390" s="2" t="str">
        <f>"9783030989897"</f>
        <v>9783030989897</v>
      </c>
    </row>
    <row r="11391" spans="1:6" s="3" customFormat="1" ht="29.1" customHeight="1" x14ac:dyDescent="0.25">
      <c r="A11391" s="2" t="s">
        <v>23228</v>
      </c>
      <c r="B11391" s="2" t="s">
        <v>23229</v>
      </c>
      <c r="C11391" s="2" t="s">
        <v>5</v>
      </c>
      <c r="D11391" s="2" t="s">
        <v>294</v>
      </c>
      <c r="E11391" s="2" t="str">
        <f>"9783031181603"</f>
        <v>9783031181603</v>
      </c>
      <c r="F11391" s="2" t="str">
        <f>"9783031181610"</f>
        <v>9783031181610</v>
      </c>
    </row>
    <row r="11392" spans="1:6" s="3" customFormat="1" ht="29.1" customHeight="1" x14ac:dyDescent="0.25">
      <c r="A11392" s="2" t="s">
        <v>23230</v>
      </c>
      <c r="B11392" s="2" t="s">
        <v>23231</v>
      </c>
      <c r="C11392" s="2" t="s">
        <v>5</v>
      </c>
      <c r="D11392" s="2" t="s">
        <v>5228</v>
      </c>
      <c r="E11392" s="2" t="str">
        <f>"9783030986353"</f>
        <v>9783030986353</v>
      </c>
      <c r="F11392" s="2" t="str">
        <f>"9783030986360"</f>
        <v>9783030986360</v>
      </c>
    </row>
    <row r="11393" spans="1:6" s="3" customFormat="1" ht="29.1" customHeight="1" x14ac:dyDescent="0.25">
      <c r="A11393" s="2" t="s">
        <v>23232</v>
      </c>
      <c r="B11393" s="2" t="s">
        <v>23233</v>
      </c>
      <c r="C11393" s="2" t="s">
        <v>5</v>
      </c>
      <c r="D11393" s="2" t="s">
        <v>342</v>
      </c>
      <c r="E11393" s="2" t="str">
        <f>"9783030985981"</f>
        <v>9783030985981</v>
      </c>
      <c r="F11393" s="2" t="str">
        <f>"9783030985998"</f>
        <v>9783030985998</v>
      </c>
    </row>
    <row r="11394" spans="1:6" s="3" customFormat="1" ht="29.1" customHeight="1" x14ac:dyDescent="0.25">
      <c r="A11394" s="2" t="s">
        <v>23234</v>
      </c>
      <c r="B11394" s="2" t="s">
        <v>23235</v>
      </c>
      <c r="C11394" s="2" t="s">
        <v>5</v>
      </c>
      <c r="D11394" s="2" t="s">
        <v>183</v>
      </c>
      <c r="E11394" s="2" t="str">
        <f>"9783658371326"</f>
        <v>9783658371326</v>
      </c>
      <c r="F11394" s="2" t="str">
        <f>"9783658371333"</f>
        <v>9783658371333</v>
      </c>
    </row>
    <row r="11395" spans="1:6" s="3" customFormat="1" ht="29.1" customHeight="1" x14ac:dyDescent="0.25">
      <c r="A11395" s="2" t="s">
        <v>23236</v>
      </c>
      <c r="B11395" s="2" t="s">
        <v>23237</v>
      </c>
      <c r="C11395" s="2" t="s">
        <v>5</v>
      </c>
      <c r="D11395" s="2" t="s">
        <v>5228</v>
      </c>
      <c r="E11395" s="2" t="str">
        <f>"9783030984663"</f>
        <v>9783030984663</v>
      </c>
      <c r="F11395" s="2" t="str">
        <f>"9783030984670"</f>
        <v>9783030984670</v>
      </c>
    </row>
    <row r="11396" spans="1:6" s="3" customFormat="1" ht="29.1" customHeight="1" x14ac:dyDescent="0.25">
      <c r="A11396" s="2" t="s">
        <v>23238</v>
      </c>
      <c r="B11396" s="2" t="s">
        <v>23239</v>
      </c>
      <c r="C11396" s="2" t="s">
        <v>5</v>
      </c>
      <c r="D11396" s="2" t="s">
        <v>192</v>
      </c>
      <c r="E11396" s="2" t="str">
        <f>"9783030983505"</f>
        <v>9783030983505</v>
      </c>
      <c r="F11396" s="2" t="str">
        <f>"9783030983512"</f>
        <v>9783030983512</v>
      </c>
    </row>
    <row r="11397" spans="1:6" s="3" customFormat="1" ht="29.1" customHeight="1" x14ac:dyDescent="0.25">
      <c r="A11397" s="2" t="s">
        <v>23240</v>
      </c>
      <c r="B11397" s="2" t="s">
        <v>23241</v>
      </c>
      <c r="C11397" s="2" t="s">
        <v>5</v>
      </c>
      <c r="D11397" s="2" t="s">
        <v>5761</v>
      </c>
      <c r="E11397" s="2" t="str">
        <f>"9783658371029"</f>
        <v>9783658371029</v>
      </c>
      <c r="F11397" s="2" t="str">
        <f>"9783658371036"</f>
        <v>9783658371036</v>
      </c>
    </row>
    <row r="11398" spans="1:6" s="3" customFormat="1" ht="29.1" customHeight="1" x14ac:dyDescent="0.25">
      <c r="A11398" s="2" t="s">
        <v>23242</v>
      </c>
      <c r="B11398" s="2" t="s">
        <v>23243</v>
      </c>
      <c r="C11398" s="2" t="s">
        <v>5</v>
      </c>
      <c r="D11398" s="2" t="s">
        <v>1845</v>
      </c>
      <c r="E11398" s="2" t="str">
        <f>"9783658370701"</f>
        <v>9783658370701</v>
      </c>
      <c r="F11398" s="2" t="str">
        <f>"9783658370718"</f>
        <v>9783658370718</v>
      </c>
    </row>
    <row r="11399" spans="1:6" s="3" customFormat="1" ht="29.1" customHeight="1" x14ac:dyDescent="0.25">
      <c r="A11399" s="2" t="s">
        <v>23244</v>
      </c>
      <c r="B11399" s="2" t="s">
        <v>23245</v>
      </c>
      <c r="C11399" s="2" t="s">
        <v>5</v>
      </c>
      <c r="D11399" s="2" t="s">
        <v>75</v>
      </c>
      <c r="E11399" s="2" t="str">
        <f>"9783030980719"</f>
        <v>9783030980719</v>
      </c>
      <c r="F11399" s="2" t="str">
        <f>"9783030980726"</f>
        <v>9783030980726</v>
      </c>
    </row>
    <row r="11400" spans="1:6" s="3" customFormat="1" ht="29.1" customHeight="1" x14ac:dyDescent="0.25">
      <c r="A11400" s="2" t="s">
        <v>23246</v>
      </c>
      <c r="B11400" s="2" t="s">
        <v>23247</v>
      </c>
      <c r="C11400" s="2" t="s">
        <v>5</v>
      </c>
      <c r="D11400" s="2" t="s">
        <v>218</v>
      </c>
      <c r="E11400" s="2" t="str">
        <f>"9783030980795"</f>
        <v>9783030980795</v>
      </c>
      <c r="F11400" s="2" t="str">
        <f>"9783030980801"</f>
        <v>9783030980801</v>
      </c>
    </row>
    <row r="11401" spans="1:6" s="3" customFormat="1" ht="29.1" customHeight="1" x14ac:dyDescent="0.25">
      <c r="A11401" s="2" t="s">
        <v>23248</v>
      </c>
      <c r="B11401" s="2" t="s">
        <v>23249</v>
      </c>
      <c r="C11401" s="2" t="s">
        <v>5</v>
      </c>
      <c r="D11401" s="2" t="s">
        <v>183</v>
      </c>
      <c r="E11401" s="2" t="str">
        <f>"9783658370541"</f>
        <v>9783658370541</v>
      </c>
      <c r="F11401" s="2" t="str">
        <f>"9783658370558"</f>
        <v>9783658370558</v>
      </c>
    </row>
    <row r="11402" spans="1:6" s="3" customFormat="1" ht="29.1" customHeight="1" x14ac:dyDescent="0.25">
      <c r="A11402" s="2" t="s">
        <v>23250</v>
      </c>
      <c r="B11402" s="2" t="s">
        <v>23251</v>
      </c>
      <c r="C11402" s="2" t="s">
        <v>5</v>
      </c>
      <c r="D11402" s="2" t="s">
        <v>350</v>
      </c>
      <c r="E11402" s="2" t="str">
        <f>"9783030978365"</f>
        <v>9783030978365</v>
      </c>
      <c r="F11402" s="2" t="str">
        <f>"9783030978372"</f>
        <v>9783030978372</v>
      </c>
    </row>
    <row r="11403" spans="1:6" s="3" customFormat="1" ht="29.1" customHeight="1" x14ac:dyDescent="0.25">
      <c r="A11403" s="2" t="s">
        <v>23252</v>
      </c>
      <c r="B11403" s="2" t="s">
        <v>23253</v>
      </c>
      <c r="C11403" s="2" t="s">
        <v>5</v>
      </c>
      <c r="D11403" s="2" t="s">
        <v>183</v>
      </c>
      <c r="E11403" s="2" t="str">
        <f>"9783030977214"</f>
        <v>9783030977214</v>
      </c>
      <c r="F11403" s="2" t="str">
        <f>"9783030977221"</f>
        <v>9783030977221</v>
      </c>
    </row>
    <row r="11404" spans="1:6" s="3" customFormat="1" ht="29.1" customHeight="1" x14ac:dyDescent="0.25">
      <c r="A11404" s="2" t="s">
        <v>23254</v>
      </c>
      <c r="B11404" s="2" t="s">
        <v>23255</v>
      </c>
      <c r="C11404" s="2" t="s">
        <v>5</v>
      </c>
      <c r="D11404" s="2" t="s">
        <v>4262</v>
      </c>
      <c r="E11404" s="2" t="str">
        <f>"9783658369606"</f>
        <v>9783658369606</v>
      </c>
      <c r="F11404" s="2" t="str">
        <f>"9783658369613"</f>
        <v>9783658369613</v>
      </c>
    </row>
    <row r="11405" spans="1:6" s="3" customFormat="1" ht="29.1" customHeight="1" x14ac:dyDescent="0.25">
      <c r="A11405" s="2" t="s">
        <v>23256</v>
      </c>
      <c r="B11405" s="2" t="s">
        <v>23257</v>
      </c>
      <c r="C11405" s="2" t="s">
        <v>5</v>
      </c>
      <c r="D11405" s="2" t="s">
        <v>6511</v>
      </c>
      <c r="E11405" s="2" t="str">
        <f>"9783030974961"</f>
        <v>9783030974961</v>
      </c>
      <c r="F11405" s="2" t="str">
        <f>"9783030974978"</f>
        <v>9783030974978</v>
      </c>
    </row>
    <row r="11406" spans="1:6" s="3" customFormat="1" ht="29.1" customHeight="1" x14ac:dyDescent="0.25">
      <c r="A11406" s="2" t="s">
        <v>23258</v>
      </c>
      <c r="B11406" s="2" t="s">
        <v>23259</v>
      </c>
      <c r="C11406" s="2" t="s">
        <v>5</v>
      </c>
      <c r="D11406" s="2" t="s">
        <v>7737</v>
      </c>
      <c r="E11406" s="2" t="str">
        <f>"9783030973629"</f>
        <v>9783030973629</v>
      </c>
      <c r="F11406" s="2" t="str">
        <f>"9783030973636"</f>
        <v>9783030973636</v>
      </c>
    </row>
    <row r="11407" spans="1:6" s="3" customFormat="1" ht="29.1" customHeight="1" x14ac:dyDescent="0.25">
      <c r="A11407" s="2" t="s">
        <v>23260</v>
      </c>
      <c r="B11407" s="2" t="s">
        <v>23261</v>
      </c>
      <c r="C11407" s="2" t="s">
        <v>5</v>
      </c>
      <c r="D11407" s="2" t="s">
        <v>4172</v>
      </c>
      <c r="E11407" s="2" t="str">
        <f>"9783030974046"</f>
        <v>9783030974046</v>
      </c>
      <c r="F11407" s="2" t="str">
        <f>"9783030974053"</f>
        <v>9783030974053</v>
      </c>
    </row>
    <row r="11408" spans="1:6" s="3" customFormat="1" ht="29.1" customHeight="1" x14ac:dyDescent="0.25">
      <c r="A11408" s="2" t="s">
        <v>23262</v>
      </c>
      <c r="B11408" s="2" t="s">
        <v>23263</v>
      </c>
      <c r="C11408" s="2" t="s">
        <v>5</v>
      </c>
      <c r="D11408" s="2" t="s">
        <v>297</v>
      </c>
      <c r="E11408" s="2" t="str">
        <f>"9783658369453"</f>
        <v>9783658369453</v>
      </c>
      <c r="F11408" s="2" t="str">
        <f>"9783658369460"</f>
        <v>9783658369460</v>
      </c>
    </row>
    <row r="11409" spans="1:6" s="3" customFormat="1" ht="29.1" customHeight="1" x14ac:dyDescent="0.25">
      <c r="A11409" s="2" t="s">
        <v>23264</v>
      </c>
      <c r="B11409" s="2" t="s">
        <v>23265</v>
      </c>
      <c r="C11409" s="2" t="s">
        <v>5</v>
      </c>
      <c r="D11409" s="2" t="s">
        <v>4783</v>
      </c>
      <c r="E11409" s="2" t="str">
        <f>"9783030964733"</f>
        <v>9783030964733</v>
      </c>
      <c r="F11409" s="2" t="str">
        <f>"9783030964740"</f>
        <v>9783030964740</v>
      </c>
    </row>
    <row r="11410" spans="1:6" s="3" customFormat="1" ht="29.1" customHeight="1" x14ac:dyDescent="0.25">
      <c r="A11410" s="2" t="s">
        <v>23266</v>
      </c>
      <c r="B11410" s="2" t="s">
        <v>23267</v>
      </c>
      <c r="C11410" s="2" t="s">
        <v>5</v>
      </c>
      <c r="D11410" s="2" t="s">
        <v>89</v>
      </c>
      <c r="E11410" s="2" t="str">
        <f>"9789811902796"</f>
        <v>9789811902796</v>
      </c>
      <c r="F11410" s="2" t="str">
        <f>"9789811902802"</f>
        <v>9789811902802</v>
      </c>
    </row>
    <row r="11411" spans="1:6" s="3" customFormat="1" ht="29.1" customHeight="1" x14ac:dyDescent="0.25">
      <c r="A11411" s="2" t="s">
        <v>23268</v>
      </c>
      <c r="B11411" s="2" t="s">
        <v>23269</v>
      </c>
      <c r="C11411" s="2" t="s">
        <v>5</v>
      </c>
      <c r="D11411" s="2" t="s">
        <v>284</v>
      </c>
      <c r="E11411" s="2" t="str">
        <f>"9783030964115"</f>
        <v>9783030964115</v>
      </c>
      <c r="F11411" s="2" t="str">
        <f>"9783030964122"</f>
        <v>9783030964122</v>
      </c>
    </row>
    <row r="11412" spans="1:6" s="3" customFormat="1" ht="29.1" customHeight="1" x14ac:dyDescent="0.25">
      <c r="A11412" s="2" t="s">
        <v>23270</v>
      </c>
      <c r="B11412" s="2" t="s">
        <v>23271</v>
      </c>
      <c r="C11412" s="2" t="s">
        <v>5</v>
      </c>
      <c r="D11412" s="2" t="s">
        <v>6714</v>
      </c>
      <c r="E11412" s="2" t="str">
        <f>"9783030962098"</f>
        <v>9783030962098</v>
      </c>
      <c r="F11412" s="2" t="str">
        <f>"9783030962104"</f>
        <v>9783030962104</v>
      </c>
    </row>
    <row r="11413" spans="1:6" s="3" customFormat="1" ht="29.1" customHeight="1" x14ac:dyDescent="0.25">
      <c r="A11413" s="2" t="s">
        <v>23272</v>
      </c>
      <c r="B11413" s="2" t="s">
        <v>23273</v>
      </c>
      <c r="C11413" s="2" t="s">
        <v>5</v>
      </c>
      <c r="D11413" s="2" t="s">
        <v>850</v>
      </c>
      <c r="E11413" s="2" t="str">
        <f>"9783030958510"</f>
        <v>9783030958510</v>
      </c>
      <c r="F11413" s="2" t="str">
        <f>"9783030958527"</f>
        <v>9783030958527</v>
      </c>
    </row>
    <row r="11414" spans="1:6" s="3" customFormat="1" ht="29.1" customHeight="1" x14ac:dyDescent="0.25">
      <c r="A11414" s="2" t="s">
        <v>23274</v>
      </c>
      <c r="B11414" s="2" t="s">
        <v>23275</v>
      </c>
      <c r="C11414" s="2" t="s">
        <v>5</v>
      </c>
      <c r="D11414" s="2" t="s">
        <v>11603</v>
      </c>
      <c r="E11414" s="2" t="str">
        <f>"9783030956820"</f>
        <v>9783030956820</v>
      </c>
      <c r="F11414" s="2" t="str">
        <f>"9783030956837"</f>
        <v>9783030956837</v>
      </c>
    </row>
    <row r="11415" spans="1:6" s="3" customFormat="1" ht="29.1" customHeight="1" x14ac:dyDescent="0.25">
      <c r="A11415" s="2" t="s">
        <v>23276</v>
      </c>
      <c r="B11415" s="2" t="s">
        <v>23277</v>
      </c>
      <c r="C11415" s="2" t="s">
        <v>5</v>
      </c>
      <c r="D11415" s="2" t="s">
        <v>3567</v>
      </c>
      <c r="E11415" s="2" t="str">
        <f>"9783662649145"</f>
        <v>9783662649145</v>
      </c>
      <c r="F11415" s="2" t="str">
        <f>"9783662649152"</f>
        <v>9783662649152</v>
      </c>
    </row>
    <row r="11416" spans="1:6" s="3" customFormat="1" ht="29.1" customHeight="1" x14ac:dyDescent="0.25">
      <c r="A11416" s="2" t="s">
        <v>23278</v>
      </c>
      <c r="B11416" s="2" t="s">
        <v>23279</v>
      </c>
      <c r="C11416" s="2" t="s">
        <v>5</v>
      </c>
      <c r="D11416" s="2" t="s">
        <v>2178</v>
      </c>
      <c r="E11416" s="2" t="str">
        <f>"9783658367145"</f>
        <v>9783658367145</v>
      </c>
      <c r="F11416" s="2" t="str">
        <f>"9783658367152"</f>
        <v>9783658367152</v>
      </c>
    </row>
    <row r="11417" spans="1:6" s="3" customFormat="1" ht="29.1" customHeight="1" x14ac:dyDescent="0.25">
      <c r="A11417" s="2" t="s">
        <v>23280</v>
      </c>
      <c r="B11417" s="2" t="s">
        <v>23281</v>
      </c>
      <c r="C11417" s="2" t="s">
        <v>5</v>
      </c>
      <c r="D11417" s="2" t="s">
        <v>712</v>
      </c>
      <c r="E11417" s="2" t="str">
        <f>"9783030950996"</f>
        <v>9783030950996</v>
      </c>
      <c r="F11417" s="2" t="str">
        <f>"9783030951009"</f>
        <v>9783030951009</v>
      </c>
    </row>
    <row r="11418" spans="1:6" s="3" customFormat="1" ht="29.1" customHeight="1" x14ac:dyDescent="0.25">
      <c r="A11418" s="2" t="s">
        <v>23282</v>
      </c>
      <c r="B11418" s="2" t="s">
        <v>23283</v>
      </c>
      <c r="C11418" s="2" t="s">
        <v>5</v>
      </c>
      <c r="D11418" s="2" t="s">
        <v>7734</v>
      </c>
      <c r="E11418" s="2" t="str">
        <f>"9783030948818"</f>
        <v>9783030948818</v>
      </c>
      <c r="F11418" s="2" t="str">
        <f>"9783030948825"</f>
        <v>9783030948825</v>
      </c>
    </row>
    <row r="11419" spans="1:6" s="3" customFormat="1" ht="29.1" customHeight="1" x14ac:dyDescent="0.25">
      <c r="A11419" s="2" t="s">
        <v>23284</v>
      </c>
      <c r="B11419" s="2" t="s">
        <v>23285</v>
      </c>
      <c r="C11419" s="2" t="s">
        <v>5</v>
      </c>
      <c r="D11419" s="2" t="s">
        <v>15514</v>
      </c>
      <c r="E11419" s="2" t="str">
        <f>"9783030946906"</f>
        <v>9783030946906</v>
      </c>
      <c r="F11419" s="2" t="str">
        <f>"9783030946913"</f>
        <v>9783030946913</v>
      </c>
    </row>
    <row r="11420" spans="1:6" s="3" customFormat="1" ht="29.1" customHeight="1" x14ac:dyDescent="0.25">
      <c r="A11420" s="2" t="s">
        <v>23286</v>
      </c>
      <c r="B11420" s="2" t="s">
        <v>23287</v>
      </c>
      <c r="C11420" s="2" t="s">
        <v>5</v>
      </c>
      <c r="D11420" s="2" t="s">
        <v>72</v>
      </c>
      <c r="E11420" s="2" t="str">
        <f>"9783030946050"</f>
        <v>9783030946050</v>
      </c>
      <c r="F11420" s="2" t="str">
        <f>"9783030946067"</f>
        <v>9783030946067</v>
      </c>
    </row>
    <row r="11421" spans="1:6" s="3" customFormat="1" ht="29.1" customHeight="1" x14ac:dyDescent="0.25">
      <c r="A11421" s="2" t="s">
        <v>23288</v>
      </c>
      <c r="B11421" s="2" t="s">
        <v>23289</v>
      </c>
      <c r="C11421" s="2" t="s">
        <v>5</v>
      </c>
      <c r="D11421" s="2" t="s">
        <v>159</v>
      </c>
      <c r="E11421" s="2" t="str">
        <f>"9783658366186"</f>
        <v>9783658366186</v>
      </c>
      <c r="F11421" s="2" t="str">
        <f>"9783658366193"</f>
        <v>9783658366193</v>
      </c>
    </row>
    <row r="11422" spans="1:6" s="3" customFormat="1" ht="29.1" customHeight="1" x14ac:dyDescent="0.25">
      <c r="A11422" s="2" t="s">
        <v>23290</v>
      </c>
      <c r="B11422" s="2" t="s">
        <v>23291</v>
      </c>
      <c r="C11422" s="2" t="s">
        <v>5</v>
      </c>
      <c r="D11422" s="2" t="s">
        <v>294</v>
      </c>
      <c r="E11422" s="2" t="str">
        <f>"9783030945794"</f>
        <v>9783030945794</v>
      </c>
      <c r="F11422" s="2" t="str">
        <f>"9783030945800"</f>
        <v>9783030945800</v>
      </c>
    </row>
    <row r="11423" spans="1:6" s="3" customFormat="1" ht="29.1" customHeight="1" x14ac:dyDescent="0.25">
      <c r="A11423" s="2" t="s">
        <v>23292</v>
      </c>
      <c r="B11423" s="2" t="s">
        <v>23293</v>
      </c>
      <c r="C11423" s="2" t="s">
        <v>5</v>
      </c>
      <c r="D11423" s="2" t="s">
        <v>1924</v>
      </c>
      <c r="E11423" s="2" t="str">
        <f>"9789811694035"</f>
        <v>9789811694035</v>
      </c>
      <c r="F11423" s="2" t="str">
        <f>"9789811694042"</f>
        <v>9789811694042</v>
      </c>
    </row>
    <row r="11424" spans="1:6" s="3" customFormat="1" ht="29.1" customHeight="1" x14ac:dyDescent="0.25">
      <c r="A11424" s="2" t="s">
        <v>23294</v>
      </c>
      <c r="B11424" s="2" t="s">
        <v>23295</v>
      </c>
      <c r="C11424" s="2" t="s">
        <v>5</v>
      </c>
      <c r="D11424" s="2" t="s">
        <v>113</v>
      </c>
      <c r="E11424" s="2" t="str">
        <f>"9783030943523"</f>
        <v>9783030943523</v>
      </c>
      <c r="F11424" s="2" t="str">
        <f>"9783030943530"</f>
        <v>9783030943530</v>
      </c>
    </row>
    <row r="11425" spans="1:6" s="3" customFormat="1" ht="29.1" customHeight="1" x14ac:dyDescent="0.25">
      <c r="A11425" s="2" t="s">
        <v>23296</v>
      </c>
      <c r="B11425" s="2" t="s">
        <v>23297</v>
      </c>
      <c r="C11425" s="2" t="s">
        <v>5</v>
      </c>
      <c r="D11425" s="2" t="s">
        <v>712</v>
      </c>
      <c r="E11425" s="2" t="str">
        <f>"9783030943158"</f>
        <v>9783030943158</v>
      </c>
      <c r="F11425" s="2" t="str">
        <f>"9783030943165"</f>
        <v>9783030943165</v>
      </c>
    </row>
    <row r="11426" spans="1:6" s="3" customFormat="1" ht="29.1" customHeight="1" x14ac:dyDescent="0.25">
      <c r="A11426" s="2" t="s">
        <v>23298</v>
      </c>
      <c r="B11426" s="2" t="s">
        <v>23299</v>
      </c>
      <c r="C11426" s="2" t="s">
        <v>5</v>
      </c>
      <c r="D11426" s="2" t="s">
        <v>2336</v>
      </c>
      <c r="E11426" s="2" t="str">
        <f>"9783658365677"</f>
        <v>9783658365677</v>
      </c>
      <c r="F11426" s="2" t="str">
        <f>"9783658365684"</f>
        <v>9783658365684</v>
      </c>
    </row>
    <row r="11427" spans="1:6" s="3" customFormat="1" ht="29.1" customHeight="1" x14ac:dyDescent="0.25">
      <c r="A11427" s="2" t="s">
        <v>23300</v>
      </c>
      <c r="B11427" s="2" t="s">
        <v>23301</v>
      </c>
      <c r="C11427" s="2" t="s">
        <v>5</v>
      </c>
      <c r="D11427" s="2" t="s">
        <v>1988</v>
      </c>
      <c r="E11427" s="2" t="str">
        <f>"9783658365653"</f>
        <v>9783658365653</v>
      </c>
      <c r="F11427" s="2" t="str">
        <f>"9783658365660"</f>
        <v>9783658365660</v>
      </c>
    </row>
    <row r="11428" spans="1:6" s="3" customFormat="1" ht="29.1" customHeight="1" x14ac:dyDescent="0.25">
      <c r="A11428" s="2" t="s">
        <v>23302</v>
      </c>
      <c r="B11428" s="2" t="s">
        <v>23303</v>
      </c>
      <c r="C11428" s="2" t="s">
        <v>5</v>
      </c>
      <c r="D11428" s="2" t="s">
        <v>674</v>
      </c>
      <c r="E11428" s="2" t="str">
        <f>"9783658365615"</f>
        <v>9783658365615</v>
      </c>
      <c r="F11428" s="2" t="str">
        <f>"9783658365622"</f>
        <v>9783658365622</v>
      </c>
    </row>
    <row r="11429" spans="1:6" s="3" customFormat="1" ht="29.1" customHeight="1" x14ac:dyDescent="0.25">
      <c r="A11429" s="2" t="s">
        <v>23304</v>
      </c>
      <c r="B11429" s="2" t="s">
        <v>23305</v>
      </c>
      <c r="C11429" s="2" t="s">
        <v>5</v>
      </c>
      <c r="D11429" s="2" t="s">
        <v>331</v>
      </c>
      <c r="E11429" s="2" t="str">
        <f>"9783030939748"</f>
        <v>9783030939748</v>
      </c>
      <c r="F11429" s="2" t="str">
        <f>"9783030939755"</f>
        <v>9783030939755</v>
      </c>
    </row>
    <row r="11430" spans="1:6" s="3" customFormat="1" ht="29.1" customHeight="1" x14ac:dyDescent="0.25">
      <c r="A11430" s="2" t="s">
        <v>23306</v>
      </c>
      <c r="B11430" s="2" t="s">
        <v>23307</v>
      </c>
      <c r="C11430" s="2" t="s">
        <v>5</v>
      </c>
      <c r="D11430" s="2" t="s">
        <v>37</v>
      </c>
      <c r="E11430" s="2" t="str">
        <f>"9783030939502"</f>
        <v>9783030939502</v>
      </c>
      <c r="F11430" s="2" t="str">
        <f>"9783030939519"</f>
        <v>9783030939519</v>
      </c>
    </row>
    <row r="11431" spans="1:6" s="3" customFormat="1" ht="29.1" customHeight="1" x14ac:dyDescent="0.25">
      <c r="A11431" s="2" t="s">
        <v>23308</v>
      </c>
      <c r="B11431" s="2" t="s">
        <v>23309</v>
      </c>
      <c r="C11431" s="2" t="s">
        <v>5</v>
      </c>
      <c r="D11431" s="2" t="s">
        <v>694</v>
      </c>
      <c r="E11431" s="2" t="str">
        <f>"9789811690235"</f>
        <v>9789811690235</v>
      </c>
      <c r="F11431" s="2" t="str">
        <f>"9789811690242"</f>
        <v>9789811690242</v>
      </c>
    </row>
    <row r="11432" spans="1:6" s="3" customFormat="1" ht="29.1" customHeight="1" x14ac:dyDescent="0.25">
      <c r="A11432" s="2" t="s">
        <v>23310</v>
      </c>
      <c r="B11432" s="2" t="s">
        <v>23259</v>
      </c>
      <c r="C11432" s="2" t="s">
        <v>5</v>
      </c>
      <c r="D11432" s="2" t="s">
        <v>7737</v>
      </c>
      <c r="E11432" s="2" t="str">
        <f>"9783030937973"</f>
        <v>9783030937973</v>
      </c>
      <c r="F11432" s="2" t="str">
        <f>"9783030937980"</f>
        <v>9783030937980</v>
      </c>
    </row>
    <row r="11433" spans="1:6" s="3" customFormat="1" ht="29.1" customHeight="1" x14ac:dyDescent="0.25">
      <c r="A11433" s="2" t="s">
        <v>23311</v>
      </c>
      <c r="B11433" s="2" t="s">
        <v>23312</v>
      </c>
      <c r="C11433" s="2" t="s">
        <v>5</v>
      </c>
      <c r="D11433" s="2" t="s">
        <v>1840</v>
      </c>
      <c r="E11433" s="2" t="str">
        <f>"9783658364793"</f>
        <v>9783658364793</v>
      </c>
      <c r="F11433" s="2" t="str">
        <f>"9783658364809"</f>
        <v>9783658364809</v>
      </c>
    </row>
    <row r="11434" spans="1:6" s="3" customFormat="1" ht="29.1" customHeight="1" x14ac:dyDescent="0.25">
      <c r="A11434" s="2" t="s">
        <v>23313</v>
      </c>
      <c r="B11434" s="2" t="s">
        <v>23314</v>
      </c>
      <c r="C11434" s="2" t="s">
        <v>5</v>
      </c>
      <c r="D11434" s="2" t="s">
        <v>894</v>
      </c>
      <c r="E11434" s="2" t="str">
        <f>"9783030935597"</f>
        <v>9783030935597</v>
      </c>
      <c r="F11434" s="2" t="str">
        <f>"9783030935603"</f>
        <v>9783030935603</v>
      </c>
    </row>
    <row r="11435" spans="1:6" s="3" customFormat="1" ht="29.1" customHeight="1" x14ac:dyDescent="0.25">
      <c r="A11435" s="2" t="s">
        <v>23315</v>
      </c>
      <c r="B11435" s="2" t="s">
        <v>23316</v>
      </c>
      <c r="C11435" s="2" t="s">
        <v>5</v>
      </c>
      <c r="D11435" s="2" t="s">
        <v>350</v>
      </c>
      <c r="E11435" s="2" t="str">
        <f>"9783030934286"</f>
        <v>9783030934286</v>
      </c>
      <c r="F11435" s="2" t="str">
        <f>"9783030934293"</f>
        <v>9783030934293</v>
      </c>
    </row>
    <row r="11436" spans="1:6" s="3" customFormat="1" ht="29.1" customHeight="1" x14ac:dyDescent="0.25">
      <c r="A11436" s="2" t="s">
        <v>23317</v>
      </c>
      <c r="B11436" s="2" t="s">
        <v>23318</v>
      </c>
      <c r="C11436" s="2" t="s">
        <v>5</v>
      </c>
      <c r="D11436" s="2" t="s">
        <v>13883</v>
      </c>
      <c r="E11436" s="2" t="str">
        <f>"9783658364106"</f>
        <v>9783658364106</v>
      </c>
      <c r="F11436" s="2" t="str">
        <f>"9783658364113"</f>
        <v>9783658364113</v>
      </c>
    </row>
    <row r="11437" spans="1:6" s="3" customFormat="1" ht="29.1" customHeight="1" x14ac:dyDescent="0.25">
      <c r="A11437" s="2" t="s">
        <v>23319</v>
      </c>
      <c r="B11437" s="2" t="s">
        <v>23320</v>
      </c>
      <c r="C11437" s="2" t="s">
        <v>5</v>
      </c>
      <c r="D11437" s="2" t="s">
        <v>101</v>
      </c>
      <c r="E11437" s="2" t="str">
        <f>"9783030932534"</f>
        <v>9783030932534</v>
      </c>
      <c r="F11437" s="2" t="str">
        <f>"9783030932541"</f>
        <v>9783030932541</v>
      </c>
    </row>
    <row r="11438" spans="1:6" s="3" customFormat="1" ht="29.1" customHeight="1" x14ac:dyDescent="0.25">
      <c r="A11438" s="2" t="s">
        <v>23321</v>
      </c>
      <c r="B11438" s="2" t="s">
        <v>23322</v>
      </c>
      <c r="C11438" s="2" t="s">
        <v>5</v>
      </c>
      <c r="D11438" s="2" t="s">
        <v>674</v>
      </c>
      <c r="E11438" s="2" t="str">
        <f>"9783030930714"</f>
        <v>9783030930714</v>
      </c>
      <c r="F11438" s="2" t="str">
        <f>"9783030930721"</f>
        <v>9783030930721</v>
      </c>
    </row>
    <row r="11439" spans="1:6" s="3" customFormat="1" ht="29.1" customHeight="1" x14ac:dyDescent="0.25">
      <c r="A11439" s="2" t="s">
        <v>23323</v>
      </c>
      <c r="B11439" s="2" t="s">
        <v>23324</v>
      </c>
      <c r="C11439" s="2" t="s">
        <v>5</v>
      </c>
      <c r="D11439" s="2" t="s">
        <v>297</v>
      </c>
      <c r="E11439" s="2" t="str">
        <f>"9783658363673"</f>
        <v>9783658363673</v>
      </c>
      <c r="F11439" s="2" t="str">
        <f>"9783658363680"</f>
        <v>9783658363680</v>
      </c>
    </row>
    <row r="11440" spans="1:6" s="3" customFormat="1" ht="29.1" customHeight="1" x14ac:dyDescent="0.25">
      <c r="A11440" s="2" t="s">
        <v>23325</v>
      </c>
      <c r="B11440" s="2" t="s">
        <v>23326</v>
      </c>
      <c r="C11440" s="2" t="s">
        <v>5</v>
      </c>
      <c r="D11440" s="2" t="s">
        <v>1071</v>
      </c>
      <c r="E11440" s="2" t="str">
        <f>"9783030928797"</f>
        <v>9783030928797</v>
      </c>
      <c r="F11440" s="2" t="str">
        <f>"9783030928803"</f>
        <v>9783030928803</v>
      </c>
    </row>
    <row r="11441" spans="1:6" s="3" customFormat="1" ht="29.1" customHeight="1" x14ac:dyDescent="0.25">
      <c r="A11441" s="2" t="s">
        <v>23327</v>
      </c>
      <c r="B11441" s="2" t="s">
        <v>23328</v>
      </c>
      <c r="C11441" s="2" t="s">
        <v>5</v>
      </c>
      <c r="D11441" s="2" t="s">
        <v>186</v>
      </c>
      <c r="E11441" s="2" t="str">
        <f>"9783662646328"</f>
        <v>9783662646328</v>
      </c>
      <c r="F11441" s="2" t="str">
        <f>"9783662646335"</f>
        <v>9783662646335</v>
      </c>
    </row>
    <row r="11442" spans="1:6" s="3" customFormat="1" ht="29.1" customHeight="1" x14ac:dyDescent="0.25">
      <c r="A11442" s="2" t="s">
        <v>23329</v>
      </c>
      <c r="B11442" s="2" t="s">
        <v>23330</v>
      </c>
      <c r="C11442" s="2" t="s">
        <v>5</v>
      </c>
      <c r="D11442" s="2" t="s">
        <v>92</v>
      </c>
      <c r="E11442" s="2" t="str">
        <f>"9783030920951"</f>
        <v>9783030920951</v>
      </c>
      <c r="F11442" s="2" t="str">
        <f>"9783030920968"</f>
        <v>9783030920968</v>
      </c>
    </row>
    <row r="11443" spans="1:6" s="3" customFormat="1" ht="29.1" customHeight="1" x14ac:dyDescent="0.25">
      <c r="A11443" s="2" t="s">
        <v>23331</v>
      </c>
      <c r="B11443" s="2" t="s">
        <v>23332</v>
      </c>
      <c r="C11443" s="2" t="s">
        <v>5</v>
      </c>
      <c r="D11443" s="2" t="s">
        <v>479</v>
      </c>
      <c r="E11443" s="2" t="str">
        <f>"9783030920210"</f>
        <v>9783030920210</v>
      </c>
      <c r="F11443" s="2" t="str">
        <f>"9783030920227"</f>
        <v>9783030920227</v>
      </c>
    </row>
    <row r="11444" spans="1:6" s="3" customFormat="1" ht="29.1" customHeight="1" x14ac:dyDescent="0.25">
      <c r="A11444" s="2" t="s">
        <v>23333</v>
      </c>
      <c r="B11444" s="2" t="s">
        <v>23334</v>
      </c>
      <c r="C11444" s="2" t="s">
        <v>5</v>
      </c>
      <c r="D11444" s="2" t="s">
        <v>183</v>
      </c>
      <c r="E11444" s="2" t="str">
        <f>"9783658361785"</f>
        <v>9783658361785</v>
      </c>
      <c r="F11444" s="2" t="str">
        <f>"9783658361792"</f>
        <v>9783658361792</v>
      </c>
    </row>
    <row r="11445" spans="1:6" s="3" customFormat="1" ht="29.1" customHeight="1" x14ac:dyDescent="0.25">
      <c r="A11445" s="2" t="s">
        <v>23335</v>
      </c>
      <c r="B11445" s="2" t="s">
        <v>23336</v>
      </c>
      <c r="C11445" s="2" t="s">
        <v>5</v>
      </c>
      <c r="D11445" s="2" t="s">
        <v>37</v>
      </c>
      <c r="E11445" s="2" t="str">
        <f>"9783030919580"</f>
        <v>9783030919580</v>
      </c>
      <c r="F11445" s="2" t="str">
        <f>"9783030919597"</f>
        <v>9783030919597</v>
      </c>
    </row>
    <row r="11446" spans="1:6" s="3" customFormat="1" ht="29.1" customHeight="1" x14ac:dyDescent="0.25">
      <c r="A11446" s="2" t="s">
        <v>23337</v>
      </c>
      <c r="B11446" s="2" t="s">
        <v>23338</v>
      </c>
      <c r="C11446" s="2" t="s">
        <v>5</v>
      </c>
      <c r="D11446" s="2" t="s">
        <v>192</v>
      </c>
      <c r="E11446" s="2" t="str">
        <f>"9789462654945"</f>
        <v>9789462654945</v>
      </c>
      <c r="F11446" s="2" t="str">
        <f>"9789462654952"</f>
        <v>9789462654952</v>
      </c>
    </row>
    <row r="11447" spans="1:6" s="3" customFormat="1" ht="29.1" customHeight="1" x14ac:dyDescent="0.25">
      <c r="A11447" s="2" t="s">
        <v>23339</v>
      </c>
      <c r="B11447" s="2" t="s">
        <v>23340</v>
      </c>
      <c r="C11447" s="2" t="s">
        <v>5</v>
      </c>
      <c r="D11447" s="2" t="s">
        <v>501</v>
      </c>
      <c r="E11447" s="2" t="str">
        <f>"9783658361440"</f>
        <v>9783658361440</v>
      </c>
      <c r="F11447" s="2" t="str">
        <f>"9783658361457"</f>
        <v>9783658361457</v>
      </c>
    </row>
    <row r="11448" spans="1:6" s="3" customFormat="1" ht="29.1" customHeight="1" x14ac:dyDescent="0.25">
      <c r="A11448" s="2" t="s">
        <v>23341</v>
      </c>
      <c r="B11448" s="2" t="s">
        <v>23342</v>
      </c>
      <c r="C11448" s="2" t="s">
        <v>5</v>
      </c>
      <c r="D11448" s="2" t="s">
        <v>6994</v>
      </c>
      <c r="E11448" s="2" t="str">
        <f>"9783030917159"</f>
        <v>9783030917159</v>
      </c>
      <c r="F11448" s="2" t="str">
        <f>"9783030917166"</f>
        <v>9783030917166</v>
      </c>
    </row>
    <row r="11449" spans="1:6" s="3" customFormat="1" ht="29.1" customHeight="1" x14ac:dyDescent="0.25">
      <c r="A11449" s="2" t="s">
        <v>23343</v>
      </c>
      <c r="B11449" s="2" t="s">
        <v>23344</v>
      </c>
      <c r="C11449" s="2" t="s">
        <v>5</v>
      </c>
      <c r="D11449" s="2" t="s">
        <v>633</v>
      </c>
      <c r="E11449" s="2" t="str">
        <f>"9789811680274"</f>
        <v>9789811680274</v>
      </c>
      <c r="F11449" s="2" t="str">
        <f>"9789811680281"</f>
        <v>9789811680281</v>
      </c>
    </row>
    <row r="11450" spans="1:6" s="3" customFormat="1" ht="29.1" customHeight="1" x14ac:dyDescent="0.25">
      <c r="A11450" s="2" t="s">
        <v>23345</v>
      </c>
      <c r="B11450" s="2" t="s">
        <v>23346</v>
      </c>
      <c r="C11450" s="2" t="s">
        <v>5</v>
      </c>
      <c r="D11450" s="2" t="s">
        <v>30</v>
      </c>
      <c r="E11450" s="2" t="str">
        <f>"9783030912710"</f>
        <v>9783030912710</v>
      </c>
      <c r="F11450" s="2" t="str">
        <f>"9783030912727"</f>
        <v>9783030912727</v>
      </c>
    </row>
    <row r="11451" spans="1:6" s="3" customFormat="1" ht="29.1" customHeight="1" x14ac:dyDescent="0.25">
      <c r="A11451" s="2" t="s">
        <v>23347</v>
      </c>
      <c r="B11451" s="2" t="s">
        <v>23348</v>
      </c>
      <c r="C11451" s="2" t="s">
        <v>5</v>
      </c>
      <c r="D11451" s="2" t="s">
        <v>1071</v>
      </c>
      <c r="E11451" s="2" t="str">
        <f>"9789811679445"</f>
        <v>9789811679445</v>
      </c>
      <c r="F11451" s="2" t="str">
        <f>"9789811679452"</f>
        <v>9789811679452</v>
      </c>
    </row>
    <row r="11452" spans="1:6" s="3" customFormat="1" ht="29.1" customHeight="1" x14ac:dyDescent="0.25">
      <c r="A11452" s="2" t="s">
        <v>23349</v>
      </c>
      <c r="B11452" s="2" t="s">
        <v>23350</v>
      </c>
      <c r="C11452" s="2" t="s">
        <v>5</v>
      </c>
      <c r="D11452" s="2" t="s">
        <v>98</v>
      </c>
      <c r="E11452" s="2" t="str">
        <f>"9783030912468"</f>
        <v>9783030912468</v>
      </c>
      <c r="F11452" s="2" t="str">
        <f>"9783030912475"</f>
        <v>9783030912475</v>
      </c>
    </row>
    <row r="11453" spans="1:6" s="3" customFormat="1" ht="29.1" customHeight="1" x14ac:dyDescent="0.25">
      <c r="A11453" s="2" t="s">
        <v>23351</v>
      </c>
      <c r="B11453" s="2" t="s">
        <v>23352</v>
      </c>
      <c r="C11453" s="2" t="s">
        <v>5</v>
      </c>
      <c r="D11453" s="2" t="s">
        <v>12</v>
      </c>
      <c r="E11453" s="2" t="str">
        <f>"9783030911935"</f>
        <v>9783030911935</v>
      </c>
      <c r="F11453" s="2" t="str">
        <f>"9783030911942"</f>
        <v>9783030911942</v>
      </c>
    </row>
    <row r="11454" spans="1:6" s="3" customFormat="1" ht="29.1" customHeight="1" x14ac:dyDescent="0.25">
      <c r="A11454" s="2" t="s">
        <v>23353</v>
      </c>
      <c r="B11454" s="2" t="s">
        <v>23354</v>
      </c>
      <c r="C11454" s="2" t="s">
        <v>5</v>
      </c>
      <c r="D11454" s="2" t="s">
        <v>141</v>
      </c>
      <c r="E11454" s="2" t="str">
        <f>"9789811678486"</f>
        <v>9789811678486</v>
      </c>
      <c r="F11454" s="2" t="str">
        <f>"9789811678493"</f>
        <v>9789811678493</v>
      </c>
    </row>
    <row r="11455" spans="1:6" s="3" customFormat="1" ht="29.1" customHeight="1" x14ac:dyDescent="0.25">
      <c r="A11455" s="2" t="s">
        <v>23355</v>
      </c>
      <c r="B11455" s="2" t="s">
        <v>23356</v>
      </c>
      <c r="C11455" s="2" t="s">
        <v>5</v>
      </c>
      <c r="D11455" s="2" t="s">
        <v>353</v>
      </c>
      <c r="E11455" s="2" t="str">
        <f>"9783030909970"</f>
        <v>9783030909970</v>
      </c>
      <c r="F11455" s="2" t="str">
        <f>"9783030909987"</f>
        <v>9783030909987</v>
      </c>
    </row>
    <row r="11456" spans="1:6" s="3" customFormat="1" ht="29.1" customHeight="1" x14ac:dyDescent="0.25">
      <c r="A11456" s="2" t="s">
        <v>23357</v>
      </c>
      <c r="B11456" s="2" t="s">
        <v>23358</v>
      </c>
      <c r="C11456" s="2" t="s">
        <v>5</v>
      </c>
      <c r="D11456" s="2" t="s">
        <v>9</v>
      </c>
      <c r="E11456" s="2" t="str">
        <f>"9783658360375"</f>
        <v>9783658360375</v>
      </c>
      <c r="F11456" s="2" t="str">
        <f>"9783658360382"</f>
        <v>9783658360382</v>
      </c>
    </row>
    <row r="11457" spans="1:6" s="3" customFormat="1" ht="29.1" customHeight="1" x14ac:dyDescent="0.25">
      <c r="A11457" s="2" t="s">
        <v>23359</v>
      </c>
      <c r="B11457" s="2" t="s">
        <v>20649</v>
      </c>
      <c r="C11457" s="2" t="s">
        <v>5</v>
      </c>
      <c r="D11457" s="2" t="s">
        <v>98</v>
      </c>
      <c r="E11457" s="2" t="str">
        <f>"9783658360214"</f>
        <v>9783658360214</v>
      </c>
      <c r="F11457" s="2" t="str">
        <f>"9783658360221"</f>
        <v>9783658360221</v>
      </c>
    </row>
    <row r="11458" spans="1:6" s="3" customFormat="1" ht="29.1" customHeight="1" x14ac:dyDescent="0.25">
      <c r="A11458" s="2" t="s">
        <v>23360</v>
      </c>
      <c r="B11458" s="2" t="s">
        <v>23361</v>
      </c>
      <c r="C11458" s="2" t="s">
        <v>5</v>
      </c>
      <c r="D11458" s="2" t="s">
        <v>8343</v>
      </c>
      <c r="E11458" s="2" t="str">
        <f>"9783662644980"</f>
        <v>9783662644980</v>
      </c>
      <c r="F11458" s="2" t="str">
        <f>"9783662644997"</f>
        <v>9783662644997</v>
      </c>
    </row>
    <row r="11459" spans="1:6" s="3" customFormat="1" ht="29.1" customHeight="1" x14ac:dyDescent="0.25">
      <c r="A11459" s="2" t="s">
        <v>23362</v>
      </c>
      <c r="B11459" s="2" t="s">
        <v>23363</v>
      </c>
      <c r="C11459" s="2" t="s">
        <v>5</v>
      </c>
      <c r="D11459" s="2" t="s">
        <v>98</v>
      </c>
      <c r="E11459" s="2" t="str">
        <f>"9783030907686"</f>
        <v>9783030907686</v>
      </c>
      <c r="F11459" s="2" t="str">
        <f>"9783030907693"</f>
        <v>9783030907693</v>
      </c>
    </row>
    <row r="11460" spans="1:6" s="3" customFormat="1" ht="29.1" customHeight="1" x14ac:dyDescent="0.25">
      <c r="A11460" s="2" t="s">
        <v>23364</v>
      </c>
      <c r="B11460" s="2" t="s">
        <v>23365</v>
      </c>
      <c r="C11460" s="2" t="s">
        <v>5</v>
      </c>
      <c r="D11460" s="2" t="s">
        <v>317</v>
      </c>
      <c r="E11460" s="2" t="str">
        <f>"9789811677144"</f>
        <v>9789811677144</v>
      </c>
      <c r="F11460" s="2" t="str">
        <f>"9789811677151"</f>
        <v>9789811677151</v>
      </c>
    </row>
    <row r="11461" spans="1:6" s="3" customFormat="1" ht="29.1" customHeight="1" x14ac:dyDescent="0.25">
      <c r="A11461" s="2" t="s">
        <v>23366</v>
      </c>
      <c r="B11461" s="2" t="s">
        <v>23367</v>
      </c>
      <c r="C11461" s="2" t="s">
        <v>5</v>
      </c>
      <c r="D11461" s="2" t="s">
        <v>2834</v>
      </c>
      <c r="E11461" s="2" t="str">
        <f>"9783030906726"</f>
        <v>9783030906726</v>
      </c>
      <c r="F11461" s="2" t="str">
        <f>"9783030906733"</f>
        <v>9783030906733</v>
      </c>
    </row>
    <row r="11462" spans="1:6" s="3" customFormat="1" ht="29.1" customHeight="1" x14ac:dyDescent="0.25">
      <c r="A11462" s="2" t="s">
        <v>23368</v>
      </c>
      <c r="B11462" s="2" t="s">
        <v>23370</v>
      </c>
      <c r="C11462" s="2" t="s">
        <v>5</v>
      </c>
      <c r="D11462" s="2" t="s">
        <v>23369</v>
      </c>
      <c r="E11462" s="2" t="str">
        <f>"9783658359256"</f>
        <v>9783658359256</v>
      </c>
      <c r="F11462" s="2" t="str">
        <f>"9783658359263"</f>
        <v>9783658359263</v>
      </c>
    </row>
    <row r="11463" spans="1:6" s="3" customFormat="1" ht="29.1" customHeight="1" x14ac:dyDescent="0.25">
      <c r="A11463" s="2" t="s">
        <v>23371</v>
      </c>
      <c r="B11463" s="2" t="s">
        <v>22927</v>
      </c>
      <c r="C11463" s="2" t="s">
        <v>5</v>
      </c>
      <c r="D11463" s="2" t="s">
        <v>183</v>
      </c>
      <c r="E11463" s="2" t="str">
        <f>"9789811673849"</f>
        <v>9789811673849</v>
      </c>
      <c r="F11463" s="2" t="str">
        <f>"9789811673856"</f>
        <v>9789811673856</v>
      </c>
    </row>
    <row r="11464" spans="1:6" s="3" customFormat="1" ht="29.1" customHeight="1" x14ac:dyDescent="0.25">
      <c r="A11464" s="2" t="s">
        <v>23372</v>
      </c>
      <c r="B11464" s="2" t="s">
        <v>23373</v>
      </c>
      <c r="C11464" s="2" t="s">
        <v>5</v>
      </c>
      <c r="D11464" s="2" t="s">
        <v>141</v>
      </c>
      <c r="E11464" s="2" t="str">
        <f>"9783030894450"</f>
        <v>9783030894450</v>
      </c>
      <c r="F11464" s="2" t="str">
        <f>"9783030894467"</f>
        <v>9783030894467</v>
      </c>
    </row>
    <row r="11465" spans="1:6" s="3" customFormat="1" ht="29.1" customHeight="1" x14ac:dyDescent="0.25">
      <c r="A11465" s="2" t="s">
        <v>23374</v>
      </c>
      <c r="B11465" s="2" t="s">
        <v>23375</v>
      </c>
      <c r="C11465" s="2" t="s">
        <v>5</v>
      </c>
      <c r="D11465" s="2" t="s">
        <v>12</v>
      </c>
      <c r="E11465" s="2" t="str">
        <f>"9783030894047"</f>
        <v>9783030894047</v>
      </c>
      <c r="F11465" s="2" t="str">
        <f>"9783030894054"</f>
        <v>9783030894054</v>
      </c>
    </row>
    <row r="11466" spans="1:6" s="3" customFormat="1" ht="29.1" customHeight="1" x14ac:dyDescent="0.25">
      <c r="A11466" s="2" t="s">
        <v>23376</v>
      </c>
      <c r="B11466" s="2" t="s">
        <v>23377</v>
      </c>
      <c r="C11466" s="2" t="s">
        <v>5</v>
      </c>
      <c r="D11466" s="2" t="s">
        <v>98</v>
      </c>
      <c r="E11466" s="2" t="str">
        <f>"9783658375089"</f>
        <v>9783658375089</v>
      </c>
      <c r="F11466" s="2" t="str">
        <f>"9783658375096"</f>
        <v>9783658375096</v>
      </c>
    </row>
    <row r="11467" spans="1:6" s="3" customFormat="1" ht="29.1" customHeight="1" x14ac:dyDescent="0.25">
      <c r="A11467" s="2" t="s">
        <v>23378</v>
      </c>
      <c r="B11467" s="2" t="s">
        <v>23379</v>
      </c>
      <c r="C11467" s="2" t="s">
        <v>5</v>
      </c>
      <c r="D11467" s="2" t="s">
        <v>22276</v>
      </c>
      <c r="E11467" s="2" t="str">
        <f>"9783030892357"</f>
        <v>9783030892357</v>
      </c>
      <c r="F11467" s="2" t="str">
        <f>"9783030892364"</f>
        <v>9783030892364</v>
      </c>
    </row>
    <row r="11468" spans="1:6" s="3" customFormat="1" ht="29.1" customHeight="1" x14ac:dyDescent="0.25">
      <c r="A11468" s="2" t="s">
        <v>23380</v>
      </c>
      <c r="B11468" s="2" t="s">
        <v>23381</v>
      </c>
      <c r="C11468" s="2" t="s">
        <v>5</v>
      </c>
      <c r="D11468" s="2" t="s">
        <v>2045</v>
      </c>
      <c r="E11468" s="2" t="str">
        <f>"9783030891466"</f>
        <v>9783030891466</v>
      </c>
      <c r="F11468" s="2" t="str">
        <f>"9783030891473"</f>
        <v>9783030891473</v>
      </c>
    </row>
    <row r="11469" spans="1:6" s="3" customFormat="1" ht="29.1" customHeight="1" x14ac:dyDescent="0.25">
      <c r="A11469" s="2" t="s">
        <v>23382</v>
      </c>
      <c r="B11469" s="2" t="s">
        <v>23383</v>
      </c>
      <c r="C11469" s="2" t="s">
        <v>5</v>
      </c>
      <c r="D11469" s="2" t="s">
        <v>183</v>
      </c>
      <c r="E11469" s="2" t="str">
        <f>"9783658357436"</f>
        <v>9783658357436</v>
      </c>
      <c r="F11469" s="2" t="str">
        <f>"9783658357443"</f>
        <v>9783658357443</v>
      </c>
    </row>
    <row r="11470" spans="1:6" s="3" customFormat="1" ht="29.1" customHeight="1" x14ac:dyDescent="0.25">
      <c r="A11470" s="2" t="s">
        <v>23384</v>
      </c>
      <c r="B11470" s="2" t="s">
        <v>23385</v>
      </c>
      <c r="C11470" s="2" t="s">
        <v>5</v>
      </c>
      <c r="D11470" s="2" t="s">
        <v>479</v>
      </c>
      <c r="E11470" s="2" t="str">
        <f>"9783030890094"</f>
        <v>9783030890094</v>
      </c>
      <c r="F11470" s="2" t="str">
        <f>"9783030890100"</f>
        <v>9783030890100</v>
      </c>
    </row>
    <row r="11471" spans="1:6" s="3" customFormat="1" ht="29.1" customHeight="1" x14ac:dyDescent="0.25">
      <c r="A11471" s="2" t="s">
        <v>23386</v>
      </c>
      <c r="B11471" s="2" t="s">
        <v>23387</v>
      </c>
      <c r="C11471" s="2" t="s">
        <v>5</v>
      </c>
      <c r="D11471" s="2" t="s">
        <v>107</v>
      </c>
      <c r="E11471" s="2" t="str">
        <f>"9783030888664"</f>
        <v>9783030888664</v>
      </c>
      <c r="F11471" s="2" t="str">
        <f>"9783030888671"</f>
        <v>9783030888671</v>
      </c>
    </row>
    <row r="11472" spans="1:6" s="3" customFormat="1" ht="29.1" customHeight="1" x14ac:dyDescent="0.25">
      <c r="A11472" s="2" t="s">
        <v>23388</v>
      </c>
      <c r="B11472" s="2" t="s">
        <v>23389</v>
      </c>
      <c r="C11472" s="2" t="s">
        <v>5</v>
      </c>
      <c r="D11472" s="2" t="s">
        <v>712</v>
      </c>
      <c r="E11472" s="2" t="str">
        <f>"9783658357108"</f>
        <v>9783658357108</v>
      </c>
      <c r="F11472" s="2" t="str">
        <f>"9783658357115"</f>
        <v>9783658357115</v>
      </c>
    </row>
    <row r="11473" spans="1:6" s="3" customFormat="1" ht="29.1" customHeight="1" x14ac:dyDescent="0.25">
      <c r="A11473" s="2" t="s">
        <v>23390</v>
      </c>
      <c r="B11473" s="2" t="s">
        <v>23391</v>
      </c>
      <c r="C11473" s="2" t="s">
        <v>5</v>
      </c>
      <c r="D11473" s="2" t="s">
        <v>5758</v>
      </c>
      <c r="E11473" s="2" t="str">
        <f>"9789811668265"</f>
        <v>9789811668265</v>
      </c>
      <c r="F11473" s="2" t="str">
        <f>"9789811668272"</f>
        <v>9789811668272</v>
      </c>
    </row>
    <row r="11474" spans="1:6" s="3" customFormat="1" ht="29.1" customHeight="1" x14ac:dyDescent="0.25">
      <c r="A11474" s="2" t="s">
        <v>23392</v>
      </c>
      <c r="B11474" s="2" t="s">
        <v>14752</v>
      </c>
      <c r="C11474" s="2" t="s">
        <v>5</v>
      </c>
      <c r="D11474" s="2" t="s">
        <v>1437</v>
      </c>
      <c r="E11474" s="2" t="str">
        <f>"9789811668302"</f>
        <v>9789811668302</v>
      </c>
      <c r="F11474" s="2" t="str">
        <f>"9789811668319"</f>
        <v>9789811668319</v>
      </c>
    </row>
    <row r="11475" spans="1:6" s="3" customFormat="1" ht="29.1" customHeight="1" x14ac:dyDescent="0.25">
      <c r="A11475" s="2" t="s">
        <v>23393</v>
      </c>
      <c r="B11475" s="2" t="s">
        <v>23394</v>
      </c>
      <c r="C11475" s="2" t="s">
        <v>5</v>
      </c>
      <c r="D11475" s="2" t="s">
        <v>2168</v>
      </c>
      <c r="E11475" s="2" t="str">
        <f>"9789811667824"</f>
        <v>9789811667824</v>
      </c>
      <c r="F11475" s="2" t="str">
        <f>"9789811667831"</f>
        <v>9789811667831</v>
      </c>
    </row>
    <row r="11476" spans="1:6" s="3" customFormat="1" ht="29.1" customHeight="1" x14ac:dyDescent="0.25">
      <c r="A11476" s="2" t="s">
        <v>23395</v>
      </c>
      <c r="B11476" s="2" t="s">
        <v>23396</v>
      </c>
      <c r="C11476" s="2" t="s">
        <v>5</v>
      </c>
      <c r="D11476" s="2" t="s">
        <v>501</v>
      </c>
      <c r="E11476" s="2" t="str">
        <f>"9783030885120"</f>
        <v>9783030885120</v>
      </c>
      <c r="F11476" s="2" t="str">
        <f>"9783030885137"</f>
        <v>9783030885137</v>
      </c>
    </row>
    <row r="11477" spans="1:6" s="3" customFormat="1" ht="29.1" customHeight="1" x14ac:dyDescent="0.25">
      <c r="A11477" s="2" t="s">
        <v>23397</v>
      </c>
      <c r="B11477" s="2" t="s">
        <v>23398</v>
      </c>
      <c r="C11477" s="2" t="s">
        <v>5</v>
      </c>
      <c r="D11477" s="2" t="s">
        <v>297</v>
      </c>
      <c r="E11477" s="2" t="str">
        <f>"9783030884543"</f>
        <v>9783030884543</v>
      </c>
      <c r="F11477" s="2" t="str">
        <f>"9783030884550"</f>
        <v>9783030884550</v>
      </c>
    </row>
    <row r="11478" spans="1:6" s="3" customFormat="1" ht="29.1" customHeight="1" x14ac:dyDescent="0.25">
      <c r="A11478" s="2" t="s">
        <v>23399</v>
      </c>
      <c r="B11478" s="2" t="s">
        <v>23400</v>
      </c>
      <c r="C11478" s="2" t="s">
        <v>5</v>
      </c>
      <c r="D11478" s="2" t="s">
        <v>547</v>
      </c>
      <c r="E11478" s="2" t="str">
        <f>"9789819912919"</f>
        <v>9789819912919</v>
      </c>
      <c r="F11478" s="2" t="str">
        <f>"9789819912926"</f>
        <v>9789819912926</v>
      </c>
    </row>
    <row r="11479" spans="1:6" s="3" customFormat="1" ht="29.1" customHeight="1" x14ac:dyDescent="0.25">
      <c r="A11479" s="2" t="s">
        <v>23401</v>
      </c>
      <c r="B11479" s="2" t="s">
        <v>23402</v>
      </c>
      <c r="C11479" s="2" t="s">
        <v>5</v>
      </c>
      <c r="D11479" s="2" t="s">
        <v>52</v>
      </c>
      <c r="E11479" s="2" t="str">
        <f>"9783030882204"</f>
        <v>9783030882204</v>
      </c>
      <c r="F11479" s="2" t="str">
        <f>"9783030882211"</f>
        <v>9783030882211</v>
      </c>
    </row>
    <row r="11480" spans="1:6" s="3" customFormat="1" ht="29.1" customHeight="1" x14ac:dyDescent="0.25">
      <c r="A11480" s="2" t="s">
        <v>23403</v>
      </c>
      <c r="B11480" s="2" t="s">
        <v>23404</v>
      </c>
      <c r="C11480" s="2" t="s">
        <v>5</v>
      </c>
      <c r="D11480" s="2" t="s">
        <v>302</v>
      </c>
      <c r="E11480" s="2" t="str">
        <f>"9783030874971"</f>
        <v>9783030874971</v>
      </c>
      <c r="F11480" s="2" t="str">
        <f>"9783030874988"</f>
        <v>9783030874988</v>
      </c>
    </row>
    <row r="11481" spans="1:6" s="3" customFormat="1" ht="29.1" customHeight="1" x14ac:dyDescent="0.25">
      <c r="A11481" s="2" t="s">
        <v>23405</v>
      </c>
      <c r="B11481" s="2" t="s">
        <v>23406</v>
      </c>
      <c r="C11481" s="2" t="s">
        <v>5</v>
      </c>
      <c r="D11481" s="2" t="s">
        <v>8189</v>
      </c>
      <c r="E11481" s="2" t="str">
        <f>"9789811663154"</f>
        <v>9789811663154</v>
      </c>
      <c r="F11481" s="2" t="str">
        <f>"9789811663161"</f>
        <v>9789811663161</v>
      </c>
    </row>
    <row r="11482" spans="1:6" s="3" customFormat="1" ht="29.1" customHeight="1" x14ac:dyDescent="0.25">
      <c r="A11482" s="2" t="s">
        <v>23407</v>
      </c>
      <c r="B11482" s="2" t="s">
        <v>9281</v>
      </c>
      <c r="C11482" s="2" t="s">
        <v>5</v>
      </c>
      <c r="D11482" s="2" t="s">
        <v>4019</v>
      </c>
      <c r="E11482" s="2" t="str">
        <f>"9783030952655"</f>
        <v>9783030952655</v>
      </c>
      <c r="F11482" s="2" t="str">
        <f>"9783030952662"</f>
        <v>9783030952662</v>
      </c>
    </row>
    <row r="11483" spans="1:6" s="3" customFormat="1" ht="29.1" customHeight="1" x14ac:dyDescent="0.25">
      <c r="A11483" s="2" t="s">
        <v>23408</v>
      </c>
      <c r="B11483" s="2" t="s">
        <v>23409</v>
      </c>
      <c r="C11483" s="2" t="s">
        <v>5</v>
      </c>
      <c r="D11483" s="2" t="s">
        <v>674</v>
      </c>
      <c r="E11483" s="2" t="str">
        <f>"9789811662522"</f>
        <v>9789811662522</v>
      </c>
      <c r="F11483" s="2" t="str">
        <f>"9789811662539"</f>
        <v>9789811662539</v>
      </c>
    </row>
    <row r="11484" spans="1:6" s="3" customFormat="1" ht="29.1" customHeight="1" x14ac:dyDescent="0.25">
      <c r="A11484" s="2" t="s">
        <v>23410</v>
      </c>
      <c r="B11484" s="2" t="s">
        <v>23411</v>
      </c>
      <c r="C11484" s="2" t="s">
        <v>5</v>
      </c>
      <c r="D11484" s="2" t="s">
        <v>353</v>
      </c>
      <c r="E11484" s="2" t="str">
        <f>"9789811662379"</f>
        <v>9789811662379</v>
      </c>
      <c r="F11484" s="2" t="str">
        <f>"9789811662386"</f>
        <v>9789811662386</v>
      </c>
    </row>
    <row r="11485" spans="1:6" s="3" customFormat="1" ht="29.1" customHeight="1" x14ac:dyDescent="0.25">
      <c r="A11485" s="2" t="s">
        <v>23412</v>
      </c>
      <c r="B11485" s="2" t="s">
        <v>23413</v>
      </c>
      <c r="C11485" s="2" t="s">
        <v>5</v>
      </c>
      <c r="D11485" s="2" t="s">
        <v>1878</v>
      </c>
      <c r="E11485" s="2" t="str">
        <f>"9783030870447"</f>
        <v>9783030870447</v>
      </c>
      <c r="F11485" s="2" t="str">
        <f>"9783030870454"</f>
        <v>9783030870454</v>
      </c>
    </row>
    <row r="11486" spans="1:6" s="3" customFormat="1" ht="29.1" customHeight="1" x14ac:dyDescent="0.25">
      <c r="A11486" s="2" t="s">
        <v>23414</v>
      </c>
      <c r="B11486" s="2" t="s">
        <v>23415</v>
      </c>
      <c r="C11486" s="2" t="s">
        <v>5</v>
      </c>
      <c r="D11486" s="2" t="s">
        <v>694</v>
      </c>
      <c r="E11486" s="2" t="str">
        <f>"9783030868963"</f>
        <v>9783030868963</v>
      </c>
      <c r="F11486" s="2" t="str">
        <f>"9783030868970"</f>
        <v>9783030868970</v>
      </c>
    </row>
    <row r="11487" spans="1:6" s="3" customFormat="1" ht="29.1" customHeight="1" x14ac:dyDescent="0.25">
      <c r="A11487" s="2" t="s">
        <v>23416</v>
      </c>
      <c r="B11487" s="2" t="s">
        <v>7854</v>
      </c>
      <c r="C11487" s="2" t="s">
        <v>5</v>
      </c>
      <c r="D11487" s="2" t="s">
        <v>2237</v>
      </c>
      <c r="E11487" s="2" t="str">
        <f>"9783030868109"</f>
        <v>9783030868109</v>
      </c>
      <c r="F11487" s="2" t="str">
        <f>"9783030868116"</f>
        <v>9783030868116</v>
      </c>
    </row>
    <row r="11488" spans="1:6" s="3" customFormat="1" ht="29.1" customHeight="1" x14ac:dyDescent="0.25">
      <c r="A11488" s="2" t="s">
        <v>23417</v>
      </c>
      <c r="B11488" s="2" t="s">
        <v>23418</v>
      </c>
      <c r="C11488" s="2" t="s">
        <v>5</v>
      </c>
      <c r="D11488" s="2" t="s">
        <v>5032</v>
      </c>
      <c r="E11488" s="2" t="str">
        <f>"9783030865993"</f>
        <v>9783030865993</v>
      </c>
      <c r="F11488" s="2" t="str">
        <f>"9783030866006"</f>
        <v>9783030866006</v>
      </c>
    </row>
    <row r="11489" spans="1:6" s="3" customFormat="1" ht="29.1" customHeight="1" x14ac:dyDescent="0.25">
      <c r="A11489" s="2" t="s">
        <v>23419</v>
      </c>
      <c r="B11489" s="2" t="s">
        <v>23420</v>
      </c>
      <c r="C11489" s="2" t="s">
        <v>5</v>
      </c>
      <c r="D11489" s="2" t="s">
        <v>633</v>
      </c>
      <c r="E11489" s="2" t="str">
        <f>"9783658354558"</f>
        <v>9783658354558</v>
      </c>
      <c r="F11489" s="2" t="str">
        <f>"9783658354565"</f>
        <v>9783658354565</v>
      </c>
    </row>
    <row r="11490" spans="1:6" s="3" customFormat="1" ht="29.1" customHeight="1" x14ac:dyDescent="0.25">
      <c r="A11490" s="2" t="s">
        <v>23421</v>
      </c>
      <c r="B11490" s="2" t="s">
        <v>23422</v>
      </c>
      <c r="C11490" s="2" t="s">
        <v>5</v>
      </c>
      <c r="D11490" s="2" t="s">
        <v>6511</v>
      </c>
      <c r="E11490" s="2" t="str">
        <f>"9783030861773"</f>
        <v>9783030861773</v>
      </c>
      <c r="F11490" s="2" t="str">
        <f>"9783030861780"</f>
        <v>9783030861780</v>
      </c>
    </row>
    <row r="11491" spans="1:6" s="3" customFormat="1" ht="29.1" customHeight="1" x14ac:dyDescent="0.25">
      <c r="A11491" s="2" t="s">
        <v>23423</v>
      </c>
      <c r="B11491" s="2" t="s">
        <v>23424</v>
      </c>
      <c r="C11491" s="2" t="s">
        <v>5</v>
      </c>
      <c r="D11491" s="2" t="s">
        <v>284</v>
      </c>
      <c r="E11491" s="2" t="str">
        <f>"9783030861438"</f>
        <v>9783030861438</v>
      </c>
      <c r="F11491" s="2" t="str">
        <f>"9783030861445"</f>
        <v>9783030861445</v>
      </c>
    </row>
    <row r="11492" spans="1:6" s="3" customFormat="1" ht="29.1" customHeight="1" x14ac:dyDescent="0.25">
      <c r="A11492" s="2" t="s">
        <v>23425</v>
      </c>
      <c r="B11492" s="2" t="s">
        <v>23426</v>
      </c>
      <c r="C11492" s="2" t="s">
        <v>5</v>
      </c>
      <c r="D11492" s="2" t="s">
        <v>321</v>
      </c>
      <c r="E11492" s="2" t="str">
        <f>"9783662641392"</f>
        <v>9783662641392</v>
      </c>
      <c r="F11492" s="2" t="str">
        <f>"9783662641408"</f>
        <v>9783662641408</v>
      </c>
    </row>
    <row r="11493" spans="1:6" s="3" customFormat="1" ht="29.1" customHeight="1" x14ac:dyDescent="0.25">
      <c r="A11493" s="2" t="s">
        <v>23427</v>
      </c>
      <c r="B11493" s="2" t="s">
        <v>23428</v>
      </c>
      <c r="C11493" s="2" t="s">
        <v>5</v>
      </c>
      <c r="D11493" s="2" t="s">
        <v>270</v>
      </c>
      <c r="E11493" s="2" t="str">
        <f>"9783030860042"</f>
        <v>9783030860042</v>
      </c>
      <c r="F11493" s="2" t="str">
        <f>"9783030860059"</f>
        <v>9783030860059</v>
      </c>
    </row>
    <row r="11494" spans="1:6" s="3" customFormat="1" ht="29.1" customHeight="1" x14ac:dyDescent="0.25">
      <c r="A11494" s="2" t="s">
        <v>23429</v>
      </c>
      <c r="B11494" s="2" t="s">
        <v>23430</v>
      </c>
      <c r="C11494" s="2" t="s">
        <v>5</v>
      </c>
      <c r="D11494" s="2" t="s">
        <v>12</v>
      </c>
      <c r="E11494" s="2" t="str">
        <f>"9783030857950"</f>
        <v>9783030857950</v>
      </c>
      <c r="F11494" s="2" t="str">
        <f>"9783030857967"</f>
        <v>9783030857967</v>
      </c>
    </row>
    <row r="11495" spans="1:6" s="3" customFormat="1" ht="29.1" customHeight="1" x14ac:dyDescent="0.25">
      <c r="A11495" s="2" t="s">
        <v>23431</v>
      </c>
      <c r="B11495" s="2" t="s">
        <v>23432</v>
      </c>
      <c r="C11495" s="2" t="s">
        <v>5</v>
      </c>
      <c r="D11495" s="2" t="s">
        <v>3062</v>
      </c>
      <c r="E11495" s="2" t="str">
        <f>"9783030856786"</f>
        <v>9783030856786</v>
      </c>
      <c r="F11495" s="2" t="str">
        <f>"9783030856793"</f>
        <v>9783030856793</v>
      </c>
    </row>
    <row r="11496" spans="1:6" s="3" customFormat="1" ht="29.1" customHeight="1" x14ac:dyDescent="0.25">
      <c r="A11496" s="2" t="s">
        <v>23433</v>
      </c>
      <c r="B11496" s="2" t="s">
        <v>23434</v>
      </c>
      <c r="C11496" s="2" t="s">
        <v>5</v>
      </c>
      <c r="D11496" s="2" t="s">
        <v>553</v>
      </c>
      <c r="E11496" s="2" t="str">
        <f>"9783030856670"</f>
        <v>9783030856670</v>
      </c>
      <c r="F11496" s="2" t="str">
        <f>"9783030856687"</f>
        <v>9783030856687</v>
      </c>
    </row>
    <row r="11497" spans="1:6" s="3" customFormat="1" ht="29.1" customHeight="1" x14ac:dyDescent="0.25">
      <c r="A11497" s="2" t="s">
        <v>23435</v>
      </c>
      <c r="B11497" s="2" t="s">
        <v>23436</v>
      </c>
      <c r="C11497" s="2" t="s">
        <v>5</v>
      </c>
      <c r="D11497" s="2" t="s">
        <v>5032</v>
      </c>
      <c r="E11497" s="2" t="str">
        <f>"9783030855314"</f>
        <v>9783030855314</v>
      </c>
      <c r="F11497" s="2" t="str">
        <f>"9783030855321"</f>
        <v>9783030855321</v>
      </c>
    </row>
    <row r="11498" spans="1:6" s="3" customFormat="1" ht="29.1" customHeight="1" x14ac:dyDescent="0.25">
      <c r="A11498" s="2" t="s">
        <v>23437</v>
      </c>
      <c r="B11498" s="2" t="s">
        <v>23438</v>
      </c>
      <c r="C11498" s="2" t="s">
        <v>5</v>
      </c>
      <c r="D11498" s="2" t="s">
        <v>3052</v>
      </c>
      <c r="E11498" s="2" t="str">
        <f>"9783658353254"</f>
        <v>9783658353254</v>
      </c>
      <c r="F11498" s="2" t="str">
        <f>"9783658353261"</f>
        <v>9783658353261</v>
      </c>
    </row>
    <row r="11499" spans="1:6" s="3" customFormat="1" ht="29.1" customHeight="1" x14ac:dyDescent="0.25">
      <c r="A11499" s="2" t="s">
        <v>23439</v>
      </c>
      <c r="B11499" s="2" t="s">
        <v>23440</v>
      </c>
      <c r="C11499" s="2" t="s">
        <v>5</v>
      </c>
      <c r="D11499" s="2" t="s">
        <v>75</v>
      </c>
      <c r="E11499" s="2" t="str">
        <f>"9783030853112"</f>
        <v>9783030853112</v>
      </c>
      <c r="F11499" s="2" t="str">
        <f>"9783030853129"</f>
        <v>9783030853129</v>
      </c>
    </row>
    <row r="11500" spans="1:6" s="3" customFormat="1" ht="29.1" customHeight="1" x14ac:dyDescent="0.25">
      <c r="A11500" s="2" t="s">
        <v>23441</v>
      </c>
      <c r="B11500" s="2" t="s">
        <v>23442</v>
      </c>
      <c r="C11500" s="2" t="s">
        <v>5</v>
      </c>
      <c r="D11500" s="2" t="s">
        <v>98</v>
      </c>
      <c r="E11500" s="2" t="str">
        <f>"9783662640708"</f>
        <v>9783662640708</v>
      </c>
      <c r="F11500" s="2" t="str">
        <f>"9783662640715"</f>
        <v>9783662640715</v>
      </c>
    </row>
    <row r="11501" spans="1:6" s="3" customFormat="1" ht="29.1" customHeight="1" x14ac:dyDescent="0.25">
      <c r="A11501" s="2" t="s">
        <v>23443</v>
      </c>
      <c r="B11501" s="2" t="s">
        <v>23444</v>
      </c>
      <c r="C11501" s="2" t="s">
        <v>5</v>
      </c>
      <c r="D11501" s="2" t="s">
        <v>2237</v>
      </c>
      <c r="E11501" s="2" t="str">
        <f>"9789811652479"</f>
        <v>9789811652479</v>
      </c>
      <c r="F11501" s="2" t="str">
        <f>"9789811652486"</f>
        <v>9789811652486</v>
      </c>
    </row>
    <row r="11502" spans="1:6" s="3" customFormat="1" ht="29.1" customHeight="1" x14ac:dyDescent="0.25">
      <c r="A11502" s="2" t="s">
        <v>23445</v>
      </c>
      <c r="B11502" s="2" t="s">
        <v>23446</v>
      </c>
      <c r="C11502" s="2" t="s">
        <v>5</v>
      </c>
      <c r="D11502" s="2" t="s">
        <v>509</v>
      </c>
      <c r="E11502" s="2" t="str">
        <f>"9783030842802"</f>
        <v>9783030842802</v>
      </c>
      <c r="F11502" s="2" t="str">
        <f>"9783030842819"</f>
        <v>9783030842819</v>
      </c>
    </row>
    <row r="11503" spans="1:6" s="3" customFormat="1" ht="29.1" customHeight="1" x14ac:dyDescent="0.25">
      <c r="A11503" s="2" t="s">
        <v>23447</v>
      </c>
      <c r="B11503" s="2" t="s">
        <v>23448</v>
      </c>
      <c r="C11503" s="2" t="s">
        <v>5</v>
      </c>
      <c r="D11503" s="2" t="s">
        <v>12</v>
      </c>
      <c r="E11503" s="2" t="str">
        <f>"9783030842475"</f>
        <v>9783030842475</v>
      </c>
      <c r="F11503" s="2" t="str">
        <f>"9783030842482"</f>
        <v>9783030842482</v>
      </c>
    </row>
    <row r="11504" spans="1:6" s="3" customFormat="1" ht="29.1" customHeight="1" x14ac:dyDescent="0.25">
      <c r="A11504" s="2" t="s">
        <v>23449</v>
      </c>
      <c r="B11504" s="2" t="s">
        <v>21202</v>
      </c>
      <c r="C11504" s="2" t="s">
        <v>5</v>
      </c>
      <c r="D11504" s="2" t="s">
        <v>490</v>
      </c>
      <c r="E11504" s="2" t="str">
        <f>"9783030839246"</f>
        <v>9783030839246</v>
      </c>
      <c r="F11504" s="2" t="str">
        <f>"9783030839253"</f>
        <v>9783030839253</v>
      </c>
    </row>
    <row r="11505" spans="1:6" s="3" customFormat="1" ht="29.1" customHeight="1" x14ac:dyDescent="0.25">
      <c r="A11505" s="2" t="s">
        <v>23450</v>
      </c>
      <c r="B11505" s="2" t="s">
        <v>23451</v>
      </c>
      <c r="C11505" s="2" t="s">
        <v>5</v>
      </c>
      <c r="D11505" s="2" t="s">
        <v>894</v>
      </c>
      <c r="E11505" s="2" t="str">
        <f>"9783030837792"</f>
        <v>9783030837792</v>
      </c>
      <c r="F11505" s="2" t="str">
        <f>"9783030837808"</f>
        <v>9783030837808</v>
      </c>
    </row>
    <row r="11506" spans="1:6" s="3" customFormat="1" ht="29.1" customHeight="1" x14ac:dyDescent="0.25">
      <c r="A11506" s="2" t="s">
        <v>23452</v>
      </c>
      <c r="B11506" s="2" t="s">
        <v>23453</v>
      </c>
      <c r="C11506" s="2" t="s">
        <v>5</v>
      </c>
      <c r="D11506" s="2" t="s">
        <v>984</v>
      </c>
      <c r="E11506" s="2" t="str">
        <f>"9783658351441"</f>
        <v>9783658351441</v>
      </c>
      <c r="F11506" s="2" t="str">
        <f>"9783658351458"</f>
        <v>9783658351458</v>
      </c>
    </row>
    <row r="11507" spans="1:6" s="3" customFormat="1" ht="29.1" customHeight="1" x14ac:dyDescent="0.25">
      <c r="A11507" s="2" t="s">
        <v>23454</v>
      </c>
      <c r="B11507" s="2" t="s">
        <v>23455</v>
      </c>
      <c r="C11507" s="2" t="s">
        <v>5</v>
      </c>
      <c r="D11507" s="2" t="s">
        <v>183</v>
      </c>
      <c r="E11507" s="2" t="str">
        <f>"9783658351205"</f>
        <v>9783658351205</v>
      </c>
      <c r="F11507" s="2" t="str">
        <f>"9783658351212"</f>
        <v>9783658351212</v>
      </c>
    </row>
    <row r="11508" spans="1:6" s="3" customFormat="1" ht="29.1" customHeight="1" x14ac:dyDescent="0.25">
      <c r="A11508" s="2" t="s">
        <v>23456</v>
      </c>
      <c r="B11508" s="2" t="s">
        <v>23457</v>
      </c>
      <c r="C11508" s="2" t="s">
        <v>5</v>
      </c>
      <c r="D11508" s="2" t="s">
        <v>6655</v>
      </c>
      <c r="E11508" s="2" t="str">
        <f>"9783658350697"</f>
        <v>9783658350697</v>
      </c>
      <c r="F11508" s="2" t="str">
        <f>"9783658350703"</f>
        <v>9783658350703</v>
      </c>
    </row>
    <row r="11509" spans="1:6" s="3" customFormat="1" ht="29.1" customHeight="1" x14ac:dyDescent="0.25">
      <c r="A11509" s="2" t="s">
        <v>23458</v>
      </c>
      <c r="B11509" s="2" t="s">
        <v>23459</v>
      </c>
      <c r="C11509" s="2" t="s">
        <v>5</v>
      </c>
      <c r="D11509" s="2" t="s">
        <v>81</v>
      </c>
      <c r="E11509" s="2" t="str">
        <f>"9783030831134"</f>
        <v>9783030831134</v>
      </c>
      <c r="F11509" s="2" t="str">
        <f>"9783030831141"</f>
        <v>9783030831141</v>
      </c>
    </row>
    <row r="11510" spans="1:6" s="3" customFormat="1" ht="29.1" customHeight="1" x14ac:dyDescent="0.25">
      <c r="A11510" s="2" t="s">
        <v>23460</v>
      </c>
      <c r="B11510" s="2" t="s">
        <v>23461</v>
      </c>
      <c r="C11510" s="2" t="s">
        <v>5</v>
      </c>
      <c r="D11510" s="2" t="s">
        <v>674</v>
      </c>
      <c r="E11510" s="2" t="str">
        <f>"9789811649103"</f>
        <v>9789811649103</v>
      </c>
      <c r="F11510" s="2" t="str">
        <f>"9789811649110"</f>
        <v>9789811649110</v>
      </c>
    </row>
    <row r="11511" spans="1:6" s="3" customFormat="1" ht="29.1" customHeight="1" x14ac:dyDescent="0.25">
      <c r="A11511" s="2" t="s">
        <v>23462</v>
      </c>
      <c r="B11511" s="2" t="s">
        <v>23463</v>
      </c>
      <c r="C11511" s="2" t="s">
        <v>5</v>
      </c>
      <c r="D11511" s="2" t="s">
        <v>487</v>
      </c>
      <c r="E11511" s="2" t="str">
        <f>"9783030831271"</f>
        <v>9783030831271</v>
      </c>
      <c r="F11511" s="2" t="str">
        <f>"9783030831288"</f>
        <v>9783030831288</v>
      </c>
    </row>
    <row r="11512" spans="1:6" s="3" customFormat="1" ht="29.1" customHeight="1" x14ac:dyDescent="0.25">
      <c r="A11512" s="2" t="s">
        <v>23464</v>
      </c>
      <c r="B11512" s="2" t="s">
        <v>23465</v>
      </c>
      <c r="C11512" s="2" t="s">
        <v>5</v>
      </c>
      <c r="D11512" s="2" t="s">
        <v>10329</v>
      </c>
      <c r="E11512" s="2" t="str">
        <f>"9783030827854"</f>
        <v>9783030827854</v>
      </c>
      <c r="F11512" s="2" t="str">
        <f>"9783030827861"</f>
        <v>9783030827861</v>
      </c>
    </row>
    <row r="11513" spans="1:6" s="3" customFormat="1" ht="29.1" customHeight="1" x14ac:dyDescent="0.25">
      <c r="A11513" s="2" t="s">
        <v>23466</v>
      </c>
      <c r="B11513" s="2" t="s">
        <v>23467</v>
      </c>
      <c r="C11513" s="2" t="s">
        <v>5</v>
      </c>
      <c r="D11513" s="2" t="s">
        <v>712</v>
      </c>
      <c r="E11513" s="2" t="str">
        <f>"9783030827663"</f>
        <v>9783030827663</v>
      </c>
      <c r="F11513" s="2" t="str">
        <f>"9783030827670"</f>
        <v>9783030827670</v>
      </c>
    </row>
    <row r="11514" spans="1:6" s="3" customFormat="1" ht="29.1" customHeight="1" x14ac:dyDescent="0.25">
      <c r="A11514" s="2" t="s">
        <v>23468</v>
      </c>
      <c r="B11514" s="2" t="s">
        <v>20431</v>
      </c>
      <c r="C11514" s="2" t="s">
        <v>5</v>
      </c>
      <c r="D11514" s="2" t="s">
        <v>101</v>
      </c>
      <c r="E11514" s="2" t="str">
        <f>"9783662639283"</f>
        <v>9783662639283</v>
      </c>
      <c r="F11514" s="2" t="str">
        <f>"9783662639290"</f>
        <v>9783662639290</v>
      </c>
    </row>
    <row r="11515" spans="1:6" s="3" customFormat="1" ht="29.1" customHeight="1" x14ac:dyDescent="0.25">
      <c r="A11515" s="2" t="s">
        <v>23469</v>
      </c>
      <c r="B11515" s="2" t="s">
        <v>23470</v>
      </c>
      <c r="C11515" s="2" t="s">
        <v>5</v>
      </c>
      <c r="D11515" s="2" t="s">
        <v>4172</v>
      </c>
      <c r="E11515" s="2" t="str">
        <f>"9789811647246"</f>
        <v>9789811647246</v>
      </c>
      <c r="F11515" s="2" t="str">
        <f>"9789811647253"</f>
        <v>9789811647253</v>
      </c>
    </row>
    <row r="11516" spans="1:6" s="3" customFormat="1" ht="29.1" customHeight="1" x14ac:dyDescent="0.25">
      <c r="A11516" s="2" t="s">
        <v>23471</v>
      </c>
      <c r="B11516" s="2" t="s">
        <v>23472</v>
      </c>
      <c r="C11516" s="2" t="s">
        <v>5</v>
      </c>
      <c r="D11516" s="2" t="s">
        <v>3062</v>
      </c>
      <c r="E11516" s="2" t="str">
        <f>"9783658349691"</f>
        <v>9783658349691</v>
      </c>
      <c r="F11516" s="2" t="str">
        <f>"9783658349707"</f>
        <v>9783658349707</v>
      </c>
    </row>
    <row r="11517" spans="1:6" s="3" customFormat="1" ht="29.1" customHeight="1" x14ac:dyDescent="0.25">
      <c r="A11517" s="2" t="s">
        <v>23473</v>
      </c>
      <c r="B11517" s="2" t="s">
        <v>23474</v>
      </c>
      <c r="C11517" s="2" t="s">
        <v>5</v>
      </c>
      <c r="D11517" s="2" t="s">
        <v>1310</v>
      </c>
      <c r="E11517" s="2" t="str">
        <f>"9783030817350"</f>
        <v>9783030817350</v>
      </c>
      <c r="F11517" s="2" t="str">
        <f>"9783030817367"</f>
        <v>9783030817367</v>
      </c>
    </row>
    <row r="11518" spans="1:6" s="3" customFormat="1" ht="29.1" customHeight="1" x14ac:dyDescent="0.25">
      <c r="A11518" s="2" t="s">
        <v>23475</v>
      </c>
      <c r="B11518" s="2" t="s">
        <v>20120</v>
      </c>
      <c r="C11518" s="2" t="s">
        <v>5</v>
      </c>
      <c r="D11518" s="2" t="s">
        <v>4019</v>
      </c>
      <c r="E11518" s="2" t="str">
        <f>"9783030814991"</f>
        <v>9783030814991</v>
      </c>
      <c r="F11518" s="2" t="str">
        <f>"9783030815004"</f>
        <v>9783030815004</v>
      </c>
    </row>
    <row r="11519" spans="1:6" s="3" customFormat="1" ht="29.1" customHeight="1" x14ac:dyDescent="0.25">
      <c r="A11519" s="2" t="s">
        <v>23476</v>
      </c>
      <c r="B11519" s="2" t="s">
        <v>23477</v>
      </c>
      <c r="C11519" s="2" t="s">
        <v>5</v>
      </c>
      <c r="D11519" s="2" t="s">
        <v>183</v>
      </c>
      <c r="E11519" s="2" t="str">
        <f>"9783030815035"</f>
        <v>9783030815035</v>
      </c>
      <c r="F11519" s="2" t="str">
        <f>"9783030815042"</f>
        <v>9783030815042</v>
      </c>
    </row>
    <row r="11520" spans="1:6" s="3" customFormat="1" ht="29.1" customHeight="1" x14ac:dyDescent="0.25">
      <c r="A11520" s="2" t="s">
        <v>23478</v>
      </c>
      <c r="B11520" s="2" t="s">
        <v>23479</v>
      </c>
      <c r="C11520" s="2" t="s">
        <v>5</v>
      </c>
      <c r="D11520" s="2" t="s">
        <v>69</v>
      </c>
      <c r="E11520" s="2" t="str">
        <f>"9783658347659"</f>
        <v>9783658347659</v>
      </c>
      <c r="F11520" s="2" t="str">
        <f>"9783658347666"</f>
        <v>9783658347666</v>
      </c>
    </row>
    <row r="11521" spans="1:6" s="3" customFormat="1" ht="29.1" customHeight="1" x14ac:dyDescent="0.25">
      <c r="A11521" s="2" t="s">
        <v>23480</v>
      </c>
      <c r="B11521" s="2" t="s">
        <v>23481</v>
      </c>
      <c r="C11521" s="2" t="s">
        <v>5</v>
      </c>
      <c r="D11521" s="2" t="s">
        <v>606</v>
      </c>
      <c r="E11521" s="2" t="str">
        <f>"9783030809096"</f>
        <v>9783030809096</v>
      </c>
      <c r="F11521" s="2" t="str">
        <f>"9783030809102"</f>
        <v>9783030809102</v>
      </c>
    </row>
    <row r="11522" spans="1:6" s="3" customFormat="1" ht="29.1" customHeight="1" x14ac:dyDescent="0.25">
      <c r="A11522" s="2" t="s">
        <v>23482</v>
      </c>
      <c r="B11522" s="2" t="s">
        <v>23483</v>
      </c>
      <c r="C11522" s="2" t="s">
        <v>5</v>
      </c>
      <c r="D11522" s="2" t="s">
        <v>1902</v>
      </c>
      <c r="E11522" s="2" t="str">
        <f>"9789811640940"</f>
        <v>9789811640940</v>
      </c>
      <c r="F11522" s="2" t="str">
        <f>"9789811640957"</f>
        <v>9789811640957</v>
      </c>
    </row>
    <row r="11523" spans="1:6" s="3" customFormat="1" ht="29.1" customHeight="1" x14ac:dyDescent="0.25">
      <c r="A11523" s="2" t="s">
        <v>23484</v>
      </c>
      <c r="B11523" s="2" t="s">
        <v>23485</v>
      </c>
      <c r="C11523" s="2" t="s">
        <v>5</v>
      </c>
      <c r="D11523" s="2" t="s">
        <v>4739</v>
      </c>
      <c r="E11523" s="2" t="str">
        <f>"9783662637920"</f>
        <v>9783662637920</v>
      </c>
      <c r="F11523" s="2" t="str">
        <f>"9783662637937"</f>
        <v>9783662637937</v>
      </c>
    </row>
    <row r="11524" spans="1:6" s="3" customFormat="1" ht="29.1" customHeight="1" x14ac:dyDescent="0.25">
      <c r="A11524" s="2" t="s">
        <v>23486</v>
      </c>
      <c r="B11524" s="2" t="s">
        <v>23487</v>
      </c>
      <c r="C11524" s="2" t="s">
        <v>5</v>
      </c>
      <c r="D11524" s="2" t="s">
        <v>636</v>
      </c>
      <c r="E11524" s="2" t="str">
        <f>"9783030806453"</f>
        <v>9783030806453</v>
      </c>
      <c r="F11524" s="2" t="str">
        <f>"9783030806460"</f>
        <v>9783030806460</v>
      </c>
    </row>
    <row r="11525" spans="1:6" s="3" customFormat="1" ht="29.1" customHeight="1" x14ac:dyDescent="0.25">
      <c r="A11525" s="2" t="s">
        <v>23488</v>
      </c>
      <c r="B11525" s="2" t="s">
        <v>23489</v>
      </c>
      <c r="C11525" s="2" t="s">
        <v>5</v>
      </c>
      <c r="D11525" s="2" t="s">
        <v>674</v>
      </c>
      <c r="E11525" s="2" t="str">
        <f>"9789811640667"</f>
        <v>9789811640667</v>
      </c>
      <c r="F11525" s="2" t="str">
        <f>"9789811640674"</f>
        <v>9789811640674</v>
      </c>
    </row>
    <row r="11526" spans="1:6" s="3" customFormat="1" ht="29.1" customHeight="1" x14ac:dyDescent="0.25">
      <c r="A11526" s="2" t="s">
        <v>23490</v>
      </c>
      <c r="B11526" s="2" t="s">
        <v>23491</v>
      </c>
      <c r="C11526" s="2" t="s">
        <v>5</v>
      </c>
      <c r="D11526" s="2" t="s">
        <v>3958</v>
      </c>
      <c r="E11526" s="2" t="str">
        <f>"9783658346973"</f>
        <v>9783658346973</v>
      </c>
      <c r="F11526" s="2" t="str">
        <f>"9783658346980"</f>
        <v>9783658346980</v>
      </c>
    </row>
    <row r="11527" spans="1:6" s="3" customFormat="1" ht="29.1" customHeight="1" x14ac:dyDescent="0.25">
      <c r="A11527" s="2" t="s">
        <v>23492</v>
      </c>
      <c r="B11527" s="2" t="s">
        <v>23493</v>
      </c>
      <c r="C11527" s="2" t="s">
        <v>5</v>
      </c>
      <c r="D11527" s="2" t="s">
        <v>19766</v>
      </c>
      <c r="E11527" s="2" t="str">
        <f>"9781484271841"</f>
        <v>9781484271841</v>
      </c>
      <c r="F11527" s="2" t="str">
        <f>"9781484271858"</f>
        <v>9781484271858</v>
      </c>
    </row>
    <row r="11528" spans="1:6" s="3" customFormat="1" ht="29.1" customHeight="1" x14ac:dyDescent="0.25">
      <c r="A11528" s="2" t="s">
        <v>23494</v>
      </c>
      <c r="B11528" s="2" t="s">
        <v>23495</v>
      </c>
      <c r="C11528" s="2" t="s">
        <v>5</v>
      </c>
      <c r="D11528" s="2" t="s">
        <v>12</v>
      </c>
      <c r="E11528" s="2" t="str">
        <f>"9783030797386"</f>
        <v>9783030797386</v>
      </c>
      <c r="F11528" s="2" t="str">
        <f>"9783030797393"</f>
        <v>9783030797393</v>
      </c>
    </row>
    <row r="11529" spans="1:6" s="3" customFormat="1" ht="29.1" customHeight="1" x14ac:dyDescent="0.25">
      <c r="A11529" s="2" t="s">
        <v>23496</v>
      </c>
      <c r="B11529" s="2" t="s">
        <v>23497</v>
      </c>
      <c r="C11529" s="2" t="s">
        <v>5</v>
      </c>
      <c r="D11529" s="2" t="s">
        <v>12</v>
      </c>
      <c r="E11529" s="2" t="str">
        <f>"9783030795900"</f>
        <v>9783030795900</v>
      </c>
      <c r="F11529" s="2" t="str">
        <f>"9783030795917"</f>
        <v>9783030795917</v>
      </c>
    </row>
    <row r="11530" spans="1:6" s="3" customFormat="1" ht="29.1" customHeight="1" x14ac:dyDescent="0.25">
      <c r="A11530" s="2" t="s">
        <v>20096</v>
      </c>
      <c r="B11530" s="2" t="s">
        <v>23498</v>
      </c>
      <c r="C11530" s="2" t="s">
        <v>5</v>
      </c>
      <c r="D11530" s="2" t="s">
        <v>3633</v>
      </c>
      <c r="E11530" s="2" t="str">
        <f>"9783030795146"</f>
        <v>9783030795146</v>
      </c>
      <c r="F11530" s="2" t="str">
        <f>"9783030795153"</f>
        <v>9783030795153</v>
      </c>
    </row>
    <row r="11531" spans="1:6" s="3" customFormat="1" ht="29.1" customHeight="1" x14ac:dyDescent="0.25">
      <c r="A11531" s="2" t="s">
        <v>23499</v>
      </c>
      <c r="B11531" s="2" t="s">
        <v>23500</v>
      </c>
      <c r="C11531" s="2" t="s">
        <v>5</v>
      </c>
      <c r="D11531" s="2" t="s">
        <v>674</v>
      </c>
      <c r="E11531" s="2" t="str">
        <f>"9783030790349"</f>
        <v>9783030790349</v>
      </c>
      <c r="F11531" s="2" t="str">
        <f>"9783030790356"</f>
        <v>9783030790356</v>
      </c>
    </row>
    <row r="11532" spans="1:6" s="3" customFormat="1" ht="29.1" customHeight="1" x14ac:dyDescent="0.25">
      <c r="A11532" s="2" t="s">
        <v>23501</v>
      </c>
      <c r="B11532" s="2" t="s">
        <v>23502</v>
      </c>
      <c r="C11532" s="2" t="s">
        <v>5</v>
      </c>
      <c r="D11532" s="2" t="s">
        <v>4172</v>
      </c>
      <c r="E11532" s="2" t="str">
        <f>"9783030790530"</f>
        <v>9783030790530</v>
      </c>
      <c r="F11532" s="2" t="str">
        <f>"9783030790547"</f>
        <v>9783030790547</v>
      </c>
    </row>
    <row r="11533" spans="1:6" s="3" customFormat="1" ht="29.1" customHeight="1" x14ac:dyDescent="0.25">
      <c r="A11533" s="2" t="s">
        <v>23503</v>
      </c>
      <c r="B11533" s="2" t="s">
        <v>23504</v>
      </c>
      <c r="C11533" s="2" t="s">
        <v>5</v>
      </c>
      <c r="D11533" s="2" t="s">
        <v>1988</v>
      </c>
      <c r="E11533" s="2" t="str">
        <f>"9783658344900"</f>
        <v>9783658344900</v>
      </c>
      <c r="F11533" s="2" t="str">
        <f>"9783658344917"</f>
        <v>9783658344917</v>
      </c>
    </row>
    <row r="11534" spans="1:6" s="3" customFormat="1" ht="29.1" customHeight="1" x14ac:dyDescent="0.25">
      <c r="A11534" s="2" t="s">
        <v>23505</v>
      </c>
      <c r="B11534" s="2" t="s">
        <v>23506</v>
      </c>
      <c r="C11534" s="2" t="s">
        <v>5</v>
      </c>
      <c r="D11534" s="2" t="s">
        <v>81</v>
      </c>
      <c r="E11534" s="2" t="str">
        <f>"9783030785505"</f>
        <v>9783030785505</v>
      </c>
      <c r="F11534" s="2" t="str">
        <f>"9783030785512"</f>
        <v>9783030785512</v>
      </c>
    </row>
    <row r="11535" spans="1:6" s="3" customFormat="1" ht="29.1" customHeight="1" x14ac:dyDescent="0.25">
      <c r="A11535" s="2" t="s">
        <v>23507</v>
      </c>
      <c r="B11535" s="2" t="s">
        <v>23508</v>
      </c>
      <c r="C11535" s="2" t="s">
        <v>5</v>
      </c>
      <c r="D11535" s="2" t="s">
        <v>378</v>
      </c>
      <c r="E11535" s="2" t="str">
        <f>"9789402421149"</f>
        <v>9789402421149</v>
      </c>
      <c r="F11535" s="2" t="str">
        <f>"9789402421156"</f>
        <v>9789402421156</v>
      </c>
    </row>
    <row r="11536" spans="1:6" s="3" customFormat="1" ht="29.1" customHeight="1" x14ac:dyDescent="0.25">
      <c r="A11536" s="2" t="s">
        <v>23509</v>
      </c>
      <c r="B11536" s="2" t="s">
        <v>23510</v>
      </c>
      <c r="C11536" s="2" t="s">
        <v>5</v>
      </c>
      <c r="D11536" s="2" t="s">
        <v>6511</v>
      </c>
      <c r="E11536" s="2" t="str">
        <f>"9789811631870"</f>
        <v>9789811631870</v>
      </c>
      <c r="F11536" s="2" t="str">
        <f>"9789811631887"</f>
        <v>9789811631887</v>
      </c>
    </row>
    <row r="11537" spans="1:6" s="3" customFormat="1" ht="29.1" customHeight="1" x14ac:dyDescent="0.25">
      <c r="A11537" s="2" t="s">
        <v>23511</v>
      </c>
      <c r="B11537" s="2" t="s">
        <v>23512</v>
      </c>
      <c r="C11537" s="2" t="s">
        <v>5</v>
      </c>
      <c r="D11537" s="2" t="s">
        <v>249</v>
      </c>
      <c r="E11537" s="2" t="str">
        <f>"9783658343347"</f>
        <v>9783658343347</v>
      </c>
      <c r="F11537" s="2" t="str">
        <f>"9783658343354"</f>
        <v>9783658343354</v>
      </c>
    </row>
    <row r="11538" spans="1:6" s="3" customFormat="1" ht="29.1" customHeight="1" x14ac:dyDescent="0.25">
      <c r="A11538" s="2" t="s">
        <v>23513</v>
      </c>
      <c r="B11538" s="2" t="s">
        <v>23514</v>
      </c>
      <c r="C11538" s="2" t="s">
        <v>5</v>
      </c>
      <c r="D11538" s="2" t="s">
        <v>321</v>
      </c>
      <c r="E11538" s="2" t="str">
        <f>"9783658342920"</f>
        <v>9783658342920</v>
      </c>
      <c r="F11538" s="2" t="str">
        <f>"9783658342937"</f>
        <v>9783658342937</v>
      </c>
    </row>
    <row r="11539" spans="1:6" s="3" customFormat="1" ht="29.1" customHeight="1" x14ac:dyDescent="0.25">
      <c r="A11539" s="2" t="s">
        <v>23515</v>
      </c>
      <c r="B11539" s="2" t="s">
        <v>23516</v>
      </c>
      <c r="C11539" s="2" t="s">
        <v>5</v>
      </c>
      <c r="D11539" s="2" t="s">
        <v>183</v>
      </c>
      <c r="E11539" s="2" t="str">
        <f>"9783658342975"</f>
        <v>9783658342975</v>
      </c>
      <c r="F11539" s="2" t="str">
        <f>"9783658342982"</f>
        <v>9783658342982</v>
      </c>
    </row>
    <row r="11540" spans="1:6" s="3" customFormat="1" ht="29.1" customHeight="1" x14ac:dyDescent="0.25">
      <c r="A11540" s="2" t="s">
        <v>23517</v>
      </c>
      <c r="B11540" s="2" t="s">
        <v>20264</v>
      </c>
      <c r="C11540" s="2" t="s">
        <v>5</v>
      </c>
      <c r="D11540" s="2" t="s">
        <v>4190</v>
      </c>
      <c r="E11540" s="2" t="str">
        <f>"9783030774882"</f>
        <v>9783030774882</v>
      </c>
      <c r="F11540" s="2" t="str">
        <f>"9783030774899"</f>
        <v>9783030774899</v>
      </c>
    </row>
    <row r="11541" spans="1:6" s="3" customFormat="1" ht="29.1" customHeight="1" x14ac:dyDescent="0.25">
      <c r="A11541" s="2" t="s">
        <v>23518</v>
      </c>
      <c r="B11541" s="2" t="s">
        <v>23519</v>
      </c>
      <c r="C11541" s="2" t="s">
        <v>5</v>
      </c>
      <c r="D11541" s="2" t="s">
        <v>1878</v>
      </c>
      <c r="E11541" s="2" t="str">
        <f>"9783031184703"</f>
        <v>9783031184703</v>
      </c>
      <c r="F11541" s="2" t="str">
        <f>"9783031184710"</f>
        <v>9783031184710</v>
      </c>
    </row>
    <row r="11542" spans="1:6" s="3" customFormat="1" ht="29.1" customHeight="1" x14ac:dyDescent="0.25">
      <c r="A11542" s="2" t="s">
        <v>23520</v>
      </c>
      <c r="B11542" s="2" t="s">
        <v>23521</v>
      </c>
      <c r="C11542" s="2" t="s">
        <v>5</v>
      </c>
      <c r="D11542" s="2" t="s">
        <v>1878</v>
      </c>
      <c r="E11542" s="2" t="str">
        <f>"9783031168970"</f>
        <v>9783031168970</v>
      </c>
      <c r="F11542" s="2" t="str">
        <f>"9783031168987"</f>
        <v>9783031168987</v>
      </c>
    </row>
    <row r="11543" spans="1:6" s="3" customFormat="1" ht="29.1" customHeight="1" x14ac:dyDescent="0.25">
      <c r="A11543" s="2" t="s">
        <v>23522</v>
      </c>
      <c r="B11543" s="2" t="s">
        <v>23523</v>
      </c>
      <c r="C11543" s="2" t="s">
        <v>5</v>
      </c>
      <c r="D11543" s="2" t="s">
        <v>33</v>
      </c>
      <c r="E11543" s="2" t="str">
        <f>"9783030769697"</f>
        <v>9783030769697</v>
      </c>
      <c r="F11543" s="2" t="str">
        <f>"9783030769703"</f>
        <v>9783030769703</v>
      </c>
    </row>
    <row r="11544" spans="1:6" s="3" customFormat="1" ht="29.1" customHeight="1" x14ac:dyDescent="0.25">
      <c r="A11544" s="2" t="s">
        <v>23524</v>
      </c>
      <c r="B11544" s="2" t="s">
        <v>23525</v>
      </c>
      <c r="C11544" s="2" t="s">
        <v>5</v>
      </c>
      <c r="D11544" s="2" t="s">
        <v>183</v>
      </c>
      <c r="E11544" s="2" t="str">
        <f>"9789811628603"</f>
        <v>9789811628603</v>
      </c>
      <c r="F11544" s="2" t="str">
        <f>"9789811628610"</f>
        <v>9789811628610</v>
      </c>
    </row>
    <row r="11545" spans="1:6" s="3" customFormat="1" ht="29.1" customHeight="1" x14ac:dyDescent="0.25">
      <c r="A11545" s="2" t="s">
        <v>23526</v>
      </c>
      <c r="B11545" s="2" t="s">
        <v>23527</v>
      </c>
      <c r="C11545" s="2" t="s">
        <v>5</v>
      </c>
      <c r="D11545" s="2" t="s">
        <v>72</v>
      </c>
      <c r="E11545" s="2" t="str">
        <f>"9783030764289"</f>
        <v>9783030764289</v>
      </c>
      <c r="F11545" s="2" t="str">
        <f>"9783030764296"</f>
        <v>9783030764296</v>
      </c>
    </row>
    <row r="11546" spans="1:6" s="3" customFormat="1" ht="29.1" customHeight="1" x14ac:dyDescent="0.25">
      <c r="A11546" s="2" t="s">
        <v>23528</v>
      </c>
      <c r="B11546" s="2" t="s">
        <v>23529</v>
      </c>
      <c r="C11546" s="2" t="s">
        <v>5</v>
      </c>
      <c r="D11546" s="2" t="s">
        <v>16084</v>
      </c>
      <c r="E11546" s="2" t="str">
        <f>"9783030764449"</f>
        <v>9783030764449</v>
      </c>
      <c r="F11546" s="2" t="str">
        <f>"9783030764456"</f>
        <v>9783030764456</v>
      </c>
    </row>
    <row r="11547" spans="1:6" s="3" customFormat="1" ht="29.1" customHeight="1" x14ac:dyDescent="0.25">
      <c r="A11547" s="2" t="s">
        <v>20426</v>
      </c>
      <c r="B11547" s="2" t="s">
        <v>23530</v>
      </c>
      <c r="C11547" s="2" t="s">
        <v>5</v>
      </c>
      <c r="D11547" s="2" t="s">
        <v>4291</v>
      </c>
      <c r="E11547" s="2" t="str">
        <f>"9783662635087"</f>
        <v>9783662635087</v>
      </c>
      <c r="F11547" s="2" t="str">
        <f>"9783662635094"</f>
        <v>9783662635094</v>
      </c>
    </row>
    <row r="11548" spans="1:6" s="3" customFormat="1" ht="29.1" customHeight="1" x14ac:dyDescent="0.25">
      <c r="A11548" s="2" t="s">
        <v>23531</v>
      </c>
      <c r="B11548" s="2" t="s">
        <v>23532</v>
      </c>
      <c r="C11548" s="2" t="s">
        <v>5</v>
      </c>
      <c r="D11548" s="2" t="s">
        <v>144</v>
      </c>
      <c r="E11548" s="2" t="str">
        <f>"9789811626692"</f>
        <v>9789811626692</v>
      </c>
      <c r="F11548" s="2" t="str">
        <f>"9789811626708"</f>
        <v>9789811626708</v>
      </c>
    </row>
    <row r="11549" spans="1:6" s="3" customFormat="1" ht="29.1" customHeight="1" x14ac:dyDescent="0.25">
      <c r="A11549" s="2" t="s">
        <v>23533</v>
      </c>
      <c r="B11549" s="2" t="s">
        <v>23534</v>
      </c>
      <c r="C11549" s="2" t="s">
        <v>5</v>
      </c>
      <c r="D11549" s="2" t="s">
        <v>12</v>
      </c>
      <c r="E11549" s="2" t="str">
        <f>"9789811625237"</f>
        <v>9789811625237</v>
      </c>
      <c r="F11549" s="2" t="str">
        <f>"9789811625244"</f>
        <v>9789811625244</v>
      </c>
    </row>
    <row r="11550" spans="1:6" s="3" customFormat="1" ht="29.1" customHeight="1" x14ac:dyDescent="0.25">
      <c r="A11550" s="2" t="s">
        <v>23535</v>
      </c>
      <c r="B11550" s="2" t="s">
        <v>23536</v>
      </c>
      <c r="C11550" s="2" t="s">
        <v>5</v>
      </c>
      <c r="D11550" s="2" t="s">
        <v>150</v>
      </c>
      <c r="E11550" s="2" t="str">
        <f>"9783030757960"</f>
        <v>9783030757960</v>
      </c>
      <c r="F11550" s="2" t="str">
        <f>"9783030757977"</f>
        <v>9783030757977</v>
      </c>
    </row>
    <row r="11551" spans="1:6" s="3" customFormat="1" ht="29.1" customHeight="1" x14ac:dyDescent="0.25">
      <c r="A11551" s="2" t="s">
        <v>23537</v>
      </c>
      <c r="B11551" s="2" t="s">
        <v>23538</v>
      </c>
      <c r="C11551" s="2" t="s">
        <v>5</v>
      </c>
      <c r="D11551" s="2" t="s">
        <v>553</v>
      </c>
      <c r="E11551" s="2" t="str">
        <f>"9783030752620"</f>
        <v>9783030752620</v>
      </c>
      <c r="F11551" s="2" t="str">
        <f>"9783030752637"</f>
        <v>9783030752637</v>
      </c>
    </row>
    <row r="11552" spans="1:6" s="3" customFormat="1" ht="29.1" customHeight="1" x14ac:dyDescent="0.25">
      <c r="A11552" s="2" t="s">
        <v>23539</v>
      </c>
      <c r="B11552" s="2" t="s">
        <v>23540</v>
      </c>
      <c r="C11552" s="2" t="s">
        <v>5</v>
      </c>
      <c r="D11552" s="2" t="s">
        <v>9</v>
      </c>
      <c r="E11552" s="2" t="str">
        <f>"9783030751494"</f>
        <v>9783030751494</v>
      </c>
      <c r="F11552" s="2" t="str">
        <f>"9783030751500"</f>
        <v>9783030751500</v>
      </c>
    </row>
    <row r="11553" spans="1:6" s="3" customFormat="1" ht="29.1" customHeight="1" x14ac:dyDescent="0.25">
      <c r="A11553" s="2" t="s">
        <v>23541</v>
      </c>
      <c r="B11553" s="2" t="s">
        <v>14536</v>
      </c>
      <c r="C11553" s="2" t="s">
        <v>5</v>
      </c>
      <c r="D11553" s="2" t="s">
        <v>8604</v>
      </c>
      <c r="E11553" s="2" t="str">
        <f>"9783662634042"</f>
        <v>9783662634042</v>
      </c>
      <c r="F11553" s="2" t="str">
        <f>"9783662634059"</f>
        <v>9783662634059</v>
      </c>
    </row>
    <row r="11554" spans="1:6" s="3" customFormat="1" ht="29.1" customHeight="1" x14ac:dyDescent="0.25">
      <c r="A11554" s="2" t="s">
        <v>23542</v>
      </c>
      <c r="B11554" s="2" t="s">
        <v>23543</v>
      </c>
      <c r="C11554" s="2" t="s">
        <v>5</v>
      </c>
      <c r="D11554" s="2" t="s">
        <v>162</v>
      </c>
      <c r="E11554" s="2" t="str">
        <f>"9783662660348"</f>
        <v>9783662660348</v>
      </c>
      <c r="F11554" s="2" t="str">
        <f>"9783662660355"</f>
        <v>9783662660355</v>
      </c>
    </row>
    <row r="11555" spans="1:6" s="3" customFormat="1" ht="29.1" customHeight="1" x14ac:dyDescent="0.25">
      <c r="A11555" s="2" t="s">
        <v>23544</v>
      </c>
      <c r="B11555" s="2" t="s">
        <v>23426</v>
      </c>
      <c r="C11555" s="2" t="s">
        <v>5</v>
      </c>
      <c r="D11555" s="2" t="s">
        <v>321</v>
      </c>
      <c r="E11555" s="2" t="str">
        <f>"9783662633533"</f>
        <v>9783662633533</v>
      </c>
      <c r="F11555" s="2" t="str">
        <f>"9783662633540"</f>
        <v>9783662633540</v>
      </c>
    </row>
    <row r="11556" spans="1:6" s="3" customFormat="1" ht="29.1" customHeight="1" x14ac:dyDescent="0.25">
      <c r="A11556" s="2" t="s">
        <v>23545</v>
      </c>
      <c r="B11556" s="2" t="s">
        <v>23546</v>
      </c>
      <c r="C11556" s="2" t="s">
        <v>5</v>
      </c>
      <c r="D11556" s="2" t="s">
        <v>3062</v>
      </c>
      <c r="E11556" s="2" t="str">
        <f>"9783658338671"</f>
        <v>9783658338671</v>
      </c>
      <c r="F11556" s="2" t="str">
        <f>"9783658338688"</f>
        <v>9783658338688</v>
      </c>
    </row>
    <row r="11557" spans="1:6" s="3" customFormat="1" ht="29.1" customHeight="1" x14ac:dyDescent="0.25">
      <c r="A11557" s="2" t="s">
        <v>23547</v>
      </c>
      <c r="B11557" s="2" t="s">
        <v>23548</v>
      </c>
      <c r="C11557" s="2" t="s">
        <v>5</v>
      </c>
      <c r="D11557" s="2" t="s">
        <v>4713</v>
      </c>
      <c r="E11557" s="2" t="str">
        <f>"9783030745851"</f>
        <v>9783030745851</v>
      </c>
      <c r="F11557" s="2" t="str">
        <f>"9783030745868"</f>
        <v>9783030745868</v>
      </c>
    </row>
    <row r="11558" spans="1:6" s="3" customFormat="1" ht="29.1" customHeight="1" x14ac:dyDescent="0.25">
      <c r="A11558" s="2" t="s">
        <v>23549</v>
      </c>
      <c r="B11558" s="2" t="s">
        <v>23550</v>
      </c>
      <c r="C11558" s="2" t="s">
        <v>5</v>
      </c>
      <c r="D11558" s="2" t="s">
        <v>13383</v>
      </c>
      <c r="E11558" s="2" t="str">
        <f>"9783662633250"</f>
        <v>9783662633250</v>
      </c>
      <c r="F11558" s="2" t="str">
        <f>"9783662633267"</f>
        <v>9783662633267</v>
      </c>
    </row>
    <row r="11559" spans="1:6" s="3" customFormat="1" ht="29.1" customHeight="1" x14ac:dyDescent="0.25">
      <c r="A11559" s="2" t="s">
        <v>23551</v>
      </c>
      <c r="B11559" s="2" t="s">
        <v>23552</v>
      </c>
      <c r="C11559" s="2" t="s">
        <v>5</v>
      </c>
      <c r="D11559" s="2" t="s">
        <v>98</v>
      </c>
      <c r="E11559" s="2" t="str">
        <f>"9783030742201"</f>
        <v>9783030742201</v>
      </c>
      <c r="F11559" s="2" t="str">
        <f>"9783030742218"</f>
        <v>9783030742218</v>
      </c>
    </row>
    <row r="11560" spans="1:6" s="3" customFormat="1" ht="29.1" customHeight="1" x14ac:dyDescent="0.25">
      <c r="A11560" s="2" t="s">
        <v>23553</v>
      </c>
      <c r="B11560" s="2" t="s">
        <v>23554</v>
      </c>
      <c r="C11560" s="2" t="s">
        <v>5</v>
      </c>
      <c r="D11560" s="2" t="s">
        <v>270</v>
      </c>
      <c r="E11560" s="2" t="str">
        <f>"9783030730642"</f>
        <v>9783030730642</v>
      </c>
      <c r="F11560" s="2" t="str">
        <f>"9783030730659"</f>
        <v>9783030730659</v>
      </c>
    </row>
    <row r="11561" spans="1:6" s="3" customFormat="1" ht="29.1" customHeight="1" x14ac:dyDescent="0.25">
      <c r="A11561" s="2" t="s">
        <v>23555</v>
      </c>
      <c r="B11561" s="2" t="s">
        <v>21549</v>
      </c>
      <c r="C11561" s="2" t="s">
        <v>5</v>
      </c>
      <c r="D11561" s="2" t="s">
        <v>4172</v>
      </c>
      <c r="E11561" s="2" t="str">
        <f>"9783031297922"</f>
        <v>9783031297922</v>
      </c>
      <c r="F11561" s="2" t="str">
        <f>"9783031297939"</f>
        <v>9783031297939</v>
      </c>
    </row>
    <row r="11562" spans="1:6" s="3" customFormat="1" ht="29.1" customHeight="1" x14ac:dyDescent="0.25">
      <c r="A11562" s="2" t="s">
        <v>23556</v>
      </c>
      <c r="B11562" s="2" t="s">
        <v>23557</v>
      </c>
      <c r="C11562" s="2" t="s">
        <v>5</v>
      </c>
      <c r="D11562" s="2" t="s">
        <v>2880</v>
      </c>
      <c r="E11562" s="2" t="str">
        <f>"9783662632857"</f>
        <v>9783662632857</v>
      </c>
      <c r="F11562" s="2" t="str">
        <f>"9783662632864"</f>
        <v>9783662632864</v>
      </c>
    </row>
    <row r="11563" spans="1:6" s="3" customFormat="1" ht="29.1" customHeight="1" x14ac:dyDescent="0.25">
      <c r="A11563" s="2" t="s">
        <v>23558</v>
      </c>
      <c r="B11563" s="2" t="s">
        <v>23559</v>
      </c>
      <c r="C11563" s="2" t="s">
        <v>5</v>
      </c>
      <c r="D11563" s="2" t="s">
        <v>1046</v>
      </c>
      <c r="E11563" s="2" t="str">
        <f>"9789819947287"</f>
        <v>9789819947287</v>
      </c>
      <c r="F11563" s="2" t="str">
        <f>"9789819947294"</f>
        <v>9789819947294</v>
      </c>
    </row>
    <row r="11564" spans="1:6" s="3" customFormat="1" ht="29.1" customHeight="1" x14ac:dyDescent="0.25">
      <c r="A11564" s="2" t="s">
        <v>23560</v>
      </c>
      <c r="B11564" s="2" t="s">
        <v>23561</v>
      </c>
      <c r="C11564" s="2" t="s">
        <v>5</v>
      </c>
      <c r="D11564" s="2" t="s">
        <v>889</v>
      </c>
      <c r="E11564" s="2" t="str">
        <f>"9783030737146"</f>
        <v>9783030737146</v>
      </c>
      <c r="F11564" s="2" t="str">
        <f>"9783030737153"</f>
        <v>9783030737153</v>
      </c>
    </row>
    <row r="11565" spans="1:6" s="3" customFormat="1" ht="29.1" customHeight="1" x14ac:dyDescent="0.25">
      <c r="A11565" s="2" t="s">
        <v>23562</v>
      </c>
      <c r="B11565" s="2" t="s">
        <v>23563</v>
      </c>
      <c r="C11565" s="2" t="s">
        <v>5</v>
      </c>
      <c r="D11565" s="2" t="s">
        <v>353</v>
      </c>
      <c r="E11565" s="2" t="str">
        <f>"9783030735685"</f>
        <v>9783030735685</v>
      </c>
      <c r="F11565" s="2" t="str">
        <f>"9783030735692"</f>
        <v>9783030735692</v>
      </c>
    </row>
    <row r="11566" spans="1:6" s="3" customFormat="1" ht="29.1" customHeight="1" x14ac:dyDescent="0.25">
      <c r="A11566" s="2" t="s">
        <v>23564</v>
      </c>
      <c r="B11566" s="2" t="s">
        <v>23565</v>
      </c>
      <c r="C11566" s="2" t="s">
        <v>5</v>
      </c>
      <c r="D11566" s="2" t="s">
        <v>2168</v>
      </c>
      <c r="E11566" s="2" t="str">
        <f>"9783658354787"</f>
        <v>9783658354787</v>
      </c>
      <c r="F11566" s="2" t="str">
        <f>"9783658354794"</f>
        <v>9783658354794</v>
      </c>
    </row>
    <row r="11567" spans="1:6" s="3" customFormat="1" ht="29.1" customHeight="1" x14ac:dyDescent="0.25">
      <c r="A11567" s="2" t="s">
        <v>23566</v>
      </c>
      <c r="B11567" s="2" t="s">
        <v>23567</v>
      </c>
      <c r="C11567" s="2" t="s">
        <v>5</v>
      </c>
      <c r="D11567" s="2" t="s">
        <v>4172</v>
      </c>
      <c r="E11567" s="2" t="str">
        <f>"9783030726799"</f>
        <v>9783030726799</v>
      </c>
      <c r="F11567" s="2" t="str">
        <f>"9783030726805"</f>
        <v>9783030726805</v>
      </c>
    </row>
    <row r="11568" spans="1:6" s="3" customFormat="1" ht="29.1" customHeight="1" x14ac:dyDescent="0.25">
      <c r="A11568" s="2" t="s">
        <v>23568</v>
      </c>
      <c r="B11568" s="2" t="s">
        <v>23569</v>
      </c>
      <c r="C11568" s="2" t="s">
        <v>5</v>
      </c>
      <c r="D11568" s="2" t="s">
        <v>20507</v>
      </c>
      <c r="E11568" s="2" t="str">
        <f>"9783030711221"</f>
        <v>9783030711221</v>
      </c>
      <c r="F11568" s="2" t="str">
        <f>"9783030711238"</f>
        <v>9783030711238</v>
      </c>
    </row>
    <row r="11569" spans="1:6" s="3" customFormat="1" ht="29.1" customHeight="1" x14ac:dyDescent="0.25">
      <c r="A11569" s="2" t="s">
        <v>23570</v>
      </c>
      <c r="B11569" s="2" t="s">
        <v>23571</v>
      </c>
      <c r="C11569" s="2" t="s">
        <v>5</v>
      </c>
      <c r="D11569" s="2" t="s">
        <v>37</v>
      </c>
      <c r="E11569" s="2" t="str">
        <f>"9783030711016"</f>
        <v>9783030711016</v>
      </c>
      <c r="F11569" s="2" t="str">
        <f>"9783030711023"</f>
        <v>9783030711023</v>
      </c>
    </row>
    <row r="11570" spans="1:6" s="3" customFormat="1" ht="29.1" customHeight="1" x14ac:dyDescent="0.25">
      <c r="A11570" s="2" t="s">
        <v>23572</v>
      </c>
      <c r="B11570" s="2" t="s">
        <v>23573</v>
      </c>
      <c r="C11570" s="2" t="s">
        <v>5</v>
      </c>
      <c r="D11570" s="2" t="s">
        <v>1924</v>
      </c>
      <c r="E11570" s="2" t="str">
        <f>"9783030710682"</f>
        <v>9783030710682</v>
      </c>
      <c r="F11570" s="2" t="str">
        <f>"9783030710699"</f>
        <v>9783030710699</v>
      </c>
    </row>
    <row r="11571" spans="1:6" s="3" customFormat="1" ht="29.1" customHeight="1" x14ac:dyDescent="0.25">
      <c r="A11571" s="2" t="s">
        <v>23574</v>
      </c>
      <c r="B11571" s="2" t="s">
        <v>23575</v>
      </c>
      <c r="C11571" s="2" t="s">
        <v>5</v>
      </c>
      <c r="D11571" s="2" t="s">
        <v>86</v>
      </c>
      <c r="E11571" s="2" t="str">
        <f>"9783030708894"</f>
        <v>9783030708894</v>
      </c>
      <c r="F11571" s="2" t="str">
        <f>"9783030708900"</f>
        <v>9783030708900</v>
      </c>
    </row>
    <row r="11572" spans="1:6" s="3" customFormat="1" ht="29.1" customHeight="1" x14ac:dyDescent="0.25">
      <c r="A11572" s="2" t="s">
        <v>23576</v>
      </c>
      <c r="B11572" s="2" t="s">
        <v>23577</v>
      </c>
      <c r="C11572" s="2" t="s">
        <v>5</v>
      </c>
      <c r="D11572" s="2" t="s">
        <v>10444</v>
      </c>
      <c r="E11572" s="2" t="str">
        <f>"9783031320637"</f>
        <v>9783031320637</v>
      </c>
      <c r="F11572" s="2" t="str">
        <f>"9783031320644"</f>
        <v>9783031320644</v>
      </c>
    </row>
    <row r="11573" spans="1:6" s="3" customFormat="1" ht="29.1" customHeight="1" x14ac:dyDescent="0.25">
      <c r="A11573" s="2" t="s">
        <v>23578</v>
      </c>
      <c r="B11573" s="2" t="s">
        <v>23579</v>
      </c>
      <c r="C11573" s="2" t="s">
        <v>5</v>
      </c>
      <c r="D11573" s="2" t="s">
        <v>15</v>
      </c>
      <c r="E11573" s="2" t="str">
        <f>"9783030706609"</f>
        <v>9783030706609</v>
      </c>
      <c r="F11573" s="2" t="str">
        <f>"9783030706616"</f>
        <v>9783030706616</v>
      </c>
    </row>
    <row r="11574" spans="1:6" s="3" customFormat="1" ht="29.1" customHeight="1" x14ac:dyDescent="0.25">
      <c r="A11574" s="2" t="s">
        <v>23580</v>
      </c>
      <c r="B11574" s="2" t="s">
        <v>23581</v>
      </c>
      <c r="C11574" s="2" t="s">
        <v>5</v>
      </c>
      <c r="D11574" s="2" t="s">
        <v>69</v>
      </c>
      <c r="E11574" s="2" t="str">
        <f>"9783030705893"</f>
        <v>9783030705893</v>
      </c>
      <c r="F11574" s="2" t="str">
        <f>"9783030705909"</f>
        <v>9783030705909</v>
      </c>
    </row>
    <row r="11575" spans="1:6" s="3" customFormat="1" ht="29.1" customHeight="1" x14ac:dyDescent="0.25">
      <c r="A11575" s="2" t="s">
        <v>23582</v>
      </c>
      <c r="B11575" s="2" t="s">
        <v>23583</v>
      </c>
      <c r="C11575" s="2" t="s">
        <v>5</v>
      </c>
      <c r="D11575" s="2" t="s">
        <v>294</v>
      </c>
      <c r="E11575" s="2" t="str">
        <f>"9783030703806"</f>
        <v>9783030703806</v>
      </c>
      <c r="F11575" s="2" t="str">
        <f>"9783030703813"</f>
        <v>9783030703813</v>
      </c>
    </row>
    <row r="11576" spans="1:6" s="3" customFormat="1" ht="29.1" customHeight="1" x14ac:dyDescent="0.25">
      <c r="A11576" s="2" t="s">
        <v>23584</v>
      </c>
      <c r="B11576" s="2" t="s">
        <v>23585</v>
      </c>
      <c r="C11576" s="2" t="s">
        <v>5</v>
      </c>
      <c r="D11576" s="2" t="s">
        <v>270</v>
      </c>
      <c r="E11576" s="2" t="str">
        <f>"9783658332549"</f>
        <v>9783658332549</v>
      </c>
      <c r="F11576" s="2" t="str">
        <f>"9783658332556"</f>
        <v>9783658332556</v>
      </c>
    </row>
    <row r="11577" spans="1:6" s="3" customFormat="1" ht="29.1" customHeight="1" x14ac:dyDescent="0.25">
      <c r="A11577" s="2" t="s">
        <v>23586</v>
      </c>
      <c r="B11577" s="2" t="s">
        <v>22972</v>
      </c>
      <c r="C11577" s="2" t="s">
        <v>5</v>
      </c>
      <c r="D11577" s="2" t="s">
        <v>49</v>
      </c>
      <c r="E11577" s="2" t="str">
        <f>"9789811606533"</f>
        <v>9789811606533</v>
      </c>
      <c r="F11577" s="2" t="str">
        <f>"9789811606540"</f>
        <v>9789811606540</v>
      </c>
    </row>
    <row r="11578" spans="1:6" s="3" customFormat="1" ht="29.1" customHeight="1" x14ac:dyDescent="0.25">
      <c r="A11578" s="2" t="s">
        <v>23587</v>
      </c>
      <c r="B11578" s="2" t="s">
        <v>23588</v>
      </c>
      <c r="C11578" s="2" t="s">
        <v>5</v>
      </c>
      <c r="D11578" s="2" t="s">
        <v>1097</v>
      </c>
      <c r="E11578" s="2" t="str">
        <f>"9783030694104"</f>
        <v>9783030694104</v>
      </c>
      <c r="F11578" s="2" t="str">
        <f>"9783030694111"</f>
        <v>9783030694111</v>
      </c>
    </row>
    <row r="11579" spans="1:6" s="3" customFormat="1" ht="29.1" customHeight="1" x14ac:dyDescent="0.25">
      <c r="A11579" s="2" t="s">
        <v>23589</v>
      </c>
      <c r="B11579" s="2" t="s">
        <v>20543</v>
      </c>
      <c r="C11579" s="2" t="s">
        <v>5</v>
      </c>
      <c r="D11579" s="2" t="s">
        <v>4783</v>
      </c>
      <c r="E11579" s="2" t="str">
        <f>"9789811686023"</f>
        <v>9789811686023</v>
      </c>
      <c r="F11579" s="2" t="str">
        <f>"9789811686030"</f>
        <v>9789811686030</v>
      </c>
    </row>
    <row r="11580" spans="1:6" s="3" customFormat="1" ht="29.1" customHeight="1" x14ac:dyDescent="0.25">
      <c r="A11580" s="2" t="s">
        <v>23590</v>
      </c>
      <c r="B11580" s="2" t="s">
        <v>23591</v>
      </c>
      <c r="C11580" s="2" t="s">
        <v>5</v>
      </c>
      <c r="D11580" s="2" t="s">
        <v>501</v>
      </c>
      <c r="E11580" s="2" t="str">
        <f>"9789811653902"</f>
        <v>9789811653902</v>
      </c>
      <c r="F11580" s="2" t="str">
        <f>"9789811653919"</f>
        <v>9789811653919</v>
      </c>
    </row>
    <row r="11581" spans="1:6" s="3" customFormat="1" ht="29.1" customHeight="1" x14ac:dyDescent="0.25">
      <c r="A11581" s="2" t="s">
        <v>23592</v>
      </c>
      <c r="B11581" s="2" t="s">
        <v>23593</v>
      </c>
      <c r="C11581" s="2" t="s">
        <v>5</v>
      </c>
      <c r="D11581" s="2" t="s">
        <v>373</v>
      </c>
      <c r="E11581" s="2" t="str">
        <f>"9783662630204"</f>
        <v>9783662630204</v>
      </c>
      <c r="F11581" s="2" t="str">
        <f>"9783662630211"</f>
        <v>9783662630211</v>
      </c>
    </row>
    <row r="11582" spans="1:6" s="3" customFormat="1" ht="29.1" customHeight="1" x14ac:dyDescent="0.25">
      <c r="A11582" s="2" t="s">
        <v>23594</v>
      </c>
      <c r="B11582" s="2" t="s">
        <v>23595</v>
      </c>
      <c r="C11582" s="2" t="s">
        <v>5</v>
      </c>
      <c r="D11582" s="2" t="s">
        <v>459</v>
      </c>
      <c r="E11582" s="2" t="str">
        <f>"9783662647370"</f>
        <v>9783662647370</v>
      </c>
      <c r="F11582" s="2" t="str">
        <f>"9783662647387"</f>
        <v>9783662647387</v>
      </c>
    </row>
    <row r="11583" spans="1:6" s="3" customFormat="1" ht="29.1" customHeight="1" x14ac:dyDescent="0.25">
      <c r="A11583" s="2" t="s">
        <v>23596</v>
      </c>
      <c r="B11583" s="2" t="s">
        <v>23597</v>
      </c>
      <c r="C11583" s="2" t="s">
        <v>5</v>
      </c>
      <c r="D11583" s="2" t="s">
        <v>20003</v>
      </c>
      <c r="E11583" s="2" t="str">
        <f>"9783662630167"</f>
        <v>9783662630167</v>
      </c>
      <c r="F11583" s="2" t="str">
        <f>"9783662630174"</f>
        <v>9783662630174</v>
      </c>
    </row>
    <row r="11584" spans="1:6" s="3" customFormat="1" ht="29.1" customHeight="1" x14ac:dyDescent="0.25">
      <c r="A11584" s="2" t="s">
        <v>23598</v>
      </c>
      <c r="B11584" s="2" t="s">
        <v>23599</v>
      </c>
      <c r="C11584" s="2" t="s">
        <v>5</v>
      </c>
      <c r="D11584" s="2" t="s">
        <v>850</v>
      </c>
      <c r="E11584" s="2" t="str">
        <f>"9789811603433"</f>
        <v>9789811603433</v>
      </c>
      <c r="F11584" s="2" t="str">
        <f>"9789811603440"</f>
        <v>9789811603440</v>
      </c>
    </row>
    <row r="11585" spans="1:6" s="3" customFormat="1" ht="29.1" customHeight="1" x14ac:dyDescent="0.25">
      <c r="A11585" s="2" t="s">
        <v>23600</v>
      </c>
      <c r="B11585" s="2" t="s">
        <v>23601</v>
      </c>
      <c r="C11585" s="2" t="s">
        <v>5</v>
      </c>
      <c r="D11585" s="2" t="s">
        <v>791</v>
      </c>
      <c r="E11585" s="2" t="str">
        <f>"9783030689438"</f>
        <v>9783030689438</v>
      </c>
      <c r="F11585" s="2" t="str">
        <f>"9783030689445"</f>
        <v>9783030689445</v>
      </c>
    </row>
    <row r="11586" spans="1:6" s="3" customFormat="1" ht="29.1" customHeight="1" x14ac:dyDescent="0.25">
      <c r="A11586" s="2" t="s">
        <v>23602</v>
      </c>
      <c r="B11586" s="2" t="s">
        <v>23603</v>
      </c>
      <c r="C11586" s="2" t="s">
        <v>5</v>
      </c>
      <c r="D11586" s="2" t="s">
        <v>1927</v>
      </c>
      <c r="E11586" s="2" t="str">
        <f>"9783658330613"</f>
        <v>9783658330613</v>
      </c>
      <c r="F11586" s="2" t="str">
        <f>"9783658330620"</f>
        <v>9783658330620</v>
      </c>
    </row>
    <row r="11587" spans="1:6" s="3" customFormat="1" ht="29.1" customHeight="1" x14ac:dyDescent="0.25">
      <c r="A11587" s="2" t="s">
        <v>23604</v>
      </c>
      <c r="B11587" s="2" t="s">
        <v>23605</v>
      </c>
      <c r="C11587" s="2" t="s">
        <v>5</v>
      </c>
      <c r="D11587" s="2" t="s">
        <v>183</v>
      </c>
      <c r="E11587" s="2" t="str">
        <f>"9783658330422"</f>
        <v>9783658330422</v>
      </c>
      <c r="F11587" s="2" t="str">
        <f>"9783658330439"</f>
        <v>9783658330439</v>
      </c>
    </row>
    <row r="11588" spans="1:6" s="3" customFormat="1" ht="29.1" customHeight="1" x14ac:dyDescent="0.25">
      <c r="A11588" s="2" t="s">
        <v>23606</v>
      </c>
      <c r="B11588" s="2" t="s">
        <v>23607</v>
      </c>
      <c r="C11588" s="2" t="s">
        <v>5</v>
      </c>
      <c r="D11588" s="2" t="s">
        <v>9</v>
      </c>
      <c r="E11588" s="2" t="str">
        <f>"9783658330385"</f>
        <v>9783658330385</v>
      </c>
      <c r="F11588" s="2" t="str">
        <f>"9783658330392"</f>
        <v>9783658330392</v>
      </c>
    </row>
    <row r="11589" spans="1:6" s="3" customFormat="1" ht="29.1" customHeight="1" x14ac:dyDescent="0.25">
      <c r="A11589" s="2" t="s">
        <v>23608</v>
      </c>
      <c r="B11589" s="2" t="s">
        <v>23609</v>
      </c>
      <c r="C11589" s="2" t="s">
        <v>5</v>
      </c>
      <c r="D11589" s="2" t="s">
        <v>101</v>
      </c>
      <c r="E11589" s="2" t="str">
        <f>"9783662629864"</f>
        <v>9783662629864</v>
      </c>
      <c r="F11589" s="2" t="str">
        <f>"9783662629871"</f>
        <v>9783662629871</v>
      </c>
    </row>
    <row r="11590" spans="1:6" s="3" customFormat="1" ht="29.1" customHeight="1" x14ac:dyDescent="0.25">
      <c r="A11590" s="2" t="s">
        <v>23610</v>
      </c>
      <c r="B11590" s="2" t="s">
        <v>23611</v>
      </c>
      <c r="C11590" s="2" t="s">
        <v>5</v>
      </c>
      <c r="D11590" s="2" t="s">
        <v>20696</v>
      </c>
      <c r="E11590" s="2" t="str">
        <f>"9783030681753"</f>
        <v>9783030681753</v>
      </c>
      <c r="F11590" s="2" t="str">
        <f>"9783030681760"</f>
        <v>9783030681760</v>
      </c>
    </row>
    <row r="11591" spans="1:6" s="3" customFormat="1" ht="29.1" customHeight="1" x14ac:dyDescent="0.25">
      <c r="A11591" s="2" t="s">
        <v>23612</v>
      </c>
      <c r="B11591" s="2" t="s">
        <v>23613</v>
      </c>
      <c r="C11591" s="2" t="s">
        <v>5</v>
      </c>
      <c r="D11591" s="2" t="s">
        <v>501</v>
      </c>
      <c r="E11591" s="2" t="str">
        <f>"9783030680411"</f>
        <v>9783030680411</v>
      </c>
      <c r="F11591" s="2" t="str">
        <f>"9783030680428"</f>
        <v>9783030680428</v>
      </c>
    </row>
    <row r="11592" spans="1:6" s="3" customFormat="1" ht="29.1" customHeight="1" x14ac:dyDescent="0.25">
      <c r="A11592" s="2" t="s">
        <v>23614</v>
      </c>
      <c r="B11592" s="2" t="s">
        <v>23615</v>
      </c>
      <c r="C11592" s="2" t="s">
        <v>5</v>
      </c>
      <c r="D11592" s="2" t="s">
        <v>12</v>
      </c>
      <c r="E11592" s="2" t="str">
        <f>"9789813367609"</f>
        <v>9789813367609</v>
      </c>
      <c r="F11592" s="2" t="str">
        <f>"9789813367616"</f>
        <v>9789813367616</v>
      </c>
    </row>
    <row r="11593" spans="1:6" s="3" customFormat="1" ht="29.1" customHeight="1" x14ac:dyDescent="0.25">
      <c r="A11593" s="2" t="s">
        <v>23616</v>
      </c>
      <c r="B11593" s="2" t="s">
        <v>23617</v>
      </c>
      <c r="C11593" s="2" t="s">
        <v>5</v>
      </c>
      <c r="D11593" s="2" t="s">
        <v>1162</v>
      </c>
      <c r="E11593" s="2" t="str">
        <f>"9789813367050"</f>
        <v>9789813367050</v>
      </c>
      <c r="F11593" s="2" t="str">
        <f>"9789813367067"</f>
        <v>9789813367067</v>
      </c>
    </row>
    <row r="11594" spans="1:6" s="3" customFormat="1" ht="29.1" customHeight="1" x14ac:dyDescent="0.25">
      <c r="A11594" s="2" t="s">
        <v>23618</v>
      </c>
      <c r="B11594" s="2" t="s">
        <v>23619</v>
      </c>
      <c r="C11594" s="2" t="s">
        <v>5</v>
      </c>
      <c r="D11594" s="2" t="s">
        <v>479</v>
      </c>
      <c r="E11594" s="2" t="str">
        <f>"9783030678050"</f>
        <v>9783030678050</v>
      </c>
      <c r="F11594" s="2" t="str">
        <f>"9783030678067"</f>
        <v>9783030678067</v>
      </c>
    </row>
    <row r="11595" spans="1:6" s="3" customFormat="1" ht="29.1" customHeight="1" x14ac:dyDescent="0.25">
      <c r="A11595" s="2" t="s">
        <v>23620</v>
      </c>
      <c r="B11595" s="2" t="s">
        <v>23621</v>
      </c>
      <c r="C11595" s="2" t="s">
        <v>5</v>
      </c>
      <c r="D11595" s="2" t="s">
        <v>1717</v>
      </c>
      <c r="E11595" s="2" t="str">
        <f>"9783030678173"</f>
        <v>9783030678173</v>
      </c>
      <c r="F11595" s="2" t="str">
        <f>"9783030678180"</f>
        <v>9783030678180</v>
      </c>
    </row>
    <row r="11596" spans="1:6" s="3" customFormat="1" ht="29.1" customHeight="1" x14ac:dyDescent="0.25">
      <c r="A11596" s="2" t="s">
        <v>23622</v>
      </c>
      <c r="B11596" s="2" t="s">
        <v>23623</v>
      </c>
      <c r="C11596" s="2" t="s">
        <v>5</v>
      </c>
      <c r="D11596" s="2" t="s">
        <v>297</v>
      </c>
      <c r="E11596" s="2" t="str">
        <f>"9783030677114"</f>
        <v>9783030677114</v>
      </c>
      <c r="F11596" s="2" t="str">
        <f>"9783030677121"</f>
        <v>9783030677121</v>
      </c>
    </row>
    <row r="11597" spans="1:6" s="3" customFormat="1" ht="29.1" customHeight="1" x14ac:dyDescent="0.25">
      <c r="A11597" s="2" t="s">
        <v>23624</v>
      </c>
      <c r="B11597" s="2" t="s">
        <v>23625</v>
      </c>
      <c r="C11597" s="2" t="s">
        <v>5</v>
      </c>
      <c r="D11597" s="2" t="s">
        <v>12</v>
      </c>
      <c r="E11597" s="2" t="str">
        <f>"9783658329235"</f>
        <v>9783658329235</v>
      </c>
      <c r="F11597" s="2" t="str">
        <f>"9783658329242"</f>
        <v>9783658329242</v>
      </c>
    </row>
    <row r="11598" spans="1:6" s="3" customFormat="1" ht="29.1" customHeight="1" x14ac:dyDescent="0.25">
      <c r="A11598" s="2" t="s">
        <v>23626</v>
      </c>
      <c r="B11598" s="2" t="s">
        <v>23627</v>
      </c>
      <c r="C11598" s="2" t="s">
        <v>5</v>
      </c>
      <c r="D11598" s="2" t="s">
        <v>9</v>
      </c>
      <c r="E11598" s="2" t="str">
        <f>"9783658329051"</f>
        <v>9783658329051</v>
      </c>
      <c r="F11598" s="2" t="str">
        <f>"9783658329068"</f>
        <v>9783658329068</v>
      </c>
    </row>
    <row r="11599" spans="1:6" s="3" customFormat="1" ht="29.1" customHeight="1" x14ac:dyDescent="0.25">
      <c r="A11599" s="2" t="s">
        <v>23628</v>
      </c>
      <c r="B11599" s="2" t="s">
        <v>23629</v>
      </c>
      <c r="C11599" s="2" t="s">
        <v>5</v>
      </c>
      <c r="D11599" s="2" t="s">
        <v>3062</v>
      </c>
      <c r="E11599" s="2" t="str">
        <f>"9783030673444"</f>
        <v>9783030673444</v>
      </c>
      <c r="F11599" s="2" t="str">
        <f>"9783030673451"</f>
        <v>9783030673451</v>
      </c>
    </row>
    <row r="11600" spans="1:6" s="3" customFormat="1" ht="29.1" customHeight="1" x14ac:dyDescent="0.25">
      <c r="A11600" s="2" t="s">
        <v>23630</v>
      </c>
      <c r="B11600" s="2" t="s">
        <v>23631</v>
      </c>
      <c r="C11600" s="2" t="s">
        <v>5</v>
      </c>
      <c r="D11600" s="2" t="s">
        <v>1927</v>
      </c>
      <c r="E11600" s="2" t="str">
        <f>"9783658328627"</f>
        <v>9783658328627</v>
      </c>
      <c r="F11600" s="2" t="str">
        <f>"9783658328634"</f>
        <v>9783658328634</v>
      </c>
    </row>
    <row r="11601" spans="1:6" s="3" customFormat="1" ht="29.1" customHeight="1" x14ac:dyDescent="0.25">
      <c r="A11601" s="2" t="s">
        <v>23632</v>
      </c>
      <c r="B11601" s="2" t="s">
        <v>23633</v>
      </c>
      <c r="C11601" s="2" t="s">
        <v>5</v>
      </c>
      <c r="D11601" s="2" t="s">
        <v>2567</v>
      </c>
      <c r="E11601" s="2" t="str">
        <f>"9783030673376"</f>
        <v>9783030673376</v>
      </c>
      <c r="F11601" s="2" t="str">
        <f>"9783030673383"</f>
        <v>9783030673383</v>
      </c>
    </row>
    <row r="11602" spans="1:6" s="3" customFormat="1" ht="29.1" customHeight="1" x14ac:dyDescent="0.25">
      <c r="A11602" s="2" t="s">
        <v>23634</v>
      </c>
      <c r="B11602" s="2" t="s">
        <v>23635</v>
      </c>
      <c r="C11602" s="2" t="s">
        <v>5</v>
      </c>
      <c r="D11602" s="2" t="s">
        <v>553</v>
      </c>
      <c r="E11602" s="2" t="str">
        <f>"9783030672447"</f>
        <v>9783030672447</v>
      </c>
      <c r="F11602" s="2" t="str">
        <f>"9783030672454"</f>
        <v>9783030672454</v>
      </c>
    </row>
    <row r="11603" spans="1:6" s="3" customFormat="1" ht="29.1" customHeight="1" x14ac:dyDescent="0.25">
      <c r="A11603" s="2" t="s">
        <v>23636</v>
      </c>
      <c r="B11603" s="2" t="s">
        <v>23637</v>
      </c>
      <c r="C11603" s="2" t="s">
        <v>5</v>
      </c>
      <c r="D11603" s="2" t="s">
        <v>9</v>
      </c>
      <c r="E11603" s="2" t="str">
        <f>"9783658328481"</f>
        <v>9783658328481</v>
      </c>
      <c r="F11603" s="2" t="str">
        <f>"9783658328498"</f>
        <v>9783658328498</v>
      </c>
    </row>
    <row r="11604" spans="1:6" s="3" customFormat="1" ht="29.1" customHeight="1" x14ac:dyDescent="0.25">
      <c r="A11604" s="2" t="s">
        <v>23638</v>
      </c>
      <c r="B11604" s="2" t="s">
        <v>23639</v>
      </c>
      <c r="C11604" s="2" t="s">
        <v>5</v>
      </c>
      <c r="D11604" s="2" t="s">
        <v>1988</v>
      </c>
      <c r="E11604" s="2" t="str">
        <f>"9783030671297"</f>
        <v>9783030671297</v>
      </c>
      <c r="F11604" s="2" t="str">
        <f>"9783030671303"</f>
        <v>9783030671303</v>
      </c>
    </row>
    <row r="11605" spans="1:6" s="3" customFormat="1" ht="29.1" customHeight="1" x14ac:dyDescent="0.25">
      <c r="A11605" s="2" t="s">
        <v>23640</v>
      </c>
      <c r="B11605" s="2" t="s">
        <v>23641</v>
      </c>
      <c r="C11605" s="2" t="s">
        <v>5</v>
      </c>
      <c r="D11605" s="2" t="s">
        <v>12</v>
      </c>
      <c r="E11605" s="2" t="str">
        <f>"9783030669768"</f>
        <v>9783030669768</v>
      </c>
      <c r="F11605" s="2" t="str">
        <f>"9783030669775"</f>
        <v>9783030669775</v>
      </c>
    </row>
    <row r="11606" spans="1:6" s="3" customFormat="1" ht="29.1" customHeight="1" x14ac:dyDescent="0.25">
      <c r="A11606" s="2" t="s">
        <v>23642</v>
      </c>
      <c r="B11606" s="2" t="s">
        <v>23643</v>
      </c>
      <c r="C11606" s="2" t="s">
        <v>5</v>
      </c>
      <c r="D11606" s="2" t="s">
        <v>331</v>
      </c>
      <c r="E11606" s="2" t="str">
        <f>"9783030666606"</f>
        <v>9783030666606</v>
      </c>
      <c r="F11606" s="2" t="str">
        <f>"9783030666613"</f>
        <v>9783030666613</v>
      </c>
    </row>
    <row r="11607" spans="1:6" s="3" customFormat="1" ht="29.1" customHeight="1" x14ac:dyDescent="0.25">
      <c r="A11607" s="2" t="s">
        <v>23644</v>
      </c>
      <c r="B11607" s="2" t="s">
        <v>23645</v>
      </c>
      <c r="C11607" s="2" t="s">
        <v>5</v>
      </c>
      <c r="D11607" s="2" t="s">
        <v>4783</v>
      </c>
      <c r="E11607" s="2" t="str">
        <f>"9789811604546"</f>
        <v>9789811604546</v>
      </c>
      <c r="F11607" s="2" t="str">
        <f>"9789811604553"</f>
        <v>9789811604553</v>
      </c>
    </row>
    <row r="11608" spans="1:6" s="3" customFormat="1" ht="29.1" customHeight="1" x14ac:dyDescent="0.25">
      <c r="A11608" s="2" t="s">
        <v>23646</v>
      </c>
      <c r="B11608" s="2" t="s">
        <v>23647</v>
      </c>
      <c r="C11608" s="2" t="s">
        <v>5</v>
      </c>
      <c r="D11608" s="2" t="s">
        <v>889</v>
      </c>
      <c r="E11608" s="2" t="str">
        <f>"9783030658427"</f>
        <v>9783030658427</v>
      </c>
      <c r="F11608" s="2" t="str">
        <f>"9783030658434"</f>
        <v>9783030658434</v>
      </c>
    </row>
    <row r="11609" spans="1:6" s="3" customFormat="1" ht="29.1" customHeight="1" x14ac:dyDescent="0.25">
      <c r="A11609" s="2" t="s">
        <v>23648</v>
      </c>
      <c r="B11609" s="2" t="s">
        <v>23649</v>
      </c>
      <c r="C11609" s="2" t="s">
        <v>5</v>
      </c>
      <c r="D11609" s="2" t="s">
        <v>3567</v>
      </c>
      <c r="E11609" s="2" t="str">
        <f>"9789813349919"</f>
        <v>9789813349919</v>
      </c>
      <c r="F11609" s="2" t="str">
        <f>"9789813349926"</f>
        <v>9789813349926</v>
      </c>
    </row>
    <row r="11610" spans="1:6" s="3" customFormat="1" ht="29.1" customHeight="1" x14ac:dyDescent="0.25">
      <c r="A11610" s="2" t="s">
        <v>23650</v>
      </c>
      <c r="B11610" s="2" t="s">
        <v>23651</v>
      </c>
      <c r="C11610" s="2" t="s">
        <v>5</v>
      </c>
      <c r="D11610" s="2" t="s">
        <v>183</v>
      </c>
      <c r="E11610" s="2" t="str">
        <f>"9789813349711"</f>
        <v>9789813349711</v>
      </c>
      <c r="F11610" s="2" t="str">
        <f>"9789813349728"</f>
        <v>9789813349728</v>
      </c>
    </row>
    <row r="11611" spans="1:6" s="3" customFormat="1" ht="29.1" customHeight="1" x14ac:dyDescent="0.25">
      <c r="A11611" s="2" t="s">
        <v>23652</v>
      </c>
      <c r="B11611" s="2" t="s">
        <v>23653</v>
      </c>
      <c r="C11611" s="2" t="s">
        <v>5</v>
      </c>
      <c r="D11611" s="2" t="s">
        <v>270</v>
      </c>
      <c r="E11611" s="2" t="str">
        <f>"9783658326005"</f>
        <v>9783658326005</v>
      </c>
      <c r="F11611" s="2" t="str">
        <f>"9783658326012"</f>
        <v>9783658326012</v>
      </c>
    </row>
    <row r="11612" spans="1:6" s="3" customFormat="1" ht="29.1" customHeight="1" x14ac:dyDescent="0.25">
      <c r="A11612" s="2" t="s">
        <v>23654</v>
      </c>
      <c r="B11612" s="2" t="s">
        <v>20557</v>
      </c>
      <c r="C11612" s="2" t="s">
        <v>5</v>
      </c>
      <c r="D11612" s="2" t="s">
        <v>636</v>
      </c>
      <c r="E11612" s="2" t="str">
        <f>"9783662640838"</f>
        <v>9783662640838</v>
      </c>
      <c r="F11612" s="2" t="str">
        <f>"9783662640845"</f>
        <v>9783662640845</v>
      </c>
    </row>
    <row r="11613" spans="1:6" s="3" customFormat="1" ht="29.1" customHeight="1" x14ac:dyDescent="0.25">
      <c r="A11613" s="2" t="s">
        <v>23655</v>
      </c>
      <c r="B11613" s="2" t="s">
        <v>23656</v>
      </c>
      <c r="C11613" s="2" t="s">
        <v>5</v>
      </c>
      <c r="D11613" s="2" t="s">
        <v>364</v>
      </c>
      <c r="E11613" s="2" t="str">
        <f>"9783030653545"</f>
        <v>9783030653545</v>
      </c>
      <c r="F11613" s="2" t="str">
        <f>"9783030653552"</f>
        <v>9783030653552</v>
      </c>
    </row>
    <row r="11614" spans="1:6" s="3" customFormat="1" ht="29.1" customHeight="1" x14ac:dyDescent="0.25">
      <c r="A11614" s="2" t="s">
        <v>23657</v>
      </c>
      <c r="B11614" s="2" t="s">
        <v>23658</v>
      </c>
      <c r="C11614" s="2" t="s">
        <v>5</v>
      </c>
      <c r="D11614" s="2" t="s">
        <v>894</v>
      </c>
      <c r="E11614" s="2" t="str">
        <f>"9783030652869"</f>
        <v>9783030652869</v>
      </c>
      <c r="F11614" s="2" t="str">
        <f>"9783030652876"</f>
        <v>9783030652876</v>
      </c>
    </row>
    <row r="11615" spans="1:6" s="3" customFormat="1" ht="29.1" customHeight="1" x14ac:dyDescent="0.25">
      <c r="A11615" s="2" t="s">
        <v>23659</v>
      </c>
      <c r="B11615" s="2" t="s">
        <v>23660</v>
      </c>
      <c r="C11615" s="2" t="s">
        <v>5</v>
      </c>
      <c r="D11615" s="2" t="s">
        <v>5417</v>
      </c>
      <c r="E11615" s="2" t="str">
        <f>"9783662628119"</f>
        <v>9783662628119</v>
      </c>
      <c r="F11615" s="2" t="str">
        <f>"9783662628126"</f>
        <v>9783662628126</v>
      </c>
    </row>
    <row r="11616" spans="1:6" s="3" customFormat="1" ht="29.1" customHeight="1" x14ac:dyDescent="0.25">
      <c r="A11616" s="2" t="s">
        <v>23661</v>
      </c>
      <c r="B11616" s="2" t="s">
        <v>23662</v>
      </c>
      <c r="C11616" s="2" t="s">
        <v>5</v>
      </c>
      <c r="D11616" s="2" t="s">
        <v>1189</v>
      </c>
      <c r="E11616" s="2" t="str">
        <f>"9783658324995"</f>
        <v>9783658324995</v>
      </c>
      <c r="F11616" s="2" t="str">
        <f>"9783658325008"</f>
        <v>9783658325008</v>
      </c>
    </row>
    <row r="11617" spans="1:6" s="3" customFormat="1" ht="29.1" customHeight="1" x14ac:dyDescent="0.25">
      <c r="A11617" s="2" t="s">
        <v>23663</v>
      </c>
      <c r="B11617" s="2" t="s">
        <v>23664</v>
      </c>
      <c r="C11617" s="2" t="s">
        <v>5</v>
      </c>
      <c r="D11617" s="2" t="s">
        <v>270</v>
      </c>
      <c r="E11617" s="2" t="str">
        <f>"9783031129810"</f>
        <v>9783031129810</v>
      </c>
      <c r="F11617" s="2" t="str">
        <f>"9783031129827"</f>
        <v>9783031129827</v>
      </c>
    </row>
    <row r="11618" spans="1:6" s="3" customFormat="1" ht="29.1" customHeight="1" x14ac:dyDescent="0.25">
      <c r="A11618" s="2" t="s">
        <v>23665</v>
      </c>
      <c r="B11618" s="2" t="s">
        <v>23666</v>
      </c>
      <c r="C11618" s="2" t="s">
        <v>5</v>
      </c>
      <c r="D11618" s="2" t="s">
        <v>183</v>
      </c>
      <c r="E11618" s="2" t="str">
        <f>"9783658324445"</f>
        <v>9783658324445</v>
      </c>
      <c r="F11618" s="2" t="str">
        <f>"9783658324452"</f>
        <v>9783658324452</v>
      </c>
    </row>
    <row r="11619" spans="1:6" s="3" customFormat="1" ht="29.1" customHeight="1" x14ac:dyDescent="0.25">
      <c r="A11619" s="2" t="s">
        <v>23667</v>
      </c>
      <c r="B11619" s="2" t="s">
        <v>23668</v>
      </c>
      <c r="C11619" s="2" t="s">
        <v>5</v>
      </c>
      <c r="D11619" s="2" t="s">
        <v>1265</v>
      </c>
      <c r="E11619" s="2" t="str">
        <f>"9783030644918"</f>
        <v>9783030644918</v>
      </c>
      <c r="F11619" s="2" t="str">
        <f>"9783030644925"</f>
        <v>9783030644925</v>
      </c>
    </row>
    <row r="11620" spans="1:6" s="3" customFormat="1" ht="29.1" customHeight="1" x14ac:dyDescent="0.25">
      <c r="A11620" s="2" t="s">
        <v>23669</v>
      </c>
      <c r="B11620" s="2" t="s">
        <v>23670</v>
      </c>
      <c r="C11620" s="2" t="s">
        <v>5</v>
      </c>
      <c r="D11620" s="2" t="s">
        <v>4783</v>
      </c>
      <c r="E11620" s="2" t="str">
        <f>"9783658323882"</f>
        <v>9783658323882</v>
      </c>
      <c r="F11620" s="2" t="str">
        <f>"9783658323899"</f>
        <v>9783658323899</v>
      </c>
    </row>
    <row r="11621" spans="1:6" s="3" customFormat="1" ht="29.1" customHeight="1" x14ac:dyDescent="0.25">
      <c r="A11621" s="2" t="s">
        <v>23671</v>
      </c>
      <c r="B11621" s="2" t="s">
        <v>23672</v>
      </c>
      <c r="C11621" s="2" t="s">
        <v>5</v>
      </c>
      <c r="D11621" s="2" t="s">
        <v>101</v>
      </c>
      <c r="E11621" s="2" t="str">
        <f>"9783030641702"</f>
        <v>9783030641702</v>
      </c>
      <c r="F11621" s="2" t="str">
        <f>"9783030641719"</f>
        <v>9783030641719</v>
      </c>
    </row>
    <row r="11622" spans="1:6" s="3" customFormat="1" ht="29.1" customHeight="1" x14ac:dyDescent="0.25">
      <c r="A11622" s="2" t="s">
        <v>23673</v>
      </c>
      <c r="B11622" s="2" t="s">
        <v>23674</v>
      </c>
      <c r="C11622" s="2" t="s">
        <v>5</v>
      </c>
      <c r="D11622" s="2" t="s">
        <v>2458</v>
      </c>
      <c r="E11622" s="2" t="str">
        <f>"9783030639624"</f>
        <v>9783030639624</v>
      </c>
      <c r="F11622" s="2" t="str">
        <f>"9783030639631"</f>
        <v>9783030639631</v>
      </c>
    </row>
    <row r="11623" spans="1:6" s="3" customFormat="1" ht="29.1" customHeight="1" x14ac:dyDescent="0.25">
      <c r="A11623" s="2" t="s">
        <v>23675</v>
      </c>
      <c r="B11623" s="2" t="s">
        <v>23676</v>
      </c>
      <c r="C11623" s="2" t="s">
        <v>5</v>
      </c>
      <c r="D11623" s="2" t="s">
        <v>2045</v>
      </c>
      <c r="E11623" s="2" t="str">
        <f>"9783030639587"</f>
        <v>9783030639587</v>
      </c>
      <c r="F11623" s="2" t="str">
        <f>"9783030639600"</f>
        <v>9783030639600</v>
      </c>
    </row>
    <row r="11624" spans="1:6" s="3" customFormat="1" ht="29.1" customHeight="1" x14ac:dyDescent="0.25">
      <c r="A11624" s="2" t="s">
        <v>23677</v>
      </c>
      <c r="B11624" s="2" t="s">
        <v>20407</v>
      </c>
      <c r="C11624" s="2" t="s">
        <v>5</v>
      </c>
      <c r="D11624" s="2" t="s">
        <v>2237</v>
      </c>
      <c r="E11624" s="2" t="str">
        <f>"9783662627075"</f>
        <v>9783662627075</v>
      </c>
      <c r="F11624" s="2" t="str">
        <f>"9783662627082"</f>
        <v>9783662627082</v>
      </c>
    </row>
    <row r="11625" spans="1:6" s="3" customFormat="1" ht="29.1" customHeight="1" x14ac:dyDescent="0.25">
      <c r="A11625" s="2" t="s">
        <v>23678</v>
      </c>
      <c r="B11625" s="2" t="s">
        <v>20649</v>
      </c>
      <c r="C11625" s="2" t="s">
        <v>5</v>
      </c>
      <c r="D11625" s="2" t="s">
        <v>98</v>
      </c>
      <c r="E11625" s="2" t="str">
        <f>"9783658323226"</f>
        <v>9783658323226</v>
      </c>
      <c r="F11625" s="2" t="str">
        <f>"9783658323233"</f>
        <v>9783658323233</v>
      </c>
    </row>
    <row r="11626" spans="1:6" s="3" customFormat="1" ht="29.1" customHeight="1" x14ac:dyDescent="0.25">
      <c r="A11626" s="2" t="s">
        <v>23679</v>
      </c>
      <c r="B11626" s="2" t="s">
        <v>23680</v>
      </c>
      <c r="C11626" s="2" t="s">
        <v>5</v>
      </c>
      <c r="D11626" s="2" t="s">
        <v>712</v>
      </c>
      <c r="E11626" s="2" t="str">
        <f>"9783030636135"</f>
        <v>9783030636135</v>
      </c>
      <c r="F11626" s="2" t="str">
        <f>"9783030636142"</f>
        <v>9783030636142</v>
      </c>
    </row>
    <row r="11627" spans="1:6" s="3" customFormat="1" ht="29.1" customHeight="1" x14ac:dyDescent="0.25">
      <c r="A11627" s="2" t="s">
        <v>23681</v>
      </c>
      <c r="B11627" s="2" t="s">
        <v>23682</v>
      </c>
      <c r="C11627" s="2" t="s">
        <v>5</v>
      </c>
      <c r="D11627" s="2" t="s">
        <v>22667</v>
      </c>
      <c r="E11627" s="2" t="str">
        <f>"9783662626344"</f>
        <v>9783662626344</v>
      </c>
      <c r="F11627" s="2" t="str">
        <f>"9783662626351"</f>
        <v>9783662626351</v>
      </c>
    </row>
    <row r="11628" spans="1:6" s="3" customFormat="1" ht="29.1" customHeight="1" x14ac:dyDescent="0.25">
      <c r="A11628" s="2" t="s">
        <v>23683</v>
      </c>
      <c r="B11628" s="2" t="s">
        <v>23684</v>
      </c>
      <c r="C11628" s="2" t="s">
        <v>5</v>
      </c>
      <c r="D11628" s="2" t="s">
        <v>1313</v>
      </c>
      <c r="E11628" s="2" t="str">
        <f>"9783030632762"</f>
        <v>9783030632762</v>
      </c>
      <c r="F11628" s="2" t="str">
        <f>"9783030632779"</f>
        <v>9783030632779</v>
      </c>
    </row>
    <row r="11629" spans="1:6" s="3" customFormat="1" ht="29.1" customHeight="1" x14ac:dyDescent="0.25">
      <c r="A11629" s="2" t="s">
        <v>23685</v>
      </c>
      <c r="B11629" s="2" t="s">
        <v>23686</v>
      </c>
      <c r="C11629" s="2" t="s">
        <v>5</v>
      </c>
      <c r="D11629" s="2" t="s">
        <v>270</v>
      </c>
      <c r="E11629" s="2" t="str">
        <f>"9783030631420"</f>
        <v>9783030631420</v>
      </c>
      <c r="F11629" s="2" t="str">
        <f>"9783030631437"</f>
        <v>9783030631437</v>
      </c>
    </row>
    <row r="11630" spans="1:6" s="3" customFormat="1" ht="29.1" customHeight="1" x14ac:dyDescent="0.25">
      <c r="A11630" s="2" t="s">
        <v>23687</v>
      </c>
      <c r="B11630" s="2" t="s">
        <v>23688</v>
      </c>
      <c r="C11630" s="2" t="s">
        <v>5</v>
      </c>
      <c r="D11630" s="2" t="s">
        <v>636</v>
      </c>
      <c r="E11630" s="2" t="str">
        <f>"9783658321581"</f>
        <v>9783658321581</v>
      </c>
      <c r="F11630" s="2" t="str">
        <f>"9783658321598"</f>
        <v>9783658321598</v>
      </c>
    </row>
    <row r="11631" spans="1:6" s="3" customFormat="1" ht="29.1" customHeight="1" x14ac:dyDescent="0.25">
      <c r="A11631" s="2" t="s">
        <v>23689</v>
      </c>
      <c r="B11631" s="2" t="s">
        <v>23690</v>
      </c>
      <c r="C11631" s="2" t="s">
        <v>5</v>
      </c>
      <c r="D11631" s="2" t="s">
        <v>4190</v>
      </c>
      <c r="E11631" s="2" t="str">
        <f>"9783030626617"</f>
        <v>9783030626617</v>
      </c>
      <c r="F11631" s="2" t="str">
        <f>"9783030626624"</f>
        <v>9783030626624</v>
      </c>
    </row>
    <row r="11632" spans="1:6" s="3" customFormat="1" ht="29.1" customHeight="1" x14ac:dyDescent="0.25">
      <c r="A11632" s="2" t="s">
        <v>23691</v>
      </c>
      <c r="B11632" s="2" t="s">
        <v>23692</v>
      </c>
      <c r="C11632" s="2" t="s">
        <v>5</v>
      </c>
      <c r="D11632" s="2" t="s">
        <v>10545</v>
      </c>
      <c r="E11632" s="2" t="str">
        <f>"9789811597848"</f>
        <v>9789811597848</v>
      </c>
      <c r="F11632" s="2" t="str">
        <f>"9789811597855"</f>
        <v>9789811597855</v>
      </c>
    </row>
    <row r="11633" spans="1:6" s="3" customFormat="1" ht="29.1" customHeight="1" x14ac:dyDescent="0.25">
      <c r="A11633" s="2" t="s">
        <v>23693</v>
      </c>
      <c r="B11633" s="2" t="s">
        <v>23694</v>
      </c>
      <c r="C11633" s="2" t="s">
        <v>5</v>
      </c>
      <c r="D11633" s="2" t="s">
        <v>501</v>
      </c>
      <c r="E11633" s="2" t="str">
        <f>"9783031156694"</f>
        <v>9783031156694</v>
      </c>
      <c r="F11633" s="2" t="str">
        <f>"9783031156700"</f>
        <v>9783031156700</v>
      </c>
    </row>
    <row r="11634" spans="1:6" s="3" customFormat="1" ht="29.1" customHeight="1" x14ac:dyDescent="0.25">
      <c r="A11634" s="2" t="s">
        <v>23695</v>
      </c>
      <c r="B11634" s="2" t="s">
        <v>23696</v>
      </c>
      <c r="C11634" s="2" t="s">
        <v>5</v>
      </c>
      <c r="D11634" s="2" t="s">
        <v>1046</v>
      </c>
      <c r="E11634" s="2" t="str">
        <f>"9783658320478"</f>
        <v>9783658320478</v>
      </c>
      <c r="F11634" s="2" t="str">
        <f>"9783658320485"</f>
        <v>9783658320485</v>
      </c>
    </row>
    <row r="11635" spans="1:6" s="3" customFormat="1" ht="29.1" customHeight="1" x14ac:dyDescent="0.25">
      <c r="A11635" s="2" t="s">
        <v>23697</v>
      </c>
      <c r="B11635" s="2" t="s">
        <v>23698</v>
      </c>
      <c r="C11635" s="2" t="s">
        <v>5</v>
      </c>
      <c r="D11635" s="2" t="s">
        <v>5758</v>
      </c>
      <c r="E11635" s="2" t="str">
        <f>"9789811595974"</f>
        <v>9789811595974</v>
      </c>
      <c r="F11635" s="2" t="str">
        <f>"9789811595981"</f>
        <v>9789811595981</v>
      </c>
    </row>
    <row r="11636" spans="1:6" s="3" customFormat="1" ht="29.1" customHeight="1" x14ac:dyDescent="0.25">
      <c r="A11636" s="2" t="s">
        <v>23699</v>
      </c>
      <c r="B11636" s="2" t="s">
        <v>23700</v>
      </c>
      <c r="C11636" s="2" t="s">
        <v>5</v>
      </c>
      <c r="D11636" s="2" t="s">
        <v>4019</v>
      </c>
      <c r="E11636" s="2" t="str">
        <f>"9783030616472"</f>
        <v>9783030616472</v>
      </c>
      <c r="F11636" s="2" t="str">
        <f>"9783030616489"</f>
        <v>9783030616489</v>
      </c>
    </row>
    <row r="11637" spans="1:6" s="3" customFormat="1" ht="29.1" customHeight="1" x14ac:dyDescent="0.25">
      <c r="A11637" s="2" t="s">
        <v>23701</v>
      </c>
      <c r="B11637" s="2" t="s">
        <v>23702</v>
      </c>
      <c r="C11637" s="2" t="s">
        <v>5</v>
      </c>
      <c r="D11637" s="2" t="s">
        <v>791</v>
      </c>
      <c r="E11637" s="2" t="str">
        <f>"9783030611835"</f>
        <v>9783030611835</v>
      </c>
      <c r="F11637" s="2" t="str">
        <f>"9783030611842"</f>
        <v>9783030611842</v>
      </c>
    </row>
    <row r="11638" spans="1:6" s="3" customFormat="1" ht="29.1" customHeight="1" x14ac:dyDescent="0.25">
      <c r="A11638" s="2" t="s">
        <v>23703</v>
      </c>
      <c r="B11638" s="2" t="s">
        <v>23704</v>
      </c>
      <c r="C11638" s="2" t="s">
        <v>5</v>
      </c>
      <c r="D11638" s="2" t="s">
        <v>350</v>
      </c>
      <c r="E11638" s="2" t="str">
        <f>"9783030609139"</f>
        <v>9783030609139</v>
      </c>
      <c r="F11638" s="2" t="str">
        <f>"9783030609146"</f>
        <v>9783030609146</v>
      </c>
    </row>
    <row r="11639" spans="1:6" s="3" customFormat="1" ht="29.1" customHeight="1" x14ac:dyDescent="0.25">
      <c r="A11639" s="2" t="s">
        <v>23705</v>
      </c>
      <c r="B11639" s="2" t="s">
        <v>20488</v>
      </c>
      <c r="C11639" s="2" t="s">
        <v>5</v>
      </c>
      <c r="D11639" s="2" t="s">
        <v>650</v>
      </c>
      <c r="E11639" s="2" t="str">
        <f>"9783662623763"</f>
        <v>9783662623763</v>
      </c>
      <c r="F11639" s="2" t="str">
        <f>"9783662623770"</f>
        <v>9783662623770</v>
      </c>
    </row>
    <row r="11640" spans="1:6" s="3" customFormat="1" ht="29.1" customHeight="1" x14ac:dyDescent="0.25">
      <c r="A11640" s="2" t="s">
        <v>23706</v>
      </c>
      <c r="B11640" s="2" t="s">
        <v>23707</v>
      </c>
      <c r="C11640" s="2" t="s">
        <v>5</v>
      </c>
      <c r="D11640" s="2" t="s">
        <v>606</v>
      </c>
      <c r="E11640" s="2" t="str">
        <f>"9783030604059"</f>
        <v>9783030604059</v>
      </c>
      <c r="F11640" s="2" t="str">
        <f>"9783030604066"</f>
        <v>9783030604066</v>
      </c>
    </row>
    <row r="11641" spans="1:6" s="3" customFormat="1" ht="29.1" customHeight="1" x14ac:dyDescent="0.25">
      <c r="A11641" s="2" t="s">
        <v>23708</v>
      </c>
      <c r="B11641" s="2" t="s">
        <v>23709</v>
      </c>
      <c r="C11641" s="2" t="s">
        <v>5</v>
      </c>
      <c r="D11641" s="2" t="s">
        <v>2861</v>
      </c>
      <c r="E11641" s="2" t="str">
        <f>"9783030596934"</f>
        <v>9783030596934</v>
      </c>
      <c r="F11641" s="2" t="str">
        <f>"9783030596941"</f>
        <v>9783030596941</v>
      </c>
    </row>
    <row r="11642" spans="1:6" s="3" customFormat="1" ht="29.1" customHeight="1" x14ac:dyDescent="0.25">
      <c r="A11642" s="2" t="s">
        <v>23710</v>
      </c>
      <c r="B11642" s="2" t="s">
        <v>23711</v>
      </c>
      <c r="C11642" s="2" t="s">
        <v>5</v>
      </c>
      <c r="D11642" s="2" t="s">
        <v>350</v>
      </c>
      <c r="E11642" s="2" t="str">
        <f>"9783030707989"</f>
        <v>9783030707989</v>
      </c>
      <c r="F11642" s="2" t="str">
        <f>"9783030707996"</f>
        <v>9783030707996</v>
      </c>
    </row>
    <row r="11643" spans="1:6" s="3" customFormat="1" ht="29.1" customHeight="1" x14ac:dyDescent="0.25">
      <c r="A11643" s="2" t="s">
        <v>23712</v>
      </c>
      <c r="B11643" s="2" t="s">
        <v>23713</v>
      </c>
      <c r="C11643" s="2" t="s">
        <v>5</v>
      </c>
      <c r="D11643" s="2" t="s">
        <v>294</v>
      </c>
      <c r="E11643" s="2" t="str">
        <f>"9783031246500"</f>
        <v>9783031246500</v>
      </c>
      <c r="F11643" s="2" t="str">
        <f>"9783031246517"</f>
        <v>9783031246517</v>
      </c>
    </row>
    <row r="11644" spans="1:6" s="3" customFormat="1" ht="29.1" customHeight="1" x14ac:dyDescent="0.25">
      <c r="A11644" s="2" t="s">
        <v>23714</v>
      </c>
      <c r="B11644" s="2" t="s">
        <v>23715</v>
      </c>
      <c r="C11644" s="2" t="s">
        <v>5</v>
      </c>
      <c r="D11644" s="2" t="s">
        <v>479</v>
      </c>
      <c r="E11644" s="2" t="str">
        <f>"9783030591960"</f>
        <v>9783030591960</v>
      </c>
      <c r="F11644" s="2" t="str">
        <f>"9783030591977"</f>
        <v>9783030591977</v>
      </c>
    </row>
    <row r="11645" spans="1:6" s="3" customFormat="1" ht="29.1" customHeight="1" x14ac:dyDescent="0.25">
      <c r="A11645" s="2" t="s">
        <v>23716</v>
      </c>
      <c r="B11645" s="2" t="s">
        <v>23717</v>
      </c>
      <c r="C11645" s="2" t="s">
        <v>5</v>
      </c>
      <c r="D11645" s="2" t="s">
        <v>1864</v>
      </c>
      <c r="E11645" s="2" t="str">
        <f>"9783658317348"</f>
        <v>9783658317348</v>
      </c>
      <c r="F11645" s="2" t="str">
        <f>"9783658317355"</f>
        <v>9783658317355</v>
      </c>
    </row>
    <row r="11646" spans="1:6" s="3" customFormat="1" ht="29.1" customHeight="1" x14ac:dyDescent="0.25">
      <c r="A11646" s="2" t="s">
        <v>23718</v>
      </c>
      <c r="B11646" s="2" t="s">
        <v>23719</v>
      </c>
      <c r="C11646" s="2" t="s">
        <v>5</v>
      </c>
      <c r="D11646" s="2" t="s">
        <v>547</v>
      </c>
      <c r="E11646" s="2" t="str">
        <f>"9789811586316"</f>
        <v>9789811586316</v>
      </c>
      <c r="F11646" s="2" t="str">
        <f>"9789811586323"</f>
        <v>9789811586323</v>
      </c>
    </row>
    <row r="11647" spans="1:6" s="3" customFormat="1" ht="29.1" customHeight="1" x14ac:dyDescent="0.25">
      <c r="A11647" s="2" t="s">
        <v>23720</v>
      </c>
      <c r="B11647" s="2" t="s">
        <v>23721</v>
      </c>
      <c r="C11647" s="2" t="s">
        <v>5</v>
      </c>
      <c r="D11647" s="2" t="s">
        <v>2877</v>
      </c>
      <c r="E11647" s="2" t="str">
        <f>"9783030590307"</f>
        <v>9783030590307</v>
      </c>
      <c r="F11647" s="2" t="str">
        <f>"9783030590314"</f>
        <v>9783030590314</v>
      </c>
    </row>
    <row r="11648" spans="1:6" s="3" customFormat="1" ht="29.1" customHeight="1" x14ac:dyDescent="0.25">
      <c r="A11648" s="2" t="s">
        <v>23722</v>
      </c>
      <c r="B11648" s="2" t="s">
        <v>23723</v>
      </c>
      <c r="C11648" s="2" t="s">
        <v>5</v>
      </c>
      <c r="D11648" s="2" t="s">
        <v>1864</v>
      </c>
      <c r="E11648" s="2" t="str">
        <f>"9783658316860"</f>
        <v>9783658316860</v>
      </c>
      <c r="F11648" s="2" t="str">
        <f>"9783658316877"</f>
        <v>9783658316877</v>
      </c>
    </row>
    <row r="11649" spans="1:6" s="3" customFormat="1" ht="29.1" customHeight="1" x14ac:dyDescent="0.25">
      <c r="A11649" s="2" t="s">
        <v>23724</v>
      </c>
      <c r="B11649" s="2" t="s">
        <v>23726</v>
      </c>
      <c r="C11649" s="2" t="s">
        <v>5</v>
      </c>
      <c r="D11649" s="2" t="s">
        <v>23725</v>
      </c>
      <c r="E11649" s="2" t="str">
        <f>"9783030586409"</f>
        <v>9783030586409</v>
      </c>
      <c r="F11649" s="2" t="str">
        <f>"9783030586416"</f>
        <v>9783030586416</v>
      </c>
    </row>
    <row r="11650" spans="1:6" s="3" customFormat="1" ht="29.1" customHeight="1" x14ac:dyDescent="0.25">
      <c r="A11650" s="2" t="s">
        <v>23727</v>
      </c>
      <c r="B11650" s="2" t="s">
        <v>23463</v>
      </c>
      <c r="C11650" s="2" t="s">
        <v>5</v>
      </c>
      <c r="D11650" s="2" t="s">
        <v>487</v>
      </c>
      <c r="E11650" s="2" t="str">
        <f>"9783030586164"</f>
        <v>9783030586164</v>
      </c>
      <c r="F11650" s="2" t="str">
        <f>"9783030586171"</f>
        <v>9783030586171</v>
      </c>
    </row>
    <row r="11651" spans="1:6" s="3" customFormat="1" ht="29.1" customHeight="1" x14ac:dyDescent="0.25">
      <c r="A11651" s="2" t="s">
        <v>23728</v>
      </c>
      <c r="B11651" s="2" t="s">
        <v>23729</v>
      </c>
      <c r="C11651" s="2" t="s">
        <v>5</v>
      </c>
      <c r="D11651" s="2" t="s">
        <v>1272</v>
      </c>
      <c r="E11651" s="2" t="str">
        <f>"9783030585044"</f>
        <v>9783030585044</v>
      </c>
      <c r="F11651" s="2" t="str">
        <f>"9783030585051"</f>
        <v>9783030585051</v>
      </c>
    </row>
    <row r="11652" spans="1:6" s="3" customFormat="1" ht="29.1" customHeight="1" x14ac:dyDescent="0.25">
      <c r="A11652" s="2" t="s">
        <v>23730</v>
      </c>
      <c r="B11652" s="2" t="s">
        <v>23731</v>
      </c>
      <c r="C11652" s="2" t="s">
        <v>5</v>
      </c>
      <c r="D11652" s="2" t="s">
        <v>33</v>
      </c>
      <c r="E11652" s="2" t="str">
        <f>"9783662661611"</f>
        <v>9783662661611</v>
      </c>
      <c r="F11652" s="2" t="str">
        <f>"9783662661628"</f>
        <v>9783662661628</v>
      </c>
    </row>
    <row r="11653" spans="1:6" s="3" customFormat="1" ht="29.1" customHeight="1" x14ac:dyDescent="0.25">
      <c r="A11653" s="2" t="s">
        <v>23732</v>
      </c>
      <c r="B11653" s="2" t="s">
        <v>23733</v>
      </c>
      <c r="C11653" s="2" t="s">
        <v>5</v>
      </c>
      <c r="D11653" s="2" t="s">
        <v>3198</v>
      </c>
      <c r="E11653" s="2" t="str">
        <f>"9783662622308"</f>
        <v>9783662622308</v>
      </c>
      <c r="F11653" s="2" t="str">
        <f>"9783662622315"</f>
        <v>9783662622315</v>
      </c>
    </row>
    <row r="11654" spans="1:6" s="3" customFormat="1" ht="29.1" customHeight="1" x14ac:dyDescent="0.25">
      <c r="A11654" s="2" t="s">
        <v>23734</v>
      </c>
      <c r="B11654" s="2" t="s">
        <v>23735</v>
      </c>
      <c r="C11654" s="2" t="s">
        <v>5</v>
      </c>
      <c r="D11654" s="2" t="s">
        <v>3198</v>
      </c>
      <c r="E11654" s="2" t="str">
        <f>"9783662622148"</f>
        <v>9783662622148</v>
      </c>
      <c r="F11654" s="2" t="str">
        <f>"9783662622155"</f>
        <v>9783662622155</v>
      </c>
    </row>
    <row r="11655" spans="1:6" s="3" customFormat="1" ht="29.1" customHeight="1" x14ac:dyDescent="0.25">
      <c r="A11655" s="2" t="s">
        <v>23736</v>
      </c>
      <c r="B11655" s="2" t="s">
        <v>23737</v>
      </c>
      <c r="C11655" s="2" t="s">
        <v>5</v>
      </c>
      <c r="D11655" s="2" t="s">
        <v>297</v>
      </c>
      <c r="E11655" s="2" t="str">
        <f>"9789811581823"</f>
        <v>9789811581823</v>
      </c>
      <c r="F11655" s="2" t="str">
        <f>"9789811581830"</f>
        <v>9789811581830</v>
      </c>
    </row>
    <row r="11656" spans="1:6" s="3" customFormat="1" ht="29.1" customHeight="1" x14ac:dyDescent="0.25">
      <c r="A11656" s="2" t="s">
        <v>23738</v>
      </c>
      <c r="B11656" s="2" t="s">
        <v>23739</v>
      </c>
      <c r="C11656" s="2" t="s">
        <v>5</v>
      </c>
      <c r="D11656" s="2" t="s">
        <v>7734</v>
      </c>
      <c r="E11656" s="2" t="str">
        <f>"9783030579371"</f>
        <v>9783030579371</v>
      </c>
      <c r="F11656" s="2" t="str">
        <f>"9783030579388"</f>
        <v>9783030579388</v>
      </c>
    </row>
    <row r="11657" spans="1:6" s="3" customFormat="1" ht="29.1" customHeight="1" x14ac:dyDescent="0.25">
      <c r="A11657" s="2" t="s">
        <v>23740</v>
      </c>
      <c r="B11657" s="2" t="s">
        <v>23741</v>
      </c>
      <c r="C11657" s="2" t="s">
        <v>5</v>
      </c>
      <c r="D11657" s="2" t="s">
        <v>98</v>
      </c>
      <c r="E11657" s="2" t="str">
        <f>"9783658314552"</f>
        <v>9783658314552</v>
      </c>
      <c r="F11657" s="2" t="str">
        <f>"9783658314569"</f>
        <v>9783658314569</v>
      </c>
    </row>
    <row r="11658" spans="1:6" s="3" customFormat="1" ht="29.1" customHeight="1" x14ac:dyDescent="0.25">
      <c r="A11658" s="2" t="s">
        <v>23742</v>
      </c>
      <c r="B11658" s="2" t="s">
        <v>23743</v>
      </c>
      <c r="C11658" s="2" t="s">
        <v>5</v>
      </c>
      <c r="D11658" s="2" t="s">
        <v>12</v>
      </c>
      <c r="E11658" s="2" t="str">
        <f>"9783658314651"</f>
        <v>9783658314651</v>
      </c>
      <c r="F11658" s="2" t="str">
        <f>"9783658314668"</f>
        <v>9783658314668</v>
      </c>
    </row>
    <row r="11659" spans="1:6" s="3" customFormat="1" ht="29.1" customHeight="1" x14ac:dyDescent="0.25">
      <c r="A11659" s="2" t="s">
        <v>23744</v>
      </c>
      <c r="B11659" s="2" t="s">
        <v>19794</v>
      </c>
      <c r="C11659" s="2" t="s">
        <v>5</v>
      </c>
      <c r="D11659" s="2" t="s">
        <v>1959</v>
      </c>
      <c r="E11659" s="2" t="str">
        <f>"9783662621943"</f>
        <v>9783662621943</v>
      </c>
      <c r="F11659" s="2" t="str">
        <f>"9783662621950"</f>
        <v>9783662621950</v>
      </c>
    </row>
    <row r="11660" spans="1:6" s="3" customFormat="1" ht="29.1" customHeight="1" x14ac:dyDescent="0.25">
      <c r="A11660" s="2" t="s">
        <v>23745</v>
      </c>
      <c r="B11660" s="2" t="s">
        <v>23746</v>
      </c>
      <c r="C11660" s="2" t="s">
        <v>5</v>
      </c>
      <c r="D11660" s="2" t="s">
        <v>1262</v>
      </c>
      <c r="E11660" s="2" t="str">
        <f>"9783030575618"</f>
        <v>9783030575618</v>
      </c>
      <c r="F11660" s="2" t="str">
        <f>"9783030575625"</f>
        <v>9783030575625</v>
      </c>
    </row>
    <row r="11661" spans="1:6" s="3" customFormat="1" ht="29.1" customHeight="1" x14ac:dyDescent="0.25">
      <c r="A11661" s="2" t="s">
        <v>23747</v>
      </c>
      <c r="B11661" s="2" t="s">
        <v>23748</v>
      </c>
      <c r="C11661" s="2" t="s">
        <v>5</v>
      </c>
      <c r="D11661" s="2" t="s">
        <v>479</v>
      </c>
      <c r="E11661" s="2" t="str">
        <f>"9789811580130"</f>
        <v>9789811580130</v>
      </c>
      <c r="F11661" s="2" t="str">
        <f>"9789811580147"</f>
        <v>9789811580147</v>
      </c>
    </row>
    <row r="11662" spans="1:6" s="3" customFormat="1" ht="29.1" customHeight="1" x14ac:dyDescent="0.25">
      <c r="A11662" s="2" t="s">
        <v>23749</v>
      </c>
      <c r="B11662" s="2" t="s">
        <v>20120</v>
      </c>
      <c r="C11662" s="2" t="s">
        <v>5</v>
      </c>
      <c r="D11662" s="2" t="s">
        <v>4019</v>
      </c>
      <c r="E11662" s="2" t="str">
        <f>"9783030570385"</f>
        <v>9783030570385</v>
      </c>
      <c r="F11662" s="2" t="str">
        <f>"9783030570392"</f>
        <v>9783030570392</v>
      </c>
    </row>
    <row r="11663" spans="1:6" s="3" customFormat="1" ht="29.1" customHeight="1" x14ac:dyDescent="0.25">
      <c r="A11663" s="2" t="s">
        <v>23750</v>
      </c>
      <c r="B11663" s="2" t="s">
        <v>23751</v>
      </c>
      <c r="C11663" s="2" t="s">
        <v>5</v>
      </c>
      <c r="D11663" s="2" t="s">
        <v>297</v>
      </c>
      <c r="E11663" s="2" t="str">
        <f>"9783030574253"</f>
        <v>9783030574253</v>
      </c>
      <c r="F11663" s="2" t="str">
        <f>"9783030574260"</f>
        <v>9783030574260</v>
      </c>
    </row>
    <row r="11664" spans="1:6" s="3" customFormat="1" ht="29.1" customHeight="1" x14ac:dyDescent="0.25">
      <c r="A11664" s="2" t="s">
        <v>23752</v>
      </c>
      <c r="B11664" s="2" t="s">
        <v>23753</v>
      </c>
      <c r="C11664" s="2" t="s">
        <v>5</v>
      </c>
      <c r="D11664" s="2" t="s">
        <v>636</v>
      </c>
      <c r="E11664" s="2" t="str">
        <f>"9783030565848"</f>
        <v>9783030565848</v>
      </c>
      <c r="F11664" s="2" t="str">
        <f>"9783030565855"</f>
        <v>9783030565855</v>
      </c>
    </row>
    <row r="11665" spans="1:6" s="3" customFormat="1" ht="29.1" customHeight="1" x14ac:dyDescent="0.25">
      <c r="A11665" s="2" t="s">
        <v>23754</v>
      </c>
      <c r="B11665" s="2" t="s">
        <v>23755</v>
      </c>
      <c r="C11665" s="2" t="s">
        <v>5</v>
      </c>
      <c r="D11665" s="2" t="s">
        <v>4739</v>
      </c>
      <c r="E11665" s="2" t="str">
        <f>"9783658312787"</f>
        <v>9783658312787</v>
      </c>
      <c r="F11665" s="2" t="str">
        <f>"9783658312794"</f>
        <v>9783658312794</v>
      </c>
    </row>
    <row r="11666" spans="1:6" s="3" customFormat="1" ht="29.1" customHeight="1" x14ac:dyDescent="0.25">
      <c r="A11666" s="2" t="s">
        <v>23756</v>
      </c>
      <c r="B11666" s="2" t="s">
        <v>23757</v>
      </c>
      <c r="C11666" s="2" t="s">
        <v>5</v>
      </c>
      <c r="D11666" s="2" t="s">
        <v>7341</v>
      </c>
      <c r="E11666" s="2" t="str">
        <f>"9789811576829"</f>
        <v>9789811576829</v>
      </c>
      <c r="F11666" s="2" t="str">
        <f>"9789811576836"</f>
        <v>9789811576836</v>
      </c>
    </row>
    <row r="11667" spans="1:6" s="3" customFormat="1" ht="29.1" customHeight="1" x14ac:dyDescent="0.25">
      <c r="A11667" s="2" t="s">
        <v>23758</v>
      </c>
      <c r="B11667" s="2" t="s">
        <v>23759</v>
      </c>
      <c r="C11667" s="2" t="s">
        <v>5</v>
      </c>
      <c r="D11667" s="2" t="s">
        <v>13603</v>
      </c>
      <c r="E11667" s="2" t="str">
        <f>"9783030567941"</f>
        <v>9783030567941</v>
      </c>
      <c r="F11667" s="2" t="str">
        <f>"9783030567958"</f>
        <v>9783030567958</v>
      </c>
    </row>
    <row r="11668" spans="1:6" s="3" customFormat="1" ht="29.1" customHeight="1" x14ac:dyDescent="0.25">
      <c r="A11668" s="2" t="s">
        <v>23760</v>
      </c>
      <c r="B11668" s="2" t="s">
        <v>23761</v>
      </c>
      <c r="C11668" s="2" t="s">
        <v>5</v>
      </c>
      <c r="D11668" s="2" t="s">
        <v>3633</v>
      </c>
      <c r="E11668" s="2" t="str">
        <f>"9783030564162"</f>
        <v>9783030564162</v>
      </c>
      <c r="F11668" s="2" t="str">
        <f>"9783030564179"</f>
        <v>9783030564179</v>
      </c>
    </row>
    <row r="11669" spans="1:6" s="3" customFormat="1" ht="29.1" customHeight="1" x14ac:dyDescent="0.25">
      <c r="A11669" s="2" t="s">
        <v>23762</v>
      </c>
      <c r="B11669" s="2" t="s">
        <v>23763</v>
      </c>
      <c r="C11669" s="2" t="s">
        <v>5</v>
      </c>
      <c r="D11669" s="2" t="s">
        <v>183</v>
      </c>
      <c r="E11669" s="2" t="str">
        <f>"9783658313074"</f>
        <v>9783658313074</v>
      </c>
      <c r="F11669" s="2" t="str">
        <f>"9783658313081"</f>
        <v>9783658313081</v>
      </c>
    </row>
    <row r="11670" spans="1:6" s="3" customFormat="1" ht="29.1" customHeight="1" x14ac:dyDescent="0.25">
      <c r="A11670" s="2" t="s">
        <v>23764</v>
      </c>
      <c r="B11670" s="2" t="s">
        <v>18600</v>
      </c>
      <c r="C11670" s="2" t="s">
        <v>5</v>
      </c>
      <c r="D11670" s="2" t="s">
        <v>218</v>
      </c>
      <c r="E11670" s="2" t="str">
        <f>"9783030555399"</f>
        <v>9783030555399</v>
      </c>
      <c r="F11670" s="2" t="str">
        <f>"9783030555405"</f>
        <v>9783030555405</v>
      </c>
    </row>
    <row r="11671" spans="1:6" s="3" customFormat="1" ht="29.1" customHeight="1" x14ac:dyDescent="0.25">
      <c r="A11671" s="2" t="s">
        <v>23765</v>
      </c>
      <c r="B11671" s="2" t="s">
        <v>23766</v>
      </c>
      <c r="C11671" s="2" t="s">
        <v>5</v>
      </c>
      <c r="D11671" s="2" t="s">
        <v>2045</v>
      </c>
      <c r="E11671" s="2" t="str">
        <f>"9789811574962"</f>
        <v>9789811574962</v>
      </c>
      <c r="F11671" s="2" t="str">
        <f>"9789811574979"</f>
        <v>9789811574979</v>
      </c>
    </row>
    <row r="11672" spans="1:6" s="3" customFormat="1" ht="29.1" customHeight="1" x14ac:dyDescent="0.25">
      <c r="A11672" s="2" t="s">
        <v>23767</v>
      </c>
      <c r="B11672" s="2" t="s">
        <v>23768</v>
      </c>
      <c r="C11672" s="2" t="s">
        <v>5</v>
      </c>
      <c r="D11672" s="2" t="s">
        <v>12</v>
      </c>
      <c r="E11672" s="2" t="str">
        <f>"9783030553951"</f>
        <v>9783030553951</v>
      </c>
      <c r="F11672" s="2" t="str">
        <f>"9783030553968"</f>
        <v>9783030553968</v>
      </c>
    </row>
    <row r="11673" spans="1:6" s="3" customFormat="1" ht="29.1" customHeight="1" x14ac:dyDescent="0.25">
      <c r="A11673" s="2" t="s">
        <v>23769</v>
      </c>
      <c r="B11673" s="2" t="s">
        <v>23770</v>
      </c>
      <c r="C11673" s="2" t="s">
        <v>5</v>
      </c>
      <c r="D11673" s="2" t="s">
        <v>5758</v>
      </c>
      <c r="E11673" s="2" t="str">
        <f>"9783030548940"</f>
        <v>9783030548940</v>
      </c>
      <c r="F11673" s="2" t="str">
        <f>"9783030548957"</f>
        <v>9783030548957</v>
      </c>
    </row>
    <row r="11674" spans="1:6" s="3" customFormat="1" ht="29.1" customHeight="1" x14ac:dyDescent="0.25">
      <c r="A11674" s="2" t="s">
        <v>23771</v>
      </c>
      <c r="B11674" s="2" t="s">
        <v>23772</v>
      </c>
      <c r="C11674" s="2" t="s">
        <v>5</v>
      </c>
      <c r="D11674" s="2" t="s">
        <v>339</v>
      </c>
      <c r="E11674" s="2" t="str">
        <f>"9783662679784"</f>
        <v>9783662679784</v>
      </c>
      <c r="F11674" s="2" t="str">
        <f>"9783662679791"</f>
        <v>9783662679791</v>
      </c>
    </row>
    <row r="11675" spans="1:6" s="3" customFormat="1" ht="29.1" customHeight="1" x14ac:dyDescent="0.25">
      <c r="A11675" s="2" t="s">
        <v>23773</v>
      </c>
      <c r="B11675" s="2" t="s">
        <v>23774</v>
      </c>
      <c r="C11675" s="2" t="s">
        <v>5</v>
      </c>
      <c r="D11675" s="2" t="s">
        <v>20507</v>
      </c>
      <c r="E11675" s="2" t="str">
        <f>"9783662620434"</f>
        <v>9783662620434</v>
      </c>
      <c r="F11675" s="2" t="str">
        <f>"9783662620441"</f>
        <v>9783662620441</v>
      </c>
    </row>
    <row r="11676" spans="1:6" s="3" customFormat="1" ht="29.1" customHeight="1" x14ac:dyDescent="0.25">
      <c r="A11676" s="2" t="s">
        <v>23775</v>
      </c>
      <c r="B11676" s="2" t="s">
        <v>23776</v>
      </c>
      <c r="C11676" s="2" t="s">
        <v>5</v>
      </c>
      <c r="D11676" s="2" t="s">
        <v>12</v>
      </c>
      <c r="E11676" s="2" t="str">
        <f>"9783031394997"</f>
        <v>9783031394997</v>
      </c>
      <c r="F11676" s="2" t="str">
        <f>"9783031395000"</f>
        <v>9783031395000</v>
      </c>
    </row>
    <row r="11677" spans="1:6" s="3" customFormat="1" ht="29.1" customHeight="1" x14ac:dyDescent="0.25">
      <c r="A11677" s="2" t="s">
        <v>23777</v>
      </c>
      <c r="B11677" s="2" t="s">
        <v>23778</v>
      </c>
      <c r="C11677" s="2" t="s">
        <v>5</v>
      </c>
      <c r="D11677" s="2" t="s">
        <v>3198</v>
      </c>
      <c r="E11677" s="2" t="str">
        <f>"9783662620120"</f>
        <v>9783662620120</v>
      </c>
      <c r="F11677" s="2" t="str">
        <f>"9783662620137"</f>
        <v>9783662620137</v>
      </c>
    </row>
    <row r="11678" spans="1:6" s="3" customFormat="1" ht="29.1" customHeight="1" x14ac:dyDescent="0.25">
      <c r="A11678" s="2" t="s">
        <v>23779</v>
      </c>
      <c r="B11678" s="2" t="s">
        <v>23780</v>
      </c>
      <c r="C11678" s="2" t="s">
        <v>5</v>
      </c>
      <c r="D11678" s="2" t="s">
        <v>297</v>
      </c>
      <c r="E11678" s="2" t="str">
        <f>"9783658308810"</f>
        <v>9783658308810</v>
      </c>
      <c r="F11678" s="2" t="str">
        <f>"9783658308827"</f>
        <v>9783658308827</v>
      </c>
    </row>
    <row r="11679" spans="1:6" s="3" customFormat="1" ht="29.1" customHeight="1" x14ac:dyDescent="0.25">
      <c r="A11679" s="2" t="s">
        <v>23781</v>
      </c>
      <c r="B11679" s="2" t="s">
        <v>23782</v>
      </c>
      <c r="C11679" s="2" t="s">
        <v>5</v>
      </c>
      <c r="D11679" s="2" t="s">
        <v>1988</v>
      </c>
      <c r="E11679" s="2" t="str">
        <f>"9783030525873"</f>
        <v>9783030525873</v>
      </c>
      <c r="F11679" s="2" t="str">
        <f>"9783030525880"</f>
        <v>9783030525880</v>
      </c>
    </row>
    <row r="11680" spans="1:6" s="3" customFormat="1" ht="29.1" customHeight="1" x14ac:dyDescent="0.25">
      <c r="A11680" s="2" t="s">
        <v>23783</v>
      </c>
      <c r="B11680" s="2" t="s">
        <v>23784</v>
      </c>
      <c r="C11680" s="2" t="s">
        <v>5</v>
      </c>
      <c r="D11680" s="2" t="s">
        <v>3033</v>
      </c>
      <c r="E11680" s="2" t="str">
        <f>"9783662632031"</f>
        <v>9783662632031</v>
      </c>
      <c r="F11680" s="2" t="str">
        <f>"9783662632048"</f>
        <v>9783662632048</v>
      </c>
    </row>
    <row r="11681" spans="1:6" s="3" customFormat="1" ht="29.1" customHeight="1" x14ac:dyDescent="0.25">
      <c r="A11681" s="2" t="s">
        <v>23785</v>
      </c>
      <c r="B11681" s="2" t="s">
        <v>23786</v>
      </c>
      <c r="C11681" s="2" t="s">
        <v>5</v>
      </c>
      <c r="D11681" s="2" t="s">
        <v>215</v>
      </c>
      <c r="E11681" s="2" t="str">
        <f>"9783662662885"</f>
        <v>9783662662885</v>
      </c>
      <c r="F11681" s="2" t="str">
        <f>"9783662662892"</f>
        <v>9783662662892</v>
      </c>
    </row>
    <row r="11682" spans="1:6" s="3" customFormat="1" ht="29.1" customHeight="1" x14ac:dyDescent="0.25">
      <c r="A11682" s="2" t="s">
        <v>23787</v>
      </c>
      <c r="B11682" s="2" t="s">
        <v>23788</v>
      </c>
      <c r="C11682" s="2" t="s">
        <v>5</v>
      </c>
      <c r="D11682" s="2" t="s">
        <v>2517</v>
      </c>
      <c r="E11682" s="2" t="str">
        <f>"9783658353827"</f>
        <v>9783658353827</v>
      </c>
      <c r="F11682" s="2" t="str">
        <f>"9783658353834"</f>
        <v>9783658353834</v>
      </c>
    </row>
    <row r="11683" spans="1:6" s="3" customFormat="1" ht="29.1" customHeight="1" x14ac:dyDescent="0.25">
      <c r="A11683" s="2" t="s">
        <v>23789</v>
      </c>
      <c r="B11683" s="2" t="s">
        <v>23790</v>
      </c>
      <c r="C11683" s="2" t="s">
        <v>5</v>
      </c>
      <c r="D11683" s="2" t="s">
        <v>294</v>
      </c>
      <c r="E11683" s="2" t="str">
        <f>"9783030517007"</f>
        <v>9783030517007</v>
      </c>
      <c r="F11683" s="2" t="str">
        <f>"9783030517014"</f>
        <v>9783030517014</v>
      </c>
    </row>
    <row r="11684" spans="1:6" s="3" customFormat="1" ht="29.1" customHeight="1" x14ac:dyDescent="0.25">
      <c r="A11684" s="2" t="s">
        <v>23791</v>
      </c>
      <c r="B11684" s="2" t="s">
        <v>23792</v>
      </c>
      <c r="C11684" s="2" t="s">
        <v>5</v>
      </c>
      <c r="D11684" s="2" t="s">
        <v>606</v>
      </c>
      <c r="E11684" s="2" t="str">
        <f>"9783030513153"</f>
        <v>9783030513153</v>
      </c>
      <c r="F11684" s="2" t="str">
        <f>"9783030513160"</f>
        <v>9783030513160</v>
      </c>
    </row>
    <row r="11685" spans="1:6" s="3" customFormat="1" ht="29.1" customHeight="1" x14ac:dyDescent="0.25">
      <c r="A11685" s="2" t="s">
        <v>23793</v>
      </c>
      <c r="B11685" s="2" t="s">
        <v>23794</v>
      </c>
      <c r="C11685" s="2" t="s">
        <v>5</v>
      </c>
      <c r="D11685" s="2" t="s">
        <v>712</v>
      </c>
      <c r="E11685" s="2" t="str">
        <f>"9783030511883"</f>
        <v>9783030511883</v>
      </c>
      <c r="F11685" s="2" t="str">
        <f>"9783030511890"</f>
        <v>9783030511890</v>
      </c>
    </row>
    <row r="11686" spans="1:6" s="3" customFormat="1" ht="29.1" customHeight="1" x14ac:dyDescent="0.25">
      <c r="A11686" s="2" t="s">
        <v>23795</v>
      </c>
      <c r="B11686" s="2" t="s">
        <v>23796</v>
      </c>
      <c r="C11686" s="2" t="s">
        <v>5</v>
      </c>
      <c r="D11686" s="2" t="s">
        <v>192</v>
      </c>
      <c r="E11686" s="2" t="str">
        <f>"9783030510183"</f>
        <v>9783030510183</v>
      </c>
      <c r="F11686" s="2" t="str">
        <f>"9783030510190"</f>
        <v>9783030510190</v>
      </c>
    </row>
    <row r="11687" spans="1:6" s="3" customFormat="1" ht="29.1" customHeight="1" x14ac:dyDescent="0.25">
      <c r="A11687" s="2" t="s">
        <v>23797</v>
      </c>
      <c r="B11687" s="2" t="s">
        <v>23798</v>
      </c>
      <c r="C11687" s="2" t="s">
        <v>5</v>
      </c>
      <c r="D11687" s="2" t="s">
        <v>479</v>
      </c>
      <c r="E11687" s="2" t="str">
        <f>"9783030509903"</f>
        <v>9783030509903</v>
      </c>
      <c r="F11687" s="2" t="str">
        <f>"9783030509910"</f>
        <v>9783030509910</v>
      </c>
    </row>
    <row r="11688" spans="1:6" s="3" customFormat="1" ht="29.1" customHeight="1" x14ac:dyDescent="0.25">
      <c r="A11688" s="2" t="s">
        <v>23799</v>
      </c>
      <c r="B11688" s="2" t="s">
        <v>23800</v>
      </c>
      <c r="C11688" s="2" t="s">
        <v>5</v>
      </c>
      <c r="D11688" s="2" t="s">
        <v>2985</v>
      </c>
      <c r="E11688" s="2" t="str">
        <f>"9789811562624"</f>
        <v>9789811562624</v>
      </c>
      <c r="F11688" s="2" t="str">
        <f>"9789811562631"</f>
        <v>9789811562631</v>
      </c>
    </row>
    <row r="11689" spans="1:6" s="3" customFormat="1" ht="29.1" customHeight="1" x14ac:dyDescent="0.25">
      <c r="A11689" s="2" t="s">
        <v>23801</v>
      </c>
      <c r="B11689" s="2" t="s">
        <v>23802</v>
      </c>
      <c r="C11689" s="2" t="s">
        <v>5</v>
      </c>
      <c r="D11689" s="2" t="s">
        <v>3062</v>
      </c>
      <c r="E11689" s="2" t="str">
        <f>"9783030499198"</f>
        <v>9783030499198</v>
      </c>
      <c r="F11689" s="2" t="str">
        <f>"9783030499204"</f>
        <v>9783030499204</v>
      </c>
    </row>
    <row r="11690" spans="1:6" s="3" customFormat="1" ht="29.1" customHeight="1" x14ac:dyDescent="0.25">
      <c r="A11690" s="2" t="s">
        <v>23803</v>
      </c>
      <c r="B11690" s="2" t="s">
        <v>23804</v>
      </c>
      <c r="C11690" s="2" t="s">
        <v>5</v>
      </c>
      <c r="D11690" s="2" t="s">
        <v>378</v>
      </c>
      <c r="E11690" s="2" t="str">
        <f>"9783476057020"</f>
        <v>9783476057020</v>
      </c>
      <c r="F11690" s="2" t="str">
        <f>"9783476057037"</f>
        <v>9783476057037</v>
      </c>
    </row>
    <row r="11691" spans="1:6" s="3" customFormat="1" ht="29.1" customHeight="1" x14ac:dyDescent="0.25">
      <c r="A11691" s="2" t="s">
        <v>23805</v>
      </c>
      <c r="B11691" s="2" t="s">
        <v>22753</v>
      </c>
      <c r="C11691" s="2" t="s">
        <v>5</v>
      </c>
      <c r="D11691" s="2" t="s">
        <v>712</v>
      </c>
      <c r="E11691" s="2" t="str">
        <f>"9783030496784"</f>
        <v>9783030496784</v>
      </c>
      <c r="F11691" s="2" t="str">
        <f>"9783030496791"</f>
        <v>9783030496791</v>
      </c>
    </row>
    <row r="11692" spans="1:6" s="3" customFormat="1" ht="29.1" customHeight="1" x14ac:dyDescent="0.25">
      <c r="A11692" s="2" t="s">
        <v>23806</v>
      </c>
      <c r="B11692" s="2" t="s">
        <v>22753</v>
      </c>
      <c r="C11692" s="2" t="s">
        <v>5</v>
      </c>
      <c r="D11692" s="2" t="s">
        <v>712</v>
      </c>
      <c r="E11692" s="2" t="str">
        <f>"9783030496821"</f>
        <v>9783030496821</v>
      </c>
      <c r="F11692" s="2" t="str">
        <f>"9783030496838"</f>
        <v>9783030496838</v>
      </c>
    </row>
    <row r="11693" spans="1:6" s="3" customFormat="1" ht="29.1" customHeight="1" x14ac:dyDescent="0.25">
      <c r="A11693" s="2" t="s">
        <v>23807</v>
      </c>
      <c r="B11693" s="2" t="s">
        <v>23808</v>
      </c>
      <c r="C11693" s="2" t="s">
        <v>5</v>
      </c>
      <c r="D11693" s="2" t="s">
        <v>836</v>
      </c>
      <c r="E11693" s="2" t="str">
        <f>"9789811559624"</f>
        <v>9789811559624</v>
      </c>
      <c r="F11693" s="2" t="str">
        <f>"9789811559631"</f>
        <v>9789811559631</v>
      </c>
    </row>
    <row r="11694" spans="1:6" s="3" customFormat="1" ht="29.1" customHeight="1" x14ac:dyDescent="0.25">
      <c r="A11694" s="2" t="s">
        <v>23809</v>
      </c>
      <c r="B11694" s="2" t="s">
        <v>23810</v>
      </c>
      <c r="C11694" s="2" t="s">
        <v>5</v>
      </c>
      <c r="D11694" s="2" t="s">
        <v>477</v>
      </c>
      <c r="E11694" s="2" t="str">
        <f>"9783662617540"</f>
        <v>9783662617540</v>
      </c>
      <c r="F11694" s="2" t="str">
        <f>"9783662617557"</f>
        <v>9783662617557</v>
      </c>
    </row>
    <row r="11695" spans="1:6" s="3" customFormat="1" ht="29.1" customHeight="1" x14ac:dyDescent="0.25">
      <c r="A11695" s="2" t="s">
        <v>23811</v>
      </c>
      <c r="B11695" s="2" t="s">
        <v>23812</v>
      </c>
      <c r="C11695" s="2" t="s">
        <v>5</v>
      </c>
      <c r="D11695" s="2" t="s">
        <v>297</v>
      </c>
      <c r="E11695" s="2" t="str">
        <f>"9783658303600"</f>
        <v>9783658303600</v>
      </c>
      <c r="F11695" s="2" t="str">
        <f>"9783658303617"</f>
        <v>9783658303617</v>
      </c>
    </row>
    <row r="11696" spans="1:6" s="3" customFormat="1" ht="29.1" customHeight="1" x14ac:dyDescent="0.25">
      <c r="A11696" s="2" t="s">
        <v>23813</v>
      </c>
      <c r="B11696" s="2" t="s">
        <v>23814</v>
      </c>
      <c r="C11696" s="2" t="s">
        <v>5</v>
      </c>
      <c r="D11696" s="2" t="s">
        <v>1988</v>
      </c>
      <c r="E11696" s="2" t="str">
        <f>"9783030484415"</f>
        <v>9783030484415</v>
      </c>
      <c r="F11696" s="2" t="str">
        <f>"9783030484422"</f>
        <v>9783030484422</v>
      </c>
    </row>
    <row r="11697" spans="1:6" s="3" customFormat="1" ht="29.1" customHeight="1" x14ac:dyDescent="0.25">
      <c r="A11697" s="2" t="s">
        <v>23815</v>
      </c>
      <c r="B11697" s="2" t="s">
        <v>23816</v>
      </c>
      <c r="C11697" s="2" t="s">
        <v>5</v>
      </c>
      <c r="D11697" s="2" t="s">
        <v>2985</v>
      </c>
      <c r="E11697" s="2" t="str">
        <f>"9789811555022"</f>
        <v>9789811555022</v>
      </c>
      <c r="F11697" s="2" t="str">
        <f>"9789811555039"</f>
        <v>9789811555039</v>
      </c>
    </row>
    <row r="11698" spans="1:6" s="3" customFormat="1" ht="29.1" customHeight="1" x14ac:dyDescent="0.25">
      <c r="A11698" s="2" t="s">
        <v>23817</v>
      </c>
      <c r="B11698" s="2" t="s">
        <v>23818</v>
      </c>
      <c r="C11698" s="2" t="s">
        <v>5</v>
      </c>
      <c r="D11698" s="2" t="s">
        <v>468</v>
      </c>
      <c r="E11698" s="2" t="str">
        <f>"9783030478513"</f>
        <v>9783030478513</v>
      </c>
      <c r="F11698" s="2" t="str">
        <f>"9783030478520"</f>
        <v>9783030478520</v>
      </c>
    </row>
    <row r="11699" spans="1:6" s="3" customFormat="1" ht="29.1" customHeight="1" x14ac:dyDescent="0.25">
      <c r="A11699" s="2" t="s">
        <v>23819</v>
      </c>
      <c r="B11699" s="2" t="s">
        <v>23820</v>
      </c>
      <c r="C11699" s="2" t="s">
        <v>5</v>
      </c>
      <c r="D11699" s="2" t="s">
        <v>553</v>
      </c>
      <c r="E11699" s="2" t="str">
        <f>"9789811553615"</f>
        <v>9789811553615</v>
      </c>
      <c r="F11699" s="2" t="str">
        <f>"9789811553622"</f>
        <v>9789811553622</v>
      </c>
    </row>
    <row r="11700" spans="1:6" s="3" customFormat="1" ht="29.1" customHeight="1" x14ac:dyDescent="0.25">
      <c r="A11700" s="2" t="s">
        <v>23821</v>
      </c>
      <c r="B11700" s="2" t="s">
        <v>23822</v>
      </c>
      <c r="C11700" s="2" t="s">
        <v>5</v>
      </c>
      <c r="D11700" s="2" t="s">
        <v>6128</v>
      </c>
      <c r="E11700" s="2" t="str">
        <f>"9783658302269"</f>
        <v>9783658302269</v>
      </c>
      <c r="F11700" s="2" t="str">
        <f>"9783658302276"</f>
        <v>9783658302276</v>
      </c>
    </row>
    <row r="11701" spans="1:6" s="3" customFormat="1" ht="29.1" customHeight="1" x14ac:dyDescent="0.25">
      <c r="A11701" s="2" t="s">
        <v>23823</v>
      </c>
      <c r="B11701" s="2" t="s">
        <v>23824</v>
      </c>
      <c r="C11701" s="2" t="s">
        <v>5</v>
      </c>
      <c r="D11701" s="2" t="s">
        <v>3319</v>
      </c>
      <c r="E11701" s="2" t="str">
        <f>"9783030476212"</f>
        <v>9783030476212</v>
      </c>
      <c r="F11701" s="2" t="str">
        <f>"9783030476229"</f>
        <v>9783030476229</v>
      </c>
    </row>
    <row r="11702" spans="1:6" s="3" customFormat="1" ht="29.1" customHeight="1" x14ac:dyDescent="0.25">
      <c r="A11702" s="2" t="s">
        <v>23825</v>
      </c>
      <c r="B11702" s="2" t="s">
        <v>23826</v>
      </c>
      <c r="C11702" s="2" t="s">
        <v>5</v>
      </c>
      <c r="D11702" s="2" t="s">
        <v>1895</v>
      </c>
      <c r="E11702" s="2" t="str">
        <f>"9789811647161"</f>
        <v>9789811647161</v>
      </c>
      <c r="F11702" s="2" t="str">
        <f>"9789811647178"</f>
        <v>9789811647178</v>
      </c>
    </row>
    <row r="11703" spans="1:6" s="3" customFormat="1" ht="29.1" customHeight="1" x14ac:dyDescent="0.25">
      <c r="A11703" s="2" t="s">
        <v>23827</v>
      </c>
      <c r="B11703" s="2" t="s">
        <v>23828</v>
      </c>
      <c r="C11703" s="2" t="s">
        <v>5</v>
      </c>
      <c r="D11703" s="2" t="s">
        <v>4739</v>
      </c>
      <c r="E11703" s="2" t="str">
        <f>"9783030475444"</f>
        <v>9783030475444</v>
      </c>
      <c r="F11703" s="2" t="str">
        <f>"9783030475451"</f>
        <v>9783030475451</v>
      </c>
    </row>
    <row r="11704" spans="1:6" s="3" customFormat="1" ht="29.1" customHeight="1" x14ac:dyDescent="0.25">
      <c r="A11704" s="2" t="s">
        <v>23829</v>
      </c>
      <c r="B11704" s="2" t="s">
        <v>23830</v>
      </c>
      <c r="C11704" s="2" t="s">
        <v>5</v>
      </c>
      <c r="D11704" s="2" t="s">
        <v>331</v>
      </c>
      <c r="E11704" s="2" t="str">
        <f>"9783658302016"</f>
        <v>9783658302016</v>
      </c>
      <c r="F11704" s="2" t="str">
        <f>"9783658302023"</f>
        <v>9783658302023</v>
      </c>
    </row>
    <row r="11705" spans="1:6" s="3" customFormat="1" ht="29.1" customHeight="1" x14ac:dyDescent="0.25">
      <c r="A11705" s="2" t="s">
        <v>23831</v>
      </c>
      <c r="B11705" s="2" t="s">
        <v>23832</v>
      </c>
      <c r="C11705" s="2" t="s">
        <v>5</v>
      </c>
      <c r="D11705" s="2" t="s">
        <v>636</v>
      </c>
      <c r="E11705" s="2" t="str">
        <f>"9783030474317"</f>
        <v>9783030474317</v>
      </c>
      <c r="F11705" s="2" t="str">
        <f>"9783030474324"</f>
        <v>9783030474324</v>
      </c>
    </row>
    <row r="11706" spans="1:6" s="3" customFormat="1" ht="29.1" customHeight="1" x14ac:dyDescent="0.25">
      <c r="A11706" s="2" t="s">
        <v>23833</v>
      </c>
      <c r="B11706" s="2" t="s">
        <v>23834</v>
      </c>
      <c r="C11706" s="2" t="s">
        <v>5</v>
      </c>
      <c r="D11706" s="2" t="s">
        <v>347</v>
      </c>
      <c r="E11706" s="2" t="str">
        <f>"9783030470692"</f>
        <v>9783030470692</v>
      </c>
      <c r="F11706" s="2" t="str">
        <f>"9783030470708"</f>
        <v>9783030470708</v>
      </c>
    </row>
    <row r="11707" spans="1:6" s="3" customFormat="1" ht="29.1" customHeight="1" x14ac:dyDescent="0.25">
      <c r="A11707" s="2" t="s">
        <v>23835</v>
      </c>
      <c r="B11707" s="2" t="s">
        <v>23836</v>
      </c>
      <c r="C11707" s="2" t="s">
        <v>5</v>
      </c>
      <c r="D11707" s="2" t="s">
        <v>2178</v>
      </c>
      <c r="E11707" s="2" t="str">
        <f>"9783030469504"</f>
        <v>9783030469504</v>
      </c>
      <c r="F11707" s="2" t="str">
        <f>"9783030469511"</f>
        <v>9783030469511</v>
      </c>
    </row>
    <row r="11708" spans="1:6" s="3" customFormat="1" ht="29.1" customHeight="1" x14ac:dyDescent="0.25">
      <c r="A11708" s="2" t="s">
        <v>23837</v>
      </c>
      <c r="B11708" s="2" t="s">
        <v>23838</v>
      </c>
      <c r="C11708" s="2" t="s">
        <v>5</v>
      </c>
      <c r="D11708" s="2" t="s">
        <v>7734</v>
      </c>
      <c r="E11708" s="2" t="str">
        <f>"9783030466350"</f>
        <v>9783030466350</v>
      </c>
      <c r="F11708" s="2" t="str">
        <f>"9783030466367"</f>
        <v>9783030466367</v>
      </c>
    </row>
    <row r="11709" spans="1:6" s="3" customFormat="1" ht="29.1" customHeight="1" x14ac:dyDescent="0.25">
      <c r="A11709" s="2" t="s">
        <v>23839</v>
      </c>
      <c r="B11709" s="2" t="s">
        <v>23840</v>
      </c>
      <c r="C11709" s="2" t="s">
        <v>5</v>
      </c>
      <c r="D11709" s="2" t="s">
        <v>5408</v>
      </c>
      <c r="E11709" s="2" t="str">
        <f>"9783031291142"</f>
        <v>9783031291142</v>
      </c>
      <c r="F11709" s="2" t="str">
        <f>"9783031291159"</f>
        <v>9783031291159</v>
      </c>
    </row>
    <row r="11710" spans="1:6" s="3" customFormat="1" ht="29.1" customHeight="1" x14ac:dyDescent="0.25">
      <c r="A11710" s="2" t="s">
        <v>23841</v>
      </c>
      <c r="B11710" s="2" t="s">
        <v>23842</v>
      </c>
      <c r="C11710" s="2" t="s">
        <v>5</v>
      </c>
      <c r="D11710" s="2" t="s">
        <v>3198</v>
      </c>
      <c r="E11710" s="2" t="str">
        <f>"9783662615591"</f>
        <v>9783662615591</v>
      </c>
      <c r="F11710" s="2" t="str">
        <f>"9783662615607"</f>
        <v>9783662615607</v>
      </c>
    </row>
    <row r="11711" spans="1:6" s="3" customFormat="1" ht="29.1" customHeight="1" x14ac:dyDescent="0.25">
      <c r="A11711" s="2" t="s">
        <v>23843</v>
      </c>
      <c r="B11711" s="2" t="s">
        <v>23844</v>
      </c>
      <c r="C11711" s="2" t="s">
        <v>5</v>
      </c>
      <c r="D11711" s="2" t="s">
        <v>5115</v>
      </c>
      <c r="E11711" s="2" t="str">
        <f>"9781484259511"</f>
        <v>9781484259511</v>
      </c>
      <c r="F11711" s="2" t="str">
        <f>"9781484259528"</f>
        <v>9781484259528</v>
      </c>
    </row>
    <row r="11712" spans="1:6" s="3" customFormat="1" ht="29.1" customHeight="1" x14ac:dyDescent="0.25">
      <c r="A11712" s="2" t="s">
        <v>23845</v>
      </c>
      <c r="B11712" s="2" t="s">
        <v>23846</v>
      </c>
      <c r="C11712" s="2" t="s">
        <v>5</v>
      </c>
      <c r="D11712" s="2" t="s">
        <v>984</v>
      </c>
      <c r="E11712" s="2" t="str">
        <f>"9783030463083"</f>
        <v>9783030463083</v>
      </c>
      <c r="F11712" s="2" t="str">
        <f>"9783030463090"</f>
        <v>9783030463090</v>
      </c>
    </row>
    <row r="11713" spans="1:6" s="3" customFormat="1" ht="29.1" customHeight="1" x14ac:dyDescent="0.25">
      <c r="A11713" s="2" t="s">
        <v>23847</v>
      </c>
      <c r="B11713" s="2" t="s">
        <v>23848</v>
      </c>
      <c r="C11713" s="2" t="s">
        <v>5</v>
      </c>
      <c r="D11713" s="2" t="s">
        <v>15</v>
      </c>
      <c r="E11713" s="2" t="str">
        <f>"9783031106347"</f>
        <v>9783031106347</v>
      </c>
      <c r="F11713" s="2" t="str">
        <f>"9783031106354"</f>
        <v>9783031106354</v>
      </c>
    </row>
    <row r="11714" spans="1:6" s="3" customFormat="1" ht="29.1" customHeight="1" x14ac:dyDescent="0.25">
      <c r="A11714" s="2" t="s">
        <v>23849</v>
      </c>
      <c r="B11714" s="2" t="s">
        <v>23850</v>
      </c>
      <c r="C11714" s="2" t="s">
        <v>5</v>
      </c>
      <c r="D11714" s="2" t="s">
        <v>98</v>
      </c>
      <c r="E11714" s="2" t="str">
        <f>"9783030461027"</f>
        <v>9783030461027</v>
      </c>
      <c r="F11714" s="2" t="str">
        <f>"9783030461034"</f>
        <v>9783030461034</v>
      </c>
    </row>
    <row r="11715" spans="1:6" s="3" customFormat="1" ht="29.1" customHeight="1" x14ac:dyDescent="0.25">
      <c r="A11715" s="2" t="s">
        <v>23851</v>
      </c>
      <c r="B11715" s="2" t="s">
        <v>23852</v>
      </c>
      <c r="C11715" s="2" t="s">
        <v>5</v>
      </c>
      <c r="D11715" s="2" t="s">
        <v>37</v>
      </c>
      <c r="E11715" s="2" t="str">
        <f>"9783030455583"</f>
        <v>9783030455583</v>
      </c>
      <c r="F11715" s="2" t="str">
        <f>"9783030455590"</f>
        <v>9783030455590</v>
      </c>
    </row>
    <row r="11716" spans="1:6" s="3" customFormat="1" ht="29.1" customHeight="1" x14ac:dyDescent="0.25">
      <c r="A11716" s="2" t="s">
        <v>23853</v>
      </c>
      <c r="B11716" s="2" t="s">
        <v>23854</v>
      </c>
      <c r="C11716" s="2" t="s">
        <v>5</v>
      </c>
      <c r="D11716" s="2" t="s">
        <v>2008</v>
      </c>
      <c r="E11716" s="2" t="str">
        <f>"9783030456221"</f>
        <v>9783030456221</v>
      </c>
      <c r="F11716" s="2" t="str">
        <f>"9783030456238"</f>
        <v>9783030456238</v>
      </c>
    </row>
    <row r="11717" spans="1:6" s="3" customFormat="1" ht="29.1" customHeight="1" x14ac:dyDescent="0.25">
      <c r="A11717" s="2" t="s">
        <v>23855</v>
      </c>
      <c r="B11717" s="2" t="s">
        <v>19752</v>
      </c>
      <c r="C11717" s="2" t="s">
        <v>5</v>
      </c>
      <c r="D11717" s="2" t="s">
        <v>1840</v>
      </c>
      <c r="E11717" s="2" t="str">
        <f>"9783030459260"</f>
        <v>9783030459260</v>
      </c>
      <c r="F11717" s="2" t="str">
        <f>"9783030459277"</f>
        <v>9783030459277</v>
      </c>
    </row>
    <row r="11718" spans="1:6" s="3" customFormat="1" ht="29.1" customHeight="1" x14ac:dyDescent="0.25">
      <c r="A11718" s="2" t="s">
        <v>23856</v>
      </c>
      <c r="B11718" s="2" t="s">
        <v>23857</v>
      </c>
      <c r="C11718" s="2" t="s">
        <v>5</v>
      </c>
      <c r="D11718" s="2" t="s">
        <v>183</v>
      </c>
      <c r="E11718" s="2" t="str">
        <f>"9783658427467"</f>
        <v>9783658427467</v>
      </c>
      <c r="F11718" s="2" t="str">
        <f>"9783658427474"</f>
        <v>9783658427474</v>
      </c>
    </row>
    <row r="11719" spans="1:6" s="3" customFormat="1" ht="29.1" customHeight="1" x14ac:dyDescent="0.25">
      <c r="A11719" s="2" t="s">
        <v>23858</v>
      </c>
      <c r="B11719" s="2" t="s">
        <v>23859</v>
      </c>
      <c r="C11719" s="2" t="s">
        <v>5</v>
      </c>
      <c r="D11719" s="2" t="s">
        <v>547</v>
      </c>
      <c r="E11719" s="2" t="str">
        <f>"9783030453664"</f>
        <v>9783030453664</v>
      </c>
      <c r="F11719" s="2" t="str">
        <f>"9783030453671"</f>
        <v>9783030453671</v>
      </c>
    </row>
    <row r="11720" spans="1:6" s="3" customFormat="1" ht="29.1" customHeight="1" x14ac:dyDescent="0.25">
      <c r="A11720" s="2" t="s">
        <v>23860</v>
      </c>
      <c r="B11720" s="2" t="s">
        <v>20453</v>
      </c>
      <c r="C11720" s="2" t="s">
        <v>5</v>
      </c>
      <c r="D11720" s="2" t="s">
        <v>547</v>
      </c>
      <c r="E11720" s="2" t="str">
        <f>"9783662614532"</f>
        <v>9783662614532</v>
      </c>
      <c r="F11720" s="2" t="str">
        <f>"9783662614549"</f>
        <v>9783662614549</v>
      </c>
    </row>
    <row r="11721" spans="1:6" s="3" customFormat="1" ht="29.1" customHeight="1" x14ac:dyDescent="0.25">
      <c r="A11721" s="2" t="s">
        <v>23861</v>
      </c>
      <c r="B11721" s="2" t="s">
        <v>23862</v>
      </c>
      <c r="C11721" s="2" t="s">
        <v>5</v>
      </c>
      <c r="D11721" s="2" t="s">
        <v>6</v>
      </c>
      <c r="E11721" s="2" t="str">
        <f>"9789811543265"</f>
        <v>9789811543265</v>
      </c>
      <c r="F11721" s="2" t="str">
        <f>"9789811543272"</f>
        <v>9789811543272</v>
      </c>
    </row>
    <row r="11722" spans="1:6" s="3" customFormat="1" ht="29.1" customHeight="1" x14ac:dyDescent="0.25">
      <c r="A11722" s="2" t="s">
        <v>23863</v>
      </c>
      <c r="B11722" s="2" t="s">
        <v>23864</v>
      </c>
      <c r="C11722" s="2" t="s">
        <v>5</v>
      </c>
      <c r="D11722" s="2" t="s">
        <v>547</v>
      </c>
      <c r="E11722" s="2" t="str">
        <f>"9783030452155"</f>
        <v>9783030452155</v>
      </c>
      <c r="F11722" s="2" t="str">
        <f>"9783030452162"</f>
        <v>9783030452162</v>
      </c>
    </row>
    <row r="11723" spans="1:6" s="3" customFormat="1" ht="29.1" customHeight="1" x14ac:dyDescent="0.25">
      <c r="A11723" s="2" t="s">
        <v>23865</v>
      </c>
      <c r="B11723" s="2" t="s">
        <v>23866</v>
      </c>
      <c r="C11723" s="2" t="s">
        <v>5</v>
      </c>
      <c r="D11723" s="2" t="s">
        <v>270</v>
      </c>
      <c r="E11723" s="2" t="str">
        <f>"9783658343033"</f>
        <v>9783658343033</v>
      </c>
      <c r="F11723" s="2" t="str">
        <f>"9783658343040"</f>
        <v>9783658343040</v>
      </c>
    </row>
    <row r="11724" spans="1:6" s="3" customFormat="1" ht="29.1" customHeight="1" x14ac:dyDescent="0.25">
      <c r="A11724" s="2" t="s">
        <v>23867</v>
      </c>
      <c r="B11724" s="2" t="s">
        <v>19750</v>
      </c>
      <c r="C11724" s="2" t="s">
        <v>5</v>
      </c>
      <c r="D11724" s="2" t="s">
        <v>101</v>
      </c>
      <c r="E11724" s="2" t="str">
        <f>"9783662613610"</f>
        <v>9783662613610</v>
      </c>
      <c r="F11724" s="2" t="str">
        <f>"9783662613627"</f>
        <v>9783662613627</v>
      </c>
    </row>
    <row r="11725" spans="1:6" s="3" customFormat="1" ht="29.1" customHeight="1" x14ac:dyDescent="0.25">
      <c r="A11725" s="2" t="s">
        <v>23868</v>
      </c>
      <c r="B11725" s="2" t="s">
        <v>23869</v>
      </c>
      <c r="C11725" s="2" t="s">
        <v>5</v>
      </c>
      <c r="D11725" s="2" t="s">
        <v>347</v>
      </c>
      <c r="E11725" s="2" t="str">
        <f>"9783030431112"</f>
        <v>9783030431112</v>
      </c>
      <c r="F11725" s="2" t="str">
        <f>"9783030431129"</f>
        <v>9783030431129</v>
      </c>
    </row>
    <row r="11726" spans="1:6" s="3" customFormat="1" ht="29.1" customHeight="1" x14ac:dyDescent="0.25">
      <c r="A11726" s="2" t="s">
        <v>23870</v>
      </c>
      <c r="B11726" s="2" t="s">
        <v>23871</v>
      </c>
      <c r="C11726" s="2" t="s">
        <v>5</v>
      </c>
      <c r="D11726" s="2" t="s">
        <v>297</v>
      </c>
      <c r="E11726" s="2" t="str">
        <f>"9783030435813"</f>
        <v>9783030435813</v>
      </c>
      <c r="F11726" s="2" t="str">
        <f>"9783030435820"</f>
        <v>9783030435820</v>
      </c>
    </row>
    <row r="11727" spans="1:6" s="3" customFormat="1" ht="29.1" customHeight="1" x14ac:dyDescent="0.25">
      <c r="A11727" s="2" t="s">
        <v>23872</v>
      </c>
      <c r="B11727" s="2" t="s">
        <v>23426</v>
      </c>
      <c r="C11727" s="2" t="s">
        <v>5</v>
      </c>
      <c r="D11727" s="2" t="s">
        <v>321</v>
      </c>
      <c r="E11727" s="2" t="str">
        <f>"9783662612828"</f>
        <v>9783662612828</v>
      </c>
      <c r="F11727" s="2" t="str">
        <f>"9783662612835"</f>
        <v>9783662612835</v>
      </c>
    </row>
    <row r="11728" spans="1:6" s="3" customFormat="1" ht="29.1" customHeight="1" x14ac:dyDescent="0.25">
      <c r="A11728" s="2" t="s">
        <v>23873</v>
      </c>
      <c r="B11728" s="2" t="s">
        <v>20264</v>
      </c>
      <c r="C11728" s="2" t="s">
        <v>5</v>
      </c>
      <c r="D11728" s="2" t="s">
        <v>501</v>
      </c>
      <c r="E11728" s="2" t="str">
        <f>"9783030427740"</f>
        <v>9783030427740</v>
      </c>
      <c r="F11728" s="2" t="str">
        <f>"9783030427757"</f>
        <v>9783030427757</v>
      </c>
    </row>
    <row r="11729" spans="1:6" s="3" customFormat="1" ht="29.1" customHeight="1" x14ac:dyDescent="0.25">
      <c r="A11729" s="2" t="s">
        <v>23874</v>
      </c>
      <c r="B11729" s="2" t="s">
        <v>23875</v>
      </c>
      <c r="C11729" s="2" t="s">
        <v>5</v>
      </c>
      <c r="D11729" s="2" t="s">
        <v>5115</v>
      </c>
      <c r="E11729" s="2" t="str">
        <f>"9789811536533"</f>
        <v>9789811536533</v>
      </c>
      <c r="F11729" s="2" t="str">
        <f>"9789811536540"</f>
        <v>9789811536540</v>
      </c>
    </row>
    <row r="11730" spans="1:6" s="3" customFormat="1" ht="29.1" customHeight="1" x14ac:dyDescent="0.25">
      <c r="A11730" s="2" t="s">
        <v>23876</v>
      </c>
      <c r="B11730" s="2" t="s">
        <v>23877</v>
      </c>
      <c r="C11730" s="2" t="s">
        <v>5</v>
      </c>
      <c r="D11730" s="2" t="s">
        <v>1888</v>
      </c>
      <c r="E11730" s="2" t="str">
        <f>"9789811535710"</f>
        <v>9789811535710</v>
      </c>
      <c r="F11730" s="2" t="str">
        <f>"9789811535727"</f>
        <v>9789811535727</v>
      </c>
    </row>
    <row r="11731" spans="1:6" s="3" customFormat="1" ht="29.1" customHeight="1" x14ac:dyDescent="0.25">
      <c r="A11731" s="2" t="s">
        <v>23878</v>
      </c>
      <c r="B11731" s="2" t="s">
        <v>23879</v>
      </c>
      <c r="C11731" s="2" t="s">
        <v>5</v>
      </c>
      <c r="D11731" s="2" t="s">
        <v>4713</v>
      </c>
      <c r="E11731" s="2" t="str">
        <f>"9783030422738"</f>
        <v>9783030422738</v>
      </c>
      <c r="F11731" s="2" t="str">
        <f>"9783030422745"</f>
        <v>9783030422745</v>
      </c>
    </row>
    <row r="11732" spans="1:6" s="3" customFormat="1" ht="29.1" customHeight="1" x14ac:dyDescent="0.25">
      <c r="A11732" s="2" t="s">
        <v>23880</v>
      </c>
      <c r="B11732" s="2" t="s">
        <v>23881</v>
      </c>
      <c r="C11732" s="2" t="s">
        <v>5</v>
      </c>
      <c r="D11732" s="2" t="s">
        <v>5716</v>
      </c>
      <c r="E11732" s="2" t="str">
        <f>"9783030421472"</f>
        <v>9783030421472</v>
      </c>
      <c r="F11732" s="2" t="str">
        <f>"9783030421489"</f>
        <v>9783030421489</v>
      </c>
    </row>
    <row r="11733" spans="1:6" s="3" customFormat="1" ht="29.1" customHeight="1" x14ac:dyDescent="0.25">
      <c r="A11733" s="2" t="s">
        <v>23882</v>
      </c>
      <c r="B11733" s="2" t="s">
        <v>20120</v>
      </c>
      <c r="C11733" s="2" t="s">
        <v>5</v>
      </c>
      <c r="D11733" s="2" t="s">
        <v>4019</v>
      </c>
      <c r="E11733" s="2" t="str">
        <f>"9783030418816"</f>
        <v>9783030418816</v>
      </c>
      <c r="F11733" s="2" t="str">
        <f>"9783030418823"</f>
        <v>9783030418823</v>
      </c>
    </row>
    <row r="11734" spans="1:6" s="3" customFormat="1" ht="29.1" customHeight="1" x14ac:dyDescent="0.25">
      <c r="A11734" s="2" t="s">
        <v>23883</v>
      </c>
      <c r="B11734" s="2" t="s">
        <v>23884</v>
      </c>
      <c r="C11734" s="2" t="s">
        <v>5</v>
      </c>
      <c r="D11734" s="2" t="s">
        <v>4190</v>
      </c>
      <c r="E11734" s="2" t="str">
        <f>"9789811534720"</f>
        <v>9789811534720</v>
      </c>
      <c r="F11734" s="2" t="str">
        <f>"9789811534737"</f>
        <v>9789811534737</v>
      </c>
    </row>
    <row r="11735" spans="1:6" s="3" customFormat="1" ht="29.1" customHeight="1" x14ac:dyDescent="0.25">
      <c r="A11735" s="2" t="s">
        <v>23885</v>
      </c>
      <c r="B11735" s="2" t="s">
        <v>23886</v>
      </c>
      <c r="C11735" s="2" t="s">
        <v>5</v>
      </c>
      <c r="D11735" s="2" t="s">
        <v>22276</v>
      </c>
      <c r="E11735" s="2" t="str">
        <f>"9789811534911"</f>
        <v>9789811534911</v>
      </c>
      <c r="F11735" s="2" t="str">
        <f>"9789811534928"</f>
        <v>9789811534928</v>
      </c>
    </row>
    <row r="11736" spans="1:6" s="3" customFormat="1" ht="29.1" customHeight="1" x14ac:dyDescent="0.25">
      <c r="A11736" s="2" t="s">
        <v>23887</v>
      </c>
      <c r="B11736" s="2" t="s">
        <v>23888</v>
      </c>
      <c r="C11736" s="2" t="s">
        <v>5</v>
      </c>
      <c r="D11736" s="2" t="s">
        <v>1888</v>
      </c>
      <c r="E11736" s="2" t="str">
        <f>"9783030412388"</f>
        <v>9783030412388</v>
      </c>
      <c r="F11736" s="2" t="str">
        <f>"9783030412395"</f>
        <v>9783030412395</v>
      </c>
    </row>
    <row r="11737" spans="1:6" s="3" customFormat="1" ht="29.1" customHeight="1" x14ac:dyDescent="0.25">
      <c r="A11737" s="2" t="s">
        <v>23889</v>
      </c>
      <c r="B11737" s="2" t="s">
        <v>23890</v>
      </c>
      <c r="C11737" s="2" t="s">
        <v>5</v>
      </c>
      <c r="D11737" s="2" t="s">
        <v>37</v>
      </c>
      <c r="E11737" s="2" t="str">
        <f>"9783030415167"</f>
        <v>9783030415167</v>
      </c>
      <c r="F11737" s="2" t="str">
        <f>"9783030415174"</f>
        <v>9783030415174</v>
      </c>
    </row>
    <row r="11738" spans="1:6" s="3" customFormat="1" ht="29.1" customHeight="1" x14ac:dyDescent="0.25">
      <c r="A11738" s="2" t="s">
        <v>23891</v>
      </c>
      <c r="B11738" s="2" t="s">
        <v>23892</v>
      </c>
      <c r="C11738" s="2" t="s">
        <v>5</v>
      </c>
      <c r="D11738" s="2" t="s">
        <v>72</v>
      </c>
      <c r="E11738" s="2" t="str">
        <f>"9783030409845"</f>
        <v>9783030409845</v>
      </c>
      <c r="F11738" s="2" t="str">
        <f>"9783030409852"</f>
        <v>9783030409852</v>
      </c>
    </row>
    <row r="11739" spans="1:6" s="3" customFormat="1" ht="29.1" customHeight="1" x14ac:dyDescent="0.25">
      <c r="A11739" s="2" t="s">
        <v>23893</v>
      </c>
      <c r="B11739" s="2" t="s">
        <v>23894</v>
      </c>
      <c r="C11739" s="2" t="s">
        <v>5</v>
      </c>
      <c r="D11739" s="2" t="s">
        <v>9502</v>
      </c>
      <c r="E11739" s="2" t="str">
        <f>"9789811530357"</f>
        <v>9789811530357</v>
      </c>
      <c r="F11739" s="2" t="str">
        <f>"9789811530364"</f>
        <v>9789811530364</v>
      </c>
    </row>
    <row r="11740" spans="1:6" s="3" customFormat="1" ht="29.1" customHeight="1" x14ac:dyDescent="0.25">
      <c r="A11740" s="2" t="s">
        <v>23895</v>
      </c>
      <c r="B11740" s="2" t="s">
        <v>23896</v>
      </c>
      <c r="C11740" s="2" t="s">
        <v>5</v>
      </c>
      <c r="D11740" s="2" t="s">
        <v>490</v>
      </c>
      <c r="E11740" s="2" t="str">
        <f>"9789811530524"</f>
        <v>9789811530524</v>
      </c>
      <c r="F11740" s="2" t="str">
        <f>"9789811530531"</f>
        <v>9789811530531</v>
      </c>
    </row>
    <row r="11741" spans="1:6" s="3" customFormat="1" ht="29.1" customHeight="1" x14ac:dyDescent="0.25">
      <c r="A11741" s="2" t="s">
        <v>23897</v>
      </c>
      <c r="B11741" s="2" t="s">
        <v>23898</v>
      </c>
      <c r="C11741" s="2" t="s">
        <v>5</v>
      </c>
      <c r="D11741" s="2" t="s">
        <v>674</v>
      </c>
      <c r="E11741" s="2" t="str">
        <f>"9783662610329"</f>
        <v>9783662610329</v>
      </c>
      <c r="F11741" s="2" t="str">
        <f>"9783662610336"</f>
        <v>9783662610336</v>
      </c>
    </row>
    <row r="11742" spans="1:6" s="3" customFormat="1" ht="29.1" customHeight="1" x14ac:dyDescent="0.25">
      <c r="A11742" s="2" t="s">
        <v>23899</v>
      </c>
      <c r="B11742" s="2" t="s">
        <v>23900</v>
      </c>
      <c r="C11742" s="2" t="s">
        <v>5</v>
      </c>
      <c r="D11742" s="2" t="s">
        <v>1888</v>
      </c>
      <c r="E11742" s="2" t="str">
        <f>"9783031019869"</f>
        <v>9783031019869</v>
      </c>
      <c r="F11742" s="2" t="str">
        <f>"9783031019876"</f>
        <v>9783031019876</v>
      </c>
    </row>
    <row r="11743" spans="1:6" s="3" customFormat="1" ht="29.1" customHeight="1" x14ac:dyDescent="0.25">
      <c r="A11743" s="2" t="s">
        <v>23901</v>
      </c>
      <c r="B11743" s="2" t="s">
        <v>23902</v>
      </c>
      <c r="C11743" s="2" t="s">
        <v>5</v>
      </c>
      <c r="D11743" s="2" t="s">
        <v>192</v>
      </c>
      <c r="E11743" s="2" t="str">
        <f>"9783030391683"</f>
        <v>9783030391683</v>
      </c>
      <c r="F11743" s="2" t="str">
        <f>"9783030391690"</f>
        <v>9783030391690</v>
      </c>
    </row>
    <row r="11744" spans="1:6" s="3" customFormat="1" ht="29.1" customHeight="1" x14ac:dyDescent="0.25">
      <c r="A11744" s="2" t="s">
        <v>23903</v>
      </c>
      <c r="B11744" s="2" t="s">
        <v>23904</v>
      </c>
      <c r="C11744" s="2" t="s">
        <v>5</v>
      </c>
      <c r="D11744" s="2" t="s">
        <v>12475</v>
      </c>
      <c r="E11744" s="2" t="str">
        <f>"9783030389338"</f>
        <v>9783030389338</v>
      </c>
      <c r="F11744" s="2" t="str">
        <f>"9783030389345"</f>
        <v>9783030389345</v>
      </c>
    </row>
    <row r="11745" spans="1:6" s="3" customFormat="1" ht="29.1" customHeight="1" x14ac:dyDescent="0.25">
      <c r="A11745" s="2" t="s">
        <v>23905</v>
      </c>
      <c r="B11745" s="2" t="s">
        <v>23906</v>
      </c>
      <c r="C11745" s="2" t="s">
        <v>5</v>
      </c>
      <c r="D11745" s="2" t="s">
        <v>2019</v>
      </c>
      <c r="E11745" s="2" t="str">
        <f>"9783030387839"</f>
        <v>9783030387839</v>
      </c>
      <c r="F11745" s="2" t="str">
        <f>"9783030387846"</f>
        <v>9783030387846</v>
      </c>
    </row>
    <row r="11746" spans="1:6" s="3" customFormat="1" ht="29.1" customHeight="1" x14ac:dyDescent="0.25">
      <c r="A11746" s="2" t="s">
        <v>23907</v>
      </c>
      <c r="B11746" s="2" t="s">
        <v>23908</v>
      </c>
      <c r="C11746" s="2" t="s">
        <v>5</v>
      </c>
      <c r="D11746" s="2" t="s">
        <v>2877</v>
      </c>
      <c r="E11746" s="2" t="str">
        <f>"9783030387808"</f>
        <v>9783030387808</v>
      </c>
      <c r="F11746" s="2" t="str">
        <f>"9783030387815"</f>
        <v>9783030387815</v>
      </c>
    </row>
    <row r="11747" spans="1:6" s="3" customFormat="1" ht="29.1" customHeight="1" x14ac:dyDescent="0.25">
      <c r="A11747" s="2" t="s">
        <v>23909</v>
      </c>
      <c r="B11747" s="2" t="s">
        <v>23910</v>
      </c>
      <c r="C11747" s="2" t="s">
        <v>5</v>
      </c>
      <c r="D11747" s="2" t="s">
        <v>2271</v>
      </c>
      <c r="E11747" s="2" t="str">
        <f>"9783030387693"</f>
        <v>9783030387693</v>
      </c>
      <c r="F11747" s="2" t="str">
        <f>"9783030387709"</f>
        <v>9783030387709</v>
      </c>
    </row>
    <row r="11748" spans="1:6" s="3" customFormat="1" ht="29.1" customHeight="1" x14ac:dyDescent="0.25">
      <c r="A11748" s="2" t="s">
        <v>23911</v>
      </c>
      <c r="B11748" s="2" t="s">
        <v>19800</v>
      </c>
      <c r="C11748" s="2" t="s">
        <v>5</v>
      </c>
      <c r="D11748" s="2" t="s">
        <v>331</v>
      </c>
      <c r="E11748" s="2" t="str">
        <f>"9783030382995"</f>
        <v>9783030382995</v>
      </c>
      <c r="F11748" s="2" t="str">
        <f>"9783030383008"</f>
        <v>9783030383008</v>
      </c>
    </row>
    <row r="11749" spans="1:6" s="3" customFormat="1" ht="29.1" customHeight="1" x14ac:dyDescent="0.25">
      <c r="A11749" s="2" t="s">
        <v>23912</v>
      </c>
      <c r="B11749" s="2" t="s">
        <v>16125</v>
      </c>
      <c r="C11749" s="2" t="s">
        <v>5</v>
      </c>
      <c r="D11749" s="2" t="s">
        <v>2458</v>
      </c>
      <c r="E11749" s="2" t="str">
        <f>"9783030382063"</f>
        <v>9783030382063</v>
      </c>
      <c r="F11749" s="2" t="str">
        <f>"9783030382070"</f>
        <v>9783030382070</v>
      </c>
    </row>
    <row r="11750" spans="1:6" s="3" customFormat="1" ht="29.1" customHeight="1" x14ac:dyDescent="0.25">
      <c r="A11750" s="2" t="s">
        <v>23913</v>
      </c>
      <c r="B11750" s="2" t="s">
        <v>23914</v>
      </c>
      <c r="C11750" s="2" t="s">
        <v>5</v>
      </c>
      <c r="D11750" s="2" t="s">
        <v>297</v>
      </c>
      <c r="E11750" s="2" t="str">
        <f>"9789811524288"</f>
        <v>9789811524288</v>
      </c>
      <c r="F11750" s="2" t="str">
        <f>"9789811524295"</f>
        <v>9789811524295</v>
      </c>
    </row>
    <row r="11751" spans="1:6" s="3" customFormat="1" ht="29.1" customHeight="1" x14ac:dyDescent="0.25">
      <c r="A11751" s="2" t="s">
        <v>23915</v>
      </c>
      <c r="B11751" s="2" t="s">
        <v>23916</v>
      </c>
      <c r="C11751" s="2" t="s">
        <v>5</v>
      </c>
      <c r="D11751" s="2" t="s">
        <v>98</v>
      </c>
      <c r="E11751" s="2" t="str">
        <f>"9783030377472"</f>
        <v>9783030377472</v>
      </c>
      <c r="F11751" s="2" t="str">
        <f>"9783030377489"</f>
        <v>9783030377489</v>
      </c>
    </row>
    <row r="11752" spans="1:6" s="3" customFormat="1" ht="29.1" customHeight="1" x14ac:dyDescent="0.25">
      <c r="A11752" s="2" t="s">
        <v>23917</v>
      </c>
      <c r="B11752" s="2" t="s">
        <v>23918</v>
      </c>
      <c r="C11752" s="2" t="s">
        <v>5</v>
      </c>
      <c r="D11752" s="2" t="s">
        <v>69</v>
      </c>
      <c r="E11752" s="2" t="str">
        <f>"9783030373818"</f>
        <v>9783030373818</v>
      </c>
      <c r="F11752" s="2" t="str">
        <f>"9783030373825"</f>
        <v>9783030373825</v>
      </c>
    </row>
    <row r="11753" spans="1:6" s="3" customFormat="1" ht="29.1" customHeight="1" x14ac:dyDescent="0.25">
      <c r="A11753" s="2" t="s">
        <v>23919</v>
      </c>
      <c r="B11753" s="2" t="s">
        <v>23920</v>
      </c>
      <c r="C11753" s="2" t="s">
        <v>5</v>
      </c>
      <c r="D11753" s="2" t="s">
        <v>2045</v>
      </c>
      <c r="E11753" s="2" t="str">
        <f>"9783031412714"</f>
        <v>9783031412714</v>
      </c>
      <c r="F11753" s="2" t="str">
        <f>"9783031412721"</f>
        <v>9783031412721</v>
      </c>
    </row>
    <row r="11754" spans="1:6" s="3" customFormat="1" ht="29.1" customHeight="1" x14ac:dyDescent="0.25">
      <c r="A11754" s="2" t="s">
        <v>23921</v>
      </c>
      <c r="B11754" s="2" t="s">
        <v>23922</v>
      </c>
      <c r="C11754" s="2" t="s">
        <v>5</v>
      </c>
      <c r="D11754" s="2" t="s">
        <v>4368</v>
      </c>
      <c r="E11754" s="2" t="str">
        <f>"9783030372804"</f>
        <v>9783030372804</v>
      </c>
      <c r="F11754" s="2" t="str">
        <f>"9783030372811"</f>
        <v>9783030372811</v>
      </c>
    </row>
    <row r="11755" spans="1:6" s="3" customFormat="1" ht="29.1" customHeight="1" x14ac:dyDescent="0.25">
      <c r="A11755" s="2" t="s">
        <v>23923</v>
      </c>
      <c r="B11755" s="2" t="s">
        <v>23924</v>
      </c>
      <c r="C11755" s="2" t="s">
        <v>5</v>
      </c>
      <c r="D11755" s="2" t="s">
        <v>6128</v>
      </c>
      <c r="E11755" s="2" t="str">
        <f>"9783030372644"</f>
        <v>9783030372644</v>
      </c>
      <c r="F11755" s="2" t="str">
        <f>"9783030372651"</f>
        <v>9783030372651</v>
      </c>
    </row>
    <row r="11756" spans="1:6" s="3" customFormat="1" ht="29.1" customHeight="1" x14ac:dyDescent="0.25">
      <c r="A11756" s="2" t="s">
        <v>23925</v>
      </c>
      <c r="B11756" s="2" t="s">
        <v>23926</v>
      </c>
      <c r="C11756" s="2" t="s">
        <v>5</v>
      </c>
      <c r="D11756" s="2" t="s">
        <v>378</v>
      </c>
      <c r="E11756" s="2" t="str">
        <f>"9783030371760"</f>
        <v>9783030371760</v>
      </c>
      <c r="F11756" s="2" t="str">
        <f>"9783030371777"</f>
        <v>9783030371777</v>
      </c>
    </row>
    <row r="11757" spans="1:6" s="3" customFormat="1" ht="29.1" customHeight="1" x14ac:dyDescent="0.25">
      <c r="A11757" s="2" t="s">
        <v>23927</v>
      </c>
      <c r="B11757" s="2" t="s">
        <v>23928</v>
      </c>
      <c r="C11757" s="2" t="s">
        <v>5</v>
      </c>
      <c r="D11757" s="2" t="s">
        <v>69</v>
      </c>
      <c r="E11757" s="2" t="str">
        <f>"9783030370381"</f>
        <v>9783030370381</v>
      </c>
      <c r="F11757" s="2" t="str">
        <f>"9783030370398"</f>
        <v>9783030370398</v>
      </c>
    </row>
    <row r="11758" spans="1:6" s="3" customFormat="1" ht="29.1" customHeight="1" x14ac:dyDescent="0.25">
      <c r="A11758" s="2" t="s">
        <v>23929</v>
      </c>
      <c r="B11758" s="2" t="s">
        <v>23930</v>
      </c>
      <c r="C11758" s="2" t="s">
        <v>5</v>
      </c>
      <c r="D11758" s="2" t="s">
        <v>3379</v>
      </c>
      <c r="E11758" s="2" t="str">
        <f>"9783030370220"</f>
        <v>9783030370220</v>
      </c>
      <c r="F11758" s="2" t="str">
        <f>"9783030370237"</f>
        <v>9783030370237</v>
      </c>
    </row>
    <row r="11759" spans="1:6" s="3" customFormat="1" ht="29.1" customHeight="1" x14ac:dyDescent="0.25">
      <c r="A11759" s="2" t="s">
        <v>23079</v>
      </c>
      <c r="B11759" s="2" t="s">
        <v>23080</v>
      </c>
      <c r="C11759" s="2" t="s">
        <v>5</v>
      </c>
      <c r="D11759" s="2" t="s">
        <v>7341</v>
      </c>
      <c r="E11759" s="2" t="str">
        <f>"9781484255735"</f>
        <v>9781484255735</v>
      </c>
      <c r="F11759" s="2" t="str">
        <f>"9781484255742"</f>
        <v>9781484255742</v>
      </c>
    </row>
    <row r="11760" spans="1:6" s="3" customFormat="1" ht="29.1" customHeight="1" x14ac:dyDescent="0.25">
      <c r="A11760" s="2" t="s">
        <v>23931</v>
      </c>
      <c r="B11760" s="2" t="s">
        <v>23932</v>
      </c>
      <c r="C11760" s="2" t="s">
        <v>5</v>
      </c>
      <c r="D11760" s="2" t="s">
        <v>95</v>
      </c>
      <c r="E11760" s="2" t="str">
        <f>"9789811598326"</f>
        <v>9789811598326</v>
      </c>
      <c r="F11760" s="2" t="str">
        <f>"9789811598333"</f>
        <v>9789811598333</v>
      </c>
    </row>
    <row r="11761" spans="1:6" s="3" customFormat="1" ht="29.1" customHeight="1" x14ac:dyDescent="0.25">
      <c r="A11761" s="2" t="s">
        <v>23933</v>
      </c>
      <c r="B11761" s="2" t="s">
        <v>23934</v>
      </c>
      <c r="C11761" s="2" t="s">
        <v>5</v>
      </c>
      <c r="D11761" s="2" t="s">
        <v>159</v>
      </c>
      <c r="E11761" s="2" t="str">
        <f>"9783658284749"</f>
        <v>9783658284749</v>
      </c>
      <c r="F11761" s="2" t="str">
        <f>"9783658284756"</f>
        <v>9783658284756</v>
      </c>
    </row>
    <row r="11762" spans="1:6" s="3" customFormat="1" ht="29.1" customHeight="1" x14ac:dyDescent="0.25">
      <c r="A11762" s="2" t="s">
        <v>23912</v>
      </c>
      <c r="B11762" s="2" t="s">
        <v>23935</v>
      </c>
      <c r="C11762" s="2" t="s">
        <v>5</v>
      </c>
      <c r="D11762" s="2" t="s">
        <v>850</v>
      </c>
      <c r="E11762" s="2" t="str">
        <f>"9783030353179"</f>
        <v>9783030353179</v>
      </c>
      <c r="F11762" s="2" t="str">
        <f>"9783030353186"</f>
        <v>9783030353186</v>
      </c>
    </row>
    <row r="11763" spans="1:6" s="3" customFormat="1" ht="29.1" customHeight="1" x14ac:dyDescent="0.25">
      <c r="A11763" s="2" t="s">
        <v>23936</v>
      </c>
      <c r="B11763" s="2" t="s">
        <v>23937</v>
      </c>
      <c r="C11763" s="2" t="s">
        <v>5</v>
      </c>
      <c r="D11763" s="2" t="s">
        <v>2168</v>
      </c>
      <c r="E11763" s="2" t="str">
        <f>"9789811976438"</f>
        <v>9789811976438</v>
      </c>
      <c r="F11763" s="2" t="str">
        <f>"9789811976445"</f>
        <v>9789811976445</v>
      </c>
    </row>
    <row r="11764" spans="1:6" s="3" customFormat="1" ht="29.1" customHeight="1" x14ac:dyDescent="0.25">
      <c r="A11764" s="2" t="s">
        <v>23938</v>
      </c>
      <c r="B11764" s="2" t="s">
        <v>23939</v>
      </c>
      <c r="C11764" s="2" t="s">
        <v>5</v>
      </c>
      <c r="D11764" s="2" t="s">
        <v>4739</v>
      </c>
      <c r="E11764" s="2" t="str">
        <f>"9789811937620"</f>
        <v>9789811937620</v>
      </c>
      <c r="F11764" s="2" t="str">
        <f>"9789811937637"</f>
        <v>9789811937637</v>
      </c>
    </row>
    <row r="11765" spans="1:6" s="3" customFormat="1" ht="29.1" customHeight="1" x14ac:dyDescent="0.25">
      <c r="A11765" s="2" t="s">
        <v>23940</v>
      </c>
      <c r="B11765" s="2" t="s">
        <v>20629</v>
      </c>
      <c r="C11765" s="2" t="s">
        <v>5</v>
      </c>
      <c r="D11765" s="2" t="s">
        <v>10444</v>
      </c>
      <c r="E11765" s="2" t="str">
        <f>"9789811909191"</f>
        <v>9789811909191</v>
      </c>
      <c r="F11765" s="2" t="str">
        <f>"9789811909207"</f>
        <v>9789811909207</v>
      </c>
    </row>
    <row r="11766" spans="1:6" s="3" customFormat="1" ht="29.1" customHeight="1" x14ac:dyDescent="0.25">
      <c r="A11766" s="2" t="s">
        <v>23912</v>
      </c>
      <c r="B11766" s="2" t="s">
        <v>23941</v>
      </c>
      <c r="C11766" s="2" t="s">
        <v>5</v>
      </c>
      <c r="D11766" s="2" t="s">
        <v>850</v>
      </c>
      <c r="E11766" s="2" t="str">
        <f>"9783030342449"</f>
        <v>9783030342449</v>
      </c>
      <c r="F11766" s="2" t="str">
        <f>"9783030342456"</f>
        <v>9783030342456</v>
      </c>
    </row>
    <row r="11767" spans="1:6" s="3" customFormat="1" ht="29.1" customHeight="1" x14ac:dyDescent="0.25">
      <c r="A11767" s="2" t="s">
        <v>23942</v>
      </c>
      <c r="B11767" s="2" t="s">
        <v>23943</v>
      </c>
      <c r="C11767" s="2" t="s">
        <v>5</v>
      </c>
      <c r="D11767" s="2" t="s">
        <v>5716</v>
      </c>
      <c r="E11767" s="2" t="str">
        <f>"9789811509971"</f>
        <v>9789811509971</v>
      </c>
      <c r="F11767" s="2" t="str">
        <f>"9789811509988"</f>
        <v>9789811509988</v>
      </c>
    </row>
    <row r="11768" spans="1:6" s="3" customFormat="1" ht="29.1" customHeight="1" x14ac:dyDescent="0.25">
      <c r="A11768" s="2" t="s">
        <v>23944</v>
      </c>
      <c r="B11768" s="2" t="s">
        <v>23945</v>
      </c>
      <c r="C11768" s="2" t="s">
        <v>5</v>
      </c>
      <c r="D11768" s="2" t="s">
        <v>347</v>
      </c>
      <c r="E11768" s="2" t="str">
        <f>"9783662604861"</f>
        <v>9783662604861</v>
      </c>
      <c r="F11768" s="2" t="str">
        <f>"9783662604878"</f>
        <v>9783662604878</v>
      </c>
    </row>
    <row r="11769" spans="1:6" s="3" customFormat="1" ht="29.1" customHeight="1" x14ac:dyDescent="0.25">
      <c r="A11769" s="2" t="s">
        <v>23946</v>
      </c>
      <c r="B11769" s="2" t="s">
        <v>23947</v>
      </c>
      <c r="C11769" s="2" t="s">
        <v>5</v>
      </c>
      <c r="D11769" s="2" t="s">
        <v>183</v>
      </c>
      <c r="E11769" s="2" t="str">
        <f>"9783030990060"</f>
        <v>9783030990060</v>
      </c>
      <c r="F11769" s="2" t="str">
        <f>"9783030990077"</f>
        <v>9783030990077</v>
      </c>
    </row>
    <row r="11770" spans="1:6" s="3" customFormat="1" ht="29.1" customHeight="1" x14ac:dyDescent="0.25">
      <c r="A11770" s="2" t="s">
        <v>23948</v>
      </c>
      <c r="B11770" s="2" t="s">
        <v>23949</v>
      </c>
      <c r="C11770" s="2" t="s">
        <v>5</v>
      </c>
      <c r="D11770" s="2" t="s">
        <v>479</v>
      </c>
      <c r="E11770" s="2" t="str">
        <f>"9789811508448"</f>
        <v>9789811508448</v>
      </c>
      <c r="F11770" s="2" t="str">
        <f>"9789811508455"</f>
        <v>9789811508455</v>
      </c>
    </row>
    <row r="11771" spans="1:6" s="3" customFormat="1" ht="29.1" customHeight="1" x14ac:dyDescent="0.25">
      <c r="A11771" s="2" t="s">
        <v>23950</v>
      </c>
      <c r="B11771" s="2" t="s">
        <v>23951</v>
      </c>
      <c r="C11771" s="2" t="s">
        <v>5</v>
      </c>
      <c r="D11771" s="2" t="s">
        <v>547</v>
      </c>
      <c r="E11771" s="2" t="str">
        <f>"9783030331566"</f>
        <v>9783030331566</v>
      </c>
      <c r="F11771" s="2" t="str">
        <f>"9783030331573"</f>
        <v>9783030331573</v>
      </c>
    </row>
    <row r="11772" spans="1:6" s="3" customFormat="1" ht="29.1" customHeight="1" x14ac:dyDescent="0.25">
      <c r="A11772" s="2" t="s">
        <v>23952</v>
      </c>
      <c r="B11772" s="2" t="s">
        <v>23953</v>
      </c>
      <c r="C11772" s="2" t="s">
        <v>5</v>
      </c>
      <c r="D11772" s="2" t="s">
        <v>12</v>
      </c>
      <c r="E11772" s="2" t="str">
        <f>"9783030323721"</f>
        <v>9783030323721</v>
      </c>
      <c r="F11772" s="2" t="str">
        <f>"9783030323738"</f>
        <v>9783030323738</v>
      </c>
    </row>
    <row r="11773" spans="1:6" s="3" customFormat="1" ht="29.1" customHeight="1" x14ac:dyDescent="0.25">
      <c r="A11773" s="2" t="s">
        <v>23954</v>
      </c>
      <c r="B11773" s="2" t="s">
        <v>23955</v>
      </c>
      <c r="C11773" s="2" t="s">
        <v>5</v>
      </c>
      <c r="D11773" s="2" t="s">
        <v>4783</v>
      </c>
      <c r="E11773" s="2" t="str">
        <f>"9789811503634"</f>
        <v>9789811503634</v>
      </c>
      <c r="F11773" s="2" t="str">
        <f>"9789811503641"</f>
        <v>9789811503641</v>
      </c>
    </row>
    <row r="11774" spans="1:6" s="3" customFormat="1" ht="29.1" customHeight="1" x14ac:dyDescent="0.25">
      <c r="A11774" s="2" t="s">
        <v>23956</v>
      </c>
      <c r="B11774" s="2" t="s">
        <v>23957</v>
      </c>
      <c r="C11774" s="2" t="s">
        <v>5</v>
      </c>
      <c r="D11774" s="2" t="s">
        <v>12696</v>
      </c>
      <c r="E11774" s="2" t="str">
        <f>"9789811988608"</f>
        <v>9789811988608</v>
      </c>
      <c r="F11774" s="2" t="str">
        <f>"9789811988615"</f>
        <v>9789811988615</v>
      </c>
    </row>
    <row r="11775" spans="1:6" s="3" customFormat="1" ht="29.1" customHeight="1" x14ac:dyDescent="0.25">
      <c r="A11775" s="2" t="s">
        <v>23958</v>
      </c>
      <c r="B11775" s="2" t="s">
        <v>23959</v>
      </c>
      <c r="C11775" s="2" t="s">
        <v>5</v>
      </c>
      <c r="D11775" s="2" t="s">
        <v>1867</v>
      </c>
      <c r="E11775" s="2" t="str">
        <f>"9789811609718"</f>
        <v>9789811609718</v>
      </c>
      <c r="F11775" s="2" t="str">
        <f>"9789811609725"</f>
        <v>9789811609725</v>
      </c>
    </row>
    <row r="11776" spans="1:6" s="3" customFormat="1" ht="29.1" customHeight="1" x14ac:dyDescent="0.25">
      <c r="A11776" s="2" t="s">
        <v>23960</v>
      </c>
      <c r="B11776" s="2" t="s">
        <v>23961</v>
      </c>
      <c r="C11776" s="2" t="s">
        <v>5</v>
      </c>
      <c r="D11776" s="2" t="s">
        <v>1867</v>
      </c>
      <c r="E11776" s="2" t="str">
        <f>"9789811517877"</f>
        <v>9789811517877</v>
      </c>
      <c r="F11776" s="2" t="str">
        <f>"9789811517884"</f>
        <v>9789811517884</v>
      </c>
    </row>
    <row r="11777" spans="1:6" s="3" customFormat="1" ht="29.1" customHeight="1" x14ac:dyDescent="0.25">
      <c r="A11777" s="2" t="s">
        <v>23962</v>
      </c>
      <c r="B11777" s="2" t="s">
        <v>23963</v>
      </c>
      <c r="C11777" s="2" t="s">
        <v>5</v>
      </c>
      <c r="D11777" s="2" t="s">
        <v>101</v>
      </c>
      <c r="E11777" s="2" t="str">
        <f>"9783030311247"</f>
        <v>9783030311247</v>
      </c>
      <c r="F11777" s="2" t="str">
        <f>"9783030311254"</f>
        <v>9783030311254</v>
      </c>
    </row>
    <row r="11778" spans="1:6" s="3" customFormat="1" ht="29.1" customHeight="1" x14ac:dyDescent="0.25">
      <c r="A11778" s="2" t="s">
        <v>23964</v>
      </c>
      <c r="B11778" s="2" t="s">
        <v>20868</v>
      </c>
      <c r="C11778" s="2" t="s">
        <v>5</v>
      </c>
      <c r="D11778" s="2" t="s">
        <v>81</v>
      </c>
      <c r="E11778" s="2" t="str">
        <f>"9789811501807"</f>
        <v>9789811501807</v>
      </c>
      <c r="F11778" s="2" t="str">
        <f>"9789811501814"</f>
        <v>9789811501814</v>
      </c>
    </row>
    <row r="11779" spans="1:6" s="3" customFormat="1" ht="29.1" customHeight="1" x14ac:dyDescent="0.25">
      <c r="A11779" s="2" t="s">
        <v>23965</v>
      </c>
      <c r="B11779" s="2" t="s">
        <v>23966</v>
      </c>
      <c r="C11779" s="2" t="s">
        <v>5</v>
      </c>
      <c r="D11779" s="2" t="s">
        <v>5032</v>
      </c>
      <c r="E11779" s="2" t="str">
        <f>"9783030308322"</f>
        <v>9783030308322</v>
      </c>
      <c r="F11779" s="2" t="str">
        <f>"9783030308339"</f>
        <v>9783030308339</v>
      </c>
    </row>
    <row r="11780" spans="1:6" s="3" customFormat="1" ht="29.1" customHeight="1" x14ac:dyDescent="0.25">
      <c r="A11780" s="2" t="s">
        <v>23967</v>
      </c>
      <c r="B11780" s="2" t="s">
        <v>23968</v>
      </c>
      <c r="C11780" s="2" t="s">
        <v>5</v>
      </c>
      <c r="D11780" s="2" t="s">
        <v>3958</v>
      </c>
      <c r="E11780" s="2" t="str">
        <f>"9783658276010"</f>
        <v>9783658276010</v>
      </c>
      <c r="F11780" s="2" t="str">
        <f>"9783658276027"</f>
        <v>9783658276027</v>
      </c>
    </row>
    <row r="11781" spans="1:6" s="3" customFormat="1" ht="29.1" customHeight="1" x14ac:dyDescent="0.25">
      <c r="A11781" s="2" t="s">
        <v>23969</v>
      </c>
      <c r="B11781" s="2" t="s">
        <v>23970</v>
      </c>
      <c r="C11781" s="2" t="s">
        <v>5</v>
      </c>
      <c r="D11781" s="2" t="s">
        <v>674</v>
      </c>
      <c r="E11781" s="2" t="str">
        <f>"9789811500411"</f>
        <v>9789811500411</v>
      </c>
      <c r="F11781" s="2" t="str">
        <f>"9789811500428"</f>
        <v>9789811500428</v>
      </c>
    </row>
    <row r="11782" spans="1:6" s="3" customFormat="1" ht="29.1" customHeight="1" x14ac:dyDescent="0.25">
      <c r="A11782" s="2" t="s">
        <v>23971</v>
      </c>
      <c r="B11782" s="2" t="s">
        <v>23972</v>
      </c>
      <c r="C11782" s="2" t="s">
        <v>5</v>
      </c>
      <c r="D11782" s="2" t="s">
        <v>553</v>
      </c>
      <c r="E11782" s="2" t="str">
        <f>"9783658292966"</f>
        <v>9783658292966</v>
      </c>
      <c r="F11782" s="2" t="str">
        <f>"9783658292973"</f>
        <v>9783658292973</v>
      </c>
    </row>
    <row r="11783" spans="1:6" s="3" customFormat="1" ht="29.1" customHeight="1" x14ac:dyDescent="0.25">
      <c r="A11783" s="2" t="s">
        <v>23973</v>
      </c>
      <c r="B11783" s="2" t="s">
        <v>23974</v>
      </c>
      <c r="C11783" s="2" t="s">
        <v>5</v>
      </c>
      <c r="D11783" s="2" t="s">
        <v>1809</v>
      </c>
      <c r="E11783" s="2" t="str">
        <f>"9783030576684"</f>
        <v>9783030576684</v>
      </c>
      <c r="F11783" s="2" t="str">
        <f>"9783030576691"</f>
        <v>9783030576691</v>
      </c>
    </row>
    <row r="11784" spans="1:6" s="3" customFormat="1" ht="29.1" customHeight="1" x14ac:dyDescent="0.25">
      <c r="A11784" s="2" t="s">
        <v>23975</v>
      </c>
      <c r="B11784" s="2" t="s">
        <v>23976</v>
      </c>
      <c r="C11784" s="2" t="s">
        <v>5</v>
      </c>
      <c r="D11784" s="2" t="s">
        <v>353</v>
      </c>
      <c r="E11784" s="2" t="str">
        <f>"9789813299146"</f>
        <v>9789813299146</v>
      </c>
      <c r="F11784" s="2" t="str">
        <f>"9789813299153"</f>
        <v>9789813299153</v>
      </c>
    </row>
    <row r="11785" spans="1:6" s="3" customFormat="1" ht="29.1" customHeight="1" x14ac:dyDescent="0.25">
      <c r="A11785" s="2" t="s">
        <v>23977</v>
      </c>
      <c r="B11785" s="2" t="s">
        <v>23978</v>
      </c>
      <c r="C11785" s="2" t="s">
        <v>5</v>
      </c>
      <c r="D11785" s="2" t="s">
        <v>5228</v>
      </c>
      <c r="E11785" s="2" t="str">
        <f>"9783030296643"</f>
        <v>9783030296643</v>
      </c>
      <c r="F11785" s="2" t="str">
        <f>"9783030296650"</f>
        <v>9783030296650</v>
      </c>
    </row>
    <row r="11786" spans="1:6" s="3" customFormat="1" ht="29.1" customHeight="1" x14ac:dyDescent="0.25">
      <c r="A11786" s="2" t="s">
        <v>23979</v>
      </c>
      <c r="B11786" s="2" t="s">
        <v>23980</v>
      </c>
      <c r="C11786" s="2" t="s">
        <v>5</v>
      </c>
      <c r="D11786" s="2" t="s">
        <v>3553</v>
      </c>
      <c r="E11786" s="2" t="str">
        <f>"9789813363410"</f>
        <v>9789813363410</v>
      </c>
      <c r="F11786" s="2" t="str">
        <f>"9789813363427"</f>
        <v>9789813363427</v>
      </c>
    </row>
    <row r="11787" spans="1:6" s="3" customFormat="1" ht="29.1" customHeight="1" x14ac:dyDescent="0.25">
      <c r="A11787" s="2" t="s">
        <v>23981</v>
      </c>
      <c r="B11787" s="2" t="s">
        <v>23982</v>
      </c>
      <c r="C11787" s="2" t="s">
        <v>5</v>
      </c>
      <c r="D11787" s="2" t="s">
        <v>487</v>
      </c>
      <c r="E11787" s="2" t="str">
        <f>"9783030295080"</f>
        <v>9783030295080</v>
      </c>
      <c r="F11787" s="2" t="str">
        <f>"9783030295097"</f>
        <v>9783030295097</v>
      </c>
    </row>
    <row r="11788" spans="1:6" s="3" customFormat="1" ht="29.1" customHeight="1" x14ac:dyDescent="0.25">
      <c r="A11788" s="2" t="s">
        <v>20437</v>
      </c>
      <c r="B11788" s="2" t="s">
        <v>20438</v>
      </c>
      <c r="C11788" s="2" t="s">
        <v>5</v>
      </c>
      <c r="D11788" s="2" t="s">
        <v>3633</v>
      </c>
      <c r="E11788" s="2" t="str">
        <f>"9783030292850"</f>
        <v>9783030292850</v>
      </c>
      <c r="F11788" s="2" t="str">
        <f>"9783030292867"</f>
        <v>9783030292867</v>
      </c>
    </row>
    <row r="11789" spans="1:6" s="3" customFormat="1" ht="29.1" customHeight="1" x14ac:dyDescent="0.25">
      <c r="A11789" s="2" t="s">
        <v>23983</v>
      </c>
      <c r="B11789" s="2" t="s">
        <v>23984</v>
      </c>
      <c r="C11789" s="2" t="s">
        <v>5</v>
      </c>
      <c r="D11789" s="2" t="s">
        <v>636</v>
      </c>
      <c r="E11789" s="2" t="str">
        <f>"9783030289782"</f>
        <v>9783030289782</v>
      </c>
      <c r="F11789" s="2" t="str">
        <f>"9783030289799"</f>
        <v>9783030289799</v>
      </c>
    </row>
    <row r="11790" spans="1:6" s="3" customFormat="1" ht="29.1" customHeight="1" x14ac:dyDescent="0.25">
      <c r="A11790" s="2" t="s">
        <v>23985</v>
      </c>
      <c r="B11790" s="2" t="s">
        <v>23986</v>
      </c>
      <c r="C11790" s="2" t="s">
        <v>5</v>
      </c>
      <c r="D11790" s="2" t="s">
        <v>479</v>
      </c>
      <c r="E11790" s="2" t="str">
        <f>"9783030286828"</f>
        <v>9783030286828</v>
      </c>
      <c r="F11790" s="2" t="str">
        <f>"9783030286835"</f>
        <v>9783030286835</v>
      </c>
    </row>
    <row r="11791" spans="1:6" s="3" customFormat="1" ht="29.1" customHeight="1" x14ac:dyDescent="0.25">
      <c r="A11791" s="2" t="s">
        <v>23987</v>
      </c>
      <c r="B11791" s="2" t="s">
        <v>23988</v>
      </c>
      <c r="C11791" s="2" t="s">
        <v>5</v>
      </c>
      <c r="D11791" s="2" t="s">
        <v>2749</v>
      </c>
      <c r="E11791" s="2" t="str">
        <f>"9783030285609"</f>
        <v>9783030285609</v>
      </c>
      <c r="F11791" s="2" t="str">
        <f>"9783030285616"</f>
        <v>9783030285616</v>
      </c>
    </row>
    <row r="11792" spans="1:6" s="3" customFormat="1" ht="29.1" customHeight="1" x14ac:dyDescent="0.25">
      <c r="A11792" s="2" t="s">
        <v>23989</v>
      </c>
      <c r="B11792" s="2" t="s">
        <v>8541</v>
      </c>
      <c r="C11792" s="2" t="s">
        <v>5</v>
      </c>
      <c r="D11792" s="2" t="s">
        <v>192</v>
      </c>
      <c r="E11792" s="2" t="str">
        <f>"9783662636343"</f>
        <v>9783662636343</v>
      </c>
      <c r="F11792" s="2" t="str">
        <f>"9783662636350"</f>
        <v>9783662636350</v>
      </c>
    </row>
    <row r="11793" spans="1:6" s="3" customFormat="1" ht="29.1" customHeight="1" x14ac:dyDescent="0.25">
      <c r="A11793" s="2" t="s">
        <v>23990</v>
      </c>
      <c r="B11793" s="2" t="s">
        <v>23991</v>
      </c>
      <c r="C11793" s="2" t="s">
        <v>5</v>
      </c>
      <c r="D11793" s="2" t="s">
        <v>30</v>
      </c>
      <c r="E11793" s="2" t="str">
        <f>"9783030273637"</f>
        <v>9783030273637</v>
      </c>
      <c r="F11793" s="2" t="str">
        <f>"9783030273644"</f>
        <v>9783030273644</v>
      </c>
    </row>
    <row r="11794" spans="1:6" s="3" customFormat="1" ht="29.1" customHeight="1" x14ac:dyDescent="0.25">
      <c r="A11794" s="2" t="s">
        <v>23992</v>
      </c>
      <c r="B11794" s="2" t="s">
        <v>23993</v>
      </c>
      <c r="C11794" s="2" t="s">
        <v>5</v>
      </c>
      <c r="D11794" s="2" t="s">
        <v>1437</v>
      </c>
      <c r="E11794" s="2" t="str">
        <f>"9783658272579"</f>
        <v>9783658272579</v>
      </c>
      <c r="F11794" s="2" t="str">
        <f>"9783658272586"</f>
        <v>9783658272586</v>
      </c>
    </row>
    <row r="11795" spans="1:6" s="3" customFormat="1" ht="29.1" customHeight="1" x14ac:dyDescent="0.25">
      <c r="A11795" s="2" t="s">
        <v>23994</v>
      </c>
      <c r="B11795" s="2" t="s">
        <v>14338</v>
      </c>
      <c r="C11795" s="2" t="s">
        <v>5</v>
      </c>
      <c r="D11795" s="2" t="s">
        <v>674</v>
      </c>
      <c r="E11795" s="2" t="str">
        <f>"9783030268909"</f>
        <v>9783030268909</v>
      </c>
      <c r="F11795" s="2" t="str">
        <f>"9783030268916"</f>
        <v>9783030268916</v>
      </c>
    </row>
    <row r="11796" spans="1:6" s="3" customFormat="1" ht="29.1" customHeight="1" x14ac:dyDescent="0.25">
      <c r="A11796" s="2" t="s">
        <v>23995</v>
      </c>
      <c r="B11796" s="2" t="s">
        <v>23996</v>
      </c>
      <c r="C11796" s="2" t="s">
        <v>5</v>
      </c>
      <c r="D11796" s="2" t="s">
        <v>49</v>
      </c>
      <c r="E11796" s="2" t="str">
        <f>"9789813291775"</f>
        <v>9789813291775</v>
      </c>
      <c r="F11796" s="2" t="str">
        <f>"9789813291782"</f>
        <v>9789813291782</v>
      </c>
    </row>
    <row r="11797" spans="1:6" s="3" customFormat="1" ht="29.1" customHeight="1" x14ac:dyDescent="0.25">
      <c r="A11797" s="2" t="s">
        <v>23997</v>
      </c>
      <c r="B11797" s="2" t="s">
        <v>19817</v>
      </c>
      <c r="C11797" s="2" t="s">
        <v>5</v>
      </c>
      <c r="D11797" s="2" t="s">
        <v>183</v>
      </c>
      <c r="E11797" s="2" t="str">
        <f>"9783658271343"</f>
        <v>9783658271343</v>
      </c>
      <c r="F11797" s="2" t="str">
        <f>"9783658271350"</f>
        <v>9783658271350</v>
      </c>
    </row>
    <row r="11798" spans="1:6" s="3" customFormat="1" ht="29.1" customHeight="1" x14ac:dyDescent="0.25">
      <c r="A11798" s="2" t="s">
        <v>23998</v>
      </c>
      <c r="B11798" s="2" t="s">
        <v>23999</v>
      </c>
      <c r="C11798" s="2" t="s">
        <v>5</v>
      </c>
      <c r="D11798" s="2" t="s">
        <v>324</v>
      </c>
      <c r="E11798" s="2" t="str">
        <f>"9783030259679"</f>
        <v>9783030259679</v>
      </c>
      <c r="F11798" s="2" t="str">
        <f>"9783030259686"</f>
        <v>9783030259686</v>
      </c>
    </row>
    <row r="11799" spans="1:6" s="3" customFormat="1" ht="29.1" customHeight="1" x14ac:dyDescent="0.25">
      <c r="A11799" s="2" t="s">
        <v>24000</v>
      </c>
      <c r="B11799" s="2" t="s">
        <v>24001</v>
      </c>
      <c r="C11799" s="2" t="s">
        <v>5</v>
      </c>
      <c r="D11799" s="2" t="s">
        <v>553</v>
      </c>
      <c r="E11799" s="2" t="str">
        <f>"9783030256456"</f>
        <v>9783030256456</v>
      </c>
      <c r="F11799" s="2" t="str">
        <f>"9783030256463"</f>
        <v>9783030256463</v>
      </c>
    </row>
    <row r="11800" spans="1:6" s="3" customFormat="1" ht="29.1" customHeight="1" x14ac:dyDescent="0.25">
      <c r="A11800" s="2" t="s">
        <v>24002</v>
      </c>
      <c r="B11800" s="2" t="s">
        <v>24003</v>
      </c>
      <c r="C11800" s="2" t="s">
        <v>5</v>
      </c>
      <c r="D11800" s="2" t="s">
        <v>553</v>
      </c>
      <c r="E11800" s="2" t="str">
        <f>"9783030255244"</f>
        <v>9783030255244</v>
      </c>
      <c r="F11800" s="2" t="str">
        <f>"9783030255251"</f>
        <v>9783030255251</v>
      </c>
    </row>
    <row r="11801" spans="1:6" s="3" customFormat="1" ht="29.1" customHeight="1" x14ac:dyDescent="0.25">
      <c r="A11801" s="2" t="s">
        <v>24004</v>
      </c>
      <c r="B11801" s="2" t="s">
        <v>20539</v>
      </c>
      <c r="C11801" s="2" t="s">
        <v>5</v>
      </c>
      <c r="D11801" s="2" t="s">
        <v>98</v>
      </c>
      <c r="E11801" s="2" t="str">
        <f>"9783030254247"</f>
        <v>9783030254247</v>
      </c>
      <c r="F11801" s="2" t="str">
        <f>"9783030254254"</f>
        <v>9783030254254</v>
      </c>
    </row>
    <row r="11802" spans="1:6" s="3" customFormat="1" ht="29.1" customHeight="1" x14ac:dyDescent="0.25">
      <c r="A11802" s="2" t="s">
        <v>24005</v>
      </c>
      <c r="B11802" s="2" t="s">
        <v>24006</v>
      </c>
      <c r="C11802" s="2" t="s">
        <v>5</v>
      </c>
      <c r="D11802" s="2" t="s">
        <v>694</v>
      </c>
      <c r="E11802" s="2" t="str">
        <f>"9783030251192"</f>
        <v>9783030251192</v>
      </c>
      <c r="F11802" s="2" t="str">
        <f>"9783030251208"</f>
        <v>9783030251208</v>
      </c>
    </row>
    <row r="11803" spans="1:6" s="3" customFormat="1" ht="29.1" customHeight="1" x14ac:dyDescent="0.25">
      <c r="A11803" s="2" t="s">
        <v>24007</v>
      </c>
      <c r="B11803" s="2" t="s">
        <v>24008</v>
      </c>
      <c r="C11803" s="2" t="s">
        <v>5</v>
      </c>
      <c r="D11803" s="2" t="s">
        <v>183</v>
      </c>
      <c r="E11803" s="2" t="str">
        <f>"9783030249137"</f>
        <v>9783030249137</v>
      </c>
      <c r="F11803" s="2" t="str">
        <f>"9783030249144"</f>
        <v>9783030249144</v>
      </c>
    </row>
    <row r="11804" spans="1:6" s="3" customFormat="1" ht="29.1" customHeight="1" x14ac:dyDescent="0.25">
      <c r="A11804" s="2" t="s">
        <v>24009</v>
      </c>
      <c r="B11804" s="2" t="s">
        <v>24010</v>
      </c>
      <c r="C11804" s="2" t="s">
        <v>5</v>
      </c>
      <c r="D11804" s="2" t="s">
        <v>4092</v>
      </c>
      <c r="E11804" s="2" t="str">
        <f>"9783030242428"</f>
        <v>9783030242428</v>
      </c>
      <c r="F11804" s="2" t="str">
        <f>"9783030242435"</f>
        <v>9783030242435</v>
      </c>
    </row>
    <row r="11805" spans="1:6" s="3" customFormat="1" ht="29.1" customHeight="1" x14ac:dyDescent="0.25">
      <c r="A11805" s="2" t="s">
        <v>24011</v>
      </c>
      <c r="B11805" s="2" t="s">
        <v>24012</v>
      </c>
      <c r="C11805" s="2" t="s">
        <v>5</v>
      </c>
      <c r="D11805" s="2" t="s">
        <v>689</v>
      </c>
      <c r="E11805" s="2" t="str">
        <f>"9783030240202"</f>
        <v>9783030240202</v>
      </c>
      <c r="F11805" s="2" t="str">
        <f>"9783030240219"</f>
        <v>9783030240219</v>
      </c>
    </row>
    <row r="11806" spans="1:6" s="3" customFormat="1" ht="29.1" customHeight="1" x14ac:dyDescent="0.25">
      <c r="A11806" s="2" t="s">
        <v>24013</v>
      </c>
      <c r="B11806" s="2" t="s">
        <v>24014</v>
      </c>
      <c r="C11806" s="2" t="s">
        <v>5</v>
      </c>
      <c r="D11806" s="2" t="s">
        <v>1878</v>
      </c>
      <c r="E11806" s="2" t="str">
        <f>"9783030238414"</f>
        <v>9783030238414</v>
      </c>
      <c r="F11806" s="2" t="str">
        <f>"9783030238421"</f>
        <v>9783030238421</v>
      </c>
    </row>
    <row r="11807" spans="1:6" s="3" customFormat="1" ht="29.1" customHeight="1" x14ac:dyDescent="0.25">
      <c r="A11807" s="2" t="s">
        <v>24015</v>
      </c>
      <c r="B11807" s="2" t="s">
        <v>24016</v>
      </c>
      <c r="C11807" s="2" t="s">
        <v>5</v>
      </c>
      <c r="D11807" s="2" t="s">
        <v>353</v>
      </c>
      <c r="E11807" s="2" t="str">
        <f>"9783030235161"</f>
        <v>9783030235161</v>
      </c>
      <c r="F11807" s="2" t="str">
        <f>"9783030235178"</f>
        <v>9783030235178</v>
      </c>
    </row>
    <row r="11808" spans="1:6" s="3" customFormat="1" ht="29.1" customHeight="1" x14ac:dyDescent="0.25">
      <c r="A11808" s="2" t="s">
        <v>24017</v>
      </c>
      <c r="B11808" s="2" t="s">
        <v>24018</v>
      </c>
      <c r="C11808" s="2" t="s">
        <v>5</v>
      </c>
      <c r="D11808" s="2" t="s">
        <v>3304</v>
      </c>
      <c r="E11808" s="2" t="str">
        <f>"9783030228170"</f>
        <v>9783030228170</v>
      </c>
      <c r="F11808" s="2" t="str">
        <f>"9783030228187"</f>
        <v>9783030228187</v>
      </c>
    </row>
    <row r="11809" spans="1:6" s="3" customFormat="1" ht="29.1" customHeight="1" x14ac:dyDescent="0.25">
      <c r="A11809" s="2" t="s">
        <v>24019</v>
      </c>
      <c r="B11809" s="2" t="s">
        <v>24020</v>
      </c>
      <c r="C11809" s="2" t="s">
        <v>5</v>
      </c>
      <c r="D11809" s="2" t="s">
        <v>1422</v>
      </c>
      <c r="E11809" s="2" t="str">
        <f>"9783030449780"</f>
        <v>9783030449780</v>
      </c>
      <c r="F11809" s="2" t="str">
        <f>"9783030449797"</f>
        <v>9783030449797</v>
      </c>
    </row>
    <row r="11810" spans="1:6" s="3" customFormat="1" ht="29.1" customHeight="1" x14ac:dyDescent="0.25">
      <c r="A11810" s="2" t="s">
        <v>24021</v>
      </c>
      <c r="B11810" s="2" t="s">
        <v>19213</v>
      </c>
      <c r="C11810" s="2" t="s">
        <v>5</v>
      </c>
      <c r="D11810" s="2" t="s">
        <v>674</v>
      </c>
      <c r="E11810" s="2" t="str">
        <f>"9783030227029"</f>
        <v>9783030227029</v>
      </c>
      <c r="F11810" s="2" t="str">
        <f>"9783030227036"</f>
        <v>9783030227036</v>
      </c>
    </row>
    <row r="11811" spans="1:6" s="3" customFormat="1" ht="29.1" customHeight="1" x14ac:dyDescent="0.25">
      <c r="A11811" s="2" t="s">
        <v>20755</v>
      </c>
      <c r="B11811" s="2" t="s">
        <v>24022</v>
      </c>
      <c r="C11811" s="2" t="s">
        <v>5</v>
      </c>
      <c r="D11811" s="2" t="s">
        <v>5115</v>
      </c>
      <c r="E11811" s="2" t="str">
        <f>"9783319897219"</f>
        <v>9783319897219</v>
      </c>
      <c r="F11811" s="2" t="str">
        <f>"9783319897226"</f>
        <v>9783319897226</v>
      </c>
    </row>
    <row r="11812" spans="1:6" s="3" customFormat="1" ht="29.1" customHeight="1" x14ac:dyDescent="0.25">
      <c r="A11812" s="2" t="s">
        <v>6885</v>
      </c>
      <c r="B11812" s="2" t="s">
        <v>24023</v>
      </c>
      <c r="C11812" s="2" t="s">
        <v>5</v>
      </c>
      <c r="D11812" s="2" t="s">
        <v>487</v>
      </c>
      <c r="E11812" s="2" t="str">
        <f>"9783319893624"</f>
        <v>9783319893624</v>
      </c>
      <c r="F11812" s="2" t="str">
        <f>"9783319893631"</f>
        <v>9783319893631</v>
      </c>
    </row>
    <row r="11813" spans="1:6" s="3" customFormat="1" ht="29.1" customHeight="1" x14ac:dyDescent="0.25">
      <c r="A11813" s="2" t="s">
        <v>6883</v>
      </c>
      <c r="B11813" s="2" t="s">
        <v>24024</v>
      </c>
      <c r="C11813" s="2" t="s">
        <v>5</v>
      </c>
      <c r="D11813" s="2" t="s">
        <v>1902</v>
      </c>
      <c r="E11813" s="2" t="str">
        <f>"9783319893655"</f>
        <v>9783319893655</v>
      </c>
      <c r="F11813" s="2" t="str">
        <f>"9783319893662"</f>
        <v>9783319893662</v>
      </c>
    </row>
    <row r="11814" spans="1:6" s="3" customFormat="1" ht="29.1" customHeight="1" x14ac:dyDescent="0.25">
      <c r="A11814" s="2" t="s">
        <v>24025</v>
      </c>
      <c r="B11814" s="2" t="s">
        <v>24026</v>
      </c>
      <c r="C11814" s="2" t="s">
        <v>5</v>
      </c>
      <c r="D11814" s="2" t="s">
        <v>52</v>
      </c>
      <c r="E11814" s="2" t="str">
        <f>"9783319720371"</f>
        <v>9783319720371</v>
      </c>
      <c r="F11814" s="2" t="str">
        <f>"9783319720388"</f>
        <v>9783319720388</v>
      </c>
    </row>
    <row r="11815" spans="1:6" s="3" customFormat="1" ht="29.1" customHeight="1" x14ac:dyDescent="0.25">
      <c r="A11815" s="2" t="s">
        <v>20721</v>
      </c>
      <c r="B11815" s="2" t="s">
        <v>24027</v>
      </c>
      <c r="C11815" s="2" t="s">
        <v>5</v>
      </c>
      <c r="D11815" s="2" t="s">
        <v>52</v>
      </c>
      <c r="E11815" s="2" t="str">
        <f>"9783319699523"</f>
        <v>9783319699523</v>
      </c>
      <c r="F11815" s="2" t="str">
        <f>"9783319699530"</f>
        <v>9783319699530</v>
      </c>
    </row>
    <row r="11816" spans="1:6" s="3" customFormat="1" ht="29.1" customHeight="1" x14ac:dyDescent="0.25">
      <c r="A11816" s="2" t="s">
        <v>24028</v>
      </c>
      <c r="B11816" s="2" t="s">
        <v>24029</v>
      </c>
      <c r="C11816" s="2" t="s">
        <v>5</v>
      </c>
      <c r="D11816" s="2" t="s">
        <v>144</v>
      </c>
      <c r="E11816" s="2" t="str">
        <f>"9783319607733"</f>
        <v>9783319607733</v>
      </c>
      <c r="F11816" s="2" t="str">
        <f>"9783319607740"</f>
        <v>9783319607740</v>
      </c>
    </row>
    <row r="11817" spans="1:6" s="3" customFormat="1" ht="29.1" customHeight="1" x14ac:dyDescent="0.25">
      <c r="A11817" s="2" t="s">
        <v>24030</v>
      </c>
      <c r="B11817" s="2" t="s">
        <v>24031</v>
      </c>
      <c r="C11817" s="2" t="s">
        <v>5</v>
      </c>
      <c r="D11817" s="2" t="s">
        <v>331</v>
      </c>
      <c r="E11817" s="2" t="str">
        <f>"9783319577524"</f>
        <v>9783319577524</v>
      </c>
      <c r="F11817" s="2" t="str">
        <f>"9783319577531"</f>
        <v>9783319577531</v>
      </c>
    </row>
    <row r="11818" spans="1:6" s="3" customFormat="1" ht="29.1" customHeight="1" x14ac:dyDescent="0.25">
      <c r="A11818" s="2" t="s">
        <v>24032</v>
      </c>
      <c r="B11818" s="2" t="s">
        <v>24033</v>
      </c>
      <c r="C11818" s="2" t="s">
        <v>5</v>
      </c>
      <c r="D11818" s="2" t="s">
        <v>367</v>
      </c>
      <c r="E11818" s="2" t="str">
        <f>"9783319475899"</f>
        <v>9783319475899</v>
      </c>
      <c r="F11818" s="2" t="str">
        <f>"9783319475905"</f>
        <v>9783319475905</v>
      </c>
    </row>
    <row r="11819" spans="1:6" s="3" customFormat="1" ht="29.1" customHeight="1" x14ac:dyDescent="0.25">
      <c r="A11819" s="2" t="s">
        <v>24034</v>
      </c>
      <c r="B11819" s="2" t="s">
        <v>24035</v>
      </c>
      <c r="C11819" s="2" t="s">
        <v>5</v>
      </c>
      <c r="D11819" s="2" t="s">
        <v>504</v>
      </c>
      <c r="E11819" s="2" t="str">
        <f>"9783030279677"</f>
        <v>9783030279677</v>
      </c>
      <c r="F11819" s="2" t="str">
        <f>"9783030279684"</f>
        <v>9783030279684</v>
      </c>
    </row>
    <row r="11820" spans="1:6" s="3" customFormat="1" ht="29.1" customHeight="1" x14ac:dyDescent="0.25">
      <c r="A11820" s="2" t="s">
        <v>24036</v>
      </c>
      <c r="B11820" s="2" t="s">
        <v>24037</v>
      </c>
      <c r="C11820" s="2" t="s">
        <v>5</v>
      </c>
      <c r="D11820" s="2" t="s">
        <v>850</v>
      </c>
      <c r="E11820" s="2" t="str">
        <f>"9784431569299"</f>
        <v>9784431569299</v>
      </c>
      <c r="F11820" s="2" t="str">
        <f>"9784431569312"</f>
        <v>9784431569312</v>
      </c>
    </row>
    <row r="11821" spans="1:6" s="3" customFormat="1" ht="29.1" customHeight="1" x14ac:dyDescent="0.25">
      <c r="A11821" s="2" t="s">
        <v>24038</v>
      </c>
      <c r="B11821" s="2" t="s">
        <v>24039</v>
      </c>
      <c r="C11821" s="2" t="s">
        <v>5</v>
      </c>
      <c r="D11821" s="2" t="s">
        <v>1932</v>
      </c>
      <c r="E11821" s="2" t="str">
        <f>"9783030664015"</f>
        <v>9783030664015</v>
      </c>
      <c r="F11821" s="2" t="str">
        <f>"9783030664022"</f>
        <v>9783030664022</v>
      </c>
    </row>
    <row r="11822" spans="1:6" s="3" customFormat="1" ht="29.1" customHeight="1" x14ac:dyDescent="0.25">
      <c r="A11822" s="2" t="s">
        <v>24040</v>
      </c>
      <c r="B11822" s="2" t="s">
        <v>24041</v>
      </c>
      <c r="C11822" s="2" t="s">
        <v>5</v>
      </c>
      <c r="D11822" s="2" t="s">
        <v>515</v>
      </c>
      <c r="E11822" s="2" t="str">
        <f>"9783030344887"</f>
        <v>9783030344887</v>
      </c>
      <c r="F11822" s="2" t="str">
        <f>"9783030344894"</f>
        <v>9783030344894</v>
      </c>
    </row>
    <row r="11823" spans="1:6" s="3" customFormat="1" ht="29.1" customHeight="1" x14ac:dyDescent="0.25">
      <c r="A11823" s="2" t="s">
        <v>24042</v>
      </c>
      <c r="B11823" s="2" t="s">
        <v>24043</v>
      </c>
      <c r="C11823" s="2" t="s">
        <v>5</v>
      </c>
      <c r="D11823" s="2" t="s">
        <v>159</v>
      </c>
      <c r="E11823" s="2" t="str">
        <f>"9783030483463"</f>
        <v>9783030483463</v>
      </c>
      <c r="F11823" s="2" t="str">
        <f>"9783030483470"</f>
        <v>9783030483470</v>
      </c>
    </row>
    <row r="11824" spans="1:6" s="3" customFormat="1" ht="29.1" customHeight="1" x14ac:dyDescent="0.25">
      <c r="A11824" s="2" t="s">
        <v>24044</v>
      </c>
      <c r="B11824" s="2" t="s">
        <v>24045</v>
      </c>
      <c r="C11824" s="2" t="s">
        <v>5</v>
      </c>
      <c r="D11824" s="2" t="s">
        <v>1463</v>
      </c>
      <c r="E11824" s="2" t="str">
        <f>"9783030861858"</f>
        <v>9783030861858</v>
      </c>
      <c r="F11824" s="2" t="str">
        <f>"9783030861865"</f>
        <v>9783030861865</v>
      </c>
    </row>
    <row r="11825" spans="1:6" s="3" customFormat="1" ht="29.1" customHeight="1" x14ac:dyDescent="0.25">
      <c r="A11825" s="2" t="s">
        <v>24046</v>
      </c>
      <c r="B11825" s="2" t="s">
        <v>24045</v>
      </c>
      <c r="C11825" s="2" t="s">
        <v>5</v>
      </c>
      <c r="D11825" s="2" t="s">
        <v>1463</v>
      </c>
      <c r="E11825" s="2" t="str">
        <f>"9783030860233"</f>
        <v>9783030860233</v>
      </c>
      <c r="F11825" s="2" t="str">
        <f>"9783030860240"</f>
        <v>9783030860240</v>
      </c>
    </row>
    <row r="11826" spans="1:6" s="3" customFormat="1" ht="29.1" customHeight="1" x14ac:dyDescent="0.25">
      <c r="A11826" s="2" t="s">
        <v>24047</v>
      </c>
      <c r="B11826" s="2" t="s">
        <v>24048</v>
      </c>
      <c r="C11826" s="2" t="s">
        <v>5</v>
      </c>
      <c r="D11826" s="2" t="s">
        <v>1864</v>
      </c>
      <c r="E11826" s="2" t="str">
        <f>"9783030784973"</f>
        <v>9783030784973</v>
      </c>
      <c r="F11826" s="2" t="str">
        <f>"9783030784980"</f>
        <v>9783030784980</v>
      </c>
    </row>
    <row r="11827" spans="1:6" s="3" customFormat="1" ht="29.1" customHeight="1" x14ac:dyDescent="0.25">
      <c r="A11827" s="2" t="s">
        <v>24049</v>
      </c>
      <c r="B11827" s="2" t="s">
        <v>24050</v>
      </c>
      <c r="C11827" s="2" t="s">
        <v>5</v>
      </c>
      <c r="D11827" s="2" t="s">
        <v>350</v>
      </c>
      <c r="E11827" s="2" t="str">
        <f>"9783319766430"</f>
        <v>9783319766430</v>
      </c>
      <c r="F11827" s="2" t="str">
        <f>"9783319766447"</f>
        <v>9783319766447</v>
      </c>
    </row>
    <row r="11828" spans="1:6" s="3" customFormat="1" ht="29.1" customHeight="1" x14ac:dyDescent="0.25">
      <c r="A11828" s="2" t="s">
        <v>24051</v>
      </c>
      <c r="B11828" s="2" t="s">
        <v>24052</v>
      </c>
      <c r="C11828" s="2" t="s">
        <v>5</v>
      </c>
      <c r="D11828" s="2" t="s">
        <v>1437</v>
      </c>
      <c r="E11828" s="2" t="str">
        <f>"9783319134369"</f>
        <v>9783319134369</v>
      </c>
      <c r="F11828" s="2" t="str">
        <f>"9783319134376"</f>
        <v>9783319134376</v>
      </c>
    </row>
    <row r="11829" spans="1:6" s="3" customFormat="1" ht="29.1" customHeight="1" x14ac:dyDescent="0.25">
      <c r="A11829" s="2" t="s">
        <v>24053</v>
      </c>
      <c r="B11829" s="2" t="s">
        <v>24054</v>
      </c>
      <c r="C11829" s="2" t="s">
        <v>5</v>
      </c>
      <c r="D11829" s="2" t="s">
        <v>3062</v>
      </c>
      <c r="E11829" s="2" t="str">
        <f>"9783030424718"</f>
        <v>9783030424718</v>
      </c>
      <c r="F11829" s="2" t="str">
        <f>"9783030424725"</f>
        <v>9783030424725</v>
      </c>
    </row>
    <row r="11830" spans="1:6" s="3" customFormat="1" ht="29.1" customHeight="1" x14ac:dyDescent="0.25">
      <c r="A11830" s="2" t="s">
        <v>24055</v>
      </c>
      <c r="B11830" s="2" t="s">
        <v>24056</v>
      </c>
      <c r="C11830" s="2" t="s">
        <v>5</v>
      </c>
      <c r="D11830" s="2" t="s">
        <v>3062</v>
      </c>
      <c r="E11830" s="2" t="str">
        <f>"9783319648187"</f>
        <v>9783319648187</v>
      </c>
      <c r="F11830" s="2" t="str">
        <f>"9783319648200"</f>
        <v>9783319648200</v>
      </c>
    </row>
    <row r="11831" spans="1:6" s="3" customFormat="1" ht="29.1" customHeight="1" x14ac:dyDescent="0.25">
      <c r="A11831" s="2" t="s">
        <v>24057</v>
      </c>
      <c r="B11831" s="2" t="s">
        <v>24058</v>
      </c>
      <c r="C11831" s="2" t="s">
        <v>5</v>
      </c>
      <c r="D11831" s="2" t="s">
        <v>3062</v>
      </c>
      <c r="E11831" s="2" t="str">
        <f>"9783319413020"</f>
        <v>9783319413020</v>
      </c>
      <c r="F11831" s="2" t="str">
        <f>"9783319413044"</f>
        <v>9783319413044</v>
      </c>
    </row>
    <row r="11832" spans="1:6" s="3" customFormat="1" ht="29.1" customHeight="1" x14ac:dyDescent="0.25">
      <c r="A11832" s="2" t="s">
        <v>24059</v>
      </c>
      <c r="B11832" s="2" t="s">
        <v>24060</v>
      </c>
      <c r="C11832" s="2" t="s">
        <v>5</v>
      </c>
      <c r="D11832" s="2" t="s">
        <v>232</v>
      </c>
      <c r="E11832" s="2" t="str">
        <f>"9783319300290"</f>
        <v>9783319300290</v>
      </c>
      <c r="F11832" s="2" t="str">
        <f>"9783319300306"</f>
        <v>9783319300306</v>
      </c>
    </row>
    <row r="11833" spans="1:6" s="3" customFormat="1" ht="29.1" customHeight="1" x14ac:dyDescent="0.25">
      <c r="A11833" s="2" t="s">
        <v>24061</v>
      </c>
      <c r="B11833" s="2" t="s">
        <v>20161</v>
      </c>
      <c r="C11833" s="2" t="s">
        <v>5</v>
      </c>
      <c r="D11833" s="2" t="s">
        <v>3062</v>
      </c>
      <c r="E11833" s="2" t="str">
        <f>"9783030684785"</f>
        <v>9783030684785</v>
      </c>
      <c r="F11833" s="2" t="str">
        <f>"9783030684792"</f>
        <v>9783030684792</v>
      </c>
    </row>
    <row r="11834" spans="1:6" s="3" customFormat="1" ht="29.1" customHeight="1" x14ac:dyDescent="0.25">
      <c r="A11834" s="2" t="s">
        <v>24062</v>
      </c>
      <c r="B11834" s="2" t="s">
        <v>24063</v>
      </c>
      <c r="C11834" s="2" t="s">
        <v>5</v>
      </c>
      <c r="D11834" s="2" t="s">
        <v>855</v>
      </c>
      <c r="E11834" s="2" t="str">
        <f>"9783030370534"</f>
        <v>9783030370534</v>
      </c>
      <c r="F11834" s="2" t="str">
        <f>"9783030370541"</f>
        <v>9783030370541</v>
      </c>
    </row>
    <row r="11835" spans="1:6" s="3" customFormat="1" ht="29.1" customHeight="1" x14ac:dyDescent="0.25">
      <c r="A11835" s="2" t="s">
        <v>24064</v>
      </c>
      <c r="B11835" s="2" t="s">
        <v>24065</v>
      </c>
      <c r="C11835" s="2" t="s">
        <v>5</v>
      </c>
      <c r="D11835" s="2" t="s">
        <v>3062</v>
      </c>
      <c r="E11835" s="2" t="str">
        <f>"9783030258375"</f>
        <v>9783030258375</v>
      </c>
      <c r="F11835" s="2" t="str">
        <f>"9783030258382"</f>
        <v>9783030258382</v>
      </c>
    </row>
    <row r="11836" spans="1:6" s="3" customFormat="1" ht="29.1" customHeight="1" x14ac:dyDescent="0.25">
      <c r="A11836" s="2" t="s">
        <v>24066</v>
      </c>
      <c r="B11836" s="2" t="s">
        <v>22417</v>
      </c>
      <c r="C11836" s="2" t="s">
        <v>5</v>
      </c>
      <c r="D11836" s="2" t="s">
        <v>689</v>
      </c>
      <c r="E11836" s="2" t="str">
        <f>"9783319655536"</f>
        <v>9783319655536</v>
      </c>
      <c r="F11836" s="2" t="str">
        <f>"9783319655543"</f>
        <v>9783319655543</v>
      </c>
    </row>
    <row r="11837" spans="1:6" s="3" customFormat="1" ht="29.1" customHeight="1" x14ac:dyDescent="0.25">
      <c r="A11837" s="2" t="s">
        <v>24067</v>
      </c>
      <c r="B11837" s="2" t="s">
        <v>24068</v>
      </c>
      <c r="C11837" s="2" t="s">
        <v>5</v>
      </c>
      <c r="D11837" s="2" t="s">
        <v>2271</v>
      </c>
      <c r="E11837" s="2" t="str">
        <f>"9783030756444"</f>
        <v>9783030756444</v>
      </c>
      <c r="F11837" s="2" t="str">
        <f>"9783030756451"</f>
        <v>9783030756451</v>
      </c>
    </row>
    <row r="11838" spans="1:6" s="3" customFormat="1" ht="29.1" customHeight="1" x14ac:dyDescent="0.25">
      <c r="A11838" s="2" t="s">
        <v>24069</v>
      </c>
      <c r="B11838" s="2" t="s">
        <v>24070</v>
      </c>
      <c r="C11838" s="2" t="s">
        <v>5</v>
      </c>
      <c r="D11838" s="2" t="s">
        <v>2271</v>
      </c>
      <c r="E11838" s="2" t="str">
        <f>"9783030528805"</f>
        <v>9783030528805</v>
      </c>
      <c r="F11838" s="2" t="str">
        <f>"9783030528812"</f>
        <v>9783030528812</v>
      </c>
    </row>
    <row r="11839" spans="1:6" s="3" customFormat="1" ht="29.1" customHeight="1" x14ac:dyDescent="0.25">
      <c r="A11839" s="2" t="s">
        <v>24071</v>
      </c>
      <c r="B11839" s="2" t="s">
        <v>24072</v>
      </c>
      <c r="C11839" s="2" t="s">
        <v>5</v>
      </c>
      <c r="D11839" s="2" t="s">
        <v>1840</v>
      </c>
      <c r="E11839" s="2" t="str">
        <f>"9783319988832"</f>
        <v>9783319988832</v>
      </c>
      <c r="F11839" s="2" t="str">
        <f>"9783319988849"</f>
        <v>9783319988849</v>
      </c>
    </row>
    <row r="11840" spans="1:6" s="3" customFormat="1" ht="29.1" customHeight="1" x14ac:dyDescent="0.25">
      <c r="A11840" s="2" t="s">
        <v>24073</v>
      </c>
      <c r="B11840" s="2" t="s">
        <v>24074</v>
      </c>
      <c r="C11840" s="2" t="s">
        <v>5</v>
      </c>
      <c r="D11840" s="2" t="s">
        <v>183</v>
      </c>
      <c r="E11840" s="2" t="str">
        <f>"9783030987978"</f>
        <v>9783030987978</v>
      </c>
      <c r="F11840" s="2" t="str">
        <f>"9783030987985"</f>
        <v>9783030987985</v>
      </c>
    </row>
    <row r="11841" spans="1:6" s="3" customFormat="1" ht="29.1" customHeight="1" x14ac:dyDescent="0.25">
      <c r="A11841" s="2" t="s">
        <v>24075</v>
      </c>
      <c r="B11841" s="2" t="s">
        <v>24076</v>
      </c>
      <c r="C11841" s="2" t="s">
        <v>5</v>
      </c>
      <c r="D11841" s="2" t="s">
        <v>650</v>
      </c>
      <c r="E11841" s="2" t="str">
        <f>"9783031090073"</f>
        <v>9783031090073</v>
      </c>
      <c r="F11841" s="2" t="str">
        <f>"9783031090080"</f>
        <v>9783031090080</v>
      </c>
    </row>
    <row r="11842" spans="1:6" s="3" customFormat="1" ht="29.1" customHeight="1" x14ac:dyDescent="0.25">
      <c r="A11842" s="2" t="s">
        <v>24077</v>
      </c>
      <c r="B11842" s="2" t="s">
        <v>24078</v>
      </c>
      <c r="C11842" s="2" t="s">
        <v>5</v>
      </c>
      <c r="D11842" s="2" t="s">
        <v>547</v>
      </c>
      <c r="E11842" s="2" t="str">
        <f>"9783319559810"</f>
        <v>9783319559810</v>
      </c>
      <c r="F11842" s="2" t="str">
        <f>"9783319559827"</f>
        <v>9783319559827</v>
      </c>
    </row>
    <row r="11843" spans="1:6" s="3" customFormat="1" ht="29.1" customHeight="1" x14ac:dyDescent="0.25">
      <c r="A11843" s="2" t="s">
        <v>24079</v>
      </c>
      <c r="B11843" s="2" t="s">
        <v>24080</v>
      </c>
      <c r="C11843" s="2" t="s">
        <v>5</v>
      </c>
      <c r="D11843" s="2" t="s">
        <v>674</v>
      </c>
      <c r="E11843" s="2" t="str">
        <f>"9783030785352"</f>
        <v>9783030785352</v>
      </c>
      <c r="F11843" s="2" t="str">
        <f>"9783030785369"</f>
        <v>9783030785369</v>
      </c>
    </row>
    <row r="11844" spans="1:6" s="3" customFormat="1" ht="29.1" customHeight="1" x14ac:dyDescent="0.25">
      <c r="A11844" s="2" t="s">
        <v>24081</v>
      </c>
      <c r="B11844" s="2" t="s">
        <v>22661</v>
      </c>
      <c r="C11844" s="2" t="s">
        <v>5</v>
      </c>
      <c r="D11844" s="2" t="s">
        <v>1888</v>
      </c>
      <c r="E11844" s="2" t="str">
        <f>"9783030915964"</f>
        <v>9783030915964</v>
      </c>
      <c r="F11844" s="2" t="str">
        <f>"9783030915971"</f>
        <v>9783030915971</v>
      </c>
    </row>
    <row r="11845" spans="1:6" s="3" customFormat="1" ht="29.1" customHeight="1" x14ac:dyDescent="0.25">
      <c r="A11845" s="2" t="s">
        <v>24082</v>
      </c>
      <c r="B11845" s="2" t="s">
        <v>24083</v>
      </c>
      <c r="C11845" s="2" t="s">
        <v>5</v>
      </c>
      <c r="D11845" s="2" t="s">
        <v>2326</v>
      </c>
      <c r="E11845" s="2" t="str">
        <f>"9783030852573"</f>
        <v>9783030852573</v>
      </c>
      <c r="F11845" s="2" t="str">
        <f>"9783030852580"</f>
        <v>9783030852580</v>
      </c>
    </row>
    <row r="11846" spans="1:6" s="3" customFormat="1" ht="29.1" customHeight="1" x14ac:dyDescent="0.25">
      <c r="A11846" s="2" t="s">
        <v>24084</v>
      </c>
      <c r="B11846" s="2" t="s">
        <v>24085</v>
      </c>
      <c r="C11846" s="2" t="s">
        <v>5</v>
      </c>
      <c r="D11846" s="2" t="s">
        <v>1932</v>
      </c>
      <c r="E11846" s="2" t="str">
        <f>"9783319444291"</f>
        <v>9783319444291</v>
      </c>
      <c r="F11846" s="2" t="str">
        <f>"9783319444314"</f>
        <v>9783319444314</v>
      </c>
    </row>
    <row r="11847" spans="1:6" s="3" customFormat="1" ht="29.1" customHeight="1" x14ac:dyDescent="0.25">
      <c r="A11847" s="2" t="s">
        <v>24086</v>
      </c>
      <c r="B11847" s="2" t="s">
        <v>24087</v>
      </c>
      <c r="C11847" s="2" t="s">
        <v>5</v>
      </c>
      <c r="D11847" s="2" t="s">
        <v>3319</v>
      </c>
      <c r="E11847" s="2" t="str">
        <f>"9783319727899"</f>
        <v>9783319727899</v>
      </c>
      <c r="F11847" s="2" t="str">
        <f>"9783319727905"</f>
        <v>9783319727905</v>
      </c>
    </row>
    <row r="11848" spans="1:6" s="3" customFormat="1" ht="29.1" customHeight="1" x14ac:dyDescent="0.25">
      <c r="A11848" s="2" t="s">
        <v>24088</v>
      </c>
      <c r="B11848" s="2" t="s">
        <v>24089</v>
      </c>
      <c r="C11848" s="2" t="s">
        <v>5</v>
      </c>
      <c r="D11848" s="2" t="s">
        <v>378</v>
      </c>
      <c r="E11848" s="2" t="str">
        <f>"9783030617271"</f>
        <v>9783030617271</v>
      </c>
      <c r="F11848" s="2" t="str">
        <f>"9783030617288"</f>
        <v>9783030617288</v>
      </c>
    </row>
    <row r="11849" spans="1:6" s="3" customFormat="1" ht="29.1" customHeight="1" x14ac:dyDescent="0.25">
      <c r="A11849" s="2" t="s">
        <v>24090</v>
      </c>
      <c r="B11849" s="2" t="s">
        <v>24091</v>
      </c>
      <c r="C11849" s="2" t="s">
        <v>5</v>
      </c>
      <c r="D11849" s="2" t="s">
        <v>1840</v>
      </c>
      <c r="E11849" s="2" t="str">
        <f>"9783031097119"</f>
        <v>9783031097119</v>
      </c>
      <c r="F11849" s="2" t="str">
        <f>"9783031097126"</f>
        <v>9783031097126</v>
      </c>
    </row>
    <row r="11850" spans="1:6" s="3" customFormat="1" ht="29.1" customHeight="1" x14ac:dyDescent="0.25">
      <c r="A11850" s="2" t="s">
        <v>24092</v>
      </c>
      <c r="B11850" s="2" t="s">
        <v>24093</v>
      </c>
      <c r="C11850" s="2" t="s">
        <v>5</v>
      </c>
      <c r="D11850" s="2" t="s">
        <v>1071</v>
      </c>
      <c r="E11850" s="2" t="str">
        <f>"9783030138448"</f>
        <v>9783030138448</v>
      </c>
      <c r="F11850" s="2" t="str">
        <f>"9783030138455"</f>
        <v>9783030138455</v>
      </c>
    </row>
    <row r="11851" spans="1:6" s="3" customFormat="1" ht="29.1" customHeight="1" x14ac:dyDescent="0.25">
      <c r="A11851" s="2" t="s">
        <v>24094</v>
      </c>
      <c r="B11851" s="2" t="s">
        <v>24095</v>
      </c>
      <c r="C11851" s="2" t="s">
        <v>5</v>
      </c>
      <c r="D11851" s="2" t="s">
        <v>370</v>
      </c>
      <c r="E11851" s="2" t="str">
        <f>"9783319254722"</f>
        <v>9783319254722</v>
      </c>
      <c r="F11851" s="2" t="str">
        <f>"9783319254746"</f>
        <v>9783319254746</v>
      </c>
    </row>
    <row r="11852" spans="1:6" s="3" customFormat="1" ht="29.1" customHeight="1" x14ac:dyDescent="0.25">
      <c r="A11852" s="2" t="s">
        <v>24096</v>
      </c>
      <c r="B11852" s="2" t="s">
        <v>24097</v>
      </c>
      <c r="C11852" s="2" t="s">
        <v>5</v>
      </c>
      <c r="D11852" s="2" t="s">
        <v>2178</v>
      </c>
      <c r="E11852" s="2" t="str">
        <f>"9783319730929"</f>
        <v>9783319730929</v>
      </c>
      <c r="F11852" s="2" t="str">
        <f>"9783319730936"</f>
        <v>9783319730936</v>
      </c>
    </row>
    <row r="11853" spans="1:6" s="3" customFormat="1" ht="29.1" customHeight="1" x14ac:dyDescent="0.25">
      <c r="A11853" s="2" t="s">
        <v>24098</v>
      </c>
      <c r="B11853" s="2" t="s">
        <v>24099</v>
      </c>
      <c r="C11853" s="2" t="s">
        <v>5</v>
      </c>
      <c r="D11853" s="2" t="s">
        <v>98</v>
      </c>
      <c r="E11853" s="2" t="str">
        <f>"9789811065583"</f>
        <v>9789811065583</v>
      </c>
      <c r="F11853" s="2" t="str">
        <f>"9789811065590"</f>
        <v>9789811065590</v>
      </c>
    </row>
    <row r="11854" spans="1:6" s="3" customFormat="1" ht="29.1" customHeight="1" x14ac:dyDescent="0.25">
      <c r="A11854" s="2" t="s">
        <v>24100</v>
      </c>
      <c r="B11854" s="2" t="s">
        <v>24101</v>
      </c>
      <c r="C11854" s="2" t="s">
        <v>5</v>
      </c>
      <c r="D11854" s="2" t="s">
        <v>2178</v>
      </c>
      <c r="E11854" s="2" t="str">
        <f>"9783319152776"</f>
        <v>9783319152776</v>
      </c>
      <c r="F11854" s="2" t="str">
        <f>"9783319152783"</f>
        <v>9783319152783</v>
      </c>
    </row>
    <row r="11855" spans="1:6" s="3" customFormat="1" ht="29.1" customHeight="1" x14ac:dyDescent="0.25">
      <c r="A11855" s="2" t="s">
        <v>24102</v>
      </c>
      <c r="B11855" s="2" t="s">
        <v>24103</v>
      </c>
      <c r="C11855" s="2" t="s">
        <v>5</v>
      </c>
      <c r="D11855" s="2" t="s">
        <v>4013</v>
      </c>
      <c r="E11855" s="2" t="str">
        <f>"9783030846893"</f>
        <v>9783030846893</v>
      </c>
      <c r="F11855" s="2" t="str">
        <f>"9783030846909"</f>
        <v>9783030846909</v>
      </c>
    </row>
    <row r="11856" spans="1:6" s="3" customFormat="1" ht="29.1" customHeight="1" x14ac:dyDescent="0.25">
      <c r="A11856" s="2" t="s">
        <v>24104</v>
      </c>
      <c r="B11856" s="2" t="s">
        <v>24105</v>
      </c>
      <c r="C11856" s="2" t="s">
        <v>5</v>
      </c>
      <c r="D11856" s="2" t="s">
        <v>317</v>
      </c>
      <c r="E11856" s="2" t="str">
        <f>"9783031304767"</f>
        <v>9783031304767</v>
      </c>
      <c r="F11856" s="2" t="str">
        <f>"9783031304774"</f>
        <v>9783031304774</v>
      </c>
    </row>
    <row r="11857" spans="1:6" s="3" customFormat="1" ht="29.1" customHeight="1" x14ac:dyDescent="0.25">
      <c r="A11857" s="2" t="s">
        <v>24106</v>
      </c>
      <c r="B11857" s="2" t="s">
        <v>24107</v>
      </c>
      <c r="C11857" s="2" t="s">
        <v>5</v>
      </c>
      <c r="D11857" s="2" t="s">
        <v>317</v>
      </c>
      <c r="E11857" s="2" t="str">
        <f>"9783030426026"</f>
        <v>9783030426026</v>
      </c>
      <c r="F11857" s="2" t="str">
        <f>"9783030426033"</f>
        <v>9783030426033</v>
      </c>
    </row>
    <row r="11858" spans="1:6" s="3" customFormat="1" ht="29.1" customHeight="1" x14ac:dyDescent="0.25">
      <c r="A11858" s="2" t="s">
        <v>24108</v>
      </c>
      <c r="B11858" s="2" t="s">
        <v>24109</v>
      </c>
      <c r="C11858" s="2" t="s">
        <v>5</v>
      </c>
      <c r="D11858" s="2" t="s">
        <v>12</v>
      </c>
      <c r="E11858" s="2" t="str">
        <f>"9783319189703"</f>
        <v>9783319189703</v>
      </c>
      <c r="F11858" s="2" t="str">
        <f>"9783319189710"</f>
        <v>9783319189710</v>
      </c>
    </row>
    <row r="11859" spans="1:6" s="3" customFormat="1" ht="29.1" customHeight="1" x14ac:dyDescent="0.25">
      <c r="A11859" s="2" t="s">
        <v>24110</v>
      </c>
      <c r="B11859" s="2" t="s">
        <v>24111</v>
      </c>
      <c r="C11859" s="2" t="s">
        <v>5</v>
      </c>
      <c r="D11859" s="2" t="s">
        <v>52</v>
      </c>
      <c r="E11859" s="2" t="str">
        <f>"9783031080197"</f>
        <v>9783031080197</v>
      </c>
      <c r="F11859" s="2" t="str">
        <f>"9783031080203"</f>
        <v>9783031080203</v>
      </c>
    </row>
    <row r="11860" spans="1:6" s="3" customFormat="1" ht="29.1" customHeight="1" x14ac:dyDescent="0.25">
      <c r="A11860" s="2" t="s">
        <v>24112</v>
      </c>
      <c r="B11860" s="2" t="s">
        <v>24113</v>
      </c>
      <c r="C11860" s="2" t="s">
        <v>5</v>
      </c>
      <c r="D11860" s="2" t="s">
        <v>537</v>
      </c>
      <c r="E11860" s="2" t="str">
        <f>"9783031395772"</f>
        <v>9783031395772</v>
      </c>
      <c r="F11860" s="2" t="str">
        <f>"9783031395789"</f>
        <v>9783031395789</v>
      </c>
    </row>
    <row r="11861" spans="1:6" s="3" customFormat="1" ht="29.1" customHeight="1" x14ac:dyDescent="0.25">
      <c r="A11861" s="2" t="s">
        <v>24114</v>
      </c>
      <c r="B11861" s="2" t="s">
        <v>24115</v>
      </c>
      <c r="C11861" s="2" t="s">
        <v>5</v>
      </c>
      <c r="D11861" s="2" t="s">
        <v>547</v>
      </c>
      <c r="E11861" s="2" t="str">
        <f>"9783030157326"</f>
        <v>9783030157326</v>
      </c>
      <c r="F11861" s="2" t="str">
        <f>"9783030157340"</f>
        <v>9783030157340</v>
      </c>
    </row>
    <row r="11862" spans="1:6" s="3" customFormat="1" ht="29.1" customHeight="1" x14ac:dyDescent="0.25">
      <c r="A11862" s="2" t="s">
        <v>24116</v>
      </c>
      <c r="B11862" s="2" t="s">
        <v>24117</v>
      </c>
      <c r="C11862" s="2" t="s">
        <v>5</v>
      </c>
      <c r="D11862" s="2" t="s">
        <v>984</v>
      </c>
      <c r="E11862" s="2" t="str">
        <f>"9783030942724"</f>
        <v>9783030942724</v>
      </c>
      <c r="F11862" s="2" t="str">
        <f>"9783030942731"</f>
        <v>9783030942731</v>
      </c>
    </row>
    <row r="11863" spans="1:6" s="3" customFormat="1" ht="29.1" customHeight="1" x14ac:dyDescent="0.25">
      <c r="A11863" s="2" t="s">
        <v>24118</v>
      </c>
      <c r="B11863" s="2" t="s">
        <v>24119</v>
      </c>
      <c r="C11863" s="2" t="s">
        <v>5</v>
      </c>
      <c r="D11863" s="2" t="s">
        <v>984</v>
      </c>
      <c r="E11863" s="2" t="str">
        <f>"9783662610060"</f>
        <v>9783662610060</v>
      </c>
      <c r="F11863" s="2" t="str">
        <f>"9783662610077"</f>
        <v>9783662610077</v>
      </c>
    </row>
    <row r="11864" spans="1:6" s="3" customFormat="1" ht="29.1" customHeight="1" x14ac:dyDescent="0.25">
      <c r="A11864" s="2" t="s">
        <v>24118</v>
      </c>
      <c r="B11864" s="2" t="s">
        <v>24120</v>
      </c>
      <c r="C11864" s="2" t="s">
        <v>5</v>
      </c>
      <c r="D11864" s="2" t="s">
        <v>984</v>
      </c>
      <c r="E11864" s="2" t="str">
        <f>"9783662595855"</f>
        <v>9783662595855</v>
      </c>
      <c r="F11864" s="2" t="str">
        <f>"9783662595862"</f>
        <v>9783662595862</v>
      </c>
    </row>
    <row r="11865" spans="1:6" s="3" customFormat="1" ht="29.1" customHeight="1" x14ac:dyDescent="0.25">
      <c r="A11865" s="2" t="s">
        <v>24121</v>
      </c>
      <c r="B11865" s="2" t="s">
        <v>24122</v>
      </c>
      <c r="C11865" s="2" t="s">
        <v>5</v>
      </c>
      <c r="D11865" s="2" t="s">
        <v>674</v>
      </c>
      <c r="E11865" s="2" t="str">
        <f>"9783319281100"</f>
        <v>9783319281100</v>
      </c>
      <c r="F11865" s="2" t="str">
        <f>"9783319281124"</f>
        <v>9783319281124</v>
      </c>
    </row>
    <row r="11866" spans="1:6" s="3" customFormat="1" ht="29.1" customHeight="1" x14ac:dyDescent="0.25">
      <c r="A11866" s="2" t="s">
        <v>24123</v>
      </c>
      <c r="B11866" s="2" t="s">
        <v>24124</v>
      </c>
      <c r="C11866" s="2" t="s">
        <v>5</v>
      </c>
      <c r="D11866" s="2" t="s">
        <v>1109</v>
      </c>
      <c r="E11866" s="2" t="str">
        <f>"9783031041655"</f>
        <v>9783031041655</v>
      </c>
      <c r="F11866" s="2" t="str">
        <f>"9783031041662"</f>
        <v>9783031041662</v>
      </c>
    </row>
    <row r="11867" spans="1:6" s="3" customFormat="1" ht="29.1" customHeight="1" x14ac:dyDescent="0.25">
      <c r="A11867" s="2" t="s">
        <v>24125</v>
      </c>
      <c r="B11867" s="2" t="s">
        <v>24126</v>
      </c>
      <c r="C11867" s="2" t="s">
        <v>5</v>
      </c>
      <c r="D11867" s="2" t="s">
        <v>378</v>
      </c>
      <c r="E11867" s="2" t="str">
        <f>"9783031097621"</f>
        <v>9783031097621</v>
      </c>
      <c r="F11867" s="2" t="str">
        <f>"9783031097638"</f>
        <v>9783031097638</v>
      </c>
    </row>
    <row r="11868" spans="1:6" s="3" customFormat="1" ht="29.1" customHeight="1" x14ac:dyDescent="0.25">
      <c r="A11868" s="2" t="s">
        <v>24127</v>
      </c>
      <c r="B11868" s="2" t="s">
        <v>24128</v>
      </c>
      <c r="C11868" s="2" t="s">
        <v>5</v>
      </c>
      <c r="D11868" s="2" t="s">
        <v>378</v>
      </c>
      <c r="E11868" s="2" t="str">
        <f>"9783030270407"</f>
        <v>9783030270407</v>
      </c>
      <c r="F11868" s="2" t="str">
        <f>"9783030270414"</f>
        <v>9783030270414</v>
      </c>
    </row>
    <row r="11869" spans="1:6" s="3" customFormat="1" ht="29.1" customHeight="1" x14ac:dyDescent="0.25">
      <c r="A11869" s="2" t="s">
        <v>24129</v>
      </c>
      <c r="B11869" s="2" t="s">
        <v>24130</v>
      </c>
      <c r="C11869" s="2" t="s">
        <v>5</v>
      </c>
      <c r="D11869" s="2" t="s">
        <v>699</v>
      </c>
      <c r="E11869" s="2" t="str">
        <f>"9783319582948"</f>
        <v>9783319582948</v>
      </c>
      <c r="F11869" s="2" t="str">
        <f>"9783319582955"</f>
        <v>9783319582955</v>
      </c>
    </row>
    <row r="11870" spans="1:6" s="3" customFormat="1" ht="29.1" customHeight="1" x14ac:dyDescent="0.25">
      <c r="A11870" s="2" t="s">
        <v>24131</v>
      </c>
      <c r="B11870" s="2" t="s">
        <v>24132</v>
      </c>
      <c r="C11870" s="2" t="s">
        <v>5</v>
      </c>
      <c r="D11870" s="2" t="s">
        <v>2770</v>
      </c>
      <c r="E11870" s="2" t="str">
        <f>"9783030930141"</f>
        <v>9783030930141</v>
      </c>
      <c r="F11870" s="2" t="str">
        <f>"9783030930158"</f>
        <v>9783030930158</v>
      </c>
    </row>
    <row r="11871" spans="1:6" s="3" customFormat="1" ht="29.1" customHeight="1" x14ac:dyDescent="0.25">
      <c r="A11871" s="2" t="s">
        <v>24133</v>
      </c>
      <c r="B11871" s="2" t="s">
        <v>24134</v>
      </c>
      <c r="C11871" s="2" t="s">
        <v>5</v>
      </c>
      <c r="D11871" s="2" t="s">
        <v>20696</v>
      </c>
      <c r="E11871" s="2" t="str">
        <f>"9783319939339"</f>
        <v>9783319939339</v>
      </c>
      <c r="F11871" s="2" t="str">
        <f>"9783319939353"</f>
        <v>9783319939353</v>
      </c>
    </row>
    <row r="11872" spans="1:6" s="3" customFormat="1" ht="29.1" customHeight="1" x14ac:dyDescent="0.25">
      <c r="A11872" s="2" t="s">
        <v>24135</v>
      </c>
      <c r="B11872" s="2" t="s">
        <v>24136</v>
      </c>
      <c r="C11872" s="2" t="s">
        <v>5</v>
      </c>
      <c r="D11872" s="2" t="s">
        <v>10336</v>
      </c>
      <c r="E11872" s="2" t="str">
        <f>"9783030950873"</f>
        <v>9783030950873</v>
      </c>
      <c r="F11872" s="2" t="str">
        <f>"9783030950880"</f>
        <v>9783030950880</v>
      </c>
    </row>
    <row r="11873" spans="1:6" s="3" customFormat="1" ht="29.1" customHeight="1" x14ac:dyDescent="0.25">
      <c r="A11873" s="2" t="s">
        <v>24137</v>
      </c>
      <c r="B11873" s="2" t="s">
        <v>24138</v>
      </c>
      <c r="C11873" s="2" t="s">
        <v>5</v>
      </c>
      <c r="D11873" s="2" t="s">
        <v>11048</v>
      </c>
      <c r="E11873" s="2" t="str">
        <f>"9783031260735"</f>
        <v>9783031260735</v>
      </c>
      <c r="F11873" s="2" t="str">
        <f>"9783031260742"</f>
        <v>9783031260742</v>
      </c>
    </row>
    <row r="11874" spans="1:6" s="3" customFormat="1" ht="29.1" customHeight="1" x14ac:dyDescent="0.25">
      <c r="A11874" s="2" t="s">
        <v>24139</v>
      </c>
      <c r="B11874" s="2" t="s">
        <v>24140</v>
      </c>
      <c r="C11874" s="2" t="s">
        <v>5</v>
      </c>
      <c r="D11874" s="2" t="s">
        <v>11048</v>
      </c>
      <c r="E11874" s="2" t="str">
        <f>"9783319140896"</f>
        <v>9783319140896</v>
      </c>
      <c r="F11874" s="2" t="str">
        <f>"9783319140902"</f>
        <v>9783319140902</v>
      </c>
    </row>
    <row r="11875" spans="1:6" s="3" customFormat="1" ht="29.1" customHeight="1" x14ac:dyDescent="0.25">
      <c r="A11875" s="2" t="s">
        <v>24141</v>
      </c>
      <c r="B11875" s="2" t="s">
        <v>24142</v>
      </c>
      <c r="C11875" s="2" t="s">
        <v>5</v>
      </c>
      <c r="D11875" s="2" t="s">
        <v>2880</v>
      </c>
      <c r="E11875" s="2" t="str">
        <f>"9783319708140"</f>
        <v>9783319708140</v>
      </c>
      <c r="F11875" s="2" t="str">
        <f>"9783319708157"</f>
        <v>9783319708157</v>
      </c>
    </row>
    <row r="11876" spans="1:6" s="3" customFormat="1" ht="29.1" customHeight="1" x14ac:dyDescent="0.25">
      <c r="A11876" s="2" t="s">
        <v>24143</v>
      </c>
      <c r="B11876" s="2" t="s">
        <v>19482</v>
      </c>
      <c r="C11876" s="2" t="s">
        <v>5</v>
      </c>
      <c r="D11876" s="2" t="s">
        <v>2458</v>
      </c>
      <c r="E11876" s="2" t="str">
        <f>"9783319517766"</f>
        <v>9783319517766</v>
      </c>
      <c r="F11876" s="2" t="str">
        <f>"9783319517773"</f>
        <v>9783319517773</v>
      </c>
    </row>
    <row r="11877" spans="1:6" s="3" customFormat="1" ht="29.1" customHeight="1" x14ac:dyDescent="0.25">
      <c r="A11877" s="2" t="s">
        <v>24144</v>
      </c>
      <c r="B11877" s="2" t="s">
        <v>24145</v>
      </c>
      <c r="C11877" s="2" t="s">
        <v>5</v>
      </c>
      <c r="D11877" s="2" t="s">
        <v>11603</v>
      </c>
      <c r="E11877" s="2" t="str">
        <f>"9783030658236"</f>
        <v>9783030658236</v>
      </c>
      <c r="F11877" s="2" t="str">
        <f>"9783030658243"</f>
        <v>9783030658243</v>
      </c>
    </row>
    <row r="11878" spans="1:6" s="3" customFormat="1" ht="29.1" customHeight="1" x14ac:dyDescent="0.25">
      <c r="A11878" s="2" t="s">
        <v>24146</v>
      </c>
      <c r="B11878" s="2" t="s">
        <v>24147</v>
      </c>
      <c r="C11878" s="2" t="s">
        <v>5</v>
      </c>
      <c r="D11878" s="2" t="s">
        <v>547</v>
      </c>
      <c r="E11878" s="2" t="str">
        <f>"9783319732497"</f>
        <v>9783319732497</v>
      </c>
      <c r="F11878" s="2" t="str">
        <f>"9783319732503"</f>
        <v>9783319732503</v>
      </c>
    </row>
    <row r="11879" spans="1:6" s="3" customFormat="1" ht="29.1" customHeight="1" x14ac:dyDescent="0.25">
      <c r="A11879" s="2" t="s">
        <v>24148</v>
      </c>
      <c r="B11879" s="2" t="s">
        <v>24149</v>
      </c>
      <c r="C11879" s="2" t="s">
        <v>5</v>
      </c>
      <c r="D11879" s="2" t="s">
        <v>1932</v>
      </c>
      <c r="E11879" s="2" t="str">
        <f>"9783319600505"</f>
        <v>9783319600505</v>
      </c>
      <c r="F11879" s="2" t="str">
        <f>"9783319600512"</f>
        <v>9783319600512</v>
      </c>
    </row>
    <row r="11880" spans="1:6" s="3" customFormat="1" ht="29.1" customHeight="1" x14ac:dyDescent="0.25">
      <c r="A11880" s="2" t="s">
        <v>24150</v>
      </c>
      <c r="B11880" s="2" t="s">
        <v>24151</v>
      </c>
      <c r="C11880" s="2" t="s">
        <v>5</v>
      </c>
      <c r="D11880" s="2" t="s">
        <v>52</v>
      </c>
      <c r="E11880" s="2" t="str">
        <f>"9783319596136"</f>
        <v>9783319596136</v>
      </c>
      <c r="F11880" s="2" t="str">
        <f>"9783319596143"</f>
        <v>9783319596143</v>
      </c>
    </row>
    <row r="11881" spans="1:6" s="3" customFormat="1" ht="29.1" customHeight="1" x14ac:dyDescent="0.25">
      <c r="A11881" s="2" t="s">
        <v>24152</v>
      </c>
      <c r="B11881" s="2" t="s">
        <v>24153</v>
      </c>
      <c r="C11881" s="2" t="s">
        <v>5</v>
      </c>
      <c r="D11881" s="2" t="s">
        <v>16102</v>
      </c>
      <c r="E11881" s="2" t="str">
        <f>"9783030948955"</f>
        <v>9783030948955</v>
      </c>
      <c r="F11881" s="2" t="str">
        <f>"9783030948962"</f>
        <v>9783030948962</v>
      </c>
    </row>
    <row r="11882" spans="1:6" s="3" customFormat="1" ht="29.1" customHeight="1" x14ac:dyDescent="0.25">
      <c r="A11882" s="2" t="s">
        <v>24154</v>
      </c>
      <c r="B11882" s="2" t="s">
        <v>24155</v>
      </c>
      <c r="C11882" s="2" t="s">
        <v>5</v>
      </c>
      <c r="D11882" s="2" t="s">
        <v>12450</v>
      </c>
      <c r="E11882" s="2" t="str">
        <f>"9783030344122"</f>
        <v>9783030344122</v>
      </c>
      <c r="F11882" s="2" t="str">
        <f>"9783030344139"</f>
        <v>9783030344139</v>
      </c>
    </row>
    <row r="11883" spans="1:6" s="3" customFormat="1" ht="29.1" customHeight="1" x14ac:dyDescent="0.25">
      <c r="A11883" s="2" t="s">
        <v>24156</v>
      </c>
      <c r="B11883" s="2" t="s">
        <v>24157</v>
      </c>
      <c r="C11883" s="2" t="s">
        <v>5</v>
      </c>
      <c r="D11883" s="2" t="s">
        <v>550</v>
      </c>
      <c r="E11883" s="2" t="str">
        <f>"9783031448997"</f>
        <v>9783031448997</v>
      </c>
      <c r="F11883" s="2" t="str">
        <f>"9783031449000"</f>
        <v>9783031449000</v>
      </c>
    </row>
    <row r="11884" spans="1:6" s="3" customFormat="1" ht="29.1" customHeight="1" x14ac:dyDescent="0.25">
      <c r="A11884" s="2" t="s">
        <v>24158</v>
      </c>
      <c r="B11884" s="2" t="s">
        <v>24159</v>
      </c>
      <c r="C11884" s="2" t="s">
        <v>5</v>
      </c>
      <c r="D11884" s="2" t="s">
        <v>144</v>
      </c>
      <c r="E11884" s="2" t="str">
        <f>"9783031439490"</f>
        <v>9783031439490</v>
      </c>
      <c r="F11884" s="2" t="str">
        <f>"9783031439506"</f>
        <v>9783031439506</v>
      </c>
    </row>
    <row r="11885" spans="1:6" s="3" customFormat="1" ht="29.1" customHeight="1" x14ac:dyDescent="0.25">
      <c r="A11885" s="2" t="s">
        <v>24160</v>
      </c>
      <c r="B11885" s="2" t="s">
        <v>24161</v>
      </c>
      <c r="C11885" s="2" t="s">
        <v>5</v>
      </c>
      <c r="D11885" s="2" t="s">
        <v>144</v>
      </c>
      <c r="E11885" s="2" t="str">
        <f>"9783031095924"</f>
        <v>9783031095924</v>
      </c>
      <c r="F11885" s="2" t="str">
        <f>"9783031095931"</f>
        <v>9783031095931</v>
      </c>
    </row>
    <row r="11886" spans="1:6" s="3" customFormat="1" ht="29.1" customHeight="1" x14ac:dyDescent="0.25">
      <c r="A11886" s="2" t="s">
        <v>20738</v>
      </c>
      <c r="B11886" s="2" t="s">
        <v>24162</v>
      </c>
      <c r="C11886" s="2" t="s">
        <v>5</v>
      </c>
      <c r="D11886" s="2" t="s">
        <v>5588</v>
      </c>
      <c r="E11886" s="2" t="str">
        <f>"9783031062483"</f>
        <v>9783031062483</v>
      </c>
      <c r="F11886" s="2" t="str">
        <f>"9783031062490"</f>
        <v>9783031062490</v>
      </c>
    </row>
    <row r="11887" spans="1:6" s="3" customFormat="1" ht="29.1" customHeight="1" x14ac:dyDescent="0.25">
      <c r="A11887" s="2" t="s">
        <v>24163</v>
      </c>
      <c r="B11887" s="2" t="s">
        <v>24164</v>
      </c>
      <c r="C11887" s="2" t="s">
        <v>5</v>
      </c>
      <c r="D11887" s="2" t="s">
        <v>52</v>
      </c>
      <c r="E11887" s="2" t="str">
        <f>"9783031040825"</f>
        <v>9783031040825</v>
      </c>
      <c r="F11887" s="2" t="str">
        <f>"9783031040832"</f>
        <v>9783031040832</v>
      </c>
    </row>
    <row r="11888" spans="1:6" s="3" customFormat="1" ht="29.1" customHeight="1" x14ac:dyDescent="0.25">
      <c r="A11888" s="2" t="s">
        <v>24165</v>
      </c>
      <c r="B11888" s="2" t="s">
        <v>24166</v>
      </c>
      <c r="C11888" s="2" t="s">
        <v>5</v>
      </c>
      <c r="D11888" s="2" t="s">
        <v>144</v>
      </c>
      <c r="E11888" s="2" t="str">
        <f>"9783031040351"</f>
        <v>9783031040351</v>
      </c>
      <c r="F11888" s="2" t="str">
        <f>"9783031040368"</f>
        <v>9783031040368</v>
      </c>
    </row>
    <row r="11889" spans="1:6" s="3" customFormat="1" ht="29.1" customHeight="1" x14ac:dyDescent="0.25">
      <c r="A11889" s="2" t="s">
        <v>6877</v>
      </c>
      <c r="B11889" s="2" t="s">
        <v>20723</v>
      </c>
      <c r="C11889" s="2" t="s">
        <v>5</v>
      </c>
      <c r="D11889" s="2" t="s">
        <v>1902</v>
      </c>
      <c r="E11889" s="2" t="str">
        <f>"9783030995263"</f>
        <v>9783030995263</v>
      </c>
      <c r="F11889" s="2" t="str">
        <f>"9783030995270"</f>
        <v>9783030995270</v>
      </c>
    </row>
    <row r="11890" spans="1:6" s="3" customFormat="1" ht="29.1" customHeight="1" x14ac:dyDescent="0.25">
      <c r="A11890" s="2" t="s">
        <v>24167</v>
      </c>
      <c r="B11890" s="2" t="s">
        <v>24168</v>
      </c>
      <c r="C11890" s="2" t="s">
        <v>5</v>
      </c>
      <c r="D11890" s="2" t="s">
        <v>331</v>
      </c>
      <c r="E11890" s="2" t="str">
        <f>"9783030798505"</f>
        <v>9783030798505</v>
      </c>
      <c r="F11890" s="2" t="str">
        <f>"9783030798512"</f>
        <v>9783030798512</v>
      </c>
    </row>
    <row r="11891" spans="1:6" s="3" customFormat="1" ht="29.1" customHeight="1" x14ac:dyDescent="0.25">
      <c r="A11891" s="2" t="s">
        <v>6874</v>
      </c>
      <c r="B11891" s="2" t="s">
        <v>24169</v>
      </c>
      <c r="C11891" s="2" t="s">
        <v>5</v>
      </c>
      <c r="D11891" s="2" t="s">
        <v>7341</v>
      </c>
      <c r="E11891" s="2" t="str">
        <f>"9783030720186"</f>
        <v>9783030720186</v>
      </c>
      <c r="F11891" s="2" t="str">
        <f>"9783030720193"</f>
        <v>9783030720193</v>
      </c>
    </row>
    <row r="11892" spans="1:6" s="3" customFormat="1" ht="29.1" customHeight="1" x14ac:dyDescent="0.25">
      <c r="A11892" s="2" t="s">
        <v>6877</v>
      </c>
      <c r="B11892" s="2" t="s">
        <v>24170</v>
      </c>
      <c r="C11892" s="2" t="s">
        <v>5</v>
      </c>
      <c r="D11892" s="2" t="s">
        <v>1902</v>
      </c>
      <c r="E11892" s="2" t="str">
        <f>"9783030720155"</f>
        <v>9783030720155</v>
      </c>
      <c r="F11892" s="2" t="str">
        <f>"9783030720162"</f>
        <v>9783030720162</v>
      </c>
    </row>
    <row r="11893" spans="1:6" s="3" customFormat="1" ht="29.1" customHeight="1" x14ac:dyDescent="0.25">
      <c r="A11893" s="2" t="s">
        <v>6877</v>
      </c>
      <c r="B11893" s="2" t="s">
        <v>24170</v>
      </c>
      <c r="C11893" s="2" t="s">
        <v>5</v>
      </c>
      <c r="D11893" s="2" t="s">
        <v>1902</v>
      </c>
      <c r="E11893" s="2" t="str">
        <f>"9783030720124"</f>
        <v>9783030720124</v>
      </c>
      <c r="F11893" s="2" t="str">
        <f>"9783030720131"</f>
        <v>9783030720131</v>
      </c>
    </row>
    <row r="11894" spans="1:6" s="3" customFormat="1" ht="29.1" customHeight="1" x14ac:dyDescent="0.25">
      <c r="A11894" s="2" t="s">
        <v>6885</v>
      </c>
      <c r="B11894" s="2" t="s">
        <v>24171</v>
      </c>
      <c r="C11894" s="2" t="s">
        <v>5</v>
      </c>
      <c r="D11894" s="2" t="s">
        <v>487</v>
      </c>
      <c r="E11894" s="2" t="str">
        <f>"9783030714994"</f>
        <v>9783030714994</v>
      </c>
      <c r="F11894" s="2" t="str">
        <f>"9783030715007"</f>
        <v>9783030715007</v>
      </c>
    </row>
    <row r="11895" spans="1:6" s="3" customFormat="1" ht="29.1" customHeight="1" x14ac:dyDescent="0.25">
      <c r="A11895" s="2" t="s">
        <v>24172</v>
      </c>
      <c r="B11895" s="2" t="s">
        <v>24173</v>
      </c>
      <c r="C11895" s="2" t="s">
        <v>5</v>
      </c>
      <c r="D11895" s="2" t="s">
        <v>5228</v>
      </c>
      <c r="E11895" s="2" t="str">
        <f>"9783030531980"</f>
        <v>9783030531980</v>
      </c>
      <c r="F11895" s="2" t="str">
        <f>"9783030531997"</f>
        <v>9783030531997</v>
      </c>
    </row>
    <row r="11896" spans="1:6" s="3" customFormat="1" ht="29.1" customHeight="1" x14ac:dyDescent="0.25">
      <c r="A11896" s="2" t="s">
        <v>24174</v>
      </c>
      <c r="B11896" s="2" t="s">
        <v>24175</v>
      </c>
      <c r="C11896" s="2" t="s">
        <v>5</v>
      </c>
      <c r="D11896" s="2" t="s">
        <v>331</v>
      </c>
      <c r="E11896" s="2" t="str">
        <f>"9783030528287"</f>
        <v>9783030528287</v>
      </c>
      <c r="F11896" s="2" t="str">
        <f>"9783030528294"</f>
        <v>9783030528294</v>
      </c>
    </row>
    <row r="11897" spans="1:6" s="3" customFormat="1" ht="29.1" customHeight="1" x14ac:dyDescent="0.25">
      <c r="A11897" s="2" t="s">
        <v>24176</v>
      </c>
      <c r="B11897" s="2" t="s">
        <v>24177</v>
      </c>
      <c r="C11897" s="2" t="s">
        <v>5</v>
      </c>
      <c r="D11897" s="2" t="s">
        <v>144</v>
      </c>
      <c r="E11897" s="2" t="str">
        <f>"9783030515164"</f>
        <v>9783030515164</v>
      </c>
      <c r="F11897" s="2" t="str">
        <f>"9783030515171"</f>
        <v>9783030515171</v>
      </c>
    </row>
    <row r="11898" spans="1:6" s="3" customFormat="1" ht="29.1" customHeight="1" x14ac:dyDescent="0.25">
      <c r="A11898" s="2" t="s">
        <v>24178</v>
      </c>
      <c r="B11898" s="2" t="s">
        <v>24180</v>
      </c>
      <c r="C11898" s="2" t="s">
        <v>5</v>
      </c>
      <c r="D11898" s="2" t="s">
        <v>24179</v>
      </c>
      <c r="E11898" s="2" t="str">
        <f>"9783030473600"</f>
        <v>9783030473600</v>
      </c>
      <c r="F11898" s="2" t="str">
        <f>"9783030473617"</f>
        <v>9783030473617</v>
      </c>
    </row>
    <row r="11899" spans="1:6" s="3" customFormat="1" ht="29.1" customHeight="1" x14ac:dyDescent="0.25">
      <c r="A11899" s="2" t="s">
        <v>24181</v>
      </c>
      <c r="B11899" s="2" t="s">
        <v>24182</v>
      </c>
      <c r="C11899" s="2" t="s">
        <v>5</v>
      </c>
      <c r="D11899" s="2" t="s">
        <v>504</v>
      </c>
      <c r="E11899" s="2" t="str">
        <f>"9783030380809"</f>
        <v>9783030380809</v>
      </c>
      <c r="F11899" s="2" t="str">
        <f>"9783030380816"</f>
        <v>9783030380816</v>
      </c>
    </row>
    <row r="11900" spans="1:6" s="3" customFormat="1" ht="29.1" customHeight="1" x14ac:dyDescent="0.25">
      <c r="A11900" s="2" t="s">
        <v>24183</v>
      </c>
      <c r="B11900" s="2" t="s">
        <v>24184</v>
      </c>
      <c r="C11900" s="2" t="s">
        <v>5</v>
      </c>
      <c r="D11900" s="2" t="s">
        <v>144</v>
      </c>
      <c r="E11900" s="2" t="str">
        <f>"9783030327842"</f>
        <v>9783030327842</v>
      </c>
      <c r="F11900" s="2" t="str">
        <f>"9783030327859"</f>
        <v>9783030327859</v>
      </c>
    </row>
    <row r="11901" spans="1:6" s="3" customFormat="1" ht="29.1" customHeight="1" x14ac:dyDescent="0.25">
      <c r="A11901" s="2" t="s">
        <v>6877</v>
      </c>
      <c r="B11901" s="2" t="s">
        <v>24185</v>
      </c>
      <c r="C11901" s="2" t="s">
        <v>5</v>
      </c>
      <c r="D11901" s="2" t="s">
        <v>1902</v>
      </c>
      <c r="E11901" s="2" t="str">
        <f>"9783030175016"</f>
        <v>9783030175016</v>
      </c>
      <c r="F11901" s="2" t="str">
        <f>"9783030175023"</f>
        <v>9783030175023</v>
      </c>
    </row>
    <row r="11902" spans="1:6" s="3" customFormat="1" ht="29.1" customHeight="1" x14ac:dyDescent="0.25">
      <c r="A11902" s="2" t="s">
        <v>6877</v>
      </c>
      <c r="B11902" s="2" t="s">
        <v>20753</v>
      </c>
      <c r="C11902" s="2" t="s">
        <v>5</v>
      </c>
      <c r="D11902" s="2" t="s">
        <v>1902</v>
      </c>
      <c r="E11902" s="2" t="str">
        <f>"9783030174644"</f>
        <v>9783030174644</v>
      </c>
      <c r="F11902" s="2" t="str">
        <f>"9783030174651"</f>
        <v>9783030174651</v>
      </c>
    </row>
    <row r="11903" spans="1:6" s="3" customFormat="1" ht="29.1" customHeight="1" x14ac:dyDescent="0.25">
      <c r="A11903" s="2" t="s">
        <v>6874</v>
      </c>
      <c r="B11903" s="2" t="s">
        <v>24186</v>
      </c>
      <c r="C11903" s="2" t="s">
        <v>5</v>
      </c>
      <c r="D11903" s="2" t="s">
        <v>7341</v>
      </c>
      <c r="E11903" s="2" t="str">
        <f>"9783030171834"</f>
        <v>9783030171834</v>
      </c>
      <c r="F11903" s="2" t="str">
        <f>"9783030171841"</f>
        <v>9783030171841</v>
      </c>
    </row>
    <row r="11904" spans="1:6" s="3" customFormat="1" ht="29.1" customHeight="1" x14ac:dyDescent="0.25">
      <c r="A11904" s="2" t="s">
        <v>6885</v>
      </c>
      <c r="B11904" s="2" t="s">
        <v>24187</v>
      </c>
      <c r="C11904" s="2" t="s">
        <v>5</v>
      </c>
      <c r="D11904" s="2" t="s">
        <v>487</v>
      </c>
      <c r="E11904" s="2" t="str">
        <f>"9783030167219"</f>
        <v>9783030167219</v>
      </c>
      <c r="F11904" s="2" t="str">
        <f>"9783030167226"</f>
        <v>9783030167226</v>
      </c>
    </row>
    <row r="11905" spans="1:6" s="3" customFormat="1" ht="29.1" customHeight="1" x14ac:dyDescent="0.25">
      <c r="A11905" s="2" t="s">
        <v>24188</v>
      </c>
      <c r="B11905" s="2" t="s">
        <v>24189</v>
      </c>
      <c r="C11905" s="2" t="s">
        <v>5</v>
      </c>
      <c r="D11905" s="2" t="s">
        <v>20678</v>
      </c>
      <c r="E11905" s="2" t="str">
        <f>"9783030162719"</f>
        <v>9783030162719</v>
      </c>
      <c r="F11905" s="2" t="str">
        <f>"9783030162726"</f>
        <v>9783030162726</v>
      </c>
    </row>
    <row r="11906" spans="1:6" s="3" customFormat="1" ht="29.1" customHeight="1" x14ac:dyDescent="0.25">
      <c r="A11906" s="2" t="s">
        <v>24190</v>
      </c>
      <c r="B11906" s="2" t="s">
        <v>24191</v>
      </c>
      <c r="C11906" s="2" t="s">
        <v>5</v>
      </c>
      <c r="D11906" s="2" t="s">
        <v>5588</v>
      </c>
      <c r="E11906" s="2" t="str">
        <f>"9783030134167"</f>
        <v>9783030134167</v>
      </c>
      <c r="F11906" s="2" t="str">
        <f>"9783030134174"</f>
        <v>9783030134174</v>
      </c>
    </row>
    <row r="11907" spans="1:6" s="3" customFormat="1" ht="29.1" customHeight="1" x14ac:dyDescent="0.25">
      <c r="A11907" s="2" t="s">
        <v>24192</v>
      </c>
      <c r="B11907" s="2" t="s">
        <v>24193</v>
      </c>
      <c r="C11907" s="2" t="s">
        <v>5</v>
      </c>
      <c r="D11907" s="2" t="s">
        <v>367</v>
      </c>
      <c r="E11907" s="2" t="str">
        <f>"9783030107512"</f>
        <v>9783030107512</v>
      </c>
      <c r="F11907" s="2" t="str">
        <f>"9783030107529"</f>
        <v>9783030107529</v>
      </c>
    </row>
    <row r="11908" spans="1:6" s="3" customFormat="1" ht="29.1" customHeight="1" x14ac:dyDescent="0.25">
      <c r="A11908" s="2" t="s">
        <v>24194</v>
      </c>
      <c r="B11908" s="2" t="s">
        <v>24195</v>
      </c>
      <c r="C11908" s="2" t="s">
        <v>5</v>
      </c>
      <c r="D11908" s="2" t="s">
        <v>144</v>
      </c>
      <c r="E11908" s="2" t="str">
        <f>"9783319904146"</f>
        <v>9783319904146</v>
      </c>
      <c r="F11908" s="2" t="str">
        <f>"9783319904153"</f>
        <v>9783319904153</v>
      </c>
    </row>
    <row r="11909" spans="1:6" s="3" customFormat="1" ht="29.1" customHeight="1" x14ac:dyDescent="0.25">
      <c r="A11909" s="2" t="s">
        <v>24196</v>
      </c>
      <c r="B11909" s="2" t="s">
        <v>24197</v>
      </c>
      <c r="C11909" s="2" t="s">
        <v>5</v>
      </c>
      <c r="D11909" s="2" t="s">
        <v>20602</v>
      </c>
      <c r="E11909" s="2" t="str">
        <f>"9783319737058"</f>
        <v>9783319737058</v>
      </c>
      <c r="F11909" s="2" t="str">
        <f>"9783319737065"</f>
        <v>9783319737065</v>
      </c>
    </row>
    <row r="11910" spans="1:6" s="3" customFormat="1" ht="29.1" customHeight="1" x14ac:dyDescent="0.25">
      <c r="A11910" s="2" t="s">
        <v>24198</v>
      </c>
      <c r="B11910" s="2" t="s">
        <v>24199</v>
      </c>
      <c r="C11910" s="2" t="s">
        <v>5</v>
      </c>
      <c r="D11910" s="2" t="s">
        <v>5228</v>
      </c>
      <c r="E11910" s="2" t="str">
        <f>"9783319098456"</f>
        <v>9783319098456</v>
      </c>
      <c r="F11910" s="2" t="str">
        <f>"9783319098463"</f>
        <v>9783319098463</v>
      </c>
    </row>
    <row r="11911" spans="1:6" s="3" customFormat="1" ht="29.1" customHeight="1" x14ac:dyDescent="0.25">
      <c r="A11911" s="2" t="s">
        <v>24200</v>
      </c>
      <c r="B11911" s="2" t="s">
        <v>24201</v>
      </c>
      <c r="C11911" s="2" t="s">
        <v>5</v>
      </c>
      <c r="D11911" s="2" t="s">
        <v>2458</v>
      </c>
      <c r="E11911" s="2" t="str">
        <f>"9783031088742"</f>
        <v>9783031088742</v>
      </c>
      <c r="F11911" s="2" t="str">
        <f>"9783031088766"</f>
        <v>9783031088766</v>
      </c>
    </row>
    <row r="11912" spans="1:6" s="3" customFormat="1" ht="29.1" customHeight="1" x14ac:dyDescent="0.25">
      <c r="A11912" s="2" t="s">
        <v>24202</v>
      </c>
      <c r="B11912" s="2" t="s">
        <v>24203</v>
      </c>
      <c r="C11912" s="2" t="s">
        <v>5</v>
      </c>
      <c r="D11912" s="2" t="s">
        <v>2458</v>
      </c>
      <c r="E11912" s="2" t="str">
        <f>"9783319519197"</f>
        <v>9783319519197</v>
      </c>
      <c r="F11912" s="2" t="str">
        <f>"9783319519203"</f>
        <v>9783319519203</v>
      </c>
    </row>
    <row r="11913" spans="1:6" s="3" customFormat="1" ht="29.1" customHeight="1" x14ac:dyDescent="0.25">
      <c r="A11913" s="2" t="s">
        <v>24204</v>
      </c>
      <c r="B11913" s="2" t="s">
        <v>24205</v>
      </c>
      <c r="C11913" s="2" t="s">
        <v>3169</v>
      </c>
      <c r="D11913" s="2" t="s">
        <v>636</v>
      </c>
      <c r="E11913" s="2"/>
      <c r="F11913" s="2" t="str">
        <f>"9781805432043"</f>
        <v>9781805432043</v>
      </c>
    </row>
    <row r="11914" spans="1:6" s="3" customFormat="1" ht="29.1" customHeight="1" x14ac:dyDescent="0.25">
      <c r="A11914" s="2" t="s">
        <v>24206</v>
      </c>
      <c r="B11914" s="2" t="s">
        <v>24207</v>
      </c>
      <c r="C11914" s="2" t="s">
        <v>316</v>
      </c>
      <c r="D11914" s="2" t="s">
        <v>5092</v>
      </c>
      <c r="E11914" s="2" t="str">
        <f>"9783036404455"</f>
        <v>9783036404455</v>
      </c>
      <c r="F11914" s="2" t="str">
        <f>"9783036414454"</f>
        <v>9783036414454</v>
      </c>
    </row>
    <row r="11915" spans="1:6" s="3" customFormat="1" ht="29.1" customHeight="1" x14ac:dyDescent="0.25">
      <c r="A11915" s="2" t="s">
        <v>24208</v>
      </c>
      <c r="B11915" s="2" t="s">
        <v>24209</v>
      </c>
      <c r="C11915" s="2" t="s">
        <v>4104</v>
      </c>
      <c r="D11915" s="2" t="s">
        <v>183</v>
      </c>
      <c r="E11915" s="2" t="str">
        <f>"9780853238492"</f>
        <v>9780853238492</v>
      </c>
      <c r="F11915" s="2" t="str">
        <f>"9781835534021"</f>
        <v>9781835534021</v>
      </c>
    </row>
    <row r="11916" spans="1:6" s="3" customFormat="1" ht="29.1" customHeight="1" x14ac:dyDescent="0.25">
      <c r="A11916" s="2" t="s">
        <v>24210</v>
      </c>
      <c r="B11916" s="2" t="s">
        <v>24211</v>
      </c>
      <c r="C11916" s="2" t="s">
        <v>5</v>
      </c>
      <c r="D11916" s="2" t="s">
        <v>9205</v>
      </c>
      <c r="E11916" s="2" t="str">
        <f>"9789464632873"</f>
        <v>9789464632873</v>
      </c>
      <c r="F11916" s="2" t="str">
        <f>"9789464632880"</f>
        <v>9789464632880</v>
      </c>
    </row>
    <row r="11917" spans="1:6" s="3" customFormat="1" ht="29.1" customHeight="1" x14ac:dyDescent="0.25">
      <c r="A11917" s="2" t="s">
        <v>24212</v>
      </c>
      <c r="B11917" s="2" t="s">
        <v>24213</v>
      </c>
      <c r="C11917" s="2" t="s">
        <v>124</v>
      </c>
      <c r="D11917" s="2" t="s">
        <v>281</v>
      </c>
      <c r="E11917" s="2" t="str">
        <f>"9781032212449"</f>
        <v>9781032212449</v>
      </c>
      <c r="F11917" s="2" t="str">
        <f>"9781000971415"</f>
        <v>9781000971415</v>
      </c>
    </row>
    <row r="11918" spans="1:6" s="3" customFormat="1" ht="29.1" customHeight="1" x14ac:dyDescent="0.25">
      <c r="A11918" s="2" t="s">
        <v>24214</v>
      </c>
      <c r="B11918" s="2" t="s">
        <v>24215</v>
      </c>
      <c r="C11918" s="2" t="s">
        <v>5</v>
      </c>
      <c r="D11918" s="2" t="s">
        <v>141</v>
      </c>
      <c r="E11918" s="2" t="str">
        <f>"9789464632910"</f>
        <v>9789464632910</v>
      </c>
      <c r="F11918" s="2" t="str">
        <f>"9789464632927"</f>
        <v>9789464632927</v>
      </c>
    </row>
    <row r="11919" spans="1:6" s="3" customFormat="1" ht="29.1" customHeight="1" x14ac:dyDescent="0.25">
      <c r="A11919" s="2" t="s">
        <v>24216</v>
      </c>
      <c r="B11919" s="2" t="s">
        <v>24217</v>
      </c>
      <c r="C11919" s="2" t="s">
        <v>5</v>
      </c>
      <c r="D11919" s="2" t="s">
        <v>4713</v>
      </c>
      <c r="E11919" s="2" t="str">
        <f>"9789819972357"</f>
        <v>9789819972357</v>
      </c>
      <c r="F11919" s="2" t="str">
        <f>"9789819972364"</f>
        <v>9789819972364</v>
      </c>
    </row>
    <row r="11920" spans="1:6" s="3" customFormat="1" ht="29.1" customHeight="1" x14ac:dyDescent="0.25">
      <c r="A11920" s="2" t="s">
        <v>24218</v>
      </c>
      <c r="B11920" s="2" t="s">
        <v>24219</v>
      </c>
      <c r="C11920" s="2" t="s">
        <v>5</v>
      </c>
      <c r="D11920" s="2" t="s">
        <v>6714</v>
      </c>
      <c r="E11920" s="2" t="str">
        <f>"9783031422232"</f>
        <v>9783031422232</v>
      </c>
      <c r="F11920" s="2" t="str">
        <f>"9783031422249"</f>
        <v>9783031422249</v>
      </c>
    </row>
    <row r="11921" spans="1:6" s="3" customFormat="1" ht="29.1" customHeight="1" x14ac:dyDescent="0.25">
      <c r="A11921" s="2" t="s">
        <v>24220</v>
      </c>
      <c r="B11921" s="2" t="s">
        <v>1911</v>
      </c>
      <c r="C11921" s="2" t="s">
        <v>5</v>
      </c>
      <c r="D11921" s="2" t="s">
        <v>633</v>
      </c>
      <c r="E11921" s="2" t="str">
        <f>"9783031441646"</f>
        <v>9783031441646</v>
      </c>
      <c r="F11921" s="2" t="str">
        <f>"9783031441653"</f>
        <v>9783031441653</v>
      </c>
    </row>
    <row r="11922" spans="1:6" s="3" customFormat="1" ht="29.1" customHeight="1" x14ac:dyDescent="0.25">
      <c r="A11922" s="2" t="s">
        <v>24221</v>
      </c>
      <c r="B11922" s="2" t="s">
        <v>24222</v>
      </c>
      <c r="C11922" s="2" t="s">
        <v>746</v>
      </c>
      <c r="D11922" s="2" t="s">
        <v>107</v>
      </c>
      <c r="E11922" s="2" t="str">
        <f>"9781803275772"</f>
        <v>9781803275772</v>
      </c>
      <c r="F11922" s="2" t="str">
        <f>"9781803275789"</f>
        <v>9781803275789</v>
      </c>
    </row>
    <row r="11923" spans="1:6" s="3" customFormat="1" ht="29.1" customHeight="1" x14ac:dyDescent="0.25">
      <c r="A11923" s="2" t="s">
        <v>24223</v>
      </c>
      <c r="B11923" s="2" t="s">
        <v>24224</v>
      </c>
      <c r="C11923" s="2" t="s">
        <v>746</v>
      </c>
      <c r="D11923" s="2" t="s">
        <v>4185</v>
      </c>
      <c r="E11923" s="2" t="str">
        <f>"9781803276625"</f>
        <v>9781803276625</v>
      </c>
      <c r="F11923" s="2" t="str">
        <f>"9781803276632"</f>
        <v>9781803276632</v>
      </c>
    </row>
    <row r="11924" spans="1:6" s="3" customFormat="1" ht="29.1" customHeight="1" x14ac:dyDescent="0.25">
      <c r="A11924" s="2" t="s">
        <v>24225</v>
      </c>
      <c r="B11924" s="2" t="s">
        <v>24226</v>
      </c>
      <c r="C11924" s="2" t="s">
        <v>746</v>
      </c>
      <c r="D11924" s="2" t="s">
        <v>606</v>
      </c>
      <c r="E11924" s="2" t="str">
        <f>"9781803276243"</f>
        <v>9781803276243</v>
      </c>
      <c r="F11924" s="2" t="str">
        <f>"9781803276250"</f>
        <v>9781803276250</v>
      </c>
    </row>
    <row r="11925" spans="1:6" s="3" customFormat="1" ht="29.1" customHeight="1" x14ac:dyDescent="0.25">
      <c r="A11925" s="2" t="s">
        <v>24227</v>
      </c>
      <c r="B11925" s="2" t="s">
        <v>24228</v>
      </c>
      <c r="C11925" s="2" t="s">
        <v>5</v>
      </c>
      <c r="D11925" s="2" t="s">
        <v>5228</v>
      </c>
      <c r="E11925" s="2" t="str">
        <f>"9789464632934"</f>
        <v>9789464632934</v>
      </c>
      <c r="F11925" s="2" t="str">
        <f>"9789464632941"</f>
        <v>9789464632941</v>
      </c>
    </row>
    <row r="11926" spans="1:6" s="3" customFormat="1" ht="29.1" customHeight="1" x14ac:dyDescent="0.25">
      <c r="A11926" s="2" t="s">
        <v>24229</v>
      </c>
      <c r="B11926" s="2" t="s">
        <v>24230</v>
      </c>
      <c r="C11926" s="2" t="s">
        <v>5</v>
      </c>
      <c r="D11926" s="2" t="s">
        <v>1717</v>
      </c>
      <c r="E11926" s="2" t="str">
        <f>"9783031453076"</f>
        <v>9783031453076</v>
      </c>
      <c r="F11926" s="2" t="str">
        <f>"9783031453083"</f>
        <v>9783031453083</v>
      </c>
    </row>
    <row r="11927" spans="1:6" s="3" customFormat="1" ht="29.1" customHeight="1" x14ac:dyDescent="0.25">
      <c r="A11927" s="2" t="s">
        <v>24231</v>
      </c>
      <c r="B11927" s="2" t="s">
        <v>24232</v>
      </c>
      <c r="C11927" s="2" t="s">
        <v>5</v>
      </c>
      <c r="D11927" s="2" t="s">
        <v>694</v>
      </c>
      <c r="E11927" s="2" t="str">
        <f>"9783031427558"</f>
        <v>9783031427558</v>
      </c>
      <c r="F11927" s="2" t="str">
        <f>"9783031427565"</f>
        <v>9783031427565</v>
      </c>
    </row>
    <row r="11928" spans="1:6" s="3" customFormat="1" ht="29.1" customHeight="1" x14ac:dyDescent="0.25">
      <c r="A11928" s="2" t="s">
        <v>24233</v>
      </c>
      <c r="B11928" s="2" t="s">
        <v>24234</v>
      </c>
      <c r="C11928" s="2" t="s">
        <v>8059</v>
      </c>
      <c r="D11928" s="2" t="s">
        <v>6067</v>
      </c>
      <c r="E11928" s="2" t="str">
        <f>"9781776447480"</f>
        <v>9781776447480</v>
      </c>
      <c r="F11928" s="2" t="str">
        <f>"9781776447497"</f>
        <v>9781776447497</v>
      </c>
    </row>
    <row r="11929" spans="1:6" s="3" customFormat="1" ht="29.1" customHeight="1" x14ac:dyDescent="0.25">
      <c r="A11929" s="2" t="s">
        <v>24235</v>
      </c>
      <c r="B11929" s="2" t="s">
        <v>24236</v>
      </c>
      <c r="C11929" s="2" t="s">
        <v>8059</v>
      </c>
      <c r="D11929" s="2" t="s">
        <v>6113</v>
      </c>
      <c r="E11929" s="2" t="str">
        <f>"9781776444663"</f>
        <v>9781776444663</v>
      </c>
      <c r="F11929" s="2" t="str">
        <f>"9781776444670"</f>
        <v>9781776444670</v>
      </c>
    </row>
    <row r="11930" spans="1:6" s="3" customFormat="1" ht="29.1" customHeight="1" x14ac:dyDescent="0.25">
      <c r="A11930" s="2" t="s">
        <v>24237</v>
      </c>
      <c r="B11930" s="2" t="s">
        <v>24238</v>
      </c>
      <c r="C11930" s="2" t="s">
        <v>8059</v>
      </c>
      <c r="D11930" s="2" t="s">
        <v>3963</v>
      </c>
      <c r="E11930" s="2" t="str">
        <f>"9781776460687"</f>
        <v>9781776460687</v>
      </c>
      <c r="F11930" s="2" t="str">
        <f>"9781776460694"</f>
        <v>9781776460694</v>
      </c>
    </row>
    <row r="11931" spans="1:6" s="3" customFormat="1" ht="29.1" customHeight="1" x14ac:dyDescent="0.25">
      <c r="A11931" s="2" t="s">
        <v>24239</v>
      </c>
      <c r="B11931" s="2" t="s">
        <v>24240</v>
      </c>
      <c r="C11931" s="2" t="s">
        <v>8059</v>
      </c>
      <c r="D11931" s="2" t="s">
        <v>6542</v>
      </c>
      <c r="E11931" s="2" t="str">
        <f>"9781776447404"</f>
        <v>9781776447404</v>
      </c>
      <c r="F11931" s="2" t="str">
        <f>"9781776447411"</f>
        <v>9781776447411</v>
      </c>
    </row>
    <row r="11932" spans="1:6" s="3" customFormat="1" ht="29.1" customHeight="1" x14ac:dyDescent="0.25">
      <c r="A11932" s="2" t="s">
        <v>24241</v>
      </c>
      <c r="B11932" s="2" t="s">
        <v>24242</v>
      </c>
      <c r="C11932" s="2" t="s">
        <v>5</v>
      </c>
      <c r="D11932" s="2" t="s">
        <v>9</v>
      </c>
      <c r="E11932" s="2" t="str">
        <f>"9782384761418"</f>
        <v>9782384761418</v>
      </c>
      <c r="F11932" s="2" t="str">
        <f>"9782384761425"</f>
        <v>9782384761425</v>
      </c>
    </row>
    <row r="11933" spans="1:6" s="3" customFormat="1" ht="29.1" customHeight="1" x14ac:dyDescent="0.25">
      <c r="A11933" s="2" t="s">
        <v>24243</v>
      </c>
      <c r="B11933" s="2" t="s">
        <v>20444</v>
      </c>
      <c r="C11933" s="2" t="s">
        <v>5</v>
      </c>
      <c r="D11933" s="2" t="s">
        <v>321</v>
      </c>
      <c r="E11933" s="2" t="str">
        <f>"9789819964109"</f>
        <v>9789819964109</v>
      </c>
      <c r="F11933" s="2" t="str">
        <f>"9789819964116"</f>
        <v>9789819964116</v>
      </c>
    </row>
    <row r="11934" spans="1:6" s="3" customFormat="1" ht="29.1" customHeight="1" x14ac:dyDescent="0.25">
      <c r="A11934" s="2" t="s">
        <v>24244</v>
      </c>
      <c r="B11934" s="2" t="s">
        <v>24245</v>
      </c>
      <c r="C11934" s="2" t="s">
        <v>5</v>
      </c>
      <c r="D11934" s="2" t="s">
        <v>12</v>
      </c>
      <c r="E11934" s="2" t="str">
        <f>"9783031413438"</f>
        <v>9783031413438</v>
      </c>
      <c r="F11934" s="2" t="str">
        <f>"9783031413445"</f>
        <v>9783031413445</v>
      </c>
    </row>
    <row r="11935" spans="1:6" s="3" customFormat="1" ht="29.1" customHeight="1" x14ac:dyDescent="0.25">
      <c r="A11935" s="2" t="s">
        <v>24246</v>
      </c>
      <c r="B11935" s="2" t="s">
        <v>24247</v>
      </c>
      <c r="C11935" s="2" t="s">
        <v>5</v>
      </c>
      <c r="D11935" s="2" t="s">
        <v>1895</v>
      </c>
      <c r="E11935" s="2" t="str">
        <f>"9783031165665"</f>
        <v>9783031165665</v>
      </c>
      <c r="F11935" s="2" t="str">
        <f>"9783031165672"</f>
        <v>9783031165672</v>
      </c>
    </row>
    <row r="11936" spans="1:6" s="3" customFormat="1" ht="29.1" customHeight="1" x14ac:dyDescent="0.25">
      <c r="A11936" s="2" t="s">
        <v>24248</v>
      </c>
      <c r="B11936" s="2" t="s">
        <v>24249</v>
      </c>
      <c r="C11936" s="2" t="s">
        <v>124</v>
      </c>
      <c r="D11936" s="2" t="s">
        <v>4283</v>
      </c>
      <c r="E11936" s="2" t="str">
        <f>"9781032406541"</f>
        <v>9781032406541</v>
      </c>
      <c r="F11936" s="2" t="str">
        <f>"9781003354130"</f>
        <v>9781003354130</v>
      </c>
    </row>
    <row r="11937" spans="1:6" s="3" customFormat="1" ht="29.1" customHeight="1" x14ac:dyDescent="0.25">
      <c r="A11937" s="2" t="s">
        <v>24250</v>
      </c>
      <c r="B11937" s="2" t="s">
        <v>24251</v>
      </c>
      <c r="C11937" s="2" t="s">
        <v>124</v>
      </c>
      <c r="D11937" s="2" t="s">
        <v>2361</v>
      </c>
      <c r="E11937" s="2" t="str">
        <f>"9780367458362"</f>
        <v>9780367458362</v>
      </c>
      <c r="F11937" s="2" t="str">
        <f>"9781000989496"</f>
        <v>9781000989496</v>
      </c>
    </row>
    <row r="11938" spans="1:6" s="3" customFormat="1" ht="29.1" customHeight="1" x14ac:dyDescent="0.25">
      <c r="A11938" s="2" t="s">
        <v>24252</v>
      </c>
      <c r="B11938" s="2"/>
      <c r="C11938" s="2" t="s">
        <v>59</v>
      </c>
      <c r="D11938" s="2" t="s">
        <v>1390</v>
      </c>
      <c r="E11938" s="2"/>
      <c r="F11938" s="2" t="str">
        <f>"9782759238378"</f>
        <v>9782759238378</v>
      </c>
    </row>
    <row r="11939" spans="1:6" s="3" customFormat="1" ht="29.1" customHeight="1" x14ac:dyDescent="0.25">
      <c r="A11939" s="2" t="s">
        <v>24253</v>
      </c>
      <c r="B11939" s="2"/>
      <c r="C11939" s="2" t="s">
        <v>59</v>
      </c>
      <c r="D11939" s="2" t="s">
        <v>3661</v>
      </c>
      <c r="E11939" s="2"/>
      <c r="F11939" s="2" t="str">
        <f>"9782759238392"</f>
        <v>9782759238392</v>
      </c>
    </row>
    <row r="11940" spans="1:6" s="3" customFormat="1" ht="29.1" customHeight="1" x14ac:dyDescent="0.25">
      <c r="A11940" s="2" t="s">
        <v>24254</v>
      </c>
      <c r="B11940" s="2" t="s">
        <v>24255</v>
      </c>
      <c r="C11940" s="2" t="s">
        <v>605</v>
      </c>
      <c r="D11940" s="2" t="s">
        <v>606</v>
      </c>
      <c r="E11940" s="2" t="str">
        <f>"9789654067782"</f>
        <v>9789654067782</v>
      </c>
      <c r="F11940" s="2" t="str">
        <f>"9789654067799"</f>
        <v>9789654067799</v>
      </c>
    </row>
    <row r="11941" spans="1:6" s="3" customFormat="1" ht="29.1" customHeight="1" x14ac:dyDescent="0.25">
      <c r="A11941" s="2" t="s">
        <v>24256</v>
      </c>
      <c r="B11941" s="2" t="s">
        <v>24257</v>
      </c>
      <c r="C11941" s="2" t="s">
        <v>927</v>
      </c>
      <c r="D11941" s="2" t="s">
        <v>8788</v>
      </c>
      <c r="E11941" s="2" t="str">
        <f>"9780472056293"</f>
        <v>9780472056293</v>
      </c>
      <c r="F11941" s="2" t="str">
        <f>"9780472903634"</f>
        <v>9780472903634</v>
      </c>
    </row>
    <row r="11942" spans="1:6" s="3" customFormat="1" ht="29.1" customHeight="1" x14ac:dyDescent="0.25">
      <c r="A11942" s="2" t="s">
        <v>24258</v>
      </c>
      <c r="B11942" s="2" t="s">
        <v>24259</v>
      </c>
      <c r="C11942" s="2" t="s">
        <v>605</v>
      </c>
      <c r="D11942" s="2" t="s">
        <v>606</v>
      </c>
      <c r="E11942" s="2" t="str">
        <f>"9789654067744"</f>
        <v>9789654067744</v>
      </c>
      <c r="F11942" s="2" t="str">
        <f>"9789654067751"</f>
        <v>9789654067751</v>
      </c>
    </row>
    <row r="11943" spans="1:6" s="3" customFormat="1" ht="29.1" customHeight="1" x14ac:dyDescent="0.25">
      <c r="A11943" s="2" t="s">
        <v>24260</v>
      </c>
      <c r="B11943" s="2" t="s">
        <v>24261</v>
      </c>
      <c r="C11943" s="2" t="s">
        <v>264</v>
      </c>
      <c r="D11943" s="2" t="s">
        <v>60</v>
      </c>
      <c r="E11943" s="2" t="str">
        <f>"9788770040136"</f>
        <v>9788770040136</v>
      </c>
      <c r="F11943" s="2" t="str">
        <f>"9781003812272"</f>
        <v>9781003812272</v>
      </c>
    </row>
    <row r="11944" spans="1:6" s="3" customFormat="1" ht="29.1" customHeight="1" x14ac:dyDescent="0.25">
      <c r="A11944" s="2" t="s">
        <v>24262</v>
      </c>
      <c r="B11944" s="2" t="s">
        <v>24263</v>
      </c>
      <c r="C11944" s="2" t="s">
        <v>5</v>
      </c>
      <c r="D11944" s="2" t="s">
        <v>5864</v>
      </c>
      <c r="E11944" s="2" t="str">
        <f>"9782384761371"</f>
        <v>9782384761371</v>
      </c>
      <c r="F11944" s="2" t="str">
        <f>"9782384761388"</f>
        <v>9782384761388</v>
      </c>
    </row>
    <row r="11945" spans="1:6" s="3" customFormat="1" ht="29.1" customHeight="1" x14ac:dyDescent="0.25">
      <c r="A11945" s="2" t="s">
        <v>24264</v>
      </c>
      <c r="B11945" s="2" t="s">
        <v>24265</v>
      </c>
      <c r="C11945" s="2" t="s">
        <v>5</v>
      </c>
      <c r="D11945" s="2" t="s">
        <v>9</v>
      </c>
      <c r="E11945" s="2" t="str">
        <f>"9789464632859"</f>
        <v>9789464632859</v>
      </c>
      <c r="F11945" s="2" t="str">
        <f>"9789464632866"</f>
        <v>9789464632866</v>
      </c>
    </row>
    <row r="11946" spans="1:6" s="3" customFormat="1" ht="29.1" customHeight="1" x14ac:dyDescent="0.25">
      <c r="A11946" s="2" t="s">
        <v>24266</v>
      </c>
      <c r="B11946" s="2" t="s">
        <v>24267</v>
      </c>
      <c r="C11946" s="2" t="s">
        <v>5</v>
      </c>
      <c r="D11946" s="2" t="s">
        <v>537</v>
      </c>
      <c r="E11946" s="2" t="str">
        <f>"9783662684528"</f>
        <v>9783662684528</v>
      </c>
      <c r="F11946" s="2" t="str">
        <f>"9783662684535"</f>
        <v>9783662684535</v>
      </c>
    </row>
    <row r="11947" spans="1:6" s="3" customFormat="1" ht="29.1" customHeight="1" x14ac:dyDescent="0.25">
      <c r="A11947" s="2" t="s">
        <v>24268</v>
      </c>
      <c r="B11947" s="2" t="s">
        <v>24269</v>
      </c>
      <c r="C11947" s="2" t="s">
        <v>5</v>
      </c>
      <c r="D11947" s="2" t="s">
        <v>5032</v>
      </c>
      <c r="E11947" s="2" t="str">
        <f>"9783031087967"</f>
        <v>9783031087967</v>
      </c>
      <c r="F11947" s="2" t="str">
        <f>"9783031087974"</f>
        <v>9783031087974</v>
      </c>
    </row>
    <row r="11948" spans="1:6" s="3" customFormat="1" ht="29.1" customHeight="1" x14ac:dyDescent="0.25">
      <c r="A11948" s="2" t="s">
        <v>24270</v>
      </c>
      <c r="B11948" s="2" t="s">
        <v>24271</v>
      </c>
      <c r="C11948" s="2" t="s">
        <v>36</v>
      </c>
      <c r="D11948" s="2" t="s">
        <v>95</v>
      </c>
      <c r="E11948" s="2" t="str">
        <f>"9781529230543"</f>
        <v>9781529230543</v>
      </c>
      <c r="F11948" s="2" t="str">
        <f>"9781529230567"</f>
        <v>9781529230567</v>
      </c>
    </row>
    <row r="11949" spans="1:6" s="3" customFormat="1" ht="29.1" customHeight="1" x14ac:dyDescent="0.25">
      <c r="A11949" s="2" t="s">
        <v>24272</v>
      </c>
      <c r="B11949" s="2" t="s">
        <v>24273</v>
      </c>
      <c r="C11949" s="2" t="s">
        <v>124</v>
      </c>
      <c r="D11949" s="2" t="s">
        <v>210</v>
      </c>
      <c r="E11949" s="2" t="str">
        <f>"9781032523767"</f>
        <v>9781032523767</v>
      </c>
      <c r="F11949" s="2" t="str">
        <f>"9781003406358"</f>
        <v>9781003406358</v>
      </c>
    </row>
    <row r="11950" spans="1:6" s="3" customFormat="1" ht="29.1" customHeight="1" x14ac:dyDescent="0.25">
      <c r="A11950" s="2" t="s">
        <v>24274</v>
      </c>
      <c r="B11950" s="2" t="s">
        <v>24275</v>
      </c>
      <c r="C11950" s="2" t="s">
        <v>5</v>
      </c>
      <c r="D11950" s="2" t="s">
        <v>504</v>
      </c>
      <c r="E11950" s="2" t="str">
        <f>"9789464630411"</f>
        <v>9789464630411</v>
      </c>
      <c r="F11950" s="2" t="str">
        <f>"9789464630428"</f>
        <v>9789464630428</v>
      </c>
    </row>
    <row r="11951" spans="1:6" s="3" customFormat="1" ht="29.1" customHeight="1" x14ac:dyDescent="0.25">
      <c r="A11951" s="2" t="s">
        <v>24276</v>
      </c>
      <c r="B11951" s="2" t="s">
        <v>24277</v>
      </c>
      <c r="C11951" s="2" t="s">
        <v>5</v>
      </c>
      <c r="D11951" s="2" t="s">
        <v>12520</v>
      </c>
      <c r="E11951" s="2" t="str">
        <f>"9783031364938"</f>
        <v>9783031364938</v>
      </c>
      <c r="F11951" s="2" t="str">
        <f>"9783031364945"</f>
        <v>9783031364945</v>
      </c>
    </row>
    <row r="11952" spans="1:6" s="3" customFormat="1" ht="29.1" customHeight="1" x14ac:dyDescent="0.25">
      <c r="A11952" s="2" t="s">
        <v>24278</v>
      </c>
      <c r="B11952" s="2" t="s">
        <v>19932</v>
      </c>
      <c r="C11952" s="2" t="s">
        <v>5</v>
      </c>
      <c r="D11952" s="2" t="s">
        <v>232</v>
      </c>
      <c r="E11952" s="2" t="str">
        <f>"9783031467677"</f>
        <v>9783031467677</v>
      </c>
      <c r="F11952" s="2" t="str">
        <f>"9783031467684"</f>
        <v>9783031467684</v>
      </c>
    </row>
    <row r="11953" spans="1:6" s="3" customFormat="1" ht="29.1" customHeight="1" x14ac:dyDescent="0.25">
      <c r="A11953" s="2" t="s">
        <v>24279</v>
      </c>
      <c r="B11953" s="2" t="s">
        <v>24280</v>
      </c>
      <c r="C11953" s="2" t="s">
        <v>5</v>
      </c>
      <c r="D11953" s="2" t="s">
        <v>6</v>
      </c>
      <c r="E11953" s="2" t="str">
        <f>"9789819925391"</f>
        <v>9789819925391</v>
      </c>
      <c r="F11953" s="2" t="str">
        <f>"9789819925407"</f>
        <v>9789819925407</v>
      </c>
    </row>
    <row r="11954" spans="1:6" s="3" customFormat="1" ht="29.1" customHeight="1" x14ac:dyDescent="0.25">
      <c r="A11954" s="2" t="s">
        <v>20601</v>
      </c>
      <c r="B11954" s="2" t="s">
        <v>20603</v>
      </c>
      <c r="C11954" s="2" t="s">
        <v>5</v>
      </c>
      <c r="D11954" s="2" t="s">
        <v>20602</v>
      </c>
      <c r="E11954" s="2" t="str">
        <f>"9789819915996"</f>
        <v>9789819915996</v>
      </c>
      <c r="F11954" s="2" t="str">
        <f>"9789819916009"</f>
        <v>9789819916009</v>
      </c>
    </row>
    <row r="11955" spans="1:6" s="3" customFormat="1" ht="29.1" customHeight="1" x14ac:dyDescent="0.25">
      <c r="A11955" s="2" t="s">
        <v>24281</v>
      </c>
      <c r="B11955" s="2" t="s">
        <v>24282</v>
      </c>
      <c r="C11955" s="2" t="s">
        <v>5</v>
      </c>
      <c r="D11955" s="2" t="s">
        <v>504</v>
      </c>
      <c r="E11955" s="2" t="str">
        <f>"9783031286735"</f>
        <v>9783031286735</v>
      </c>
      <c r="F11955" s="2" t="str">
        <f>"9783031286742"</f>
        <v>9783031286742</v>
      </c>
    </row>
    <row r="11956" spans="1:6" s="3" customFormat="1" ht="29.1" customHeight="1" x14ac:dyDescent="0.25">
      <c r="A11956" s="2" t="s">
        <v>24283</v>
      </c>
      <c r="B11956" s="2" t="s">
        <v>24284</v>
      </c>
      <c r="C11956" s="2" t="s">
        <v>5</v>
      </c>
      <c r="D11956" s="2" t="s">
        <v>553</v>
      </c>
      <c r="E11956" s="2" t="str">
        <f>"9783031277573"</f>
        <v>9783031277573</v>
      </c>
      <c r="F11956" s="2" t="str">
        <f>"9783031277580"</f>
        <v>9783031277580</v>
      </c>
    </row>
    <row r="11957" spans="1:6" s="3" customFormat="1" ht="29.1" customHeight="1" x14ac:dyDescent="0.25">
      <c r="A11957" s="2" t="s">
        <v>24285</v>
      </c>
      <c r="B11957" s="2" t="s">
        <v>24286</v>
      </c>
      <c r="C11957" s="2" t="s">
        <v>5</v>
      </c>
      <c r="D11957" s="2" t="s">
        <v>12</v>
      </c>
      <c r="E11957" s="2" t="str">
        <f>"9783031255144"</f>
        <v>9783031255144</v>
      </c>
      <c r="F11957" s="2" t="str">
        <f>"9783031255151"</f>
        <v>9783031255151</v>
      </c>
    </row>
    <row r="11958" spans="1:6" s="3" customFormat="1" ht="29.1" customHeight="1" x14ac:dyDescent="0.25">
      <c r="A11958" s="2" t="s">
        <v>24287</v>
      </c>
      <c r="B11958" s="2" t="s">
        <v>20012</v>
      </c>
      <c r="C11958" s="2" t="s">
        <v>5</v>
      </c>
      <c r="D11958" s="2" t="s">
        <v>12</v>
      </c>
      <c r="E11958" s="2" t="str">
        <f>"9789811993602"</f>
        <v>9789811993602</v>
      </c>
      <c r="F11958" s="2" t="str">
        <f>"9789811993619"</f>
        <v>9789811993619</v>
      </c>
    </row>
    <row r="11959" spans="1:6" s="3" customFormat="1" ht="29.1" customHeight="1" x14ac:dyDescent="0.25">
      <c r="A11959" s="2" t="s">
        <v>6500</v>
      </c>
      <c r="B11959" s="2" t="s">
        <v>20566</v>
      </c>
      <c r="C11959" s="2" t="s">
        <v>5</v>
      </c>
      <c r="D11959" s="2" t="s">
        <v>1071</v>
      </c>
      <c r="E11959" s="2" t="str">
        <f>"9783031231742"</f>
        <v>9783031231742</v>
      </c>
      <c r="F11959" s="2" t="str">
        <f>"9783031231759"</f>
        <v>9783031231759</v>
      </c>
    </row>
    <row r="11960" spans="1:6" s="3" customFormat="1" ht="29.1" customHeight="1" x14ac:dyDescent="0.25">
      <c r="A11960" s="2" t="s">
        <v>24288</v>
      </c>
      <c r="B11960" s="2" t="s">
        <v>24289</v>
      </c>
      <c r="C11960" s="2" t="s">
        <v>5</v>
      </c>
      <c r="D11960" s="2" t="s">
        <v>37</v>
      </c>
      <c r="E11960" s="2" t="str">
        <f>"9783031206528"</f>
        <v>9783031206528</v>
      </c>
      <c r="F11960" s="2" t="str">
        <f>"9783031206535"</f>
        <v>9783031206535</v>
      </c>
    </row>
    <row r="11961" spans="1:6" s="3" customFormat="1" ht="29.1" customHeight="1" x14ac:dyDescent="0.25">
      <c r="A11961" s="2" t="s">
        <v>24290</v>
      </c>
      <c r="B11961" s="2" t="s">
        <v>24291</v>
      </c>
      <c r="C11961" s="2" t="s">
        <v>5</v>
      </c>
      <c r="D11961" s="2" t="s">
        <v>3172</v>
      </c>
      <c r="E11961" s="2" t="str">
        <f>"9783031203893"</f>
        <v>9783031203893</v>
      </c>
      <c r="F11961" s="2" t="str">
        <f>"9783031203909"</f>
        <v>9783031203909</v>
      </c>
    </row>
    <row r="11962" spans="1:6" s="3" customFormat="1" ht="29.1" customHeight="1" x14ac:dyDescent="0.25">
      <c r="A11962" s="2" t="s">
        <v>24292</v>
      </c>
      <c r="B11962" s="2" t="s">
        <v>24293</v>
      </c>
      <c r="C11962" s="2" t="s">
        <v>5</v>
      </c>
      <c r="D11962" s="2" t="s">
        <v>4210</v>
      </c>
      <c r="E11962" s="2" t="str">
        <f>"9783031191527"</f>
        <v>9783031191527</v>
      </c>
      <c r="F11962" s="2" t="str">
        <f>"9783031191534"</f>
        <v>9783031191534</v>
      </c>
    </row>
    <row r="11963" spans="1:6" s="3" customFormat="1" ht="29.1" customHeight="1" x14ac:dyDescent="0.25">
      <c r="A11963" s="2" t="s">
        <v>24294</v>
      </c>
      <c r="B11963" s="2" t="s">
        <v>24295</v>
      </c>
      <c r="C11963" s="2" t="s">
        <v>5</v>
      </c>
      <c r="D11963" s="2" t="s">
        <v>431</v>
      </c>
      <c r="E11963" s="2" t="str">
        <f>"9783031169496"</f>
        <v>9783031169496</v>
      </c>
      <c r="F11963" s="2" t="str">
        <f>"9783031169502"</f>
        <v>9783031169502</v>
      </c>
    </row>
    <row r="11964" spans="1:6" s="3" customFormat="1" ht="29.1" customHeight="1" x14ac:dyDescent="0.25">
      <c r="A11964" s="2" t="s">
        <v>24296</v>
      </c>
      <c r="B11964" s="2" t="s">
        <v>24297</v>
      </c>
      <c r="C11964" s="2" t="s">
        <v>5</v>
      </c>
      <c r="D11964" s="2" t="s">
        <v>3567</v>
      </c>
      <c r="E11964" s="2" t="str">
        <f>"9789811958878"</f>
        <v>9789811958878</v>
      </c>
      <c r="F11964" s="2" t="str">
        <f>"9789811958885"</f>
        <v>9789811958885</v>
      </c>
    </row>
    <row r="11965" spans="1:6" s="3" customFormat="1" ht="29.1" customHeight="1" x14ac:dyDescent="0.25">
      <c r="A11965" s="2" t="s">
        <v>24298</v>
      </c>
      <c r="B11965" s="2" t="s">
        <v>24299</v>
      </c>
      <c r="C11965" s="2" t="s">
        <v>5</v>
      </c>
      <c r="D11965" s="2" t="s">
        <v>1898</v>
      </c>
      <c r="E11965" s="2" t="str">
        <f>"9783031117008"</f>
        <v>9783031117008</v>
      </c>
      <c r="F11965" s="2" t="str">
        <f>"9783031117015"</f>
        <v>9783031117015</v>
      </c>
    </row>
    <row r="11966" spans="1:6" s="3" customFormat="1" ht="29.1" customHeight="1" x14ac:dyDescent="0.25">
      <c r="A11966" s="2" t="s">
        <v>24300</v>
      </c>
      <c r="B11966" s="2" t="s">
        <v>24301</v>
      </c>
      <c r="C11966" s="2" t="s">
        <v>5</v>
      </c>
      <c r="D11966" s="2" t="s">
        <v>2307</v>
      </c>
      <c r="E11966" s="2" t="str">
        <f>"9782384761395"</f>
        <v>9782384761395</v>
      </c>
      <c r="F11966" s="2" t="str">
        <f>"9782384761401"</f>
        <v>9782384761401</v>
      </c>
    </row>
    <row r="11967" spans="1:6" s="3" customFormat="1" ht="29.1" customHeight="1" x14ac:dyDescent="0.25">
      <c r="A11967" s="2" t="s">
        <v>24302</v>
      </c>
      <c r="B11967" s="2" t="s">
        <v>24303</v>
      </c>
      <c r="C11967" s="2" t="s">
        <v>5</v>
      </c>
      <c r="D11967" s="2" t="s">
        <v>297</v>
      </c>
      <c r="E11967" s="2" t="str">
        <f>"9782384761098"</f>
        <v>9782384761098</v>
      </c>
      <c r="F11967" s="2" t="str">
        <f>"9782384761104"</f>
        <v>9782384761104</v>
      </c>
    </row>
    <row r="11968" spans="1:6" s="3" customFormat="1" ht="29.1" customHeight="1" x14ac:dyDescent="0.25">
      <c r="A11968" s="2" t="s">
        <v>24304</v>
      </c>
      <c r="B11968" s="2" t="s">
        <v>24305</v>
      </c>
      <c r="C11968" s="2" t="s">
        <v>5</v>
      </c>
      <c r="D11968" s="2" t="s">
        <v>724</v>
      </c>
      <c r="E11968" s="2" t="str">
        <f>"9789819936670"</f>
        <v>9789819936670</v>
      </c>
      <c r="F11968" s="2" t="str">
        <f>"9789819936687"</f>
        <v>9789819936687</v>
      </c>
    </row>
    <row r="11969" spans="1:6" s="3" customFormat="1" ht="29.1" customHeight="1" x14ac:dyDescent="0.25">
      <c r="A11969" s="2" t="s">
        <v>24306</v>
      </c>
      <c r="B11969" s="2" t="s">
        <v>24307</v>
      </c>
      <c r="C11969" s="2" t="s">
        <v>5</v>
      </c>
      <c r="D11969" s="2" t="s">
        <v>501</v>
      </c>
      <c r="E11969" s="2" t="str">
        <f>"9789819907137"</f>
        <v>9789819907137</v>
      </c>
      <c r="F11969" s="2" t="str">
        <f>"9789819907144"</f>
        <v>9789819907144</v>
      </c>
    </row>
    <row r="11970" spans="1:6" s="3" customFormat="1" ht="29.1" customHeight="1" x14ac:dyDescent="0.25">
      <c r="A11970" s="2" t="s">
        <v>24308</v>
      </c>
      <c r="B11970" s="2" t="s">
        <v>24309</v>
      </c>
      <c r="C11970" s="2" t="s">
        <v>5</v>
      </c>
      <c r="D11970" s="2" t="s">
        <v>553</v>
      </c>
      <c r="E11970" s="2" t="str">
        <f>"9789811989506"</f>
        <v>9789811989506</v>
      </c>
      <c r="F11970" s="2" t="str">
        <f>"9789811989513"</f>
        <v>9789811989513</v>
      </c>
    </row>
    <row r="11971" spans="1:6" s="3" customFormat="1" ht="29.1" customHeight="1" x14ac:dyDescent="0.25">
      <c r="A11971" s="2" t="s">
        <v>24310</v>
      </c>
      <c r="B11971" s="2" t="s">
        <v>24311</v>
      </c>
      <c r="C11971" s="2" t="s">
        <v>5</v>
      </c>
      <c r="D11971" s="2" t="s">
        <v>6152</v>
      </c>
      <c r="E11971" s="2" t="str">
        <f>"9783031258190"</f>
        <v>9783031258190</v>
      </c>
      <c r="F11971" s="2" t="str">
        <f>"9783031258206"</f>
        <v>9783031258206</v>
      </c>
    </row>
    <row r="11972" spans="1:6" s="3" customFormat="1" ht="29.1" customHeight="1" x14ac:dyDescent="0.25">
      <c r="A11972" s="2" t="s">
        <v>24312</v>
      </c>
      <c r="B11972" s="2" t="s">
        <v>24313</v>
      </c>
      <c r="C11972" s="2" t="s">
        <v>5</v>
      </c>
      <c r="D11972" s="2" t="s">
        <v>8343</v>
      </c>
      <c r="E11972" s="2" t="str">
        <f>"9783031273544"</f>
        <v>9783031273544</v>
      </c>
      <c r="F11972" s="2" t="str">
        <f>"9783031273551"</f>
        <v>9783031273551</v>
      </c>
    </row>
    <row r="11973" spans="1:6" s="3" customFormat="1" ht="29.1" customHeight="1" x14ac:dyDescent="0.25">
      <c r="A11973" s="2" t="s">
        <v>24314</v>
      </c>
      <c r="B11973" s="2" t="s">
        <v>13785</v>
      </c>
      <c r="C11973" s="2" t="s">
        <v>5</v>
      </c>
      <c r="D11973" s="2" t="s">
        <v>44</v>
      </c>
      <c r="E11973" s="2" t="str">
        <f>"9789819925315"</f>
        <v>9789819925315</v>
      </c>
      <c r="F11973" s="2" t="str">
        <f>"9789819925322"</f>
        <v>9789819925322</v>
      </c>
    </row>
    <row r="11974" spans="1:6" s="3" customFormat="1" ht="29.1" customHeight="1" x14ac:dyDescent="0.25">
      <c r="A11974" s="2" t="s">
        <v>24315</v>
      </c>
      <c r="B11974" s="2" t="s">
        <v>24316</v>
      </c>
      <c r="C11974" s="2" t="s">
        <v>5</v>
      </c>
      <c r="D11974" s="2" t="s">
        <v>3817</v>
      </c>
      <c r="E11974" s="2" t="str">
        <f>"9789819917471"</f>
        <v>9789819917471</v>
      </c>
      <c r="F11974" s="2" t="str">
        <f>"9789819917488"</f>
        <v>9789819917488</v>
      </c>
    </row>
    <row r="11975" spans="1:6" s="3" customFormat="1" ht="29.1" customHeight="1" x14ac:dyDescent="0.25">
      <c r="A11975" s="2" t="s">
        <v>20267</v>
      </c>
      <c r="B11975" s="2" t="s">
        <v>24317</v>
      </c>
      <c r="C11975" s="2" t="s">
        <v>5</v>
      </c>
      <c r="D11975" s="2" t="s">
        <v>52</v>
      </c>
      <c r="E11975" s="2" t="str">
        <f>"9783031342103"</f>
        <v>9783031342103</v>
      </c>
      <c r="F11975" s="2" t="str">
        <f>"9783031342110"</f>
        <v>9783031342110</v>
      </c>
    </row>
    <row r="11976" spans="1:6" s="3" customFormat="1" ht="29.1" customHeight="1" x14ac:dyDescent="0.25">
      <c r="A11976" s="2" t="s">
        <v>24318</v>
      </c>
      <c r="B11976" s="2" t="s">
        <v>24319</v>
      </c>
      <c r="C11976" s="2" t="s">
        <v>5</v>
      </c>
      <c r="D11976" s="2" t="s">
        <v>5716</v>
      </c>
      <c r="E11976" s="2" t="str">
        <f>"9783031235344"</f>
        <v>9783031235344</v>
      </c>
      <c r="F11976" s="2" t="str">
        <f>"9783031235351"</f>
        <v>9783031235351</v>
      </c>
    </row>
    <row r="11977" spans="1:6" s="3" customFormat="1" ht="29.1" customHeight="1" x14ac:dyDescent="0.25">
      <c r="A11977" s="2" t="s">
        <v>24320</v>
      </c>
      <c r="B11977" s="2" t="s">
        <v>24321</v>
      </c>
      <c r="C11977" s="2" t="s">
        <v>5</v>
      </c>
      <c r="D11977" s="2" t="s">
        <v>72</v>
      </c>
      <c r="E11977" s="2" t="str">
        <f>"9783031044793"</f>
        <v>9783031044793</v>
      </c>
      <c r="F11977" s="2" t="str">
        <f>"9783031044809"</f>
        <v>9783031044809</v>
      </c>
    </row>
    <row r="11978" spans="1:6" s="3" customFormat="1" ht="29.1" customHeight="1" x14ac:dyDescent="0.25">
      <c r="A11978" s="2" t="s">
        <v>24322</v>
      </c>
      <c r="B11978" s="2" t="s">
        <v>24323</v>
      </c>
      <c r="C11978" s="2" t="s">
        <v>5</v>
      </c>
      <c r="D11978" s="2" t="s">
        <v>836</v>
      </c>
      <c r="E11978" s="2" t="str">
        <f>"9783031260506"</f>
        <v>9783031260506</v>
      </c>
      <c r="F11978" s="2" t="str">
        <f>"9783031260513"</f>
        <v>9783031260513</v>
      </c>
    </row>
    <row r="11979" spans="1:6" s="3" customFormat="1" ht="29.1" customHeight="1" x14ac:dyDescent="0.25">
      <c r="A11979" s="2" t="s">
        <v>24324</v>
      </c>
      <c r="B11979" s="2" t="s">
        <v>24325</v>
      </c>
      <c r="C11979" s="2" t="s">
        <v>5</v>
      </c>
      <c r="D11979" s="2" t="s">
        <v>20602</v>
      </c>
      <c r="E11979" s="2" t="str">
        <f>"9783031231896"</f>
        <v>9783031231896</v>
      </c>
      <c r="F11979" s="2" t="str">
        <f>"9783031231902"</f>
        <v>9783031231902</v>
      </c>
    </row>
    <row r="11980" spans="1:6" s="3" customFormat="1" ht="29.1" customHeight="1" x14ac:dyDescent="0.25">
      <c r="A11980" s="2" t="s">
        <v>24326</v>
      </c>
      <c r="B11980" s="2" t="s">
        <v>24327</v>
      </c>
      <c r="C11980" s="2" t="s">
        <v>5</v>
      </c>
      <c r="D11980" s="2" t="s">
        <v>78</v>
      </c>
      <c r="E11980" s="2" t="str">
        <f>"9783031341939"</f>
        <v>9783031341939</v>
      </c>
      <c r="F11980" s="2" t="str">
        <f>"9783031341946"</f>
        <v>9783031341946</v>
      </c>
    </row>
    <row r="11981" spans="1:6" s="3" customFormat="1" ht="29.1" customHeight="1" x14ac:dyDescent="0.25">
      <c r="A11981" s="2" t="s">
        <v>24328</v>
      </c>
      <c r="B11981" s="2" t="s">
        <v>24329</v>
      </c>
      <c r="C11981" s="2" t="s">
        <v>5</v>
      </c>
      <c r="D11981" s="2" t="s">
        <v>78</v>
      </c>
      <c r="E11981" s="2" t="str">
        <f>"9783031257476"</f>
        <v>9783031257476</v>
      </c>
      <c r="F11981" s="2" t="str">
        <f>"9783031257483"</f>
        <v>9783031257483</v>
      </c>
    </row>
    <row r="11982" spans="1:6" s="3" customFormat="1" ht="29.1" customHeight="1" x14ac:dyDescent="0.25">
      <c r="A11982" s="2" t="s">
        <v>24330</v>
      </c>
      <c r="B11982" s="2" t="s">
        <v>24331</v>
      </c>
      <c r="C11982" s="2" t="s">
        <v>5</v>
      </c>
      <c r="D11982" s="2" t="s">
        <v>12</v>
      </c>
      <c r="E11982" s="2" t="str">
        <f>"9789811986765"</f>
        <v>9789811986765</v>
      </c>
      <c r="F11982" s="2" t="str">
        <f>"9789811986772"</f>
        <v>9789811986772</v>
      </c>
    </row>
    <row r="11983" spans="1:6" s="3" customFormat="1" ht="29.1" customHeight="1" x14ac:dyDescent="0.25">
      <c r="A11983" s="2" t="s">
        <v>24332</v>
      </c>
      <c r="B11983" s="2" t="s">
        <v>24333</v>
      </c>
      <c r="C11983" s="2" t="s">
        <v>5</v>
      </c>
      <c r="D11983" s="2" t="s">
        <v>5118</v>
      </c>
      <c r="E11983" s="2" t="str">
        <f>"9783031244117"</f>
        <v>9783031244117</v>
      </c>
      <c r="F11983" s="2" t="str">
        <f>"9783031244124"</f>
        <v>9783031244124</v>
      </c>
    </row>
    <row r="11984" spans="1:6" s="3" customFormat="1" ht="29.1" customHeight="1" x14ac:dyDescent="0.25">
      <c r="A11984" s="2" t="s">
        <v>24334</v>
      </c>
      <c r="B11984" s="2" t="s">
        <v>24335</v>
      </c>
      <c r="C11984" s="2" t="s">
        <v>5</v>
      </c>
      <c r="D11984" s="2" t="s">
        <v>1927</v>
      </c>
      <c r="E11984" s="2" t="str">
        <f>"9783031387616"</f>
        <v>9783031387616</v>
      </c>
      <c r="F11984" s="2" t="str">
        <f>"9783031387623"</f>
        <v>9783031387623</v>
      </c>
    </row>
    <row r="11985" spans="1:6" s="3" customFormat="1" ht="29.1" customHeight="1" x14ac:dyDescent="0.25">
      <c r="A11985" s="2" t="s">
        <v>24336</v>
      </c>
      <c r="B11985" s="2" t="s">
        <v>24337</v>
      </c>
      <c r="C11985" s="2" t="s">
        <v>5</v>
      </c>
      <c r="D11985" s="2" t="s">
        <v>1065</v>
      </c>
      <c r="E11985" s="2" t="str">
        <f>"9783031083914"</f>
        <v>9783031083914</v>
      </c>
      <c r="F11985" s="2" t="str">
        <f>"9783031083921"</f>
        <v>9783031083921</v>
      </c>
    </row>
    <row r="11986" spans="1:6" s="3" customFormat="1" ht="29.1" customHeight="1" x14ac:dyDescent="0.25">
      <c r="A11986" s="2" t="s">
        <v>6214</v>
      </c>
      <c r="B11986" s="2" t="s">
        <v>24338</v>
      </c>
      <c r="C11986" s="2" t="s">
        <v>5</v>
      </c>
      <c r="D11986" s="2" t="s">
        <v>487</v>
      </c>
      <c r="E11986" s="2" t="str">
        <f>"9783031339752"</f>
        <v>9783031339752</v>
      </c>
      <c r="F11986" s="2" t="str">
        <f>"9783031339769"</f>
        <v>9783031339769</v>
      </c>
    </row>
    <row r="11987" spans="1:6" s="3" customFormat="1" ht="29.1" customHeight="1" x14ac:dyDescent="0.25">
      <c r="A11987" s="2" t="s">
        <v>7464</v>
      </c>
      <c r="B11987" s="2" t="s">
        <v>24339</v>
      </c>
      <c r="C11987" s="2" t="s">
        <v>5</v>
      </c>
      <c r="D11987" s="2" t="s">
        <v>1585</v>
      </c>
      <c r="E11987" s="2" t="str">
        <f>"9783031278143"</f>
        <v>9783031278143</v>
      </c>
      <c r="F11987" s="2" t="str">
        <f>"9783031278150"</f>
        <v>9783031278150</v>
      </c>
    </row>
    <row r="11988" spans="1:6" s="3" customFormat="1" ht="29.1" customHeight="1" x14ac:dyDescent="0.25">
      <c r="A11988" s="2" t="s">
        <v>24340</v>
      </c>
      <c r="B11988" s="2" t="s">
        <v>24341</v>
      </c>
      <c r="C11988" s="2" t="s">
        <v>5</v>
      </c>
      <c r="D11988" s="2" t="s">
        <v>15191</v>
      </c>
      <c r="E11988" s="2" t="str">
        <f>"9783031123092"</f>
        <v>9783031123092</v>
      </c>
      <c r="F11988" s="2" t="str">
        <f>"9783031123108"</f>
        <v>9783031123108</v>
      </c>
    </row>
    <row r="11989" spans="1:6" s="3" customFormat="1" ht="29.1" customHeight="1" x14ac:dyDescent="0.25">
      <c r="A11989" s="2" t="s">
        <v>24342</v>
      </c>
      <c r="B11989" s="2" t="s">
        <v>24343</v>
      </c>
      <c r="C11989" s="2" t="s">
        <v>5</v>
      </c>
      <c r="D11989" s="2" t="s">
        <v>52</v>
      </c>
      <c r="E11989" s="2" t="str">
        <f>"9783031384981"</f>
        <v>9783031384981</v>
      </c>
      <c r="F11989" s="2" t="str">
        <f>"9783031384998"</f>
        <v>9783031384998</v>
      </c>
    </row>
    <row r="11990" spans="1:6" s="3" customFormat="1" ht="29.1" customHeight="1" x14ac:dyDescent="0.25">
      <c r="A11990" s="2" t="s">
        <v>6883</v>
      </c>
      <c r="B11990" s="2" t="s">
        <v>24344</v>
      </c>
      <c r="C11990" s="2" t="s">
        <v>5</v>
      </c>
      <c r="D11990" s="2" t="s">
        <v>1902</v>
      </c>
      <c r="E11990" s="2" t="str">
        <f>"9783031308284"</f>
        <v>9783031308284</v>
      </c>
      <c r="F11990" s="2" t="str">
        <f>"9783031308291"</f>
        <v>9783031308291</v>
      </c>
    </row>
    <row r="11991" spans="1:6" s="3" customFormat="1" ht="29.1" customHeight="1" x14ac:dyDescent="0.25">
      <c r="A11991" s="2" t="s">
        <v>6885</v>
      </c>
      <c r="B11991" s="2" t="s">
        <v>24345</v>
      </c>
      <c r="C11991" s="2" t="s">
        <v>5</v>
      </c>
      <c r="D11991" s="2" t="s">
        <v>487</v>
      </c>
      <c r="E11991" s="2" t="str">
        <f>"9783031308253"</f>
        <v>9783031308253</v>
      </c>
      <c r="F11991" s="2" t="str">
        <f>"9783031308260"</f>
        <v>9783031308260</v>
      </c>
    </row>
    <row r="11992" spans="1:6" s="3" customFormat="1" ht="29.1" customHeight="1" x14ac:dyDescent="0.25">
      <c r="A11992" s="2" t="s">
        <v>24346</v>
      </c>
      <c r="B11992" s="2" t="s">
        <v>24348</v>
      </c>
      <c r="C11992" s="2" t="s">
        <v>5</v>
      </c>
      <c r="D11992" s="2" t="s">
        <v>24347</v>
      </c>
      <c r="E11992" s="2" t="str">
        <f>"9783662678701"</f>
        <v>9783662678701</v>
      </c>
      <c r="F11992" s="2" t="str">
        <f>"9783662678725"</f>
        <v>9783662678725</v>
      </c>
    </row>
    <row r="11993" spans="1:6" s="3" customFormat="1" ht="29.1" customHeight="1" x14ac:dyDescent="0.25">
      <c r="A11993" s="2" t="s">
        <v>24349</v>
      </c>
      <c r="B11993" s="2" t="s">
        <v>24350</v>
      </c>
      <c r="C11993" s="2" t="s">
        <v>5</v>
      </c>
      <c r="D11993" s="2" t="s">
        <v>3567</v>
      </c>
      <c r="E11993" s="2" t="str">
        <f>"9783031382925"</f>
        <v>9783031382925</v>
      </c>
      <c r="F11993" s="2" t="str">
        <f>"9783031382949"</f>
        <v>9783031382949</v>
      </c>
    </row>
    <row r="11994" spans="1:6" s="3" customFormat="1" ht="29.1" customHeight="1" x14ac:dyDescent="0.25">
      <c r="A11994" s="2" t="s">
        <v>24351</v>
      </c>
      <c r="B11994" s="2" t="s">
        <v>24352</v>
      </c>
      <c r="C11994" s="2" t="s">
        <v>5</v>
      </c>
      <c r="D11994" s="2" t="s">
        <v>183</v>
      </c>
      <c r="E11994" s="2" t="str">
        <f>"9783031466212"</f>
        <v>9783031466212</v>
      </c>
      <c r="F11994" s="2" t="str">
        <f>"9783031466229"</f>
        <v>9783031466229</v>
      </c>
    </row>
    <row r="11995" spans="1:6" s="3" customFormat="1" ht="29.1" customHeight="1" x14ac:dyDescent="0.25">
      <c r="A11995" s="2" t="s">
        <v>24353</v>
      </c>
      <c r="B11995" s="2" t="s">
        <v>24354</v>
      </c>
      <c r="C11995" s="2" t="s">
        <v>5</v>
      </c>
      <c r="D11995" s="2" t="s">
        <v>791</v>
      </c>
      <c r="E11995" s="2" t="str">
        <f>"9783031368714"</f>
        <v>9783031368714</v>
      </c>
      <c r="F11995" s="2" t="str">
        <f>"9783031368721"</f>
        <v>9783031368721</v>
      </c>
    </row>
    <row r="11996" spans="1:6" s="3" customFormat="1" ht="29.1" customHeight="1" x14ac:dyDescent="0.25">
      <c r="A11996" s="2" t="s">
        <v>24355</v>
      </c>
      <c r="B11996" s="2" t="s">
        <v>24356</v>
      </c>
      <c r="C11996" s="2" t="s">
        <v>5</v>
      </c>
      <c r="D11996" s="2" t="s">
        <v>8788</v>
      </c>
      <c r="E11996" s="2" t="str">
        <f>"9783031153129"</f>
        <v>9783031153129</v>
      </c>
      <c r="F11996" s="2" t="str">
        <f>"9783031153136"</f>
        <v>9783031153136</v>
      </c>
    </row>
    <row r="11997" spans="1:6" s="3" customFormat="1" ht="29.1" customHeight="1" x14ac:dyDescent="0.25">
      <c r="A11997" s="2" t="s">
        <v>24357</v>
      </c>
      <c r="B11997" s="2" t="s">
        <v>24358</v>
      </c>
      <c r="C11997" s="2" t="s">
        <v>5</v>
      </c>
      <c r="D11997" s="2" t="s">
        <v>636</v>
      </c>
      <c r="E11997" s="2" t="str">
        <f>"9783031242427"</f>
        <v>9783031242427</v>
      </c>
      <c r="F11997" s="2" t="str">
        <f>"9783031242434"</f>
        <v>9783031242434</v>
      </c>
    </row>
    <row r="11998" spans="1:6" s="3" customFormat="1" ht="29.1" customHeight="1" x14ac:dyDescent="0.25">
      <c r="A11998" s="2" t="s">
        <v>24359</v>
      </c>
      <c r="B11998" s="2" t="s">
        <v>24360</v>
      </c>
      <c r="C11998" s="2" t="s">
        <v>5</v>
      </c>
      <c r="D11998" s="2" t="s">
        <v>818</v>
      </c>
      <c r="E11998" s="2" t="str">
        <f>"9783031411144"</f>
        <v>9783031411144</v>
      </c>
      <c r="F11998" s="2" t="str">
        <f>"9783031411151"</f>
        <v>9783031411151</v>
      </c>
    </row>
    <row r="11999" spans="1:6" s="3" customFormat="1" ht="29.1" customHeight="1" x14ac:dyDescent="0.25">
      <c r="A11999" s="2" t="s">
        <v>24361</v>
      </c>
      <c r="B11999" s="2" t="s">
        <v>24362</v>
      </c>
      <c r="C11999" s="2" t="s">
        <v>5</v>
      </c>
      <c r="D11999" s="2" t="s">
        <v>270</v>
      </c>
      <c r="E11999" s="2" t="str">
        <f>"9783031398070"</f>
        <v>9783031398070</v>
      </c>
      <c r="F11999" s="2" t="str">
        <f>"9783031398087"</f>
        <v>9783031398087</v>
      </c>
    </row>
    <row r="12000" spans="1:6" s="3" customFormat="1" ht="29.1" customHeight="1" x14ac:dyDescent="0.25">
      <c r="A12000" s="2" t="s">
        <v>24363</v>
      </c>
      <c r="B12000" s="2" t="s">
        <v>24364</v>
      </c>
      <c r="C12000" s="2" t="s">
        <v>5</v>
      </c>
      <c r="D12000" s="2" t="s">
        <v>537</v>
      </c>
      <c r="E12000" s="2" t="str">
        <f>"9783658424077"</f>
        <v>9783658424077</v>
      </c>
      <c r="F12000" s="2" t="str">
        <f>"9783658424084"</f>
        <v>9783658424084</v>
      </c>
    </row>
    <row r="12001" spans="1:6" s="3" customFormat="1" ht="29.1" customHeight="1" x14ac:dyDescent="0.25">
      <c r="A12001" s="2" t="s">
        <v>24365</v>
      </c>
      <c r="B12001" s="2" t="s">
        <v>24366</v>
      </c>
      <c r="C12001" s="2" t="s">
        <v>5</v>
      </c>
      <c r="D12001" s="2" t="s">
        <v>44</v>
      </c>
      <c r="E12001" s="2" t="str">
        <f>"9789819951062"</f>
        <v>9789819951062</v>
      </c>
      <c r="F12001" s="2" t="str">
        <f>"9789819951079"</f>
        <v>9789819951079</v>
      </c>
    </row>
    <row r="12002" spans="1:6" s="3" customFormat="1" ht="29.1" customHeight="1" x14ac:dyDescent="0.25">
      <c r="A12002" s="2" t="s">
        <v>24367</v>
      </c>
      <c r="B12002" s="2" t="s">
        <v>24368</v>
      </c>
      <c r="C12002" s="2" t="s">
        <v>5</v>
      </c>
      <c r="D12002" s="2" t="s">
        <v>1913</v>
      </c>
      <c r="E12002" s="2" t="str">
        <f>"9783031390388"</f>
        <v>9783031390388</v>
      </c>
      <c r="F12002" s="2" t="str">
        <f>"9783031390395"</f>
        <v>9783031390395</v>
      </c>
    </row>
    <row r="12003" spans="1:6" s="3" customFormat="1" ht="29.1" customHeight="1" x14ac:dyDescent="0.25">
      <c r="A12003" s="2" t="s">
        <v>24369</v>
      </c>
      <c r="B12003" s="2" t="s">
        <v>24370</v>
      </c>
      <c r="C12003" s="2" t="s">
        <v>5</v>
      </c>
      <c r="D12003" s="2" t="s">
        <v>192</v>
      </c>
      <c r="E12003" s="2" t="str">
        <f>"9789819933419"</f>
        <v>9789819933419</v>
      </c>
      <c r="F12003" s="2" t="str">
        <f>"9789819933426"</f>
        <v>9789819933426</v>
      </c>
    </row>
    <row r="12004" spans="1:6" s="3" customFormat="1" ht="29.1" customHeight="1" x14ac:dyDescent="0.25">
      <c r="A12004" s="2" t="s">
        <v>24371</v>
      </c>
      <c r="B12004" s="2" t="s">
        <v>24372</v>
      </c>
      <c r="C12004" s="2" t="s">
        <v>5</v>
      </c>
      <c r="D12004" s="2" t="s">
        <v>192</v>
      </c>
      <c r="E12004" s="2" t="str">
        <f>"9789819930128"</f>
        <v>9789819930128</v>
      </c>
      <c r="F12004" s="2" t="str">
        <f>"9789819930135"</f>
        <v>9789819930135</v>
      </c>
    </row>
    <row r="12005" spans="1:6" s="3" customFormat="1" ht="29.1" customHeight="1" x14ac:dyDescent="0.25">
      <c r="A12005" s="2" t="s">
        <v>24373</v>
      </c>
      <c r="B12005" s="2" t="s">
        <v>24374</v>
      </c>
      <c r="C12005" s="2" t="s">
        <v>5</v>
      </c>
      <c r="D12005" s="2" t="s">
        <v>183</v>
      </c>
      <c r="E12005" s="2" t="str">
        <f>"9783031331213"</f>
        <v>9783031331213</v>
      </c>
      <c r="F12005" s="2" t="str">
        <f>"9783031331220"</f>
        <v>9783031331220</v>
      </c>
    </row>
    <row r="12006" spans="1:6" s="3" customFormat="1" ht="29.1" customHeight="1" x14ac:dyDescent="0.25">
      <c r="A12006" s="2" t="s">
        <v>24375</v>
      </c>
      <c r="B12006" s="2" t="s">
        <v>24376</v>
      </c>
      <c r="C12006" s="2" t="s">
        <v>5</v>
      </c>
      <c r="D12006" s="2" t="s">
        <v>712</v>
      </c>
      <c r="E12006" s="2" t="str">
        <f>"9783031330766"</f>
        <v>9783031330766</v>
      </c>
      <c r="F12006" s="2" t="str">
        <f>"9783031330773"</f>
        <v>9783031330773</v>
      </c>
    </row>
    <row r="12007" spans="1:6" s="3" customFormat="1" ht="29.1" customHeight="1" x14ac:dyDescent="0.25">
      <c r="A12007" s="2" t="s">
        <v>24377</v>
      </c>
      <c r="B12007" s="2" t="s">
        <v>24378</v>
      </c>
      <c r="C12007" s="2" t="s">
        <v>5</v>
      </c>
      <c r="D12007" s="2" t="s">
        <v>674</v>
      </c>
      <c r="E12007" s="2" t="str">
        <f>"9789819927593"</f>
        <v>9789819927593</v>
      </c>
      <c r="F12007" s="2" t="str">
        <f>"9789819927609"</f>
        <v>9789819927609</v>
      </c>
    </row>
    <row r="12008" spans="1:6" s="3" customFormat="1" ht="29.1" customHeight="1" x14ac:dyDescent="0.25">
      <c r="A12008" s="2" t="s">
        <v>24379</v>
      </c>
      <c r="B12008" s="2" t="s">
        <v>24380</v>
      </c>
      <c r="C12008" s="2" t="s">
        <v>5</v>
      </c>
      <c r="D12008" s="2" t="s">
        <v>6714</v>
      </c>
      <c r="E12008" s="2" t="str">
        <f>"9783031319365"</f>
        <v>9783031319365</v>
      </c>
      <c r="F12008" s="2" t="str">
        <f>"9783031319372"</f>
        <v>9783031319372</v>
      </c>
    </row>
    <row r="12009" spans="1:6" s="3" customFormat="1" ht="29.1" customHeight="1" x14ac:dyDescent="0.25">
      <c r="A12009" s="2" t="s">
        <v>24381</v>
      </c>
      <c r="B12009" s="2" t="s">
        <v>24382</v>
      </c>
      <c r="C12009" s="2" t="s">
        <v>5</v>
      </c>
      <c r="D12009" s="2" t="s">
        <v>836</v>
      </c>
      <c r="E12009" s="2" t="str">
        <f>"9783031316777"</f>
        <v>9783031316777</v>
      </c>
      <c r="F12009" s="2" t="str">
        <f>"9783031316784"</f>
        <v>9783031316784</v>
      </c>
    </row>
    <row r="12010" spans="1:6" s="3" customFormat="1" ht="29.1" customHeight="1" x14ac:dyDescent="0.25">
      <c r="A12010" s="2" t="s">
        <v>24383</v>
      </c>
      <c r="B12010" s="2" t="s">
        <v>24384</v>
      </c>
      <c r="C12010" s="2" t="s">
        <v>5</v>
      </c>
      <c r="D12010" s="2" t="s">
        <v>86</v>
      </c>
      <c r="E12010" s="2" t="str">
        <f>"9783031316081"</f>
        <v>9783031316081</v>
      </c>
      <c r="F12010" s="2" t="str">
        <f>"9783031316098"</f>
        <v>9783031316098</v>
      </c>
    </row>
    <row r="12011" spans="1:6" s="3" customFormat="1" ht="29.1" customHeight="1" x14ac:dyDescent="0.25">
      <c r="A12011" s="2" t="s">
        <v>24385</v>
      </c>
      <c r="B12011" s="2" t="s">
        <v>24386</v>
      </c>
      <c r="C12011" s="2" t="s">
        <v>5</v>
      </c>
      <c r="D12011" s="2" t="s">
        <v>98</v>
      </c>
      <c r="E12011" s="2" t="str">
        <f>"9783031314780"</f>
        <v>9783031314780</v>
      </c>
      <c r="F12011" s="2" t="str">
        <f>"9783031314797"</f>
        <v>9783031314797</v>
      </c>
    </row>
    <row r="12012" spans="1:6" s="3" customFormat="1" ht="29.1" customHeight="1" x14ac:dyDescent="0.25">
      <c r="A12012" s="2" t="s">
        <v>24387</v>
      </c>
      <c r="B12012" s="2" t="s">
        <v>24388</v>
      </c>
      <c r="C12012" s="2" t="s">
        <v>5</v>
      </c>
      <c r="D12012" s="2" t="s">
        <v>75</v>
      </c>
      <c r="E12012" s="2" t="str">
        <f>"9783031312595"</f>
        <v>9783031312595</v>
      </c>
      <c r="F12012" s="2" t="str">
        <f>"9783031312601"</f>
        <v>9783031312601</v>
      </c>
    </row>
    <row r="12013" spans="1:6" s="3" customFormat="1" ht="29.1" customHeight="1" x14ac:dyDescent="0.25">
      <c r="A12013" s="2" t="s">
        <v>24389</v>
      </c>
      <c r="B12013" s="2" t="s">
        <v>24390</v>
      </c>
      <c r="C12013" s="2" t="s">
        <v>5</v>
      </c>
      <c r="D12013" s="2" t="s">
        <v>14256</v>
      </c>
      <c r="E12013" s="2" t="str">
        <f>"9783031311420"</f>
        <v>9783031311420</v>
      </c>
      <c r="F12013" s="2" t="str">
        <f>"9783031311437"</f>
        <v>9783031311437</v>
      </c>
    </row>
    <row r="12014" spans="1:6" s="3" customFormat="1" ht="29.1" customHeight="1" x14ac:dyDescent="0.25">
      <c r="A12014" s="2" t="s">
        <v>24391</v>
      </c>
      <c r="B12014" s="2" t="s">
        <v>24392</v>
      </c>
      <c r="C12014" s="2" t="s">
        <v>5</v>
      </c>
      <c r="D12014" s="2" t="s">
        <v>44</v>
      </c>
      <c r="E12014" s="2" t="str">
        <f>"9789819920532"</f>
        <v>9789819920532</v>
      </c>
      <c r="F12014" s="2" t="str">
        <f>"9789819920549"</f>
        <v>9789819920549</v>
      </c>
    </row>
    <row r="12015" spans="1:6" s="3" customFormat="1" ht="29.1" customHeight="1" x14ac:dyDescent="0.25">
      <c r="A12015" s="2" t="s">
        <v>24393</v>
      </c>
      <c r="B12015" s="2" t="s">
        <v>24394</v>
      </c>
      <c r="C12015" s="2" t="s">
        <v>5</v>
      </c>
      <c r="D12015" s="2" t="s">
        <v>11074</v>
      </c>
      <c r="E12015" s="2" t="str">
        <f>"9783031307713"</f>
        <v>9783031307713</v>
      </c>
      <c r="F12015" s="2" t="str">
        <f>"9783031307720"</f>
        <v>9783031307720</v>
      </c>
    </row>
    <row r="12016" spans="1:6" s="3" customFormat="1" ht="29.1" customHeight="1" x14ac:dyDescent="0.25">
      <c r="A12016" s="2" t="s">
        <v>24395</v>
      </c>
      <c r="B12016" s="2" t="s">
        <v>24396</v>
      </c>
      <c r="C12016" s="2" t="s">
        <v>5</v>
      </c>
      <c r="D12016" s="2" t="s">
        <v>5032</v>
      </c>
      <c r="E12016" s="2" t="str">
        <f>"9783031301179"</f>
        <v>9783031301179</v>
      </c>
      <c r="F12016" s="2" t="str">
        <f>"9783031301186"</f>
        <v>9783031301186</v>
      </c>
    </row>
    <row r="12017" spans="1:6" s="3" customFormat="1" ht="29.1" customHeight="1" x14ac:dyDescent="0.25">
      <c r="A12017" s="2" t="s">
        <v>24397</v>
      </c>
      <c r="B12017" s="2" t="s">
        <v>19752</v>
      </c>
      <c r="C12017" s="2" t="s">
        <v>5</v>
      </c>
      <c r="D12017" s="2" t="s">
        <v>98</v>
      </c>
      <c r="E12017" s="2" t="str">
        <f>"9783031289705"</f>
        <v>9783031289705</v>
      </c>
      <c r="F12017" s="2" t="str">
        <f>"9783031289712"</f>
        <v>9783031289712</v>
      </c>
    </row>
    <row r="12018" spans="1:6" s="3" customFormat="1" ht="29.1" customHeight="1" x14ac:dyDescent="0.25">
      <c r="A12018" s="2" t="s">
        <v>24398</v>
      </c>
      <c r="B12018" s="2" t="s">
        <v>23426</v>
      </c>
      <c r="C12018" s="2" t="s">
        <v>5</v>
      </c>
      <c r="D12018" s="2" t="s">
        <v>321</v>
      </c>
      <c r="E12018" s="2" t="str">
        <f>"9783662670033"</f>
        <v>9783662670033</v>
      </c>
      <c r="F12018" s="2" t="str">
        <f>"9783662670040"</f>
        <v>9783662670040</v>
      </c>
    </row>
    <row r="12019" spans="1:6" s="3" customFormat="1" ht="29.1" customHeight="1" x14ac:dyDescent="0.25">
      <c r="A12019" s="2" t="s">
        <v>24399</v>
      </c>
      <c r="B12019" s="2" t="s">
        <v>24400</v>
      </c>
      <c r="C12019" s="2" t="s">
        <v>5</v>
      </c>
      <c r="D12019" s="2" t="s">
        <v>459</v>
      </c>
      <c r="E12019" s="2" t="str">
        <f>"9783031281730"</f>
        <v>9783031281730</v>
      </c>
      <c r="F12019" s="2" t="str">
        <f>"9783031281747"</f>
        <v>9783031281747</v>
      </c>
    </row>
    <row r="12020" spans="1:6" s="3" customFormat="1" ht="29.1" customHeight="1" x14ac:dyDescent="0.25">
      <c r="A12020" s="2" t="s">
        <v>24401</v>
      </c>
      <c r="B12020" s="2" t="s">
        <v>24402</v>
      </c>
      <c r="C12020" s="2" t="s">
        <v>5</v>
      </c>
      <c r="D12020" s="2" t="s">
        <v>7978</v>
      </c>
      <c r="E12020" s="2" t="str">
        <f>"9783658408169"</f>
        <v>9783658408169</v>
      </c>
      <c r="F12020" s="2" t="str">
        <f>"9783658408176"</f>
        <v>9783658408176</v>
      </c>
    </row>
    <row r="12021" spans="1:6" s="3" customFormat="1" ht="29.1" customHeight="1" x14ac:dyDescent="0.25">
      <c r="A12021" s="2" t="s">
        <v>24403</v>
      </c>
      <c r="B12021" s="2" t="s">
        <v>24404</v>
      </c>
      <c r="C12021" s="2" t="s">
        <v>5</v>
      </c>
      <c r="D12021" s="2" t="s">
        <v>1471</v>
      </c>
      <c r="E12021" s="2" t="str">
        <f>"9783031272226"</f>
        <v>9783031272226</v>
      </c>
      <c r="F12021" s="2" t="str">
        <f>"9783031272233"</f>
        <v>9783031272233</v>
      </c>
    </row>
    <row r="12022" spans="1:6" s="3" customFormat="1" ht="29.1" customHeight="1" x14ac:dyDescent="0.25">
      <c r="A12022" s="2" t="s">
        <v>24405</v>
      </c>
      <c r="B12022" s="2" t="s">
        <v>24406</v>
      </c>
      <c r="C12022" s="2" t="s">
        <v>5</v>
      </c>
      <c r="D12022" s="2" t="s">
        <v>3489</v>
      </c>
      <c r="E12022" s="2" t="str">
        <f>"9783031264894"</f>
        <v>9783031264894</v>
      </c>
      <c r="F12022" s="2" t="str">
        <f>"9783031264900"</f>
        <v>9783031264900</v>
      </c>
    </row>
    <row r="12023" spans="1:6" s="3" customFormat="1" ht="29.1" customHeight="1" x14ac:dyDescent="0.25">
      <c r="A12023" s="2" t="s">
        <v>24407</v>
      </c>
      <c r="B12023" s="2" t="s">
        <v>24408</v>
      </c>
      <c r="C12023" s="2" t="s">
        <v>5</v>
      </c>
      <c r="D12023" s="2" t="s">
        <v>490</v>
      </c>
      <c r="E12023" s="2" t="str">
        <f>"9789811999710"</f>
        <v>9789811999710</v>
      </c>
      <c r="F12023" s="2" t="str">
        <f>"9789811999727"</f>
        <v>9789811999727</v>
      </c>
    </row>
    <row r="12024" spans="1:6" s="3" customFormat="1" ht="29.1" customHeight="1" x14ac:dyDescent="0.25">
      <c r="A12024" s="2" t="s">
        <v>24409</v>
      </c>
      <c r="B12024" s="2" t="s">
        <v>24410</v>
      </c>
      <c r="C12024" s="2" t="s">
        <v>5</v>
      </c>
      <c r="D12024" s="2" t="s">
        <v>294</v>
      </c>
      <c r="E12024" s="2" t="str">
        <f>"9783031256882"</f>
        <v>9783031256882</v>
      </c>
      <c r="F12024" s="2" t="str">
        <f>"9783031256899"</f>
        <v>9783031256899</v>
      </c>
    </row>
    <row r="12025" spans="1:6" s="3" customFormat="1" ht="29.1" customHeight="1" x14ac:dyDescent="0.25">
      <c r="A12025" s="2" t="s">
        <v>24411</v>
      </c>
      <c r="B12025" s="2" t="s">
        <v>24412</v>
      </c>
      <c r="C12025" s="2" t="s">
        <v>5</v>
      </c>
      <c r="D12025" s="2" t="s">
        <v>836</v>
      </c>
      <c r="E12025" s="2" t="str">
        <f>"9783031256127"</f>
        <v>9783031256127</v>
      </c>
      <c r="F12025" s="2" t="str">
        <f>"9783031256134"</f>
        <v>9783031256134</v>
      </c>
    </row>
    <row r="12026" spans="1:6" s="3" customFormat="1" ht="29.1" customHeight="1" x14ac:dyDescent="0.25">
      <c r="A12026" s="2" t="s">
        <v>24413</v>
      </c>
      <c r="B12026" s="2" t="s">
        <v>24414</v>
      </c>
      <c r="C12026" s="2" t="s">
        <v>5</v>
      </c>
      <c r="D12026" s="2" t="s">
        <v>490</v>
      </c>
      <c r="E12026" s="2" t="str">
        <f>"9783031255830"</f>
        <v>9783031255830</v>
      </c>
      <c r="F12026" s="2" t="str">
        <f>"9783031255847"</f>
        <v>9783031255847</v>
      </c>
    </row>
    <row r="12027" spans="1:6" s="3" customFormat="1" ht="29.1" customHeight="1" x14ac:dyDescent="0.25">
      <c r="A12027" s="2" t="s">
        <v>24415</v>
      </c>
      <c r="B12027" s="2" t="s">
        <v>24416</v>
      </c>
      <c r="C12027" s="2" t="s">
        <v>5</v>
      </c>
      <c r="D12027" s="2" t="s">
        <v>12</v>
      </c>
      <c r="E12027" s="2" t="str">
        <f>"9789811998607"</f>
        <v>9789811998607</v>
      </c>
      <c r="F12027" s="2" t="str">
        <f>"9789811998614"</f>
        <v>9789811998614</v>
      </c>
    </row>
    <row r="12028" spans="1:6" s="3" customFormat="1" ht="29.1" customHeight="1" x14ac:dyDescent="0.25">
      <c r="A12028" s="2" t="s">
        <v>24417</v>
      </c>
      <c r="B12028" s="2" t="s">
        <v>24418</v>
      </c>
      <c r="C12028" s="2" t="s">
        <v>5</v>
      </c>
      <c r="D12028" s="2" t="s">
        <v>9600</v>
      </c>
      <c r="E12028" s="2" t="str">
        <f>"9789811998522"</f>
        <v>9789811998522</v>
      </c>
      <c r="F12028" s="2" t="str">
        <f>"9789811998539"</f>
        <v>9789811998539</v>
      </c>
    </row>
    <row r="12029" spans="1:6" s="3" customFormat="1" ht="29.1" customHeight="1" x14ac:dyDescent="0.25">
      <c r="A12029" s="2" t="s">
        <v>24419</v>
      </c>
      <c r="B12029" s="2" t="s">
        <v>24420</v>
      </c>
      <c r="C12029" s="2" t="s">
        <v>5</v>
      </c>
      <c r="D12029" s="2" t="s">
        <v>12</v>
      </c>
      <c r="E12029" s="2" t="str">
        <f>"9789811996993"</f>
        <v>9789811996993</v>
      </c>
      <c r="F12029" s="2" t="str">
        <f>"9789811997006"</f>
        <v>9789811997006</v>
      </c>
    </row>
    <row r="12030" spans="1:6" s="3" customFormat="1" ht="29.1" customHeight="1" x14ac:dyDescent="0.25">
      <c r="A12030" s="2" t="s">
        <v>24421</v>
      </c>
      <c r="B12030" s="2" t="s">
        <v>24422</v>
      </c>
      <c r="C12030" s="2" t="s">
        <v>5</v>
      </c>
      <c r="D12030" s="2" t="s">
        <v>689</v>
      </c>
      <c r="E12030" s="2" t="str">
        <f>"9783031250774"</f>
        <v>9783031250774</v>
      </c>
      <c r="F12030" s="2" t="str">
        <f>"9783031250781"</f>
        <v>9783031250781</v>
      </c>
    </row>
    <row r="12031" spans="1:6" s="3" customFormat="1" ht="29.1" customHeight="1" x14ac:dyDescent="0.25">
      <c r="A12031" s="2" t="s">
        <v>24423</v>
      </c>
      <c r="B12031" s="2" t="s">
        <v>24424</v>
      </c>
      <c r="C12031" s="2" t="s">
        <v>5</v>
      </c>
      <c r="D12031" s="2" t="s">
        <v>855</v>
      </c>
      <c r="E12031" s="2" t="str">
        <f>"9783658404864"</f>
        <v>9783658404864</v>
      </c>
      <c r="F12031" s="2" t="str">
        <f>"9783658404871"</f>
        <v>9783658404871</v>
      </c>
    </row>
    <row r="12032" spans="1:6" s="3" customFormat="1" ht="29.1" customHeight="1" x14ac:dyDescent="0.25">
      <c r="A12032" s="2" t="s">
        <v>24425</v>
      </c>
      <c r="B12032" s="2" t="s">
        <v>7068</v>
      </c>
      <c r="C12032" s="2" t="s">
        <v>5</v>
      </c>
      <c r="D12032" s="2" t="s">
        <v>12</v>
      </c>
      <c r="E12032" s="2" t="str">
        <f>"9789811994692"</f>
        <v>9789811994692</v>
      </c>
      <c r="F12032" s="2" t="str">
        <f>"9789811994708"</f>
        <v>9789811994708</v>
      </c>
    </row>
    <row r="12033" spans="1:6" s="3" customFormat="1" ht="29.1" customHeight="1" x14ac:dyDescent="0.25">
      <c r="A12033" s="2" t="s">
        <v>24426</v>
      </c>
      <c r="B12033" s="2" t="s">
        <v>24427</v>
      </c>
      <c r="C12033" s="2" t="s">
        <v>5</v>
      </c>
      <c r="D12033" s="2" t="s">
        <v>4783</v>
      </c>
      <c r="E12033" s="2" t="str">
        <f>"9789811994531"</f>
        <v>9789811994531</v>
      </c>
      <c r="F12033" s="2" t="str">
        <f>"9789811994548"</f>
        <v>9789811994548</v>
      </c>
    </row>
    <row r="12034" spans="1:6" s="3" customFormat="1" ht="29.1" customHeight="1" x14ac:dyDescent="0.25">
      <c r="A12034" s="2" t="s">
        <v>24428</v>
      </c>
      <c r="B12034" s="2" t="s">
        <v>24429</v>
      </c>
      <c r="C12034" s="2" t="s">
        <v>5</v>
      </c>
      <c r="D12034" s="2" t="s">
        <v>2590</v>
      </c>
      <c r="E12034" s="2" t="str">
        <f>"9783031243547"</f>
        <v>9783031243547</v>
      </c>
      <c r="F12034" s="2" t="str">
        <f>"9783031243554"</f>
        <v>9783031243554</v>
      </c>
    </row>
    <row r="12035" spans="1:6" s="3" customFormat="1" ht="29.1" customHeight="1" x14ac:dyDescent="0.25">
      <c r="A12035" s="2" t="s">
        <v>24430</v>
      </c>
      <c r="B12035" s="2" t="s">
        <v>24431</v>
      </c>
      <c r="C12035" s="2" t="s">
        <v>5</v>
      </c>
      <c r="D12035" s="2" t="s">
        <v>297</v>
      </c>
      <c r="E12035" s="2" t="str">
        <f>"9783031242700"</f>
        <v>9783031242700</v>
      </c>
      <c r="F12035" s="2" t="str">
        <f>"9783031242717"</f>
        <v>9783031242717</v>
      </c>
    </row>
    <row r="12036" spans="1:6" s="3" customFormat="1" ht="29.1" customHeight="1" x14ac:dyDescent="0.25">
      <c r="A12036" s="2" t="s">
        <v>24432</v>
      </c>
      <c r="B12036" s="2" t="s">
        <v>24433</v>
      </c>
      <c r="C12036" s="2" t="s">
        <v>5</v>
      </c>
      <c r="D12036" s="2" t="s">
        <v>3304</v>
      </c>
      <c r="E12036" s="2" t="str">
        <f>"9783031240652"</f>
        <v>9783031240652</v>
      </c>
      <c r="F12036" s="2" t="str">
        <f>"9783031240669"</f>
        <v>9783031240669</v>
      </c>
    </row>
    <row r="12037" spans="1:6" s="3" customFormat="1" ht="29.1" customHeight="1" x14ac:dyDescent="0.25">
      <c r="A12037" s="2" t="s">
        <v>24434</v>
      </c>
      <c r="B12037" s="2" t="s">
        <v>24435</v>
      </c>
      <c r="C12037" s="2" t="s">
        <v>5</v>
      </c>
      <c r="D12037" s="2" t="s">
        <v>196</v>
      </c>
      <c r="E12037" s="2" t="str">
        <f>"9783031236570"</f>
        <v>9783031236570</v>
      </c>
      <c r="F12037" s="2" t="str">
        <f>"9783031236587"</f>
        <v>9783031236587</v>
      </c>
    </row>
    <row r="12038" spans="1:6" s="3" customFormat="1" ht="29.1" customHeight="1" x14ac:dyDescent="0.25">
      <c r="A12038" s="2" t="s">
        <v>24436</v>
      </c>
      <c r="B12038" s="2" t="s">
        <v>24437</v>
      </c>
      <c r="C12038" s="2" t="s">
        <v>5</v>
      </c>
      <c r="D12038" s="2" t="s">
        <v>6994</v>
      </c>
      <c r="E12038" s="2" t="str">
        <f>"9783031222764"</f>
        <v>9783031222764</v>
      </c>
      <c r="F12038" s="2" t="str">
        <f>"9783031222771"</f>
        <v>9783031222771</v>
      </c>
    </row>
    <row r="12039" spans="1:6" s="3" customFormat="1" ht="29.1" customHeight="1" x14ac:dyDescent="0.25">
      <c r="A12039" s="2" t="s">
        <v>24438</v>
      </c>
      <c r="B12039" s="2" t="s">
        <v>24439</v>
      </c>
      <c r="C12039" s="2" t="s">
        <v>5</v>
      </c>
      <c r="D12039" s="2" t="s">
        <v>18456</v>
      </c>
      <c r="E12039" s="2" t="str">
        <f>"9789811983269"</f>
        <v>9789811983269</v>
      </c>
      <c r="F12039" s="2" t="str">
        <f>"9789811983276"</f>
        <v>9789811983276</v>
      </c>
    </row>
    <row r="12040" spans="1:6" s="3" customFormat="1" ht="29.1" customHeight="1" x14ac:dyDescent="0.25">
      <c r="A12040" s="2" t="s">
        <v>24440</v>
      </c>
      <c r="B12040" s="2" t="s">
        <v>24441</v>
      </c>
      <c r="C12040" s="2" t="s">
        <v>5</v>
      </c>
      <c r="D12040" s="2" t="s">
        <v>37</v>
      </c>
      <c r="E12040" s="2" t="str">
        <f>"9783031201127"</f>
        <v>9783031201127</v>
      </c>
      <c r="F12040" s="2" t="str">
        <f>"9783031201134"</f>
        <v>9783031201134</v>
      </c>
    </row>
    <row r="12041" spans="1:6" s="3" customFormat="1" ht="29.1" customHeight="1" x14ac:dyDescent="0.25">
      <c r="A12041" s="2" t="s">
        <v>24442</v>
      </c>
      <c r="B12041" s="2" t="s">
        <v>24443</v>
      </c>
      <c r="C12041" s="2" t="s">
        <v>5</v>
      </c>
      <c r="D12041" s="2" t="s">
        <v>2237</v>
      </c>
      <c r="E12041" s="2" t="str">
        <f>"9783031200090"</f>
        <v>9783031200090</v>
      </c>
      <c r="F12041" s="2" t="str">
        <f>"9783031200106"</f>
        <v>9783031200106</v>
      </c>
    </row>
    <row r="12042" spans="1:6" s="3" customFormat="1" ht="29.1" customHeight="1" x14ac:dyDescent="0.25">
      <c r="A12042" s="2" t="s">
        <v>24444</v>
      </c>
      <c r="B12042" s="2" t="s">
        <v>24445</v>
      </c>
      <c r="C12042" s="2" t="s">
        <v>5</v>
      </c>
      <c r="D12042" s="2" t="s">
        <v>183</v>
      </c>
      <c r="E12042" s="2" t="str">
        <f>"9783031192388"</f>
        <v>9783031192388</v>
      </c>
      <c r="F12042" s="2" t="str">
        <f>"9783031192395"</f>
        <v>9783031192395</v>
      </c>
    </row>
    <row r="12043" spans="1:6" s="3" customFormat="1" ht="29.1" customHeight="1" x14ac:dyDescent="0.25">
      <c r="A12043" s="2" t="s">
        <v>24446</v>
      </c>
      <c r="B12043" s="2" t="s">
        <v>24447</v>
      </c>
      <c r="C12043" s="2" t="s">
        <v>5</v>
      </c>
      <c r="D12043" s="2" t="s">
        <v>4783</v>
      </c>
      <c r="E12043" s="2" t="str">
        <f>"9789811967832"</f>
        <v>9789811967832</v>
      </c>
      <c r="F12043" s="2" t="str">
        <f>"9789811967849"</f>
        <v>9789811967849</v>
      </c>
    </row>
    <row r="12044" spans="1:6" s="3" customFormat="1" ht="29.1" customHeight="1" x14ac:dyDescent="0.25">
      <c r="A12044" s="2" t="s">
        <v>24448</v>
      </c>
      <c r="B12044" s="2" t="s">
        <v>24449</v>
      </c>
      <c r="C12044" s="2" t="s">
        <v>5</v>
      </c>
      <c r="D12044" s="2" t="s">
        <v>547</v>
      </c>
      <c r="E12044" s="2" t="str">
        <f>"9783031162763"</f>
        <v>9783031162763</v>
      </c>
      <c r="F12044" s="2" t="str">
        <f>"9783031162770"</f>
        <v>9783031162770</v>
      </c>
    </row>
    <row r="12045" spans="1:6" s="3" customFormat="1" ht="29.1" customHeight="1" x14ac:dyDescent="0.25">
      <c r="A12045" s="2" t="s">
        <v>24450</v>
      </c>
      <c r="B12045" s="2" t="s">
        <v>24451</v>
      </c>
      <c r="C12045" s="2" t="s">
        <v>5</v>
      </c>
      <c r="D12045" s="2" t="s">
        <v>3221</v>
      </c>
      <c r="E12045" s="2" t="str">
        <f>"9783031161186"</f>
        <v>9783031161186</v>
      </c>
      <c r="F12045" s="2" t="str">
        <f>"9783031161193"</f>
        <v>9783031161193</v>
      </c>
    </row>
    <row r="12046" spans="1:6" s="3" customFormat="1" ht="29.1" customHeight="1" x14ac:dyDescent="0.25">
      <c r="A12046" s="2" t="s">
        <v>24452</v>
      </c>
      <c r="B12046" s="2" t="s">
        <v>24453</v>
      </c>
      <c r="C12046" s="2" t="s">
        <v>5</v>
      </c>
      <c r="D12046" s="2" t="s">
        <v>37</v>
      </c>
      <c r="E12046" s="2" t="str">
        <f>"9783031159664"</f>
        <v>9783031159664</v>
      </c>
      <c r="F12046" s="2" t="str">
        <f>"9783031159671"</f>
        <v>9783031159671</v>
      </c>
    </row>
    <row r="12047" spans="1:6" s="3" customFormat="1" ht="29.1" customHeight="1" x14ac:dyDescent="0.25">
      <c r="A12047" s="2" t="s">
        <v>24454</v>
      </c>
      <c r="B12047" s="2" t="s">
        <v>24455</v>
      </c>
      <c r="C12047" s="2" t="s">
        <v>5</v>
      </c>
      <c r="D12047" s="2" t="s">
        <v>428</v>
      </c>
      <c r="E12047" s="2" t="str">
        <f>"9783031132599"</f>
        <v>9783031132599</v>
      </c>
      <c r="F12047" s="2" t="str">
        <f>"9783031132605"</f>
        <v>9783031132605</v>
      </c>
    </row>
    <row r="12048" spans="1:6" s="3" customFormat="1" ht="29.1" customHeight="1" x14ac:dyDescent="0.25">
      <c r="A12048" s="2" t="s">
        <v>24456</v>
      </c>
      <c r="B12048" s="2" t="s">
        <v>3868</v>
      </c>
      <c r="C12048" s="2" t="s">
        <v>5</v>
      </c>
      <c r="D12048" s="2" t="s">
        <v>1411</v>
      </c>
      <c r="E12048" s="2" t="str">
        <f>"9783031129414"</f>
        <v>9783031129414</v>
      </c>
      <c r="F12048" s="2" t="str">
        <f>"9783031129421"</f>
        <v>9783031129421</v>
      </c>
    </row>
    <row r="12049" spans="1:6" s="3" customFormat="1" ht="29.1" customHeight="1" x14ac:dyDescent="0.25">
      <c r="A12049" s="2" t="s">
        <v>24457</v>
      </c>
      <c r="B12049" s="2" t="s">
        <v>24458</v>
      </c>
      <c r="C12049" s="2" t="s">
        <v>5</v>
      </c>
      <c r="D12049" s="2" t="s">
        <v>9</v>
      </c>
      <c r="E12049" s="2" t="str">
        <f>"9782384761333"</f>
        <v>9782384761333</v>
      </c>
      <c r="F12049" s="2" t="str">
        <f>"9782384761340"</f>
        <v>9782384761340</v>
      </c>
    </row>
    <row r="12050" spans="1:6" s="3" customFormat="1" ht="29.1" customHeight="1" x14ac:dyDescent="0.25">
      <c r="A12050" s="2" t="s">
        <v>24459</v>
      </c>
      <c r="B12050" s="2" t="s">
        <v>24460</v>
      </c>
      <c r="C12050" s="2" t="s">
        <v>5</v>
      </c>
      <c r="D12050" s="2" t="s">
        <v>10064</v>
      </c>
      <c r="E12050" s="2" t="str">
        <f>"9789819906123"</f>
        <v>9789819906123</v>
      </c>
      <c r="F12050" s="2" t="str">
        <f>"9789819906130"</f>
        <v>9789819906130</v>
      </c>
    </row>
    <row r="12051" spans="1:6" s="3" customFormat="1" ht="29.1" customHeight="1" x14ac:dyDescent="0.25">
      <c r="A12051" s="2" t="s">
        <v>24461</v>
      </c>
      <c r="B12051" s="2" t="s">
        <v>24462</v>
      </c>
      <c r="C12051" s="2" t="s">
        <v>5</v>
      </c>
      <c r="D12051" s="2" t="s">
        <v>17398</v>
      </c>
      <c r="E12051" s="2" t="str">
        <f>"9783031308406"</f>
        <v>9783031308406</v>
      </c>
      <c r="F12051" s="2" t="str">
        <f>"9783031308413"</f>
        <v>9783031308413</v>
      </c>
    </row>
    <row r="12052" spans="1:6" s="3" customFormat="1" ht="29.1" customHeight="1" x14ac:dyDescent="0.25">
      <c r="A12052" s="2" t="s">
        <v>24463</v>
      </c>
      <c r="B12052" s="2" t="s">
        <v>24464</v>
      </c>
      <c r="C12052" s="2" t="s">
        <v>5</v>
      </c>
      <c r="D12052" s="2" t="s">
        <v>350</v>
      </c>
      <c r="E12052" s="2" t="str">
        <f>"9783031356834"</f>
        <v>9783031356834</v>
      </c>
      <c r="F12052" s="2" t="str">
        <f>"9783031356841"</f>
        <v>9783031356841</v>
      </c>
    </row>
    <row r="12053" spans="1:6" s="3" customFormat="1" ht="29.1" customHeight="1" x14ac:dyDescent="0.25">
      <c r="A12053" s="2" t="s">
        <v>24465</v>
      </c>
      <c r="B12053" s="2" t="s">
        <v>24466</v>
      </c>
      <c r="C12053" s="2" t="s">
        <v>5</v>
      </c>
      <c r="D12053" s="2" t="s">
        <v>270</v>
      </c>
      <c r="E12053" s="2" t="str">
        <f>"9783031322150"</f>
        <v>9783031322150</v>
      </c>
      <c r="F12053" s="2" t="str">
        <f>"9783031322167"</f>
        <v>9783031322167</v>
      </c>
    </row>
    <row r="12054" spans="1:6" s="3" customFormat="1" ht="29.1" customHeight="1" x14ac:dyDescent="0.25">
      <c r="A12054" s="2" t="s">
        <v>24467</v>
      </c>
      <c r="B12054" s="2" t="s">
        <v>24468</v>
      </c>
      <c r="C12054" s="2" t="s">
        <v>5</v>
      </c>
      <c r="D12054" s="2" t="s">
        <v>12450</v>
      </c>
      <c r="E12054" s="2" t="str">
        <f>"9789819902590"</f>
        <v>9789819902590</v>
      </c>
      <c r="F12054" s="2" t="str">
        <f>"9789819902606"</f>
        <v>9789819902606</v>
      </c>
    </row>
    <row r="12055" spans="1:6" s="3" customFormat="1" ht="29.1" customHeight="1" x14ac:dyDescent="0.25">
      <c r="A12055" s="2" t="s">
        <v>24469</v>
      </c>
      <c r="B12055" s="2" t="s">
        <v>24470</v>
      </c>
      <c r="C12055" s="2" t="s">
        <v>5</v>
      </c>
      <c r="D12055" s="2" t="s">
        <v>3319</v>
      </c>
      <c r="E12055" s="2" t="str">
        <f>"9783031224119"</f>
        <v>9783031224119</v>
      </c>
      <c r="F12055" s="2" t="str">
        <f>"9783031224126"</f>
        <v>9783031224126</v>
      </c>
    </row>
    <row r="12056" spans="1:6" s="3" customFormat="1" ht="29.1" customHeight="1" x14ac:dyDescent="0.25">
      <c r="A12056" s="2" t="s">
        <v>24471</v>
      </c>
      <c r="B12056" s="2" t="s">
        <v>24472</v>
      </c>
      <c r="C12056" s="2" t="s">
        <v>5</v>
      </c>
      <c r="D12056" s="2" t="s">
        <v>4783</v>
      </c>
      <c r="E12056" s="2" t="str">
        <f>"9789819933969"</f>
        <v>9789819933969</v>
      </c>
      <c r="F12056" s="2" t="str">
        <f>"9789819933976"</f>
        <v>9789819933976</v>
      </c>
    </row>
    <row r="12057" spans="1:6" s="3" customFormat="1" ht="29.1" customHeight="1" x14ac:dyDescent="0.25">
      <c r="A12057" s="2" t="s">
        <v>24473</v>
      </c>
      <c r="B12057" s="2" t="s">
        <v>24474</v>
      </c>
      <c r="C12057" s="2" t="s">
        <v>5</v>
      </c>
      <c r="D12057" s="2" t="s">
        <v>183</v>
      </c>
      <c r="E12057" s="2" t="str">
        <f>"9783031188367"</f>
        <v>9783031188367</v>
      </c>
      <c r="F12057" s="2" t="str">
        <f>"9783031188374"</f>
        <v>9783031188374</v>
      </c>
    </row>
    <row r="12058" spans="1:6" s="3" customFormat="1" ht="29.1" customHeight="1" x14ac:dyDescent="0.25">
      <c r="A12058" s="2" t="s">
        <v>24475</v>
      </c>
      <c r="B12058" s="2" t="s">
        <v>24476</v>
      </c>
      <c r="C12058" s="2" t="s">
        <v>5</v>
      </c>
      <c r="D12058" s="2" t="s">
        <v>1867</v>
      </c>
      <c r="E12058" s="2" t="str">
        <f>"9789819936519"</f>
        <v>9789819936519</v>
      </c>
      <c r="F12058" s="2" t="str">
        <f>"9789819936526"</f>
        <v>9789819936526</v>
      </c>
    </row>
    <row r="12059" spans="1:6" s="3" customFormat="1" ht="29.1" customHeight="1" x14ac:dyDescent="0.25">
      <c r="A12059" s="2" t="s">
        <v>24477</v>
      </c>
      <c r="B12059" s="2" t="s">
        <v>24478</v>
      </c>
      <c r="C12059" s="2" t="s">
        <v>5</v>
      </c>
      <c r="D12059" s="2" t="s">
        <v>183</v>
      </c>
      <c r="E12059" s="2" t="str">
        <f>"9789811977954"</f>
        <v>9789811977954</v>
      </c>
      <c r="F12059" s="2" t="str">
        <f>"9789811977961"</f>
        <v>9789811977961</v>
      </c>
    </row>
    <row r="12060" spans="1:6" s="3" customFormat="1" ht="29.1" customHeight="1" x14ac:dyDescent="0.25">
      <c r="A12060" s="2" t="s">
        <v>24479</v>
      </c>
      <c r="B12060" s="2" t="s">
        <v>24480</v>
      </c>
      <c r="C12060" s="2" t="s">
        <v>5</v>
      </c>
      <c r="D12060" s="2" t="s">
        <v>192</v>
      </c>
      <c r="E12060" s="2" t="str">
        <f>"9783031408007"</f>
        <v>9783031408007</v>
      </c>
      <c r="F12060" s="2" t="str">
        <f>"9783031408014"</f>
        <v>9783031408014</v>
      </c>
    </row>
    <row r="12061" spans="1:6" s="3" customFormat="1" ht="29.1" customHeight="1" x14ac:dyDescent="0.25">
      <c r="A12061" s="2" t="s">
        <v>24481</v>
      </c>
      <c r="B12061" s="2" t="s">
        <v>24482</v>
      </c>
      <c r="C12061" s="2" t="s">
        <v>5</v>
      </c>
      <c r="D12061" s="2" t="s">
        <v>196</v>
      </c>
      <c r="E12061" s="2" t="str">
        <f>"9783031216626"</f>
        <v>9783031216626</v>
      </c>
      <c r="F12061" s="2" t="str">
        <f>"9783031216633"</f>
        <v>9783031216633</v>
      </c>
    </row>
    <row r="12062" spans="1:6" s="3" customFormat="1" ht="29.1" customHeight="1" x14ac:dyDescent="0.25">
      <c r="A12062" s="2" t="s">
        <v>24483</v>
      </c>
      <c r="B12062" s="2" t="s">
        <v>24484</v>
      </c>
      <c r="C12062" s="2" t="s">
        <v>5</v>
      </c>
      <c r="D12062" s="2" t="s">
        <v>321</v>
      </c>
      <c r="E12062" s="2" t="str">
        <f>"9783031279324"</f>
        <v>9783031279324</v>
      </c>
      <c r="F12062" s="2" t="str">
        <f>"9783031279331"</f>
        <v>9783031279331</v>
      </c>
    </row>
    <row r="12063" spans="1:6" s="3" customFormat="1" ht="29.1" customHeight="1" x14ac:dyDescent="0.25">
      <c r="A12063" s="2" t="s">
        <v>24485</v>
      </c>
      <c r="B12063" s="2" t="s">
        <v>24486</v>
      </c>
      <c r="C12063" s="2" t="s">
        <v>5</v>
      </c>
      <c r="D12063" s="2" t="s">
        <v>9</v>
      </c>
      <c r="E12063" s="2" t="str">
        <f>"9783031141089"</f>
        <v>9783031141089</v>
      </c>
      <c r="F12063" s="2" t="str">
        <f>"9783031141096"</f>
        <v>9783031141096</v>
      </c>
    </row>
    <row r="12064" spans="1:6" s="3" customFormat="1" ht="29.1" customHeight="1" x14ac:dyDescent="0.25">
      <c r="A12064" s="2" t="s">
        <v>24487</v>
      </c>
      <c r="B12064" s="2" t="s">
        <v>24488</v>
      </c>
      <c r="C12064" s="2" t="s">
        <v>5</v>
      </c>
      <c r="D12064" s="2" t="s">
        <v>6655</v>
      </c>
      <c r="E12064" s="2" t="str">
        <f>"9783031294105"</f>
        <v>9783031294105</v>
      </c>
      <c r="F12064" s="2" t="str">
        <f>"9783031294112"</f>
        <v>9783031294112</v>
      </c>
    </row>
    <row r="12065" spans="1:6" s="3" customFormat="1" ht="29.1" customHeight="1" x14ac:dyDescent="0.25">
      <c r="A12065" s="2" t="s">
        <v>24489</v>
      </c>
      <c r="B12065" s="2" t="s">
        <v>24490</v>
      </c>
      <c r="C12065" s="2" t="s">
        <v>5</v>
      </c>
      <c r="D12065" s="2" t="s">
        <v>162</v>
      </c>
      <c r="E12065" s="2" t="str">
        <f>"9783030912741"</f>
        <v>9783030912741</v>
      </c>
      <c r="F12065" s="2" t="str">
        <f>"9783030912758"</f>
        <v>9783030912758</v>
      </c>
    </row>
    <row r="12066" spans="1:6" s="3" customFormat="1" ht="29.1" customHeight="1" x14ac:dyDescent="0.25">
      <c r="A12066" s="2" t="s">
        <v>24491</v>
      </c>
      <c r="B12066" s="2" t="s">
        <v>24492</v>
      </c>
      <c r="C12066" s="2" t="s">
        <v>5</v>
      </c>
      <c r="D12066" s="2" t="s">
        <v>674</v>
      </c>
      <c r="E12066" s="2" t="str">
        <f>"9783031273865"</f>
        <v>9783031273865</v>
      </c>
      <c r="F12066" s="2" t="str">
        <f>"9783031273872"</f>
        <v>9783031273872</v>
      </c>
    </row>
    <row r="12067" spans="1:6" s="3" customFormat="1" ht="29.1" customHeight="1" x14ac:dyDescent="0.25">
      <c r="A12067" s="2" t="s">
        <v>24494</v>
      </c>
      <c r="B12067" s="2" t="s">
        <v>24495</v>
      </c>
      <c r="C12067" s="2" t="s">
        <v>5</v>
      </c>
      <c r="D12067" s="2" t="s">
        <v>192</v>
      </c>
      <c r="E12067" s="2" t="str">
        <f>"9783031248870"</f>
        <v>9783031248870</v>
      </c>
      <c r="F12067" s="2" t="str">
        <f>"9783031248887"</f>
        <v>9783031248887</v>
      </c>
    </row>
    <row r="12068" spans="1:6" s="3" customFormat="1" ht="29.1" customHeight="1" x14ac:dyDescent="0.25">
      <c r="A12068" s="2" t="s">
        <v>24496</v>
      </c>
      <c r="B12068" s="2" t="s">
        <v>24497</v>
      </c>
      <c r="C12068" s="2" t="s">
        <v>5</v>
      </c>
      <c r="D12068" s="2" t="s">
        <v>2861</v>
      </c>
      <c r="E12068" s="2" t="str">
        <f>"9783031274619"</f>
        <v>9783031274619</v>
      </c>
      <c r="F12068" s="2" t="str">
        <f>"9783031274626"</f>
        <v>9783031274626</v>
      </c>
    </row>
    <row r="12069" spans="1:6" s="3" customFormat="1" ht="29.1" customHeight="1" x14ac:dyDescent="0.25">
      <c r="A12069" s="2" t="s">
        <v>24498</v>
      </c>
      <c r="B12069" s="2" t="s">
        <v>24499</v>
      </c>
      <c r="C12069" s="2" t="s">
        <v>5</v>
      </c>
      <c r="D12069" s="2" t="s">
        <v>2877</v>
      </c>
      <c r="E12069" s="2" t="str">
        <f>"9783031270062"</f>
        <v>9783031270062</v>
      </c>
      <c r="F12069" s="2" t="str">
        <f>"9783031270079"</f>
        <v>9783031270079</v>
      </c>
    </row>
    <row r="12070" spans="1:6" s="3" customFormat="1" ht="29.1" customHeight="1" x14ac:dyDescent="0.25">
      <c r="A12070" s="2" t="s">
        <v>24500</v>
      </c>
      <c r="B12070" s="2" t="s">
        <v>24501</v>
      </c>
      <c r="C12070" s="2" t="s">
        <v>5</v>
      </c>
      <c r="D12070" s="2" t="s">
        <v>4739</v>
      </c>
      <c r="E12070" s="2" t="str">
        <f>"9783031308512"</f>
        <v>9783031308512</v>
      </c>
      <c r="F12070" s="2" t="str">
        <f>"9783031308529"</f>
        <v>9783031308529</v>
      </c>
    </row>
    <row r="12071" spans="1:6" s="3" customFormat="1" ht="29.1" customHeight="1" x14ac:dyDescent="0.25">
      <c r="A12071" s="2" t="s">
        <v>24502</v>
      </c>
      <c r="B12071" s="2" t="s">
        <v>24503</v>
      </c>
      <c r="C12071" s="2" t="s">
        <v>5</v>
      </c>
      <c r="D12071" s="2" t="s">
        <v>183</v>
      </c>
      <c r="E12071" s="2" t="str">
        <f>"9783031319938"</f>
        <v>9783031319938</v>
      </c>
      <c r="F12071" s="2" t="str">
        <f>"9783031319945"</f>
        <v>9783031319945</v>
      </c>
    </row>
    <row r="12072" spans="1:6" s="3" customFormat="1" ht="29.1" customHeight="1" x14ac:dyDescent="0.25">
      <c r="A12072" s="2" t="s">
        <v>24504</v>
      </c>
      <c r="B12072" s="2" t="s">
        <v>24505</v>
      </c>
      <c r="C12072" s="2" t="s">
        <v>5</v>
      </c>
      <c r="D12072" s="2" t="s">
        <v>1654</v>
      </c>
      <c r="E12072" s="2" t="str">
        <f>"9783031224959"</f>
        <v>9783031224959</v>
      </c>
      <c r="F12072" s="2" t="str">
        <f>"9783031224966"</f>
        <v>9783031224966</v>
      </c>
    </row>
    <row r="12073" spans="1:6" s="3" customFormat="1" ht="29.1" customHeight="1" x14ac:dyDescent="0.25">
      <c r="A12073" s="2" t="s">
        <v>24506</v>
      </c>
      <c r="B12073" s="2" t="s">
        <v>24507</v>
      </c>
      <c r="C12073" s="2" t="s">
        <v>5</v>
      </c>
      <c r="D12073" s="2" t="s">
        <v>210</v>
      </c>
      <c r="E12073" s="2" t="str">
        <f>"9783031271274"</f>
        <v>9783031271274</v>
      </c>
      <c r="F12073" s="2" t="str">
        <f>"9783031271281"</f>
        <v>9783031271281</v>
      </c>
    </row>
    <row r="12074" spans="1:6" s="3" customFormat="1" ht="29.1" customHeight="1" x14ac:dyDescent="0.25">
      <c r="A12074" s="2" t="s">
        <v>24508</v>
      </c>
      <c r="B12074" s="2" t="s">
        <v>24509</v>
      </c>
      <c r="C12074" s="2" t="s">
        <v>5</v>
      </c>
      <c r="D12074" s="2" t="s">
        <v>4190</v>
      </c>
      <c r="E12074" s="2" t="str">
        <f>"9783031233043"</f>
        <v>9783031233043</v>
      </c>
      <c r="F12074" s="2" t="str">
        <f>"9783031233050"</f>
        <v>9783031233050</v>
      </c>
    </row>
    <row r="12075" spans="1:6" s="3" customFormat="1" ht="29.1" customHeight="1" x14ac:dyDescent="0.25">
      <c r="A12075" s="2" t="s">
        <v>24510</v>
      </c>
      <c r="B12075" s="2" t="s">
        <v>24511</v>
      </c>
      <c r="C12075" s="2" t="s">
        <v>5</v>
      </c>
      <c r="D12075" s="2" t="s">
        <v>4789</v>
      </c>
      <c r="E12075" s="2" t="str">
        <f>"9783030821012"</f>
        <v>9783030821012</v>
      </c>
      <c r="F12075" s="2" t="str">
        <f>"9783030821029"</f>
        <v>9783030821029</v>
      </c>
    </row>
    <row r="12076" spans="1:6" s="3" customFormat="1" ht="29.1" customHeight="1" x14ac:dyDescent="0.25">
      <c r="A12076" s="2" t="s">
        <v>24512</v>
      </c>
      <c r="B12076" s="2" t="s">
        <v>24513</v>
      </c>
      <c r="C12076" s="2" t="s">
        <v>5</v>
      </c>
      <c r="D12076" s="2" t="s">
        <v>1717</v>
      </c>
      <c r="E12076" s="2" t="str">
        <f>"9783031338939"</f>
        <v>9783031338939</v>
      </c>
      <c r="F12076" s="2" t="str">
        <f>"9783031338946"</f>
        <v>9783031338946</v>
      </c>
    </row>
    <row r="12077" spans="1:6" s="3" customFormat="1" ht="29.1" customHeight="1" x14ac:dyDescent="0.25">
      <c r="A12077" s="2" t="s">
        <v>24514</v>
      </c>
      <c r="B12077" s="2" t="s">
        <v>24515</v>
      </c>
      <c r="C12077" s="2" t="s">
        <v>5</v>
      </c>
      <c r="D12077" s="2" t="s">
        <v>281</v>
      </c>
      <c r="E12077" s="2" t="str">
        <f>"9783031295140"</f>
        <v>9783031295140</v>
      </c>
      <c r="F12077" s="2" t="str">
        <f>"9783031295157"</f>
        <v>9783031295157</v>
      </c>
    </row>
    <row r="12078" spans="1:6" s="3" customFormat="1" ht="29.1" customHeight="1" x14ac:dyDescent="0.25">
      <c r="A12078" s="2" t="s">
        <v>24516</v>
      </c>
      <c r="B12078" s="2" t="s">
        <v>24517</v>
      </c>
      <c r="C12078" s="2" t="s">
        <v>5</v>
      </c>
      <c r="D12078" s="2" t="s">
        <v>2513</v>
      </c>
      <c r="E12078" s="2" t="str">
        <f>"9783030898274"</f>
        <v>9783030898274</v>
      </c>
      <c r="F12078" s="2" t="str">
        <f>"9783030898281"</f>
        <v>9783030898281</v>
      </c>
    </row>
    <row r="12079" spans="1:6" s="3" customFormat="1" ht="29.1" customHeight="1" x14ac:dyDescent="0.25">
      <c r="A12079" s="2" t="s">
        <v>24518</v>
      </c>
      <c r="B12079" s="2" t="s">
        <v>24519</v>
      </c>
      <c r="C12079" s="2" t="s">
        <v>5</v>
      </c>
      <c r="D12079" s="2" t="s">
        <v>5408</v>
      </c>
      <c r="E12079" s="2" t="str">
        <f>"9783031329784"</f>
        <v>9783031329784</v>
      </c>
      <c r="F12079" s="2" t="str">
        <f>"9783031329791"</f>
        <v>9783031329791</v>
      </c>
    </row>
    <row r="12080" spans="1:6" s="3" customFormat="1" ht="29.1" customHeight="1" x14ac:dyDescent="0.25">
      <c r="A12080" s="2" t="s">
        <v>24520</v>
      </c>
      <c r="B12080" s="2" t="s">
        <v>3885</v>
      </c>
      <c r="C12080" s="2" t="s">
        <v>5</v>
      </c>
      <c r="D12080" s="2" t="s">
        <v>1895</v>
      </c>
      <c r="E12080" s="2" t="str">
        <f>"9783031182181"</f>
        <v>9783031182181</v>
      </c>
      <c r="F12080" s="2" t="str">
        <f>"9783031182198"</f>
        <v>9783031182198</v>
      </c>
    </row>
    <row r="12081" spans="1:6" s="3" customFormat="1" ht="29.1" customHeight="1" x14ac:dyDescent="0.25">
      <c r="A12081" s="2" t="s">
        <v>24521</v>
      </c>
      <c r="B12081" s="2" t="s">
        <v>24522</v>
      </c>
      <c r="C12081" s="2" t="s">
        <v>5</v>
      </c>
      <c r="D12081" s="2" t="s">
        <v>855</v>
      </c>
      <c r="E12081" s="2" t="str">
        <f>"9783031172106"</f>
        <v>9783031172106</v>
      </c>
      <c r="F12081" s="2" t="str">
        <f>"9783031172113"</f>
        <v>9783031172113</v>
      </c>
    </row>
    <row r="12082" spans="1:6" s="3" customFormat="1" ht="29.1" customHeight="1" x14ac:dyDescent="0.25">
      <c r="A12082" s="2" t="s">
        <v>24523</v>
      </c>
      <c r="B12082" s="2" t="s">
        <v>24524</v>
      </c>
      <c r="C12082" s="2" t="s">
        <v>5</v>
      </c>
      <c r="D12082" s="2" t="s">
        <v>1895</v>
      </c>
      <c r="E12082" s="2" t="str">
        <f>"9783031247965"</f>
        <v>9783031247965</v>
      </c>
      <c r="F12082" s="2" t="str">
        <f>"9783031247972"</f>
        <v>9783031247972</v>
      </c>
    </row>
    <row r="12083" spans="1:6" s="3" customFormat="1" ht="29.1" customHeight="1" x14ac:dyDescent="0.25">
      <c r="A12083" s="2" t="s">
        <v>24525</v>
      </c>
      <c r="B12083" s="2" t="s">
        <v>24526</v>
      </c>
      <c r="C12083" s="2" t="s">
        <v>5</v>
      </c>
      <c r="D12083" s="2" t="s">
        <v>1883</v>
      </c>
      <c r="E12083" s="2" t="str">
        <f>"9783031304545"</f>
        <v>9783031304545</v>
      </c>
      <c r="F12083" s="2" t="str">
        <f>"9783031304552"</f>
        <v>9783031304552</v>
      </c>
    </row>
    <row r="12084" spans="1:6" s="3" customFormat="1" ht="29.1" customHeight="1" x14ac:dyDescent="0.25">
      <c r="A12084" s="2" t="s">
        <v>24527</v>
      </c>
      <c r="B12084" s="2" t="s">
        <v>24528</v>
      </c>
      <c r="C12084" s="2" t="s">
        <v>5</v>
      </c>
      <c r="D12084" s="2" t="s">
        <v>297</v>
      </c>
      <c r="E12084" s="2" t="str">
        <f>"9789464632897"</f>
        <v>9789464632897</v>
      </c>
      <c r="F12084" s="2" t="str">
        <f>"9789464632903"</f>
        <v>9789464632903</v>
      </c>
    </row>
    <row r="12085" spans="1:6" s="3" customFormat="1" ht="29.1" customHeight="1" x14ac:dyDescent="0.25">
      <c r="A12085" s="2" t="s">
        <v>24529</v>
      </c>
      <c r="B12085" s="2" t="s">
        <v>24530</v>
      </c>
      <c r="C12085" s="2" t="s">
        <v>5</v>
      </c>
      <c r="D12085" s="2" t="s">
        <v>6972</v>
      </c>
      <c r="E12085" s="2" t="str">
        <f>"9783031291869"</f>
        <v>9783031291869</v>
      </c>
      <c r="F12085" s="2" t="str">
        <f>"9783031291876"</f>
        <v>9783031291876</v>
      </c>
    </row>
    <row r="12086" spans="1:6" s="3" customFormat="1" ht="29.1" customHeight="1" x14ac:dyDescent="0.25">
      <c r="A12086" s="2" t="s">
        <v>24531</v>
      </c>
      <c r="B12086" s="2" t="s">
        <v>24532</v>
      </c>
      <c r="C12086" s="2" t="s">
        <v>5</v>
      </c>
      <c r="D12086" s="2" t="s">
        <v>509</v>
      </c>
      <c r="E12086" s="2" t="str">
        <f>"9783031174865"</f>
        <v>9783031174865</v>
      </c>
      <c r="F12086" s="2" t="str">
        <f>"9783031174872"</f>
        <v>9783031174872</v>
      </c>
    </row>
    <row r="12087" spans="1:6" s="3" customFormat="1" ht="29.1" customHeight="1" x14ac:dyDescent="0.25">
      <c r="A12087" s="2" t="s">
        <v>24533</v>
      </c>
      <c r="B12087" s="2" t="s">
        <v>24534</v>
      </c>
      <c r="C12087" s="2" t="s">
        <v>5</v>
      </c>
      <c r="D12087" s="2" t="s">
        <v>52</v>
      </c>
      <c r="E12087" s="2" t="str">
        <f>"9789819901845"</f>
        <v>9789819901845</v>
      </c>
      <c r="F12087" s="2" t="str">
        <f>"9789819901852"</f>
        <v>9789819901852</v>
      </c>
    </row>
    <row r="12088" spans="1:6" s="3" customFormat="1" ht="29.1" customHeight="1" x14ac:dyDescent="0.25">
      <c r="A12088" s="2" t="s">
        <v>24535</v>
      </c>
      <c r="B12088" s="2" t="s">
        <v>24536</v>
      </c>
      <c r="C12088" s="2" t="s">
        <v>5</v>
      </c>
      <c r="D12088" s="2" t="s">
        <v>98</v>
      </c>
      <c r="E12088" s="2" t="str">
        <f>"9783031285585"</f>
        <v>9783031285585</v>
      </c>
      <c r="F12088" s="2" t="str">
        <f>"9783031285592"</f>
        <v>9783031285592</v>
      </c>
    </row>
    <row r="12089" spans="1:6" s="3" customFormat="1" ht="29.1" customHeight="1" x14ac:dyDescent="0.25">
      <c r="A12089" s="2" t="s">
        <v>24537</v>
      </c>
      <c r="B12089" s="2" t="s">
        <v>24538</v>
      </c>
      <c r="C12089" s="2" t="s">
        <v>5</v>
      </c>
      <c r="D12089" s="2" t="s">
        <v>9392</v>
      </c>
      <c r="E12089" s="2" t="str">
        <f>"9783031278969"</f>
        <v>9783031278969</v>
      </c>
      <c r="F12089" s="2" t="str">
        <f>"9783031278976"</f>
        <v>9783031278976</v>
      </c>
    </row>
    <row r="12090" spans="1:6" s="3" customFormat="1" ht="29.1" customHeight="1" x14ac:dyDescent="0.25">
      <c r="A12090" s="2" t="s">
        <v>24539</v>
      </c>
      <c r="B12090" s="2" t="s">
        <v>24540</v>
      </c>
      <c r="C12090" s="2" t="s">
        <v>5</v>
      </c>
      <c r="D12090" s="2" t="s">
        <v>78</v>
      </c>
      <c r="E12090" s="2" t="str">
        <f>"9783031308376"</f>
        <v>9783031308376</v>
      </c>
      <c r="F12090" s="2" t="str">
        <f>"9783031308383"</f>
        <v>9783031308383</v>
      </c>
    </row>
    <row r="12091" spans="1:6" s="3" customFormat="1" ht="29.1" customHeight="1" x14ac:dyDescent="0.25">
      <c r="A12091" s="2" t="s">
        <v>24541</v>
      </c>
      <c r="B12091" s="2" t="s">
        <v>24542</v>
      </c>
      <c r="C12091" s="2" t="s">
        <v>5</v>
      </c>
      <c r="D12091" s="2" t="s">
        <v>78</v>
      </c>
      <c r="E12091" s="2" t="str">
        <f>"9783031307652"</f>
        <v>9783031307652</v>
      </c>
      <c r="F12091" s="2" t="str">
        <f>"9783031307669"</f>
        <v>9783031307669</v>
      </c>
    </row>
    <row r="12092" spans="1:6" s="3" customFormat="1" ht="29.1" customHeight="1" x14ac:dyDescent="0.25">
      <c r="A12092" s="2" t="s">
        <v>24543</v>
      </c>
      <c r="B12092" s="2" t="s">
        <v>24544</v>
      </c>
      <c r="C12092" s="2" t="s">
        <v>5</v>
      </c>
      <c r="D12092" s="2" t="s">
        <v>78</v>
      </c>
      <c r="E12092" s="2" t="str">
        <f>"9783031282836"</f>
        <v>9783031282836</v>
      </c>
      <c r="F12092" s="2" t="str">
        <f>"9783031282843"</f>
        <v>9783031282843</v>
      </c>
    </row>
    <row r="12093" spans="1:6" s="3" customFormat="1" ht="29.1" customHeight="1" x14ac:dyDescent="0.25">
      <c r="A12093" s="2" t="s">
        <v>24545</v>
      </c>
      <c r="B12093" s="2" t="s">
        <v>24546</v>
      </c>
      <c r="C12093" s="2" t="s">
        <v>5</v>
      </c>
      <c r="D12093" s="2" t="s">
        <v>78</v>
      </c>
      <c r="E12093" s="2" t="str">
        <f>"9783031273650"</f>
        <v>9783031273650</v>
      </c>
      <c r="F12093" s="2" t="str">
        <f>"9783031273667"</f>
        <v>9783031273667</v>
      </c>
    </row>
    <row r="12094" spans="1:6" s="3" customFormat="1" ht="29.1" customHeight="1" x14ac:dyDescent="0.25">
      <c r="A12094" s="2" t="s">
        <v>24547</v>
      </c>
      <c r="B12094" s="2" t="s">
        <v>24548</v>
      </c>
      <c r="C12094" s="2" t="s">
        <v>5</v>
      </c>
      <c r="D12094" s="2" t="s">
        <v>78</v>
      </c>
      <c r="E12094" s="2" t="str">
        <f>"9783031260018"</f>
        <v>9783031260018</v>
      </c>
      <c r="F12094" s="2" t="str">
        <f>"9783031260025"</f>
        <v>9783031260025</v>
      </c>
    </row>
    <row r="12095" spans="1:6" s="3" customFormat="1" ht="29.1" customHeight="1" x14ac:dyDescent="0.25">
      <c r="A12095" s="2" t="s">
        <v>24549</v>
      </c>
      <c r="B12095" s="2" t="s">
        <v>24550</v>
      </c>
      <c r="C12095" s="2" t="s">
        <v>5</v>
      </c>
      <c r="D12095" s="2" t="s">
        <v>78</v>
      </c>
      <c r="E12095" s="2" t="str">
        <f>"9783031249730"</f>
        <v>9783031249730</v>
      </c>
      <c r="F12095" s="2" t="str">
        <f>"9783031249747"</f>
        <v>9783031249747</v>
      </c>
    </row>
    <row r="12096" spans="1:6" s="3" customFormat="1" ht="29.1" customHeight="1" x14ac:dyDescent="0.25">
      <c r="A12096" s="2" t="s">
        <v>24551</v>
      </c>
      <c r="B12096" s="2" t="s">
        <v>24552</v>
      </c>
      <c r="C12096" s="2" t="s">
        <v>5</v>
      </c>
      <c r="D12096" s="2" t="s">
        <v>78</v>
      </c>
      <c r="E12096" s="2" t="str">
        <f>"9783031231247"</f>
        <v>9783031231247</v>
      </c>
      <c r="F12096" s="2" t="str">
        <f>"9783031231254"</f>
        <v>9783031231254</v>
      </c>
    </row>
    <row r="12097" spans="1:6" s="3" customFormat="1" ht="29.1" customHeight="1" x14ac:dyDescent="0.25">
      <c r="A12097" s="2" t="s">
        <v>24553</v>
      </c>
      <c r="B12097" s="2" t="s">
        <v>24554</v>
      </c>
      <c r="C12097" s="2" t="s">
        <v>5</v>
      </c>
      <c r="D12097" s="2" t="s">
        <v>2861</v>
      </c>
      <c r="E12097" s="2" t="str">
        <f>"9783031135354"</f>
        <v>9783031135354</v>
      </c>
      <c r="F12097" s="2" t="str">
        <f>"9783031135361"</f>
        <v>9783031135361</v>
      </c>
    </row>
    <row r="12098" spans="1:6" s="3" customFormat="1" ht="29.1" customHeight="1" x14ac:dyDescent="0.25">
      <c r="A12098" s="2" t="s">
        <v>24555</v>
      </c>
      <c r="B12098" s="2" t="s">
        <v>24556</v>
      </c>
      <c r="C12098" s="2" t="s">
        <v>5</v>
      </c>
      <c r="D12098" s="2" t="s">
        <v>52</v>
      </c>
      <c r="E12098" s="2" t="str">
        <f>"9783031336225"</f>
        <v>9783031336225</v>
      </c>
      <c r="F12098" s="2" t="str">
        <f>"9783031336232"</f>
        <v>9783031336232</v>
      </c>
    </row>
    <row r="12099" spans="1:6" s="3" customFormat="1" ht="29.1" customHeight="1" x14ac:dyDescent="0.25">
      <c r="A12099" s="2" t="s">
        <v>24557</v>
      </c>
      <c r="B12099" s="2" t="s">
        <v>24558</v>
      </c>
      <c r="C12099" s="2" t="s">
        <v>5</v>
      </c>
      <c r="D12099" s="2" t="s">
        <v>15336</v>
      </c>
      <c r="E12099" s="2" t="str">
        <f>"9783031231322"</f>
        <v>9783031231322</v>
      </c>
      <c r="F12099" s="2" t="str">
        <f>"9783031231339"</f>
        <v>9783031231339</v>
      </c>
    </row>
    <row r="12100" spans="1:6" s="3" customFormat="1" ht="29.1" customHeight="1" x14ac:dyDescent="0.25">
      <c r="A12100" s="2" t="s">
        <v>24559</v>
      </c>
      <c r="B12100" s="2" t="s">
        <v>24560</v>
      </c>
      <c r="C12100" s="2" t="s">
        <v>5</v>
      </c>
      <c r="D12100" s="2" t="s">
        <v>317</v>
      </c>
      <c r="E12100" s="2" t="str">
        <f>"9783031252068"</f>
        <v>9783031252068</v>
      </c>
      <c r="F12100" s="2" t="str">
        <f>"9783031252075"</f>
        <v>9783031252075</v>
      </c>
    </row>
    <row r="12101" spans="1:6" s="3" customFormat="1" ht="29.1" customHeight="1" x14ac:dyDescent="0.25">
      <c r="A12101" s="2" t="s">
        <v>24561</v>
      </c>
      <c r="B12101" s="2" t="s">
        <v>24562</v>
      </c>
      <c r="C12101" s="2" t="s">
        <v>5</v>
      </c>
      <c r="D12101" s="2" t="s">
        <v>6994</v>
      </c>
      <c r="E12101" s="2" t="str">
        <f>"9783031245442"</f>
        <v>9783031245442</v>
      </c>
      <c r="F12101" s="2" t="str">
        <f>"9783031245459"</f>
        <v>9783031245459</v>
      </c>
    </row>
    <row r="12102" spans="1:6" s="3" customFormat="1" ht="29.1" customHeight="1" x14ac:dyDescent="0.25">
      <c r="A12102" s="2" t="s">
        <v>24563</v>
      </c>
      <c r="B12102" s="2" t="s">
        <v>24564</v>
      </c>
      <c r="C12102" s="2" t="s">
        <v>5</v>
      </c>
      <c r="D12102" s="2" t="s">
        <v>3198</v>
      </c>
      <c r="E12102" s="2" t="str">
        <f>"9783031288388"</f>
        <v>9783031288388</v>
      </c>
      <c r="F12102" s="2" t="str">
        <f>"9783031288395"</f>
        <v>9783031288395</v>
      </c>
    </row>
    <row r="12103" spans="1:6" s="3" customFormat="1" ht="29.1" customHeight="1" x14ac:dyDescent="0.25">
      <c r="A12103" s="2" t="s">
        <v>24565</v>
      </c>
      <c r="B12103" s="2" t="s">
        <v>24566</v>
      </c>
      <c r="C12103" s="2" t="s">
        <v>5</v>
      </c>
      <c r="D12103" s="2" t="s">
        <v>2030</v>
      </c>
      <c r="E12103" s="2" t="str">
        <f>"9783031344855"</f>
        <v>9783031344855</v>
      </c>
      <c r="F12103" s="2" t="str">
        <f>"9783031344862"</f>
        <v>9783031344862</v>
      </c>
    </row>
    <row r="12104" spans="1:6" s="3" customFormat="1" ht="29.1" customHeight="1" x14ac:dyDescent="0.25">
      <c r="A12104" s="2" t="s">
        <v>24567</v>
      </c>
      <c r="B12104" s="2" t="s">
        <v>24568</v>
      </c>
      <c r="C12104" s="2" t="s">
        <v>5</v>
      </c>
      <c r="D12104" s="2" t="s">
        <v>192</v>
      </c>
      <c r="E12104" s="2" t="str">
        <f>"9783031201899"</f>
        <v>9783031201899</v>
      </c>
      <c r="F12104" s="2" t="str">
        <f>"9783031201905"</f>
        <v>9783031201905</v>
      </c>
    </row>
    <row r="12105" spans="1:6" s="3" customFormat="1" ht="29.1" customHeight="1" x14ac:dyDescent="0.25">
      <c r="A12105" s="2" t="s">
        <v>24569</v>
      </c>
      <c r="B12105" s="2" t="s">
        <v>24570</v>
      </c>
      <c r="C12105" s="2" t="s">
        <v>5</v>
      </c>
      <c r="D12105" s="2" t="s">
        <v>30</v>
      </c>
      <c r="E12105" s="2" t="str">
        <f>"9783031347054"</f>
        <v>9783031347054</v>
      </c>
      <c r="F12105" s="2" t="str">
        <f>"9783031347061"</f>
        <v>9783031347061</v>
      </c>
    </row>
    <row r="12106" spans="1:6" s="3" customFormat="1" ht="29.1" customHeight="1" x14ac:dyDescent="0.25">
      <c r="A12106" s="2" t="s">
        <v>24571</v>
      </c>
      <c r="B12106" s="2" t="s">
        <v>24572</v>
      </c>
      <c r="C12106" s="2" t="s">
        <v>5</v>
      </c>
      <c r="D12106" s="2" t="s">
        <v>378</v>
      </c>
      <c r="E12106" s="2" t="str">
        <f>"9783031389672"</f>
        <v>9783031389672</v>
      </c>
      <c r="F12106" s="2" t="str">
        <f>"9783031389689"</f>
        <v>9783031389689</v>
      </c>
    </row>
    <row r="12107" spans="1:6" s="3" customFormat="1" ht="29.1" customHeight="1" x14ac:dyDescent="0.25">
      <c r="A12107" s="2" t="s">
        <v>24573</v>
      </c>
      <c r="B12107" s="2" t="s">
        <v>24574</v>
      </c>
      <c r="C12107" s="2" t="s">
        <v>5</v>
      </c>
      <c r="D12107" s="2" t="s">
        <v>547</v>
      </c>
      <c r="E12107" s="2" t="str">
        <f>"9789819909018"</f>
        <v>9789819909018</v>
      </c>
      <c r="F12107" s="2" t="str">
        <f>"9789819909025"</f>
        <v>9789819909025</v>
      </c>
    </row>
    <row r="12108" spans="1:6" s="3" customFormat="1" ht="29.1" customHeight="1" x14ac:dyDescent="0.25">
      <c r="A12108" s="2" t="s">
        <v>24575</v>
      </c>
      <c r="B12108" s="2" t="s">
        <v>24576</v>
      </c>
      <c r="C12108" s="2" t="s">
        <v>5</v>
      </c>
      <c r="D12108" s="2" t="s">
        <v>1924</v>
      </c>
      <c r="E12108" s="2" t="str">
        <f>"9789819909056"</f>
        <v>9789819909056</v>
      </c>
      <c r="F12108" s="2" t="str">
        <f>"9789819909063"</f>
        <v>9789819909063</v>
      </c>
    </row>
    <row r="12109" spans="1:6" s="3" customFormat="1" ht="29.1" customHeight="1" x14ac:dyDescent="0.25">
      <c r="A12109" s="2" t="s">
        <v>24577</v>
      </c>
      <c r="B12109" s="2" t="s">
        <v>24578</v>
      </c>
      <c r="C12109" s="2" t="s">
        <v>5</v>
      </c>
      <c r="D12109" s="2" t="s">
        <v>490</v>
      </c>
      <c r="E12109" s="2" t="str">
        <f>"9789819934744"</f>
        <v>9789819934744</v>
      </c>
      <c r="F12109" s="2" t="str">
        <f>"9789819934751"</f>
        <v>9789819934751</v>
      </c>
    </row>
    <row r="12110" spans="1:6" s="3" customFormat="1" ht="29.1" customHeight="1" x14ac:dyDescent="0.25">
      <c r="A12110" s="2" t="s">
        <v>24579</v>
      </c>
      <c r="B12110" s="2" t="s">
        <v>24580</v>
      </c>
      <c r="C12110" s="2" t="s">
        <v>5</v>
      </c>
      <c r="D12110" s="2" t="s">
        <v>477</v>
      </c>
      <c r="E12110" s="2" t="str">
        <f>"9783031301322"</f>
        <v>9783031301322</v>
      </c>
      <c r="F12110" s="2" t="str">
        <f>"9783031301339"</f>
        <v>9783031301339</v>
      </c>
    </row>
    <row r="12111" spans="1:6" s="3" customFormat="1" ht="29.1" customHeight="1" x14ac:dyDescent="0.25">
      <c r="A12111" s="2" t="s">
        <v>24581</v>
      </c>
      <c r="B12111" s="2" t="s">
        <v>24582</v>
      </c>
      <c r="C12111" s="2" t="s">
        <v>5</v>
      </c>
      <c r="D12111" s="2" t="s">
        <v>3489</v>
      </c>
      <c r="E12111" s="2" t="str">
        <f>"9783031337857"</f>
        <v>9783031337857</v>
      </c>
      <c r="F12111" s="2" t="str">
        <f>"9783031337864"</f>
        <v>9783031337864</v>
      </c>
    </row>
    <row r="12112" spans="1:6" s="3" customFormat="1" ht="29.1" customHeight="1" x14ac:dyDescent="0.25">
      <c r="A12112" s="2" t="s">
        <v>24583</v>
      </c>
      <c r="B12112" s="2" t="s">
        <v>24584</v>
      </c>
      <c r="C12112" s="2" t="s">
        <v>5</v>
      </c>
      <c r="D12112" s="2" t="s">
        <v>44</v>
      </c>
      <c r="E12112" s="2" t="str">
        <f>"9789811997365"</f>
        <v>9789811997365</v>
      </c>
      <c r="F12112" s="2" t="str">
        <f>"9789811997372"</f>
        <v>9789811997372</v>
      </c>
    </row>
    <row r="12113" spans="1:6" s="3" customFormat="1" ht="29.1" customHeight="1" x14ac:dyDescent="0.25">
      <c r="A12113" s="2" t="s">
        <v>24585</v>
      </c>
      <c r="B12113" s="2" t="s">
        <v>24586</v>
      </c>
      <c r="C12113" s="2" t="s">
        <v>5</v>
      </c>
      <c r="D12113" s="2" t="s">
        <v>3062</v>
      </c>
      <c r="E12113" s="2" t="str">
        <f>"9783031377587"</f>
        <v>9783031377587</v>
      </c>
      <c r="F12113" s="2" t="str">
        <f>"9783031377594"</f>
        <v>9783031377594</v>
      </c>
    </row>
    <row r="12114" spans="1:6" s="3" customFormat="1" ht="29.1" customHeight="1" x14ac:dyDescent="0.25">
      <c r="A12114" s="2" t="s">
        <v>24587</v>
      </c>
      <c r="B12114" s="2" t="s">
        <v>24588</v>
      </c>
      <c r="C12114" s="2" t="s">
        <v>5</v>
      </c>
      <c r="D12114" s="2" t="s">
        <v>894</v>
      </c>
      <c r="E12114" s="2" t="str">
        <f>"9783031253966"</f>
        <v>9783031253966</v>
      </c>
      <c r="F12114" s="2" t="str">
        <f>"9783031253973"</f>
        <v>9783031253973</v>
      </c>
    </row>
    <row r="12115" spans="1:6" s="3" customFormat="1" ht="29.1" customHeight="1" x14ac:dyDescent="0.25">
      <c r="A12115" s="2" t="s">
        <v>24589</v>
      </c>
      <c r="B12115" s="2" t="s">
        <v>24590</v>
      </c>
      <c r="C12115" s="2" t="s">
        <v>5</v>
      </c>
      <c r="D12115" s="2" t="s">
        <v>364</v>
      </c>
      <c r="E12115" s="2" t="str">
        <f>"9783031197185"</f>
        <v>9783031197185</v>
      </c>
      <c r="F12115" s="2" t="str">
        <f>"9783031197192"</f>
        <v>9783031197192</v>
      </c>
    </row>
    <row r="12116" spans="1:6" s="3" customFormat="1" ht="29.1" customHeight="1" x14ac:dyDescent="0.25">
      <c r="A12116" s="2" t="s">
        <v>24591</v>
      </c>
      <c r="B12116" s="2" t="s">
        <v>24592</v>
      </c>
      <c r="C12116" s="2" t="s">
        <v>5</v>
      </c>
      <c r="D12116" s="2" t="s">
        <v>183</v>
      </c>
      <c r="E12116" s="2" t="str">
        <f>"9783031152320"</f>
        <v>9783031152320</v>
      </c>
      <c r="F12116" s="2" t="str">
        <f>"9783031152337"</f>
        <v>9783031152337</v>
      </c>
    </row>
    <row r="12117" spans="1:6" s="3" customFormat="1" ht="29.1" customHeight="1" x14ac:dyDescent="0.25">
      <c r="A12117" s="2" t="s">
        <v>24593</v>
      </c>
      <c r="B12117" s="2" t="s">
        <v>24594</v>
      </c>
      <c r="C12117" s="2" t="s">
        <v>5</v>
      </c>
      <c r="D12117" s="2" t="s">
        <v>674</v>
      </c>
      <c r="E12117" s="2" t="str">
        <f>"9783031249099"</f>
        <v>9783031249099</v>
      </c>
      <c r="F12117" s="2" t="str">
        <f>"9783031249105"</f>
        <v>9783031249105</v>
      </c>
    </row>
    <row r="12118" spans="1:6" s="3" customFormat="1" ht="29.1" customHeight="1" x14ac:dyDescent="0.25">
      <c r="A12118" s="2" t="s">
        <v>24595</v>
      </c>
      <c r="B12118" s="2" t="s">
        <v>24596</v>
      </c>
      <c r="C12118" s="2" t="s">
        <v>5</v>
      </c>
      <c r="D12118" s="2" t="s">
        <v>5588</v>
      </c>
      <c r="E12118" s="2" t="str">
        <f>"9783031040207"</f>
        <v>9783031040207</v>
      </c>
      <c r="F12118" s="2" t="str">
        <f>"9783031040214"</f>
        <v>9783031040214</v>
      </c>
    </row>
    <row r="12119" spans="1:6" s="3" customFormat="1" ht="29.1" customHeight="1" x14ac:dyDescent="0.25">
      <c r="A12119" s="2" t="s">
        <v>24597</v>
      </c>
      <c r="B12119" s="2" t="s">
        <v>24598</v>
      </c>
      <c r="C12119" s="2" t="s">
        <v>5</v>
      </c>
      <c r="D12119" s="2" t="s">
        <v>20602</v>
      </c>
      <c r="E12119" s="2" t="str">
        <f>"9783031288180"</f>
        <v>9783031288180</v>
      </c>
      <c r="F12119" s="2" t="str">
        <f>"9783031288197"</f>
        <v>9783031288197</v>
      </c>
    </row>
    <row r="12120" spans="1:6" s="3" customFormat="1" ht="29.1" customHeight="1" x14ac:dyDescent="0.25">
      <c r="A12120" s="2" t="s">
        <v>24599</v>
      </c>
      <c r="B12120" s="2" t="s">
        <v>24600</v>
      </c>
      <c r="C12120" s="2" t="s">
        <v>5</v>
      </c>
      <c r="D12120" s="2" t="s">
        <v>2083</v>
      </c>
      <c r="E12120" s="2" t="str">
        <f>"9783031297076"</f>
        <v>9783031297076</v>
      </c>
      <c r="F12120" s="2" t="str">
        <f>"9783031297083"</f>
        <v>9783031297083</v>
      </c>
    </row>
    <row r="12121" spans="1:6" s="3" customFormat="1" ht="29.1" customHeight="1" x14ac:dyDescent="0.25">
      <c r="A12121" s="2" t="s">
        <v>24601</v>
      </c>
      <c r="B12121" s="2" t="s">
        <v>24602</v>
      </c>
      <c r="C12121" s="2" t="s">
        <v>5</v>
      </c>
      <c r="D12121" s="2" t="s">
        <v>850</v>
      </c>
      <c r="E12121" s="2" t="str">
        <f>"9783031230417"</f>
        <v>9783031230417</v>
      </c>
      <c r="F12121" s="2" t="str">
        <f>"9783031230424"</f>
        <v>9783031230424</v>
      </c>
    </row>
    <row r="12122" spans="1:6" s="3" customFormat="1" ht="29.1" customHeight="1" x14ac:dyDescent="0.25">
      <c r="A12122" s="2" t="s">
        <v>24603</v>
      </c>
      <c r="B12122" s="2" t="s">
        <v>24604</v>
      </c>
      <c r="C12122" s="2" t="s">
        <v>5</v>
      </c>
      <c r="D12122" s="2" t="s">
        <v>2749</v>
      </c>
      <c r="E12122" s="2" t="str">
        <f>"9783031135477"</f>
        <v>9783031135477</v>
      </c>
      <c r="F12122" s="2" t="str">
        <f>"9783031135484"</f>
        <v>9783031135484</v>
      </c>
    </row>
    <row r="12123" spans="1:6" s="3" customFormat="1" ht="29.1" customHeight="1" x14ac:dyDescent="0.25">
      <c r="A12123" s="2" t="s">
        <v>24605</v>
      </c>
      <c r="B12123" s="2" t="s">
        <v>4369</v>
      </c>
      <c r="C12123" s="2" t="s">
        <v>5</v>
      </c>
      <c r="D12123" s="2" t="s">
        <v>1867</v>
      </c>
      <c r="E12123" s="2" t="str">
        <f>"9783031259012"</f>
        <v>9783031259012</v>
      </c>
      <c r="F12123" s="2" t="str">
        <f>"9783031259029"</f>
        <v>9783031259029</v>
      </c>
    </row>
    <row r="12124" spans="1:6" s="3" customFormat="1" ht="29.1" customHeight="1" x14ac:dyDescent="0.25">
      <c r="A12124" s="2" t="s">
        <v>24606</v>
      </c>
      <c r="B12124" s="2" t="s">
        <v>24607</v>
      </c>
      <c r="C12124" s="2" t="s">
        <v>5</v>
      </c>
      <c r="D12124" s="2" t="s">
        <v>850</v>
      </c>
      <c r="E12124" s="2" t="str">
        <f>"9783031167140"</f>
        <v>9783031167140</v>
      </c>
      <c r="F12124" s="2" t="str">
        <f>"9783031167157"</f>
        <v>9783031167157</v>
      </c>
    </row>
    <row r="12125" spans="1:6" s="3" customFormat="1" ht="29.1" customHeight="1" x14ac:dyDescent="0.25">
      <c r="A12125" s="2" t="s">
        <v>24608</v>
      </c>
      <c r="B12125" s="2" t="s">
        <v>24609</v>
      </c>
      <c r="C12125" s="2" t="s">
        <v>5</v>
      </c>
      <c r="D12125" s="2" t="s">
        <v>3062</v>
      </c>
      <c r="E12125" s="2" t="str">
        <f>"9783031383694"</f>
        <v>9783031383694</v>
      </c>
      <c r="F12125" s="2" t="str">
        <f>"9783031383717"</f>
        <v>9783031383717</v>
      </c>
    </row>
    <row r="12126" spans="1:6" s="3" customFormat="1" ht="29.1" customHeight="1" x14ac:dyDescent="0.25">
      <c r="A12126" s="2" t="s">
        <v>24610</v>
      </c>
      <c r="B12126" s="2" t="s">
        <v>24611</v>
      </c>
      <c r="C12126" s="2" t="s">
        <v>5</v>
      </c>
      <c r="D12126" s="2" t="s">
        <v>689</v>
      </c>
      <c r="E12126" s="2" t="str">
        <f>"9783031147098"</f>
        <v>9783031147098</v>
      </c>
      <c r="F12126" s="2" t="str">
        <f>"9783031147104"</f>
        <v>9783031147104</v>
      </c>
    </row>
    <row r="12127" spans="1:6" s="3" customFormat="1" ht="29.1" customHeight="1" x14ac:dyDescent="0.25">
      <c r="A12127" s="2" t="s">
        <v>24612</v>
      </c>
      <c r="B12127" s="2" t="s">
        <v>24613</v>
      </c>
      <c r="C12127" s="2" t="s">
        <v>5</v>
      </c>
      <c r="D12127" s="2" t="s">
        <v>3319</v>
      </c>
      <c r="E12127" s="2" t="str">
        <f>"9783031255878"</f>
        <v>9783031255878</v>
      </c>
      <c r="F12127" s="2" t="str">
        <f>"9783031255885"</f>
        <v>9783031255885</v>
      </c>
    </row>
    <row r="12128" spans="1:6" s="3" customFormat="1" ht="29.1" customHeight="1" x14ac:dyDescent="0.25">
      <c r="A12128" s="2" t="s">
        <v>24614</v>
      </c>
      <c r="B12128" s="2" t="s">
        <v>24615</v>
      </c>
      <c r="C12128" s="2" t="s">
        <v>5</v>
      </c>
      <c r="D12128" s="2" t="s">
        <v>378</v>
      </c>
      <c r="E12128" s="2" t="str">
        <f>"9783031266171"</f>
        <v>9783031266171</v>
      </c>
      <c r="F12128" s="2" t="str">
        <f>"9783031266188"</f>
        <v>9783031266188</v>
      </c>
    </row>
    <row r="12129" spans="1:6" s="3" customFormat="1" ht="29.1" customHeight="1" x14ac:dyDescent="0.25">
      <c r="A12129" s="2" t="s">
        <v>24616</v>
      </c>
      <c r="B12129" s="2" t="s">
        <v>24617</v>
      </c>
      <c r="C12129" s="2" t="s">
        <v>5</v>
      </c>
      <c r="D12129" s="2" t="s">
        <v>20696</v>
      </c>
      <c r="E12129" s="2" t="str">
        <f>"9783031204661"</f>
        <v>9783031204661</v>
      </c>
      <c r="F12129" s="2" t="str">
        <f>"9783031204678"</f>
        <v>9783031204678</v>
      </c>
    </row>
    <row r="12130" spans="1:6" s="3" customFormat="1" ht="29.1" customHeight="1" x14ac:dyDescent="0.25">
      <c r="A12130" s="2" t="s">
        <v>6877</v>
      </c>
      <c r="B12130" s="2" t="s">
        <v>24618</v>
      </c>
      <c r="C12130" s="2" t="s">
        <v>5</v>
      </c>
      <c r="D12130" s="2" t="s">
        <v>1902</v>
      </c>
      <c r="E12130" s="2" t="str">
        <f>"9783031308222"</f>
        <v>9783031308222</v>
      </c>
      <c r="F12130" s="2" t="str">
        <f>"9783031308239"</f>
        <v>9783031308239</v>
      </c>
    </row>
    <row r="12131" spans="1:6" s="3" customFormat="1" ht="29.1" customHeight="1" x14ac:dyDescent="0.25">
      <c r="A12131" s="2" t="s">
        <v>6877</v>
      </c>
      <c r="B12131" s="2" t="s">
        <v>24618</v>
      </c>
      <c r="C12131" s="2" t="s">
        <v>5</v>
      </c>
      <c r="D12131" s="2" t="s">
        <v>1902</v>
      </c>
      <c r="E12131" s="2" t="str">
        <f>"9783031308192"</f>
        <v>9783031308192</v>
      </c>
      <c r="F12131" s="2" t="str">
        <f>"9783031308208"</f>
        <v>9783031308208</v>
      </c>
    </row>
    <row r="12132" spans="1:6" s="3" customFormat="1" ht="29.1" customHeight="1" x14ac:dyDescent="0.25">
      <c r="A12132" s="2" t="s">
        <v>6874</v>
      </c>
      <c r="B12132" s="2" t="s">
        <v>24619</v>
      </c>
      <c r="C12132" s="2" t="s">
        <v>5</v>
      </c>
      <c r="D12132" s="2" t="s">
        <v>7341</v>
      </c>
      <c r="E12132" s="2" t="str">
        <f>"9783031300431"</f>
        <v>9783031300431</v>
      </c>
      <c r="F12132" s="2" t="str">
        <f>"9783031300448"</f>
        <v>9783031300448</v>
      </c>
    </row>
    <row r="12133" spans="1:6" s="3" customFormat="1" ht="29.1" customHeight="1" x14ac:dyDescent="0.25">
      <c r="A12133" s="2" t="s">
        <v>24620</v>
      </c>
      <c r="B12133" s="2" t="s">
        <v>19846</v>
      </c>
      <c r="C12133" s="2" t="s">
        <v>5</v>
      </c>
      <c r="D12133" s="2" t="s">
        <v>19845</v>
      </c>
      <c r="E12133" s="2" t="str">
        <f>"9783031334832"</f>
        <v>9783031334832</v>
      </c>
      <c r="F12133" s="2" t="str">
        <f>"9783031334849"</f>
        <v>9783031334849</v>
      </c>
    </row>
    <row r="12134" spans="1:6" s="3" customFormat="1" ht="29.1" customHeight="1" x14ac:dyDescent="0.25">
      <c r="A12134" s="2" t="s">
        <v>24621</v>
      </c>
      <c r="B12134" s="2" t="s">
        <v>24622</v>
      </c>
      <c r="C12134" s="2" t="s">
        <v>613</v>
      </c>
      <c r="D12134" s="2" t="s">
        <v>490</v>
      </c>
      <c r="E12134" s="2" t="str">
        <f>"9781668465639"</f>
        <v>9781668465639</v>
      </c>
      <c r="F12134" s="2" t="str">
        <f>"9781668465646"</f>
        <v>9781668465646</v>
      </c>
    </row>
    <row r="12135" spans="1:6" s="3" customFormat="1" ht="29.1" customHeight="1" x14ac:dyDescent="0.25">
      <c r="A12135" s="2" t="s">
        <v>24623</v>
      </c>
      <c r="B12135" s="2" t="s">
        <v>24625</v>
      </c>
      <c r="C12135" s="2" t="s">
        <v>264</v>
      </c>
      <c r="D12135" s="2" t="s">
        <v>24624</v>
      </c>
      <c r="E12135" s="2" t="str">
        <f>"9788770040273"</f>
        <v>9788770040273</v>
      </c>
      <c r="F12135" s="2" t="str">
        <f>"9781003812159"</f>
        <v>9781003812159</v>
      </c>
    </row>
    <row r="12136" spans="1:6" s="3" customFormat="1" ht="29.1" customHeight="1" x14ac:dyDescent="0.25">
      <c r="A12136" s="2" t="s">
        <v>24626</v>
      </c>
      <c r="B12136" s="2" t="s">
        <v>24627</v>
      </c>
      <c r="C12136" s="2" t="s">
        <v>124</v>
      </c>
      <c r="D12136" s="2" t="s">
        <v>868</v>
      </c>
      <c r="E12136" s="2" t="str">
        <f>"9781032445595"</f>
        <v>9781032445595</v>
      </c>
      <c r="F12136" s="2" t="str">
        <f>"9781003372776"</f>
        <v>9781003372776</v>
      </c>
    </row>
    <row r="12137" spans="1:6" s="3" customFormat="1" ht="29.1" customHeight="1" x14ac:dyDescent="0.25">
      <c r="A12137" s="2" t="s">
        <v>24628</v>
      </c>
      <c r="B12137" s="2" t="s">
        <v>24629</v>
      </c>
      <c r="C12137" s="2" t="s">
        <v>124</v>
      </c>
      <c r="D12137" s="2" t="s">
        <v>353</v>
      </c>
      <c r="E12137" s="2" t="str">
        <f>"9781032528021"</f>
        <v>9781032528021</v>
      </c>
      <c r="F12137" s="2" t="str">
        <f>"9781003408444"</f>
        <v>9781003408444</v>
      </c>
    </row>
    <row r="12138" spans="1:6" s="3" customFormat="1" ht="29.1" customHeight="1" x14ac:dyDescent="0.25">
      <c r="A12138" s="2" t="s">
        <v>24630</v>
      </c>
      <c r="B12138" s="2" t="s">
        <v>24631</v>
      </c>
      <c r="C12138" s="2" t="s">
        <v>124</v>
      </c>
      <c r="D12138" s="2" t="s">
        <v>689</v>
      </c>
      <c r="E12138" s="2" t="str">
        <f>"9781032305974"</f>
        <v>9781032305974</v>
      </c>
      <c r="F12138" s="2" t="str">
        <f>"9781003305842"</f>
        <v>9781003305842</v>
      </c>
    </row>
    <row r="12139" spans="1:6" s="3" customFormat="1" ht="29.1" customHeight="1" x14ac:dyDescent="0.25">
      <c r="A12139" s="2" t="s">
        <v>24632</v>
      </c>
      <c r="B12139" s="2" t="s">
        <v>24633</v>
      </c>
      <c r="C12139" s="2" t="s">
        <v>124</v>
      </c>
      <c r="D12139" s="2" t="s">
        <v>9395</v>
      </c>
      <c r="E12139" s="2" t="str">
        <f>"9781032069180"</f>
        <v>9781032069180</v>
      </c>
      <c r="F12139" s="2" t="str">
        <f>"9781000999945"</f>
        <v>9781000999945</v>
      </c>
    </row>
    <row r="12140" spans="1:6" s="3" customFormat="1" ht="29.1" customHeight="1" x14ac:dyDescent="0.25">
      <c r="A12140" s="2" t="s">
        <v>24634</v>
      </c>
      <c r="B12140" s="2" t="s">
        <v>24635</v>
      </c>
      <c r="C12140" s="2" t="s">
        <v>248</v>
      </c>
      <c r="D12140" s="2" t="s">
        <v>259</v>
      </c>
      <c r="E12140" s="2" t="str">
        <f>"9783847430216"</f>
        <v>9783847430216</v>
      </c>
      <c r="F12140" s="2" t="str">
        <f>"9783847419570"</f>
        <v>9783847419570</v>
      </c>
    </row>
    <row r="12141" spans="1:6" s="3" customFormat="1" ht="29.1" customHeight="1" x14ac:dyDescent="0.25">
      <c r="A12141" s="2" t="s">
        <v>24636</v>
      </c>
      <c r="B12141" s="2" t="s">
        <v>24637</v>
      </c>
      <c r="C12141" s="2" t="s">
        <v>248</v>
      </c>
      <c r="D12141" s="2" t="s">
        <v>249</v>
      </c>
      <c r="E12141" s="2" t="str">
        <f>"9783847430056"</f>
        <v>9783847430056</v>
      </c>
      <c r="F12141" s="2" t="str">
        <f>"9783847419426"</f>
        <v>9783847419426</v>
      </c>
    </row>
    <row r="12142" spans="1:6" s="3" customFormat="1" ht="29.1" customHeight="1" x14ac:dyDescent="0.25">
      <c r="A12142" s="2" t="s">
        <v>24638</v>
      </c>
      <c r="B12142" s="2" t="s">
        <v>24639</v>
      </c>
      <c r="C12142" s="2" t="s">
        <v>248</v>
      </c>
      <c r="D12142" s="2" t="s">
        <v>553</v>
      </c>
      <c r="E12142" s="2" t="str">
        <f>"9783966650755"</f>
        <v>9783966650755</v>
      </c>
      <c r="F12142" s="2" t="str">
        <f>"9783966659154"</f>
        <v>9783966659154</v>
      </c>
    </row>
    <row r="12143" spans="1:6" s="3" customFormat="1" ht="29.1" customHeight="1" x14ac:dyDescent="0.25">
      <c r="A12143" s="2" t="s">
        <v>24640</v>
      </c>
      <c r="B12143" s="2" t="s">
        <v>24641</v>
      </c>
      <c r="C12143" s="2" t="s">
        <v>248</v>
      </c>
      <c r="D12143" s="2" t="s">
        <v>249</v>
      </c>
      <c r="E12143" s="2" t="str">
        <f>"9783847430315"</f>
        <v>9783847430315</v>
      </c>
      <c r="F12143" s="2" t="str">
        <f>"9783847419662"</f>
        <v>9783847419662</v>
      </c>
    </row>
    <row r="12144" spans="1:6" s="3" customFormat="1" ht="29.1" customHeight="1" x14ac:dyDescent="0.25">
      <c r="A12144" s="2" t="s">
        <v>24642</v>
      </c>
      <c r="B12144" s="2" t="s">
        <v>24643</v>
      </c>
      <c r="C12144" s="2" t="s">
        <v>62</v>
      </c>
      <c r="D12144" s="2" t="s">
        <v>210</v>
      </c>
      <c r="E12144" s="2" t="str">
        <f>"9783428107957"</f>
        <v>9783428107957</v>
      </c>
      <c r="F12144" s="2" t="str">
        <f>"9783428507955"</f>
        <v>9783428507955</v>
      </c>
    </row>
    <row r="12145" spans="1:6" s="3" customFormat="1" ht="29.1" customHeight="1" x14ac:dyDescent="0.25">
      <c r="A12145" s="2" t="s">
        <v>24644</v>
      </c>
      <c r="B12145" s="2" t="s">
        <v>24645</v>
      </c>
      <c r="C12145" s="2" t="s">
        <v>131</v>
      </c>
      <c r="D12145" s="2" t="s">
        <v>459</v>
      </c>
      <c r="E12145" s="2" t="str">
        <f>"9789027214263"</f>
        <v>9789027214263</v>
      </c>
      <c r="F12145" s="2" t="str">
        <f>"9789027249388"</f>
        <v>9789027249388</v>
      </c>
    </row>
    <row r="12146" spans="1:6" s="3" customFormat="1" ht="29.1" customHeight="1" x14ac:dyDescent="0.25">
      <c r="A12146" s="2" t="s">
        <v>24646</v>
      </c>
      <c r="B12146" s="2" t="s">
        <v>24647</v>
      </c>
      <c r="C12146" s="2" t="s">
        <v>124</v>
      </c>
      <c r="D12146" s="2" t="s">
        <v>436</v>
      </c>
      <c r="E12146" s="2" t="str">
        <f>"9781032539300"</f>
        <v>9781032539300</v>
      </c>
      <c r="F12146" s="2" t="str">
        <f>"9781003414353"</f>
        <v>9781003414353</v>
      </c>
    </row>
    <row r="12147" spans="1:6" s="3" customFormat="1" ht="29.1" customHeight="1" x14ac:dyDescent="0.25">
      <c r="A12147" s="2" t="s">
        <v>24648</v>
      </c>
      <c r="B12147" s="2" t="s">
        <v>24649</v>
      </c>
      <c r="C12147" s="2" t="s">
        <v>124</v>
      </c>
      <c r="D12147" s="2" t="s">
        <v>210</v>
      </c>
      <c r="E12147" s="2" t="str">
        <f>"9781032525419"</f>
        <v>9781032525419</v>
      </c>
      <c r="F12147" s="2" t="str">
        <f>"9781003388616"</f>
        <v>9781003388616</v>
      </c>
    </row>
    <row r="12148" spans="1:6" s="3" customFormat="1" ht="29.1" customHeight="1" x14ac:dyDescent="0.25">
      <c r="A12148" s="2" t="s">
        <v>24650</v>
      </c>
      <c r="B12148" s="2" t="s">
        <v>24651</v>
      </c>
      <c r="C12148" s="2" t="s">
        <v>746</v>
      </c>
      <c r="D12148" s="2" t="s">
        <v>606</v>
      </c>
      <c r="E12148" s="2" t="str">
        <f>"9781803276786"</f>
        <v>9781803276786</v>
      </c>
      <c r="F12148" s="2" t="str">
        <f>"9781803276793"</f>
        <v>9781803276793</v>
      </c>
    </row>
    <row r="12149" spans="1:6" s="3" customFormat="1" ht="29.1" customHeight="1" x14ac:dyDescent="0.25">
      <c r="A12149" s="2" t="s">
        <v>24652</v>
      </c>
      <c r="B12149" s="2" t="s">
        <v>10206</v>
      </c>
      <c r="C12149" s="2" t="s">
        <v>746</v>
      </c>
      <c r="D12149" s="2" t="s">
        <v>606</v>
      </c>
      <c r="E12149" s="2" t="str">
        <f>"9781803276762"</f>
        <v>9781803276762</v>
      </c>
      <c r="F12149" s="2" t="str">
        <f>"9781803276779"</f>
        <v>9781803276779</v>
      </c>
    </row>
    <row r="12150" spans="1:6" s="3" customFormat="1" ht="29.1" customHeight="1" x14ac:dyDescent="0.25">
      <c r="A12150" s="2" t="s">
        <v>24653</v>
      </c>
      <c r="B12150" s="2" t="s">
        <v>24654</v>
      </c>
      <c r="C12150" s="2" t="s">
        <v>124</v>
      </c>
      <c r="D12150" s="2" t="s">
        <v>647</v>
      </c>
      <c r="E12150" s="2" t="str">
        <f>"9781032270012"</f>
        <v>9781032270012</v>
      </c>
      <c r="F12150" s="2" t="str">
        <f>"9781003290896"</f>
        <v>9781003290896</v>
      </c>
    </row>
    <row r="12151" spans="1:6" s="3" customFormat="1" ht="29.1" customHeight="1" x14ac:dyDescent="0.25">
      <c r="A12151" s="2" t="s">
        <v>24655</v>
      </c>
      <c r="B12151" s="2" t="s">
        <v>24656</v>
      </c>
      <c r="C12151" s="2" t="s">
        <v>124</v>
      </c>
      <c r="D12151" s="2" t="s">
        <v>553</v>
      </c>
      <c r="E12151" s="2" t="str">
        <f>"9781032481180"</f>
        <v>9781032481180</v>
      </c>
      <c r="F12151" s="2" t="str">
        <f>"9781003387497"</f>
        <v>9781003387497</v>
      </c>
    </row>
    <row r="12152" spans="1:6" s="3" customFormat="1" ht="29.1" customHeight="1" x14ac:dyDescent="0.25">
      <c r="A12152" s="2" t="s">
        <v>24657</v>
      </c>
      <c r="B12152" s="2" t="s">
        <v>24658</v>
      </c>
      <c r="C12152" s="2" t="s">
        <v>124</v>
      </c>
      <c r="D12152" s="2" t="s">
        <v>1245</v>
      </c>
      <c r="E12152" s="2" t="str">
        <f>"9781032460468"</f>
        <v>9781032460468</v>
      </c>
      <c r="F12152" s="2" t="str">
        <f>"9781003379850"</f>
        <v>9781003379850</v>
      </c>
    </row>
    <row r="12153" spans="1:6" s="3" customFormat="1" ht="29.1" customHeight="1" x14ac:dyDescent="0.25">
      <c r="A12153" s="2" t="s">
        <v>24659</v>
      </c>
      <c r="B12153" s="2" t="s">
        <v>24660</v>
      </c>
      <c r="C12153" s="2" t="s">
        <v>556</v>
      </c>
      <c r="D12153" s="2" t="s">
        <v>1944</v>
      </c>
      <c r="E12153" s="2" t="str">
        <f>"9783837670882"</f>
        <v>9783837670882</v>
      </c>
      <c r="F12153" s="2" t="str">
        <f>"9783839470886"</f>
        <v>9783839470886</v>
      </c>
    </row>
    <row r="12154" spans="1:6" s="3" customFormat="1" ht="29.1" customHeight="1" x14ac:dyDescent="0.25">
      <c r="A12154" s="2" t="s">
        <v>24661</v>
      </c>
      <c r="B12154" s="2" t="s">
        <v>24662</v>
      </c>
      <c r="C12154" s="2" t="s">
        <v>556</v>
      </c>
      <c r="D12154" s="2" t="s">
        <v>501</v>
      </c>
      <c r="E12154" s="2" t="str">
        <f>"9783837670707"</f>
        <v>9783837670707</v>
      </c>
      <c r="F12154" s="2" t="str">
        <f>"9783732870707"</f>
        <v>9783732870707</v>
      </c>
    </row>
    <row r="12155" spans="1:6" s="3" customFormat="1" ht="29.1" customHeight="1" x14ac:dyDescent="0.25">
      <c r="A12155" s="2" t="s">
        <v>24663</v>
      </c>
      <c r="B12155" s="2" t="s">
        <v>24664</v>
      </c>
      <c r="C12155" s="2" t="s">
        <v>556</v>
      </c>
      <c r="D12155" s="2" t="s">
        <v>92</v>
      </c>
      <c r="E12155" s="2" t="str">
        <f>"9783837670653"</f>
        <v>9783837670653</v>
      </c>
      <c r="F12155" s="2" t="str">
        <f>"9783732870653"</f>
        <v>9783732870653</v>
      </c>
    </row>
    <row r="12156" spans="1:6" s="3" customFormat="1" ht="29.1" customHeight="1" x14ac:dyDescent="0.25">
      <c r="A12156" s="2" t="s">
        <v>24665</v>
      </c>
      <c r="B12156" s="2" t="s">
        <v>24666</v>
      </c>
      <c r="C12156" s="2" t="s">
        <v>556</v>
      </c>
      <c r="D12156" s="2" t="s">
        <v>1141</v>
      </c>
      <c r="E12156" s="2" t="str">
        <f>"9783837669992"</f>
        <v>9783837669992</v>
      </c>
      <c r="F12156" s="2" t="str">
        <f>"9783839469996"</f>
        <v>9783839469996</v>
      </c>
    </row>
    <row r="12157" spans="1:6" s="3" customFormat="1" ht="29.1" customHeight="1" x14ac:dyDescent="0.25">
      <c r="A12157" s="2" t="s">
        <v>24667</v>
      </c>
      <c r="B12157" s="2" t="s">
        <v>24668</v>
      </c>
      <c r="C12157" s="2" t="s">
        <v>556</v>
      </c>
      <c r="D12157" s="2" t="s">
        <v>218</v>
      </c>
      <c r="E12157" s="2" t="str">
        <f>"9783837669787"</f>
        <v>9783837669787</v>
      </c>
      <c r="F12157" s="2" t="str">
        <f>"9783839469781"</f>
        <v>9783839469781</v>
      </c>
    </row>
    <row r="12158" spans="1:6" s="3" customFormat="1" ht="29.1" customHeight="1" x14ac:dyDescent="0.25">
      <c r="A12158" s="2" t="s">
        <v>24669</v>
      </c>
      <c r="B12158" s="2" t="s">
        <v>24670</v>
      </c>
      <c r="C12158" s="2" t="s">
        <v>556</v>
      </c>
      <c r="D12158" s="2" t="s">
        <v>699</v>
      </c>
      <c r="E12158" s="2" t="str">
        <f>"9783837669527"</f>
        <v>9783837669527</v>
      </c>
      <c r="F12158" s="2" t="str">
        <f>"9783839469521"</f>
        <v>9783839469521</v>
      </c>
    </row>
    <row r="12159" spans="1:6" s="3" customFormat="1" ht="29.1" customHeight="1" x14ac:dyDescent="0.25">
      <c r="A12159" s="2" t="s">
        <v>24671</v>
      </c>
      <c r="B12159" s="2" t="s">
        <v>24672</v>
      </c>
      <c r="C12159" s="2" t="s">
        <v>556</v>
      </c>
      <c r="D12159" s="2" t="s">
        <v>75</v>
      </c>
      <c r="E12159" s="2" t="str">
        <f>"9783837669190"</f>
        <v>9783837669190</v>
      </c>
      <c r="F12159" s="2" t="str">
        <f>"9783732869190"</f>
        <v>9783732869190</v>
      </c>
    </row>
    <row r="12160" spans="1:6" s="3" customFormat="1" ht="29.1" customHeight="1" x14ac:dyDescent="0.25">
      <c r="A12160" s="2" t="s">
        <v>24673</v>
      </c>
      <c r="B12160" s="2" t="s">
        <v>24674</v>
      </c>
      <c r="C12160" s="2" t="s">
        <v>556</v>
      </c>
      <c r="D12160" s="2" t="s">
        <v>2005</v>
      </c>
      <c r="E12160" s="2" t="str">
        <f>"9783837668810"</f>
        <v>9783837668810</v>
      </c>
      <c r="F12160" s="2" t="str">
        <f>"9783839468814"</f>
        <v>9783839468814</v>
      </c>
    </row>
    <row r="12161" spans="1:6" s="3" customFormat="1" ht="29.1" customHeight="1" x14ac:dyDescent="0.25">
      <c r="A12161" s="2" t="s">
        <v>24675</v>
      </c>
      <c r="B12161" s="2" t="s">
        <v>24676</v>
      </c>
      <c r="C12161" s="2" t="s">
        <v>556</v>
      </c>
      <c r="D12161" s="2" t="s">
        <v>490</v>
      </c>
      <c r="E12161" s="2" t="str">
        <f>"9783837668162"</f>
        <v>9783837668162</v>
      </c>
      <c r="F12161" s="2" t="str">
        <f>"9783839468166"</f>
        <v>9783839468166</v>
      </c>
    </row>
    <row r="12162" spans="1:6" s="3" customFormat="1" ht="29.1" customHeight="1" x14ac:dyDescent="0.25">
      <c r="A12162" s="2" t="s">
        <v>24677</v>
      </c>
      <c r="B12162" s="2" t="s">
        <v>24678</v>
      </c>
      <c r="C12162" s="2" t="s">
        <v>556</v>
      </c>
      <c r="D12162" s="2" t="s">
        <v>5719</v>
      </c>
      <c r="E12162" s="2" t="str">
        <f>"9783837668049"</f>
        <v>9783837668049</v>
      </c>
      <c r="F12162" s="2" t="str">
        <f>"9783732868049"</f>
        <v>9783732868049</v>
      </c>
    </row>
    <row r="12163" spans="1:6" s="3" customFormat="1" ht="29.1" customHeight="1" x14ac:dyDescent="0.25">
      <c r="A12163" s="2" t="s">
        <v>24679</v>
      </c>
      <c r="B12163" s="2" t="s">
        <v>24680</v>
      </c>
      <c r="C12163" s="2" t="s">
        <v>556</v>
      </c>
      <c r="D12163" s="2" t="s">
        <v>712</v>
      </c>
      <c r="E12163" s="2" t="str">
        <f>"9783837667912"</f>
        <v>9783837667912</v>
      </c>
      <c r="F12163" s="2" t="str">
        <f>"9783732867912"</f>
        <v>9783732867912</v>
      </c>
    </row>
    <row r="12164" spans="1:6" s="3" customFormat="1" ht="29.1" customHeight="1" x14ac:dyDescent="0.25">
      <c r="A12164" s="2" t="s">
        <v>24681</v>
      </c>
      <c r="B12164" s="2" t="s">
        <v>24682</v>
      </c>
      <c r="C12164" s="2" t="s">
        <v>556</v>
      </c>
      <c r="D12164" s="2" t="s">
        <v>378</v>
      </c>
      <c r="E12164" s="2" t="str">
        <f>"9783837667660"</f>
        <v>9783837667660</v>
      </c>
      <c r="F12164" s="2" t="str">
        <f>"9783732867660"</f>
        <v>9783732867660</v>
      </c>
    </row>
    <row r="12165" spans="1:6" s="3" customFormat="1" ht="29.1" customHeight="1" x14ac:dyDescent="0.25">
      <c r="A12165" s="2" t="s">
        <v>24683</v>
      </c>
      <c r="B12165" s="2" t="s">
        <v>24684</v>
      </c>
      <c r="C12165" s="2" t="s">
        <v>556</v>
      </c>
      <c r="D12165" s="2" t="s">
        <v>175</v>
      </c>
      <c r="E12165" s="2" t="str">
        <f>"9783837667592"</f>
        <v>9783837667592</v>
      </c>
      <c r="F12165" s="2" t="str">
        <f>"9783839467596"</f>
        <v>9783839467596</v>
      </c>
    </row>
    <row r="12166" spans="1:6" s="3" customFormat="1" ht="29.1" customHeight="1" x14ac:dyDescent="0.25">
      <c r="A12166" s="2" t="s">
        <v>24685</v>
      </c>
      <c r="B12166" s="2" t="s">
        <v>24686</v>
      </c>
      <c r="C12166" s="2" t="s">
        <v>556</v>
      </c>
      <c r="D12166" s="2" t="s">
        <v>868</v>
      </c>
      <c r="E12166" s="2" t="str">
        <f>"9783837667561"</f>
        <v>9783837667561</v>
      </c>
      <c r="F12166" s="2" t="str">
        <f>"9783732867561"</f>
        <v>9783732867561</v>
      </c>
    </row>
    <row r="12167" spans="1:6" s="3" customFormat="1" ht="29.1" customHeight="1" x14ac:dyDescent="0.25">
      <c r="A12167" s="2" t="s">
        <v>24687</v>
      </c>
      <c r="B12167" s="2" t="s">
        <v>24688</v>
      </c>
      <c r="C12167" s="2" t="s">
        <v>556</v>
      </c>
      <c r="D12167" s="2" t="s">
        <v>4133</v>
      </c>
      <c r="E12167" s="2" t="str">
        <f>"9783837667424"</f>
        <v>9783837667424</v>
      </c>
      <c r="F12167" s="2" t="str">
        <f>"9783732867424"</f>
        <v>9783732867424</v>
      </c>
    </row>
    <row r="12168" spans="1:6" s="3" customFormat="1" ht="29.1" customHeight="1" x14ac:dyDescent="0.25">
      <c r="A12168" s="2" t="s">
        <v>24689</v>
      </c>
      <c r="B12168" s="2" t="s">
        <v>24690</v>
      </c>
      <c r="C12168" s="2" t="s">
        <v>556</v>
      </c>
      <c r="D12168" s="2" t="s">
        <v>446</v>
      </c>
      <c r="E12168" s="2" t="str">
        <f>"9783837667318"</f>
        <v>9783837667318</v>
      </c>
      <c r="F12168" s="2" t="str">
        <f>"9783839467312"</f>
        <v>9783839467312</v>
      </c>
    </row>
    <row r="12169" spans="1:6" s="3" customFormat="1" ht="29.1" customHeight="1" x14ac:dyDescent="0.25">
      <c r="A12169" s="2" t="s">
        <v>24691</v>
      </c>
      <c r="B12169" s="2" t="s">
        <v>24692</v>
      </c>
      <c r="C12169" s="2" t="s">
        <v>556</v>
      </c>
      <c r="D12169" s="2" t="s">
        <v>674</v>
      </c>
      <c r="E12169" s="2" t="str">
        <f>"9783837667295"</f>
        <v>9783837667295</v>
      </c>
      <c r="F12169" s="2" t="str">
        <f>"9783839467299"</f>
        <v>9783839467299</v>
      </c>
    </row>
    <row r="12170" spans="1:6" s="3" customFormat="1" ht="29.1" customHeight="1" x14ac:dyDescent="0.25">
      <c r="A12170" s="2" t="s">
        <v>24693</v>
      </c>
      <c r="B12170" s="2" t="s">
        <v>24694</v>
      </c>
      <c r="C12170" s="2" t="s">
        <v>556</v>
      </c>
      <c r="D12170" s="2" t="s">
        <v>1262</v>
      </c>
      <c r="E12170" s="2" t="str">
        <f>"9783837667028"</f>
        <v>9783837667028</v>
      </c>
      <c r="F12170" s="2" t="str">
        <f>"9783732867028"</f>
        <v>9783732867028</v>
      </c>
    </row>
    <row r="12171" spans="1:6" s="3" customFormat="1" ht="29.1" customHeight="1" x14ac:dyDescent="0.25">
      <c r="A12171" s="2" t="s">
        <v>24695</v>
      </c>
      <c r="B12171" s="2" t="s">
        <v>24696</v>
      </c>
      <c r="C12171" s="2" t="s">
        <v>556</v>
      </c>
      <c r="D12171" s="2" t="s">
        <v>712</v>
      </c>
      <c r="E12171" s="2" t="str">
        <f>"9783837666953"</f>
        <v>9783837666953</v>
      </c>
      <c r="F12171" s="2" t="str">
        <f>"9783839466957"</f>
        <v>9783839466957</v>
      </c>
    </row>
    <row r="12172" spans="1:6" s="3" customFormat="1" ht="29.1" customHeight="1" x14ac:dyDescent="0.25">
      <c r="A12172" s="2" t="s">
        <v>24697</v>
      </c>
      <c r="B12172" s="2" t="s">
        <v>24698</v>
      </c>
      <c r="C12172" s="2" t="s">
        <v>556</v>
      </c>
      <c r="D12172" s="2" t="s">
        <v>712</v>
      </c>
      <c r="E12172" s="2" t="str">
        <f>"9783837666076"</f>
        <v>9783837666076</v>
      </c>
      <c r="F12172" s="2" t="str">
        <f>"9783839466070"</f>
        <v>9783839466070</v>
      </c>
    </row>
    <row r="12173" spans="1:6" s="3" customFormat="1" ht="29.1" customHeight="1" x14ac:dyDescent="0.25">
      <c r="A12173" s="2" t="s">
        <v>24699</v>
      </c>
      <c r="B12173" s="2" t="s">
        <v>24700</v>
      </c>
      <c r="C12173" s="2" t="s">
        <v>556</v>
      </c>
      <c r="D12173" s="2" t="s">
        <v>4064</v>
      </c>
      <c r="E12173" s="2" t="str">
        <f>"9783837665857"</f>
        <v>9783837665857</v>
      </c>
      <c r="F12173" s="2" t="str">
        <f>"9783839465851"</f>
        <v>9783839465851</v>
      </c>
    </row>
    <row r="12174" spans="1:6" s="3" customFormat="1" ht="29.1" customHeight="1" x14ac:dyDescent="0.25">
      <c r="A12174" s="2" t="s">
        <v>24701</v>
      </c>
      <c r="B12174" s="2" t="s">
        <v>24702</v>
      </c>
      <c r="C12174" s="2" t="s">
        <v>556</v>
      </c>
      <c r="D12174" s="2" t="s">
        <v>4030</v>
      </c>
      <c r="E12174" s="2" t="str">
        <f>"9783837665499"</f>
        <v>9783837665499</v>
      </c>
      <c r="F12174" s="2" t="str">
        <f>"9783839465493"</f>
        <v>9783839465493</v>
      </c>
    </row>
    <row r="12175" spans="1:6" s="3" customFormat="1" ht="29.1" customHeight="1" x14ac:dyDescent="0.25">
      <c r="A12175" s="2" t="s">
        <v>24703</v>
      </c>
      <c r="B12175" s="2" t="s">
        <v>24704</v>
      </c>
      <c r="C12175" s="2" t="s">
        <v>556</v>
      </c>
      <c r="D12175" s="2" t="s">
        <v>841</v>
      </c>
      <c r="E12175" s="2" t="str">
        <f>"9783837664799"</f>
        <v>9783837664799</v>
      </c>
      <c r="F12175" s="2" t="str">
        <f>"9783732864799"</f>
        <v>9783732864799</v>
      </c>
    </row>
    <row r="12176" spans="1:6" s="3" customFormat="1" ht="29.1" customHeight="1" x14ac:dyDescent="0.25">
      <c r="A12176" s="2" t="s">
        <v>24705</v>
      </c>
      <c r="B12176" s="2" t="s">
        <v>24706</v>
      </c>
      <c r="C12176" s="2" t="s">
        <v>556</v>
      </c>
      <c r="D12176" s="2" t="s">
        <v>92</v>
      </c>
      <c r="E12176" s="2" t="str">
        <f>"9783837663822"</f>
        <v>9783837663822</v>
      </c>
      <c r="F12176" s="2" t="str">
        <f>"9783839463826"</f>
        <v>9783839463826</v>
      </c>
    </row>
    <row r="12177" spans="1:6" s="3" customFormat="1" ht="29.1" customHeight="1" x14ac:dyDescent="0.25">
      <c r="A12177" s="2" t="s">
        <v>24707</v>
      </c>
      <c r="B12177" s="2" t="s">
        <v>24708</v>
      </c>
      <c r="C12177" s="2" t="s">
        <v>556</v>
      </c>
      <c r="D12177" s="2" t="s">
        <v>353</v>
      </c>
      <c r="E12177" s="2" t="str">
        <f>"9783837663259"</f>
        <v>9783837663259</v>
      </c>
      <c r="F12177" s="2" t="str">
        <f>"9783839463253"</f>
        <v>9783839463253</v>
      </c>
    </row>
    <row r="12178" spans="1:6" s="3" customFormat="1" ht="29.1" customHeight="1" x14ac:dyDescent="0.25">
      <c r="A12178" s="2" t="s">
        <v>24709</v>
      </c>
      <c r="B12178" s="2" t="s">
        <v>24710</v>
      </c>
      <c r="C12178" s="2" t="s">
        <v>556</v>
      </c>
      <c r="D12178" s="2" t="s">
        <v>553</v>
      </c>
      <c r="E12178" s="2" t="str">
        <f>"9783837662764"</f>
        <v>9783837662764</v>
      </c>
      <c r="F12178" s="2" t="str">
        <f>"9783839462768"</f>
        <v>9783839462768</v>
      </c>
    </row>
    <row r="12179" spans="1:6" s="3" customFormat="1" ht="29.1" customHeight="1" x14ac:dyDescent="0.25">
      <c r="A12179" s="2" t="s">
        <v>24711</v>
      </c>
      <c r="B12179" s="2" t="s">
        <v>24712</v>
      </c>
      <c r="C12179" s="2" t="s">
        <v>556</v>
      </c>
      <c r="D12179" s="2" t="s">
        <v>2746</v>
      </c>
      <c r="E12179" s="2" t="str">
        <f>"9783837662610"</f>
        <v>9783837662610</v>
      </c>
      <c r="F12179" s="2" t="str">
        <f>"9783839462614"</f>
        <v>9783839462614</v>
      </c>
    </row>
    <row r="12180" spans="1:6" s="3" customFormat="1" ht="29.1" customHeight="1" x14ac:dyDescent="0.25">
      <c r="A12180" s="2" t="s">
        <v>24713</v>
      </c>
      <c r="B12180" s="2" t="s">
        <v>24714</v>
      </c>
      <c r="C12180" s="2" t="s">
        <v>556</v>
      </c>
      <c r="D12180" s="2" t="s">
        <v>712</v>
      </c>
      <c r="E12180" s="2" t="str">
        <f>"9783837662283"</f>
        <v>9783837662283</v>
      </c>
      <c r="F12180" s="2" t="str">
        <f>"9783732862283"</f>
        <v>9783732862283</v>
      </c>
    </row>
    <row r="12181" spans="1:6" s="3" customFormat="1" ht="29.1" customHeight="1" x14ac:dyDescent="0.25">
      <c r="A12181" s="2" t="s">
        <v>24715</v>
      </c>
      <c r="B12181" s="2" t="s">
        <v>24716</v>
      </c>
      <c r="C12181" s="2" t="s">
        <v>556</v>
      </c>
      <c r="D12181" s="2" t="s">
        <v>18534</v>
      </c>
      <c r="E12181" s="2" t="str">
        <f>"9783837662238"</f>
        <v>9783837662238</v>
      </c>
      <c r="F12181" s="2" t="str">
        <f>"9783839462232"</f>
        <v>9783839462232</v>
      </c>
    </row>
    <row r="12182" spans="1:6" s="3" customFormat="1" ht="29.1" customHeight="1" x14ac:dyDescent="0.25">
      <c r="A12182" s="2" t="s">
        <v>24717</v>
      </c>
      <c r="B12182" s="2" t="s">
        <v>24718</v>
      </c>
      <c r="C12182" s="2" t="s">
        <v>556</v>
      </c>
      <c r="D12182" s="2" t="s">
        <v>1082</v>
      </c>
      <c r="E12182" s="2" t="str">
        <f>"9783837662207"</f>
        <v>9783837662207</v>
      </c>
      <c r="F12182" s="2" t="str">
        <f>"9783839462201"</f>
        <v>9783839462201</v>
      </c>
    </row>
    <row r="12183" spans="1:6" s="3" customFormat="1" ht="29.1" customHeight="1" x14ac:dyDescent="0.25">
      <c r="A12183" s="2" t="s">
        <v>24719</v>
      </c>
      <c r="B12183" s="2" t="s">
        <v>24720</v>
      </c>
      <c r="C12183" s="2" t="s">
        <v>556</v>
      </c>
      <c r="D12183" s="2" t="s">
        <v>712</v>
      </c>
      <c r="E12183" s="2" t="str">
        <f>"9783837661927"</f>
        <v>9783837661927</v>
      </c>
      <c r="F12183" s="2" t="str">
        <f>"9783839461921"</f>
        <v>9783839461921</v>
      </c>
    </row>
    <row r="12184" spans="1:6" s="3" customFormat="1" ht="29.1" customHeight="1" x14ac:dyDescent="0.25">
      <c r="A12184" s="2" t="s">
        <v>24721</v>
      </c>
      <c r="B12184" s="2" t="s">
        <v>24722</v>
      </c>
      <c r="C12184" s="2" t="s">
        <v>556</v>
      </c>
      <c r="D12184" s="2" t="s">
        <v>1162</v>
      </c>
      <c r="E12184" s="2" t="str">
        <f>"9783837660388"</f>
        <v>9783837660388</v>
      </c>
      <c r="F12184" s="2" t="str">
        <f>"9783732860388"</f>
        <v>9783732860388</v>
      </c>
    </row>
    <row r="12185" spans="1:6" s="3" customFormat="1" ht="29.1" customHeight="1" x14ac:dyDescent="0.25">
      <c r="A12185" s="2" t="s">
        <v>24723</v>
      </c>
      <c r="B12185" s="2" t="s">
        <v>24724</v>
      </c>
      <c r="C12185" s="2" t="s">
        <v>124</v>
      </c>
      <c r="D12185" s="2" t="s">
        <v>408</v>
      </c>
      <c r="E12185" s="2" t="str">
        <f>"9781032530550"</f>
        <v>9781032530550</v>
      </c>
      <c r="F12185" s="2" t="str">
        <f>"9781003412632"</f>
        <v>9781003412632</v>
      </c>
    </row>
    <row r="12186" spans="1:6" s="3" customFormat="1" ht="29.1" customHeight="1" x14ac:dyDescent="0.25">
      <c r="A12186" s="2" t="s">
        <v>24725</v>
      </c>
      <c r="B12186" s="2" t="s">
        <v>24726</v>
      </c>
      <c r="C12186" s="2" t="s">
        <v>124</v>
      </c>
      <c r="D12186" s="2" t="s">
        <v>459</v>
      </c>
      <c r="E12186" s="2" t="str">
        <f>"9781032224671"</f>
        <v>9781032224671</v>
      </c>
      <c r="F12186" s="2" t="str">
        <f>"9781003272687"</f>
        <v>9781003272687</v>
      </c>
    </row>
    <row r="12187" spans="1:6" s="3" customFormat="1" ht="29.1" customHeight="1" x14ac:dyDescent="0.25">
      <c r="A12187" s="2" t="s">
        <v>24727</v>
      </c>
      <c r="B12187" s="2" t="s">
        <v>24728</v>
      </c>
      <c r="C12187" s="2" t="s">
        <v>2129</v>
      </c>
      <c r="D12187" s="2" t="s">
        <v>14288</v>
      </c>
      <c r="E12187" s="2" t="str">
        <f>"9781438497495"</f>
        <v>9781438497495</v>
      </c>
      <c r="F12187" s="2" t="str">
        <f>"9781438497501"</f>
        <v>9781438497501</v>
      </c>
    </row>
    <row r="12188" spans="1:6" s="3" customFormat="1" ht="29.1" customHeight="1" x14ac:dyDescent="0.25">
      <c r="A12188" s="2" t="s">
        <v>24729</v>
      </c>
      <c r="B12188" s="2" t="s">
        <v>24730</v>
      </c>
      <c r="C12188" s="2" t="s">
        <v>8040</v>
      </c>
      <c r="D12188" s="2" t="s">
        <v>868</v>
      </c>
      <c r="E12188" s="2" t="str">
        <f>"9781800416253"</f>
        <v>9781800416253</v>
      </c>
      <c r="F12188" s="2" t="str">
        <f>"9781800416277"</f>
        <v>9781800416277</v>
      </c>
    </row>
    <row r="12189" spans="1:6" s="3" customFormat="1" ht="29.1" customHeight="1" x14ac:dyDescent="0.25">
      <c r="A12189" s="2" t="s">
        <v>24731</v>
      </c>
      <c r="B12189" s="2" t="s">
        <v>24732</v>
      </c>
      <c r="C12189" s="2" t="s">
        <v>124</v>
      </c>
      <c r="D12189" s="2" t="s">
        <v>2016</v>
      </c>
      <c r="E12189" s="2" t="str">
        <f>"9781032550190"</f>
        <v>9781032550190</v>
      </c>
      <c r="F12189" s="2" t="str">
        <f>"9781003428596"</f>
        <v>9781003428596</v>
      </c>
    </row>
    <row r="12190" spans="1:6" s="3" customFormat="1" ht="29.1" customHeight="1" x14ac:dyDescent="0.25">
      <c r="A12190" s="2" t="s">
        <v>24733</v>
      </c>
      <c r="B12190" s="2" t="s">
        <v>24734</v>
      </c>
      <c r="C12190" s="2" t="s">
        <v>124</v>
      </c>
      <c r="D12190" s="2" t="s">
        <v>353</v>
      </c>
      <c r="E12190" s="2" t="str">
        <f>"9781032115986"</f>
        <v>9781032115986</v>
      </c>
      <c r="F12190" s="2" t="str">
        <f>"9781003220640"</f>
        <v>9781003220640</v>
      </c>
    </row>
    <row r="12191" spans="1:6" s="3" customFormat="1" ht="29.1" customHeight="1" x14ac:dyDescent="0.25">
      <c r="A12191" s="2" t="s">
        <v>24735</v>
      </c>
      <c r="B12191" s="2" t="s">
        <v>24736</v>
      </c>
      <c r="C12191" s="2" t="s">
        <v>124</v>
      </c>
      <c r="D12191" s="2" t="s">
        <v>270</v>
      </c>
      <c r="E12191" s="2" t="str">
        <f>"9781032546704"</f>
        <v>9781032546704</v>
      </c>
      <c r="F12191" s="2" t="str">
        <f>"9781003426080"</f>
        <v>9781003426080</v>
      </c>
    </row>
    <row r="12192" spans="1:6" s="3" customFormat="1" ht="29.1" customHeight="1" x14ac:dyDescent="0.25">
      <c r="A12192" s="2" t="s">
        <v>24737</v>
      </c>
      <c r="B12192" s="2" t="s">
        <v>24738</v>
      </c>
      <c r="C12192" s="2" t="s">
        <v>124</v>
      </c>
      <c r="D12192" s="2" t="s">
        <v>270</v>
      </c>
      <c r="E12192" s="2" t="str">
        <f>"9781032355696"</f>
        <v>9781032355696</v>
      </c>
      <c r="F12192" s="2" t="str">
        <f>"9781003328483"</f>
        <v>9781003328483</v>
      </c>
    </row>
    <row r="12193" spans="1:6" s="3" customFormat="1" ht="29.1" customHeight="1" x14ac:dyDescent="0.25">
      <c r="A12193" s="2" t="s">
        <v>24739</v>
      </c>
      <c r="B12193" s="2" t="s">
        <v>24740</v>
      </c>
      <c r="C12193" s="2" t="s">
        <v>264</v>
      </c>
      <c r="D12193" s="2" t="s">
        <v>44</v>
      </c>
      <c r="E12193" s="2" t="str">
        <f>"9781032564616"</f>
        <v>9781032564616</v>
      </c>
      <c r="F12193" s="2" t="str">
        <f>"9781003435648"</f>
        <v>9781003435648</v>
      </c>
    </row>
    <row r="12194" spans="1:6" s="3" customFormat="1" ht="29.1" customHeight="1" x14ac:dyDescent="0.25">
      <c r="A12194" s="2" t="s">
        <v>24741</v>
      </c>
      <c r="B12194" s="2" t="s">
        <v>24742</v>
      </c>
      <c r="C12194" s="2" t="s">
        <v>124</v>
      </c>
      <c r="D12194" s="2" t="s">
        <v>2271</v>
      </c>
      <c r="E12194" s="2" t="str">
        <f>"9781032562285"</f>
        <v>9781032562285</v>
      </c>
      <c r="F12194" s="2" t="str">
        <f>"9781003434542"</f>
        <v>9781003434542</v>
      </c>
    </row>
    <row r="12195" spans="1:6" s="3" customFormat="1" ht="29.1" customHeight="1" x14ac:dyDescent="0.25">
      <c r="A12195" s="2" t="s">
        <v>24743</v>
      </c>
      <c r="B12195" s="2" t="s">
        <v>24744</v>
      </c>
      <c r="C12195" s="2" t="s">
        <v>124</v>
      </c>
      <c r="D12195" s="2" t="s">
        <v>186</v>
      </c>
      <c r="E12195" s="2" t="str">
        <f>"9781032369365"</f>
        <v>9781032369365</v>
      </c>
      <c r="F12195" s="2" t="str">
        <f>"9781003334576"</f>
        <v>9781003334576</v>
      </c>
    </row>
    <row r="12196" spans="1:6" s="3" customFormat="1" ht="29.1" customHeight="1" x14ac:dyDescent="0.25">
      <c r="A12196" s="2" t="s">
        <v>24745</v>
      </c>
      <c r="B12196" s="2" t="s">
        <v>24746</v>
      </c>
      <c r="C12196" s="2" t="s">
        <v>124</v>
      </c>
      <c r="D12196" s="2" t="s">
        <v>4172</v>
      </c>
      <c r="E12196" s="2" t="str">
        <f>"9781032497358"</f>
        <v>9781032497358</v>
      </c>
      <c r="F12196" s="2" t="str">
        <f>"9781003395232"</f>
        <v>9781003395232</v>
      </c>
    </row>
    <row r="12197" spans="1:6" s="3" customFormat="1" ht="29.1" customHeight="1" x14ac:dyDescent="0.25">
      <c r="A12197" s="2" t="s">
        <v>24747</v>
      </c>
      <c r="B12197" s="2" t="s">
        <v>9212</v>
      </c>
      <c r="C12197" s="2" t="s">
        <v>384</v>
      </c>
      <c r="D12197" s="2" t="s">
        <v>75</v>
      </c>
      <c r="E12197" s="2" t="str">
        <f>"9798987560754"</f>
        <v>9798987560754</v>
      </c>
      <c r="F12197" s="2" t="str">
        <f>"9798987560761"</f>
        <v>9798987560761</v>
      </c>
    </row>
    <row r="12198" spans="1:6" s="3" customFormat="1" ht="29.1" customHeight="1" x14ac:dyDescent="0.25">
      <c r="A12198" s="2" t="s">
        <v>24748</v>
      </c>
      <c r="B12198" s="2" t="s">
        <v>24749</v>
      </c>
      <c r="C12198" s="2" t="s">
        <v>124</v>
      </c>
      <c r="D12198" s="2" t="s">
        <v>256</v>
      </c>
      <c r="E12198" s="2" t="str">
        <f>"9781032420301"</f>
        <v>9781032420301</v>
      </c>
      <c r="F12198" s="2" t="str">
        <f>"9781003361770"</f>
        <v>9781003361770</v>
      </c>
    </row>
    <row r="12199" spans="1:6" s="3" customFormat="1" ht="29.1" customHeight="1" x14ac:dyDescent="0.25">
      <c r="A12199" s="2" t="s">
        <v>24750</v>
      </c>
      <c r="B12199" s="2" t="s">
        <v>24751</v>
      </c>
      <c r="C12199" s="2" t="s">
        <v>124</v>
      </c>
      <c r="D12199" s="2" t="s">
        <v>462</v>
      </c>
      <c r="E12199" s="2" t="str">
        <f>"9781032341774"</f>
        <v>9781032341774</v>
      </c>
      <c r="F12199" s="2" t="str">
        <f>"9781003320869"</f>
        <v>9781003320869</v>
      </c>
    </row>
    <row r="12200" spans="1:6" s="3" customFormat="1" ht="29.1" customHeight="1" x14ac:dyDescent="0.25">
      <c r="A12200" s="2" t="s">
        <v>24752</v>
      </c>
      <c r="B12200" s="2" t="s">
        <v>24753</v>
      </c>
      <c r="C12200" s="2" t="s">
        <v>248</v>
      </c>
      <c r="D12200" s="2" t="s">
        <v>24</v>
      </c>
      <c r="E12200" s="2" t="str">
        <f>"9783847427629"</f>
        <v>9783847427629</v>
      </c>
      <c r="F12200" s="2" t="str">
        <f>"9783847419334"</f>
        <v>9783847419334</v>
      </c>
    </row>
    <row r="12201" spans="1:6" s="3" customFormat="1" ht="29.1" customHeight="1" x14ac:dyDescent="0.25">
      <c r="A12201" s="2" t="s">
        <v>24754</v>
      </c>
      <c r="B12201" s="2" t="s">
        <v>24755</v>
      </c>
      <c r="C12201" s="2" t="s">
        <v>124</v>
      </c>
      <c r="D12201" s="2" t="s">
        <v>4386</v>
      </c>
      <c r="E12201" s="2" t="str">
        <f>"9781032375878"</f>
        <v>9781032375878</v>
      </c>
      <c r="F12201" s="2" t="str">
        <f>"9781003340942"</f>
        <v>9781003340942</v>
      </c>
    </row>
    <row r="12202" spans="1:6" s="3" customFormat="1" ht="29.1" customHeight="1" x14ac:dyDescent="0.25">
      <c r="A12202" s="2" t="s">
        <v>24756</v>
      </c>
      <c r="B12202" s="2" t="s">
        <v>24757</v>
      </c>
      <c r="C12202" s="2" t="s">
        <v>149</v>
      </c>
      <c r="D12202" s="2" t="s">
        <v>3650</v>
      </c>
      <c r="E12202" s="2"/>
      <c r="F12202" s="2" t="str">
        <f>"9781805111368"</f>
        <v>9781805111368</v>
      </c>
    </row>
    <row r="12203" spans="1:6" s="3" customFormat="1" ht="29.1" customHeight="1" x14ac:dyDescent="0.25">
      <c r="A12203" s="2" t="s">
        <v>24758</v>
      </c>
      <c r="B12203" s="2" t="s">
        <v>24759</v>
      </c>
      <c r="C12203" s="2" t="s">
        <v>149</v>
      </c>
      <c r="D12203" s="2" t="s">
        <v>2019</v>
      </c>
      <c r="E12203" s="2"/>
      <c r="F12203" s="2" t="str">
        <f>"9781805111382"</f>
        <v>9781805111382</v>
      </c>
    </row>
    <row r="12204" spans="1:6" s="3" customFormat="1" ht="29.1" customHeight="1" x14ac:dyDescent="0.25">
      <c r="A12204" s="2" t="s">
        <v>24760</v>
      </c>
      <c r="B12204" s="2" t="s">
        <v>24761</v>
      </c>
      <c r="C12204" s="2" t="s">
        <v>149</v>
      </c>
      <c r="D12204" s="2" t="s">
        <v>37</v>
      </c>
      <c r="E12204" s="2"/>
      <c r="F12204" s="2" t="str">
        <f>"9781805111290"</f>
        <v>9781805111290</v>
      </c>
    </row>
    <row r="12205" spans="1:6" s="3" customFormat="1" ht="29.1" customHeight="1" x14ac:dyDescent="0.25">
      <c r="A12205" s="2" t="s">
        <v>24762</v>
      </c>
      <c r="B12205" s="2" t="s">
        <v>24763</v>
      </c>
      <c r="C12205" s="2" t="s">
        <v>124</v>
      </c>
      <c r="D12205" s="2" t="s">
        <v>270</v>
      </c>
      <c r="E12205" s="2" t="str">
        <f>"9780367640545"</f>
        <v>9780367640545</v>
      </c>
      <c r="F12205" s="2" t="str">
        <f>"9781003121947"</f>
        <v>9781003121947</v>
      </c>
    </row>
    <row r="12206" spans="1:6" s="3" customFormat="1" ht="29.1" customHeight="1" x14ac:dyDescent="0.25">
      <c r="A12206" s="2" t="s">
        <v>24764</v>
      </c>
      <c r="B12206" s="2" t="s">
        <v>24765</v>
      </c>
      <c r="C12206" s="2" t="s">
        <v>124</v>
      </c>
      <c r="D12206" s="2" t="s">
        <v>2341</v>
      </c>
      <c r="E12206" s="2" t="str">
        <f>"9781032541105"</f>
        <v>9781032541105</v>
      </c>
      <c r="F12206" s="2" t="str">
        <f>"9781003415213"</f>
        <v>9781003415213</v>
      </c>
    </row>
    <row r="12207" spans="1:6" s="3" customFormat="1" ht="29.1" customHeight="1" x14ac:dyDescent="0.25">
      <c r="A12207" s="2" t="s">
        <v>24766</v>
      </c>
      <c r="B12207" s="2" t="s">
        <v>24767</v>
      </c>
      <c r="C12207" s="2" t="s">
        <v>124</v>
      </c>
      <c r="D12207" s="2" t="s">
        <v>1209</v>
      </c>
      <c r="E12207" s="2" t="str">
        <f>"9781032542218"</f>
        <v>9781032542218</v>
      </c>
      <c r="F12207" s="2" t="str">
        <f>"9781003415794"</f>
        <v>9781003415794</v>
      </c>
    </row>
    <row r="12208" spans="1:6" s="3" customFormat="1" ht="29.1" customHeight="1" x14ac:dyDescent="0.25">
      <c r="A12208" s="2" t="s">
        <v>24768</v>
      </c>
      <c r="B12208" s="2" t="s">
        <v>13803</v>
      </c>
      <c r="C12208" s="2" t="s">
        <v>746</v>
      </c>
      <c r="D12208" s="2" t="s">
        <v>606</v>
      </c>
      <c r="E12208" s="2" t="str">
        <f>"9781803274973"</f>
        <v>9781803274973</v>
      </c>
      <c r="F12208" s="2" t="str">
        <f>"9781803274980"</f>
        <v>9781803274980</v>
      </c>
    </row>
    <row r="12209" spans="1:6" s="3" customFormat="1" ht="29.1" customHeight="1" x14ac:dyDescent="0.25">
      <c r="A12209" s="2" t="s">
        <v>24769</v>
      </c>
      <c r="B12209" s="2" t="s">
        <v>24770</v>
      </c>
      <c r="C12209" s="2" t="s">
        <v>746</v>
      </c>
      <c r="D12209" s="2" t="s">
        <v>4185</v>
      </c>
      <c r="E12209" s="2" t="str">
        <f>"9781803276045"</f>
        <v>9781803276045</v>
      </c>
      <c r="F12209" s="2" t="str">
        <f>"9781803276052"</f>
        <v>9781803276052</v>
      </c>
    </row>
    <row r="12210" spans="1:6" s="3" customFormat="1" ht="29.1" customHeight="1" x14ac:dyDescent="0.25">
      <c r="A12210" s="2" t="s">
        <v>24771</v>
      </c>
      <c r="B12210" s="2" t="s">
        <v>24772</v>
      </c>
      <c r="C12210" s="2" t="s">
        <v>746</v>
      </c>
      <c r="D12210" s="2" t="s">
        <v>4185</v>
      </c>
      <c r="E12210" s="2" t="str">
        <f>"9781803275512"</f>
        <v>9781803275512</v>
      </c>
      <c r="F12210" s="2" t="str">
        <f>"9781803275529"</f>
        <v>9781803275529</v>
      </c>
    </row>
    <row r="12211" spans="1:6" s="3" customFormat="1" ht="29.1" customHeight="1" x14ac:dyDescent="0.25">
      <c r="A12211" s="2" t="s">
        <v>24773</v>
      </c>
      <c r="B12211" s="2" t="s">
        <v>24774</v>
      </c>
      <c r="C12211" s="2" t="s">
        <v>746</v>
      </c>
      <c r="D12211" s="2" t="s">
        <v>606</v>
      </c>
      <c r="E12211" s="2" t="str">
        <f>"9781803276342"</f>
        <v>9781803276342</v>
      </c>
      <c r="F12211" s="2" t="str">
        <f>"9781803276359"</f>
        <v>9781803276359</v>
      </c>
    </row>
    <row r="12212" spans="1:6" s="3" customFormat="1" ht="29.1" customHeight="1" x14ac:dyDescent="0.25">
      <c r="A12212" s="2" t="s">
        <v>24775</v>
      </c>
      <c r="B12212" s="2" t="s">
        <v>24776</v>
      </c>
      <c r="C12212" s="2" t="s">
        <v>746</v>
      </c>
      <c r="D12212" s="2" t="s">
        <v>606</v>
      </c>
      <c r="E12212" s="2" t="str">
        <f>"9781803276328"</f>
        <v>9781803276328</v>
      </c>
      <c r="F12212" s="2" t="str">
        <f>"9781803276335"</f>
        <v>9781803276335</v>
      </c>
    </row>
    <row r="12213" spans="1:6" s="3" customFormat="1" ht="29.1" customHeight="1" x14ac:dyDescent="0.25">
      <c r="A12213" s="2" t="s">
        <v>24777</v>
      </c>
      <c r="B12213" s="2" t="s">
        <v>24778</v>
      </c>
      <c r="C12213" s="2" t="s">
        <v>927</v>
      </c>
      <c r="D12213" s="2" t="s">
        <v>2208</v>
      </c>
      <c r="E12213" s="2" t="str">
        <f>"9780472039395"</f>
        <v>9780472039395</v>
      </c>
      <c r="F12213" s="2" t="str">
        <f>"9780472903788"</f>
        <v>9780472903788</v>
      </c>
    </row>
    <row r="12214" spans="1:6" s="3" customFormat="1" ht="29.1" customHeight="1" x14ac:dyDescent="0.25">
      <c r="A12214" s="2" t="s">
        <v>24779</v>
      </c>
      <c r="B12214" s="2" t="s">
        <v>24780</v>
      </c>
      <c r="C12214" s="2" t="s">
        <v>264</v>
      </c>
      <c r="D12214" s="2" t="s">
        <v>44</v>
      </c>
      <c r="E12214" s="2" t="str">
        <f>"9781032197227"</f>
        <v>9781032197227</v>
      </c>
      <c r="F12214" s="2" t="str">
        <f>"9781003260554"</f>
        <v>9781003260554</v>
      </c>
    </row>
    <row r="12215" spans="1:6" s="3" customFormat="1" ht="29.1" customHeight="1" x14ac:dyDescent="0.25">
      <c r="A12215" s="2" t="s">
        <v>24781</v>
      </c>
      <c r="B12215" s="2" t="s">
        <v>24782</v>
      </c>
      <c r="C12215" s="2" t="s">
        <v>124</v>
      </c>
      <c r="D12215" s="2" t="s">
        <v>2587</v>
      </c>
      <c r="E12215" s="2" t="str">
        <f>"9781032624242"</f>
        <v>9781032624242</v>
      </c>
      <c r="F12215" s="2" t="str">
        <f>"9781003827535"</f>
        <v>9781003827535</v>
      </c>
    </row>
    <row r="12216" spans="1:6" s="3" customFormat="1" ht="29.1" customHeight="1" x14ac:dyDescent="0.25">
      <c r="A12216" s="2" t="s">
        <v>24783</v>
      </c>
      <c r="B12216" s="2" t="s">
        <v>24784</v>
      </c>
      <c r="C12216" s="2" t="s">
        <v>124</v>
      </c>
      <c r="D12216" s="2" t="s">
        <v>2752</v>
      </c>
      <c r="E12216" s="2" t="str">
        <f>"9781032321332"</f>
        <v>9781032321332</v>
      </c>
      <c r="F12216" s="2" t="str">
        <f>"9781003313014"</f>
        <v>9781003313014</v>
      </c>
    </row>
    <row r="12217" spans="1:6" s="3" customFormat="1" ht="29.1" customHeight="1" x14ac:dyDescent="0.25">
      <c r="A12217" s="2" t="s">
        <v>24785</v>
      </c>
      <c r="B12217" s="2" t="s">
        <v>24786</v>
      </c>
      <c r="C12217" s="2" t="s">
        <v>124</v>
      </c>
      <c r="D12217" s="2" t="s">
        <v>69</v>
      </c>
      <c r="E12217" s="2" t="str">
        <f>"9781032106625"</f>
        <v>9781032106625</v>
      </c>
      <c r="F12217" s="2" t="str">
        <f>"9781003219118"</f>
        <v>9781003219118</v>
      </c>
    </row>
    <row r="12218" spans="1:6" s="3" customFormat="1" ht="29.1" customHeight="1" x14ac:dyDescent="0.25">
      <c r="A12218" s="2" t="s">
        <v>24787</v>
      </c>
      <c r="B12218" s="2" t="s">
        <v>24788</v>
      </c>
      <c r="C12218" s="2" t="s">
        <v>8040</v>
      </c>
      <c r="D12218" s="2" t="s">
        <v>2391</v>
      </c>
      <c r="E12218" s="2" t="str">
        <f>"9781845418366"</f>
        <v>9781845418366</v>
      </c>
      <c r="F12218" s="2" t="str">
        <f>"9781845418380"</f>
        <v>9781845418380</v>
      </c>
    </row>
    <row r="12219" spans="1:6" s="3" customFormat="1" ht="29.1" customHeight="1" x14ac:dyDescent="0.25">
      <c r="A12219" s="2" t="s">
        <v>24789</v>
      </c>
      <c r="B12219" s="2" t="s">
        <v>24790</v>
      </c>
      <c r="C12219" s="2" t="s">
        <v>8040</v>
      </c>
      <c r="D12219" s="2" t="s">
        <v>614</v>
      </c>
      <c r="E12219" s="2" t="str">
        <f>"9781800410985"</f>
        <v>9781800410985</v>
      </c>
      <c r="F12219" s="2" t="str">
        <f>"9781800411005"</f>
        <v>9781800411005</v>
      </c>
    </row>
    <row r="12220" spans="1:6" s="3" customFormat="1" ht="29.1" customHeight="1" x14ac:dyDescent="0.25">
      <c r="A12220" s="2" t="s">
        <v>24791</v>
      </c>
      <c r="B12220" s="2" t="s">
        <v>24792</v>
      </c>
      <c r="C12220" s="2" t="s">
        <v>8040</v>
      </c>
      <c r="D12220" s="2" t="s">
        <v>3328</v>
      </c>
      <c r="E12220" s="2" t="str">
        <f>"9781783096831"</f>
        <v>9781783096831</v>
      </c>
      <c r="F12220" s="2" t="str">
        <f>"9781783096855"</f>
        <v>9781783096855</v>
      </c>
    </row>
    <row r="12221" spans="1:6" s="3" customFormat="1" ht="29.1" customHeight="1" x14ac:dyDescent="0.25">
      <c r="A12221" s="2" t="s">
        <v>24793</v>
      </c>
      <c r="B12221" s="2" t="s">
        <v>24794</v>
      </c>
      <c r="C12221" s="2" t="s">
        <v>8104</v>
      </c>
      <c r="D12221" s="2" t="s">
        <v>636</v>
      </c>
      <c r="E12221" s="2" t="str">
        <f>"9781805394907"</f>
        <v>9781805394907</v>
      </c>
      <c r="F12221" s="2" t="str">
        <f>"9781805394921"</f>
        <v>9781805394921</v>
      </c>
    </row>
    <row r="12222" spans="1:6" s="3" customFormat="1" ht="29.1" customHeight="1" x14ac:dyDescent="0.25">
      <c r="A12222" s="2" t="s">
        <v>24795</v>
      </c>
      <c r="B12222" s="2" t="s">
        <v>24796</v>
      </c>
      <c r="C12222" s="2" t="s">
        <v>124</v>
      </c>
      <c r="D12222" s="2" t="s">
        <v>553</v>
      </c>
      <c r="E12222" s="2" t="str">
        <f>"9781032269825"</f>
        <v>9781032269825</v>
      </c>
      <c r="F12222" s="2" t="str">
        <f>"9781003290803"</f>
        <v>9781003290803</v>
      </c>
    </row>
    <row r="12223" spans="1:6" s="3" customFormat="1" ht="29.1" customHeight="1" x14ac:dyDescent="0.25">
      <c r="A12223" s="2" t="s">
        <v>24797</v>
      </c>
      <c r="B12223" s="2" t="s">
        <v>6834</v>
      </c>
      <c r="C12223" s="2" t="s">
        <v>6834</v>
      </c>
      <c r="D12223" s="2" t="s">
        <v>6837</v>
      </c>
      <c r="E12223" s="2"/>
      <c r="F12223" s="2" t="str">
        <f>"9789280531909"</f>
        <v>9789280531909</v>
      </c>
    </row>
    <row r="12224" spans="1:6" s="3" customFormat="1" ht="29.1" customHeight="1" x14ac:dyDescent="0.25">
      <c r="A12224" s="2" t="s">
        <v>24798</v>
      </c>
      <c r="B12224" s="2" t="s">
        <v>6834</v>
      </c>
      <c r="C12224" s="2" t="s">
        <v>6834</v>
      </c>
      <c r="D12224" s="2" t="s">
        <v>6837</v>
      </c>
      <c r="E12224" s="2" t="str">
        <f>"9789280533972"</f>
        <v>9789280533972</v>
      </c>
      <c r="F12224" s="2" t="str">
        <f>"9789280533989"</f>
        <v>9789280533989</v>
      </c>
    </row>
    <row r="12225" spans="1:6" s="3" customFormat="1" ht="29.1" customHeight="1" x14ac:dyDescent="0.25">
      <c r="A12225" s="2" t="s">
        <v>24799</v>
      </c>
      <c r="B12225" s="2" t="s">
        <v>6834</v>
      </c>
      <c r="C12225" s="2" t="s">
        <v>6834</v>
      </c>
      <c r="D12225" s="2" t="s">
        <v>6835</v>
      </c>
      <c r="E12225" s="2"/>
      <c r="F12225" s="2" t="str">
        <f>"9789280531411"</f>
        <v>9789280531411</v>
      </c>
    </row>
    <row r="12226" spans="1:6" s="3" customFormat="1" ht="29.1" customHeight="1" x14ac:dyDescent="0.25">
      <c r="A12226" s="2" t="s">
        <v>24800</v>
      </c>
      <c r="B12226" s="2" t="s">
        <v>24801</v>
      </c>
      <c r="C12226" s="2" t="s">
        <v>6834</v>
      </c>
      <c r="D12226" s="2" t="s">
        <v>6837</v>
      </c>
      <c r="E12226" s="2" t="str">
        <f>"9789280534900"</f>
        <v>9789280534900</v>
      </c>
      <c r="F12226" s="2" t="str">
        <f>"9789280534917"</f>
        <v>9789280534917</v>
      </c>
    </row>
    <row r="12227" spans="1:6" s="3" customFormat="1" ht="29.1" customHeight="1" x14ac:dyDescent="0.25">
      <c r="A12227" s="2" t="s">
        <v>24802</v>
      </c>
      <c r="B12227" s="2" t="s">
        <v>24803</v>
      </c>
      <c r="C12227" s="2" t="s">
        <v>6834</v>
      </c>
      <c r="D12227" s="2" t="s">
        <v>6837</v>
      </c>
      <c r="E12227" s="2" t="str">
        <f>"9789280532432"</f>
        <v>9789280532432</v>
      </c>
      <c r="F12227" s="2" t="str">
        <f>"9789240028760"</f>
        <v>9789240028760</v>
      </c>
    </row>
    <row r="12228" spans="1:6" s="3" customFormat="1" ht="29.1" customHeight="1" x14ac:dyDescent="0.25">
      <c r="A12228" s="2" t="s">
        <v>24804</v>
      </c>
      <c r="B12228" s="2" t="s">
        <v>24805</v>
      </c>
      <c r="C12228" s="2" t="s">
        <v>6834</v>
      </c>
      <c r="D12228" s="2" t="s">
        <v>6835</v>
      </c>
      <c r="E12228" s="2" t="str">
        <f>"9789240028753"</f>
        <v>9789240028753</v>
      </c>
      <c r="F12228" s="2" t="str">
        <f>"9789240028746"</f>
        <v>9789240028746</v>
      </c>
    </row>
    <row r="12229" spans="1:6" s="3" customFormat="1" ht="29.1" customHeight="1" x14ac:dyDescent="0.25">
      <c r="A12229" s="2" t="s">
        <v>24806</v>
      </c>
      <c r="B12229" s="2" t="s">
        <v>11803</v>
      </c>
      <c r="C12229" s="2" t="s">
        <v>6834</v>
      </c>
      <c r="D12229" s="2" t="s">
        <v>6837</v>
      </c>
      <c r="E12229" s="2" t="str">
        <f>"9789280531114"</f>
        <v>9789280531114</v>
      </c>
      <c r="F12229" s="2"/>
    </row>
    <row r="12230" spans="1:6" s="3" customFormat="1" ht="29.1" customHeight="1" x14ac:dyDescent="0.25">
      <c r="A12230" s="2" t="s">
        <v>24807</v>
      </c>
      <c r="B12230" s="2" t="s">
        <v>24808</v>
      </c>
      <c r="C12230" s="2" t="s">
        <v>6834</v>
      </c>
      <c r="D12230" s="2" t="s">
        <v>6837</v>
      </c>
      <c r="E12230" s="2"/>
      <c r="F12230" s="2"/>
    </row>
    <row r="12231" spans="1:6" s="3" customFormat="1" ht="29.1" customHeight="1" x14ac:dyDescent="0.25">
      <c r="A12231" s="2" t="s">
        <v>24809</v>
      </c>
      <c r="B12231" s="2" t="s">
        <v>24810</v>
      </c>
      <c r="C12231" s="2" t="s">
        <v>6834</v>
      </c>
      <c r="D12231" s="2" t="s">
        <v>6837</v>
      </c>
      <c r="E12231" s="2"/>
      <c r="F12231" s="2"/>
    </row>
    <row r="12232" spans="1:6" s="3" customFormat="1" ht="29.1" customHeight="1" x14ac:dyDescent="0.25">
      <c r="A12232" s="2" t="s">
        <v>24811</v>
      </c>
      <c r="B12232" s="2" t="s">
        <v>24812</v>
      </c>
      <c r="C12232" s="2" t="s">
        <v>6834</v>
      </c>
      <c r="D12232" s="2" t="s">
        <v>6837</v>
      </c>
      <c r="E12232" s="2"/>
      <c r="F12232" s="2"/>
    </row>
    <row r="12233" spans="1:6" s="3" customFormat="1" ht="29.1" customHeight="1" x14ac:dyDescent="0.25">
      <c r="A12233" s="2" t="s">
        <v>24813</v>
      </c>
      <c r="B12233" s="2" t="s">
        <v>24814</v>
      </c>
      <c r="C12233" s="2" t="s">
        <v>6834</v>
      </c>
      <c r="D12233" s="2" t="s">
        <v>6837</v>
      </c>
      <c r="E12233" s="2"/>
      <c r="F12233" s="2"/>
    </row>
    <row r="12234" spans="1:6" s="3" customFormat="1" ht="29.1" customHeight="1" x14ac:dyDescent="0.25">
      <c r="A12234" s="2" t="s">
        <v>24815</v>
      </c>
      <c r="B12234" s="2" t="s">
        <v>24808</v>
      </c>
      <c r="C12234" s="2" t="s">
        <v>6834</v>
      </c>
      <c r="D12234" s="2" t="s">
        <v>6837</v>
      </c>
      <c r="E12234" s="2"/>
      <c r="F12234" s="2"/>
    </row>
    <row r="12235" spans="1:6" s="3" customFormat="1" ht="29.1" customHeight="1" x14ac:dyDescent="0.25">
      <c r="A12235" s="2" t="s">
        <v>24816</v>
      </c>
      <c r="B12235" s="2" t="s">
        <v>24810</v>
      </c>
      <c r="C12235" s="2" t="s">
        <v>6834</v>
      </c>
      <c r="D12235" s="2" t="s">
        <v>6835</v>
      </c>
      <c r="E12235" s="2"/>
      <c r="F12235" s="2"/>
    </row>
    <row r="12236" spans="1:6" s="3" customFormat="1" ht="29.1" customHeight="1" x14ac:dyDescent="0.25">
      <c r="A12236" s="2" t="s">
        <v>24817</v>
      </c>
      <c r="B12236" s="2" t="s">
        <v>24812</v>
      </c>
      <c r="C12236" s="2" t="s">
        <v>6834</v>
      </c>
      <c r="D12236" s="2" t="s">
        <v>6835</v>
      </c>
      <c r="E12236" s="2"/>
      <c r="F12236" s="2"/>
    </row>
    <row r="12237" spans="1:6" s="3" customFormat="1" ht="29.1" customHeight="1" x14ac:dyDescent="0.25">
      <c r="A12237" s="2" t="s">
        <v>24818</v>
      </c>
      <c r="B12237" s="2" t="s">
        <v>24814</v>
      </c>
      <c r="C12237" s="2" t="s">
        <v>6834</v>
      </c>
      <c r="D12237" s="2" t="s">
        <v>6837</v>
      </c>
      <c r="E12237" s="2"/>
      <c r="F12237" s="2"/>
    </row>
    <row r="12238" spans="1:6" s="3" customFormat="1" ht="29.1" customHeight="1" x14ac:dyDescent="0.25">
      <c r="A12238" s="2" t="s">
        <v>24819</v>
      </c>
      <c r="B12238" s="2" t="s">
        <v>24808</v>
      </c>
      <c r="C12238" s="2" t="s">
        <v>6834</v>
      </c>
      <c r="D12238" s="2" t="s">
        <v>6835</v>
      </c>
      <c r="E12238" s="2"/>
      <c r="F12238" s="2"/>
    </row>
    <row r="12239" spans="1:6" s="3" customFormat="1" ht="29.1" customHeight="1" x14ac:dyDescent="0.25">
      <c r="A12239" s="2" t="s">
        <v>24820</v>
      </c>
      <c r="B12239" s="2" t="s">
        <v>24810</v>
      </c>
      <c r="C12239" s="2" t="s">
        <v>6834</v>
      </c>
      <c r="D12239" s="2" t="s">
        <v>6835</v>
      </c>
      <c r="E12239" s="2"/>
      <c r="F12239" s="2"/>
    </row>
    <row r="12240" spans="1:6" s="3" customFormat="1" ht="29.1" customHeight="1" x14ac:dyDescent="0.25">
      <c r="A12240" s="2" t="s">
        <v>24821</v>
      </c>
      <c r="B12240" s="2" t="s">
        <v>24812</v>
      </c>
      <c r="C12240" s="2" t="s">
        <v>6834</v>
      </c>
      <c r="D12240" s="2" t="s">
        <v>6835</v>
      </c>
      <c r="E12240" s="2"/>
      <c r="F12240" s="2"/>
    </row>
    <row r="12241" spans="1:6" s="3" customFormat="1" ht="29.1" customHeight="1" x14ac:dyDescent="0.25">
      <c r="A12241" s="2" t="s">
        <v>24822</v>
      </c>
      <c r="B12241" s="2" t="s">
        <v>24814</v>
      </c>
      <c r="C12241" s="2" t="s">
        <v>6834</v>
      </c>
      <c r="D12241" s="2" t="s">
        <v>6837</v>
      </c>
      <c r="E12241" s="2"/>
      <c r="F12241" s="2"/>
    </row>
    <row r="12242" spans="1:6" s="3" customFormat="1" ht="29.1" customHeight="1" x14ac:dyDescent="0.25">
      <c r="A12242" s="2" t="s">
        <v>24823</v>
      </c>
      <c r="B12242" s="2" t="s">
        <v>24814</v>
      </c>
      <c r="C12242" s="2" t="s">
        <v>6834</v>
      </c>
      <c r="D12242" s="2" t="s">
        <v>6835</v>
      </c>
      <c r="E12242" s="2"/>
      <c r="F12242" s="2"/>
    </row>
    <row r="12243" spans="1:6" s="3" customFormat="1" ht="29.1" customHeight="1" x14ac:dyDescent="0.25">
      <c r="A12243" s="2" t="s">
        <v>24824</v>
      </c>
      <c r="B12243" s="2" t="s">
        <v>24810</v>
      </c>
      <c r="C12243" s="2" t="s">
        <v>6834</v>
      </c>
      <c r="D12243" s="2" t="s">
        <v>6835</v>
      </c>
      <c r="E12243" s="2"/>
      <c r="F12243" s="2"/>
    </row>
    <row r="12244" spans="1:6" s="3" customFormat="1" ht="29.1" customHeight="1" x14ac:dyDescent="0.25">
      <c r="A12244" s="2" t="s">
        <v>24825</v>
      </c>
      <c r="B12244" s="2" t="s">
        <v>24814</v>
      </c>
      <c r="C12244" s="2" t="s">
        <v>6834</v>
      </c>
      <c r="D12244" s="2" t="s">
        <v>6837</v>
      </c>
      <c r="E12244" s="2"/>
      <c r="F12244" s="2"/>
    </row>
    <row r="12245" spans="1:6" s="3" customFormat="1" ht="29.1" customHeight="1" x14ac:dyDescent="0.25">
      <c r="A12245" s="2" t="s">
        <v>24826</v>
      </c>
      <c r="B12245" s="2" t="s">
        <v>24814</v>
      </c>
      <c r="C12245" s="2" t="s">
        <v>6834</v>
      </c>
      <c r="D12245" s="2" t="s">
        <v>6837</v>
      </c>
      <c r="E12245" s="2"/>
      <c r="F12245" s="2"/>
    </row>
    <row r="12246" spans="1:6" s="3" customFormat="1" ht="29.1" customHeight="1" x14ac:dyDescent="0.25">
      <c r="A12246" s="2" t="s">
        <v>24827</v>
      </c>
      <c r="B12246" s="2" t="s">
        <v>24808</v>
      </c>
      <c r="C12246" s="2" t="s">
        <v>6834</v>
      </c>
      <c r="D12246" s="2" t="s">
        <v>6837</v>
      </c>
      <c r="E12246" s="2"/>
      <c r="F12246" s="2"/>
    </row>
    <row r="12247" spans="1:6" s="3" customFormat="1" ht="29.1" customHeight="1" x14ac:dyDescent="0.25">
      <c r="A12247" s="2" t="s">
        <v>24828</v>
      </c>
      <c r="B12247" s="2" t="s">
        <v>24814</v>
      </c>
      <c r="C12247" s="2" t="s">
        <v>6834</v>
      </c>
      <c r="D12247" s="2" t="s">
        <v>6837</v>
      </c>
      <c r="E12247" s="2"/>
      <c r="F12247" s="2"/>
    </row>
    <row r="12248" spans="1:6" s="3" customFormat="1" ht="29.1" customHeight="1" x14ac:dyDescent="0.25">
      <c r="A12248" s="2" t="s">
        <v>24829</v>
      </c>
      <c r="B12248" s="2" t="s">
        <v>24814</v>
      </c>
      <c r="C12248" s="2" t="s">
        <v>6834</v>
      </c>
      <c r="D12248" s="2" t="s">
        <v>6837</v>
      </c>
      <c r="E12248" s="2"/>
      <c r="F12248" s="2"/>
    </row>
    <row r="12249" spans="1:6" s="3" customFormat="1" ht="29.1" customHeight="1" x14ac:dyDescent="0.25">
      <c r="A12249" s="2" t="s">
        <v>24830</v>
      </c>
      <c r="B12249" s="2" t="s">
        <v>24814</v>
      </c>
      <c r="C12249" s="2" t="s">
        <v>6834</v>
      </c>
      <c r="D12249" s="2" t="s">
        <v>6837</v>
      </c>
      <c r="E12249" s="2"/>
      <c r="F12249" s="2"/>
    </row>
    <row r="12250" spans="1:6" s="3" customFormat="1" ht="29.1" customHeight="1" x14ac:dyDescent="0.25">
      <c r="A12250" s="2" t="s">
        <v>24831</v>
      </c>
      <c r="B12250" s="2" t="s">
        <v>6834</v>
      </c>
      <c r="C12250" s="2" t="s">
        <v>6834</v>
      </c>
      <c r="D12250" s="2" t="s">
        <v>6837</v>
      </c>
      <c r="E12250" s="2"/>
      <c r="F12250" s="2"/>
    </row>
    <row r="12251" spans="1:6" s="3" customFormat="1" ht="29.1" customHeight="1" x14ac:dyDescent="0.25">
      <c r="A12251" s="2" t="s">
        <v>24832</v>
      </c>
      <c r="B12251" s="2" t="s">
        <v>11803</v>
      </c>
      <c r="C12251" s="2" t="s">
        <v>6834</v>
      </c>
      <c r="D12251" s="2" t="s">
        <v>6837</v>
      </c>
      <c r="E12251" s="2"/>
      <c r="F12251" s="2"/>
    </row>
    <row r="12252" spans="1:6" s="3" customFormat="1" ht="29.1" customHeight="1" x14ac:dyDescent="0.25">
      <c r="A12252" s="2" t="s">
        <v>24833</v>
      </c>
      <c r="B12252" s="2" t="s">
        <v>6834</v>
      </c>
      <c r="C12252" s="2" t="s">
        <v>6834</v>
      </c>
      <c r="D12252" s="2" t="s">
        <v>6837</v>
      </c>
      <c r="E12252" s="2"/>
      <c r="F12252" s="2"/>
    </row>
    <row r="12253" spans="1:6" s="3" customFormat="1" ht="29.1" customHeight="1" x14ac:dyDescent="0.25">
      <c r="A12253" s="2" t="s">
        <v>24834</v>
      </c>
      <c r="B12253" s="2" t="s">
        <v>6834</v>
      </c>
      <c r="C12253" s="2" t="s">
        <v>6834</v>
      </c>
      <c r="D12253" s="2" t="s">
        <v>6837</v>
      </c>
      <c r="E12253" s="2"/>
      <c r="F12253" s="2"/>
    </row>
    <row r="12254" spans="1:6" s="3" customFormat="1" ht="29.1" customHeight="1" x14ac:dyDescent="0.25">
      <c r="A12254" s="2" t="s">
        <v>24835</v>
      </c>
      <c r="B12254" s="2" t="s">
        <v>6834</v>
      </c>
      <c r="C12254" s="2" t="s">
        <v>6834</v>
      </c>
      <c r="D12254" s="2" t="s">
        <v>6837</v>
      </c>
      <c r="E12254" s="2"/>
      <c r="F12254" s="2"/>
    </row>
    <row r="12255" spans="1:6" s="3" customFormat="1" ht="29.1" customHeight="1" x14ac:dyDescent="0.25">
      <c r="A12255" s="2" t="s">
        <v>24836</v>
      </c>
      <c r="B12255" s="2" t="s">
        <v>11803</v>
      </c>
      <c r="C12255" s="2" t="s">
        <v>6834</v>
      </c>
      <c r="D12255" s="2" t="s">
        <v>6837</v>
      </c>
      <c r="E12255" s="2"/>
      <c r="F12255" s="2"/>
    </row>
    <row r="12256" spans="1:6" s="3" customFormat="1" ht="29.1" customHeight="1" x14ac:dyDescent="0.25">
      <c r="A12256" s="2" t="s">
        <v>24837</v>
      </c>
      <c r="B12256" s="2" t="s">
        <v>6834</v>
      </c>
      <c r="C12256" s="2" t="s">
        <v>6834</v>
      </c>
      <c r="D12256" s="2" t="s">
        <v>6837</v>
      </c>
      <c r="E12256" s="2"/>
      <c r="F12256" s="2"/>
    </row>
    <row r="12257" spans="1:6" s="3" customFormat="1" ht="29.1" customHeight="1" x14ac:dyDescent="0.25">
      <c r="A12257" s="2" t="s">
        <v>24838</v>
      </c>
      <c r="B12257" s="2" t="s">
        <v>6834</v>
      </c>
      <c r="C12257" s="2" t="s">
        <v>6834</v>
      </c>
      <c r="D12257" s="2" t="s">
        <v>6837</v>
      </c>
      <c r="E12257" s="2"/>
      <c r="F12257" s="2"/>
    </row>
    <row r="12258" spans="1:6" s="3" customFormat="1" ht="29.1" customHeight="1" x14ac:dyDescent="0.25">
      <c r="A12258" s="2" t="s">
        <v>24839</v>
      </c>
      <c r="B12258" s="2" t="s">
        <v>6834</v>
      </c>
      <c r="C12258" s="2" t="s">
        <v>6834</v>
      </c>
      <c r="D12258" s="2" t="s">
        <v>6837</v>
      </c>
      <c r="E12258" s="2"/>
      <c r="F12258" s="2"/>
    </row>
    <row r="12259" spans="1:6" s="3" customFormat="1" ht="29.1" customHeight="1" x14ac:dyDescent="0.25">
      <c r="A12259" s="2" t="s">
        <v>24840</v>
      </c>
      <c r="B12259" s="2" t="s">
        <v>6834</v>
      </c>
      <c r="C12259" s="2" t="s">
        <v>6834</v>
      </c>
      <c r="D12259" s="2" t="s">
        <v>6837</v>
      </c>
      <c r="E12259" s="2"/>
      <c r="F12259" s="2"/>
    </row>
    <row r="12260" spans="1:6" s="3" customFormat="1" ht="29.1" customHeight="1" x14ac:dyDescent="0.25">
      <c r="A12260" s="2" t="s">
        <v>24841</v>
      </c>
      <c r="B12260" s="2" t="s">
        <v>6834</v>
      </c>
      <c r="C12260" s="2" t="s">
        <v>6834</v>
      </c>
      <c r="D12260" s="2" t="s">
        <v>6837</v>
      </c>
      <c r="E12260" s="2"/>
      <c r="F12260" s="2"/>
    </row>
    <row r="12261" spans="1:6" s="3" customFormat="1" ht="29.1" customHeight="1" x14ac:dyDescent="0.25">
      <c r="A12261" s="2" t="s">
        <v>24842</v>
      </c>
      <c r="B12261" s="2" t="s">
        <v>6834</v>
      </c>
      <c r="C12261" s="2" t="s">
        <v>6834</v>
      </c>
      <c r="D12261" s="2" t="s">
        <v>6837</v>
      </c>
      <c r="E12261" s="2"/>
      <c r="F12261" s="2"/>
    </row>
    <row r="12262" spans="1:6" s="3" customFormat="1" ht="29.1" customHeight="1" x14ac:dyDescent="0.25">
      <c r="A12262" s="2" t="s">
        <v>24843</v>
      </c>
      <c r="B12262" s="2" t="s">
        <v>11803</v>
      </c>
      <c r="C12262" s="2" t="s">
        <v>6834</v>
      </c>
      <c r="D12262" s="2" t="s">
        <v>6837</v>
      </c>
      <c r="E12262" s="2" t="str">
        <f>"9789280525441"</f>
        <v>9789280525441</v>
      </c>
      <c r="F12262" s="2"/>
    </row>
    <row r="12263" spans="1:6" s="3" customFormat="1" ht="29.1" customHeight="1" x14ac:dyDescent="0.25">
      <c r="A12263" s="2" t="s">
        <v>24844</v>
      </c>
      <c r="B12263" s="2" t="s">
        <v>11828</v>
      </c>
      <c r="C12263" s="2" t="s">
        <v>6834</v>
      </c>
      <c r="D12263" s="2" t="s">
        <v>9652</v>
      </c>
      <c r="E12263" s="2" t="str">
        <f>"9789280525434"</f>
        <v>9789280525434</v>
      </c>
      <c r="F12263" s="2"/>
    </row>
    <row r="12264" spans="1:6" s="3" customFormat="1" ht="29.1" customHeight="1" x14ac:dyDescent="0.25">
      <c r="A12264" s="2" t="s">
        <v>24845</v>
      </c>
      <c r="B12264" s="2" t="s">
        <v>6834</v>
      </c>
      <c r="C12264" s="2" t="s">
        <v>6834</v>
      </c>
      <c r="D12264" s="2" t="s">
        <v>6837</v>
      </c>
      <c r="E12264" s="2" t="str">
        <f>"9789280522655"</f>
        <v>9789280522655</v>
      </c>
      <c r="F12264" s="2"/>
    </row>
    <row r="12265" spans="1:6" s="3" customFormat="1" ht="29.1" customHeight="1" x14ac:dyDescent="0.25">
      <c r="A12265" s="2" t="s">
        <v>24846</v>
      </c>
      <c r="B12265" s="2" t="s">
        <v>11803</v>
      </c>
      <c r="C12265" s="2" t="s">
        <v>6834</v>
      </c>
      <c r="D12265" s="2" t="s">
        <v>9652</v>
      </c>
      <c r="E12265" s="2"/>
      <c r="F12265" s="2"/>
    </row>
    <row r="12266" spans="1:6" s="3" customFormat="1" ht="29.1" customHeight="1" x14ac:dyDescent="0.25">
      <c r="A12266" s="2" t="s">
        <v>24847</v>
      </c>
      <c r="B12266" s="2" t="s">
        <v>11828</v>
      </c>
      <c r="C12266" s="2" t="s">
        <v>6834</v>
      </c>
      <c r="D12266" s="2" t="s">
        <v>9652</v>
      </c>
      <c r="E12266" s="2"/>
      <c r="F12266" s="2"/>
    </row>
    <row r="12267" spans="1:6" s="3" customFormat="1" ht="29.1" customHeight="1" x14ac:dyDescent="0.25">
      <c r="A12267" s="2" t="s">
        <v>24848</v>
      </c>
      <c r="B12267" s="2" t="s">
        <v>6834</v>
      </c>
      <c r="C12267" s="2" t="s">
        <v>6834</v>
      </c>
      <c r="D12267" s="2" t="s">
        <v>9652</v>
      </c>
      <c r="E12267" s="2"/>
      <c r="F12267" s="2"/>
    </row>
    <row r="12268" spans="1:6" s="3" customFormat="1" ht="29.1" customHeight="1" x14ac:dyDescent="0.25">
      <c r="A12268" s="2" t="s">
        <v>24849</v>
      </c>
      <c r="B12268" s="2" t="s">
        <v>11803</v>
      </c>
      <c r="C12268" s="2" t="s">
        <v>6834</v>
      </c>
      <c r="D12268" s="2" t="s">
        <v>9652</v>
      </c>
      <c r="E12268" s="2"/>
      <c r="F12268" s="2" t="str">
        <f>"9789280532524"</f>
        <v>9789280532524</v>
      </c>
    </row>
    <row r="12269" spans="1:6" s="3" customFormat="1" ht="29.1" customHeight="1" x14ac:dyDescent="0.25">
      <c r="A12269" s="2" t="s">
        <v>24850</v>
      </c>
      <c r="B12269" s="2" t="s">
        <v>11828</v>
      </c>
      <c r="C12269" s="2" t="s">
        <v>6834</v>
      </c>
      <c r="D12269" s="2" t="s">
        <v>9652</v>
      </c>
      <c r="E12269" s="2"/>
      <c r="F12269" s="2" t="str">
        <f>"9789280532517"</f>
        <v>9789280532517</v>
      </c>
    </row>
    <row r="12270" spans="1:6" s="3" customFormat="1" ht="29.1" customHeight="1" x14ac:dyDescent="0.25">
      <c r="A12270" s="2" t="s">
        <v>24851</v>
      </c>
      <c r="B12270" s="2" t="s">
        <v>6834</v>
      </c>
      <c r="C12270" s="2" t="s">
        <v>6834</v>
      </c>
      <c r="D12270" s="2" t="s">
        <v>9652</v>
      </c>
      <c r="E12270" s="2"/>
      <c r="F12270" s="2" t="str">
        <f>"9789280532500"</f>
        <v>9789280532500</v>
      </c>
    </row>
    <row r="12271" spans="1:6" s="3" customFormat="1" ht="29.1" customHeight="1" x14ac:dyDescent="0.25">
      <c r="A12271" s="2" t="s">
        <v>24852</v>
      </c>
      <c r="B12271" s="2" t="s">
        <v>11803</v>
      </c>
      <c r="C12271" s="2" t="s">
        <v>6834</v>
      </c>
      <c r="D12271" s="2" t="s">
        <v>9652</v>
      </c>
      <c r="E12271" s="2"/>
      <c r="F12271" s="2"/>
    </row>
    <row r="12272" spans="1:6" s="3" customFormat="1" ht="29.1" customHeight="1" x14ac:dyDescent="0.25">
      <c r="A12272" s="2" t="s">
        <v>24853</v>
      </c>
      <c r="B12272" s="2" t="s">
        <v>11828</v>
      </c>
      <c r="C12272" s="2" t="s">
        <v>6834</v>
      </c>
      <c r="D12272" s="2" t="s">
        <v>9652</v>
      </c>
      <c r="E12272" s="2"/>
      <c r="F12272" s="2"/>
    </row>
    <row r="12273" spans="1:6" s="3" customFormat="1" ht="29.1" customHeight="1" x14ac:dyDescent="0.25">
      <c r="A12273" s="2" t="s">
        <v>24854</v>
      </c>
      <c r="B12273" s="2" t="s">
        <v>6834</v>
      </c>
      <c r="C12273" s="2" t="s">
        <v>6834</v>
      </c>
      <c r="D12273" s="2" t="s">
        <v>9652</v>
      </c>
      <c r="E12273" s="2"/>
      <c r="F12273" s="2"/>
    </row>
    <row r="12274" spans="1:6" s="3" customFormat="1" ht="29.1" customHeight="1" x14ac:dyDescent="0.25">
      <c r="A12274" s="2" t="s">
        <v>24855</v>
      </c>
      <c r="B12274" s="2" t="s">
        <v>6834</v>
      </c>
      <c r="C12274" s="2" t="s">
        <v>6834</v>
      </c>
      <c r="D12274" s="2" t="s">
        <v>9652</v>
      </c>
      <c r="E12274" s="2"/>
      <c r="F12274" s="2"/>
    </row>
    <row r="12275" spans="1:6" s="3" customFormat="1" ht="29.1" customHeight="1" x14ac:dyDescent="0.25">
      <c r="A12275" s="2" t="s">
        <v>24856</v>
      </c>
      <c r="B12275" s="2" t="s">
        <v>6834</v>
      </c>
      <c r="C12275" s="2" t="s">
        <v>6834</v>
      </c>
      <c r="D12275" s="2" t="s">
        <v>7978</v>
      </c>
      <c r="E12275" s="2"/>
      <c r="F12275" s="2"/>
    </row>
    <row r="12276" spans="1:6" s="3" customFormat="1" ht="29.1" customHeight="1" x14ac:dyDescent="0.25">
      <c r="A12276" s="2" t="s">
        <v>24857</v>
      </c>
      <c r="B12276" s="2" t="s">
        <v>6834</v>
      </c>
      <c r="C12276" s="2" t="s">
        <v>6834</v>
      </c>
      <c r="D12276" s="2" t="s">
        <v>9652</v>
      </c>
      <c r="E12276" s="2"/>
      <c r="F12276" s="2"/>
    </row>
    <row r="12277" spans="1:6" s="3" customFormat="1" ht="29.1" customHeight="1" x14ac:dyDescent="0.25">
      <c r="A12277" s="2" t="s">
        <v>24858</v>
      </c>
      <c r="B12277" s="2" t="s">
        <v>6834</v>
      </c>
      <c r="C12277" s="2" t="s">
        <v>6834</v>
      </c>
      <c r="D12277" s="2" t="s">
        <v>6835</v>
      </c>
      <c r="E12277" s="2"/>
      <c r="F12277" s="2" t="str">
        <f>"9789280528466"</f>
        <v>9789280528466</v>
      </c>
    </row>
    <row r="12278" spans="1:6" s="3" customFormat="1" ht="29.1" customHeight="1" x14ac:dyDescent="0.25">
      <c r="A12278" s="2" t="s">
        <v>24859</v>
      </c>
      <c r="B12278" s="2" t="s">
        <v>24860</v>
      </c>
      <c r="C12278" s="2" t="s">
        <v>6834</v>
      </c>
      <c r="D12278" s="2" t="s">
        <v>6835</v>
      </c>
      <c r="E12278" s="2"/>
      <c r="F12278" s="2" t="str">
        <f>"9789280531435"</f>
        <v>9789280531435</v>
      </c>
    </row>
    <row r="12279" spans="1:6" s="3" customFormat="1" ht="29.1" customHeight="1" x14ac:dyDescent="0.25">
      <c r="A12279" s="2" t="s">
        <v>24861</v>
      </c>
      <c r="B12279" s="2" t="s">
        <v>6834</v>
      </c>
      <c r="C12279" s="2" t="s">
        <v>6834</v>
      </c>
      <c r="D12279" s="2" t="s">
        <v>6835</v>
      </c>
      <c r="E12279" s="2"/>
      <c r="F12279" s="2" t="str">
        <f>"9789280531428"</f>
        <v>9789280531428</v>
      </c>
    </row>
    <row r="12280" spans="1:6" s="3" customFormat="1" ht="29.1" customHeight="1" x14ac:dyDescent="0.25">
      <c r="A12280" s="2" t="s">
        <v>24862</v>
      </c>
      <c r="B12280" s="2" t="s">
        <v>24863</v>
      </c>
      <c r="C12280" s="2" t="s">
        <v>6834</v>
      </c>
      <c r="D12280" s="2" t="s">
        <v>6835</v>
      </c>
      <c r="E12280" s="2"/>
      <c r="F12280" s="2" t="str">
        <f>"9789280531893"</f>
        <v>9789280531893</v>
      </c>
    </row>
    <row r="12281" spans="1:6" s="3" customFormat="1" ht="29.1" customHeight="1" x14ac:dyDescent="0.25">
      <c r="A12281" s="2" t="s">
        <v>24864</v>
      </c>
      <c r="B12281" s="2" t="s">
        <v>6834</v>
      </c>
      <c r="C12281" s="2" t="s">
        <v>6834</v>
      </c>
      <c r="D12281" s="2" t="s">
        <v>984</v>
      </c>
      <c r="E12281" s="2"/>
      <c r="F12281" s="2" t="str">
        <f>"9789280530391"</f>
        <v>9789280530391</v>
      </c>
    </row>
    <row r="12282" spans="1:6" s="3" customFormat="1" ht="29.1" customHeight="1" x14ac:dyDescent="0.25">
      <c r="A12282" s="2" t="s">
        <v>24865</v>
      </c>
      <c r="B12282" s="2" t="s">
        <v>6834</v>
      </c>
      <c r="C12282" s="2" t="s">
        <v>6834</v>
      </c>
      <c r="D12282" s="2" t="s">
        <v>6835</v>
      </c>
      <c r="E12282" s="2"/>
      <c r="F12282" s="2" t="str">
        <f>"9789280531947"</f>
        <v>9789280531947</v>
      </c>
    </row>
    <row r="12283" spans="1:6" s="3" customFormat="1" ht="29.1" customHeight="1" x14ac:dyDescent="0.25">
      <c r="A12283" s="2" t="s">
        <v>24866</v>
      </c>
      <c r="B12283" s="2" t="s">
        <v>11803</v>
      </c>
      <c r="C12283" s="2" t="s">
        <v>6834</v>
      </c>
      <c r="D12283" s="2" t="s">
        <v>6835</v>
      </c>
      <c r="E12283" s="2"/>
      <c r="F12283" s="2" t="str">
        <f>"9789280531954"</f>
        <v>9789280531954</v>
      </c>
    </row>
    <row r="12284" spans="1:6" s="3" customFormat="1" ht="29.1" customHeight="1" x14ac:dyDescent="0.25">
      <c r="A12284" s="2" t="s">
        <v>24867</v>
      </c>
      <c r="B12284" s="2" t="s">
        <v>6834</v>
      </c>
      <c r="C12284" s="2" t="s">
        <v>6834</v>
      </c>
      <c r="D12284" s="2" t="s">
        <v>984</v>
      </c>
      <c r="E12284" s="2"/>
      <c r="F12284" s="2" t="str">
        <f>"9789280530407"</f>
        <v>9789280530407</v>
      </c>
    </row>
    <row r="12285" spans="1:6" s="3" customFormat="1" ht="29.1" customHeight="1" x14ac:dyDescent="0.25">
      <c r="A12285" s="2" t="s">
        <v>24868</v>
      </c>
      <c r="B12285" s="2" t="s">
        <v>6834</v>
      </c>
      <c r="C12285" s="2" t="s">
        <v>6834</v>
      </c>
      <c r="D12285" s="2" t="s">
        <v>6837</v>
      </c>
      <c r="E12285" s="2"/>
      <c r="F12285" s="2"/>
    </row>
    <row r="12286" spans="1:6" s="3" customFormat="1" ht="29.1" customHeight="1" x14ac:dyDescent="0.25">
      <c r="A12286" s="2" t="s">
        <v>24869</v>
      </c>
      <c r="B12286" s="2" t="s">
        <v>11805</v>
      </c>
      <c r="C12286" s="2" t="s">
        <v>6834</v>
      </c>
      <c r="D12286" s="2" t="s">
        <v>6837</v>
      </c>
      <c r="E12286" s="2"/>
      <c r="F12286" s="2"/>
    </row>
    <row r="12287" spans="1:6" s="3" customFormat="1" ht="29.1" customHeight="1" x14ac:dyDescent="0.25">
      <c r="A12287" s="2" t="s">
        <v>24870</v>
      </c>
      <c r="B12287" s="2" t="s">
        <v>11803</v>
      </c>
      <c r="C12287" s="2" t="s">
        <v>6834</v>
      </c>
      <c r="D12287" s="2" t="s">
        <v>6837</v>
      </c>
      <c r="E12287" s="2"/>
      <c r="F12287" s="2"/>
    </row>
    <row r="12288" spans="1:6" s="3" customFormat="1" ht="29.1" customHeight="1" x14ac:dyDescent="0.25">
      <c r="A12288" s="2" t="s">
        <v>24871</v>
      </c>
      <c r="B12288" s="2" t="s">
        <v>11828</v>
      </c>
      <c r="C12288" s="2" t="s">
        <v>6834</v>
      </c>
      <c r="D12288" s="2" t="s">
        <v>6837</v>
      </c>
      <c r="E12288" s="2"/>
      <c r="F12288" s="2"/>
    </row>
    <row r="12289" spans="1:6" s="3" customFormat="1" ht="29.1" customHeight="1" x14ac:dyDescent="0.25">
      <c r="A12289" s="2" t="s">
        <v>24872</v>
      </c>
      <c r="B12289" s="2" t="s">
        <v>24873</v>
      </c>
      <c r="C12289" s="2" t="s">
        <v>6834</v>
      </c>
      <c r="D12289" s="2" t="s">
        <v>52</v>
      </c>
      <c r="E12289" s="2"/>
      <c r="F12289" s="2"/>
    </row>
    <row r="12290" spans="1:6" s="3" customFormat="1" ht="29.1" customHeight="1" x14ac:dyDescent="0.25">
      <c r="A12290" s="2" t="s">
        <v>24874</v>
      </c>
      <c r="B12290" s="2" t="s">
        <v>6834</v>
      </c>
      <c r="C12290" s="2" t="s">
        <v>6834</v>
      </c>
      <c r="D12290" s="2" t="s">
        <v>52</v>
      </c>
      <c r="E12290" s="2" t="str">
        <f>"9789280530070"</f>
        <v>9789280530070</v>
      </c>
      <c r="F12290" s="2"/>
    </row>
    <row r="12291" spans="1:6" s="3" customFormat="1" ht="29.1" customHeight="1" x14ac:dyDescent="0.25">
      <c r="A12291" s="2" t="s">
        <v>24875</v>
      </c>
      <c r="B12291" s="2" t="s">
        <v>24876</v>
      </c>
      <c r="C12291" s="2" t="s">
        <v>6834</v>
      </c>
      <c r="D12291" s="2" t="s">
        <v>6835</v>
      </c>
      <c r="E12291" s="2"/>
      <c r="F12291" s="2"/>
    </row>
    <row r="12292" spans="1:6" s="3" customFormat="1" ht="29.1" customHeight="1" x14ac:dyDescent="0.25">
      <c r="A12292" s="2" t="s">
        <v>24877</v>
      </c>
      <c r="B12292" s="2" t="s">
        <v>24878</v>
      </c>
      <c r="C12292" s="2" t="s">
        <v>6834</v>
      </c>
      <c r="D12292" s="2" t="s">
        <v>6835</v>
      </c>
      <c r="E12292" s="2"/>
      <c r="F12292" s="2"/>
    </row>
    <row r="12293" spans="1:6" s="3" customFormat="1" ht="29.1" customHeight="1" x14ac:dyDescent="0.25">
      <c r="A12293" s="2" t="s">
        <v>24879</v>
      </c>
      <c r="B12293" s="2" t="s">
        <v>11803</v>
      </c>
      <c r="C12293" s="2" t="s">
        <v>6834</v>
      </c>
      <c r="D12293" s="2" t="s">
        <v>6835</v>
      </c>
      <c r="E12293" s="2"/>
      <c r="F12293" s="2"/>
    </row>
    <row r="12294" spans="1:6" s="3" customFormat="1" ht="29.1" customHeight="1" x14ac:dyDescent="0.25">
      <c r="A12294" s="2" t="s">
        <v>24880</v>
      </c>
      <c r="B12294" s="2" t="s">
        <v>11828</v>
      </c>
      <c r="C12294" s="2" t="s">
        <v>6834</v>
      </c>
      <c r="D12294" s="2" t="s">
        <v>6835</v>
      </c>
      <c r="E12294" s="2"/>
      <c r="F12294" s="2"/>
    </row>
    <row r="12295" spans="1:6" s="3" customFormat="1" ht="29.1" customHeight="1" x14ac:dyDescent="0.25">
      <c r="A12295" s="2" t="s">
        <v>24881</v>
      </c>
      <c r="B12295" s="2" t="s">
        <v>6834</v>
      </c>
      <c r="C12295" s="2" t="s">
        <v>6834</v>
      </c>
      <c r="D12295" s="2" t="s">
        <v>6835</v>
      </c>
      <c r="E12295" s="2"/>
      <c r="F12295" s="2"/>
    </row>
    <row r="12296" spans="1:6" s="3" customFormat="1" ht="29.1" customHeight="1" x14ac:dyDescent="0.25">
      <c r="A12296" s="2" t="s">
        <v>24882</v>
      </c>
      <c r="B12296" s="2" t="s">
        <v>6834</v>
      </c>
      <c r="C12296" s="2" t="s">
        <v>6834</v>
      </c>
      <c r="D12296" s="2" t="s">
        <v>6835</v>
      </c>
      <c r="E12296" s="2" t="str">
        <f>"9789280532579"</f>
        <v>9789280532579</v>
      </c>
      <c r="F12296" s="2"/>
    </row>
    <row r="12297" spans="1:6" s="3" customFormat="1" ht="29.1" customHeight="1" x14ac:dyDescent="0.25">
      <c r="A12297" s="2" t="s">
        <v>24883</v>
      </c>
      <c r="B12297" s="2" t="s">
        <v>6834</v>
      </c>
      <c r="C12297" s="2" t="s">
        <v>6834</v>
      </c>
      <c r="D12297" s="2" t="s">
        <v>6835</v>
      </c>
      <c r="E12297" s="2"/>
      <c r="F12297" s="2"/>
    </row>
    <row r="12298" spans="1:6" s="3" customFormat="1" ht="29.1" customHeight="1" x14ac:dyDescent="0.25">
      <c r="A12298" s="2" t="s">
        <v>24884</v>
      </c>
      <c r="B12298" s="2" t="s">
        <v>6834</v>
      </c>
      <c r="C12298" s="2" t="s">
        <v>6834</v>
      </c>
      <c r="D12298" s="2" t="s">
        <v>6835</v>
      </c>
      <c r="E12298" s="2"/>
      <c r="F12298" s="2"/>
    </row>
    <row r="12299" spans="1:6" s="3" customFormat="1" ht="29.1" customHeight="1" x14ac:dyDescent="0.25">
      <c r="A12299" s="2" t="s">
        <v>24885</v>
      </c>
      <c r="B12299" s="2" t="s">
        <v>6834</v>
      </c>
      <c r="C12299" s="2" t="s">
        <v>6834</v>
      </c>
      <c r="D12299" s="2" t="s">
        <v>6835</v>
      </c>
      <c r="E12299" s="2"/>
      <c r="F12299" s="2"/>
    </row>
    <row r="12300" spans="1:6" s="3" customFormat="1" ht="29.1" customHeight="1" x14ac:dyDescent="0.25">
      <c r="A12300" s="2" t="s">
        <v>24886</v>
      </c>
      <c r="B12300" s="2" t="s">
        <v>6834</v>
      </c>
      <c r="C12300" s="2" t="s">
        <v>6834</v>
      </c>
      <c r="D12300" s="2" t="s">
        <v>6835</v>
      </c>
      <c r="E12300" s="2" t="str">
        <f>"9789280532647"</f>
        <v>9789280532647</v>
      </c>
      <c r="F12300" s="2"/>
    </row>
    <row r="12301" spans="1:6" s="3" customFormat="1" ht="29.1" customHeight="1" x14ac:dyDescent="0.25">
      <c r="A12301" s="2" t="s">
        <v>24887</v>
      </c>
      <c r="B12301" s="2" t="s">
        <v>6834</v>
      </c>
      <c r="C12301" s="2" t="s">
        <v>6834</v>
      </c>
      <c r="D12301" s="2" t="s">
        <v>6835</v>
      </c>
      <c r="E12301" s="2" t="str">
        <f>"9789280533590"</f>
        <v>9789280533590</v>
      </c>
      <c r="F12301" s="2" t="str">
        <f>"9789280533606"</f>
        <v>9789280533606</v>
      </c>
    </row>
    <row r="12302" spans="1:6" s="3" customFormat="1" ht="29.1" customHeight="1" x14ac:dyDescent="0.25">
      <c r="A12302" s="2" t="s">
        <v>24888</v>
      </c>
      <c r="B12302" s="2" t="s">
        <v>6834</v>
      </c>
      <c r="C12302" s="2" t="s">
        <v>6834</v>
      </c>
      <c r="D12302" s="2" t="s">
        <v>6835</v>
      </c>
      <c r="E12302" s="2" t="str">
        <f>"9789280534160"</f>
        <v>9789280534160</v>
      </c>
      <c r="F12302" s="2" t="str">
        <f>"9789280534177"</f>
        <v>9789280534177</v>
      </c>
    </row>
    <row r="12303" spans="1:6" s="3" customFormat="1" ht="29.1" customHeight="1" x14ac:dyDescent="0.25">
      <c r="A12303" s="2" t="s">
        <v>24889</v>
      </c>
      <c r="B12303" s="2" t="s">
        <v>11826</v>
      </c>
      <c r="C12303" s="2" t="s">
        <v>6834</v>
      </c>
      <c r="D12303" s="2" t="s">
        <v>6835</v>
      </c>
      <c r="E12303" s="2"/>
      <c r="F12303" s="2"/>
    </row>
    <row r="12304" spans="1:6" s="3" customFormat="1" ht="29.1" customHeight="1" x14ac:dyDescent="0.25">
      <c r="A12304" s="2" t="s">
        <v>24890</v>
      </c>
      <c r="B12304" s="2" t="s">
        <v>11800</v>
      </c>
      <c r="C12304" s="2" t="s">
        <v>6834</v>
      </c>
      <c r="D12304" s="2" t="s">
        <v>6835</v>
      </c>
      <c r="E12304" s="2"/>
      <c r="F12304" s="2"/>
    </row>
    <row r="12305" spans="1:6" s="3" customFormat="1" ht="29.1" customHeight="1" x14ac:dyDescent="0.25">
      <c r="A12305" s="2" t="s">
        <v>24891</v>
      </c>
      <c r="B12305" s="2" t="s">
        <v>11805</v>
      </c>
      <c r="C12305" s="2" t="s">
        <v>6834</v>
      </c>
      <c r="D12305" s="2" t="s">
        <v>6835</v>
      </c>
      <c r="E12305" s="2"/>
      <c r="F12305" s="2"/>
    </row>
    <row r="12306" spans="1:6" s="3" customFormat="1" ht="29.1" customHeight="1" x14ac:dyDescent="0.25">
      <c r="A12306" s="2" t="s">
        <v>24892</v>
      </c>
      <c r="B12306" s="2" t="s">
        <v>11803</v>
      </c>
      <c r="C12306" s="2" t="s">
        <v>6834</v>
      </c>
      <c r="D12306" s="2" t="s">
        <v>6835</v>
      </c>
      <c r="E12306" s="2"/>
      <c r="F12306" s="2"/>
    </row>
    <row r="12307" spans="1:6" s="3" customFormat="1" ht="29.1" customHeight="1" x14ac:dyDescent="0.25">
      <c r="A12307" s="2" t="s">
        <v>24893</v>
      </c>
      <c r="B12307" s="2" t="s">
        <v>11828</v>
      </c>
      <c r="C12307" s="2" t="s">
        <v>6834</v>
      </c>
      <c r="D12307" s="2" t="s">
        <v>6835</v>
      </c>
      <c r="E12307" s="2"/>
      <c r="F12307" s="2"/>
    </row>
    <row r="12308" spans="1:6" s="3" customFormat="1" ht="29.1" customHeight="1" x14ac:dyDescent="0.25">
      <c r="A12308" s="2" t="s">
        <v>24894</v>
      </c>
      <c r="B12308" s="2" t="s">
        <v>6834</v>
      </c>
      <c r="C12308" s="2" t="s">
        <v>6834</v>
      </c>
      <c r="D12308" s="2" t="s">
        <v>6835</v>
      </c>
      <c r="E12308" s="2"/>
      <c r="F12308" s="2"/>
    </row>
    <row r="12309" spans="1:6" s="3" customFormat="1" ht="29.1" customHeight="1" x14ac:dyDescent="0.25">
      <c r="A12309" s="2" t="s">
        <v>24895</v>
      </c>
      <c r="B12309" s="2" t="s">
        <v>6834</v>
      </c>
      <c r="C12309" s="2" t="s">
        <v>6834</v>
      </c>
      <c r="D12309" s="2" t="s">
        <v>6835</v>
      </c>
      <c r="E12309" s="2"/>
      <c r="F12309" s="2"/>
    </row>
    <row r="12310" spans="1:6" s="3" customFormat="1" ht="29.1" customHeight="1" x14ac:dyDescent="0.25">
      <c r="A12310" s="2" t="s">
        <v>24896</v>
      </c>
      <c r="B12310" s="2" t="s">
        <v>6834</v>
      </c>
      <c r="C12310" s="2" t="s">
        <v>6834</v>
      </c>
      <c r="D12310" s="2" t="s">
        <v>6835</v>
      </c>
      <c r="E12310" s="2" t="str">
        <f>"9789280535143"</f>
        <v>9789280535143</v>
      </c>
      <c r="F12310" s="2" t="str">
        <f>"9789280535136"</f>
        <v>9789280535136</v>
      </c>
    </row>
    <row r="12311" spans="1:6" s="3" customFormat="1" ht="29.1" customHeight="1" x14ac:dyDescent="0.25">
      <c r="A12311" s="2" t="s">
        <v>24897</v>
      </c>
      <c r="B12311" s="2" t="s">
        <v>6834</v>
      </c>
      <c r="C12311" s="2" t="s">
        <v>6834</v>
      </c>
      <c r="D12311" s="2" t="s">
        <v>6837</v>
      </c>
      <c r="E12311" s="2" t="str">
        <f>"9789280534399"</f>
        <v>9789280534399</v>
      </c>
      <c r="F12311" s="2" t="str">
        <f>"9789280534382"</f>
        <v>9789280534382</v>
      </c>
    </row>
    <row r="12312" spans="1:6" s="3" customFormat="1" ht="29.1" customHeight="1" x14ac:dyDescent="0.25">
      <c r="A12312" s="2" t="s">
        <v>24898</v>
      </c>
      <c r="B12312" s="2" t="s">
        <v>24899</v>
      </c>
      <c r="C12312" s="2" t="s">
        <v>6834</v>
      </c>
      <c r="D12312" s="2" t="s">
        <v>6837</v>
      </c>
      <c r="E12312" s="2"/>
      <c r="F12312" s="2"/>
    </row>
    <row r="12313" spans="1:6" s="3" customFormat="1" ht="29.1" customHeight="1" x14ac:dyDescent="0.25">
      <c r="A12313" s="2" t="s">
        <v>24900</v>
      </c>
      <c r="B12313" s="2" t="s">
        <v>6834</v>
      </c>
      <c r="C12313" s="2" t="s">
        <v>6834</v>
      </c>
      <c r="D12313" s="2" t="s">
        <v>6835</v>
      </c>
      <c r="E12313" s="2"/>
      <c r="F12313" s="2"/>
    </row>
    <row r="12314" spans="1:6" s="3" customFormat="1" ht="29.1" customHeight="1" x14ac:dyDescent="0.25">
      <c r="A12314" s="2" t="s">
        <v>24901</v>
      </c>
      <c r="B12314" s="2" t="s">
        <v>6834</v>
      </c>
      <c r="C12314" s="2" t="s">
        <v>6834</v>
      </c>
      <c r="D12314" s="2" t="s">
        <v>6835</v>
      </c>
      <c r="E12314" s="2"/>
      <c r="F12314" s="2"/>
    </row>
    <row r="12315" spans="1:6" s="3" customFormat="1" ht="29.1" customHeight="1" x14ac:dyDescent="0.25">
      <c r="A12315" s="2" t="s">
        <v>24902</v>
      </c>
      <c r="B12315" s="2" t="s">
        <v>6834</v>
      </c>
      <c r="C12315" s="2" t="s">
        <v>6834</v>
      </c>
      <c r="D12315" s="2" t="s">
        <v>6837</v>
      </c>
      <c r="E12315" s="2" t="str">
        <f>"9789280535297"</f>
        <v>9789280535297</v>
      </c>
      <c r="F12315" s="2" t="str">
        <f>"9789280535303"</f>
        <v>9789280535303</v>
      </c>
    </row>
    <row r="12316" spans="1:6" s="3" customFormat="1" ht="29.1" customHeight="1" x14ac:dyDescent="0.25">
      <c r="A12316" s="2" t="s">
        <v>24903</v>
      </c>
      <c r="B12316" s="2" t="s">
        <v>24904</v>
      </c>
      <c r="C12316" s="2" t="s">
        <v>6834</v>
      </c>
      <c r="D12316" s="2" t="s">
        <v>6837</v>
      </c>
      <c r="E12316" s="2"/>
      <c r="F12316" s="2"/>
    </row>
    <row r="12317" spans="1:6" s="3" customFormat="1" ht="29.1" customHeight="1" x14ac:dyDescent="0.25">
      <c r="A12317" s="2" t="s">
        <v>24905</v>
      </c>
      <c r="B12317" s="2" t="s">
        <v>24906</v>
      </c>
      <c r="C12317" s="2" t="s">
        <v>6834</v>
      </c>
      <c r="D12317" s="2" t="s">
        <v>6837</v>
      </c>
      <c r="E12317" s="2"/>
      <c r="F12317" s="2" t="str">
        <f>"9789280531022"</f>
        <v>9789280531022</v>
      </c>
    </row>
    <row r="12318" spans="1:6" s="3" customFormat="1" ht="29.1" customHeight="1" x14ac:dyDescent="0.25">
      <c r="A12318" s="2" t="s">
        <v>24907</v>
      </c>
      <c r="B12318" s="2" t="s">
        <v>24908</v>
      </c>
      <c r="C12318" s="2" t="s">
        <v>6834</v>
      </c>
      <c r="D12318" s="2" t="s">
        <v>178</v>
      </c>
      <c r="E12318" s="2"/>
      <c r="F12318" s="2" t="str">
        <f>"9789280532593"</f>
        <v>9789280532593</v>
      </c>
    </row>
    <row r="12319" spans="1:6" s="3" customFormat="1" ht="29.1" customHeight="1" x14ac:dyDescent="0.25">
      <c r="A12319" s="2" t="s">
        <v>24909</v>
      </c>
      <c r="B12319" s="2" t="s">
        <v>24910</v>
      </c>
      <c r="C12319" s="2" t="s">
        <v>6834</v>
      </c>
      <c r="D12319" s="2" t="s">
        <v>178</v>
      </c>
      <c r="E12319" s="2"/>
      <c r="F12319" s="2" t="str">
        <f>"9789280532586"</f>
        <v>9789280532586</v>
      </c>
    </row>
    <row r="12320" spans="1:6" s="3" customFormat="1" ht="29.1" customHeight="1" x14ac:dyDescent="0.25">
      <c r="A12320" s="2" t="s">
        <v>24911</v>
      </c>
      <c r="B12320" s="2" t="s">
        <v>24912</v>
      </c>
      <c r="C12320" s="2" t="s">
        <v>6834</v>
      </c>
      <c r="D12320" s="2" t="s">
        <v>178</v>
      </c>
      <c r="E12320" s="2"/>
      <c r="F12320" s="2" t="str">
        <f>"9789280531992"</f>
        <v>9789280531992</v>
      </c>
    </row>
    <row r="12321" spans="1:6" s="3" customFormat="1" ht="29.1" customHeight="1" x14ac:dyDescent="0.25">
      <c r="A12321" s="2" t="s">
        <v>24913</v>
      </c>
      <c r="B12321" s="2" t="s">
        <v>6834</v>
      </c>
      <c r="C12321" s="2" t="s">
        <v>6834</v>
      </c>
      <c r="D12321" s="2" t="s">
        <v>8871</v>
      </c>
      <c r="E12321" s="2"/>
      <c r="F12321" s="2"/>
    </row>
    <row r="12322" spans="1:6" s="3" customFormat="1" ht="29.1" customHeight="1" x14ac:dyDescent="0.25">
      <c r="A12322" s="2" t="s">
        <v>24914</v>
      </c>
      <c r="B12322" s="2" t="s">
        <v>6834</v>
      </c>
      <c r="C12322" s="2" t="s">
        <v>6834</v>
      </c>
      <c r="D12322" s="2" t="s">
        <v>8553</v>
      </c>
      <c r="E12322" s="2"/>
      <c r="F12322" s="2"/>
    </row>
    <row r="12323" spans="1:6" s="3" customFormat="1" ht="29.1" customHeight="1" x14ac:dyDescent="0.25">
      <c r="A12323" s="2" t="s">
        <v>24915</v>
      </c>
      <c r="B12323" s="2" t="s">
        <v>6834</v>
      </c>
      <c r="C12323" s="2" t="s">
        <v>6834</v>
      </c>
      <c r="D12323" s="2" t="s">
        <v>8553</v>
      </c>
      <c r="E12323" s="2"/>
      <c r="F12323" s="2"/>
    </row>
    <row r="12324" spans="1:6" s="3" customFormat="1" ht="29.1" customHeight="1" x14ac:dyDescent="0.25">
      <c r="A12324" s="2" t="s">
        <v>24916</v>
      </c>
      <c r="B12324" s="2" t="s">
        <v>6834</v>
      </c>
      <c r="C12324" s="2" t="s">
        <v>6834</v>
      </c>
      <c r="D12324" s="2" t="s">
        <v>178</v>
      </c>
      <c r="E12324" s="2"/>
      <c r="F12324" s="2"/>
    </row>
    <row r="12325" spans="1:6" s="3" customFormat="1" ht="29.1" customHeight="1" x14ac:dyDescent="0.25">
      <c r="A12325" s="2" t="s">
        <v>24917</v>
      </c>
      <c r="B12325" s="2" t="s">
        <v>6834</v>
      </c>
      <c r="C12325" s="2" t="s">
        <v>6834</v>
      </c>
      <c r="D12325" s="2" t="s">
        <v>178</v>
      </c>
      <c r="E12325" s="2"/>
      <c r="F12325" s="2"/>
    </row>
    <row r="12326" spans="1:6" s="3" customFormat="1" ht="29.1" customHeight="1" x14ac:dyDescent="0.25">
      <c r="A12326" s="2" t="s">
        <v>24918</v>
      </c>
      <c r="B12326" s="2" t="s">
        <v>6834</v>
      </c>
      <c r="C12326" s="2" t="s">
        <v>6834</v>
      </c>
      <c r="D12326" s="2" t="s">
        <v>8553</v>
      </c>
      <c r="E12326" s="2"/>
      <c r="F12326" s="2" t="str">
        <f>"9789280532661"</f>
        <v>9789280532661</v>
      </c>
    </row>
    <row r="12327" spans="1:6" s="3" customFormat="1" ht="29.1" customHeight="1" x14ac:dyDescent="0.25">
      <c r="A12327" s="2" t="s">
        <v>24919</v>
      </c>
      <c r="B12327" s="2" t="s">
        <v>24920</v>
      </c>
      <c r="C12327" s="2" t="s">
        <v>6834</v>
      </c>
      <c r="D12327" s="2" t="s">
        <v>178</v>
      </c>
      <c r="E12327" s="2"/>
      <c r="F12327" s="2" t="str">
        <f>"9789280531206"</f>
        <v>9789280531206</v>
      </c>
    </row>
    <row r="12328" spans="1:6" s="3" customFormat="1" ht="29.1" customHeight="1" x14ac:dyDescent="0.25">
      <c r="A12328" s="2" t="s">
        <v>24921</v>
      </c>
      <c r="B12328" s="2" t="s">
        <v>24922</v>
      </c>
      <c r="C12328" s="2" t="s">
        <v>6834</v>
      </c>
      <c r="D12328" s="2" t="s">
        <v>178</v>
      </c>
      <c r="E12328" s="2"/>
      <c r="F12328" s="2" t="str">
        <f>"9789280526318"</f>
        <v>9789280526318</v>
      </c>
    </row>
    <row r="12329" spans="1:6" s="3" customFormat="1" ht="29.1" customHeight="1" x14ac:dyDescent="0.25">
      <c r="A12329" s="2" t="s">
        <v>24923</v>
      </c>
      <c r="B12329" s="2" t="s">
        <v>24924</v>
      </c>
      <c r="C12329" s="2" t="s">
        <v>6834</v>
      </c>
      <c r="D12329" s="2" t="s">
        <v>178</v>
      </c>
      <c r="E12329" s="2"/>
      <c r="F12329" s="2" t="str">
        <f>"9789280531176"</f>
        <v>9789280531176</v>
      </c>
    </row>
    <row r="12330" spans="1:6" s="3" customFormat="1" ht="29.1" customHeight="1" x14ac:dyDescent="0.25">
      <c r="A12330" s="2" t="s">
        <v>24925</v>
      </c>
      <c r="B12330" s="2" t="s">
        <v>24926</v>
      </c>
      <c r="C12330" s="2" t="s">
        <v>6834</v>
      </c>
      <c r="D12330" s="2" t="s">
        <v>178</v>
      </c>
      <c r="E12330" s="2"/>
      <c r="F12330" s="2" t="str">
        <f>"9789280531169"</f>
        <v>9789280531169</v>
      </c>
    </row>
    <row r="12331" spans="1:6" s="3" customFormat="1" ht="29.1" customHeight="1" x14ac:dyDescent="0.25">
      <c r="A12331" s="2" t="s">
        <v>24927</v>
      </c>
      <c r="B12331" s="2" t="s">
        <v>24922</v>
      </c>
      <c r="C12331" s="2" t="s">
        <v>6834</v>
      </c>
      <c r="D12331" s="2" t="s">
        <v>24928</v>
      </c>
      <c r="E12331" s="2"/>
      <c r="F12331" s="2" t="str">
        <f>"9789280534030"</f>
        <v>9789280534030</v>
      </c>
    </row>
    <row r="12332" spans="1:6" s="3" customFormat="1" ht="29.1" customHeight="1" x14ac:dyDescent="0.25">
      <c r="A12332" s="2" t="s">
        <v>24929</v>
      </c>
      <c r="B12332" s="2" t="s">
        <v>24924</v>
      </c>
      <c r="C12332" s="2" t="s">
        <v>6834</v>
      </c>
      <c r="D12332" s="2" t="s">
        <v>24928</v>
      </c>
      <c r="E12332" s="2"/>
      <c r="F12332" s="2" t="str">
        <f>"9789280534023"</f>
        <v>9789280534023</v>
      </c>
    </row>
    <row r="12333" spans="1:6" s="3" customFormat="1" ht="29.1" customHeight="1" x14ac:dyDescent="0.25">
      <c r="A12333" s="2" t="s">
        <v>24930</v>
      </c>
      <c r="B12333" s="2" t="s">
        <v>24931</v>
      </c>
      <c r="C12333" s="2" t="s">
        <v>6834</v>
      </c>
      <c r="D12333" s="2" t="s">
        <v>6837</v>
      </c>
      <c r="E12333" s="2"/>
      <c r="F12333" s="2" t="str">
        <f>"9789280534016"</f>
        <v>9789280534016</v>
      </c>
    </row>
    <row r="12334" spans="1:6" s="3" customFormat="1" ht="29.1" customHeight="1" x14ac:dyDescent="0.25">
      <c r="A12334" s="2" t="s">
        <v>24932</v>
      </c>
      <c r="B12334" s="2" t="s">
        <v>24873</v>
      </c>
      <c r="C12334" s="2" t="s">
        <v>6834</v>
      </c>
      <c r="D12334" s="2" t="s">
        <v>8871</v>
      </c>
      <c r="E12334" s="2"/>
      <c r="F12334" s="2" t="str">
        <f>"9789280533538"</f>
        <v>9789280533538</v>
      </c>
    </row>
    <row r="12335" spans="1:6" s="3" customFormat="1" ht="29.1" customHeight="1" x14ac:dyDescent="0.25">
      <c r="A12335" s="2" t="s">
        <v>24933</v>
      </c>
      <c r="B12335" s="2" t="s">
        <v>24873</v>
      </c>
      <c r="C12335" s="2" t="s">
        <v>6834</v>
      </c>
      <c r="D12335" s="2" t="s">
        <v>6835</v>
      </c>
      <c r="E12335" s="2"/>
      <c r="F12335" s="2"/>
    </row>
    <row r="12336" spans="1:6" s="3" customFormat="1" ht="29.1" customHeight="1" x14ac:dyDescent="0.25">
      <c r="A12336" s="2" t="s">
        <v>24934</v>
      </c>
      <c r="B12336" s="2" t="s">
        <v>24873</v>
      </c>
      <c r="C12336" s="2" t="s">
        <v>6834</v>
      </c>
      <c r="D12336" s="2" t="s">
        <v>6835</v>
      </c>
      <c r="E12336" s="2"/>
      <c r="F12336" s="2"/>
    </row>
    <row r="12337" spans="1:6" s="3" customFormat="1" ht="29.1" customHeight="1" x14ac:dyDescent="0.25">
      <c r="A12337" s="2" t="s">
        <v>24935</v>
      </c>
      <c r="B12337" s="2" t="s">
        <v>24873</v>
      </c>
      <c r="C12337" s="2" t="s">
        <v>6834</v>
      </c>
      <c r="D12337" s="2" t="s">
        <v>8871</v>
      </c>
      <c r="E12337" s="2"/>
      <c r="F12337" s="2"/>
    </row>
    <row r="12338" spans="1:6" s="3" customFormat="1" ht="29.1" customHeight="1" x14ac:dyDescent="0.25">
      <c r="A12338" s="2" t="s">
        <v>24936</v>
      </c>
      <c r="B12338" s="2" t="s">
        <v>6834</v>
      </c>
      <c r="C12338" s="2" t="s">
        <v>6834</v>
      </c>
      <c r="D12338" s="2" t="s">
        <v>6835</v>
      </c>
      <c r="E12338" s="2" t="str">
        <f>"9789280535167"</f>
        <v>9789280535167</v>
      </c>
      <c r="F12338" s="2" t="str">
        <f>"9789280535150"</f>
        <v>9789280535150</v>
      </c>
    </row>
    <row r="12339" spans="1:6" s="3" customFormat="1" ht="29.1" customHeight="1" x14ac:dyDescent="0.25">
      <c r="A12339" s="2" t="s">
        <v>24937</v>
      </c>
      <c r="B12339" s="2" t="s">
        <v>11803</v>
      </c>
      <c r="C12339" s="2" t="s">
        <v>6834</v>
      </c>
      <c r="D12339" s="2" t="s">
        <v>6837</v>
      </c>
      <c r="E12339" s="2"/>
      <c r="F12339" s="2"/>
    </row>
    <row r="12340" spans="1:6" s="3" customFormat="1" ht="29.1" customHeight="1" x14ac:dyDescent="0.25">
      <c r="A12340" s="2" t="s">
        <v>24938</v>
      </c>
      <c r="B12340" s="2" t="s">
        <v>11828</v>
      </c>
      <c r="C12340" s="2" t="s">
        <v>6834</v>
      </c>
      <c r="D12340" s="2" t="s">
        <v>6837</v>
      </c>
      <c r="E12340" s="2"/>
      <c r="F12340" s="2"/>
    </row>
    <row r="12341" spans="1:6" s="3" customFormat="1" ht="29.1" customHeight="1" x14ac:dyDescent="0.25">
      <c r="A12341" s="2" t="s">
        <v>24939</v>
      </c>
      <c r="B12341" s="2" t="s">
        <v>6834</v>
      </c>
      <c r="C12341" s="2" t="s">
        <v>6834</v>
      </c>
      <c r="D12341" s="2" t="s">
        <v>6837</v>
      </c>
      <c r="E12341" s="2"/>
      <c r="F12341" s="2"/>
    </row>
    <row r="12342" spans="1:6" s="3" customFormat="1" ht="29.1" customHeight="1" x14ac:dyDescent="0.25">
      <c r="A12342" s="2" t="s">
        <v>24940</v>
      </c>
      <c r="B12342" s="2" t="s">
        <v>11803</v>
      </c>
      <c r="C12342" s="2" t="s">
        <v>6834</v>
      </c>
      <c r="D12342" s="2" t="s">
        <v>6837</v>
      </c>
      <c r="E12342" s="2"/>
      <c r="F12342" s="2"/>
    </row>
    <row r="12343" spans="1:6" s="3" customFormat="1" ht="29.1" customHeight="1" x14ac:dyDescent="0.25">
      <c r="A12343" s="2" t="s">
        <v>24941</v>
      </c>
      <c r="B12343" s="2" t="s">
        <v>11828</v>
      </c>
      <c r="C12343" s="2" t="s">
        <v>6834</v>
      </c>
      <c r="D12343" s="2" t="s">
        <v>6837</v>
      </c>
      <c r="E12343" s="2"/>
      <c r="F12343" s="2"/>
    </row>
    <row r="12344" spans="1:6" s="3" customFormat="1" ht="29.1" customHeight="1" x14ac:dyDescent="0.25">
      <c r="A12344" s="2" t="s">
        <v>24942</v>
      </c>
      <c r="B12344" s="2" t="s">
        <v>6834</v>
      </c>
      <c r="C12344" s="2" t="s">
        <v>6834</v>
      </c>
      <c r="D12344" s="2" t="s">
        <v>6837</v>
      </c>
      <c r="E12344" s="2"/>
      <c r="F12344" s="2"/>
    </row>
    <row r="12345" spans="1:6" s="3" customFormat="1" ht="29.1" customHeight="1" x14ac:dyDescent="0.25">
      <c r="A12345" s="2" t="s">
        <v>24943</v>
      </c>
      <c r="B12345" s="2" t="s">
        <v>11800</v>
      </c>
      <c r="C12345" s="2" t="s">
        <v>6834</v>
      </c>
      <c r="D12345" s="2" t="s">
        <v>9652</v>
      </c>
      <c r="E12345" s="2"/>
      <c r="F12345" s="2" t="str">
        <f>"9789280532265"</f>
        <v>9789280532265</v>
      </c>
    </row>
    <row r="12346" spans="1:6" s="3" customFormat="1" ht="29.1" customHeight="1" x14ac:dyDescent="0.25">
      <c r="A12346" s="2" t="s">
        <v>24944</v>
      </c>
      <c r="B12346" s="2" t="s">
        <v>11803</v>
      </c>
      <c r="C12346" s="2" t="s">
        <v>6834</v>
      </c>
      <c r="D12346" s="2" t="s">
        <v>6837</v>
      </c>
      <c r="E12346" s="2"/>
      <c r="F12346" s="2" t="str">
        <f>"9789280532241"</f>
        <v>9789280532241</v>
      </c>
    </row>
    <row r="12347" spans="1:6" s="3" customFormat="1" ht="29.1" customHeight="1" x14ac:dyDescent="0.25">
      <c r="A12347" s="2" t="s">
        <v>24945</v>
      </c>
      <c r="B12347" s="2" t="s">
        <v>24946</v>
      </c>
      <c r="C12347" s="2" t="s">
        <v>6834</v>
      </c>
      <c r="D12347" s="2" t="s">
        <v>6837</v>
      </c>
      <c r="E12347" s="2"/>
      <c r="F12347" s="2" t="str">
        <f>"9789280532227"</f>
        <v>9789280532227</v>
      </c>
    </row>
    <row r="12348" spans="1:6" s="3" customFormat="1" ht="29.1" customHeight="1" x14ac:dyDescent="0.25">
      <c r="A12348" s="2" t="s">
        <v>24947</v>
      </c>
      <c r="B12348" s="2" t="s">
        <v>6834</v>
      </c>
      <c r="C12348" s="2" t="s">
        <v>6834</v>
      </c>
      <c r="D12348" s="2" t="s">
        <v>6837</v>
      </c>
      <c r="E12348" s="2"/>
      <c r="F12348" s="2" t="str">
        <f>"9789280531763"</f>
        <v>9789280531763</v>
      </c>
    </row>
    <row r="12349" spans="1:6" s="3" customFormat="1" ht="29.1" customHeight="1" x14ac:dyDescent="0.25">
      <c r="A12349" s="2" t="s">
        <v>24948</v>
      </c>
      <c r="B12349" s="2" t="s">
        <v>24949</v>
      </c>
      <c r="C12349" s="2" t="s">
        <v>6834</v>
      </c>
      <c r="D12349" s="2" t="s">
        <v>2391</v>
      </c>
      <c r="E12349" s="2"/>
      <c r="F12349" s="2" t="str">
        <f>"9789280532746"</f>
        <v>9789280532746</v>
      </c>
    </row>
    <row r="12350" spans="1:6" s="3" customFormat="1" ht="29.1" customHeight="1" x14ac:dyDescent="0.25">
      <c r="A12350" s="2" t="s">
        <v>24950</v>
      </c>
      <c r="B12350" s="2" t="s">
        <v>24951</v>
      </c>
      <c r="C12350" s="2" t="s">
        <v>6834</v>
      </c>
      <c r="D12350" s="2" t="s">
        <v>2391</v>
      </c>
      <c r="E12350" s="2"/>
      <c r="F12350" s="2" t="str">
        <f>"9789280532739"</f>
        <v>9789280532739</v>
      </c>
    </row>
    <row r="12351" spans="1:6" s="3" customFormat="1" ht="29.1" customHeight="1" x14ac:dyDescent="0.25">
      <c r="A12351" s="2" t="s">
        <v>24952</v>
      </c>
      <c r="B12351" s="2" t="s">
        <v>24953</v>
      </c>
      <c r="C12351" s="2" t="s">
        <v>6834</v>
      </c>
      <c r="D12351" s="2" t="s">
        <v>6837</v>
      </c>
      <c r="E12351" s="2" t="str">
        <f>"9789280530346"</f>
        <v>9789280530346</v>
      </c>
      <c r="F12351" s="2"/>
    </row>
    <row r="12352" spans="1:6" s="3" customFormat="1" ht="29.1" customHeight="1" x14ac:dyDescent="0.25">
      <c r="A12352" s="2" t="s">
        <v>24954</v>
      </c>
      <c r="B12352" s="2" t="s">
        <v>6834</v>
      </c>
      <c r="C12352" s="2" t="s">
        <v>6834</v>
      </c>
      <c r="D12352" s="2" t="s">
        <v>6837</v>
      </c>
      <c r="E12352" s="2"/>
      <c r="F12352" s="2" t="str">
        <f>"9789280533149"</f>
        <v>9789280533149</v>
      </c>
    </row>
    <row r="12353" spans="1:6" s="3" customFormat="1" ht="29.1" customHeight="1" x14ac:dyDescent="0.25">
      <c r="A12353" s="2" t="s">
        <v>24955</v>
      </c>
      <c r="B12353" s="2" t="s">
        <v>6834</v>
      </c>
      <c r="C12353" s="2" t="s">
        <v>6834</v>
      </c>
      <c r="D12353" s="2" t="s">
        <v>6837</v>
      </c>
      <c r="E12353" s="2"/>
      <c r="F12353" s="2" t="str">
        <f>"9789280533132"</f>
        <v>9789280533132</v>
      </c>
    </row>
    <row r="12354" spans="1:6" s="3" customFormat="1" ht="29.1" customHeight="1" x14ac:dyDescent="0.25">
      <c r="A12354" s="2" t="s">
        <v>24956</v>
      </c>
      <c r="B12354" s="2" t="s">
        <v>6834</v>
      </c>
      <c r="C12354" s="2" t="s">
        <v>6834</v>
      </c>
      <c r="D12354" s="2" t="s">
        <v>6837</v>
      </c>
      <c r="E12354" s="2"/>
      <c r="F12354" s="2" t="str">
        <f>"9789280533125"</f>
        <v>9789280533125</v>
      </c>
    </row>
    <row r="12355" spans="1:6" s="3" customFormat="1" ht="29.1" customHeight="1" x14ac:dyDescent="0.25">
      <c r="A12355" s="2" t="s">
        <v>24957</v>
      </c>
      <c r="B12355" s="2" t="s">
        <v>6834</v>
      </c>
      <c r="C12355" s="2" t="s">
        <v>6834</v>
      </c>
      <c r="D12355" s="2" t="s">
        <v>287</v>
      </c>
      <c r="E12355" s="2"/>
      <c r="F12355" s="2"/>
    </row>
    <row r="12356" spans="1:6" s="3" customFormat="1" ht="29.1" customHeight="1" x14ac:dyDescent="0.25">
      <c r="A12356" s="2" t="s">
        <v>24958</v>
      </c>
      <c r="B12356" s="2" t="s">
        <v>6834</v>
      </c>
      <c r="C12356" s="2" t="s">
        <v>6834</v>
      </c>
      <c r="D12356" s="2" t="s">
        <v>287</v>
      </c>
      <c r="E12356" s="2"/>
      <c r="F12356" s="2"/>
    </row>
    <row r="12357" spans="1:6" s="3" customFormat="1" ht="29.1" customHeight="1" x14ac:dyDescent="0.25">
      <c r="A12357" s="2" t="s">
        <v>24959</v>
      </c>
      <c r="B12357" s="2" t="s">
        <v>6834</v>
      </c>
      <c r="C12357" s="2" t="s">
        <v>6834</v>
      </c>
      <c r="D12357" s="2" t="s">
        <v>6837</v>
      </c>
      <c r="E12357" s="2"/>
      <c r="F12357" s="2"/>
    </row>
    <row r="12358" spans="1:6" s="3" customFormat="1" ht="29.1" customHeight="1" x14ac:dyDescent="0.25">
      <c r="A12358" s="2" t="s">
        <v>24960</v>
      </c>
      <c r="B12358" s="2" t="s">
        <v>6834</v>
      </c>
      <c r="C12358" s="2" t="s">
        <v>6834</v>
      </c>
      <c r="D12358" s="2" t="s">
        <v>6837</v>
      </c>
      <c r="E12358" s="2"/>
      <c r="F12358" s="2"/>
    </row>
    <row r="12359" spans="1:6" s="3" customFormat="1" ht="29.1" customHeight="1" x14ac:dyDescent="0.25">
      <c r="A12359" s="2" t="s">
        <v>24961</v>
      </c>
      <c r="B12359" s="2" t="s">
        <v>6834</v>
      </c>
      <c r="C12359" s="2" t="s">
        <v>6834</v>
      </c>
      <c r="D12359" s="2" t="s">
        <v>6837</v>
      </c>
      <c r="E12359" s="2"/>
      <c r="F12359" s="2" t="str">
        <f>"9789280533095"</f>
        <v>9789280533095</v>
      </c>
    </row>
    <row r="12360" spans="1:6" s="3" customFormat="1" ht="29.1" customHeight="1" x14ac:dyDescent="0.25">
      <c r="A12360" s="2" t="s">
        <v>24962</v>
      </c>
      <c r="B12360" s="2" t="s">
        <v>6834</v>
      </c>
      <c r="C12360" s="2" t="s">
        <v>6834</v>
      </c>
      <c r="D12360" s="2" t="s">
        <v>6837</v>
      </c>
      <c r="E12360" s="2"/>
      <c r="F12360" s="2"/>
    </row>
    <row r="12361" spans="1:6" s="3" customFormat="1" ht="29.1" customHeight="1" x14ac:dyDescent="0.25">
      <c r="A12361" s="2" t="s">
        <v>24963</v>
      </c>
      <c r="B12361" s="2" t="s">
        <v>6834</v>
      </c>
      <c r="C12361" s="2" t="s">
        <v>6834</v>
      </c>
      <c r="D12361" s="2" t="s">
        <v>6837</v>
      </c>
      <c r="E12361" s="2"/>
      <c r="F12361" s="2"/>
    </row>
    <row r="12362" spans="1:6" s="3" customFormat="1" ht="29.1" customHeight="1" x14ac:dyDescent="0.25">
      <c r="A12362" s="2" t="s">
        <v>24964</v>
      </c>
      <c r="B12362" s="2" t="s">
        <v>6834</v>
      </c>
      <c r="C12362" s="2" t="s">
        <v>6834</v>
      </c>
      <c r="D12362" s="2" t="s">
        <v>2168</v>
      </c>
      <c r="E12362" s="2"/>
      <c r="F12362" s="2"/>
    </row>
    <row r="12363" spans="1:6" s="3" customFormat="1" ht="29.1" customHeight="1" x14ac:dyDescent="0.25">
      <c r="A12363" s="2" t="s">
        <v>24965</v>
      </c>
      <c r="B12363" s="2" t="s">
        <v>6834</v>
      </c>
      <c r="C12363" s="2" t="s">
        <v>6834</v>
      </c>
      <c r="D12363" s="2" t="s">
        <v>9652</v>
      </c>
      <c r="E12363" s="2"/>
      <c r="F12363" s="2"/>
    </row>
    <row r="12364" spans="1:6" s="3" customFormat="1" ht="29.1" customHeight="1" x14ac:dyDescent="0.25">
      <c r="A12364" s="2" t="s">
        <v>24966</v>
      </c>
      <c r="B12364" s="2" t="s">
        <v>6834</v>
      </c>
      <c r="C12364" s="2" t="s">
        <v>6834</v>
      </c>
      <c r="D12364" s="2" t="s">
        <v>6837</v>
      </c>
      <c r="E12364" s="2"/>
      <c r="F12364" s="2"/>
    </row>
    <row r="12365" spans="1:6" s="3" customFormat="1" ht="29.1" customHeight="1" x14ac:dyDescent="0.25">
      <c r="A12365" s="2" t="s">
        <v>24967</v>
      </c>
      <c r="B12365" s="2" t="s">
        <v>6834</v>
      </c>
      <c r="C12365" s="2" t="s">
        <v>6834</v>
      </c>
      <c r="D12365" s="2" t="s">
        <v>6837</v>
      </c>
      <c r="E12365" s="2"/>
      <c r="F12365" s="2"/>
    </row>
    <row r="12366" spans="1:6" s="3" customFormat="1" ht="29.1" customHeight="1" x14ac:dyDescent="0.25">
      <c r="A12366" s="2" t="s">
        <v>24968</v>
      </c>
      <c r="B12366" s="2" t="s">
        <v>6834</v>
      </c>
      <c r="C12366" s="2" t="s">
        <v>6834</v>
      </c>
      <c r="D12366" s="2" t="s">
        <v>6837</v>
      </c>
      <c r="E12366" s="2"/>
      <c r="F12366" s="2"/>
    </row>
    <row r="12367" spans="1:6" s="3" customFormat="1" ht="29.1" customHeight="1" x14ac:dyDescent="0.25">
      <c r="A12367" s="2" t="s">
        <v>24969</v>
      </c>
      <c r="B12367" s="2" t="s">
        <v>6834</v>
      </c>
      <c r="C12367" s="2" t="s">
        <v>6834</v>
      </c>
      <c r="D12367" s="2" t="s">
        <v>6837</v>
      </c>
      <c r="E12367" s="2"/>
      <c r="F12367" s="2"/>
    </row>
    <row r="12368" spans="1:6" s="3" customFormat="1" ht="29.1" customHeight="1" x14ac:dyDescent="0.25">
      <c r="A12368" s="2" t="s">
        <v>24970</v>
      </c>
      <c r="B12368" s="2" t="s">
        <v>11803</v>
      </c>
      <c r="C12368" s="2" t="s">
        <v>6834</v>
      </c>
      <c r="D12368" s="2" t="s">
        <v>6837</v>
      </c>
      <c r="E12368" s="2"/>
      <c r="F12368" s="2"/>
    </row>
    <row r="12369" spans="1:6" s="3" customFormat="1" ht="29.1" customHeight="1" x14ac:dyDescent="0.25">
      <c r="A12369" s="2" t="s">
        <v>24971</v>
      </c>
      <c r="B12369" s="2" t="s">
        <v>11828</v>
      </c>
      <c r="C12369" s="2" t="s">
        <v>6834</v>
      </c>
      <c r="D12369" s="2" t="s">
        <v>6837</v>
      </c>
      <c r="E12369" s="2"/>
      <c r="F12369" s="2"/>
    </row>
    <row r="12370" spans="1:6" s="3" customFormat="1" ht="29.1" customHeight="1" x14ac:dyDescent="0.25">
      <c r="A12370" s="2" t="s">
        <v>24972</v>
      </c>
      <c r="B12370" s="2" t="s">
        <v>6834</v>
      </c>
      <c r="C12370" s="2" t="s">
        <v>6834</v>
      </c>
      <c r="D12370" s="2" t="s">
        <v>6837</v>
      </c>
      <c r="E12370" s="2"/>
      <c r="F12370" s="2"/>
    </row>
    <row r="12371" spans="1:6" s="3" customFormat="1" ht="29.1" customHeight="1" x14ac:dyDescent="0.25">
      <c r="A12371" s="2" t="s">
        <v>24973</v>
      </c>
      <c r="B12371" s="2" t="s">
        <v>6834</v>
      </c>
      <c r="C12371" s="2" t="s">
        <v>6834</v>
      </c>
      <c r="D12371" s="2" t="s">
        <v>6837</v>
      </c>
      <c r="E12371" s="2"/>
      <c r="F12371" s="2"/>
    </row>
    <row r="12372" spans="1:6" s="3" customFormat="1" ht="29.1" customHeight="1" x14ac:dyDescent="0.25">
      <c r="A12372" s="2" t="s">
        <v>24974</v>
      </c>
      <c r="B12372" s="2" t="s">
        <v>24975</v>
      </c>
      <c r="C12372" s="2" t="s">
        <v>6834</v>
      </c>
      <c r="D12372" s="2" t="s">
        <v>6835</v>
      </c>
      <c r="E12372" s="2"/>
      <c r="F12372" s="2"/>
    </row>
    <row r="12373" spans="1:6" s="3" customFormat="1" ht="29.1" customHeight="1" x14ac:dyDescent="0.25">
      <c r="A12373" s="2" t="s">
        <v>24976</v>
      </c>
      <c r="B12373" s="2" t="s">
        <v>11803</v>
      </c>
      <c r="C12373" s="2" t="s">
        <v>6834</v>
      </c>
      <c r="D12373" s="2" t="s">
        <v>6837</v>
      </c>
      <c r="E12373" s="2"/>
      <c r="F12373" s="2" t="str">
        <f>"9789280530971"</f>
        <v>9789280530971</v>
      </c>
    </row>
    <row r="12374" spans="1:6" s="3" customFormat="1" ht="29.1" customHeight="1" x14ac:dyDescent="0.25">
      <c r="A12374" s="2" t="s">
        <v>24977</v>
      </c>
      <c r="B12374" s="2" t="s">
        <v>11828</v>
      </c>
      <c r="C12374" s="2" t="s">
        <v>6834</v>
      </c>
      <c r="D12374" s="2" t="s">
        <v>6837</v>
      </c>
      <c r="E12374" s="2"/>
      <c r="F12374" s="2" t="str">
        <f>"9789280530964"</f>
        <v>9789280530964</v>
      </c>
    </row>
    <row r="12375" spans="1:6" s="3" customFormat="1" ht="29.1" customHeight="1" x14ac:dyDescent="0.25">
      <c r="A12375" s="2" t="s">
        <v>24978</v>
      </c>
      <c r="B12375" s="2" t="s">
        <v>6834</v>
      </c>
      <c r="C12375" s="2" t="s">
        <v>6834</v>
      </c>
      <c r="D12375" s="2" t="s">
        <v>6837</v>
      </c>
      <c r="E12375" s="2"/>
      <c r="F12375" s="2" t="str">
        <f>"9789280530957"</f>
        <v>9789280530957</v>
      </c>
    </row>
    <row r="12376" spans="1:6" s="3" customFormat="1" ht="29.1" customHeight="1" x14ac:dyDescent="0.25">
      <c r="A12376" s="2" t="s">
        <v>24979</v>
      </c>
      <c r="B12376" s="2" t="s">
        <v>6834</v>
      </c>
      <c r="C12376" s="2" t="s">
        <v>6834</v>
      </c>
      <c r="D12376" s="2" t="s">
        <v>6714</v>
      </c>
      <c r="E12376" s="2"/>
      <c r="F12376" s="2"/>
    </row>
    <row r="12377" spans="1:6" s="3" customFormat="1" ht="29.1" customHeight="1" x14ac:dyDescent="0.25">
      <c r="A12377" s="2" t="s">
        <v>24980</v>
      </c>
      <c r="B12377" s="2" t="s">
        <v>24814</v>
      </c>
      <c r="C12377" s="2" t="s">
        <v>6834</v>
      </c>
      <c r="D12377" s="2" t="s">
        <v>6837</v>
      </c>
      <c r="E12377" s="2"/>
      <c r="F12377" s="2"/>
    </row>
    <row r="12378" spans="1:6" s="3" customFormat="1" ht="29.1" customHeight="1" x14ac:dyDescent="0.25">
      <c r="A12378" s="2" t="s">
        <v>24981</v>
      </c>
      <c r="B12378" s="2" t="s">
        <v>11828</v>
      </c>
      <c r="C12378" s="2" t="s">
        <v>6834</v>
      </c>
      <c r="D12378" s="2" t="s">
        <v>1840</v>
      </c>
      <c r="E12378" s="2"/>
      <c r="F12378" s="2"/>
    </row>
    <row r="12379" spans="1:6" s="3" customFormat="1" ht="29.1" customHeight="1" x14ac:dyDescent="0.25">
      <c r="A12379" s="2" t="s">
        <v>24982</v>
      </c>
      <c r="B12379" s="2" t="s">
        <v>24983</v>
      </c>
      <c r="C12379" s="2" t="s">
        <v>6834</v>
      </c>
      <c r="D12379" s="2" t="s">
        <v>4919</v>
      </c>
      <c r="E12379" s="2"/>
      <c r="F12379" s="2"/>
    </row>
    <row r="12380" spans="1:6" s="3" customFormat="1" ht="29.1" customHeight="1" x14ac:dyDescent="0.25">
      <c r="A12380" s="2" t="s">
        <v>24984</v>
      </c>
      <c r="B12380" s="2" t="s">
        <v>24985</v>
      </c>
      <c r="C12380" s="2" t="s">
        <v>6834</v>
      </c>
      <c r="D12380" s="2" t="s">
        <v>6837</v>
      </c>
      <c r="E12380" s="2"/>
      <c r="F12380" s="2" t="str">
        <f>"9789280533637"</f>
        <v>9789280533637</v>
      </c>
    </row>
    <row r="12381" spans="1:6" s="3" customFormat="1" ht="29.1" customHeight="1" x14ac:dyDescent="0.25">
      <c r="A12381" s="2" t="s">
        <v>24986</v>
      </c>
      <c r="B12381" s="2" t="s">
        <v>24985</v>
      </c>
      <c r="C12381" s="2" t="s">
        <v>6834</v>
      </c>
      <c r="D12381" s="2" t="s">
        <v>6837</v>
      </c>
      <c r="E12381" s="2"/>
      <c r="F12381" s="2" t="str">
        <f>"9789280533613"</f>
        <v>9789280533613</v>
      </c>
    </row>
    <row r="12382" spans="1:6" s="3" customFormat="1" ht="29.1" customHeight="1" x14ac:dyDescent="0.25">
      <c r="A12382" s="2" t="s">
        <v>24987</v>
      </c>
      <c r="B12382" s="2" t="s">
        <v>24988</v>
      </c>
      <c r="C12382" s="2" t="s">
        <v>6834</v>
      </c>
      <c r="D12382" s="2" t="s">
        <v>6837</v>
      </c>
      <c r="E12382" s="2"/>
      <c r="F12382" s="2" t="str">
        <f>"9789280533187"</f>
        <v>9789280533187</v>
      </c>
    </row>
    <row r="12383" spans="1:6" s="3" customFormat="1" ht="29.1" customHeight="1" x14ac:dyDescent="0.25">
      <c r="A12383" s="2" t="s">
        <v>24989</v>
      </c>
      <c r="B12383" s="2" t="s">
        <v>24985</v>
      </c>
      <c r="C12383" s="2" t="s">
        <v>6834</v>
      </c>
      <c r="D12383" s="2" t="s">
        <v>6835</v>
      </c>
      <c r="E12383" s="2"/>
      <c r="F12383" s="2" t="str">
        <f>"9789280531749"</f>
        <v>9789280531749</v>
      </c>
    </row>
    <row r="12384" spans="1:6" s="3" customFormat="1" ht="29.1" customHeight="1" x14ac:dyDescent="0.25">
      <c r="A12384" s="2" t="s">
        <v>24990</v>
      </c>
      <c r="B12384" s="2" t="s">
        <v>24873</v>
      </c>
      <c r="C12384" s="2" t="s">
        <v>6834</v>
      </c>
      <c r="D12384" s="2" t="s">
        <v>2433</v>
      </c>
      <c r="E12384" s="2"/>
      <c r="F12384" s="2"/>
    </row>
    <row r="12385" spans="1:6" s="3" customFormat="1" ht="29.1" customHeight="1" x14ac:dyDescent="0.25">
      <c r="A12385" s="2" t="s">
        <v>24991</v>
      </c>
      <c r="B12385" s="2" t="s">
        <v>24992</v>
      </c>
      <c r="C12385" s="2" t="s">
        <v>6834</v>
      </c>
      <c r="D12385" s="2" t="s">
        <v>6837</v>
      </c>
      <c r="E12385" s="2"/>
      <c r="F12385" s="2"/>
    </row>
    <row r="12386" spans="1:6" s="3" customFormat="1" ht="29.1" customHeight="1" x14ac:dyDescent="0.25">
      <c r="A12386" s="2" t="s">
        <v>24993</v>
      </c>
      <c r="B12386" s="2" t="s">
        <v>24994</v>
      </c>
      <c r="C12386" s="2" t="s">
        <v>6834</v>
      </c>
      <c r="D12386" s="2" t="s">
        <v>6837</v>
      </c>
      <c r="E12386" s="2"/>
      <c r="F12386" s="2" t="str">
        <f>"9782381920016"</f>
        <v>9782381920016</v>
      </c>
    </row>
    <row r="12387" spans="1:6" s="3" customFormat="1" ht="29.1" customHeight="1" x14ac:dyDescent="0.25">
      <c r="A12387" s="2" t="s">
        <v>24995</v>
      </c>
      <c r="B12387" s="2" t="s">
        <v>24996</v>
      </c>
      <c r="C12387" s="2" t="s">
        <v>6834</v>
      </c>
      <c r="D12387" s="2" t="s">
        <v>313</v>
      </c>
      <c r="E12387" s="2"/>
      <c r="F12387" s="2" t="str">
        <f>"9782381920030"</f>
        <v>9782381920030</v>
      </c>
    </row>
    <row r="12388" spans="1:6" s="3" customFormat="1" ht="29.1" customHeight="1" x14ac:dyDescent="0.25">
      <c r="A12388" s="2" t="s">
        <v>24997</v>
      </c>
      <c r="B12388" s="2" t="s">
        <v>24998</v>
      </c>
      <c r="C12388" s="2" t="s">
        <v>6834</v>
      </c>
      <c r="D12388" s="2" t="s">
        <v>6837</v>
      </c>
      <c r="E12388" s="2" t="str">
        <f>"9782381920009"</f>
        <v>9782381920009</v>
      </c>
      <c r="F12388" s="2"/>
    </row>
    <row r="12389" spans="1:6" s="3" customFormat="1" ht="29.1" customHeight="1" x14ac:dyDescent="0.25">
      <c r="A12389" s="2" t="s">
        <v>24999</v>
      </c>
      <c r="B12389" s="2" t="s">
        <v>25000</v>
      </c>
      <c r="C12389" s="2" t="s">
        <v>6834</v>
      </c>
      <c r="D12389" s="2" t="s">
        <v>6837</v>
      </c>
      <c r="E12389" s="2"/>
      <c r="F12389" s="2"/>
    </row>
    <row r="12390" spans="1:6" s="3" customFormat="1" ht="29.1" customHeight="1" x14ac:dyDescent="0.25">
      <c r="A12390" s="2" t="s">
        <v>25001</v>
      </c>
      <c r="B12390" s="2" t="s">
        <v>25002</v>
      </c>
      <c r="C12390" s="2" t="s">
        <v>6834</v>
      </c>
      <c r="D12390" s="2" t="s">
        <v>9671</v>
      </c>
      <c r="E12390" s="2"/>
      <c r="F12390" s="2"/>
    </row>
    <row r="12391" spans="1:6" s="3" customFormat="1" ht="29.1" customHeight="1" x14ac:dyDescent="0.25">
      <c r="A12391" s="2" t="s">
        <v>25003</v>
      </c>
      <c r="B12391" s="2" t="s">
        <v>25002</v>
      </c>
      <c r="C12391" s="2" t="s">
        <v>6834</v>
      </c>
      <c r="D12391" s="2" t="s">
        <v>9671</v>
      </c>
      <c r="E12391" s="2"/>
      <c r="F12391" s="2"/>
    </row>
    <row r="12392" spans="1:6" s="3" customFormat="1" ht="29.1" customHeight="1" x14ac:dyDescent="0.25">
      <c r="A12392" s="2" t="s">
        <v>25004</v>
      </c>
      <c r="B12392" s="2" t="s">
        <v>25002</v>
      </c>
      <c r="C12392" s="2" t="s">
        <v>6834</v>
      </c>
      <c r="D12392" s="2" t="s">
        <v>9671</v>
      </c>
      <c r="E12392" s="2"/>
      <c r="F12392" s="2"/>
    </row>
    <row r="12393" spans="1:6" s="3" customFormat="1" ht="29.1" customHeight="1" x14ac:dyDescent="0.25">
      <c r="A12393" s="2" t="s">
        <v>25005</v>
      </c>
      <c r="B12393" s="2" t="s">
        <v>25002</v>
      </c>
      <c r="C12393" s="2" t="s">
        <v>6834</v>
      </c>
      <c r="D12393" s="2" t="s">
        <v>313</v>
      </c>
      <c r="E12393" s="2"/>
      <c r="F12393" s="2"/>
    </row>
    <row r="12394" spans="1:6" s="3" customFormat="1" ht="29.1" customHeight="1" x14ac:dyDescent="0.25">
      <c r="A12394" s="2" t="s">
        <v>25006</v>
      </c>
      <c r="B12394" s="2" t="s">
        <v>25002</v>
      </c>
      <c r="C12394" s="2" t="s">
        <v>6834</v>
      </c>
      <c r="D12394" s="2" t="s">
        <v>18534</v>
      </c>
      <c r="E12394" s="2"/>
      <c r="F12394" s="2"/>
    </row>
    <row r="12395" spans="1:6" s="3" customFormat="1" ht="29.1" customHeight="1" x14ac:dyDescent="0.25">
      <c r="A12395" s="2" t="s">
        <v>25007</v>
      </c>
      <c r="B12395" s="2" t="s">
        <v>25008</v>
      </c>
      <c r="C12395" s="2" t="s">
        <v>6834</v>
      </c>
      <c r="D12395" s="2" t="s">
        <v>6837</v>
      </c>
      <c r="E12395" s="2" t="str">
        <f>"9789280532494"</f>
        <v>9789280532494</v>
      </c>
      <c r="F12395" s="2" t="str">
        <f>"9789280533071"</f>
        <v>9789280533071</v>
      </c>
    </row>
    <row r="12396" spans="1:6" s="3" customFormat="1" ht="29.1" customHeight="1" x14ac:dyDescent="0.25">
      <c r="A12396" s="2" t="s">
        <v>25009</v>
      </c>
      <c r="B12396" s="2" t="s">
        <v>11803</v>
      </c>
      <c r="C12396" s="2" t="s">
        <v>6834</v>
      </c>
      <c r="D12396" s="2" t="s">
        <v>984</v>
      </c>
      <c r="E12396" s="2"/>
      <c r="F12396" s="2" t="str">
        <f>"9789280532791"</f>
        <v>9789280532791</v>
      </c>
    </row>
    <row r="12397" spans="1:6" s="3" customFormat="1" ht="29.1" customHeight="1" x14ac:dyDescent="0.25">
      <c r="A12397" s="2" t="s">
        <v>25010</v>
      </c>
      <c r="B12397" s="2" t="s">
        <v>11828</v>
      </c>
      <c r="C12397" s="2" t="s">
        <v>6834</v>
      </c>
      <c r="D12397" s="2" t="s">
        <v>6837</v>
      </c>
      <c r="E12397" s="2" t="str">
        <f>"9789280532784"</f>
        <v>9789280532784</v>
      </c>
      <c r="F12397" s="2"/>
    </row>
    <row r="12398" spans="1:6" s="3" customFormat="1" ht="29.1" customHeight="1" x14ac:dyDescent="0.25">
      <c r="A12398" s="2" t="s">
        <v>25011</v>
      </c>
      <c r="B12398" s="2" t="s">
        <v>6834</v>
      </c>
      <c r="C12398" s="2" t="s">
        <v>6834</v>
      </c>
      <c r="D12398" s="2" t="s">
        <v>6837</v>
      </c>
      <c r="E12398" s="2" t="str">
        <f>"9789280532654"</f>
        <v>9789280532654</v>
      </c>
      <c r="F12398" s="2"/>
    </row>
    <row r="12399" spans="1:6" s="3" customFormat="1" ht="29.1" customHeight="1" x14ac:dyDescent="0.25">
      <c r="A12399" s="2" t="s">
        <v>25012</v>
      </c>
      <c r="B12399" s="2" t="s">
        <v>11803</v>
      </c>
      <c r="C12399" s="2" t="s">
        <v>6834</v>
      </c>
      <c r="D12399" s="2" t="s">
        <v>6837</v>
      </c>
      <c r="E12399" s="2"/>
      <c r="F12399" s="2"/>
    </row>
    <row r="12400" spans="1:6" s="3" customFormat="1" ht="29.1" customHeight="1" x14ac:dyDescent="0.25">
      <c r="A12400" s="2" t="s">
        <v>25013</v>
      </c>
      <c r="B12400" s="2" t="s">
        <v>11828</v>
      </c>
      <c r="C12400" s="2" t="s">
        <v>6834</v>
      </c>
      <c r="D12400" s="2" t="s">
        <v>6837</v>
      </c>
      <c r="E12400" s="2"/>
      <c r="F12400" s="2"/>
    </row>
    <row r="12401" spans="1:6" s="3" customFormat="1" ht="29.1" customHeight="1" x14ac:dyDescent="0.25">
      <c r="A12401" s="2" t="s">
        <v>25014</v>
      </c>
      <c r="B12401" s="2" t="s">
        <v>6834</v>
      </c>
      <c r="C12401" s="2" t="s">
        <v>6834</v>
      </c>
      <c r="D12401" s="2" t="s">
        <v>2587</v>
      </c>
      <c r="E12401" s="2"/>
      <c r="F12401" s="2"/>
    </row>
    <row r="12402" spans="1:6" s="3" customFormat="1" ht="29.1" customHeight="1" x14ac:dyDescent="0.25">
      <c r="A12402" s="2" t="s">
        <v>25015</v>
      </c>
      <c r="B12402" s="2" t="s">
        <v>6834</v>
      </c>
      <c r="C12402" s="2" t="s">
        <v>6834</v>
      </c>
      <c r="D12402" s="2" t="s">
        <v>6837</v>
      </c>
      <c r="E12402" s="2"/>
      <c r="F12402" s="2" t="str">
        <f>"9789280534122"</f>
        <v>9789280534122</v>
      </c>
    </row>
    <row r="12403" spans="1:6" s="3" customFormat="1" ht="29.1" customHeight="1" x14ac:dyDescent="0.25">
      <c r="A12403" s="2" t="s">
        <v>25016</v>
      </c>
      <c r="B12403" s="2" t="s">
        <v>6834</v>
      </c>
      <c r="C12403" s="2" t="s">
        <v>6834</v>
      </c>
      <c r="D12403" s="2" t="s">
        <v>6837</v>
      </c>
      <c r="E12403" s="2"/>
      <c r="F12403" s="2" t="str">
        <f>"9789280534115"</f>
        <v>9789280534115</v>
      </c>
    </row>
    <row r="12404" spans="1:6" s="3" customFormat="1" ht="29.1" customHeight="1" x14ac:dyDescent="0.25">
      <c r="A12404" s="2" t="s">
        <v>25017</v>
      </c>
      <c r="B12404" s="2" t="s">
        <v>6834</v>
      </c>
      <c r="C12404" s="2" t="s">
        <v>6834</v>
      </c>
      <c r="D12404" s="2" t="s">
        <v>6837</v>
      </c>
      <c r="E12404" s="2"/>
      <c r="F12404" s="2" t="str">
        <f>"9789280534108"</f>
        <v>9789280534108</v>
      </c>
    </row>
    <row r="12405" spans="1:6" s="3" customFormat="1" ht="29.1" customHeight="1" x14ac:dyDescent="0.25">
      <c r="A12405" s="2" t="s">
        <v>25018</v>
      </c>
      <c r="B12405" s="2" t="s">
        <v>25019</v>
      </c>
      <c r="C12405" s="2" t="s">
        <v>6834</v>
      </c>
      <c r="D12405" s="2" t="s">
        <v>6835</v>
      </c>
      <c r="E12405" s="2"/>
      <c r="F12405" s="2"/>
    </row>
    <row r="12406" spans="1:6" s="3" customFormat="1" ht="29.1" customHeight="1" x14ac:dyDescent="0.25">
      <c r="A12406" s="2" t="s">
        <v>25020</v>
      </c>
      <c r="B12406" s="2" t="s">
        <v>25021</v>
      </c>
      <c r="C12406" s="2" t="s">
        <v>6834</v>
      </c>
      <c r="D12406" s="2" t="s">
        <v>6835</v>
      </c>
      <c r="E12406" s="2"/>
      <c r="F12406" s="2"/>
    </row>
    <row r="12407" spans="1:6" s="3" customFormat="1" ht="29.1" customHeight="1" x14ac:dyDescent="0.25">
      <c r="A12407" s="2" t="s">
        <v>25022</v>
      </c>
      <c r="B12407" s="2" t="s">
        <v>25023</v>
      </c>
      <c r="C12407" s="2" t="s">
        <v>6834</v>
      </c>
      <c r="D12407" s="2" t="s">
        <v>984</v>
      </c>
      <c r="E12407" s="2"/>
      <c r="F12407" s="2"/>
    </row>
    <row r="12408" spans="1:6" s="3" customFormat="1" ht="29.1" customHeight="1" x14ac:dyDescent="0.25">
      <c r="A12408" s="2" t="s">
        <v>25024</v>
      </c>
      <c r="B12408" s="2" t="s">
        <v>11803</v>
      </c>
      <c r="C12408" s="2" t="s">
        <v>6834</v>
      </c>
      <c r="D12408" s="2" t="s">
        <v>6837</v>
      </c>
      <c r="E12408" s="2"/>
      <c r="F12408" s="2"/>
    </row>
    <row r="12409" spans="1:6" s="3" customFormat="1" ht="29.1" customHeight="1" x14ac:dyDescent="0.25">
      <c r="A12409" s="2" t="s">
        <v>25025</v>
      </c>
      <c r="B12409" s="2" t="s">
        <v>11828</v>
      </c>
      <c r="C12409" s="2" t="s">
        <v>6834</v>
      </c>
      <c r="D12409" s="2" t="s">
        <v>6837</v>
      </c>
      <c r="E12409" s="2"/>
      <c r="F12409" s="2"/>
    </row>
    <row r="12410" spans="1:6" s="3" customFormat="1" ht="29.1" customHeight="1" x14ac:dyDescent="0.25">
      <c r="A12410" s="2" t="s">
        <v>25026</v>
      </c>
      <c r="B12410" s="2" t="s">
        <v>6834</v>
      </c>
      <c r="C12410" s="2" t="s">
        <v>6834</v>
      </c>
      <c r="D12410" s="2" t="s">
        <v>6837</v>
      </c>
      <c r="E12410" s="2"/>
      <c r="F12410" s="2"/>
    </row>
    <row r="12411" spans="1:6" s="3" customFormat="1" ht="29.1" customHeight="1" x14ac:dyDescent="0.25">
      <c r="A12411" s="2" t="s">
        <v>25027</v>
      </c>
      <c r="B12411" s="2" t="s">
        <v>11803</v>
      </c>
      <c r="C12411" s="2" t="s">
        <v>6834</v>
      </c>
      <c r="D12411" s="2" t="s">
        <v>6835</v>
      </c>
      <c r="E12411" s="2" t="str">
        <f>"9789280533873"</f>
        <v>9789280533873</v>
      </c>
      <c r="F12411" s="2" t="str">
        <f>"9789280533880"</f>
        <v>9789280533880</v>
      </c>
    </row>
    <row r="12412" spans="1:6" s="3" customFormat="1" ht="29.1" customHeight="1" x14ac:dyDescent="0.25">
      <c r="A12412" s="2" t="s">
        <v>25028</v>
      </c>
      <c r="B12412" s="2" t="s">
        <v>11828</v>
      </c>
      <c r="C12412" s="2" t="s">
        <v>6834</v>
      </c>
      <c r="D12412" s="2" t="s">
        <v>6835</v>
      </c>
      <c r="E12412" s="2" t="str">
        <f>"9789280533859"</f>
        <v>9789280533859</v>
      </c>
      <c r="F12412" s="2" t="str">
        <f>"9789280533866"</f>
        <v>9789280533866</v>
      </c>
    </row>
    <row r="12413" spans="1:6" s="3" customFormat="1" ht="29.1" customHeight="1" x14ac:dyDescent="0.25">
      <c r="A12413" s="2" t="s">
        <v>25029</v>
      </c>
      <c r="B12413" s="2" t="s">
        <v>6834</v>
      </c>
      <c r="C12413" s="2" t="s">
        <v>6834</v>
      </c>
      <c r="D12413" s="2" t="s">
        <v>6837</v>
      </c>
      <c r="E12413" s="2" t="str">
        <f>"9789280533835"</f>
        <v>9789280533835</v>
      </c>
      <c r="F12413" s="2" t="str">
        <f>"9789280533842"</f>
        <v>9789280533842</v>
      </c>
    </row>
    <row r="12414" spans="1:6" s="3" customFormat="1" ht="29.1" customHeight="1" x14ac:dyDescent="0.25">
      <c r="A12414" s="2" t="s">
        <v>25030</v>
      </c>
      <c r="B12414" s="2" t="s">
        <v>25031</v>
      </c>
      <c r="C12414" s="2" t="s">
        <v>6834</v>
      </c>
      <c r="D12414" s="2" t="s">
        <v>6837</v>
      </c>
      <c r="E12414" s="2"/>
      <c r="F12414" s="2"/>
    </row>
    <row r="12415" spans="1:6" s="3" customFormat="1" ht="29.1" customHeight="1" x14ac:dyDescent="0.25">
      <c r="A12415" s="2" t="s">
        <v>25032</v>
      </c>
      <c r="B12415" s="2" t="s">
        <v>24873</v>
      </c>
      <c r="C12415" s="2" t="s">
        <v>6834</v>
      </c>
      <c r="D12415" s="2" t="s">
        <v>6837</v>
      </c>
      <c r="E12415" s="2" t="str">
        <f>"9789280534825"</f>
        <v>9789280534825</v>
      </c>
      <c r="F12415" s="2" t="str">
        <f>"9789280534832"</f>
        <v>9789280534832</v>
      </c>
    </row>
    <row r="12416" spans="1:6" s="3" customFormat="1" ht="29.1" customHeight="1" x14ac:dyDescent="0.25">
      <c r="A12416" s="2" t="s">
        <v>25033</v>
      </c>
      <c r="B12416" s="2" t="s">
        <v>24873</v>
      </c>
      <c r="C12416" s="2" t="s">
        <v>6834</v>
      </c>
      <c r="D12416" s="2" t="s">
        <v>6837</v>
      </c>
      <c r="E12416" s="2" t="str">
        <f>"9789280534801"</f>
        <v>9789280534801</v>
      </c>
      <c r="F12416" s="2" t="str">
        <f>"9789280534818"</f>
        <v>9789280534818</v>
      </c>
    </row>
    <row r="12417" spans="1:6" s="3" customFormat="1" ht="29.1" customHeight="1" x14ac:dyDescent="0.25">
      <c r="A12417" s="2" t="s">
        <v>25034</v>
      </c>
      <c r="B12417" s="2" t="s">
        <v>24873</v>
      </c>
      <c r="C12417" s="2" t="s">
        <v>6834</v>
      </c>
      <c r="D12417" s="2" t="s">
        <v>6837</v>
      </c>
      <c r="E12417" s="2" t="str">
        <f>"9789280534788"</f>
        <v>9789280534788</v>
      </c>
      <c r="F12417" s="2" t="str">
        <f>"9789280534795"</f>
        <v>9789280534795</v>
      </c>
    </row>
    <row r="12418" spans="1:6" s="3" customFormat="1" ht="29.1" customHeight="1" x14ac:dyDescent="0.25">
      <c r="A12418" s="2" t="s">
        <v>25035</v>
      </c>
      <c r="B12418" s="2" t="s">
        <v>24873</v>
      </c>
      <c r="C12418" s="2" t="s">
        <v>6834</v>
      </c>
      <c r="D12418" s="2" t="s">
        <v>2433</v>
      </c>
      <c r="E12418" s="2" t="str">
        <f>"9789280534764"</f>
        <v>9789280534764</v>
      </c>
      <c r="F12418" s="2" t="str">
        <f>"9789280534771"</f>
        <v>9789280534771</v>
      </c>
    </row>
    <row r="12419" spans="1:6" s="3" customFormat="1" ht="29.1" customHeight="1" x14ac:dyDescent="0.25">
      <c r="A12419" s="2" t="s">
        <v>25036</v>
      </c>
      <c r="B12419" s="2" t="s">
        <v>25037</v>
      </c>
      <c r="C12419" s="2" t="s">
        <v>6834</v>
      </c>
      <c r="D12419" s="2" t="s">
        <v>6837</v>
      </c>
      <c r="E12419" s="2"/>
      <c r="F12419" s="2"/>
    </row>
    <row r="12420" spans="1:6" s="3" customFormat="1" ht="29.1" customHeight="1" x14ac:dyDescent="0.25">
      <c r="A12420" s="2" t="s">
        <v>25038</v>
      </c>
      <c r="B12420" s="2" t="s">
        <v>25037</v>
      </c>
      <c r="C12420" s="2" t="s">
        <v>6834</v>
      </c>
      <c r="D12420" s="2" t="s">
        <v>6837</v>
      </c>
      <c r="E12420" s="2"/>
      <c r="F12420" s="2"/>
    </row>
    <row r="12421" spans="1:6" s="3" customFormat="1" ht="29.1" customHeight="1" x14ac:dyDescent="0.25">
      <c r="A12421" s="2" t="s">
        <v>25039</v>
      </c>
      <c r="B12421" s="2" t="s">
        <v>24814</v>
      </c>
      <c r="C12421" s="2" t="s">
        <v>6834</v>
      </c>
      <c r="D12421" s="2" t="s">
        <v>6837</v>
      </c>
      <c r="E12421" s="2"/>
      <c r="F12421" s="2"/>
    </row>
    <row r="12422" spans="1:6" s="3" customFormat="1" ht="29.1" customHeight="1" x14ac:dyDescent="0.25">
      <c r="A12422" s="2" t="s">
        <v>25040</v>
      </c>
      <c r="B12422" s="2" t="s">
        <v>24814</v>
      </c>
      <c r="C12422" s="2" t="s">
        <v>6834</v>
      </c>
      <c r="D12422" s="2" t="s">
        <v>6837</v>
      </c>
      <c r="E12422" s="2"/>
      <c r="F12422" s="2"/>
    </row>
    <row r="12423" spans="1:6" s="3" customFormat="1" ht="29.1" customHeight="1" x14ac:dyDescent="0.25">
      <c r="A12423" s="2" t="s">
        <v>25041</v>
      </c>
      <c r="B12423" s="2" t="s">
        <v>25000</v>
      </c>
      <c r="C12423" s="2" t="s">
        <v>6834</v>
      </c>
      <c r="D12423" s="2" t="s">
        <v>18534</v>
      </c>
      <c r="E12423" s="2"/>
      <c r="F12423" s="2"/>
    </row>
    <row r="12424" spans="1:6" s="3" customFormat="1" ht="29.1" customHeight="1" x14ac:dyDescent="0.25">
      <c r="A12424" s="2" t="s">
        <v>25042</v>
      </c>
      <c r="B12424" s="2" t="s">
        <v>25043</v>
      </c>
      <c r="C12424" s="2" t="s">
        <v>6834</v>
      </c>
      <c r="D12424" s="2" t="s">
        <v>18534</v>
      </c>
      <c r="E12424" s="2" t="str">
        <f>"9789280534320"</f>
        <v>9789280534320</v>
      </c>
      <c r="F12424" s="2" t="str">
        <f>"9789280534337"</f>
        <v>9789280534337</v>
      </c>
    </row>
    <row r="12425" spans="1:6" s="3" customFormat="1" ht="29.1" customHeight="1" x14ac:dyDescent="0.25">
      <c r="A12425" s="2" t="s">
        <v>25044</v>
      </c>
      <c r="B12425" s="2" t="s">
        <v>6834</v>
      </c>
      <c r="C12425" s="2" t="s">
        <v>6834</v>
      </c>
      <c r="D12425" s="2" t="s">
        <v>6837</v>
      </c>
      <c r="E12425" s="2"/>
      <c r="F12425" s="2"/>
    </row>
    <row r="12426" spans="1:6" s="3" customFormat="1" ht="29.1" customHeight="1" x14ac:dyDescent="0.25">
      <c r="A12426" s="2" t="s">
        <v>25045</v>
      </c>
      <c r="B12426" s="2" t="s">
        <v>6834</v>
      </c>
      <c r="C12426" s="2" t="s">
        <v>6834</v>
      </c>
      <c r="D12426" s="2" t="s">
        <v>6835</v>
      </c>
      <c r="E12426" s="2"/>
      <c r="F12426" s="2" t="str">
        <f>"9789280531770"</f>
        <v>9789280531770</v>
      </c>
    </row>
    <row r="12427" spans="1:6" s="3" customFormat="1" ht="29.1" customHeight="1" x14ac:dyDescent="0.25">
      <c r="A12427" s="2" t="s">
        <v>25046</v>
      </c>
      <c r="B12427" s="2" t="s">
        <v>6834</v>
      </c>
      <c r="C12427" s="2" t="s">
        <v>6834</v>
      </c>
      <c r="D12427" s="2" t="s">
        <v>6835</v>
      </c>
      <c r="E12427" s="2"/>
      <c r="F12427" s="2"/>
    </row>
    <row r="12428" spans="1:6" s="3" customFormat="1" ht="29.1" customHeight="1" x14ac:dyDescent="0.25">
      <c r="A12428" s="2" t="s">
        <v>25047</v>
      </c>
      <c r="B12428" s="2" t="s">
        <v>11803</v>
      </c>
      <c r="C12428" s="2" t="s">
        <v>6834</v>
      </c>
      <c r="D12428" s="2" t="s">
        <v>6837</v>
      </c>
      <c r="E12428" s="2"/>
      <c r="F12428" s="2"/>
    </row>
    <row r="12429" spans="1:6" s="3" customFormat="1" ht="29.1" customHeight="1" x14ac:dyDescent="0.25">
      <c r="A12429" s="2" t="s">
        <v>25048</v>
      </c>
      <c r="B12429" s="2" t="s">
        <v>11828</v>
      </c>
      <c r="C12429" s="2" t="s">
        <v>6834</v>
      </c>
      <c r="D12429" s="2" t="s">
        <v>6837</v>
      </c>
      <c r="E12429" s="2"/>
      <c r="F12429" s="2"/>
    </row>
    <row r="12430" spans="1:6" s="3" customFormat="1" ht="29.1" customHeight="1" x14ac:dyDescent="0.25">
      <c r="A12430" s="2" t="s">
        <v>25049</v>
      </c>
      <c r="B12430" s="2" t="s">
        <v>6834</v>
      </c>
      <c r="C12430" s="2" t="s">
        <v>6834</v>
      </c>
      <c r="D12430" s="2" t="s">
        <v>6835</v>
      </c>
      <c r="E12430" s="2"/>
      <c r="F12430" s="2"/>
    </row>
    <row r="12431" spans="1:6" s="3" customFormat="1" ht="29.1" customHeight="1" x14ac:dyDescent="0.25">
      <c r="A12431" s="2" t="s">
        <v>25050</v>
      </c>
      <c r="B12431" s="2" t="s">
        <v>11803</v>
      </c>
      <c r="C12431" s="2" t="s">
        <v>6834</v>
      </c>
      <c r="D12431" s="2" t="s">
        <v>6835</v>
      </c>
      <c r="E12431" s="2"/>
      <c r="F12431" s="2"/>
    </row>
    <row r="12432" spans="1:6" s="3" customFormat="1" ht="29.1" customHeight="1" x14ac:dyDescent="0.25">
      <c r="A12432" s="2" t="s">
        <v>25051</v>
      </c>
      <c r="B12432" s="2" t="s">
        <v>11828</v>
      </c>
      <c r="C12432" s="2" t="s">
        <v>6834</v>
      </c>
      <c r="D12432" s="2" t="s">
        <v>6835</v>
      </c>
      <c r="E12432" s="2"/>
      <c r="F12432" s="2"/>
    </row>
    <row r="12433" spans="1:6" s="3" customFormat="1" ht="29.1" customHeight="1" x14ac:dyDescent="0.25">
      <c r="A12433" s="2" t="s">
        <v>25052</v>
      </c>
      <c r="B12433" s="2" t="s">
        <v>6834</v>
      </c>
      <c r="C12433" s="2" t="s">
        <v>6834</v>
      </c>
      <c r="D12433" s="2" t="s">
        <v>6837</v>
      </c>
      <c r="E12433" s="2"/>
      <c r="F12433" s="2"/>
    </row>
    <row r="12434" spans="1:6" s="3" customFormat="1" ht="29.1" customHeight="1" x14ac:dyDescent="0.25">
      <c r="A12434" s="2" t="s">
        <v>25053</v>
      </c>
      <c r="B12434" s="2" t="s">
        <v>6834</v>
      </c>
      <c r="C12434" s="2" t="s">
        <v>6834</v>
      </c>
      <c r="D12434" s="2" t="s">
        <v>6837</v>
      </c>
      <c r="E12434" s="2"/>
      <c r="F12434" s="2"/>
    </row>
    <row r="12435" spans="1:6" s="3" customFormat="1" ht="29.1" customHeight="1" x14ac:dyDescent="0.25">
      <c r="A12435" s="2" t="s">
        <v>25054</v>
      </c>
      <c r="B12435" s="2" t="s">
        <v>6834</v>
      </c>
      <c r="C12435" s="2" t="s">
        <v>6834</v>
      </c>
      <c r="D12435" s="2" t="s">
        <v>6837</v>
      </c>
      <c r="E12435" s="2"/>
      <c r="F12435" s="2"/>
    </row>
    <row r="12436" spans="1:6" s="3" customFormat="1" ht="29.1" customHeight="1" x14ac:dyDescent="0.25">
      <c r="A12436" s="2" t="s">
        <v>25055</v>
      </c>
      <c r="B12436" s="2" t="s">
        <v>6834</v>
      </c>
      <c r="C12436" s="2" t="s">
        <v>6834</v>
      </c>
      <c r="D12436" s="2" t="s">
        <v>6837</v>
      </c>
      <c r="E12436" s="2"/>
      <c r="F12436" s="2"/>
    </row>
    <row r="12437" spans="1:6" s="3" customFormat="1" ht="29.1" customHeight="1" x14ac:dyDescent="0.25">
      <c r="A12437" s="2" t="s">
        <v>25056</v>
      </c>
      <c r="B12437" s="2" t="s">
        <v>11828</v>
      </c>
      <c r="C12437" s="2" t="s">
        <v>6834</v>
      </c>
      <c r="D12437" s="2" t="s">
        <v>6837</v>
      </c>
      <c r="E12437" s="2" t="str">
        <f>"9789280531091"</f>
        <v>9789280531091</v>
      </c>
      <c r="F12437" s="2"/>
    </row>
    <row r="12438" spans="1:6" s="3" customFormat="1" ht="29.1" customHeight="1" x14ac:dyDescent="0.25">
      <c r="A12438" s="2" t="s">
        <v>25057</v>
      </c>
      <c r="B12438" s="2" t="s">
        <v>6834</v>
      </c>
      <c r="C12438" s="2" t="s">
        <v>6834</v>
      </c>
      <c r="D12438" s="2" t="s">
        <v>8553</v>
      </c>
      <c r="E12438" s="2" t="str">
        <f>"9789280529838"</f>
        <v>9789280529838</v>
      </c>
      <c r="F12438" s="2"/>
    </row>
    <row r="12439" spans="1:6" s="3" customFormat="1" ht="29.1" customHeight="1" x14ac:dyDescent="0.25">
      <c r="A12439" s="2" t="s">
        <v>25058</v>
      </c>
      <c r="B12439" s="2" t="s">
        <v>11803</v>
      </c>
      <c r="C12439" s="2" t="s">
        <v>6834</v>
      </c>
      <c r="D12439" s="2" t="s">
        <v>6837</v>
      </c>
      <c r="E12439" s="2"/>
      <c r="F12439" s="2"/>
    </row>
    <row r="12440" spans="1:6" s="3" customFormat="1" ht="29.1" customHeight="1" x14ac:dyDescent="0.25">
      <c r="A12440" s="2" t="s">
        <v>25059</v>
      </c>
      <c r="B12440" s="2" t="s">
        <v>11828</v>
      </c>
      <c r="C12440" s="2" t="s">
        <v>6834</v>
      </c>
      <c r="D12440" s="2" t="s">
        <v>6837</v>
      </c>
      <c r="E12440" s="2"/>
      <c r="F12440" s="2"/>
    </row>
    <row r="12441" spans="1:6" s="3" customFormat="1" ht="29.1" customHeight="1" x14ac:dyDescent="0.25">
      <c r="A12441" s="2" t="s">
        <v>25060</v>
      </c>
      <c r="B12441" s="2" t="s">
        <v>6834</v>
      </c>
      <c r="C12441" s="2" t="s">
        <v>6834</v>
      </c>
      <c r="D12441" s="2" t="s">
        <v>6837</v>
      </c>
      <c r="E12441" s="2"/>
      <c r="F12441" s="2" t="str">
        <f>"9789280530841"</f>
        <v>9789280530841</v>
      </c>
    </row>
    <row r="12442" spans="1:6" s="3" customFormat="1" ht="29.1" customHeight="1" x14ac:dyDescent="0.25">
      <c r="A12442" s="2" t="s">
        <v>25061</v>
      </c>
      <c r="B12442" s="2" t="s">
        <v>6834</v>
      </c>
      <c r="C12442" s="2" t="s">
        <v>6834</v>
      </c>
      <c r="D12442" s="2" t="s">
        <v>6837</v>
      </c>
      <c r="E12442" s="2"/>
      <c r="F12442" s="2"/>
    </row>
    <row r="12443" spans="1:6" s="3" customFormat="1" ht="29.1" customHeight="1" x14ac:dyDescent="0.25">
      <c r="A12443" s="2" t="s">
        <v>25062</v>
      </c>
      <c r="B12443" s="2" t="s">
        <v>6834</v>
      </c>
      <c r="C12443" s="2" t="s">
        <v>6834</v>
      </c>
      <c r="D12443" s="2" t="s">
        <v>6837</v>
      </c>
      <c r="E12443" s="2"/>
      <c r="F12443" s="2"/>
    </row>
    <row r="12444" spans="1:6" s="3" customFormat="1" ht="29.1" customHeight="1" x14ac:dyDescent="0.25">
      <c r="A12444" s="2" t="s">
        <v>25063</v>
      </c>
      <c r="B12444" s="2" t="s">
        <v>6834</v>
      </c>
      <c r="C12444" s="2" t="s">
        <v>6834</v>
      </c>
      <c r="D12444" s="2" t="s">
        <v>6837</v>
      </c>
      <c r="E12444" s="2"/>
      <c r="F12444" s="2"/>
    </row>
    <row r="12445" spans="1:6" s="3" customFormat="1" ht="29.1" customHeight="1" x14ac:dyDescent="0.25">
      <c r="A12445" s="2" t="s">
        <v>25064</v>
      </c>
      <c r="B12445" s="2" t="s">
        <v>6834</v>
      </c>
      <c r="C12445" s="2" t="s">
        <v>6834</v>
      </c>
      <c r="D12445" s="2" t="s">
        <v>6837</v>
      </c>
      <c r="E12445" s="2" t="str">
        <f>"9789280534191"</f>
        <v>9789280534191</v>
      </c>
      <c r="F12445" s="2" t="str">
        <f>"9789280534252"</f>
        <v>9789280534252</v>
      </c>
    </row>
    <row r="12446" spans="1:6" s="3" customFormat="1" ht="29.1" customHeight="1" x14ac:dyDescent="0.25">
      <c r="A12446" s="2" t="s">
        <v>25065</v>
      </c>
      <c r="B12446" s="2" t="s">
        <v>6834</v>
      </c>
      <c r="C12446" s="2" t="s">
        <v>6834</v>
      </c>
      <c r="D12446" s="2" t="s">
        <v>6837</v>
      </c>
      <c r="E12446" s="2" t="str">
        <f>"9789280534184"</f>
        <v>9789280534184</v>
      </c>
      <c r="F12446" s="2" t="str">
        <f>"9789280534245"</f>
        <v>9789280534245</v>
      </c>
    </row>
    <row r="12447" spans="1:6" s="3" customFormat="1" ht="29.1" customHeight="1" x14ac:dyDescent="0.25">
      <c r="A12447" s="2" t="s">
        <v>25066</v>
      </c>
      <c r="B12447" s="2" t="s">
        <v>6834</v>
      </c>
      <c r="C12447" s="2" t="s">
        <v>6834</v>
      </c>
      <c r="D12447" s="2" t="s">
        <v>6837</v>
      </c>
      <c r="E12447" s="2" t="str">
        <f>"9789280532838"</f>
        <v>9789280532838</v>
      </c>
      <c r="F12447" s="2" t="str">
        <f>"9789280534290"</f>
        <v>9789280534290</v>
      </c>
    </row>
    <row r="12448" spans="1:6" s="3" customFormat="1" ht="29.1" customHeight="1" x14ac:dyDescent="0.25">
      <c r="A12448" s="2" t="s">
        <v>25067</v>
      </c>
      <c r="B12448" s="2" t="s">
        <v>25068</v>
      </c>
      <c r="C12448" s="2" t="s">
        <v>6834</v>
      </c>
      <c r="D12448" s="2" t="s">
        <v>8553</v>
      </c>
      <c r="E12448" s="2" t="str">
        <f>"9789280533248"</f>
        <v>9789280533248</v>
      </c>
      <c r="F12448" s="2" t="str">
        <f>"9789280533255"</f>
        <v>9789280533255</v>
      </c>
    </row>
    <row r="12449" spans="1:6" s="3" customFormat="1" ht="29.1" customHeight="1" x14ac:dyDescent="0.25">
      <c r="A12449" s="2" t="s">
        <v>25069</v>
      </c>
      <c r="B12449" s="2" t="s">
        <v>25070</v>
      </c>
      <c r="C12449" s="2" t="s">
        <v>6834</v>
      </c>
      <c r="D12449" s="2" t="s">
        <v>8553</v>
      </c>
      <c r="E12449" s="2"/>
      <c r="F12449" s="2"/>
    </row>
    <row r="12450" spans="1:6" s="3" customFormat="1" ht="29.1" customHeight="1" x14ac:dyDescent="0.25">
      <c r="A12450" s="2" t="s">
        <v>25071</v>
      </c>
      <c r="B12450" s="2" t="s">
        <v>25072</v>
      </c>
      <c r="C12450" s="2" t="s">
        <v>6834</v>
      </c>
      <c r="D12450" s="2" t="s">
        <v>8553</v>
      </c>
      <c r="E12450" s="2"/>
      <c r="F12450" s="2"/>
    </row>
    <row r="12451" spans="1:6" s="3" customFormat="1" ht="29.1" customHeight="1" x14ac:dyDescent="0.25">
      <c r="A12451" s="2" t="s">
        <v>25073</v>
      </c>
      <c r="B12451" s="2" t="s">
        <v>25074</v>
      </c>
      <c r="C12451" s="2" t="s">
        <v>6834</v>
      </c>
      <c r="D12451" s="2" t="s">
        <v>8553</v>
      </c>
      <c r="E12451" s="2"/>
      <c r="F12451" s="2"/>
    </row>
    <row r="12452" spans="1:6" s="3" customFormat="1" ht="29.1" customHeight="1" x14ac:dyDescent="0.25">
      <c r="A12452" s="2" t="s">
        <v>25075</v>
      </c>
      <c r="B12452" s="2" t="s">
        <v>25076</v>
      </c>
      <c r="C12452" s="2" t="s">
        <v>6834</v>
      </c>
      <c r="D12452" s="2" t="s">
        <v>6837</v>
      </c>
      <c r="E12452" s="2"/>
      <c r="F12452" s="2"/>
    </row>
    <row r="12453" spans="1:6" s="3" customFormat="1" ht="29.1" customHeight="1" x14ac:dyDescent="0.25">
      <c r="A12453" s="2" t="s">
        <v>25077</v>
      </c>
      <c r="B12453" s="2" t="s">
        <v>25076</v>
      </c>
      <c r="C12453" s="2" t="s">
        <v>6834</v>
      </c>
      <c r="D12453" s="2" t="s">
        <v>8553</v>
      </c>
      <c r="E12453" s="2"/>
      <c r="F12453" s="2"/>
    </row>
    <row r="12454" spans="1:6" s="3" customFormat="1" ht="29.1" customHeight="1" x14ac:dyDescent="0.25">
      <c r="A12454" s="2" t="s">
        <v>25078</v>
      </c>
      <c r="B12454" s="2" t="s">
        <v>25079</v>
      </c>
      <c r="C12454" s="2" t="s">
        <v>6834</v>
      </c>
      <c r="D12454" s="2" t="s">
        <v>6837</v>
      </c>
      <c r="E12454" s="2" t="str">
        <f>"9789280533101"</f>
        <v>9789280533101</v>
      </c>
      <c r="F12454" s="2" t="str">
        <f>"9789280533118"</f>
        <v>9789280533118</v>
      </c>
    </row>
    <row r="12455" spans="1:6" s="3" customFormat="1" ht="29.1" customHeight="1" x14ac:dyDescent="0.25">
      <c r="A12455" s="2" t="s">
        <v>25080</v>
      </c>
      <c r="B12455" s="2" t="s">
        <v>25081</v>
      </c>
      <c r="C12455" s="2" t="s">
        <v>6834</v>
      </c>
      <c r="D12455" s="2" t="s">
        <v>1759</v>
      </c>
      <c r="E12455" s="2"/>
      <c r="F12455" s="2"/>
    </row>
    <row r="12456" spans="1:6" s="3" customFormat="1" ht="29.1" customHeight="1" x14ac:dyDescent="0.25">
      <c r="A12456" s="2" t="s">
        <v>25082</v>
      </c>
      <c r="B12456" s="2" t="s">
        <v>25083</v>
      </c>
      <c r="C12456" s="2" t="s">
        <v>6834</v>
      </c>
      <c r="D12456" s="2" t="s">
        <v>8553</v>
      </c>
      <c r="E12456" s="2"/>
      <c r="F12456" s="2"/>
    </row>
    <row r="12457" spans="1:6" s="3" customFormat="1" ht="29.1" customHeight="1" x14ac:dyDescent="0.25">
      <c r="A12457" s="2" t="s">
        <v>25084</v>
      </c>
      <c r="B12457" s="2" t="s">
        <v>25085</v>
      </c>
      <c r="C12457" s="2" t="s">
        <v>6834</v>
      </c>
      <c r="D12457" s="2" t="s">
        <v>8553</v>
      </c>
      <c r="E12457" s="2" t="str">
        <f>"9789280534306"</f>
        <v>9789280534306</v>
      </c>
      <c r="F12457" s="2" t="str">
        <f>"9789280534313"</f>
        <v>9789280534313</v>
      </c>
    </row>
    <row r="12458" spans="1:6" s="3" customFormat="1" ht="29.1" customHeight="1" x14ac:dyDescent="0.25">
      <c r="A12458" s="2" t="s">
        <v>25086</v>
      </c>
      <c r="B12458" s="2" t="s">
        <v>6834</v>
      </c>
      <c r="C12458" s="2" t="s">
        <v>6834</v>
      </c>
      <c r="D12458" s="2" t="s">
        <v>8553</v>
      </c>
      <c r="E12458" s="2" t="str">
        <f>"9789280534641"</f>
        <v>9789280534641</v>
      </c>
      <c r="F12458" s="2" t="str">
        <f>"9789280534658"</f>
        <v>9789280534658</v>
      </c>
    </row>
    <row r="12459" spans="1:6" s="3" customFormat="1" ht="29.1" customHeight="1" x14ac:dyDescent="0.25">
      <c r="A12459" s="2" t="s">
        <v>25087</v>
      </c>
      <c r="B12459" s="2" t="s">
        <v>25088</v>
      </c>
      <c r="C12459" s="2" t="s">
        <v>6834</v>
      </c>
      <c r="D12459" s="2" t="s">
        <v>6837</v>
      </c>
      <c r="E12459" s="2"/>
      <c r="F12459" s="2"/>
    </row>
    <row r="12460" spans="1:6" s="3" customFormat="1" ht="29.1" customHeight="1" x14ac:dyDescent="0.25">
      <c r="A12460" s="2" t="s">
        <v>25089</v>
      </c>
      <c r="B12460" s="2" t="s">
        <v>6834</v>
      </c>
      <c r="C12460" s="2" t="s">
        <v>6834</v>
      </c>
      <c r="D12460" s="2" t="s">
        <v>8553</v>
      </c>
      <c r="E12460" s="2" t="str">
        <f>"9789280534528"</f>
        <v>9789280534528</v>
      </c>
      <c r="F12460" s="2" t="str">
        <f>"9789280534580"</f>
        <v>9789280534580</v>
      </c>
    </row>
    <row r="12461" spans="1:6" s="3" customFormat="1" ht="29.1" customHeight="1" x14ac:dyDescent="0.25">
      <c r="A12461" s="2" t="s">
        <v>25090</v>
      </c>
      <c r="B12461" s="2" t="s">
        <v>6834</v>
      </c>
      <c r="C12461" s="2" t="s">
        <v>6834</v>
      </c>
      <c r="D12461" s="2" t="s">
        <v>8553</v>
      </c>
      <c r="E12461" s="2" t="str">
        <f>"9789280534504"</f>
        <v>9789280534504</v>
      </c>
      <c r="F12461" s="2" t="str">
        <f>"9789280534566"</f>
        <v>9789280534566</v>
      </c>
    </row>
    <row r="12462" spans="1:6" s="3" customFormat="1" ht="29.1" customHeight="1" x14ac:dyDescent="0.25">
      <c r="A12462" s="2" t="s">
        <v>25091</v>
      </c>
      <c r="B12462" s="2" t="s">
        <v>6834</v>
      </c>
      <c r="C12462" s="2" t="s">
        <v>6834</v>
      </c>
      <c r="D12462" s="2" t="s">
        <v>8553</v>
      </c>
      <c r="E12462" s="2" t="str">
        <f>"9789280534924"</f>
        <v>9789280534924</v>
      </c>
      <c r="F12462" s="2" t="str">
        <f>"9789280534931"</f>
        <v>9789280534931</v>
      </c>
    </row>
    <row r="12463" spans="1:6" s="3" customFormat="1" ht="29.1" customHeight="1" x14ac:dyDescent="0.25">
      <c r="A12463" s="2" t="s">
        <v>25092</v>
      </c>
      <c r="B12463" s="2" t="s">
        <v>25093</v>
      </c>
      <c r="C12463" s="2" t="s">
        <v>6834</v>
      </c>
      <c r="D12463" s="2" t="s">
        <v>8553</v>
      </c>
      <c r="E12463" s="2"/>
      <c r="F12463" s="2"/>
    </row>
    <row r="12464" spans="1:6" s="3" customFormat="1" ht="29.1" customHeight="1" x14ac:dyDescent="0.25">
      <c r="A12464" s="2" t="s">
        <v>25094</v>
      </c>
      <c r="B12464" s="2" t="s">
        <v>25095</v>
      </c>
      <c r="C12464" s="2" t="s">
        <v>595</v>
      </c>
      <c r="D12464" s="2" t="s">
        <v>7460</v>
      </c>
      <c r="E12464" s="2" t="str">
        <f>"9783034347440"</f>
        <v>9783034347440</v>
      </c>
      <c r="F12464" s="2" t="str">
        <f>"9783034347464"</f>
        <v>9783034347464</v>
      </c>
    </row>
    <row r="12465" spans="1:6" s="3" customFormat="1" ht="29.1" customHeight="1" x14ac:dyDescent="0.25">
      <c r="A12465" s="2" t="s">
        <v>25096</v>
      </c>
      <c r="B12465" s="2" t="s">
        <v>7962</v>
      </c>
      <c r="C12465" s="2" t="s">
        <v>327</v>
      </c>
      <c r="D12465" s="2" t="s">
        <v>25097</v>
      </c>
      <c r="E12465" s="2" t="str">
        <f>"9788383312514"</f>
        <v>9788383312514</v>
      </c>
      <c r="F12465" s="2" t="str">
        <f>"9788383312521"</f>
        <v>9788383312521</v>
      </c>
    </row>
    <row r="12466" spans="1:6" s="3" customFormat="1" ht="29.1" customHeight="1" x14ac:dyDescent="0.25">
      <c r="A12466" s="2" t="s">
        <v>25098</v>
      </c>
      <c r="B12466" s="2" t="s">
        <v>25099</v>
      </c>
      <c r="C12466" s="2" t="s">
        <v>327</v>
      </c>
      <c r="D12466" s="2" t="s">
        <v>5758</v>
      </c>
      <c r="E12466" s="2" t="str">
        <f>"9788383313184"</f>
        <v>9788383313184</v>
      </c>
      <c r="F12466" s="2" t="str">
        <f>"9788383313191"</f>
        <v>9788383313191</v>
      </c>
    </row>
    <row r="12467" spans="1:6" s="3" customFormat="1" ht="29.1" customHeight="1" x14ac:dyDescent="0.25">
      <c r="A12467" s="2" t="s">
        <v>25100</v>
      </c>
      <c r="B12467" s="2" t="s">
        <v>25101</v>
      </c>
      <c r="C12467" s="2" t="s">
        <v>327</v>
      </c>
      <c r="D12467" s="2" t="s">
        <v>6002</v>
      </c>
      <c r="E12467" s="2" t="str">
        <f>"9788383312873"</f>
        <v>9788383312873</v>
      </c>
      <c r="F12467" s="2" t="str">
        <f>"9788383312866"</f>
        <v>9788383312866</v>
      </c>
    </row>
    <row r="12468" spans="1:6" s="3" customFormat="1" ht="29.1" customHeight="1" x14ac:dyDescent="0.25">
      <c r="A12468" s="2" t="s">
        <v>25102</v>
      </c>
      <c r="B12468" s="2" t="s">
        <v>25103</v>
      </c>
      <c r="C12468" s="2" t="s">
        <v>327</v>
      </c>
      <c r="D12468" s="2" t="s">
        <v>270</v>
      </c>
      <c r="E12468" s="2"/>
      <c r="F12468" s="2" t="str">
        <f>"9788383313023"</f>
        <v>9788383313023</v>
      </c>
    </row>
    <row r="12469" spans="1:6" s="3" customFormat="1" ht="29.1" customHeight="1" x14ac:dyDescent="0.25">
      <c r="A12469" s="2" t="s">
        <v>25104</v>
      </c>
      <c r="B12469" s="2" t="s">
        <v>25105</v>
      </c>
      <c r="C12469" s="2" t="s">
        <v>327</v>
      </c>
      <c r="D12469" s="2" t="s">
        <v>882</v>
      </c>
      <c r="E12469" s="2" t="str">
        <f>"9788383311760"</f>
        <v>9788383311760</v>
      </c>
      <c r="F12469" s="2" t="str">
        <f>"9788383311777"</f>
        <v>9788383311777</v>
      </c>
    </row>
    <row r="12470" spans="1:6" s="3" customFormat="1" ht="29.1" customHeight="1" x14ac:dyDescent="0.25">
      <c r="A12470" s="2" t="s">
        <v>25106</v>
      </c>
      <c r="B12470" s="2" t="s">
        <v>25107</v>
      </c>
      <c r="C12470" s="2" t="s">
        <v>264</v>
      </c>
      <c r="D12470" s="2" t="s">
        <v>922</v>
      </c>
      <c r="E12470" s="2" t="str">
        <f>"9781032549897"</f>
        <v>9781032549897</v>
      </c>
      <c r="F12470" s="2" t="str">
        <f>"9781003430957"</f>
        <v>9781003430957</v>
      </c>
    </row>
    <row r="12471" spans="1:6" s="3" customFormat="1" ht="29.1" customHeight="1" x14ac:dyDescent="0.25">
      <c r="A12471" s="2" t="s">
        <v>25108</v>
      </c>
      <c r="B12471" s="2" t="s">
        <v>25109</v>
      </c>
      <c r="C12471" s="2" t="s">
        <v>124</v>
      </c>
      <c r="D12471" s="2" t="s">
        <v>30</v>
      </c>
      <c r="E12471" s="2" t="str">
        <f>"9781032283784"</f>
        <v>9781032283784</v>
      </c>
      <c r="F12471" s="2" t="str">
        <f>"9781003296577"</f>
        <v>9781003296577</v>
      </c>
    </row>
    <row r="12472" spans="1:6" s="3" customFormat="1" ht="29.1" customHeight="1" x14ac:dyDescent="0.25">
      <c r="A12472" s="2" t="s">
        <v>25110</v>
      </c>
      <c r="B12472" s="2" t="s">
        <v>25111</v>
      </c>
      <c r="C12472" s="2" t="s">
        <v>124</v>
      </c>
      <c r="D12472" s="2" t="s">
        <v>9</v>
      </c>
      <c r="E12472" s="2" t="str">
        <f>"9781032513461"</f>
        <v>9781032513461</v>
      </c>
      <c r="F12472" s="2" t="str">
        <f>"9781003403586"</f>
        <v>9781003403586</v>
      </c>
    </row>
    <row r="12473" spans="1:6" s="3" customFormat="1" ht="29.1" customHeight="1" x14ac:dyDescent="0.25">
      <c r="A12473" s="2" t="s">
        <v>25112</v>
      </c>
      <c r="B12473" s="2" t="s">
        <v>25113</v>
      </c>
      <c r="C12473" s="2" t="s">
        <v>124</v>
      </c>
      <c r="D12473" s="2" t="s">
        <v>186</v>
      </c>
      <c r="E12473" s="2" t="str">
        <f>"9781032110011"</f>
        <v>9781032110011</v>
      </c>
      <c r="F12473" s="2" t="str">
        <f>"9781003218043"</f>
        <v>9781003218043</v>
      </c>
    </row>
    <row r="12474" spans="1:6" s="3" customFormat="1" ht="29.1" customHeight="1" x14ac:dyDescent="0.25">
      <c r="A12474" s="2" t="s">
        <v>25114</v>
      </c>
      <c r="B12474" s="2" t="s">
        <v>25115</v>
      </c>
      <c r="C12474" s="2" t="s">
        <v>124</v>
      </c>
      <c r="D12474" s="2" t="s">
        <v>413</v>
      </c>
      <c r="E12474" s="2" t="str">
        <f>"9781032489919"</f>
        <v>9781032489919</v>
      </c>
      <c r="F12474" s="2" t="str">
        <f>"9781003391746"</f>
        <v>9781003391746</v>
      </c>
    </row>
    <row r="12475" spans="1:6" s="3" customFormat="1" ht="29.1" customHeight="1" x14ac:dyDescent="0.25">
      <c r="A12475" s="2" t="s">
        <v>25116</v>
      </c>
      <c r="B12475" s="2" t="s">
        <v>25117</v>
      </c>
      <c r="C12475" s="2" t="s">
        <v>124</v>
      </c>
      <c r="D12475" s="2" t="s">
        <v>186</v>
      </c>
      <c r="E12475" s="2" t="str">
        <f>"9781032429410"</f>
        <v>9781032429410</v>
      </c>
      <c r="F12475" s="2" t="str">
        <f>"9781003365013"</f>
        <v>9781003365013</v>
      </c>
    </row>
    <row r="12476" spans="1:6" s="3" customFormat="1" ht="29.1" customHeight="1" x14ac:dyDescent="0.25">
      <c r="A12476" s="2" t="s">
        <v>25118</v>
      </c>
      <c r="B12476" s="2" t="s">
        <v>25119</v>
      </c>
      <c r="C12476" s="2" t="s">
        <v>927</v>
      </c>
      <c r="D12476" s="2" t="s">
        <v>270</v>
      </c>
      <c r="E12476" s="2" t="str">
        <f>"9780472055838"</f>
        <v>9780472055838</v>
      </c>
      <c r="F12476" s="2" t="str">
        <f>"9780472903160"</f>
        <v>9780472903160</v>
      </c>
    </row>
    <row r="12477" spans="1:6" s="3" customFormat="1" ht="29.1" customHeight="1" x14ac:dyDescent="0.25">
      <c r="A12477" s="2" t="s">
        <v>25120</v>
      </c>
      <c r="B12477" s="2" t="s">
        <v>25121</v>
      </c>
      <c r="C12477" s="2" t="s">
        <v>927</v>
      </c>
      <c r="D12477" s="2" t="s">
        <v>270</v>
      </c>
      <c r="E12477" s="2" t="str">
        <f>"9780472055883"</f>
        <v>9780472055883</v>
      </c>
      <c r="F12477" s="2" t="str">
        <f>"9780472903207"</f>
        <v>9780472903207</v>
      </c>
    </row>
    <row r="12478" spans="1:6" s="3" customFormat="1" ht="29.1" customHeight="1" x14ac:dyDescent="0.25">
      <c r="A12478" s="2" t="s">
        <v>25122</v>
      </c>
      <c r="B12478" s="2" t="s">
        <v>25123</v>
      </c>
      <c r="C12478" s="2" t="s">
        <v>746</v>
      </c>
      <c r="D12478" s="2" t="s">
        <v>4185</v>
      </c>
      <c r="E12478" s="2" t="str">
        <f>"9781803276304"</f>
        <v>9781803276304</v>
      </c>
      <c r="F12478" s="2" t="str">
        <f>"9781803276311"</f>
        <v>9781803276311</v>
      </c>
    </row>
    <row r="12479" spans="1:6" s="3" customFormat="1" ht="29.1" customHeight="1" x14ac:dyDescent="0.25">
      <c r="A12479" s="2" t="s">
        <v>25124</v>
      </c>
      <c r="B12479" s="2" t="s">
        <v>25125</v>
      </c>
      <c r="C12479" s="2" t="s">
        <v>316</v>
      </c>
      <c r="D12479" s="2" t="s">
        <v>650</v>
      </c>
      <c r="E12479" s="2" t="str">
        <f>"9783036401768"</f>
        <v>9783036401768</v>
      </c>
      <c r="F12479" s="2" t="str">
        <f>"9783036411767"</f>
        <v>9783036411767</v>
      </c>
    </row>
    <row r="12480" spans="1:6" s="3" customFormat="1" ht="29.1" customHeight="1" x14ac:dyDescent="0.25">
      <c r="A12480" s="2" t="s">
        <v>25126</v>
      </c>
      <c r="B12480" s="2" t="s">
        <v>25127</v>
      </c>
      <c r="C12480" s="2" t="s">
        <v>124</v>
      </c>
      <c r="D12480" s="2" t="s">
        <v>125</v>
      </c>
      <c r="E12480" s="2" t="str">
        <f>"9781032446349"</f>
        <v>9781032446349</v>
      </c>
      <c r="F12480" s="2" t="str">
        <f>"9781003376057"</f>
        <v>9781003376057</v>
      </c>
    </row>
    <row r="12481" spans="1:6" s="3" customFormat="1" ht="29.1" customHeight="1" x14ac:dyDescent="0.25">
      <c r="A12481" s="2" t="s">
        <v>25128</v>
      </c>
      <c r="B12481" s="2" t="s">
        <v>25129</v>
      </c>
      <c r="C12481" s="2" t="s">
        <v>124</v>
      </c>
      <c r="D12481" s="2" t="s">
        <v>2513</v>
      </c>
      <c r="E12481" s="2" t="str">
        <f>"9781032276908"</f>
        <v>9781032276908</v>
      </c>
      <c r="F12481" s="2" t="str">
        <f>"9781003293736"</f>
        <v>9781003293736</v>
      </c>
    </row>
    <row r="12482" spans="1:6" s="3" customFormat="1" ht="29.1" customHeight="1" x14ac:dyDescent="0.25">
      <c r="A12482" s="2" t="s">
        <v>25130</v>
      </c>
      <c r="B12482" s="2" t="s">
        <v>25131</v>
      </c>
      <c r="C12482" s="2" t="s">
        <v>18537</v>
      </c>
      <c r="D12482" s="2" t="s">
        <v>1010</v>
      </c>
      <c r="E12482" s="2"/>
      <c r="F12482" s="2" t="str">
        <f>"9780311000524"</f>
        <v>9780311000524</v>
      </c>
    </row>
    <row r="12483" spans="1:6" s="3" customFormat="1" ht="29.1" customHeight="1" x14ac:dyDescent="0.25">
      <c r="A12483" s="2" t="s">
        <v>25132</v>
      </c>
      <c r="B12483" s="2" t="s">
        <v>25133</v>
      </c>
      <c r="C12483" s="2" t="s">
        <v>8047</v>
      </c>
      <c r="D12483" s="2" t="s">
        <v>6354</v>
      </c>
      <c r="E12483" s="2" t="str">
        <f>"9780271095615"</f>
        <v>9780271095615</v>
      </c>
      <c r="F12483" s="2" t="str">
        <f>"9780271096292"</f>
        <v>9780271096292</v>
      </c>
    </row>
    <row r="12484" spans="1:6" s="3" customFormat="1" ht="29.1" customHeight="1" x14ac:dyDescent="0.25">
      <c r="A12484" s="2" t="s">
        <v>25134</v>
      </c>
      <c r="B12484" s="2" t="s">
        <v>25136</v>
      </c>
      <c r="C12484" s="2" t="s">
        <v>149</v>
      </c>
      <c r="D12484" s="2" t="s">
        <v>25135</v>
      </c>
      <c r="E12484" s="2"/>
      <c r="F12484" s="2" t="str">
        <f>"9781805110484"</f>
        <v>9781805110484</v>
      </c>
    </row>
    <row r="12485" spans="1:6" s="3" customFormat="1" ht="29.1" customHeight="1" x14ac:dyDescent="0.25">
      <c r="A12485" s="2" t="s">
        <v>25137</v>
      </c>
      <c r="B12485" s="2" t="s">
        <v>25138</v>
      </c>
      <c r="C12485" s="2" t="s">
        <v>124</v>
      </c>
      <c r="D12485" s="2" t="s">
        <v>15625</v>
      </c>
      <c r="E12485" s="2" t="str">
        <f>"9781032554426"</f>
        <v>9781032554426</v>
      </c>
      <c r="F12485" s="2" t="str">
        <f>"9781003430742"</f>
        <v>9781003430742</v>
      </c>
    </row>
    <row r="12486" spans="1:6" s="3" customFormat="1" ht="29.1" customHeight="1" x14ac:dyDescent="0.25">
      <c r="A12486" s="2" t="s">
        <v>25139</v>
      </c>
      <c r="B12486" s="2" t="s">
        <v>25140</v>
      </c>
      <c r="C12486" s="2" t="s">
        <v>55</v>
      </c>
      <c r="D12486" s="2" t="s">
        <v>7460</v>
      </c>
      <c r="E12486" s="2" t="str">
        <f>"9789198740400"</f>
        <v>9789198740400</v>
      </c>
      <c r="F12486" s="2" t="str">
        <f>"9789198740417"</f>
        <v>9789198740417</v>
      </c>
    </row>
    <row r="12487" spans="1:6" s="3" customFormat="1" ht="29.1" customHeight="1" x14ac:dyDescent="0.25">
      <c r="A12487" s="2" t="s">
        <v>25141</v>
      </c>
      <c r="B12487" s="2" t="s">
        <v>25142</v>
      </c>
      <c r="C12487" s="2" t="s">
        <v>248</v>
      </c>
      <c r="D12487" s="2" t="s">
        <v>135</v>
      </c>
      <c r="E12487" s="2" t="str">
        <f>"9783847427506"</f>
        <v>9783847427506</v>
      </c>
      <c r="F12487" s="2" t="str">
        <f>"9783847419204"</f>
        <v>9783847419204</v>
      </c>
    </row>
    <row r="12488" spans="1:6" s="3" customFormat="1" ht="29.1" customHeight="1" x14ac:dyDescent="0.25">
      <c r="A12488" s="2" t="s">
        <v>25143</v>
      </c>
      <c r="B12488" s="2" t="s">
        <v>8438</v>
      </c>
      <c r="C12488" s="2" t="s">
        <v>248</v>
      </c>
      <c r="D12488" s="2" t="s">
        <v>1927</v>
      </c>
      <c r="E12488" s="2" t="str">
        <f>"9783847427490"</f>
        <v>9783847427490</v>
      </c>
      <c r="F12488" s="2" t="str">
        <f>"9783847419198"</f>
        <v>9783847419198</v>
      </c>
    </row>
    <row r="12489" spans="1:6" s="3" customFormat="1" ht="29.1" customHeight="1" x14ac:dyDescent="0.25">
      <c r="A12489" s="2" t="s">
        <v>25144</v>
      </c>
      <c r="B12489" s="2" t="s">
        <v>25145</v>
      </c>
      <c r="C12489" s="2" t="s">
        <v>36</v>
      </c>
      <c r="D12489" s="2" t="s">
        <v>2341</v>
      </c>
      <c r="E12489" s="2" t="str">
        <f>"9781447366478"</f>
        <v>9781447366478</v>
      </c>
      <c r="F12489" s="2" t="str">
        <f>"9781447366492"</f>
        <v>9781447366492</v>
      </c>
    </row>
    <row r="12490" spans="1:6" s="3" customFormat="1" ht="29.1" customHeight="1" x14ac:dyDescent="0.25">
      <c r="A12490" s="2" t="s">
        <v>25146</v>
      </c>
      <c r="B12490" s="2" t="s">
        <v>25148</v>
      </c>
      <c r="C12490" s="2" t="s">
        <v>124</v>
      </c>
      <c r="D12490" s="2" t="s">
        <v>25147</v>
      </c>
      <c r="E12490" s="2" t="str">
        <f>"9781032446240"</f>
        <v>9781032446240</v>
      </c>
      <c r="F12490" s="2" t="str">
        <f>"9781003376002"</f>
        <v>9781003376002</v>
      </c>
    </row>
    <row r="12491" spans="1:6" s="3" customFormat="1" ht="29.1" customHeight="1" x14ac:dyDescent="0.25">
      <c r="A12491" s="2" t="s">
        <v>25149</v>
      </c>
      <c r="B12491" s="2" t="s">
        <v>25150</v>
      </c>
      <c r="C12491" s="2" t="s">
        <v>927</v>
      </c>
      <c r="D12491" s="2" t="s">
        <v>2208</v>
      </c>
      <c r="E12491" s="2" t="str">
        <f>"9780472056484"</f>
        <v>9780472056484</v>
      </c>
      <c r="F12491" s="2" t="str">
        <f>"9780472903894"</f>
        <v>9780472903894</v>
      </c>
    </row>
    <row r="12492" spans="1:6" s="3" customFormat="1" ht="29.1" customHeight="1" x14ac:dyDescent="0.25">
      <c r="A12492" s="2" t="s">
        <v>25151</v>
      </c>
      <c r="B12492" s="2" t="s">
        <v>25152</v>
      </c>
      <c r="C12492" s="2" t="s">
        <v>927</v>
      </c>
      <c r="D12492" s="2" t="s">
        <v>33</v>
      </c>
      <c r="E12492" s="2" t="str">
        <f>"9780472056507"</f>
        <v>9780472056507</v>
      </c>
      <c r="F12492" s="2" t="str">
        <f>"9780472903917"</f>
        <v>9780472903917</v>
      </c>
    </row>
    <row r="12493" spans="1:6" s="3" customFormat="1" ht="29.1" customHeight="1" x14ac:dyDescent="0.25">
      <c r="A12493" s="2" t="s">
        <v>25153</v>
      </c>
      <c r="B12493" s="2"/>
      <c r="C12493" s="2" t="s">
        <v>59</v>
      </c>
      <c r="D12493" s="2" t="s">
        <v>2433</v>
      </c>
      <c r="E12493" s="2"/>
      <c r="F12493" s="2" t="str">
        <f>"9782759238347"</f>
        <v>9782759238347</v>
      </c>
    </row>
    <row r="12494" spans="1:6" s="3" customFormat="1" ht="29.1" customHeight="1" x14ac:dyDescent="0.25">
      <c r="A12494" s="2" t="s">
        <v>25154</v>
      </c>
      <c r="B12494" s="2" t="s">
        <v>25155</v>
      </c>
      <c r="C12494" s="2" t="s">
        <v>7395</v>
      </c>
      <c r="D12494" s="2" t="s">
        <v>1162</v>
      </c>
      <c r="E12494" s="2" t="str">
        <f>"9780700631711"</f>
        <v>9780700631711</v>
      </c>
      <c r="F12494" s="2" t="str">
        <f>"9780700631223"</f>
        <v>9780700631223</v>
      </c>
    </row>
    <row r="12495" spans="1:6" s="3" customFormat="1" ht="29.1" customHeight="1" x14ac:dyDescent="0.25">
      <c r="A12495" s="2" t="s">
        <v>25156</v>
      </c>
      <c r="B12495" s="2" t="s">
        <v>25157</v>
      </c>
      <c r="C12495" s="2" t="s">
        <v>7395</v>
      </c>
      <c r="D12495" s="2" t="s">
        <v>490</v>
      </c>
      <c r="E12495" s="2" t="str">
        <f>"9780700607464"</f>
        <v>9780700607464</v>
      </c>
      <c r="F12495" s="2" t="str">
        <f>"9780700631155"</f>
        <v>9780700631155</v>
      </c>
    </row>
    <row r="12496" spans="1:6" s="3" customFormat="1" ht="29.1" customHeight="1" x14ac:dyDescent="0.25">
      <c r="A12496" s="2" t="s">
        <v>25158</v>
      </c>
      <c r="B12496" s="2" t="s">
        <v>25159</v>
      </c>
      <c r="C12496" s="2" t="s">
        <v>7395</v>
      </c>
      <c r="D12496" s="2" t="s">
        <v>324</v>
      </c>
      <c r="E12496" s="2" t="str">
        <f>"9780700608829"</f>
        <v>9780700608829</v>
      </c>
      <c r="F12496" s="2" t="str">
        <f>"9780700631124"</f>
        <v>9780700631124</v>
      </c>
    </row>
    <row r="12497" spans="1:6" s="3" customFormat="1" ht="29.1" customHeight="1" x14ac:dyDescent="0.25">
      <c r="A12497" s="2" t="s">
        <v>25160</v>
      </c>
      <c r="B12497" s="2" t="s">
        <v>25161</v>
      </c>
      <c r="C12497" s="2" t="s">
        <v>7395</v>
      </c>
      <c r="D12497" s="2" t="s">
        <v>5930</v>
      </c>
      <c r="E12497" s="2" t="str">
        <f>"9780700631650"</f>
        <v>9780700631650</v>
      </c>
      <c r="F12497" s="2" t="str">
        <f>"9780700631117"</f>
        <v>9780700631117</v>
      </c>
    </row>
    <row r="12498" spans="1:6" s="3" customFormat="1" ht="29.1" customHeight="1" x14ac:dyDescent="0.25">
      <c r="A12498" s="2" t="s">
        <v>25162</v>
      </c>
      <c r="B12498" s="2" t="s">
        <v>25163</v>
      </c>
      <c r="C12498" s="2" t="s">
        <v>7395</v>
      </c>
      <c r="D12498" s="2" t="s">
        <v>1162</v>
      </c>
      <c r="E12498" s="2" t="str">
        <f>"9780700631599"</f>
        <v>9780700631599</v>
      </c>
      <c r="F12498" s="2" t="str">
        <f>"9780700631032"</f>
        <v>9780700631032</v>
      </c>
    </row>
    <row r="12499" spans="1:6" s="3" customFormat="1" ht="29.1" customHeight="1" x14ac:dyDescent="0.25">
      <c r="A12499" s="2" t="s">
        <v>25164</v>
      </c>
      <c r="B12499" s="2" t="s">
        <v>25165</v>
      </c>
      <c r="C12499" s="2" t="s">
        <v>7395</v>
      </c>
      <c r="D12499" s="2" t="s">
        <v>5930</v>
      </c>
      <c r="E12499" s="2" t="str">
        <f>"9780700631520"</f>
        <v>9780700631520</v>
      </c>
      <c r="F12499" s="2" t="str">
        <f>"9780700630943"</f>
        <v>9780700630943</v>
      </c>
    </row>
    <row r="12500" spans="1:6" s="3" customFormat="1" ht="29.1" customHeight="1" x14ac:dyDescent="0.25">
      <c r="A12500" s="2" t="s">
        <v>25166</v>
      </c>
      <c r="B12500" s="2" t="s">
        <v>25167</v>
      </c>
      <c r="C12500" s="2" t="s">
        <v>7395</v>
      </c>
      <c r="D12500" s="2" t="s">
        <v>5560</v>
      </c>
      <c r="E12500" s="2"/>
      <c r="F12500" s="2" t="str">
        <f>"9780700630868"</f>
        <v>9780700630868</v>
      </c>
    </row>
    <row r="12501" spans="1:6" s="3" customFormat="1" ht="29.1" customHeight="1" x14ac:dyDescent="0.25">
      <c r="A12501" s="2" t="s">
        <v>25168</v>
      </c>
      <c r="B12501" s="2" t="s">
        <v>25169</v>
      </c>
      <c r="C12501" s="2" t="s">
        <v>7395</v>
      </c>
      <c r="D12501" s="2" t="s">
        <v>1162</v>
      </c>
      <c r="E12501" s="2"/>
      <c r="F12501" s="2" t="str">
        <f>"9780700630844"</f>
        <v>9780700630844</v>
      </c>
    </row>
    <row r="12502" spans="1:6" s="3" customFormat="1" ht="29.1" customHeight="1" x14ac:dyDescent="0.25">
      <c r="A12502" s="2" t="s">
        <v>25170</v>
      </c>
      <c r="B12502" s="2" t="s">
        <v>25171</v>
      </c>
      <c r="C12502" s="2" t="s">
        <v>7395</v>
      </c>
      <c r="D12502" s="2" t="s">
        <v>14288</v>
      </c>
      <c r="E12502" s="2" t="str">
        <f>"9780700631421"</f>
        <v>9780700631421</v>
      </c>
      <c r="F12502" s="2" t="str">
        <f>"9780700630776"</f>
        <v>9780700630776</v>
      </c>
    </row>
    <row r="12503" spans="1:6" s="3" customFormat="1" ht="29.1" customHeight="1" x14ac:dyDescent="0.25">
      <c r="A12503" s="2" t="s">
        <v>25172</v>
      </c>
      <c r="B12503" s="2" t="s">
        <v>25173</v>
      </c>
      <c r="C12503" s="2" t="s">
        <v>7395</v>
      </c>
      <c r="D12503" s="2" t="s">
        <v>8087</v>
      </c>
      <c r="E12503" s="2"/>
      <c r="F12503" s="2" t="str">
        <f>"9780700630752"</f>
        <v>9780700630752</v>
      </c>
    </row>
    <row r="12504" spans="1:6" s="3" customFormat="1" ht="29.1" customHeight="1" x14ac:dyDescent="0.25">
      <c r="A12504" s="2" t="s">
        <v>25174</v>
      </c>
      <c r="B12504" s="2" t="s">
        <v>25175</v>
      </c>
      <c r="C12504" s="2" t="s">
        <v>5</v>
      </c>
      <c r="D12504" s="2" t="s">
        <v>19481</v>
      </c>
      <c r="E12504" s="2" t="str">
        <f>"9783031420955"</f>
        <v>9783031420955</v>
      </c>
      <c r="F12504" s="2" t="str">
        <f>"9783031420962"</f>
        <v>9783031420962</v>
      </c>
    </row>
    <row r="12505" spans="1:6" s="3" customFormat="1" ht="29.1" customHeight="1" x14ac:dyDescent="0.25">
      <c r="A12505" s="2" t="s">
        <v>25176</v>
      </c>
      <c r="B12505" s="2" t="s">
        <v>25177</v>
      </c>
      <c r="C12505" s="2" t="s">
        <v>124</v>
      </c>
      <c r="D12505" s="2" t="s">
        <v>210</v>
      </c>
      <c r="E12505" s="2" t="str">
        <f>"9780367272227"</f>
        <v>9780367272227</v>
      </c>
      <c r="F12505" s="2" t="str">
        <f>"9780429295607"</f>
        <v>9780429295607</v>
      </c>
    </row>
    <row r="12506" spans="1:6" s="3" customFormat="1" ht="29.1" customHeight="1" x14ac:dyDescent="0.25">
      <c r="A12506" s="2" t="s">
        <v>25178</v>
      </c>
      <c r="B12506" s="2" t="s">
        <v>25179</v>
      </c>
      <c r="C12506" s="2" t="s">
        <v>124</v>
      </c>
      <c r="D12506" s="2" t="s">
        <v>297</v>
      </c>
      <c r="E12506" s="2" t="str">
        <f>"9781032225456"</f>
        <v>9781032225456</v>
      </c>
      <c r="F12506" s="2" t="str">
        <f>"9781000985979"</f>
        <v>9781000985979</v>
      </c>
    </row>
    <row r="12507" spans="1:6" s="3" customFormat="1" ht="29.1" customHeight="1" x14ac:dyDescent="0.25">
      <c r="A12507" s="2" t="s">
        <v>25180</v>
      </c>
      <c r="B12507" s="2" t="s">
        <v>25181</v>
      </c>
      <c r="C12507" s="2" t="s">
        <v>124</v>
      </c>
      <c r="D12507" s="2" t="s">
        <v>270</v>
      </c>
      <c r="E12507" s="2" t="str">
        <f>"9781032250649"</f>
        <v>9781032250649</v>
      </c>
      <c r="F12507" s="2" t="str">
        <f>"9781003281382"</f>
        <v>9781003281382</v>
      </c>
    </row>
    <row r="12508" spans="1:6" s="3" customFormat="1" ht="29.1" customHeight="1" x14ac:dyDescent="0.25">
      <c r="A12508" s="2" t="s">
        <v>25182</v>
      </c>
      <c r="B12508" s="2" t="s">
        <v>25183</v>
      </c>
      <c r="C12508" s="2" t="s">
        <v>927</v>
      </c>
      <c r="D12508" s="2" t="s">
        <v>33</v>
      </c>
      <c r="E12508" s="2" t="str">
        <f>"9780472056514"</f>
        <v>9780472056514</v>
      </c>
      <c r="F12508" s="2" t="str">
        <f>"9780472903924"</f>
        <v>9780472903924</v>
      </c>
    </row>
    <row r="12509" spans="1:6" s="3" customFormat="1" ht="29.1" customHeight="1" x14ac:dyDescent="0.25">
      <c r="A12509" s="2" t="s">
        <v>25184</v>
      </c>
      <c r="B12509" s="2" t="s">
        <v>25185</v>
      </c>
      <c r="C12509" s="2" t="s">
        <v>7395</v>
      </c>
      <c r="D12509" s="2" t="s">
        <v>1162</v>
      </c>
      <c r="E12509" s="2" t="str">
        <f>"9780700608737"</f>
        <v>9780700608737</v>
      </c>
      <c r="F12509" s="2" t="str">
        <f>"9780700631087"</f>
        <v>9780700631087</v>
      </c>
    </row>
    <row r="12510" spans="1:6" s="3" customFormat="1" ht="29.1" customHeight="1" x14ac:dyDescent="0.25">
      <c r="A12510" s="2" t="s">
        <v>25186</v>
      </c>
      <c r="B12510" s="2" t="s">
        <v>25187</v>
      </c>
      <c r="C12510" s="2" t="s">
        <v>7395</v>
      </c>
      <c r="D12510" s="2" t="s">
        <v>687</v>
      </c>
      <c r="E12510" s="2" t="str">
        <f>"9780700611669"</f>
        <v>9780700611669</v>
      </c>
      <c r="F12510" s="2" t="str">
        <f>"9780700632916"</f>
        <v>9780700632916</v>
      </c>
    </row>
    <row r="12511" spans="1:6" s="3" customFormat="1" ht="29.1" customHeight="1" x14ac:dyDescent="0.25">
      <c r="A12511" s="2" t="s">
        <v>25188</v>
      </c>
      <c r="B12511" s="2" t="s">
        <v>25189</v>
      </c>
      <c r="C12511" s="2" t="s">
        <v>7395</v>
      </c>
      <c r="D12511" s="2" t="s">
        <v>1104</v>
      </c>
      <c r="E12511" s="2" t="str">
        <f>"9780700631810"</f>
        <v>9780700631810</v>
      </c>
      <c r="F12511" s="2" t="str">
        <f>"9780700631346"</f>
        <v>9780700631346</v>
      </c>
    </row>
    <row r="12512" spans="1:6" s="3" customFormat="1" ht="29.1" customHeight="1" x14ac:dyDescent="0.25">
      <c r="A12512" s="2" t="s">
        <v>25190</v>
      </c>
      <c r="B12512" s="2" t="s">
        <v>25191</v>
      </c>
      <c r="C12512" s="2" t="s">
        <v>7395</v>
      </c>
      <c r="D12512" s="2" t="s">
        <v>1162</v>
      </c>
      <c r="E12512" s="2" t="str">
        <f>"9780700631742"</f>
        <v>9780700631742</v>
      </c>
      <c r="F12512" s="2" t="str">
        <f>"9780700631285"</f>
        <v>9780700631285</v>
      </c>
    </row>
    <row r="12513" spans="1:6" s="3" customFormat="1" ht="29.1" customHeight="1" x14ac:dyDescent="0.25">
      <c r="A12513" s="2" t="s">
        <v>25192</v>
      </c>
      <c r="B12513" s="2" t="s">
        <v>25193</v>
      </c>
      <c r="C12513" s="2" t="s">
        <v>7395</v>
      </c>
      <c r="D12513" s="2" t="s">
        <v>5560</v>
      </c>
      <c r="E12513" s="2" t="str">
        <f>"9780700631698"</f>
        <v>9780700631698</v>
      </c>
      <c r="F12513" s="2" t="str">
        <f>"9780700631193"</f>
        <v>9780700631193</v>
      </c>
    </row>
    <row r="12514" spans="1:6" s="3" customFormat="1" ht="29.1" customHeight="1" x14ac:dyDescent="0.25">
      <c r="A12514" s="2" t="s">
        <v>9112</v>
      </c>
      <c r="B12514" s="2" t="s">
        <v>25194</v>
      </c>
      <c r="C12514" s="2" t="s">
        <v>7395</v>
      </c>
      <c r="D12514" s="2" t="s">
        <v>3224</v>
      </c>
      <c r="E12514" s="2" t="str">
        <f>"9780700631643"</f>
        <v>9780700631643</v>
      </c>
      <c r="F12514" s="2" t="str">
        <f>"9780700631100"</f>
        <v>9780700631100</v>
      </c>
    </row>
    <row r="12515" spans="1:6" s="3" customFormat="1" ht="29.1" customHeight="1" x14ac:dyDescent="0.25">
      <c r="A12515" s="2" t="s">
        <v>25195</v>
      </c>
      <c r="B12515" s="2" t="s">
        <v>25196</v>
      </c>
      <c r="C12515" s="2" t="s">
        <v>7395</v>
      </c>
      <c r="D12515" s="2" t="s">
        <v>1162</v>
      </c>
      <c r="E12515" s="2" t="str">
        <f>"9780700605460"</f>
        <v>9780700605460</v>
      </c>
      <c r="F12515" s="2" t="str">
        <f>"9780700631070"</f>
        <v>9780700631070</v>
      </c>
    </row>
    <row r="12516" spans="1:6" s="3" customFormat="1" ht="29.1" customHeight="1" x14ac:dyDescent="0.25">
      <c r="A12516" s="2" t="s">
        <v>25197</v>
      </c>
      <c r="B12516" s="2" t="s">
        <v>25198</v>
      </c>
      <c r="C12516" s="2" t="s">
        <v>7395</v>
      </c>
      <c r="D12516" s="2" t="s">
        <v>14288</v>
      </c>
      <c r="E12516" s="2" t="str">
        <f>"9780700631612"</f>
        <v>9780700631612</v>
      </c>
      <c r="F12516" s="2" t="str">
        <f>"9780700631063"</f>
        <v>9780700631063</v>
      </c>
    </row>
    <row r="12517" spans="1:6" s="3" customFormat="1" ht="29.1" customHeight="1" x14ac:dyDescent="0.25">
      <c r="A12517" s="2" t="s">
        <v>25199</v>
      </c>
      <c r="B12517" s="2" t="s">
        <v>25201</v>
      </c>
      <c r="C12517" s="2" t="s">
        <v>7395</v>
      </c>
      <c r="D12517" s="2" t="s">
        <v>25200</v>
      </c>
      <c r="E12517" s="2" t="str">
        <f>"9780700631575"</f>
        <v>9780700631575</v>
      </c>
      <c r="F12517" s="2" t="str">
        <f>"9780700631018"</f>
        <v>9780700631018</v>
      </c>
    </row>
    <row r="12518" spans="1:6" s="3" customFormat="1" ht="29.1" customHeight="1" x14ac:dyDescent="0.25">
      <c r="A12518" s="2" t="s">
        <v>25202</v>
      </c>
      <c r="B12518" s="2" t="s">
        <v>25203</v>
      </c>
      <c r="C12518" s="2" t="s">
        <v>7395</v>
      </c>
      <c r="D12518" s="2" t="s">
        <v>12246</v>
      </c>
      <c r="E12518" s="2" t="str">
        <f>"9780700631537"</f>
        <v>9780700631537</v>
      </c>
      <c r="F12518" s="2" t="str">
        <f>"9780700630967"</f>
        <v>9780700630967</v>
      </c>
    </row>
    <row r="12519" spans="1:6" s="3" customFormat="1" ht="29.1" customHeight="1" x14ac:dyDescent="0.25">
      <c r="A12519" s="2" t="s">
        <v>25204</v>
      </c>
      <c r="B12519" s="2" t="s">
        <v>25205</v>
      </c>
      <c r="C12519" s="2" t="s">
        <v>7395</v>
      </c>
      <c r="D12519" s="2" t="s">
        <v>5930</v>
      </c>
      <c r="E12519" s="2" t="str">
        <f>"9780700631513"</f>
        <v>9780700631513</v>
      </c>
      <c r="F12519" s="2" t="str">
        <f>"9780700630936"</f>
        <v>9780700630936</v>
      </c>
    </row>
    <row r="12520" spans="1:6" s="3" customFormat="1" ht="29.1" customHeight="1" x14ac:dyDescent="0.25">
      <c r="A12520" s="2" t="s">
        <v>25206</v>
      </c>
      <c r="B12520" s="2" t="s">
        <v>25207</v>
      </c>
      <c r="C12520" s="2" t="s">
        <v>7395</v>
      </c>
      <c r="D12520" s="2" t="s">
        <v>1162</v>
      </c>
      <c r="E12520" s="2" t="str">
        <f>"9780700606238"</f>
        <v>9780700606238</v>
      </c>
      <c r="F12520" s="2" t="str">
        <f>"9780700630912"</f>
        <v>9780700630912</v>
      </c>
    </row>
    <row r="12521" spans="1:6" s="3" customFormat="1" ht="29.1" customHeight="1" x14ac:dyDescent="0.25">
      <c r="A12521" s="2" t="s">
        <v>25208</v>
      </c>
      <c r="B12521" s="2" t="s">
        <v>25207</v>
      </c>
      <c r="C12521" s="2" t="s">
        <v>7395</v>
      </c>
      <c r="D12521" s="2" t="s">
        <v>1162</v>
      </c>
      <c r="E12521" s="2" t="str">
        <f>"9780700631506"</f>
        <v>9780700631506</v>
      </c>
      <c r="F12521" s="2" t="str">
        <f>"9780700630905"</f>
        <v>9780700630905</v>
      </c>
    </row>
    <row r="12522" spans="1:6" s="3" customFormat="1" ht="29.1" customHeight="1" x14ac:dyDescent="0.25">
      <c r="A12522" s="2" t="s">
        <v>25209</v>
      </c>
      <c r="B12522" s="2" t="s">
        <v>25210</v>
      </c>
      <c r="C12522" s="2" t="s">
        <v>7395</v>
      </c>
      <c r="D12522" s="2" t="s">
        <v>14288</v>
      </c>
      <c r="E12522" s="2" t="str">
        <f>"9780700631483"</f>
        <v>9780700631483</v>
      </c>
      <c r="F12522" s="2" t="str">
        <f>"9780700630882"</f>
        <v>9780700630882</v>
      </c>
    </row>
    <row r="12523" spans="1:6" s="3" customFormat="1" ht="29.1" customHeight="1" x14ac:dyDescent="0.25">
      <c r="A12523" s="2" t="s">
        <v>25211</v>
      </c>
      <c r="B12523" s="2" t="s">
        <v>25212</v>
      </c>
      <c r="C12523" s="2" t="s">
        <v>327</v>
      </c>
      <c r="D12523" s="2" t="s">
        <v>2019</v>
      </c>
      <c r="E12523" s="2" t="str">
        <f>"9788383312538"</f>
        <v>9788383312538</v>
      </c>
      <c r="F12523" s="2" t="str">
        <f>"9788383312545"</f>
        <v>9788383312545</v>
      </c>
    </row>
    <row r="12524" spans="1:6" s="3" customFormat="1" ht="29.1" customHeight="1" x14ac:dyDescent="0.25">
      <c r="A12524" s="2" t="s">
        <v>25213</v>
      </c>
      <c r="B12524" s="2" t="s">
        <v>25214</v>
      </c>
      <c r="C12524" s="2" t="s">
        <v>327</v>
      </c>
      <c r="D12524" s="2" t="s">
        <v>25097</v>
      </c>
      <c r="E12524" s="2"/>
      <c r="F12524" s="2" t="str">
        <f>"9788383311494"</f>
        <v>9788383311494</v>
      </c>
    </row>
    <row r="12525" spans="1:6" s="3" customFormat="1" ht="29.1" customHeight="1" x14ac:dyDescent="0.25">
      <c r="A12525" s="2" t="s">
        <v>25215</v>
      </c>
      <c r="B12525" s="2" t="s">
        <v>25216</v>
      </c>
      <c r="C12525" s="2" t="s">
        <v>327</v>
      </c>
      <c r="D12525" s="2" t="s">
        <v>9395</v>
      </c>
      <c r="E12525" s="2"/>
      <c r="F12525" s="2" t="str">
        <f>"9788383311937"</f>
        <v>9788383311937</v>
      </c>
    </row>
    <row r="12526" spans="1:6" s="3" customFormat="1" ht="29.1" customHeight="1" x14ac:dyDescent="0.25">
      <c r="A12526" s="2" t="s">
        <v>25217</v>
      </c>
      <c r="B12526" s="2" t="s">
        <v>25218</v>
      </c>
      <c r="C12526" s="2" t="s">
        <v>327</v>
      </c>
      <c r="D12526" s="2" t="s">
        <v>2587</v>
      </c>
      <c r="E12526" s="2" t="str">
        <f>"9788383312422"</f>
        <v>9788383312422</v>
      </c>
      <c r="F12526" s="2" t="str">
        <f>"9788383312439"</f>
        <v>9788383312439</v>
      </c>
    </row>
    <row r="12527" spans="1:6" s="3" customFormat="1" ht="29.1" customHeight="1" x14ac:dyDescent="0.25">
      <c r="A12527" s="2" t="s">
        <v>25219</v>
      </c>
      <c r="B12527" s="2" t="s">
        <v>25220</v>
      </c>
      <c r="C12527" s="2" t="s">
        <v>327</v>
      </c>
      <c r="D12527" s="2" t="s">
        <v>9</v>
      </c>
      <c r="E12527" s="2" t="str">
        <f>"9788383311388"</f>
        <v>9788383311388</v>
      </c>
      <c r="F12527" s="2" t="str">
        <f>"9788383311395"</f>
        <v>9788383311395</v>
      </c>
    </row>
    <row r="12528" spans="1:6" s="3" customFormat="1" ht="29.1" customHeight="1" x14ac:dyDescent="0.25">
      <c r="A12528" s="2" t="s">
        <v>25221</v>
      </c>
      <c r="B12528" s="2" t="s">
        <v>25222</v>
      </c>
      <c r="C12528" s="2" t="s">
        <v>124</v>
      </c>
      <c r="D12528" s="2" t="s">
        <v>183</v>
      </c>
      <c r="E12528" s="2" t="str">
        <f>"9781032185002"</f>
        <v>9781032185002</v>
      </c>
      <c r="F12528" s="2" t="str">
        <f>"9781000957747"</f>
        <v>9781000957747</v>
      </c>
    </row>
    <row r="12529" spans="1:6" s="3" customFormat="1" ht="29.1" customHeight="1" x14ac:dyDescent="0.25">
      <c r="A12529" s="2" t="s">
        <v>25223</v>
      </c>
      <c r="B12529" s="2" t="s">
        <v>25224</v>
      </c>
      <c r="C12529" s="2" t="s">
        <v>124</v>
      </c>
      <c r="D12529" s="2" t="s">
        <v>596</v>
      </c>
      <c r="E12529" s="2" t="str">
        <f>"9781032334530"</f>
        <v>9781032334530</v>
      </c>
      <c r="F12529" s="2" t="str">
        <f>"9781003322696"</f>
        <v>9781003322696</v>
      </c>
    </row>
    <row r="12530" spans="1:6" s="3" customFormat="1" ht="29.1" customHeight="1" x14ac:dyDescent="0.25">
      <c r="A12530" s="2" t="s">
        <v>25225</v>
      </c>
      <c r="B12530" s="2" t="s">
        <v>25226</v>
      </c>
      <c r="C12530" s="2" t="s">
        <v>7395</v>
      </c>
      <c r="D12530" s="2" t="s">
        <v>462</v>
      </c>
      <c r="E12530" s="2"/>
      <c r="F12530" s="2" t="str">
        <f>"9780700630837"</f>
        <v>9780700630837</v>
      </c>
    </row>
    <row r="12531" spans="1:6" s="3" customFormat="1" ht="29.1" customHeight="1" x14ac:dyDescent="0.25">
      <c r="A12531" s="2" t="s">
        <v>25227</v>
      </c>
      <c r="B12531" s="2" t="s">
        <v>25228</v>
      </c>
      <c r="C12531" s="2" t="s">
        <v>7395</v>
      </c>
      <c r="D12531" s="2" t="s">
        <v>14288</v>
      </c>
      <c r="E12531" s="2" t="str">
        <f>"9780700606825"</f>
        <v>9780700606825</v>
      </c>
      <c r="F12531" s="2" t="str">
        <f>"9780700630806"</f>
        <v>9780700630806</v>
      </c>
    </row>
    <row r="12532" spans="1:6" s="3" customFormat="1" ht="29.1" customHeight="1" x14ac:dyDescent="0.25">
      <c r="A12532" s="2" t="s">
        <v>25229</v>
      </c>
      <c r="B12532" s="2" t="s">
        <v>25230</v>
      </c>
      <c r="C12532" s="2" t="s">
        <v>7395</v>
      </c>
      <c r="D12532" s="2" t="s">
        <v>687</v>
      </c>
      <c r="E12532" s="2"/>
      <c r="F12532" s="2" t="str">
        <f>"9780700630790"</f>
        <v>9780700630790</v>
      </c>
    </row>
    <row r="12533" spans="1:6" s="3" customFormat="1" ht="29.1" customHeight="1" x14ac:dyDescent="0.25">
      <c r="A12533" s="2" t="s">
        <v>25231</v>
      </c>
      <c r="B12533" s="2" t="s">
        <v>25232</v>
      </c>
      <c r="C12533" s="2" t="s">
        <v>7395</v>
      </c>
      <c r="D12533" s="2" t="s">
        <v>5560</v>
      </c>
      <c r="E12533" s="2"/>
      <c r="F12533" s="2" t="str">
        <f>"9780700630721"</f>
        <v>9780700630721</v>
      </c>
    </row>
    <row r="12534" spans="1:6" s="3" customFormat="1" ht="29.1" customHeight="1" x14ac:dyDescent="0.25">
      <c r="A12534" s="2" t="s">
        <v>25233</v>
      </c>
      <c r="B12534" s="2" t="s">
        <v>25234</v>
      </c>
      <c r="C12534" s="2" t="s">
        <v>7395</v>
      </c>
      <c r="D12534" s="2" t="s">
        <v>14288</v>
      </c>
      <c r="E12534" s="2"/>
      <c r="F12534" s="2" t="str">
        <f>"9780700630684"</f>
        <v>9780700630684</v>
      </c>
    </row>
    <row r="12535" spans="1:6" s="3" customFormat="1" ht="29.1" customHeight="1" x14ac:dyDescent="0.25">
      <c r="A12535" s="2" t="s">
        <v>15568</v>
      </c>
      <c r="B12535" s="2" t="s">
        <v>25235</v>
      </c>
      <c r="C12535" s="2" t="s">
        <v>124</v>
      </c>
      <c r="D12535" s="2" t="s">
        <v>2005</v>
      </c>
      <c r="E12535" s="2" t="str">
        <f>"9781032478098"</f>
        <v>9781032478098</v>
      </c>
      <c r="F12535" s="2" t="str">
        <f>"9781003386063"</f>
        <v>9781003386063</v>
      </c>
    </row>
    <row r="12536" spans="1:6" s="3" customFormat="1" ht="29.1" customHeight="1" x14ac:dyDescent="0.25">
      <c r="A12536" s="2" t="s">
        <v>25236</v>
      </c>
      <c r="B12536" s="2" t="s">
        <v>25237</v>
      </c>
      <c r="C12536" s="2" t="s">
        <v>124</v>
      </c>
      <c r="D12536" s="2" t="s">
        <v>207</v>
      </c>
      <c r="E12536" s="2" t="str">
        <f>"9781032388472"</f>
        <v>9781032388472</v>
      </c>
      <c r="F12536" s="2" t="str">
        <f>"9781003347095"</f>
        <v>9781003347095</v>
      </c>
    </row>
    <row r="12537" spans="1:6" s="3" customFormat="1" ht="29.1" customHeight="1" x14ac:dyDescent="0.25">
      <c r="A12537" s="2" t="s">
        <v>25238</v>
      </c>
      <c r="B12537" s="2" t="s">
        <v>25239</v>
      </c>
      <c r="C12537" s="2" t="s">
        <v>124</v>
      </c>
      <c r="D12537" s="2" t="s">
        <v>353</v>
      </c>
      <c r="E12537" s="2" t="str">
        <f>"9781032355979"</f>
        <v>9781032355979</v>
      </c>
      <c r="F12537" s="2" t="str">
        <f>"9781003327592"</f>
        <v>9781003327592</v>
      </c>
    </row>
    <row r="12538" spans="1:6" s="3" customFormat="1" ht="29.1" customHeight="1" x14ac:dyDescent="0.25">
      <c r="A12538" s="2" t="s">
        <v>25240</v>
      </c>
      <c r="B12538" s="2" t="s">
        <v>25241</v>
      </c>
      <c r="C12538" s="2" t="s">
        <v>124</v>
      </c>
      <c r="D12538" s="2" t="s">
        <v>4185</v>
      </c>
      <c r="E12538" s="2" t="str">
        <f>"9781032382678"</f>
        <v>9781032382678</v>
      </c>
      <c r="F12538" s="2" t="str">
        <f>"9781003344247"</f>
        <v>9781003344247</v>
      </c>
    </row>
    <row r="12539" spans="1:6" s="3" customFormat="1" ht="29.1" customHeight="1" x14ac:dyDescent="0.25">
      <c r="A12539" s="2" t="s">
        <v>25242</v>
      </c>
      <c r="B12539" s="2" t="s">
        <v>25243</v>
      </c>
      <c r="C12539" s="2" t="s">
        <v>124</v>
      </c>
      <c r="D12539" s="2" t="s">
        <v>9</v>
      </c>
      <c r="E12539" s="2" t="str">
        <f>"9781032534428"</f>
        <v>9781032534428</v>
      </c>
      <c r="F12539" s="2" t="str">
        <f>"9781000985894"</f>
        <v>9781000985894</v>
      </c>
    </row>
    <row r="12540" spans="1:6" s="3" customFormat="1" ht="29.1" customHeight="1" x14ac:dyDescent="0.25">
      <c r="A12540" s="2" t="s">
        <v>25244</v>
      </c>
      <c r="B12540" s="2" t="s">
        <v>25245</v>
      </c>
      <c r="C12540" s="2" t="s">
        <v>124</v>
      </c>
      <c r="D12540" s="2" t="s">
        <v>913</v>
      </c>
      <c r="E12540" s="2" t="str">
        <f>"9781032441511"</f>
        <v>9781032441511</v>
      </c>
      <c r="F12540" s="2" t="str">
        <f>"9781000930825"</f>
        <v>9781000930825</v>
      </c>
    </row>
    <row r="12541" spans="1:6" s="3" customFormat="1" ht="29.1" customHeight="1" x14ac:dyDescent="0.25">
      <c r="A12541" s="2" t="s">
        <v>25246</v>
      </c>
      <c r="B12541" s="2" t="s">
        <v>25247</v>
      </c>
      <c r="C12541" s="2" t="s">
        <v>2242</v>
      </c>
      <c r="D12541" s="2" t="s">
        <v>232</v>
      </c>
      <c r="E12541" s="2"/>
      <c r="F12541" s="2" t="str">
        <f>"9788024463643"</f>
        <v>9788024463643</v>
      </c>
    </row>
    <row r="12542" spans="1:6" s="3" customFormat="1" ht="29.1" customHeight="1" x14ac:dyDescent="0.25">
      <c r="A12542" s="2" t="s">
        <v>25248</v>
      </c>
      <c r="B12542" s="2" t="s">
        <v>25249</v>
      </c>
      <c r="C12542" s="2" t="s">
        <v>2242</v>
      </c>
      <c r="D12542" s="2" t="s">
        <v>135</v>
      </c>
      <c r="E12542" s="2" t="str">
        <f>"9788024463360"</f>
        <v>9788024463360</v>
      </c>
      <c r="F12542" s="2" t="str">
        <f>"9788024463377"</f>
        <v>9788024463377</v>
      </c>
    </row>
    <row r="12543" spans="1:6" s="3" customFormat="1" ht="29.1" customHeight="1" x14ac:dyDescent="0.25">
      <c r="A12543" s="2" t="s">
        <v>25250</v>
      </c>
      <c r="B12543" s="2" t="s">
        <v>25251</v>
      </c>
      <c r="C12543" s="2" t="s">
        <v>681</v>
      </c>
      <c r="D12543" s="2" t="s">
        <v>2513</v>
      </c>
      <c r="E12543" s="2" t="str">
        <f>"9783775756365"</f>
        <v>9783775756365</v>
      </c>
      <c r="F12543" s="2" t="str">
        <f>"9783775756372"</f>
        <v>9783775756372</v>
      </c>
    </row>
    <row r="12544" spans="1:6" s="3" customFormat="1" ht="29.1" customHeight="1" x14ac:dyDescent="0.25">
      <c r="A12544" s="2" t="s">
        <v>1366</v>
      </c>
      <c r="B12544" s="2" t="s">
        <v>2074</v>
      </c>
      <c r="C12544" s="2" t="s">
        <v>9794</v>
      </c>
      <c r="D12544" s="2" t="s">
        <v>1265</v>
      </c>
      <c r="E12544" s="2" t="str">
        <f>"9783318072587"</f>
        <v>9783318072587</v>
      </c>
      <c r="F12544" s="2" t="str">
        <f>"9783318073447"</f>
        <v>9783318073447</v>
      </c>
    </row>
    <row r="12545" spans="1:6" s="3" customFormat="1" ht="29.1" customHeight="1" x14ac:dyDescent="0.25">
      <c r="A12545" s="2" t="s">
        <v>25252</v>
      </c>
      <c r="B12545" s="2" t="s">
        <v>25253</v>
      </c>
      <c r="C12545" s="2" t="s">
        <v>595</v>
      </c>
      <c r="D12545" s="2" t="s">
        <v>1104</v>
      </c>
      <c r="E12545" s="2" t="str">
        <f>"9782875744272"</f>
        <v>9782875744272</v>
      </c>
      <c r="F12545" s="2" t="str">
        <f>"9782875746320"</f>
        <v>9782875746320</v>
      </c>
    </row>
    <row r="12546" spans="1:6" s="3" customFormat="1" ht="29.1" customHeight="1" x14ac:dyDescent="0.25">
      <c r="A12546" s="2" t="s">
        <v>25254</v>
      </c>
      <c r="B12546" s="2" t="s">
        <v>25256</v>
      </c>
      <c r="C12546" s="2" t="s">
        <v>8449</v>
      </c>
      <c r="D12546" s="2" t="s">
        <v>25255</v>
      </c>
      <c r="E12546" s="2" t="str">
        <f>"9780821426081"</f>
        <v>9780821426081</v>
      </c>
      <c r="F12546" s="2" t="str">
        <f>"9780821426098"</f>
        <v>9780821426098</v>
      </c>
    </row>
    <row r="12547" spans="1:6" s="3" customFormat="1" ht="29.1" customHeight="1" x14ac:dyDescent="0.25">
      <c r="A12547" s="2" t="s">
        <v>25257</v>
      </c>
      <c r="B12547" s="2" t="s">
        <v>25258</v>
      </c>
      <c r="C12547" s="2" t="s">
        <v>195</v>
      </c>
      <c r="D12547" s="2" t="s">
        <v>9436</v>
      </c>
      <c r="E12547" s="2" t="str">
        <f>"9783035622980"</f>
        <v>9783035622980</v>
      </c>
      <c r="F12547" s="2" t="str">
        <f>"9783035623017"</f>
        <v>9783035623017</v>
      </c>
    </row>
    <row r="12548" spans="1:6" s="3" customFormat="1" ht="29.1" customHeight="1" x14ac:dyDescent="0.25">
      <c r="A12548" s="2" t="s">
        <v>25259</v>
      </c>
      <c r="B12548" s="2" t="s">
        <v>25260</v>
      </c>
      <c r="C12548" s="2" t="s">
        <v>124</v>
      </c>
      <c r="D12548" s="2" t="s">
        <v>189</v>
      </c>
      <c r="E12548" s="2" t="str">
        <f>"9781032544458"</f>
        <v>9781032544458</v>
      </c>
      <c r="F12548" s="2" t="str">
        <f>"9781003424901"</f>
        <v>9781003424901</v>
      </c>
    </row>
    <row r="12549" spans="1:6" s="3" customFormat="1" ht="29.1" customHeight="1" x14ac:dyDescent="0.25">
      <c r="A12549" s="2" t="s">
        <v>25261</v>
      </c>
      <c r="B12549" s="2" t="s">
        <v>25263</v>
      </c>
      <c r="C12549" s="2" t="s">
        <v>950</v>
      </c>
      <c r="D12549" s="2" t="s">
        <v>25262</v>
      </c>
      <c r="E12549" s="2"/>
      <c r="F12549" s="2" t="str">
        <f>"9788411702713"</f>
        <v>9788411702713</v>
      </c>
    </row>
    <row r="12550" spans="1:6" s="3" customFormat="1" ht="29.1" customHeight="1" x14ac:dyDescent="0.25">
      <c r="A12550" s="2" t="s">
        <v>25264</v>
      </c>
      <c r="B12550" s="2" t="s">
        <v>9096</v>
      </c>
      <c r="C12550" s="2" t="s">
        <v>950</v>
      </c>
      <c r="D12550" s="2" t="s">
        <v>951</v>
      </c>
      <c r="E12550" s="2"/>
      <c r="F12550" s="2" t="str">
        <f>"9788411227216"</f>
        <v>9788411227216</v>
      </c>
    </row>
    <row r="12551" spans="1:6" s="3" customFormat="1" ht="29.1" customHeight="1" x14ac:dyDescent="0.25">
      <c r="A12551" s="2" t="s">
        <v>25265</v>
      </c>
      <c r="B12551" s="2" t="s">
        <v>25266</v>
      </c>
      <c r="C12551" s="2" t="s">
        <v>950</v>
      </c>
      <c r="D12551" s="2" t="s">
        <v>547</v>
      </c>
      <c r="E12551" s="2"/>
      <c r="F12551" s="2" t="str">
        <f>"9788411705196"</f>
        <v>9788411705196</v>
      </c>
    </row>
    <row r="12552" spans="1:6" s="3" customFormat="1" ht="29.1" customHeight="1" x14ac:dyDescent="0.25">
      <c r="A12552" s="2" t="s">
        <v>25267</v>
      </c>
      <c r="B12552" s="2" t="s">
        <v>25268</v>
      </c>
      <c r="C12552" s="2" t="s">
        <v>950</v>
      </c>
      <c r="D12552" s="2" t="s">
        <v>3214</v>
      </c>
      <c r="E12552" s="2"/>
      <c r="F12552" s="2" t="str">
        <f>"9788411704328"</f>
        <v>9788411704328</v>
      </c>
    </row>
    <row r="12553" spans="1:6" s="3" customFormat="1" ht="29.1" customHeight="1" x14ac:dyDescent="0.25">
      <c r="A12553" s="2" t="s">
        <v>25269</v>
      </c>
      <c r="B12553" s="2" t="s">
        <v>25270</v>
      </c>
      <c r="C12553" s="2" t="s">
        <v>950</v>
      </c>
      <c r="D12553" s="2" t="s">
        <v>4019</v>
      </c>
      <c r="E12553" s="2"/>
      <c r="F12553" s="2" t="str">
        <f>"9788411704090"</f>
        <v>9788411704090</v>
      </c>
    </row>
    <row r="12554" spans="1:6" s="3" customFormat="1" ht="29.1" customHeight="1" x14ac:dyDescent="0.25">
      <c r="A12554" s="2" t="s">
        <v>25271</v>
      </c>
      <c r="B12554" s="2" t="s">
        <v>25272</v>
      </c>
      <c r="C12554" s="2" t="s">
        <v>950</v>
      </c>
      <c r="D12554" s="2" t="s">
        <v>712</v>
      </c>
      <c r="E12554" s="2"/>
      <c r="F12554" s="2" t="str">
        <f>"9788411703024"</f>
        <v>9788411703024</v>
      </c>
    </row>
    <row r="12555" spans="1:6" s="3" customFormat="1" ht="29.1" customHeight="1" x14ac:dyDescent="0.25">
      <c r="A12555" s="2" t="s">
        <v>25273</v>
      </c>
      <c r="B12555" s="2" t="s">
        <v>25274</v>
      </c>
      <c r="C12555" s="2" t="s">
        <v>950</v>
      </c>
      <c r="D12555" s="2" t="s">
        <v>1809</v>
      </c>
      <c r="E12555" s="2"/>
      <c r="F12555" s="2" t="str">
        <f>"9788411701051"</f>
        <v>9788411701051</v>
      </c>
    </row>
    <row r="12556" spans="1:6" s="3" customFormat="1" ht="29.1" customHeight="1" x14ac:dyDescent="0.25">
      <c r="A12556" s="2" t="s">
        <v>25275</v>
      </c>
      <c r="B12556" s="2" t="s">
        <v>4206</v>
      </c>
      <c r="C12556" s="2" t="s">
        <v>950</v>
      </c>
      <c r="D12556" s="2" t="s">
        <v>636</v>
      </c>
      <c r="E12556" s="2"/>
      <c r="F12556" s="2" t="str">
        <f>"9788411229265"</f>
        <v>9788411229265</v>
      </c>
    </row>
    <row r="12557" spans="1:6" s="3" customFormat="1" ht="29.1" customHeight="1" x14ac:dyDescent="0.25">
      <c r="A12557" s="2" t="s">
        <v>25276</v>
      </c>
      <c r="B12557" s="2" t="s">
        <v>25277</v>
      </c>
      <c r="C12557" s="2" t="s">
        <v>950</v>
      </c>
      <c r="D12557" s="2" t="s">
        <v>98</v>
      </c>
      <c r="E12557" s="2"/>
      <c r="F12557" s="2" t="str">
        <f>"9788411229241"</f>
        <v>9788411229241</v>
      </c>
    </row>
    <row r="12558" spans="1:6" s="3" customFormat="1" ht="29.1" customHeight="1" x14ac:dyDescent="0.25">
      <c r="A12558" s="2" t="s">
        <v>25278</v>
      </c>
      <c r="B12558" s="2" t="s">
        <v>9062</v>
      </c>
      <c r="C12558" s="2" t="s">
        <v>950</v>
      </c>
      <c r="D12558" s="2" t="s">
        <v>636</v>
      </c>
      <c r="E12558" s="2"/>
      <c r="F12558" s="2" t="str">
        <f>"9788411228299"</f>
        <v>9788411228299</v>
      </c>
    </row>
    <row r="12559" spans="1:6" s="3" customFormat="1" ht="29.1" customHeight="1" x14ac:dyDescent="0.25">
      <c r="A12559" s="2" t="s">
        <v>25279</v>
      </c>
      <c r="B12559" s="2" t="s">
        <v>25280</v>
      </c>
      <c r="C12559" s="2" t="s">
        <v>950</v>
      </c>
      <c r="D12559" s="2" t="s">
        <v>636</v>
      </c>
      <c r="E12559" s="2"/>
      <c r="F12559" s="2" t="str">
        <f>"9788411228268"</f>
        <v>9788411228268</v>
      </c>
    </row>
    <row r="12560" spans="1:6" s="3" customFormat="1" ht="29.1" customHeight="1" x14ac:dyDescent="0.25">
      <c r="A12560" s="2" t="s">
        <v>25281</v>
      </c>
      <c r="B12560" s="2" t="s">
        <v>25282</v>
      </c>
      <c r="C12560" s="2" t="s">
        <v>950</v>
      </c>
      <c r="D12560" s="2" t="s">
        <v>484</v>
      </c>
      <c r="E12560" s="2"/>
      <c r="F12560" s="2" t="str">
        <f>"9788411228251"</f>
        <v>9788411228251</v>
      </c>
    </row>
    <row r="12561" spans="1:6" s="3" customFormat="1" ht="29.1" customHeight="1" x14ac:dyDescent="0.25">
      <c r="A12561" s="2" t="s">
        <v>25283</v>
      </c>
      <c r="B12561" s="2" t="s">
        <v>25284</v>
      </c>
      <c r="C12561" s="2" t="s">
        <v>950</v>
      </c>
      <c r="D12561" s="2" t="s">
        <v>712</v>
      </c>
      <c r="E12561" s="2"/>
      <c r="F12561" s="2" t="str">
        <f>"9788411228244"</f>
        <v>9788411228244</v>
      </c>
    </row>
    <row r="12562" spans="1:6" s="3" customFormat="1" ht="29.1" customHeight="1" x14ac:dyDescent="0.25">
      <c r="A12562" s="2" t="s">
        <v>25285</v>
      </c>
      <c r="B12562" s="2" t="s">
        <v>25286</v>
      </c>
      <c r="C12562" s="2" t="s">
        <v>950</v>
      </c>
      <c r="D12562" s="2" t="s">
        <v>2752</v>
      </c>
      <c r="E12562" s="2"/>
      <c r="F12562" s="2" t="str">
        <f>"9788411228220"</f>
        <v>9788411228220</v>
      </c>
    </row>
    <row r="12563" spans="1:6" s="3" customFormat="1" ht="29.1" customHeight="1" x14ac:dyDescent="0.25">
      <c r="A12563" s="2" t="s">
        <v>25287</v>
      </c>
      <c r="B12563" s="2" t="s">
        <v>16873</v>
      </c>
      <c r="C12563" s="2" t="s">
        <v>950</v>
      </c>
      <c r="D12563" s="2" t="s">
        <v>951</v>
      </c>
      <c r="E12563" s="2"/>
      <c r="F12563" s="2" t="str">
        <f>"9788411228213"</f>
        <v>9788411228213</v>
      </c>
    </row>
    <row r="12564" spans="1:6" s="3" customFormat="1" ht="29.1" customHeight="1" x14ac:dyDescent="0.25">
      <c r="A12564" s="2" t="s">
        <v>25288</v>
      </c>
      <c r="B12564" s="2" t="s">
        <v>9096</v>
      </c>
      <c r="C12564" s="2" t="s">
        <v>950</v>
      </c>
      <c r="D12564" s="2" t="s">
        <v>836</v>
      </c>
      <c r="E12564" s="2"/>
      <c r="F12564" s="2" t="str">
        <f>"9788411227209"</f>
        <v>9788411227209</v>
      </c>
    </row>
    <row r="12565" spans="1:6" s="3" customFormat="1" ht="29.1" customHeight="1" x14ac:dyDescent="0.25">
      <c r="A12565" s="2" t="s">
        <v>25289</v>
      </c>
      <c r="B12565" s="2" t="s">
        <v>25290</v>
      </c>
      <c r="C12565" s="2" t="s">
        <v>556</v>
      </c>
      <c r="D12565" s="2" t="s">
        <v>218</v>
      </c>
      <c r="E12565" s="2" t="str">
        <f>"9783837669831"</f>
        <v>9783837669831</v>
      </c>
      <c r="F12565" s="2" t="str">
        <f>"9783839469835"</f>
        <v>9783839469835</v>
      </c>
    </row>
    <row r="12566" spans="1:6" s="3" customFormat="1" ht="29.1" customHeight="1" x14ac:dyDescent="0.25">
      <c r="A12566" s="2" t="s">
        <v>25291</v>
      </c>
      <c r="B12566" s="2" t="s">
        <v>25292</v>
      </c>
      <c r="C12566" s="2" t="s">
        <v>556</v>
      </c>
      <c r="D12566" s="2" t="s">
        <v>699</v>
      </c>
      <c r="E12566" s="2" t="str">
        <f>"9783837669596"</f>
        <v>9783837669596</v>
      </c>
      <c r="F12566" s="2" t="str">
        <f>"9783839469590"</f>
        <v>9783839469590</v>
      </c>
    </row>
    <row r="12567" spans="1:6" s="3" customFormat="1" ht="29.1" customHeight="1" x14ac:dyDescent="0.25">
      <c r="A12567" s="2" t="s">
        <v>25293</v>
      </c>
      <c r="B12567" s="2" t="s">
        <v>25294</v>
      </c>
      <c r="C12567" s="2" t="s">
        <v>556</v>
      </c>
      <c r="D12567" s="2" t="s">
        <v>1127</v>
      </c>
      <c r="E12567" s="2" t="str">
        <f>"9783837669244"</f>
        <v>9783837669244</v>
      </c>
      <c r="F12567" s="2" t="str">
        <f>"9783839469248"</f>
        <v>9783839469248</v>
      </c>
    </row>
    <row r="12568" spans="1:6" s="3" customFormat="1" ht="29.1" customHeight="1" x14ac:dyDescent="0.25">
      <c r="A12568" s="2" t="s">
        <v>25295</v>
      </c>
      <c r="B12568" s="2" t="s">
        <v>25296</v>
      </c>
      <c r="C12568" s="2" t="s">
        <v>556</v>
      </c>
      <c r="D12568" s="2" t="s">
        <v>712</v>
      </c>
      <c r="E12568" s="2" t="str">
        <f>"9783837669138"</f>
        <v>9783837669138</v>
      </c>
      <c r="F12568" s="2" t="str">
        <f>"9783839469132"</f>
        <v>9783839469132</v>
      </c>
    </row>
    <row r="12569" spans="1:6" s="3" customFormat="1" ht="29.1" customHeight="1" x14ac:dyDescent="0.25">
      <c r="A12569" s="2" t="s">
        <v>25297</v>
      </c>
      <c r="B12569" s="2" t="s">
        <v>25298</v>
      </c>
      <c r="C12569" s="2" t="s">
        <v>556</v>
      </c>
      <c r="D12569" s="2" t="s">
        <v>52</v>
      </c>
      <c r="E12569" s="2" t="str">
        <f>"9783837669084"</f>
        <v>9783837669084</v>
      </c>
      <c r="F12569" s="2" t="str">
        <f>"9783839469088"</f>
        <v>9783839469088</v>
      </c>
    </row>
    <row r="12570" spans="1:6" s="3" customFormat="1" ht="29.1" customHeight="1" x14ac:dyDescent="0.25">
      <c r="A12570" s="2" t="s">
        <v>25299</v>
      </c>
      <c r="B12570" s="2" t="s">
        <v>25300</v>
      </c>
      <c r="C12570" s="2" t="s">
        <v>556</v>
      </c>
      <c r="D12570" s="2" t="s">
        <v>3345</v>
      </c>
      <c r="E12570" s="2" t="str">
        <f>"9783837668957"</f>
        <v>9783837668957</v>
      </c>
      <c r="F12570" s="2" t="str">
        <f>"9783839468951"</f>
        <v>9783839468951</v>
      </c>
    </row>
    <row r="12571" spans="1:6" s="3" customFormat="1" ht="29.1" customHeight="1" x14ac:dyDescent="0.25">
      <c r="A12571" s="2" t="s">
        <v>25301</v>
      </c>
      <c r="B12571" s="2" t="s">
        <v>25302</v>
      </c>
      <c r="C12571" s="2" t="s">
        <v>556</v>
      </c>
      <c r="D12571" s="2" t="s">
        <v>1809</v>
      </c>
      <c r="E12571" s="2" t="str">
        <f>"9783837668940"</f>
        <v>9783837668940</v>
      </c>
      <c r="F12571" s="2" t="str">
        <f>"9783839468944"</f>
        <v>9783839468944</v>
      </c>
    </row>
    <row r="12572" spans="1:6" s="3" customFormat="1" ht="29.1" customHeight="1" x14ac:dyDescent="0.25">
      <c r="A12572" s="2" t="s">
        <v>25303</v>
      </c>
      <c r="B12572" s="2" t="s">
        <v>25304</v>
      </c>
      <c r="C12572" s="2" t="s">
        <v>556</v>
      </c>
      <c r="D12572" s="2" t="s">
        <v>202</v>
      </c>
      <c r="E12572" s="2" t="str">
        <f>"9783837668216"</f>
        <v>9783837668216</v>
      </c>
      <c r="F12572" s="2" t="str">
        <f>"9783732868216"</f>
        <v>9783732868216</v>
      </c>
    </row>
    <row r="12573" spans="1:6" s="3" customFormat="1" ht="29.1" customHeight="1" x14ac:dyDescent="0.25">
      <c r="A12573" s="2" t="s">
        <v>25305</v>
      </c>
      <c r="B12573" s="2" t="s">
        <v>25306</v>
      </c>
      <c r="C12573" s="2" t="s">
        <v>556</v>
      </c>
      <c r="D12573" s="2" t="s">
        <v>484</v>
      </c>
      <c r="E12573" s="2" t="str">
        <f>"9783837667981"</f>
        <v>9783837667981</v>
      </c>
      <c r="F12573" s="2" t="str">
        <f>"9783839467985"</f>
        <v>9783839467985</v>
      </c>
    </row>
    <row r="12574" spans="1:6" s="3" customFormat="1" ht="29.1" customHeight="1" x14ac:dyDescent="0.25">
      <c r="A12574" s="2" t="s">
        <v>25307</v>
      </c>
      <c r="B12574" s="2" t="s">
        <v>25308</v>
      </c>
      <c r="C12574" s="2" t="s">
        <v>556</v>
      </c>
      <c r="D12574" s="2" t="s">
        <v>4172</v>
      </c>
      <c r="E12574" s="2" t="str">
        <f>"9783837667905"</f>
        <v>9783837667905</v>
      </c>
      <c r="F12574" s="2" t="str">
        <f>"9783732867905"</f>
        <v>9783732867905</v>
      </c>
    </row>
    <row r="12575" spans="1:6" s="3" customFormat="1" ht="29.1" customHeight="1" x14ac:dyDescent="0.25">
      <c r="A12575" s="2" t="s">
        <v>25309</v>
      </c>
      <c r="B12575" s="2" t="s">
        <v>25310</v>
      </c>
      <c r="C12575" s="2" t="s">
        <v>556</v>
      </c>
      <c r="D12575" s="2" t="s">
        <v>490</v>
      </c>
      <c r="E12575" s="2" t="str">
        <f>"9783837667899"</f>
        <v>9783837667899</v>
      </c>
      <c r="F12575" s="2" t="str">
        <f>"9783839467893"</f>
        <v>9783839467893</v>
      </c>
    </row>
    <row r="12576" spans="1:6" s="3" customFormat="1" ht="29.1" customHeight="1" x14ac:dyDescent="0.25">
      <c r="A12576" s="2" t="s">
        <v>25311</v>
      </c>
      <c r="B12576" s="2" t="s">
        <v>25312</v>
      </c>
      <c r="C12576" s="2" t="s">
        <v>556</v>
      </c>
      <c r="D12576" s="2" t="s">
        <v>712</v>
      </c>
      <c r="E12576" s="2" t="str">
        <f>"9783837667844"</f>
        <v>9783837667844</v>
      </c>
      <c r="F12576" s="2" t="str">
        <f>"9783839467848"</f>
        <v>9783839467848</v>
      </c>
    </row>
    <row r="12577" spans="1:6" s="3" customFormat="1" ht="29.1" customHeight="1" x14ac:dyDescent="0.25">
      <c r="A12577" s="2" t="s">
        <v>25313</v>
      </c>
      <c r="B12577" s="2" t="s">
        <v>25314</v>
      </c>
      <c r="C12577" s="2" t="s">
        <v>556</v>
      </c>
      <c r="D12577" s="2" t="s">
        <v>1393</v>
      </c>
      <c r="E12577" s="2" t="str">
        <f>"9783837667837"</f>
        <v>9783837667837</v>
      </c>
      <c r="F12577" s="2" t="str">
        <f>"9783839467831"</f>
        <v>9783839467831</v>
      </c>
    </row>
    <row r="12578" spans="1:6" s="3" customFormat="1" ht="29.1" customHeight="1" x14ac:dyDescent="0.25">
      <c r="A12578" s="2" t="s">
        <v>25315</v>
      </c>
      <c r="B12578" s="2" t="s">
        <v>25316</v>
      </c>
      <c r="C12578" s="2" t="s">
        <v>556</v>
      </c>
      <c r="D12578" s="2" t="s">
        <v>328</v>
      </c>
      <c r="E12578" s="2" t="str">
        <f>"9783837667417"</f>
        <v>9783837667417</v>
      </c>
      <c r="F12578" s="2" t="str">
        <f>"9783839467411"</f>
        <v>9783839467411</v>
      </c>
    </row>
    <row r="12579" spans="1:6" s="3" customFormat="1" ht="29.1" customHeight="1" x14ac:dyDescent="0.25">
      <c r="A12579" s="2" t="s">
        <v>25317</v>
      </c>
      <c r="B12579" s="2" t="s">
        <v>25318</v>
      </c>
      <c r="C12579" s="2" t="s">
        <v>556</v>
      </c>
      <c r="D12579" s="2" t="s">
        <v>501</v>
      </c>
      <c r="E12579" s="2" t="str">
        <f>"9783837666380"</f>
        <v>9783837666380</v>
      </c>
      <c r="F12579" s="2" t="str">
        <f>"9783732866380"</f>
        <v>9783732866380</v>
      </c>
    </row>
    <row r="12580" spans="1:6" s="3" customFormat="1" ht="29.1" customHeight="1" x14ac:dyDescent="0.25">
      <c r="A12580" s="2" t="s">
        <v>25319</v>
      </c>
      <c r="B12580" s="2" t="s">
        <v>25320</v>
      </c>
      <c r="C12580" s="2" t="s">
        <v>556</v>
      </c>
      <c r="D12580" s="2" t="s">
        <v>484</v>
      </c>
      <c r="E12580" s="2" t="str">
        <f>"9783837666250"</f>
        <v>9783837666250</v>
      </c>
      <c r="F12580" s="2" t="str">
        <f>"9783839466254"</f>
        <v>9783839466254</v>
      </c>
    </row>
    <row r="12581" spans="1:6" s="3" customFormat="1" ht="29.1" customHeight="1" x14ac:dyDescent="0.25">
      <c r="A12581" s="2" t="s">
        <v>25321</v>
      </c>
      <c r="B12581" s="2" t="s">
        <v>25322</v>
      </c>
      <c r="C12581" s="2" t="s">
        <v>556</v>
      </c>
      <c r="D12581" s="2" t="s">
        <v>202</v>
      </c>
      <c r="E12581" s="2" t="str">
        <f>"9783837666038"</f>
        <v>9783837666038</v>
      </c>
      <c r="F12581" s="2" t="str">
        <f>"9783839466032"</f>
        <v>9783839466032</v>
      </c>
    </row>
    <row r="12582" spans="1:6" s="3" customFormat="1" ht="29.1" customHeight="1" x14ac:dyDescent="0.25">
      <c r="A12582" s="2" t="s">
        <v>25323</v>
      </c>
      <c r="B12582" s="2" t="s">
        <v>25324</v>
      </c>
      <c r="C12582" s="2" t="s">
        <v>556</v>
      </c>
      <c r="D12582" s="2" t="s">
        <v>7206</v>
      </c>
      <c r="E12582" s="2" t="str">
        <f>"9783837666014"</f>
        <v>9783837666014</v>
      </c>
      <c r="F12582" s="2" t="str">
        <f>"9783839466018"</f>
        <v>9783839466018</v>
      </c>
    </row>
    <row r="12583" spans="1:6" s="3" customFormat="1" ht="29.1" customHeight="1" x14ac:dyDescent="0.25">
      <c r="A12583" s="2" t="s">
        <v>25325</v>
      </c>
      <c r="B12583" s="2" t="s">
        <v>25326</v>
      </c>
      <c r="C12583" s="2" t="s">
        <v>556</v>
      </c>
      <c r="D12583" s="2" t="s">
        <v>15</v>
      </c>
      <c r="E12583" s="2" t="str">
        <f>"9783837665574"</f>
        <v>9783837665574</v>
      </c>
      <c r="F12583" s="2" t="str">
        <f>"9783839465578"</f>
        <v>9783839465578</v>
      </c>
    </row>
    <row r="12584" spans="1:6" s="3" customFormat="1" ht="29.1" customHeight="1" x14ac:dyDescent="0.25">
      <c r="A12584" s="2" t="s">
        <v>25327</v>
      </c>
      <c r="B12584" s="2" t="s">
        <v>25328</v>
      </c>
      <c r="C12584" s="2" t="s">
        <v>556</v>
      </c>
      <c r="D12584" s="2" t="s">
        <v>712</v>
      </c>
      <c r="E12584" s="2" t="str">
        <f>"9783837664867"</f>
        <v>9783837664867</v>
      </c>
      <c r="F12584" s="2" t="str">
        <f>"9783839464861"</f>
        <v>9783839464861</v>
      </c>
    </row>
    <row r="12585" spans="1:6" s="3" customFormat="1" ht="29.1" customHeight="1" x14ac:dyDescent="0.25">
      <c r="A12585" s="2" t="s">
        <v>25329</v>
      </c>
      <c r="B12585" s="2" t="s">
        <v>25330</v>
      </c>
      <c r="C12585" s="2" t="s">
        <v>556</v>
      </c>
      <c r="D12585" s="2" t="s">
        <v>1001</v>
      </c>
      <c r="E12585" s="2" t="str">
        <f>"9783837664546"</f>
        <v>9783837664546</v>
      </c>
      <c r="F12585" s="2" t="str">
        <f>"9783839464540"</f>
        <v>9783839464540</v>
      </c>
    </row>
    <row r="12586" spans="1:6" s="3" customFormat="1" ht="29.1" customHeight="1" x14ac:dyDescent="0.25">
      <c r="A12586" s="2" t="s">
        <v>25331</v>
      </c>
      <c r="B12586" s="2" t="s">
        <v>25332</v>
      </c>
      <c r="C12586" s="2" t="s">
        <v>556</v>
      </c>
      <c r="D12586" s="2" t="s">
        <v>4210</v>
      </c>
      <c r="E12586" s="2" t="str">
        <f>"9783837663969"</f>
        <v>9783837663969</v>
      </c>
      <c r="F12586" s="2" t="str">
        <f>"9783839463963"</f>
        <v>9783839463963</v>
      </c>
    </row>
    <row r="12587" spans="1:6" s="3" customFormat="1" ht="29.1" customHeight="1" x14ac:dyDescent="0.25">
      <c r="A12587" s="2" t="s">
        <v>25333</v>
      </c>
      <c r="B12587" s="2" t="s">
        <v>25334</v>
      </c>
      <c r="C12587" s="2" t="s">
        <v>556</v>
      </c>
      <c r="D12587" s="2" t="s">
        <v>636</v>
      </c>
      <c r="E12587" s="2" t="str">
        <f>"9783837662634"</f>
        <v>9783837662634</v>
      </c>
      <c r="F12587" s="2" t="str">
        <f>"9783839462638"</f>
        <v>9783839462638</v>
      </c>
    </row>
    <row r="12588" spans="1:6" s="3" customFormat="1" ht="29.1" customHeight="1" x14ac:dyDescent="0.25">
      <c r="A12588" s="2" t="s">
        <v>25335</v>
      </c>
      <c r="B12588" s="2" t="s">
        <v>25336</v>
      </c>
      <c r="C12588" s="2" t="s">
        <v>131</v>
      </c>
      <c r="D12588" s="2" t="s">
        <v>132</v>
      </c>
      <c r="E12588" s="2" t="str">
        <f>"9789027214287"</f>
        <v>9789027214287</v>
      </c>
      <c r="F12588" s="2" t="str">
        <f>"9789027249333"</f>
        <v>9789027249333</v>
      </c>
    </row>
    <row r="12589" spans="1:6" s="3" customFormat="1" ht="29.1" customHeight="1" x14ac:dyDescent="0.25">
      <c r="A12589" s="2" t="s">
        <v>25337</v>
      </c>
      <c r="B12589" s="2" t="s">
        <v>25338</v>
      </c>
      <c r="C12589" s="2" t="s">
        <v>264</v>
      </c>
      <c r="D12589" s="2" t="s">
        <v>5335</v>
      </c>
      <c r="E12589" s="2" t="str">
        <f>"9781032479958"</f>
        <v>9781032479958</v>
      </c>
      <c r="F12589" s="2" t="str">
        <f>"9781003386872"</f>
        <v>9781003386872</v>
      </c>
    </row>
    <row r="12590" spans="1:6" s="3" customFormat="1" ht="29.1" customHeight="1" x14ac:dyDescent="0.25">
      <c r="A12590" s="2" t="s">
        <v>25339</v>
      </c>
      <c r="B12590" s="2" t="s">
        <v>25340</v>
      </c>
      <c r="C12590" s="2" t="s">
        <v>124</v>
      </c>
      <c r="D12590" s="2" t="s">
        <v>606</v>
      </c>
      <c r="E12590" s="2" t="str">
        <f>"9781032394992"</f>
        <v>9781032394992</v>
      </c>
      <c r="F12590" s="2" t="str">
        <f>"9781000986167"</f>
        <v>9781000986167</v>
      </c>
    </row>
    <row r="12591" spans="1:6" s="3" customFormat="1" ht="29.1" customHeight="1" x14ac:dyDescent="0.25">
      <c r="A12591" s="2" t="s">
        <v>25341</v>
      </c>
      <c r="B12591" s="2" t="s">
        <v>25342</v>
      </c>
      <c r="C12591" s="2" t="s">
        <v>124</v>
      </c>
      <c r="D12591" s="2" t="s">
        <v>2462</v>
      </c>
      <c r="E12591" s="2" t="str">
        <f>"9781032505053"</f>
        <v>9781032505053</v>
      </c>
      <c r="F12591" s="2" t="str">
        <f>"9781000982459"</f>
        <v>9781000982459</v>
      </c>
    </row>
    <row r="12592" spans="1:6" s="3" customFormat="1" ht="29.1" customHeight="1" x14ac:dyDescent="0.25">
      <c r="A12592" s="2" t="s">
        <v>25343</v>
      </c>
      <c r="B12592" s="2" t="s">
        <v>25344</v>
      </c>
      <c r="C12592" s="2" t="s">
        <v>327</v>
      </c>
      <c r="D12592" s="2" t="s">
        <v>712</v>
      </c>
      <c r="E12592" s="2" t="str">
        <f>"9788383311814"</f>
        <v>9788383311814</v>
      </c>
      <c r="F12592" s="2" t="str">
        <f>"9788383311821"</f>
        <v>9788383311821</v>
      </c>
    </row>
    <row r="12593" spans="1:6" s="3" customFormat="1" ht="29.1" customHeight="1" x14ac:dyDescent="0.25">
      <c r="A12593" s="2" t="s">
        <v>25345</v>
      </c>
      <c r="B12593" s="2" t="s">
        <v>19499</v>
      </c>
      <c r="C12593" s="2" t="s">
        <v>327</v>
      </c>
      <c r="D12593" s="2" t="s">
        <v>1416</v>
      </c>
      <c r="E12593" s="2" t="str">
        <f>"9788383312040"</f>
        <v>9788383312040</v>
      </c>
      <c r="F12593" s="2" t="str">
        <f>"9788383312057"</f>
        <v>9788383312057</v>
      </c>
    </row>
    <row r="12594" spans="1:6" s="3" customFormat="1" ht="29.1" customHeight="1" x14ac:dyDescent="0.25">
      <c r="A12594" s="2" t="s">
        <v>25346</v>
      </c>
      <c r="B12594" s="2" t="s">
        <v>25347</v>
      </c>
      <c r="C12594" s="2" t="s">
        <v>327</v>
      </c>
      <c r="D12594" s="2" t="s">
        <v>270</v>
      </c>
      <c r="E12594" s="2"/>
      <c r="F12594" s="2" t="str">
        <f>"9788383312781"</f>
        <v>9788383312781</v>
      </c>
    </row>
    <row r="12595" spans="1:6" s="3" customFormat="1" ht="29.1" customHeight="1" x14ac:dyDescent="0.25">
      <c r="A12595" s="2" t="s">
        <v>25348</v>
      </c>
      <c r="B12595" s="2" t="s">
        <v>25349</v>
      </c>
      <c r="C12595" s="2" t="s">
        <v>327</v>
      </c>
      <c r="D12595" s="2" t="s">
        <v>17099</v>
      </c>
      <c r="E12595" s="2" t="str">
        <f>"9788383312163"</f>
        <v>9788383312163</v>
      </c>
      <c r="F12595" s="2" t="str">
        <f>"9788383312170"</f>
        <v>9788383312170</v>
      </c>
    </row>
    <row r="12596" spans="1:6" s="3" customFormat="1" ht="29.1" customHeight="1" x14ac:dyDescent="0.25">
      <c r="A12596" s="2" t="s">
        <v>25350</v>
      </c>
      <c r="B12596" s="2" t="s">
        <v>25351</v>
      </c>
      <c r="C12596" s="2" t="s">
        <v>327</v>
      </c>
      <c r="D12596" s="2" t="s">
        <v>9656</v>
      </c>
      <c r="E12596" s="2" t="str">
        <f>"9788383311876"</f>
        <v>9788383311876</v>
      </c>
      <c r="F12596" s="2" t="str">
        <f>"9788383311883"</f>
        <v>9788383311883</v>
      </c>
    </row>
    <row r="12597" spans="1:6" s="3" customFormat="1" ht="29.1" customHeight="1" x14ac:dyDescent="0.25">
      <c r="A12597" s="2" t="s">
        <v>25352</v>
      </c>
      <c r="B12597" s="2" t="s">
        <v>16477</v>
      </c>
      <c r="C12597" s="2" t="s">
        <v>327</v>
      </c>
      <c r="D12597" s="2" t="s">
        <v>8388</v>
      </c>
      <c r="E12597" s="2" t="str">
        <f>"9788383311968"</f>
        <v>9788383311968</v>
      </c>
      <c r="F12597" s="2" t="str">
        <f>"9788383311975"</f>
        <v>9788383311975</v>
      </c>
    </row>
    <row r="12598" spans="1:6" s="3" customFormat="1" ht="29.1" customHeight="1" x14ac:dyDescent="0.25">
      <c r="A12598" s="2" t="s">
        <v>25353</v>
      </c>
      <c r="B12598" s="2" t="s">
        <v>5084</v>
      </c>
      <c r="C12598" s="2" t="s">
        <v>327</v>
      </c>
      <c r="D12598" s="2" t="s">
        <v>2019</v>
      </c>
      <c r="E12598" s="2"/>
      <c r="F12598" s="2" t="str">
        <f>"9788383311784"</f>
        <v>9788383311784</v>
      </c>
    </row>
    <row r="12599" spans="1:6" s="3" customFormat="1" ht="29.1" customHeight="1" x14ac:dyDescent="0.25">
      <c r="A12599" s="2" t="s">
        <v>25354</v>
      </c>
      <c r="B12599" s="2" t="s">
        <v>25355</v>
      </c>
      <c r="C12599" s="2" t="s">
        <v>595</v>
      </c>
      <c r="D12599" s="2" t="s">
        <v>81</v>
      </c>
      <c r="E12599" s="2" t="str">
        <f>"9783631860724"</f>
        <v>9783631860724</v>
      </c>
      <c r="F12599" s="2" t="str">
        <f>"9783631907047"</f>
        <v>9783631907047</v>
      </c>
    </row>
    <row r="12600" spans="1:6" s="3" customFormat="1" ht="29.1" customHeight="1" x14ac:dyDescent="0.25">
      <c r="A12600" s="2" t="s">
        <v>25356</v>
      </c>
      <c r="B12600" s="2" t="s">
        <v>25357</v>
      </c>
      <c r="C12600" s="2" t="s">
        <v>124</v>
      </c>
      <c r="D12600" s="2" t="s">
        <v>189</v>
      </c>
      <c r="E12600" s="2" t="str">
        <f>"9781032313672"</f>
        <v>9781032313672</v>
      </c>
      <c r="F12600" s="2" t="str">
        <f>"9781003309413"</f>
        <v>9781003309413</v>
      </c>
    </row>
    <row r="12601" spans="1:6" s="3" customFormat="1" ht="29.1" customHeight="1" x14ac:dyDescent="0.25">
      <c r="A12601" s="2" t="s">
        <v>25358</v>
      </c>
      <c r="B12601" s="2" t="s">
        <v>25359</v>
      </c>
      <c r="C12601" s="2" t="s">
        <v>124</v>
      </c>
      <c r="D12601" s="2" t="s">
        <v>270</v>
      </c>
      <c r="E12601" s="2" t="str">
        <f>"9781032374765"</f>
        <v>9781032374765</v>
      </c>
      <c r="F12601" s="2" t="str">
        <f>"9781003340386"</f>
        <v>9781003340386</v>
      </c>
    </row>
    <row r="12602" spans="1:6" s="3" customFormat="1" ht="29.1" customHeight="1" x14ac:dyDescent="0.25">
      <c r="A12602" s="2" t="s">
        <v>25360</v>
      </c>
      <c r="B12602" s="2" t="s">
        <v>25361</v>
      </c>
      <c r="C12602" s="2" t="s">
        <v>124</v>
      </c>
      <c r="D12602" s="2" t="s">
        <v>353</v>
      </c>
      <c r="E12602" s="2" t="str">
        <f>"9781032275918"</f>
        <v>9781032275918</v>
      </c>
      <c r="F12602" s="2" t="str">
        <f>"9781000999457"</f>
        <v>9781000999457</v>
      </c>
    </row>
    <row r="12603" spans="1:6" s="3" customFormat="1" ht="29.1" customHeight="1" x14ac:dyDescent="0.25">
      <c r="A12603" s="2" t="s">
        <v>25362</v>
      </c>
      <c r="B12603" s="2"/>
      <c r="C12603" s="2" t="s">
        <v>316</v>
      </c>
      <c r="D12603" s="2" t="s">
        <v>5092</v>
      </c>
      <c r="E12603" s="2" t="str">
        <f>"9783036404189"</f>
        <v>9783036404189</v>
      </c>
      <c r="F12603" s="2" t="str">
        <f>"9783036414188"</f>
        <v>9783036414188</v>
      </c>
    </row>
    <row r="12604" spans="1:6" s="3" customFormat="1" ht="29.1" customHeight="1" x14ac:dyDescent="0.25">
      <c r="A12604" s="2" t="s">
        <v>25363</v>
      </c>
      <c r="B12604" s="2" t="s">
        <v>25364</v>
      </c>
      <c r="C12604" s="2" t="s">
        <v>7163</v>
      </c>
      <c r="D12604" s="2" t="s">
        <v>4754</v>
      </c>
      <c r="E12604" s="2" t="str">
        <f>"9781643361840"</f>
        <v>9781643361840</v>
      </c>
      <c r="F12604" s="2" t="str">
        <f>"9781643361857"</f>
        <v>9781643361857</v>
      </c>
    </row>
    <row r="12605" spans="1:6" s="3" customFormat="1" ht="29.1" customHeight="1" x14ac:dyDescent="0.25">
      <c r="A12605" s="2" t="s">
        <v>25365</v>
      </c>
      <c r="B12605" s="2" t="s">
        <v>25366</v>
      </c>
      <c r="C12605" s="2" t="s">
        <v>7514</v>
      </c>
      <c r="D12605" s="2" t="s">
        <v>240</v>
      </c>
      <c r="E12605" s="2"/>
      <c r="F12605" s="2" t="str">
        <f>"9788869695902"</f>
        <v>9788869695902</v>
      </c>
    </row>
    <row r="12606" spans="1:6" s="3" customFormat="1" ht="29.1" customHeight="1" x14ac:dyDescent="0.25">
      <c r="A12606" s="2" t="s">
        <v>25367</v>
      </c>
      <c r="B12606" s="2" t="s">
        <v>25368</v>
      </c>
      <c r="C12606" s="2" t="s">
        <v>7514</v>
      </c>
      <c r="D12606" s="2" t="s">
        <v>636</v>
      </c>
      <c r="E12606" s="2" t="str">
        <f>"9788869697180"</f>
        <v>9788869697180</v>
      </c>
      <c r="F12606" s="2" t="str">
        <f>"9788869697173"</f>
        <v>9788869697173</v>
      </c>
    </row>
    <row r="12607" spans="1:6" s="3" customFormat="1" ht="29.1" customHeight="1" x14ac:dyDescent="0.25">
      <c r="A12607" s="2" t="s">
        <v>25369</v>
      </c>
      <c r="B12607" s="2" t="s">
        <v>25370</v>
      </c>
      <c r="C12607" s="2" t="s">
        <v>7514</v>
      </c>
      <c r="D12607" s="2" t="s">
        <v>1262</v>
      </c>
      <c r="E12607" s="2" t="str">
        <f>"9788869697364"</f>
        <v>9788869697364</v>
      </c>
      <c r="F12607" s="2" t="str">
        <f>"9788869697098"</f>
        <v>9788869697098</v>
      </c>
    </row>
    <row r="12608" spans="1:6" s="3" customFormat="1" ht="29.1" customHeight="1" x14ac:dyDescent="0.25">
      <c r="A12608" s="2" t="s">
        <v>25371</v>
      </c>
      <c r="B12608" s="2" t="s">
        <v>25372</v>
      </c>
      <c r="C12608" s="2" t="s">
        <v>7514</v>
      </c>
      <c r="D12608" s="2" t="s">
        <v>22070</v>
      </c>
      <c r="E12608" s="2" t="str">
        <f>"9788869697005"</f>
        <v>9788869697005</v>
      </c>
      <c r="F12608" s="2" t="str">
        <f>"9788869696992"</f>
        <v>9788869696992</v>
      </c>
    </row>
    <row r="12609" spans="1:6" s="3" customFormat="1" ht="29.1" customHeight="1" x14ac:dyDescent="0.25">
      <c r="A12609" s="2" t="s">
        <v>25373</v>
      </c>
      <c r="B12609" s="2" t="s">
        <v>25374</v>
      </c>
      <c r="C12609" s="2" t="s">
        <v>7514</v>
      </c>
      <c r="D12609" s="2" t="s">
        <v>3043</v>
      </c>
      <c r="E12609" s="2" t="str">
        <f>"9788869696961"</f>
        <v>9788869696961</v>
      </c>
      <c r="F12609" s="2" t="str">
        <f>"9788869696954"</f>
        <v>9788869696954</v>
      </c>
    </row>
    <row r="12610" spans="1:6" s="3" customFormat="1" ht="29.1" customHeight="1" x14ac:dyDescent="0.25">
      <c r="A12610" s="2" t="s">
        <v>25375</v>
      </c>
      <c r="B12610" s="2" t="s">
        <v>25376</v>
      </c>
      <c r="C12610" s="2" t="s">
        <v>7514</v>
      </c>
      <c r="D12610" s="2" t="s">
        <v>175</v>
      </c>
      <c r="E12610" s="2" t="str">
        <f>"9788869697265"</f>
        <v>9788869697265</v>
      </c>
      <c r="F12610" s="2" t="str">
        <f>"9788869697258"</f>
        <v>9788869697258</v>
      </c>
    </row>
    <row r="12611" spans="1:6" s="3" customFormat="1" ht="29.1" customHeight="1" x14ac:dyDescent="0.25">
      <c r="A12611" s="2" t="s">
        <v>25377</v>
      </c>
      <c r="B12611" s="2" t="s">
        <v>25378</v>
      </c>
      <c r="C12611" s="2" t="s">
        <v>7514</v>
      </c>
      <c r="D12611" s="2" t="s">
        <v>1617</v>
      </c>
      <c r="E12611" s="2"/>
      <c r="F12611" s="2" t="str">
        <f>"9788869696947"</f>
        <v>9788869696947</v>
      </c>
    </row>
    <row r="12612" spans="1:6" s="3" customFormat="1" ht="29.1" customHeight="1" x14ac:dyDescent="0.25">
      <c r="A12612" s="2" t="s">
        <v>25379</v>
      </c>
      <c r="B12612" s="2" t="s">
        <v>25380</v>
      </c>
      <c r="C12612" s="2" t="s">
        <v>7514</v>
      </c>
      <c r="D12612" s="2" t="s">
        <v>3092</v>
      </c>
      <c r="E12612" s="2" t="str">
        <f>"9788869697203"</f>
        <v>9788869697203</v>
      </c>
      <c r="F12612" s="2" t="str">
        <f>"9788869697197"</f>
        <v>9788869697197</v>
      </c>
    </row>
    <row r="12613" spans="1:6" s="3" customFormat="1" ht="29.1" customHeight="1" x14ac:dyDescent="0.25">
      <c r="A12613" s="2" t="s">
        <v>25381</v>
      </c>
      <c r="B12613" s="2" t="s">
        <v>25382</v>
      </c>
      <c r="C12613" s="2" t="s">
        <v>7514</v>
      </c>
      <c r="D12613" s="2" t="s">
        <v>78</v>
      </c>
      <c r="E12613" s="2"/>
      <c r="F12613" s="2" t="str">
        <f>"9788869697340"</f>
        <v>9788869697340</v>
      </c>
    </row>
    <row r="12614" spans="1:6" s="3" customFormat="1" ht="29.1" customHeight="1" x14ac:dyDescent="0.25">
      <c r="A12614" s="2" t="s">
        <v>25383</v>
      </c>
      <c r="B12614" s="2" t="s">
        <v>25385</v>
      </c>
      <c r="C12614" s="2" t="s">
        <v>7514</v>
      </c>
      <c r="D12614" s="2" t="s">
        <v>25384</v>
      </c>
      <c r="E12614" s="2" t="str">
        <f>"9788869696145"</f>
        <v>9788869696145</v>
      </c>
      <c r="F12614" s="2" t="str">
        <f>"9788869696138"</f>
        <v>9788869696138</v>
      </c>
    </row>
    <row r="12615" spans="1:6" s="3" customFormat="1" ht="29.1" customHeight="1" x14ac:dyDescent="0.25">
      <c r="A12615" s="2" t="s">
        <v>25386</v>
      </c>
      <c r="B12615" s="2" t="s">
        <v>25387</v>
      </c>
      <c r="C12615" s="2" t="s">
        <v>7514</v>
      </c>
      <c r="D12615" s="2" t="s">
        <v>4185</v>
      </c>
      <c r="E12615" s="2" t="str">
        <f>"9788869697159"</f>
        <v>9788869697159</v>
      </c>
      <c r="F12615" s="2" t="str">
        <f>"9788869697142"</f>
        <v>9788869697142</v>
      </c>
    </row>
    <row r="12616" spans="1:6" s="3" customFormat="1" ht="29.1" customHeight="1" x14ac:dyDescent="0.25">
      <c r="A12616" s="2" t="s">
        <v>25388</v>
      </c>
      <c r="B12616" s="2" t="s">
        <v>25390</v>
      </c>
      <c r="C12616" s="2" t="s">
        <v>644</v>
      </c>
      <c r="D12616" s="2" t="s">
        <v>25389</v>
      </c>
      <c r="E12616" s="2"/>
      <c r="F12616" s="2" t="str">
        <f>"9781478092964"</f>
        <v>9781478092964</v>
      </c>
    </row>
    <row r="12617" spans="1:6" s="3" customFormat="1" ht="29.1" customHeight="1" x14ac:dyDescent="0.25">
      <c r="A12617" s="2" t="s">
        <v>25391</v>
      </c>
      <c r="B12617" s="2" t="s">
        <v>25392</v>
      </c>
      <c r="C12617" s="2" t="s">
        <v>248</v>
      </c>
      <c r="D12617" s="2" t="s">
        <v>15336</v>
      </c>
      <c r="E12617" s="2" t="str">
        <f>"9783847427643"</f>
        <v>9783847427643</v>
      </c>
      <c r="F12617" s="2" t="str">
        <f>"9783847418566"</f>
        <v>9783847418566</v>
      </c>
    </row>
    <row r="12618" spans="1:6" s="3" customFormat="1" ht="29.1" customHeight="1" x14ac:dyDescent="0.25">
      <c r="A12618" s="2" t="s">
        <v>25393</v>
      </c>
      <c r="B12618" s="2" t="s">
        <v>826</v>
      </c>
      <c r="C12618" s="2" t="s">
        <v>248</v>
      </c>
      <c r="D12618" s="2" t="s">
        <v>21</v>
      </c>
      <c r="E12618" s="2" t="str">
        <f>"9783847427193"</f>
        <v>9783847427193</v>
      </c>
      <c r="F12618" s="2" t="str">
        <f>"9783847418894"</f>
        <v>9783847418894</v>
      </c>
    </row>
    <row r="12619" spans="1:6" s="3" customFormat="1" ht="29.1" customHeight="1" x14ac:dyDescent="0.25">
      <c r="A12619" s="2" t="s">
        <v>25394</v>
      </c>
      <c r="B12619" s="2" t="s">
        <v>25395</v>
      </c>
      <c r="C12619" s="2" t="s">
        <v>613</v>
      </c>
      <c r="D12619" s="2" t="s">
        <v>98</v>
      </c>
      <c r="E12619" s="2" t="str">
        <f>"9781668484944"</f>
        <v>9781668484944</v>
      </c>
      <c r="F12619" s="2" t="str">
        <f>"9781668484968"</f>
        <v>9781668484968</v>
      </c>
    </row>
    <row r="12620" spans="1:6" s="3" customFormat="1" ht="29.1" customHeight="1" x14ac:dyDescent="0.25">
      <c r="A12620" s="2" t="s">
        <v>25396</v>
      </c>
      <c r="B12620" s="2" t="s">
        <v>25397</v>
      </c>
      <c r="C12620" s="2" t="s">
        <v>746</v>
      </c>
      <c r="D12620" s="2" t="s">
        <v>4185</v>
      </c>
      <c r="E12620" s="2" t="str">
        <f>"9781803276083"</f>
        <v>9781803276083</v>
      </c>
      <c r="F12620" s="2" t="str">
        <f>"9781803276090"</f>
        <v>9781803276090</v>
      </c>
    </row>
    <row r="12621" spans="1:6" s="3" customFormat="1" ht="29.1" customHeight="1" x14ac:dyDescent="0.25">
      <c r="A12621" s="2" t="s">
        <v>25398</v>
      </c>
      <c r="B12621" s="2" t="s">
        <v>25399</v>
      </c>
      <c r="C12621" s="2" t="s">
        <v>124</v>
      </c>
      <c r="D12621" s="2" t="s">
        <v>4214</v>
      </c>
      <c r="E12621" s="2" t="str">
        <f>"9781032460079"</f>
        <v>9781032460079</v>
      </c>
      <c r="F12621" s="2" t="str">
        <f>"9781003379676"</f>
        <v>9781003379676</v>
      </c>
    </row>
    <row r="12622" spans="1:6" s="3" customFormat="1" ht="29.1" customHeight="1" x14ac:dyDescent="0.25">
      <c r="A12622" s="2" t="s">
        <v>25400</v>
      </c>
      <c r="B12622" s="2" t="s">
        <v>25401</v>
      </c>
      <c r="C12622" s="2" t="s">
        <v>15381</v>
      </c>
      <c r="D12622" s="2" t="s">
        <v>14118</v>
      </c>
      <c r="E12622" s="2" t="str">
        <f>"9781469637105"</f>
        <v>9781469637105</v>
      </c>
      <c r="F12622" s="2" t="str">
        <f>"9781469637129"</f>
        <v>9781469637129</v>
      </c>
    </row>
    <row r="12623" spans="1:6" s="3" customFormat="1" ht="29.1" customHeight="1" x14ac:dyDescent="0.25">
      <c r="A12623" s="2" t="s">
        <v>25402</v>
      </c>
      <c r="B12623" s="2" t="s">
        <v>25403</v>
      </c>
      <c r="C12623" s="2" t="s">
        <v>15381</v>
      </c>
      <c r="D12623" s="2" t="s">
        <v>6548</v>
      </c>
      <c r="E12623" s="2" t="str">
        <f>"9781469665306"</f>
        <v>9781469665306</v>
      </c>
      <c r="F12623" s="2" t="str">
        <f>"9781469665320"</f>
        <v>9781469665320</v>
      </c>
    </row>
    <row r="12624" spans="1:6" s="3" customFormat="1" ht="29.1" customHeight="1" x14ac:dyDescent="0.25">
      <c r="A12624" s="2" t="s">
        <v>25404</v>
      </c>
      <c r="B12624" s="2" t="s">
        <v>25405</v>
      </c>
      <c r="C12624" s="2" t="s">
        <v>15381</v>
      </c>
      <c r="D12624" s="2" t="s">
        <v>3214</v>
      </c>
      <c r="E12624" s="2" t="str">
        <f>"9781469637181"</f>
        <v>9781469637181</v>
      </c>
      <c r="F12624" s="2" t="str">
        <f>"9781469637204"</f>
        <v>9781469637204</v>
      </c>
    </row>
    <row r="12625" spans="1:6" s="3" customFormat="1" ht="29.1" customHeight="1" x14ac:dyDescent="0.25">
      <c r="A12625" s="2" t="s">
        <v>25406</v>
      </c>
      <c r="B12625" s="2" t="s">
        <v>25407</v>
      </c>
      <c r="C12625" s="2" t="s">
        <v>15381</v>
      </c>
      <c r="D12625" s="2" t="s">
        <v>1956</v>
      </c>
      <c r="E12625" s="2" t="str">
        <f>"9781469660813"</f>
        <v>9781469660813</v>
      </c>
      <c r="F12625" s="2" t="str">
        <f>"9781469660837"</f>
        <v>9781469660837</v>
      </c>
    </row>
    <row r="12626" spans="1:6" s="3" customFormat="1" ht="29.1" customHeight="1" x14ac:dyDescent="0.25">
      <c r="A12626" s="2" t="s">
        <v>25408</v>
      </c>
      <c r="B12626" s="2" t="s">
        <v>25409</v>
      </c>
      <c r="C12626" s="2" t="s">
        <v>149</v>
      </c>
      <c r="D12626" s="2" t="s">
        <v>525</v>
      </c>
      <c r="E12626" s="2"/>
      <c r="F12626" s="2" t="str">
        <f>"9781800649149"</f>
        <v>9781800649149</v>
      </c>
    </row>
    <row r="12627" spans="1:6" s="3" customFormat="1" ht="29.1" customHeight="1" x14ac:dyDescent="0.25">
      <c r="A12627" s="2" t="s">
        <v>25410</v>
      </c>
      <c r="B12627" s="2" t="s">
        <v>25412</v>
      </c>
      <c r="C12627" s="2" t="s">
        <v>11220</v>
      </c>
      <c r="D12627" s="2" t="s">
        <v>25411</v>
      </c>
      <c r="E12627" s="2" t="str">
        <f>"9781479804603"</f>
        <v>9781479804603</v>
      </c>
      <c r="F12627" s="2" t="str">
        <f>"9781479828654"</f>
        <v>9781479828654</v>
      </c>
    </row>
    <row r="12628" spans="1:6" s="3" customFormat="1" ht="29.1" customHeight="1" x14ac:dyDescent="0.25">
      <c r="A12628" s="2" t="s">
        <v>25413</v>
      </c>
      <c r="B12628" s="2" t="s">
        <v>25414</v>
      </c>
      <c r="C12628" s="2" t="s">
        <v>59</v>
      </c>
      <c r="D12628" s="2" t="s">
        <v>2086</v>
      </c>
      <c r="E12628" s="2"/>
      <c r="F12628" s="2" t="str">
        <f>"9782759237319"</f>
        <v>9782759237319</v>
      </c>
    </row>
    <row r="12629" spans="1:6" s="3" customFormat="1" ht="29.1" customHeight="1" x14ac:dyDescent="0.25">
      <c r="A12629" s="2" t="s">
        <v>25153</v>
      </c>
      <c r="B12629" s="2"/>
      <c r="C12629" s="2" t="s">
        <v>59</v>
      </c>
      <c r="D12629" s="2" t="s">
        <v>2433</v>
      </c>
      <c r="E12629" s="2"/>
      <c r="F12629" s="2" t="str">
        <f>"9782759232802"</f>
        <v>9782759232802</v>
      </c>
    </row>
    <row r="12630" spans="1:6" s="3" customFormat="1" ht="29.1" customHeight="1" x14ac:dyDescent="0.25">
      <c r="A12630" s="2" t="s">
        <v>24252</v>
      </c>
      <c r="B12630" s="2"/>
      <c r="C12630" s="2" t="s">
        <v>59</v>
      </c>
      <c r="D12630" s="2" t="s">
        <v>1390</v>
      </c>
      <c r="E12630" s="2"/>
      <c r="F12630" s="2" t="str">
        <f>"9782759232543"</f>
        <v>9782759232543</v>
      </c>
    </row>
    <row r="12631" spans="1:6" s="3" customFormat="1" ht="29.1" customHeight="1" x14ac:dyDescent="0.25">
      <c r="A12631" s="2" t="s">
        <v>24253</v>
      </c>
      <c r="B12631" s="2"/>
      <c r="C12631" s="2" t="s">
        <v>59</v>
      </c>
      <c r="D12631" s="2" t="s">
        <v>3661</v>
      </c>
      <c r="E12631" s="2"/>
      <c r="F12631" s="2" t="str">
        <f>"9782759231560"</f>
        <v>9782759231560</v>
      </c>
    </row>
    <row r="12632" spans="1:6" s="3" customFormat="1" ht="29.1" customHeight="1" x14ac:dyDescent="0.25">
      <c r="A12632" s="2" t="s">
        <v>25415</v>
      </c>
      <c r="B12632" s="2" t="s">
        <v>25416</v>
      </c>
      <c r="C12632" s="2" t="s">
        <v>59</v>
      </c>
      <c r="D12632" s="2" t="s">
        <v>2086</v>
      </c>
      <c r="E12632" s="2"/>
      <c r="F12632" s="2" t="str">
        <f>"9782759230754"</f>
        <v>9782759230754</v>
      </c>
    </row>
    <row r="12633" spans="1:6" s="3" customFormat="1" ht="29.1" customHeight="1" x14ac:dyDescent="0.25">
      <c r="A12633" s="2" t="s">
        <v>25417</v>
      </c>
      <c r="B12633" s="2"/>
      <c r="C12633" s="2" t="s">
        <v>59</v>
      </c>
      <c r="D12633" s="2" t="s">
        <v>454</v>
      </c>
      <c r="E12633" s="2"/>
      <c r="F12633" s="2" t="str">
        <f>"9782759231034"</f>
        <v>9782759231034</v>
      </c>
    </row>
    <row r="12634" spans="1:6" s="3" customFormat="1" ht="29.1" customHeight="1" x14ac:dyDescent="0.25">
      <c r="A12634" s="2" t="s">
        <v>25418</v>
      </c>
      <c r="B12634" s="2"/>
      <c r="C12634" s="2" t="s">
        <v>59</v>
      </c>
      <c r="D12634" s="2" t="s">
        <v>2086</v>
      </c>
      <c r="E12634" s="2"/>
      <c r="F12634" s="2" t="str">
        <f>"9782759229222"</f>
        <v>9782759229222</v>
      </c>
    </row>
    <row r="12635" spans="1:6" s="3" customFormat="1" ht="29.1" customHeight="1" x14ac:dyDescent="0.25">
      <c r="A12635" s="2" t="s">
        <v>25419</v>
      </c>
      <c r="B12635" s="2"/>
      <c r="C12635" s="2" t="s">
        <v>59</v>
      </c>
      <c r="D12635" s="2" t="s">
        <v>1806</v>
      </c>
      <c r="E12635" s="2"/>
      <c r="F12635" s="2" t="str">
        <f>"9782759229604"</f>
        <v>9782759229604</v>
      </c>
    </row>
    <row r="12636" spans="1:6" s="3" customFormat="1" ht="29.1" customHeight="1" x14ac:dyDescent="0.25">
      <c r="A12636" s="2" t="s">
        <v>25420</v>
      </c>
      <c r="B12636" s="2"/>
      <c r="C12636" s="2" t="s">
        <v>59</v>
      </c>
      <c r="D12636" s="2" t="s">
        <v>2086</v>
      </c>
      <c r="E12636" s="2"/>
      <c r="F12636" s="2" t="str">
        <f>"9782759229079"</f>
        <v>9782759229079</v>
      </c>
    </row>
    <row r="12637" spans="1:6" s="3" customFormat="1" ht="29.1" customHeight="1" x14ac:dyDescent="0.25">
      <c r="A12637" s="2" t="s">
        <v>25421</v>
      </c>
      <c r="B12637" s="2" t="s">
        <v>25422</v>
      </c>
      <c r="C12637" s="2" t="s">
        <v>59</v>
      </c>
      <c r="D12637" s="2" t="s">
        <v>8189</v>
      </c>
      <c r="E12637" s="2"/>
      <c r="F12637" s="2" t="str">
        <f>"9782759225958"</f>
        <v>9782759225958</v>
      </c>
    </row>
    <row r="12638" spans="1:6" s="3" customFormat="1" ht="29.1" customHeight="1" x14ac:dyDescent="0.25">
      <c r="A12638" s="2" t="s">
        <v>25423</v>
      </c>
      <c r="B12638" s="2"/>
      <c r="C12638" s="2" t="s">
        <v>59</v>
      </c>
      <c r="D12638" s="2" t="s">
        <v>297</v>
      </c>
      <c r="E12638" s="2"/>
      <c r="F12638" s="2" t="str">
        <f>"9782759225699"</f>
        <v>9782759225699</v>
      </c>
    </row>
    <row r="12639" spans="1:6" s="3" customFormat="1" ht="29.1" customHeight="1" x14ac:dyDescent="0.25">
      <c r="A12639" s="2" t="s">
        <v>25424</v>
      </c>
      <c r="B12639" s="2" t="s">
        <v>25425</v>
      </c>
      <c r="C12639" s="2" t="s">
        <v>59</v>
      </c>
      <c r="D12639" s="2" t="s">
        <v>2086</v>
      </c>
      <c r="E12639" s="2"/>
      <c r="F12639" s="2" t="str">
        <f>"9782759222230"</f>
        <v>9782759222230</v>
      </c>
    </row>
    <row r="12640" spans="1:6" s="3" customFormat="1" ht="29.1" customHeight="1" x14ac:dyDescent="0.25">
      <c r="A12640" s="2" t="s">
        <v>25426</v>
      </c>
      <c r="B12640" s="2" t="s">
        <v>25427</v>
      </c>
      <c r="C12640" s="2" t="s">
        <v>59</v>
      </c>
      <c r="D12640" s="2" t="s">
        <v>11558</v>
      </c>
      <c r="E12640" s="2"/>
      <c r="F12640" s="2" t="str">
        <f>"9782759220038"</f>
        <v>9782759220038</v>
      </c>
    </row>
    <row r="12641" spans="1:6" s="3" customFormat="1" ht="29.1" customHeight="1" x14ac:dyDescent="0.25">
      <c r="A12641" s="2" t="s">
        <v>25428</v>
      </c>
      <c r="B12641" s="2"/>
      <c r="C12641" s="2" t="s">
        <v>59</v>
      </c>
      <c r="D12641" s="2" t="s">
        <v>7350</v>
      </c>
      <c r="E12641" s="2"/>
      <c r="F12641" s="2" t="str">
        <f>"9782759232499"</f>
        <v>9782759232499</v>
      </c>
    </row>
    <row r="12642" spans="1:6" s="3" customFormat="1" ht="29.1" customHeight="1" x14ac:dyDescent="0.25">
      <c r="A12642" s="2" t="s">
        <v>25428</v>
      </c>
      <c r="B12642" s="2"/>
      <c r="C12642" s="2" t="s">
        <v>59</v>
      </c>
      <c r="D12642" s="2" t="s">
        <v>12723</v>
      </c>
      <c r="E12642" s="2" t="str">
        <f>"9782759233267"</f>
        <v>9782759233267</v>
      </c>
      <c r="F12642" s="2" t="str">
        <f>"9782759233274"</f>
        <v>9782759233274</v>
      </c>
    </row>
    <row r="12643" spans="1:6" s="3" customFormat="1" ht="29.1" customHeight="1" x14ac:dyDescent="0.25">
      <c r="A12643" s="2" t="s">
        <v>25428</v>
      </c>
      <c r="B12643" s="2"/>
      <c r="C12643" s="2" t="s">
        <v>59</v>
      </c>
      <c r="D12643" s="2" t="s">
        <v>12723</v>
      </c>
      <c r="E12643" s="2"/>
      <c r="F12643" s="2" t="str">
        <f>"9782759234615"</f>
        <v>9782759234615</v>
      </c>
    </row>
    <row r="12644" spans="1:6" s="3" customFormat="1" ht="29.1" customHeight="1" x14ac:dyDescent="0.25">
      <c r="A12644" s="2" t="s">
        <v>25429</v>
      </c>
      <c r="B12644" s="2"/>
      <c r="C12644" s="2" t="s">
        <v>59</v>
      </c>
      <c r="D12644" s="2" t="s">
        <v>11011</v>
      </c>
      <c r="E12644" s="2"/>
      <c r="F12644" s="2" t="str">
        <f>"9782759235452"</f>
        <v>9782759235452</v>
      </c>
    </row>
    <row r="12645" spans="1:6" s="3" customFormat="1" ht="29.1" customHeight="1" x14ac:dyDescent="0.25">
      <c r="A12645" s="2" t="s">
        <v>25430</v>
      </c>
      <c r="B12645" s="2" t="s">
        <v>25431</v>
      </c>
      <c r="C12645" s="2" t="s">
        <v>59</v>
      </c>
      <c r="D12645" s="2" t="s">
        <v>2834</v>
      </c>
      <c r="E12645" s="2"/>
      <c r="F12645" s="2" t="str">
        <f>"9782759221691"</f>
        <v>9782759221691</v>
      </c>
    </row>
    <row r="12646" spans="1:6" s="3" customFormat="1" ht="29.1" customHeight="1" x14ac:dyDescent="0.25">
      <c r="A12646" s="2" t="s">
        <v>25432</v>
      </c>
      <c r="B12646" s="2" t="s">
        <v>25433</v>
      </c>
      <c r="C12646" s="2" t="s">
        <v>59</v>
      </c>
      <c r="D12646" s="2" t="s">
        <v>1959</v>
      </c>
      <c r="E12646" s="2"/>
      <c r="F12646" s="2" t="str">
        <f>"9782759206872"</f>
        <v>9782759206872</v>
      </c>
    </row>
    <row r="12647" spans="1:6" s="3" customFormat="1" ht="29.1" customHeight="1" x14ac:dyDescent="0.25">
      <c r="A12647" s="2" t="s">
        <v>25434</v>
      </c>
      <c r="B12647" s="2" t="s">
        <v>25436</v>
      </c>
      <c r="C12647" s="2" t="s">
        <v>59</v>
      </c>
      <c r="D12647" s="2" t="s">
        <v>25435</v>
      </c>
      <c r="E12647" s="2"/>
      <c r="F12647" s="2" t="str">
        <f>"9782759206926"</f>
        <v>9782759206926</v>
      </c>
    </row>
    <row r="12648" spans="1:6" s="3" customFormat="1" ht="29.1" customHeight="1" x14ac:dyDescent="0.25">
      <c r="A12648" s="2" t="s">
        <v>25437</v>
      </c>
      <c r="B12648" s="2" t="s">
        <v>25438</v>
      </c>
      <c r="C12648" s="2" t="s">
        <v>59</v>
      </c>
      <c r="D12648" s="2" t="s">
        <v>1924</v>
      </c>
      <c r="E12648" s="2"/>
      <c r="F12648" s="2" t="str">
        <f>"9782759206919"</f>
        <v>9782759206919</v>
      </c>
    </row>
    <row r="12649" spans="1:6" s="3" customFormat="1" ht="29.1" customHeight="1" x14ac:dyDescent="0.25">
      <c r="A12649" s="2" t="s">
        <v>25439</v>
      </c>
      <c r="B12649" s="2"/>
      <c r="C12649" s="2" t="s">
        <v>59</v>
      </c>
      <c r="D12649" s="2" t="s">
        <v>547</v>
      </c>
      <c r="E12649" s="2"/>
      <c r="F12649" s="2" t="str">
        <f>"9782759237494"</f>
        <v>9782759237494</v>
      </c>
    </row>
    <row r="12650" spans="1:6" s="3" customFormat="1" ht="29.1" customHeight="1" x14ac:dyDescent="0.25">
      <c r="A12650" s="2" t="s">
        <v>25440</v>
      </c>
      <c r="B12650" s="2" t="s">
        <v>25442</v>
      </c>
      <c r="C12650" s="2" t="s">
        <v>59</v>
      </c>
      <c r="D12650" s="2" t="s">
        <v>25441</v>
      </c>
      <c r="E12650" s="2"/>
      <c r="F12650" s="2" t="str">
        <f>"9782759237463"</f>
        <v>9782759237463</v>
      </c>
    </row>
    <row r="12651" spans="1:6" s="3" customFormat="1" ht="29.1" customHeight="1" x14ac:dyDescent="0.25">
      <c r="A12651" s="2" t="s">
        <v>25443</v>
      </c>
      <c r="B12651" s="2"/>
      <c r="C12651" s="2" t="s">
        <v>59</v>
      </c>
      <c r="D12651" s="2" t="s">
        <v>11558</v>
      </c>
      <c r="E12651" s="2"/>
      <c r="F12651" s="2" t="str">
        <f>"9782738014573"</f>
        <v>9782738014573</v>
      </c>
    </row>
    <row r="12652" spans="1:6" s="3" customFormat="1" ht="29.1" customHeight="1" x14ac:dyDescent="0.25">
      <c r="A12652" s="2" t="s">
        <v>25444</v>
      </c>
      <c r="B12652" s="2"/>
      <c r="C12652" s="2" t="s">
        <v>59</v>
      </c>
      <c r="D12652" s="2" t="s">
        <v>15598</v>
      </c>
      <c r="E12652" s="2"/>
      <c r="F12652" s="2" t="str">
        <f>"9782759237333"</f>
        <v>9782759237333</v>
      </c>
    </row>
    <row r="12653" spans="1:6" s="3" customFormat="1" ht="29.1" customHeight="1" x14ac:dyDescent="0.25">
      <c r="A12653" s="2" t="s">
        <v>25445</v>
      </c>
      <c r="B12653" s="2"/>
      <c r="C12653" s="2" t="s">
        <v>59</v>
      </c>
      <c r="D12653" s="2" t="s">
        <v>15554</v>
      </c>
      <c r="E12653" s="2"/>
      <c r="F12653" s="2" t="str">
        <f>"9782759237043"</f>
        <v>9782759237043</v>
      </c>
    </row>
    <row r="12654" spans="1:6" s="3" customFormat="1" ht="29.1" customHeight="1" x14ac:dyDescent="0.25">
      <c r="A12654" s="2" t="s">
        <v>25446</v>
      </c>
      <c r="B12654" s="2"/>
      <c r="C12654" s="2" t="s">
        <v>59</v>
      </c>
      <c r="D12654" s="2" t="s">
        <v>25447</v>
      </c>
      <c r="E12654" s="2"/>
      <c r="F12654" s="2" t="str">
        <f>"9782759236794"</f>
        <v>9782759236794</v>
      </c>
    </row>
    <row r="12655" spans="1:6" s="3" customFormat="1" ht="29.1" customHeight="1" x14ac:dyDescent="0.25">
      <c r="A12655" s="2" t="s">
        <v>25448</v>
      </c>
      <c r="B12655" s="2"/>
      <c r="C12655" s="2" t="s">
        <v>59</v>
      </c>
      <c r="D12655" s="2" t="s">
        <v>755</v>
      </c>
      <c r="E12655" s="2"/>
      <c r="F12655" s="2" t="str">
        <f>"9782759236930"</f>
        <v>9782759236930</v>
      </c>
    </row>
    <row r="12656" spans="1:6" s="3" customFormat="1" ht="29.1" customHeight="1" x14ac:dyDescent="0.25">
      <c r="A12656" s="2" t="s">
        <v>25449</v>
      </c>
      <c r="B12656" s="2" t="s">
        <v>25450</v>
      </c>
      <c r="C12656" s="2" t="s">
        <v>59</v>
      </c>
      <c r="D12656" s="2" t="s">
        <v>14827</v>
      </c>
      <c r="E12656" s="2"/>
      <c r="F12656" s="2" t="str">
        <f>"9782759236763"</f>
        <v>9782759236763</v>
      </c>
    </row>
    <row r="12657" spans="1:6" s="3" customFormat="1" ht="29.1" customHeight="1" x14ac:dyDescent="0.25">
      <c r="A12657" s="2" t="s">
        <v>25451</v>
      </c>
      <c r="B12657" s="2"/>
      <c r="C12657" s="2" t="s">
        <v>59</v>
      </c>
      <c r="D12657" s="2" t="s">
        <v>755</v>
      </c>
      <c r="E12657" s="2"/>
      <c r="F12657" s="2" t="str">
        <f>"9782759236183"</f>
        <v>9782759236183</v>
      </c>
    </row>
    <row r="12658" spans="1:6" s="3" customFormat="1" ht="29.1" customHeight="1" x14ac:dyDescent="0.25">
      <c r="A12658" s="2" t="s">
        <v>25452</v>
      </c>
      <c r="B12658" s="2" t="s">
        <v>25453</v>
      </c>
      <c r="C12658" s="2" t="s">
        <v>59</v>
      </c>
      <c r="D12658" s="2" t="s">
        <v>454</v>
      </c>
      <c r="E12658" s="2"/>
      <c r="F12658" s="2" t="str">
        <f>"9782759236541"</f>
        <v>9782759236541</v>
      </c>
    </row>
    <row r="12659" spans="1:6" s="3" customFormat="1" ht="29.1" customHeight="1" x14ac:dyDescent="0.25">
      <c r="A12659" s="2" t="s">
        <v>25454</v>
      </c>
      <c r="B12659" s="2"/>
      <c r="C12659" s="2" t="s">
        <v>59</v>
      </c>
      <c r="D12659" s="2" t="s">
        <v>547</v>
      </c>
      <c r="E12659" s="2"/>
      <c r="F12659" s="2" t="str">
        <f>"9782759236572"</f>
        <v>9782759236572</v>
      </c>
    </row>
    <row r="12660" spans="1:6" s="3" customFormat="1" ht="29.1" customHeight="1" x14ac:dyDescent="0.25">
      <c r="A12660" s="2" t="s">
        <v>25455</v>
      </c>
      <c r="B12660" s="2"/>
      <c r="C12660" s="2" t="s">
        <v>59</v>
      </c>
      <c r="D12660" s="2" t="s">
        <v>10941</v>
      </c>
      <c r="E12660" s="2"/>
      <c r="F12660" s="2" t="str">
        <f>"9782759236466"</f>
        <v>9782759236466</v>
      </c>
    </row>
    <row r="12661" spans="1:6" s="3" customFormat="1" ht="29.1" customHeight="1" x14ac:dyDescent="0.25">
      <c r="A12661" s="2" t="s">
        <v>25456</v>
      </c>
      <c r="B12661" s="2"/>
      <c r="C12661" s="2" t="s">
        <v>59</v>
      </c>
      <c r="D12661" s="2" t="s">
        <v>1913</v>
      </c>
      <c r="E12661" s="2"/>
      <c r="F12661" s="2" t="str">
        <f>"9782759234950"</f>
        <v>9782759234950</v>
      </c>
    </row>
    <row r="12662" spans="1:6" s="3" customFormat="1" ht="29.1" customHeight="1" x14ac:dyDescent="0.25">
      <c r="A12662" s="2" t="s">
        <v>25457</v>
      </c>
      <c r="B12662" s="2"/>
      <c r="C12662" s="2" t="s">
        <v>59</v>
      </c>
      <c r="D12662" s="2" t="s">
        <v>25458</v>
      </c>
      <c r="E12662" s="2"/>
      <c r="F12662" s="2" t="str">
        <f>"9782759235766"</f>
        <v>9782759235766</v>
      </c>
    </row>
    <row r="12663" spans="1:6" s="3" customFormat="1" ht="29.1" customHeight="1" x14ac:dyDescent="0.25">
      <c r="A12663" s="2" t="s">
        <v>25459</v>
      </c>
      <c r="B12663" s="2" t="s">
        <v>25461</v>
      </c>
      <c r="C12663" s="2" t="s">
        <v>59</v>
      </c>
      <c r="D12663" s="2" t="s">
        <v>25460</v>
      </c>
      <c r="E12663" s="2"/>
      <c r="F12663" s="2" t="str">
        <f>"9782759235278"</f>
        <v>9782759235278</v>
      </c>
    </row>
    <row r="12664" spans="1:6" s="3" customFormat="1" ht="29.1" customHeight="1" x14ac:dyDescent="0.25">
      <c r="A12664" s="2" t="s">
        <v>25462</v>
      </c>
      <c r="B12664" s="2" t="s">
        <v>25463</v>
      </c>
      <c r="C12664" s="2" t="s">
        <v>59</v>
      </c>
      <c r="D12664" s="2" t="s">
        <v>758</v>
      </c>
      <c r="E12664" s="2"/>
      <c r="F12664" s="2" t="str">
        <f>"9782759235216"</f>
        <v>9782759235216</v>
      </c>
    </row>
    <row r="12665" spans="1:6" s="3" customFormat="1" ht="29.1" customHeight="1" x14ac:dyDescent="0.25">
      <c r="A12665" s="2" t="s">
        <v>25464</v>
      </c>
      <c r="B12665" s="2"/>
      <c r="C12665" s="2" t="s">
        <v>59</v>
      </c>
      <c r="D12665" s="2" t="s">
        <v>60</v>
      </c>
      <c r="E12665" s="2"/>
      <c r="F12665" s="2" t="str">
        <f>"9782759236299"</f>
        <v>9782759236299</v>
      </c>
    </row>
    <row r="12666" spans="1:6" s="3" customFormat="1" ht="29.1" customHeight="1" x14ac:dyDescent="0.25">
      <c r="A12666" s="2" t="s">
        <v>25465</v>
      </c>
      <c r="B12666" s="2"/>
      <c r="C12666" s="2" t="s">
        <v>59</v>
      </c>
      <c r="D12666" s="2" t="s">
        <v>2083</v>
      </c>
      <c r="E12666" s="2" t="str">
        <f>"9782759236008"</f>
        <v>9782759236008</v>
      </c>
      <c r="F12666" s="2" t="str">
        <f>"9782759236015"</f>
        <v>9782759236015</v>
      </c>
    </row>
    <row r="12667" spans="1:6" s="3" customFormat="1" ht="29.1" customHeight="1" x14ac:dyDescent="0.25">
      <c r="A12667" s="2" t="s">
        <v>25466</v>
      </c>
      <c r="B12667" s="2" t="s">
        <v>25468</v>
      </c>
      <c r="C12667" s="2" t="s">
        <v>59</v>
      </c>
      <c r="D12667" s="2" t="s">
        <v>25467</v>
      </c>
      <c r="E12667" s="2" t="str">
        <f>"9782759235971"</f>
        <v>9782759235971</v>
      </c>
      <c r="F12667" s="2" t="str">
        <f>"9782759235988"</f>
        <v>9782759235988</v>
      </c>
    </row>
    <row r="12668" spans="1:6" s="3" customFormat="1" ht="29.1" customHeight="1" x14ac:dyDescent="0.25">
      <c r="A12668" s="2" t="s">
        <v>25469</v>
      </c>
      <c r="B12668" s="2"/>
      <c r="C12668" s="2" t="s">
        <v>59</v>
      </c>
      <c r="D12668" s="2" t="s">
        <v>1541</v>
      </c>
      <c r="E12668" s="2"/>
      <c r="F12668" s="2" t="str">
        <f>"9782759235889"</f>
        <v>9782759235889</v>
      </c>
    </row>
    <row r="12669" spans="1:6" s="3" customFormat="1" ht="29.1" customHeight="1" x14ac:dyDescent="0.25">
      <c r="A12669" s="2" t="s">
        <v>25470</v>
      </c>
      <c r="B12669" s="2"/>
      <c r="C12669" s="2" t="s">
        <v>59</v>
      </c>
      <c r="D12669" s="2" t="s">
        <v>1127</v>
      </c>
      <c r="E12669" s="2" t="str">
        <f>"9782759235605"</f>
        <v>9782759235605</v>
      </c>
      <c r="F12669" s="2" t="str">
        <f>"9782759235612"</f>
        <v>9782759235612</v>
      </c>
    </row>
    <row r="12670" spans="1:6" s="3" customFormat="1" ht="29.1" customHeight="1" x14ac:dyDescent="0.25">
      <c r="A12670" s="2" t="s">
        <v>25471</v>
      </c>
      <c r="B12670" s="2" t="s">
        <v>25473</v>
      </c>
      <c r="C12670" s="2" t="s">
        <v>59</v>
      </c>
      <c r="D12670" s="2" t="s">
        <v>25472</v>
      </c>
      <c r="E12670" s="2"/>
      <c r="F12670" s="2" t="str">
        <f>"9782759234554"</f>
        <v>9782759234554</v>
      </c>
    </row>
    <row r="12671" spans="1:6" s="3" customFormat="1" ht="29.1" customHeight="1" x14ac:dyDescent="0.25">
      <c r="A12671" s="2" t="s">
        <v>25474</v>
      </c>
      <c r="B12671" s="2"/>
      <c r="C12671" s="2" t="s">
        <v>59</v>
      </c>
      <c r="D12671" s="2" t="s">
        <v>3253</v>
      </c>
      <c r="E12671" s="2"/>
      <c r="F12671" s="2" t="str">
        <f>"9782759235360"</f>
        <v>9782759235360</v>
      </c>
    </row>
    <row r="12672" spans="1:6" s="3" customFormat="1" ht="29.1" customHeight="1" x14ac:dyDescent="0.25">
      <c r="A12672" s="2" t="s">
        <v>25475</v>
      </c>
      <c r="B12672" s="2" t="s">
        <v>25477</v>
      </c>
      <c r="C12672" s="2" t="s">
        <v>59</v>
      </c>
      <c r="D12672" s="2" t="s">
        <v>25476</v>
      </c>
      <c r="E12672" s="2"/>
      <c r="F12672" s="2" t="str">
        <f>"9782759235124"</f>
        <v>9782759235124</v>
      </c>
    </row>
    <row r="12673" spans="1:6" s="3" customFormat="1" ht="29.1" customHeight="1" x14ac:dyDescent="0.25">
      <c r="A12673" s="2" t="s">
        <v>25478</v>
      </c>
      <c r="B12673" s="2"/>
      <c r="C12673" s="2" t="s">
        <v>59</v>
      </c>
      <c r="D12673" s="2" t="s">
        <v>3661</v>
      </c>
      <c r="E12673" s="2"/>
      <c r="F12673" s="2" t="str">
        <f>"9782759235421"</f>
        <v>9782759235421</v>
      </c>
    </row>
    <row r="12674" spans="1:6" s="3" customFormat="1" ht="29.1" customHeight="1" x14ac:dyDescent="0.25">
      <c r="A12674" s="2" t="s">
        <v>25479</v>
      </c>
      <c r="B12674" s="2" t="s">
        <v>25480</v>
      </c>
      <c r="C12674" s="2" t="s">
        <v>59</v>
      </c>
      <c r="D12674" s="2" t="s">
        <v>687</v>
      </c>
      <c r="E12674" s="2"/>
      <c r="F12674" s="2" t="str">
        <f>"9782759235063"</f>
        <v>9782759235063</v>
      </c>
    </row>
    <row r="12675" spans="1:6" s="3" customFormat="1" ht="29.1" customHeight="1" x14ac:dyDescent="0.25">
      <c r="A12675" s="2" t="s">
        <v>25481</v>
      </c>
      <c r="B12675" s="2" t="s">
        <v>25482</v>
      </c>
      <c r="C12675" s="2" t="s">
        <v>59</v>
      </c>
      <c r="D12675" s="2" t="s">
        <v>15554</v>
      </c>
      <c r="E12675" s="2"/>
      <c r="F12675" s="2" t="str">
        <f>"9782759235483"</f>
        <v>9782759235483</v>
      </c>
    </row>
    <row r="12676" spans="1:6" s="3" customFormat="1" ht="29.1" customHeight="1" x14ac:dyDescent="0.25">
      <c r="A12676" s="2" t="s">
        <v>25483</v>
      </c>
      <c r="B12676" s="2" t="s">
        <v>25484</v>
      </c>
      <c r="C12676" s="2" t="s">
        <v>59</v>
      </c>
      <c r="D12676" s="2" t="s">
        <v>373</v>
      </c>
      <c r="E12676" s="2"/>
      <c r="F12676" s="2" t="str">
        <f>"9782759235001"</f>
        <v>9782759235001</v>
      </c>
    </row>
    <row r="12677" spans="1:6" s="3" customFormat="1" ht="29.1" customHeight="1" x14ac:dyDescent="0.25">
      <c r="A12677" s="2" t="s">
        <v>25485</v>
      </c>
      <c r="B12677" s="2" t="s">
        <v>25486</v>
      </c>
      <c r="C12677" s="2" t="s">
        <v>59</v>
      </c>
      <c r="D12677" s="2" t="s">
        <v>353</v>
      </c>
      <c r="E12677" s="2"/>
      <c r="F12677" s="2" t="str">
        <f>"9782759235155"</f>
        <v>9782759235155</v>
      </c>
    </row>
    <row r="12678" spans="1:6" s="3" customFormat="1" ht="29.1" customHeight="1" x14ac:dyDescent="0.25">
      <c r="A12678" s="2" t="s">
        <v>25487</v>
      </c>
      <c r="B12678" s="2"/>
      <c r="C12678" s="2" t="s">
        <v>59</v>
      </c>
      <c r="D12678" s="2" t="s">
        <v>1768</v>
      </c>
      <c r="E12678" s="2" t="str">
        <f>"9782759234660"</f>
        <v>9782759234660</v>
      </c>
      <c r="F12678" s="2" t="str">
        <f>"9782759234677"</f>
        <v>9782759234677</v>
      </c>
    </row>
    <row r="12679" spans="1:6" s="3" customFormat="1" ht="29.1" customHeight="1" x14ac:dyDescent="0.25">
      <c r="A12679" s="2" t="s">
        <v>25488</v>
      </c>
      <c r="B12679" s="2" t="s">
        <v>25489</v>
      </c>
      <c r="C12679" s="2" t="s">
        <v>59</v>
      </c>
      <c r="D12679" s="2" t="s">
        <v>894</v>
      </c>
      <c r="E12679" s="2"/>
      <c r="F12679" s="2" t="str">
        <f>"9782759234929"</f>
        <v>9782759234929</v>
      </c>
    </row>
    <row r="12680" spans="1:6" s="3" customFormat="1" ht="29.1" customHeight="1" x14ac:dyDescent="0.25">
      <c r="A12680" s="2" t="s">
        <v>25490</v>
      </c>
      <c r="B12680" s="2"/>
      <c r="C12680" s="2" t="s">
        <v>59</v>
      </c>
      <c r="D12680" s="2" t="s">
        <v>755</v>
      </c>
      <c r="E12680" s="2"/>
      <c r="F12680" s="2" t="str">
        <f>"9782759234868"</f>
        <v>9782759234868</v>
      </c>
    </row>
    <row r="12681" spans="1:6" s="3" customFormat="1" ht="29.1" customHeight="1" x14ac:dyDescent="0.25">
      <c r="A12681" s="2" t="s">
        <v>25491</v>
      </c>
      <c r="B12681" s="2" t="s">
        <v>25492</v>
      </c>
      <c r="C12681" s="2" t="s">
        <v>59</v>
      </c>
      <c r="D12681" s="2" t="s">
        <v>2433</v>
      </c>
      <c r="E12681" s="2" t="str">
        <f>"9782759234578"</f>
        <v>9782759234578</v>
      </c>
      <c r="F12681" s="2" t="str">
        <f>"9782759234585"</f>
        <v>9782759234585</v>
      </c>
    </row>
    <row r="12682" spans="1:6" s="3" customFormat="1" ht="29.1" customHeight="1" x14ac:dyDescent="0.25">
      <c r="A12682" s="2" t="s">
        <v>25493</v>
      </c>
      <c r="B12682" s="2"/>
      <c r="C12682" s="2" t="s">
        <v>59</v>
      </c>
      <c r="D12682" s="2" t="s">
        <v>12</v>
      </c>
      <c r="E12682" s="2"/>
      <c r="F12682" s="2" t="str">
        <f>"9782759234646"</f>
        <v>9782759234646</v>
      </c>
    </row>
    <row r="12683" spans="1:6" s="3" customFormat="1" ht="29.1" customHeight="1" x14ac:dyDescent="0.25">
      <c r="A12683" s="2" t="s">
        <v>25494</v>
      </c>
      <c r="B12683" s="2" t="s">
        <v>25495</v>
      </c>
      <c r="C12683" s="2" t="s">
        <v>59</v>
      </c>
      <c r="D12683" s="2" t="s">
        <v>755</v>
      </c>
      <c r="E12683" s="2"/>
      <c r="F12683" s="2" t="str">
        <f>"9782759234493"</f>
        <v>9782759234493</v>
      </c>
    </row>
    <row r="12684" spans="1:6" s="3" customFormat="1" ht="29.1" customHeight="1" x14ac:dyDescent="0.25">
      <c r="A12684" s="2" t="s">
        <v>25496</v>
      </c>
      <c r="B12684" s="2"/>
      <c r="C12684" s="2" t="s">
        <v>59</v>
      </c>
      <c r="D12684" s="2" t="s">
        <v>2083</v>
      </c>
      <c r="E12684" s="2"/>
      <c r="F12684" s="2" t="str">
        <f>"9782759233113"</f>
        <v>9782759233113</v>
      </c>
    </row>
    <row r="12685" spans="1:6" s="3" customFormat="1" ht="29.1" customHeight="1" x14ac:dyDescent="0.25">
      <c r="A12685" s="2" t="s">
        <v>25497</v>
      </c>
      <c r="B12685" s="2"/>
      <c r="C12685" s="2" t="s">
        <v>59</v>
      </c>
      <c r="D12685" s="2" t="s">
        <v>25498</v>
      </c>
      <c r="E12685" s="2"/>
      <c r="F12685" s="2" t="str">
        <f>"9782759232857"</f>
        <v>9782759232857</v>
      </c>
    </row>
    <row r="12686" spans="1:6" s="3" customFormat="1" ht="29.1" customHeight="1" x14ac:dyDescent="0.25">
      <c r="A12686" s="2" t="s">
        <v>25499</v>
      </c>
      <c r="B12686" s="2" t="s">
        <v>25500</v>
      </c>
      <c r="C12686" s="2" t="s">
        <v>59</v>
      </c>
      <c r="D12686" s="2" t="s">
        <v>758</v>
      </c>
      <c r="E12686" s="2"/>
      <c r="F12686" s="2" t="str">
        <f>"9782759234394"</f>
        <v>9782759234394</v>
      </c>
    </row>
    <row r="12687" spans="1:6" s="3" customFormat="1" ht="29.1" customHeight="1" x14ac:dyDescent="0.25">
      <c r="A12687" s="2" t="s">
        <v>25501</v>
      </c>
      <c r="B12687" s="2" t="s">
        <v>25502</v>
      </c>
      <c r="C12687" s="2" t="s">
        <v>59</v>
      </c>
      <c r="D12687" s="2" t="s">
        <v>13096</v>
      </c>
      <c r="E12687" s="2"/>
      <c r="F12687" s="2" t="str">
        <f>"9782759233977"</f>
        <v>9782759233977</v>
      </c>
    </row>
    <row r="12688" spans="1:6" s="3" customFormat="1" ht="29.1" customHeight="1" x14ac:dyDescent="0.25">
      <c r="A12688" s="2" t="s">
        <v>25503</v>
      </c>
      <c r="B12688" s="2" t="s">
        <v>25504</v>
      </c>
      <c r="C12688" s="2" t="s">
        <v>59</v>
      </c>
      <c r="D12688" s="2" t="s">
        <v>3661</v>
      </c>
      <c r="E12688" s="2"/>
      <c r="F12688" s="2" t="str">
        <f>"9782759233823"</f>
        <v>9782759233823</v>
      </c>
    </row>
    <row r="12689" spans="1:6" s="3" customFormat="1" ht="29.1" customHeight="1" x14ac:dyDescent="0.25">
      <c r="A12689" s="2" t="s">
        <v>25505</v>
      </c>
      <c r="B12689" s="2"/>
      <c r="C12689" s="2" t="s">
        <v>59</v>
      </c>
      <c r="D12689" s="2" t="s">
        <v>841</v>
      </c>
      <c r="E12689" s="2"/>
      <c r="F12689" s="2" t="str">
        <f>"9782759233533"</f>
        <v>9782759233533</v>
      </c>
    </row>
    <row r="12690" spans="1:6" s="3" customFormat="1" ht="29.1" customHeight="1" x14ac:dyDescent="0.25">
      <c r="A12690" s="2" t="s">
        <v>25506</v>
      </c>
      <c r="B12690" s="2" t="s">
        <v>25507</v>
      </c>
      <c r="C12690" s="2" t="s">
        <v>59</v>
      </c>
      <c r="D12690" s="2" t="s">
        <v>1557</v>
      </c>
      <c r="E12690" s="2"/>
      <c r="F12690" s="2" t="str">
        <f>"9782759233502"</f>
        <v>9782759233502</v>
      </c>
    </row>
    <row r="12691" spans="1:6" s="3" customFormat="1" ht="29.1" customHeight="1" x14ac:dyDescent="0.25">
      <c r="A12691" s="2" t="s">
        <v>25508</v>
      </c>
      <c r="B12691" s="2"/>
      <c r="C12691" s="2" t="s">
        <v>59</v>
      </c>
      <c r="D12691" s="2" t="s">
        <v>841</v>
      </c>
      <c r="E12691" s="2"/>
      <c r="F12691" s="2" t="str">
        <f>"9782759233472"</f>
        <v>9782759233472</v>
      </c>
    </row>
    <row r="12692" spans="1:6" s="3" customFormat="1" ht="29.1" customHeight="1" x14ac:dyDescent="0.25">
      <c r="A12692" s="2" t="s">
        <v>25509</v>
      </c>
      <c r="B12692" s="2" t="s">
        <v>25510</v>
      </c>
      <c r="C12692" s="2" t="s">
        <v>59</v>
      </c>
      <c r="D12692" s="2" t="s">
        <v>12</v>
      </c>
      <c r="E12692" s="2"/>
      <c r="F12692" s="2" t="str">
        <f>"9782759233083"</f>
        <v>9782759233083</v>
      </c>
    </row>
    <row r="12693" spans="1:6" s="3" customFormat="1" ht="29.1" customHeight="1" x14ac:dyDescent="0.25">
      <c r="A12693" s="2" t="s">
        <v>25511</v>
      </c>
      <c r="B12693" s="2"/>
      <c r="C12693" s="2" t="s">
        <v>59</v>
      </c>
      <c r="D12693" s="2" t="s">
        <v>636</v>
      </c>
      <c r="E12693" s="2"/>
      <c r="F12693" s="2" t="str">
        <f>"9782759232826"</f>
        <v>9782759232826</v>
      </c>
    </row>
    <row r="12694" spans="1:6" s="3" customFormat="1" ht="29.1" customHeight="1" x14ac:dyDescent="0.25">
      <c r="A12694" s="2" t="s">
        <v>25512</v>
      </c>
      <c r="B12694" s="2" t="s">
        <v>25513</v>
      </c>
      <c r="C12694" s="2" t="s">
        <v>59</v>
      </c>
      <c r="D12694" s="2" t="s">
        <v>1712</v>
      </c>
      <c r="E12694" s="2"/>
      <c r="F12694" s="2" t="str">
        <f>"9782759232918"</f>
        <v>9782759232918</v>
      </c>
    </row>
    <row r="12695" spans="1:6" s="3" customFormat="1" ht="29.1" customHeight="1" x14ac:dyDescent="0.25">
      <c r="A12695" s="2" t="s">
        <v>25514</v>
      </c>
      <c r="B12695" s="2"/>
      <c r="C12695" s="2" t="s">
        <v>59</v>
      </c>
      <c r="D12695" s="2" t="s">
        <v>8189</v>
      </c>
      <c r="E12695" s="2" t="str">
        <f>"9782759232772"</f>
        <v>9782759232772</v>
      </c>
      <c r="F12695" s="2" t="str">
        <f>"9782759232789"</f>
        <v>9782759232789</v>
      </c>
    </row>
    <row r="12696" spans="1:6" s="3" customFormat="1" ht="29.1" customHeight="1" x14ac:dyDescent="0.25">
      <c r="A12696" s="2" t="s">
        <v>25515</v>
      </c>
      <c r="B12696" s="2"/>
      <c r="C12696" s="2" t="s">
        <v>59</v>
      </c>
      <c r="D12696" s="2" t="s">
        <v>353</v>
      </c>
      <c r="E12696" s="2" t="str">
        <f>"9782759232741"</f>
        <v>9782759232741</v>
      </c>
      <c r="F12696" s="2" t="str">
        <f>"9782759232758"</f>
        <v>9782759232758</v>
      </c>
    </row>
    <row r="12697" spans="1:6" s="3" customFormat="1" ht="29.1" customHeight="1" x14ac:dyDescent="0.25">
      <c r="A12697" s="2" t="s">
        <v>25516</v>
      </c>
      <c r="B12697" s="2"/>
      <c r="C12697" s="2" t="s">
        <v>59</v>
      </c>
      <c r="D12697" s="2" t="s">
        <v>8149</v>
      </c>
      <c r="E12697" s="2"/>
      <c r="F12697" s="2" t="str">
        <f>"9782759232949"</f>
        <v>9782759232949</v>
      </c>
    </row>
    <row r="12698" spans="1:6" s="3" customFormat="1" ht="29.1" customHeight="1" x14ac:dyDescent="0.25">
      <c r="A12698" s="2" t="s">
        <v>25517</v>
      </c>
      <c r="B12698" s="2"/>
      <c r="C12698" s="2" t="s">
        <v>59</v>
      </c>
      <c r="D12698" s="2" t="s">
        <v>11558</v>
      </c>
      <c r="E12698" s="2"/>
      <c r="F12698" s="2" t="str">
        <f>"9782759232567"</f>
        <v>9782759232567</v>
      </c>
    </row>
    <row r="12699" spans="1:6" s="3" customFormat="1" ht="29.1" customHeight="1" x14ac:dyDescent="0.25">
      <c r="A12699" s="2" t="s">
        <v>25518</v>
      </c>
      <c r="B12699" s="2" t="s">
        <v>25450</v>
      </c>
      <c r="C12699" s="2" t="s">
        <v>59</v>
      </c>
      <c r="D12699" s="2" t="s">
        <v>1806</v>
      </c>
      <c r="E12699" s="2"/>
      <c r="F12699" s="2" t="str">
        <f>"9782759232628"</f>
        <v>9782759232628</v>
      </c>
    </row>
    <row r="12700" spans="1:6" s="3" customFormat="1" ht="29.1" customHeight="1" x14ac:dyDescent="0.25">
      <c r="A12700" s="2" t="s">
        <v>25519</v>
      </c>
      <c r="B12700" s="2" t="s">
        <v>25453</v>
      </c>
      <c r="C12700" s="2" t="s">
        <v>59</v>
      </c>
      <c r="D12700" s="2" t="s">
        <v>454</v>
      </c>
      <c r="E12700" s="2" t="str">
        <f>"9782759232703"</f>
        <v>9782759232703</v>
      </c>
      <c r="F12700" s="2" t="str">
        <f>"9782759232710"</f>
        <v>9782759232710</v>
      </c>
    </row>
    <row r="12701" spans="1:6" s="3" customFormat="1" ht="29.1" customHeight="1" x14ac:dyDescent="0.25">
      <c r="A12701" s="2" t="s">
        <v>25520</v>
      </c>
      <c r="B12701" s="2" t="s">
        <v>25521</v>
      </c>
      <c r="C12701" s="2" t="s">
        <v>59</v>
      </c>
      <c r="D12701" s="2" t="s">
        <v>8087</v>
      </c>
      <c r="E12701" s="2" t="str">
        <f>"9782759232581"</f>
        <v>9782759232581</v>
      </c>
      <c r="F12701" s="2" t="str">
        <f>"9782759232598"</f>
        <v>9782759232598</v>
      </c>
    </row>
    <row r="12702" spans="1:6" s="3" customFormat="1" ht="29.1" customHeight="1" x14ac:dyDescent="0.25">
      <c r="A12702" s="2" t="s">
        <v>25522</v>
      </c>
      <c r="B12702" s="2"/>
      <c r="C12702" s="2" t="s">
        <v>59</v>
      </c>
      <c r="D12702" s="2" t="s">
        <v>8087</v>
      </c>
      <c r="E12702" s="2"/>
      <c r="F12702" s="2" t="str">
        <f>"9782759232437"</f>
        <v>9782759232437</v>
      </c>
    </row>
    <row r="12703" spans="1:6" s="3" customFormat="1" ht="29.1" customHeight="1" x14ac:dyDescent="0.25">
      <c r="A12703" s="2" t="s">
        <v>25523</v>
      </c>
      <c r="B12703" s="2" t="s">
        <v>25524</v>
      </c>
      <c r="C12703" s="2" t="s">
        <v>59</v>
      </c>
      <c r="D12703" s="2" t="s">
        <v>4002</v>
      </c>
      <c r="E12703" s="2"/>
      <c r="F12703" s="2" t="str">
        <f>"9782759232376"</f>
        <v>9782759232376</v>
      </c>
    </row>
    <row r="12704" spans="1:6" s="3" customFormat="1" ht="29.1" customHeight="1" x14ac:dyDescent="0.25">
      <c r="A12704" s="2" t="s">
        <v>25525</v>
      </c>
      <c r="B12704" s="2"/>
      <c r="C12704" s="2" t="s">
        <v>59</v>
      </c>
      <c r="D12704" s="2" t="s">
        <v>2083</v>
      </c>
      <c r="E12704" s="2" t="str">
        <f>"9782759231843"</f>
        <v>9782759231843</v>
      </c>
      <c r="F12704" s="2" t="str">
        <f>"9782759231850"</f>
        <v>9782759231850</v>
      </c>
    </row>
    <row r="12705" spans="1:6" s="3" customFormat="1" ht="29.1" customHeight="1" x14ac:dyDescent="0.25">
      <c r="A12705" s="2" t="s">
        <v>25526</v>
      </c>
      <c r="B12705" s="2" t="s">
        <v>25527</v>
      </c>
      <c r="C12705" s="2" t="s">
        <v>59</v>
      </c>
      <c r="D12705" s="2" t="s">
        <v>1712</v>
      </c>
      <c r="E12705" s="2"/>
      <c r="F12705" s="2" t="str">
        <f>"9782759231768"</f>
        <v>9782759231768</v>
      </c>
    </row>
    <row r="12706" spans="1:6" s="3" customFormat="1" ht="29.1" customHeight="1" x14ac:dyDescent="0.25">
      <c r="A12706" s="2" t="s">
        <v>25528</v>
      </c>
      <c r="B12706" s="2" t="s">
        <v>25442</v>
      </c>
      <c r="C12706" s="2" t="s">
        <v>59</v>
      </c>
      <c r="D12706" s="2" t="s">
        <v>2083</v>
      </c>
      <c r="E12706" s="2"/>
      <c r="F12706" s="2" t="str">
        <f>"9782759231737"</f>
        <v>9782759231737</v>
      </c>
    </row>
    <row r="12707" spans="1:6" s="3" customFormat="1" ht="29.1" customHeight="1" x14ac:dyDescent="0.25">
      <c r="A12707" s="2" t="s">
        <v>25529</v>
      </c>
      <c r="B12707" s="2"/>
      <c r="C12707" s="2" t="s">
        <v>59</v>
      </c>
      <c r="D12707" s="2" t="s">
        <v>8189</v>
      </c>
      <c r="E12707" s="2" t="str">
        <f>"9782759231669"</f>
        <v>9782759231669</v>
      </c>
      <c r="F12707" s="2" t="str">
        <f>"9782759231676"</f>
        <v>9782759231676</v>
      </c>
    </row>
    <row r="12708" spans="1:6" s="3" customFormat="1" ht="29.1" customHeight="1" x14ac:dyDescent="0.25">
      <c r="A12708" s="2" t="s">
        <v>25530</v>
      </c>
      <c r="B12708" s="2"/>
      <c r="C12708" s="2" t="s">
        <v>59</v>
      </c>
      <c r="D12708" s="2" t="s">
        <v>2083</v>
      </c>
      <c r="E12708" s="2" t="str">
        <f>"9782759231577"</f>
        <v>9782759231577</v>
      </c>
      <c r="F12708" s="2" t="str">
        <f>"9782759231584"</f>
        <v>9782759231584</v>
      </c>
    </row>
    <row r="12709" spans="1:6" s="3" customFormat="1" ht="29.1" customHeight="1" x14ac:dyDescent="0.25">
      <c r="A12709" s="2" t="s">
        <v>25531</v>
      </c>
      <c r="B12709" s="2" t="s">
        <v>25532</v>
      </c>
      <c r="C12709" s="2" t="s">
        <v>59</v>
      </c>
      <c r="D12709" s="2" t="s">
        <v>479</v>
      </c>
      <c r="E12709" s="2"/>
      <c r="F12709" s="2" t="str">
        <f>"9782759227846"</f>
        <v>9782759227846</v>
      </c>
    </row>
    <row r="12710" spans="1:6" s="3" customFormat="1" ht="29.1" customHeight="1" x14ac:dyDescent="0.25">
      <c r="A12710" s="2" t="s">
        <v>25533</v>
      </c>
      <c r="B12710" s="2"/>
      <c r="C12710" s="2" t="s">
        <v>59</v>
      </c>
      <c r="D12710" s="2" t="s">
        <v>479</v>
      </c>
      <c r="E12710" s="2"/>
      <c r="F12710" s="2" t="str">
        <f>"9782759231461"</f>
        <v>9782759231461</v>
      </c>
    </row>
    <row r="12711" spans="1:6" s="3" customFormat="1" ht="29.1" customHeight="1" x14ac:dyDescent="0.25">
      <c r="A12711" s="2" t="s">
        <v>25534</v>
      </c>
      <c r="B12711" s="2"/>
      <c r="C12711" s="2" t="s">
        <v>59</v>
      </c>
      <c r="D12711" s="2" t="s">
        <v>755</v>
      </c>
      <c r="E12711" s="2"/>
      <c r="F12711" s="2" t="str">
        <f>"9782738014344"</f>
        <v>9782738014344</v>
      </c>
    </row>
    <row r="12712" spans="1:6" s="3" customFormat="1" ht="29.1" customHeight="1" x14ac:dyDescent="0.25">
      <c r="A12712" s="2" t="s">
        <v>25535</v>
      </c>
      <c r="B12712" s="2"/>
      <c r="C12712" s="2" t="s">
        <v>59</v>
      </c>
      <c r="D12712" s="2" t="s">
        <v>12</v>
      </c>
      <c r="E12712" s="2"/>
      <c r="F12712" s="2" t="str">
        <f>"9782759231492"</f>
        <v>9782759231492</v>
      </c>
    </row>
    <row r="12713" spans="1:6" s="3" customFormat="1" ht="29.1" customHeight="1" x14ac:dyDescent="0.25">
      <c r="A12713" s="2" t="s">
        <v>25536</v>
      </c>
      <c r="B12713" s="2"/>
      <c r="C12713" s="2" t="s">
        <v>59</v>
      </c>
      <c r="D12713" s="2" t="s">
        <v>614</v>
      </c>
      <c r="E12713" s="2" t="str">
        <f>"9782759231522"</f>
        <v>9782759231522</v>
      </c>
      <c r="F12713" s="2" t="str">
        <f>"9782759231539"</f>
        <v>9782759231539</v>
      </c>
    </row>
    <row r="12714" spans="1:6" s="3" customFormat="1" ht="29.1" customHeight="1" x14ac:dyDescent="0.25">
      <c r="A12714" s="2" t="s">
        <v>25537</v>
      </c>
      <c r="B12714" s="2"/>
      <c r="C12714" s="2" t="s">
        <v>59</v>
      </c>
      <c r="D12714" s="2" t="s">
        <v>25538</v>
      </c>
      <c r="E12714" s="2"/>
      <c r="F12714" s="2" t="str">
        <f>"9782759228959"</f>
        <v>9782759228959</v>
      </c>
    </row>
    <row r="12715" spans="1:6" s="3" customFormat="1" ht="29.1" customHeight="1" x14ac:dyDescent="0.25">
      <c r="A12715" s="2" t="s">
        <v>25539</v>
      </c>
      <c r="B12715" s="2" t="s">
        <v>25540</v>
      </c>
      <c r="C12715" s="2" t="s">
        <v>59</v>
      </c>
      <c r="D12715" s="2" t="s">
        <v>699</v>
      </c>
      <c r="E12715" s="2"/>
      <c r="F12715" s="2" t="str">
        <f>"9782759230945"</f>
        <v>9782759230945</v>
      </c>
    </row>
    <row r="12716" spans="1:6" s="3" customFormat="1" ht="29.1" customHeight="1" x14ac:dyDescent="0.25">
      <c r="A12716" s="2" t="s">
        <v>25541</v>
      </c>
      <c r="B12716" s="2"/>
      <c r="C12716" s="2" t="s">
        <v>59</v>
      </c>
      <c r="D12716" s="2" t="s">
        <v>636</v>
      </c>
      <c r="E12716" s="2"/>
      <c r="F12716" s="2" t="str">
        <f>"9782759230914"</f>
        <v>9782759230914</v>
      </c>
    </row>
    <row r="12717" spans="1:6" s="3" customFormat="1" ht="29.1" customHeight="1" x14ac:dyDescent="0.25">
      <c r="A12717" s="2" t="s">
        <v>25542</v>
      </c>
      <c r="B12717" s="2"/>
      <c r="C12717" s="2" t="s">
        <v>59</v>
      </c>
      <c r="D12717" s="2" t="s">
        <v>2086</v>
      </c>
      <c r="E12717" s="2"/>
      <c r="F12717" s="2" t="str">
        <f>"9782759231300"</f>
        <v>9782759231300</v>
      </c>
    </row>
    <row r="12718" spans="1:6" s="3" customFormat="1" ht="29.1" customHeight="1" x14ac:dyDescent="0.25">
      <c r="A12718" s="2" t="s">
        <v>25543</v>
      </c>
      <c r="B12718" s="2" t="s">
        <v>25544</v>
      </c>
      <c r="C12718" s="2" t="s">
        <v>59</v>
      </c>
      <c r="D12718" s="2" t="s">
        <v>10545</v>
      </c>
      <c r="E12718" s="2"/>
      <c r="F12718" s="2" t="str">
        <f>"9782759231188"</f>
        <v>9782759231188</v>
      </c>
    </row>
    <row r="12719" spans="1:6" s="3" customFormat="1" ht="29.1" customHeight="1" x14ac:dyDescent="0.25">
      <c r="A12719" s="2" t="s">
        <v>25545</v>
      </c>
      <c r="B12719" s="2"/>
      <c r="C12719" s="2" t="s">
        <v>59</v>
      </c>
      <c r="D12719" s="2" t="s">
        <v>2086</v>
      </c>
      <c r="E12719" s="2"/>
      <c r="F12719" s="2" t="str">
        <f>"9782759231218"</f>
        <v>9782759231218</v>
      </c>
    </row>
    <row r="12720" spans="1:6" s="3" customFormat="1" ht="29.1" customHeight="1" x14ac:dyDescent="0.25">
      <c r="A12720" s="2" t="s">
        <v>25546</v>
      </c>
      <c r="B12720" s="2"/>
      <c r="C12720" s="2" t="s">
        <v>59</v>
      </c>
      <c r="D12720" s="2" t="s">
        <v>479</v>
      </c>
      <c r="E12720" s="2" t="str">
        <f>"9782759231324"</f>
        <v>9782759231324</v>
      </c>
      <c r="F12720" s="2" t="str">
        <f>"9782759231331"</f>
        <v>9782759231331</v>
      </c>
    </row>
    <row r="12721" spans="1:6" s="3" customFormat="1" ht="29.1" customHeight="1" x14ac:dyDescent="0.25">
      <c r="A12721" s="2" t="s">
        <v>25547</v>
      </c>
      <c r="B12721" s="2"/>
      <c r="C12721" s="2" t="s">
        <v>59</v>
      </c>
      <c r="D12721" s="2" t="s">
        <v>1390</v>
      </c>
      <c r="E12721" s="2"/>
      <c r="F12721" s="2" t="str">
        <f>"9782759230976"</f>
        <v>9782759230976</v>
      </c>
    </row>
    <row r="12722" spans="1:6" s="3" customFormat="1" ht="29.1" customHeight="1" x14ac:dyDescent="0.25">
      <c r="A12722" s="2" t="s">
        <v>25548</v>
      </c>
      <c r="B12722" s="2"/>
      <c r="C12722" s="2" t="s">
        <v>59</v>
      </c>
      <c r="D12722" s="2" t="s">
        <v>479</v>
      </c>
      <c r="E12722" s="2"/>
      <c r="F12722" s="2" t="str">
        <f>"9782759231249"</f>
        <v>9782759231249</v>
      </c>
    </row>
    <row r="12723" spans="1:6" s="3" customFormat="1" ht="29.1" customHeight="1" x14ac:dyDescent="0.25">
      <c r="A12723" s="2" t="s">
        <v>25549</v>
      </c>
      <c r="B12723" s="2"/>
      <c r="C12723" s="2" t="s">
        <v>59</v>
      </c>
      <c r="D12723" s="2" t="s">
        <v>1390</v>
      </c>
      <c r="E12723" s="2"/>
      <c r="F12723" s="2" t="str">
        <f>"9782759230846"</f>
        <v>9782759230846</v>
      </c>
    </row>
    <row r="12724" spans="1:6" s="3" customFormat="1" ht="29.1" customHeight="1" x14ac:dyDescent="0.25">
      <c r="A12724" s="2" t="s">
        <v>25550</v>
      </c>
      <c r="B12724" s="2"/>
      <c r="C12724" s="2" t="s">
        <v>59</v>
      </c>
      <c r="D12724" s="2" t="s">
        <v>454</v>
      </c>
      <c r="E12724" s="2"/>
      <c r="F12724" s="2" t="str">
        <f>"9782759226801"</f>
        <v>9782759226801</v>
      </c>
    </row>
    <row r="12725" spans="1:6" s="3" customFormat="1" ht="29.1" customHeight="1" x14ac:dyDescent="0.25">
      <c r="A12725" s="2" t="s">
        <v>25551</v>
      </c>
      <c r="B12725" s="2" t="s">
        <v>25552</v>
      </c>
      <c r="C12725" s="2" t="s">
        <v>59</v>
      </c>
      <c r="D12725" s="2" t="s">
        <v>196</v>
      </c>
      <c r="E12725" s="2"/>
      <c r="F12725" s="2" t="str">
        <f>"9782759229833"</f>
        <v>9782759229833</v>
      </c>
    </row>
    <row r="12726" spans="1:6" s="3" customFormat="1" ht="29.1" customHeight="1" x14ac:dyDescent="0.25">
      <c r="A12726" s="2" t="s">
        <v>25553</v>
      </c>
      <c r="B12726" s="2"/>
      <c r="C12726" s="2" t="s">
        <v>59</v>
      </c>
      <c r="D12726" s="2" t="s">
        <v>5716</v>
      </c>
      <c r="E12726" s="2"/>
      <c r="F12726" s="2" t="str">
        <f>"9782759223350"</f>
        <v>9782759223350</v>
      </c>
    </row>
    <row r="12727" spans="1:6" s="3" customFormat="1" ht="29.1" customHeight="1" x14ac:dyDescent="0.25">
      <c r="A12727" s="2" t="s">
        <v>25554</v>
      </c>
      <c r="B12727" s="2"/>
      <c r="C12727" s="2" t="s">
        <v>59</v>
      </c>
      <c r="D12727" s="2" t="s">
        <v>479</v>
      </c>
      <c r="E12727" s="2"/>
      <c r="F12727" s="2" t="str">
        <f>"9782759221578"</f>
        <v>9782759221578</v>
      </c>
    </row>
    <row r="12728" spans="1:6" s="3" customFormat="1" ht="29.1" customHeight="1" x14ac:dyDescent="0.25">
      <c r="A12728" s="2" t="s">
        <v>25555</v>
      </c>
      <c r="B12728" s="2" t="s">
        <v>25556</v>
      </c>
      <c r="C12728" s="2" t="s">
        <v>59</v>
      </c>
      <c r="D12728" s="2" t="s">
        <v>479</v>
      </c>
      <c r="E12728" s="2"/>
      <c r="F12728" s="2" t="str">
        <f>"9782759220625"</f>
        <v>9782759220625</v>
      </c>
    </row>
    <row r="12729" spans="1:6" s="3" customFormat="1" ht="29.1" customHeight="1" x14ac:dyDescent="0.25">
      <c r="A12729" s="2" t="s">
        <v>25557</v>
      </c>
      <c r="B12729" s="2" t="s">
        <v>25558</v>
      </c>
      <c r="C12729" s="2" t="s">
        <v>59</v>
      </c>
      <c r="D12729" s="2" t="s">
        <v>1806</v>
      </c>
      <c r="E12729" s="2"/>
      <c r="F12729" s="2" t="str">
        <f>"9782759219872"</f>
        <v>9782759219872</v>
      </c>
    </row>
    <row r="12730" spans="1:6" s="3" customFormat="1" ht="29.1" customHeight="1" x14ac:dyDescent="0.25">
      <c r="A12730" s="2" t="s">
        <v>25559</v>
      </c>
      <c r="B12730" s="2" t="s">
        <v>25560</v>
      </c>
      <c r="C12730" s="2" t="s">
        <v>59</v>
      </c>
      <c r="D12730" s="2" t="s">
        <v>479</v>
      </c>
      <c r="E12730" s="2"/>
      <c r="F12730" s="2" t="str">
        <f>"9782759218936"</f>
        <v>9782759218936</v>
      </c>
    </row>
    <row r="12731" spans="1:6" s="3" customFormat="1" ht="29.1" customHeight="1" x14ac:dyDescent="0.25">
      <c r="A12731" s="2" t="s">
        <v>25561</v>
      </c>
      <c r="B12731" s="2" t="s">
        <v>25562</v>
      </c>
      <c r="C12731" s="2" t="s">
        <v>59</v>
      </c>
      <c r="D12731" s="2" t="s">
        <v>297</v>
      </c>
      <c r="E12731" s="2"/>
      <c r="F12731" s="2" t="str">
        <f>"9782759218066"</f>
        <v>9782759218066</v>
      </c>
    </row>
    <row r="12732" spans="1:6" s="3" customFormat="1" ht="29.1" customHeight="1" x14ac:dyDescent="0.25">
      <c r="A12732" s="2" t="s">
        <v>25563</v>
      </c>
      <c r="B12732" s="2"/>
      <c r="C12732" s="2" t="s">
        <v>59</v>
      </c>
      <c r="D12732" s="2" t="s">
        <v>479</v>
      </c>
      <c r="E12732" s="2"/>
      <c r="F12732" s="2" t="str">
        <f>"9782759216567"</f>
        <v>9782759216567</v>
      </c>
    </row>
    <row r="12733" spans="1:6" s="3" customFormat="1" ht="29.1" customHeight="1" x14ac:dyDescent="0.25">
      <c r="A12733" s="2" t="s">
        <v>25564</v>
      </c>
      <c r="B12733" s="2" t="s">
        <v>25565</v>
      </c>
      <c r="C12733" s="2" t="s">
        <v>59</v>
      </c>
      <c r="D12733" s="2" t="s">
        <v>1806</v>
      </c>
      <c r="E12733" s="2"/>
      <c r="F12733" s="2" t="str">
        <f>"9782759200962"</f>
        <v>9782759200962</v>
      </c>
    </row>
    <row r="12734" spans="1:6" s="3" customFormat="1" ht="29.1" customHeight="1" x14ac:dyDescent="0.25">
      <c r="A12734" s="2" t="s">
        <v>25566</v>
      </c>
      <c r="B12734" s="2"/>
      <c r="C12734" s="2" t="s">
        <v>59</v>
      </c>
      <c r="D12734" s="2" t="s">
        <v>13341</v>
      </c>
      <c r="E12734" s="2"/>
      <c r="F12734" s="2" t="str">
        <f>"9782759203468"</f>
        <v>9782759203468</v>
      </c>
    </row>
    <row r="12735" spans="1:6" s="3" customFormat="1" ht="29.1" customHeight="1" x14ac:dyDescent="0.25">
      <c r="A12735" s="2" t="s">
        <v>25567</v>
      </c>
      <c r="B12735" s="2" t="s">
        <v>25568</v>
      </c>
      <c r="C12735" s="2" t="s">
        <v>59</v>
      </c>
      <c r="D12735" s="2" t="s">
        <v>2086</v>
      </c>
      <c r="E12735" s="2"/>
      <c r="F12735" s="2" t="str">
        <f>"9782759207190"</f>
        <v>9782759207190</v>
      </c>
    </row>
    <row r="12736" spans="1:6" s="3" customFormat="1" ht="29.1" customHeight="1" x14ac:dyDescent="0.25">
      <c r="A12736" s="2" t="s">
        <v>25569</v>
      </c>
      <c r="B12736" s="2"/>
      <c r="C12736" s="2" t="s">
        <v>59</v>
      </c>
      <c r="D12736" s="2" t="s">
        <v>2086</v>
      </c>
      <c r="E12736" s="2"/>
      <c r="F12736" s="2" t="str">
        <f>"9782759207183"</f>
        <v>9782759207183</v>
      </c>
    </row>
    <row r="12737" spans="1:6" s="3" customFormat="1" ht="29.1" customHeight="1" x14ac:dyDescent="0.25">
      <c r="A12737" s="2" t="s">
        <v>25413</v>
      </c>
      <c r="B12737" s="2" t="s">
        <v>25414</v>
      </c>
      <c r="C12737" s="2" t="s">
        <v>59</v>
      </c>
      <c r="D12737" s="2" t="s">
        <v>2086</v>
      </c>
      <c r="E12737" s="2"/>
      <c r="F12737" s="2" t="str">
        <f>"9782759206902"</f>
        <v>9782759206902</v>
      </c>
    </row>
    <row r="12738" spans="1:6" s="3" customFormat="1" ht="29.1" customHeight="1" x14ac:dyDescent="0.25">
      <c r="A12738" s="2" t="s">
        <v>25570</v>
      </c>
      <c r="B12738" s="2"/>
      <c r="C12738" s="2" t="s">
        <v>59</v>
      </c>
      <c r="D12738" s="2" t="s">
        <v>2086</v>
      </c>
      <c r="E12738" s="2"/>
      <c r="F12738" s="2" t="str">
        <f>"9782759207107"</f>
        <v>9782759207107</v>
      </c>
    </row>
    <row r="12739" spans="1:6" s="3" customFormat="1" ht="29.1" customHeight="1" x14ac:dyDescent="0.25">
      <c r="A12739" s="2" t="s">
        <v>25571</v>
      </c>
      <c r="B12739" s="2"/>
      <c r="C12739" s="2" t="s">
        <v>59</v>
      </c>
      <c r="D12739" s="2" t="s">
        <v>297</v>
      </c>
      <c r="E12739" s="2"/>
      <c r="F12739" s="2" t="str">
        <f>"9782759203239"</f>
        <v>9782759203239</v>
      </c>
    </row>
    <row r="12740" spans="1:6" s="3" customFormat="1" ht="29.1" customHeight="1" x14ac:dyDescent="0.25">
      <c r="A12740" s="2" t="s">
        <v>25567</v>
      </c>
      <c r="B12740" s="2" t="s">
        <v>25568</v>
      </c>
      <c r="C12740" s="2" t="s">
        <v>59</v>
      </c>
      <c r="D12740" s="2" t="s">
        <v>2086</v>
      </c>
      <c r="E12740" s="2"/>
      <c r="F12740" s="2" t="str">
        <f>"9782759207220"</f>
        <v>9782759207220</v>
      </c>
    </row>
    <row r="12741" spans="1:6" s="3" customFormat="1" ht="29.1" customHeight="1" x14ac:dyDescent="0.25">
      <c r="A12741" s="2" t="s">
        <v>25572</v>
      </c>
      <c r="B12741" s="2" t="s">
        <v>25573</v>
      </c>
      <c r="C12741" s="2" t="s">
        <v>59</v>
      </c>
      <c r="D12741" s="2" t="s">
        <v>297</v>
      </c>
      <c r="E12741" s="2"/>
      <c r="F12741" s="2" t="str">
        <f>"9782759207312"</f>
        <v>9782759207312</v>
      </c>
    </row>
    <row r="12742" spans="1:6" s="3" customFormat="1" ht="29.1" customHeight="1" x14ac:dyDescent="0.25">
      <c r="A12742" s="2" t="s">
        <v>25574</v>
      </c>
      <c r="B12742" s="2" t="s">
        <v>25575</v>
      </c>
      <c r="C12742" s="2" t="s">
        <v>59</v>
      </c>
      <c r="D12742" s="2" t="s">
        <v>2086</v>
      </c>
      <c r="E12742" s="2"/>
      <c r="F12742" s="2" t="str">
        <f>"9782759206964"</f>
        <v>9782759206964</v>
      </c>
    </row>
    <row r="12743" spans="1:6" s="3" customFormat="1" ht="29.1" customHeight="1" x14ac:dyDescent="0.25">
      <c r="A12743" s="2" t="s">
        <v>25576</v>
      </c>
      <c r="B12743" s="2" t="s">
        <v>25577</v>
      </c>
      <c r="C12743" s="2" t="s">
        <v>59</v>
      </c>
      <c r="D12743" s="2" t="s">
        <v>297</v>
      </c>
      <c r="E12743" s="2"/>
      <c r="F12743" s="2" t="str">
        <f>"9782759206087"</f>
        <v>9782759206087</v>
      </c>
    </row>
    <row r="12744" spans="1:6" s="3" customFormat="1" ht="29.1" customHeight="1" x14ac:dyDescent="0.25">
      <c r="A12744" s="2" t="s">
        <v>25578</v>
      </c>
      <c r="B12744" s="2"/>
      <c r="C12744" s="2" t="s">
        <v>59</v>
      </c>
      <c r="D12744" s="2" t="s">
        <v>2086</v>
      </c>
      <c r="E12744" s="2"/>
      <c r="F12744" s="2" t="str">
        <f>"9782759207046"</f>
        <v>9782759207046</v>
      </c>
    </row>
    <row r="12745" spans="1:6" s="3" customFormat="1" ht="29.1" customHeight="1" x14ac:dyDescent="0.25">
      <c r="A12745" s="2" t="s">
        <v>25579</v>
      </c>
      <c r="B12745" s="2" t="s">
        <v>25580</v>
      </c>
      <c r="C12745" s="2" t="s">
        <v>59</v>
      </c>
      <c r="D12745" s="2" t="s">
        <v>2086</v>
      </c>
      <c r="E12745" s="2"/>
      <c r="F12745" s="2" t="str">
        <f>"9782759207138"</f>
        <v>9782759207138</v>
      </c>
    </row>
    <row r="12746" spans="1:6" s="3" customFormat="1" ht="29.1" customHeight="1" x14ac:dyDescent="0.25">
      <c r="A12746" s="2" t="s">
        <v>25581</v>
      </c>
      <c r="B12746" s="2" t="s">
        <v>25582</v>
      </c>
      <c r="C12746" s="2" t="s">
        <v>59</v>
      </c>
      <c r="D12746" s="2" t="s">
        <v>1806</v>
      </c>
      <c r="E12746" s="2"/>
      <c r="F12746" s="2" t="str">
        <f>"9782759201426"</f>
        <v>9782759201426</v>
      </c>
    </row>
    <row r="12747" spans="1:6" s="3" customFormat="1" ht="29.1" customHeight="1" x14ac:dyDescent="0.25">
      <c r="A12747" s="2" t="s">
        <v>25583</v>
      </c>
      <c r="B12747" s="2" t="s">
        <v>25584</v>
      </c>
      <c r="C12747" s="2" t="s">
        <v>59</v>
      </c>
      <c r="D12747" s="2" t="s">
        <v>2086</v>
      </c>
      <c r="E12747" s="2"/>
      <c r="F12747" s="2" t="str">
        <f>"9782759207121"</f>
        <v>9782759207121</v>
      </c>
    </row>
    <row r="12748" spans="1:6" s="3" customFormat="1" ht="29.1" customHeight="1" x14ac:dyDescent="0.25">
      <c r="A12748" s="2" t="s">
        <v>25585</v>
      </c>
      <c r="B12748" s="2" t="s">
        <v>25586</v>
      </c>
      <c r="C12748" s="2" t="s">
        <v>59</v>
      </c>
      <c r="D12748" s="2" t="s">
        <v>11558</v>
      </c>
      <c r="E12748" s="2"/>
      <c r="F12748" s="2" t="str">
        <f>"9782759233229"</f>
        <v>9782759233229</v>
      </c>
    </row>
    <row r="12749" spans="1:6" s="3" customFormat="1" ht="29.1" customHeight="1" x14ac:dyDescent="0.25">
      <c r="A12749" s="2" t="s">
        <v>25587</v>
      </c>
      <c r="B12749" s="2"/>
      <c r="C12749" s="2" t="s">
        <v>59</v>
      </c>
      <c r="D12749" s="2" t="s">
        <v>2086</v>
      </c>
      <c r="E12749" s="2"/>
      <c r="F12749" s="2" t="str">
        <f>"9782759207176"</f>
        <v>9782759207176</v>
      </c>
    </row>
    <row r="12750" spans="1:6" s="3" customFormat="1" ht="29.1" customHeight="1" x14ac:dyDescent="0.25">
      <c r="A12750" s="2" t="s">
        <v>25588</v>
      </c>
      <c r="B12750" s="2"/>
      <c r="C12750" s="2" t="s">
        <v>59</v>
      </c>
      <c r="D12750" s="2" t="s">
        <v>2086</v>
      </c>
      <c r="E12750" s="2"/>
      <c r="F12750" s="2" t="str">
        <f>"9782759208586"</f>
        <v>9782759208586</v>
      </c>
    </row>
    <row r="12751" spans="1:6" s="3" customFormat="1" ht="29.1" customHeight="1" x14ac:dyDescent="0.25">
      <c r="A12751" s="2" t="s">
        <v>25589</v>
      </c>
      <c r="B12751" s="2" t="s">
        <v>25590</v>
      </c>
      <c r="C12751" s="2" t="s">
        <v>59</v>
      </c>
      <c r="D12751" s="2" t="s">
        <v>2086</v>
      </c>
      <c r="E12751" s="2"/>
      <c r="F12751" s="2" t="str">
        <f>"9782759206940"</f>
        <v>9782759206940</v>
      </c>
    </row>
    <row r="12752" spans="1:6" s="3" customFormat="1" ht="29.1" customHeight="1" x14ac:dyDescent="0.25">
      <c r="A12752" s="2" t="s">
        <v>25591</v>
      </c>
      <c r="B12752" s="2"/>
      <c r="C12752" s="2" t="s">
        <v>59</v>
      </c>
      <c r="D12752" s="2" t="s">
        <v>454</v>
      </c>
      <c r="E12752" s="2"/>
      <c r="F12752" s="2" t="str">
        <f>"9782759232994"</f>
        <v>9782759232994</v>
      </c>
    </row>
    <row r="12753" spans="1:6" s="3" customFormat="1" ht="29.1" customHeight="1" x14ac:dyDescent="0.25">
      <c r="A12753" s="2" t="s">
        <v>25592</v>
      </c>
      <c r="B12753" s="2"/>
      <c r="C12753" s="2" t="s">
        <v>59</v>
      </c>
      <c r="D12753" s="2" t="s">
        <v>2086</v>
      </c>
      <c r="E12753" s="2"/>
      <c r="F12753" s="2" t="str">
        <f>"9782759206933"</f>
        <v>9782759206933</v>
      </c>
    </row>
    <row r="12754" spans="1:6" s="3" customFormat="1" ht="29.1" customHeight="1" x14ac:dyDescent="0.25">
      <c r="A12754" s="2" t="s">
        <v>25593</v>
      </c>
      <c r="B12754" s="2" t="s">
        <v>25594</v>
      </c>
      <c r="C12754" s="2" t="s">
        <v>59</v>
      </c>
      <c r="D12754" s="2" t="s">
        <v>13341</v>
      </c>
      <c r="E12754" s="2"/>
      <c r="F12754" s="2" t="str">
        <f>"9782759206896"</f>
        <v>9782759206896</v>
      </c>
    </row>
    <row r="12755" spans="1:6" s="3" customFormat="1" ht="29.1" customHeight="1" x14ac:dyDescent="0.25">
      <c r="A12755" s="2" t="s">
        <v>25595</v>
      </c>
      <c r="B12755" s="2" t="s">
        <v>25596</v>
      </c>
      <c r="C12755" s="2" t="s">
        <v>59</v>
      </c>
      <c r="D12755" s="2" t="s">
        <v>1959</v>
      </c>
      <c r="E12755" s="2"/>
      <c r="F12755" s="2" t="str">
        <f>"9782759207039"</f>
        <v>9782759207039</v>
      </c>
    </row>
    <row r="12756" spans="1:6" s="3" customFormat="1" ht="29.1" customHeight="1" x14ac:dyDescent="0.25">
      <c r="A12756" s="2" t="s">
        <v>25597</v>
      </c>
      <c r="B12756" s="2" t="s">
        <v>25598</v>
      </c>
      <c r="C12756" s="2" t="s">
        <v>59</v>
      </c>
      <c r="D12756" s="2" t="s">
        <v>479</v>
      </c>
      <c r="E12756" s="2"/>
      <c r="F12756" s="2" t="str">
        <f>"9782759210404"</f>
        <v>9782759210404</v>
      </c>
    </row>
    <row r="12757" spans="1:6" s="3" customFormat="1" ht="29.1" customHeight="1" x14ac:dyDescent="0.25">
      <c r="A12757" s="2" t="s">
        <v>25599</v>
      </c>
      <c r="B12757" s="2" t="s">
        <v>25600</v>
      </c>
      <c r="C12757" s="2" t="s">
        <v>59</v>
      </c>
      <c r="D12757" s="2" t="s">
        <v>2086</v>
      </c>
      <c r="E12757" s="2"/>
      <c r="F12757" s="2" t="str">
        <f>"9782759207305"</f>
        <v>9782759207305</v>
      </c>
    </row>
    <row r="12758" spans="1:6" s="3" customFormat="1" ht="29.1" customHeight="1" x14ac:dyDescent="0.25">
      <c r="A12758" s="2" t="s">
        <v>25601</v>
      </c>
      <c r="B12758" s="2"/>
      <c r="C12758" s="2" t="s">
        <v>59</v>
      </c>
      <c r="D12758" s="2" t="s">
        <v>2086</v>
      </c>
      <c r="E12758" s="2"/>
      <c r="F12758" s="2" t="str">
        <f>"9782759207060"</f>
        <v>9782759207060</v>
      </c>
    </row>
    <row r="12759" spans="1:6" s="3" customFormat="1" ht="29.1" customHeight="1" x14ac:dyDescent="0.25">
      <c r="A12759" s="2" t="s">
        <v>25602</v>
      </c>
      <c r="B12759" s="2"/>
      <c r="C12759" s="2" t="s">
        <v>59</v>
      </c>
      <c r="D12759" s="2" t="s">
        <v>2086</v>
      </c>
      <c r="E12759" s="2"/>
      <c r="F12759" s="2" t="str">
        <f>"9782759207329"</f>
        <v>9782759207329</v>
      </c>
    </row>
    <row r="12760" spans="1:6" s="3" customFormat="1" ht="29.1" customHeight="1" x14ac:dyDescent="0.25">
      <c r="A12760" s="2" t="s">
        <v>25603</v>
      </c>
      <c r="B12760" s="2" t="s">
        <v>25604</v>
      </c>
      <c r="C12760" s="2" t="s">
        <v>59</v>
      </c>
      <c r="D12760" s="2" t="s">
        <v>2086</v>
      </c>
      <c r="E12760" s="2"/>
      <c r="F12760" s="2" t="str">
        <f>"9782759207022"</f>
        <v>9782759207022</v>
      </c>
    </row>
    <row r="12761" spans="1:6" s="3" customFormat="1" ht="29.1" customHeight="1" x14ac:dyDescent="0.25">
      <c r="A12761" s="2" t="s">
        <v>25605</v>
      </c>
      <c r="B12761" s="2" t="s">
        <v>25606</v>
      </c>
      <c r="C12761" s="2" t="s">
        <v>59</v>
      </c>
      <c r="D12761" s="2" t="s">
        <v>25435</v>
      </c>
      <c r="E12761" s="2"/>
      <c r="F12761" s="2" t="str">
        <f>"9782759206957"</f>
        <v>9782759206957</v>
      </c>
    </row>
    <row r="12762" spans="1:6" s="3" customFormat="1" ht="29.1" customHeight="1" x14ac:dyDescent="0.25">
      <c r="A12762" s="2" t="s">
        <v>25607</v>
      </c>
      <c r="B12762" s="2" t="s">
        <v>25608</v>
      </c>
      <c r="C12762" s="2" t="s">
        <v>59</v>
      </c>
      <c r="D12762" s="2" t="s">
        <v>2086</v>
      </c>
      <c r="E12762" s="2"/>
      <c r="F12762" s="2" t="str">
        <f>"9782759224944"</f>
        <v>9782759224944</v>
      </c>
    </row>
    <row r="12763" spans="1:6" s="3" customFormat="1" ht="29.1" customHeight="1" x14ac:dyDescent="0.25">
      <c r="A12763" s="2" t="s">
        <v>25609</v>
      </c>
      <c r="B12763" s="2" t="s">
        <v>25610</v>
      </c>
      <c r="C12763" s="2" t="s">
        <v>59</v>
      </c>
      <c r="D12763" s="2" t="s">
        <v>479</v>
      </c>
      <c r="E12763" s="2"/>
      <c r="F12763" s="2" t="str">
        <f>"9782759207268"</f>
        <v>9782759207268</v>
      </c>
    </row>
    <row r="12764" spans="1:6" s="3" customFormat="1" ht="29.1" customHeight="1" x14ac:dyDescent="0.25">
      <c r="A12764" s="2" t="s">
        <v>25611</v>
      </c>
      <c r="B12764" s="2" t="s">
        <v>25612</v>
      </c>
      <c r="C12764" s="2" t="s">
        <v>59</v>
      </c>
      <c r="D12764" s="2" t="s">
        <v>2086</v>
      </c>
      <c r="E12764" s="2"/>
      <c r="F12764" s="2" t="str">
        <f>"9782759206988"</f>
        <v>9782759206988</v>
      </c>
    </row>
    <row r="12765" spans="1:6" s="3" customFormat="1" ht="29.1" customHeight="1" x14ac:dyDescent="0.25">
      <c r="A12765" s="2" t="s">
        <v>25613</v>
      </c>
      <c r="B12765" s="2"/>
      <c r="C12765" s="2" t="s">
        <v>59</v>
      </c>
      <c r="D12765" s="2" t="s">
        <v>2086</v>
      </c>
      <c r="E12765" s="2"/>
      <c r="F12765" s="2" t="str">
        <f>"9782759207114"</f>
        <v>9782759207114</v>
      </c>
    </row>
    <row r="12766" spans="1:6" s="3" customFormat="1" ht="29.1" customHeight="1" x14ac:dyDescent="0.25">
      <c r="A12766" s="2" t="s">
        <v>25614</v>
      </c>
      <c r="B12766" s="2"/>
      <c r="C12766" s="2" t="s">
        <v>59</v>
      </c>
      <c r="D12766" s="2" t="s">
        <v>2086</v>
      </c>
      <c r="E12766" s="2"/>
      <c r="F12766" s="2" t="str">
        <f>"9782759206995"</f>
        <v>9782759206995</v>
      </c>
    </row>
    <row r="12767" spans="1:6" s="3" customFormat="1" ht="29.1" customHeight="1" x14ac:dyDescent="0.25">
      <c r="A12767" s="2" t="s">
        <v>25615</v>
      </c>
      <c r="B12767" s="2"/>
      <c r="C12767" s="2" t="s">
        <v>59</v>
      </c>
      <c r="D12767" s="2" t="s">
        <v>2086</v>
      </c>
      <c r="E12767" s="2"/>
      <c r="F12767" s="2" t="str">
        <f>"9782759207053"</f>
        <v>9782759207053</v>
      </c>
    </row>
    <row r="12768" spans="1:6" s="3" customFormat="1" ht="29.1" customHeight="1" x14ac:dyDescent="0.25">
      <c r="A12768" s="2" t="s">
        <v>25616</v>
      </c>
      <c r="B12768" s="2"/>
      <c r="C12768" s="2" t="s">
        <v>59</v>
      </c>
      <c r="D12768" s="2" t="s">
        <v>8189</v>
      </c>
      <c r="E12768" s="2"/>
      <c r="F12768" s="2" t="str">
        <f>"9782759207152"</f>
        <v>9782759207152</v>
      </c>
    </row>
    <row r="12769" spans="1:6" s="3" customFormat="1" ht="29.1" customHeight="1" x14ac:dyDescent="0.25">
      <c r="A12769" s="2" t="s">
        <v>25617</v>
      </c>
      <c r="B12769" s="2" t="s">
        <v>25618</v>
      </c>
      <c r="C12769" s="2" t="s">
        <v>59</v>
      </c>
      <c r="D12769" s="2" t="s">
        <v>297</v>
      </c>
      <c r="E12769" s="2"/>
      <c r="F12769" s="2" t="str">
        <f>"9782759207572"</f>
        <v>9782759207572</v>
      </c>
    </row>
    <row r="12770" spans="1:6" s="3" customFormat="1" ht="29.1" customHeight="1" x14ac:dyDescent="0.25">
      <c r="A12770" s="2" t="s">
        <v>25619</v>
      </c>
      <c r="B12770" s="2"/>
      <c r="C12770" s="2" t="s">
        <v>59</v>
      </c>
      <c r="D12770" s="2" t="s">
        <v>2086</v>
      </c>
      <c r="E12770" s="2"/>
      <c r="F12770" s="2" t="str">
        <f>"9782759208838"</f>
        <v>9782759208838</v>
      </c>
    </row>
    <row r="12771" spans="1:6" s="3" customFormat="1" ht="29.1" customHeight="1" x14ac:dyDescent="0.25">
      <c r="A12771" s="2" t="s">
        <v>25620</v>
      </c>
      <c r="B12771" s="2"/>
      <c r="C12771" s="2" t="s">
        <v>59</v>
      </c>
      <c r="D12771" s="2" t="s">
        <v>297</v>
      </c>
      <c r="E12771" s="2"/>
      <c r="F12771" s="2" t="str">
        <f>"9782759206216"</f>
        <v>9782759206216</v>
      </c>
    </row>
    <row r="12772" spans="1:6" s="3" customFormat="1" ht="29.1" customHeight="1" x14ac:dyDescent="0.25">
      <c r="A12772" s="2" t="s">
        <v>25621</v>
      </c>
      <c r="B12772" s="2" t="s">
        <v>25622</v>
      </c>
      <c r="C12772" s="2" t="s">
        <v>59</v>
      </c>
      <c r="D12772" s="2" t="s">
        <v>1806</v>
      </c>
      <c r="E12772" s="2"/>
      <c r="F12772" s="2" t="str">
        <f>"9782759209521"</f>
        <v>9782759209521</v>
      </c>
    </row>
    <row r="12773" spans="1:6" s="3" customFormat="1" ht="29.1" customHeight="1" x14ac:dyDescent="0.25">
      <c r="A12773" s="2" t="s">
        <v>25623</v>
      </c>
      <c r="B12773" s="2" t="s">
        <v>25624</v>
      </c>
      <c r="C12773" s="2" t="s">
        <v>59</v>
      </c>
      <c r="D12773" s="2" t="s">
        <v>2086</v>
      </c>
      <c r="E12773" s="2"/>
      <c r="F12773" s="2" t="str">
        <f>"9782759203857"</f>
        <v>9782759203857</v>
      </c>
    </row>
    <row r="12774" spans="1:6" s="3" customFormat="1" ht="29.1" customHeight="1" x14ac:dyDescent="0.25">
      <c r="A12774" s="2" t="s">
        <v>25625</v>
      </c>
      <c r="B12774" s="2"/>
      <c r="C12774" s="2" t="s">
        <v>59</v>
      </c>
      <c r="D12774" s="2" t="s">
        <v>297</v>
      </c>
      <c r="E12774" s="2"/>
      <c r="F12774" s="2" t="str">
        <f>"9782759207077"</f>
        <v>9782759207077</v>
      </c>
    </row>
    <row r="12775" spans="1:6" s="3" customFormat="1" ht="29.1" customHeight="1" x14ac:dyDescent="0.25">
      <c r="A12775" s="2" t="s">
        <v>25626</v>
      </c>
      <c r="B12775" s="2" t="s">
        <v>25627</v>
      </c>
      <c r="C12775" s="2" t="s">
        <v>59</v>
      </c>
      <c r="D12775" s="2" t="s">
        <v>2086</v>
      </c>
      <c r="E12775" s="2"/>
      <c r="F12775" s="2" t="str">
        <f>"9782759200351"</f>
        <v>9782759200351</v>
      </c>
    </row>
    <row r="12776" spans="1:6" s="3" customFormat="1" ht="29.1" customHeight="1" x14ac:dyDescent="0.25">
      <c r="A12776" s="2" t="s">
        <v>25628</v>
      </c>
      <c r="B12776" s="2"/>
      <c r="C12776" s="2" t="s">
        <v>59</v>
      </c>
      <c r="D12776" s="2" t="s">
        <v>2086</v>
      </c>
      <c r="E12776" s="2"/>
      <c r="F12776" s="2" t="str">
        <f>"9782759207015"</f>
        <v>9782759207015</v>
      </c>
    </row>
    <row r="12777" spans="1:6" s="3" customFormat="1" ht="29.1" customHeight="1" x14ac:dyDescent="0.25">
      <c r="A12777" s="2" t="s">
        <v>25629</v>
      </c>
      <c r="B12777" s="2" t="s">
        <v>25630</v>
      </c>
      <c r="C12777" s="2" t="s">
        <v>59</v>
      </c>
      <c r="D12777" s="2" t="s">
        <v>2086</v>
      </c>
      <c r="E12777" s="2"/>
      <c r="F12777" s="2" t="str">
        <f>"9782759206971"</f>
        <v>9782759206971</v>
      </c>
    </row>
    <row r="12778" spans="1:6" s="3" customFormat="1" ht="29.1" customHeight="1" x14ac:dyDescent="0.25">
      <c r="A12778" s="2" t="s">
        <v>25631</v>
      </c>
      <c r="B12778" s="2"/>
      <c r="C12778" s="2" t="s">
        <v>59</v>
      </c>
      <c r="D12778" s="2" t="s">
        <v>297</v>
      </c>
      <c r="E12778" s="2"/>
      <c r="F12778" s="2" t="str">
        <f>"9782759200986"</f>
        <v>9782759200986</v>
      </c>
    </row>
    <row r="12779" spans="1:6" s="3" customFormat="1" ht="29.1" customHeight="1" x14ac:dyDescent="0.25">
      <c r="A12779" s="2" t="s">
        <v>25632</v>
      </c>
      <c r="B12779" s="2" t="s">
        <v>25633</v>
      </c>
      <c r="C12779" s="2" t="s">
        <v>59</v>
      </c>
      <c r="D12779" s="2" t="s">
        <v>1806</v>
      </c>
      <c r="E12779" s="2"/>
      <c r="F12779" s="2" t="str">
        <f>"9782759203406"</f>
        <v>9782759203406</v>
      </c>
    </row>
    <row r="12780" spans="1:6" s="3" customFormat="1" ht="29.1" customHeight="1" x14ac:dyDescent="0.25">
      <c r="A12780" s="2" t="s">
        <v>25634</v>
      </c>
      <c r="B12780" s="2"/>
      <c r="C12780" s="2" t="s">
        <v>59</v>
      </c>
      <c r="D12780" s="2" t="s">
        <v>2086</v>
      </c>
      <c r="E12780" s="2"/>
      <c r="F12780" s="2" t="str">
        <f>"9782759203123"</f>
        <v>9782759203123</v>
      </c>
    </row>
    <row r="12781" spans="1:6" s="3" customFormat="1" ht="29.1" customHeight="1" x14ac:dyDescent="0.25">
      <c r="A12781" s="2" t="s">
        <v>25635</v>
      </c>
      <c r="B12781" s="2" t="s">
        <v>25636</v>
      </c>
      <c r="C12781" s="2" t="s">
        <v>59</v>
      </c>
      <c r="D12781" s="2" t="s">
        <v>1806</v>
      </c>
      <c r="E12781" s="2"/>
      <c r="F12781" s="2" t="str">
        <f>"9782759203710"</f>
        <v>9782759203710</v>
      </c>
    </row>
    <row r="12782" spans="1:6" s="3" customFormat="1" ht="29.1" customHeight="1" x14ac:dyDescent="0.25">
      <c r="A12782" s="2" t="s">
        <v>25637</v>
      </c>
      <c r="B12782" s="2" t="s">
        <v>25638</v>
      </c>
      <c r="C12782" s="2" t="s">
        <v>59</v>
      </c>
      <c r="D12782" s="2" t="s">
        <v>454</v>
      </c>
      <c r="E12782" s="2"/>
      <c r="F12782" s="2" t="str">
        <f>"9782759202508"</f>
        <v>9782759202508</v>
      </c>
    </row>
    <row r="12783" spans="1:6" s="3" customFormat="1" ht="29.1" customHeight="1" x14ac:dyDescent="0.25">
      <c r="A12783" s="2" t="s">
        <v>25639</v>
      </c>
      <c r="B12783" s="2" t="s">
        <v>25640</v>
      </c>
      <c r="C12783" s="2" t="s">
        <v>59</v>
      </c>
      <c r="D12783" s="2" t="s">
        <v>13341</v>
      </c>
      <c r="E12783" s="2"/>
      <c r="F12783" s="2" t="str">
        <f>"9782759207084"</f>
        <v>9782759207084</v>
      </c>
    </row>
    <row r="12784" spans="1:6" s="3" customFormat="1" ht="29.1" customHeight="1" x14ac:dyDescent="0.25">
      <c r="A12784" s="2" t="s">
        <v>25641</v>
      </c>
      <c r="B12784" s="2" t="s">
        <v>25642</v>
      </c>
      <c r="C12784" s="2" t="s">
        <v>59</v>
      </c>
      <c r="D12784" s="2" t="s">
        <v>1959</v>
      </c>
      <c r="E12784" s="2"/>
      <c r="F12784" s="2" t="str">
        <f>"9782759206858"</f>
        <v>9782759206858</v>
      </c>
    </row>
    <row r="12785" spans="1:6" s="3" customFormat="1" ht="29.1" customHeight="1" x14ac:dyDescent="0.25">
      <c r="A12785" s="2" t="s">
        <v>25643</v>
      </c>
      <c r="B12785" s="2" t="s">
        <v>25644</v>
      </c>
      <c r="C12785" s="2" t="s">
        <v>59</v>
      </c>
      <c r="D12785" s="2" t="s">
        <v>1806</v>
      </c>
      <c r="E12785" s="2"/>
      <c r="F12785" s="2" t="str">
        <f>"9782759206780"</f>
        <v>9782759206780</v>
      </c>
    </row>
    <row r="12786" spans="1:6" s="3" customFormat="1" ht="29.1" customHeight="1" x14ac:dyDescent="0.25">
      <c r="A12786" s="2" t="s">
        <v>25645</v>
      </c>
      <c r="B12786" s="2" t="s">
        <v>25646</v>
      </c>
      <c r="C12786" s="2" t="s">
        <v>59</v>
      </c>
      <c r="D12786" s="2" t="s">
        <v>1888</v>
      </c>
      <c r="E12786" s="2"/>
      <c r="F12786" s="2" t="str">
        <f>"9782759237180"</f>
        <v>9782759237180</v>
      </c>
    </row>
    <row r="12787" spans="1:6" s="3" customFormat="1" ht="29.1" customHeight="1" x14ac:dyDescent="0.25">
      <c r="A12787" s="2" t="s">
        <v>14157</v>
      </c>
      <c r="B12787" s="2" t="s">
        <v>25647</v>
      </c>
      <c r="C12787" s="2" t="s">
        <v>124</v>
      </c>
      <c r="D12787" s="2" t="s">
        <v>2208</v>
      </c>
      <c r="E12787" s="2" t="str">
        <f>"9781032314877"</f>
        <v>9781032314877</v>
      </c>
      <c r="F12787" s="2" t="str">
        <f>"9781000927870"</f>
        <v>9781000927870</v>
      </c>
    </row>
    <row r="12788" spans="1:6" s="3" customFormat="1" ht="29.1" customHeight="1" x14ac:dyDescent="0.25">
      <c r="A12788" s="2" t="s">
        <v>25648</v>
      </c>
      <c r="B12788" s="2" t="s">
        <v>25649</v>
      </c>
      <c r="C12788" s="2" t="s">
        <v>4269</v>
      </c>
      <c r="D12788" s="2" t="s">
        <v>1013</v>
      </c>
      <c r="E12788" s="2" t="str">
        <f>"9786258284553"</f>
        <v>9786258284553</v>
      </c>
      <c r="F12788" s="2" t="str">
        <f>"9786258284850"</f>
        <v>9786258284850</v>
      </c>
    </row>
    <row r="12789" spans="1:6" s="3" customFormat="1" ht="29.1" customHeight="1" x14ac:dyDescent="0.25">
      <c r="A12789" s="2" t="s">
        <v>25650</v>
      </c>
      <c r="B12789" s="2" t="s">
        <v>25651</v>
      </c>
      <c r="C12789" s="2" t="s">
        <v>2188</v>
      </c>
      <c r="D12789" s="2" t="s">
        <v>4739</v>
      </c>
      <c r="E12789" s="2" t="str">
        <f>"9788323242123"</f>
        <v>9788323242123</v>
      </c>
      <c r="F12789" s="2" t="str">
        <f>"9788323242130"</f>
        <v>9788323242130</v>
      </c>
    </row>
    <row r="12790" spans="1:6" s="3" customFormat="1" ht="29.1" customHeight="1" x14ac:dyDescent="0.25">
      <c r="A12790" s="2" t="s">
        <v>25652</v>
      </c>
      <c r="B12790" s="2" t="s">
        <v>25653</v>
      </c>
      <c r="C12790" s="2" t="s">
        <v>124</v>
      </c>
      <c r="D12790" s="2" t="s">
        <v>1437</v>
      </c>
      <c r="E12790" s="2" t="str">
        <f>"9781032495644"</f>
        <v>9781032495644</v>
      </c>
      <c r="F12790" s="2" t="str">
        <f>"9781000985269"</f>
        <v>9781000985269</v>
      </c>
    </row>
    <row r="12791" spans="1:6" s="3" customFormat="1" ht="29.1" customHeight="1" x14ac:dyDescent="0.25">
      <c r="A12791" s="2" t="s">
        <v>25654</v>
      </c>
      <c r="B12791" s="2" t="s">
        <v>25655</v>
      </c>
      <c r="C12791" s="2" t="s">
        <v>124</v>
      </c>
      <c r="D12791" s="2" t="s">
        <v>4654</v>
      </c>
      <c r="E12791" s="2" t="str">
        <f>"9780367485061"</f>
        <v>9780367485061</v>
      </c>
      <c r="F12791" s="2" t="str">
        <f>"9781000983111"</f>
        <v>9781000983111</v>
      </c>
    </row>
    <row r="12792" spans="1:6" s="3" customFormat="1" ht="29.1" customHeight="1" x14ac:dyDescent="0.25">
      <c r="A12792" s="2" t="s">
        <v>25656</v>
      </c>
      <c r="B12792" s="2" t="s">
        <v>25657</v>
      </c>
      <c r="C12792" s="2" t="s">
        <v>927</v>
      </c>
      <c r="D12792" s="2" t="s">
        <v>66</v>
      </c>
      <c r="E12792" s="2" t="str">
        <f>"9780472056552"</f>
        <v>9780472056552</v>
      </c>
      <c r="F12792" s="2" t="str">
        <f>"9780472903948"</f>
        <v>9780472903948</v>
      </c>
    </row>
    <row r="12793" spans="1:6" s="3" customFormat="1" ht="29.1" customHeight="1" x14ac:dyDescent="0.25">
      <c r="A12793" s="2" t="s">
        <v>25658</v>
      </c>
      <c r="B12793" s="2"/>
      <c r="C12793" s="2" t="s">
        <v>248</v>
      </c>
      <c r="D12793" s="2" t="s">
        <v>1001</v>
      </c>
      <c r="E12793" s="2" t="str">
        <f>"9783847426776"</f>
        <v>9783847426776</v>
      </c>
      <c r="F12793" s="2" t="str">
        <f>"9783847418504"</f>
        <v>9783847418504</v>
      </c>
    </row>
    <row r="12794" spans="1:6" s="3" customFormat="1" ht="29.1" customHeight="1" x14ac:dyDescent="0.25">
      <c r="A12794" s="2" t="s">
        <v>25659</v>
      </c>
      <c r="B12794" s="2" t="s">
        <v>25660</v>
      </c>
      <c r="C12794" s="2" t="s">
        <v>248</v>
      </c>
      <c r="D12794" s="2" t="s">
        <v>249</v>
      </c>
      <c r="E12794" s="2" t="str">
        <f>"9783847426745"</f>
        <v>9783847426745</v>
      </c>
      <c r="F12794" s="2" t="str">
        <f>"9783847418474"</f>
        <v>9783847418474</v>
      </c>
    </row>
    <row r="12795" spans="1:6" s="3" customFormat="1" ht="29.1" customHeight="1" x14ac:dyDescent="0.25">
      <c r="A12795" s="2" t="s">
        <v>25661</v>
      </c>
      <c r="B12795" s="2" t="s">
        <v>25662</v>
      </c>
      <c r="C12795" s="2" t="s">
        <v>746</v>
      </c>
      <c r="D12795" s="2" t="s">
        <v>606</v>
      </c>
      <c r="E12795" s="2" t="str">
        <f>"9781803275475"</f>
        <v>9781803275475</v>
      </c>
      <c r="F12795" s="2" t="str">
        <f>"9781803275482"</f>
        <v>9781803275482</v>
      </c>
    </row>
    <row r="12796" spans="1:6" s="3" customFormat="1" ht="29.1" customHeight="1" x14ac:dyDescent="0.25">
      <c r="A12796" s="2" t="s">
        <v>25663</v>
      </c>
      <c r="B12796" s="2" t="s">
        <v>25662</v>
      </c>
      <c r="C12796" s="2" t="s">
        <v>746</v>
      </c>
      <c r="D12796" s="2" t="s">
        <v>606</v>
      </c>
      <c r="E12796" s="2" t="str">
        <f>"9781803274164"</f>
        <v>9781803274164</v>
      </c>
      <c r="F12796" s="2" t="str">
        <f>"9781803274171"</f>
        <v>9781803274171</v>
      </c>
    </row>
    <row r="12797" spans="1:6" s="3" customFormat="1" ht="29.1" customHeight="1" x14ac:dyDescent="0.25">
      <c r="A12797" s="2" t="s">
        <v>25664</v>
      </c>
      <c r="B12797" s="2" t="s">
        <v>25665</v>
      </c>
      <c r="C12797" s="2" t="s">
        <v>746</v>
      </c>
      <c r="D12797" s="2" t="s">
        <v>6376</v>
      </c>
      <c r="E12797" s="2" t="str">
        <f>"9781803275680"</f>
        <v>9781803275680</v>
      </c>
      <c r="F12797" s="2" t="str">
        <f>"9781803275697"</f>
        <v>9781803275697</v>
      </c>
    </row>
    <row r="12798" spans="1:6" s="3" customFormat="1" ht="29.1" customHeight="1" x14ac:dyDescent="0.25">
      <c r="A12798" s="2" t="s">
        <v>25666</v>
      </c>
      <c r="B12798" s="2" t="s">
        <v>25667</v>
      </c>
      <c r="C12798" s="2" t="s">
        <v>757</v>
      </c>
      <c r="D12798" s="2" t="s">
        <v>2587</v>
      </c>
      <c r="E12798" s="2" t="str">
        <f>"9783038978787"</f>
        <v>9783038978787</v>
      </c>
      <c r="F12798" s="2" t="str">
        <f>"9783038978794"</f>
        <v>9783038978794</v>
      </c>
    </row>
    <row r="12799" spans="1:6" s="3" customFormat="1" ht="29.1" customHeight="1" x14ac:dyDescent="0.25">
      <c r="A12799" s="2" t="s">
        <v>25668</v>
      </c>
      <c r="B12799" s="2" t="s">
        <v>25669</v>
      </c>
      <c r="C12799" s="2" t="s">
        <v>757</v>
      </c>
      <c r="D12799" s="2" t="s">
        <v>764</v>
      </c>
      <c r="E12799" s="2" t="str">
        <f>"9783038978763"</f>
        <v>9783038978763</v>
      </c>
      <c r="F12799" s="2" t="str">
        <f>"9783038978770"</f>
        <v>9783038978770</v>
      </c>
    </row>
    <row r="12800" spans="1:6" s="3" customFormat="1" ht="29.1" customHeight="1" x14ac:dyDescent="0.25">
      <c r="A12800" s="2" t="s">
        <v>25670</v>
      </c>
      <c r="B12800" s="2" t="s">
        <v>25671</v>
      </c>
      <c r="C12800" s="2" t="s">
        <v>757</v>
      </c>
      <c r="D12800" s="2" t="s">
        <v>2587</v>
      </c>
      <c r="E12800" s="2" t="str">
        <f>"9783038978824"</f>
        <v>9783038978824</v>
      </c>
      <c r="F12800" s="2" t="str">
        <f>"9783038978831"</f>
        <v>9783038978831</v>
      </c>
    </row>
    <row r="12801" spans="1:6" s="3" customFormat="1" ht="29.1" customHeight="1" x14ac:dyDescent="0.25">
      <c r="A12801" s="2" t="s">
        <v>25672</v>
      </c>
      <c r="B12801" s="2" t="s">
        <v>25673</v>
      </c>
      <c r="C12801" s="2" t="s">
        <v>757</v>
      </c>
      <c r="D12801" s="2" t="s">
        <v>2587</v>
      </c>
      <c r="E12801" s="2" t="str">
        <f>"9783038978725"</f>
        <v>9783038978725</v>
      </c>
      <c r="F12801" s="2" t="str">
        <f>"9783038978732"</f>
        <v>9783038978732</v>
      </c>
    </row>
    <row r="12802" spans="1:6" s="3" customFormat="1" ht="29.1" customHeight="1" x14ac:dyDescent="0.25">
      <c r="A12802" s="2" t="s">
        <v>25674</v>
      </c>
      <c r="B12802" s="2" t="s">
        <v>25675</v>
      </c>
      <c r="C12802" s="2" t="s">
        <v>757</v>
      </c>
      <c r="D12802" s="2" t="s">
        <v>5806</v>
      </c>
      <c r="E12802" s="2" t="str">
        <f>"9783039211609"</f>
        <v>9783039211609</v>
      </c>
      <c r="F12802" s="2" t="str">
        <f>"9783039211616"</f>
        <v>9783039211616</v>
      </c>
    </row>
    <row r="12803" spans="1:6" s="3" customFormat="1" ht="29.1" customHeight="1" x14ac:dyDescent="0.25">
      <c r="A12803" s="2" t="s">
        <v>25676</v>
      </c>
      <c r="B12803" s="2" t="s">
        <v>25677</v>
      </c>
      <c r="C12803" s="2" t="s">
        <v>757</v>
      </c>
      <c r="D12803" s="2" t="s">
        <v>490</v>
      </c>
      <c r="E12803" s="2" t="str">
        <f>"9783038978923"</f>
        <v>9783038978923</v>
      </c>
      <c r="F12803" s="2" t="str">
        <f>"9783038978930"</f>
        <v>9783038978930</v>
      </c>
    </row>
    <row r="12804" spans="1:6" s="3" customFormat="1" ht="29.1" customHeight="1" x14ac:dyDescent="0.25">
      <c r="A12804" s="2" t="s">
        <v>25678</v>
      </c>
      <c r="B12804" s="2" t="s">
        <v>25679</v>
      </c>
      <c r="C12804" s="2" t="s">
        <v>757</v>
      </c>
      <c r="D12804" s="2" t="s">
        <v>5806</v>
      </c>
      <c r="E12804" s="2" t="str">
        <f>"9783038978602"</f>
        <v>9783038978602</v>
      </c>
      <c r="F12804" s="2" t="str">
        <f>"9783038978619"</f>
        <v>9783038978619</v>
      </c>
    </row>
    <row r="12805" spans="1:6" s="3" customFormat="1" ht="29.1" customHeight="1" x14ac:dyDescent="0.25">
      <c r="A12805" s="2" t="s">
        <v>25680</v>
      </c>
      <c r="B12805" s="2" t="s">
        <v>25681</v>
      </c>
      <c r="C12805" s="2" t="s">
        <v>757</v>
      </c>
      <c r="D12805" s="2" t="s">
        <v>2578</v>
      </c>
      <c r="E12805" s="2" t="str">
        <f>"9783038978640"</f>
        <v>9783038978640</v>
      </c>
      <c r="F12805" s="2" t="str">
        <f>"9783038978657"</f>
        <v>9783038978657</v>
      </c>
    </row>
    <row r="12806" spans="1:6" s="3" customFormat="1" ht="29.1" customHeight="1" x14ac:dyDescent="0.25">
      <c r="A12806" s="2" t="s">
        <v>25682</v>
      </c>
      <c r="B12806" s="2" t="s">
        <v>25683</v>
      </c>
      <c r="C12806" s="2" t="s">
        <v>757</v>
      </c>
      <c r="D12806" s="2" t="s">
        <v>75</v>
      </c>
      <c r="E12806" s="2" t="str">
        <f>"9783038978664"</f>
        <v>9783038978664</v>
      </c>
      <c r="F12806" s="2" t="str">
        <f>"9783038978671"</f>
        <v>9783038978671</v>
      </c>
    </row>
    <row r="12807" spans="1:6" s="3" customFormat="1" ht="29.1" customHeight="1" x14ac:dyDescent="0.25">
      <c r="A12807" s="2" t="s">
        <v>25684</v>
      </c>
      <c r="B12807" s="2" t="s">
        <v>25685</v>
      </c>
      <c r="C12807" s="2" t="s">
        <v>757</v>
      </c>
      <c r="D12807" s="2" t="s">
        <v>694</v>
      </c>
      <c r="E12807" s="2" t="str">
        <f>"9783038977780"</f>
        <v>9783038977780</v>
      </c>
      <c r="F12807" s="2" t="str">
        <f>"9783038977797"</f>
        <v>9783038977797</v>
      </c>
    </row>
    <row r="12808" spans="1:6" s="3" customFormat="1" ht="29.1" customHeight="1" x14ac:dyDescent="0.25">
      <c r="A12808" s="2" t="s">
        <v>25686</v>
      </c>
      <c r="B12808" s="2" t="s">
        <v>25687</v>
      </c>
      <c r="C12808" s="2" t="s">
        <v>757</v>
      </c>
      <c r="D12808" s="2" t="s">
        <v>2433</v>
      </c>
      <c r="E12808" s="2" t="str">
        <f>"9783038977742"</f>
        <v>9783038977742</v>
      </c>
      <c r="F12808" s="2" t="str">
        <f>"9783038977759"</f>
        <v>9783038977759</v>
      </c>
    </row>
    <row r="12809" spans="1:6" s="3" customFormat="1" ht="29.1" customHeight="1" x14ac:dyDescent="0.25">
      <c r="A12809" s="2" t="s">
        <v>25688</v>
      </c>
      <c r="B12809" s="2" t="s">
        <v>25689</v>
      </c>
      <c r="C12809" s="2" t="s">
        <v>757</v>
      </c>
      <c r="D12809" s="2" t="s">
        <v>6</v>
      </c>
      <c r="E12809" s="2" t="str">
        <f>"9783038977766"</f>
        <v>9783038977766</v>
      </c>
      <c r="F12809" s="2" t="str">
        <f>"9783038977773"</f>
        <v>9783038977773</v>
      </c>
    </row>
    <row r="12810" spans="1:6" s="3" customFormat="1" ht="29.1" customHeight="1" x14ac:dyDescent="0.25">
      <c r="A12810" s="2" t="s">
        <v>25690</v>
      </c>
      <c r="B12810" s="2" t="s">
        <v>25691</v>
      </c>
      <c r="C12810" s="2" t="s">
        <v>757</v>
      </c>
      <c r="D12810" s="2" t="s">
        <v>10941</v>
      </c>
      <c r="E12810" s="2" t="str">
        <f>"9783038423300"</f>
        <v>9783038423300</v>
      </c>
      <c r="F12810" s="2" t="str">
        <f>"9783038423317"</f>
        <v>9783038423317</v>
      </c>
    </row>
    <row r="12811" spans="1:6" s="3" customFormat="1" ht="29.1" customHeight="1" x14ac:dyDescent="0.25">
      <c r="A12811" s="2" t="s">
        <v>25692</v>
      </c>
      <c r="B12811" s="2" t="s">
        <v>25693</v>
      </c>
      <c r="C12811" s="2" t="s">
        <v>757</v>
      </c>
      <c r="D12811" s="2" t="s">
        <v>764</v>
      </c>
      <c r="E12811" s="2" t="str">
        <f>"9783039432912"</f>
        <v>9783039432912</v>
      </c>
      <c r="F12811" s="2" t="str">
        <f>"9783039432905"</f>
        <v>9783039432905</v>
      </c>
    </row>
    <row r="12812" spans="1:6" s="3" customFormat="1" ht="29.1" customHeight="1" x14ac:dyDescent="0.25">
      <c r="A12812" s="2" t="s">
        <v>25694</v>
      </c>
      <c r="B12812" s="2" t="s">
        <v>25695</v>
      </c>
      <c r="C12812" s="2" t="s">
        <v>757</v>
      </c>
      <c r="D12812" s="2" t="s">
        <v>101</v>
      </c>
      <c r="E12812" s="2" t="str">
        <f>"9783036527352"</f>
        <v>9783036527352</v>
      </c>
      <c r="F12812" s="2" t="str">
        <f>"9783036527345"</f>
        <v>9783036527345</v>
      </c>
    </row>
    <row r="12813" spans="1:6" s="3" customFormat="1" ht="29.1" customHeight="1" x14ac:dyDescent="0.25">
      <c r="A12813" s="2" t="s">
        <v>25696</v>
      </c>
      <c r="B12813" s="2" t="s">
        <v>25697</v>
      </c>
      <c r="C12813" s="2" t="s">
        <v>757</v>
      </c>
      <c r="D12813" s="2" t="s">
        <v>1141</v>
      </c>
      <c r="E12813" s="2" t="str">
        <f>"9783038975625"</f>
        <v>9783038975625</v>
      </c>
      <c r="F12813" s="2" t="str">
        <f>"9783038975632"</f>
        <v>9783038975632</v>
      </c>
    </row>
    <row r="12814" spans="1:6" s="3" customFormat="1" ht="29.1" customHeight="1" x14ac:dyDescent="0.25">
      <c r="A12814" s="2" t="s">
        <v>25698</v>
      </c>
      <c r="B12814" s="2" t="s">
        <v>25699</v>
      </c>
      <c r="C12814" s="2" t="s">
        <v>757</v>
      </c>
      <c r="D12814" s="2" t="s">
        <v>2587</v>
      </c>
      <c r="E12814" s="2" t="str">
        <f>"9783038423355"</f>
        <v>9783038423355</v>
      </c>
      <c r="F12814" s="2" t="str">
        <f>"9783038423348"</f>
        <v>9783038423348</v>
      </c>
    </row>
    <row r="12815" spans="1:6" s="3" customFormat="1" ht="29.1" customHeight="1" x14ac:dyDescent="0.25">
      <c r="A12815" s="2" t="s">
        <v>25700</v>
      </c>
      <c r="B12815" s="2" t="s">
        <v>25701</v>
      </c>
      <c r="C12815" s="2" t="s">
        <v>757</v>
      </c>
      <c r="D12815" s="2" t="s">
        <v>4500</v>
      </c>
      <c r="E12815" s="2" t="str">
        <f>"9783039437245"</f>
        <v>9783039437245</v>
      </c>
      <c r="F12815" s="2" t="str">
        <f>"9783039437238"</f>
        <v>9783039437238</v>
      </c>
    </row>
    <row r="12816" spans="1:6" s="3" customFormat="1" ht="29.1" customHeight="1" x14ac:dyDescent="0.25">
      <c r="A12816" s="2" t="s">
        <v>25702</v>
      </c>
      <c r="B12816" s="2" t="s">
        <v>25703</v>
      </c>
      <c r="C12816" s="2" t="s">
        <v>757</v>
      </c>
      <c r="D12816" s="2" t="s">
        <v>6</v>
      </c>
      <c r="E12816" s="2" t="str">
        <f>"9783036537221"</f>
        <v>9783036537221</v>
      </c>
      <c r="F12816" s="2" t="str">
        <f>"9783036537214"</f>
        <v>9783036537214</v>
      </c>
    </row>
    <row r="12817" spans="1:6" s="3" customFormat="1" ht="29.1" customHeight="1" x14ac:dyDescent="0.25">
      <c r="A12817" s="2" t="s">
        <v>25704</v>
      </c>
      <c r="B12817" s="2" t="s">
        <v>25705</v>
      </c>
      <c r="C12817" s="2" t="s">
        <v>757</v>
      </c>
      <c r="D12817" s="2" t="s">
        <v>6</v>
      </c>
      <c r="E12817" s="2" t="str">
        <f>"9783038426929"</f>
        <v>9783038426929</v>
      </c>
      <c r="F12817" s="2" t="str">
        <f>"9783038426936"</f>
        <v>9783038426936</v>
      </c>
    </row>
    <row r="12818" spans="1:6" s="3" customFormat="1" ht="29.1" customHeight="1" x14ac:dyDescent="0.25">
      <c r="A12818" s="2" t="s">
        <v>25706</v>
      </c>
      <c r="B12818" s="2" t="s">
        <v>25707</v>
      </c>
      <c r="C12818" s="2" t="s">
        <v>757</v>
      </c>
      <c r="D12818" s="2" t="s">
        <v>1127</v>
      </c>
      <c r="E12818" s="2" t="str">
        <f>"9783039366781"</f>
        <v>9783039366781</v>
      </c>
      <c r="F12818" s="2" t="str">
        <f>"9783039366798"</f>
        <v>9783039366798</v>
      </c>
    </row>
    <row r="12819" spans="1:6" s="3" customFormat="1" ht="29.1" customHeight="1" x14ac:dyDescent="0.25">
      <c r="A12819" s="2" t="s">
        <v>25708</v>
      </c>
      <c r="B12819" s="2" t="s">
        <v>25709</v>
      </c>
      <c r="C12819" s="2" t="s">
        <v>757</v>
      </c>
      <c r="D12819" s="2" t="s">
        <v>1082</v>
      </c>
      <c r="E12819" s="2" t="str">
        <f>"9783038974994"</f>
        <v>9783038974994</v>
      </c>
      <c r="F12819" s="2" t="str">
        <f>"9783038975007"</f>
        <v>9783038975007</v>
      </c>
    </row>
    <row r="12820" spans="1:6" s="3" customFormat="1" ht="29.1" customHeight="1" x14ac:dyDescent="0.25">
      <c r="A12820" s="2" t="s">
        <v>25710</v>
      </c>
      <c r="B12820" s="2" t="s">
        <v>25711</v>
      </c>
      <c r="C12820" s="2" t="s">
        <v>757</v>
      </c>
      <c r="D12820" s="2" t="s">
        <v>12577</v>
      </c>
      <c r="E12820" s="2" t="str">
        <f>"9783038974970"</f>
        <v>9783038974970</v>
      </c>
      <c r="F12820" s="2" t="str">
        <f>"9783038974987"</f>
        <v>9783038974987</v>
      </c>
    </row>
    <row r="12821" spans="1:6" s="3" customFormat="1" ht="29.1" customHeight="1" x14ac:dyDescent="0.25">
      <c r="A12821" s="2" t="s">
        <v>25712</v>
      </c>
      <c r="B12821" s="2" t="s">
        <v>25713</v>
      </c>
      <c r="C12821" s="2" t="s">
        <v>757</v>
      </c>
      <c r="D12821" s="2" t="s">
        <v>477</v>
      </c>
      <c r="E12821" s="2" t="str">
        <f>"9783038971047"</f>
        <v>9783038971047</v>
      </c>
      <c r="F12821" s="2" t="str">
        <f>"9783038971030"</f>
        <v>9783038971030</v>
      </c>
    </row>
    <row r="12822" spans="1:6" s="3" customFormat="1" ht="29.1" customHeight="1" x14ac:dyDescent="0.25">
      <c r="A12822" s="2" t="s">
        <v>25714</v>
      </c>
      <c r="B12822" s="2" t="s">
        <v>25715</v>
      </c>
      <c r="C12822" s="2" t="s">
        <v>757</v>
      </c>
      <c r="D12822" s="2" t="s">
        <v>712</v>
      </c>
      <c r="E12822" s="2" t="str">
        <f>"9783038975649"</f>
        <v>9783038975649</v>
      </c>
      <c r="F12822" s="2" t="str">
        <f>"9783038975656"</f>
        <v>9783038975656</v>
      </c>
    </row>
    <row r="12823" spans="1:6" s="3" customFormat="1" ht="29.1" customHeight="1" x14ac:dyDescent="0.25">
      <c r="A12823" s="2" t="s">
        <v>25716</v>
      </c>
      <c r="B12823" s="2" t="s">
        <v>25717</v>
      </c>
      <c r="C12823" s="2" t="s">
        <v>757</v>
      </c>
      <c r="D12823" s="2" t="s">
        <v>764</v>
      </c>
      <c r="E12823" s="2" t="str">
        <f>"9783036516363"</f>
        <v>9783036516363</v>
      </c>
      <c r="F12823" s="2" t="str">
        <f>"9783036516356"</f>
        <v>9783036516356</v>
      </c>
    </row>
    <row r="12824" spans="1:6" s="3" customFormat="1" ht="29.1" customHeight="1" x14ac:dyDescent="0.25">
      <c r="A12824" s="2" t="s">
        <v>25718</v>
      </c>
      <c r="B12824" s="2" t="s">
        <v>25719</v>
      </c>
      <c r="C12824" s="2" t="s">
        <v>757</v>
      </c>
      <c r="D12824" s="2" t="s">
        <v>17447</v>
      </c>
      <c r="E12824" s="2" t="str">
        <f>"9783039437122"</f>
        <v>9783039437122</v>
      </c>
      <c r="F12824" s="2" t="str">
        <f>"9783039437115"</f>
        <v>9783039437115</v>
      </c>
    </row>
    <row r="12825" spans="1:6" s="3" customFormat="1" ht="29.1" customHeight="1" x14ac:dyDescent="0.25">
      <c r="A12825" s="2" t="s">
        <v>25720</v>
      </c>
      <c r="B12825" s="2" t="s">
        <v>25721</v>
      </c>
      <c r="C12825" s="2" t="s">
        <v>757</v>
      </c>
      <c r="D12825" s="2" t="s">
        <v>1278</v>
      </c>
      <c r="E12825" s="2" t="str">
        <f>"9783036520308"</f>
        <v>9783036520308</v>
      </c>
      <c r="F12825" s="2" t="str">
        <f>"9783036520292"</f>
        <v>9783036520292</v>
      </c>
    </row>
    <row r="12826" spans="1:6" s="3" customFormat="1" ht="29.1" customHeight="1" x14ac:dyDescent="0.25">
      <c r="A12826" s="2" t="s">
        <v>25722</v>
      </c>
      <c r="B12826" s="2" t="s">
        <v>25723</v>
      </c>
      <c r="C12826" s="2" t="s">
        <v>757</v>
      </c>
      <c r="D12826" s="2" t="s">
        <v>4071</v>
      </c>
      <c r="E12826" s="2" t="str">
        <f>"9783036520322"</f>
        <v>9783036520322</v>
      </c>
      <c r="F12826" s="2" t="str">
        <f>"9783036520315"</f>
        <v>9783036520315</v>
      </c>
    </row>
    <row r="12827" spans="1:6" s="3" customFormat="1" ht="29.1" customHeight="1" x14ac:dyDescent="0.25">
      <c r="A12827" s="2" t="s">
        <v>25724</v>
      </c>
      <c r="B12827" s="2" t="s">
        <v>25725</v>
      </c>
      <c r="C12827" s="2" t="s">
        <v>757</v>
      </c>
      <c r="D12827" s="2" t="s">
        <v>4294</v>
      </c>
      <c r="E12827" s="2" t="str">
        <f>"9783036524672"</f>
        <v>9783036524672</v>
      </c>
      <c r="F12827" s="2" t="str">
        <f>"9783036524665"</f>
        <v>9783036524665</v>
      </c>
    </row>
    <row r="12828" spans="1:6" s="3" customFormat="1" ht="29.1" customHeight="1" x14ac:dyDescent="0.25">
      <c r="A12828" s="2" t="s">
        <v>25726</v>
      </c>
      <c r="B12828" s="2" t="s">
        <v>25727</v>
      </c>
      <c r="C12828" s="2" t="s">
        <v>757</v>
      </c>
      <c r="D12828" s="2" t="s">
        <v>8189</v>
      </c>
      <c r="E12828" s="2" t="str">
        <f>"9783039439454"</f>
        <v>9783039439454</v>
      </c>
      <c r="F12828" s="2" t="str">
        <f>"9783039439461"</f>
        <v>9783039439461</v>
      </c>
    </row>
    <row r="12829" spans="1:6" s="3" customFormat="1" ht="29.1" customHeight="1" x14ac:dyDescent="0.25">
      <c r="A12829" s="2" t="s">
        <v>25728</v>
      </c>
      <c r="B12829" s="2" t="s">
        <v>25729</v>
      </c>
      <c r="C12829" s="2" t="s">
        <v>2188</v>
      </c>
      <c r="D12829" s="2" t="s">
        <v>33</v>
      </c>
      <c r="E12829" s="2" t="str">
        <f>"9788323242192"</f>
        <v>9788323242192</v>
      </c>
      <c r="F12829" s="2" t="str">
        <f>"9788323242208"</f>
        <v>9788323242208</v>
      </c>
    </row>
    <row r="12830" spans="1:6" s="3" customFormat="1" ht="29.1" customHeight="1" x14ac:dyDescent="0.25">
      <c r="A12830" s="2" t="s">
        <v>25730</v>
      </c>
      <c r="B12830" s="2" t="s">
        <v>25731</v>
      </c>
      <c r="C12830" s="2" t="s">
        <v>264</v>
      </c>
      <c r="D12830" s="2" t="s">
        <v>297</v>
      </c>
      <c r="E12830" s="2" t="str">
        <f>"9781032419381"</f>
        <v>9781032419381</v>
      </c>
      <c r="F12830" s="2" t="str">
        <f>"9781003360483"</f>
        <v>9781003360483</v>
      </c>
    </row>
    <row r="12831" spans="1:6" s="3" customFormat="1" ht="29.1" customHeight="1" x14ac:dyDescent="0.25">
      <c r="A12831" s="2" t="s">
        <v>25732</v>
      </c>
      <c r="B12831" s="2" t="s">
        <v>25733</v>
      </c>
      <c r="C12831" s="2" t="s">
        <v>124</v>
      </c>
      <c r="D12831" s="2" t="s">
        <v>210</v>
      </c>
      <c r="E12831" s="2" t="str">
        <f>"9781032208756"</f>
        <v>9781032208756</v>
      </c>
      <c r="F12831" s="2" t="str">
        <f>"9781000997439"</f>
        <v>9781000997439</v>
      </c>
    </row>
    <row r="12832" spans="1:6" s="3" customFormat="1" ht="29.1" customHeight="1" x14ac:dyDescent="0.25">
      <c r="A12832" s="2" t="s">
        <v>25734</v>
      </c>
      <c r="B12832" s="2" t="s">
        <v>25735</v>
      </c>
      <c r="C12832" s="2" t="s">
        <v>124</v>
      </c>
      <c r="D12832" s="2" t="s">
        <v>9656</v>
      </c>
      <c r="E12832" s="2" t="str">
        <f>"9781032507873"</f>
        <v>9781032507873</v>
      </c>
      <c r="F12832" s="2" t="str">
        <f>"9781003399650"</f>
        <v>9781003399650</v>
      </c>
    </row>
    <row r="12833" spans="1:6" s="3" customFormat="1" ht="29.1" customHeight="1" x14ac:dyDescent="0.25">
      <c r="A12833" s="2" t="s">
        <v>25736</v>
      </c>
      <c r="B12833" s="2" t="s">
        <v>25737</v>
      </c>
      <c r="C12833" s="2" t="s">
        <v>927</v>
      </c>
      <c r="D12833" s="2" t="s">
        <v>270</v>
      </c>
      <c r="E12833" s="2" t="str">
        <f>"9780472056491"</f>
        <v>9780472056491</v>
      </c>
      <c r="F12833" s="2" t="str">
        <f>"9780472903900"</f>
        <v>9780472903900</v>
      </c>
    </row>
    <row r="12834" spans="1:6" s="3" customFormat="1" ht="29.1" customHeight="1" x14ac:dyDescent="0.25">
      <c r="A12834" s="2" t="s">
        <v>25738</v>
      </c>
      <c r="B12834" s="2" t="s">
        <v>25739</v>
      </c>
      <c r="C12834" s="2" t="s">
        <v>4104</v>
      </c>
      <c r="D12834" s="2" t="s">
        <v>1240</v>
      </c>
      <c r="E12834" s="2" t="str">
        <f>"9781802074567"</f>
        <v>9781802074567</v>
      </c>
      <c r="F12834" s="2" t="str">
        <f>"9781835532683"</f>
        <v>9781835532683</v>
      </c>
    </row>
    <row r="12835" spans="1:6" s="3" customFormat="1" ht="29.1" customHeight="1" x14ac:dyDescent="0.25">
      <c r="A12835" s="2" t="s">
        <v>25740</v>
      </c>
      <c r="B12835" s="2" t="s">
        <v>25741</v>
      </c>
      <c r="C12835" s="2" t="s">
        <v>4104</v>
      </c>
      <c r="D12835" s="2" t="s">
        <v>4185</v>
      </c>
      <c r="E12835" s="2" t="str">
        <f>"9781835530023"</f>
        <v>9781835530023</v>
      </c>
      <c r="F12835" s="2" t="str">
        <f>"9781802073751"</f>
        <v>9781802073751</v>
      </c>
    </row>
    <row r="12836" spans="1:6" s="3" customFormat="1" ht="29.1" customHeight="1" x14ac:dyDescent="0.25">
      <c r="A12836" s="2" t="s">
        <v>25742</v>
      </c>
      <c r="B12836" s="2" t="s">
        <v>25743</v>
      </c>
      <c r="C12836" s="2" t="s">
        <v>62</v>
      </c>
      <c r="D12836" s="2" t="s">
        <v>2274</v>
      </c>
      <c r="E12836" s="2" t="str">
        <f>"9783428189601"</f>
        <v>9783428189601</v>
      </c>
      <c r="F12836" s="2" t="str">
        <f>"9783428589609"</f>
        <v>9783428589609</v>
      </c>
    </row>
    <row r="12837" spans="1:6" s="3" customFormat="1" ht="29.1" customHeight="1" x14ac:dyDescent="0.25">
      <c r="A12837" s="2" t="s">
        <v>25744</v>
      </c>
      <c r="B12837" s="2" t="s">
        <v>25745</v>
      </c>
      <c r="C12837" s="2" t="s">
        <v>62</v>
      </c>
      <c r="D12837" s="2" t="s">
        <v>6464</v>
      </c>
      <c r="E12837" s="2" t="str">
        <f>"9783428189076"</f>
        <v>9783428189076</v>
      </c>
      <c r="F12837" s="2" t="str">
        <f>"9783428589074"</f>
        <v>9783428589074</v>
      </c>
    </row>
    <row r="12838" spans="1:6" s="3" customFormat="1" ht="29.1" customHeight="1" x14ac:dyDescent="0.25">
      <c r="A12838" s="2" t="s">
        <v>25746</v>
      </c>
      <c r="B12838" s="2" t="s">
        <v>25747</v>
      </c>
      <c r="C12838" s="2" t="s">
        <v>11220</v>
      </c>
      <c r="D12838" s="2" t="s">
        <v>11528</v>
      </c>
      <c r="E12838" s="2" t="str">
        <f>"9781479830091"</f>
        <v>9781479830091</v>
      </c>
      <c r="F12838" s="2" t="str">
        <f>"9781479830121"</f>
        <v>9781479830121</v>
      </c>
    </row>
    <row r="12839" spans="1:6" s="3" customFormat="1" ht="29.1" customHeight="1" x14ac:dyDescent="0.25">
      <c r="A12839" s="2" t="s">
        <v>25748</v>
      </c>
      <c r="B12839" s="2" t="s">
        <v>25749</v>
      </c>
      <c r="C12839" s="2" t="s">
        <v>2183</v>
      </c>
      <c r="D12839" s="2" t="s">
        <v>1432</v>
      </c>
      <c r="E12839" s="2" t="str">
        <f>"9781641893664"</f>
        <v>9781641893664</v>
      </c>
      <c r="F12839" s="2" t="str">
        <f>"9781641893671"</f>
        <v>9781641893671</v>
      </c>
    </row>
    <row r="12840" spans="1:6" s="3" customFormat="1" ht="29.1" customHeight="1" x14ac:dyDescent="0.25">
      <c r="A12840" s="2" t="s">
        <v>25750</v>
      </c>
      <c r="B12840" s="2" t="s">
        <v>25751</v>
      </c>
      <c r="C12840" s="2" t="s">
        <v>18325</v>
      </c>
      <c r="D12840" s="2" t="s">
        <v>3166</v>
      </c>
      <c r="E12840" s="2" t="str">
        <f>"9781953035608"</f>
        <v>9781953035608</v>
      </c>
      <c r="F12840" s="2" t="str">
        <f>"9781953035615"</f>
        <v>9781953035615</v>
      </c>
    </row>
    <row r="12841" spans="1:6" s="3" customFormat="1" ht="29.1" customHeight="1" x14ac:dyDescent="0.25">
      <c r="A12841" s="2" t="s">
        <v>25752</v>
      </c>
      <c r="B12841" s="2" t="s">
        <v>25754</v>
      </c>
      <c r="C12841" s="2" t="s">
        <v>18325</v>
      </c>
      <c r="D12841" s="2" t="s">
        <v>25753</v>
      </c>
      <c r="E12841" s="2" t="str">
        <f>"9781947447226"</f>
        <v>9781947447226</v>
      </c>
      <c r="F12841" s="2" t="str">
        <f>"9781947447233"</f>
        <v>9781947447233</v>
      </c>
    </row>
    <row r="12842" spans="1:6" s="3" customFormat="1" ht="29.1" customHeight="1" x14ac:dyDescent="0.25">
      <c r="A12842" s="2" t="s">
        <v>25755</v>
      </c>
      <c r="B12842" s="2" t="s">
        <v>25756</v>
      </c>
      <c r="C12842" s="2" t="s">
        <v>18325</v>
      </c>
      <c r="D12842" s="2" t="s">
        <v>1262</v>
      </c>
      <c r="E12842" s="2" t="str">
        <f>"9781950192885"</f>
        <v>9781950192885</v>
      </c>
      <c r="F12842" s="2" t="str">
        <f>"9781950192892"</f>
        <v>9781950192892</v>
      </c>
    </row>
    <row r="12843" spans="1:6" s="3" customFormat="1" ht="29.1" customHeight="1" x14ac:dyDescent="0.25">
      <c r="A12843" s="2" t="s">
        <v>25757</v>
      </c>
      <c r="B12843" s="2" t="s">
        <v>25758</v>
      </c>
      <c r="C12843" s="2" t="s">
        <v>18325</v>
      </c>
      <c r="D12843" s="2" t="s">
        <v>4130</v>
      </c>
      <c r="E12843" s="2" t="str">
        <f>"9781950192076"</f>
        <v>9781950192076</v>
      </c>
      <c r="F12843" s="2" t="str">
        <f>"9781950192083"</f>
        <v>9781950192083</v>
      </c>
    </row>
    <row r="12844" spans="1:6" s="3" customFormat="1" ht="29.1" customHeight="1" x14ac:dyDescent="0.25">
      <c r="A12844" s="2" t="s">
        <v>25759</v>
      </c>
      <c r="B12844" s="2" t="s">
        <v>25760</v>
      </c>
      <c r="C12844" s="2" t="s">
        <v>18325</v>
      </c>
      <c r="D12844" s="2" t="s">
        <v>11330</v>
      </c>
      <c r="E12844" s="2" t="str">
        <f>"9781947447264"</f>
        <v>9781947447264</v>
      </c>
      <c r="F12844" s="2" t="str">
        <f>"9781947447271"</f>
        <v>9781947447271</v>
      </c>
    </row>
    <row r="12845" spans="1:6" s="3" customFormat="1" ht="29.1" customHeight="1" x14ac:dyDescent="0.25">
      <c r="A12845" s="2" t="s">
        <v>25761</v>
      </c>
      <c r="B12845" s="2" t="s">
        <v>25763</v>
      </c>
      <c r="C12845" s="2" t="s">
        <v>18325</v>
      </c>
      <c r="D12845" s="2" t="s">
        <v>25762</v>
      </c>
      <c r="E12845" s="2"/>
      <c r="F12845" s="2" t="str">
        <f>"9780692022238"</f>
        <v>9780692022238</v>
      </c>
    </row>
    <row r="12846" spans="1:6" s="3" customFormat="1" ht="29.1" customHeight="1" x14ac:dyDescent="0.25">
      <c r="A12846" s="2" t="s">
        <v>25764</v>
      </c>
      <c r="B12846" s="2" t="s">
        <v>25765</v>
      </c>
      <c r="C12846" s="2" t="s">
        <v>18325</v>
      </c>
      <c r="D12846" s="2" t="s">
        <v>5266</v>
      </c>
      <c r="E12846" s="2" t="str">
        <f>"9781950192694"</f>
        <v>9781950192694</v>
      </c>
      <c r="F12846" s="2" t="str">
        <f>"9781950192700"</f>
        <v>9781950192700</v>
      </c>
    </row>
    <row r="12847" spans="1:6" s="3" customFormat="1" ht="29.1" customHeight="1" x14ac:dyDescent="0.25">
      <c r="A12847" s="2" t="s">
        <v>25766</v>
      </c>
      <c r="B12847" s="2" t="s">
        <v>25767</v>
      </c>
      <c r="C12847" s="2" t="s">
        <v>18325</v>
      </c>
      <c r="D12847" s="2" t="s">
        <v>1127</v>
      </c>
      <c r="E12847" s="2" t="str">
        <f>"9781947447028"</f>
        <v>9781947447028</v>
      </c>
      <c r="F12847" s="2" t="str">
        <f>"9781947447035"</f>
        <v>9781947447035</v>
      </c>
    </row>
    <row r="12848" spans="1:6" s="3" customFormat="1" ht="29.1" customHeight="1" x14ac:dyDescent="0.25">
      <c r="A12848" s="2" t="s">
        <v>25768</v>
      </c>
      <c r="B12848" s="2" t="s">
        <v>25769</v>
      </c>
      <c r="C12848" s="2" t="s">
        <v>18325</v>
      </c>
      <c r="D12848" s="2" t="s">
        <v>606</v>
      </c>
      <c r="E12848" s="2" t="str">
        <f>"9781953035059"</f>
        <v>9781953035059</v>
      </c>
      <c r="F12848" s="2" t="str">
        <f>"9781953035066"</f>
        <v>9781953035066</v>
      </c>
    </row>
    <row r="12849" spans="1:6" s="3" customFormat="1" ht="29.1" customHeight="1" x14ac:dyDescent="0.25">
      <c r="A12849" s="2" t="s">
        <v>25770</v>
      </c>
      <c r="B12849" s="2" t="s">
        <v>25771</v>
      </c>
      <c r="C12849" s="2" t="s">
        <v>18325</v>
      </c>
      <c r="D12849" s="2" t="s">
        <v>1809</v>
      </c>
      <c r="E12849" s="2" t="str">
        <f>"9781953035240"</f>
        <v>9781953035240</v>
      </c>
      <c r="F12849" s="2" t="str">
        <f>"9781953035257"</f>
        <v>9781953035257</v>
      </c>
    </row>
    <row r="12850" spans="1:6" s="3" customFormat="1" ht="29.1" customHeight="1" x14ac:dyDescent="0.25">
      <c r="A12850" s="2" t="s">
        <v>25772</v>
      </c>
      <c r="B12850" s="2" t="s">
        <v>25773</v>
      </c>
      <c r="C12850" s="2" t="s">
        <v>18325</v>
      </c>
      <c r="D12850" s="2" t="s">
        <v>3166</v>
      </c>
      <c r="E12850" s="2" t="str">
        <f>"9781947447363"</f>
        <v>9781947447363</v>
      </c>
      <c r="F12850" s="2" t="str">
        <f>"9781947447370"</f>
        <v>9781947447370</v>
      </c>
    </row>
    <row r="12851" spans="1:6" s="3" customFormat="1" ht="29.1" customHeight="1" x14ac:dyDescent="0.25">
      <c r="A12851" s="2" t="s">
        <v>25774</v>
      </c>
      <c r="B12851" s="2" t="s">
        <v>25775</v>
      </c>
      <c r="C12851" s="2" t="s">
        <v>18325</v>
      </c>
      <c r="D12851" s="2" t="s">
        <v>903</v>
      </c>
      <c r="E12851" s="2" t="str">
        <f>"9781947447189"</f>
        <v>9781947447189</v>
      </c>
      <c r="F12851" s="2" t="str">
        <f>"9781947447196"</f>
        <v>9781947447196</v>
      </c>
    </row>
    <row r="12852" spans="1:6" s="3" customFormat="1" ht="29.1" customHeight="1" x14ac:dyDescent="0.25">
      <c r="A12852" s="2" t="s">
        <v>25776</v>
      </c>
      <c r="B12852" s="2" t="s">
        <v>25777</v>
      </c>
      <c r="C12852" s="2" t="s">
        <v>18325</v>
      </c>
      <c r="D12852" s="2" t="s">
        <v>699</v>
      </c>
      <c r="E12852" s="2" t="str">
        <f>"9781953035783"</f>
        <v>9781953035783</v>
      </c>
      <c r="F12852" s="2" t="str">
        <f>"9781953035790"</f>
        <v>9781953035790</v>
      </c>
    </row>
    <row r="12853" spans="1:6" s="3" customFormat="1" ht="29.1" customHeight="1" x14ac:dyDescent="0.25">
      <c r="A12853" s="2" t="s">
        <v>25778</v>
      </c>
      <c r="B12853" s="2" t="s">
        <v>25779</v>
      </c>
      <c r="C12853" s="2" t="s">
        <v>18325</v>
      </c>
      <c r="D12853" s="2" t="s">
        <v>1883</v>
      </c>
      <c r="E12853" s="2" t="str">
        <f>"9781950192199"</f>
        <v>9781950192199</v>
      </c>
      <c r="F12853" s="2" t="str">
        <f>"9781950192205"</f>
        <v>9781950192205</v>
      </c>
    </row>
    <row r="12854" spans="1:6" s="3" customFormat="1" ht="29.1" customHeight="1" x14ac:dyDescent="0.25">
      <c r="A12854" s="2" t="s">
        <v>25780</v>
      </c>
      <c r="B12854" s="2" t="s">
        <v>25782</v>
      </c>
      <c r="C12854" s="2" t="s">
        <v>18325</v>
      </c>
      <c r="D12854" s="2" t="s">
        <v>25781</v>
      </c>
      <c r="E12854" s="2" t="str">
        <f>"9781950192717"</f>
        <v>9781950192717</v>
      </c>
      <c r="F12854" s="2" t="str">
        <f>"9781950192724"</f>
        <v>9781950192724</v>
      </c>
    </row>
    <row r="12855" spans="1:6" s="3" customFormat="1" ht="29.1" customHeight="1" x14ac:dyDescent="0.25">
      <c r="A12855" s="2" t="s">
        <v>25783</v>
      </c>
      <c r="B12855" s="2" t="s">
        <v>25784</v>
      </c>
      <c r="C12855" s="2" t="s">
        <v>18325</v>
      </c>
      <c r="D12855" s="2" t="s">
        <v>324</v>
      </c>
      <c r="E12855" s="2" t="str">
        <f>"9781947447165"</f>
        <v>9781947447165</v>
      </c>
      <c r="F12855" s="2" t="str">
        <f>"9781947447172"</f>
        <v>9781947447172</v>
      </c>
    </row>
    <row r="12856" spans="1:6" s="3" customFormat="1" ht="29.1" customHeight="1" x14ac:dyDescent="0.25">
      <c r="A12856" s="2" t="s">
        <v>25785</v>
      </c>
      <c r="B12856" s="2" t="s">
        <v>25786</v>
      </c>
      <c r="C12856" s="2" t="s">
        <v>18325</v>
      </c>
      <c r="D12856" s="2" t="s">
        <v>6669</v>
      </c>
      <c r="E12856" s="2" t="str">
        <f>"9781953035080"</f>
        <v>9781953035080</v>
      </c>
      <c r="F12856" s="2" t="str">
        <f>"9781953035097"</f>
        <v>9781953035097</v>
      </c>
    </row>
    <row r="12857" spans="1:6" s="3" customFormat="1" ht="29.1" customHeight="1" x14ac:dyDescent="0.25">
      <c r="A12857" s="2" t="s">
        <v>25787</v>
      </c>
      <c r="B12857" s="2" t="s">
        <v>25788</v>
      </c>
      <c r="C12857" s="2" t="s">
        <v>18325</v>
      </c>
      <c r="D12857" s="2" t="s">
        <v>4868</v>
      </c>
      <c r="E12857" s="2" t="str">
        <f>"9780692423240"</f>
        <v>9780692423240</v>
      </c>
      <c r="F12857" s="2"/>
    </row>
    <row r="12858" spans="1:6" s="3" customFormat="1" ht="29.1" customHeight="1" x14ac:dyDescent="0.25">
      <c r="A12858" s="2" t="s">
        <v>25789</v>
      </c>
      <c r="B12858" s="2" t="s">
        <v>25788</v>
      </c>
      <c r="C12858" s="2" t="s">
        <v>18325</v>
      </c>
      <c r="D12858" s="2" t="s">
        <v>9420</v>
      </c>
      <c r="E12858" s="2"/>
      <c r="F12858" s="2" t="str">
        <f>"9780615844558"</f>
        <v>9780615844558</v>
      </c>
    </row>
    <row r="12859" spans="1:6" s="3" customFormat="1" ht="29.1" customHeight="1" x14ac:dyDescent="0.25">
      <c r="A12859" s="2" t="s">
        <v>25790</v>
      </c>
      <c r="B12859" s="2" t="s">
        <v>25791</v>
      </c>
      <c r="C12859" s="2" t="s">
        <v>18325</v>
      </c>
      <c r="D12859" s="2" t="s">
        <v>2781</v>
      </c>
      <c r="E12859" s="2" t="str">
        <f>"9781953035363"</f>
        <v>9781953035363</v>
      </c>
      <c r="F12859" s="2" t="str">
        <f>"9781950192984"</f>
        <v>9781950192984</v>
      </c>
    </row>
    <row r="12860" spans="1:6" s="3" customFormat="1" ht="29.1" customHeight="1" x14ac:dyDescent="0.25">
      <c r="A12860" s="2" t="s">
        <v>25792</v>
      </c>
      <c r="B12860" s="2" t="s">
        <v>25794</v>
      </c>
      <c r="C12860" s="2" t="s">
        <v>18325</v>
      </c>
      <c r="D12860" s="2" t="s">
        <v>25793</v>
      </c>
      <c r="E12860" s="2" t="str">
        <f>"9781685711184"</f>
        <v>9781685711184</v>
      </c>
      <c r="F12860" s="2" t="str">
        <f>"9781685711191"</f>
        <v>9781685711191</v>
      </c>
    </row>
    <row r="12861" spans="1:6" s="3" customFormat="1" ht="29.1" customHeight="1" x14ac:dyDescent="0.25">
      <c r="A12861" s="2" t="s">
        <v>25795</v>
      </c>
      <c r="B12861" s="2" t="s">
        <v>25796</v>
      </c>
      <c r="C12861" s="2" t="s">
        <v>18325</v>
      </c>
      <c r="D12861" s="2" t="s">
        <v>317</v>
      </c>
      <c r="E12861" s="2" t="str">
        <f>"9781950192861"</f>
        <v>9781950192861</v>
      </c>
      <c r="F12861" s="2" t="str">
        <f>"9781950192878"</f>
        <v>9781950192878</v>
      </c>
    </row>
    <row r="12862" spans="1:6" s="3" customFormat="1" ht="29.1" customHeight="1" x14ac:dyDescent="0.25">
      <c r="A12862" s="2" t="s">
        <v>25797</v>
      </c>
      <c r="B12862" s="2" t="s">
        <v>25799</v>
      </c>
      <c r="C12862" s="2" t="s">
        <v>18325</v>
      </c>
      <c r="D12862" s="2" t="s">
        <v>25798</v>
      </c>
      <c r="E12862" s="2" t="str">
        <f>"9781953035127"</f>
        <v>9781953035127</v>
      </c>
      <c r="F12862" s="2" t="str">
        <f>"9781953035134"</f>
        <v>9781953035134</v>
      </c>
    </row>
    <row r="12863" spans="1:6" s="3" customFormat="1" ht="29.1" customHeight="1" x14ac:dyDescent="0.25">
      <c r="A12863" s="2" t="s">
        <v>25800</v>
      </c>
      <c r="B12863" s="2" t="s">
        <v>25801</v>
      </c>
      <c r="C12863" s="2" t="s">
        <v>18325</v>
      </c>
      <c r="D12863" s="2" t="s">
        <v>5266</v>
      </c>
      <c r="E12863" s="2" t="str">
        <f>"9781947447004"</f>
        <v>9781947447004</v>
      </c>
      <c r="F12863" s="2" t="str">
        <f>"9781947447011"</f>
        <v>9781947447011</v>
      </c>
    </row>
    <row r="12864" spans="1:6" s="3" customFormat="1" ht="29.1" customHeight="1" x14ac:dyDescent="0.25">
      <c r="A12864" s="2" t="s">
        <v>25802</v>
      </c>
      <c r="B12864" s="2"/>
      <c r="C12864" s="2" t="s">
        <v>18325</v>
      </c>
      <c r="D12864" s="2" t="s">
        <v>25803</v>
      </c>
      <c r="E12864" s="2" t="str">
        <f>"9781953035264"</f>
        <v>9781953035264</v>
      </c>
      <c r="F12864" s="2" t="str">
        <f>"9781953035271"</f>
        <v>9781953035271</v>
      </c>
    </row>
    <row r="12865" spans="1:6" s="3" customFormat="1" ht="29.1" customHeight="1" x14ac:dyDescent="0.25">
      <c r="A12865" s="2" t="s">
        <v>25804</v>
      </c>
      <c r="B12865" s="2" t="s">
        <v>25805</v>
      </c>
      <c r="C12865" s="2" t="s">
        <v>18325</v>
      </c>
      <c r="D12865" s="2" t="s">
        <v>1411</v>
      </c>
      <c r="E12865" s="2" t="str">
        <f>"9781947447288"</f>
        <v>9781947447288</v>
      </c>
      <c r="F12865" s="2" t="str">
        <f>"9781947447295"</f>
        <v>9781947447295</v>
      </c>
    </row>
    <row r="12866" spans="1:6" s="3" customFormat="1" ht="29.1" customHeight="1" x14ac:dyDescent="0.25">
      <c r="A12866" s="2" t="s">
        <v>25806</v>
      </c>
      <c r="B12866" s="2" t="s">
        <v>25807</v>
      </c>
      <c r="C12866" s="2" t="s">
        <v>18325</v>
      </c>
      <c r="D12866" s="2" t="s">
        <v>15</v>
      </c>
      <c r="E12866" s="2"/>
      <c r="F12866" s="2" t="str">
        <f>"9780998237565"</f>
        <v>9780998237565</v>
      </c>
    </row>
    <row r="12867" spans="1:6" s="3" customFormat="1" ht="29.1" customHeight="1" x14ac:dyDescent="0.25">
      <c r="A12867" s="2" t="s">
        <v>25808</v>
      </c>
      <c r="B12867" s="2" t="s">
        <v>25809</v>
      </c>
      <c r="C12867" s="2" t="s">
        <v>18325</v>
      </c>
      <c r="D12867" s="2" t="s">
        <v>4582</v>
      </c>
      <c r="E12867" s="2" t="str">
        <f>"9781950192137"</f>
        <v>9781950192137</v>
      </c>
      <c r="F12867" s="2" t="str">
        <f>"9781950192144"</f>
        <v>9781950192144</v>
      </c>
    </row>
    <row r="12868" spans="1:6" s="3" customFormat="1" ht="29.1" customHeight="1" x14ac:dyDescent="0.25">
      <c r="A12868" s="2" t="s">
        <v>25810</v>
      </c>
      <c r="B12868" s="2" t="s">
        <v>25811</v>
      </c>
      <c r="C12868" s="2" t="s">
        <v>18325</v>
      </c>
      <c r="D12868" s="2" t="s">
        <v>490</v>
      </c>
      <c r="E12868" s="2" t="str">
        <f>"9781950192274"</f>
        <v>9781950192274</v>
      </c>
      <c r="F12868" s="2" t="str">
        <f>"9781950192281"</f>
        <v>9781950192281</v>
      </c>
    </row>
    <row r="12869" spans="1:6" s="3" customFormat="1" ht="29.1" customHeight="1" x14ac:dyDescent="0.25">
      <c r="A12869" s="2" t="s">
        <v>25812</v>
      </c>
      <c r="B12869" s="2" t="s">
        <v>25813</v>
      </c>
      <c r="C12869" s="2" t="s">
        <v>18325</v>
      </c>
      <c r="D12869" s="2" t="s">
        <v>6559</v>
      </c>
      <c r="E12869" s="2" t="str">
        <f>"9780692580448"</f>
        <v>9780692580448</v>
      </c>
      <c r="F12869" s="2"/>
    </row>
    <row r="12870" spans="1:6" s="3" customFormat="1" ht="29.1" customHeight="1" x14ac:dyDescent="0.25">
      <c r="A12870" s="2" t="s">
        <v>25814</v>
      </c>
      <c r="B12870" s="2" t="s">
        <v>25816</v>
      </c>
      <c r="C12870" s="2" t="s">
        <v>18325</v>
      </c>
      <c r="D12870" s="2" t="s">
        <v>25815</v>
      </c>
      <c r="E12870" s="2"/>
      <c r="F12870" s="2" t="str">
        <f>"9780615600307"</f>
        <v>9780615600307</v>
      </c>
    </row>
    <row r="12871" spans="1:6" s="3" customFormat="1" ht="29.1" customHeight="1" x14ac:dyDescent="0.25">
      <c r="A12871" s="2" t="s">
        <v>25817</v>
      </c>
      <c r="B12871" s="2" t="s">
        <v>25818</v>
      </c>
      <c r="C12871" s="2" t="s">
        <v>18325</v>
      </c>
      <c r="D12871" s="2" t="s">
        <v>4657</v>
      </c>
      <c r="E12871" s="2" t="str">
        <f>"9781953035516"</f>
        <v>9781953035516</v>
      </c>
      <c r="F12871" s="2" t="str">
        <f>"9781953035523"</f>
        <v>9781953035523</v>
      </c>
    </row>
    <row r="12872" spans="1:6" s="3" customFormat="1" ht="29.1" customHeight="1" x14ac:dyDescent="0.25">
      <c r="A12872" s="2" t="s">
        <v>25819</v>
      </c>
      <c r="B12872" s="2" t="s">
        <v>25820</v>
      </c>
      <c r="C12872" s="2" t="s">
        <v>18325</v>
      </c>
      <c r="D12872" s="2" t="s">
        <v>5635</v>
      </c>
      <c r="E12872" s="2" t="str">
        <f>"9781950192472"</f>
        <v>9781950192472</v>
      </c>
      <c r="F12872" s="2" t="str">
        <f>"9781950192489"</f>
        <v>9781950192489</v>
      </c>
    </row>
    <row r="12873" spans="1:6" s="3" customFormat="1" ht="29.1" customHeight="1" x14ac:dyDescent="0.25">
      <c r="A12873" s="2" t="s">
        <v>25821</v>
      </c>
      <c r="B12873" s="2" t="s">
        <v>10568</v>
      </c>
      <c r="C12873" s="2" t="s">
        <v>18325</v>
      </c>
      <c r="D12873" s="2" t="s">
        <v>25822</v>
      </c>
      <c r="E12873" s="2" t="str">
        <f>"9781953035554"</f>
        <v>9781953035554</v>
      </c>
      <c r="F12873" s="2" t="str">
        <f>"9781953035561"</f>
        <v>9781953035561</v>
      </c>
    </row>
    <row r="12874" spans="1:6" s="3" customFormat="1" ht="29.1" customHeight="1" x14ac:dyDescent="0.25">
      <c r="A12874" s="2" t="s">
        <v>25823</v>
      </c>
      <c r="B12874" s="2" t="s">
        <v>25824</v>
      </c>
      <c r="C12874" s="2" t="s">
        <v>18325</v>
      </c>
      <c r="D12874" s="2" t="s">
        <v>1272</v>
      </c>
      <c r="E12874" s="2" t="str">
        <f>"9781953035455"</f>
        <v>9781953035455</v>
      </c>
      <c r="F12874" s="2" t="str">
        <f>"9781953035462"</f>
        <v>9781953035462</v>
      </c>
    </row>
    <row r="12875" spans="1:6" s="3" customFormat="1" ht="29.1" customHeight="1" x14ac:dyDescent="0.25">
      <c r="A12875" s="2" t="s">
        <v>25825</v>
      </c>
      <c r="B12875" s="2" t="s">
        <v>25826</v>
      </c>
      <c r="C12875" s="2" t="s">
        <v>18325</v>
      </c>
      <c r="D12875" s="2" t="s">
        <v>712</v>
      </c>
      <c r="E12875" s="2" t="str">
        <f>"9781950192410"</f>
        <v>9781950192410</v>
      </c>
      <c r="F12875" s="2" t="str">
        <f>"9781950192427"</f>
        <v>9781950192427</v>
      </c>
    </row>
    <row r="12876" spans="1:6" s="3" customFormat="1" ht="29.1" customHeight="1" x14ac:dyDescent="0.25">
      <c r="A12876" s="2" t="s">
        <v>25827</v>
      </c>
      <c r="B12876" s="2" t="s">
        <v>25828</v>
      </c>
      <c r="C12876" s="2" t="s">
        <v>18325</v>
      </c>
      <c r="D12876" s="2" t="s">
        <v>11330</v>
      </c>
      <c r="E12876" s="2" t="str">
        <f>"9781953035325"</f>
        <v>9781953035325</v>
      </c>
      <c r="F12876" s="2" t="str">
        <f>"9781953035332"</f>
        <v>9781953035332</v>
      </c>
    </row>
    <row r="12877" spans="1:6" s="3" customFormat="1" ht="29.1" customHeight="1" x14ac:dyDescent="0.25">
      <c r="A12877" s="2" t="s">
        <v>25829</v>
      </c>
      <c r="B12877" s="2" t="s">
        <v>25830</v>
      </c>
      <c r="C12877" s="2" t="s">
        <v>18325</v>
      </c>
      <c r="D12877" s="2" t="s">
        <v>12246</v>
      </c>
      <c r="E12877" s="2" t="str">
        <f>"9781685711665"</f>
        <v>9781685711665</v>
      </c>
      <c r="F12877" s="2" t="str">
        <f>"9781685711672"</f>
        <v>9781685711672</v>
      </c>
    </row>
    <row r="12878" spans="1:6" s="3" customFormat="1" ht="29.1" customHeight="1" x14ac:dyDescent="0.25">
      <c r="A12878" s="2" t="s">
        <v>25831</v>
      </c>
      <c r="B12878" s="2" t="s">
        <v>25832</v>
      </c>
      <c r="C12878" s="2" t="s">
        <v>18325</v>
      </c>
      <c r="D12878" s="2" t="s">
        <v>4582</v>
      </c>
      <c r="E12878" s="2" t="str">
        <f>"9781950192816"</f>
        <v>9781950192816</v>
      </c>
      <c r="F12878" s="2" t="str">
        <f>"9781950192823"</f>
        <v>9781950192823</v>
      </c>
    </row>
    <row r="12879" spans="1:6" s="3" customFormat="1" ht="29.1" customHeight="1" x14ac:dyDescent="0.25">
      <c r="A12879" s="2" t="s">
        <v>25833</v>
      </c>
      <c r="B12879" s="2" t="s">
        <v>25834</v>
      </c>
      <c r="C12879" s="2" t="s">
        <v>18325</v>
      </c>
      <c r="D12879" s="2" t="s">
        <v>1768</v>
      </c>
      <c r="E12879" s="2"/>
      <c r="F12879" s="2" t="str">
        <f>"9780615747101"</f>
        <v>9780615747101</v>
      </c>
    </row>
    <row r="12880" spans="1:6" s="3" customFormat="1" ht="29.1" customHeight="1" x14ac:dyDescent="0.25">
      <c r="A12880" s="2" t="s">
        <v>25835</v>
      </c>
      <c r="B12880" s="2" t="s">
        <v>25836</v>
      </c>
      <c r="C12880" s="2" t="s">
        <v>18325</v>
      </c>
      <c r="D12880" s="2" t="s">
        <v>3166</v>
      </c>
      <c r="E12880" s="2"/>
      <c r="F12880" s="2" t="str">
        <f>"9780988234031"</f>
        <v>9780988234031</v>
      </c>
    </row>
    <row r="12881" spans="1:6" s="3" customFormat="1" ht="29.1" customHeight="1" x14ac:dyDescent="0.25">
      <c r="A12881" s="2" t="s">
        <v>25837</v>
      </c>
      <c r="B12881" s="2" t="s">
        <v>25838</v>
      </c>
      <c r="C12881" s="2" t="s">
        <v>18325</v>
      </c>
      <c r="D12881" s="2" t="s">
        <v>1198</v>
      </c>
      <c r="E12881" s="2" t="str">
        <f>"9781953035684"</f>
        <v>9781953035684</v>
      </c>
      <c r="F12881" s="2" t="str">
        <f>"9781953035691"</f>
        <v>9781953035691</v>
      </c>
    </row>
    <row r="12882" spans="1:6" s="3" customFormat="1" ht="29.1" customHeight="1" x14ac:dyDescent="0.25">
      <c r="A12882" s="2" t="s">
        <v>25839</v>
      </c>
      <c r="B12882" s="2" t="s">
        <v>25840</v>
      </c>
      <c r="C12882" s="2" t="s">
        <v>18325</v>
      </c>
      <c r="D12882" s="2" t="s">
        <v>490</v>
      </c>
      <c r="E12882" s="2" t="str">
        <f>"9781950192373"</f>
        <v>9781950192373</v>
      </c>
      <c r="F12882" s="2" t="str">
        <f>"9781950192380"</f>
        <v>9781950192380</v>
      </c>
    </row>
    <row r="12883" spans="1:6" s="3" customFormat="1" ht="29.1" customHeight="1" x14ac:dyDescent="0.25">
      <c r="A12883" s="2" t="s">
        <v>25841</v>
      </c>
      <c r="B12883" s="2" t="s">
        <v>25842</v>
      </c>
      <c r="C12883" s="2" t="s">
        <v>18325</v>
      </c>
      <c r="D12883" s="2" t="s">
        <v>7930</v>
      </c>
      <c r="E12883" s="2" t="str">
        <f>"9781950192496"</f>
        <v>9781950192496</v>
      </c>
      <c r="F12883" s="2" t="str">
        <f>"9781950192502"</f>
        <v>9781950192502</v>
      </c>
    </row>
    <row r="12884" spans="1:6" s="3" customFormat="1" ht="29.1" customHeight="1" x14ac:dyDescent="0.25">
      <c r="A12884" s="2" t="s">
        <v>25843</v>
      </c>
      <c r="B12884" s="2" t="s">
        <v>25844</v>
      </c>
      <c r="C12884" s="2" t="s">
        <v>18325</v>
      </c>
      <c r="D12884" s="2" t="s">
        <v>522</v>
      </c>
      <c r="E12884" s="2" t="str">
        <f>"9780692203163"</f>
        <v>9780692203163</v>
      </c>
      <c r="F12884" s="2"/>
    </row>
    <row r="12885" spans="1:6" s="3" customFormat="1" ht="29.1" customHeight="1" x14ac:dyDescent="0.25">
      <c r="A12885" s="2" t="s">
        <v>25845</v>
      </c>
      <c r="B12885" s="2" t="s">
        <v>25846</v>
      </c>
      <c r="C12885" s="2" t="s">
        <v>18325</v>
      </c>
      <c r="D12885" s="2" t="s">
        <v>522</v>
      </c>
      <c r="E12885" s="2"/>
      <c r="F12885" s="2" t="str">
        <f>"9781953035028"</f>
        <v>9781953035028</v>
      </c>
    </row>
    <row r="12886" spans="1:6" s="3" customFormat="1" ht="29.1" customHeight="1" x14ac:dyDescent="0.25">
      <c r="A12886" s="2" t="s">
        <v>25847</v>
      </c>
      <c r="B12886" s="2" t="s">
        <v>25848</v>
      </c>
      <c r="C12886" s="2" t="s">
        <v>18325</v>
      </c>
      <c r="D12886" s="2" t="s">
        <v>4030</v>
      </c>
      <c r="E12886" s="2" t="str">
        <f>"9781953035370"</f>
        <v>9781953035370</v>
      </c>
      <c r="F12886" s="2" t="str">
        <f>"9781953035387"</f>
        <v>9781953035387</v>
      </c>
    </row>
    <row r="12887" spans="1:6" s="3" customFormat="1" ht="29.1" customHeight="1" x14ac:dyDescent="0.25">
      <c r="A12887" s="2" t="s">
        <v>25849</v>
      </c>
      <c r="B12887" s="2" t="s">
        <v>25851</v>
      </c>
      <c r="C12887" s="2" t="s">
        <v>18325</v>
      </c>
      <c r="D12887" s="2" t="s">
        <v>25850</v>
      </c>
      <c r="E12887" s="2" t="str">
        <f>"9781953035202"</f>
        <v>9781953035202</v>
      </c>
      <c r="F12887" s="2" t="str">
        <f>"9781953035219"</f>
        <v>9781953035219</v>
      </c>
    </row>
    <row r="12888" spans="1:6" s="3" customFormat="1" ht="29.1" customHeight="1" x14ac:dyDescent="0.25">
      <c r="A12888" s="2" t="s">
        <v>25852</v>
      </c>
      <c r="B12888" s="2" t="s">
        <v>25853</v>
      </c>
      <c r="C12888" s="2" t="s">
        <v>18325</v>
      </c>
      <c r="D12888" s="2" t="s">
        <v>1262</v>
      </c>
      <c r="E12888" s="2" t="str">
        <f>"9781953035479"</f>
        <v>9781953035479</v>
      </c>
      <c r="F12888" s="2" t="str">
        <f>"9781953035486"</f>
        <v>9781953035486</v>
      </c>
    </row>
    <row r="12889" spans="1:6" s="3" customFormat="1" ht="29.1" customHeight="1" x14ac:dyDescent="0.25">
      <c r="A12889" s="2" t="s">
        <v>25854</v>
      </c>
      <c r="B12889" s="2" t="s">
        <v>25855</v>
      </c>
      <c r="C12889" s="2" t="s">
        <v>18325</v>
      </c>
      <c r="D12889" s="2" t="s">
        <v>6744</v>
      </c>
      <c r="E12889" s="2" t="str">
        <f>"9781947447141"</f>
        <v>9781947447141</v>
      </c>
      <c r="F12889" s="2" t="str">
        <f>"9781947447158"</f>
        <v>9781947447158</v>
      </c>
    </row>
    <row r="12890" spans="1:6" s="3" customFormat="1" ht="29.1" customHeight="1" x14ac:dyDescent="0.25">
      <c r="A12890" s="2" t="s">
        <v>25856</v>
      </c>
      <c r="B12890" s="2" t="s">
        <v>25857</v>
      </c>
      <c r="C12890" s="2" t="s">
        <v>18325</v>
      </c>
      <c r="D12890" s="2" t="s">
        <v>712</v>
      </c>
      <c r="E12890" s="2" t="str">
        <f>"9781950192434"</f>
        <v>9781950192434</v>
      </c>
      <c r="F12890" s="2" t="str">
        <f>"9781950192441"</f>
        <v>9781950192441</v>
      </c>
    </row>
    <row r="12891" spans="1:6" s="3" customFormat="1" ht="29.1" customHeight="1" x14ac:dyDescent="0.25">
      <c r="A12891" s="2" t="s">
        <v>25858</v>
      </c>
      <c r="B12891" s="2" t="s">
        <v>25859</v>
      </c>
      <c r="C12891" s="2" t="s">
        <v>18325</v>
      </c>
      <c r="D12891" s="2" t="s">
        <v>6339</v>
      </c>
      <c r="E12891" s="2" t="str">
        <f>"9781950192779"</f>
        <v>9781950192779</v>
      </c>
      <c r="F12891" s="2" t="str">
        <f>"9781950192786"</f>
        <v>9781950192786</v>
      </c>
    </row>
    <row r="12892" spans="1:6" s="3" customFormat="1" ht="29.1" customHeight="1" x14ac:dyDescent="0.25">
      <c r="A12892" s="2" t="s">
        <v>25860</v>
      </c>
      <c r="B12892" s="2" t="s">
        <v>25861</v>
      </c>
      <c r="C12892" s="2" t="s">
        <v>18325</v>
      </c>
      <c r="D12892" s="2" t="s">
        <v>4582</v>
      </c>
      <c r="E12892" s="2" t="str">
        <f>"9781950192793"</f>
        <v>9781950192793</v>
      </c>
      <c r="F12892" s="2" t="str">
        <f>"9781950192809"</f>
        <v>9781950192809</v>
      </c>
    </row>
    <row r="12893" spans="1:6" s="3" customFormat="1" ht="29.1" customHeight="1" x14ac:dyDescent="0.25">
      <c r="A12893" s="2" t="s">
        <v>25862</v>
      </c>
      <c r="B12893" s="2" t="s">
        <v>25863</v>
      </c>
      <c r="C12893" s="2" t="s">
        <v>18325</v>
      </c>
      <c r="D12893" s="2" t="s">
        <v>215</v>
      </c>
      <c r="E12893" s="2" t="str">
        <f>"9781947447240"</f>
        <v>9781947447240</v>
      </c>
      <c r="F12893" s="2" t="str">
        <f>"9781947447257"</f>
        <v>9781947447257</v>
      </c>
    </row>
    <row r="12894" spans="1:6" s="3" customFormat="1" ht="29.1" customHeight="1" x14ac:dyDescent="0.25">
      <c r="A12894" s="2" t="s">
        <v>25864</v>
      </c>
      <c r="B12894" s="2" t="s">
        <v>25865</v>
      </c>
      <c r="C12894" s="2" t="s">
        <v>18325</v>
      </c>
      <c r="D12894" s="2" t="s">
        <v>1082</v>
      </c>
      <c r="E12894" s="2" t="str">
        <f>"9781953035820"</f>
        <v>9781953035820</v>
      </c>
      <c r="F12894" s="2" t="str">
        <f>"9781953035837"</f>
        <v>9781953035837</v>
      </c>
    </row>
    <row r="12895" spans="1:6" s="3" customFormat="1" ht="29.1" customHeight="1" x14ac:dyDescent="0.25">
      <c r="A12895" s="2" t="s">
        <v>25866</v>
      </c>
      <c r="B12895" s="2" t="s">
        <v>25867</v>
      </c>
      <c r="C12895" s="2" t="s">
        <v>18325</v>
      </c>
      <c r="D12895" s="2" t="s">
        <v>6141</v>
      </c>
      <c r="E12895" s="2" t="str">
        <f>"9781685711085"</f>
        <v>9781685711085</v>
      </c>
      <c r="F12895" s="2" t="str">
        <f>"9781685711092"</f>
        <v>9781685711092</v>
      </c>
    </row>
    <row r="12896" spans="1:6" s="3" customFormat="1" ht="29.1" customHeight="1" x14ac:dyDescent="0.25">
      <c r="A12896" s="2" t="s">
        <v>25868</v>
      </c>
      <c r="B12896" s="2" t="s">
        <v>25869</v>
      </c>
      <c r="C12896" s="2" t="s">
        <v>18325</v>
      </c>
      <c r="D12896" s="2" t="s">
        <v>1999</v>
      </c>
      <c r="E12896" s="2" t="str">
        <f>"9781950192632"</f>
        <v>9781950192632</v>
      </c>
      <c r="F12896" s="2" t="str">
        <f>"9781950192649"</f>
        <v>9781950192649</v>
      </c>
    </row>
    <row r="12897" spans="1:6" s="3" customFormat="1" ht="29.1" customHeight="1" x14ac:dyDescent="0.25">
      <c r="A12897" s="2" t="s">
        <v>25870</v>
      </c>
      <c r="B12897" s="2" t="s">
        <v>10568</v>
      </c>
      <c r="C12897" s="2" t="s">
        <v>18325</v>
      </c>
      <c r="D12897" s="2" t="s">
        <v>25871</v>
      </c>
      <c r="E12897" s="2"/>
      <c r="F12897" s="2" t="str">
        <f>"9780615744797"</f>
        <v>9780615744797</v>
      </c>
    </row>
    <row r="12898" spans="1:6" s="3" customFormat="1" ht="29.1" customHeight="1" x14ac:dyDescent="0.25">
      <c r="A12898" s="2" t="s">
        <v>25872</v>
      </c>
      <c r="B12898" s="2" t="s">
        <v>25873</v>
      </c>
      <c r="C12898" s="2" t="s">
        <v>18325</v>
      </c>
      <c r="D12898" s="2" t="s">
        <v>6542</v>
      </c>
      <c r="E12898" s="2" t="str">
        <f>"9781947447042"</f>
        <v>9781947447042</v>
      </c>
      <c r="F12898" s="2" t="str">
        <f>"9781947447059"</f>
        <v>9781947447059</v>
      </c>
    </row>
    <row r="12899" spans="1:6" s="3" customFormat="1" ht="29.1" customHeight="1" x14ac:dyDescent="0.25">
      <c r="A12899" s="2" t="s">
        <v>25874</v>
      </c>
      <c r="B12899" s="2" t="s">
        <v>25875</v>
      </c>
      <c r="C12899" s="2" t="s">
        <v>18325</v>
      </c>
      <c r="D12899" s="2" t="s">
        <v>4868</v>
      </c>
      <c r="E12899" s="2" t="str">
        <f>"9781953035226"</f>
        <v>9781953035226</v>
      </c>
      <c r="F12899" s="2" t="str">
        <f>"9781953035233"</f>
        <v>9781953035233</v>
      </c>
    </row>
    <row r="12900" spans="1:6" s="3" customFormat="1" ht="29.1" customHeight="1" x14ac:dyDescent="0.25">
      <c r="A12900" s="2" t="s">
        <v>25876</v>
      </c>
      <c r="B12900" s="2" t="s">
        <v>25877</v>
      </c>
      <c r="C12900" s="2" t="s">
        <v>18325</v>
      </c>
      <c r="D12900" s="2" t="s">
        <v>6744</v>
      </c>
      <c r="E12900" s="2"/>
      <c r="F12900" s="2" t="str">
        <f>"9780692496916"</f>
        <v>9780692496916</v>
      </c>
    </row>
    <row r="12901" spans="1:6" s="3" customFormat="1" ht="29.1" customHeight="1" x14ac:dyDescent="0.25">
      <c r="A12901" s="2" t="s">
        <v>25878</v>
      </c>
      <c r="B12901" s="2" t="s">
        <v>25879</v>
      </c>
      <c r="C12901" s="2" t="s">
        <v>18325</v>
      </c>
      <c r="D12901" s="2" t="s">
        <v>324</v>
      </c>
      <c r="E12901" s="2" t="str">
        <f>"9781950192038"</f>
        <v>9781950192038</v>
      </c>
      <c r="F12901" s="2" t="str">
        <f>"9781950192045"</f>
        <v>9781950192045</v>
      </c>
    </row>
    <row r="12902" spans="1:6" s="3" customFormat="1" ht="29.1" customHeight="1" x14ac:dyDescent="0.25">
      <c r="A12902" s="2" t="s">
        <v>25880</v>
      </c>
      <c r="B12902" s="2" t="s">
        <v>25881</v>
      </c>
      <c r="C12902" s="2" t="s">
        <v>18325</v>
      </c>
      <c r="D12902" s="2" t="s">
        <v>1752</v>
      </c>
      <c r="E12902" s="2" t="str">
        <f>"9781950192052"</f>
        <v>9781950192052</v>
      </c>
      <c r="F12902" s="2" t="str">
        <f>"9781950192069"</f>
        <v>9781950192069</v>
      </c>
    </row>
    <row r="12903" spans="1:6" s="3" customFormat="1" ht="29.1" customHeight="1" x14ac:dyDescent="0.25">
      <c r="A12903" s="2" t="s">
        <v>25882</v>
      </c>
      <c r="B12903" s="2" t="s">
        <v>25883</v>
      </c>
      <c r="C12903" s="2" t="s">
        <v>18325</v>
      </c>
      <c r="D12903" s="2" t="s">
        <v>2002</v>
      </c>
      <c r="E12903" s="2" t="str">
        <f>"9780615840550"</f>
        <v>9780615840550</v>
      </c>
      <c r="F12903" s="2"/>
    </row>
    <row r="12904" spans="1:6" s="3" customFormat="1" ht="29.1" customHeight="1" x14ac:dyDescent="0.25">
      <c r="A12904" s="2" t="s">
        <v>25884</v>
      </c>
      <c r="B12904" s="2" t="s">
        <v>25885</v>
      </c>
      <c r="C12904" s="2" t="s">
        <v>18325</v>
      </c>
      <c r="D12904" s="2" t="s">
        <v>9420</v>
      </c>
      <c r="E12904" s="2"/>
      <c r="F12904" s="2" t="str">
        <f>"9780692523551"</f>
        <v>9780692523551</v>
      </c>
    </row>
    <row r="12905" spans="1:6" s="3" customFormat="1" ht="29.1" customHeight="1" x14ac:dyDescent="0.25">
      <c r="A12905" s="2" t="s">
        <v>25886</v>
      </c>
      <c r="B12905" s="2" t="s">
        <v>25887</v>
      </c>
      <c r="C12905" s="2" t="s">
        <v>18325</v>
      </c>
      <c r="D12905" s="2" t="s">
        <v>2781</v>
      </c>
      <c r="E12905" s="2" t="str">
        <f>"9781950192113"</f>
        <v>9781950192113</v>
      </c>
      <c r="F12905" s="2" t="str">
        <f>"9781950192120"</f>
        <v>9781950192120</v>
      </c>
    </row>
    <row r="12906" spans="1:6" s="3" customFormat="1" ht="29.1" customHeight="1" x14ac:dyDescent="0.25">
      <c r="A12906" s="2" t="s">
        <v>25888</v>
      </c>
      <c r="B12906" s="2" t="s">
        <v>25889</v>
      </c>
      <c r="C12906" s="2" t="s">
        <v>18325</v>
      </c>
      <c r="D12906" s="2" t="s">
        <v>4657</v>
      </c>
      <c r="E12906" s="2" t="str">
        <f>"9781950192335"</f>
        <v>9781950192335</v>
      </c>
      <c r="F12906" s="2" t="str">
        <f>"9781950192342"</f>
        <v>9781950192342</v>
      </c>
    </row>
    <row r="12907" spans="1:6" s="3" customFormat="1" ht="29.1" customHeight="1" x14ac:dyDescent="0.25">
      <c r="A12907" s="2" t="s">
        <v>25890</v>
      </c>
      <c r="B12907" s="2" t="s">
        <v>10568</v>
      </c>
      <c r="C12907" s="2" t="s">
        <v>18325</v>
      </c>
      <c r="D12907" s="2" t="s">
        <v>33</v>
      </c>
      <c r="E12907" s="2" t="str">
        <f>"9781950192298"</f>
        <v>9781950192298</v>
      </c>
      <c r="F12907" s="2" t="str">
        <f>"9781950192304"</f>
        <v>9781950192304</v>
      </c>
    </row>
    <row r="12908" spans="1:6" s="3" customFormat="1" ht="29.1" customHeight="1" x14ac:dyDescent="0.25">
      <c r="A12908" s="2" t="s">
        <v>25891</v>
      </c>
      <c r="B12908" s="2" t="s">
        <v>25892</v>
      </c>
      <c r="C12908" s="2" t="s">
        <v>18325</v>
      </c>
      <c r="D12908" s="2" t="s">
        <v>17875</v>
      </c>
      <c r="E12908" s="2" t="str">
        <f>"9781950192250"</f>
        <v>9781950192250</v>
      </c>
      <c r="F12908" s="2" t="str">
        <f>"9781950192267"</f>
        <v>9781950192267</v>
      </c>
    </row>
    <row r="12909" spans="1:6" s="3" customFormat="1" ht="29.1" customHeight="1" x14ac:dyDescent="0.25">
      <c r="A12909" s="2" t="s">
        <v>25893</v>
      </c>
      <c r="B12909" s="2" t="s">
        <v>25894</v>
      </c>
      <c r="C12909" s="2" t="s">
        <v>18325</v>
      </c>
      <c r="D12909" s="2" t="s">
        <v>3166</v>
      </c>
      <c r="E12909" s="2" t="str">
        <f>"9781950192731"</f>
        <v>9781950192731</v>
      </c>
      <c r="F12909" s="2" t="str">
        <f>"9781950192748"</f>
        <v>9781950192748</v>
      </c>
    </row>
    <row r="12910" spans="1:6" s="3" customFormat="1" ht="29.1" customHeight="1" x14ac:dyDescent="0.25">
      <c r="A12910" s="2" t="s">
        <v>25895</v>
      </c>
      <c r="B12910" s="2" t="s">
        <v>25896</v>
      </c>
      <c r="C12910" s="2" t="s">
        <v>18325</v>
      </c>
      <c r="D12910" s="2" t="s">
        <v>1001</v>
      </c>
      <c r="E12910" s="2" t="str">
        <f>"9781947447325"</f>
        <v>9781947447325</v>
      </c>
      <c r="F12910" s="2" t="str">
        <f>"9781947447332"</f>
        <v>9781947447332</v>
      </c>
    </row>
    <row r="12911" spans="1:6" s="3" customFormat="1" ht="29.1" customHeight="1" x14ac:dyDescent="0.25">
      <c r="A12911" s="2" t="s">
        <v>25897</v>
      </c>
      <c r="B12911" s="2" t="s">
        <v>25898</v>
      </c>
      <c r="C12911" s="2" t="s">
        <v>18325</v>
      </c>
      <c r="D12911" s="2" t="s">
        <v>33</v>
      </c>
      <c r="E12911" s="2" t="str">
        <f>"9781950192212"</f>
        <v>9781950192212</v>
      </c>
      <c r="F12911" s="2" t="str">
        <f>"9781950192229"</f>
        <v>9781950192229</v>
      </c>
    </row>
    <row r="12912" spans="1:6" s="3" customFormat="1" ht="29.1" customHeight="1" x14ac:dyDescent="0.25">
      <c r="A12912" s="2" t="s">
        <v>25899</v>
      </c>
      <c r="B12912" s="2" t="s">
        <v>25900</v>
      </c>
      <c r="C12912" s="2" t="s">
        <v>18325</v>
      </c>
      <c r="D12912" s="2" t="s">
        <v>8388</v>
      </c>
      <c r="E12912" s="2" t="str">
        <f>"9781950192458"</f>
        <v>9781950192458</v>
      </c>
      <c r="F12912" s="2" t="str">
        <f>"9781950192465"</f>
        <v>9781950192465</v>
      </c>
    </row>
    <row r="12913" spans="1:6" s="3" customFormat="1" ht="29.1" customHeight="1" x14ac:dyDescent="0.25">
      <c r="A12913" s="2" t="s">
        <v>25901</v>
      </c>
      <c r="B12913" s="2" t="s">
        <v>25902</v>
      </c>
      <c r="C12913" s="2" t="s">
        <v>18325</v>
      </c>
      <c r="D12913" s="2" t="s">
        <v>11241</v>
      </c>
      <c r="E12913" s="2" t="str">
        <f>"9781953035035"</f>
        <v>9781953035035</v>
      </c>
      <c r="F12913" s="2" t="str">
        <f>"9781953035042"</f>
        <v>9781953035042</v>
      </c>
    </row>
    <row r="12914" spans="1:6" s="3" customFormat="1" ht="29.1" customHeight="1" x14ac:dyDescent="0.25">
      <c r="A12914" s="2" t="s">
        <v>25903</v>
      </c>
      <c r="B12914" s="2" t="s">
        <v>25904</v>
      </c>
      <c r="C12914" s="2" t="s">
        <v>18325</v>
      </c>
      <c r="D12914" s="2" t="s">
        <v>15</v>
      </c>
      <c r="E12914" s="2" t="str">
        <f>"9781947447127"</f>
        <v>9781947447127</v>
      </c>
      <c r="F12914" s="2" t="str">
        <f>"9781947447134"</f>
        <v>9781947447134</v>
      </c>
    </row>
    <row r="12915" spans="1:6" s="3" customFormat="1" ht="29.1" customHeight="1" x14ac:dyDescent="0.25">
      <c r="A12915" s="2" t="s">
        <v>25905</v>
      </c>
      <c r="B12915" s="2" t="s">
        <v>25906</v>
      </c>
      <c r="C12915" s="2" t="s">
        <v>18325</v>
      </c>
      <c r="D12915" s="2" t="s">
        <v>5969</v>
      </c>
      <c r="E12915" s="2" t="str">
        <f>"9781953035141"</f>
        <v>9781953035141</v>
      </c>
      <c r="F12915" s="2" t="str">
        <f>"9781953035158"</f>
        <v>9781953035158</v>
      </c>
    </row>
    <row r="12916" spans="1:6" s="3" customFormat="1" ht="29.1" customHeight="1" x14ac:dyDescent="0.25">
      <c r="A12916" s="2" t="s">
        <v>25907</v>
      </c>
      <c r="B12916" s="2" t="s">
        <v>25908</v>
      </c>
      <c r="C12916" s="2" t="s">
        <v>18325</v>
      </c>
      <c r="D12916" s="2" t="s">
        <v>960</v>
      </c>
      <c r="E12916" s="2" t="str">
        <f>"9781950192175"</f>
        <v>9781950192175</v>
      </c>
      <c r="F12916" s="2" t="str">
        <f>"9781950192182"</f>
        <v>9781950192182</v>
      </c>
    </row>
    <row r="12917" spans="1:6" s="3" customFormat="1" ht="29.1" customHeight="1" x14ac:dyDescent="0.25">
      <c r="A12917" s="2" t="s">
        <v>25909</v>
      </c>
      <c r="B12917" s="2" t="s">
        <v>25911</v>
      </c>
      <c r="C12917" s="2" t="s">
        <v>18325</v>
      </c>
      <c r="D12917" s="2" t="s">
        <v>25910</v>
      </c>
      <c r="E12917" s="2" t="str">
        <f>"9781953035417"</f>
        <v>9781953035417</v>
      </c>
      <c r="F12917" s="2" t="str">
        <f>"9781953035424"</f>
        <v>9781953035424</v>
      </c>
    </row>
    <row r="12918" spans="1:6" s="3" customFormat="1" ht="29.1" customHeight="1" x14ac:dyDescent="0.25">
      <c r="A12918" s="2" t="s">
        <v>25912</v>
      </c>
      <c r="B12918" s="2" t="s">
        <v>25914</v>
      </c>
      <c r="C12918" s="2" t="s">
        <v>18325</v>
      </c>
      <c r="D12918" s="2" t="s">
        <v>25913</v>
      </c>
      <c r="E12918" s="2" t="str">
        <f>"9781953035660"</f>
        <v>9781953035660</v>
      </c>
      <c r="F12918" s="2" t="str">
        <f>"9781953035677"</f>
        <v>9781953035677</v>
      </c>
    </row>
    <row r="12919" spans="1:6" s="3" customFormat="1" ht="29.1" customHeight="1" x14ac:dyDescent="0.25">
      <c r="A12919" s="2" t="s">
        <v>25915</v>
      </c>
      <c r="B12919" s="2" t="s">
        <v>25916</v>
      </c>
      <c r="C12919" s="2" t="s">
        <v>18325</v>
      </c>
      <c r="D12919" s="2" t="s">
        <v>2016</v>
      </c>
      <c r="E12919" s="2" t="str">
        <f>"9781953035004"</f>
        <v>9781953035004</v>
      </c>
      <c r="F12919" s="2" t="str">
        <f>"9781953035011"</f>
        <v>9781953035011</v>
      </c>
    </row>
    <row r="12920" spans="1:6" s="3" customFormat="1" ht="29.1" customHeight="1" x14ac:dyDescent="0.25">
      <c r="A12920" s="2" t="s">
        <v>25917</v>
      </c>
      <c r="B12920" s="2" t="s">
        <v>25918</v>
      </c>
      <c r="C12920" s="2" t="s">
        <v>18325</v>
      </c>
      <c r="D12920" s="2" t="s">
        <v>490</v>
      </c>
      <c r="E12920" s="2" t="str">
        <f>"9781947447349"</f>
        <v>9781947447349</v>
      </c>
      <c r="F12920" s="2" t="str">
        <f>"9781947447356"</f>
        <v>9781947447356</v>
      </c>
    </row>
    <row r="12921" spans="1:6" s="3" customFormat="1" ht="29.1" customHeight="1" x14ac:dyDescent="0.25">
      <c r="A12921" s="2" t="s">
        <v>25919</v>
      </c>
      <c r="B12921" s="2" t="s">
        <v>25920</v>
      </c>
      <c r="C12921" s="2" t="s">
        <v>18325</v>
      </c>
      <c r="D12921" s="2" t="s">
        <v>1944</v>
      </c>
      <c r="E12921" s="2" t="str">
        <f>"9781947447066"</f>
        <v>9781947447066</v>
      </c>
      <c r="F12921" s="2" t="str">
        <f>"9781947447073"</f>
        <v>9781947447073</v>
      </c>
    </row>
    <row r="12922" spans="1:6" s="3" customFormat="1" ht="29.1" customHeight="1" x14ac:dyDescent="0.25">
      <c r="A12922" s="2" t="s">
        <v>25921</v>
      </c>
      <c r="B12922" s="2" t="s">
        <v>25922</v>
      </c>
      <c r="C12922" s="2" t="s">
        <v>18325</v>
      </c>
      <c r="D12922" s="2" t="s">
        <v>5983</v>
      </c>
      <c r="E12922" s="2"/>
      <c r="F12922" s="2" t="str">
        <f>"9780615612034"</f>
        <v>9780615612034</v>
      </c>
    </row>
    <row r="12923" spans="1:6" s="3" customFormat="1" ht="29.1" customHeight="1" x14ac:dyDescent="0.25">
      <c r="A12923" s="2" t="s">
        <v>25923</v>
      </c>
      <c r="B12923" s="2" t="s">
        <v>25925</v>
      </c>
      <c r="C12923" s="2" t="s">
        <v>18325</v>
      </c>
      <c r="D12923" s="2" t="s">
        <v>25924</v>
      </c>
      <c r="E12923" s="2" t="str">
        <f>"9781953035745"</f>
        <v>9781953035745</v>
      </c>
      <c r="F12923" s="2" t="str">
        <f>"9781953035752"</f>
        <v>9781953035752</v>
      </c>
    </row>
    <row r="12924" spans="1:6" s="3" customFormat="1" ht="29.1" customHeight="1" x14ac:dyDescent="0.25">
      <c r="A12924" s="2" t="s">
        <v>25926</v>
      </c>
      <c r="B12924" s="2" t="s">
        <v>25927</v>
      </c>
      <c r="C12924" s="2" t="s">
        <v>18325</v>
      </c>
      <c r="D12924" s="2" t="s">
        <v>405</v>
      </c>
      <c r="E12924" s="2" t="str">
        <f>"9781950192830"</f>
        <v>9781950192830</v>
      </c>
      <c r="F12924" s="2" t="str">
        <f>"9781950192847"</f>
        <v>9781950192847</v>
      </c>
    </row>
    <row r="12925" spans="1:6" s="3" customFormat="1" ht="29.1" customHeight="1" x14ac:dyDescent="0.25">
      <c r="A12925" s="2" t="s">
        <v>25928</v>
      </c>
      <c r="B12925" s="2" t="s">
        <v>25929</v>
      </c>
      <c r="C12925" s="2" t="s">
        <v>18325</v>
      </c>
      <c r="D12925" s="2" t="s">
        <v>11897</v>
      </c>
      <c r="E12925" s="2" t="str">
        <f>"9781950192533"</f>
        <v>9781950192533</v>
      </c>
      <c r="F12925" s="2" t="str">
        <f>"9781950192540"</f>
        <v>9781950192540</v>
      </c>
    </row>
    <row r="12926" spans="1:6" s="3" customFormat="1" ht="29.1" customHeight="1" x14ac:dyDescent="0.25">
      <c r="A12926" s="2" t="s">
        <v>25930</v>
      </c>
      <c r="B12926" s="2" t="s">
        <v>25931</v>
      </c>
      <c r="C12926" s="2" t="s">
        <v>18325</v>
      </c>
      <c r="D12926" s="2" t="s">
        <v>3166</v>
      </c>
      <c r="E12926" s="2" t="str">
        <f>"9781950192311"</f>
        <v>9781950192311</v>
      </c>
      <c r="F12926" s="2" t="str">
        <f>"9781950192328"</f>
        <v>9781950192328</v>
      </c>
    </row>
    <row r="12927" spans="1:6" s="3" customFormat="1" ht="29.1" customHeight="1" x14ac:dyDescent="0.25">
      <c r="A12927" s="2" t="s">
        <v>25932</v>
      </c>
      <c r="B12927" s="2" t="s">
        <v>25934</v>
      </c>
      <c r="C12927" s="2" t="s">
        <v>18325</v>
      </c>
      <c r="D12927" s="2" t="s">
        <v>25933</v>
      </c>
      <c r="E12927" s="2" t="str">
        <f>"9781950192359"</f>
        <v>9781950192359</v>
      </c>
      <c r="F12927" s="2" t="str">
        <f>"9781950192366"</f>
        <v>9781950192366</v>
      </c>
    </row>
    <row r="12928" spans="1:6" s="3" customFormat="1" ht="29.1" customHeight="1" x14ac:dyDescent="0.25">
      <c r="A12928" s="2" t="s">
        <v>25935</v>
      </c>
      <c r="B12928" s="2" t="s">
        <v>25937</v>
      </c>
      <c r="C12928" s="2" t="s">
        <v>18325</v>
      </c>
      <c r="D12928" s="2" t="s">
        <v>25936</v>
      </c>
      <c r="E12928" s="2" t="str">
        <f>"9781953035646"</f>
        <v>9781953035646</v>
      </c>
      <c r="F12928" s="2" t="str">
        <f>"9781953035653"</f>
        <v>9781953035653</v>
      </c>
    </row>
    <row r="12929" spans="1:6" s="3" customFormat="1" ht="29.1" customHeight="1" x14ac:dyDescent="0.25">
      <c r="A12929" s="2" t="s">
        <v>25938</v>
      </c>
      <c r="B12929" s="2" t="s">
        <v>25939</v>
      </c>
      <c r="C12929" s="2" t="s">
        <v>18325</v>
      </c>
      <c r="D12929" s="2" t="s">
        <v>1001</v>
      </c>
      <c r="E12929" s="2" t="str">
        <f>"9781950192519"</f>
        <v>9781950192519</v>
      </c>
      <c r="F12929" s="2" t="str">
        <f>"9781950192526"</f>
        <v>9781950192526</v>
      </c>
    </row>
    <row r="12930" spans="1:6" s="3" customFormat="1" ht="29.1" customHeight="1" x14ac:dyDescent="0.25">
      <c r="A12930" s="2" t="s">
        <v>25940</v>
      </c>
      <c r="B12930" s="2" t="s">
        <v>25941</v>
      </c>
      <c r="C12930" s="2" t="s">
        <v>18325</v>
      </c>
      <c r="D12930" s="2" t="s">
        <v>5568</v>
      </c>
      <c r="E12930" s="2" t="str">
        <f>"9781953035806"</f>
        <v>9781953035806</v>
      </c>
      <c r="F12930" s="2" t="str">
        <f>"9781953035813"</f>
        <v>9781953035813</v>
      </c>
    </row>
    <row r="12931" spans="1:6" s="3" customFormat="1" ht="29.1" customHeight="1" x14ac:dyDescent="0.25">
      <c r="A12931" s="2" t="s">
        <v>25942</v>
      </c>
      <c r="B12931" s="2" t="s">
        <v>25943</v>
      </c>
      <c r="C12931" s="2" t="s">
        <v>18325</v>
      </c>
      <c r="D12931" s="2" t="s">
        <v>107</v>
      </c>
      <c r="E12931" s="2" t="str">
        <f>"9781950192755"</f>
        <v>9781950192755</v>
      </c>
      <c r="F12931" s="2" t="str">
        <f>"9781950192762"</f>
        <v>9781950192762</v>
      </c>
    </row>
    <row r="12932" spans="1:6" s="3" customFormat="1" ht="29.1" customHeight="1" x14ac:dyDescent="0.25">
      <c r="A12932" s="2" t="s">
        <v>25944</v>
      </c>
      <c r="B12932" s="2" t="s">
        <v>25945</v>
      </c>
      <c r="C12932" s="2" t="s">
        <v>18325</v>
      </c>
      <c r="D12932" s="2" t="s">
        <v>5588</v>
      </c>
      <c r="E12932" s="2" t="str">
        <f>"9781947447714"</f>
        <v>9781947447714</v>
      </c>
      <c r="F12932" s="2" t="str">
        <f>"9781947447721"</f>
        <v>9781947447721</v>
      </c>
    </row>
    <row r="12933" spans="1:6" s="3" customFormat="1" ht="29.1" customHeight="1" x14ac:dyDescent="0.25">
      <c r="A12933" s="2" t="s">
        <v>25946</v>
      </c>
      <c r="B12933" s="2" t="s">
        <v>25947</v>
      </c>
      <c r="C12933" s="2" t="s">
        <v>18325</v>
      </c>
      <c r="D12933" s="2" t="s">
        <v>522</v>
      </c>
      <c r="E12933" s="2" t="str">
        <f>"9781953035103"</f>
        <v>9781953035103</v>
      </c>
      <c r="F12933" s="2" t="str">
        <f>"9781953035110"</f>
        <v>9781953035110</v>
      </c>
    </row>
    <row r="12934" spans="1:6" s="3" customFormat="1" ht="29.1" customHeight="1" x14ac:dyDescent="0.25">
      <c r="A12934" s="2" t="s">
        <v>25948</v>
      </c>
      <c r="B12934" s="2" t="s">
        <v>25949</v>
      </c>
      <c r="C12934" s="2" t="s">
        <v>18325</v>
      </c>
      <c r="D12934" s="2" t="s">
        <v>3839</v>
      </c>
      <c r="E12934" s="2" t="str">
        <f>"9781953035288"</f>
        <v>9781953035288</v>
      </c>
      <c r="F12934" s="2" t="str">
        <f>"9781953035295"</f>
        <v>9781953035295</v>
      </c>
    </row>
    <row r="12935" spans="1:6" s="3" customFormat="1" ht="29.1" customHeight="1" x14ac:dyDescent="0.25">
      <c r="A12935" s="2" t="s">
        <v>25950</v>
      </c>
      <c r="B12935" s="2" t="s">
        <v>25949</v>
      </c>
      <c r="C12935" s="2" t="s">
        <v>18325</v>
      </c>
      <c r="D12935" s="2" t="s">
        <v>3839</v>
      </c>
      <c r="E12935" s="2" t="str">
        <f>"9781953035189"</f>
        <v>9781953035189</v>
      </c>
      <c r="F12935" s="2" t="str">
        <f>"9781953035196"</f>
        <v>9781953035196</v>
      </c>
    </row>
    <row r="12936" spans="1:6" s="3" customFormat="1" ht="29.1" customHeight="1" x14ac:dyDescent="0.25">
      <c r="A12936" s="2" t="s">
        <v>25951</v>
      </c>
      <c r="B12936" s="2" t="s">
        <v>25949</v>
      </c>
      <c r="C12936" s="2" t="s">
        <v>18325</v>
      </c>
      <c r="D12936" s="2" t="s">
        <v>3839</v>
      </c>
      <c r="E12936" s="2" t="str">
        <f>"9781950192922"</f>
        <v>9781950192922</v>
      </c>
      <c r="F12936" s="2" t="str">
        <f>"9781950192939"</f>
        <v>9781950192939</v>
      </c>
    </row>
    <row r="12937" spans="1:6" s="3" customFormat="1" ht="29.1" customHeight="1" x14ac:dyDescent="0.25">
      <c r="A12937" s="2" t="s">
        <v>25952</v>
      </c>
      <c r="B12937" s="2" t="s">
        <v>25954</v>
      </c>
      <c r="C12937" s="2" t="s">
        <v>18325</v>
      </c>
      <c r="D12937" s="2" t="s">
        <v>25953</v>
      </c>
      <c r="E12937" s="2" t="str">
        <f>"9781947447103"</f>
        <v>9781947447103</v>
      </c>
      <c r="F12937" s="2" t="str">
        <f>"9781947447110"</f>
        <v>9781947447110</v>
      </c>
    </row>
    <row r="12938" spans="1:6" s="3" customFormat="1" ht="29.1" customHeight="1" x14ac:dyDescent="0.25">
      <c r="A12938" s="2" t="s">
        <v>25955</v>
      </c>
      <c r="B12938" s="2" t="s">
        <v>25956</v>
      </c>
      <c r="C12938" s="2" t="s">
        <v>18325</v>
      </c>
      <c r="D12938" s="2" t="s">
        <v>405</v>
      </c>
      <c r="E12938" s="2" t="str">
        <f>"9781953035493"</f>
        <v>9781953035493</v>
      </c>
      <c r="F12938" s="2" t="str">
        <f>"9781953035509"</f>
        <v>9781953035509</v>
      </c>
    </row>
    <row r="12939" spans="1:6" s="3" customFormat="1" ht="29.1" customHeight="1" x14ac:dyDescent="0.25">
      <c r="A12939" s="2" t="s">
        <v>25957</v>
      </c>
      <c r="B12939" s="2" t="s">
        <v>25958</v>
      </c>
      <c r="C12939" s="2" t="s">
        <v>18325</v>
      </c>
      <c r="D12939" s="2" t="s">
        <v>324</v>
      </c>
      <c r="E12939" s="2"/>
      <c r="F12939" s="2" t="str">
        <f>"9780988234048"</f>
        <v>9780988234048</v>
      </c>
    </row>
    <row r="12940" spans="1:6" s="3" customFormat="1" ht="29.1" customHeight="1" x14ac:dyDescent="0.25">
      <c r="A12940" s="2" t="s">
        <v>25959</v>
      </c>
      <c r="B12940" s="2" t="s">
        <v>25960</v>
      </c>
      <c r="C12940" s="2" t="s">
        <v>18325</v>
      </c>
      <c r="D12940" s="2" t="s">
        <v>17552</v>
      </c>
      <c r="E12940" s="2" t="str">
        <f>"9781950192014"</f>
        <v>9781950192014</v>
      </c>
      <c r="F12940" s="2" t="str">
        <f>"9781950192021"</f>
        <v>9781950192021</v>
      </c>
    </row>
    <row r="12941" spans="1:6" s="3" customFormat="1" ht="29.1" customHeight="1" x14ac:dyDescent="0.25">
      <c r="A12941" s="2" t="s">
        <v>25961</v>
      </c>
      <c r="B12941" s="2" t="s">
        <v>25963</v>
      </c>
      <c r="C12941" s="2" t="s">
        <v>18325</v>
      </c>
      <c r="D12941" s="2" t="s">
        <v>25962</v>
      </c>
      <c r="E12941" s="2" t="str">
        <f>"9781953035165"</f>
        <v>9781953035165</v>
      </c>
      <c r="F12941" s="2" t="str">
        <f>"9781953035172"</f>
        <v>9781953035172</v>
      </c>
    </row>
    <row r="12942" spans="1:6" s="3" customFormat="1" ht="29.1" customHeight="1" x14ac:dyDescent="0.25">
      <c r="A12942" s="2" t="s">
        <v>25964</v>
      </c>
      <c r="B12942" s="2" t="s">
        <v>25965</v>
      </c>
      <c r="C12942" s="2" t="s">
        <v>18325</v>
      </c>
      <c r="D12942" s="2" t="s">
        <v>459</v>
      </c>
      <c r="E12942" s="2" t="str">
        <f>"9781953035394"</f>
        <v>9781953035394</v>
      </c>
      <c r="F12942" s="2" t="str">
        <f>"9781953035400"</f>
        <v>9781953035400</v>
      </c>
    </row>
    <row r="12943" spans="1:6" s="3" customFormat="1" ht="29.1" customHeight="1" x14ac:dyDescent="0.25">
      <c r="A12943" s="2" t="s">
        <v>25966</v>
      </c>
      <c r="B12943" s="2" t="s">
        <v>25967</v>
      </c>
      <c r="C12943" s="2" t="s">
        <v>18325</v>
      </c>
      <c r="D12943" s="2" t="s">
        <v>2016</v>
      </c>
      <c r="E12943" s="2" t="str">
        <f>"9781950192656"</f>
        <v>9781950192656</v>
      </c>
      <c r="F12943" s="2" t="str">
        <f>"9781950192663"</f>
        <v>9781950192663</v>
      </c>
    </row>
    <row r="12944" spans="1:6" s="3" customFormat="1" ht="29.1" customHeight="1" x14ac:dyDescent="0.25">
      <c r="A12944" s="2" t="s">
        <v>25968</v>
      </c>
      <c r="B12944" s="2" t="s">
        <v>25969</v>
      </c>
      <c r="C12944" s="2" t="s">
        <v>18325</v>
      </c>
      <c r="D12944" s="2" t="s">
        <v>3149</v>
      </c>
      <c r="E12944" s="2" t="str">
        <f>"9781953035592"</f>
        <v>9781953035592</v>
      </c>
      <c r="F12944" s="2" t="str">
        <f>"9781953035448"</f>
        <v>9781953035448</v>
      </c>
    </row>
    <row r="12945" spans="1:6" s="3" customFormat="1" ht="29.1" customHeight="1" x14ac:dyDescent="0.25">
      <c r="A12945" s="2" t="s">
        <v>25970</v>
      </c>
      <c r="B12945" s="2" t="s">
        <v>25972</v>
      </c>
      <c r="C12945" s="2" t="s">
        <v>18325</v>
      </c>
      <c r="D12945" s="2" t="s">
        <v>25971</v>
      </c>
      <c r="E12945" s="2" t="str">
        <f>"9781953035769"</f>
        <v>9781953035769</v>
      </c>
      <c r="F12945" s="2" t="str">
        <f>"9781953035776"</f>
        <v>9781953035776</v>
      </c>
    </row>
    <row r="12946" spans="1:6" s="3" customFormat="1" ht="29.1" customHeight="1" x14ac:dyDescent="0.25">
      <c r="A12946" s="2" t="s">
        <v>25973</v>
      </c>
      <c r="B12946" s="2" t="s">
        <v>11326</v>
      </c>
      <c r="C12946" s="2" t="s">
        <v>18325</v>
      </c>
      <c r="D12946" s="2" t="s">
        <v>1198</v>
      </c>
      <c r="E12946" s="2" t="str">
        <f>"9781953035622"</f>
        <v>9781953035622</v>
      </c>
      <c r="F12946" s="2" t="str">
        <f>"9781953035639"</f>
        <v>9781953035639</v>
      </c>
    </row>
    <row r="12947" spans="1:6" s="3" customFormat="1" ht="29.1" customHeight="1" x14ac:dyDescent="0.25">
      <c r="A12947" s="2" t="s">
        <v>25974</v>
      </c>
      <c r="B12947" s="2" t="s">
        <v>25975</v>
      </c>
      <c r="C12947" s="2" t="s">
        <v>18325</v>
      </c>
      <c r="D12947" s="2" t="s">
        <v>11440</v>
      </c>
      <c r="E12947" s="2" t="str">
        <f>"9781947447080"</f>
        <v>9781947447080</v>
      </c>
      <c r="F12947" s="2" t="str">
        <f>"9781947447097"</f>
        <v>9781947447097</v>
      </c>
    </row>
    <row r="12948" spans="1:6" s="3" customFormat="1" ht="29.1" customHeight="1" x14ac:dyDescent="0.25">
      <c r="A12948" s="2" t="s">
        <v>25976</v>
      </c>
      <c r="B12948" s="2" t="s">
        <v>25977</v>
      </c>
      <c r="C12948" s="2" t="s">
        <v>18325</v>
      </c>
      <c r="D12948" s="2" t="s">
        <v>3166</v>
      </c>
      <c r="E12948" s="2"/>
      <c r="F12948" s="2" t="str">
        <f>"9780692204412"</f>
        <v>9780692204412</v>
      </c>
    </row>
    <row r="12949" spans="1:6" s="3" customFormat="1" ht="29.1" customHeight="1" x14ac:dyDescent="0.25">
      <c r="A12949" s="2" t="s">
        <v>25978</v>
      </c>
      <c r="B12949" s="2" t="s">
        <v>25954</v>
      </c>
      <c r="C12949" s="2" t="s">
        <v>18325</v>
      </c>
      <c r="D12949" s="2" t="s">
        <v>25953</v>
      </c>
      <c r="E12949" s="2" t="str">
        <f>"9781953035721"</f>
        <v>9781953035721</v>
      </c>
      <c r="F12949" s="2" t="str">
        <f>"9781953035738"</f>
        <v>9781953035738</v>
      </c>
    </row>
    <row r="12950" spans="1:6" s="3" customFormat="1" ht="29.1" customHeight="1" x14ac:dyDescent="0.25">
      <c r="A12950" s="2" t="s">
        <v>25979</v>
      </c>
      <c r="B12950" s="2" t="s">
        <v>25980</v>
      </c>
      <c r="C12950" s="2" t="s">
        <v>18325</v>
      </c>
      <c r="D12950" s="2" t="s">
        <v>4582</v>
      </c>
      <c r="E12950" s="2" t="str">
        <f>"9781950192670"</f>
        <v>9781950192670</v>
      </c>
      <c r="F12950" s="2" t="str">
        <f>"9781950192687"</f>
        <v>9781950192687</v>
      </c>
    </row>
    <row r="12951" spans="1:6" s="3" customFormat="1" ht="29.1" customHeight="1" x14ac:dyDescent="0.25">
      <c r="A12951" s="2" t="s">
        <v>25981</v>
      </c>
      <c r="B12951" s="2" t="s">
        <v>25982</v>
      </c>
      <c r="C12951" s="2" t="s">
        <v>18325</v>
      </c>
      <c r="D12951" s="2" t="s">
        <v>6829</v>
      </c>
      <c r="E12951" s="2" t="str">
        <f>"9781950192618"</f>
        <v>9781950192618</v>
      </c>
      <c r="F12951" s="2" t="str">
        <f>"9781950192625"</f>
        <v>9781950192625</v>
      </c>
    </row>
    <row r="12952" spans="1:6" s="3" customFormat="1" ht="29.1" customHeight="1" x14ac:dyDescent="0.25">
      <c r="A12952" s="2" t="s">
        <v>25983</v>
      </c>
      <c r="B12952" s="2" t="s">
        <v>25984</v>
      </c>
      <c r="C12952" s="2" t="s">
        <v>18325</v>
      </c>
      <c r="D12952" s="2" t="s">
        <v>5888</v>
      </c>
      <c r="E12952" s="2" t="str">
        <f>"9781950192236"</f>
        <v>9781950192236</v>
      </c>
      <c r="F12952" s="2" t="str">
        <f>"9781950192243"</f>
        <v>9781950192243</v>
      </c>
    </row>
    <row r="12953" spans="1:6" s="3" customFormat="1" ht="29.1" customHeight="1" x14ac:dyDescent="0.25">
      <c r="A12953" s="2" t="s">
        <v>25985</v>
      </c>
      <c r="B12953" s="2" t="s">
        <v>25986</v>
      </c>
      <c r="C12953" s="2" t="s">
        <v>18325</v>
      </c>
      <c r="D12953" s="2" t="s">
        <v>818</v>
      </c>
      <c r="E12953" s="2" t="str">
        <f>"9781950192557"</f>
        <v>9781950192557</v>
      </c>
      <c r="F12953" s="2" t="str">
        <f>"9781950192564"</f>
        <v>9781950192564</v>
      </c>
    </row>
    <row r="12954" spans="1:6" s="3" customFormat="1" ht="29.1" customHeight="1" x14ac:dyDescent="0.25">
      <c r="A12954" s="2" t="s">
        <v>25987</v>
      </c>
      <c r="B12954" s="2" t="s">
        <v>25989</v>
      </c>
      <c r="C12954" s="2" t="s">
        <v>18325</v>
      </c>
      <c r="D12954" s="2" t="s">
        <v>25988</v>
      </c>
      <c r="E12954" s="2" t="str">
        <f>"9781685710484"</f>
        <v>9781685710484</v>
      </c>
      <c r="F12954" s="2" t="str">
        <f>"9781685710491"</f>
        <v>9781685710491</v>
      </c>
    </row>
    <row r="12955" spans="1:6" s="3" customFormat="1" ht="29.1" customHeight="1" x14ac:dyDescent="0.25">
      <c r="A12955" s="2" t="s">
        <v>25990</v>
      </c>
      <c r="B12955" s="2" t="s">
        <v>25991</v>
      </c>
      <c r="C12955" s="2" t="s">
        <v>18325</v>
      </c>
      <c r="D12955" s="2" t="s">
        <v>5588</v>
      </c>
      <c r="E12955" s="2" t="str">
        <f>"9781953035301"</f>
        <v>9781953035301</v>
      </c>
      <c r="F12955" s="2" t="str">
        <f>"9781953035318"</f>
        <v>9781953035318</v>
      </c>
    </row>
    <row r="12956" spans="1:6" s="3" customFormat="1" ht="29.1" customHeight="1" x14ac:dyDescent="0.25">
      <c r="A12956" s="2" t="s">
        <v>25992</v>
      </c>
      <c r="B12956" s="2" t="s">
        <v>25993</v>
      </c>
      <c r="C12956" s="2" t="s">
        <v>18325</v>
      </c>
      <c r="D12956" s="2" t="s">
        <v>13497</v>
      </c>
      <c r="E12956" s="2" t="str">
        <f>"9781950192946"</f>
        <v>9781950192946</v>
      </c>
      <c r="F12956" s="2" t="str">
        <f>"9781950192953"</f>
        <v>9781950192953</v>
      </c>
    </row>
    <row r="12957" spans="1:6" s="3" customFormat="1" ht="29.1" customHeight="1" x14ac:dyDescent="0.25">
      <c r="A12957" s="2" t="s">
        <v>25994</v>
      </c>
      <c r="B12957" s="2" t="s">
        <v>25996</v>
      </c>
      <c r="C12957" s="2" t="s">
        <v>18325</v>
      </c>
      <c r="D12957" s="2" t="s">
        <v>25995</v>
      </c>
      <c r="E12957" s="2" t="str">
        <f>"9780615612652"</f>
        <v>9780615612652</v>
      </c>
      <c r="F12957" s="2"/>
    </row>
    <row r="12958" spans="1:6" s="3" customFormat="1" ht="29.1" customHeight="1" x14ac:dyDescent="0.25">
      <c r="A12958" s="2" t="s">
        <v>25997</v>
      </c>
      <c r="B12958" s="2" t="s">
        <v>25998</v>
      </c>
      <c r="C12958" s="2" t="s">
        <v>18325</v>
      </c>
      <c r="D12958" s="2" t="s">
        <v>4657</v>
      </c>
      <c r="E12958" s="2" t="str">
        <f>"9781947447301"</f>
        <v>9781947447301</v>
      </c>
      <c r="F12958" s="2" t="str">
        <f>"9781947447318"</f>
        <v>9781947447318</v>
      </c>
    </row>
    <row r="12959" spans="1:6" s="3" customFormat="1" ht="29.1" customHeight="1" x14ac:dyDescent="0.25">
      <c r="A12959" s="2" t="s">
        <v>25999</v>
      </c>
      <c r="B12959" s="2" t="s">
        <v>26001</v>
      </c>
      <c r="C12959" s="2" t="s">
        <v>18325</v>
      </c>
      <c r="D12959" s="2" t="s">
        <v>26000</v>
      </c>
      <c r="E12959" s="2" t="str">
        <f>"9781950192151"</f>
        <v>9781950192151</v>
      </c>
      <c r="F12959" s="2" t="str">
        <f>"9781950192168"</f>
        <v>9781950192168</v>
      </c>
    </row>
    <row r="12960" spans="1:6" s="3" customFormat="1" ht="29.1" customHeight="1" x14ac:dyDescent="0.25">
      <c r="A12960" s="2" t="s">
        <v>26002</v>
      </c>
      <c r="B12960" s="2" t="s">
        <v>26003</v>
      </c>
      <c r="C12960" s="2" t="s">
        <v>18325</v>
      </c>
      <c r="D12960" s="2" t="s">
        <v>3468</v>
      </c>
      <c r="E12960" s="2" t="str">
        <f>"9781950192908"</f>
        <v>9781950192908</v>
      </c>
      <c r="F12960" s="2" t="str">
        <f>"9781950192915"</f>
        <v>9781950192915</v>
      </c>
    </row>
    <row r="12961" spans="1:6" s="3" customFormat="1" ht="29.1" customHeight="1" x14ac:dyDescent="0.25">
      <c r="A12961" s="2" t="s">
        <v>26004</v>
      </c>
      <c r="B12961" s="2" t="s">
        <v>26005</v>
      </c>
      <c r="C12961" s="2" t="s">
        <v>18325</v>
      </c>
      <c r="D12961" s="2" t="s">
        <v>7132</v>
      </c>
      <c r="E12961" s="2" t="str">
        <f>"9781950192397"</f>
        <v>9781950192397</v>
      </c>
      <c r="F12961" s="2" t="str">
        <f>"9781950192403"</f>
        <v>9781950192403</v>
      </c>
    </row>
    <row r="12962" spans="1:6" s="3" customFormat="1" ht="29.1" customHeight="1" x14ac:dyDescent="0.25">
      <c r="A12962" s="2" t="s">
        <v>26006</v>
      </c>
      <c r="B12962" s="2" t="s">
        <v>26007</v>
      </c>
      <c r="C12962" s="2" t="s">
        <v>18325</v>
      </c>
      <c r="D12962" s="2" t="s">
        <v>3993</v>
      </c>
      <c r="E12962" s="2" t="str">
        <f>"9781953035530"</f>
        <v>9781953035530</v>
      </c>
      <c r="F12962" s="2" t="str">
        <f>"9781953035547"</f>
        <v>9781953035547</v>
      </c>
    </row>
    <row r="12963" spans="1:6" s="3" customFormat="1" ht="29.1" customHeight="1" x14ac:dyDescent="0.25">
      <c r="A12963" s="2" t="s">
        <v>26008</v>
      </c>
      <c r="B12963" s="2" t="s">
        <v>25809</v>
      </c>
      <c r="C12963" s="2" t="s">
        <v>18325</v>
      </c>
      <c r="D12963" s="2" t="s">
        <v>4582</v>
      </c>
      <c r="E12963" s="2" t="str">
        <f>"9781950192595"</f>
        <v>9781950192595</v>
      </c>
      <c r="F12963" s="2" t="str">
        <f>"9781950192601"</f>
        <v>9781950192601</v>
      </c>
    </row>
    <row r="12964" spans="1:6" s="3" customFormat="1" ht="29.1" customHeight="1" x14ac:dyDescent="0.25">
      <c r="A12964" s="2" t="s">
        <v>26009</v>
      </c>
      <c r="B12964" s="2" t="s">
        <v>26010</v>
      </c>
      <c r="C12964" s="2" t="s">
        <v>18325</v>
      </c>
      <c r="D12964" s="2" t="s">
        <v>284</v>
      </c>
      <c r="E12964" s="2" t="str">
        <f>"9781953035578"</f>
        <v>9781953035578</v>
      </c>
      <c r="F12964" s="2" t="str">
        <f>"9781953035585"</f>
        <v>9781953035585</v>
      </c>
    </row>
    <row r="12965" spans="1:6" s="3" customFormat="1" ht="29.1" customHeight="1" x14ac:dyDescent="0.25">
      <c r="A12965" s="2" t="s">
        <v>26011</v>
      </c>
      <c r="B12965" s="2" t="s">
        <v>26012</v>
      </c>
      <c r="C12965" s="2" t="s">
        <v>18325</v>
      </c>
      <c r="D12965" s="2" t="s">
        <v>4657</v>
      </c>
      <c r="E12965" s="2"/>
      <c r="F12965" s="2" t="str">
        <f>"9780692335543"</f>
        <v>9780692335543</v>
      </c>
    </row>
    <row r="12966" spans="1:6" s="3" customFormat="1" ht="29.1" customHeight="1" x14ac:dyDescent="0.25">
      <c r="A12966" s="2" t="s">
        <v>26013</v>
      </c>
      <c r="B12966" s="2" t="s">
        <v>26014</v>
      </c>
      <c r="C12966" s="2" t="s">
        <v>18325</v>
      </c>
      <c r="D12966" s="2" t="s">
        <v>19183</v>
      </c>
      <c r="E12966" s="2" t="str">
        <f>"9781953035349"</f>
        <v>9781953035349</v>
      </c>
      <c r="F12966" s="2" t="str">
        <f>"9781953035356"</f>
        <v>9781953035356</v>
      </c>
    </row>
    <row r="12967" spans="1:6" s="3" customFormat="1" ht="29.1" customHeight="1" x14ac:dyDescent="0.25">
      <c r="A12967" s="2" t="s">
        <v>26015</v>
      </c>
      <c r="B12967" s="2" t="s">
        <v>11335</v>
      </c>
      <c r="C12967" s="2" t="s">
        <v>18325</v>
      </c>
      <c r="D12967" s="2" t="s">
        <v>5782</v>
      </c>
      <c r="E12967" s="2" t="str">
        <f>"9781953035707"</f>
        <v>9781953035707</v>
      </c>
      <c r="F12967" s="2" t="str">
        <f>"9781953035714"</f>
        <v>9781953035714</v>
      </c>
    </row>
    <row r="12968" spans="1:6" s="3" customFormat="1" ht="29.1" customHeight="1" x14ac:dyDescent="0.25">
      <c r="A12968" s="2" t="s">
        <v>26016</v>
      </c>
      <c r="B12968" s="2" t="s">
        <v>26017</v>
      </c>
      <c r="C12968" s="2" t="s">
        <v>746</v>
      </c>
      <c r="D12968" s="2" t="s">
        <v>755</v>
      </c>
      <c r="E12968" s="2" t="str">
        <f>"9781803273549"</f>
        <v>9781803273549</v>
      </c>
      <c r="F12968" s="2" t="str">
        <f>"9781803273556"</f>
        <v>9781803273556</v>
      </c>
    </row>
    <row r="12969" spans="1:6" s="3" customFormat="1" ht="29.1" customHeight="1" x14ac:dyDescent="0.25">
      <c r="A12969" s="2" t="s">
        <v>26018</v>
      </c>
      <c r="B12969" s="2" t="s">
        <v>26020</v>
      </c>
      <c r="C12969" s="2" t="s">
        <v>15381</v>
      </c>
      <c r="D12969" s="2" t="s">
        <v>26019</v>
      </c>
      <c r="E12969" s="2" t="str">
        <f>"9781469674582"</f>
        <v>9781469674582</v>
      </c>
      <c r="F12969" s="2" t="str">
        <f>"9781469674605"</f>
        <v>9781469674605</v>
      </c>
    </row>
    <row r="12970" spans="1:6" s="3" customFormat="1" ht="29.1" customHeight="1" x14ac:dyDescent="0.25">
      <c r="A12970" s="2" t="s">
        <v>26021</v>
      </c>
      <c r="B12970" s="2" t="s">
        <v>26022</v>
      </c>
      <c r="C12970" s="2" t="s">
        <v>124</v>
      </c>
      <c r="D12970" s="2" t="s">
        <v>694</v>
      </c>
      <c r="E12970" s="2" t="str">
        <f>"9781032412146"</f>
        <v>9781032412146</v>
      </c>
      <c r="F12970" s="2" t="str">
        <f>"9781000999952"</f>
        <v>9781000999952</v>
      </c>
    </row>
    <row r="12971" spans="1:6" s="3" customFormat="1" ht="29.1" customHeight="1" x14ac:dyDescent="0.25">
      <c r="A12971" s="2" t="s">
        <v>26023</v>
      </c>
      <c r="B12971" s="2" t="s">
        <v>26024</v>
      </c>
      <c r="C12971" s="2" t="s">
        <v>124</v>
      </c>
      <c r="D12971" s="2" t="s">
        <v>4238</v>
      </c>
      <c r="E12971" s="2" t="str">
        <f>"9781032571461"</f>
        <v>9781032571461</v>
      </c>
      <c r="F12971" s="2" t="str">
        <f>"9781000985146"</f>
        <v>9781000985146</v>
      </c>
    </row>
    <row r="12972" spans="1:6" s="3" customFormat="1" ht="29.1" customHeight="1" x14ac:dyDescent="0.25">
      <c r="A12972" s="2" t="s">
        <v>26025</v>
      </c>
      <c r="B12972" s="2" t="s">
        <v>26026</v>
      </c>
      <c r="C12972" s="2" t="s">
        <v>8104</v>
      </c>
      <c r="D12972" s="2" t="s">
        <v>636</v>
      </c>
      <c r="E12972" s="2" t="str">
        <f>"9781805392927"</f>
        <v>9781805392927</v>
      </c>
      <c r="F12972" s="2" t="str">
        <f>"9781805392934"</f>
        <v>9781805392934</v>
      </c>
    </row>
    <row r="12973" spans="1:6" s="3" customFormat="1" ht="29.1" customHeight="1" x14ac:dyDescent="0.25">
      <c r="A12973" s="2" t="s">
        <v>26027</v>
      </c>
      <c r="B12973" s="2" t="s">
        <v>26028</v>
      </c>
      <c r="C12973" s="2" t="s">
        <v>124</v>
      </c>
      <c r="D12973" s="2" t="s">
        <v>3345</v>
      </c>
      <c r="E12973" s="2" t="str">
        <f>"9781032452333"</f>
        <v>9781032452333</v>
      </c>
      <c r="F12973" s="2" t="str">
        <f>"9781003376088"</f>
        <v>9781003376088</v>
      </c>
    </row>
    <row r="12974" spans="1:6" s="3" customFormat="1" ht="29.1" customHeight="1" x14ac:dyDescent="0.25">
      <c r="A12974" s="2" t="s">
        <v>26029</v>
      </c>
      <c r="B12974" s="2" t="s">
        <v>26030</v>
      </c>
      <c r="C12974" s="2" t="s">
        <v>124</v>
      </c>
      <c r="D12974" s="2" t="s">
        <v>9</v>
      </c>
      <c r="E12974" s="2" t="str">
        <f>"9781032464046"</f>
        <v>9781032464046</v>
      </c>
      <c r="F12974" s="2" t="str">
        <f>"9781000995435"</f>
        <v>9781000995435</v>
      </c>
    </row>
    <row r="12975" spans="1:6" s="3" customFormat="1" ht="29.1" customHeight="1" x14ac:dyDescent="0.25">
      <c r="A12975" s="2" t="s">
        <v>26031</v>
      </c>
      <c r="B12975" s="2" t="s">
        <v>26032</v>
      </c>
      <c r="C12975" s="2" t="s">
        <v>124</v>
      </c>
      <c r="D12975" s="2" t="s">
        <v>75</v>
      </c>
      <c r="E12975" s="2" t="str">
        <f>"9781032503509"</f>
        <v>9781032503509</v>
      </c>
      <c r="F12975" s="2" t="str">
        <f>"9781000923193"</f>
        <v>9781000923193</v>
      </c>
    </row>
    <row r="12976" spans="1:6" s="3" customFormat="1" ht="29.1" customHeight="1" x14ac:dyDescent="0.25">
      <c r="A12976" s="2" t="s">
        <v>26033</v>
      </c>
      <c r="B12976" s="2" t="s">
        <v>26034</v>
      </c>
      <c r="C12976" s="2" t="s">
        <v>264</v>
      </c>
      <c r="D12976" s="2" t="s">
        <v>1959</v>
      </c>
      <c r="E12976" s="2" t="str">
        <f>"9781032480008"</f>
        <v>9781032480008</v>
      </c>
      <c r="F12976" s="2" t="str">
        <f>"9781003386889"</f>
        <v>9781003386889</v>
      </c>
    </row>
    <row r="12977" spans="1:6" s="3" customFormat="1" ht="29.1" customHeight="1" x14ac:dyDescent="0.25">
      <c r="A12977" s="2" t="s">
        <v>26035</v>
      </c>
      <c r="B12977" s="2" t="s">
        <v>26036</v>
      </c>
      <c r="C12977" s="2" t="s">
        <v>124</v>
      </c>
      <c r="D12977" s="2" t="s">
        <v>3852</v>
      </c>
      <c r="E12977" s="2" t="str">
        <f>"9780367330613"</f>
        <v>9780367330613</v>
      </c>
      <c r="F12977" s="2" t="str">
        <f>"9780429317828"</f>
        <v>9780429317828</v>
      </c>
    </row>
    <row r="12978" spans="1:6" s="3" customFormat="1" ht="29.1" customHeight="1" x14ac:dyDescent="0.25">
      <c r="A12978" s="2" t="s">
        <v>26037</v>
      </c>
      <c r="B12978" s="2" t="s">
        <v>26038</v>
      </c>
      <c r="C12978" s="2" t="s">
        <v>149</v>
      </c>
      <c r="D12978" s="2" t="s">
        <v>1109</v>
      </c>
      <c r="E12978" s="2"/>
      <c r="F12978" s="2" t="str">
        <f>"9781805110088"</f>
        <v>9781805110088</v>
      </c>
    </row>
    <row r="12979" spans="1:6" s="3" customFormat="1" ht="29.1" customHeight="1" x14ac:dyDescent="0.25">
      <c r="A12979" s="2" t="s">
        <v>26039</v>
      </c>
      <c r="B12979" s="2" t="s">
        <v>26040</v>
      </c>
      <c r="C12979" s="2" t="s">
        <v>149</v>
      </c>
      <c r="D12979" s="2" t="s">
        <v>459</v>
      </c>
      <c r="E12979" s="2"/>
      <c r="F12979" s="2" t="str">
        <f>"9781805111108"</f>
        <v>9781805111108</v>
      </c>
    </row>
    <row r="12980" spans="1:6" s="3" customFormat="1" ht="29.1" customHeight="1" x14ac:dyDescent="0.25">
      <c r="A12980" s="2" t="s">
        <v>26041</v>
      </c>
      <c r="B12980" s="2" t="s">
        <v>26042</v>
      </c>
      <c r="C12980" s="2" t="s">
        <v>149</v>
      </c>
      <c r="D12980" s="2" t="s">
        <v>689</v>
      </c>
      <c r="E12980" s="2"/>
      <c r="F12980" s="2" t="str">
        <f>"9781805110576"</f>
        <v>9781805110576</v>
      </c>
    </row>
    <row r="12981" spans="1:6" s="3" customFormat="1" ht="29.1" customHeight="1" x14ac:dyDescent="0.25">
      <c r="A12981" s="2" t="s">
        <v>26043</v>
      </c>
      <c r="B12981" s="2" t="s">
        <v>26045</v>
      </c>
      <c r="C12981" s="2" t="s">
        <v>149</v>
      </c>
      <c r="D12981" s="2" t="s">
        <v>26044</v>
      </c>
      <c r="E12981" s="2"/>
      <c r="F12981" s="2" t="str">
        <f>"9781805110415"</f>
        <v>9781805110415</v>
      </c>
    </row>
    <row r="12982" spans="1:6" s="3" customFormat="1" ht="29.1" customHeight="1" x14ac:dyDescent="0.25">
      <c r="A12982" s="2" t="s">
        <v>26046</v>
      </c>
      <c r="B12982" s="2" t="s">
        <v>13916</v>
      </c>
      <c r="C12982" s="2" t="s">
        <v>556</v>
      </c>
      <c r="D12982" s="2" t="s">
        <v>490</v>
      </c>
      <c r="E12982" s="2" t="str">
        <f>"9783837662962"</f>
        <v>9783837662962</v>
      </c>
      <c r="F12982" s="2" t="str">
        <f>"9783839462966"</f>
        <v>9783839462966</v>
      </c>
    </row>
    <row r="12983" spans="1:6" s="3" customFormat="1" ht="29.1" customHeight="1" x14ac:dyDescent="0.25">
      <c r="A12983" s="2" t="s">
        <v>26047</v>
      </c>
      <c r="B12983" s="2" t="s">
        <v>26048</v>
      </c>
      <c r="C12983" s="2" t="s">
        <v>556</v>
      </c>
      <c r="D12983" s="2" t="s">
        <v>639</v>
      </c>
      <c r="E12983" s="2" t="str">
        <f>"9783837670530"</f>
        <v>9783837670530</v>
      </c>
      <c r="F12983" s="2" t="str">
        <f>"9783732870530"</f>
        <v>9783732870530</v>
      </c>
    </row>
    <row r="12984" spans="1:6" s="3" customFormat="1" ht="29.1" customHeight="1" x14ac:dyDescent="0.25">
      <c r="A12984" s="2" t="s">
        <v>26049</v>
      </c>
      <c r="B12984" s="2" t="s">
        <v>26050</v>
      </c>
      <c r="C12984" s="2" t="s">
        <v>556</v>
      </c>
      <c r="D12984" s="2" t="s">
        <v>259</v>
      </c>
      <c r="E12984" s="2" t="str">
        <f>"9783837669664"</f>
        <v>9783837669664</v>
      </c>
      <c r="F12984" s="2" t="str">
        <f>"9783732869664"</f>
        <v>9783732869664</v>
      </c>
    </row>
    <row r="12985" spans="1:6" s="3" customFormat="1" ht="29.1" customHeight="1" x14ac:dyDescent="0.25">
      <c r="A12985" s="2" t="s">
        <v>26051</v>
      </c>
      <c r="B12985" s="2" t="s">
        <v>26052</v>
      </c>
      <c r="C12985" s="2" t="s">
        <v>556</v>
      </c>
      <c r="D12985" s="2" t="s">
        <v>501</v>
      </c>
      <c r="E12985" s="2" t="str">
        <f>"9783837669602"</f>
        <v>9783837669602</v>
      </c>
      <c r="F12985" s="2" t="str">
        <f>"9783839469606"</f>
        <v>9783839469606</v>
      </c>
    </row>
    <row r="12986" spans="1:6" s="3" customFormat="1" ht="29.1" customHeight="1" x14ac:dyDescent="0.25">
      <c r="A12986" s="2" t="s">
        <v>26053</v>
      </c>
      <c r="B12986" s="2" t="s">
        <v>26055</v>
      </c>
      <c r="C12986" s="2" t="s">
        <v>556</v>
      </c>
      <c r="D12986" s="2" t="s">
        <v>26054</v>
      </c>
      <c r="E12986" s="2" t="str">
        <f>"9783837668988"</f>
        <v>9783837668988</v>
      </c>
      <c r="F12986" s="2" t="str">
        <f>"9783839468982"</f>
        <v>9783839468982</v>
      </c>
    </row>
    <row r="12987" spans="1:6" s="3" customFormat="1" ht="29.1" customHeight="1" x14ac:dyDescent="0.25">
      <c r="A12987" s="2" t="s">
        <v>26056</v>
      </c>
      <c r="B12987" s="2" t="s">
        <v>26057</v>
      </c>
      <c r="C12987" s="2" t="s">
        <v>556</v>
      </c>
      <c r="D12987" s="2" t="s">
        <v>636</v>
      </c>
      <c r="E12987" s="2" t="str">
        <f>"9783837668919"</f>
        <v>9783837668919</v>
      </c>
      <c r="F12987" s="2" t="str">
        <f>"9783839468913"</f>
        <v>9783839468913</v>
      </c>
    </row>
    <row r="12988" spans="1:6" s="3" customFormat="1" ht="29.1" customHeight="1" x14ac:dyDescent="0.25">
      <c r="A12988" s="2" t="s">
        <v>26058</v>
      </c>
      <c r="B12988" s="2" t="s">
        <v>26059</v>
      </c>
      <c r="C12988" s="2" t="s">
        <v>556</v>
      </c>
      <c r="D12988" s="2" t="s">
        <v>5794</v>
      </c>
      <c r="E12988" s="2" t="str">
        <f>"9783837668759"</f>
        <v>9783837668759</v>
      </c>
      <c r="F12988" s="2" t="str">
        <f>"9783839468753"</f>
        <v>9783839468753</v>
      </c>
    </row>
    <row r="12989" spans="1:6" s="3" customFormat="1" ht="29.1" customHeight="1" x14ac:dyDescent="0.25">
      <c r="A12989" s="2" t="s">
        <v>26060</v>
      </c>
      <c r="B12989" s="2" t="s">
        <v>26061</v>
      </c>
      <c r="C12989" s="2" t="s">
        <v>556</v>
      </c>
      <c r="D12989" s="2" t="s">
        <v>647</v>
      </c>
      <c r="E12989" s="2" t="str">
        <f>"9783837668483"</f>
        <v>9783837668483</v>
      </c>
      <c r="F12989" s="2" t="str">
        <f>"9783839468487"</f>
        <v>9783839468487</v>
      </c>
    </row>
    <row r="12990" spans="1:6" s="3" customFormat="1" ht="29.1" customHeight="1" x14ac:dyDescent="0.25">
      <c r="A12990" s="2" t="s">
        <v>26062</v>
      </c>
      <c r="B12990" s="2" t="s">
        <v>26063</v>
      </c>
      <c r="C12990" s="2" t="s">
        <v>556</v>
      </c>
      <c r="D12990" s="2" t="s">
        <v>9163</v>
      </c>
      <c r="E12990" s="2" t="str">
        <f>"9783837668292"</f>
        <v>9783837668292</v>
      </c>
      <c r="F12990" s="2" t="str">
        <f>"9783839468296"</f>
        <v>9783839468296</v>
      </c>
    </row>
    <row r="12991" spans="1:6" s="3" customFormat="1" ht="29.1" customHeight="1" x14ac:dyDescent="0.25">
      <c r="A12991" s="2" t="s">
        <v>26064</v>
      </c>
      <c r="B12991" s="2" t="s">
        <v>26065</v>
      </c>
      <c r="C12991" s="2" t="s">
        <v>556</v>
      </c>
      <c r="D12991" s="2" t="s">
        <v>1411</v>
      </c>
      <c r="E12991" s="2" t="str">
        <f>"9783837668032"</f>
        <v>9783837668032</v>
      </c>
      <c r="F12991" s="2" t="str">
        <f>"9783732868032"</f>
        <v>9783732868032</v>
      </c>
    </row>
    <row r="12992" spans="1:6" s="3" customFormat="1" ht="29.1" customHeight="1" x14ac:dyDescent="0.25">
      <c r="A12992" s="2" t="s">
        <v>26066</v>
      </c>
      <c r="B12992" s="2" t="s">
        <v>26067</v>
      </c>
      <c r="C12992" s="2" t="s">
        <v>556</v>
      </c>
      <c r="D12992" s="2" t="s">
        <v>636</v>
      </c>
      <c r="E12992" s="2" t="str">
        <f>"9783837667967"</f>
        <v>9783837667967</v>
      </c>
      <c r="F12992" s="2" t="str">
        <f>"9783839467961"</f>
        <v>9783839467961</v>
      </c>
    </row>
    <row r="12993" spans="1:6" s="3" customFormat="1" ht="29.1" customHeight="1" x14ac:dyDescent="0.25">
      <c r="A12993" s="2" t="s">
        <v>26068</v>
      </c>
      <c r="B12993" s="2" t="s">
        <v>26069</v>
      </c>
      <c r="C12993" s="2" t="s">
        <v>556</v>
      </c>
      <c r="D12993" s="2" t="s">
        <v>202</v>
      </c>
      <c r="E12993" s="2" t="str">
        <f>"9783837667950"</f>
        <v>9783837667950</v>
      </c>
      <c r="F12993" s="2" t="str">
        <f>"9783839467954"</f>
        <v>9783839467954</v>
      </c>
    </row>
    <row r="12994" spans="1:6" s="3" customFormat="1" ht="29.1" customHeight="1" x14ac:dyDescent="0.25">
      <c r="A12994" s="2" t="s">
        <v>26070</v>
      </c>
      <c r="B12994" s="2" t="s">
        <v>26071</v>
      </c>
      <c r="C12994" s="2" t="s">
        <v>556</v>
      </c>
      <c r="D12994" s="2" t="s">
        <v>4133</v>
      </c>
      <c r="E12994" s="2" t="str">
        <f>"9783837667868"</f>
        <v>9783837667868</v>
      </c>
      <c r="F12994" s="2" t="str">
        <f>"9783732867868"</f>
        <v>9783732867868</v>
      </c>
    </row>
    <row r="12995" spans="1:6" s="3" customFormat="1" ht="29.1" customHeight="1" x14ac:dyDescent="0.25">
      <c r="A12995" s="2" t="s">
        <v>26072</v>
      </c>
      <c r="B12995" s="2" t="s">
        <v>26073</v>
      </c>
      <c r="C12995" s="2" t="s">
        <v>556</v>
      </c>
      <c r="D12995" s="2" t="s">
        <v>183</v>
      </c>
      <c r="E12995" s="2" t="str">
        <f>"9783837667769"</f>
        <v>9783837667769</v>
      </c>
      <c r="F12995" s="2" t="str">
        <f>"9783839467763"</f>
        <v>9783839467763</v>
      </c>
    </row>
    <row r="12996" spans="1:6" s="3" customFormat="1" ht="29.1" customHeight="1" x14ac:dyDescent="0.25">
      <c r="A12996" s="2" t="s">
        <v>26074</v>
      </c>
      <c r="B12996" s="2" t="s">
        <v>26075</v>
      </c>
      <c r="C12996" s="2" t="s">
        <v>556</v>
      </c>
      <c r="D12996" s="2" t="s">
        <v>1437</v>
      </c>
      <c r="E12996" s="2" t="str">
        <f>"9783837667738"</f>
        <v>9783837667738</v>
      </c>
      <c r="F12996" s="2" t="str">
        <f>"9783732867738"</f>
        <v>9783732867738</v>
      </c>
    </row>
    <row r="12997" spans="1:6" s="3" customFormat="1" ht="29.1" customHeight="1" x14ac:dyDescent="0.25">
      <c r="A12997" s="2" t="s">
        <v>26076</v>
      </c>
      <c r="B12997" s="2" t="s">
        <v>26077</v>
      </c>
      <c r="C12997" s="2" t="s">
        <v>556</v>
      </c>
      <c r="D12997" s="2" t="s">
        <v>1127</v>
      </c>
      <c r="E12997" s="2" t="str">
        <f>"9783837667462"</f>
        <v>9783837667462</v>
      </c>
      <c r="F12997" s="2" t="str">
        <f>"9783839467466"</f>
        <v>9783839467466</v>
      </c>
    </row>
    <row r="12998" spans="1:6" s="3" customFormat="1" ht="29.1" customHeight="1" x14ac:dyDescent="0.25">
      <c r="A12998" s="2" t="s">
        <v>26078</v>
      </c>
      <c r="B12998" s="2" t="s">
        <v>26079</v>
      </c>
      <c r="C12998" s="2" t="s">
        <v>556</v>
      </c>
      <c r="D12998" s="2" t="s">
        <v>12298</v>
      </c>
      <c r="E12998" s="2" t="str">
        <f>"9783837666854"</f>
        <v>9783837666854</v>
      </c>
      <c r="F12998" s="2" t="str">
        <f>"9783839466858"</f>
        <v>9783839466858</v>
      </c>
    </row>
    <row r="12999" spans="1:6" s="3" customFormat="1" ht="29.1" customHeight="1" x14ac:dyDescent="0.25">
      <c r="A12999" s="2" t="s">
        <v>26080</v>
      </c>
      <c r="B12999" s="2" t="s">
        <v>26081</v>
      </c>
      <c r="C12999" s="2" t="s">
        <v>556</v>
      </c>
      <c r="D12999" s="2" t="s">
        <v>78</v>
      </c>
      <c r="E12999" s="2" t="str">
        <f>"9783837666205"</f>
        <v>9783837666205</v>
      </c>
      <c r="F12999" s="2" t="str">
        <f>"9783732866205"</f>
        <v>9783732866205</v>
      </c>
    </row>
    <row r="13000" spans="1:6" s="3" customFormat="1" ht="29.1" customHeight="1" x14ac:dyDescent="0.25">
      <c r="A13000" s="2" t="s">
        <v>26082</v>
      </c>
      <c r="B13000" s="2" t="s">
        <v>26083</v>
      </c>
      <c r="C13000" s="2" t="s">
        <v>556</v>
      </c>
      <c r="D13000" s="2" t="s">
        <v>78</v>
      </c>
      <c r="E13000" s="2" t="str">
        <f>"9783837666137"</f>
        <v>9783837666137</v>
      </c>
      <c r="F13000" s="2" t="str">
        <f>"9783839466131"</f>
        <v>9783839466131</v>
      </c>
    </row>
    <row r="13001" spans="1:6" s="3" customFormat="1" ht="29.1" customHeight="1" x14ac:dyDescent="0.25">
      <c r="A13001" s="2" t="s">
        <v>26084</v>
      </c>
      <c r="B13001" s="2" t="s">
        <v>26085</v>
      </c>
      <c r="C13001" s="2" t="s">
        <v>556</v>
      </c>
      <c r="D13001" s="2" t="s">
        <v>522</v>
      </c>
      <c r="E13001" s="2" t="str">
        <f>"9783837665802"</f>
        <v>9783837665802</v>
      </c>
      <c r="F13001" s="2" t="str">
        <f>"9783839465806"</f>
        <v>9783839465806</v>
      </c>
    </row>
    <row r="13002" spans="1:6" s="3" customFormat="1" ht="29.1" customHeight="1" x14ac:dyDescent="0.25">
      <c r="A13002" s="2" t="s">
        <v>26086</v>
      </c>
      <c r="B13002" s="2" t="s">
        <v>26087</v>
      </c>
      <c r="C13002" s="2" t="s">
        <v>556</v>
      </c>
      <c r="D13002" s="2" t="s">
        <v>1046</v>
      </c>
      <c r="E13002" s="2" t="str">
        <f>"9783837665277"</f>
        <v>9783837665277</v>
      </c>
      <c r="F13002" s="2" t="str">
        <f>"9783839465271"</f>
        <v>9783839465271</v>
      </c>
    </row>
    <row r="13003" spans="1:6" s="3" customFormat="1" ht="29.1" customHeight="1" x14ac:dyDescent="0.25">
      <c r="A13003" s="2" t="s">
        <v>26088</v>
      </c>
      <c r="B13003" s="2" t="s">
        <v>26089</v>
      </c>
      <c r="C13003" s="2" t="s">
        <v>556</v>
      </c>
      <c r="D13003" s="2" t="s">
        <v>501</v>
      </c>
      <c r="E13003" s="2" t="str">
        <f>"9783837664829"</f>
        <v>9783837664829</v>
      </c>
      <c r="F13003" s="2" t="str">
        <f>"9783732864829"</f>
        <v>9783732864829</v>
      </c>
    </row>
    <row r="13004" spans="1:6" s="3" customFormat="1" ht="29.1" customHeight="1" x14ac:dyDescent="0.25">
      <c r="A13004" s="2" t="s">
        <v>26090</v>
      </c>
      <c r="B13004" s="2" t="s">
        <v>26091</v>
      </c>
      <c r="C13004" s="2" t="s">
        <v>556</v>
      </c>
      <c r="D13004" s="2" t="s">
        <v>175</v>
      </c>
      <c r="E13004" s="2" t="str">
        <f>"9783837664393"</f>
        <v>9783837664393</v>
      </c>
      <c r="F13004" s="2" t="str">
        <f>"9783839464397"</f>
        <v>9783839464397</v>
      </c>
    </row>
    <row r="13005" spans="1:6" s="3" customFormat="1" ht="29.1" customHeight="1" x14ac:dyDescent="0.25">
      <c r="A13005" s="2" t="s">
        <v>26092</v>
      </c>
      <c r="B13005" s="2" t="s">
        <v>26093</v>
      </c>
      <c r="C13005" s="2" t="s">
        <v>556</v>
      </c>
      <c r="D13005" s="2" t="s">
        <v>636</v>
      </c>
      <c r="E13005" s="2" t="str">
        <f>"9783837663990"</f>
        <v>9783837663990</v>
      </c>
      <c r="F13005" s="2" t="str">
        <f>"9783839463994"</f>
        <v>9783839463994</v>
      </c>
    </row>
    <row r="13006" spans="1:6" s="3" customFormat="1" ht="29.1" customHeight="1" x14ac:dyDescent="0.25">
      <c r="A13006" s="2" t="s">
        <v>26094</v>
      </c>
      <c r="B13006" s="2" t="s">
        <v>26095</v>
      </c>
      <c r="C13006" s="2" t="s">
        <v>556</v>
      </c>
      <c r="D13006" s="2" t="s">
        <v>1809</v>
      </c>
      <c r="E13006" s="2" t="str">
        <f>"9783837663457"</f>
        <v>9783837663457</v>
      </c>
      <c r="F13006" s="2" t="str">
        <f>"9783839463451"</f>
        <v>9783839463451</v>
      </c>
    </row>
    <row r="13007" spans="1:6" s="3" customFormat="1" ht="29.1" customHeight="1" x14ac:dyDescent="0.25">
      <c r="A13007" s="2" t="s">
        <v>26096</v>
      </c>
      <c r="B13007" s="2" t="s">
        <v>26097</v>
      </c>
      <c r="C13007" s="2" t="s">
        <v>556</v>
      </c>
      <c r="D13007" s="2" t="s">
        <v>1189</v>
      </c>
      <c r="E13007" s="2" t="str">
        <f>"9783837661989"</f>
        <v>9783837661989</v>
      </c>
      <c r="F13007" s="2" t="str">
        <f>"9783839461983"</f>
        <v>9783839461983</v>
      </c>
    </row>
    <row r="13008" spans="1:6" s="3" customFormat="1" ht="29.1" customHeight="1" x14ac:dyDescent="0.25">
      <c r="A13008" s="2" t="s">
        <v>26098</v>
      </c>
      <c r="B13008" s="2" t="s">
        <v>26099</v>
      </c>
      <c r="C13008" s="2" t="s">
        <v>556</v>
      </c>
      <c r="D13008" s="2" t="s">
        <v>1162</v>
      </c>
      <c r="E13008" s="2" t="str">
        <f>"9783837661774"</f>
        <v>9783837661774</v>
      </c>
      <c r="F13008" s="2" t="str">
        <f>"9783839461778"</f>
        <v>9783839461778</v>
      </c>
    </row>
    <row r="13009" spans="1:6" s="3" customFormat="1" ht="29.1" customHeight="1" x14ac:dyDescent="0.25">
      <c r="A13009" s="2" t="s">
        <v>26100</v>
      </c>
      <c r="B13009" s="2" t="s">
        <v>26101</v>
      </c>
      <c r="C13009" s="2" t="s">
        <v>556</v>
      </c>
      <c r="D13009" s="2" t="s">
        <v>1411</v>
      </c>
      <c r="E13009" s="2" t="str">
        <f>"9783837660906"</f>
        <v>9783837660906</v>
      </c>
      <c r="F13009" s="2" t="str">
        <f>"9783839460900"</f>
        <v>9783839460900</v>
      </c>
    </row>
    <row r="13010" spans="1:6" s="3" customFormat="1" ht="29.1" customHeight="1" x14ac:dyDescent="0.25">
      <c r="A13010" s="2" t="s">
        <v>26102</v>
      </c>
      <c r="B13010" s="2" t="s">
        <v>26103</v>
      </c>
      <c r="C13010" s="2" t="s">
        <v>556</v>
      </c>
      <c r="D13010" s="2" t="s">
        <v>408</v>
      </c>
      <c r="E13010" s="2" t="str">
        <f>"9783837657722"</f>
        <v>9783837657722</v>
      </c>
      <c r="F13010" s="2" t="str">
        <f>"9783839457726"</f>
        <v>9783839457726</v>
      </c>
    </row>
    <row r="13011" spans="1:6" s="3" customFormat="1" ht="29.1" customHeight="1" x14ac:dyDescent="0.25">
      <c r="A13011" s="2" t="s">
        <v>26104</v>
      </c>
      <c r="B13011" s="2" t="s">
        <v>26105</v>
      </c>
      <c r="C13011" s="2" t="s">
        <v>62</v>
      </c>
      <c r="D13011" s="2" t="s">
        <v>192</v>
      </c>
      <c r="E13011" s="2" t="str">
        <f>"9783428189205"</f>
        <v>9783428189205</v>
      </c>
      <c r="F13011" s="2" t="str">
        <f>"9783428589203"</f>
        <v>9783428589203</v>
      </c>
    </row>
    <row r="13012" spans="1:6" s="3" customFormat="1" ht="29.1" customHeight="1" x14ac:dyDescent="0.25">
      <c r="A13012" s="2" t="s">
        <v>26106</v>
      </c>
      <c r="B13012" s="2" t="s">
        <v>26107</v>
      </c>
      <c r="C13012" s="2" t="s">
        <v>746</v>
      </c>
      <c r="D13012" s="2" t="s">
        <v>128</v>
      </c>
      <c r="E13012" s="2" t="str">
        <f>"9781803275116"</f>
        <v>9781803275116</v>
      </c>
      <c r="F13012" s="2" t="str">
        <f>"9781803275123"</f>
        <v>9781803275123</v>
      </c>
    </row>
    <row r="13013" spans="1:6" s="3" customFormat="1" ht="29.1" customHeight="1" x14ac:dyDescent="0.25">
      <c r="A13013" s="2" t="s">
        <v>26108</v>
      </c>
      <c r="B13013" s="2" t="s">
        <v>26109</v>
      </c>
      <c r="C13013" s="2" t="s">
        <v>124</v>
      </c>
      <c r="D13013" s="2" t="s">
        <v>490</v>
      </c>
      <c r="E13013" s="2" t="str">
        <f>"9781032585802"</f>
        <v>9781032585802</v>
      </c>
      <c r="F13013" s="2" t="str">
        <f>"9781000993998"</f>
        <v>9781000993998</v>
      </c>
    </row>
    <row r="13014" spans="1:6" s="3" customFormat="1" ht="29.1" customHeight="1" x14ac:dyDescent="0.25">
      <c r="A13014" s="2" t="s">
        <v>26110</v>
      </c>
      <c r="B13014" s="2" t="s">
        <v>26111</v>
      </c>
      <c r="C13014" s="2" t="s">
        <v>124</v>
      </c>
      <c r="D13014" s="2" t="s">
        <v>183</v>
      </c>
      <c r="E13014" s="2" t="str">
        <f>"9781032314358"</f>
        <v>9781032314358</v>
      </c>
      <c r="F13014" s="2" t="str">
        <f>"9781000983852"</f>
        <v>9781000983852</v>
      </c>
    </row>
    <row r="13015" spans="1:6" s="3" customFormat="1" ht="29.1" customHeight="1" x14ac:dyDescent="0.25">
      <c r="A13015" s="2" t="s">
        <v>26112</v>
      </c>
      <c r="B13015" s="2" t="s">
        <v>26113</v>
      </c>
      <c r="C13015" s="2" t="s">
        <v>124</v>
      </c>
      <c r="D13015" s="2" t="s">
        <v>2433</v>
      </c>
      <c r="E13015" s="2" t="str">
        <f>"9781032527864"</f>
        <v>9781032527864</v>
      </c>
      <c r="F13015" s="2" t="str">
        <f>"9781000954999"</f>
        <v>9781000954999</v>
      </c>
    </row>
    <row r="13016" spans="1:6" s="3" customFormat="1" ht="29.1" customHeight="1" x14ac:dyDescent="0.25">
      <c r="A13016" s="2" t="s">
        <v>26114</v>
      </c>
      <c r="B13016" s="2" t="s">
        <v>26115</v>
      </c>
      <c r="C13016" s="2" t="s">
        <v>124</v>
      </c>
      <c r="D13016" s="2" t="s">
        <v>8091</v>
      </c>
      <c r="E13016" s="2" t="str">
        <f>"9781032316093"</f>
        <v>9781032316093</v>
      </c>
      <c r="F13016" s="2" t="str">
        <f>"9781000998092"</f>
        <v>9781000998092</v>
      </c>
    </row>
    <row r="13017" spans="1:6" s="3" customFormat="1" ht="29.1" customHeight="1" x14ac:dyDescent="0.25">
      <c r="A13017" s="2" t="s">
        <v>26116</v>
      </c>
      <c r="B13017" s="2" t="s">
        <v>26117</v>
      </c>
      <c r="C13017" s="2" t="s">
        <v>124</v>
      </c>
      <c r="D13017" s="2" t="s">
        <v>5794</v>
      </c>
      <c r="E13017" s="2" t="str">
        <f>"9781032501116"</f>
        <v>9781032501116</v>
      </c>
      <c r="F13017" s="2" t="str">
        <f>"9781000990713"</f>
        <v>9781000990713</v>
      </c>
    </row>
    <row r="13018" spans="1:6" s="3" customFormat="1" ht="29.1" customHeight="1" x14ac:dyDescent="0.25">
      <c r="A13018" s="2" t="s">
        <v>26118</v>
      </c>
      <c r="B13018" s="2" t="s">
        <v>26119</v>
      </c>
      <c r="C13018" s="2" t="s">
        <v>36</v>
      </c>
      <c r="D13018" s="2" t="s">
        <v>5713</v>
      </c>
      <c r="E13018" s="2" t="str">
        <f>"9781529223958"</f>
        <v>9781529223958</v>
      </c>
      <c r="F13018" s="2" t="str">
        <f>"9781529223972"</f>
        <v>9781529223972</v>
      </c>
    </row>
    <row r="13019" spans="1:6" s="3" customFormat="1" ht="29.1" customHeight="1" x14ac:dyDescent="0.25">
      <c r="A13019" s="2" t="s">
        <v>26120</v>
      </c>
      <c r="B13019" s="2" t="s">
        <v>26121</v>
      </c>
      <c r="C13019" s="2" t="s">
        <v>124</v>
      </c>
      <c r="D13019" s="2" t="s">
        <v>6692</v>
      </c>
      <c r="E13019" s="2" t="str">
        <f>"9781032185248"</f>
        <v>9781032185248</v>
      </c>
      <c r="F13019" s="2" t="str">
        <f>"9781000988970"</f>
        <v>9781000988970</v>
      </c>
    </row>
    <row r="13020" spans="1:6" s="3" customFormat="1" ht="29.1" customHeight="1" x14ac:dyDescent="0.25">
      <c r="A13020" s="2" t="s">
        <v>26122</v>
      </c>
      <c r="B13020" s="2" t="s">
        <v>26123</v>
      </c>
      <c r="C13020" s="2" t="s">
        <v>124</v>
      </c>
      <c r="D13020" s="2" t="s">
        <v>7180</v>
      </c>
      <c r="E13020" s="2" t="str">
        <f>"9781032461816"</f>
        <v>9781032461816</v>
      </c>
      <c r="F13020" s="2" t="str">
        <f>"9781000985030"</f>
        <v>9781000985030</v>
      </c>
    </row>
    <row r="13021" spans="1:6" s="3" customFormat="1" ht="29.1" customHeight="1" x14ac:dyDescent="0.25">
      <c r="A13021" s="2" t="s">
        <v>26124</v>
      </c>
      <c r="B13021" s="2" t="s">
        <v>26125</v>
      </c>
      <c r="C13021" s="2" t="s">
        <v>124</v>
      </c>
      <c r="D13021" s="2" t="s">
        <v>484</v>
      </c>
      <c r="E13021" s="2" t="str">
        <f>"9781032420882"</f>
        <v>9781032420882</v>
      </c>
      <c r="F13021" s="2" t="str">
        <f>"9781000930818"</f>
        <v>9781000930818</v>
      </c>
    </row>
    <row r="13022" spans="1:6" s="3" customFormat="1" ht="29.1" customHeight="1" x14ac:dyDescent="0.25">
      <c r="A13022" s="2" t="s">
        <v>26126</v>
      </c>
      <c r="B13022" s="2" t="s">
        <v>26127</v>
      </c>
      <c r="C13022" s="2" t="s">
        <v>384</v>
      </c>
      <c r="D13022" s="2" t="s">
        <v>490</v>
      </c>
      <c r="E13022" s="2"/>
      <c r="F13022" s="2" t="str">
        <f>"9798987560723"</f>
        <v>9798987560723</v>
      </c>
    </row>
    <row r="13023" spans="1:6" s="3" customFormat="1" ht="29.1" customHeight="1" x14ac:dyDescent="0.25">
      <c r="A13023" s="2" t="s">
        <v>26128</v>
      </c>
      <c r="B13023" s="2" t="s">
        <v>26129</v>
      </c>
      <c r="C13023" s="2" t="s">
        <v>384</v>
      </c>
      <c r="D13023" s="2" t="s">
        <v>313</v>
      </c>
      <c r="E13023" s="2" t="str">
        <f>"9798987560730"</f>
        <v>9798987560730</v>
      </c>
      <c r="F13023" s="2" t="str">
        <f>"9798987560747"</f>
        <v>9798987560747</v>
      </c>
    </row>
    <row r="13024" spans="1:6" s="3" customFormat="1" ht="29.1" customHeight="1" x14ac:dyDescent="0.25">
      <c r="A13024" s="2" t="s">
        <v>26130</v>
      </c>
      <c r="B13024" s="2" t="s">
        <v>753</v>
      </c>
      <c r="C13024" s="2" t="s">
        <v>124</v>
      </c>
      <c r="D13024" s="2" t="s">
        <v>2433</v>
      </c>
      <c r="E13024" s="2" t="str">
        <f>"9781032516462"</f>
        <v>9781032516462</v>
      </c>
      <c r="F13024" s="2" t="str">
        <f>"9781000989564"</f>
        <v>9781000989564</v>
      </c>
    </row>
    <row r="13025" spans="1:6" s="3" customFormat="1" ht="29.1" customHeight="1" x14ac:dyDescent="0.25">
      <c r="A13025" s="2" t="s">
        <v>26131</v>
      </c>
      <c r="B13025" s="2" t="s">
        <v>26133</v>
      </c>
      <c r="C13025" s="2" t="s">
        <v>248</v>
      </c>
      <c r="D13025" s="2" t="s">
        <v>26132</v>
      </c>
      <c r="E13025" s="2" t="str">
        <f>"9783847426738"</f>
        <v>9783847426738</v>
      </c>
      <c r="F13025" s="2" t="str">
        <f>"9783847418467"</f>
        <v>9783847418467</v>
      </c>
    </row>
    <row r="13026" spans="1:6" s="3" customFormat="1" ht="29.1" customHeight="1" x14ac:dyDescent="0.25">
      <c r="A13026" s="2" t="s">
        <v>26134</v>
      </c>
      <c r="B13026" s="2" t="s">
        <v>26135</v>
      </c>
      <c r="C13026" s="2" t="s">
        <v>131</v>
      </c>
      <c r="D13026" s="2" t="s">
        <v>132</v>
      </c>
      <c r="E13026" s="2" t="str">
        <f>"9789027213914"</f>
        <v>9789027213914</v>
      </c>
      <c r="F13026" s="2" t="str">
        <f>"9789027249715"</f>
        <v>9789027249715</v>
      </c>
    </row>
    <row r="13027" spans="1:6" s="3" customFormat="1" ht="29.1" customHeight="1" x14ac:dyDescent="0.25">
      <c r="A13027" s="2" t="s">
        <v>26136</v>
      </c>
      <c r="B13027" s="2" t="s">
        <v>26137</v>
      </c>
      <c r="C13027" s="2" t="s">
        <v>131</v>
      </c>
      <c r="D13027" s="2" t="s">
        <v>897</v>
      </c>
      <c r="E13027" s="2" t="str">
        <f>"9789027213976"</f>
        <v>9789027213976</v>
      </c>
      <c r="F13027" s="2" t="str">
        <f>"9789027249593"</f>
        <v>9789027249593</v>
      </c>
    </row>
    <row r="13028" spans="1:6" s="3" customFormat="1" ht="29.1" customHeight="1" x14ac:dyDescent="0.25">
      <c r="A13028" s="2" t="s">
        <v>26138</v>
      </c>
      <c r="B13028" s="2" t="s">
        <v>26139</v>
      </c>
      <c r="C13028" s="2" t="s">
        <v>131</v>
      </c>
      <c r="D13028" s="2" t="s">
        <v>1245</v>
      </c>
      <c r="E13028" s="2" t="str">
        <f>"9789027214034"</f>
        <v>9789027214034</v>
      </c>
      <c r="F13028" s="2" t="str">
        <f>"9789027249548"</f>
        <v>9789027249548</v>
      </c>
    </row>
    <row r="13029" spans="1:6" s="3" customFormat="1" ht="29.1" customHeight="1" x14ac:dyDescent="0.25">
      <c r="A13029" s="2" t="s">
        <v>26140</v>
      </c>
      <c r="B13029" s="2" t="s">
        <v>26141</v>
      </c>
      <c r="C13029" s="2" t="s">
        <v>124</v>
      </c>
      <c r="D13029" s="2" t="s">
        <v>33</v>
      </c>
      <c r="E13029" s="2" t="str">
        <f>"9781032286914"</f>
        <v>9781032286914</v>
      </c>
      <c r="F13029" s="2" t="str">
        <f>"9781000987805"</f>
        <v>9781000987805</v>
      </c>
    </row>
    <row r="13030" spans="1:6" s="3" customFormat="1" ht="29.1" customHeight="1" x14ac:dyDescent="0.25">
      <c r="A13030" s="2" t="s">
        <v>26142</v>
      </c>
      <c r="B13030" s="2" t="s">
        <v>26143</v>
      </c>
      <c r="C13030" s="2" t="s">
        <v>248</v>
      </c>
      <c r="D13030" s="2" t="s">
        <v>17658</v>
      </c>
      <c r="E13030" s="2" t="str">
        <f>"9783847426875"</f>
        <v>9783847426875</v>
      </c>
      <c r="F13030" s="2" t="str">
        <f>"9783847418603"</f>
        <v>9783847418603</v>
      </c>
    </row>
    <row r="13031" spans="1:6" s="3" customFormat="1" ht="29.1" customHeight="1" x14ac:dyDescent="0.25">
      <c r="A13031" s="2" t="s">
        <v>26144</v>
      </c>
      <c r="B13031" s="2" t="s">
        <v>26145</v>
      </c>
      <c r="C13031" s="2" t="s">
        <v>248</v>
      </c>
      <c r="D13031" s="2" t="s">
        <v>24</v>
      </c>
      <c r="E13031" s="2" t="str">
        <f>"9783847427469"</f>
        <v>9783847427469</v>
      </c>
      <c r="F13031" s="2" t="str">
        <f>"9783847419167"</f>
        <v>9783847419167</v>
      </c>
    </row>
    <row r="13032" spans="1:6" s="3" customFormat="1" ht="29.1" customHeight="1" x14ac:dyDescent="0.25">
      <c r="A13032" s="2" t="s">
        <v>26146</v>
      </c>
      <c r="B13032" s="2" t="s">
        <v>26147</v>
      </c>
      <c r="C13032" s="2" t="s">
        <v>248</v>
      </c>
      <c r="D13032" s="2" t="s">
        <v>1927</v>
      </c>
      <c r="E13032" s="2" t="str">
        <f>"9783847427001"</f>
        <v>9783847427001</v>
      </c>
      <c r="F13032" s="2" t="str">
        <f>"9783847418702"</f>
        <v>9783847418702</v>
      </c>
    </row>
    <row r="13033" spans="1:6" s="3" customFormat="1" ht="29.1" customHeight="1" x14ac:dyDescent="0.25">
      <c r="A13033" s="2" t="s">
        <v>26148</v>
      </c>
      <c r="B13033" s="2" t="s">
        <v>26149</v>
      </c>
      <c r="C13033" s="2" t="s">
        <v>927</v>
      </c>
      <c r="D13033" s="2" t="s">
        <v>33</v>
      </c>
      <c r="E13033" s="2" t="str">
        <f>"9780472056538"</f>
        <v>9780472056538</v>
      </c>
      <c r="F13033" s="2" t="str">
        <f>"9780472903931"</f>
        <v>9780472903931</v>
      </c>
    </row>
    <row r="13034" spans="1:6" s="3" customFormat="1" ht="29.1" customHeight="1" x14ac:dyDescent="0.25">
      <c r="A13034" s="2" t="s">
        <v>26150</v>
      </c>
      <c r="B13034" s="2" t="s">
        <v>26151</v>
      </c>
      <c r="C13034" s="2" t="s">
        <v>746</v>
      </c>
      <c r="D13034" s="2" t="s">
        <v>606</v>
      </c>
      <c r="E13034" s="2" t="str">
        <f>"9781803274461"</f>
        <v>9781803274461</v>
      </c>
      <c r="F13034" s="2" t="str">
        <f>"9781803274478"</f>
        <v>9781803274478</v>
      </c>
    </row>
    <row r="13035" spans="1:6" s="3" customFormat="1" ht="29.1" customHeight="1" x14ac:dyDescent="0.25">
      <c r="A13035" s="2" t="s">
        <v>26152</v>
      </c>
      <c r="B13035" s="2" t="s">
        <v>26153</v>
      </c>
      <c r="C13035" s="2" t="s">
        <v>746</v>
      </c>
      <c r="D13035" s="2" t="s">
        <v>606</v>
      </c>
      <c r="E13035" s="2" t="str">
        <f>"9781803275390"</f>
        <v>9781803275390</v>
      </c>
      <c r="F13035" s="2" t="str">
        <f>"9781803275406"</f>
        <v>9781803275406</v>
      </c>
    </row>
    <row r="13036" spans="1:6" s="3" customFormat="1" ht="29.1" customHeight="1" x14ac:dyDescent="0.25">
      <c r="A13036" s="2" t="s">
        <v>26154</v>
      </c>
      <c r="B13036" s="2" t="s">
        <v>26155</v>
      </c>
      <c r="C13036" s="2" t="s">
        <v>746</v>
      </c>
      <c r="D13036" s="2" t="s">
        <v>606</v>
      </c>
      <c r="E13036" s="2" t="str">
        <f>"9781803275376"</f>
        <v>9781803275376</v>
      </c>
      <c r="F13036" s="2" t="str">
        <f>"9781803275383"</f>
        <v>9781803275383</v>
      </c>
    </row>
    <row r="13037" spans="1:6" s="3" customFormat="1" ht="29.1" customHeight="1" x14ac:dyDescent="0.25">
      <c r="A13037" s="2" t="s">
        <v>26156</v>
      </c>
      <c r="B13037" s="2" t="s">
        <v>26157</v>
      </c>
      <c r="C13037" s="2" t="s">
        <v>746</v>
      </c>
      <c r="D13037" s="2" t="s">
        <v>606</v>
      </c>
      <c r="E13037" s="2" t="str">
        <f>"9781803275994"</f>
        <v>9781803275994</v>
      </c>
      <c r="F13037" s="2" t="str">
        <f>"9781803276007"</f>
        <v>9781803276007</v>
      </c>
    </row>
    <row r="13038" spans="1:6" s="3" customFormat="1" ht="29.1" customHeight="1" x14ac:dyDescent="0.25">
      <c r="A13038" s="2" t="s">
        <v>26158</v>
      </c>
      <c r="B13038" s="2" t="s">
        <v>26159</v>
      </c>
      <c r="C13038" s="2" t="s">
        <v>746</v>
      </c>
      <c r="D13038" s="2" t="s">
        <v>606</v>
      </c>
      <c r="E13038" s="2" t="str">
        <f>"9781803275956"</f>
        <v>9781803275956</v>
      </c>
      <c r="F13038" s="2" t="str">
        <f>"9781803275963"</f>
        <v>9781803275963</v>
      </c>
    </row>
    <row r="13039" spans="1:6" s="3" customFormat="1" ht="29.1" customHeight="1" x14ac:dyDescent="0.25">
      <c r="A13039" s="2" t="s">
        <v>26160</v>
      </c>
      <c r="B13039" s="2" t="s">
        <v>26161</v>
      </c>
      <c r="C13039" s="2" t="s">
        <v>124</v>
      </c>
      <c r="D13039" s="2" t="s">
        <v>2513</v>
      </c>
      <c r="E13039" s="2" t="str">
        <f>"9781032536279"</f>
        <v>9781032536279</v>
      </c>
      <c r="F13039" s="2" t="str">
        <f>"9781000959758"</f>
        <v>9781000959758</v>
      </c>
    </row>
    <row r="13040" spans="1:6" s="3" customFormat="1" ht="29.1" customHeight="1" x14ac:dyDescent="0.25">
      <c r="A13040" s="2" t="s">
        <v>26162</v>
      </c>
      <c r="B13040" s="2" t="s">
        <v>26163</v>
      </c>
      <c r="C13040" s="2" t="s">
        <v>124</v>
      </c>
      <c r="D13040" s="2" t="s">
        <v>183</v>
      </c>
      <c r="E13040" s="2" t="str">
        <f>"9780367568658"</f>
        <v>9780367568658</v>
      </c>
      <c r="F13040" s="2" t="str">
        <f>"9781000932980"</f>
        <v>9781000932980</v>
      </c>
    </row>
    <row r="13041" spans="1:6" s="3" customFormat="1" ht="29.1" customHeight="1" x14ac:dyDescent="0.25">
      <c r="A13041" s="2" t="s">
        <v>26164</v>
      </c>
      <c r="B13041" s="2" t="s">
        <v>26165</v>
      </c>
      <c r="C13041" s="2" t="s">
        <v>124</v>
      </c>
      <c r="D13041" s="2" t="s">
        <v>1840</v>
      </c>
      <c r="E13041" s="2" t="str">
        <f>"9781032459523"</f>
        <v>9781032459523</v>
      </c>
      <c r="F13041" s="2" t="str">
        <f>"9781000986754"</f>
        <v>9781000986754</v>
      </c>
    </row>
    <row r="13042" spans="1:6" s="3" customFormat="1" ht="29.1" customHeight="1" x14ac:dyDescent="0.25">
      <c r="A13042" s="2" t="s">
        <v>26166</v>
      </c>
      <c r="B13042" s="2" t="s">
        <v>26167</v>
      </c>
      <c r="C13042" s="2" t="s">
        <v>124</v>
      </c>
      <c r="D13042" s="2" t="s">
        <v>694</v>
      </c>
      <c r="E13042" s="2" t="str">
        <f>"9781032489162"</f>
        <v>9781032489162</v>
      </c>
      <c r="F13042" s="2" t="str">
        <f>"9781000955552"</f>
        <v>9781000955552</v>
      </c>
    </row>
    <row r="13043" spans="1:6" s="3" customFormat="1" ht="29.1" customHeight="1" x14ac:dyDescent="0.25">
      <c r="A13043" s="2" t="s">
        <v>26168</v>
      </c>
      <c r="B13043" s="2" t="s">
        <v>26169</v>
      </c>
      <c r="C13043" s="2" t="s">
        <v>264</v>
      </c>
      <c r="D13043" s="2" t="s">
        <v>15055</v>
      </c>
      <c r="E13043" s="2" t="str">
        <f>"9781032256153"</f>
        <v>9781032256153</v>
      </c>
      <c r="F13043" s="2" t="str">
        <f>"9781000892628"</f>
        <v>9781000892628</v>
      </c>
    </row>
    <row r="13044" spans="1:6" s="3" customFormat="1" ht="29.1" customHeight="1" x14ac:dyDescent="0.25">
      <c r="A13044" s="2" t="s">
        <v>26170</v>
      </c>
      <c r="B13044" s="2" t="s">
        <v>26171</v>
      </c>
      <c r="C13044" s="2" t="s">
        <v>2188</v>
      </c>
      <c r="D13044" s="2" t="s">
        <v>33</v>
      </c>
      <c r="E13044" s="2" t="str">
        <f>"9788323242000"</f>
        <v>9788323242000</v>
      </c>
      <c r="F13044" s="2" t="str">
        <f>"9788323242017"</f>
        <v>9788323242017</v>
      </c>
    </row>
    <row r="13045" spans="1:6" s="3" customFormat="1" ht="29.1" customHeight="1" x14ac:dyDescent="0.25">
      <c r="A13045" s="2" t="s">
        <v>26172</v>
      </c>
      <c r="B13045" s="2" t="s">
        <v>26173</v>
      </c>
      <c r="C13045" s="2" t="s">
        <v>15181</v>
      </c>
      <c r="D13045" s="2" t="s">
        <v>1669</v>
      </c>
      <c r="E13045" s="2" t="str">
        <f>"9789633867167"</f>
        <v>9789633867167</v>
      </c>
      <c r="F13045" s="2" t="str">
        <f>"9789633867174"</f>
        <v>9789633867174</v>
      </c>
    </row>
    <row r="13046" spans="1:6" s="3" customFormat="1" ht="29.1" customHeight="1" x14ac:dyDescent="0.25">
      <c r="A13046" s="2" t="s">
        <v>26174</v>
      </c>
      <c r="B13046" s="2" t="s">
        <v>26175</v>
      </c>
      <c r="C13046" s="2" t="s">
        <v>15181</v>
      </c>
      <c r="D13046" s="2" t="s">
        <v>5695</v>
      </c>
      <c r="E13046" s="2" t="str">
        <f>"9789633867181"</f>
        <v>9789633867181</v>
      </c>
      <c r="F13046" s="2" t="str">
        <f>"9789633867198"</f>
        <v>9789633867198</v>
      </c>
    </row>
    <row r="13047" spans="1:6" s="3" customFormat="1" ht="29.1" customHeight="1" x14ac:dyDescent="0.25">
      <c r="A13047" s="2" t="s">
        <v>26176</v>
      </c>
      <c r="B13047" s="2" t="s">
        <v>26177</v>
      </c>
      <c r="C13047" s="2" t="s">
        <v>10973</v>
      </c>
      <c r="D13047" s="2" t="s">
        <v>207</v>
      </c>
      <c r="E13047" s="2" t="str">
        <f>"9789633866535"</f>
        <v>9789633866535</v>
      </c>
      <c r="F13047" s="2" t="str">
        <f>"9789633866542"</f>
        <v>9789633866542</v>
      </c>
    </row>
    <row r="13048" spans="1:6" s="3" customFormat="1" ht="29.1" customHeight="1" x14ac:dyDescent="0.25">
      <c r="A13048" s="2" t="s">
        <v>26178</v>
      </c>
      <c r="B13048" s="2" t="s">
        <v>26179</v>
      </c>
      <c r="C13048" s="2" t="s">
        <v>124</v>
      </c>
      <c r="D13048" s="2" t="s">
        <v>4180</v>
      </c>
      <c r="E13048" s="2" t="str">
        <f>"9781032135236"</f>
        <v>9781032135236</v>
      </c>
      <c r="F13048" s="2" t="str">
        <f>"9781000968514"</f>
        <v>9781000968514</v>
      </c>
    </row>
    <row r="13049" spans="1:6" s="3" customFormat="1" ht="29.1" customHeight="1" x14ac:dyDescent="0.25">
      <c r="A13049" s="2" t="s">
        <v>26180</v>
      </c>
      <c r="B13049" s="2" t="s">
        <v>26181</v>
      </c>
      <c r="C13049" s="2" t="s">
        <v>124</v>
      </c>
      <c r="D13049" s="2" t="s">
        <v>183</v>
      </c>
      <c r="E13049" s="2" t="str">
        <f>"9781032504469"</f>
        <v>9781032504469</v>
      </c>
      <c r="F13049" s="2" t="str">
        <f>"9781003398523"</f>
        <v>9781003398523</v>
      </c>
    </row>
    <row r="13050" spans="1:6" s="3" customFormat="1" ht="29.1" customHeight="1" x14ac:dyDescent="0.25">
      <c r="A13050" s="2" t="s">
        <v>26182</v>
      </c>
      <c r="B13050" s="2" t="s">
        <v>26183</v>
      </c>
      <c r="C13050" s="2" t="s">
        <v>7395</v>
      </c>
      <c r="D13050" s="2" t="s">
        <v>712</v>
      </c>
      <c r="E13050" s="2" t="str">
        <f>"9780295751634"</f>
        <v>9780295751634</v>
      </c>
      <c r="F13050" s="2" t="str">
        <f>"9780295751658"</f>
        <v>9780295751658</v>
      </c>
    </row>
    <row r="13051" spans="1:6" s="3" customFormat="1" ht="29.1" customHeight="1" x14ac:dyDescent="0.25">
      <c r="A13051" s="2" t="s">
        <v>26184</v>
      </c>
      <c r="B13051" s="2" t="s">
        <v>26185</v>
      </c>
      <c r="C13051" s="2" t="s">
        <v>62</v>
      </c>
      <c r="D13051" s="2" t="s">
        <v>3963</v>
      </c>
      <c r="E13051" s="2" t="str">
        <f>"9783428188925"</f>
        <v>9783428188925</v>
      </c>
      <c r="F13051" s="2" t="str">
        <f>"9783428588923"</f>
        <v>9783428588923</v>
      </c>
    </row>
    <row r="13052" spans="1:6" s="3" customFormat="1" ht="29.1" customHeight="1" x14ac:dyDescent="0.25">
      <c r="A13052" s="2" t="s">
        <v>26186</v>
      </c>
      <c r="B13052" s="2" t="s">
        <v>26188</v>
      </c>
      <c r="C13052" s="2" t="s">
        <v>149</v>
      </c>
      <c r="D13052" s="2" t="s">
        <v>26187</v>
      </c>
      <c r="E13052" s="2"/>
      <c r="F13052" s="2" t="str">
        <f>"9781805110552"</f>
        <v>9781805110552</v>
      </c>
    </row>
    <row r="13053" spans="1:6" s="3" customFormat="1" ht="29.1" customHeight="1" x14ac:dyDescent="0.25">
      <c r="A13053" s="2" t="s">
        <v>26189</v>
      </c>
      <c r="B13053" s="2" t="s">
        <v>26190</v>
      </c>
      <c r="C13053" s="2" t="s">
        <v>927</v>
      </c>
      <c r="D13053" s="2" t="s">
        <v>339</v>
      </c>
      <c r="E13053" s="2" t="str">
        <f>"9780472055913"</f>
        <v>9780472055913</v>
      </c>
      <c r="F13053" s="2" t="str">
        <f>"9780472903238"</f>
        <v>9780472903238</v>
      </c>
    </row>
    <row r="13054" spans="1:6" s="3" customFormat="1" ht="29.1" customHeight="1" x14ac:dyDescent="0.25">
      <c r="A13054" s="2" t="s">
        <v>26191</v>
      </c>
      <c r="B13054" s="2" t="s">
        <v>26192</v>
      </c>
      <c r="C13054" s="2" t="s">
        <v>124</v>
      </c>
      <c r="D13054" s="2" t="s">
        <v>689</v>
      </c>
      <c r="E13054" s="2" t="str">
        <f>"9781032219127"</f>
        <v>9781032219127</v>
      </c>
      <c r="F13054" s="2" t="str">
        <f>"9781000981896"</f>
        <v>9781000981896</v>
      </c>
    </row>
    <row r="13055" spans="1:6" s="3" customFormat="1" ht="29.1" customHeight="1" x14ac:dyDescent="0.25">
      <c r="A13055" s="2" t="s">
        <v>26193</v>
      </c>
      <c r="B13055" s="2" t="s">
        <v>26194</v>
      </c>
      <c r="C13055" s="2" t="s">
        <v>613</v>
      </c>
      <c r="D13055" s="2" t="s">
        <v>2877</v>
      </c>
      <c r="E13055" s="2" t="str">
        <f>"9781668460863"</f>
        <v>9781668460863</v>
      </c>
      <c r="F13055" s="2" t="str">
        <f>"9781668460870"</f>
        <v>9781668460870</v>
      </c>
    </row>
    <row r="13056" spans="1:6" s="3" customFormat="1" ht="29.1" customHeight="1" x14ac:dyDescent="0.25">
      <c r="A13056" s="2" t="s">
        <v>26195</v>
      </c>
      <c r="B13056" s="2" t="s">
        <v>26196</v>
      </c>
      <c r="C13056" s="2" t="s">
        <v>927</v>
      </c>
      <c r="D13056" s="2" t="s">
        <v>2208</v>
      </c>
      <c r="E13056" s="2" t="str">
        <f>"9780472056422"</f>
        <v>9780472056422</v>
      </c>
      <c r="F13056" s="2" t="str">
        <f>"9780472903849"</f>
        <v>9780472903849</v>
      </c>
    </row>
    <row r="13057" spans="1:6" s="3" customFormat="1" ht="29.1" customHeight="1" x14ac:dyDescent="0.25">
      <c r="A13057" s="2" t="s">
        <v>26197</v>
      </c>
      <c r="B13057" s="2" t="s">
        <v>26198</v>
      </c>
      <c r="C13057" s="2" t="s">
        <v>927</v>
      </c>
      <c r="D13057" s="2" t="s">
        <v>8788</v>
      </c>
      <c r="E13057" s="2" t="str">
        <f>"9780472056361"</f>
        <v>9780472056361</v>
      </c>
      <c r="F13057" s="2" t="str">
        <f>"9780472903757"</f>
        <v>9780472903757</v>
      </c>
    </row>
    <row r="13058" spans="1:6" s="3" customFormat="1" ht="29.1" customHeight="1" x14ac:dyDescent="0.25">
      <c r="A13058" s="2" t="s">
        <v>26199</v>
      </c>
      <c r="B13058" s="2" t="s">
        <v>26200</v>
      </c>
      <c r="C13058" s="2" t="s">
        <v>3513</v>
      </c>
      <c r="D13058" s="2" t="s">
        <v>2168</v>
      </c>
      <c r="E13058" s="2" t="str">
        <f>"9788382111859"</f>
        <v>9788382111859</v>
      </c>
      <c r="F13058" s="2" t="str">
        <f>"9788382111866"</f>
        <v>9788382111866</v>
      </c>
    </row>
    <row r="13059" spans="1:6" s="3" customFormat="1" ht="29.1" customHeight="1" x14ac:dyDescent="0.25">
      <c r="A13059" s="2" t="s">
        <v>26201</v>
      </c>
      <c r="B13059" s="2" t="s">
        <v>26202</v>
      </c>
      <c r="C13059" s="2" t="s">
        <v>316</v>
      </c>
      <c r="D13059" s="2" t="s">
        <v>2237</v>
      </c>
      <c r="E13059" s="2" t="str">
        <f>"9783036403700"</f>
        <v>9783036403700</v>
      </c>
      <c r="F13059" s="2" t="str">
        <f>"9783036413709"</f>
        <v>9783036413709</v>
      </c>
    </row>
    <row r="13060" spans="1:6" s="3" customFormat="1" ht="29.1" customHeight="1" x14ac:dyDescent="0.25">
      <c r="A13060" s="2" t="s">
        <v>26203</v>
      </c>
      <c r="B13060" s="2" t="s">
        <v>26204</v>
      </c>
      <c r="C13060" s="2" t="s">
        <v>4104</v>
      </c>
      <c r="D13060" s="2" t="s">
        <v>5794</v>
      </c>
      <c r="E13060" s="2" t="str">
        <f>"9781837644469"</f>
        <v>9781837644469</v>
      </c>
      <c r="F13060" s="2" t="str">
        <f>"9781837644605"</f>
        <v>9781837644605</v>
      </c>
    </row>
    <row r="13061" spans="1:6" s="3" customFormat="1" ht="29.1" customHeight="1" x14ac:dyDescent="0.25">
      <c r="A13061" s="2" t="s">
        <v>26205</v>
      </c>
      <c r="B13061" s="2" t="s">
        <v>26206</v>
      </c>
      <c r="C13061" s="2" t="s">
        <v>62</v>
      </c>
      <c r="D13061" s="2" t="s">
        <v>2005</v>
      </c>
      <c r="E13061" s="2" t="str">
        <f>"9783428189724"</f>
        <v>9783428189724</v>
      </c>
      <c r="F13061" s="2" t="str">
        <f>"9783428589722"</f>
        <v>9783428589722</v>
      </c>
    </row>
    <row r="13062" spans="1:6" s="3" customFormat="1" ht="29.1" customHeight="1" x14ac:dyDescent="0.25">
      <c r="A13062" s="2" t="s">
        <v>26207</v>
      </c>
      <c r="B13062" s="2" t="s">
        <v>26208</v>
      </c>
      <c r="C13062" s="2" t="s">
        <v>62</v>
      </c>
      <c r="D13062" s="2" t="s">
        <v>192</v>
      </c>
      <c r="E13062" s="2" t="str">
        <f>"9783428189069"</f>
        <v>9783428189069</v>
      </c>
      <c r="F13062" s="2" t="str">
        <f>"9783428589067"</f>
        <v>9783428589067</v>
      </c>
    </row>
    <row r="13063" spans="1:6" s="3" customFormat="1" ht="29.1" customHeight="1" x14ac:dyDescent="0.25">
      <c r="A13063" s="2" t="s">
        <v>26209</v>
      </c>
      <c r="B13063" s="2" t="s">
        <v>26210</v>
      </c>
      <c r="C13063" s="2" t="s">
        <v>62</v>
      </c>
      <c r="D13063" s="2" t="s">
        <v>3019</v>
      </c>
      <c r="E13063" s="2" t="str">
        <f>"9783428188499"</f>
        <v>9783428188499</v>
      </c>
      <c r="F13063" s="2" t="str">
        <f>"9783428588497"</f>
        <v>9783428588497</v>
      </c>
    </row>
    <row r="13064" spans="1:6" s="3" customFormat="1" ht="29.1" customHeight="1" x14ac:dyDescent="0.25">
      <c r="A13064" s="2" t="s">
        <v>26211</v>
      </c>
      <c r="B13064" s="2" t="s">
        <v>26212</v>
      </c>
      <c r="C13064" s="2" t="s">
        <v>124</v>
      </c>
      <c r="D13064" s="2" t="s">
        <v>509</v>
      </c>
      <c r="E13064" s="2" t="str">
        <f>"9780367655440"</f>
        <v>9780367655440</v>
      </c>
      <c r="F13064" s="2" t="str">
        <f>"9781000968828"</f>
        <v>9781000968828</v>
      </c>
    </row>
    <row r="13065" spans="1:6" s="3" customFormat="1" ht="29.1" customHeight="1" x14ac:dyDescent="0.25">
      <c r="A13065" s="2" t="s">
        <v>26213</v>
      </c>
      <c r="B13065" s="2" t="s">
        <v>26214</v>
      </c>
      <c r="C13065" s="2" t="s">
        <v>3725</v>
      </c>
      <c r="D13065" s="2" t="s">
        <v>459</v>
      </c>
      <c r="E13065" s="2"/>
      <c r="F13065" s="2" t="str">
        <f>"9783961104130"</f>
        <v>9783961104130</v>
      </c>
    </row>
    <row r="13066" spans="1:6" s="3" customFormat="1" ht="29.1" customHeight="1" x14ac:dyDescent="0.25">
      <c r="A13066" s="2" t="s">
        <v>26215</v>
      </c>
      <c r="B13066" s="2" t="s">
        <v>26216</v>
      </c>
      <c r="C13066" s="2" t="s">
        <v>3725</v>
      </c>
      <c r="D13066" s="2" t="s">
        <v>459</v>
      </c>
      <c r="E13066" s="2"/>
      <c r="F13066" s="2" t="str">
        <f>"9783961104109"</f>
        <v>9783961104109</v>
      </c>
    </row>
    <row r="13067" spans="1:6" s="3" customFormat="1" ht="29.1" customHeight="1" x14ac:dyDescent="0.25">
      <c r="A13067" s="2" t="s">
        <v>26217</v>
      </c>
      <c r="B13067" s="2" t="s">
        <v>26218</v>
      </c>
      <c r="C13067" s="2" t="s">
        <v>3725</v>
      </c>
      <c r="D13067" s="2" t="s">
        <v>459</v>
      </c>
      <c r="E13067" s="2"/>
      <c r="F13067" s="2" t="str">
        <f>"9783961104093"</f>
        <v>9783961104093</v>
      </c>
    </row>
    <row r="13068" spans="1:6" s="3" customFormat="1" ht="29.1" customHeight="1" x14ac:dyDescent="0.25">
      <c r="A13068" s="2" t="s">
        <v>26219</v>
      </c>
      <c r="B13068" s="2" t="s">
        <v>26220</v>
      </c>
      <c r="C13068" s="2" t="s">
        <v>3725</v>
      </c>
      <c r="D13068" s="2" t="s">
        <v>459</v>
      </c>
      <c r="E13068" s="2"/>
      <c r="F13068" s="2" t="str">
        <f>"9783961104079"</f>
        <v>9783961104079</v>
      </c>
    </row>
    <row r="13069" spans="1:6" s="3" customFormat="1" ht="29.1" customHeight="1" x14ac:dyDescent="0.25">
      <c r="A13069" s="2" t="s">
        <v>26221</v>
      </c>
      <c r="B13069" s="2" t="s">
        <v>26222</v>
      </c>
      <c r="C13069" s="2" t="s">
        <v>3725</v>
      </c>
      <c r="D13069" s="2" t="s">
        <v>459</v>
      </c>
      <c r="E13069" s="2"/>
      <c r="F13069" s="2" t="str">
        <f>"9783961104062"</f>
        <v>9783961104062</v>
      </c>
    </row>
    <row r="13070" spans="1:6" s="3" customFormat="1" ht="29.1" customHeight="1" x14ac:dyDescent="0.25">
      <c r="A13070" s="2" t="s">
        <v>26223</v>
      </c>
      <c r="B13070" s="2" t="s">
        <v>26224</v>
      </c>
      <c r="C13070" s="2" t="s">
        <v>3725</v>
      </c>
      <c r="D13070" s="2" t="s">
        <v>459</v>
      </c>
      <c r="E13070" s="2"/>
      <c r="F13070" s="2" t="str">
        <f>"9783961104154"</f>
        <v>9783961104154</v>
      </c>
    </row>
    <row r="13071" spans="1:6" s="3" customFormat="1" ht="29.1" customHeight="1" x14ac:dyDescent="0.25">
      <c r="A13071" s="2" t="s">
        <v>26225</v>
      </c>
      <c r="B13071" s="2" t="s">
        <v>26226</v>
      </c>
      <c r="C13071" s="2" t="s">
        <v>3725</v>
      </c>
      <c r="D13071" s="2" t="s">
        <v>459</v>
      </c>
      <c r="E13071" s="2"/>
      <c r="F13071" s="2" t="str">
        <f>"9783961104055"</f>
        <v>9783961104055</v>
      </c>
    </row>
    <row r="13072" spans="1:6" s="3" customFormat="1" ht="29.1" customHeight="1" x14ac:dyDescent="0.25">
      <c r="A13072" s="2" t="s">
        <v>26227</v>
      </c>
      <c r="B13072" s="2" t="s">
        <v>26228</v>
      </c>
      <c r="C13072" s="2" t="s">
        <v>3725</v>
      </c>
      <c r="D13072" s="2" t="s">
        <v>459</v>
      </c>
      <c r="E13072" s="2"/>
      <c r="F13072" s="2" t="str">
        <f>"9783961104086"</f>
        <v>9783961104086</v>
      </c>
    </row>
    <row r="13073" spans="1:6" s="3" customFormat="1" ht="29.1" customHeight="1" x14ac:dyDescent="0.25">
      <c r="A13073" s="2" t="s">
        <v>26229</v>
      </c>
      <c r="B13073" s="2" t="s">
        <v>26230</v>
      </c>
      <c r="C13073" s="2" t="s">
        <v>3725</v>
      </c>
      <c r="D13073" s="2" t="s">
        <v>459</v>
      </c>
      <c r="E13073" s="2"/>
      <c r="F13073" s="2" t="str">
        <f>"9783961104123"</f>
        <v>9783961104123</v>
      </c>
    </row>
    <row r="13074" spans="1:6" s="3" customFormat="1" ht="29.1" customHeight="1" x14ac:dyDescent="0.25">
      <c r="A13074" s="2" t="s">
        <v>26231</v>
      </c>
      <c r="B13074" s="2" t="s">
        <v>26232</v>
      </c>
      <c r="C13074" s="2" t="s">
        <v>3725</v>
      </c>
      <c r="D13074" s="2" t="s">
        <v>1253</v>
      </c>
      <c r="E13074" s="2"/>
      <c r="F13074" s="2" t="str">
        <f>"9783961103973"</f>
        <v>9783961103973</v>
      </c>
    </row>
    <row r="13075" spans="1:6" s="3" customFormat="1" ht="29.1" customHeight="1" x14ac:dyDescent="0.25">
      <c r="A13075" s="2" t="s">
        <v>26233</v>
      </c>
      <c r="B13075" s="2" t="s">
        <v>18538</v>
      </c>
      <c r="C13075" s="2" t="s">
        <v>18537</v>
      </c>
      <c r="D13075" s="2" t="s">
        <v>2178</v>
      </c>
      <c r="E13075" s="2"/>
      <c r="F13075" s="2" t="str">
        <f>"9780311000494"</f>
        <v>9780311000494</v>
      </c>
    </row>
    <row r="13076" spans="1:6" s="3" customFormat="1" ht="29.1" customHeight="1" x14ac:dyDescent="0.25">
      <c r="A13076" s="2" t="s">
        <v>26234</v>
      </c>
      <c r="B13076" s="2" t="s">
        <v>26235</v>
      </c>
      <c r="C13076" s="2" t="s">
        <v>18537</v>
      </c>
      <c r="D13076" s="2" t="s">
        <v>9631</v>
      </c>
      <c r="E13076" s="2"/>
      <c r="F13076" s="2" t="str">
        <f>"9780311000463"</f>
        <v>9780311000463</v>
      </c>
    </row>
    <row r="13077" spans="1:6" s="3" customFormat="1" ht="29.1" customHeight="1" x14ac:dyDescent="0.25">
      <c r="A13077" s="2" t="s">
        <v>26236</v>
      </c>
      <c r="B13077" s="2" t="s">
        <v>26237</v>
      </c>
      <c r="C13077" s="2" t="s">
        <v>18537</v>
      </c>
      <c r="D13077" s="2" t="s">
        <v>13899</v>
      </c>
      <c r="E13077" s="2"/>
      <c r="F13077" s="2" t="str">
        <f>"9780311000470"</f>
        <v>9780311000470</v>
      </c>
    </row>
    <row r="13078" spans="1:6" s="3" customFormat="1" ht="29.1" customHeight="1" x14ac:dyDescent="0.25">
      <c r="A13078" s="2" t="s">
        <v>26238</v>
      </c>
      <c r="B13078" s="2" t="s">
        <v>26239</v>
      </c>
      <c r="C13078" s="2" t="s">
        <v>18537</v>
      </c>
      <c r="D13078" s="2" t="s">
        <v>490</v>
      </c>
      <c r="E13078" s="2"/>
      <c r="F13078" s="2" t="str">
        <f>"9780311000456"</f>
        <v>9780311000456</v>
      </c>
    </row>
    <row r="13079" spans="1:6" s="3" customFormat="1" ht="29.1" customHeight="1" x14ac:dyDescent="0.25">
      <c r="A13079" s="2" t="s">
        <v>26240</v>
      </c>
      <c r="B13079" s="2" t="s">
        <v>26241</v>
      </c>
      <c r="C13079" s="2" t="s">
        <v>18537</v>
      </c>
      <c r="D13079" s="2" t="s">
        <v>614</v>
      </c>
      <c r="E13079" s="2"/>
      <c r="F13079" s="2" t="str">
        <f>"9780311000432"</f>
        <v>9780311000432</v>
      </c>
    </row>
    <row r="13080" spans="1:6" s="3" customFormat="1" ht="29.1" customHeight="1" x14ac:dyDescent="0.25">
      <c r="A13080" s="2" t="s">
        <v>26242</v>
      </c>
      <c r="B13080" s="2" t="s">
        <v>26243</v>
      </c>
      <c r="C13080" s="2" t="s">
        <v>18537</v>
      </c>
      <c r="D13080" s="2" t="s">
        <v>110</v>
      </c>
      <c r="E13080" s="2"/>
      <c r="F13080" s="2" t="str">
        <f>"9780311000449"</f>
        <v>9780311000449</v>
      </c>
    </row>
    <row r="13081" spans="1:6" s="3" customFormat="1" ht="29.1" customHeight="1" x14ac:dyDescent="0.25">
      <c r="A13081" s="2" t="s">
        <v>26244</v>
      </c>
      <c r="B13081" s="2" t="s">
        <v>26245</v>
      </c>
      <c r="C13081" s="2" t="s">
        <v>264</v>
      </c>
      <c r="D13081" s="2" t="s">
        <v>1059</v>
      </c>
      <c r="E13081" s="2" t="str">
        <f>"9781032437354"</f>
        <v>9781032437354</v>
      </c>
      <c r="F13081" s="2" t="str">
        <f>"9781000937855"</f>
        <v>9781000937855</v>
      </c>
    </row>
    <row r="13082" spans="1:6" s="3" customFormat="1" ht="29.1" customHeight="1" x14ac:dyDescent="0.25">
      <c r="A13082" s="2" t="s">
        <v>26246</v>
      </c>
      <c r="B13082" s="2" t="s">
        <v>14780</v>
      </c>
      <c r="C13082" s="2" t="s">
        <v>556</v>
      </c>
      <c r="D13082" s="2" t="s">
        <v>12298</v>
      </c>
      <c r="E13082" s="2" t="str">
        <f>"9783837667271"</f>
        <v>9783837667271</v>
      </c>
      <c r="F13082" s="2" t="str">
        <f>"9783839467275"</f>
        <v>9783839467275</v>
      </c>
    </row>
    <row r="13083" spans="1:6" s="3" customFormat="1" ht="29.1" customHeight="1" x14ac:dyDescent="0.25">
      <c r="A13083" s="2" t="s">
        <v>26247</v>
      </c>
      <c r="B13083" s="2" t="s">
        <v>9134</v>
      </c>
      <c r="C13083" s="2" t="s">
        <v>556</v>
      </c>
      <c r="D13083" s="2" t="s">
        <v>78</v>
      </c>
      <c r="E13083" s="2" t="str">
        <f>"9783837666571"</f>
        <v>9783837666571</v>
      </c>
      <c r="F13083" s="2" t="str">
        <f>"9783839466575"</f>
        <v>9783839466575</v>
      </c>
    </row>
    <row r="13084" spans="1:6" s="3" customFormat="1" ht="29.1" customHeight="1" x14ac:dyDescent="0.25">
      <c r="A13084" s="2" t="s">
        <v>26248</v>
      </c>
      <c r="B13084" s="2" t="s">
        <v>26249</v>
      </c>
      <c r="C13084" s="2" t="s">
        <v>556</v>
      </c>
      <c r="D13084" s="2" t="s">
        <v>639</v>
      </c>
      <c r="E13084" s="2" t="str">
        <f>"9783837669350"</f>
        <v>9783837669350</v>
      </c>
      <c r="F13084" s="2" t="str">
        <f>"9783839469354"</f>
        <v>9783839469354</v>
      </c>
    </row>
    <row r="13085" spans="1:6" s="3" customFormat="1" ht="29.1" customHeight="1" x14ac:dyDescent="0.25">
      <c r="A13085" s="2" t="s">
        <v>26250</v>
      </c>
      <c r="B13085" s="2" t="s">
        <v>26251</v>
      </c>
      <c r="C13085" s="2" t="s">
        <v>556</v>
      </c>
      <c r="D13085" s="2" t="s">
        <v>4789</v>
      </c>
      <c r="E13085" s="2" t="str">
        <f>"9783837669343"</f>
        <v>9783837669343</v>
      </c>
      <c r="F13085" s="2" t="str">
        <f>"9783839469347"</f>
        <v>9783839469347</v>
      </c>
    </row>
    <row r="13086" spans="1:6" s="3" customFormat="1" ht="29.1" customHeight="1" x14ac:dyDescent="0.25">
      <c r="A13086" s="2" t="s">
        <v>26252</v>
      </c>
      <c r="B13086" s="2" t="s">
        <v>26253</v>
      </c>
      <c r="C13086" s="2" t="s">
        <v>556</v>
      </c>
      <c r="D13086" s="2" t="s">
        <v>490</v>
      </c>
      <c r="E13086" s="2" t="str">
        <f>"9783837668841"</f>
        <v>9783837668841</v>
      </c>
      <c r="F13086" s="2" t="str">
        <f>"9783839468845"</f>
        <v>9783839468845</v>
      </c>
    </row>
    <row r="13087" spans="1:6" s="3" customFormat="1" ht="29.1" customHeight="1" x14ac:dyDescent="0.25">
      <c r="A13087" s="2" t="s">
        <v>26254</v>
      </c>
      <c r="B13087" s="2" t="s">
        <v>26255</v>
      </c>
      <c r="C13087" s="2" t="s">
        <v>556</v>
      </c>
      <c r="D13087" s="2" t="s">
        <v>1127</v>
      </c>
      <c r="E13087" s="2" t="str">
        <f>"9783837668513"</f>
        <v>9783837668513</v>
      </c>
      <c r="F13087" s="2" t="str">
        <f>"9783839468517"</f>
        <v>9783839468517</v>
      </c>
    </row>
    <row r="13088" spans="1:6" s="3" customFormat="1" ht="29.1" customHeight="1" x14ac:dyDescent="0.25">
      <c r="A13088" s="2" t="s">
        <v>26256</v>
      </c>
      <c r="B13088" s="2" t="s">
        <v>2352</v>
      </c>
      <c r="C13088" s="2" t="s">
        <v>556</v>
      </c>
      <c r="D13088" s="2" t="s">
        <v>5794</v>
      </c>
      <c r="E13088" s="2" t="str">
        <f>"9783837668391"</f>
        <v>9783837668391</v>
      </c>
      <c r="F13088" s="2" t="str">
        <f>"9783839468395"</f>
        <v>9783839468395</v>
      </c>
    </row>
    <row r="13089" spans="1:6" s="3" customFormat="1" ht="29.1" customHeight="1" x14ac:dyDescent="0.25">
      <c r="A13089" s="2" t="s">
        <v>26257</v>
      </c>
      <c r="B13089" s="2" t="s">
        <v>26258</v>
      </c>
      <c r="C13089" s="2" t="s">
        <v>556</v>
      </c>
      <c r="D13089" s="2" t="s">
        <v>14574</v>
      </c>
      <c r="E13089" s="2" t="str">
        <f>"9783837668223"</f>
        <v>9783837668223</v>
      </c>
      <c r="F13089" s="2" t="str">
        <f>"9783839468227"</f>
        <v>9783839468227</v>
      </c>
    </row>
    <row r="13090" spans="1:6" s="3" customFormat="1" ht="29.1" customHeight="1" x14ac:dyDescent="0.25">
      <c r="A13090" s="2" t="s">
        <v>26259</v>
      </c>
      <c r="B13090" s="2" t="s">
        <v>26260</v>
      </c>
      <c r="C13090" s="2" t="s">
        <v>556</v>
      </c>
      <c r="D13090" s="2" t="s">
        <v>1944</v>
      </c>
      <c r="E13090" s="2" t="str">
        <f>"9783837668025"</f>
        <v>9783837668025</v>
      </c>
      <c r="F13090" s="2" t="str">
        <f>"9783839468029"</f>
        <v>9783839468029</v>
      </c>
    </row>
    <row r="13091" spans="1:6" s="3" customFormat="1" ht="29.1" customHeight="1" x14ac:dyDescent="0.25">
      <c r="A13091" s="2" t="s">
        <v>26261</v>
      </c>
      <c r="B13091" s="2" t="s">
        <v>26262</v>
      </c>
      <c r="C13091" s="2" t="s">
        <v>556</v>
      </c>
      <c r="D13091" s="2" t="s">
        <v>712</v>
      </c>
      <c r="E13091" s="2" t="str">
        <f>"9783837667691"</f>
        <v>9783837667691</v>
      </c>
      <c r="F13091" s="2" t="str">
        <f>"9783839467695"</f>
        <v>9783839467695</v>
      </c>
    </row>
    <row r="13092" spans="1:6" s="3" customFormat="1" ht="29.1" customHeight="1" x14ac:dyDescent="0.25">
      <c r="A13092" s="2" t="s">
        <v>26263</v>
      </c>
      <c r="B13092" s="2" t="s">
        <v>26264</v>
      </c>
      <c r="C13092" s="2" t="s">
        <v>556</v>
      </c>
      <c r="D13092" s="2" t="s">
        <v>2326</v>
      </c>
      <c r="E13092" s="2" t="str">
        <f>"9783837667639"</f>
        <v>9783837667639</v>
      </c>
      <c r="F13092" s="2" t="str">
        <f>"9783839467633"</f>
        <v>9783839467633</v>
      </c>
    </row>
    <row r="13093" spans="1:6" s="3" customFormat="1" ht="29.1" customHeight="1" x14ac:dyDescent="0.25">
      <c r="A13093" s="2" t="s">
        <v>26265</v>
      </c>
      <c r="B13093" s="2" t="s">
        <v>26266</v>
      </c>
      <c r="C13093" s="2" t="s">
        <v>556</v>
      </c>
      <c r="D13093" s="2" t="s">
        <v>636</v>
      </c>
      <c r="E13093" s="2" t="str">
        <f>"9783837667448"</f>
        <v>9783837667448</v>
      </c>
      <c r="F13093" s="2" t="str">
        <f>"9783839467442"</f>
        <v>9783839467442</v>
      </c>
    </row>
    <row r="13094" spans="1:6" s="3" customFormat="1" ht="29.1" customHeight="1" x14ac:dyDescent="0.25">
      <c r="A13094" s="2" t="s">
        <v>26267</v>
      </c>
      <c r="B13094" s="2" t="s">
        <v>26268</v>
      </c>
      <c r="C13094" s="2" t="s">
        <v>556</v>
      </c>
      <c r="D13094" s="2" t="s">
        <v>12298</v>
      </c>
      <c r="E13094" s="2" t="str">
        <f>"9783837667110"</f>
        <v>9783837667110</v>
      </c>
      <c r="F13094" s="2" t="str">
        <f>"9783839467114"</f>
        <v>9783839467114</v>
      </c>
    </row>
    <row r="13095" spans="1:6" s="3" customFormat="1" ht="29.1" customHeight="1" x14ac:dyDescent="0.25">
      <c r="A13095" s="2" t="s">
        <v>26269</v>
      </c>
      <c r="B13095" s="2" t="s">
        <v>26270</v>
      </c>
      <c r="C13095" s="2" t="s">
        <v>556</v>
      </c>
      <c r="D13095" s="2" t="s">
        <v>1162</v>
      </c>
      <c r="E13095" s="2" t="str">
        <f>"9783837665949"</f>
        <v>9783837665949</v>
      </c>
      <c r="F13095" s="2" t="str">
        <f>"9783732865949"</f>
        <v>9783732865949</v>
      </c>
    </row>
    <row r="13096" spans="1:6" s="3" customFormat="1" ht="29.1" customHeight="1" x14ac:dyDescent="0.25">
      <c r="A13096" s="2" t="s">
        <v>26271</v>
      </c>
      <c r="B13096" s="2" t="s">
        <v>26272</v>
      </c>
      <c r="C13096" s="2" t="s">
        <v>556</v>
      </c>
      <c r="D13096" s="2" t="s">
        <v>712</v>
      </c>
      <c r="E13096" s="2" t="str">
        <f>"9783837665710"</f>
        <v>9783837665710</v>
      </c>
      <c r="F13096" s="2" t="str">
        <f>"9783839465714"</f>
        <v>9783839465714</v>
      </c>
    </row>
    <row r="13097" spans="1:6" s="3" customFormat="1" ht="29.1" customHeight="1" x14ac:dyDescent="0.25">
      <c r="A13097" s="2" t="s">
        <v>26273</v>
      </c>
      <c r="B13097" s="2" t="s">
        <v>26274</v>
      </c>
      <c r="C13097" s="2" t="s">
        <v>556</v>
      </c>
      <c r="D13097" s="2" t="s">
        <v>215</v>
      </c>
      <c r="E13097" s="2" t="str">
        <f>"9783837665611"</f>
        <v>9783837665611</v>
      </c>
      <c r="F13097" s="2" t="str">
        <f>"9783839465615"</f>
        <v>9783839465615</v>
      </c>
    </row>
    <row r="13098" spans="1:6" s="3" customFormat="1" ht="29.1" customHeight="1" x14ac:dyDescent="0.25">
      <c r="A13098" s="2" t="s">
        <v>26275</v>
      </c>
      <c r="B13098" s="2" t="s">
        <v>26276</v>
      </c>
      <c r="C13098" s="2" t="s">
        <v>556</v>
      </c>
      <c r="D13098" s="2" t="s">
        <v>998</v>
      </c>
      <c r="E13098" s="2" t="str">
        <f>"9783837663471"</f>
        <v>9783837663471</v>
      </c>
      <c r="F13098" s="2" t="str">
        <f>"9783732863471"</f>
        <v>9783732863471</v>
      </c>
    </row>
    <row r="13099" spans="1:6" s="3" customFormat="1" ht="29.1" customHeight="1" x14ac:dyDescent="0.25">
      <c r="A13099" s="2" t="s">
        <v>26277</v>
      </c>
      <c r="B13099" s="2" t="s">
        <v>8147</v>
      </c>
      <c r="C13099" s="2" t="s">
        <v>556</v>
      </c>
      <c r="D13099" s="2" t="s">
        <v>2139</v>
      </c>
      <c r="E13099" s="2" t="str">
        <f>"9783837662832"</f>
        <v>9783837662832</v>
      </c>
      <c r="F13099" s="2" t="str">
        <f>"9783839462836"</f>
        <v>9783839462836</v>
      </c>
    </row>
    <row r="13100" spans="1:6" s="3" customFormat="1" ht="29.1" customHeight="1" x14ac:dyDescent="0.25">
      <c r="A13100" s="2" t="s">
        <v>26278</v>
      </c>
      <c r="B13100" s="2" t="s">
        <v>26279</v>
      </c>
      <c r="C13100" s="2" t="s">
        <v>556</v>
      </c>
      <c r="D13100" s="2" t="s">
        <v>2587</v>
      </c>
      <c r="E13100" s="2" t="str">
        <f>"9783837662450"</f>
        <v>9783837662450</v>
      </c>
      <c r="F13100" s="2" t="str">
        <f>"9783839462454"</f>
        <v>9783839462454</v>
      </c>
    </row>
    <row r="13101" spans="1:6" s="3" customFormat="1" ht="29.1" customHeight="1" x14ac:dyDescent="0.25">
      <c r="A13101" s="2" t="s">
        <v>26280</v>
      </c>
      <c r="B13101" s="2" t="s">
        <v>26281</v>
      </c>
      <c r="C13101" s="2" t="s">
        <v>556</v>
      </c>
      <c r="D13101" s="2" t="s">
        <v>4210</v>
      </c>
      <c r="E13101" s="2" t="str">
        <f>"9783837659429"</f>
        <v>9783837659429</v>
      </c>
      <c r="F13101" s="2" t="str">
        <f>"9783839459423"</f>
        <v>9783839459423</v>
      </c>
    </row>
    <row r="13102" spans="1:6" s="3" customFormat="1" ht="29.1" customHeight="1" x14ac:dyDescent="0.25">
      <c r="A13102" s="2" t="s">
        <v>26282</v>
      </c>
      <c r="B13102" s="2" t="s">
        <v>26283</v>
      </c>
      <c r="C13102" s="2" t="s">
        <v>556</v>
      </c>
      <c r="D13102" s="2" t="s">
        <v>52</v>
      </c>
      <c r="E13102" s="2" t="str">
        <f>"9783837657326"</f>
        <v>9783837657326</v>
      </c>
      <c r="F13102" s="2" t="str">
        <f>"9783839457320"</f>
        <v>9783839457320</v>
      </c>
    </row>
    <row r="13103" spans="1:6" s="3" customFormat="1" ht="29.1" customHeight="1" x14ac:dyDescent="0.25">
      <c r="A13103" s="2" t="s">
        <v>26284</v>
      </c>
      <c r="B13103" s="2" t="s">
        <v>26285</v>
      </c>
      <c r="C13103" s="2" t="s">
        <v>556</v>
      </c>
      <c r="D13103" s="2" t="s">
        <v>1056</v>
      </c>
      <c r="E13103" s="2" t="str">
        <f>"9783837653540"</f>
        <v>9783837653540</v>
      </c>
      <c r="F13103" s="2" t="str">
        <f>"9783839453544"</f>
        <v>9783839453544</v>
      </c>
    </row>
    <row r="13104" spans="1:6" s="3" customFormat="1" ht="29.1" customHeight="1" x14ac:dyDescent="0.25">
      <c r="A13104" s="2" t="s">
        <v>26286</v>
      </c>
      <c r="B13104" s="2" t="s">
        <v>26287</v>
      </c>
      <c r="C13104" s="2" t="s">
        <v>124</v>
      </c>
      <c r="D13104" s="2" t="s">
        <v>1155</v>
      </c>
      <c r="E13104" s="2" t="str">
        <f>"9781032355030"</f>
        <v>9781032355030</v>
      </c>
      <c r="F13104" s="2" t="str">
        <f>"9781000955132"</f>
        <v>9781000955132</v>
      </c>
    </row>
    <row r="13105" spans="1:6" s="3" customFormat="1" ht="29.1" customHeight="1" x14ac:dyDescent="0.25">
      <c r="A13105" s="2" t="s">
        <v>26288</v>
      </c>
      <c r="B13105" s="2" t="s">
        <v>26289</v>
      </c>
      <c r="C13105" s="2" t="s">
        <v>124</v>
      </c>
      <c r="D13105" s="2" t="s">
        <v>11537</v>
      </c>
      <c r="E13105" s="2" t="str">
        <f>"9781032507651"</f>
        <v>9781032507651</v>
      </c>
      <c r="F13105" s="2" t="str">
        <f>"9781000968613"</f>
        <v>9781000968613</v>
      </c>
    </row>
    <row r="13106" spans="1:6" s="3" customFormat="1" ht="29.1" customHeight="1" x14ac:dyDescent="0.25">
      <c r="A13106" s="2" t="s">
        <v>26290</v>
      </c>
      <c r="B13106" s="2" t="s">
        <v>26291</v>
      </c>
      <c r="C13106" s="2" t="s">
        <v>124</v>
      </c>
      <c r="D13106" s="2" t="s">
        <v>5716</v>
      </c>
      <c r="E13106" s="2" t="str">
        <f>"9781032258812"</f>
        <v>9781032258812</v>
      </c>
      <c r="F13106" s="2" t="str">
        <f>"9781000966145"</f>
        <v>9781000966145</v>
      </c>
    </row>
    <row r="13107" spans="1:6" s="3" customFormat="1" ht="29.1" customHeight="1" x14ac:dyDescent="0.25">
      <c r="A13107" s="2" t="s">
        <v>26292</v>
      </c>
      <c r="B13107" s="2" t="s">
        <v>26293</v>
      </c>
      <c r="C13107" s="2" t="s">
        <v>248</v>
      </c>
      <c r="D13107" s="2" t="s">
        <v>110</v>
      </c>
      <c r="E13107" s="2" t="str">
        <f>"9783847426080"</f>
        <v>9783847426080</v>
      </c>
      <c r="F13107" s="2" t="str">
        <f>"9783847417668"</f>
        <v>9783847417668</v>
      </c>
    </row>
    <row r="13108" spans="1:6" s="3" customFormat="1" ht="29.1" customHeight="1" x14ac:dyDescent="0.25">
      <c r="A13108" s="2" t="s">
        <v>26294</v>
      </c>
      <c r="B13108" s="2" t="s">
        <v>26295</v>
      </c>
      <c r="C13108" s="2" t="s">
        <v>248</v>
      </c>
      <c r="D13108" s="2" t="s">
        <v>3214</v>
      </c>
      <c r="E13108" s="2" t="str">
        <f>"9783847426684"</f>
        <v>9783847426684</v>
      </c>
      <c r="F13108" s="2" t="str">
        <f>"9783847418351"</f>
        <v>9783847418351</v>
      </c>
    </row>
    <row r="13109" spans="1:6" s="3" customFormat="1" ht="29.1" customHeight="1" x14ac:dyDescent="0.25">
      <c r="A13109" s="2" t="s">
        <v>26296</v>
      </c>
      <c r="B13109" s="2" t="s">
        <v>26297</v>
      </c>
      <c r="C13109" s="2" t="s">
        <v>62</v>
      </c>
      <c r="D13109" s="2" t="s">
        <v>2005</v>
      </c>
      <c r="E13109" s="2" t="str">
        <f>"9783428072682"</f>
        <v>9783428072682</v>
      </c>
      <c r="F13109" s="2" t="str">
        <f>"9783428472680"</f>
        <v>9783428472680</v>
      </c>
    </row>
    <row r="13110" spans="1:6" s="3" customFormat="1" ht="29.1" customHeight="1" x14ac:dyDescent="0.25">
      <c r="A13110" s="2" t="s">
        <v>26298</v>
      </c>
      <c r="B13110" s="2" t="s">
        <v>26299</v>
      </c>
      <c r="C13110" s="2" t="s">
        <v>62</v>
      </c>
      <c r="D13110" s="2" t="s">
        <v>1809</v>
      </c>
      <c r="E13110" s="2" t="str">
        <f>"9783428071876"</f>
        <v>9783428071876</v>
      </c>
      <c r="F13110" s="2" t="str">
        <f>"9783428471874"</f>
        <v>9783428471874</v>
      </c>
    </row>
    <row r="13111" spans="1:6" s="3" customFormat="1" ht="29.1" customHeight="1" x14ac:dyDescent="0.25">
      <c r="A13111" s="2" t="s">
        <v>26300</v>
      </c>
      <c r="B13111" s="2" t="s">
        <v>26302</v>
      </c>
      <c r="C13111" s="2" t="s">
        <v>8047</v>
      </c>
      <c r="D13111" s="2" t="s">
        <v>26301</v>
      </c>
      <c r="E13111" s="2" t="str">
        <f>"9780271094953"</f>
        <v>9780271094953</v>
      </c>
      <c r="F13111" s="2" t="str">
        <f>"9780271096728"</f>
        <v>9780271096728</v>
      </c>
    </row>
    <row r="13112" spans="1:6" s="3" customFormat="1" ht="29.1" customHeight="1" x14ac:dyDescent="0.25">
      <c r="A13112" s="2" t="s">
        <v>26303</v>
      </c>
      <c r="B13112" s="2" t="s">
        <v>26305</v>
      </c>
      <c r="C13112" s="2" t="s">
        <v>8047</v>
      </c>
      <c r="D13112" s="2" t="s">
        <v>26304</v>
      </c>
      <c r="E13112" s="2" t="str">
        <f>"9780271094939"</f>
        <v>9780271094939</v>
      </c>
      <c r="F13112" s="2" t="str">
        <f>"9780271095738"</f>
        <v>9780271095738</v>
      </c>
    </row>
    <row r="13113" spans="1:6" s="3" customFormat="1" ht="29.1" customHeight="1" x14ac:dyDescent="0.25">
      <c r="A13113" s="2" t="s">
        <v>26306</v>
      </c>
      <c r="B13113" s="2" t="s">
        <v>18303</v>
      </c>
      <c r="C13113" s="2" t="s">
        <v>149</v>
      </c>
      <c r="D13113" s="2" t="s">
        <v>18302</v>
      </c>
      <c r="E13113" s="2"/>
      <c r="F13113" s="2" t="str">
        <f>"9781783749553"</f>
        <v>9781783749553</v>
      </c>
    </row>
    <row r="13114" spans="1:6" s="3" customFormat="1" ht="29.1" customHeight="1" x14ac:dyDescent="0.25">
      <c r="A13114" s="2" t="s">
        <v>26307</v>
      </c>
      <c r="B13114" s="2" t="s">
        <v>26308</v>
      </c>
      <c r="C13114" s="2" t="s">
        <v>149</v>
      </c>
      <c r="D13114" s="2" t="s">
        <v>758</v>
      </c>
      <c r="E13114" s="2"/>
      <c r="F13114" s="2" t="str">
        <f>"9781800647886"</f>
        <v>9781800647886</v>
      </c>
    </row>
    <row r="13115" spans="1:6" s="3" customFormat="1" ht="29.1" customHeight="1" x14ac:dyDescent="0.25">
      <c r="A13115" s="2" t="s">
        <v>26309</v>
      </c>
      <c r="B13115" s="2" t="s">
        <v>26310</v>
      </c>
      <c r="C13115" s="2" t="s">
        <v>149</v>
      </c>
      <c r="D13115" s="2" t="s">
        <v>12</v>
      </c>
      <c r="E13115" s="2"/>
      <c r="F13115" s="2" t="str">
        <f>"9781805110132"</f>
        <v>9781805110132</v>
      </c>
    </row>
    <row r="13116" spans="1:6" s="3" customFormat="1" ht="29.1" customHeight="1" x14ac:dyDescent="0.25">
      <c r="A13116" s="2" t="s">
        <v>26311</v>
      </c>
      <c r="B13116" s="2" t="s">
        <v>26312</v>
      </c>
      <c r="C13116" s="2" t="s">
        <v>149</v>
      </c>
      <c r="D13116" s="2" t="s">
        <v>3958</v>
      </c>
      <c r="E13116" s="2"/>
      <c r="F13116" s="2" t="str">
        <f>"9781805110965"</f>
        <v>9781805110965</v>
      </c>
    </row>
    <row r="13117" spans="1:6" s="3" customFormat="1" ht="29.1" customHeight="1" x14ac:dyDescent="0.25">
      <c r="A13117" s="2" t="s">
        <v>26313</v>
      </c>
      <c r="B13117" s="2" t="s">
        <v>26314</v>
      </c>
      <c r="C13117" s="2" t="s">
        <v>149</v>
      </c>
      <c r="D13117" s="2" t="s">
        <v>37</v>
      </c>
      <c r="E13117" s="2"/>
      <c r="F13117" s="2" t="str">
        <f>"9781800649002"</f>
        <v>9781800649002</v>
      </c>
    </row>
    <row r="13118" spans="1:6" s="3" customFormat="1" ht="29.1" customHeight="1" x14ac:dyDescent="0.25">
      <c r="A13118" s="2" t="s">
        <v>1360</v>
      </c>
      <c r="B13118" s="2" t="s">
        <v>26315</v>
      </c>
      <c r="C13118" s="2" t="s">
        <v>1070</v>
      </c>
      <c r="D13118" s="2" t="s">
        <v>1265</v>
      </c>
      <c r="E13118" s="2" t="str">
        <f>"9783318072860"</f>
        <v>9783318072860</v>
      </c>
      <c r="F13118" s="2" t="str">
        <f>"9783318072990"</f>
        <v>9783318072990</v>
      </c>
    </row>
    <row r="13119" spans="1:6" s="3" customFormat="1" ht="29.1" customHeight="1" x14ac:dyDescent="0.25">
      <c r="A13119" s="2" t="s">
        <v>26316</v>
      </c>
      <c r="B13119" s="2" t="s">
        <v>26317</v>
      </c>
      <c r="C13119" s="2" t="s">
        <v>124</v>
      </c>
      <c r="D13119" s="2" t="s">
        <v>647</v>
      </c>
      <c r="E13119" s="2" t="str">
        <f>"9781032288413"</f>
        <v>9781032288413</v>
      </c>
      <c r="F13119" s="2" t="str">
        <f>"9781000954135"</f>
        <v>9781000954135</v>
      </c>
    </row>
    <row r="13120" spans="1:6" s="3" customFormat="1" ht="29.1" customHeight="1" x14ac:dyDescent="0.25">
      <c r="A13120" s="2" t="s">
        <v>26318</v>
      </c>
      <c r="B13120" s="2" t="s">
        <v>26319</v>
      </c>
      <c r="C13120" s="2" t="s">
        <v>124</v>
      </c>
      <c r="D13120" s="2" t="s">
        <v>818</v>
      </c>
      <c r="E13120" s="2" t="str">
        <f>"9781032321073"</f>
        <v>9781032321073</v>
      </c>
      <c r="F13120" s="2" t="str">
        <f>"9781000924305"</f>
        <v>9781000924305</v>
      </c>
    </row>
    <row r="13121" spans="1:6" s="3" customFormat="1" ht="29.1" customHeight="1" x14ac:dyDescent="0.25">
      <c r="A13121" s="2" t="s">
        <v>26320</v>
      </c>
      <c r="B13121" s="2" t="s">
        <v>26321</v>
      </c>
      <c r="C13121" s="2" t="s">
        <v>2242</v>
      </c>
      <c r="D13121" s="2" t="s">
        <v>606</v>
      </c>
      <c r="E13121" s="2" t="str">
        <f>"9788024463230"</f>
        <v>9788024463230</v>
      </c>
      <c r="F13121" s="2" t="str">
        <f>"9788024463247"</f>
        <v>9788024463247</v>
      </c>
    </row>
    <row r="13122" spans="1:6" s="3" customFormat="1" ht="29.1" customHeight="1" x14ac:dyDescent="0.25">
      <c r="A13122" s="2" t="s">
        <v>26322</v>
      </c>
      <c r="B13122" s="2" t="s">
        <v>26323</v>
      </c>
      <c r="C13122" s="2" t="s">
        <v>2242</v>
      </c>
      <c r="D13122" s="2" t="s">
        <v>465</v>
      </c>
      <c r="E13122" s="2" t="str">
        <f>"9788024463162"</f>
        <v>9788024463162</v>
      </c>
      <c r="F13122" s="2" t="str">
        <f>"9788024463179"</f>
        <v>9788024463179</v>
      </c>
    </row>
    <row r="13123" spans="1:6" s="3" customFormat="1" ht="29.1" customHeight="1" x14ac:dyDescent="0.25">
      <c r="A13123" s="2" t="s">
        <v>26324</v>
      </c>
      <c r="B13123" s="2" t="s">
        <v>26325</v>
      </c>
      <c r="C13123" s="2" t="s">
        <v>124</v>
      </c>
      <c r="D13123" s="2" t="s">
        <v>14507</v>
      </c>
      <c r="E13123" s="2" t="str">
        <f>"9781032341163"</f>
        <v>9781032341163</v>
      </c>
      <c r="F13123" s="2" t="str">
        <f>"9781000969603"</f>
        <v>9781000969603</v>
      </c>
    </row>
    <row r="13124" spans="1:6" s="3" customFormat="1" ht="29.1" customHeight="1" x14ac:dyDescent="0.25">
      <c r="A13124" s="2" t="s">
        <v>26326</v>
      </c>
      <c r="B13124" s="2" t="s">
        <v>26327</v>
      </c>
      <c r="C13124" s="2" t="s">
        <v>124</v>
      </c>
      <c r="D13124" s="2" t="s">
        <v>353</v>
      </c>
      <c r="E13124" s="2" t="str">
        <f>"9781032275697"</f>
        <v>9781032275697</v>
      </c>
      <c r="F13124" s="2" t="str">
        <f>"9781000959031"</f>
        <v>9781000959031</v>
      </c>
    </row>
    <row r="13125" spans="1:6" s="3" customFormat="1" ht="29.1" customHeight="1" x14ac:dyDescent="0.25">
      <c r="A13125" s="2" t="s">
        <v>26328</v>
      </c>
      <c r="B13125" s="2" t="s">
        <v>26329</v>
      </c>
      <c r="C13125" s="2" t="s">
        <v>264</v>
      </c>
      <c r="D13125" s="2" t="s">
        <v>1959</v>
      </c>
      <c r="E13125" s="2"/>
      <c r="F13125" s="2" t="str">
        <f>"9781000992533"</f>
        <v>9781000992533</v>
      </c>
    </row>
    <row r="13126" spans="1:6" s="3" customFormat="1" ht="29.1" customHeight="1" x14ac:dyDescent="0.25">
      <c r="A13126" s="2" t="s">
        <v>26330</v>
      </c>
      <c r="B13126" s="2" t="s">
        <v>26331</v>
      </c>
      <c r="C13126" s="2" t="s">
        <v>264</v>
      </c>
      <c r="D13126" s="2" t="s">
        <v>2008</v>
      </c>
      <c r="E13126" s="2" t="str">
        <f>"9781032418445"</f>
        <v>9781032418445</v>
      </c>
      <c r="F13126" s="2" t="str">
        <f>"9781000931471"</f>
        <v>9781000931471</v>
      </c>
    </row>
    <row r="13127" spans="1:6" s="3" customFormat="1" ht="29.1" customHeight="1" x14ac:dyDescent="0.25">
      <c r="A13127" s="2" t="s">
        <v>26332</v>
      </c>
      <c r="B13127" s="2" t="s">
        <v>26333</v>
      </c>
      <c r="C13127" s="2" t="s">
        <v>124</v>
      </c>
      <c r="D13127" s="2" t="s">
        <v>553</v>
      </c>
      <c r="E13127" s="2" t="str">
        <f>"9781032484853"</f>
        <v>9781032484853</v>
      </c>
      <c r="F13127" s="2" t="str">
        <f>"9781000935134"</f>
        <v>9781000935134</v>
      </c>
    </row>
    <row r="13128" spans="1:6" s="3" customFormat="1" ht="29.1" customHeight="1" x14ac:dyDescent="0.25">
      <c r="A13128" s="2" t="s">
        <v>26334</v>
      </c>
      <c r="B13128" s="2" t="s">
        <v>26335</v>
      </c>
      <c r="C13128" s="2" t="s">
        <v>124</v>
      </c>
      <c r="D13128" s="2" t="s">
        <v>3656</v>
      </c>
      <c r="E13128" s="2" t="str">
        <f>"9781032265940"</f>
        <v>9781032265940</v>
      </c>
      <c r="F13128" s="2" t="str">
        <f>"9781000890440"</f>
        <v>9781000890440</v>
      </c>
    </row>
    <row r="13129" spans="1:6" s="3" customFormat="1" ht="29.1" customHeight="1" x14ac:dyDescent="0.25">
      <c r="A13129" s="2" t="s">
        <v>26336</v>
      </c>
      <c r="B13129" s="2" t="s">
        <v>26337</v>
      </c>
      <c r="C13129" s="2" t="s">
        <v>62</v>
      </c>
      <c r="D13129" s="2" t="s">
        <v>509</v>
      </c>
      <c r="E13129" s="2" t="str">
        <f>"9783428061938"</f>
        <v>9783428061938</v>
      </c>
      <c r="F13129" s="2" t="str">
        <f>"9783428461936"</f>
        <v>9783428461936</v>
      </c>
    </row>
    <row r="13130" spans="1:6" s="3" customFormat="1" ht="29.1" customHeight="1" x14ac:dyDescent="0.25">
      <c r="A13130" s="2" t="s">
        <v>26338</v>
      </c>
      <c r="B13130" s="2" t="s">
        <v>26339</v>
      </c>
      <c r="C13130" s="2" t="s">
        <v>62</v>
      </c>
      <c r="D13130" s="2" t="s">
        <v>2153</v>
      </c>
      <c r="E13130" s="2" t="str">
        <f>"9783428189533"</f>
        <v>9783428189533</v>
      </c>
      <c r="F13130" s="2" t="str">
        <f>"9783428589531"</f>
        <v>9783428589531</v>
      </c>
    </row>
    <row r="13131" spans="1:6" s="3" customFormat="1" ht="29.1" customHeight="1" x14ac:dyDescent="0.25">
      <c r="A13131" s="2" t="s">
        <v>26340</v>
      </c>
      <c r="B13131" s="2" t="s">
        <v>26341</v>
      </c>
      <c r="C13131" s="2" t="s">
        <v>62</v>
      </c>
      <c r="D13131" s="2" t="s">
        <v>192</v>
      </c>
      <c r="E13131" s="2" t="str">
        <f>"9783428187089"</f>
        <v>9783428187089</v>
      </c>
      <c r="F13131" s="2" t="str">
        <f>"9783428587087"</f>
        <v>9783428587087</v>
      </c>
    </row>
    <row r="13132" spans="1:6" s="3" customFormat="1" ht="29.1" customHeight="1" x14ac:dyDescent="0.25">
      <c r="A13132" s="2" t="s">
        <v>26342</v>
      </c>
      <c r="B13132" s="2" t="s">
        <v>26343</v>
      </c>
      <c r="C13132" s="2" t="s">
        <v>62</v>
      </c>
      <c r="D13132" s="2" t="s">
        <v>210</v>
      </c>
      <c r="E13132" s="2" t="str">
        <f>"9783428117017"</f>
        <v>9783428117017</v>
      </c>
      <c r="F13132" s="2" t="str">
        <f>"9783428517015"</f>
        <v>9783428517015</v>
      </c>
    </row>
    <row r="13133" spans="1:6" s="3" customFormat="1" ht="29.1" customHeight="1" x14ac:dyDescent="0.25">
      <c r="A13133" s="2" t="s">
        <v>26344</v>
      </c>
      <c r="B13133" s="2" t="s">
        <v>26345</v>
      </c>
      <c r="C13133" s="2" t="s">
        <v>62</v>
      </c>
      <c r="D13133" s="2" t="s">
        <v>107</v>
      </c>
      <c r="E13133" s="2" t="str">
        <f>"9783428106158"</f>
        <v>9783428106158</v>
      </c>
      <c r="F13133" s="2" t="str">
        <f>"9783428506156"</f>
        <v>9783428506156</v>
      </c>
    </row>
    <row r="13134" spans="1:6" s="3" customFormat="1" ht="29.1" customHeight="1" x14ac:dyDescent="0.25">
      <c r="A13134" s="2" t="s">
        <v>26346</v>
      </c>
      <c r="B13134" s="2" t="s">
        <v>26347</v>
      </c>
      <c r="C13134" s="2" t="s">
        <v>62</v>
      </c>
      <c r="D13134" s="2" t="s">
        <v>210</v>
      </c>
      <c r="E13134" s="2" t="str">
        <f>"9783428093762"</f>
        <v>9783428093762</v>
      </c>
      <c r="F13134" s="2" t="str">
        <f>"9783428493760"</f>
        <v>9783428493760</v>
      </c>
    </row>
    <row r="13135" spans="1:6" s="3" customFormat="1" ht="29.1" customHeight="1" x14ac:dyDescent="0.25">
      <c r="A13135" s="2" t="s">
        <v>26348</v>
      </c>
      <c r="B13135" s="2" t="s">
        <v>26349</v>
      </c>
      <c r="C13135" s="2" t="s">
        <v>62</v>
      </c>
      <c r="D13135" s="2" t="s">
        <v>63</v>
      </c>
      <c r="E13135" s="2" t="str">
        <f>"9783428090983"</f>
        <v>9783428090983</v>
      </c>
      <c r="F13135" s="2" t="str">
        <f>"9783428490981"</f>
        <v>9783428490981</v>
      </c>
    </row>
    <row r="13136" spans="1:6" s="3" customFormat="1" ht="29.1" customHeight="1" x14ac:dyDescent="0.25">
      <c r="A13136" s="2" t="s">
        <v>26350</v>
      </c>
      <c r="B13136" s="2" t="s">
        <v>26351</v>
      </c>
      <c r="C13136" s="2" t="s">
        <v>62</v>
      </c>
      <c r="D13136" s="2" t="s">
        <v>7000</v>
      </c>
      <c r="E13136" s="2" t="str">
        <f>"9783428078592"</f>
        <v>9783428078592</v>
      </c>
      <c r="F13136" s="2" t="str">
        <f>"9783428478590"</f>
        <v>9783428478590</v>
      </c>
    </row>
    <row r="13137" spans="1:6" s="3" customFormat="1" ht="29.1" customHeight="1" x14ac:dyDescent="0.25">
      <c r="A13137" s="2" t="s">
        <v>26352</v>
      </c>
      <c r="B13137" s="2" t="s">
        <v>26353</v>
      </c>
      <c r="C13137" s="2" t="s">
        <v>62</v>
      </c>
      <c r="D13137" s="2" t="s">
        <v>4742</v>
      </c>
      <c r="E13137" s="2" t="str">
        <f>"9783428072088"</f>
        <v>9783428072088</v>
      </c>
      <c r="F13137" s="2" t="str">
        <f>"9783428472086"</f>
        <v>9783428472086</v>
      </c>
    </row>
    <row r="13138" spans="1:6" s="3" customFormat="1" ht="29.1" customHeight="1" x14ac:dyDescent="0.25">
      <c r="A13138" s="2" t="s">
        <v>26354</v>
      </c>
      <c r="B13138" s="2" t="s">
        <v>26355</v>
      </c>
      <c r="C13138" s="2" t="s">
        <v>62</v>
      </c>
      <c r="D13138" s="2" t="s">
        <v>218</v>
      </c>
      <c r="E13138" s="2" t="str">
        <f>"9783428066834"</f>
        <v>9783428066834</v>
      </c>
      <c r="F13138" s="2" t="str">
        <f>"9783428466832"</f>
        <v>9783428466832</v>
      </c>
    </row>
    <row r="13139" spans="1:6" s="3" customFormat="1" ht="29.1" customHeight="1" x14ac:dyDescent="0.25">
      <c r="A13139" s="2" t="s">
        <v>26356</v>
      </c>
      <c r="B13139" s="2" t="s">
        <v>26357</v>
      </c>
      <c r="C13139" s="2" t="s">
        <v>62</v>
      </c>
      <c r="D13139" s="2" t="s">
        <v>210</v>
      </c>
      <c r="E13139" s="2" t="str">
        <f>"9783428066247"</f>
        <v>9783428066247</v>
      </c>
      <c r="F13139" s="2" t="str">
        <f>"9783428466245"</f>
        <v>9783428466245</v>
      </c>
    </row>
    <row r="13140" spans="1:6" s="3" customFormat="1" ht="29.1" customHeight="1" x14ac:dyDescent="0.25">
      <c r="A13140" s="2" t="s">
        <v>26358</v>
      </c>
      <c r="B13140" s="2" t="s">
        <v>26359</v>
      </c>
      <c r="C13140" s="2" t="s">
        <v>62</v>
      </c>
      <c r="D13140" s="2" t="s">
        <v>210</v>
      </c>
      <c r="E13140" s="2" t="str">
        <f>"9783428066131"</f>
        <v>9783428066131</v>
      </c>
      <c r="F13140" s="2" t="str">
        <f>"9783428466139"</f>
        <v>9783428466139</v>
      </c>
    </row>
    <row r="13141" spans="1:6" s="3" customFormat="1" ht="29.1" customHeight="1" x14ac:dyDescent="0.25">
      <c r="A13141" s="2" t="s">
        <v>26360</v>
      </c>
      <c r="B13141" s="2" t="s">
        <v>26337</v>
      </c>
      <c r="C13141" s="2" t="s">
        <v>62</v>
      </c>
      <c r="D13141" s="2" t="s">
        <v>66</v>
      </c>
      <c r="E13141" s="2" t="str">
        <f>"9783428063376"</f>
        <v>9783428063376</v>
      </c>
      <c r="F13141" s="2" t="str">
        <f>"9783428463374"</f>
        <v>9783428463374</v>
      </c>
    </row>
    <row r="13142" spans="1:6" s="3" customFormat="1" ht="29.1" customHeight="1" x14ac:dyDescent="0.25">
      <c r="A13142" s="2" t="s">
        <v>26361</v>
      </c>
      <c r="B13142" s="2" t="s">
        <v>26337</v>
      </c>
      <c r="C13142" s="2" t="s">
        <v>62</v>
      </c>
      <c r="D13142" s="2" t="s">
        <v>509</v>
      </c>
      <c r="E13142" s="2" t="str">
        <f>"9783428060658"</f>
        <v>9783428060658</v>
      </c>
      <c r="F13142" s="2" t="str">
        <f>"9783428460656"</f>
        <v>9783428460656</v>
      </c>
    </row>
    <row r="13143" spans="1:6" s="3" customFormat="1" ht="29.1" customHeight="1" x14ac:dyDescent="0.25">
      <c r="A13143" s="2" t="s">
        <v>26362</v>
      </c>
      <c r="B13143" s="2" t="s">
        <v>26363</v>
      </c>
      <c r="C13143" s="2" t="s">
        <v>124</v>
      </c>
      <c r="D13143" s="2" t="s">
        <v>712</v>
      </c>
      <c r="E13143" s="2" t="str">
        <f>"9781032009421"</f>
        <v>9781032009421</v>
      </c>
      <c r="F13143" s="2" t="str">
        <f>"9781000955590"</f>
        <v>9781000955590</v>
      </c>
    </row>
    <row r="13144" spans="1:6" s="3" customFormat="1" ht="29.1" customHeight="1" x14ac:dyDescent="0.25">
      <c r="A13144" s="2" t="s">
        <v>1356</v>
      </c>
      <c r="B13144" s="2" t="s">
        <v>2068</v>
      </c>
      <c r="C13144" s="2" t="s">
        <v>1070</v>
      </c>
      <c r="D13144" s="2" t="s">
        <v>1265</v>
      </c>
      <c r="E13144" s="2" t="str">
        <f>"9783318071498"</f>
        <v>9783318071498</v>
      </c>
      <c r="F13144" s="2" t="str">
        <f>"9783318072068"</f>
        <v>9783318072068</v>
      </c>
    </row>
    <row r="13145" spans="1:6" s="3" customFormat="1" ht="29.1" customHeight="1" x14ac:dyDescent="0.25">
      <c r="A13145" s="2" t="s">
        <v>26364</v>
      </c>
      <c r="B13145" s="2" t="s">
        <v>26365</v>
      </c>
      <c r="C13145" s="2" t="s">
        <v>124</v>
      </c>
      <c r="D13145" s="2" t="s">
        <v>9</v>
      </c>
      <c r="E13145" s="2" t="str">
        <f>"9781032360065"</f>
        <v>9781032360065</v>
      </c>
      <c r="F13145" s="2" t="str">
        <f>"9781000930801"</f>
        <v>9781000930801</v>
      </c>
    </row>
    <row r="13146" spans="1:6" s="3" customFormat="1" ht="29.1" customHeight="1" x14ac:dyDescent="0.25">
      <c r="A13146" s="2" t="s">
        <v>26366</v>
      </c>
      <c r="B13146" s="2" t="s">
        <v>26367</v>
      </c>
      <c r="C13146" s="2" t="s">
        <v>927</v>
      </c>
      <c r="D13146" s="2" t="s">
        <v>2208</v>
      </c>
      <c r="E13146" s="2" t="str">
        <f>"9780472056439"</f>
        <v>9780472056439</v>
      </c>
      <c r="F13146" s="2" t="str">
        <f>"9780472903856"</f>
        <v>9780472903856</v>
      </c>
    </row>
    <row r="13147" spans="1:6" s="3" customFormat="1" ht="29.1" customHeight="1" x14ac:dyDescent="0.25">
      <c r="A13147" s="2" t="s">
        <v>26368</v>
      </c>
      <c r="B13147" s="2" t="s">
        <v>26369</v>
      </c>
      <c r="C13147" s="2" t="s">
        <v>124</v>
      </c>
      <c r="D13147" s="2" t="s">
        <v>2513</v>
      </c>
      <c r="E13147" s="2" t="str">
        <f>"9781032412481"</f>
        <v>9781032412481</v>
      </c>
      <c r="F13147" s="2" t="str">
        <f>"9781000935349"</f>
        <v>9781000935349</v>
      </c>
    </row>
    <row r="13148" spans="1:6" s="3" customFormat="1" ht="29.1" customHeight="1" x14ac:dyDescent="0.25">
      <c r="A13148" s="2" t="s">
        <v>26370</v>
      </c>
      <c r="B13148" s="2" t="s">
        <v>26371</v>
      </c>
      <c r="C13148" s="2" t="s">
        <v>927</v>
      </c>
      <c r="D13148" s="2" t="s">
        <v>270</v>
      </c>
      <c r="E13148" s="2" t="str">
        <f>"9780472056385"</f>
        <v>9780472056385</v>
      </c>
      <c r="F13148" s="2" t="str">
        <f>"9780472903771"</f>
        <v>9780472903771</v>
      </c>
    </row>
    <row r="13149" spans="1:6" s="3" customFormat="1" ht="29.1" customHeight="1" x14ac:dyDescent="0.25">
      <c r="A13149" s="2" t="s">
        <v>26372</v>
      </c>
      <c r="B13149" s="2" t="s">
        <v>26373</v>
      </c>
      <c r="C13149" s="2" t="s">
        <v>10973</v>
      </c>
      <c r="D13149" s="2" t="s">
        <v>12131</v>
      </c>
      <c r="E13149" s="2" t="str">
        <f>"9789633866634"</f>
        <v>9789633866634</v>
      </c>
      <c r="F13149" s="2" t="str">
        <f>"9789633866641"</f>
        <v>9789633866641</v>
      </c>
    </row>
    <row r="13150" spans="1:6" s="3" customFormat="1" ht="29.1" customHeight="1" x14ac:dyDescent="0.25">
      <c r="A13150" s="2" t="s">
        <v>26374</v>
      </c>
      <c r="B13150" s="2" t="s">
        <v>26375</v>
      </c>
      <c r="C13150" s="2" t="s">
        <v>15181</v>
      </c>
      <c r="D13150" s="2" t="s">
        <v>5250</v>
      </c>
      <c r="E13150" s="2" t="str">
        <f>"9789633866184"</f>
        <v>9789633866184</v>
      </c>
      <c r="F13150" s="2" t="str">
        <f>"9789633866191"</f>
        <v>9789633866191</v>
      </c>
    </row>
    <row r="13151" spans="1:6" s="3" customFormat="1" ht="29.1" customHeight="1" x14ac:dyDescent="0.25">
      <c r="A13151" s="2" t="s">
        <v>26376</v>
      </c>
      <c r="B13151" s="2" t="s">
        <v>26377</v>
      </c>
      <c r="C13151" s="2" t="s">
        <v>15181</v>
      </c>
      <c r="D13151" s="2" t="s">
        <v>15682</v>
      </c>
      <c r="E13151" s="2" t="str">
        <f>"9789633866498"</f>
        <v>9789633866498</v>
      </c>
      <c r="F13151" s="2" t="str">
        <f>"9789633866504"</f>
        <v>9789633866504</v>
      </c>
    </row>
    <row r="13152" spans="1:6" s="3" customFormat="1" ht="29.1" customHeight="1" x14ac:dyDescent="0.25">
      <c r="A13152" s="2" t="s">
        <v>26378</v>
      </c>
      <c r="B13152" s="2" t="s">
        <v>26379</v>
      </c>
      <c r="C13152" s="2" t="s">
        <v>15181</v>
      </c>
      <c r="D13152" s="2" t="s">
        <v>1669</v>
      </c>
      <c r="E13152" s="2" t="str">
        <f>"9789633866658"</f>
        <v>9789633866658</v>
      </c>
      <c r="F13152" s="2" t="str">
        <f>"9789633866665"</f>
        <v>9789633866665</v>
      </c>
    </row>
    <row r="13153" spans="1:6" s="3" customFormat="1" ht="29.1" customHeight="1" x14ac:dyDescent="0.25">
      <c r="A13153" s="2" t="s">
        <v>26380</v>
      </c>
      <c r="B13153" s="2" t="s">
        <v>26381</v>
      </c>
      <c r="C13153" s="2" t="s">
        <v>15181</v>
      </c>
      <c r="D13153" s="2" t="s">
        <v>1669</v>
      </c>
      <c r="E13153" s="2" t="str">
        <f>"9789633866337"</f>
        <v>9789633866337</v>
      </c>
      <c r="F13153" s="2" t="str">
        <f>"9789633866344"</f>
        <v>9789633866344</v>
      </c>
    </row>
    <row r="13154" spans="1:6" s="3" customFormat="1" ht="29.1" customHeight="1" x14ac:dyDescent="0.25">
      <c r="A13154" s="2" t="s">
        <v>26382</v>
      </c>
      <c r="B13154" s="2" t="s">
        <v>26383</v>
      </c>
      <c r="C13154" s="2" t="s">
        <v>55</v>
      </c>
      <c r="D13154" s="2" t="s">
        <v>5032</v>
      </c>
      <c r="E13154" s="2" t="str">
        <f>"9781526153036"</f>
        <v>9781526153036</v>
      </c>
      <c r="F13154" s="2" t="str">
        <f>"9781526153043"</f>
        <v>9781526153043</v>
      </c>
    </row>
    <row r="13155" spans="1:6" s="3" customFormat="1" ht="29.1" customHeight="1" x14ac:dyDescent="0.25">
      <c r="A13155" s="2" t="s">
        <v>26384</v>
      </c>
      <c r="B13155" s="2" t="s">
        <v>26385</v>
      </c>
      <c r="C13155" s="2" t="s">
        <v>62</v>
      </c>
      <c r="D13155" s="2" t="s">
        <v>210</v>
      </c>
      <c r="E13155" s="2" t="str">
        <f>"9783428123865"</f>
        <v>9783428123865</v>
      </c>
      <c r="F13155" s="2" t="str">
        <f>"9783428523863"</f>
        <v>9783428523863</v>
      </c>
    </row>
    <row r="13156" spans="1:6" s="3" customFormat="1" ht="29.1" customHeight="1" x14ac:dyDescent="0.25">
      <c r="A13156" s="2" t="s">
        <v>26386</v>
      </c>
      <c r="B13156" s="2" t="s">
        <v>26387</v>
      </c>
      <c r="C13156" s="2" t="s">
        <v>62</v>
      </c>
      <c r="D13156" s="2" t="s">
        <v>81</v>
      </c>
      <c r="E13156" s="2" t="str">
        <f>"9783428109647"</f>
        <v>9783428109647</v>
      </c>
      <c r="F13156" s="2" t="str">
        <f>"9783428509645"</f>
        <v>9783428509645</v>
      </c>
    </row>
    <row r="13157" spans="1:6" s="3" customFormat="1" ht="29.1" customHeight="1" x14ac:dyDescent="0.25">
      <c r="A13157" s="2" t="s">
        <v>26388</v>
      </c>
      <c r="B13157" s="2" t="s">
        <v>26389</v>
      </c>
      <c r="C13157" s="2" t="s">
        <v>62</v>
      </c>
      <c r="D13157" s="2" t="s">
        <v>4064</v>
      </c>
      <c r="E13157" s="2" t="str">
        <f>"9783428079810"</f>
        <v>9783428079810</v>
      </c>
      <c r="F13157" s="2" t="str">
        <f>"9783428479818"</f>
        <v>9783428479818</v>
      </c>
    </row>
    <row r="13158" spans="1:6" s="3" customFormat="1" ht="29.1" customHeight="1" x14ac:dyDescent="0.25">
      <c r="A13158" s="2" t="s">
        <v>26390</v>
      </c>
      <c r="B13158" s="2" t="s">
        <v>26359</v>
      </c>
      <c r="C13158" s="2" t="s">
        <v>62</v>
      </c>
      <c r="D13158" s="2" t="s">
        <v>2005</v>
      </c>
      <c r="E13158" s="2" t="str">
        <f>"9783428059188"</f>
        <v>9783428059188</v>
      </c>
      <c r="F13158" s="2" t="str">
        <f>"9783428459186"</f>
        <v>9783428459186</v>
      </c>
    </row>
    <row r="13159" spans="1:6" s="3" customFormat="1" ht="29.1" customHeight="1" x14ac:dyDescent="0.25">
      <c r="A13159" s="2" t="s">
        <v>26391</v>
      </c>
      <c r="B13159" s="2" t="s">
        <v>26392</v>
      </c>
      <c r="C13159" s="2" t="s">
        <v>62</v>
      </c>
      <c r="D13159" s="2" t="s">
        <v>210</v>
      </c>
      <c r="E13159" s="2" t="str">
        <f>"9783428108145"</f>
        <v>9783428108145</v>
      </c>
      <c r="F13159" s="2" t="str">
        <f>"9783428508143"</f>
        <v>9783428508143</v>
      </c>
    </row>
    <row r="13160" spans="1:6" s="3" customFormat="1" ht="29.1" customHeight="1" x14ac:dyDescent="0.25">
      <c r="A13160" s="2" t="s">
        <v>26393</v>
      </c>
      <c r="B13160" s="2" t="s">
        <v>26394</v>
      </c>
      <c r="C13160" s="2" t="s">
        <v>124</v>
      </c>
      <c r="D13160" s="2" t="s">
        <v>758</v>
      </c>
      <c r="E13160" s="2" t="str">
        <f>"9781032397948"</f>
        <v>9781032397948</v>
      </c>
      <c r="F13160" s="2" t="str">
        <f>"9781000964288"</f>
        <v>9781000964288</v>
      </c>
    </row>
    <row r="13161" spans="1:6" s="3" customFormat="1" ht="29.1" customHeight="1" x14ac:dyDescent="0.25">
      <c r="A13161" s="2" t="s">
        <v>26395</v>
      </c>
      <c r="B13161" s="2" t="s">
        <v>26396</v>
      </c>
      <c r="C13161" s="2" t="s">
        <v>124</v>
      </c>
      <c r="D13161" s="2" t="s">
        <v>81</v>
      </c>
      <c r="E13161" s="2" t="str">
        <f>"9781032001258"</f>
        <v>9781032001258</v>
      </c>
      <c r="F13161" s="2" t="str">
        <f>"9781000959444"</f>
        <v>9781000959444</v>
      </c>
    </row>
    <row r="13162" spans="1:6" s="3" customFormat="1" ht="29.1" customHeight="1" x14ac:dyDescent="0.25">
      <c r="A13162" s="2" t="s">
        <v>26397</v>
      </c>
      <c r="B13162" s="2" t="s">
        <v>26398</v>
      </c>
      <c r="C13162" s="2" t="s">
        <v>10316</v>
      </c>
      <c r="D13162" s="2" t="s">
        <v>2361</v>
      </c>
      <c r="E13162" s="2" t="str">
        <f>"9786050707359"</f>
        <v>9786050707359</v>
      </c>
      <c r="F13162" s="2" t="str">
        <f>"9786050707304"</f>
        <v>9786050707304</v>
      </c>
    </row>
    <row r="13163" spans="1:6" s="3" customFormat="1" ht="29.1" customHeight="1" x14ac:dyDescent="0.25">
      <c r="A13163" s="2" t="s">
        <v>26399</v>
      </c>
      <c r="B13163" s="2" t="s">
        <v>26400</v>
      </c>
      <c r="C13163" s="2" t="s">
        <v>2129</v>
      </c>
      <c r="D13163" s="2" t="s">
        <v>1883</v>
      </c>
      <c r="E13163" s="2" t="str">
        <f>"9781438496290"</f>
        <v>9781438496290</v>
      </c>
      <c r="F13163" s="2" t="str">
        <f>"9781438496313"</f>
        <v>9781438496313</v>
      </c>
    </row>
    <row r="13164" spans="1:6" s="3" customFormat="1" ht="29.1" customHeight="1" x14ac:dyDescent="0.25">
      <c r="A13164" s="2" t="s">
        <v>26401</v>
      </c>
      <c r="B13164" s="2" t="s">
        <v>26402</v>
      </c>
      <c r="C13164" s="2" t="s">
        <v>195</v>
      </c>
      <c r="D13164" s="2" t="s">
        <v>6678</v>
      </c>
      <c r="E13164" s="2" t="str">
        <f>"9783110676228"</f>
        <v>9783110676228</v>
      </c>
      <c r="F13164" s="2" t="str">
        <f>"9783110679137"</f>
        <v>9783110679137</v>
      </c>
    </row>
    <row r="13165" spans="1:6" s="3" customFormat="1" ht="29.1" customHeight="1" x14ac:dyDescent="0.25">
      <c r="A13165" s="2" t="s">
        <v>26403</v>
      </c>
      <c r="B13165" s="2" t="s">
        <v>26404</v>
      </c>
      <c r="C13165" s="2" t="s">
        <v>10316</v>
      </c>
      <c r="D13165" s="2" t="s">
        <v>101</v>
      </c>
      <c r="E13165" s="2"/>
      <c r="F13165" s="2" t="str">
        <f>"9786050707427"</f>
        <v>9786050707427</v>
      </c>
    </row>
    <row r="13166" spans="1:6" s="3" customFormat="1" ht="29.1" customHeight="1" x14ac:dyDescent="0.25">
      <c r="A13166" s="2" t="s">
        <v>26405</v>
      </c>
      <c r="B13166" s="2" t="s">
        <v>26406</v>
      </c>
      <c r="C13166" s="2" t="s">
        <v>10316</v>
      </c>
      <c r="D13166" s="2" t="s">
        <v>10407</v>
      </c>
      <c r="E13166" s="2"/>
      <c r="F13166" s="2" t="str">
        <f>"9786050712834"</f>
        <v>9786050712834</v>
      </c>
    </row>
    <row r="13167" spans="1:6" s="3" customFormat="1" ht="29.1" customHeight="1" x14ac:dyDescent="0.25">
      <c r="A13167" s="2" t="s">
        <v>26407</v>
      </c>
      <c r="B13167" s="2" t="s">
        <v>26408</v>
      </c>
      <c r="C13167" s="2" t="s">
        <v>10316</v>
      </c>
      <c r="D13167" s="2" t="s">
        <v>6247</v>
      </c>
      <c r="E13167" s="2" t="str">
        <f>"9786050714364"</f>
        <v>9786050714364</v>
      </c>
      <c r="F13167" s="2" t="str">
        <f>"9786050714111"</f>
        <v>9786050714111</v>
      </c>
    </row>
    <row r="13168" spans="1:6" s="3" customFormat="1" ht="29.1" customHeight="1" x14ac:dyDescent="0.25">
      <c r="A13168" s="2" t="s">
        <v>26409</v>
      </c>
      <c r="B13168" s="2" t="s">
        <v>26410</v>
      </c>
      <c r="C13168" s="2" t="s">
        <v>10316</v>
      </c>
      <c r="D13168" s="2" t="s">
        <v>16287</v>
      </c>
      <c r="E13168" s="2"/>
      <c r="F13168" s="2" t="str">
        <f>"9786050714104"</f>
        <v>9786050714104</v>
      </c>
    </row>
    <row r="13169" spans="1:6" s="3" customFormat="1" ht="29.1" customHeight="1" x14ac:dyDescent="0.25">
      <c r="A13169" s="2" t="s">
        <v>26411</v>
      </c>
      <c r="B13169" s="2" t="s">
        <v>26412</v>
      </c>
      <c r="C13169" s="2" t="s">
        <v>10316</v>
      </c>
      <c r="D13169" s="2" t="s">
        <v>1416</v>
      </c>
      <c r="E13169" s="2" t="str">
        <f>"9786050707380"</f>
        <v>9786050707380</v>
      </c>
      <c r="F13169" s="2" t="str">
        <f>"9786050707397"</f>
        <v>9786050707397</v>
      </c>
    </row>
    <row r="13170" spans="1:6" s="3" customFormat="1" ht="29.1" customHeight="1" x14ac:dyDescent="0.25">
      <c r="A13170" s="2" t="s">
        <v>26413</v>
      </c>
      <c r="B13170" s="2" t="s">
        <v>26414</v>
      </c>
      <c r="C13170" s="2" t="s">
        <v>10316</v>
      </c>
      <c r="D13170" s="2" t="s">
        <v>712</v>
      </c>
      <c r="E13170" s="2"/>
      <c r="F13170" s="2" t="str">
        <f>"9786050707564"</f>
        <v>9786050707564</v>
      </c>
    </row>
    <row r="13171" spans="1:6" s="3" customFormat="1" ht="29.1" customHeight="1" x14ac:dyDescent="0.25">
      <c r="A13171" s="2" t="s">
        <v>26415</v>
      </c>
      <c r="B13171" s="2" t="s">
        <v>26416</v>
      </c>
      <c r="C13171" s="2" t="s">
        <v>10316</v>
      </c>
      <c r="D13171" s="2" t="s">
        <v>183</v>
      </c>
      <c r="E13171" s="2"/>
      <c r="F13171" s="2" t="str">
        <f>"9786050708073"</f>
        <v>9786050708073</v>
      </c>
    </row>
    <row r="13172" spans="1:6" s="3" customFormat="1" ht="29.1" customHeight="1" x14ac:dyDescent="0.25">
      <c r="A13172" s="2" t="s">
        <v>26417</v>
      </c>
      <c r="B13172" s="2" t="s">
        <v>26418</v>
      </c>
      <c r="C13172" s="2" t="s">
        <v>10316</v>
      </c>
      <c r="D13172" s="2" t="s">
        <v>10064</v>
      </c>
      <c r="E13172" s="2" t="str">
        <f>"9786050708325"</f>
        <v>9786050708325</v>
      </c>
      <c r="F13172" s="2" t="str">
        <f>"9786050708271"</f>
        <v>9786050708271</v>
      </c>
    </row>
    <row r="13173" spans="1:6" s="3" customFormat="1" ht="29.1" customHeight="1" x14ac:dyDescent="0.25">
      <c r="A13173" s="2" t="s">
        <v>26419</v>
      </c>
      <c r="B13173" s="2" t="s">
        <v>26420</v>
      </c>
      <c r="C13173" s="2" t="s">
        <v>10316</v>
      </c>
      <c r="D13173" s="2" t="s">
        <v>3172</v>
      </c>
      <c r="E13173" s="2" t="str">
        <f>"9786050709292"</f>
        <v>9786050709292</v>
      </c>
      <c r="F13173" s="2" t="str">
        <f>"9786050708295"</f>
        <v>9786050708295</v>
      </c>
    </row>
    <row r="13174" spans="1:6" s="3" customFormat="1" ht="29.1" customHeight="1" x14ac:dyDescent="0.25">
      <c r="A13174" s="2" t="s">
        <v>26421</v>
      </c>
      <c r="B13174" s="2" t="s">
        <v>26422</v>
      </c>
      <c r="C13174" s="2" t="s">
        <v>10316</v>
      </c>
      <c r="D13174" s="2" t="s">
        <v>3281</v>
      </c>
      <c r="E13174" s="2"/>
      <c r="F13174" s="2" t="str">
        <f>"9786050708899"</f>
        <v>9786050708899</v>
      </c>
    </row>
    <row r="13175" spans="1:6" s="3" customFormat="1" ht="29.1" customHeight="1" x14ac:dyDescent="0.25">
      <c r="A13175" s="2" t="s">
        <v>26423</v>
      </c>
      <c r="B13175" s="2" t="s">
        <v>26424</v>
      </c>
      <c r="C13175" s="2" t="s">
        <v>10316</v>
      </c>
      <c r="D13175" s="2" t="s">
        <v>1416</v>
      </c>
      <c r="E13175" s="2" t="str">
        <f>"9786050709636"</f>
        <v>9786050709636</v>
      </c>
      <c r="F13175" s="2" t="str">
        <f>"9786050709322"</f>
        <v>9786050709322</v>
      </c>
    </row>
    <row r="13176" spans="1:6" s="3" customFormat="1" ht="29.1" customHeight="1" x14ac:dyDescent="0.25">
      <c r="A13176" s="2" t="s">
        <v>26425</v>
      </c>
      <c r="B13176" s="2" t="s">
        <v>26426</v>
      </c>
      <c r="C13176" s="2" t="s">
        <v>10316</v>
      </c>
      <c r="D13176" s="2" t="s">
        <v>758</v>
      </c>
      <c r="E13176" s="2"/>
      <c r="F13176" s="2" t="str">
        <f>"9786050713046"</f>
        <v>9786050713046</v>
      </c>
    </row>
    <row r="13177" spans="1:6" s="3" customFormat="1" ht="29.1" customHeight="1" x14ac:dyDescent="0.25">
      <c r="A13177" s="2" t="s">
        <v>26427</v>
      </c>
      <c r="B13177" s="2" t="s">
        <v>26428</v>
      </c>
      <c r="C13177" s="2" t="s">
        <v>10316</v>
      </c>
      <c r="D13177" s="2" t="s">
        <v>313</v>
      </c>
      <c r="E13177" s="2"/>
      <c r="F13177" s="2" t="str">
        <f>"9786050708059"</f>
        <v>9786050708059</v>
      </c>
    </row>
    <row r="13178" spans="1:6" s="3" customFormat="1" ht="29.1" customHeight="1" x14ac:dyDescent="0.25">
      <c r="A13178" s="2" t="s">
        <v>26429</v>
      </c>
      <c r="B13178" s="2" t="s">
        <v>26431</v>
      </c>
      <c r="C13178" s="2" t="s">
        <v>10316</v>
      </c>
      <c r="D13178" s="2" t="s">
        <v>26430</v>
      </c>
      <c r="E13178" s="2"/>
      <c r="F13178" s="2" t="str">
        <f>"9786050708417"</f>
        <v>9786050708417</v>
      </c>
    </row>
    <row r="13179" spans="1:6" s="3" customFormat="1" ht="29.1" customHeight="1" x14ac:dyDescent="0.25">
      <c r="A13179" s="2" t="s">
        <v>26432</v>
      </c>
      <c r="B13179" s="2" t="s">
        <v>26433</v>
      </c>
      <c r="C13179" s="2" t="s">
        <v>10316</v>
      </c>
      <c r="D13179" s="2" t="s">
        <v>1557</v>
      </c>
      <c r="E13179" s="2" t="str">
        <f>"9786050706994"</f>
        <v>9786050706994</v>
      </c>
      <c r="F13179" s="2" t="str">
        <f>"9786050706895"</f>
        <v>9786050706895</v>
      </c>
    </row>
    <row r="13180" spans="1:6" s="3" customFormat="1" ht="29.1" customHeight="1" x14ac:dyDescent="0.25">
      <c r="A13180" s="2" t="s">
        <v>26434</v>
      </c>
      <c r="B13180" s="2" t="s">
        <v>26436</v>
      </c>
      <c r="C13180" s="2" t="s">
        <v>10316</v>
      </c>
      <c r="D13180" s="2" t="s">
        <v>26435</v>
      </c>
      <c r="E13180" s="2" t="str">
        <f>"9786050707588"</f>
        <v>9786050707588</v>
      </c>
      <c r="F13180" s="2" t="str">
        <f>"9786050707540"</f>
        <v>9786050707540</v>
      </c>
    </row>
    <row r="13181" spans="1:6" s="3" customFormat="1" ht="29.1" customHeight="1" x14ac:dyDescent="0.25">
      <c r="A13181" s="2" t="s">
        <v>26437</v>
      </c>
      <c r="B13181" s="2" t="s">
        <v>26438</v>
      </c>
      <c r="C13181" s="2" t="s">
        <v>10316</v>
      </c>
      <c r="D13181" s="2" t="s">
        <v>192</v>
      </c>
      <c r="E13181" s="2" t="str">
        <f>"9786050707496"</f>
        <v>9786050707496</v>
      </c>
      <c r="F13181" s="2" t="str">
        <f>"9786050707489"</f>
        <v>9786050707489</v>
      </c>
    </row>
    <row r="13182" spans="1:6" s="3" customFormat="1" ht="29.1" customHeight="1" x14ac:dyDescent="0.25">
      <c r="A13182" s="2" t="s">
        <v>26439</v>
      </c>
      <c r="B13182" s="2" t="s">
        <v>26426</v>
      </c>
      <c r="C13182" s="2" t="s">
        <v>10316</v>
      </c>
      <c r="D13182" s="2" t="s">
        <v>6744</v>
      </c>
      <c r="E13182" s="2" t="str">
        <f>"9786050712889"</f>
        <v>9786050712889</v>
      </c>
      <c r="F13182" s="2" t="str">
        <f>"9786050712841"</f>
        <v>9786050712841</v>
      </c>
    </row>
    <row r="13183" spans="1:6" s="3" customFormat="1" ht="29.1" customHeight="1" x14ac:dyDescent="0.25">
      <c r="A13183" s="2" t="s">
        <v>26440</v>
      </c>
      <c r="B13183" s="2" t="s">
        <v>26442</v>
      </c>
      <c r="C13183" s="2" t="s">
        <v>10316</v>
      </c>
      <c r="D13183" s="2" t="s">
        <v>26441</v>
      </c>
      <c r="E13183" s="2" t="str">
        <f>"9786050707946"</f>
        <v>9786050707946</v>
      </c>
      <c r="F13183" s="2" t="str">
        <f>"9786050707649"</f>
        <v>9786050707649</v>
      </c>
    </row>
    <row r="13184" spans="1:6" s="3" customFormat="1" ht="29.1" customHeight="1" x14ac:dyDescent="0.25">
      <c r="A13184" s="2" t="s">
        <v>26443</v>
      </c>
      <c r="B13184" s="2" t="s">
        <v>26444</v>
      </c>
      <c r="C13184" s="2" t="s">
        <v>10316</v>
      </c>
      <c r="D13184" s="2" t="s">
        <v>553</v>
      </c>
      <c r="E13184" s="2"/>
      <c r="F13184" s="2" t="str">
        <f>"9786050707403"</f>
        <v>9786050707403</v>
      </c>
    </row>
    <row r="13185" spans="1:6" s="3" customFormat="1" ht="29.1" customHeight="1" x14ac:dyDescent="0.25">
      <c r="A13185" s="2" t="s">
        <v>26445</v>
      </c>
      <c r="B13185" s="2" t="s">
        <v>26446</v>
      </c>
      <c r="C13185" s="2" t="s">
        <v>10316</v>
      </c>
      <c r="D13185" s="2" t="s">
        <v>18534</v>
      </c>
      <c r="E13185" s="2"/>
      <c r="F13185" s="2" t="str">
        <f>"9786050712858"</f>
        <v>9786050712858</v>
      </c>
    </row>
    <row r="13186" spans="1:6" s="3" customFormat="1" ht="29.1" customHeight="1" x14ac:dyDescent="0.25">
      <c r="A13186" s="2" t="s">
        <v>26447</v>
      </c>
      <c r="B13186" s="2" t="s">
        <v>26448</v>
      </c>
      <c r="C13186" s="2" t="s">
        <v>10316</v>
      </c>
      <c r="D13186" s="2" t="s">
        <v>25384</v>
      </c>
      <c r="E13186" s="2"/>
      <c r="F13186" s="2" t="str">
        <f>"9786050707984"</f>
        <v>9786050707984</v>
      </c>
    </row>
    <row r="13187" spans="1:6" s="3" customFormat="1" ht="29.1" customHeight="1" x14ac:dyDescent="0.25">
      <c r="A13187" s="2" t="s">
        <v>26449</v>
      </c>
      <c r="B13187" s="2" t="s">
        <v>26450</v>
      </c>
      <c r="C13187" s="2" t="s">
        <v>10316</v>
      </c>
      <c r="D13187" s="2" t="s">
        <v>15191</v>
      </c>
      <c r="E13187" s="2"/>
      <c r="F13187" s="2" t="str">
        <f>"9786050710410"</f>
        <v>9786050710410</v>
      </c>
    </row>
    <row r="13188" spans="1:6" s="3" customFormat="1" ht="29.1" customHeight="1" x14ac:dyDescent="0.25">
      <c r="A13188" s="2" t="s">
        <v>26451</v>
      </c>
      <c r="B13188" s="2" t="s">
        <v>26452</v>
      </c>
      <c r="C13188" s="2" t="s">
        <v>10316</v>
      </c>
      <c r="D13188" s="2" t="s">
        <v>6965</v>
      </c>
      <c r="E13188" s="2"/>
      <c r="F13188" s="2" t="str">
        <f>"9786050712865"</f>
        <v>9786050712865</v>
      </c>
    </row>
    <row r="13189" spans="1:6" s="3" customFormat="1" ht="29.1" customHeight="1" x14ac:dyDescent="0.25">
      <c r="A13189" s="2" t="s">
        <v>26453</v>
      </c>
      <c r="B13189" s="2" t="s">
        <v>26454</v>
      </c>
      <c r="C13189" s="2" t="s">
        <v>10316</v>
      </c>
      <c r="D13189" s="2" t="s">
        <v>1932</v>
      </c>
      <c r="E13189" s="2" t="str">
        <f>"9786050707625"</f>
        <v>9786050707625</v>
      </c>
      <c r="F13189" s="2" t="str">
        <f>"9786050707618"</f>
        <v>9786050707618</v>
      </c>
    </row>
    <row r="13190" spans="1:6" s="3" customFormat="1" ht="29.1" customHeight="1" x14ac:dyDescent="0.25">
      <c r="A13190" s="2" t="s">
        <v>26455</v>
      </c>
      <c r="B13190" s="2" t="s">
        <v>26456</v>
      </c>
      <c r="C13190" s="2" t="s">
        <v>10316</v>
      </c>
      <c r="D13190" s="2" t="s">
        <v>724</v>
      </c>
      <c r="E13190" s="2"/>
      <c r="F13190" s="2" t="str">
        <f>"9786050707410"</f>
        <v>9786050707410</v>
      </c>
    </row>
    <row r="13191" spans="1:6" s="3" customFormat="1" ht="29.1" customHeight="1" x14ac:dyDescent="0.25">
      <c r="A13191" s="2" t="s">
        <v>26457</v>
      </c>
      <c r="B13191" s="2" t="s">
        <v>26458</v>
      </c>
      <c r="C13191" s="2" t="s">
        <v>10316</v>
      </c>
      <c r="D13191" s="2" t="s">
        <v>894</v>
      </c>
      <c r="E13191" s="2" t="str">
        <f>"9786050707335"</f>
        <v>9786050707335</v>
      </c>
      <c r="F13191" s="2" t="str">
        <f>"9786050707281"</f>
        <v>9786050707281</v>
      </c>
    </row>
    <row r="13192" spans="1:6" s="3" customFormat="1" ht="29.1" customHeight="1" x14ac:dyDescent="0.25">
      <c r="A13192" s="2" t="s">
        <v>26459</v>
      </c>
      <c r="B13192" s="2" t="s">
        <v>26461</v>
      </c>
      <c r="C13192" s="2" t="s">
        <v>10316</v>
      </c>
      <c r="D13192" s="2" t="s">
        <v>26460</v>
      </c>
      <c r="E13192" s="2" t="str">
        <f>"9786050707922"</f>
        <v>9786050707922</v>
      </c>
      <c r="F13192" s="2" t="str">
        <f>"9786050707816"</f>
        <v>9786050707816</v>
      </c>
    </row>
    <row r="13193" spans="1:6" s="3" customFormat="1" ht="29.1" customHeight="1" x14ac:dyDescent="0.25">
      <c r="A13193" s="2" t="s">
        <v>26462</v>
      </c>
      <c r="B13193" s="2" t="s">
        <v>26463</v>
      </c>
      <c r="C13193" s="2" t="s">
        <v>10316</v>
      </c>
      <c r="D13193" s="2" t="s">
        <v>1189</v>
      </c>
      <c r="E13193" s="2" t="str">
        <f>"9786050707908"</f>
        <v>9786050707908</v>
      </c>
      <c r="F13193" s="2" t="str">
        <f>"9786050707809"</f>
        <v>9786050707809</v>
      </c>
    </row>
    <row r="13194" spans="1:6" s="3" customFormat="1" ht="29.1" customHeight="1" x14ac:dyDescent="0.25">
      <c r="A13194" s="2" t="s">
        <v>26464</v>
      </c>
      <c r="B13194" s="2" t="s">
        <v>26465</v>
      </c>
      <c r="C13194" s="2" t="s">
        <v>10316</v>
      </c>
      <c r="D13194" s="2" t="s">
        <v>15191</v>
      </c>
      <c r="E13194" s="2"/>
      <c r="F13194" s="2" t="str">
        <f>"9786050713091"</f>
        <v>9786050713091</v>
      </c>
    </row>
    <row r="13195" spans="1:6" s="3" customFormat="1" ht="29.1" customHeight="1" x14ac:dyDescent="0.25">
      <c r="A13195" s="2" t="s">
        <v>26466</v>
      </c>
      <c r="B13195" s="2" t="s">
        <v>26467</v>
      </c>
      <c r="C13195" s="2" t="s">
        <v>10316</v>
      </c>
      <c r="D13195" s="2" t="s">
        <v>5032</v>
      </c>
      <c r="E13195" s="2"/>
      <c r="F13195" s="2" t="str">
        <f>"9786050713053"</f>
        <v>9786050713053</v>
      </c>
    </row>
    <row r="13196" spans="1:6" s="3" customFormat="1" ht="29.1" customHeight="1" x14ac:dyDescent="0.25">
      <c r="A13196" s="2" t="s">
        <v>26468</v>
      </c>
      <c r="B13196" s="2" t="s">
        <v>26469</v>
      </c>
      <c r="C13196" s="2" t="s">
        <v>10316</v>
      </c>
      <c r="D13196" s="2" t="s">
        <v>5032</v>
      </c>
      <c r="E13196" s="2" t="str">
        <f>"9786050707519"</f>
        <v>9786050707519</v>
      </c>
      <c r="F13196" s="2" t="str">
        <f>"9786050707502"</f>
        <v>9786050707502</v>
      </c>
    </row>
    <row r="13197" spans="1:6" s="3" customFormat="1" ht="29.1" customHeight="1" x14ac:dyDescent="0.25">
      <c r="A13197" s="2" t="s">
        <v>26470</v>
      </c>
      <c r="B13197" s="2" t="s">
        <v>26471</v>
      </c>
      <c r="C13197" s="2" t="s">
        <v>10316</v>
      </c>
      <c r="D13197" s="2" t="s">
        <v>1437</v>
      </c>
      <c r="E13197" s="2"/>
      <c r="F13197" s="2" t="str">
        <f>"9786050707212"</f>
        <v>9786050707212</v>
      </c>
    </row>
    <row r="13198" spans="1:6" s="3" customFormat="1" ht="29.1" customHeight="1" x14ac:dyDescent="0.25">
      <c r="A13198" s="2" t="s">
        <v>26472</v>
      </c>
      <c r="B13198" s="2" t="s">
        <v>26473</v>
      </c>
      <c r="C13198" s="2" t="s">
        <v>10316</v>
      </c>
      <c r="D13198" s="2" t="s">
        <v>183</v>
      </c>
      <c r="E13198" s="2"/>
      <c r="F13198" s="2" t="str">
        <f>"9786050712261"</f>
        <v>9786050712261</v>
      </c>
    </row>
    <row r="13199" spans="1:6" s="3" customFormat="1" ht="29.1" customHeight="1" x14ac:dyDescent="0.25">
      <c r="A13199" s="2" t="s">
        <v>26474</v>
      </c>
      <c r="B13199" s="2" t="s">
        <v>26475</v>
      </c>
      <c r="C13199" s="2" t="s">
        <v>10316</v>
      </c>
      <c r="D13199" s="2" t="s">
        <v>17411</v>
      </c>
      <c r="E13199" s="2" t="str">
        <f>"9786050712902"</f>
        <v>9786050712902</v>
      </c>
      <c r="F13199" s="2" t="str">
        <f>"9786050709995"</f>
        <v>9786050709995</v>
      </c>
    </row>
    <row r="13200" spans="1:6" s="3" customFormat="1" ht="29.1" customHeight="1" x14ac:dyDescent="0.25">
      <c r="A13200" s="2" t="s">
        <v>26476</v>
      </c>
      <c r="B13200" s="2" t="s">
        <v>26477</v>
      </c>
      <c r="C13200" s="2" t="s">
        <v>10316</v>
      </c>
      <c r="D13200" s="2" t="s">
        <v>7640</v>
      </c>
      <c r="E13200" s="2"/>
      <c r="F13200" s="2" t="str">
        <f>"9786050707557"</f>
        <v>9786050707557</v>
      </c>
    </row>
    <row r="13201" spans="1:6" s="3" customFormat="1" ht="29.1" customHeight="1" x14ac:dyDescent="0.25">
      <c r="A13201" s="2" t="s">
        <v>26478</v>
      </c>
      <c r="B13201" s="2" t="s">
        <v>26479</v>
      </c>
      <c r="C13201" s="2" t="s">
        <v>10316</v>
      </c>
      <c r="D13201" s="2" t="s">
        <v>353</v>
      </c>
      <c r="E13201" s="2"/>
      <c r="F13201" s="2" t="str">
        <f>"9786050707144"</f>
        <v>9786050707144</v>
      </c>
    </row>
    <row r="13202" spans="1:6" s="3" customFormat="1" ht="29.1" customHeight="1" x14ac:dyDescent="0.25">
      <c r="A13202" s="2" t="s">
        <v>26480</v>
      </c>
      <c r="B13202" s="2" t="s">
        <v>26481</v>
      </c>
      <c r="C13202" s="2" t="s">
        <v>10316</v>
      </c>
      <c r="D13202" s="2" t="s">
        <v>10407</v>
      </c>
      <c r="E13202" s="2" t="str">
        <f>"9786050712896"</f>
        <v>9786050712896</v>
      </c>
      <c r="F13202" s="2" t="str">
        <f>"9786050709964"</f>
        <v>9786050709964</v>
      </c>
    </row>
    <row r="13203" spans="1:6" s="3" customFormat="1" ht="29.1" customHeight="1" x14ac:dyDescent="0.25">
      <c r="A13203" s="2" t="s">
        <v>26482</v>
      </c>
      <c r="B13203" s="2" t="s">
        <v>13094</v>
      </c>
      <c r="C13203" s="2" t="s">
        <v>10316</v>
      </c>
      <c r="D13203" s="2" t="s">
        <v>26483</v>
      </c>
      <c r="E13203" s="2" t="str">
        <f>"9786050709629"</f>
        <v>9786050709629</v>
      </c>
      <c r="F13203" s="2" t="str">
        <f>"9786050709315"</f>
        <v>9786050709315</v>
      </c>
    </row>
    <row r="13204" spans="1:6" s="3" customFormat="1" ht="29.1" customHeight="1" x14ac:dyDescent="0.25">
      <c r="A13204" s="2" t="s">
        <v>26484</v>
      </c>
      <c r="B13204" s="2" t="s">
        <v>26486</v>
      </c>
      <c r="C13204" s="2" t="s">
        <v>10316</v>
      </c>
      <c r="D13204" s="2" t="s">
        <v>26485</v>
      </c>
      <c r="E13204" s="2"/>
      <c r="F13204" s="2" t="str">
        <f>"9786050708349"</f>
        <v>9786050708349</v>
      </c>
    </row>
    <row r="13205" spans="1:6" s="3" customFormat="1" ht="29.1" customHeight="1" x14ac:dyDescent="0.25">
      <c r="A13205" s="2" t="s">
        <v>26487</v>
      </c>
      <c r="B13205" s="2" t="s">
        <v>26488</v>
      </c>
      <c r="C13205" s="2" t="s">
        <v>10316</v>
      </c>
      <c r="D13205" s="2" t="s">
        <v>273</v>
      </c>
      <c r="E13205" s="2" t="str">
        <f>"9786050707878"</f>
        <v>9786050707878</v>
      </c>
      <c r="F13205" s="2" t="str">
        <f>"9786050707854"</f>
        <v>9786050707854</v>
      </c>
    </row>
    <row r="13206" spans="1:6" s="3" customFormat="1" ht="29.1" customHeight="1" x14ac:dyDescent="0.25">
      <c r="A13206" s="2" t="s">
        <v>26489</v>
      </c>
      <c r="B13206" s="2" t="s">
        <v>26490</v>
      </c>
      <c r="C13206" s="2" t="s">
        <v>10316</v>
      </c>
      <c r="D13206" s="2" t="s">
        <v>1806</v>
      </c>
      <c r="E13206" s="2" t="str">
        <f>"9786050707977"</f>
        <v>9786050707977</v>
      </c>
      <c r="F13206" s="2" t="str">
        <f>"9786050707960"</f>
        <v>9786050707960</v>
      </c>
    </row>
    <row r="13207" spans="1:6" s="3" customFormat="1" ht="29.1" customHeight="1" x14ac:dyDescent="0.25">
      <c r="A13207" s="2" t="s">
        <v>26491</v>
      </c>
      <c r="B13207" s="2" t="s">
        <v>26398</v>
      </c>
      <c r="C13207" s="2" t="s">
        <v>10316</v>
      </c>
      <c r="D13207" s="2" t="s">
        <v>2361</v>
      </c>
      <c r="E13207" s="2" t="str">
        <f>"9786050707342"</f>
        <v>9786050707342</v>
      </c>
      <c r="F13207" s="2" t="str">
        <f>"9786050707298"</f>
        <v>9786050707298</v>
      </c>
    </row>
    <row r="13208" spans="1:6" s="3" customFormat="1" ht="29.1" customHeight="1" x14ac:dyDescent="0.25">
      <c r="A13208" s="2" t="s">
        <v>26492</v>
      </c>
      <c r="B13208" s="2" t="s">
        <v>26465</v>
      </c>
      <c r="C13208" s="2" t="s">
        <v>10316</v>
      </c>
      <c r="D13208" s="2" t="s">
        <v>15191</v>
      </c>
      <c r="E13208" s="2"/>
      <c r="F13208" s="2" t="str">
        <f>"9786050707731"</f>
        <v>9786050707731</v>
      </c>
    </row>
    <row r="13209" spans="1:6" s="3" customFormat="1" ht="29.1" customHeight="1" x14ac:dyDescent="0.25">
      <c r="A13209" s="2" t="s">
        <v>26493</v>
      </c>
      <c r="B13209" s="2" t="s">
        <v>26494</v>
      </c>
      <c r="C13209" s="2" t="s">
        <v>10316</v>
      </c>
      <c r="D13209" s="2" t="s">
        <v>639</v>
      </c>
      <c r="E13209" s="2" t="str">
        <f>"9786050707373"</f>
        <v>9786050707373</v>
      </c>
      <c r="F13209" s="2" t="str">
        <f>"9786050707274"</f>
        <v>9786050707274</v>
      </c>
    </row>
    <row r="13210" spans="1:6" s="3" customFormat="1" ht="29.1" customHeight="1" x14ac:dyDescent="0.25">
      <c r="A13210" s="2" t="s">
        <v>26495</v>
      </c>
      <c r="B13210" s="2" t="s">
        <v>26496</v>
      </c>
      <c r="C13210" s="2" t="s">
        <v>10316</v>
      </c>
      <c r="D13210" s="2" t="s">
        <v>4700</v>
      </c>
      <c r="E13210" s="2"/>
      <c r="F13210" s="2" t="str">
        <f>"9786050707472"</f>
        <v>9786050707472</v>
      </c>
    </row>
    <row r="13211" spans="1:6" s="3" customFormat="1" ht="29.1" customHeight="1" x14ac:dyDescent="0.25">
      <c r="A13211" s="2" t="s">
        <v>26497</v>
      </c>
      <c r="B13211" s="2" t="s">
        <v>26498</v>
      </c>
      <c r="C13211" s="2" t="s">
        <v>10316</v>
      </c>
      <c r="D13211" s="2" t="s">
        <v>324</v>
      </c>
      <c r="E13211" s="2" t="str">
        <f>"9786050707892"</f>
        <v>9786050707892</v>
      </c>
      <c r="F13211" s="2" t="str">
        <f>"9786050707786"</f>
        <v>9786050707786</v>
      </c>
    </row>
    <row r="13212" spans="1:6" s="3" customFormat="1" ht="29.1" customHeight="1" x14ac:dyDescent="0.25">
      <c r="A13212" s="2" t="s">
        <v>26499</v>
      </c>
      <c r="B13212" s="2" t="s">
        <v>26501</v>
      </c>
      <c r="C13212" s="2" t="s">
        <v>10316</v>
      </c>
      <c r="D13212" s="2" t="s">
        <v>26500</v>
      </c>
      <c r="E13212" s="2"/>
      <c r="F13212" s="2" t="str">
        <f>"9786050707434"</f>
        <v>9786050707434</v>
      </c>
    </row>
    <row r="13213" spans="1:6" s="3" customFormat="1" ht="29.1" customHeight="1" x14ac:dyDescent="0.25">
      <c r="A13213" s="2" t="s">
        <v>26502</v>
      </c>
      <c r="B13213" s="2" t="s">
        <v>26503</v>
      </c>
      <c r="C13213" s="2" t="s">
        <v>10316</v>
      </c>
      <c r="D13213" s="2" t="s">
        <v>636</v>
      </c>
      <c r="E13213" s="2" t="str">
        <f>"9786050709643"</f>
        <v>9786050709643</v>
      </c>
      <c r="F13213" s="2" t="str">
        <f>"9786050709599"</f>
        <v>9786050709599</v>
      </c>
    </row>
    <row r="13214" spans="1:6" s="3" customFormat="1" ht="29.1" customHeight="1" x14ac:dyDescent="0.25">
      <c r="A13214" s="2" t="s">
        <v>26504</v>
      </c>
      <c r="B13214" s="2" t="s">
        <v>26505</v>
      </c>
      <c r="C13214" s="2" t="s">
        <v>10316</v>
      </c>
      <c r="D13214" s="2" t="s">
        <v>1162</v>
      </c>
      <c r="E13214" s="2" t="str">
        <f>"9786050707328"</f>
        <v>9786050707328</v>
      </c>
      <c r="F13214" s="2" t="str">
        <f>"9786050707250"</f>
        <v>9786050707250</v>
      </c>
    </row>
    <row r="13215" spans="1:6" s="3" customFormat="1" ht="29.1" customHeight="1" x14ac:dyDescent="0.25">
      <c r="A13215" s="2" t="s">
        <v>26506</v>
      </c>
      <c r="B13215" s="2" t="s">
        <v>26508</v>
      </c>
      <c r="C13215" s="2" t="s">
        <v>10316</v>
      </c>
      <c r="D13215" s="2" t="s">
        <v>26507</v>
      </c>
      <c r="E13215" s="2"/>
      <c r="F13215" s="2" t="str">
        <f>"9786050707755"</f>
        <v>9786050707755</v>
      </c>
    </row>
    <row r="13216" spans="1:6" s="3" customFormat="1" ht="29.1" customHeight="1" x14ac:dyDescent="0.25">
      <c r="A13216" s="2" t="s">
        <v>26509</v>
      </c>
      <c r="B13216" s="2" t="s">
        <v>26510</v>
      </c>
      <c r="C13216" s="2" t="s">
        <v>10316</v>
      </c>
      <c r="D13216" s="2" t="s">
        <v>1104</v>
      </c>
      <c r="E13216" s="2" t="str">
        <f>"9786050707007"</f>
        <v>9786050707007</v>
      </c>
      <c r="F13216" s="2" t="str">
        <f>"9786050707014"</f>
        <v>9786050707014</v>
      </c>
    </row>
    <row r="13217" spans="1:6" s="3" customFormat="1" ht="29.1" customHeight="1" x14ac:dyDescent="0.25">
      <c r="A13217" s="2" t="s">
        <v>26511</v>
      </c>
      <c r="B13217" s="2" t="s">
        <v>26512</v>
      </c>
      <c r="C13217" s="2" t="s">
        <v>10316</v>
      </c>
      <c r="D13217" s="2" t="s">
        <v>2391</v>
      </c>
      <c r="E13217" s="2"/>
      <c r="F13217" s="2" t="str">
        <f>"9786050708080"</f>
        <v>9786050708080</v>
      </c>
    </row>
    <row r="13218" spans="1:6" s="3" customFormat="1" ht="29.1" customHeight="1" x14ac:dyDescent="0.25">
      <c r="A13218" s="2" t="s">
        <v>26513</v>
      </c>
      <c r="B13218" s="2" t="s">
        <v>26514</v>
      </c>
      <c r="C13218" s="2" t="s">
        <v>10316</v>
      </c>
      <c r="D13218" s="2" t="s">
        <v>2361</v>
      </c>
      <c r="E13218" s="2"/>
      <c r="F13218" s="2" t="str">
        <f>"9786050707533"</f>
        <v>9786050707533</v>
      </c>
    </row>
    <row r="13219" spans="1:6" s="3" customFormat="1" ht="29.1" customHeight="1" x14ac:dyDescent="0.25">
      <c r="A13219" s="2" t="s">
        <v>26515</v>
      </c>
      <c r="B13219" s="2" t="s">
        <v>26516</v>
      </c>
      <c r="C13219" s="2" t="s">
        <v>10316</v>
      </c>
      <c r="D13219" s="2" t="s">
        <v>10407</v>
      </c>
      <c r="E13219" s="2" t="str">
        <f>"9786050708332"</f>
        <v>9786050708332</v>
      </c>
      <c r="F13219" s="2" t="str">
        <f>"9786050708288"</f>
        <v>9786050708288</v>
      </c>
    </row>
    <row r="13220" spans="1:6" s="3" customFormat="1" ht="29.1" customHeight="1" x14ac:dyDescent="0.25">
      <c r="A13220" s="2" t="s">
        <v>26517</v>
      </c>
      <c r="B13220" s="2" t="s">
        <v>26518</v>
      </c>
      <c r="C13220" s="2" t="s">
        <v>10316</v>
      </c>
      <c r="D13220" s="2" t="s">
        <v>26460</v>
      </c>
      <c r="E13220" s="2"/>
      <c r="F13220" s="2" t="str">
        <f>"9786050707779"</f>
        <v>9786050707779</v>
      </c>
    </row>
    <row r="13221" spans="1:6" s="3" customFormat="1" ht="29.1" customHeight="1" x14ac:dyDescent="0.25">
      <c r="A13221" s="2" t="s">
        <v>26519</v>
      </c>
      <c r="B13221" s="2" t="s">
        <v>26520</v>
      </c>
      <c r="C13221" s="2" t="s">
        <v>10316</v>
      </c>
      <c r="D13221" s="2" t="s">
        <v>501</v>
      </c>
      <c r="E13221" s="2"/>
      <c r="F13221" s="2" t="str">
        <f>"9786050707847"</f>
        <v>9786050707847</v>
      </c>
    </row>
    <row r="13222" spans="1:6" s="3" customFormat="1" ht="29.1" customHeight="1" x14ac:dyDescent="0.25">
      <c r="A13222" s="2" t="s">
        <v>26521</v>
      </c>
      <c r="B13222" s="2" t="s">
        <v>26522</v>
      </c>
      <c r="C13222" s="2" t="s">
        <v>10316</v>
      </c>
      <c r="D13222" s="2" t="s">
        <v>636</v>
      </c>
      <c r="E13222" s="2" t="str">
        <f>"9786050707915"</f>
        <v>9786050707915</v>
      </c>
      <c r="F13222" s="2" t="str">
        <f>"9786050707793"</f>
        <v>9786050707793</v>
      </c>
    </row>
    <row r="13223" spans="1:6" s="3" customFormat="1" ht="29.1" customHeight="1" x14ac:dyDescent="0.25">
      <c r="A13223" s="2" t="s">
        <v>26523</v>
      </c>
      <c r="B13223" s="2" t="s">
        <v>26524</v>
      </c>
      <c r="C13223" s="2" t="s">
        <v>10316</v>
      </c>
      <c r="D13223" s="2" t="s">
        <v>78</v>
      </c>
      <c r="E13223" s="2" t="str">
        <f>"9786050707366"</f>
        <v>9786050707366</v>
      </c>
      <c r="F13223" s="2" t="str">
        <f>"9786050707151"</f>
        <v>9786050707151</v>
      </c>
    </row>
    <row r="13224" spans="1:6" s="3" customFormat="1" ht="29.1" customHeight="1" x14ac:dyDescent="0.25">
      <c r="A13224" s="2" t="s">
        <v>26525</v>
      </c>
      <c r="B13224" s="2" t="s">
        <v>26526</v>
      </c>
      <c r="C13224" s="2" t="s">
        <v>10316</v>
      </c>
      <c r="D13224" s="2" t="s">
        <v>18534</v>
      </c>
      <c r="E13224" s="2"/>
      <c r="F13224" s="2" t="str">
        <f>"9786050707694"</f>
        <v>9786050707694</v>
      </c>
    </row>
    <row r="13225" spans="1:6" s="3" customFormat="1" ht="29.1" customHeight="1" x14ac:dyDescent="0.25">
      <c r="A13225" s="2" t="s">
        <v>26527</v>
      </c>
      <c r="B13225" s="2" t="s">
        <v>26528</v>
      </c>
      <c r="C13225" s="2" t="s">
        <v>10316</v>
      </c>
      <c r="D13225" s="2" t="s">
        <v>639</v>
      </c>
      <c r="E13225" s="2"/>
      <c r="F13225" s="2" t="str">
        <f>"9786050712223"</f>
        <v>9786050712223</v>
      </c>
    </row>
    <row r="13226" spans="1:6" s="3" customFormat="1" ht="29.1" customHeight="1" x14ac:dyDescent="0.25">
      <c r="A13226" s="2" t="s">
        <v>26529</v>
      </c>
      <c r="B13226" s="2" t="s">
        <v>13094</v>
      </c>
      <c r="C13226" s="2" t="s">
        <v>10316</v>
      </c>
      <c r="D13226" s="2" t="s">
        <v>1416</v>
      </c>
      <c r="E13226" s="2" t="str">
        <f>"9786050709612"</f>
        <v>9786050709612</v>
      </c>
      <c r="F13226" s="2" t="str">
        <f>"9786050708257"</f>
        <v>9786050708257</v>
      </c>
    </row>
    <row r="13227" spans="1:6" s="3" customFormat="1" ht="29.1" customHeight="1" x14ac:dyDescent="0.25">
      <c r="A13227" s="2" t="s">
        <v>26530</v>
      </c>
      <c r="B13227" s="2" t="s">
        <v>26531</v>
      </c>
      <c r="C13227" s="2" t="s">
        <v>10316</v>
      </c>
      <c r="D13227" s="2" t="s">
        <v>1104</v>
      </c>
      <c r="E13227" s="2"/>
      <c r="F13227" s="2" t="str">
        <f>"9786050708066"</f>
        <v>9786050708066</v>
      </c>
    </row>
    <row r="13228" spans="1:6" s="3" customFormat="1" ht="29.1" customHeight="1" x14ac:dyDescent="0.25">
      <c r="A13228" s="2" t="s">
        <v>26532</v>
      </c>
      <c r="B13228" s="2" t="s">
        <v>26533</v>
      </c>
      <c r="C13228" s="2" t="s">
        <v>10316</v>
      </c>
      <c r="D13228" s="2" t="s">
        <v>1121</v>
      </c>
      <c r="E13228" s="2"/>
      <c r="F13228" s="2" t="str">
        <f>"9786050707229"</f>
        <v>9786050707229</v>
      </c>
    </row>
    <row r="13229" spans="1:6" s="3" customFormat="1" ht="29.1" customHeight="1" x14ac:dyDescent="0.25">
      <c r="A13229" s="2" t="s">
        <v>26534</v>
      </c>
      <c r="B13229" s="2" t="s">
        <v>26535</v>
      </c>
      <c r="C13229" s="2" t="s">
        <v>10316</v>
      </c>
      <c r="D13229" s="2" t="s">
        <v>1864</v>
      </c>
      <c r="E13229" s="2"/>
      <c r="F13229" s="2" t="str">
        <f>"9786050707045"</f>
        <v>9786050707045</v>
      </c>
    </row>
    <row r="13230" spans="1:6" s="3" customFormat="1" ht="29.1" customHeight="1" x14ac:dyDescent="0.25">
      <c r="A13230" s="2" t="s">
        <v>26536</v>
      </c>
      <c r="B13230" s="2" t="s">
        <v>26537</v>
      </c>
      <c r="C13230" s="2" t="s">
        <v>10316</v>
      </c>
      <c r="D13230" s="2" t="s">
        <v>5588</v>
      </c>
      <c r="E13230" s="2"/>
      <c r="F13230" s="2" t="str">
        <f>"9786050707267"</f>
        <v>9786050707267</v>
      </c>
    </row>
    <row r="13231" spans="1:6" s="3" customFormat="1" ht="29.1" customHeight="1" x14ac:dyDescent="0.25">
      <c r="A13231" s="2" t="s">
        <v>26538</v>
      </c>
      <c r="B13231" s="2" t="s">
        <v>26539</v>
      </c>
      <c r="C13231" s="2" t="s">
        <v>746</v>
      </c>
      <c r="D13231" s="2" t="s">
        <v>107</v>
      </c>
      <c r="E13231" s="2" t="str">
        <f>"9781803275451"</f>
        <v>9781803275451</v>
      </c>
      <c r="F13231" s="2" t="str">
        <f>"9781803275468"</f>
        <v>9781803275468</v>
      </c>
    </row>
    <row r="13232" spans="1:6" s="3" customFormat="1" ht="29.1" customHeight="1" x14ac:dyDescent="0.25">
      <c r="A13232" s="2" t="s">
        <v>26540</v>
      </c>
      <c r="B13232" s="2" t="s">
        <v>26541</v>
      </c>
      <c r="C13232" s="2" t="s">
        <v>746</v>
      </c>
      <c r="D13232" s="2" t="s">
        <v>606</v>
      </c>
      <c r="E13232" s="2" t="str">
        <f>"9781803274935"</f>
        <v>9781803274935</v>
      </c>
      <c r="F13232" s="2" t="str">
        <f>"9781803274942"</f>
        <v>9781803274942</v>
      </c>
    </row>
    <row r="13233" spans="1:6" s="3" customFormat="1" ht="29.1" customHeight="1" x14ac:dyDescent="0.25">
      <c r="A13233" s="2" t="s">
        <v>26542</v>
      </c>
      <c r="B13233" s="2" t="s">
        <v>7859</v>
      </c>
      <c r="C13233" s="2" t="s">
        <v>746</v>
      </c>
      <c r="D13233" s="2" t="s">
        <v>7858</v>
      </c>
      <c r="E13233" s="2" t="str">
        <f>"9781803275031"</f>
        <v>9781803275031</v>
      </c>
      <c r="F13233" s="2" t="str">
        <f>"9781803275048"</f>
        <v>9781803275048</v>
      </c>
    </row>
    <row r="13234" spans="1:6" s="3" customFormat="1" ht="29.1" customHeight="1" x14ac:dyDescent="0.25">
      <c r="A13234" s="2" t="s">
        <v>26543</v>
      </c>
      <c r="B13234" s="2" t="s">
        <v>26544</v>
      </c>
      <c r="C13234" s="2" t="s">
        <v>5</v>
      </c>
      <c r="D13234" s="2" t="s">
        <v>342</v>
      </c>
      <c r="E13234" s="2" t="str">
        <f>"9781484282960"</f>
        <v>9781484282960</v>
      </c>
      <c r="F13234" s="2" t="str">
        <f>"9781484282977"</f>
        <v>9781484282977</v>
      </c>
    </row>
    <row r="13235" spans="1:6" s="3" customFormat="1" ht="29.1" customHeight="1" x14ac:dyDescent="0.25">
      <c r="A13235" s="2" t="s">
        <v>26545</v>
      </c>
      <c r="B13235" s="2" t="s">
        <v>26546</v>
      </c>
      <c r="C13235" s="2" t="s">
        <v>4788</v>
      </c>
      <c r="D13235" s="2" t="s">
        <v>3993</v>
      </c>
      <c r="E13235" s="2" t="str">
        <f>"9781399500555"</f>
        <v>9781399500555</v>
      </c>
      <c r="F13235" s="2" t="str">
        <f>"9781399500579"</f>
        <v>9781399500579</v>
      </c>
    </row>
    <row r="13236" spans="1:6" s="3" customFormat="1" ht="29.1" customHeight="1" x14ac:dyDescent="0.25">
      <c r="A13236" s="2" t="s">
        <v>26547</v>
      </c>
      <c r="B13236" s="2" t="s">
        <v>26548</v>
      </c>
      <c r="C13236" s="2" t="s">
        <v>4788</v>
      </c>
      <c r="D13236" s="2" t="s">
        <v>1393</v>
      </c>
      <c r="E13236" s="2" t="str">
        <f>"9781399502771"</f>
        <v>9781399502771</v>
      </c>
      <c r="F13236" s="2" t="str">
        <f>"9781399502795"</f>
        <v>9781399502795</v>
      </c>
    </row>
    <row r="13237" spans="1:6" s="3" customFormat="1" ht="29.1" customHeight="1" x14ac:dyDescent="0.25">
      <c r="A13237" s="2" t="s">
        <v>26549</v>
      </c>
      <c r="B13237" s="2" t="s">
        <v>26550</v>
      </c>
      <c r="C13237" s="2" t="s">
        <v>4788</v>
      </c>
      <c r="D13237" s="2" t="s">
        <v>1201</v>
      </c>
      <c r="E13237" s="2" t="str">
        <f>"9781474494458"</f>
        <v>9781474494458</v>
      </c>
      <c r="F13237" s="2" t="str">
        <f>"9781474494472"</f>
        <v>9781474494472</v>
      </c>
    </row>
    <row r="13238" spans="1:6" s="3" customFormat="1" ht="29.1" customHeight="1" x14ac:dyDescent="0.25">
      <c r="A13238" s="2" t="s">
        <v>26551</v>
      </c>
      <c r="B13238" s="2" t="s">
        <v>26552</v>
      </c>
      <c r="C13238" s="2" t="s">
        <v>4788</v>
      </c>
      <c r="D13238" s="2" t="s">
        <v>522</v>
      </c>
      <c r="E13238" s="2" t="str">
        <f>"9781399521727"</f>
        <v>9781399521727</v>
      </c>
      <c r="F13238" s="2" t="str">
        <f>"9781399521741"</f>
        <v>9781399521741</v>
      </c>
    </row>
    <row r="13239" spans="1:6" s="3" customFormat="1" ht="29.1" customHeight="1" x14ac:dyDescent="0.25">
      <c r="A13239" s="2" t="s">
        <v>26553</v>
      </c>
      <c r="B13239" s="2" t="s">
        <v>14466</v>
      </c>
      <c r="C13239" s="2" t="s">
        <v>8104</v>
      </c>
      <c r="D13239" s="2" t="s">
        <v>636</v>
      </c>
      <c r="E13239" s="2" t="str">
        <f>"9781805391555"</f>
        <v>9781805391555</v>
      </c>
      <c r="F13239" s="2" t="str">
        <f>"9781805391562"</f>
        <v>9781805391562</v>
      </c>
    </row>
    <row r="13240" spans="1:6" s="3" customFormat="1" ht="29.1" customHeight="1" x14ac:dyDescent="0.25">
      <c r="A13240" s="2" t="s">
        <v>26554</v>
      </c>
      <c r="B13240" s="2" t="s">
        <v>26555</v>
      </c>
      <c r="C13240" s="2" t="s">
        <v>8104</v>
      </c>
      <c r="D13240" s="2" t="s">
        <v>2142</v>
      </c>
      <c r="E13240" s="2" t="str">
        <f>"9781805391685"</f>
        <v>9781805391685</v>
      </c>
      <c r="F13240" s="2" t="str">
        <f>"9781805390817"</f>
        <v>9781805390817</v>
      </c>
    </row>
    <row r="13241" spans="1:6" s="3" customFormat="1" ht="29.1" customHeight="1" x14ac:dyDescent="0.25">
      <c r="A13241" s="2" t="s">
        <v>26556</v>
      </c>
      <c r="B13241" s="2" t="s">
        <v>26557</v>
      </c>
      <c r="C13241" s="2" t="s">
        <v>8104</v>
      </c>
      <c r="D13241" s="2" t="s">
        <v>636</v>
      </c>
      <c r="E13241" s="2" t="str">
        <f>"9781805390596"</f>
        <v>9781805390596</v>
      </c>
      <c r="F13241" s="2" t="str">
        <f>"9781805390602"</f>
        <v>9781805390602</v>
      </c>
    </row>
    <row r="13242" spans="1:6" s="3" customFormat="1" ht="29.1" customHeight="1" x14ac:dyDescent="0.25">
      <c r="A13242" s="2" t="s">
        <v>26558</v>
      </c>
      <c r="B13242" s="2" t="s">
        <v>26559</v>
      </c>
      <c r="C13242" s="2" t="s">
        <v>8104</v>
      </c>
      <c r="D13242" s="2" t="s">
        <v>636</v>
      </c>
      <c r="E13242" s="2" t="str">
        <f>"9781805390701"</f>
        <v>9781805390701</v>
      </c>
      <c r="F13242" s="2" t="str">
        <f>"9781805390718"</f>
        <v>9781805390718</v>
      </c>
    </row>
    <row r="13243" spans="1:6" s="3" customFormat="1" ht="29.1" customHeight="1" x14ac:dyDescent="0.25">
      <c r="A13243" s="2" t="s">
        <v>26560</v>
      </c>
      <c r="B13243" s="2" t="s">
        <v>26561</v>
      </c>
      <c r="C13243" s="2" t="s">
        <v>8104</v>
      </c>
      <c r="D13243" s="2" t="s">
        <v>2255</v>
      </c>
      <c r="E13243" s="2" t="str">
        <f>"9781805390404"</f>
        <v>9781805390404</v>
      </c>
      <c r="F13243" s="2" t="str">
        <f>"9781805390411"</f>
        <v>9781805390411</v>
      </c>
    </row>
    <row r="13244" spans="1:6" s="3" customFormat="1" ht="29.1" customHeight="1" x14ac:dyDescent="0.25">
      <c r="A13244" s="2" t="s">
        <v>26562</v>
      </c>
      <c r="B13244" s="2" t="s">
        <v>26563</v>
      </c>
      <c r="C13244" s="2" t="s">
        <v>8104</v>
      </c>
      <c r="D13244" s="2" t="s">
        <v>636</v>
      </c>
      <c r="E13244" s="2" t="str">
        <f>"9781805390299"</f>
        <v>9781805390299</v>
      </c>
      <c r="F13244" s="2" t="str">
        <f>"9781805390305"</f>
        <v>9781805390305</v>
      </c>
    </row>
    <row r="13245" spans="1:6" s="3" customFormat="1" ht="29.1" customHeight="1" x14ac:dyDescent="0.25">
      <c r="A13245" s="2" t="s">
        <v>26564</v>
      </c>
      <c r="B13245" s="2" t="s">
        <v>26565</v>
      </c>
      <c r="C13245" s="2" t="s">
        <v>8104</v>
      </c>
      <c r="D13245" s="2" t="s">
        <v>636</v>
      </c>
      <c r="E13245" s="2" t="str">
        <f>"9781800739000"</f>
        <v>9781800739000</v>
      </c>
      <c r="F13245" s="2" t="str">
        <f>"9781800739017"</f>
        <v>9781800739017</v>
      </c>
    </row>
    <row r="13246" spans="1:6" s="3" customFormat="1" ht="29.1" customHeight="1" x14ac:dyDescent="0.25">
      <c r="A13246" s="2" t="s">
        <v>26566</v>
      </c>
      <c r="B13246" s="2" t="s">
        <v>26567</v>
      </c>
      <c r="C13246" s="2" t="s">
        <v>124</v>
      </c>
      <c r="D13246" s="2" t="s">
        <v>324</v>
      </c>
      <c r="E13246" s="2" t="str">
        <f>"9781032122335"</f>
        <v>9781032122335</v>
      </c>
      <c r="F13246" s="2" t="str">
        <f>"9781000960969"</f>
        <v>9781000960969</v>
      </c>
    </row>
    <row r="13247" spans="1:6" s="3" customFormat="1" ht="29.1" customHeight="1" x14ac:dyDescent="0.25">
      <c r="A13247" s="2" t="s">
        <v>26568</v>
      </c>
      <c r="B13247" s="2" t="s">
        <v>26569</v>
      </c>
      <c r="C13247" s="2" t="s">
        <v>8059</v>
      </c>
      <c r="D13247" s="2" t="s">
        <v>192</v>
      </c>
      <c r="E13247" s="2" t="str">
        <f>"9781776438884"</f>
        <v>9781776438884</v>
      </c>
      <c r="F13247" s="2" t="str">
        <f>"9781776438891"</f>
        <v>9781776438891</v>
      </c>
    </row>
    <row r="13248" spans="1:6" s="3" customFormat="1" ht="29.1" customHeight="1" x14ac:dyDescent="0.25">
      <c r="A13248" s="2" t="s">
        <v>26570</v>
      </c>
      <c r="B13248" s="2" t="s">
        <v>26571</v>
      </c>
      <c r="C13248" s="2" t="s">
        <v>8059</v>
      </c>
      <c r="D13248" s="2" t="s">
        <v>4940</v>
      </c>
      <c r="E13248" s="2" t="str">
        <f>"9781776436064"</f>
        <v>9781776436064</v>
      </c>
      <c r="F13248" s="2" t="str">
        <f>"9781776436071"</f>
        <v>9781776436071</v>
      </c>
    </row>
    <row r="13249" spans="1:6" s="3" customFormat="1" ht="29.1" customHeight="1" x14ac:dyDescent="0.25">
      <c r="A13249" s="2" t="s">
        <v>26572</v>
      </c>
      <c r="B13249" s="2" t="s">
        <v>26571</v>
      </c>
      <c r="C13249" s="2" t="s">
        <v>8059</v>
      </c>
      <c r="D13249" s="2" t="s">
        <v>4940</v>
      </c>
      <c r="E13249" s="2" t="str">
        <f>"9781776436026"</f>
        <v>9781776436026</v>
      </c>
      <c r="F13249" s="2" t="str">
        <f>"9781776436033"</f>
        <v>9781776436033</v>
      </c>
    </row>
    <row r="13250" spans="1:6" s="3" customFormat="1" ht="29.1" customHeight="1" x14ac:dyDescent="0.25">
      <c r="A13250" s="2" t="s">
        <v>26573</v>
      </c>
      <c r="B13250" s="2" t="s">
        <v>24234</v>
      </c>
      <c r="C13250" s="2" t="s">
        <v>8059</v>
      </c>
      <c r="D13250" s="2" t="s">
        <v>26574</v>
      </c>
      <c r="E13250" s="2" t="str">
        <f>"9781776444625"</f>
        <v>9781776444625</v>
      </c>
      <c r="F13250" s="2" t="str">
        <f>"9781776444632"</f>
        <v>9781776444632</v>
      </c>
    </row>
    <row r="13251" spans="1:6" s="3" customFormat="1" ht="29.1" customHeight="1" x14ac:dyDescent="0.25">
      <c r="A13251" s="2" t="s">
        <v>26575</v>
      </c>
      <c r="B13251" s="2" t="s">
        <v>26576</v>
      </c>
      <c r="C13251" s="2" t="s">
        <v>195</v>
      </c>
      <c r="D13251" s="2" t="s">
        <v>9441</v>
      </c>
      <c r="E13251" s="2" t="str">
        <f>"9783986120061"</f>
        <v>9783986120061</v>
      </c>
      <c r="F13251" s="2" t="str">
        <f>"9783986120078"</f>
        <v>9783986120078</v>
      </c>
    </row>
    <row r="13252" spans="1:6" s="3" customFormat="1" ht="29.1" customHeight="1" x14ac:dyDescent="0.25">
      <c r="A13252" s="2" t="s">
        <v>26577</v>
      </c>
      <c r="B13252" s="2" t="s">
        <v>26578</v>
      </c>
      <c r="C13252" s="2" t="s">
        <v>746</v>
      </c>
      <c r="D13252" s="2" t="s">
        <v>3130</v>
      </c>
      <c r="E13252" s="2" t="str">
        <f>"9781803274515"</f>
        <v>9781803274515</v>
      </c>
      <c r="F13252" s="2" t="str">
        <f>"9781803274522"</f>
        <v>9781803274522</v>
      </c>
    </row>
    <row r="13253" spans="1:6" s="3" customFormat="1" ht="29.1" customHeight="1" x14ac:dyDescent="0.25">
      <c r="A13253" s="2" t="s">
        <v>26579</v>
      </c>
      <c r="B13253" s="2" t="s">
        <v>26580</v>
      </c>
      <c r="C13253" s="2" t="s">
        <v>746</v>
      </c>
      <c r="D13253" s="2" t="s">
        <v>14256</v>
      </c>
      <c r="E13253" s="2" t="str">
        <f>"9781784914561"</f>
        <v>9781784914561</v>
      </c>
      <c r="F13253" s="2" t="str">
        <f>"9781784914578"</f>
        <v>9781784914578</v>
      </c>
    </row>
    <row r="13254" spans="1:6" s="3" customFormat="1" ht="29.1" customHeight="1" x14ac:dyDescent="0.25">
      <c r="A13254" s="2" t="s">
        <v>26581</v>
      </c>
      <c r="B13254" s="2" t="s">
        <v>26582</v>
      </c>
      <c r="C13254" s="2" t="s">
        <v>746</v>
      </c>
      <c r="D13254" s="2" t="s">
        <v>606</v>
      </c>
      <c r="E13254" s="2" t="str">
        <f>"9781803274874"</f>
        <v>9781803274874</v>
      </c>
      <c r="F13254" s="2" t="str">
        <f>"9781803274881"</f>
        <v>9781803274881</v>
      </c>
    </row>
    <row r="13255" spans="1:6" s="3" customFormat="1" ht="29.1" customHeight="1" x14ac:dyDescent="0.25">
      <c r="A13255" s="2" t="s">
        <v>26583</v>
      </c>
      <c r="B13255" s="2" t="s">
        <v>26584</v>
      </c>
      <c r="C13255" s="2" t="s">
        <v>149</v>
      </c>
      <c r="D13255" s="2" t="s">
        <v>331</v>
      </c>
      <c r="E13255" s="2"/>
      <c r="F13255" s="2" t="str">
        <f>"9781805110620"</f>
        <v>9781805110620</v>
      </c>
    </row>
    <row r="13256" spans="1:6" s="3" customFormat="1" ht="29.1" customHeight="1" x14ac:dyDescent="0.25">
      <c r="A13256" s="2" t="s">
        <v>26585</v>
      </c>
      <c r="B13256" s="2" t="s">
        <v>6742</v>
      </c>
      <c r="C13256" s="2" t="s">
        <v>149</v>
      </c>
      <c r="D13256" s="2" t="s">
        <v>1999</v>
      </c>
      <c r="E13256" s="2"/>
      <c r="F13256" s="2" t="str">
        <f>"9781805110347"</f>
        <v>9781805110347</v>
      </c>
    </row>
    <row r="13257" spans="1:6" s="3" customFormat="1" ht="29.1" customHeight="1" x14ac:dyDescent="0.25">
      <c r="A13257" s="2" t="s">
        <v>26586</v>
      </c>
      <c r="B13257" s="2" t="s">
        <v>26587</v>
      </c>
      <c r="C13257" s="2" t="s">
        <v>124</v>
      </c>
      <c r="D13257" s="2" t="s">
        <v>699</v>
      </c>
      <c r="E13257" s="2" t="str">
        <f>"9781032449074"</f>
        <v>9781032449074</v>
      </c>
      <c r="F13257" s="2" t="str">
        <f>"9781000967258"</f>
        <v>9781000967258</v>
      </c>
    </row>
    <row r="13258" spans="1:6" s="3" customFormat="1" ht="29.1" customHeight="1" x14ac:dyDescent="0.25">
      <c r="A13258" s="2" t="s">
        <v>26588</v>
      </c>
      <c r="B13258" s="2" t="s">
        <v>26589</v>
      </c>
      <c r="C13258" s="2" t="s">
        <v>124</v>
      </c>
      <c r="D13258" s="2" t="s">
        <v>353</v>
      </c>
      <c r="E13258" s="2" t="str">
        <f>"9781032163123"</f>
        <v>9781032163123</v>
      </c>
      <c r="F13258" s="2" t="str">
        <f>"9781000967401"</f>
        <v>9781000967401</v>
      </c>
    </row>
    <row r="13259" spans="1:6" s="3" customFormat="1" ht="29.1" customHeight="1" x14ac:dyDescent="0.25">
      <c r="A13259" s="2" t="s">
        <v>26590</v>
      </c>
      <c r="B13259" s="2" t="s">
        <v>26591</v>
      </c>
      <c r="C13259" s="2" t="s">
        <v>124</v>
      </c>
      <c r="D13259" s="2" t="s">
        <v>897</v>
      </c>
      <c r="E13259" s="2" t="str">
        <f>"9781032439594"</f>
        <v>9781032439594</v>
      </c>
      <c r="F13259" s="2" t="str">
        <f>"9781000934878"</f>
        <v>9781000934878</v>
      </c>
    </row>
    <row r="13260" spans="1:6" s="3" customFormat="1" ht="29.1" customHeight="1" x14ac:dyDescent="0.25">
      <c r="A13260" s="2" t="s">
        <v>26592</v>
      </c>
      <c r="B13260" s="2" t="s">
        <v>26593</v>
      </c>
      <c r="C13260" s="2" t="s">
        <v>7514</v>
      </c>
      <c r="D13260" s="2" t="s">
        <v>7645</v>
      </c>
      <c r="E13260" s="2"/>
      <c r="F13260" s="2" t="str">
        <f>"9788869694417"</f>
        <v>9788869694417</v>
      </c>
    </row>
    <row r="13261" spans="1:6" s="3" customFormat="1" ht="29.1" customHeight="1" x14ac:dyDescent="0.25">
      <c r="A13261" s="2" t="s">
        <v>26594</v>
      </c>
      <c r="B13261" s="2" t="s">
        <v>26595</v>
      </c>
      <c r="C13261" s="2" t="s">
        <v>7514</v>
      </c>
      <c r="D13261" s="2" t="s">
        <v>1253</v>
      </c>
      <c r="E13261" s="2" t="str">
        <f>"9788869695001"</f>
        <v>9788869695001</v>
      </c>
      <c r="F13261" s="2" t="str">
        <f>"9788869694998"</f>
        <v>9788869694998</v>
      </c>
    </row>
    <row r="13262" spans="1:6" s="3" customFormat="1" ht="29.1" customHeight="1" x14ac:dyDescent="0.25">
      <c r="A13262" s="2" t="s">
        <v>26596</v>
      </c>
      <c r="B13262" s="2" t="s">
        <v>26597</v>
      </c>
      <c r="C13262" s="2" t="s">
        <v>7514</v>
      </c>
      <c r="D13262" s="2" t="s">
        <v>647</v>
      </c>
      <c r="E13262" s="2" t="str">
        <f>"9788869695353"</f>
        <v>9788869695353</v>
      </c>
      <c r="F13262" s="2" t="str">
        <f>"9788869695346"</f>
        <v>9788869695346</v>
      </c>
    </row>
    <row r="13263" spans="1:6" s="3" customFormat="1" ht="29.1" customHeight="1" x14ac:dyDescent="0.25">
      <c r="A13263" s="2" t="s">
        <v>26598</v>
      </c>
      <c r="B13263" s="2" t="s">
        <v>7519</v>
      </c>
      <c r="C13263" s="2" t="s">
        <v>7514</v>
      </c>
      <c r="D13263" s="2" t="s">
        <v>2019</v>
      </c>
      <c r="E13263" s="2" t="str">
        <f>"9788869696640"</f>
        <v>9788869696640</v>
      </c>
      <c r="F13263" s="2" t="str">
        <f>"9788869696633"</f>
        <v>9788869696633</v>
      </c>
    </row>
    <row r="13264" spans="1:6" s="3" customFormat="1" ht="29.1" customHeight="1" x14ac:dyDescent="0.25">
      <c r="A13264" s="2" t="s">
        <v>26599</v>
      </c>
      <c r="B13264" s="2" t="s">
        <v>26600</v>
      </c>
      <c r="C13264" s="2" t="s">
        <v>7514</v>
      </c>
      <c r="D13264" s="2" t="s">
        <v>5832</v>
      </c>
      <c r="E13264" s="2" t="str">
        <f>"9788869696534"</f>
        <v>9788869696534</v>
      </c>
      <c r="F13264" s="2" t="str">
        <f>"9788869696527"</f>
        <v>9788869696527</v>
      </c>
    </row>
    <row r="13265" spans="1:6" s="3" customFormat="1" ht="29.1" customHeight="1" x14ac:dyDescent="0.25">
      <c r="A13265" s="2" t="s">
        <v>26601</v>
      </c>
      <c r="B13265" s="2" t="s">
        <v>26602</v>
      </c>
      <c r="C13265" s="2" t="s">
        <v>7514</v>
      </c>
      <c r="D13265" s="2" t="s">
        <v>156</v>
      </c>
      <c r="E13265" s="2" t="str">
        <f>"9788869696985"</f>
        <v>9788869696985</v>
      </c>
      <c r="F13265" s="2" t="str">
        <f>"9788869696978"</f>
        <v>9788869696978</v>
      </c>
    </row>
    <row r="13266" spans="1:6" s="3" customFormat="1" ht="29.1" customHeight="1" x14ac:dyDescent="0.25">
      <c r="A13266" s="2" t="s">
        <v>26603</v>
      </c>
      <c r="B13266" s="2" t="s">
        <v>26604</v>
      </c>
      <c r="C13266" s="2" t="s">
        <v>7514</v>
      </c>
      <c r="D13266" s="2" t="s">
        <v>5383</v>
      </c>
      <c r="E13266" s="2" t="str">
        <f>"9788869694677"</f>
        <v>9788869694677</v>
      </c>
      <c r="F13266" s="2" t="str">
        <f>"9788869694660"</f>
        <v>9788869694660</v>
      </c>
    </row>
    <row r="13267" spans="1:6" s="3" customFormat="1" ht="29.1" customHeight="1" x14ac:dyDescent="0.25">
      <c r="A13267" s="2" t="s">
        <v>26605</v>
      </c>
      <c r="B13267" s="2" t="s">
        <v>26606</v>
      </c>
      <c r="C13267" s="2" t="s">
        <v>7514</v>
      </c>
      <c r="D13267" s="2" t="s">
        <v>4185</v>
      </c>
      <c r="E13267" s="2" t="str">
        <f>"9788869694455"</f>
        <v>9788869694455</v>
      </c>
      <c r="F13267" s="2" t="str">
        <f>"9788869694448"</f>
        <v>9788869694448</v>
      </c>
    </row>
    <row r="13268" spans="1:6" s="3" customFormat="1" ht="29.1" customHeight="1" x14ac:dyDescent="0.25">
      <c r="A13268" s="2" t="s">
        <v>26607</v>
      </c>
      <c r="B13268" s="2" t="s">
        <v>26608</v>
      </c>
      <c r="C13268" s="2" t="s">
        <v>7514</v>
      </c>
      <c r="D13268" s="2" t="s">
        <v>2781</v>
      </c>
      <c r="E13268" s="2" t="str">
        <f>"9788869693670"</f>
        <v>9788869693670</v>
      </c>
      <c r="F13268" s="2" t="str">
        <f>"9788869693663"</f>
        <v>9788869693663</v>
      </c>
    </row>
    <row r="13269" spans="1:6" s="3" customFormat="1" ht="29.1" customHeight="1" x14ac:dyDescent="0.25">
      <c r="A13269" s="2" t="s">
        <v>26609</v>
      </c>
      <c r="B13269" s="2" t="s">
        <v>26610</v>
      </c>
      <c r="C13269" s="2" t="s">
        <v>7514</v>
      </c>
      <c r="D13269" s="2" t="s">
        <v>78</v>
      </c>
      <c r="E13269" s="2" t="str">
        <f>"9788869696367"</f>
        <v>9788869696367</v>
      </c>
      <c r="F13269" s="2" t="str">
        <f>"9788869696350"</f>
        <v>9788869696350</v>
      </c>
    </row>
    <row r="13270" spans="1:6" s="3" customFormat="1" ht="29.1" customHeight="1" x14ac:dyDescent="0.25">
      <c r="A13270" s="2" t="s">
        <v>26611</v>
      </c>
      <c r="B13270" s="2" t="s">
        <v>26613</v>
      </c>
      <c r="C13270" s="2" t="s">
        <v>7514</v>
      </c>
      <c r="D13270" s="2" t="s">
        <v>26612</v>
      </c>
      <c r="E13270" s="2" t="str">
        <f>"9788869696602"</f>
        <v>9788869696602</v>
      </c>
      <c r="F13270" s="2" t="str">
        <f>"9788869696596"</f>
        <v>9788869696596</v>
      </c>
    </row>
    <row r="13271" spans="1:6" s="3" customFormat="1" ht="29.1" customHeight="1" x14ac:dyDescent="0.25">
      <c r="A13271" s="2" t="s">
        <v>26614</v>
      </c>
      <c r="B13271" s="2" t="s">
        <v>26615</v>
      </c>
      <c r="C13271" s="2" t="s">
        <v>7514</v>
      </c>
      <c r="D13271" s="2" t="s">
        <v>465</v>
      </c>
      <c r="E13271" s="2" t="str">
        <f>"9788869696015"</f>
        <v>9788869696015</v>
      </c>
      <c r="F13271" s="2" t="str">
        <f>"9788869696008"</f>
        <v>9788869696008</v>
      </c>
    </row>
    <row r="13272" spans="1:6" s="3" customFormat="1" ht="29.1" customHeight="1" x14ac:dyDescent="0.25">
      <c r="A13272" s="2" t="s">
        <v>26616</v>
      </c>
      <c r="B13272" s="2" t="s">
        <v>26617</v>
      </c>
      <c r="C13272" s="2" t="s">
        <v>7514</v>
      </c>
      <c r="D13272" s="2" t="s">
        <v>606</v>
      </c>
      <c r="E13272" s="2" t="str">
        <f>"9788869697166"</f>
        <v>9788869697166</v>
      </c>
      <c r="F13272" s="2" t="str">
        <f>"9788869696237"</f>
        <v>9788869696237</v>
      </c>
    </row>
    <row r="13273" spans="1:6" s="3" customFormat="1" ht="29.1" customHeight="1" x14ac:dyDescent="0.25">
      <c r="A13273" s="2" t="s">
        <v>26618</v>
      </c>
      <c r="B13273" s="2" t="s">
        <v>26619</v>
      </c>
      <c r="C13273" s="2" t="s">
        <v>7514</v>
      </c>
      <c r="D13273" s="2" t="s">
        <v>836</v>
      </c>
      <c r="E13273" s="2" t="str">
        <f>"9788869696848"</f>
        <v>9788869696848</v>
      </c>
      <c r="F13273" s="2" t="str">
        <f>"9788869696831"</f>
        <v>9788869696831</v>
      </c>
    </row>
    <row r="13274" spans="1:6" s="3" customFormat="1" ht="29.1" customHeight="1" x14ac:dyDescent="0.25">
      <c r="A13274" s="2" t="s">
        <v>26620</v>
      </c>
      <c r="B13274" s="2" t="s">
        <v>7521</v>
      </c>
      <c r="C13274" s="2" t="s">
        <v>7514</v>
      </c>
      <c r="D13274" s="2" t="s">
        <v>11847</v>
      </c>
      <c r="E13274" s="2"/>
      <c r="F13274" s="2" t="str">
        <f>"9788869697036"</f>
        <v>9788869697036</v>
      </c>
    </row>
    <row r="13275" spans="1:6" s="3" customFormat="1" ht="29.1" customHeight="1" x14ac:dyDescent="0.25">
      <c r="A13275" s="2" t="s">
        <v>26621</v>
      </c>
      <c r="B13275" s="2" t="s">
        <v>26622</v>
      </c>
      <c r="C13275" s="2" t="s">
        <v>7514</v>
      </c>
      <c r="D13275" s="2" t="s">
        <v>1809</v>
      </c>
      <c r="E13275" s="2" t="str">
        <f>"9788869696589"</f>
        <v>9788869696589</v>
      </c>
      <c r="F13275" s="2" t="str">
        <f>"9788869696275"</f>
        <v>9788869696275</v>
      </c>
    </row>
    <row r="13276" spans="1:6" s="3" customFormat="1" ht="29.1" customHeight="1" x14ac:dyDescent="0.25">
      <c r="A13276" s="2" t="s">
        <v>26623</v>
      </c>
      <c r="B13276" s="2" t="s">
        <v>26624</v>
      </c>
      <c r="C13276" s="2" t="s">
        <v>7514</v>
      </c>
      <c r="D13276" s="2" t="s">
        <v>10064</v>
      </c>
      <c r="E13276" s="2"/>
      <c r="F13276" s="2" t="str">
        <f>"9788869696756"</f>
        <v>9788869696756</v>
      </c>
    </row>
    <row r="13277" spans="1:6" s="3" customFormat="1" ht="29.1" customHeight="1" x14ac:dyDescent="0.25">
      <c r="A13277" s="2" t="s">
        <v>26625</v>
      </c>
      <c r="B13277" s="2" t="s">
        <v>26626</v>
      </c>
      <c r="C13277" s="2" t="s">
        <v>7514</v>
      </c>
      <c r="D13277" s="2" t="s">
        <v>9878</v>
      </c>
      <c r="E13277" s="2" t="str">
        <f>"9788869695773"</f>
        <v>9788869695773</v>
      </c>
      <c r="F13277" s="2" t="str">
        <f>"9788869695780"</f>
        <v>9788869695780</v>
      </c>
    </row>
    <row r="13278" spans="1:6" s="3" customFormat="1" ht="29.1" customHeight="1" x14ac:dyDescent="0.25">
      <c r="A13278" s="2" t="s">
        <v>26627</v>
      </c>
      <c r="B13278" s="2" t="s">
        <v>26628</v>
      </c>
      <c r="C13278" s="2" t="s">
        <v>7514</v>
      </c>
      <c r="D13278" s="2" t="s">
        <v>3155</v>
      </c>
      <c r="E13278" s="2" t="str">
        <f>"9788869696732"</f>
        <v>9788869696732</v>
      </c>
      <c r="F13278" s="2" t="str">
        <f>"9788869696725"</f>
        <v>9788869696725</v>
      </c>
    </row>
    <row r="13279" spans="1:6" s="3" customFormat="1" ht="29.1" customHeight="1" x14ac:dyDescent="0.25">
      <c r="A13279" s="2" t="s">
        <v>26629</v>
      </c>
      <c r="B13279" s="2" t="s">
        <v>26630</v>
      </c>
      <c r="C13279" s="2" t="s">
        <v>7514</v>
      </c>
      <c r="D13279" s="2" t="s">
        <v>1245</v>
      </c>
      <c r="E13279" s="2" t="str">
        <f>"9788869696503"</f>
        <v>9788869696503</v>
      </c>
      <c r="F13279" s="2" t="str">
        <f>"9788869696497"</f>
        <v>9788869696497</v>
      </c>
    </row>
    <row r="13280" spans="1:6" s="3" customFormat="1" ht="29.1" customHeight="1" x14ac:dyDescent="0.25">
      <c r="A13280" s="2" t="s">
        <v>26631</v>
      </c>
      <c r="B13280" s="2" t="s">
        <v>26632</v>
      </c>
      <c r="C13280" s="2" t="s">
        <v>7514</v>
      </c>
      <c r="D13280" s="2" t="s">
        <v>17099</v>
      </c>
      <c r="E13280" s="2"/>
      <c r="F13280" s="2" t="str">
        <f>"9788869696459"</f>
        <v>9788869696459</v>
      </c>
    </row>
    <row r="13281" spans="1:6" s="3" customFormat="1" ht="29.1" customHeight="1" x14ac:dyDescent="0.25">
      <c r="A13281" s="2" t="s">
        <v>26633</v>
      </c>
      <c r="B13281" s="2" t="s">
        <v>26634</v>
      </c>
      <c r="C13281" s="2" t="s">
        <v>7514</v>
      </c>
      <c r="D13281" s="2" t="s">
        <v>876</v>
      </c>
      <c r="E13281" s="2"/>
      <c r="F13281" s="2" t="str">
        <f>"9788869696763"</f>
        <v>9788869696763</v>
      </c>
    </row>
    <row r="13282" spans="1:6" s="3" customFormat="1" ht="29.1" customHeight="1" x14ac:dyDescent="0.25">
      <c r="A13282" s="2" t="s">
        <v>26635</v>
      </c>
      <c r="B13282" s="2" t="s">
        <v>26636</v>
      </c>
      <c r="C13282" s="2" t="s">
        <v>7514</v>
      </c>
      <c r="D13282" s="2" t="s">
        <v>4071</v>
      </c>
      <c r="E13282" s="2" t="str">
        <f>"9788869696626"</f>
        <v>9788869696626</v>
      </c>
      <c r="F13282" s="2" t="str">
        <f>"9788869696619"</f>
        <v>9788869696619</v>
      </c>
    </row>
    <row r="13283" spans="1:6" s="3" customFormat="1" ht="29.1" customHeight="1" x14ac:dyDescent="0.25">
      <c r="A13283" s="2" t="s">
        <v>26637</v>
      </c>
      <c r="B13283" s="2" t="s">
        <v>26638</v>
      </c>
      <c r="C13283" s="2" t="s">
        <v>7514</v>
      </c>
      <c r="D13283" s="2" t="s">
        <v>6429</v>
      </c>
      <c r="E13283" s="2" t="str">
        <f>"9788869695667"</f>
        <v>9788869695667</v>
      </c>
      <c r="F13283" s="2" t="str">
        <f>"9788869695650"</f>
        <v>9788869695650</v>
      </c>
    </row>
    <row r="13284" spans="1:6" s="3" customFormat="1" ht="29.1" customHeight="1" x14ac:dyDescent="0.25">
      <c r="A13284" s="2" t="s">
        <v>26639</v>
      </c>
      <c r="B13284" s="2" t="s">
        <v>26640</v>
      </c>
      <c r="C13284" s="2" t="s">
        <v>7514</v>
      </c>
      <c r="D13284" s="2" t="s">
        <v>10407</v>
      </c>
      <c r="E13284" s="2" t="str">
        <f>"9788869695933"</f>
        <v>9788869695933</v>
      </c>
      <c r="F13284" s="2" t="str">
        <f>"9788869695926"</f>
        <v>9788869695926</v>
      </c>
    </row>
    <row r="13285" spans="1:6" s="3" customFormat="1" ht="29.1" customHeight="1" x14ac:dyDescent="0.25">
      <c r="A13285" s="2" t="s">
        <v>26641</v>
      </c>
      <c r="B13285" s="2" t="s">
        <v>26642</v>
      </c>
      <c r="C13285" s="2" t="s">
        <v>7514</v>
      </c>
      <c r="D13285" s="2" t="s">
        <v>5536</v>
      </c>
      <c r="E13285" s="2" t="str">
        <f>"9788869696701"</f>
        <v>9788869696701</v>
      </c>
      <c r="F13285" s="2" t="str">
        <f>"9788869697296"</f>
        <v>9788869697296</v>
      </c>
    </row>
    <row r="13286" spans="1:6" s="3" customFormat="1" ht="29.1" customHeight="1" x14ac:dyDescent="0.25">
      <c r="A13286" s="2" t="s">
        <v>26643</v>
      </c>
      <c r="B13286" s="2" t="s">
        <v>26644</v>
      </c>
      <c r="C13286" s="2" t="s">
        <v>7514</v>
      </c>
      <c r="D13286" s="2" t="s">
        <v>5319</v>
      </c>
      <c r="E13286" s="2"/>
      <c r="F13286" s="2" t="str">
        <f>"9788869696671"</f>
        <v>9788869696671</v>
      </c>
    </row>
    <row r="13287" spans="1:6" s="3" customFormat="1" ht="29.1" customHeight="1" x14ac:dyDescent="0.25">
      <c r="A13287" s="2" t="s">
        <v>26645</v>
      </c>
      <c r="B13287" s="2" t="s">
        <v>26646</v>
      </c>
      <c r="C13287" s="2" t="s">
        <v>7514</v>
      </c>
      <c r="D13287" s="2" t="s">
        <v>150</v>
      </c>
      <c r="E13287" s="2" t="str">
        <f>"9788869696886"</f>
        <v>9788869696886</v>
      </c>
      <c r="F13287" s="2" t="str">
        <f>"9788869696879"</f>
        <v>9788869696879</v>
      </c>
    </row>
    <row r="13288" spans="1:6" s="3" customFormat="1" ht="29.1" customHeight="1" x14ac:dyDescent="0.25">
      <c r="A13288" s="2" t="s">
        <v>26647</v>
      </c>
      <c r="B13288" s="2" t="s">
        <v>26648</v>
      </c>
      <c r="C13288" s="2" t="s">
        <v>7514</v>
      </c>
      <c r="D13288" s="2" t="s">
        <v>1049</v>
      </c>
      <c r="E13288" s="2" t="str">
        <f>"9788869697050"</f>
        <v>9788869697050</v>
      </c>
      <c r="F13288" s="2" t="str">
        <f>"9788869697043"</f>
        <v>9788869697043</v>
      </c>
    </row>
    <row r="13289" spans="1:6" s="3" customFormat="1" ht="29.1" customHeight="1" x14ac:dyDescent="0.25">
      <c r="A13289" s="2" t="s">
        <v>26649</v>
      </c>
      <c r="B13289" s="2" t="s">
        <v>26650</v>
      </c>
      <c r="C13289" s="2" t="s">
        <v>8104</v>
      </c>
      <c r="D13289" s="2" t="s">
        <v>636</v>
      </c>
      <c r="E13289" s="2" t="str">
        <f>"9781805390886"</f>
        <v>9781805390886</v>
      </c>
      <c r="F13289" s="2" t="str">
        <f>"9781805390800"</f>
        <v>9781805390800</v>
      </c>
    </row>
    <row r="13290" spans="1:6" s="3" customFormat="1" ht="29.1" customHeight="1" x14ac:dyDescent="0.25">
      <c r="A13290" s="2" t="s">
        <v>26651</v>
      </c>
      <c r="B13290" s="2" t="s">
        <v>26652</v>
      </c>
      <c r="C13290" s="2" t="s">
        <v>124</v>
      </c>
      <c r="D13290" s="2" t="s">
        <v>15717</v>
      </c>
      <c r="E13290" s="2" t="str">
        <f>"9781032224022"</f>
        <v>9781032224022</v>
      </c>
      <c r="F13290" s="2" t="str">
        <f>"9781000951950"</f>
        <v>9781000951950</v>
      </c>
    </row>
    <row r="13291" spans="1:6" s="3" customFormat="1" ht="29.1" customHeight="1" x14ac:dyDescent="0.25">
      <c r="A13291" s="2" t="s">
        <v>26653</v>
      </c>
      <c r="B13291" s="2" t="s">
        <v>26654</v>
      </c>
      <c r="C13291" s="2" t="s">
        <v>124</v>
      </c>
      <c r="D13291" s="2" t="s">
        <v>81</v>
      </c>
      <c r="E13291" s="2" t="str">
        <f>"9780367771928"</f>
        <v>9780367771928</v>
      </c>
      <c r="F13291" s="2" t="str">
        <f>"9781000956504"</f>
        <v>9781000956504</v>
      </c>
    </row>
    <row r="13292" spans="1:6" s="3" customFormat="1" ht="29.1" customHeight="1" x14ac:dyDescent="0.25">
      <c r="A13292" s="2" t="s">
        <v>26655</v>
      </c>
      <c r="B13292" s="2" t="s">
        <v>26656</v>
      </c>
      <c r="C13292" s="2" t="s">
        <v>927</v>
      </c>
      <c r="D13292" s="2" t="s">
        <v>8788</v>
      </c>
      <c r="E13292" s="2" t="str">
        <f>"9780472055968"</f>
        <v>9780472055968</v>
      </c>
      <c r="F13292" s="2" t="str">
        <f>"9780472903283"</f>
        <v>9780472903283</v>
      </c>
    </row>
    <row r="13293" spans="1:6" s="3" customFormat="1" ht="29.1" customHeight="1" x14ac:dyDescent="0.25">
      <c r="A13293" s="2" t="s">
        <v>26657</v>
      </c>
      <c r="B13293" s="2" t="s">
        <v>26658</v>
      </c>
      <c r="C13293" s="2" t="s">
        <v>927</v>
      </c>
      <c r="D13293" s="2" t="s">
        <v>9</v>
      </c>
      <c r="E13293" s="2" t="str">
        <f>"9780472056408"</f>
        <v>9780472056408</v>
      </c>
      <c r="F13293" s="2" t="str">
        <f>"9780472903795"</f>
        <v>9780472903795</v>
      </c>
    </row>
    <row r="13294" spans="1:6" s="3" customFormat="1" ht="29.1" customHeight="1" x14ac:dyDescent="0.25">
      <c r="A13294" s="2" t="s">
        <v>26659</v>
      </c>
      <c r="B13294" s="2" t="s">
        <v>26660</v>
      </c>
      <c r="C13294" s="2" t="s">
        <v>15181</v>
      </c>
      <c r="D13294" s="2" t="s">
        <v>1669</v>
      </c>
      <c r="E13294" s="2" t="str">
        <f>"9789633866474"</f>
        <v>9789633866474</v>
      </c>
      <c r="F13294" s="2" t="str">
        <f>"9789633866481"</f>
        <v>9789633866481</v>
      </c>
    </row>
    <row r="13295" spans="1:6" s="3" customFormat="1" ht="29.1" customHeight="1" x14ac:dyDescent="0.25">
      <c r="A13295" s="2" t="s">
        <v>26661</v>
      </c>
      <c r="B13295" s="2" t="s">
        <v>26662</v>
      </c>
      <c r="C13295" s="2" t="s">
        <v>62</v>
      </c>
      <c r="D13295" s="2" t="s">
        <v>81</v>
      </c>
      <c r="E13295" s="2" t="str">
        <f>"9783428188659"</f>
        <v>9783428188659</v>
      </c>
      <c r="F13295" s="2" t="str">
        <f>"9783428588657"</f>
        <v>9783428588657</v>
      </c>
    </row>
    <row r="13296" spans="1:6" s="3" customFormat="1" ht="29.1" customHeight="1" x14ac:dyDescent="0.25">
      <c r="A13296" s="2" t="s">
        <v>26663</v>
      </c>
      <c r="B13296" s="2" t="s">
        <v>26664</v>
      </c>
      <c r="C13296" s="2" t="s">
        <v>248</v>
      </c>
      <c r="D13296" s="2" t="s">
        <v>8202</v>
      </c>
      <c r="E13296" s="2" t="str">
        <f>"9783847426530"</f>
        <v>9783847426530</v>
      </c>
      <c r="F13296" s="2" t="str">
        <f>"9783847418122"</f>
        <v>9783847418122</v>
      </c>
    </row>
    <row r="13297" spans="1:6" s="3" customFormat="1" ht="29.1" customHeight="1" x14ac:dyDescent="0.25">
      <c r="A13297" s="2" t="s">
        <v>26665</v>
      </c>
      <c r="B13297" s="2" t="s">
        <v>26666</v>
      </c>
      <c r="C13297" s="2" t="s">
        <v>248</v>
      </c>
      <c r="D13297" s="2" t="s">
        <v>1560</v>
      </c>
      <c r="E13297" s="2" t="str">
        <f>"9783847427223"</f>
        <v>9783847427223</v>
      </c>
      <c r="F13297" s="2" t="str">
        <f>"9783847418931"</f>
        <v>9783847418931</v>
      </c>
    </row>
    <row r="13298" spans="1:6" s="3" customFormat="1" ht="29.1" customHeight="1" x14ac:dyDescent="0.25">
      <c r="A13298" s="2" t="s">
        <v>26667</v>
      </c>
      <c r="B13298" s="2" t="s">
        <v>26668</v>
      </c>
      <c r="C13298" s="2" t="s">
        <v>248</v>
      </c>
      <c r="D13298" s="2" t="s">
        <v>2752</v>
      </c>
      <c r="E13298" s="2" t="str">
        <f>"9783847427605"</f>
        <v>9783847427605</v>
      </c>
      <c r="F13298" s="2" t="str">
        <f>"9783847419310"</f>
        <v>9783847419310</v>
      </c>
    </row>
    <row r="13299" spans="1:6" s="3" customFormat="1" ht="29.1" customHeight="1" x14ac:dyDescent="0.25">
      <c r="A13299" s="2" t="s">
        <v>26669</v>
      </c>
      <c r="B13299" s="2" t="s">
        <v>26670</v>
      </c>
      <c r="C13299" s="2" t="s">
        <v>248</v>
      </c>
      <c r="D13299" s="2" t="s">
        <v>249</v>
      </c>
      <c r="E13299" s="2" t="str">
        <f>"9783847426332"</f>
        <v>9783847426332</v>
      </c>
      <c r="F13299" s="2" t="str">
        <f>"9783847418054"</f>
        <v>9783847418054</v>
      </c>
    </row>
    <row r="13300" spans="1:6" s="3" customFormat="1" ht="29.1" customHeight="1" x14ac:dyDescent="0.25">
      <c r="A13300" s="2" t="s">
        <v>26671</v>
      </c>
      <c r="B13300" s="2" t="s">
        <v>26672</v>
      </c>
      <c r="C13300" s="2" t="s">
        <v>248</v>
      </c>
      <c r="D13300" s="2" t="s">
        <v>37</v>
      </c>
      <c r="E13300" s="2" t="str">
        <f>"9783847430001"</f>
        <v>9783847430001</v>
      </c>
      <c r="F13300" s="2" t="str">
        <f>"9783847419365"</f>
        <v>9783847419365</v>
      </c>
    </row>
    <row r="13301" spans="1:6" s="3" customFormat="1" ht="29.1" customHeight="1" x14ac:dyDescent="0.25">
      <c r="A13301" s="2" t="s">
        <v>26673</v>
      </c>
      <c r="B13301" s="2" t="s">
        <v>26674</v>
      </c>
      <c r="C13301" s="2" t="s">
        <v>264</v>
      </c>
      <c r="D13301" s="2" t="s">
        <v>15351</v>
      </c>
      <c r="E13301" s="2" t="str">
        <f>"9781032524382"</f>
        <v>9781032524382</v>
      </c>
      <c r="F13301" s="2" t="str">
        <f>"9781000936896"</f>
        <v>9781000936896</v>
      </c>
    </row>
    <row r="13302" spans="1:6" s="3" customFormat="1" ht="29.1" customHeight="1" x14ac:dyDescent="0.25">
      <c r="A13302" s="2" t="s">
        <v>26675</v>
      </c>
      <c r="B13302" s="2" t="s">
        <v>26678</v>
      </c>
      <c r="C13302" s="2" t="s">
        <v>26676</v>
      </c>
      <c r="D13302" s="2" t="s">
        <v>26677</v>
      </c>
      <c r="E13302" s="2"/>
      <c r="F13302" s="2" t="str">
        <f>"9798887191836"</f>
        <v>9798887191836</v>
      </c>
    </row>
    <row r="13303" spans="1:6" s="3" customFormat="1" ht="29.1" customHeight="1" x14ac:dyDescent="0.25">
      <c r="A13303" s="2" t="s">
        <v>26679</v>
      </c>
      <c r="B13303" s="2" t="s">
        <v>26680</v>
      </c>
      <c r="C13303" s="2" t="s">
        <v>124</v>
      </c>
      <c r="D13303" s="2" t="s">
        <v>5706</v>
      </c>
      <c r="E13303" s="2" t="str">
        <f>"9781032470214"</f>
        <v>9781032470214</v>
      </c>
      <c r="F13303" s="2" t="str">
        <f>"9781000953268"</f>
        <v>9781000953268</v>
      </c>
    </row>
    <row r="13304" spans="1:6" s="3" customFormat="1" ht="29.1" customHeight="1" x14ac:dyDescent="0.25">
      <c r="A13304" s="2" t="s">
        <v>26681</v>
      </c>
      <c r="B13304" s="2" t="s">
        <v>26682</v>
      </c>
      <c r="C13304" s="2" t="s">
        <v>124</v>
      </c>
      <c r="D13304" s="2" t="s">
        <v>4013</v>
      </c>
      <c r="E13304" s="2" t="str">
        <f>"9781032367767"</f>
        <v>9781032367767</v>
      </c>
      <c r="F13304" s="2" t="str">
        <f>"9781000960372"</f>
        <v>9781000960372</v>
      </c>
    </row>
    <row r="13305" spans="1:6" s="3" customFormat="1" ht="29.1" customHeight="1" x14ac:dyDescent="0.25">
      <c r="A13305" s="2" t="s">
        <v>26683</v>
      </c>
      <c r="B13305" s="2" t="s">
        <v>26684</v>
      </c>
      <c r="C13305" s="2" t="s">
        <v>124</v>
      </c>
      <c r="D13305" s="2" t="s">
        <v>15136</v>
      </c>
      <c r="E13305" s="2" t="str">
        <f>"9781032446257"</f>
        <v>9781032446257</v>
      </c>
      <c r="F13305" s="2" t="str">
        <f>"9781000937305"</f>
        <v>9781000937305</v>
      </c>
    </row>
    <row r="13306" spans="1:6" s="3" customFormat="1" ht="29.1" customHeight="1" x14ac:dyDescent="0.25">
      <c r="A13306" s="2" t="s">
        <v>26685</v>
      </c>
      <c r="B13306" s="2" t="s">
        <v>26686</v>
      </c>
      <c r="C13306" s="2" t="s">
        <v>124</v>
      </c>
      <c r="D13306" s="2" t="s">
        <v>353</v>
      </c>
      <c r="E13306" s="2" t="str">
        <f>"9781032042299"</f>
        <v>9781032042299</v>
      </c>
      <c r="F13306" s="2" t="str">
        <f>"9781000923537"</f>
        <v>9781000923537</v>
      </c>
    </row>
    <row r="13307" spans="1:6" s="3" customFormat="1" ht="29.1" customHeight="1" x14ac:dyDescent="0.25">
      <c r="A13307" s="2" t="s">
        <v>26687</v>
      </c>
      <c r="B13307" s="2" t="s">
        <v>26688</v>
      </c>
      <c r="C13307" s="2" t="s">
        <v>2188</v>
      </c>
      <c r="D13307" s="2" t="s">
        <v>342</v>
      </c>
      <c r="E13307" s="2" t="str">
        <f>"9788323241768"</f>
        <v>9788323241768</v>
      </c>
      <c r="F13307" s="2" t="str">
        <f>"9788323241775"</f>
        <v>9788323241775</v>
      </c>
    </row>
    <row r="13308" spans="1:6" s="3" customFormat="1" ht="29.1" customHeight="1" x14ac:dyDescent="0.25">
      <c r="A13308" s="2" t="s">
        <v>26689</v>
      </c>
      <c r="B13308" s="2" t="s">
        <v>26690</v>
      </c>
      <c r="C13308" s="2" t="s">
        <v>15181</v>
      </c>
      <c r="D13308" s="2" t="s">
        <v>10410</v>
      </c>
      <c r="E13308" s="2" t="str">
        <f>"9789087284046"</f>
        <v>9789087284046</v>
      </c>
      <c r="F13308" s="2" t="str">
        <f>"9789400604490"</f>
        <v>9789400604490</v>
      </c>
    </row>
    <row r="13309" spans="1:6" s="3" customFormat="1" ht="29.1" customHeight="1" x14ac:dyDescent="0.25">
      <c r="A13309" s="2" t="s">
        <v>26691</v>
      </c>
      <c r="B13309" s="2" t="s">
        <v>26692</v>
      </c>
      <c r="C13309" s="2" t="s">
        <v>124</v>
      </c>
      <c r="D13309" s="2" t="s">
        <v>868</v>
      </c>
      <c r="E13309" s="2" t="str">
        <f>"9781032317762"</f>
        <v>9781032317762</v>
      </c>
      <c r="F13309" s="2" t="str">
        <f>"9781000930283"</f>
        <v>9781000930283</v>
      </c>
    </row>
    <row r="13310" spans="1:6" s="3" customFormat="1" ht="29.1" customHeight="1" x14ac:dyDescent="0.25">
      <c r="A13310" s="2" t="s">
        <v>26693</v>
      </c>
      <c r="B13310" s="2" t="s">
        <v>26694</v>
      </c>
      <c r="C13310" s="2" t="s">
        <v>124</v>
      </c>
      <c r="D13310" s="2" t="s">
        <v>9</v>
      </c>
      <c r="E13310" s="2" t="str">
        <f>"9781032377810"</f>
        <v>9781032377810</v>
      </c>
      <c r="F13310" s="2" t="str">
        <f>"9781000910865"</f>
        <v>9781000910865</v>
      </c>
    </row>
    <row r="13311" spans="1:6" s="3" customFormat="1" ht="29.1" customHeight="1" x14ac:dyDescent="0.25">
      <c r="A13311" s="2" t="s">
        <v>26695</v>
      </c>
      <c r="B13311" s="2" t="s">
        <v>26696</v>
      </c>
      <c r="C13311" s="2" t="s">
        <v>62</v>
      </c>
      <c r="D13311" s="2" t="s">
        <v>3963</v>
      </c>
      <c r="E13311" s="2" t="str">
        <f>"9783428188277"</f>
        <v>9783428188277</v>
      </c>
      <c r="F13311" s="2" t="str">
        <f>"9783428588275"</f>
        <v>9783428588275</v>
      </c>
    </row>
    <row r="13312" spans="1:6" s="3" customFormat="1" ht="29.1" customHeight="1" x14ac:dyDescent="0.25">
      <c r="A13312" s="2" t="s">
        <v>26697</v>
      </c>
      <c r="B13312" s="2" t="s">
        <v>26698</v>
      </c>
      <c r="C13312" s="2" t="s">
        <v>2133</v>
      </c>
      <c r="D13312" s="2" t="s">
        <v>92</v>
      </c>
      <c r="E13312" s="2" t="str">
        <f>"9781760465735"</f>
        <v>9781760465735</v>
      </c>
      <c r="F13312" s="2" t="str">
        <f>"9781760465742"</f>
        <v>9781760465742</v>
      </c>
    </row>
    <row r="13313" spans="1:6" s="3" customFormat="1" ht="29.1" customHeight="1" x14ac:dyDescent="0.25">
      <c r="A13313" s="2" t="s">
        <v>26699</v>
      </c>
      <c r="B13313" s="2" t="s">
        <v>26700</v>
      </c>
      <c r="C13313" s="2" t="s">
        <v>2133</v>
      </c>
      <c r="D13313" s="2" t="s">
        <v>294</v>
      </c>
      <c r="E13313" s="2" t="str">
        <f>"9781760465797"</f>
        <v>9781760465797</v>
      </c>
      <c r="F13313" s="2" t="str">
        <f>"9781760465803"</f>
        <v>9781760465803</v>
      </c>
    </row>
    <row r="13314" spans="1:6" s="3" customFormat="1" ht="29.1" customHeight="1" x14ac:dyDescent="0.25">
      <c r="A13314" s="2" t="s">
        <v>26701</v>
      </c>
      <c r="B13314" s="2" t="s">
        <v>26373</v>
      </c>
      <c r="C13314" s="2" t="s">
        <v>15181</v>
      </c>
      <c r="D13314" s="2" t="s">
        <v>5671</v>
      </c>
      <c r="E13314" s="2" t="str">
        <f>"9789633866511"</f>
        <v>9789633866511</v>
      </c>
      <c r="F13314" s="2" t="str">
        <f>"9789633866528"</f>
        <v>9789633866528</v>
      </c>
    </row>
    <row r="13315" spans="1:6" s="3" customFormat="1" ht="29.1" customHeight="1" x14ac:dyDescent="0.25">
      <c r="A13315" s="2" t="s">
        <v>26702</v>
      </c>
      <c r="B13315" s="2" t="s">
        <v>26703</v>
      </c>
      <c r="C13315" s="2" t="s">
        <v>15181</v>
      </c>
      <c r="D13315" s="2" t="s">
        <v>259</v>
      </c>
      <c r="E13315" s="2" t="str">
        <f>"9789633866573"</f>
        <v>9789633866573</v>
      </c>
      <c r="F13315" s="2" t="str">
        <f>"9789633866580"</f>
        <v>9789633866580</v>
      </c>
    </row>
    <row r="13316" spans="1:6" s="3" customFormat="1" ht="29.1" customHeight="1" x14ac:dyDescent="0.25">
      <c r="A13316" s="2" t="s">
        <v>26704</v>
      </c>
      <c r="B13316" s="2" t="s">
        <v>26705</v>
      </c>
      <c r="C13316" s="2" t="s">
        <v>124</v>
      </c>
      <c r="D13316" s="2" t="s">
        <v>1544</v>
      </c>
      <c r="E13316" s="2" t="str">
        <f>"9781032203010"</f>
        <v>9781032203010</v>
      </c>
      <c r="F13316" s="2" t="str">
        <f>"9781000970425"</f>
        <v>9781000970425</v>
      </c>
    </row>
    <row r="13317" spans="1:6" s="3" customFormat="1" ht="29.1" customHeight="1" x14ac:dyDescent="0.25">
      <c r="A13317" s="2" t="s">
        <v>26706</v>
      </c>
      <c r="B13317" s="2" t="s">
        <v>26302</v>
      </c>
      <c r="C13317" s="2" t="s">
        <v>8047</v>
      </c>
      <c r="D13317" s="2" t="s">
        <v>26301</v>
      </c>
      <c r="E13317" s="2" t="str">
        <f>"9780271092553"</f>
        <v>9780271092553</v>
      </c>
      <c r="F13317" s="2" t="str">
        <f>"9780271093727"</f>
        <v>9780271093727</v>
      </c>
    </row>
    <row r="13318" spans="1:6" s="3" customFormat="1" ht="29.1" customHeight="1" x14ac:dyDescent="0.25">
      <c r="A13318" s="2" t="s">
        <v>26707</v>
      </c>
      <c r="B13318" s="2" t="s">
        <v>26708</v>
      </c>
      <c r="C13318" s="2" t="s">
        <v>8047</v>
      </c>
      <c r="D13318" s="2" t="s">
        <v>484</v>
      </c>
      <c r="E13318" s="2" t="str">
        <f>"9780271093413"</f>
        <v>9780271093413</v>
      </c>
      <c r="F13318" s="2" t="str">
        <f>"9780271093604"</f>
        <v>9780271093604</v>
      </c>
    </row>
    <row r="13319" spans="1:6" s="3" customFormat="1" ht="29.1" customHeight="1" x14ac:dyDescent="0.25">
      <c r="A13319" s="2" t="s">
        <v>26709</v>
      </c>
      <c r="B13319" s="2" t="s">
        <v>26711</v>
      </c>
      <c r="C13319" s="2" t="s">
        <v>8047</v>
      </c>
      <c r="D13319" s="2" t="s">
        <v>26710</v>
      </c>
      <c r="E13319" s="2" t="str">
        <f>"9780271092874"</f>
        <v>9780271092874</v>
      </c>
      <c r="F13319" s="2" t="str">
        <f>"9780271093185"</f>
        <v>9780271093185</v>
      </c>
    </row>
    <row r="13320" spans="1:6" s="3" customFormat="1" ht="29.1" customHeight="1" x14ac:dyDescent="0.25">
      <c r="A13320" s="2" t="s">
        <v>26712</v>
      </c>
      <c r="B13320" s="2" t="s">
        <v>26713</v>
      </c>
      <c r="C13320" s="2" t="s">
        <v>927</v>
      </c>
      <c r="D13320" s="2" t="s">
        <v>210</v>
      </c>
      <c r="E13320" s="2" t="str">
        <f>"9780472039388"</f>
        <v>9780472039388</v>
      </c>
      <c r="F13320" s="2" t="str">
        <f>"9780472903672"</f>
        <v>9780472903672</v>
      </c>
    </row>
    <row r="13321" spans="1:6" s="3" customFormat="1" ht="29.1" customHeight="1" x14ac:dyDescent="0.25">
      <c r="A13321" s="2" t="s">
        <v>26714</v>
      </c>
      <c r="B13321" s="2" t="s">
        <v>26715</v>
      </c>
      <c r="C13321" s="2" t="s">
        <v>927</v>
      </c>
      <c r="D13321" s="2" t="s">
        <v>270</v>
      </c>
      <c r="E13321" s="2" t="str">
        <f>"9780472056347"</f>
        <v>9780472056347</v>
      </c>
      <c r="F13321" s="2" t="str">
        <f>"9780472903726"</f>
        <v>9780472903726</v>
      </c>
    </row>
    <row r="13322" spans="1:6" s="3" customFormat="1" ht="29.1" customHeight="1" x14ac:dyDescent="0.25">
      <c r="A13322" s="2" t="s">
        <v>26716</v>
      </c>
      <c r="B13322" s="2" t="s">
        <v>26717</v>
      </c>
      <c r="C13322" s="2" t="s">
        <v>927</v>
      </c>
      <c r="D13322" s="2" t="s">
        <v>2208</v>
      </c>
      <c r="E13322" s="2" t="str">
        <f>"9780472055784"</f>
        <v>9780472055784</v>
      </c>
      <c r="F13322" s="2" t="str">
        <f>"9780472903603"</f>
        <v>9780472903603</v>
      </c>
    </row>
    <row r="13323" spans="1:6" s="3" customFormat="1" ht="29.1" customHeight="1" x14ac:dyDescent="0.25">
      <c r="A13323" s="2" t="s">
        <v>26718</v>
      </c>
      <c r="B13323" s="2" t="s">
        <v>26719</v>
      </c>
      <c r="C13323" s="2" t="s">
        <v>927</v>
      </c>
      <c r="D13323" s="2" t="s">
        <v>270</v>
      </c>
      <c r="E13323" s="2" t="str">
        <f>"9780472056224"</f>
        <v>9780472056224</v>
      </c>
      <c r="F13323" s="2" t="str">
        <f>"9780472903542"</f>
        <v>9780472903542</v>
      </c>
    </row>
    <row r="13324" spans="1:6" s="3" customFormat="1" ht="29.1" customHeight="1" x14ac:dyDescent="0.25">
      <c r="A13324" s="2" t="s">
        <v>26720</v>
      </c>
      <c r="B13324" s="2" t="s">
        <v>26721</v>
      </c>
      <c r="C13324" s="2" t="s">
        <v>927</v>
      </c>
      <c r="D13324" s="2" t="s">
        <v>682</v>
      </c>
      <c r="E13324" s="2" t="str">
        <f>"9780472056316"</f>
        <v>9780472056316</v>
      </c>
      <c r="F13324" s="2" t="str">
        <f>"9780472903887"</f>
        <v>9780472903887</v>
      </c>
    </row>
    <row r="13325" spans="1:6" s="3" customFormat="1" ht="29.1" customHeight="1" x14ac:dyDescent="0.25">
      <c r="A13325" s="2" t="s">
        <v>26722</v>
      </c>
      <c r="B13325" s="2" t="s">
        <v>26723</v>
      </c>
      <c r="C13325" s="2" t="s">
        <v>556</v>
      </c>
      <c r="D13325" s="2" t="s">
        <v>1189</v>
      </c>
      <c r="E13325" s="2" t="str">
        <f>"9783837669008"</f>
        <v>9783837669008</v>
      </c>
      <c r="F13325" s="2" t="str">
        <f>"9783839469002"</f>
        <v>9783839469002</v>
      </c>
    </row>
    <row r="13326" spans="1:6" s="3" customFormat="1" ht="29.1" customHeight="1" x14ac:dyDescent="0.25">
      <c r="A13326" s="2" t="s">
        <v>26724</v>
      </c>
      <c r="B13326" s="2" t="s">
        <v>26725</v>
      </c>
      <c r="C13326" s="2" t="s">
        <v>556</v>
      </c>
      <c r="D13326" s="2" t="s">
        <v>189</v>
      </c>
      <c r="E13326" s="2" t="str">
        <f>"9783837668889"</f>
        <v>9783837668889</v>
      </c>
      <c r="F13326" s="2" t="str">
        <f>"9783732868889"</f>
        <v>9783732868889</v>
      </c>
    </row>
    <row r="13327" spans="1:6" s="3" customFormat="1" ht="29.1" customHeight="1" x14ac:dyDescent="0.25">
      <c r="A13327" s="2" t="s">
        <v>26726</v>
      </c>
      <c r="B13327" s="2" t="s">
        <v>26728</v>
      </c>
      <c r="C13327" s="2" t="s">
        <v>556</v>
      </c>
      <c r="D13327" s="2" t="s">
        <v>26727</v>
      </c>
      <c r="E13327" s="2" t="str">
        <f>"9783837668858"</f>
        <v>9783837668858</v>
      </c>
      <c r="F13327" s="2" t="str">
        <f>"9783839468852"</f>
        <v>9783839468852</v>
      </c>
    </row>
    <row r="13328" spans="1:6" s="3" customFormat="1" ht="29.1" customHeight="1" x14ac:dyDescent="0.25">
      <c r="A13328" s="2" t="s">
        <v>26729</v>
      </c>
      <c r="B13328" s="2" t="s">
        <v>26730</v>
      </c>
      <c r="C13328" s="2" t="s">
        <v>556</v>
      </c>
      <c r="D13328" s="2" t="s">
        <v>1082</v>
      </c>
      <c r="E13328" s="2" t="str">
        <f>"9783837668520"</f>
        <v>9783837668520</v>
      </c>
      <c r="F13328" s="2" t="str">
        <f>"9783839468524"</f>
        <v>9783839468524</v>
      </c>
    </row>
    <row r="13329" spans="1:6" s="3" customFormat="1" ht="29.1" customHeight="1" x14ac:dyDescent="0.25">
      <c r="A13329" s="2" t="s">
        <v>26731</v>
      </c>
      <c r="B13329" s="2" t="s">
        <v>26732</v>
      </c>
      <c r="C13329" s="2" t="s">
        <v>556</v>
      </c>
      <c r="D13329" s="2" t="s">
        <v>6795</v>
      </c>
      <c r="E13329" s="2" t="str">
        <f>"9783837668001"</f>
        <v>9783837668001</v>
      </c>
      <c r="F13329" s="2" t="str">
        <f>"9783839468005"</f>
        <v>9783839468005</v>
      </c>
    </row>
    <row r="13330" spans="1:6" s="3" customFormat="1" ht="29.1" customHeight="1" x14ac:dyDescent="0.25">
      <c r="A13330" s="2" t="s">
        <v>26733</v>
      </c>
      <c r="B13330" s="2" t="s">
        <v>26734</v>
      </c>
      <c r="C13330" s="2" t="s">
        <v>556</v>
      </c>
      <c r="D13330" s="2" t="s">
        <v>52</v>
      </c>
      <c r="E13330" s="2" t="str">
        <f>"9783837667615"</f>
        <v>9783837667615</v>
      </c>
      <c r="F13330" s="2" t="str">
        <f>"9783839467619"</f>
        <v>9783839467619</v>
      </c>
    </row>
    <row r="13331" spans="1:6" s="3" customFormat="1" ht="29.1" customHeight="1" x14ac:dyDescent="0.25">
      <c r="A13331" s="2" t="s">
        <v>26735</v>
      </c>
      <c r="B13331" s="2" t="s">
        <v>26737</v>
      </c>
      <c r="C13331" s="2" t="s">
        <v>556</v>
      </c>
      <c r="D13331" s="2" t="s">
        <v>26736</v>
      </c>
      <c r="E13331" s="2" t="str">
        <f>"9783837667486"</f>
        <v>9783837667486</v>
      </c>
      <c r="F13331" s="2" t="str">
        <f>"9783839467480"</f>
        <v>9783839467480</v>
      </c>
    </row>
    <row r="13332" spans="1:6" s="3" customFormat="1" ht="29.1" customHeight="1" x14ac:dyDescent="0.25">
      <c r="A13332" s="2" t="s">
        <v>26738</v>
      </c>
      <c r="B13332" s="2" t="s">
        <v>26739</v>
      </c>
      <c r="C13332" s="2" t="s">
        <v>556</v>
      </c>
      <c r="D13332" s="2" t="s">
        <v>1127</v>
      </c>
      <c r="E13332" s="2" t="str">
        <f>"9783837667165"</f>
        <v>9783837667165</v>
      </c>
      <c r="F13332" s="2" t="str">
        <f>"9783839467169"</f>
        <v>9783839467169</v>
      </c>
    </row>
    <row r="13333" spans="1:6" s="3" customFormat="1" ht="29.1" customHeight="1" x14ac:dyDescent="0.25">
      <c r="A13333" s="2" t="s">
        <v>26740</v>
      </c>
      <c r="B13333" s="2" t="s">
        <v>26742</v>
      </c>
      <c r="C13333" s="2" t="s">
        <v>556</v>
      </c>
      <c r="D13333" s="2" t="s">
        <v>26741</v>
      </c>
      <c r="E13333" s="2" t="str">
        <f>"9783837666908"</f>
        <v>9783837666908</v>
      </c>
      <c r="F13333" s="2" t="str">
        <f>"9783732866908"</f>
        <v>9783732866908</v>
      </c>
    </row>
    <row r="13334" spans="1:6" s="3" customFormat="1" ht="29.1" customHeight="1" x14ac:dyDescent="0.25">
      <c r="A13334" s="2" t="s">
        <v>26743</v>
      </c>
      <c r="B13334" s="2" t="s">
        <v>26744</v>
      </c>
      <c r="C13334" s="2" t="s">
        <v>556</v>
      </c>
      <c r="D13334" s="2" t="s">
        <v>16633</v>
      </c>
      <c r="E13334" s="2" t="str">
        <f>"9783837666649"</f>
        <v>9783837666649</v>
      </c>
      <c r="F13334" s="2" t="str">
        <f>"9783732866649"</f>
        <v>9783732866649</v>
      </c>
    </row>
    <row r="13335" spans="1:6" s="3" customFormat="1" ht="29.1" customHeight="1" x14ac:dyDescent="0.25">
      <c r="A13335" s="2" t="s">
        <v>26745</v>
      </c>
      <c r="B13335" s="2" t="s">
        <v>26746</v>
      </c>
      <c r="C13335" s="2" t="s">
        <v>556</v>
      </c>
      <c r="D13335" s="2" t="s">
        <v>1694</v>
      </c>
      <c r="E13335" s="2" t="str">
        <f>"9783837665116"</f>
        <v>9783837665116</v>
      </c>
      <c r="F13335" s="2" t="str">
        <f>"9783839465110"</f>
        <v>9783839465110</v>
      </c>
    </row>
    <row r="13336" spans="1:6" s="3" customFormat="1" ht="29.1" customHeight="1" x14ac:dyDescent="0.25">
      <c r="A13336" s="2" t="s">
        <v>26747</v>
      </c>
      <c r="B13336" s="2" t="s">
        <v>26748</v>
      </c>
      <c r="C13336" s="2" t="s">
        <v>556</v>
      </c>
      <c r="D13336" s="2" t="s">
        <v>284</v>
      </c>
      <c r="E13336" s="2" t="str">
        <f>"9783837664638"</f>
        <v>9783837664638</v>
      </c>
      <c r="F13336" s="2" t="str">
        <f>"9783839464632"</f>
        <v>9783839464632</v>
      </c>
    </row>
    <row r="13337" spans="1:6" s="3" customFormat="1" ht="29.1" customHeight="1" x14ac:dyDescent="0.25">
      <c r="A13337" s="2" t="s">
        <v>26749</v>
      </c>
      <c r="B13337" s="2" t="s">
        <v>26750</v>
      </c>
      <c r="C13337" s="2" t="s">
        <v>556</v>
      </c>
      <c r="D13337" s="2" t="s">
        <v>4048</v>
      </c>
      <c r="E13337" s="2" t="str">
        <f>"9783837664188"</f>
        <v>9783837664188</v>
      </c>
      <c r="F13337" s="2" t="str">
        <f>"9783839464182"</f>
        <v>9783839464182</v>
      </c>
    </row>
    <row r="13338" spans="1:6" s="3" customFormat="1" ht="29.1" customHeight="1" x14ac:dyDescent="0.25">
      <c r="A13338" s="2" t="s">
        <v>26751</v>
      </c>
      <c r="B13338" s="2" t="s">
        <v>26752</v>
      </c>
      <c r="C13338" s="2" t="s">
        <v>556</v>
      </c>
      <c r="D13338" s="2" t="s">
        <v>1411</v>
      </c>
      <c r="E13338" s="2" t="str">
        <f>"9783837664102"</f>
        <v>9783837664102</v>
      </c>
      <c r="F13338" s="2" t="str">
        <f>"9783839464106"</f>
        <v>9783839464106</v>
      </c>
    </row>
    <row r="13339" spans="1:6" s="3" customFormat="1" ht="29.1" customHeight="1" x14ac:dyDescent="0.25">
      <c r="A13339" s="2" t="s">
        <v>26753</v>
      </c>
      <c r="B13339" s="2" t="s">
        <v>26754</v>
      </c>
      <c r="C13339" s="2" t="s">
        <v>556</v>
      </c>
      <c r="D13339" s="2" t="s">
        <v>324</v>
      </c>
      <c r="E13339" s="2" t="str">
        <f>"9783837662825"</f>
        <v>9783837662825</v>
      </c>
      <c r="F13339" s="2" t="str">
        <f>"9783839462829"</f>
        <v>9783839462829</v>
      </c>
    </row>
    <row r="13340" spans="1:6" s="3" customFormat="1" ht="29.1" customHeight="1" x14ac:dyDescent="0.25">
      <c r="A13340" s="2" t="s">
        <v>26755</v>
      </c>
      <c r="B13340" s="2" t="s">
        <v>26756</v>
      </c>
      <c r="C13340" s="2" t="s">
        <v>556</v>
      </c>
      <c r="D13340" s="2" t="s">
        <v>951</v>
      </c>
      <c r="E13340" s="2" t="str">
        <f>"9783837661804"</f>
        <v>9783837661804</v>
      </c>
      <c r="F13340" s="2" t="str">
        <f>"9783839461808"</f>
        <v>9783839461808</v>
      </c>
    </row>
    <row r="13341" spans="1:6" s="3" customFormat="1" ht="29.1" customHeight="1" x14ac:dyDescent="0.25">
      <c r="A13341" s="2" t="s">
        <v>26757</v>
      </c>
      <c r="B13341" s="2" t="s">
        <v>26758</v>
      </c>
      <c r="C13341" s="2" t="s">
        <v>556</v>
      </c>
      <c r="D13341" s="2" t="s">
        <v>215</v>
      </c>
      <c r="E13341" s="2" t="str">
        <f>"9783837661729"</f>
        <v>9783837661729</v>
      </c>
      <c r="F13341" s="2" t="str">
        <f>"9783839461723"</f>
        <v>9783839461723</v>
      </c>
    </row>
    <row r="13342" spans="1:6" s="3" customFormat="1" ht="29.1" customHeight="1" x14ac:dyDescent="0.25">
      <c r="A13342" s="2" t="s">
        <v>16497</v>
      </c>
      <c r="B13342" s="2" t="s">
        <v>16498</v>
      </c>
      <c r="C13342" s="2" t="s">
        <v>556</v>
      </c>
      <c r="D13342" s="2" t="s">
        <v>446</v>
      </c>
      <c r="E13342" s="2" t="str">
        <f>"9783837661286"</f>
        <v>9783837661286</v>
      </c>
      <c r="F13342" s="2" t="str">
        <f>"9783839461280"</f>
        <v>9783839461280</v>
      </c>
    </row>
    <row r="13343" spans="1:6" s="3" customFormat="1" ht="29.1" customHeight="1" x14ac:dyDescent="0.25">
      <c r="A13343" s="2" t="s">
        <v>26759</v>
      </c>
      <c r="B13343" s="2" t="s">
        <v>26760</v>
      </c>
      <c r="C13343" s="2" t="s">
        <v>556</v>
      </c>
      <c r="D13343" s="2" t="s">
        <v>183</v>
      </c>
      <c r="E13343" s="2" t="str">
        <f>"9783837660449"</f>
        <v>9783837660449</v>
      </c>
      <c r="F13343" s="2" t="str">
        <f>"9783839460443"</f>
        <v>9783839460443</v>
      </c>
    </row>
    <row r="13344" spans="1:6" s="3" customFormat="1" ht="29.1" customHeight="1" x14ac:dyDescent="0.25">
      <c r="A13344" s="2" t="s">
        <v>16497</v>
      </c>
      <c r="B13344" s="2" t="s">
        <v>16498</v>
      </c>
      <c r="C13344" s="2" t="s">
        <v>556</v>
      </c>
      <c r="D13344" s="2" t="s">
        <v>446</v>
      </c>
      <c r="E13344" s="2" t="str">
        <f>"9783837649529"</f>
        <v>9783837649529</v>
      </c>
      <c r="F13344" s="2" t="str">
        <f>"9783839449523"</f>
        <v>9783839449523</v>
      </c>
    </row>
    <row r="13345" spans="1:6" s="3" customFormat="1" ht="29.1" customHeight="1" x14ac:dyDescent="0.25">
      <c r="A13345" s="2" t="s">
        <v>16497</v>
      </c>
      <c r="B13345" s="2" t="s">
        <v>16498</v>
      </c>
      <c r="C13345" s="2" t="s">
        <v>556</v>
      </c>
      <c r="D13345" s="2" t="s">
        <v>446</v>
      </c>
      <c r="E13345" s="2" t="str">
        <f>"9783837643930"</f>
        <v>9783837643930</v>
      </c>
      <c r="F13345" s="2" t="str">
        <f>"9783839443934"</f>
        <v>9783839443934</v>
      </c>
    </row>
    <row r="13346" spans="1:6" s="3" customFormat="1" ht="29.1" customHeight="1" x14ac:dyDescent="0.25">
      <c r="A13346" s="2" t="s">
        <v>16497</v>
      </c>
      <c r="B13346" s="2" t="s">
        <v>16498</v>
      </c>
      <c r="C13346" s="2" t="s">
        <v>556</v>
      </c>
      <c r="D13346" s="2" t="s">
        <v>446</v>
      </c>
      <c r="E13346" s="2" t="str">
        <f>"9783837634518"</f>
        <v>9783837634518</v>
      </c>
      <c r="F13346" s="2" t="str">
        <f>"9783839434512"</f>
        <v>9783839434512</v>
      </c>
    </row>
    <row r="13347" spans="1:6" s="3" customFormat="1" ht="29.1" customHeight="1" x14ac:dyDescent="0.25">
      <c r="A13347" s="2" t="s">
        <v>26761</v>
      </c>
      <c r="B13347" s="2" t="s">
        <v>26762</v>
      </c>
      <c r="C13347" s="2" t="s">
        <v>264</v>
      </c>
      <c r="D13347" s="2" t="s">
        <v>297</v>
      </c>
      <c r="E13347" s="2" t="str">
        <f>"9781032514420"</f>
        <v>9781032514420</v>
      </c>
      <c r="F13347" s="2" t="str">
        <f>"9781000982213"</f>
        <v>9781000982213</v>
      </c>
    </row>
    <row r="13348" spans="1:6" s="3" customFormat="1" ht="29.1" customHeight="1" x14ac:dyDescent="0.25">
      <c r="A13348" s="2" t="s">
        <v>26763</v>
      </c>
      <c r="B13348" s="2" t="s">
        <v>26764</v>
      </c>
      <c r="C13348" s="2" t="s">
        <v>124</v>
      </c>
      <c r="D13348" s="2" t="s">
        <v>75</v>
      </c>
      <c r="E13348" s="2" t="str">
        <f>"9781032405216"</f>
        <v>9781032405216</v>
      </c>
      <c r="F13348" s="2" t="str">
        <f>"9781000923575"</f>
        <v>9781000923575</v>
      </c>
    </row>
    <row r="13349" spans="1:6" s="3" customFormat="1" ht="29.1" customHeight="1" x14ac:dyDescent="0.25">
      <c r="A13349" s="2" t="s">
        <v>26765</v>
      </c>
      <c r="B13349" s="2" t="s">
        <v>26766</v>
      </c>
      <c r="C13349" s="2" t="s">
        <v>55</v>
      </c>
      <c r="D13349" s="2" t="s">
        <v>1466</v>
      </c>
      <c r="E13349" s="2"/>
      <c r="F13349" s="2" t="str">
        <f>"9781526154026"</f>
        <v>9781526154026</v>
      </c>
    </row>
    <row r="13350" spans="1:6" s="3" customFormat="1" ht="29.1" customHeight="1" x14ac:dyDescent="0.25">
      <c r="A13350" s="2" t="s">
        <v>26765</v>
      </c>
      <c r="B13350" s="2" t="s">
        <v>26766</v>
      </c>
      <c r="C13350" s="2" t="s">
        <v>55</v>
      </c>
      <c r="D13350" s="2" t="s">
        <v>1466</v>
      </c>
      <c r="E13350" s="2"/>
      <c r="F13350" s="2" t="str">
        <f>"9781526154040"</f>
        <v>9781526154040</v>
      </c>
    </row>
    <row r="13351" spans="1:6" s="3" customFormat="1" ht="29.1" customHeight="1" x14ac:dyDescent="0.25">
      <c r="A13351" s="2" t="s">
        <v>26767</v>
      </c>
      <c r="B13351" s="2" t="s">
        <v>26768</v>
      </c>
      <c r="C13351" s="2" t="s">
        <v>124</v>
      </c>
      <c r="D13351" s="2" t="s">
        <v>183</v>
      </c>
      <c r="E13351" s="2" t="str">
        <f>"9781032127316"</f>
        <v>9781032127316</v>
      </c>
      <c r="F13351" s="2" t="str">
        <f>"9781000932478"</f>
        <v>9781000932478</v>
      </c>
    </row>
    <row r="13352" spans="1:6" s="3" customFormat="1" ht="29.1" customHeight="1" x14ac:dyDescent="0.25">
      <c r="A13352" s="2" t="s">
        <v>26769</v>
      </c>
      <c r="B13352" s="2" t="s">
        <v>26770</v>
      </c>
      <c r="C13352" s="2" t="s">
        <v>124</v>
      </c>
      <c r="D13352" s="2" t="s">
        <v>2749</v>
      </c>
      <c r="E13352" s="2" t="str">
        <f>"9780367651237"</f>
        <v>9780367651237</v>
      </c>
      <c r="F13352" s="2" t="str">
        <f>"9781000926590"</f>
        <v>9781000926590</v>
      </c>
    </row>
    <row r="13353" spans="1:6" s="3" customFormat="1" ht="29.1" customHeight="1" x14ac:dyDescent="0.25">
      <c r="A13353" s="2" t="s">
        <v>26771</v>
      </c>
      <c r="B13353" s="2" t="s">
        <v>26772</v>
      </c>
      <c r="C13353" s="2" t="s">
        <v>124</v>
      </c>
      <c r="D13353" s="2" t="s">
        <v>818</v>
      </c>
      <c r="E13353" s="2" t="str">
        <f>"9780367655570"</f>
        <v>9780367655570</v>
      </c>
      <c r="F13353" s="2" t="str">
        <f>"9781000917895"</f>
        <v>9781000917895</v>
      </c>
    </row>
    <row r="13354" spans="1:6" s="3" customFormat="1" ht="29.1" customHeight="1" x14ac:dyDescent="0.25">
      <c r="A13354" s="2" t="s">
        <v>26773</v>
      </c>
      <c r="B13354" s="2" t="s">
        <v>26774</v>
      </c>
      <c r="C13354" s="2" t="s">
        <v>2133</v>
      </c>
      <c r="D13354" s="2" t="s">
        <v>4059</v>
      </c>
      <c r="E13354" s="2"/>
      <c r="F13354" s="2" t="str">
        <f>"9781760465681"</f>
        <v>9781760465681</v>
      </c>
    </row>
    <row r="13355" spans="1:6" s="3" customFormat="1" ht="29.1" customHeight="1" x14ac:dyDescent="0.25">
      <c r="A13355" s="2" t="s">
        <v>26775</v>
      </c>
      <c r="B13355" s="2" t="s">
        <v>26776</v>
      </c>
      <c r="C13355" s="2" t="s">
        <v>149</v>
      </c>
      <c r="D13355" s="2" t="s">
        <v>1419</v>
      </c>
      <c r="E13355" s="2"/>
      <c r="F13355" s="2" t="str">
        <f>"9781805110279"</f>
        <v>9781805110279</v>
      </c>
    </row>
    <row r="13356" spans="1:6" s="3" customFormat="1" ht="29.1" customHeight="1" x14ac:dyDescent="0.25">
      <c r="A13356" s="2" t="s">
        <v>26777</v>
      </c>
      <c r="B13356" s="2" t="s">
        <v>26778</v>
      </c>
      <c r="C13356" s="2" t="s">
        <v>950</v>
      </c>
      <c r="D13356" s="2" t="s">
        <v>836</v>
      </c>
      <c r="E13356" s="2"/>
      <c r="F13356" s="2" t="str">
        <f>"9788411700245"</f>
        <v>9788411700245</v>
      </c>
    </row>
    <row r="13357" spans="1:6" s="3" customFormat="1" ht="29.1" customHeight="1" x14ac:dyDescent="0.25">
      <c r="A13357" s="2" t="s">
        <v>26779</v>
      </c>
      <c r="B13357" s="2" t="s">
        <v>26780</v>
      </c>
      <c r="C13357" s="2" t="s">
        <v>950</v>
      </c>
      <c r="D13357" s="2" t="s">
        <v>490</v>
      </c>
      <c r="E13357" s="2"/>
      <c r="F13357" s="2" t="str">
        <f>"9788411224970"</f>
        <v>9788411224970</v>
      </c>
    </row>
    <row r="13358" spans="1:6" s="3" customFormat="1" ht="29.1" customHeight="1" x14ac:dyDescent="0.25">
      <c r="A13358" s="2" t="s">
        <v>26781</v>
      </c>
      <c r="B13358" s="2" t="s">
        <v>26782</v>
      </c>
      <c r="C13358" s="2" t="s">
        <v>950</v>
      </c>
      <c r="D13358" s="2" t="s">
        <v>14202</v>
      </c>
      <c r="E13358" s="2"/>
      <c r="F13358" s="2" t="str">
        <f>"9788411703369"</f>
        <v>9788411703369</v>
      </c>
    </row>
    <row r="13359" spans="1:6" s="3" customFormat="1" ht="29.1" customHeight="1" x14ac:dyDescent="0.25">
      <c r="A13359" s="2" t="s">
        <v>26783</v>
      </c>
      <c r="B13359" s="2" t="s">
        <v>26784</v>
      </c>
      <c r="C13359" s="2" t="s">
        <v>950</v>
      </c>
      <c r="D13359" s="2" t="s">
        <v>2943</v>
      </c>
      <c r="E13359" s="2"/>
      <c r="F13359" s="2" t="str">
        <f>"9788411703086"</f>
        <v>9788411703086</v>
      </c>
    </row>
    <row r="13360" spans="1:6" s="3" customFormat="1" ht="29.1" customHeight="1" x14ac:dyDescent="0.25">
      <c r="A13360" s="2" t="s">
        <v>26785</v>
      </c>
      <c r="B13360" s="2" t="s">
        <v>26786</v>
      </c>
      <c r="C13360" s="2" t="s">
        <v>950</v>
      </c>
      <c r="D13360" s="2" t="s">
        <v>951</v>
      </c>
      <c r="E13360" s="2"/>
      <c r="F13360" s="2" t="str">
        <f>"9788411701617"</f>
        <v>9788411701617</v>
      </c>
    </row>
    <row r="13361" spans="1:6" s="3" customFormat="1" ht="29.1" customHeight="1" x14ac:dyDescent="0.25">
      <c r="A13361" s="2" t="s">
        <v>26787</v>
      </c>
      <c r="B13361" s="2" t="s">
        <v>26788</v>
      </c>
      <c r="C13361" s="2" t="s">
        <v>950</v>
      </c>
      <c r="D13361" s="2" t="s">
        <v>2048</v>
      </c>
      <c r="E13361" s="2"/>
      <c r="F13361" s="2" t="str">
        <f>"9788411701273"</f>
        <v>9788411701273</v>
      </c>
    </row>
    <row r="13362" spans="1:6" s="3" customFormat="1" ht="29.1" customHeight="1" x14ac:dyDescent="0.25">
      <c r="A13362" s="2" t="s">
        <v>26789</v>
      </c>
      <c r="B13362" s="2" t="s">
        <v>26790</v>
      </c>
      <c r="C13362" s="2" t="s">
        <v>950</v>
      </c>
      <c r="D13362" s="2" t="s">
        <v>2551</v>
      </c>
      <c r="E13362" s="2"/>
      <c r="F13362" s="2" t="str">
        <f>"9788411700481"</f>
        <v>9788411700481</v>
      </c>
    </row>
    <row r="13363" spans="1:6" s="3" customFormat="1" ht="29.1" customHeight="1" x14ac:dyDescent="0.25">
      <c r="A13363" s="2" t="s">
        <v>26791</v>
      </c>
      <c r="B13363" s="2" t="s">
        <v>26792</v>
      </c>
      <c r="C13363" s="2" t="s">
        <v>950</v>
      </c>
      <c r="D13363" s="2" t="s">
        <v>324</v>
      </c>
      <c r="E13363" s="2"/>
      <c r="F13363" s="2" t="str">
        <f>"9788411229302"</f>
        <v>9788411229302</v>
      </c>
    </row>
    <row r="13364" spans="1:6" s="3" customFormat="1" ht="29.1" customHeight="1" x14ac:dyDescent="0.25">
      <c r="A13364" s="2" t="s">
        <v>26793</v>
      </c>
      <c r="B13364" s="2" t="s">
        <v>26794</v>
      </c>
      <c r="C13364" s="2" t="s">
        <v>950</v>
      </c>
      <c r="D13364" s="2" t="s">
        <v>1043</v>
      </c>
      <c r="E13364" s="2"/>
      <c r="F13364" s="2" t="str">
        <f>"9788411229258"</f>
        <v>9788411229258</v>
      </c>
    </row>
    <row r="13365" spans="1:6" s="3" customFormat="1" ht="29.1" customHeight="1" x14ac:dyDescent="0.25">
      <c r="A13365" s="2" t="s">
        <v>26795</v>
      </c>
      <c r="B13365" s="2" t="s">
        <v>26796</v>
      </c>
      <c r="C13365" s="2" t="s">
        <v>950</v>
      </c>
      <c r="D13365" s="2" t="s">
        <v>192</v>
      </c>
      <c r="E13365" s="2"/>
      <c r="F13365" s="2" t="str">
        <f>"9788411229234"</f>
        <v>9788411229234</v>
      </c>
    </row>
    <row r="13366" spans="1:6" s="3" customFormat="1" ht="29.1" customHeight="1" x14ac:dyDescent="0.25">
      <c r="A13366" s="2" t="s">
        <v>26797</v>
      </c>
      <c r="B13366" s="2" t="s">
        <v>26798</v>
      </c>
      <c r="C13366" s="2" t="s">
        <v>950</v>
      </c>
      <c r="D13366" s="2" t="s">
        <v>162</v>
      </c>
      <c r="E13366" s="2"/>
      <c r="F13366" s="2" t="str">
        <f>"9788411229227"</f>
        <v>9788411229227</v>
      </c>
    </row>
    <row r="13367" spans="1:6" s="3" customFormat="1" ht="29.1" customHeight="1" x14ac:dyDescent="0.25">
      <c r="A13367" s="2" t="s">
        <v>26799</v>
      </c>
      <c r="B13367" s="2" t="s">
        <v>14082</v>
      </c>
      <c r="C13367" s="2" t="s">
        <v>950</v>
      </c>
      <c r="D13367" s="2" t="s">
        <v>413</v>
      </c>
      <c r="E13367" s="2"/>
      <c r="F13367" s="2" t="str">
        <f>"9788411228305"</f>
        <v>9788411228305</v>
      </c>
    </row>
    <row r="13368" spans="1:6" s="3" customFormat="1" ht="29.1" customHeight="1" x14ac:dyDescent="0.25">
      <c r="A13368" s="2" t="s">
        <v>26800</v>
      </c>
      <c r="B13368" s="2" t="s">
        <v>26801</v>
      </c>
      <c r="C13368" s="2" t="s">
        <v>950</v>
      </c>
      <c r="D13368" s="2" t="s">
        <v>413</v>
      </c>
      <c r="E13368" s="2"/>
      <c r="F13368" s="2" t="str">
        <f>"9788411228237"</f>
        <v>9788411228237</v>
      </c>
    </row>
    <row r="13369" spans="1:6" s="3" customFormat="1" ht="29.1" customHeight="1" x14ac:dyDescent="0.25">
      <c r="A13369" s="2" t="s">
        <v>26802</v>
      </c>
      <c r="B13369" s="2" t="s">
        <v>26803</v>
      </c>
      <c r="C13369" s="2" t="s">
        <v>950</v>
      </c>
      <c r="D13369" s="2" t="s">
        <v>836</v>
      </c>
      <c r="E13369" s="2"/>
      <c r="F13369" s="2" t="str">
        <f>"9788411228084"</f>
        <v>9788411228084</v>
      </c>
    </row>
    <row r="13370" spans="1:6" s="3" customFormat="1" ht="29.1" customHeight="1" x14ac:dyDescent="0.25">
      <c r="A13370" s="2" t="s">
        <v>26804</v>
      </c>
      <c r="B13370" s="2" t="s">
        <v>26805</v>
      </c>
      <c r="C13370" s="2" t="s">
        <v>950</v>
      </c>
      <c r="D13370" s="2" t="s">
        <v>951</v>
      </c>
      <c r="E13370" s="2"/>
      <c r="F13370" s="2" t="str">
        <f>"9788411228046"</f>
        <v>9788411228046</v>
      </c>
    </row>
    <row r="13371" spans="1:6" s="3" customFormat="1" ht="29.1" customHeight="1" x14ac:dyDescent="0.25">
      <c r="A13371" s="2" t="s">
        <v>26806</v>
      </c>
      <c r="B13371" s="2" t="s">
        <v>26807</v>
      </c>
      <c r="C13371" s="2" t="s">
        <v>950</v>
      </c>
      <c r="D13371" s="2" t="s">
        <v>981</v>
      </c>
      <c r="E13371" s="2"/>
      <c r="F13371" s="2" t="str">
        <f>"9788411227186"</f>
        <v>9788411227186</v>
      </c>
    </row>
    <row r="13372" spans="1:6" s="3" customFormat="1" ht="29.1" customHeight="1" x14ac:dyDescent="0.25">
      <c r="A13372" s="2" t="s">
        <v>26808</v>
      </c>
      <c r="B13372" s="2" t="s">
        <v>26809</v>
      </c>
      <c r="C13372" s="2" t="s">
        <v>950</v>
      </c>
      <c r="D13372" s="2" t="s">
        <v>78</v>
      </c>
      <c r="E13372" s="2"/>
      <c r="F13372" s="2" t="str">
        <f>"9788411227155"</f>
        <v>9788411227155</v>
      </c>
    </row>
    <row r="13373" spans="1:6" s="3" customFormat="1" ht="29.1" customHeight="1" x14ac:dyDescent="0.25">
      <c r="A13373" s="2" t="s">
        <v>26810</v>
      </c>
      <c r="B13373" s="2" t="s">
        <v>26811</v>
      </c>
      <c r="C13373" s="2" t="s">
        <v>950</v>
      </c>
      <c r="D13373" s="2" t="s">
        <v>1013</v>
      </c>
      <c r="E13373" s="2"/>
      <c r="F13373" s="2" t="str">
        <f>"9788411224987"</f>
        <v>9788411224987</v>
      </c>
    </row>
    <row r="13374" spans="1:6" s="3" customFormat="1" ht="29.1" customHeight="1" x14ac:dyDescent="0.25">
      <c r="A13374" s="2" t="s">
        <v>26812</v>
      </c>
      <c r="B13374" s="2" t="s">
        <v>26813</v>
      </c>
      <c r="C13374" s="2" t="s">
        <v>950</v>
      </c>
      <c r="D13374" s="2" t="s">
        <v>537</v>
      </c>
      <c r="E13374" s="2"/>
      <c r="F13374" s="2" t="str">
        <f>"9788411224963"</f>
        <v>9788411224963</v>
      </c>
    </row>
    <row r="13375" spans="1:6" s="3" customFormat="1" ht="29.1" customHeight="1" x14ac:dyDescent="0.25">
      <c r="A13375" s="2" t="s">
        <v>26814</v>
      </c>
      <c r="B13375" s="2" t="s">
        <v>26815</v>
      </c>
      <c r="C13375" s="2" t="s">
        <v>950</v>
      </c>
      <c r="D13375" s="2" t="s">
        <v>1010</v>
      </c>
      <c r="E13375" s="2"/>
      <c r="F13375" s="2" t="str">
        <f>"9788411224956"</f>
        <v>9788411224956</v>
      </c>
    </row>
    <row r="13376" spans="1:6" s="3" customFormat="1" ht="29.1" customHeight="1" x14ac:dyDescent="0.25">
      <c r="A13376" s="2" t="s">
        <v>26816</v>
      </c>
      <c r="B13376" s="2" t="s">
        <v>26817</v>
      </c>
      <c r="C13376" s="2" t="s">
        <v>950</v>
      </c>
      <c r="D13376" s="2" t="s">
        <v>537</v>
      </c>
      <c r="E13376" s="2"/>
      <c r="F13376" s="2" t="str">
        <f>"9788411224611"</f>
        <v>9788411224611</v>
      </c>
    </row>
    <row r="13377" spans="1:6" s="3" customFormat="1" ht="29.1" customHeight="1" x14ac:dyDescent="0.25">
      <c r="A13377" s="2" t="s">
        <v>26818</v>
      </c>
      <c r="B13377" s="2" t="s">
        <v>26819</v>
      </c>
      <c r="C13377" s="2" t="s">
        <v>15181</v>
      </c>
      <c r="D13377" s="2" t="s">
        <v>6669</v>
      </c>
      <c r="E13377" s="2" t="str">
        <f>"9789633866306"</f>
        <v>9789633866306</v>
      </c>
      <c r="F13377" s="2" t="str">
        <f>"9789633866313"</f>
        <v>9789633866313</v>
      </c>
    </row>
    <row r="13378" spans="1:6" s="3" customFormat="1" ht="29.1" customHeight="1" x14ac:dyDescent="0.25">
      <c r="A13378" s="2" t="s">
        <v>26820</v>
      </c>
      <c r="B13378" s="2" t="s">
        <v>26822</v>
      </c>
      <c r="C13378" s="2" t="s">
        <v>2129</v>
      </c>
      <c r="D13378" s="2" t="s">
        <v>26821</v>
      </c>
      <c r="E13378" s="2" t="str">
        <f>"9781438496030"</f>
        <v>9781438496030</v>
      </c>
      <c r="F13378" s="2" t="str">
        <f>"9781438496054"</f>
        <v>9781438496054</v>
      </c>
    </row>
    <row r="13379" spans="1:6" s="3" customFormat="1" ht="29.1" customHeight="1" x14ac:dyDescent="0.25">
      <c r="A13379" s="2" t="s">
        <v>26823</v>
      </c>
      <c r="B13379" s="2" t="s">
        <v>26824</v>
      </c>
      <c r="C13379" s="2" t="s">
        <v>62</v>
      </c>
      <c r="D13379" s="2" t="s">
        <v>63</v>
      </c>
      <c r="E13379" s="2" t="str">
        <f>"9783428188239"</f>
        <v>9783428188239</v>
      </c>
      <c r="F13379" s="2" t="str">
        <f>"9783428588237"</f>
        <v>9783428588237</v>
      </c>
    </row>
    <row r="13380" spans="1:6" s="3" customFormat="1" ht="29.1" customHeight="1" x14ac:dyDescent="0.25">
      <c r="A13380" s="2" t="s">
        <v>26825</v>
      </c>
      <c r="B13380" s="2" t="s">
        <v>26826</v>
      </c>
      <c r="C13380" s="2" t="s">
        <v>124</v>
      </c>
      <c r="D13380" s="2" t="s">
        <v>9652</v>
      </c>
      <c r="E13380" s="2" t="str">
        <f>"9781032446318"</f>
        <v>9781032446318</v>
      </c>
      <c r="F13380" s="2" t="str">
        <f>"9781000902822"</f>
        <v>9781000902822</v>
      </c>
    </row>
    <row r="13381" spans="1:6" s="3" customFormat="1" ht="29.1" customHeight="1" x14ac:dyDescent="0.25">
      <c r="A13381" s="2" t="s">
        <v>26827</v>
      </c>
      <c r="B13381" s="2" t="s">
        <v>26828</v>
      </c>
      <c r="C13381" s="2" t="s">
        <v>384</v>
      </c>
      <c r="D13381" s="2" t="s">
        <v>984</v>
      </c>
      <c r="E13381" s="2"/>
      <c r="F13381" s="2" t="str">
        <f>"9789804022814"</f>
        <v>9789804022814</v>
      </c>
    </row>
    <row r="13382" spans="1:6" s="3" customFormat="1" ht="29.1" customHeight="1" x14ac:dyDescent="0.25">
      <c r="A13382" s="2" t="s">
        <v>26829</v>
      </c>
      <c r="B13382" s="2" t="s">
        <v>14748</v>
      </c>
      <c r="C13382" s="2" t="s">
        <v>384</v>
      </c>
      <c r="D13382" s="2" t="s">
        <v>484</v>
      </c>
      <c r="E13382" s="2"/>
      <c r="F13382" s="2" t="str">
        <f>"9789804022944"</f>
        <v>9789804022944</v>
      </c>
    </row>
    <row r="13383" spans="1:6" s="3" customFormat="1" ht="29.1" customHeight="1" x14ac:dyDescent="0.25">
      <c r="A13383" s="2" t="s">
        <v>26830</v>
      </c>
      <c r="B13383" s="2" t="s">
        <v>26831</v>
      </c>
      <c r="C13383" s="2" t="s">
        <v>384</v>
      </c>
      <c r="D13383" s="2" t="s">
        <v>3958</v>
      </c>
      <c r="E13383" s="2"/>
      <c r="F13383" s="2" t="str">
        <f>"9789895484508"</f>
        <v>9789895484508</v>
      </c>
    </row>
    <row r="13384" spans="1:6" s="3" customFormat="1" ht="29.1" customHeight="1" x14ac:dyDescent="0.25">
      <c r="A13384" s="2" t="s">
        <v>26832</v>
      </c>
      <c r="B13384" s="2" t="s">
        <v>26833</v>
      </c>
      <c r="C13384" s="2" t="s">
        <v>384</v>
      </c>
      <c r="D13384" s="2" t="s">
        <v>614</v>
      </c>
      <c r="E13384" s="2"/>
      <c r="F13384" s="2" t="str">
        <f>"9781736523100"</f>
        <v>9781736523100</v>
      </c>
    </row>
    <row r="13385" spans="1:6" s="3" customFormat="1" ht="29.1" customHeight="1" x14ac:dyDescent="0.25">
      <c r="A13385" s="2" t="s">
        <v>26834</v>
      </c>
      <c r="B13385" s="2" t="s">
        <v>26835</v>
      </c>
      <c r="C13385" s="2" t="s">
        <v>384</v>
      </c>
      <c r="D13385" s="2" t="s">
        <v>11402</v>
      </c>
      <c r="E13385" s="2" t="str">
        <f>"9781736523124"</f>
        <v>9781736523124</v>
      </c>
      <c r="F13385" s="2" t="str">
        <f>"9781736523117"</f>
        <v>9781736523117</v>
      </c>
    </row>
    <row r="13386" spans="1:6" s="3" customFormat="1" ht="29.1" customHeight="1" x14ac:dyDescent="0.25">
      <c r="A13386" s="2" t="s">
        <v>26836</v>
      </c>
      <c r="B13386" s="2" t="s">
        <v>26837</v>
      </c>
      <c r="C13386" s="2" t="s">
        <v>384</v>
      </c>
      <c r="D13386" s="2" t="s">
        <v>287</v>
      </c>
      <c r="E13386" s="2" t="str">
        <f>"9781736523148"</f>
        <v>9781736523148</v>
      </c>
      <c r="F13386" s="2" t="str">
        <f>"9781736523131"</f>
        <v>9781736523131</v>
      </c>
    </row>
    <row r="13387" spans="1:6" s="3" customFormat="1" ht="29.1" customHeight="1" x14ac:dyDescent="0.25">
      <c r="A13387" s="2" t="s">
        <v>26838</v>
      </c>
      <c r="B13387" s="2" t="s">
        <v>26839</v>
      </c>
      <c r="C13387" s="2" t="s">
        <v>384</v>
      </c>
      <c r="D13387" s="2" t="s">
        <v>37</v>
      </c>
      <c r="E13387" s="2" t="str">
        <f>"9781736523162"</f>
        <v>9781736523162</v>
      </c>
      <c r="F13387" s="2" t="str">
        <f>"9781736523155"</f>
        <v>9781736523155</v>
      </c>
    </row>
    <row r="13388" spans="1:6" s="3" customFormat="1" ht="29.1" customHeight="1" x14ac:dyDescent="0.25">
      <c r="A13388" s="2" t="s">
        <v>26840</v>
      </c>
      <c r="B13388" s="2" t="s">
        <v>26839</v>
      </c>
      <c r="C13388" s="2" t="s">
        <v>384</v>
      </c>
      <c r="D13388" s="2" t="s">
        <v>490</v>
      </c>
      <c r="E13388" s="2" t="str">
        <f>"9781736523186"</f>
        <v>9781736523186</v>
      </c>
      <c r="F13388" s="2" t="str">
        <f>"9781736523179"</f>
        <v>9781736523179</v>
      </c>
    </row>
    <row r="13389" spans="1:6" s="3" customFormat="1" ht="29.1" customHeight="1" x14ac:dyDescent="0.25">
      <c r="A13389" s="2" t="s">
        <v>26841</v>
      </c>
      <c r="B13389" s="2" t="s">
        <v>26842</v>
      </c>
      <c r="C13389" s="2" t="s">
        <v>384</v>
      </c>
      <c r="D13389" s="2" t="s">
        <v>3958</v>
      </c>
      <c r="E13389" s="2"/>
      <c r="F13389" s="2" t="str">
        <f>"9781736523193"</f>
        <v>9781736523193</v>
      </c>
    </row>
    <row r="13390" spans="1:6" s="3" customFormat="1" ht="29.1" customHeight="1" x14ac:dyDescent="0.25">
      <c r="A13390" s="2" t="s">
        <v>26843</v>
      </c>
      <c r="B13390" s="2" t="s">
        <v>26844</v>
      </c>
      <c r="C13390" s="2" t="s">
        <v>384</v>
      </c>
      <c r="D13390" s="2" t="s">
        <v>37</v>
      </c>
      <c r="E13390" s="2"/>
      <c r="F13390" s="2" t="str">
        <f>"9798987560709"</f>
        <v>9798987560709</v>
      </c>
    </row>
    <row r="13391" spans="1:6" s="3" customFormat="1" ht="29.1" customHeight="1" x14ac:dyDescent="0.25">
      <c r="A13391" s="2" t="s">
        <v>26845</v>
      </c>
      <c r="B13391" s="2" t="s">
        <v>26846</v>
      </c>
      <c r="C13391" s="2" t="s">
        <v>384</v>
      </c>
      <c r="D13391" s="2" t="s">
        <v>6798</v>
      </c>
      <c r="E13391" s="2"/>
      <c r="F13391" s="2" t="str">
        <f>"9798987560716"</f>
        <v>9798987560716</v>
      </c>
    </row>
    <row r="13392" spans="1:6" s="3" customFormat="1" ht="29.1" customHeight="1" x14ac:dyDescent="0.25">
      <c r="A13392" s="2" t="s">
        <v>26847</v>
      </c>
      <c r="B13392" s="2" t="s">
        <v>26848</v>
      </c>
      <c r="C13392" s="2" t="s">
        <v>264</v>
      </c>
      <c r="D13392" s="2" t="s">
        <v>1959</v>
      </c>
      <c r="E13392" s="2" t="str">
        <f>"9781032346106"</f>
        <v>9781032346106</v>
      </c>
      <c r="F13392" s="2" t="str">
        <f>"9781000997279"</f>
        <v>9781000997279</v>
      </c>
    </row>
    <row r="13393" spans="1:6" s="3" customFormat="1" ht="29.1" customHeight="1" x14ac:dyDescent="0.25">
      <c r="A13393" s="2" t="s">
        <v>1479</v>
      </c>
      <c r="B13393" s="2" t="s">
        <v>26849</v>
      </c>
      <c r="C13393" s="2" t="s">
        <v>1070</v>
      </c>
      <c r="D13393" s="2" t="s">
        <v>1071</v>
      </c>
      <c r="E13393" s="2" t="str">
        <f>"9783318071603"</f>
        <v>9783318071603</v>
      </c>
      <c r="F13393" s="2" t="str">
        <f>"9783318072303"</f>
        <v>9783318072303</v>
      </c>
    </row>
    <row r="13394" spans="1:6" s="3" customFormat="1" ht="29.1" customHeight="1" x14ac:dyDescent="0.25">
      <c r="A13394" s="2" t="s">
        <v>26850</v>
      </c>
      <c r="B13394" s="2" t="s">
        <v>26851</v>
      </c>
      <c r="C13394" s="2" t="s">
        <v>264</v>
      </c>
      <c r="D13394" s="2" t="s">
        <v>22736</v>
      </c>
      <c r="E13394" s="2" t="str">
        <f>"9781032289519"</f>
        <v>9781032289519</v>
      </c>
      <c r="F13394" s="2" t="str">
        <f>"9781000901603"</f>
        <v>9781000901603</v>
      </c>
    </row>
    <row r="13395" spans="1:6" s="3" customFormat="1" ht="29.1" customHeight="1" x14ac:dyDescent="0.25">
      <c r="A13395" s="2" t="s">
        <v>26852</v>
      </c>
      <c r="B13395" s="2" t="s">
        <v>26853</v>
      </c>
      <c r="C13395" s="2" t="s">
        <v>124</v>
      </c>
      <c r="D13395" s="2" t="s">
        <v>353</v>
      </c>
      <c r="E13395" s="2" t="str">
        <f>"9781032387871"</f>
        <v>9781032387871</v>
      </c>
      <c r="F13395" s="2" t="str">
        <f>"9781000933857"</f>
        <v>9781000933857</v>
      </c>
    </row>
    <row r="13396" spans="1:6" s="3" customFormat="1" ht="29.1" customHeight="1" x14ac:dyDescent="0.25">
      <c r="A13396" s="2" t="s">
        <v>26854</v>
      </c>
      <c r="B13396" s="2" t="s">
        <v>26855</v>
      </c>
      <c r="C13396" s="2" t="s">
        <v>927</v>
      </c>
      <c r="D13396" s="2" t="s">
        <v>297</v>
      </c>
      <c r="E13396" s="2" t="str">
        <f>"9780472055722"</f>
        <v>9780472055722</v>
      </c>
      <c r="F13396" s="2" t="str">
        <f>"9780472903061"</f>
        <v>9780472903061</v>
      </c>
    </row>
    <row r="13397" spans="1:6" s="3" customFormat="1" ht="29.1" customHeight="1" x14ac:dyDescent="0.25">
      <c r="A13397" s="2" t="s">
        <v>26856</v>
      </c>
      <c r="B13397" s="2" t="s">
        <v>26857</v>
      </c>
      <c r="C13397" s="2" t="s">
        <v>62</v>
      </c>
      <c r="D13397" s="2" t="s">
        <v>7978</v>
      </c>
      <c r="E13397" s="2" t="str">
        <f>"9783428186877"</f>
        <v>9783428186877</v>
      </c>
      <c r="F13397" s="2" t="str">
        <f>"9783428586875"</f>
        <v>9783428586875</v>
      </c>
    </row>
    <row r="13398" spans="1:6" s="3" customFormat="1" ht="29.1" customHeight="1" x14ac:dyDescent="0.25">
      <c r="A13398" s="2" t="s">
        <v>26858</v>
      </c>
      <c r="B13398" s="2" t="s">
        <v>26859</v>
      </c>
      <c r="C13398" s="2" t="s">
        <v>124</v>
      </c>
      <c r="D13398" s="2" t="s">
        <v>5719</v>
      </c>
      <c r="E13398" s="2" t="str">
        <f>"9781032009773"</f>
        <v>9781032009773</v>
      </c>
      <c r="F13398" s="2" t="str">
        <f>"9781000904017"</f>
        <v>9781000904017</v>
      </c>
    </row>
    <row r="13399" spans="1:6" s="3" customFormat="1" ht="29.1" customHeight="1" x14ac:dyDescent="0.25">
      <c r="A13399" s="2" t="s">
        <v>26860</v>
      </c>
      <c r="B13399" s="2" t="s">
        <v>26861</v>
      </c>
      <c r="C13399" s="2" t="s">
        <v>149</v>
      </c>
      <c r="D13399" s="2" t="s">
        <v>1651</v>
      </c>
      <c r="E13399" s="2"/>
      <c r="F13399" s="2" t="str">
        <f>"9781805111238"</f>
        <v>9781805111238</v>
      </c>
    </row>
    <row r="13400" spans="1:6" s="3" customFormat="1" ht="29.1" customHeight="1" x14ac:dyDescent="0.25">
      <c r="A13400" s="2" t="s">
        <v>26860</v>
      </c>
      <c r="B13400" s="2" t="s">
        <v>26861</v>
      </c>
      <c r="C13400" s="2" t="s">
        <v>149</v>
      </c>
      <c r="D13400" s="2" t="s">
        <v>1651</v>
      </c>
      <c r="E13400" s="2"/>
      <c r="F13400" s="2" t="str">
        <f>"9781805111269"</f>
        <v>9781805111269</v>
      </c>
    </row>
    <row r="13401" spans="1:6" s="3" customFormat="1" ht="29.1" customHeight="1" x14ac:dyDescent="0.25">
      <c r="A13401" s="2" t="s">
        <v>26862</v>
      </c>
      <c r="B13401" s="2" t="s">
        <v>26863</v>
      </c>
      <c r="C13401" s="2" t="s">
        <v>149</v>
      </c>
      <c r="D13401" s="2" t="s">
        <v>3214</v>
      </c>
      <c r="E13401" s="2"/>
      <c r="F13401" s="2" t="str">
        <f>"9781800648371"</f>
        <v>9781800648371</v>
      </c>
    </row>
    <row r="13402" spans="1:6" s="3" customFormat="1" ht="29.1" customHeight="1" x14ac:dyDescent="0.25">
      <c r="A13402" s="2" t="s">
        <v>26864</v>
      </c>
      <c r="B13402" s="2" t="s">
        <v>26865</v>
      </c>
      <c r="C13402" s="2" t="s">
        <v>149</v>
      </c>
      <c r="D13402" s="2" t="s">
        <v>210</v>
      </c>
      <c r="E13402" s="2"/>
      <c r="F13402" s="2" t="str">
        <f>"9781800649750"</f>
        <v>9781800649750</v>
      </c>
    </row>
    <row r="13403" spans="1:6" s="3" customFormat="1" ht="29.1" customHeight="1" x14ac:dyDescent="0.25">
      <c r="A13403" s="2" t="s">
        <v>26866</v>
      </c>
      <c r="B13403" s="2" t="s">
        <v>26867</v>
      </c>
      <c r="C13403" s="2" t="s">
        <v>124</v>
      </c>
      <c r="D13403" s="2" t="s">
        <v>6837</v>
      </c>
      <c r="E13403" s="2" t="str">
        <f>"9781032315324"</f>
        <v>9781032315324</v>
      </c>
      <c r="F13403" s="2" t="str">
        <f>"9781000915761"</f>
        <v>9781000915761</v>
      </c>
    </row>
    <row r="13404" spans="1:6" s="3" customFormat="1" ht="29.1" customHeight="1" x14ac:dyDescent="0.25">
      <c r="A13404" s="2" t="s">
        <v>26868</v>
      </c>
      <c r="B13404" s="2" t="s">
        <v>26869</v>
      </c>
      <c r="C13404" s="2" t="s">
        <v>124</v>
      </c>
      <c r="D13404" s="2" t="s">
        <v>2086</v>
      </c>
      <c r="E13404" s="2" t="str">
        <f>"9780367406318"</f>
        <v>9780367406318</v>
      </c>
      <c r="F13404" s="2" t="str">
        <f>"9780367822866"</f>
        <v>9780367822866</v>
      </c>
    </row>
    <row r="13405" spans="1:6" s="3" customFormat="1" ht="29.1" customHeight="1" x14ac:dyDescent="0.25">
      <c r="A13405" s="2" t="s">
        <v>26870</v>
      </c>
      <c r="B13405" s="2" t="s">
        <v>26871</v>
      </c>
      <c r="C13405" s="2" t="s">
        <v>124</v>
      </c>
      <c r="D13405" s="2" t="s">
        <v>402</v>
      </c>
      <c r="E13405" s="2" t="str">
        <f>"9781032465692"</f>
        <v>9781032465692</v>
      </c>
      <c r="F13405" s="2" t="str">
        <f>"9781000930023"</f>
        <v>9781000930023</v>
      </c>
    </row>
    <row r="13406" spans="1:6" s="3" customFormat="1" ht="29.1" customHeight="1" x14ac:dyDescent="0.25">
      <c r="A13406" s="2" t="s">
        <v>26872</v>
      </c>
      <c r="B13406" s="2" t="s">
        <v>26873</v>
      </c>
      <c r="C13406" s="2" t="s">
        <v>124</v>
      </c>
      <c r="D13406" s="2" t="s">
        <v>125</v>
      </c>
      <c r="E13406" s="2" t="str">
        <f>"9781032184500"</f>
        <v>9781032184500</v>
      </c>
      <c r="F13406" s="2" t="str">
        <f>"9781000909159"</f>
        <v>9781000909159</v>
      </c>
    </row>
    <row r="13407" spans="1:6" s="3" customFormat="1" ht="29.1" customHeight="1" x14ac:dyDescent="0.25">
      <c r="A13407" s="2" t="s">
        <v>26874</v>
      </c>
      <c r="B13407" s="2" t="s">
        <v>26875</v>
      </c>
      <c r="C13407" s="2" t="s">
        <v>5059</v>
      </c>
      <c r="D13407" s="2" t="s">
        <v>3943</v>
      </c>
      <c r="E13407" s="2" t="str">
        <f>"9781920899509"</f>
        <v>9781920899509</v>
      </c>
      <c r="F13407" s="2" t="str">
        <f>"9781743328156"</f>
        <v>9781743328156</v>
      </c>
    </row>
    <row r="13408" spans="1:6" s="3" customFormat="1" ht="29.1" customHeight="1" x14ac:dyDescent="0.25">
      <c r="A13408" s="2" t="s">
        <v>26876</v>
      </c>
      <c r="B13408" s="2" t="s">
        <v>26878</v>
      </c>
      <c r="C13408" s="2" t="s">
        <v>5059</v>
      </c>
      <c r="D13408" s="2" t="s">
        <v>26877</v>
      </c>
      <c r="E13408" s="2" t="str">
        <f>"9781920899684"</f>
        <v>9781920899684</v>
      </c>
      <c r="F13408" s="2" t="str">
        <f>"9781743320877"</f>
        <v>9781743320877</v>
      </c>
    </row>
    <row r="13409" spans="1:6" s="3" customFormat="1" ht="29.1" customHeight="1" x14ac:dyDescent="0.25">
      <c r="A13409" s="2" t="s">
        <v>26879</v>
      </c>
      <c r="B13409" s="2" t="s">
        <v>26880</v>
      </c>
      <c r="C13409" s="2" t="s">
        <v>5059</v>
      </c>
      <c r="D13409" s="2" t="s">
        <v>1127</v>
      </c>
      <c r="E13409" s="2" t="str">
        <f>"9781920899127"</f>
        <v>9781920899127</v>
      </c>
      <c r="F13409" s="2" t="str">
        <f>"9781743321713"</f>
        <v>9781743321713</v>
      </c>
    </row>
    <row r="13410" spans="1:6" s="3" customFormat="1" ht="29.1" customHeight="1" x14ac:dyDescent="0.25">
      <c r="A13410" s="2" t="s">
        <v>26881</v>
      </c>
      <c r="B13410" s="2" t="s">
        <v>26882</v>
      </c>
      <c r="C13410" s="2" t="s">
        <v>5059</v>
      </c>
      <c r="D13410" s="2" t="s">
        <v>4059</v>
      </c>
      <c r="E13410" s="2" t="str">
        <f>"9781920899424"</f>
        <v>9781920899424</v>
      </c>
      <c r="F13410" s="2" t="str">
        <f>"9781743321331"</f>
        <v>9781743321331</v>
      </c>
    </row>
    <row r="13411" spans="1:6" s="3" customFormat="1" ht="29.1" customHeight="1" x14ac:dyDescent="0.25">
      <c r="A13411" s="2" t="s">
        <v>26883</v>
      </c>
      <c r="B13411" s="2" t="s">
        <v>26884</v>
      </c>
      <c r="C13411" s="2" t="s">
        <v>5059</v>
      </c>
      <c r="D13411" s="2" t="s">
        <v>459</v>
      </c>
      <c r="E13411" s="2" t="str">
        <f>"9781920899554"</f>
        <v>9781920899554</v>
      </c>
      <c r="F13411" s="2" t="str">
        <f>"9781743320990"</f>
        <v>9781743320990</v>
      </c>
    </row>
    <row r="13412" spans="1:6" s="3" customFormat="1" ht="29.1" customHeight="1" x14ac:dyDescent="0.25">
      <c r="A13412" s="2" t="s">
        <v>26885</v>
      </c>
      <c r="B13412" s="2" t="s">
        <v>26886</v>
      </c>
      <c r="C13412" s="2" t="s">
        <v>5059</v>
      </c>
      <c r="D13412" s="2" t="s">
        <v>636</v>
      </c>
      <c r="E13412" s="2" t="str">
        <f>"9781920899639"</f>
        <v>9781920899639</v>
      </c>
      <c r="F13412" s="2" t="str">
        <f>"9781743326329"</f>
        <v>9781743326329</v>
      </c>
    </row>
    <row r="13413" spans="1:6" s="3" customFormat="1" ht="29.1" customHeight="1" x14ac:dyDescent="0.25">
      <c r="A13413" s="2" t="s">
        <v>26887</v>
      </c>
      <c r="B13413" s="2" t="s">
        <v>26889</v>
      </c>
      <c r="C13413" s="2" t="s">
        <v>5059</v>
      </c>
      <c r="D13413" s="2" t="s">
        <v>26888</v>
      </c>
      <c r="E13413" s="2" t="str">
        <f>"9781920899431"</f>
        <v>9781920899431</v>
      </c>
      <c r="F13413" s="2" t="str">
        <f>"9781743321133"</f>
        <v>9781743321133</v>
      </c>
    </row>
    <row r="13414" spans="1:6" s="3" customFormat="1" ht="29.1" customHeight="1" x14ac:dyDescent="0.25">
      <c r="A13414" s="2" t="s">
        <v>26890</v>
      </c>
      <c r="B13414" s="2" t="s">
        <v>26891</v>
      </c>
      <c r="C13414" s="2" t="s">
        <v>5059</v>
      </c>
      <c r="D13414" s="2" t="s">
        <v>2624</v>
      </c>
      <c r="E13414" s="2" t="str">
        <f>"9781743324004"</f>
        <v>9781743324004</v>
      </c>
      <c r="F13414" s="2" t="str">
        <f>"9781743324035"</f>
        <v>9781743324035</v>
      </c>
    </row>
    <row r="13415" spans="1:6" s="3" customFormat="1" ht="29.1" customHeight="1" x14ac:dyDescent="0.25">
      <c r="A13415" s="2" t="s">
        <v>26892</v>
      </c>
      <c r="B13415" s="2" t="s">
        <v>26893</v>
      </c>
      <c r="C13415" s="2" t="s">
        <v>5059</v>
      </c>
      <c r="D13415" s="2" t="s">
        <v>3536</v>
      </c>
      <c r="E13415" s="2" t="str">
        <f>"9781920899974"</f>
        <v>9781920899974</v>
      </c>
      <c r="F13415" s="2" t="str">
        <f>"9781743325667"</f>
        <v>9781743325667</v>
      </c>
    </row>
    <row r="13416" spans="1:6" s="3" customFormat="1" ht="29.1" customHeight="1" x14ac:dyDescent="0.25">
      <c r="A13416" s="2" t="s">
        <v>26894</v>
      </c>
      <c r="B13416" s="2" t="s">
        <v>26895</v>
      </c>
      <c r="C13416" s="2" t="s">
        <v>5059</v>
      </c>
      <c r="D13416" s="2" t="s">
        <v>8553</v>
      </c>
      <c r="E13416" s="2" t="str">
        <f>"9781920899714"</f>
        <v>9781920899714</v>
      </c>
      <c r="F13416" s="2" t="str">
        <f>"9781743320471"</f>
        <v>9781743320471</v>
      </c>
    </row>
    <row r="13417" spans="1:6" s="3" customFormat="1" ht="29.1" customHeight="1" x14ac:dyDescent="0.25">
      <c r="A13417" s="2" t="s">
        <v>26896</v>
      </c>
      <c r="B13417" s="2" t="s">
        <v>26897</v>
      </c>
      <c r="C13417" s="2" t="s">
        <v>5059</v>
      </c>
      <c r="D13417" s="2" t="s">
        <v>60</v>
      </c>
      <c r="E13417" s="2" t="str">
        <f>"9781920899851"</f>
        <v>9781920899851</v>
      </c>
      <c r="F13417" s="2" t="str">
        <f>"9781743320433"</f>
        <v>9781743320433</v>
      </c>
    </row>
    <row r="13418" spans="1:6" s="3" customFormat="1" ht="29.1" customHeight="1" x14ac:dyDescent="0.25">
      <c r="A13418" s="2" t="s">
        <v>26898</v>
      </c>
      <c r="B13418" s="2" t="s">
        <v>26899</v>
      </c>
      <c r="C13418" s="2" t="s">
        <v>5059</v>
      </c>
      <c r="D13418" s="2" t="s">
        <v>6128</v>
      </c>
      <c r="E13418" s="2" t="str">
        <f>"9781920899707"</f>
        <v>9781920899707</v>
      </c>
      <c r="F13418" s="2" t="str">
        <f>"9781743320457"</f>
        <v>9781743320457</v>
      </c>
    </row>
    <row r="13419" spans="1:6" s="3" customFormat="1" ht="29.1" customHeight="1" x14ac:dyDescent="0.25">
      <c r="A13419" s="2" t="s">
        <v>26900</v>
      </c>
      <c r="B13419" s="2" t="s">
        <v>26875</v>
      </c>
      <c r="C13419" s="2" t="s">
        <v>5059</v>
      </c>
      <c r="D13419" s="2" t="s">
        <v>3943</v>
      </c>
      <c r="E13419" s="2" t="str">
        <f>"9781920899394"</f>
        <v>9781920899394</v>
      </c>
      <c r="F13419" s="2" t="str">
        <f>"9781743328149"</f>
        <v>9781743328149</v>
      </c>
    </row>
    <row r="13420" spans="1:6" s="3" customFormat="1" ht="29.1" customHeight="1" x14ac:dyDescent="0.25">
      <c r="A13420" s="2" t="s">
        <v>26901</v>
      </c>
      <c r="B13420" s="2" t="s">
        <v>26902</v>
      </c>
      <c r="C13420" s="2" t="s">
        <v>316</v>
      </c>
      <c r="D13420" s="2" t="s">
        <v>2237</v>
      </c>
      <c r="E13420" s="2" t="str">
        <f>"9783036403380"</f>
        <v>9783036403380</v>
      </c>
      <c r="F13420" s="2" t="str">
        <f>"9783036413389"</f>
        <v>9783036413389</v>
      </c>
    </row>
    <row r="13421" spans="1:6" s="3" customFormat="1" ht="29.1" customHeight="1" x14ac:dyDescent="0.25">
      <c r="A13421" s="2" t="s">
        <v>26903</v>
      </c>
      <c r="B13421" s="2" t="s">
        <v>26904</v>
      </c>
      <c r="C13421" s="2" t="s">
        <v>316</v>
      </c>
      <c r="D13421" s="2" t="s">
        <v>650</v>
      </c>
      <c r="E13421" s="2" t="str">
        <f>"9783036403373"</f>
        <v>9783036403373</v>
      </c>
      <c r="F13421" s="2" t="str">
        <f>"9783036413372"</f>
        <v>9783036413372</v>
      </c>
    </row>
    <row r="13422" spans="1:6" s="3" customFormat="1" ht="29.1" customHeight="1" x14ac:dyDescent="0.25">
      <c r="A13422" s="2" t="s">
        <v>26905</v>
      </c>
      <c r="B13422" s="2" t="s">
        <v>26906</v>
      </c>
      <c r="C13422" s="2" t="s">
        <v>124</v>
      </c>
      <c r="D13422" s="2" t="s">
        <v>75</v>
      </c>
      <c r="E13422" s="2" t="str">
        <f>"9780367691660"</f>
        <v>9780367691660</v>
      </c>
      <c r="F13422" s="2" t="str">
        <f>"9781000891843"</f>
        <v>9781000891843</v>
      </c>
    </row>
    <row r="13423" spans="1:6" s="3" customFormat="1" ht="29.1" customHeight="1" x14ac:dyDescent="0.25">
      <c r="A13423" s="2" t="s">
        <v>26907</v>
      </c>
      <c r="B13423" s="2" t="s">
        <v>26908</v>
      </c>
      <c r="C13423" s="2" t="s">
        <v>2242</v>
      </c>
      <c r="D13423" s="2" t="s">
        <v>836</v>
      </c>
      <c r="E13423" s="2"/>
      <c r="F13423" s="2" t="str">
        <f>"9788024462844"</f>
        <v>9788024462844</v>
      </c>
    </row>
    <row r="13424" spans="1:6" s="3" customFormat="1" ht="29.1" customHeight="1" x14ac:dyDescent="0.25">
      <c r="A13424" s="2" t="s">
        <v>26909</v>
      </c>
      <c r="B13424" s="2" t="s">
        <v>26908</v>
      </c>
      <c r="C13424" s="2" t="s">
        <v>2242</v>
      </c>
      <c r="D13424" s="2" t="s">
        <v>836</v>
      </c>
      <c r="E13424" s="2"/>
      <c r="F13424" s="2" t="str">
        <f>"9788024462837"</f>
        <v>9788024462837</v>
      </c>
    </row>
    <row r="13425" spans="1:6" s="3" customFormat="1" ht="29.1" customHeight="1" x14ac:dyDescent="0.25">
      <c r="A13425" s="2" t="s">
        <v>26910</v>
      </c>
      <c r="B13425" s="2" t="s">
        <v>26911</v>
      </c>
      <c r="C13425" s="2" t="s">
        <v>2242</v>
      </c>
      <c r="D13425" s="2" t="s">
        <v>836</v>
      </c>
      <c r="E13425" s="2"/>
      <c r="F13425" s="2" t="str">
        <f>"9788024462820"</f>
        <v>9788024462820</v>
      </c>
    </row>
    <row r="13426" spans="1:6" s="3" customFormat="1" ht="29.1" customHeight="1" x14ac:dyDescent="0.25">
      <c r="A13426" s="2" t="s">
        <v>26912</v>
      </c>
      <c r="B13426" s="2" t="s">
        <v>26911</v>
      </c>
      <c r="C13426" s="2" t="s">
        <v>2242</v>
      </c>
      <c r="D13426" s="2" t="s">
        <v>3958</v>
      </c>
      <c r="E13426" s="2"/>
      <c r="F13426" s="2" t="str">
        <f>"9788024462813"</f>
        <v>9788024462813</v>
      </c>
    </row>
    <row r="13427" spans="1:6" s="3" customFormat="1" ht="29.1" customHeight="1" x14ac:dyDescent="0.25">
      <c r="A13427" s="2" t="s">
        <v>26913</v>
      </c>
      <c r="B13427" s="2" t="s">
        <v>26914</v>
      </c>
      <c r="C13427" s="2" t="s">
        <v>2242</v>
      </c>
      <c r="D13427" s="2" t="s">
        <v>183</v>
      </c>
      <c r="E13427" s="2" t="str">
        <f>"9788024462691"</f>
        <v>9788024462691</v>
      </c>
      <c r="F13427" s="2" t="str">
        <f>"9788024462707"</f>
        <v>9788024462707</v>
      </c>
    </row>
    <row r="13428" spans="1:6" s="3" customFormat="1" ht="29.1" customHeight="1" x14ac:dyDescent="0.25">
      <c r="A13428" s="2" t="s">
        <v>26915</v>
      </c>
      <c r="B13428" s="2" t="s">
        <v>26916</v>
      </c>
      <c r="C13428" s="2" t="s">
        <v>2242</v>
      </c>
      <c r="D13428" s="2" t="s">
        <v>4253</v>
      </c>
      <c r="E13428" s="2"/>
      <c r="F13428" s="2" t="str">
        <f>"9788024463209"</f>
        <v>9788024463209</v>
      </c>
    </row>
    <row r="13429" spans="1:6" s="3" customFormat="1" ht="29.1" customHeight="1" x14ac:dyDescent="0.25">
      <c r="A13429" s="2" t="s">
        <v>26917</v>
      </c>
      <c r="B13429" s="2" t="s">
        <v>26918</v>
      </c>
      <c r="C13429" s="2" t="s">
        <v>2242</v>
      </c>
      <c r="D13429" s="2" t="s">
        <v>249</v>
      </c>
      <c r="E13429" s="2" t="str">
        <f>"9788024462363"</f>
        <v>9788024462363</v>
      </c>
      <c r="F13429" s="2" t="str">
        <f>"9788024462370"</f>
        <v>9788024462370</v>
      </c>
    </row>
    <row r="13430" spans="1:6" s="3" customFormat="1" ht="29.1" customHeight="1" x14ac:dyDescent="0.25">
      <c r="A13430" s="2" t="s">
        <v>26919</v>
      </c>
      <c r="B13430" s="2"/>
      <c r="C13430" s="2" t="s">
        <v>3169</v>
      </c>
      <c r="D13430" s="2" t="s">
        <v>6896</v>
      </c>
      <c r="E13430" s="2" t="str">
        <f>"9781847013460"</f>
        <v>9781847013460</v>
      </c>
      <c r="F13430" s="2" t="str">
        <f>"9781805431077"</f>
        <v>9781805431077</v>
      </c>
    </row>
    <row r="13431" spans="1:6" s="3" customFormat="1" ht="29.1" customHeight="1" x14ac:dyDescent="0.25">
      <c r="A13431" s="2" t="s">
        <v>26920</v>
      </c>
      <c r="B13431" s="2" t="s">
        <v>26921</v>
      </c>
      <c r="C13431" s="2" t="s">
        <v>62</v>
      </c>
      <c r="D13431" s="2" t="s">
        <v>192</v>
      </c>
      <c r="E13431" s="2" t="str">
        <f>"9783428188123"</f>
        <v>9783428188123</v>
      </c>
      <c r="F13431" s="2" t="str">
        <f>"9783428588121"</f>
        <v>9783428588121</v>
      </c>
    </row>
    <row r="13432" spans="1:6" s="3" customFormat="1" ht="29.1" customHeight="1" x14ac:dyDescent="0.25">
      <c r="A13432" s="2" t="s">
        <v>26922</v>
      </c>
      <c r="B13432" s="2" t="s">
        <v>26923</v>
      </c>
      <c r="C13432" s="2" t="s">
        <v>927</v>
      </c>
      <c r="D13432" s="2" t="s">
        <v>81</v>
      </c>
      <c r="E13432" s="2" t="str">
        <f>"9780472056330"</f>
        <v>9780472056330</v>
      </c>
      <c r="F13432" s="2" t="str">
        <f>"9780472903719"</f>
        <v>9780472903719</v>
      </c>
    </row>
    <row r="13433" spans="1:6" s="3" customFormat="1" ht="29.1" customHeight="1" x14ac:dyDescent="0.25">
      <c r="A13433" s="2" t="s">
        <v>26924</v>
      </c>
      <c r="B13433" s="2" t="s">
        <v>26925</v>
      </c>
      <c r="C13433" s="2" t="s">
        <v>248</v>
      </c>
      <c r="D13433" s="2" t="s">
        <v>75</v>
      </c>
      <c r="E13433" s="2" t="str">
        <f>"9783847426790"</f>
        <v>9783847426790</v>
      </c>
      <c r="F13433" s="2" t="str">
        <f>"9783847418528"</f>
        <v>9783847418528</v>
      </c>
    </row>
    <row r="13434" spans="1:6" s="3" customFormat="1" ht="29.1" customHeight="1" x14ac:dyDescent="0.25">
      <c r="A13434" s="2" t="s">
        <v>26926</v>
      </c>
      <c r="B13434" s="2" t="s">
        <v>26927</v>
      </c>
      <c r="C13434" s="2" t="s">
        <v>248</v>
      </c>
      <c r="D13434" s="2" t="s">
        <v>9</v>
      </c>
      <c r="E13434" s="2" t="str">
        <f>"9783966650540"</f>
        <v>9783966650540</v>
      </c>
      <c r="F13434" s="2" t="str">
        <f>"9783966659444"</f>
        <v>9783966659444</v>
      </c>
    </row>
    <row r="13435" spans="1:6" s="3" customFormat="1" ht="29.1" customHeight="1" x14ac:dyDescent="0.25">
      <c r="A13435" s="2" t="s">
        <v>26928</v>
      </c>
      <c r="B13435" s="2" t="s">
        <v>26929</v>
      </c>
      <c r="C13435" s="2" t="s">
        <v>248</v>
      </c>
      <c r="D13435" s="2" t="s">
        <v>75</v>
      </c>
      <c r="E13435" s="2" t="str">
        <f>"9783847426363"</f>
        <v>9783847426363</v>
      </c>
      <c r="F13435" s="2" t="str">
        <f>"9783847417965"</f>
        <v>9783847417965</v>
      </c>
    </row>
    <row r="13436" spans="1:6" s="3" customFormat="1" ht="29.1" customHeight="1" x14ac:dyDescent="0.25">
      <c r="A13436" s="2" t="s">
        <v>26930</v>
      </c>
      <c r="B13436" s="2" t="s">
        <v>11661</v>
      </c>
      <c r="C13436" s="2" t="s">
        <v>124</v>
      </c>
      <c r="D13436" s="2" t="s">
        <v>4783</v>
      </c>
      <c r="E13436" s="2" t="str">
        <f>"9781032397917"</f>
        <v>9781032397917</v>
      </c>
      <c r="F13436" s="2" t="str">
        <f>"9781000936131"</f>
        <v>9781000936131</v>
      </c>
    </row>
    <row r="13437" spans="1:6" s="3" customFormat="1" ht="29.1" customHeight="1" x14ac:dyDescent="0.25">
      <c r="A13437" s="2" t="s">
        <v>26931</v>
      </c>
      <c r="B13437" s="2" t="s">
        <v>26932</v>
      </c>
      <c r="C13437" s="2" t="s">
        <v>124</v>
      </c>
      <c r="D13437" s="2" t="s">
        <v>75</v>
      </c>
      <c r="E13437" s="2" t="str">
        <f>"9781032469843"</f>
        <v>9781032469843</v>
      </c>
      <c r="F13437" s="2" t="str">
        <f>"9781000911459"</f>
        <v>9781000911459</v>
      </c>
    </row>
    <row r="13438" spans="1:6" s="3" customFormat="1" ht="29.1" customHeight="1" x14ac:dyDescent="0.25">
      <c r="A13438" s="2" t="s">
        <v>26933</v>
      </c>
      <c r="B13438" s="2" t="s">
        <v>26934</v>
      </c>
      <c r="C13438" s="2" t="s">
        <v>124</v>
      </c>
      <c r="D13438" s="2" t="s">
        <v>81</v>
      </c>
      <c r="E13438" s="2" t="str">
        <f>"9781032461373"</f>
        <v>9781032461373</v>
      </c>
      <c r="F13438" s="2" t="str">
        <f>"9781000901276"</f>
        <v>9781000901276</v>
      </c>
    </row>
    <row r="13439" spans="1:6" s="3" customFormat="1" ht="29.1" customHeight="1" x14ac:dyDescent="0.25">
      <c r="A13439" s="2" t="s">
        <v>26935</v>
      </c>
      <c r="B13439" s="2" t="s">
        <v>26936</v>
      </c>
      <c r="C13439" s="2" t="s">
        <v>195</v>
      </c>
      <c r="D13439" s="2" t="s">
        <v>1127</v>
      </c>
      <c r="E13439" s="2" t="str">
        <f>"9783868598704"</f>
        <v>9783868598704</v>
      </c>
      <c r="F13439" s="2" t="str">
        <f>"9783986120139"</f>
        <v>9783986120139</v>
      </c>
    </row>
    <row r="13440" spans="1:6" s="3" customFormat="1" ht="29.1" customHeight="1" x14ac:dyDescent="0.25">
      <c r="A13440" s="2" t="s">
        <v>26937</v>
      </c>
      <c r="B13440" s="2" t="s">
        <v>26938</v>
      </c>
      <c r="C13440" s="2" t="s">
        <v>556</v>
      </c>
      <c r="D13440" s="2" t="s">
        <v>1895</v>
      </c>
      <c r="E13440" s="2" t="str">
        <f>"9783837668018"</f>
        <v>9783837668018</v>
      </c>
      <c r="F13440" s="2" t="str">
        <f>"9783839468012"</f>
        <v>9783839468012</v>
      </c>
    </row>
    <row r="13441" spans="1:6" s="3" customFormat="1" ht="29.1" customHeight="1" x14ac:dyDescent="0.25">
      <c r="A13441" s="2" t="s">
        <v>26939</v>
      </c>
      <c r="B13441" s="2" t="s">
        <v>26940</v>
      </c>
      <c r="C13441" s="2" t="s">
        <v>556</v>
      </c>
      <c r="D13441" s="2" t="s">
        <v>636</v>
      </c>
      <c r="E13441" s="2" t="str">
        <f>"9783837666977"</f>
        <v>9783837666977</v>
      </c>
      <c r="F13441" s="2" t="str">
        <f>"9783839466971"</f>
        <v>9783839466971</v>
      </c>
    </row>
    <row r="13442" spans="1:6" s="3" customFormat="1" ht="29.1" customHeight="1" x14ac:dyDescent="0.25">
      <c r="A13442" s="2" t="s">
        <v>26941</v>
      </c>
      <c r="B13442" s="2" t="s">
        <v>26942</v>
      </c>
      <c r="C13442" s="2" t="s">
        <v>124</v>
      </c>
      <c r="D13442" s="2" t="s">
        <v>2587</v>
      </c>
      <c r="E13442" s="2" t="str">
        <f>"9781032368269"</f>
        <v>9781032368269</v>
      </c>
      <c r="F13442" s="2" t="str">
        <f>"9781000928884"</f>
        <v>9781000928884</v>
      </c>
    </row>
    <row r="13443" spans="1:6" s="3" customFormat="1" ht="29.1" customHeight="1" x14ac:dyDescent="0.25">
      <c r="A13443" s="2" t="s">
        <v>26943</v>
      </c>
      <c r="B13443" s="2" t="s">
        <v>26944</v>
      </c>
      <c r="C13443" s="2" t="s">
        <v>124</v>
      </c>
      <c r="D13443" s="2" t="s">
        <v>75</v>
      </c>
      <c r="E13443" s="2" t="str">
        <f>"9781032430355"</f>
        <v>9781032430355</v>
      </c>
      <c r="F13443" s="2" t="str">
        <f>"9781000918052"</f>
        <v>9781000918052</v>
      </c>
    </row>
    <row r="13444" spans="1:6" s="3" customFormat="1" ht="29.1" customHeight="1" x14ac:dyDescent="0.25">
      <c r="A13444" s="2" t="s">
        <v>26945</v>
      </c>
      <c r="B13444" s="2" t="s">
        <v>26946</v>
      </c>
      <c r="C13444" s="2" t="s">
        <v>124</v>
      </c>
      <c r="D13444" s="2" t="s">
        <v>75</v>
      </c>
      <c r="E13444" s="2" t="str">
        <f>"9780367704674"</f>
        <v>9780367704674</v>
      </c>
      <c r="F13444" s="2" t="str">
        <f>"9781000902761"</f>
        <v>9781000902761</v>
      </c>
    </row>
    <row r="13445" spans="1:6" s="3" customFormat="1" ht="29.1" customHeight="1" x14ac:dyDescent="0.25">
      <c r="A13445" s="2" t="s">
        <v>26947</v>
      </c>
      <c r="B13445" s="2" t="s">
        <v>26948</v>
      </c>
      <c r="C13445" s="2" t="s">
        <v>950</v>
      </c>
      <c r="D13445" s="2" t="s">
        <v>689</v>
      </c>
      <c r="E13445" s="2"/>
      <c r="F13445" s="2" t="str">
        <f>"9788411700047"</f>
        <v>9788411700047</v>
      </c>
    </row>
    <row r="13446" spans="1:6" s="3" customFormat="1" ht="29.1" customHeight="1" x14ac:dyDescent="0.25">
      <c r="A13446" s="2" t="s">
        <v>26949</v>
      </c>
      <c r="B13446" s="2" t="s">
        <v>26950</v>
      </c>
      <c r="C13446" s="2" t="s">
        <v>950</v>
      </c>
      <c r="D13446" s="2" t="s">
        <v>37</v>
      </c>
      <c r="E13446" s="2"/>
      <c r="F13446" s="2" t="str">
        <f>"9788411229630"</f>
        <v>9788411229630</v>
      </c>
    </row>
    <row r="13447" spans="1:6" s="3" customFormat="1" ht="29.1" customHeight="1" x14ac:dyDescent="0.25">
      <c r="A13447" s="2" t="s">
        <v>26951</v>
      </c>
      <c r="B13447" s="2" t="s">
        <v>26952</v>
      </c>
      <c r="C13447" s="2" t="s">
        <v>327</v>
      </c>
      <c r="D13447" s="2" t="s">
        <v>183</v>
      </c>
      <c r="E13447" s="2" t="str">
        <f>"9788383311104"</f>
        <v>9788383311104</v>
      </c>
      <c r="F13447" s="2" t="str">
        <f>"9788383311111"</f>
        <v>9788383311111</v>
      </c>
    </row>
    <row r="13448" spans="1:6" s="3" customFormat="1" ht="29.1" customHeight="1" x14ac:dyDescent="0.25">
      <c r="A13448" s="2" t="s">
        <v>26953</v>
      </c>
      <c r="B13448" s="2" t="s">
        <v>26954</v>
      </c>
      <c r="C13448" s="2" t="s">
        <v>8104</v>
      </c>
      <c r="D13448" s="2" t="s">
        <v>5574</v>
      </c>
      <c r="E13448" s="2" t="str">
        <f>"9781805390558"</f>
        <v>9781805390558</v>
      </c>
      <c r="F13448" s="2" t="str">
        <f>"9781805390565"</f>
        <v>9781805390565</v>
      </c>
    </row>
    <row r="13449" spans="1:6" s="3" customFormat="1" ht="29.1" customHeight="1" x14ac:dyDescent="0.25">
      <c r="A13449" s="2" t="s">
        <v>26955</v>
      </c>
      <c r="B13449" s="2" t="s">
        <v>26956</v>
      </c>
      <c r="C13449" s="2" t="s">
        <v>149</v>
      </c>
      <c r="D13449" s="2" t="s">
        <v>66</v>
      </c>
      <c r="E13449" s="2"/>
      <c r="F13449" s="2" t="str">
        <f>"9781805110200"</f>
        <v>9781805110200</v>
      </c>
    </row>
    <row r="13450" spans="1:6" s="3" customFormat="1" ht="29.1" customHeight="1" x14ac:dyDescent="0.25">
      <c r="A13450" s="2" t="s">
        <v>26957</v>
      </c>
      <c r="B13450" s="2" t="s">
        <v>26958</v>
      </c>
      <c r="C13450" s="2" t="s">
        <v>149</v>
      </c>
      <c r="D13450" s="2" t="s">
        <v>484</v>
      </c>
      <c r="E13450" s="2"/>
      <c r="F13450" s="2" t="str">
        <f>"9781800648937"</f>
        <v>9781800648937</v>
      </c>
    </row>
    <row r="13451" spans="1:6" s="3" customFormat="1" ht="29.1" customHeight="1" x14ac:dyDescent="0.25">
      <c r="A13451" s="2" t="s">
        <v>26959</v>
      </c>
      <c r="B13451" s="2" t="s">
        <v>26960</v>
      </c>
      <c r="C13451" s="2" t="s">
        <v>149</v>
      </c>
      <c r="D13451" s="2" t="s">
        <v>78</v>
      </c>
      <c r="E13451" s="2"/>
      <c r="F13451" s="2" t="str">
        <f>"9781800649255"</f>
        <v>9781800649255</v>
      </c>
    </row>
    <row r="13452" spans="1:6" s="3" customFormat="1" ht="29.1" customHeight="1" x14ac:dyDescent="0.25">
      <c r="A13452" s="2" t="s">
        <v>26961</v>
      </c>
      <c r="B13452" s="2" t="s">
        <v>16226</v>
      </c>
      <c r="C13452" s="2" t="s">
        <v>149</v>
      </c>
      <c r="D13452" s="2" t="s">
        <v>339</v>
      </c>
      <c r="E13452" s="2"/>
      <c r="F13452" s="2" t="str">
        <f>"9781800649682"</f>
        <v>9781800649682</v>
      </c>
    </row>
    <row r="13453" spans="1:6" s="3" customFormat="1" ht="29.1" customHeight="1" x14ac:dyDescent="0.25">
      <c r="A13453" s="2" t="s">
        <v>26962</v>
      </c>
      <c r="B13453" s="2" t="s">
        <v>26963</v>
      </c>
      <c r="C13453" s="2" t="s">
        <v>149</v>
      </c>
      <c r="D13453" s="2" t="s">
        <v>5335</v>
      </c>
      <c r="E13453" s="2"/>
      <c r="F13453" s="2" t="str">
        <f>"9781805110897"</f>
        <v>9781805110897</v>
      </c>
    </row>
    <row r="13454" spans="1:6" s="3" customFormat="1" ht="29.1" customHeight="1" x14ac:dyDescent="0.25">
      <c r="A13454" s="2" t="s">
        <v>26964</v>
      </c>
      <c r="B13454" s="2" t="s">
        <v>26965</v>
      </c>
      <c r="C13454" s="2" t="s">
        <v>149</v>
      </c>
      <c r="D13454" s="2" t="s">
        <v>636</v>
      </c>
      <c r="E13454" s="2"/>
      <c r="F13454" s="2" t="str">
        <f>"9781805110064"</f>
        <v>9781805110064</v>
      </c>
    </row>
    <row r="13455" spans="1:6" s="3" customFormat="1" ht="29.1" customHeight="1" x14ac:dyDescent="0.25">
      <c r="A13455" s="2" t="s">
        <v>26966</v>
      </c>
      <c r="B13455" s="2" t="s">
        <v>26967</v>
      </c>
      <c r="C13455" s="2" t="s">
        <v>149</v>
      </c>
      <c r="D13455" s="2" t="s">
        <v>15287</v>
      </c>
      <c r="E13455" s="2"/>
      <c r="F13455" s="2" t="str">
        <f>"9781805110699"</f>
        <v>9781805110699</v>
      </c>
    </row>
    <row r="13456" spans="1:6" s="3" customFormat="1" ht="29.1" customHeight="1" x14ac:dyDescent="0.25">
      <c r="A13456" s="2" t="s">
        <v>26968</v>
      </c>
      <c r="B13456" s="2" t="s">
        <v>26969</v>
      </c>
      <c r="C13456" s="2" t="s">
        <v>124</v>
      </c>
      <c r="D13456" s="2" t="s">
        <v>858</v>
      </c>
      <c r="E13456" s="2" t="str">
        <f>"9781032283418"</f>
        <v>9781032283418</v>
      </c>
      <c r="F13456" s="2" t="str">
        <f>"9781000956061"</f>
        <v>9781000956061</v>
      </c>
    </row>
    <row r="13457" spans="1:6" s="3" customFormat="1" ht="29.1" customHeight="1" x14ac:dyDescent="0.25">
      <c r="A13457" s="2" t="s">
        <v>26970</v>
      </c>
      <c r="B13457" s="2" t="s">
        <v>26971</v>
      </c>
      <c r="C13457" s="2" t="s">
        <v>124</v>
      </c>
      <c r="D13457" s="2" t="s">
        <v>95</v>
      </c>
      <c r="E13457" s="2" t="str">
        <f>"9781032486895"</f>
        <v>9781032486895</v>
      </c>
      <c r="F13457" s="2" t="str">
        <f>"9781000919615"</f>
        <v>9781000919615</v>
      </c>
    </row>
    <row r="13458" spans="1:6" s="3" customFormat="1" ht="29.1" customHeight="1" x14ac:dyDescent="0.25">
      <c r="A13458" s="2" t="s">
        <v>26972</v>
      </c>
      <c r="B13458" s="2" t="s">
        <v>26973</v>
      </c>
      <c r="C13458" s="2" t="s">
        <v>927</v>
      </c>
      <c r="D13458" s="2" t="s">
        <v>81</v>
      </c>
      <c r="E13458" s="2" t="str">
        <f>"9780472055876"</f>
        <v>9780472055876</v>
      </c>
      <c r="F13458" s="2" t="str">
        <f>"9780472903191"</f>
        <v>9780472903191</v>
      </c>
    </row>
    <row r="13459" spans="1:6" s="3" customFormat="1" ht="29.1" customHeight="1" x14ac:dyDescent="0.25">
      <c r="A13459" s="2" t="s">
        <v>26974</v>
      </c>
      <c r="B13459" s="2" t="s">
        <v>26975</v>
      </c>
      <c r="C13459" s="2" t="s">
        <v>55</v>
      </c>
      <c r="D13459" s="2" t="s">
        <v>6113</v>
      </c>
      <c r="E13459" s="2"/>
      <c r="F13459" s="2" t="str">
        <f>"9781526167682"</f>
        <v>9781526167682</v>
      </c>
    </row>
    <row r="13460" spans="1:6" s="3" customFormat="1" ht="29.1" customHeight="1" x14ac:dyDescent="0.25">
      <c r="A13460" s="2" t="s">
        <v>26976</v>
      </c>
      <c r="B13460" s="2" t="s">
        <v>26977</v>
      </c>
      <c r="C13460" s="2" t="s">
        <v>55</v>
      </c>
      <c r="D13460" s="2" t="s">
        <v>3185</v>
      </c>
      <c r="E13460" s="2" t="str">
        <f>"9781526156624"</f>
        <v>9781526156624</v>
      </c>
      <c r="F13460" s="2" t="str">
        <f>"9781526156631"</f>
        <v>9781526156631</v>
      </c>
    </row>
    <row r="13461" spans="1:6" s="3" customFormat="1" ht="29.1" customHeight="1" x14ac:dyDescent="0.25">
      <c r="A13461" s="2" t="s">
        <v>26978</v>
      </c>
      <c r="B13461" s="2" t="s">
        <v>26979</v>
      </c>
      <c r="C13461" s="2" t="s">
        <v>7395</v>
      </c>
      <c r="D13461" s="2" t="s">
        <v>636</v>
      </c>
      <c r="E13461" s="2" t="str">
        <f>"9780295749631"</f>
        <v>9780295749631</v>
      </c>
      <c r="F13461" s="2" t="str">
        <f>"9780295749655"</f>
        <v>9780295749655</v>
      </c>
    </row>
    <row r="13462" spans="1:6" s="3" customFormat="1" ht="29.1" customHeight="1" x14ac:dyDescent="0.25">
      <c r="A13462" s="2" t="s">
        <v>26980</v>
      </c>
      <c r="B13462" s="2" t="s">
        <v>26981</v>
      </c>
      <c r="C13462" s="2" t="s">
        <v>556</v>
      </c>
      <c r="D13462" s="2" t="s">
        <v>75</v>
      </c>
      <c r="E13462" s="2" t="str">
        <f>"9783837664959"</f>
        <v>9783837664959</v>
      </c>
      <c r="F13462" s="2" t="str">
        <f>"9783839464953"</f>
        <v>9783839464953</v>
      </c>
    </row>
    <row r="13463" spans="1:6" s="3" customFormat="1" ht="29.1" customHeight="1" x14ac:dyDescent="0.25">
      <c r="A13463" s="2" t="s">
        <v>26982</v>
      </c>
      <c r="B13463" s="2" t="s">
        <v>26983</v>
      </c>
      <c r="C13463" s="2" t="s">
        <v>556</v>
      </c>
      <c r="D13463" s="2" t="s">
        <v>636</v>
      </c>
      <c r="E13463" s="2" t="str">
        <f>"9783837668452"</f>
        <v>9783837668452</v>
      </c>
      <c r="F13463" s="2" t="str">
        <f>"9783839468456"</f>
        <v>9783839468456</v>
      </c>
    </row>
    <row r="13464" spans="1:6" s="3" customFormat="1" ht="29.1" customHeight="1" x14ac:dyDescent="0.25">
      <c r="A13464" s="2" t="s">
        <v>26984</v>
      </c>
      <c r="B13464" s="2" t="s">
        <v>26985</v>
      </c>
      <c r="C13464" s="2" t="s">
        <v>556</v>
      </c>
      <c r="D13464" s="2" t="s">
        <v>699</v>
      </c>
      <c r="E13464" s="2" t="str">
        <f>"9783837668339"</f>
        <v>9783837668339</v>
      </c>
      <c r="F13464" s="2" t="str">
        <f>"9783839468333"</f>
        <v>9783839468333</v>
      </c>
    </row>
    <row r="13465" spans="1:6" s="3" customFormat="1" ht="29.1" customHeight="1" x14ac:dyDescent="0.25">
      <c r="A13465" s="2" t="s">
        <v>26986</v>
      </c>
      <c r="B13465" s="2" t="s">
        <v>26987</v>
      </c>
      <c r="C13465" s="2" t="s">
        <v>556</v>
      </c>
      <c r="D13465" s="2" t="s">
        <v>78</v>
      </c>
      <c r="E13465" s="2" t="str">
        <f>"9783837667806"</f>
        <v>9783837667806</v>
      </c>
      <c r="F13465" s="2" t="str">
        <f>"9783839467800"</f>
        <v>9783839467800</v>
      </c>
    </row>
    <row r="13466" spans="1:6" s="3" customFormat="1" ht="29.1" customHeight="1" x14ac:dyDescent="0.25">
      <c r="A13466" s="2" t="s">
        <v>26988</v>
      </c>
      <c r="B13466" s="2" t="s">
        <v>26989</v>
      </c>
      <c r="C13466" s="2" t="s">
        <v>556</v>
      </c>
      <c r="D13466" s="2" t="s">
        <v>1988</v>
      </c>
      <c r="E13466" s="2" t="str">
        <f>"9783837667233"</f>
        <v>9783837667233</v>
      </c>
      <c r="F13466" s="2" t="str">
        <f>"9783839467237"</f>
        <v>9783839467237</v>
      </c>
    </row>
    <row r="13467" spans="1:6" s="3" customFormat="1" ht="29.1" customHeight="1" x14ac:dyDescent="0.25">
      <c r="A13467" s="2" t="s">
        <v>26990</v>
      </c>
      <c r="B13467" s="2" t="s">
        <v>26991</v>
      </c>
      <c r="C13467" s="2" t="s">
        <v>556</v>
      </c>
      <c r="D13467" s="2" t="s">
        <v>2139</v>
      </c>
      <c r="E13467" s="2" t="str">
        <f>"9783837667226"</f>
        <v>9783837667226</v>
      </c>
      <c r="F13467" s="2" t="str">
        <f>"9783839467220"</f>
        <v>9783839467220</v>
      </c>
    </row>
    <row r="13468" spans="1:6" s="3" customFormat="1" ht="29.1" customHeight="1" x14ac:dyDescent="0.25">
      <c r="A13468" s="2" t="s">
        <v>26992</v>
      </c>
      <c r="B13468" s="2" t="s">
        <v>26994</v>
      </c>
      <c r="C13468" s="2" t="s">
        <v>556</v>
      </c>
      <c r="D13468" s="2" t="s">
        <v>26993</v>
      </c>
      <c r="E13468" s="2" t="str">
        <f>"9783837666632"</f>
        <v>9783837666632</v>
      </c>
      <c r="F13468" s="2" t="str">
        <f>"9783839466636"</f>
        <v>9783839466636</v>
      </c>
    </row>
    <row r="13469" spans="1:6" s="3" customFormat="1" ht="29.1" customHeight="1" x14ac:dyDescent="0.25">
      <c r="A13469" s="2" t="s">
        <v>26995</v>
      </c>
      <c r="B13469" s="2" t="s">
        <v>26996</v>
      </c>
      <c r="C13469" s="2" t="s">
        <v>556</v>
      </c>
      <c r="D13469" s="2" t="s">
        <v>183</v>
      </c>
      <c r="E13469" s="2" t="str">
        <f>"9783837666489"</f>
        <v>9783837666489</v>
      </c>
      <c r="F13469" s="2" t="str">
        <f>"9783839466483"</f>
        <v>9783839466483</v>
      </c>
    </row>
    <row r="13470" spans="1:6" s="3" customFormat="1" ht="29.1" customHeight="1" x14ac:dyDescent="0.25">
      <c r="A13470" s="2" t="s">
        <v>26997</v>
      </c>
      <c r="B13470" s="2" t="s">
        <v>26998</v>
      </c>
      <c r="C13470" s="2" t="s">
        <v>556</v>
      </c>
      <c r="D13470" s="2" t="s">
        <v>202</v>
      </c>
      <c r="E13470" s="2" t="str">
        <f>"9783837666472"</f>
        <v>9783837666472</v>
      </c>
      <c r="F13470" s="2" t="str">
        <f>"9783839466476"</f>
        <v>9783839466476</v>
      </c>
    </row>
    <row r="13471" spans="1:6" s="3" customFormat="1" ht="29.1" customHeight="1" x14ac:dyDescent="0.25">
      <c r="A13471" s="2" t="s">
        <v>26999</v>
      </c>
      <c r="B13471" s="2" t="s">
        <v>27000</v>
      </c>
      <c r="C13471" s="2" t="s">
        <v>556</v>
      </c>
      <c r="D13471" s="2" t="s">
        <v>5794</v>
      </c>
      <c r="E13471" s="2" t="str">
        <f>"9783837666397"</f>
        <v>9783837666397</v>
      </c>
      <c r="F13471" s="2" t="str">
        <f>"9783839466391"</f>
        <v>9783839466391</v>
      </c>
    </row>
    <row r="13472" spans="1:6" s="3" customFormat="1" ht="29.1" customHeight="1" x14ac:dyDescent="0.25">
      <c r="A13472" s="2" t="s">
        <v>27001</v>
      </c>
      <c r="B13472" s="2" t="s">
        <v>27002</v>
      </c>
      <c r="C13472" s="2" t="s">
        <v>556</v>
      </c>
      <c r="D13472" s="2" t="s">
        <v>183</v>
      </c>
      <c r="E13472" s="2" t="str">
        <f>"9783837663358"</f>
        <v>9783837663358</v>
      </c>
      <c r="F13472" s="2" t="str">
        <f>"9783839463352"</f>
        <v>9783839463352</v>
      </c>
    </row>
    <row r="13473" spans="1:6" s="3" customFormat="1" ht="29.1" customHeight="1" x14ac:dyDescent="0.25">
      <c r="A13473" s="2" t="s">
        <v>27003</v>
      </c>
      <c r="B13473" s="2" t="s">
        <v>27004</v>
      </c>
      <c r="C13473" s="2" t="s">
        <v>556</v>
      </c>
      <c r="D13473" s="2" t="s">
        <v>75</v>
      </c>
      <c r="E13473" s="2" t="str">
        <f>"9783837662429"</f>
        <v>9783837662429</v>
      </c>
      <c r="F13473" s="2" t="str">
        <f>"9783839462423"</f>
        <v>9783839462423</v>
      </c>
    </row>
    <row r="13474" spans="1:6" s="3" customFormat="1" ht="29.1" customHeight="1" x14ac:dyDescent="0.25">
      <c r="A13474" s="2" t="s">
        <v>27005</v>
      </c>
      <c r="B13474" s="2" t="s">
        <v>27006</v>
      </c>
      <c r="C13474" s="2" t="s">
        <v>556</v>
      </c>
      <c r="D13474" s="2" t="s">
        <v>78</v>
      </c>
      <c r="E13474" s="2" t="str">
        <f>"9783837657128"</f>
        <v>9783837657128</v>
      </c>
      <c r="F13474" s="2" t="str">
        <f>"9783732857128"</f>
        <v>9783732857128</v>
      </c>
    </row>
    <row r="13475" spans="1:6" s="3" customFormat="1" ht="29.1" customHeight="1" x14ac:dyDescent="0.25">
      <c r="A13475" s="2" t="s">
        <v>27007</v>
      </c>
      <c r="B13475" s="2" t="s">
        <v>27008</v>
      </c>
      <c r="C13475" s="2" t="s">
        <v>195</v>
      </c>
      <c r="D13475" s="2" t="s">
        <v>4739</v>
      </c>
      <c r="E13475" s="2" t="str">
        <f>"9783110738629"</f>
        <v>9783110738629</v>
      </c>
      <c r="F13475" s="2" t="str">
        <f>"9783110734119"</f>
        <v>9783110734119</v>
      </c>
    </row>
    <row r="13476" spans="1:6" s="3" customFormat="1" ht="29.1" customHeight="1" x14ac:dyDescent="0.25">
      <c r="A13476" s="2" t="s">
        <v>27009</v>
      </c>
      <c r="B13476" s="2" t="s">
        <v>27010</v>
      </c>
      <c r="C13476" s="2" t="s">
        <v>8040</v>
      </c>
      <c r="D13476" s="2" t="s">
        <v>459</v>
      </c>
      <c r="E13476" s="2" t="str">
        <f>"9781800417137"</f>
        <v>9781800417137</v>
      </c>
      <c r="F13476" s="2" t="str">
        <f>"9781800417168"</f>
        <v>9781800417168</v>
      </c>
    </row>
    <row r="13477" spans="1:6" s="3" customFormat="1" ht="29.1" customHeight="1" x14ac:dyDescent="0.25">
      <c r="A13477" s="2" t="s">
        <v>27011</v>
      </c>
      <c r="B13477" s="2" t="s">
        <v>27012</v>
      </c>
      <c r="C13477" s="2" t="s">
        <v>8040</v>
      </c>
      <c r="D13477" s="2" t="s">
        <v>16084</v>
      </c>
      <c r="E13477" s="2" t="str">
        <f>"9781800411937"</f>
        <v>9781800411937</v>
      </c>
      <c r="F13477" s="2" t="str">
        <f>"9781800411951"</f>
        <v>9781800411951</v>
      </c>
    </row>
    <row r="13478" spans="1:6" s="3" customFormat="1" ht="29.1" customHeight="1" x14ac:dyDescent="0.25">
      <c r="A13478" s="2" t="s">
        <v>27013</v>
      </c>
      <c r="B13478" s="2" t="s">
        <v>27015</v>
      </c>
      <c r="C13478" s="2" t="s">
        <v>746</v>
      </c>
      <c r="D13478" s="2" t="s">
        <v>27014</v>
      </c>
      <c r="E13478" s="2" t="str">
        <f>"9781803274850"</f>
        <v>9781803274850</v>
      </c>
      <c r="F13478" s="2" t="str">
        <f>"9781803274867"</f>
        <v>9781803274867</v>
      </c>
    </row>
    <row r="13479" spans="1:6" s="3" customFormat="1" ht="29.1" customHeight="1" x14ac:dyDescent="0.25">
      <c r="A13479" s="2" t="s">
        <v>27016</v>
      </c>
      <c r="B13479" s="2" t="s">
        <v>27017</v>
      </c>
      <c r="C13479" s="2" t="s">
        <v>746</v>
      </c>
      <c r="D13479" s="2" t="s">
        <v>606</v>
      </c>
      <c r="E13479" s="2" t="str">
        <f>"9781803274812"</f>
        <v>9781803274812</v>
      </c>
      <c r="F13479" s="2" t="str">
        <f>"9781803274829"</f>
        <v>9781803274829</v>
      </c>
    </row>
    <row r="13480" spans="1:6" s="3" customFormat="1" ht="29.1" customHeight="1" x14ac:dyDescent="0.25">
      <c r="A13480" s="2" t="s">
        <v>27018</v>
      </c>
      <c r="B13480" s="2" t="s">
        <v>27019</v>
      </c>
      <c r="C13480" s="2" t="s">
        <v>124</v>
      </c>
      <c r="D13480" s="2" t="s">
        <v>92</v>
      </c>
      <c r="E13480" s="2" t="str">
        <f>"9781032105550"</f>
        <v>9781032105550</v>
      </c>
      <c r="F13480" s="2" t="str">
        <f>"9781000846737"</f>
        <v>9781000846737</v>
      </c>
    </row>
    <row r="13481" spans="1:6" s="3" customFormat="1" ht="29.1" customHeight="1" x14ac:dyDescent="0.25">
      <c r="A13481" s="2" t="s">
        <v>27020</v>
      </c>
      <c r="B13481" s="2" t="s">
        <v>27021</v>
      </c>
      <c r="C13481" s="2" t="s">
        <v>927</v>
      </c>
      <c r="D13481" s="2" t="s">
        <v>8788</v>
      </c>
      <c r="E13481" s="2" t="str">
        <f>"9780472039371"</f>
        <v>9780472039371</v>
      </c>
      <c r="F13481" s="2" t="str">
        <f>"9780472903665"</f>
        <v>9780472903665</v>
      </c>
    </row>
    <row r="13482" spans="1:6" s="3" customFormat="1" ht="29.1" customHeight="1" x14ac:dyDescent="0.25">
      <c r="A13482" s="2" t="s">
        <v>27022</v>
      </c>
      <c r="B13482" s="2" t="s">
        <v>27023</v>
      </c>
      <c r="C13482" s="2" t="s">
        <v>124</v>
      </c>
      <c r="D13482" s="2" t="s">
        <v>183</v>
      </c>
      <c r="E13482" s="2" t="str">
        <f>"9781032384481"</f>
        <v>9781032384481</v>
      </c>
      <c r="F13482" s="2" t="str">
        <f>"9781000920048"</f>
        <v>9781000920048</v>
      </c>
    </row>
    <row r="13483" spans="1:6" s="3" customFormat="1" ht="29.1" customHeight="1" x14ac:dyDescent="0.25">
      <c r="A13483" s="2" t="s">
        <v>27024</v>
      </c>
      <c r="B13483" s="2" t="s">
        <v>27025</v>
      </c>
      <c r="C13483" s="2" t="s">
        <v>124</v>
      </c>
      <c r="D13483" s="2" t="s">
        <v>210</v>
      </c>
      <c r="E13483" s="2" t="str">
        <f>"9781032313450"</f>
        <v>9781032313450</v>
      </c>
      <c r="F13483" s="2" t="str">
        <f>"9781000909340"</f>
        <v>9781000909340</v>
      </c>
    </row>
    <row r="13484" spans="1:6" s="3" customFormat="1" ht="29.1" customHeight="1" x14ac:dyDescent="0.25">
      <c r="A13484" s="2" t="s">
        <v>27026</v>
      </c>
      <c r="B13484" s="2" t="s">
        <v>27027</v>
      </c>
      <c r="C13484" s="2" t="s">
        <v>124</v>
      </c>
      <c r="D13484" s="2" t="s">
        <v>694</v>
      </c>
      <c r="E13484" s="2" t="str">
        <f>"9780367532024"</f>
        <v>9780367532024</v>
      </c>
      <c r="F13484" s="2" t="str">
        <f>"9781000902358"</f>
        <v>9781000902358</v>
      </c>
    </row>
    <row r="13485" spans="1:6" s="3" customFormat="1" ht="29.1" customHeight="1" x14ac:dyDescent="0.25">
      <c r="A13485" s="2" t="s">
        <v>27028</v>
      </c>
      <c r="B13485" s="2" t="s">
        <v>27029</v>
      </c>
      <c r="C13485" s="2" t="s">
        <v>927</v>
      </c>
      <c r="D13485" s="2" t="s">
        <v>81</v>
      </c>
      <c r="E13485" s="2" t="str">
        <f>"9780472056309"</f>
        <v>9780472056309</v>
      </c>
      <c r="F13485" s="2" t="str">
        <f>"9780472903696"</f>
        <v>9780472903696</v>
      </c>
    </row>
    <row r="13486" spans="1:6" s="3" customFormat="1" ht="29.1" customHeight="1" x14ac:dyDescent="0.25">
      <c r="A13486" s="2" t="s">
        <v>27030</v>
      </c>
      <c r="B13486" s="2" t="s">
        <v>27031</v>
      </c>
      <c r="C13486" s="2" t="s">
        <v>316</v>
      </c>
      <c r="D13486" s="2" t="s">
        <v>317</v>
      </c>
      <c r="E13486" s="2" t="str">
        <f>"9783036401676"</f>
        <v>9783036401676</v>
      </c>
      <c r="F13486" s="2" t="str">
        <f>"9783036411675"</f>
        <v>9783036411675</v>
      </c>
    </row>
    <row r="13487" spans="1:6" s="3" customFormat="1" ht="29.1" customHeight="1" x14ac:dyDescent="0.25">
      <c r="A13487" s="2" t="s">
        <v>27032</v>
      </c>
      <c r="B13487" s="2" t="s">
        <v>27033</v>
      </c>
      <c r="C13487" s="2" t="s">
        <v>2129</v>
      </c>
      <c r="D13487" s="2" t="s">
        <v>19208</v>
      </c>
      <c r="E13487" s="2" t="str">
        <f>"9781438495484"</f>
        <v>9781438495484</v>
      </c>
      <c r="F13487" s="2" t="str">
        <f>"9781438495507"</f>
        <v>9781438495507</v>
      </c>
    </row>
    <row r="13488" spans="1:6" s="3" customFormat="1" ht="29.1" customHeight="1" x14ac:dyDescent="0.25">
      <c r="A13488" s="2" t="s">
        <v>27034</v>
      </c>
      <c r="B13488" s="2" t="s">
        <v>27035</v>
      </c>
      <c r="C13488" s="2" t="s">
        <v>2129</v>
      </c>
      <c r="D13488" s="2" t="s">
        <v>10493</v>
      </c>
      <c r="E13488" s="2" t="str">
        <f>"9781438495743"</f>
        <v>9781438495743</v>
      </c>
      <c r="F13488" s="2" t="str">
        <f>"9781438495767"</f>
        <v>9781438495767</v>
      </c>
    </row>
    <row r="13489" spans="1:6" s="3" customFormat="1" ht="29.1" customHeight="1" x14ac:dyDescent="0.25">
      <c r="A13489" s="2" t="s">
        <v>27036</v>
      </c>
      <c r="B13489" s="2" t="s">
        <v>27037</v>
      </c>
      <c r="C13489" s="2" t="s">
        <v>327</v>
      </c>
      <c r="D13489" s="2" t="s">
        <v>6376</v>
      </c>
      <c r="E13489" s="2" t="str">
        <f>"9788383311692"</f>
        <v>9788383311692</v>
      </c>
      <c r="F13489" s="2" t="str">
        <f>"9788383311708"</f>
        <v>9788383311708</v>
      </c>
    </row>
    <row r="13490" spans="1:6" s="3" customFormat="1" ht="29.1" customHeight="1" x14ac:dyDescent="0.25">
      <c r="A13490" s="2" t="s">
        <v>27038</v>
      </c>
      <c r="B13490" s="2" t="s">
        <v>27039</v>
      </c>
      <c r="C13490" s="2" t="s">
        <v>327</v>
      </c>
      <c r="D13490" s="2" t="s">
        <v>4670</v>
      </c>
      <c r="E13490" s="2"/>
      <c r="F13490" s="2" t="str">
        <f>"9788383311647"</f>
        <v>9788383311647</v>
      </c>
    </row>
    <row r="13491" spans="1:6" s="3" customFormat="1" ht="29.1" customHeight="1" x14ac:dyDescent="0.25">
      <c r="A13491" s="2" t="s">
        <v>27040</v>
      </c>
      <c r="B13491" s="2" t="s">
        <v>27041</v>
      </c>
      <c r="C13491" s="2" t="s">
        <v>327</v>
      </c>
      <c r="D13491" s="2" t="s">
        <v>175</v>
      </c>
      <c r="E13491" s="2" t="str">
        <f>"9788383311524"</f>
        <v>9788383311524</v>
      </c>
      <c r="F13491" s="2" t="str">
        <f>"9788383311531"</f>
        <v>9788383311531</v>
      </c>
    </row>
    <row r="13492" spans="1:6" s="3" customFormat="1" ht="29.1" customHeight="1" x14ac:dyDescent="0.25">
      <c r="A13492" s="2" t="s">
        <v>27042</v>
      </c>
      <c r="B13492" s="2" t="s">
        <v>27043</v>
      </c>
      <c r="C13492" s="2" t="s">
        <v>327</v>
      </c>
      <c r="D13492" s="2" t="s">
        <v>2528</v>
      </c>
      <c r="E13492" s="2"/>
      <c r="F13492" s="2" t="str">
        <f>"9788383311159"</f>
        <v>9788383311159</v>
      </c>
    </row>
    <row r="13493" spans="1:6" s="3" customFormat="1" ht="29.1" customHeight="1" x14ac:dyDescent="0.25">
      <c r="A13493" s="2" t="s">
        <v>27044</v>
      </c>
      <c r="B13493" s="2" t="s">
        <v>27045</v>
      </c>
      <c r="C13493" s="2" t="s">
        <v>3169</v>
      </c>
      <c r="D13493" s="2" t="s">
        <v>1712</v>
      </c>
      <c r="E13493" s="2" t="str">
        <f>"9781837650217"</f>
        <v>9781837650217</v>
      </c>
      <c r="F13493" s="2" t="str">
        <f>"9781800108813"</f>
        <v>9781800108813</v>
      </c>
    </row>
    <row r="13494" spans="1:6" s="3" customFormat="1" ht="29.1" customHeight="1" x14ac:dyDescent="0.25">
      <c r="A13494" s="2" t="s">
        <v>27046</v>
      </c>
      <c r="B13494" s="2" t="s">
        <v>27047</v>
      </c>
      <c r="C13494" s="2" t="s">
        <v>3169</v>
      </c>
      <c r="D13494" s="2" t="s">
        <v>3166</v>
      </c>
      <c r="E13494" s="2"/>
      <c r="F13494" s="2" t="str">
        <f>"9781805431305"</f>
        <v>9781805431305</v>
      </c>
    </row>
    <row r="13495" spans="1:6" s="3" customFormat="1" ht="29.1" customHeight="1" x14ac:dyDescent="0.25">
      <c r="A13495" s="2" t="s">
        <v>27048</v>
      </c>
      <c r="B13495" s="2" t="s">
        <v>27049</v>
      </c>
      <c r="C13495" s="2" t="s">
        <v>3169</v>
      </c>
      <c r="D13495" s="2" t="s">
        <v>4429</v>
      </c>
      <c r="E13495" s="2" t="str">
        <f>"9781648250705"</f>
        <v>9781648250705</v>
      </c>
      <c r="F13495" s="2" t="str">
        <f>"9781805431046"</f>
        <v>9781805431046</v>
      </c>
    </row>
    <row r="13496" spans="1:6" s="3" customFormat="1" ht="29.1" customHeight="1" x14ac:dyDescent="0.25">
      <c r="A13496" s="2" t="s">
        <v>27050</v>
      </c>
      <c r="B13496" s="2" t="s">
        <v>27051</v>
      </c>
      <c r="C13496" s="2" t="s">
        <v>124</v>
      </c>
      <c r="D13496" s="2" t="s">
        <v>1560</v>
      </c>
      <c r="E13496" s="2" t="str">
        <f>"9781032211268"</f>
        <v>9781032211268</v>
      </c>
      <c r="F13496" s="2" t="str">
        <f>"9781000936339"</f>
        <v>9781000936339</v>
      </c>
    </row>
    <row r="13497" spans="1:6" s="3" customFormat="1" ht="29.1" customHeight="1" x14ac:dyDescent="0.25">
      <c r="A13497" s="2" t="s">
        <v>27052</v>
      </c>
      <c r="B13497" s="2" t="s">
        <v>27053</v>
      </c>
      <c r="C13497" s="2" t="s">
        <v>327</v>
      </c>
      <c r="D13497" s="2" t="s">
        <v>3105</v>
      </c>
      <c r="E13497" s="2" t="str">
        <f>"9788383311302"</f>
        <v>9788383311302</v>
      </c>
      <c r="F13497" s="2" t="str">
        <f>"9788383311319"</f>
        <v>9788383311319</v>
      </c>
    </row>
    <row r="13498" spans="1:6" s="3" customFormat="1" ht="29.1" customHeight="1" x14ac:dyDescent="0.25">
      <c r="A13498" s="2" t="s">
        <v>27054</v>
      </c>
      <c r="B13498" s="2" t="s">
        <v>27056</v>
      </c>
      <c r="C13498" s="2" t="s">
        <v>327</v>
      </c>
      <c r="D13498" s="2" t="s">
        <v>27055</v>
      </c>
      <c r="E13498" s="2" t="str">
        <f>"9788383311081"</f>
        <v>9788383311081</v>
      </c>
      <c r="F13498" s="2" t="str">
        <f>"9788383311098"</f>
        <v>9788383311098</v>
      </c>
    </row>
    <row r="13499" spans="1:6" s="3" customFormat="1" ht="29.1" customHeight="1" x14ac:dyDescent="0.25">
      <c r="A13499" s="2" t="s">
        <v>27057</v>
      </c>
      <c r="B13499" s="2" t="s">
        <v>27058</v>
      </c>
      <c r="C13499" s="2" t="s">
        <v>8104</v>
      </c>
      <c r="D13499" s="2" t="s">
        <v>636</v>
      </c>
      <c r="E13499" s="2" t="str">
        <f>"9781805391982"</f>
        <v>9781805391982</v>
      </c>
      <c r="F13499" s="2" t="str">
        <f>"9781805392002"</f>
        <v>9781805392002</v>
      </c>
    </row>
    <row r="13500" spans="1:6" s="3" customFormat="1" ht="29.1" customHeight="1" x14ac:dyDescent="0.25">
      <c r="A13500" s="2" t="s">
        <v>27059</v>
      </c>
      <c r="B13500" s="2" t="s">
        <v>27060</v>
      </c>
      <c r="C13500" s="2" t="s">
        <v>8104</v>
      </c>
      <c r="D13500" s="2" t="s">
        <v>636</v>
      </c>
      <c r="E13500" s="2" t="str">
        <f>"9781805391920"</f>
        <v>9781805391920</v>
      </c>
      <c r="F13500" s="2" t="str">
        <f>"9781805391999"</f>
        <v>9781805391999</v>
      </c>
    </row>
    <row r="13501" spans="1:6" s="3" customFormat="1" ht="29.1" customHeight="1" x14ac:dyDescent="0.25">
      <c r="A13501" s="2" t="s">
        <v>27061</v>
      </c>
      <c r="B13501" s="2" t="s">
        <v>27062</v>
      </c>
      <c r="C13501" s="2" t="s">
        <v>248</v>
      </c>
      <c r="D13501" s="2" t="s">
        <v>2752</v>
      </c>
      <c r="E13501" s="2" t="str">
        <f>"9783966650731"</f>
        <v>9783966650731</v>
      </c>
      <c r="F13501" s="2" t="str">
        <f>"9783966659222"</f>
        <v>9783966659222</v>
      </c>
    </row>
    <row r="13502" spans="1:6" s="3" customFormat="1" ht="29.1" customHeight="1" x14ac:dyDescent="0.25">
      <c r="A13502" s="2" t="s">
        <v>27063</v>
      </c>
      <c r="B13502" s="2" t="s">
        <v>27064</v>
      </c>
      <c r="C13502" s="2" t="s">
        <v>927</v>
      </c>
      <c r="D13502" s="2" t="s">
        <v>8788</v>
      </c>
      <c r="E13502" s="2" t="str">
        <f>"9780472056286"</f>
        <v>9780472056286</v>
      </c>
      <c r="F13502" s="2" t="str">
        <f>"9780472903627"</f>
        <v>9780472903627</v>
      </c>
    </row>
    <row r="13503" spans="1:6" s="3" customFormat="1" ht="29.1" customHeight="1" x14ac:dyDescent="0.25">
      <c r="A13503" s="2" t="s">
        <v>27065</v>
      </c>
      <c r="B13503" s="2" t="s">
        <v>27066</v>
      </c>
      <c r="C13503" s="2" t="s">
        <v>927</v>
      </c>
      <c r="D13503" s="2" t="s">
        <v>270</v>
      </c>
      <c r="E13503" s="2" t="str">
        <f>"9780472055906"</f>
        <v>9780472055906</v>
      </c>
      <c r="F13503" s="2" t="str">
        <f>"9780472903221"</f>
        <v>9780472903221</v>
      </c>
    </row>
    <row r="13504" spans="1:6" s="3" customFormat="1" ht="29.1" customHeight="1" x14ac:dyDescent="0.25">
      <c r="A13504" s="2" t="s">
        <v>27067</v>
      </c>
      <c r="B13504" s="2" t="s">
        <v>27068</v>
      </c>
      <c r="C13504" s="2" t="s">
        <v>2133</v>
      </c>
      <c r="D13504" s="2" t="s">
        <v>5930</v>
      </c>
      <c r="E13504" s="2" t="str">
        <f>"9781760465759"</f>
        <v>9781760465759</v>
      </c>
      <c r="F13504" s="2" t="str">
        <f>"9781760465766"</f>
        <v>9781760465766</v>
      </c>
    </row>
    <row r="13505" spans="1:6" s="3" customFormat="1" ht="29.1" customHeight="1" x14ac:dyDescent="0.25">
      <c r="A13505" s="2" t="s">
        <v>27069</v>
      </c>
      <c r="B13505" s="2" t="s">
        <v>27070</v>
      </c>
      <c r="C13505" s="2" t="s">
        <v>2133</v>
      </c>
      <c r="D13505" s="2" t="s">
        <v>3536</v>
      </c>
      <c r="E13505" s="2" t="str">
        <f>"9781760465612"</f>
        <v>9781760465612</v>
      </c>
      <c r="F13505" s="2" t="str">
        <f>"9781760465629"</f>
        <v>9781760465629</v>
      </c>
    </row>
    <row r="13506" spans="1:6" s="3" customFormat="1" ht="29.1" customHeight="1" x14ac:dyDescent="0.25">
      <c r="A13506" s="2" t="s">
        <v>27071</v>
      </c>
      <c r="B13506" s="2" t="s">
        <v>27072</v>
      </c>
      <c r="C13506" s="2" t="s">
        <v>55</v>
      </c>
      <c r="D13506" s="2" t="s">
        <v>215</v>
      </c>
      <c r="E13506" s="2"/>
      <c r="F13506" s="2" t="str">
        <f>"9781526167958"</f>
        <v>9781526167958</v>
      </c>
    </row>
    <row r="13507" spans="1:6" s="3" customFormat="1" ht="29.1" customHeight="1" x14ac:dyDescent="0.25">
      <c r="A13507" s="2" t="s">
        <v>27071</v>
      </c>
      <c r="B13507" s="2" t="s">
        <v>27072</v>
      </c>
      <c r="C13507" s="2" t="s">
        <v>55</v>
      </c>
      <c r="D13507" s="2" t="s">
        <v>215</v>
      </c>
      <c r="E13507" s="2"/>
      <c r="F13507" s="2" t="str">
        <f>"9781526167934"</f>
        <v>9781526167934</v>
      </c>
    </row>
    <row r="13508" spans="1:6" s="3" customFormat="1" ht="29.1" customHeight="1" x14ac:dyDescent="0.25">
      <c r="A13508" s="2" t="s">
        <v>27073</v>
      </c>
      <c r="B13508" s="2" t="s">
        <v>27074</v>
      </c>
      <c r="C13508" s="2" t="s">
        <v>55</v>
      </c>
      <c r="D13508" s="2" t="s">
        <v>1895</v>
      </c>
      <c r="E13508" s="2"/>
      <c r="F13508" s="2" t="str">
        <f>"9781526168955"</f>
        <v>9781526168955</v>
      </c>
    </row>
    <row r="13509" spans="1:6" s="3" customFormat="1" ht="29.1" customHeight="1" x14ac:dyDescent="0.25">
      <c r="A13509" s="2" t="s">
        <v>27073</v>
      </c>
      <c r="B13509" s="2" t="s">
        <v>27074</v>
      </c>
      <c r="C13509" s="2" t="s">
        <v>55</v>
      </c>
      <c r="D13509" s="2" t="s">
        <v>1895</v>
      </c>
      <c r="E13509" s="2"/>
      <c r="F13509" s="2"/>
    </row>
    <row r="13510" spans="1:6" s="3" customFormat="1" ht="29.1" customHeight="1" x14ac:dyDescent="0.25">
      <c r="A13510" s="2" t="s">
        <v>27075</v>
      </c>
      <c r="B13510" s="2" t="s">
        <v>27076</v>
      </c>
      <c r="C13510" s="2" t="s">
        <v>746</v>
      </c>
      <c r="D13510" s="2" t="s">
        <v>4185</v>
      </c>
      <c r="E13510" s="2" t="str">
        <f>"9781803274652"</f>
        <v>9781803274652</v>
      </c>
      <c r="F13510" s="2" t="str">
        <f>"9781803274669"</f>
        <v>9781803274669</v>
      </c>
    </row>
    <row r="13511" spans="1:6" s="3" customFormat="1" ht="29.1" customHeight="1" x14ac:dyDescent="0.25">
      <c r="A13511" s="2" t="s">
        <v>27077</v>
      </c>
      <c r="B13511" s="2" t="s">
        <v>27078</v>
      </c>
      <c r="C13511" s="2" t="s">
        <v>3169</v>
      </c>
      <c r="D13511" s="2" t="s">
        <v>2587</v>
      </c>
      <c r="E13511" s="2"/>
      <c r="F13511" s="2" t="str">
        <f>"9781800106642"</f>
        <v>9781800106642</v>
      </c>
    </row>
    <row r="13512" spans="1:6" s="3" customFormat="1" ht="29.1" customHeight="1" x14ac:dyDescent="0.25">
      <c r="A13512" s="2" t="s">
        <v>27079</v>
      </c>
      <c r="B13512" s="2" t="s">
        <v>27080</v>
      </c>
      <c r="C13512" s="2" t="s">
        <v>3169</v>
      </c>
      <c r="D13512" s="2" t="s">
        <v>7121</v>
      </c>
      <c r="E13512" s="2"/>
      <c r="F13512" s="2" t="str">
        <f>"9781805430681"</f>
        <v>9781805430681</v>
      </c>
    </row>
    <row r="13513" spans="1:6" s="3" customFormat="1" ht="29.1" customHeight="1" x14ac:dyDescent="0.25">
      <c r="A13513" s="2" t="s">
        <v>27081</v>
      </c>
      <c r="B13513" s="2" t="s">
        <v>27082</v>
      </c>
      <c r="C13513" s="2" t="s">
        <v>124</v>
      </c>
      <c r="D13513" s="2" t="s">
        <v>2462</v>
      </c>
      <c r="E13513" s="2" t="str">
        <f>"9781032388793"</f>
        <v>9781032388793</v>
      </c>
      <c r="F13513" s="2" t="str">
        <f>"9781000910186"</f>
        <v>9781000910186</v>
      </c>
    </row>
    <row r="13514" spans="1:6" s="3" customFormat="1" ht="29.1" customHeight="1" x14ac:dyDescent="0.25">
      <c r="A13514" s="2" t="s">
        <v>27083</v>
      </c>
      <c r="B13514" s="2" t="s">
        <v>27084</v>
      </c>
      <c r="C13514" s="2" t="s">
        <v>124</v>
      </c>
      <c r="D13514" s="2" t="s">
        <v>2877</v>
      </c>
      <c r="E13514" s="2" t="str">
        <f>"9781032203904"</f>
        <v>9781032203904</v>
      </c>
      <c r="F13514" s="2" t="str">
        <f>"9781000904161"</f>
        <v>9781000904161</v>
      </c>
    </row>
    <row r="13515" spans="1:6" s="3" customFormat="1" ht="29.1" customHeight="1" x14ac:dyDescent="0.25">
      <c r="A13515" s="2" t="s">
        <v>27085</v>
      </c>
      <c r="B13515" s="2" t="s">
        <v>27086</v>
      </c>
      <c r="C13515" s="2" t="s">
        <v>124</v>
      </c>
      <c r="D13515" s="2" t="s">
        <v>6559</v>
      </c>
      <c r="E13515" s="2" t="str">
        <f>"9781032271538"</f>
        <v>9781032271538</v>
      </c>
      <c r="F13515" s="2" t="str">
        <f>"9781000904796"</f>
        <v>9781000904796</v>
      </c>
    </row>
    <row r="13516" spans="1:6" s="3" customFormat="1" ht="29.1" customHeight="1" x14ac:dyDescent="0.25">
      <c r="A13516" s="2" t="s">
        <v>27087</v>
      </c>
      <c r="B13516" s="2" t="s">
        <v>27088</v>
      </c>
      <c r="C13516" s="2" t="s">
        <v>124</v>
      </c>
      <c r="D13516" s="2" t="s">
        <v>210</v>
      </c>
      <c r="E13516" s="2" t="str">
        <f>"9781032325842"</f>
        <v>9781032325842</v>
      </c>
      <c r="F13516" s="2" t="str">
        <f>"9781000893335"</f>
        <v>9781000893335</v>
      </c>
    </row>
    <row r="13517" spans="1:6" s="3" customFormat="1" ht="29.1" customHeight="1" x14ac:dyDescent="0.25">
      <c r="A13517" s="2" t="s">
        <v>27089</v>
      </c>
      <c r="B13517" s="2" t="s">
        <v>27090</v>
      </c>
      <c r="C13517" s="2" t="s">
        <v>124</v>
      </c>
      <c r="D13517" s="2" t="s">
        <v>4783</v>
      </c>
      <c r="E13517" s="2" t="str">
        <f>"9781032524146"</f>
        <v>9781032524146</v>
      </c>
      <c r="F13517" s="2" t="str">
        <f>"9781000926361"</f>
        <v>9781000926361</v>
      </c>
    </row>
    <row r="13518" spans="1:6" s="3" customFormat="1" ht="29.1" customHeight="1" x14ac:dyDescent="0.25">
      <c r="A13518" s="2" t="s">
        <v>27091</v>
      </c>
      <c r="B13518" s="2" t="s">
        <v>27092</v>
      </c>
      <c r="C13518" s="2" t="s">
        <v>124</v>
      </c>
      <c r="D13518" s="2" t="s">
        <v>1449</v>
      </c>
      <c r="E13518" s="2" t="str">
        <f>"9781032387017"</f>
        <v>9781032387017</v>
      </c>
      <c r="F13518" s="2" t="str">
        <f>"9781000915068"</f>
        <v>9781000915068</v>
      </c>
    </row>
    <row r="13519" spans="1:6" s="3" customFormat="1" ht="29.1" customHeight="1" x14ac:dyDescent="0.25">
      <c r="A13519" s="2" t="s">
        <v>27093</v>
      </c>
      <c r="B13519" s="2" t="s">
        <v>27094</v>
      </c>
      <c r="C13519" s="2" t="s">
        <v>124</v>
      </c>
      <c r="D13519" s="2" t="s">
        <v>818</v>
      </c>
      <c r="E13519" s="2" t="str">
        <f>"9781032504513"</f>
        <v>9781032504513</v>
      </c>
      <c r="F13519" s="2" t="str">
        <f>"9781000182408"</f>
        <v>9781000182408</v>
      </c>
    </row>
    <row r="13520" spans="1:6" s="3" customFormat="1" ht="29.1" customHeight="1" x14ac:dyDescent="0.25">
      <c r="A13520" s="2" t="s">
        <v>27095</v>
      </c>
      <c r="B13520" s="2" t="s">
        <v>27096</v>
      </c>
      <c r="C13520" s="2" t="s">
        <v>927</v>
      </c>
      <c r="D13520" s="2" t="s">
        <v>270</v>
      </c>
      <c r="E13520" s="2" t="str">
        <f>"9780472056019"</f>
        <v>9780472056019</v>
      </c>
      <c r="F13520" s="2" t="str">
        <f>"9780472903351"</f>
        <v>9780472903351</v>
      </c>
    </row>
    <row r="13521" spans="1:6" s="3" customFormat="1" ht="29.1" customHeight="1" x14ac:dyDescent="0.25">
      <c r="A13521" s="2" t="s">
        <v>27097</v>
      </c>
      <c r="B13521" s="2" t="s">
        <v>27098</v>
      </c>
      <c r="C13521" s="2" t="s">
        <v>124</v>
      </c>
      <c r="D13521" s="2" t="s">
        <v>8413</v>
      </c>
      <c r="E13521" s="2" t="str">
        <f>"9781032494609"</f>
        <v>9781032494609</v>
      </c>
      <c r="F13521" s="2" t="str">
        <f>"9781000911992"</f>
        <v>9781000911992</v>
      </c>
    </row>
    <row r="13522" spans="1:6" s="3" customFormat="1" ht="29.1" customHeight="1" x14ac:dyDescent="0.25">
      <c r="A13522" s="2" t="s">
        <v>27099</v>
      </c>
      <c r="B13522" s="2" t="s">
        <v>27100</v>
      </c>
      <c r="C13522" s="2" t="s">
        <v>124</v>
      </c>
      <c r="D13522" s="2" t="s">
        <v>86</v>
      </c>
      <c r="E13522" s="2" t="str">
        <f>"9781032444420"</f>
        <v>9781032444420</v>
      </c>
      <c r="F13522" s="2" t="str">
        <f>"9781000903553"</f>
        <v>9781000903553</v>
      </c>
    </row>
    <row r="13523" spans="1:6" s="3" customFormat="1" ht="29.1" customHeight="1" x14ac:dyDescent="0.25">
      <c r="A13523" s="2" t="s">
        <v>27101</v>
      </c>
      <c r="B13523" s="2" t="s">
        <v>27102</v>
      </c>
      <c r="C13523" s="2" t="s">
        <v>595</v>
      </c>
      <c r="D13523" s="2" t="s">
        <v>3889</v>
      </c>
      <c r="E13523" s="2" t="str">
        <f>"9781636670874"</f>
        <v>9781636670874</v>
      </c>
      <c r="F13523" s="2" t="str">
        <f>"9781636670850"</f>
        <v>9781636670850</v>
      </c>
    </row>
    <row r="13524" spans="1:6" s="3" customFormat="1" ht="29.1" customHeight="1" x14ac:dyDescent="0.25">
      <c r="A13524" s="2" t="s">
        <v>27103</v>
      </c>
      <c r="B13524" s="2" t="s">
        <v>27104</v>
      </c>
      <c r="C13524" s="2" t="s">
        <v>2133</v>
      </c>
      <c r="D13524" s="2" t="s">
        <v>4670</v>
      </c>
      <c r="E13524" s="2" t="str">
        <f>"9781760465650"</f>
        <v>9781760465650</v>
      </c>
      <c r="F13524" s="2" t="str">
        <f>"9781760465667"</f>
        <v>9781760465667</v>
      </c>
    </row>
    <row r="13525" spans="1:6" s="3" customFormat="1" ht="29.1" customHeight="1" x14ac:dyDescent="0.25">
      <c r="A13525" s="2" t="s">
        <v>27105</v>
      </c>
      <c r="B13525" s="2" t="s">
        <v>17895</v>
      </c>
      <c r="C13525" s="2" t="s">
        <v>124</v>
      </c>
      <c r="D13525" s="2" t="s">
        <v>1840</v>
      </c>
      <c r="E13525" s="2" t="str">
        <f>"9781032487588"</f>
        <v>9781032487588</v>
      </c>
      <c r="F13525" s="2" t="str">
        <f>"9781000929775"</f>
        <v>9781000929775</v>
      </c>
    </row>
    <row r="13526" spans="1:6" s="3" customFormat="1" ht="29.1" customHeight="1" x14ac:dyDescent="0.25">
      <c r="A13526" s="2" t="s">
        <v>27106</v>
      </c>
      <c r="B13526" s="2" t="s">
        <v>27107</v>
      </c>
      <c r="C13526" s="2" t="s">
        <v>124</v>
      </c>
      <c r="D13526" s="2" t="s">
        <v>339</v>
      </c>
      <c r="E13526" s="2" t="str">
        <f>"9781032221342"</f>
        <v>9781032221342</v>
      </c>
      <c r="F13526" s="2" t="str">
        <f>"9781000903195"</f>
        <v>9781000903195</v>
      </c>
    </row>
    <row r="13527" spans="1:6" s="3" customFormat="1" ht="29.1" customHeight="1" x14ac:dyDescent="0.25">
      <c r="A13527" s="2" t="s">
        <v>27108</v>
      </c>
      <c r="B13527" s="2" t="s">
        <v>27109</v>
      </c>
      <c r="C13527" s="2" t="s">
        <v>927</v>
      </c>
      <c r="D13527" s="2" t="s">
        <v>2208</v>
      </c>
      <c r="E13527" s="2" t="str">
        <f>"9780472056323"</f>
        <v>9780472056323</v>
      </c>
      <c r="F13527" s="2" t="str">
        <f>"9780472903702"</f>
        <v>9780472903702</v>
      </c>
    </row>
    <row r="13528" spans="1:6" s="3" customFormat="1" ht="29.1" customHeight="1" x14ac:dyDescent="0.25">
      <c r="A13528" s="2" t="s">
        <v>27110</v>
      </c>
      <c r="B13528" s="2" t="s">
        <v>27111</v>
      </c>
      <c r="C13528" s="2" t="s">
        <v>595</v>
      </c>
      <c r="D13528" s="2" t="s">
        <v>3149</v>
      </c>
      <c r="E13528" s="2" t="str">
        <f>"9783631900024"</f>
        <v>9783631900024</v>
      </c>
      <c r="F13528" s="2" t="str">
        <f>"9783631901984"</f>
        <v>9783631901984</v>
      </c>
    </row>
    <row r="13529" spans="1:6" s="3" customFormat="1" ht="29.1" customHeight="1" x14ac:dyDescent="0.25">
      <c r="A13529" s="2" t="s">
        <v>27112</v>
      </c>
      <c r="B13529" s="2" t="s">
        <v>27113</v>
      </c>
      <c r="C13529" s="2" t="s">
        <v>124</v>
      </c>
      <c r="D13529" s="2" t="s">
        <v>528</v>
      </c>
      <c r="E13529" s="2" t="str">
        <f>"9781032138053"</f>
        <v>9781032138053</v>
      </c>
      <c r="F13529" s="2" t="str">
        <f>"9781000921847"</f>
        <v>9781000921847</v>
      </c>
    </row>
    <row r="13530" spans="1:6" s="3" customFormat="1" ht="29.1" customHeight="1" x14ac:dyDescent="0.25">
      <c r="A13530" s="2" t="s">
        <v>27114</v>
      </c>
      <c r="B13530" s="2" t="s">
        <v>27115</v>
      </c>
      <c r="C13530" s="2" t="s">
        <v>8059</v>
      </c>
      <c r="D13530" s="2" t="s">
        <v>17571</v>
      </c>
      <c r="E13530" s="2" t="str">
        <f>"9781776438846"</f>
        <v>9781776438846</v>
      </c>
      <c r="F13530" s="2" t="str">
        <f>"9781776438853"</f>
        <v>9781776438853</v>
      </c>
    </row>
    <row r="13531" spans="1:6" s="3" customFormat="1" ht="29.1" customHeight="1" x14ac:dyDescent="0.25">
      <c r="A13531" s="2" t="s">
        <v>27116</v>
      </c>
      <c r="B13531" s="2" t="s">
        <v>27117</v>
      </c>
      <c r="C13531" s="2" t="s">
        <v>8059</v>
      </c>
      <c r="D13531" s="2" t="s">
        <v>4190</v>
      </c>
      <c r="E13531" s="2" t="str">
        <f>"9781776434183"</f>
        <v>9781776434183</v>
      </c>
      <c r="F13531" s="2" t="str">
        <f>"9781776434190"</f>
        <v>9781776434190</v>
      </c>
    </row>
    <row r="13532" spans="1:6" s="3" customFormat="1" ht="29.1" customHeight="1" x14ac:dyDescent="0.25">
      <c r="A13532" s="2" t="s">
        <v>27118</v>
      </c>
      <c r="B13532" s="2" t="s">
        <v>27119</v>
      </c>
      <c r="C13532" s="2" t="s">
        <v>8059</v>
      </c>
      <c r="D13532" s="2" t="s">
        <v>11897</v>
      </c>
      <c r="E13532" s="2" t="str">
        <f>"9781776438808"</f>
        <v>9781776438808</v>
      </c>
      <c r="F13532" s="2" t="str">
        <f>"9781776438815"</f>
        <v>9781776438815</v>
      </c>
    </row>
    <row r="13533" spans="1:6" s="3" customFormat="1" ht="29.1" customHeight="1" x14ac:dyDescent="0.25">
      <c r="A13533" s="2" t="s">
        <v>27120</v>
      </c>
      <c r="B13533" s="2" t="s">
        <v>27121</v>
      </c>
      <c r="C13533" s="2" t="s">
        <v>927</v>
      </c>
      <c r="D13533" s="2" t="s">
        <v>270</v>
      </c>
      <c r="E13533" s="2" t="str">
        <f>"9780472056033"</f>
        <v>9780472056033</v>
      </c>
      <c r="F13533" s="2" t="str">
        <f>"9780472903375"</f>
        <v>9780472903375</v>
      </c>
    </row>
    <row r="13534" spans="1:6" s="3" customFormat="1" ht="29.1" customHeight="1" x14ac:dyDescent="0.25">
      <c r="A13534" s="2" t="s">
        <v>27122</v>
      </c>
      <c r="B13534" s="2" t="s">
        <v>27123</v>
      </c>
      <c r="C13534" s="2" t="s">
        <v>927</v>
      </c>
      <c r="D13534" s="2" t="s">
        <v>270</v>
      </c>
      <c r="E13534" s="2" t="str">
        <f>"9780472056132"</f>
        <v>9780472056132</v>
      </c>
      <c r="F13534" s="2" t="str">
        <f>"9780472903481"</f>
        <v>9780472903481</v>
      </c>
    </row>
    <row r="13535" spans="1:6" s="3" customFormat="1" ht="29.1" customHeight="1" x14ac:dyDescent="0.25">
      <c r="A13535" s="2" t="s">
        <v>27124</v>
      </c>
      <c r="B13535" s="2" t="s">
        <v>27125</v>
      </c>
      <c r="C13535" s="2" t="s">
        <v>124</v>
      </c>
      <c r="D13535" s="2" t="s">
        <v>6128</v>
      </c>
      <c r="E13535" s="2" t="str">
        <f>"9781032450711"</f>
        <v>9781032450711</v>
      </c>
      <c r="F13535" s="2" t="str">
        <f>"9781000912777"</f>
        <v>9781000912777</v>
      </c>
    </row>
    <row r="13536" spans="1:6" s="3" customFormat="1" ht="29.1" customHeight="1" x14ac:dyDescent="0.25">
      <c r="A13536" s="2" t="s">
        <v>27126</v>
      </c>
      <c r="B13536" s="2" t="s">
        <v>27127</v>
      </c>
      <c r="C13536" s="2" t="s">
        <v>124</v>
      </c>
      <c r="D13536" s="2" t="s">
        <v>7079</v>
      </c>
      <c r="E13536" s="2" t="str">
        <f>"9781032358758"</f>
        <v>9781032358758</v>
      </c>
      <c r="F13536" s="2" t="str">
        <f>"9781000889222"</f>
        <v>9781000889222</v>
      </c>
    </row>
    <row r="13537" spans="1:6" s="3" customFormat="1" ht="29.1" customHeight="1" x14ac:dyDescent="0.25">
      <c r="A13537" s="2" t="s">
        <v>27128</v>
      </c>
      <c r="B13537" s="2" t="s">
        <v>27129</v>
      </c>
      <c r="C13537" s="2" t="s">
        <v>2133</v>
      </c>
      <c r="D13537" s="2" t="s">
        <v>3963</v>
      </c>
      <c r="E13537" s="2" t="str">
        <f>"9781760465636"</f>
        <v>9781760465636</v>
      </c>
      <c r="F13537" s="2" t="str">
        <f>"9781760465643"</f>
        <v>9781760465643</v>
      </c>
    </row>
    <row r="13538" spans="1:6" s="3" customFormat="1" ht="29.1" customHeight="1" x14ac:dyDescent="0.25">
      <c r="A13538" s="2" t="s">
        <v>27130</v>
      </c>
      <c r="B13538" s="2" t="s">
        <v>27131</v>
      </c>
      <c r="C13538" s="2" t="s">
        <v>264</v>
      </c>
      <c r="D13538" s="2" t="s">
        <v>373</v>
      </c>
      <c r="E13538" s="2" t="str">
        <f>"9781032440255"</f>
        <v>9781032440255</v>
      </c>
      <c r="F13538" s="2" t="str">
        <f>"9781000929591"</f>
        <v>9781000929591</v>
      </c>
    </row>
    <row r="13539" spans="1:6" s="3" customFormat="1" ht="29.1" customHeight="1" x14ac:dyDescent="0.25">
      <c r="A13539" s="2" t="s">
        <v>27132</v>
      </c>
      <c r="B13539" s="2" t="s">
        <v>27133</v>
      </c>
      <c r="C13539" s="2" t="s">
        <v>124</v>
      </c>
      <c r="D13539" s="2" t="s">
        <v>2019</v>
      </c>
      <c r="E13539" s="2" t="str">
        <f>"9789462980914"</f>
        <v>9789462980914</v>
      </c>
      <c r="F13539" s="2" t="str">
        <f>"9781040777800"</f>
        <v>9781040777800</v>
      </c>
    </row>
    <row r="13540" spans="1:6" s="3" customFormat="1" ht="29.1" customHeight="1" x14ac:dyDescent="0.25">
      <c r="A13540" s="2" t="s">
        <v>27134</v>
      </c>
      <c r="B13540" s="2" t="s">
        <v>27135</v>
      </c>
      <c r="C13540" s="2" t="s">
        <v>124</v>
      </c>
      <c r="D13540" s="2" t="s">
        <v>3966</v>
      </c>
      <c r="E13540" s="2" t="str">
        <f>"9781032446226"</f>
        <v>9781032446226</v>
      </c>
      <c r="F13540" s="2" t="str">
        <f>"9781000897111"</f>
        <v>9781000897111</v>
      </c>
    </row>
    <row r="13541" spans="1:6" s="3" customFormat="1" ht="29.1" customHeight="1" x14ac:dyDescent="0.25">
      <c r="A13541" s="2" t="s">
        <v>27136</v>
      </c>
      <c r="B13541" s="2" t="s">
        <v>27137</v>
      </c>
      <c r="C13541" s="2" t="s">
        <v>36</v>
      </c>
      <c r="D13541" s="2" t="s">
        <v>249</v>
      </c>
      <c r="E13541" s="2" t="str">
        <f>"9781447364801"</f>
        <v>9781447364801</v>
      </c>
      <c r="F13541" s="2" t="str">
        <f>"9781447364825"</f>
        <v>9781447364825</v>
      </c>
    </row>
    <row r="13542" spans="1:6" s="3" customFormat="1" ht="29.1" customHeight="1" x14ac:dyDescent="0.25">
      <c r="A13542" s="2" t="s">
        <v>27138</v>
      </c>
      <c r="B13542" s="2" t="s">
        <v>27139</v>
      </c>
      <c r="C13542" s="2" t="s">
        <v>36</v>
      </c>
      <c r="D13542" s="2" t="s">
        <v>791</v>
      </c>
      <c r="E13542" s="2" t="str">
        <f>"9781529224801"</f>
        <v>9781529224801</v>
      </c>
      <c r="F13542" s="2" t="str">
        <f>"9781529224832"</f>
        <v>9781529224832</v>
      </c>
    </row>
    <row r="13543" spans="1:6" s="3" customFormat="1" ht="29.1" customHeight="1" x14ac:dyDescent="0.25">
      <c r="A13543" s="2" t="s">
        <v>27140</v>
      </c>
      <c r="B13543" s="2" t="s">
        <v>27141</v>
      </c>
      <c r="C13543" s="2" t="s">
        <v>62</v>
      </c>
      <c r="D13543" s="2" t="s">
        <v>522</v>
      </c>
      <c r="E13543" s="2" t="str">
        <f>"9783428187027"</f>
        <v>9783428187027</v>
      </c>
      <c r="F13543" s="2" t="str">
        <f>"9783428587025"</f>
        <v>9783428587025</v>
      </c>
    </row>
    <row r="13544" spans="1:6" s="3" customFormat="1" ht="29.1" customHeight="1" x14ac:dyDescent="0.25">
      <c r="A13544" s="2" t="s">
        <v>27142</v>
      </c>
      <c r="B13544" s="2" t="s">
        <v>27143</v>
      </c>
      <c r="C13544" s="2" t="s">
        <v>124</v>
      </c>
      <c r="D13544" s="2" t="s">
        <v>2433</v>
      </c>
      <c r="E13544" s="2" t="str">
        <f>"9781032018522"</f>
        <v>9781032018522</v>
      </c>
      <c r="F13544" s="2" t="str">
        <f>"9781000902365"</f>
        <v>9781000902365</v>
      </c>
    </row>
    <row r="13545" spans="1:6" s="3" customFormat="1" ht="29.1" customHeight="1" x14ac:dyDescent="0.25">
      <c r="A13545" s="2" t="s">
        <v>27144</v>
      </c>
      <c r="B13545" s="2" t="s">
        <v>27145</v>
      </c>
      <c r="C13545" s="2" t="s">
        <v>124</v>
      </c>
      <c r="D13545" s="2" t="s">
        <v>981</v>
      </c>
      <c r="E13545" s="2" t="str">
        <f>"9781032262758"</f>
        <v>9781032262758</v>
      </c>
      <c r="F13545" s="2" t="str">
        <f>"9781000897432"</f>
        <v>9781000897432</v>
      </c>
    </row>
    <row r="13546" spans="1:6" s="3" customFormat="1" ht="29.1" customHeight="1" x14ac:dyDescent="0.25">
      <c r="A13546" s="2" t="s">
        <v>27146</v>
      </c>
      <c r="B13546" s="2" t="s">
        <v>27147</v>
      </c>
      <c r="C13546" s="2" t="s">
        <v>124</v>
      </c>
      <c r="D13546" s="2" t="s">
        <v>75</v>
      </c>
      <c r="E13546" s="2" t="str">
        <f>"9781032151113"</f>
        <v>9781032151113</v>
      </c>
      <c r="F13546" s="2" t="str">
        <f>"9781000907407"</f>
        <v>9781000907407</v>
      </c>
    </row>
    <row r="13547" spans="1:6" s="3" customFormat="1" ht="29.1" customHeight="1" x14ac:dyDescent="0.25">
      <c r="A13547" s="2" t="s">
        <v>27148</v>
      </c>
      <c r="B13547" s="2" t="s">
        <v>27149</v>
      </c>
      <c r="C13547" s="2" t="s">
        <v>746</v>
      </c>
      <c r="D13547" s="2" t="s">
        <v>606</v>
      </c>
      <c r="E13547" s="2" t="str">
        <f>"9781803274263"</f>
        <v>9781803274263</v>
      </c>
      <c r="F13547" s="2" t="str">
        <f>"9781803274270"</f>
        <v>9781803274270</v>
      </c>
    </row>
    <row r="13548" spans="1:6" s="3" customFormat="1" ht="29.1" customHeight="1" x14ac:dyDescent="0.25">
      <c r="A13548" s="2" t="s">
        <v>27150</v>
      </c>
      <c r="B13548" s="2" t="s">
        <v>27151</v>
      </c>
      <c r="C13548" s="2" t="s">
        <v>124</v>
      </c>
      <c r="D13548" s="2" t="s">
        <v>159</v>
      </c>
      <c r="E13548" s="2" t="str">
        <f>"9781032445120"</f>
        <v>9781032445120</v>
      </c>
      <c r="F13548" s="2" t="str">
        <f>"9781000926576"</f>
        <v>9781000926576</v>
      </c>
    </row>
    <row r="13549" spans="1:6" s="3" customFormat="1" ht="29.1" customHeight="1" x14ac:dyDescent="0.25">
      <c r="A13549" s="2" t="s">
        <v>27152</v>
      </c>
      <c r="B13549" s="2" t="s">
        <v>27153</v>
      </c>
      <c r="C13549" s="2" t="s">
        <v>124</v>
      </c>
      <c r="D13549" s="2" t="s">
        <v>8433</v>
      </c>
      <c r="E13549" s="2" t="str">
        <f>"9780367467258"</f>
        <v>9780367467258</v>
      </c>
      <c r="F13549" s="2" t="str">
        <f>"9781000892741"</f>
        <v>9781000892741</v>
      </c>
    </row>
    <row r="13550" spans="1:6" s="3" customFormat="1" ht="29.1" customHeight="1" x14ac:dyDescent="0.25">
      <c r="A13550" s="2" t="s">
        <v>27154</v>
      </c>
      <c r="B13550" s="2" t="s">
        <v>27155</v>
      </c>
      <c r="C13550" s="2" t="s">
        <v>124</v>
      </c>
      <c r="D13550" s="2" t="s">
        <v>2587</v>
      </c>
      <c r="E13550" s="2" t="str">
        <f>"9780367653101"</f>
        <v>9780367653101</v>
      </c>
      <c r="F13550" s="2" t="str">
        <f>"9781000878851"</f>
        <v>9781000878851</v>
      </c>
    </row>
    <row r="13551" spans="1:6" s="3" customFormat="1" ht="29.1" customHeight="1" x14ac:dyDescent="0.25">
      <c r="A13551" s="2" t="s">
        <v>27156</v>
      </c>
      <c r="B13551" s="2" t="s">
        <v>27157</v>
      </c>
      <c r="C13551" s="2" t="s">
        <v>7395</v>
      </c>
      <c r="D13551" s="2" t="s">
        <v>1177</v>
      </c>
      <c r="E13551" s="2" t="str">
        <f>"9780700607716"</f>
        <v>9780700607716</v>
      </c>
      <c r="F13551" s="2" t="str">
        <f>"9780700634002"</f>
        <v>9780700634002</v>
      </c>
    </row>
    <row r="13552" spans="1:6" s="3" customFormat="1" ht="29.1" customHeight="1" x14ac:dyDescent="0.25">
      <c r="A13552" s="2" t="s">
        <v>27158</v>
      </c>
      <c r="B13552" s="2" t="s">
        <v>27159</v>
      </c>
      <c r="C13552" s="2" t="s">
        <v>7395</v>
      </c>
      <c r="D13552" s="2" t="s">
        <v>339</v>
      </c>
      <c r="E13552" s="2" t="str">
        <f>"9780700606597"</f>
        <v>9780700606597</v>
      </c>
      <c r="F13552" s="2" t="str">
        <f>"9780700630738"</f>
        <v>9780700630738</v>
      </c>
    </row>
    <row r="13553" spans="1:6" s="3" customFormat="1" ht="29.1" customHeight="1" x14ac:dyDescent="0.25">
      <c r="A13553" s="2" t="s">
        <v>27160</v>
      </c>
      <c r="B13553" s="2" t="s">
        <v>27161</v>
      </c>
      <c r="C13553" s="2" t="s">
        <v>556</v>
      </c>
      <c r="D13553" s="2" t="s">
        <v>1557</v>
      </c>
      <c r="E13553" s="2" t="str">
        <f>"9783837668179"</f>
        <v>9783837668179</v>
      </c>
      <c r="F13553" s="2" t="str">
        <f>"9783839468173"</f>
        <v>9783839468173</v>
      </c>
    </row>
    <row r="13554" spans="1:6" s="3" customFormat="1" ht="29.1" customHeight="1" x14ac:dyDescent="0.25">
      <c r="A13554" s="2" t="s">
        <v>27162</v>
      </c>
      <c r="B13554" s="2" t="s">
        <v>27163</v>
      </c>
      <c r="C13554" s="2" t="s">
        <v>556</v>
      </c>
      <c r="D13554" s="2" t="s">
        <v>183</v>
      </c>
      <c r="E13554" s="2" t="str">
        <f>"9783837667707"</f>
        <v>9783837667707</v>
      </c>
      <c r="F13554" s="2" t="str">
        <f>"9783839467701"</f>
        <v>9783839467701</v>
      </c>
    </row>
    <row r="13555" spans="1:6" s="3" customFormat="1" ht="29.1" customHeight="1" x14ac:dyDescent="0.25">
      <c r="A13555" s="2" t="s">
        <v>27164</v>
      </c>
      <c r="B13555" s="2" t="s">
        <v>27165</v>
      </c>
      <c r="C13555" s="2" t="s">
        <v>556</v>
      </c>
      <c r="D13555" s="2" t="s">
        <v>509</v>
      </c>
      <c r="E13555" s="2" t="str">
        <f>"9783837667240"</f>
        <v>9783837667240</v>
      </c>
      <c r="F13555" s="2" t="str">
        <f>"9783839467244"</f>
        <v>9783839467244</v>
      </c>
    </row>
    <row r="13556" spans="1:6" s="3" customFormat="1" ht="29.1" customHeight="1" x14ac:dyDescent="0.25">
      <c r="A13556" s="2" t="s">
        <v>27166</v>
      </c>
      <c r="B13556" s="2" t="s">
        <v>27167</v>
      </c>
      <c r="C13556" s="2" t="s">
        <v>556</v>
      </c>
      <c r="D13556" s="2" t="s">
        <v>951</v>
      </c>
      <c r="E13556" s="2" t="str">
        <f>"9783837667134"</f>
        <v>9783837667134</v>
      </c>
      <c r="F13556" s="2" t="str">
        <f>"9783839467138"</f>
        <v>9783839467138</v>
      </c>
    </row>
    <row r="13557" spans="1:6" s="3" customFormat="1" ht="29.1" customHeight="1" x14ac:dyDescent="0.25">
      <c r="A13557" s="2" t="s">
        <v>27168</v>
      </c>
      <c r="B13557" s="2" t="s">
        <v>27169</v>
      </c>
      <c r="C13557" s="2" t="s">
        <v>556</v>
      </c>
      <c r="D13557" s="2" t="s">
        <v>1141</v>
      </c>
      <c r="E13557" s="2" t="str">
        <f>"9783837667035"</f>
        <v>9783837667035</v>
      </c>
      <c r="F13557" s="2" t="str">
        <f>"9783839467039"</f>
        <v>9783839467039</v>
      </c>
    </row>
    <row r="13558" spans="1:6" s="3" customFormat="1" ht="29.1" customHeight="1" x14ac:dyDescent="0.25">
      <c r="A13558" s="2" t="s">
        <v>27170</v>
      </c>
      <c r="B13558" s="2" t="s">
        <v>27171</v>
      </c>
      <c r="C13558" s="2" t="s">
        <v>556</v>
      </c>
      <c r="D13558" s="2" t="s">
        <v>501</v>
      </c>
      <c r="E13558" s="2" t="str">
        <f>"9783837666892"</f>
        <v>9783837666892</v>
      </c>
      <c r="F13558" s="2" t="str">
        <f>"9783732866892"</f>
        <v>9783732866892</v>
      </c>
    </row>
    <row r="13559" spans="1:6" s="3" customFormat="1" ht="29.1" customHeight="1" x14ac:dyDescent="0.25">
      <c r="A13559" s="2" t="s">
        <v>27172</v>
      </c>
      <c r="B13559" s="2" t="s">
        <v>27173</v>
      </c>
      <c r="C13559" s="2" t="s">
        <v>556</v>
      </c>
      <c r="D13559" s="2" t="s">
        <v>1189</v>
      </c>
      <c r="E13559" s="2" t="str">
        <f>"9783837666885"</f>
        <v>9783837666885</v>
      </c>
      <c r="F13559" s="2" t="str">
        <f>"9783839466889"</f>
        <v>9783839466889</v>
      </c>
    </row>
    <row r="13560" spans="1:6" s="3" customFormat="1" ht="29.1" customHeight="1" x14ac:dyDescent="0.25">
      <c r="A13560" s="2" t="s">
        <v>27174</v>
      </c>
      <c r="B13560" s="2" t="s">
        <v>27175</v>
      </c>
      <c r="C13560" s="2" t="s">
        <v>556</v>
      </c>
      <c r="D13560" s="2" t="s">
        <v>712</v>
      </c>
      <c r="E13560" s="2" t="str">
        <f>"9783837666601"</f>
        <v>9783837666601</v>
      </c>
      <c r="F13560" s="2" t="str">
        <f>"9783839466605"</f>
        <v>9783839466605</v>
      </c>
    </row>
    <row r="13561" spans="1:6" s="3" customFormat="1" ht="29.1" customHeight="1" x14ac:dyDescent="0.25">
      <c r="A13561" s="2" t="s">
        <v>27176</v>
      </c>
      <c r="B13561" s="2" t="s">
        <v>27177</v>
      </c>
      <c r="C13561" s="2" t="s">
        <v>556</v>
      </c>
      <c r="D13561" s="2" t="s">
        <v>446</v>
      </c>
      <c r="E13561" s="2" t="str">
        <f>"9783837666519"</f>
        <v>9783837666519</v>
      </c>
      <c r="F13561" s="2" t="str">
        <f>"9783839466513"</f>
        <v>9783839466513</v>
      </c>
    </row>
    <row r="13562" spans="1:6" s="3" customFormat="1" ht="29.1" customHeight="1" x14ac:dyDescent="0.25">
      <c r="A13562" s="2" t="s">
        <v>27178</v>
      </c>
      <c r="B13562" s="2" t="s">
        <v>27179</v>
      </c>
      <c r="C13562" s="2" t="s">
        <v>556</v>
      </c>
      <c r="D13562" s="2" t="s">
        <v>218</v>
      </c>
      <c r="E13562" s="2" t="str">
        <f>"9783837666465"</f>
        <v>9783837666465</v>
      </c>
      <c r="F13562" s="2" t="str">
        <f>"9783839466469"</f>
        <v>9783839466469</v>
      </c>
    </row>
    <row r="13563" spans="1:6" s="3" customFormat="1" ht="29.1" customHeight="1" x14ac:dyDescent="0.25">
      <c r="A13563" s="2" t="s">
        <v>27180</v>
      </c>
      <c r="B13563" s="2" t="s">
        <v>27181</v>
      </c>
      <c r="C13563" s="2" t="s">
        <v>556</v>
      </c>
      <c r="D13563" s="2" t="s">
        <v>402</v>
      </c>
      <c r="E13563" s="2" t="str">
        <f>"9783837666373"</f>
        <v>9783837666373</v>
      </c>
      <c r="F13563" s="2" t="str">
        <f>"9783839466377"</f>
        <v>9783839466377</v>
      </c>
    </row>
    <row r="13564" spans="1:6" s="3" customFormat="1" ht="29.1" customHeight="1" x14ac:dyDescent="0.25">
      <c r="A13564" s="2" t="s">
        <v>27182</v>
      </c>
      <c r="B13564" s="2" t="s">
        <v>27183</v>
      </c>
      <c r="C13564" s="2" t="s">
        <v>556</v>
      </c>
      <c r="D13564" s="2" t="s">
        <v>636</v>
      </c>
      <c r="E13564" s="2" t="str">
        <f>"9783837666007"</f>
        <v>9783837666007</v>
      </c>
      <c r="F13564" s="2" t="str">
        <f>"9783839466001"</f>
        <v>9783839466001</v>
      </c>
    </row>
    <row r="13565" spans="1:6" s="3" customFormat="1" ht="29.1" customHeight="1" x14ac:dyDescent="0.25">
      <c r="A13565" s="2" t="s">
        <v>27184</v>
      </c>
      <c r="B13565" s="2" t="s">
        <v>27185</v>
      </c>
      <c r="C13565" s="2" t="s">
        <v>556</v>
      </c>
      <c r="D13565" s="2" t="s">
        <v>98</v>
      </c>
      <c r="E13565" s="2" t="str">
        <f>"9783837664928"</f>
        <v>9783837664928</v>
      </c>
      <c r="F13565" s="2" t="str">
        <f>"9783839464922"</f>
        <v>9783839464922</v>
      </c>
    </row>
    <row r="13566" spans="1:6" s="3" customFormat="1" ht="29.1" customHeight="1" x14ac:dyDescent="0.25">
      <c r="A13566" s="2" t="s">
        <v>27186</v>
      </c>
      <c r="B13566" s="2" t="s">
        <v>27187</v>
      </c>
      <c r="C13566" s="2" t="s">
        <v>556</v>
      </c>
      <c r="D13566" s="2" t="s">
        <v>78</v>
      </c>
      <c r="E13566" s="2" t="str">
        <f>"9783837662542"</f>
        <v>9783837662542</v>
      </c>
      <c r="F13566" s="2" t="str">
        <f>"9783839462546"</f>
        <v>9783839462546</v>
      </c>
    </row>
    <row r="13567" spans="1:6" s="3" customFormat="1" ht="29.1" customHeight="1" x14ac:dyDescent="0.25">
      <c r="A13567" s="2" t="s">
        <v>27188</v>
      </c>
      <c r="B13567" s="2" t="s">
        <v>27189</v>
      </c>
      <c r="C13567" s="2" t="s">
        <v>556</v>
      </c>
      <c r="D13567" s="2" t="s">
        <v>75</v>
      </c>
      <c r="E13567" s="2" t="str">
        <f>"9783837659153"</f>
        <v>9783837659153</v>
      </c>
      <c r="F13567" s="2" t="str">
        <f>"9783839459157"</f>
        <v>9783839459157</v>
      </c>
    </row>
    <row r="13568" spans="1:6" s="3" customFormat="1" ht="29.1" customHeight="1" x14ac:dyDescent="0.25">
      <c r="A13568" s="2" t="s">
        <v>27190</v>
      </c>
      <c r="B13568" s="2" t="s">
        <v>27191</v>
      </c>
      <c r="C13568" s="2" t="s">
        <v>556</v>
      </c>
      <c r="D13568" s="2" t="s">
        <v>1049</v>
      </c>
      <c r="E13568" s="2" t="str">
        <f>"9783837659092"</f>
        <v>9783837659092</v>
      </c>
      <c r="F13568" s="2" t="str">
        <f>"9783839459096"</f>
        <v>9783839459096</v>
      </c>
    </row>
    <row r="13569" spans="1:6" s="3" customFormat="1" ht="29.1" customHeight="1" x14ac:dyDescent="0.25">
      <c r="A13569" s="2" t="s">
        <v>27192</v>
      </c>
      <c r="B13569" s="2" t="s">
        <v>27193</v>
      </c>
      <c r="C13569" s="2" t="s">
        <v>556</v>
      </c>
      <c r="D13569" s="2" t="s">
        <v>3958</v>
      </c>
      <c r="E13569" s="2" t="str">
        <f>"9783837648034"</f>
        <v>9783837648034</v>
      </c>
      <c r="F13569" s="2" t="str">
        <f>"9783839448038"</f>
        <v>9783839448038</v>
      </c>
    </row>
    <row r="13570" spans="1:6" s="3" customFormat="1" ht="29.1" customHeight="1" x14ac:dyDescent="0.25">
      <c r="A13570" s="2" t="s">
        <v>27194</v>
      </c>
      <c r="B13570" s="2" t="s">
        <v>27195</v>
      </c>
      <c r="C13570" s="2" t="s">
        <v>556</v>
      </c>
      <c r="D13570" s="2" t="s">
        <v>882</v>
      </c>
      <c r="E13570" s="2" t="str">
        <f>"9783837635317"</f>
        <v>9783837635317</v>
      </c>
      <c r="F13570" s="2" t="str">
        <f>"9783732835317"</f>
        <v>9783732835317</v>
      </c>
    </row>
    <row r="13571" spans="1:6" s="3" customFormat="1" ht="29.1" customHeight="1" x14ac:dyDescent="0.25">
      <c r="A13571" s="2" t="s">
        <v>27196</v>
      </c>
      <c r="B13571" s="2" t="s">
        <v>27197</v>
      </c>
      <c r="C13571" s="2" t="s">
        <v>605</v>
      </c>
      <c r="D13571" s="2" t="s">
        <v>606</v>
      </c>
      <c r="E13571" s="2" t="str">
        <f>"9789654067713"</f>
        <v>9789654067713</v>
      </c>
      <c r="F13571" s="2" t="str">
        <f>"9789654067720"</f>
        <v>9789654067720</v>
      </c>
    </row>
    <row r="13572" spans="1:6" s="3" customFormat="1" ht="29.1" customHeight="1" x14ac:dyDescent="0.25">
      <c r="A13572" s="2" t="s">
        <v>27198</v>
      </c>
      <c r="B13572" s="2" t="s">
        <v>27199</v>
      </c>
      <c r="C13572" s="2" t="s">
        <v>2133</v>
      </c>
      <c r="D13572" s="2" t="s">
        <v>1864</v>
      </c>
      <c r="E13572" s="2" t="str">
        <f>"9781760465773"</f>
        <v>9781760465773</v>
      </c>
      <c r="F13572" s="2" t="str">
        <f>"9781760465780"</f>
        <v>9781760465780</v>
      </c>
    </row>
    <row r="13573" spans="1:6" s="3" customFormat="1" ht="29.1" customHeight="1" x14ac:dyDescent="0.25">
      <c r="A13573" s="2" t="s">
        <v>27200</v>
      </c>
      <c r="B13573" s="2" t="s">
        <v>27201</v>
      </c>
      <c r="C13573" s="2" t="s">
        <v>248</v>
      </c>
      <c r="D13573" s="2" t="s">
        <v>249</v>
      </c>
      <c r="E13573" s="2" t="str">
        <f>"9783847426899"</f>
        <v>9783847426899</v>
      </c>
      <c r="F13573" s="2" t="str">
        <f>"9783847418627"</f>
        <v>9783847418627</v>
      </c>
    </row>
    <row r="13574" spans="1:6" s="3" customFormat="1" ht="29.1" customHeight="1" x14ac:dyDescent="0.25">
      <c r="A13574" s="2" t="s">
        <v>27202</v>
      </c>
      <c r="B13574" s="2" t="s">
        <v>27203</v>
      </c>
      <c r="C13574" s="2" t="s">
        <v>927</v>
      </c>
      <c r="D13574" s="2" t="s">
        <v>2208</v>
      </c>
      <c r="E13574" s="2" t="str">
        <f>"9780472056255"</f>
        <v>9780472056255</v>
      </c>
      <c r="F13574" s="2" t="str">
        <f>"9780472903573"</f>
        <v>9780472903573</v>
      </c>
    </row>
    <row r="13575" spans="1:6" s="3" customFormat="1" ht="29.1" customHeight="1" x14ac:dyDescent="0.25">
      <c r="A13575" s="2" t="s">
        <v>27204</v>
      </c>
      <c r="B13575" s="2" t="s">
        <v>27205</v>
      </c>
      <c r="C13575" s="2" t="s">
        <v>264</v>
      </c>
      <c r="D13575" s="2" t="s">
        <v>1717</v>
      </c>
      <c r="E13575" s="2" t="str">
        <f>"9788770228008"</f>
        <v>9788770228008</v>
      </c>
      <c r="F13575" s="2" t="str">
        <f>"9781000891324"</f>
        <v>9781000891324</v>
      </c>
    </row>
    <row r="13576" spans="1:6" s="3" customFormat="1" ht="29.1" customHeight="1" x14ac:dyDescent="0.25">
      <c r="A13576" s="2" t="s">
        <v>27206</v>
      </c>
      <c r="B13576" s="2" t="s">
        <v>27207</v>
      </c>
      <c r="C13576" s="2" t="s">
        <v>927</v>
      </c>
      <c r="D13576" s="2" t="s">
        <v>270</v>
      </c>
      <c r="E13576" s="2" t="str">
        <f>"9780472055999"</f>
        <v>9780472055999</v>
      </c>
      <c r="F13576" s="2" t="str">
        <f>"9780472903320"</f>
        <v>9780472903320</v>
      </c>
    </row>
    <row r="13577" spans="1:6" s="3" customFormat="1" ht="29.1" customHeight="1" x14ac:dyDescent="0.25">
      <c r="A13577" s="2" t="s">
        <v>27208</v>
      </c>
      <c r="B13577" s="2" t="s">
        <v>27209</v>
      </c>
      <c r="C13577" s="2" t="s">
        <v>927</v>
      </c>
      <c r="D13577" s="2" t="s">
        <v>297</v>
      </c>
      <c r="E13577" s="2" t="str">
        <f>"9780472055708"</f>
        <v>9780472055708</v>
      </c>
      <c r="F13577" s="2" t="str">
        <f>"9780472903474"</f>
        <v>9780472903474</v>
      </c>
    </row>
    <row r="13578" spans="1:6" s="3" customFormat="1" ht="29.1" customHeight="1" x14ac:dyDescent="0.25">
      <c r="A13578" s="2" t="s">
        <v>27210</v>
      </c>
      <c r="B13578" s="2" t="s">
        <v>27211</v>
      </c>
      <c r="C13578" s="2" t="s">
        <v>927</v>
      </c>
      <c r="D13578" s="2" t="s">
        <v>270</v>
      </c>
      <c r="E13578" s="2" t="str">
        <f>"9780472055937"</f>
        <v>9780472055937</v>
      </c>
      <c r="F13578" s="2" t="str">
        <f>"9780472903252"</f>
        <v>9780472903252</v>
      </c>
    </row>
    <row r="13579" spans="1:6" s="3" customFormat="1" ht="29.1" customHeight="1" x14ac:dyDescent="0.25">
      <c r="A13579" s="2" t="s">
        <v>27212</v>
      </c>
      <c r="B13579" s="2" t="s">
        <v>27213</v>
      </c>
      <c r="C13579" s="2" t="s">
        <v>927</v>
      </c>
      <c r="D13579" s="2" t="s">
        <v>270</v>
      </c>
      <c r="E13579" s="2" t="str">
        <f>"9780472056156"</f>
        <v>9780472056156</v>
      </c>
      <c r="F13579" s="2" t="str">
        <f>"9780472903498"</f>
        <v>9780472903498</v>
      </c>
    </row>
    <row r="13580" spans="1:6" s="3" customFormat="1" ht="29.1" customHeight="1" x14ac:dyDescent="0.25">
      <c r="A13580" s="2" t="s">
        <v>27214</v>
      </c>
      <c r="B13580" s="2" t="s">
        <v>27215</v>
      </c>
      <c r="C13580" s="2" t="s">
        <v>316</v>
      </c>
      <c r="D13580" s="2" t="s">
        <v>317</v>
      </c>
      <c r="E13580" s="2" t="str">
        <f>"9783036403076"</f>
        <v>9783036403076</v>
      </c>
      <c r="F13580" s="2" t="str">
        <f>"9783036413075"</f>
        <v>9783036413075</v>
      </c>
    </row>
    <row r="13581" spans="1:6" s="3" customFormat="1" ht="29.1" customHeight="1" x14ac:dyDescent="0.25">
      <c r="A13581" s="2" t="s">
        <v>27216</v>
      </c>
      <c r="B13581" s="2" t="s">
        <v>7526</v>
      </c>
      <c r="C13581" s="2" t="s">
        <v>327</v>
      </c>
      <c r="D13581" s="2" t="s">
        <v>10444</v>
      </c>
      <c r="E13581" s="2" t="str">
        <f>"9788383310596"</f>
        <v>9788383310596</v>
      </c>
      <c r="F13581" s="2" t="str">
        <f>"9788383310602"</f>
        <v>9788383310602</v>
      </c>
    </row>
    <row r="13582" spans="1:6" s="3" customFormat="1" ht="29.1" customHeight="1" x14ac:dyDescent="0.25">
      <c r="A13582" s="2" t="s">
        <v>27217</v>
      </c>
      <c r="B13582" s="2" t="s">
        <v>27219</v>
      </c>
      <c r="C13582" s="2" t="s">
        <v>644</v>
      </c>
      <c r="D13582" s="2" t="s">
        <v>27218</v>
      </c>
      <c r="E13582" s="2"/>
      <c r="F13582" s="2" t="str">
        <f>"9781478093794"</f>
        <v>9781478093794</v>
      </c>
    </row>
    <row r="13583" spans="1:6" s="3" customFormat="1" ht="29.1" customHeight="1" x14ac:dyDescent="0.25">
      <c r="A13583" s="2" t="s">
        <v>27220</v>
      </c>
      <c r="B13583" s="2" t="s">
        <v>27221</v>
      </c>
      <c r="C13583" s="2" t="s">
        <v>124</v>
      </c>
      <c r="D13583" s="2" t="s">
        <v>3839</v>
      </c>
      <c r="E13583" s="2" t="str">
        <f>"9781032402772"</f>
        <v>9781032402772</v>
      </c>
      <c r="F13583" s="2" t="str">
        <f>"9781000899214"</f>
        <v>9781000899214</v>
      </c>
    </row>
    <row r="13584" spans="1:6" s="3" customFormat="1" ht="29.1" customHeight="1" x14ac:dyDescent="0.25">
      <c r="A13584" s="2" t="s">
        <v>27222</v>
      </c>
      <c r="B13584" s="2" t="s">
        <v>27223</v>
      </c>
      <c r="C13584" s="2" t="s">
        <v>2133</v>
      </c>
      <c r="D13584" s="2" t="s">
        <v>1697</v>
      </c>
      <c r="E13584" s="2" t="str">
        <f>"9781760465490"</f>
        <v>9781760465490</v>
      </c>
      <c r="F13584" s="2" t="str">
        <f>"9781760465506"</f>
        <v>9781760465506</v>
      </c>
    </row>
    <row r="13585" spans="1:6" s="3" customFormat="1" ht="29.1" customHeight="1" x14ac:dyDescent="0.25">
      <c r="A13585" s="2" t="s">
        <v>27224</v>
      </c>
      <c r="B13585" s="2" t="s">
        <v>27225</v>
      </c>
      <c r="C13585" s="2" t="s">
        <v>62</v>
      </c>
      <c r="D13585" s="2" t="s">
        <v>2153</v>
      </c>
      <c r="E13585" s="2" t="str">
        <f>"9783428188314"</f>
        <v>9783428188314</v>
      </c>
      <c r="F13585" s="2" t="str">
        <f>"9783428588312"</f>
        <v>9783428588312</v>
      </c>
    </row>
    <row r="13586" spans="1:6" s="3" customFormat="1" ht="29.1" customHeight="1" x14ac:dyDescent="0.25">
      <c r="A13586" s="2" t="s">
        <v>27226</v>
      </c>
      <c r="B13586" s="2" t="s">
        <v>27227</v>
      </c>
      <c r="C13586" s="2" t="s">
        <v>2129</v>
      </c>
      <c r="D13586" s="2" t="s">
        <v>25411</v>
      </c>
      <c r="E13586" s="2" t="str">
        <f>"9781438495309"</f>
        <v>9781438495309</v>
      </c>
      <c r="F13586" s="2" t="str">
        <f>"9781438495323"</f>
        <v>9781438495323</v>
      </c>
    </row>
    <row r="13587" spans="1:6" s="3" customFormat="1" ht="29.1" customHeight="1" x14ac:dyDescent="0.25">
      <c r="A13587" s="2" t="s">
        <v>27228</v>
      </c>
      <c r="B13587" s="2" t="s">
        <v>27229</v>
      </c>
      <c r="C13587" s="2" t="s">
        <v>927</v>
      </c>
      <c r="D13587" s="2" t="s">
        <v>297</v>
      </c>
      <c r="E13587" s="2" t="str">
        <f>"9780472055890"</f>
        <v>9780472055890</v>
      </c>
      <c r="F13587" s="2" t="str">
        <f>"9780472903214"</f>
        <v>9780472903214</v>
      </c>
    </row>
    <row r="13588" spans="1:6" s="3" customFormat="1" ht="29.1" customHeight="1" x14ac:dyDescent="0.25">
      <c r="A13588" s="2" t="s">
        <v>27230</v>
      </c>
      <c r="B13588" s="2" t="s">
        <v>27231</v>
      </c>
      <c r="C13588" s="2" t="s">
        <v>124</v>
      </c>
      <c r="D13588" s="2" t="s">
        <v>189</v>
      </c>
      <c r="E13588" s="2" t="str">
        <f>"9781032255798"</f>
        <v>9781032255798</v>
      </c>
      <c r="F13588" s="2" t="str">
        <f>"9781000895896"</f>
        <v>9781000895896</v>
      </c>
    </row>
    <row r="13589" spans="1:6" s="3" customFormat="1" ht="29.1" customHeight="1" x14ac:dyDescent="0.25">
      <c r="A13589" s="2" t="s">
        <v>27232</v>
      </c>
      <c r="B13589" s="2" t="s">
        <v>27233</v>
      </c>
      <c r="C13589" s="2" t="s">
        <v>264</v>
      </c>
      <c r="D13589" s="2" t="s">
        <v>547</v>
      </c>
      <c r="E13589" s="2" t="str">
        <f>"9780367705923"</f>
        <v>9780367705923</v>
      </c>
      <c r="F13589" s="2" t="str">
        <f>"9781000882964"</f>
        <v>9781000882964</v>
      </c>
    </row>
    <row r="13590" spans="1:6" s="3" customFormat="1" ht="29.1" customHeight="1" x14ac:dyDescent="0.25">
      <c r="A13590" s="2" t="s">
        <v>27234</v>
      </c>
      <c r="B13590" s="2" t="s">
        <v>27235</v>
      </c>
      <c r="C13590" s="2" t="s">
        <v>15381</v>
      </c>
      <c r="D13590" s="2" t="s">
        <v>636</v>
      </c>
      <c r="E13590" s="2" t="str">
        <f>"9781469674162"</f>
        <v>9781469674162</v>
      </c>
      <c r="F13590" s="2" t="str">
        <f>"9798890862860"</f>
        <v>9798890862860</v>
      </c>
    </row>
    <row r="13591" spans="1:6" s="3" customFormat="1" ht="29.1" customHeight="1" x14ac:dyDescent="0.25">
      <c r="A13591" s="2" t="s">
        <v>27236</v>
      </c>
      <c r="B13591" s="2" t="s">
        <v>27237</v>
      </c>
      <c r="C13591" s="2" t="s">
        <v>124</v>
      </c>
      <c r="D13591" s="2" t="s">
        <v>1155</v>
      </c>
      <c r="E13591" s="2" t="str">
        <f>"9781032349206"</f>
        <v>9781032349206</v>
      </c>
      <c r="F13591" s="2" t="str">
        <f>"9781000904277"</f>
        <v>9781000904277</v>
      </c>
    </row>
    <row r="13592" spans="1:6" s="3" customFormat="1" ht="29.1" customHeight="1" x14ac:dyDescent="0.25">
      <c r="A13592" s="2" t="s">
        <v>27238</v>
      </c>
      <c r="B13592" s="2" t="s">
        <v>27239</v>
      </c>
      <c r="C13592" s="2" t="s">
        <v>248</v>
      </c>
      <c r="D13592" s="2" t="s">
        <v>2752</v>
      </c>
      <c r="E13592" s="2" t="str">
        <f>"9783847426981"</f>
        <v>9783847426981</v>
      </c>
      <c r="F13592" s="2" t="str">
        <f>"9783847418689"</f>
        <v>9783847418689</v>
      </c>
    </row>
    <row r="13593" spans="1:6" s="3" customFormat="1" ht="29.1" customHeight="1" x14ac:dyDescent="0.25">
      <c r="A13593" s="2" t="s">
        <v>27240</v>
      </c>
      <c r="B13593" s="2" t="s">
        <v>27241</v>
      </c>
      <c r="C13593" s="2" t="s">
        <v>248</v>
      </c>
      <c r="D13593" s="2" t="s">
        <v>1927</v>
      </c>
      <c r="E13593" s="2" t="str">
        <f>"9783847426837"</f>
        <v>9783847426837</v>
      </c>
      <c r="F13593" s="2" t="str">
        <f>"9783847418559"</f>
        <v>9783847418559</v>
      </c>
    </row>
    <row r="13594" spans="1:6" s="3" customFormat="1" ht="29.1" customHeight="1" x14ac:dyDescent="0.25">
      <c r="A13594" s="2" t="s">
        <v>27242</v>
      </c>
      <c r="B13594" s="2" t="s">
        <v>27243</v>
      </c>
      <c r="C13594" s="2" t="s">
        <v>124</v>
      </c>
      <c r="D13594" s="2" t="s">
        <v>270</v>
      </c>
      <c r="E13594" s="2" t="str">
        <f>"9781032322612"</f>
        <v>9781032322612</v>
      </c>
      <c r="F13594" s="2" t="str">
        <f>"9781000904338"</f>
        <v>9781000904338</v>
      </c>
    </row>
    <row r="13595" spans="1:6" s="3" customFormat="1" ht="29.1" customHeight="1" x14ac:dyDescent="0.25">
      <c r="A13595" s="2" t="s">
        <v>27244</v>
      </c>
      <c r="B13595" s="2" t="s">
        <v>27246</v>
      </c>
      <c r="C13595" s="2" t="s">
        <v>55</v>
      </c>
      <c r="D13595" s="2" t="s">
        <v>27245</v>
      </c>
      <c r="E13595" s="2"/>
      <c r="F13595" s="2"/>
    </row>
    <row r="13596" spans="1:6" s="3" customFormat="1" ht="29.1" customHeight="1" x14ac:dyDescent="0.25">
      <c r="A13596" s="2" t="s">
        <v>27244</v>
      </c>
      <c r="B13596" s="2" t="s">
        <v>27246</v>
      </c>
      <c r="C13596" s="2" t="s">
        <v>55</v>
      </c>
      <c r="D13596" s="2" t="s">
        <v>27245</v>
      </c>
      <c r="E13596" s="2"/>
      <c r="F13596" s="2" t="str">
        <f>"9781526165237"</f>
        <v>9781526165237</v>
      </c>
    </row>
    <row r="13597" spans="1:6" s="3" customFormat="1" ht="29.1" customHeight="1" x14ac:dyDescent="0.25">
      <c r="A13597" s="2" t="s">
        <v>27247</v>
      </c>
      <c r="B13597" s="2" t="s">
        <v>27248</v>
      </c>
      <c r="C13597" s="2" t="s">
        <v>927</v>
      </c>
      <c r="D13597" s="2" t="s">
        <v>210</v>
      </c>
      <c r="E13597" s="2" t="str">
        <f>"9780472039319"</f>
        <v>9780472039319</v>
      </c>
      <c r="F13597" s="2" t="str">
        <f>"9780472902668"</f>
        <v>9780472902668</v>
      </c>
    </row>
    <row r="13598" spans="1:6" s="3" customFormat="1" ht="29.1" customHeight="1" x14ac:dyDescent="0.25">
      <c r="A13598" s="2" t="s">
        <v>27249</v>
      </c>
      <c r="B13598" s="2" t="s">
        <v>27250</v>
      </c>
      <c r="C13598" s="2" t="s">
        <v>264</v>
      </c>
      <c r="D13598" s="2" t="s">
        <v>5092</v>
      </c>
      <c r="E13598" s="2"/>
      <c r="F13598" s="2" t="str">
        <f>"9781000957822"</f>
        <v>9781000957822</v>
      </c>
    </row>
    <row r="13599" spans="1:6" s="3" customFormat="1" ht="29.1" customHeight="1" x14ac:dyDescent="0.25">
      <c r="A13599" s="2" t="s">
        <v>27251</v>
      </c>
      <c r="B13599" s="2" t="s">
        <v>7115</v>
      </c>
      <c r="C13599" s="2" t="s">
        <v>124</v>
      </c>
      <c r="D13599" s="2" t="s">
        <v>27252</v>
      </c>
      <c r="E13599" s="2" t="str">
        <f>"9780367760274"</f>
        <v>9780367760274</v>
      </c>
      <c r="F13599" s="2" t="str">
        <f>"9781000884630"</f>
        <v>9781000884630</v>
      </c>
    </row>
    <row r="13600" spans="1:6" s="3" customFormat="1" ht="29.1" customHeight="1" x14ac:dyDescent="0.25">
      <c r="A13600" s="2" t="s">
        <v>27253</v>
      </c>
      <c r="B13600" s="2" t="s">
        <v>27254</v>
      </c>
      <c r="C13600" s="2" t="s">
        <v>124</v>
      </c>
      <c r="D13600" s="2" t="s">
        <v>1809</v>
      </c>
      <c r="E13600" s="2" t="str">
        <f>"9780367650285"</f>
        <v>9780367650285</v>
      </c>
      <c r="F13600" s="2" t="str">
        <f>"9781000855180"</f>
        <v>9781000855180</v>
      </c>
    </row>
    <row r="13601" spans="1:6" s="3" customFormat="1" ht="29.1" customHeight="1" x14ac:dyDescent="0.25">
      <c r="A13601" s="2" t="s">
        <v>27255</v>
      </c>
      <c r="B13601" s="2" t="s">
        <v>27256</v>
      </c>
      <c r="C13601" s="2" t="s">
        <v>124</v>
      </c>
      <c r="D13601" s="2" t="s">
        <v>192</v>
      </c>
      <c r="E13601" s="2" t="str">
        <f>"9781032472638"</f>
        <v>9781032472638</v>
      </c>
      <c r="F13601" s="2" t="str">
        <f>"9781000928051"</f>
        <v>9781000928051</v>
      </c>
    </row>
    <row r="13602" spans="1:6" s="3" customFormat="1" ht="29.1" customHeight="1" x14ac:dyDescent="0.25">
      <c r="A13602" s="2" t="s">
        <v>27257</v>
      </c>
      <c r="B13602" s="2" t="s">
        <v>27258</v>
      </c>
      <c r="C13602" s="2" t="s">
        <v>124</v>
      </c>
      <c r="D13602" s="2" t="s">
        <v>1198</v>
      </c>
      <c r="E13602" s="2" t="str">
        <f>"9781032384719"</f>
        <v>9781032384719</v>
      </c>
      <c r="F13602" s="2" t="str">
        <f>"9781000902228"</f>
        <v>9781000902228</v>
      </c>
    </row>
    <row r="13603" spans="1:6" s="3" customFormat="1" ht="29.1" customHeight="1" x14ac:dyDescent="0.25">
      <c r="A13603" s="2" t="s">
        <v>27259</v>
      </c>
      <c r="B13603" s="2" t="s">
        <v>27261</v>
      </c>
      <c r="C13603" s="2" t="s">
        <v>124</v>
      </c>
      <c r="D13603" s="2" t="s">
        <v>27260</v>
      </c>
      <c r="E13603" s="2" t="str">
        <f>"9781032430843"</f>
        <v>9781032430843</v>
      </c>
      <c r="F13603" s="2" t="str">
        <f>"9781000907766"</f>
        <v>9781000907766</v>
      </c>
    </row>
    <row r="13604" spans="1:6" s="3" customFormat="1" ht="29.1" customHeight="1" x14ac:dyDescent="0.25">
      <c r="A13604" s="2" t="s">
        <v>27262</v>
      </c>
      <c r="B13604" s="2" t="s">
        <v>27263</v>
      </c>
      <c r="C13604" s="2" t="s">
        <v>316</v>
      </c>
      <c r="D13604" s="2" t="s">
        <v>342</v>
      </c>
      <c r="E13604" s="2" t="str">
        <f>"9783035718782"</f>
        <v>9783035718782</v>
      </c>
      <c r="F13604" s="2" t="str">
        <f>"9783035738780"</f>
        <v>9783035738780</v>
      </c>
    </row>
    <row r="13605" spans="1:6" s="3" customFormat="1" ht="29.1" customHeight="1" x14ac:dyDescent="0.25">
      <c r="A13605" s="2" t="s">
        <v>27264</v>
      </c>
      <c r="B13605" s="2" t="s">
        <v>27265</v>
      </c>
      <c r="C13605" s="2" t="s">
        <v>927</v>
      </c>
      <c r="D13605" s="2" t="s">
        <v>33</v>
      </c>
      <c r="E13605" s="2" t="str">
        <f>"9780472133420"</f>
        <v>9780472133420</v>
      </c>
      <c r="F13605" s="2" t="str">
        <f>"9780472903863"</f>
        <v>9780472903863</v>
      </c>
    </row>
    <row r="13606" spans="1:6" s="3" customFormat="1" ht="29.1" customHeight="1" x14ac:dyDescent="0.25">
      <c r="A13606" s="2" t="s">
        <v>27266</v>
      </c>
      <c r="B13606" s="2" t="s">
        <v>27267</v>
      </c>
      <c r="C13606" s="2" t="s">
        <v>927</v>
      </c>
      <c r="D13606" s="2" t="s">
        <v>8788</v>
      </c>
      <c r="E13606" s="2" t="str">
        <f>"9780472039302"</f>
        <v>9780472039302</v>
      </c>
      <c r="F13606" s="2" t="str">
        <f>"9780472903535"</f>
        <v>9780472903535</v>
      </c>
    </row>
    <row r="13607" spans="1:6" s="3" customFormat="1" ht="29.1" customHeight="1" x14ac:dyDescent="0.25">
      <c r="A13607" s="2" t="s">
        <v>27268</v>
      </c>
      <c r="B13607" s="2" t="s">
        <v>27269</v>
      </c>
      <c r="C13607" s="2" t="s">
        <v>327</v>
      </c>
      <c r="D13607" s="2" t="s">
        <v>1248</v>
      </c>
      <c r="E13607" s="2" t="str">
        <f>"9788383311067"</f>
        <v>9788383311067</v>
      </c>
      <c r="F13607" s="2" t="str">
        <f>"9788383311074"</f>
        <v>9788383311074</v>
      </c>
    </row>
    <row r="13608" spans="1:6" s="3" customFormat="1" ht="29.1" customHeight="1" x14ac:dyDescent="0.25">
      <c r="A13608" s="2" t="s">
        <v>27270</v>
      </c>
      <c r="B13608" s="2" t="s">
        <v>27271</v>
      </c>
      <c r="C13608" s="2" t="s">
        <v>124</v>
      </c>
      <c r="D13608" s="2" t="s">
        <v>855</v>
      </c>
      <c r="E13608" s="2" t="str">
        <f>"9781032045023"</f>
        <v>9781032045023</v>
      </c>
      <c r="F13608" s="2" t="str">
        <f>"9781000901498"</f>
        <v>9781000901498</v>
      </c>
    </row>
    <row r="13609" spans="1:6" s="3" customFormat="1" ht="29.1" customHeight="1" x14ac:dyDescent="0.25">
      <c r="A13609" s="2" t="s">
        <v>27272</v>
      </c>
      <c r="B13609" s="2" t="s">
        <v>27273</v>
      </c>
      <c r="C13609" s="2" t="s">
        <v>124</v>
      </c>
      <c r="D13609" s="2" t="s">
        <v>4019</v>
      </c>
      <c r="E13609" s="2" t="str">
        <f>"9781032331553"</f>
        <v>9781032331553</v>
      </c>
      <c r="F13609" s="2" t="str">
        <f>"9781000885460"</f>
        <v>9781000885460</v>
      </c>
    </row>
    <row r="13610" spans="1:6" s="3" customFormat="1" ht="29.1" customHeight="1" x14ac:dyDescent="0.25">
      <c r="A13610" s="2" t="s">
        <v>27274</v>
      </c>
      <c r="B13610" s="2" t="s">
        <v>27275</v>
      </c>
      <c r="C13610" s="2" t="s">
        <v>2242</v>
      </c>
      <c r="D13610" s="2" t="s">
        <v>614</v>
      </c>
      <c r="E13610" s="2" t="str">
        <f>"9788024460673"</f>
        <v>9788024460673</v>
      </c>
      <c r="F13610" s="2" t="str">
        <f>"9788024460680"</f>
        <v>9788024460680</v>
      </c>
    </row>
    <row r="13611" spans="1:6" s="3" customFormat="1" ht="29.1" customHeight="1" x14ac:dyDescent="0.25">
      <c r="A13611" s="2" t="s">
        <v>11607</v>
      </c>
      <c r="B13611" s="2" t="s">
        <v>11608</v>
      </c>
      <c r="C13611" s="2" t="s">
        <v>149</v>
      </c>
      <c r="D13611" s="2" t="s">
        <v>107</v>
      </c>
      <c r="E13611" s="2"/>
      <c r="F13611" s="2" t="str">
        <f>"9781800649613"</f>
        <v>9781800649613</v>
      </c>
    </row>
    <row r="13612" spans="1:6" s="3" customFormat="1" ht="29.1" customHeight="1" x14ac:dyDescent="0.25">
      <c r="A13612" s="2" t="s">
        <v>27276</v>
      </c>
      <c r="B13612" s="2" t="s">
        <v>27277</v>
      </c>
      <c r="C13612" s="2" t="s">
        <v>2133</v>
      </c>
      <c r="D13612" s="2" t="s">
        <v>818</v>
      </c>
      <c r="E13612" s="2" t="str">
        <f>"9781760465599"</f>
        <v>9781760465599</v>
      </c>
      <c r="F13612" s="2" t="str">
        <f>"9781760465605"</f>
        <v>9781760465605</v>
      </c>
    </row>
    <row r="13613" spans="1:6" s="3" customFormat="1" ht="29.1" customHeight="1" x14ac:dyDescent="0.25">
      <c r="A13613" s="2" t="s">
        <v>27278</v>
      </c>
      <c r="B13613" s="2" t="s">
        <v>27279</v>
      </c>
      <c r="C13613" s="2" t="s">
        <v>124</v>
      </c>
      <c r="D13613" s="2" t="s">
        <v>192</v>
      </c>
      <c r="E13613" s="2" t="str">
        <f>"9781032446271"</f>
        <v>9781032446271</v>
      </c>
      <c r="F13613" s="2" t="str">
        <f>"9781000898415"</f>
        <v>9781000898415</v>
      </c>
    </row>
    <row r="13614" spans="1:6" s="3" customFormat="1" ht="29.1" customHeight="1" x14ac:dyDescent="0.25">
      <c r="A13614" s="2" t="s">
        <v>27280</v>
      </c>
      <c r="B13614" s="2" t="s">
        <v>27281</v>
      </c>
      <c r="C13614" s="2" t="s">
        <v>124</v>
      </c>
      <c r="D13614" s="2" t="s">
        <v>689</v>
      </c>
      <c r="E13614" s="2" t="str">
        <f>"9781032451800"</f>
        <v>9781032451800</v>
      </c>
      <c r="F13614" s="2" t="str">
        <f>"9781000899566"</f>
        <v>9781000899566</v>
      </c>
    </row>
    <row r="13615" spans="1:6" s="3" customFormat="1" ht="29.1" customHeight="1" x14ac:dyDescent="0.25">
      <c r="A13615" s="2" t="s">
        <v>27282</v>
      </c>
      <c r="B13615" s="2" t="s">
        <v>27283</v>
      </c>
      <c r="C13615" s="2" t="s">
        <v>124</v>
      </c>
      <c r="D13615" s="2" t="s">
        <v>1717</v>
      </c>
      <c r="E13615" s="2" t="str">
        <f>"9780367768355"</f>
        <v>9780367768355</v>
      </c>
      <c r="F13615" s="2" t="str">
        <f>"9781000886320"</f>
        <v>9781000886320</v>
      </c>
    </row>
    <row r="13616" spans="1:6" s="3" customFormat="1" ht="29.1" customHeight="1" x14ac:dyDescent="0.25">
      <c r="A13616" s="2" t="s">
        <v>27284</v>
      </c>
      <c r="B13616" s="2" t="s">
        <v>27285</v>
      </c>
      <c r="C13616" s="2" t="s">
        <v>556</v>
      </c>
      <c r="D13616" s="2" t="s">
        <v>501</v>
      </c>
      <c r="E13616" s="2" t="str">
        <f>"9783837667158"</f>
        <v>9783837667158</v>
      </c>
      <c r="F13616" s="2" t="str">
        <f>"9783839467152"</f>
        <v>9783839467152</v>
      </c>
    </row>
    <row r="13617" spans="1:6" s="3" customFormat="1" ht="29.1" customHeight="1" x14ac:dyDescent="0.25">
      <c r="A13617" s="2" t="s">
        <v>27286</v>
      </c>
      <c r="B13617" s="2" t="s">
        <v>27287</v>
      </c>
      <c r="C13617" s="2" t="s">
        <v>556</v>
      </c>
      <c r="D13617" s="2" t="s">
        <v>1162</v>
      </c>
      <c r="E13617" s="2" t="str">
        <f>"9783837666847"</f>
        <v>9783837666847</v>
      </c>
      <c r="F13617" s="2" t="str">
        <f>"9783732866847"</f>
        <v>9783732866847</v>
      </c>
    </row>
    <row r="13618" spans="1:6" s="3" customFormat="1" ht="29.1" customHeight="1" x14ac:dyDescent="0.25">
      <c r="A13618" s="2" t="s">
        <v>27288</v>
      </c>
      <c r="B13618" s="2" t="s">
        <v>27289</v>
      </c>
      <c r="C13618" s="2" t="s">
        <v>556</v>
      </c>
      <c r="D13618" s="2" t="s">
        <v>1988</v>
      </c>
      <c r="E13618" s="2" t="str">
        <f>"9783837666717"</f>
        <v>9783837666717</v>
      </c>
      <c r="F13618" s="2" t="str">
        <f>"9783839466711"</f>
        <v>9783839466711</v>
      </c>
    </row>
    <row r="13619" spans="1:6" s="3" customFormat="1" ht="29.1" customHeight="1" x14ac:dyDescent="0.25">
      <c r="A13619" s="2" t="s">
        <v>27290</v>
      </c>
      <c r="B13619" s="2" t="s">
        <v>27291</v>
      </c>
      <c r="C13619" s="2" t="s">
        <v>556</v>
      </c>
      <c r="D13619" s="2" t="s">
        <v>324</v>
      </c>
      <c r="E13619" s="2" t="str">
        <f>"9783837666588"</f>
        <v>9783837666588</v>
      </c>
      <c r="F13619" s="2" t="str">
        <f>"9783839466582"</f>
        <v>9783839466582</v>
      </c>
    </row>
    <row r="13620" spans="1:6" s="3" customFormat="1" ht="29.1" customHeight="1" x14ac:dyDescent="0.25">
      <c r="A13620" s="2" t="s">
        <v>27292</v>
      </c>
      <c r="B13620" s="2" t="s">
        <v>27293</v>
      </c>
      <c r="C13620" s="2" t="s">
        <v>556</v>
      </c>
      <c r="D13620" s="2" t="s">
        <v>1560</v>
      </c>
      <c r="E13620" s="2" t="str">
        <f>"9783837666212"</f>
        <v>9783837666212</v>
      </c>
      <c r="F13620" s="2" t="str">
        <f>"9783732866212"</f>
        <v>9783732866212</v>
      </c>
    </row>
    <row r="13621" spans="1:6" s="3" customFormat="1" ht="29.1" customHeight="1" x14ac:dyDescent="0.25">
      <c r="A13621" s="2" t="s">
        <v>27294</v>
      </c>
      <c r="B13621" s="2" t="s">
        <v>27295</v>
      </c>
      <c r="C13621" s="2" t="s">
        <v>556</v>
      </c>
      <c r="D13621" s="2" t="s">
        <v>1112</v>
      </c>
      <c r="E13621" s="2" t="str">
        <f>"9783837666168"</f>
        <v>9783837666168</v>
      </c>
      <c r="F13621" s="2" t="str">
        <f>"9783839466162"</f>
        <v>9783839466162</v>
      </c>
    </row>
    <row r="13622" spans="1:6" s="3" customFormat="1" ht="29.1" customHeight="1" x14ac:dyDescent="0.25">
      <c r="A13622" s="2" t="s">
        <v>27296</v>
      </c>
      <c r="B13622" s="2" t="s">
        <v>27297</v>
      </c>
      <c r="C13622" s="2" t="s">
        <v>556</v>
      </c>
      <c r="D13622" s="2" t="s">
        <v>1697</v>
      </c>
      <c r="E13622" s="2" t="str">
        <f>"9783837665956"</f>
        <v>9783837665956</v>
      </c>
      <c r="F13622" s="2" t="str">
        <f>"9783839465950"</f>
        <v>9783839465950</v>
      </c>
    </row>
    <row r="13623" spans="1:6" s="3" customFormat="1" ht="29.1" customHeight="1" x14ac:dyDescent="0.25">
      <c r="A13623" s="2" t="s">
        <v>27298</v>
      </c>
      <c r="B13623" s="2" t="s">
        <v>27299</v>
      </c>
      <c r="C13623" s="2" t="s">
        <v>556</v>
      </c>
      <c r="D13623" s="2" t="s">
        <v>4030</v>
      </c>
      <c r="E13623" s="2" t="str">
        <f>"9783837665673"</f>
        <v>9783837665673</v>
      </c>
      <c r="F13623" s="2" t="str">
        <f>"9783839465677"</f>
        <v>9783839465677</v>
      </c>
    </row>
    <row r="13624" spans="1:6" s="3" customFormat="1" ht="29.1" customHeight="1" x14ac:dyDescent="0.25">
      <c r="A13624" s="2" t="s">
        <v>27300</v>
      </c>
      <c r="B13624" s="2" t="s">
        <v>27301</v>
      </c>
      <c r="C13624" s="2" t="s">
        <v>556</v>
      </c>
      <c r="D13624" s="2" t="s">
        <v>1189</v>
      </c>
      <c r="E13624" s="2" t="str">
        <f>"9783837665482"</f>
        <v>9783837665482</v>
      </c>
      <c r="F13624" s="2" t="str">
        <f>"9783839465486"</f>
        <v>9783839465486</v>
      </c>
    </row>
    <row r="13625" spans="1:6" s="3" customFormat="1" ht="29.1" customHeight="1" x14ac:dyDescent="0.25">
      <c r="A13625" s="2" t="s">
        <v>27302</v>
      </c>
      <c r="B13625" s="2" t="s">
        <v>27303</v>
      </c>
      <c r="C13625" s="2" t="s">
        <v>556</v>
      </c>
      <c r="D13625" s="2" t="s">
        <v>968</v>
      </c>
      <c r="E13625" s="2" t="str">
        <f>"9783837665079"</f>
        <v>9783837665079</v>
      </c>
      <c r="F13625" s="2" t="str">
        <f>"9783839465073"</f>
        <v>9783839465073</v>
      </c>
    </row>
    <row r="13626" spans="1:6" s="3" customFormat="1" ht="29.1" customHeight="1" x14ac:dyDescent="0.25">
      <c r="A13626" s="2" t="s">
        <v>27304</v>
      </c>
      <c r="B13626" s="2" t="s">
        <v>27305</v>
      </c>
      <c r="C13626" s="2" t="s">
        <v>556</v>
      </c>
      <c r="D13626" s="2" t="s">
        <v>7000</v>
      </c>
      <c r="E13626" s="2" t="str">
        <f>"9783837664973"</f>
        <v>9783837664973</v>
      </c>
      <c r="F13626" s="2" t="str">
        <f>"9783839464977"</f>
        <v>9783839464977</v>
      </c>
    </row>
    <row r="13627" spans="1:6" s="3" customFormat="1" ht="29.1" customHeight="1" x14ac:dyDescent="0.25">
      <c r="A13627" s="2" t="s">
        <v>27306</v>
      </c>
      <c r="B13627" s="2" t="s">
        <v>27307</v>
      </c>
      <c r="C13627" s="2" t="s">
        <v>556</v>
      </c>
      <c r="D13627" s="2" t="s">
        <v>183</v>
      </c>
      <c r="E13627" s="2" t="str">
        <f>"9783837664904"</f>
        <v>9783837664904</v>
      </c>
      <c r="F13627" s="2" t="str">
        <f>"9783839464908"</f>
        <v>9783839464908</v>
      </c>
    </row>
    <row r="13628" spans="1:6" s="3" customFormat="1" ht="29.1" customHeight="1" x14ac:dyDescent="0.25">
      <c r="A13628" s="2" t="s">
        <v>27308</v>
      </c>
      <c r="B13628" s="2" t="s">
        <v>27309</v>
      </c>
      <c r="C13628" s="2" t="s">
        <v>556</v>
      </c>
      <c r="D13628" s="2" t="s">
        <v>218</v>
      </c>
      <c r="E13628" s="2" t="str">
        <f>"9783837664850"</f>
        <v>9783837664850</v>
      </c>
      <c r="F13628" s="2" t="str">
        <f>"9783839464854"</f>
        <v>9783839464854</v>
      </c>
    </row>
    <row r="13629" spans="1:6" s="3" customFormat="1" ht="29.1" customHeight="1" x14ac:dyDescent="0.25">
      <c r="A13629" s="2" t="s">
        <v>27310</v>
      </c>
      <c r="B13629" s="2" t="s">
        <v>27311</v>
      </c>
      <c r="C13629" s="2" t="s">
        <v>556</v>
      </c>
      <c r="D13629" s="2" t="s">
        <v>11200</v>
      </c>
      <c r="E13629" s="2" t="str">
        <f>"9783837663464"</f>
        <v>9783837663464</v>
      </c>
      <c r="F13629" s="2" t="str">
        <f>"9783839463468"</f>
        <v>9783839463468</v>
      </c>
    </row>
    <row r="13630" spans="1:6" s="3" customFormat="1" ht="29.1" customHeight="1" x14ac:dyDescent="0.25">
      <c r="A13630" s="2" t="s">
        <v>27312</v>
      </c>
      <c r="B13630" s="2" t="s">
        <v>27313</v>
      </c>
      <c r="C13630" s="2" t="s">
        <v>556</v>
      </c>
      <c r="D13630" s="2" t="s">
        <v>9894</v>
      </c>
      <c r="E13630" s="2" t="str">
        <f>"9783837663129"</f>
        <v>9783837663129</v>
      </c>
      <c r="F13630" s="2" t="str">
        <f>"9783839463123"</f>
        <v>9783839463123</v>
      </c>
    </row>
    <row r="13631" spans="1:6" s="3" customFormat="1" ht="29.1" customHeight="1" x14ac:dyDescent="0.25">
      <c r="A13631" s="2" t="s">
        <v>27314</v>
      </c>
      <c r="B13631" s="2" t="s">
        <v>27315</v>
      </c>
      <c r="C13631" s="2" t="s">
        <v>556</v>
      </c>
      <c r="D13631" s="2" t="s">
        <v>324</v>
      </c>
      <c r="E13631" s="2" t="str">
        <f>"9783837661880"</f>
        <v>9783837661880</v>
      </c>
      <c r="F13631" s="2" t="str">
        <f>"9783839461884"</f>
        <v>9783839461884</v>
      </c>
    </row>
    <row r="13632" spans="1:6" s="3" customFormat="1" ht="29.1" customHeight="1" x14ac:dyDescent="0.25">
      <c r="A13632" s="2" t="s">
        <v>27316</v>
      </c>
      <c r="B13632" s="2" t="s">
        <v>27317</v>
      </c>
      <c r="C13632" s="2" t="s">
        <v>556</v>
      </c>
      <c r="D13632" s="2" t="s">
        <v>712</v>
      </c>
      <c r="E13632" s="2" t="str">
        <f>"9783837661385"</f>
        <v>9783837661385</v>
      </c>
      <c r="F13632" s="2" t="str">
        <f>"9783839461389"</f>
        <v>9783839461389</v>
      </c>
    </row>
    <row r="13633" spans="1:6" s="3" customFormat="1" ht="29.1" customHeight="1" x14ac:dyDescent="0.25">
      <c r="A13633" s="2" t="s">
        <v>27318</v>
      </c>
      <c r="B13633" s="2" t="s">
        <v>27319</v>
      </c>
      <c r="C13633" s="2" t="s">
        <v>556</v>
      </c>
      <c r="D13633" s="2" t="s">
        <v>183</v>
      </c>
      <c r="E13633" s="2" t="str">
        <f>"9783837660302"</f>
        <v>9783837660302</v>
      </c>
      <c r="F13633" s="2" t="str">
        <f>"9783732860302"</f>
        <v>9783732860302</v>
      </c>
    </row>
    <row r="13634" spans="1:6" s="3" customFormat="1" ht="29.1" customHeight="1" x14ac:dyDescent="0.25">
      <c r="A13634" s="2" t="s">
        <v>27320</v>
      </c>
      <c r="B13634" s="2" t="s">
        <v>27321</v>
      </c>
      <c r="C13634" s="2" t="s">
        <v>264</v>
      </c>
      <c r="D13634" s="2" t="s">
        <v>4262</v>
      </c>
      <c r="E13634" s="2" t="str">
        <f>"9781032420028"</f>
        <v>9781032420028</v>
      </c>
      <c r="F13634" s="2" t="str">
        <f>"9781000865752"</f>
        <v>9781000865752</v>
      </c>
    </row>
    <row r="13635" spans="1:6" s="3" customFormat="1" ht="29.1" customHeight="1" x14ac:dyDescent="0.25">
      <c r="A13635" s="2" t="s">
        <v>1481</v>
      </c>
      <c r="B13635" s="2" t="s">
        <v>27322</v>
      </c>
      <c r="C13635" s="2" t="s">
        <v>1070</v>
      </c>
      <c r="D13635" s="2" t="s">
        <v>1071</v>
      </c>
      <c r="E13635" s="2" t="str">
        <f>"9783318072471"</f>
        <v>9783318072471</v>
      </c>
      <c r="F13635" s="2" t="str">
        <f>"9783318072716"</f>
        <v>9783318072716</v>
      </c>
    </row>
    <row r="13636" spans="1:6" s="3" customFormat="1" ht="29.1" customHeight="1" x14ac:dyDescent="0.25">
      <c r="A13636" s="2" t="s">
        <v>27323</v>
      </c>
      <c r="B13636" s="2" t="s">
        <v>17056</v>
      </c>
      <c r="C13636" s="2" t="s">
        <v>595</v>
      </c>
      <c r="D13636" s="2" t="s">
        <v>27324</v>
      </c>
      <c r="E13636" s="2" t="str">
        <f>"9783631896594"</f>
        <v>9783631896594</v>
      </c>
      <c r="F13636" s="2" t="str">
        <f>"9783631897256"</f>
        <v>9783631897256</v>
      </c>
    </row>
    <row r="13637" spans="1:6" s="3" customFormat="1" ht="29.1" customHeight="1" x14ac:dyDescent="0.25">
      <c r="A13637" s="2" t="s">
        <v>1354</v>
      </c>
      <c r="B13637" s="2" t="s">
        <v>27325</v>
      </c>
      <c r="C13637" s="2" t="s">
        <v>1070</v>
      </c>
      <c r="D13637" s="2" t="s">
        <v>468</v>
      </c>
      <c r="E13637" s="2" t="str">
        <f>"9783318071481"</f>
        <v>9783318071481</v>
      </c>
      <c r="F13637" s="2" t="str">
        <f>"9783318072099"</f>
        <v>9783318072099</v>
      </c>
    </row>
    <row r="13638" spans="1:6" s="3" customFormat="1" ht="29.1" customHeight="1" x14ac:dyDescent="0.25">
      <c r="A13638" s="2" t="s">
        <v>27326</v>
      </c>
      <c r="B13638" s="2" t="s">
        <v>27327</v>
      </c>
      <c r="C13638" s="2" t="s">
        <v>195</v>
      </c>
      <c r="D13638" s="2" t="s">
        <v>1127</v>
      </c>
      <c r="E13638" s="2" t="str">
        <f>"9783868597257"</f>
        <v>9783868597257</v>
      </c>
      <c r="F13638" s="2" t="str">
        <f>"9783868599886"</f>
        <v>9783868599886</v>
      </c>
    </row>
    <row r="13639" spans="1:6" s="3" customFormat="1" ht="29.1" customHeight="1" x14ac:dyDescent="0.25">
      <c r="A13639" s="2" t="s">
        <v>27328</v>
      </c>
      <c r="B13639" s="2" t="s">
        <v>27329</v>
      </c>
      <c r="C13639" s="2" t="s">
        <v>264</v>
      </c>
      <c r="D13639" s="2" t="s">
        <v>44</v>
      </c>
      <c r="E13639" s="2" t="str">
        <f>"9781032445038"</f>
        <v>9781032445038</v>
      </c>
      <c r="F13639" s="2" t="str">
        <f>"9781000924008"</f>
        <v>9781000924008</v>
      </c>
    </row>
    <row r="13640" spans="1:6" s="3" customFormat="1" ht="29.1" customHeight="1" x14ac:dyDescent="0.25">
      <c r="A13640" s="2" t="s">
        <v>27330</v>
      </c>
      <c r="B13640" s="2" t="s">
        <v>27331</v>
      </c>
      <c r="C13640" s="2" t="s">
        <v>264</v>
      </c>
      <c r="D13640" s="2" t="s">
        <v>22120</v>
      </c>
      <c r="E13640" s="2" t="str">
        <f>"9781032551548"</f>
        <v>9781032551548</v>
      </c>
      <c r="F13640" s="2" t="str">
        <f>"9781000963960"</f>
        <v>9781000963960</v>
      </c>
    </row>
    <row r="13641" spans="1:6" s="3" customFormat="1" ht="29.1" customHeight="1" x14ac:dyDescent="0.25">
      <c r="A13641" s="2" t="s">
        <v>27332</v>
      </c>
      <c r="B13641" s="2" t="s">
        <v>27333</v>
      </c>
      <c r="C13641" s="2" t="s">
        <v>124</v>
      </c>
      <c r="D13641" s="2" t="s">
        <v>882</v>
      </c>
      <c r="E13641" s="2" t="str">
        <f>"9780367697228"</f>
        <v>9780367697228</v>
      </c>
      <c r="F13641" s="2" t="str">
        <f>"9781000890365"</f>
        <v>9781000890365</v>
      </c>
    </row>
    <row r="13642" spans="1:6" s="3" customFormat="1" ht="29.1" customHeight="1" x14ac:dyDescent="0.25">
      <c r="A13642" s="2" t="s">
        <v>27334</v>
      </c>
      <c r="B13642" s="2" t="s">
        <v>27335</v>
      </c>
      <c r="C13642" s="2" t="s">
        <v>3169</v>
      </c>
      <c r="D13642" s="2" t="s">
        <v>11426</v>
      </c>
      <c r="E13642" s="2"/>
      <c r="F13642" s="2" t="str">
        <f>"9781800101890"</f>
        <v>9781800101890</v>
      </c>
    </row>
    <row r="13643" spans="1:6" s="3" customFormat="1" ht="29.1" customHeight="1" x14ac:dyDescent="0.25">
      <c r="A13643" s="2" t="s">
        <v>1348</v>
      </c>
      <c r="B13643" s="2" t="s">
        <v>27336</v>
      </c>
      <c r="C13643" s="2" t="s">
        <v>1070</v>
      </c>
      <c r="D13643" s="2" t="s">
        <v>1265</v>
      </c>
      <c r="E13643" s="2" t="str">
        <f>"9783318071610"</f>
        <v>9783318071610</v>
      </c>
      <c r="F13643" s="2" t="str">
        <f>"9783318072006"</f>
        <v>9783318072006</v>
      </c>
    </row>
    <row r="13644" spans="1:6" s="3" customFormat="1" ht="29.1" customHeight="1" x14ac:dyDescent="0.25">
      <c r="A13644" s="2" t="s">
        <v>1352</v>
      </c>
      <c r="B13644" s="2" t="s">
        <v>2074</v>
      </c>
      <c r="C13644" s="2" t="s">
        <v>1070</v>
      </c>
      <c r="D13644" s="2" t="s">
        <v>1265</v>
      </c>
      <c r="E13644" s="2" t="str">
        <f>"9783318071504"</f>
        <v>9783318071504</v>
      </c>
      <c r="F13644" s="2" t="str">
        <f>"9783318072211"</f>
        <v>9783318072211</v>
      </c>
    </row>
    <row r="13645" spans="1:6" s="3" customFormat="1" ht="29.1" customHeight="1" x14ac:dyDescent="0.25">
      <c r="A13645" s="2" t="s">
        <v>1350</v>
      </c>
      <c r="B13645" s="2" t="s">
        <v>2070</v>
      </c>
      <c r="C13645" s="2" t="s">
        <v>1070</v>
      </c>
      <c r="D13645" s="2" t="s">
        <v>1265</v>
      </c>
      <c r="E13645" s="2" t="str">
        <f>"9783318071535"</f>
        <v>9783318071535</v>
      </c>
      <c r="F13645" s="2" t="str">
        <f>"9783318072242"</f>
        <v>9783318072242</v>
      </c>
    </row>
    <row r="13646" spans="1:6" s="3" customFormat="1" ht="29.1" customHeight="1" x14ac:dyDescent="0.25">
      <c r="A13646" s="2" t="s">
        <v>27337</v>
      </c>
      <c r="B13646" s="2" t="s">
        <v>27338</v>
      </c>
      <c r="C13646" s="2" t="s">
        <v>124</v>
      </c>
      <c r="D13646" s="2" t="s">
        <v>339</v>
      </c>
      <c r="E13646" s="2" t="str">
        <f>"9780367513177"</f>
        <v>9780367513177</v>
      </c>
      <c r="F13646" s="2" t="str">
        <f>"9781000881264"</f>
        <v>9781000881264</v>
      </c>
    </row>
    <row r="13647" spans="1:6" s="3" customFormat="1" ht="29.1" customHeight="1" x14ac:dyDescent="0.25">
      <c r="A13647" s="2" t="s">
        <v>27339</v>
      </c>
      <c r="B13647" s="2" t="s">
        <v>27341</v>
      </c>
      <c r="C13647" s="2" t="s">
        <v>595</v>
      </c>
      <c r="D13647" s="2" t="s">
        <v>27340</v>
      </c>
      <c r="E13647" s="2" t="str">
        <f>"9783631894446"</f>
        <v>9783631894446</v>
      </c>
      <c r="F13647" s="2" t="str">
        <f>"9783631894453"</f>
        <v>9783631894453</v>
      </c>
    </row>
    <row r="13648" spans="1:6" s="3" customFormat="1" ht="29.1" customHeight="1" x14ac:dyDescent="0.25">
      <c r="A13648" s="2" t="s">
        <v>27342</v>
      </c>
      <c r="B13648" s="2" t="s">
        <v>27343</v>
      </c>
      <c r="C13648" s="2" t="s">
        <v>9716</v>
      </c>
      <c r="D13648" s="2" t="s">
        <v>30</v>
      </c>
      <c r="E13648" s="2" t="str">
        <f>"9781439924068"</f>
        <v>9781439924068</v>
      </c>
      <c r="F13648" s="2" t="str">
        <f>"9781439924082"</f>
        <v>9781439924082</v>
      </c>
    </row>
    <row r="13649" spans="1:6" s="3" customFormat="1" ht="29.1" customHeight="1" x14ac:dyDescent="0.25">
      <c r="A13649" s="2" t="s">
        <v>27344</v>
      </c>
      <c r="B13649" s="2" t="s">
        <v>27345</v>
      </c>
      <c r="C13649" s="2" t="s">
        <v>595</v>
      </c>
      <c r="D13649" s="2" t="s">
        <v>2713</v>
      </c>
      <c r="E13649" s="2" t="str">
        <f>"9783631870167"</f>
        <v>9783631870167</v>
      </c>
      <c r="F13649" s="2" t="str">
        <f>"9783631890035"</f>
        <v>9783631890035</v>
      </c>
    </row>
    <row r="13650" spans="1:6" s="3" customFormat="1" ht="29.1" customHeight="1" x14ac:dyDescent="0.25">
      <c r="A13650" s="2" t="s">
        <v>27346</v>
      </c>
      <c r="B13650" s="2" t="s">
        <v>27347</v>
      </c>
      <c r="C13650" s="2" t="s">
        <v>124</v>
      </c>
      <c r="D13650" s="2" t="s">
        <v>9</v>
      </c>
      <c r="E13650" s="2" t="str">
        <f>"9781032355351"</f>
        <v>9781032355351</v>
      </c>
      <c r="F13650" s="2" t="str">
        <f>"9781000899207"</f>
        <v>9781000899207</v>
      </c>
    </row>
    <row r="13651" spans="1:6" s="3" customFormat="1" ht="29.1" customHeight="1" x14ac:dyDescent="0.25">
      <c r="A13651" s="2" t="s">
        <v>27348</v>
      </c>
      <c r="B13651" s="2" t="s">
        <v>27349</v>
      </c>
      <c r="C13651" s="2" t="s">
        <v>327</v>
      </c>
      <c r="D13651" s="2" t="s">
        <v>33</v>
      </c>
      <c r="E13651" s="2" t="str">
        <f>"9788383311265"</f>
        <v>9788383311265</v>
      </c>
      <c r="F13651" s="2" t="str">
        <f>"9788383311272"</f>
        <v>9788383311272</v>
      </c>
    </row>
    <row r="13652" spans="1:6" s="3" customFormat="1" ht="29.1" customHeight="1" x14ac:dyDescent="0.25">
      <c r="A13652" s="2" t="s">
        <v>27350</v>
      </c>
      <c r="B13652" s="2" t="s">
        <v>27351</v>
      </c>
      <c r="C13652" s="2" t="s">
        <v>327</v>
      </c>
      <c r="D13652" s="2" t="s">
        <v>270</v>
      </c>
      <c r="E13652" s="2" t="str">
        <f>"9788383310350"</f>
        <v>9788383310350</v>
      </c>
      <c r="F13652" s="2" t="str">
        <f>"9788383310367"</f>
        <v>9788383310367</v>
      </c>
    </row>
    <row r="13653" spans="1:6" s="3" customFormat="1" ht="29.1" customHeight="1" x14ac:dyDescent="0.25">
      <c r="A13653" s="2" t="s">
        <v>27352</v>
      </c>
      <c r="B13653" s="2" t="s">
        <v>27353</v>
      </c>
      <c r="C13653" s="2" t="s">
        <v>927</v>
      </c>
      <c r="D13653" s="2" t="s">
        <v>270</v>
      </c>
      <c r="E13653" s="2" t="str">
        <f>"9780472055975"</f>
        <v>9780472055975</v>
      </c>
      <c r="F13653" s="2" t="str">
        <f>"9780472903313"</f>
        <v>9780472903313</v>
      </c>
    </row>
    <row r="13654" spans="1:6" s="3" customFormat="1" ht="29.1" customHeight="1" x14ac:dyDescent="0.25">
      <c r="A13654" s="2" t="s">
        <v>27354</v>
      </c>
      <c r="B13654" s="2" t="s">
        <v>27355</v>
      </c>
      <c r="C13654" s="2" t="s">
        <v>927</v>
      </c>
      <c r="D13654" s="2" t="s">
        <v>297</v>
      </c>
      <c r="E13654" s="2" t="str">
        <f>"9780472054930"</f>
        <v>9780472054930</v>
      </c>
      <c r="F13654" s="2" t="str">
        <f>"9780472902996"</f>
        <v>9780472902996</v>
      </c>
    </row>
    <row r="13655" spans="1:6" s="3" customFormat="1" ht="29.1" customHeight="1" x14ac:dyDescent="0.25">
      <c r="A13655" s="2" t="s">
        <v>27356</v>
      </c>
      <c r="B13655" s="2" t="s">
        <v>27357</v>
      </c>
      <c r="C13655" s="2" t="s">
        <v>950</v>
      </c>
      <c r="D13655" s="2" t="s">
        <v>490</v>
      </c>
      <c r="E13655" s="2"/>
      <c r="F13655" s="2" t="str">
        <f>"9788411224925"</f>
        <v>9788411224925</v>
      </c>
    </row>
    <row r="13656" spans="1:6" s="3" customFormat="1" ht="29.1" customHeight="1" x14ac:dyDescent="0.25">
      <c r="A13656" s="2" t="s">
        <v>27358</v>
      </c>
      <c r="B13656" s="2" t="s">
        <v>27359</v>
      </c>
      <c r="C13656" s="2" t="s">
        <v>950</v>
      </c>
      <c r="D13656" s="2" t="s">
        <v>2752</v>
      </c>
      <c r="E13656" s="2"/>
      <c r="F13656" s="2" t="str">
        <f>"9788411700313"</f>
        <v>9788411700313</v>
      </c>
    </row>
    <row r="13657" spans="1:6" s="3" customFormat="1" ht="29.1" customHeight="1" x14ac:dyDescent="0.25">
      <c r="A13657" s="2" t="s">
        <v>27360</v>
      </c>
      <c r="B13657" s="2" t="s">
        <v>27361</v>
      </c>
      <c r="C13657" s="2" t="s">
        <v>950</v>
      </c>
      <c r="D13657" s="2" t="s">
        <v>951</v>
      </c>
      <c r="E13657" s="2"/>
      <c r="F13657" s="2" t="str">
        <f>"9788411229760"</f>
        <v>9788411229760</v>
      </c>
    </row>
    <row r="13658" spans="1:6" s="3" customFormat="1" ht="29.1" customHeight="1" x14ac:dyDescent="0.25">
      <c r="A13658" s="2" t="s">
        <v>27362</v>
      </c>
      <c r="B13658" s="2" t="s">
        <v>27363</v>
      </c>
      <c r="C13658" s="2" t="s">
        <v>950</v>
      </c>
      <c r="D13658" s="2" t="s">
        <v>3214</v>
      </c>
      <c r="E13658" s="2"/>
      <c r="F13658" s="2" t="str">
        <f>"9788411229579"</f>
        <v>9788411229579</v>
      </c>
    </row>
    <row r="13659" spans="1:6" s="3" customFormat="1" ht="29.1" customHeight="1" x14ac:dyDescent="0.25">
      <c r="A13659" s="2" t="s">
        <v>27364</v>
      </c>
      <c r="B13659" s="2" t="s">
        <v>27365</v>
      </c>
      <c r="C13659" s="2" t="s">
        <v>950</v>
      </c>
      <c r="D13659" s="2" t="s">
        <v>984</v>
      </c>
      <c r="E13659" s="2"/>
      <c r="F13659" s="2" t="str">
        <f>"9788411228800"</f>
        <v>9788411228800</v>
      </c>
    </row>
    <row r="13660" spans="1:6" s="3" customFormat="1" ht="29.1" customHeight="1" x14ac:dyDescent="0.25">
      <c r="A13660" s="2" t="s">
        <v>27366</v>
      </c>
      <c r="B13660" s="2" t="s">
        <v>27367</v>
      </c>
      <c r="C13660" s="2" t="s">
        <v>950</v>
      </c>
      <c r="D13660" s="2" t="s">
        <v>537</v>
      </c>
      <c r="E13660" s="2"/>
      <c r="F13660" s="2" t="str">
        <f>"9788411228022"</f>
        <v>9788411228022</v>
      </c>
    </row>
    <row r="13661" spans="1:6" s="3" customFormat="1" ht="29.1" customHeight="1" x14ac:dyDescent="0.25">
      <c r="A13661" s="2" t="s">
        <v>27368</v>
      </c>
      <c r="B13661" s="2" t="s">
        <v>27369</v>
      </c>
      <c r="C13661" s="2" t="s">
        <v>950</v>
      </c>
      <c r="D13661" s="2" t="s">
        <v>6692</v>
      </c>
      <c r="E13661" s="2"/>
      <c r="F13661" s="2" t="str">
        <f>"9788411227148"</f>
        <v>9788411227148</v>
      </c>
    </row>
    <row r="13662" spans="1:6" s="3" customFormat="1" ht="29.1" customHeight="1" x14ac:dyDescent="0.25">
      <c r="A13662" s="2" t="s">
        <v>27370</v>
      </c>
      <c r="B13662" s="2" t="s">
        <v>27372</v>
      </c>
      <c r="C13662" s="2" t="s">
        <v>950</v>
      </c>
      <c r="D13662" s="2" t="s">
        <v>27371</v>
      </c>
      <c r="E13662" s="2"/>
      <c r="F13662" s="2" t="str">
        <f>"9788411227131"</f>
        <v>9788411227131</v>
      </c>
    </row>
    <row r="13663" spans="1:6" s="3" customFormat="1" ht="29.1" customHeight="1" x14ac:dyDescent="0.25">
      <c r="A13663" s="2" t="s">
        <v>27373</v>
      </c>
      <c r="B13663" s="2" t="s">
        <v>27374</v>
      </c>
      <c r="C13663" s="2" t="s">
        <v>950</v>
      </c>
      <c r="D13663" s="2" t="s">
        <v>192</v>
      </c>
      <c r="E13663" s="2"/>
      <c r="F13663" s="2" t="str">
        <f>"9788411227124"</f>
        <v>9788411227124</v>
      </c>
    </row>
    <row r="13664" spans="1:6" s="3" customFormat="1" ht="29.1" customHeight="1" x14ac:dyDescent="0.25">
      <c r="A13664" s="2" t="s">
        <v>27375</v>
      </c>
      <c r="B13664" s="2" t="s">
        <v>27376</v>
      </c>
      <c r="C13664" s="2" t="s">
        <v>950</v>
      </c>
      <c r="D13664" s="2" t="s">
        <v>1043</v>
      </c>
      <c r="E13664" s="2"/>
      <c r="F13664" s="2" t="str">
        <f>"9788411224949"</f>
        <v>9788411224949</v>
      </c>
    </row>
    <row r="13665" spans="1:6" s="3" customFormat="1" ht="29.1" customHeight="1" x14ac:dyDescent="0.25">
      <c r="A13665" s="2" t="s">
        <v>27377</v>
      </c>
      <c r="B13665" s="2" t="s">
        <v>27378</v>
      </c>
      <c r="C13665" s="2" t="s">
        <v>950</v>
      </c>
      <c r="D13665" s="2" t="s">
        <v>553</v>
      </c>
      <c r="E13665" s="2"/>
      <c r="F13665" s="2" t="str">
        <f>"9788411224932"</f>
        <v>9788411224932</v>
      </c>
    </row>
    <row r="13666" spans="1:6" s="3" customFormat="1" ht="29.1" customHeight="1" x14ac:dyDescent="0.25">
      <c r="A13666" s="2" t="s">
        <v>27379</v>
      </c>
      <c r="B13666" s="2" t="s">
        <v>27380</v>
      </c>
      <c r="C13666" s="2" t="s">
        <v>950</v>
      </c>
      <c r="D13666" s="2" t="s">
        <v>1823</v>
      </c>
      <c r="E13666" s="2"/>
      <c r="F13666" s="2" t="str">
        <f>"9788411224918"</f>
        <v>9788411224918</v>
      </c>
    </row>
    <row r="13667" spans="1:6" s="3" customFormat="1" ht="29.1" customHeight="1" x14ac:dyDescent="0.25">
      <c r="A13667" s="2" t="s">
        <v>27381</v>
      </c>
      <c r="B13667" s="2" t="s">
        <v>27382</v>
      </c>
      <c r="C13667" s="2" t="s">
        <v>950</v>
      </c>
      <c r="D13667" s="2" t="s">
        <v>553</v>
      </c>
      <c r="E13667" s="2"/>
      <c r="F13667" s="2" t="str">
        <f>"9788411224901"</f>
        <v>9788411224901</v>
      </c>
    </row>
    <row r="13668" spans="1:6" s="3" customFormat="1" ht="29.1" customHeight="1" x14ac:dyDescent="0.25">
      <c r="A13668" s="2" t="s">
        <v>27383</v>
      </c>
      <c r="B13668" s="2" t="s">
        <v>27384</v>
      </c>
      <c r="C13668" s="2" t="s">
        <v>950</v>
      </c>
      <c r="D13668" s="2" t="s">
        <v>836</v>
      </c>
      <c r="E13668" s="2"/>
      <c r="F13668" s="2" t="str">
        <f>"9788411224895"</f>
        <v>9788411224895</v>
      </c>
    </row>
    <row r="13669" spans="1:6" s="3" customFormat="1" ht="29.1" customHeight="1" x14ac:dyDescent="0.25">
      <c r="A13669" s="2" t="s">
        <v>27385</v>
      </c>
      <c r="B13669" s="2" t="s">
        <v>27386</v>
      </c>
      <c r="C13669" s="2" t="s">
        <v>950</v>
      </c>
      <c r="D13669" s="2" t="s">
        <v>836</v>
      </c>
      <c r="E13669" s="2"/>
      <c r="F13669" s="2" t="str">
        <f>"9788411224697"</f>
        <v>9788411224697</v>
      </c>
    </row>
    <row r="13670" spans="1:6" s="3" customFormat="1" ht="29.1" customHeight="1" x14ac:dyDescent="0.25">
      <c r="A13670" s="2" t="s">
        <v>27387</v>
      </c>
      <c r="B13670" s="2" t="s">
        <v>27388</v>
      </c>
      <c r="C13670" s="2" t="s">
        <v>950</v>
      </c>
      <c r="D13670" s="2" t="s">
        <v>37</v>
      </c>
      <c r="E13670" s="2"/>
      <c r="F13670" s="2" t="str">
        <f>"9788411224680"</f>
        <v>9788411224680</v>
      </c>
    </row>
    <row r="13671" spans="1:6" s="3" customFormat="1" ht="29.1" customHeight="1" x14ac:dyDescent="0.25">
      <c r="A13671" s="2" t="s">
        <v>27389</v>
      </c>
      <c r="B13671" s="2" t="s">
        <v>27390</v>
      </c>
      <c r="C13671" s="2" t="s">
        <v>950</v>
      </c>
      <c r="D13671" s="2" t="s">
        <v>5099</v>
      </c>
      <c r="E13671" s="2"/>
      <c r="F13671" s="2" t="str">
        <f>"9788411223751"</f>
        <v>9788411223751</v>
      </c>
    </row>
    <row r="13672" spans="1:6" s="3" customFormat="1" ht="29.1" customHeight="1" x14ac:dyDescent="0.25">
      <c r="A13672" s="2" t="s">
        <v>27391</v>
      </c>
      <c r="B13672" s="2" t="s">
        <v>27392</v>
      </c>
      <c r="C13672" s="2" t="s">
        <v>950</v>
      </c>
      <c r="D13672" s="2" t="s">
        <v>413</v>
      </c>
      <c r="E13672" s="2"/>
      <c r="F13672" s="2" t="str">
        <f>"9788411223744"</f>
        <v>9788411223744</v>
      </c>
    </row>
    <row r="13673" spans="1:6" s="3" customFormat="1" ht="29.1" customHeight="1" x14ac:dyDescent="0.25">
      <c r="A13673" s="2" t="s">
        <v>27393</v>
      </c>
      <c r="B13673" s="2" t="s">
        <v>27394</v>
      </c>
      <c r="C13673" s="2" t="s">
        <v>950</v>
      </c>
      <c r="D13673" s="2" t="s">
        <v>968</v>
      </c>
      <c r="E13673" s="2"/>
      <c r="F13673" s="2" t="str">
        <f>"9788411223737"</f>
        <v>9788411223737</v>
      </c>
    </row>
    <row r="13674" spans="1:6" s="3" customFormat="1" ht="29.1" customHeight="1" x14ac:dyDescent="0.25">
      <c r="A13674" s="2" t="s">
        <v>27395</v>
      </c>
      <c r="B13674" s="2" t="s">
        <v>27397</v>
      </c>
      <c r="C13674" s="2" t="s">
        <v>27396</v>
      </c>
      <c r="D13674" s="2" t="s">
        <v>2326</v>
      </c>
      <c r="E13674" s="2" t="str">
        <f>"9783161473029"</f>
        <v>9783161473029</v>
      </c>
      <c r="F13674" s="2" t="str">
        <f>"9783161623783"</f>
        <v>9783161623783</v>
      </c>
    </row>
    <row r="13675" spans="1:6" s="3" customFormat="1" ht="29.1" customHeight="1" x14ac:dyDescent="0.25">
      <c r="A13675" s="2" t="s">
        <v>27398</v>
      </c>
      <c r="B13675" s="2" t="s">
        <v>27399</v>
      </c>
      <c r="C13675" s="2" t="s">
        <v>327</v>
      </c>
      <c r="D13675" s="2" t="s">
        <v>4670</v>
      </c>
      <c r="E13675" s="2"/>
      <c r="F13675" s="2" t="str">
        <f>"9788382208986"</f>
        <v>9788382208986</v>
      </c>
    </row>
    <row r="13676" spans="1:6" s="3" customFormat="1" ht="29.1" customHeight="1" x14ac:dyDescent="0.25">
      <c r="A13676" s="2" t="s">
        <v>27400</v>
      </c>
      <c r="B13676" s="2" t="s">
        <v>27401</v>
      </c>
      <c r="C13676" s="2" t="s">
        <v>327</v>
      </c>
      <c r="D13676" s="2" t="s">
        <v>4670</v>
      </c>
      <c r="E13676" s="2" t="str">
        <f>"9788382209334"</f>
        <v>9788382209334</v>
      </c>
      <c r="F13676" s="2" t="str">
        <f>"9788382209341"</f>
        <v>9788382209341</v>
      </c>
    </row>
    <row r="13677" spans="1:6" s="3" customFormat="1" ht="29.1" customHeight="1" x14ac:dyDescent="0.25">
      <c r="A13677" s="2" t="s">
        <v>27402</v>
      </c>
      <c r="B13677" s="2" t="s">
        <v>27403</v>
      </c>
      <c r="C13677" s="2" t="s">
        <v>327</v>
      </c>
      <c r="D13677" s="2" t="s">
        <v>459</v>
      </c>
      <c r="E13677" s="2" t="str">
        <f>"9788382209051"</f>
        <v>9788382209051</v>
      </c>
      <c r="F13677" s="2" t="str">
        <f>"9788382209068"</f>
        <v>9788382209068</v>
      </c>
    </row>
    <row r="13678" spans="1:6" s="3" customFormat="1" ht="29.1" customHeight="1" x14ac:dyDescent="0.25">
      <c r="A13678" s="2" t="s">
        <v>27404</v>
      </c>
      <c r="B13678" s="2" t="s">
        <v>27405</v>
      </c>
      <c r="C13678" s="2" t="s">
        <v>327</v>
      </c>
      <c r="D13678" s="2" t="s">
        <v>16776</v>
      </c>
      <c r="E13678" s="2"/>
      <c r="F13678" s="2" t="str">
        <f>"9788382208269"</f>
        <v>9788382208269</v>
      </c>
    </row>
    <row r="13679" spans="1:6" s="3" customFormat="1" ht="29.1" customHeight="1" x14ac:dyDescent="0.25">
      <c r="A13679" s="2" t="s">
        <v>27406</v>
      </c>
      <c r="B13679" s="2" t="s">
        <v>27407</v>
      </c>
      <c r="C13679" s="2" t="s">
        <v>327</v>
      </c>
      <c r="D13679" s="2" t="s">
        <v>270</v>
      </c>
      <c r="E13679" s="2" t="str">
        <f>"9788382208764"</f>
        <v>9788382208764</v>
      </c>
      <c r="F13679" s="2" t="str">
        <f>"9788382208450"</f>
        <v>9788382208450</v>
      </c>
    </row>
    <row r="13680" spans="1:6" s="3" customFormat="1" ht="29.1" customHeight="1" x14ac:dyDescent="0.25">
      <c r="A13680" s="2" t="s">
        <v>27408</v>
      </c>
      <c r="B13680" s="2" t="s">
        <v>27409</v>
      </c>
      <c r="C13680" s="2" t="s">
        <v>327</v>
      </c>
      <c r="D13680" s="2" t="s">
        <v>183</v>
      </c>
      <c r="E13680" s="2" t="str">
        <f>"9788382207675"</f>
        <v>9788382207675</v>
      </c>
      <c r="F13680" s="2" t="str">
        <f>"9788382207682"</f>
        <v>9788382207682</v>
      </c>
    </row>
    <row r="13681" spans="1:6" s="3" customFormat="1" ht="29.1" customHeight="1" x14ac:dyDescent="0.25">
      <c r="A13681" s="2" t="s">
        <v>27410</v>
      </c>
      <c r="B13681" s="2" t="s">
        <v>27412</v>
      </c>
      <c r="C13681" s="2" t="s">
        <v>327</v>
      </c>
      <c r="D13681" s="2" t="s">
        <v>27411</v>
      </c>
      <c r="E13681" s="2" t="str">
        <f>"9788382208627"</f>
        <v>9788382208627</v>
      </c>
      <c r="F13681" s="2" t="str">
        <f>"9788382208528"</f>
        <v>9788382208528</v>
      </c>
    </row>
    <row r="13682" spans="1:6" s="3" customFormat="1" ht="29.1" customHeight="1" x14ac:dyDescent="0.25">
      <c r="A13682" s="2" t="s">
        <v>27413</v>
      </c>
      <c r="B13682" s="2" t="s">
        <v>27414</v>
      </c>
      <c r="C13682" s="2" t="s">
        <v>327</v>
      </c>
      <c r="D13682" s="2" t="s">
        <v>7436</v>
      </c>
      <c r="E13682" s="2"/>
      <c r="F13682" s="2" t="str">
        <f>"9788382208894"</f>
        <v>9788382208894</v>
      </c>
    </row>
    <row r="13683" spans="1:6" s="3" customFormat="1" ht="29.1" customHeight="1" x14ac:dyDescent="0.25">
      <c r="A13683" s="2" t="s">
        <v>27415</v>
      </c>
      <c r="B13683" s="2" t="s">
        <v>27416</v>
      </c>
      <c r="C13683" s="2" t="s">
        <v>2133</v>
      </c>
      <c r="D13683" s="2" t="s">
        <v>636</v>
      </c>
      <c r="E13683" s="2" t="str">
        <f>"9781760464844"</f>
        <v>9781760464844</v>
      </c>
      <c r="F13683" s="2" t="str">
        <f>"9781760464851"</f>
        <v>9781760464851</v>
      </c>
    </row>
    <row r="13684" spans="1:6" s="3" customFormat="1" ht="29.1" customHeight="1" x14ac:dyDescent="0.25">
      <c r="A13684" s="2" t="s">
        <v>27417</v>
      </c>
      <c r="B13684" s="2" t="s">
        <v>27418</v>
      </c>
      <c r="C13684" s="2" t="s">
        <v>4104</v>
      </c>
      <c r="D13684" s="2" t="s">
        <v>8388</v>
      </c>
      <c r="E13684" s="2" t="str">
        <f>"9781837644278"</f>
        <v>9781837644278</v>
      </c>
      <c r="F13684" s="2" t="str">
        <f>"9781835535653"</f>
        <v>9781835535653</v>
      </c>
    </row>
    <row r="13685" spans="1:6" s="3" customFormat="1" ht="29.1" customHeight="1" x14ac:dyDescent="0.25">
      <c r="A13685" s="2" t="s">
        <v>27419</v>
      </c>
      <c r="B13685" s="2" t="s">
        <v>27420</v>
      </c>
      <c r="C13685" s="2" t="s">
        <v>4104</v>
      </c>
      <c r="D13685" s="2" t="s">
        <v>11087</v>
      </c>
      <c r="E13685" s="2" t="str">
        <f>"9781837644742"</f>
        <v>9781837644742</v>
      </c>
      <c r="F13685" s="2" t="str">
        <f>"9781835536407"</f>
        <v>9781835536407</v>
      </c>
    </row>
    <row r="13686" spans="1:6" s="3" customFormat="1" ht="29.1" customHeight="1" x14ac:dyDescent="0.25">
      <c r="A13686" s="2" t="s">
        <v>27421</v>
      </c>
      <c r="B13686" s="2" t="s">
        <v>27422</v>
      </c>
      <c r="C13686" s="2" t="s">
        <v>4104</v>
      </c>
      <c r="D13686" s="2" t="s">
        <v>3130</v>
      </c>
      <c r="E13686" s="2" t="str">
        <f>"9781789621242"</f>
        <v>9781789621242</v>
      </c>
      <c r="F13686" s="2" t="str">
        <f>"9781789624274"</f>
        <v>9781789624274</v>
      </c>
    </row>
    <row r="13687" spans="1:6" s="3" customFormat="1" ht="29.1" customHeight="1" x14ac:dyDescent="0.25">
      <c r="A13687" s="2" t="s">
        <v>27423</v>
      </c>
      <c r="B13687" s="2" t="s">
        <v>27424</v>
      </c>
      <c r="C13687" s="2" t="s">
        <v>644</v>
      </c>
      <c r="D13687" s="2" t="s">
        <v>636</v>
      </c>
      <c r="E13687" s="2"/>
      <c r="F13687" s="2" t="str">
        <f>"9781478093626"</f>
        <v>9781478093626</v>
      </c>
    </row>
    <row r="13688" spans="1:6" s="3" customFormat="1" ht="29.1" customHeight="1" x14ac:dyDescent="0.25">
      <c r="A13688" s="2" t="s">
        <v>27425</v>
      </c>
      <c r="B13688" s="2" t="s">
        <v>27426</v>
      </c>
      <c r="C13688" s="2" t="s">
        <v>264</v>
      </c>
      <c r="D13688" s="2" t="s">
        <v>284</v>
      </c>
      <c r="E13688" s="2" t="str">
        <f>"9781032350561"</f>
        <v>9781032350561</v>
      </c>
      <c r="F13688" s="2" t="str">
        <f>"9781000886078"</f>
        <v>9781000886078</v>
      </c>
    </row>
    <row r="13689" spans="1:6" s="3" customFormat="1" ht="29.1" customHeight="1" x14ac:dyDescent="0.25">
      <c r="A13689" s="2" t="s">
        <v>27427</v>
      </c>
      <c r="B13689" s="2" t="s">
        <v>27428</v>
      </c>
      <c r="C13689" s="2" t="s">
        <v>248</v>
      </c>
      <c r="D13689" s="2" t="s">
        <v>1927</v>
      </c>
      <c r="E13689" s="2" t="str">
        <f>"9783847426462"</f>
        <v>9783847426462</v>
      </c>
      <c r="F13689" s="2" t="str">
        <f>"9783847418160"</f>
        <v>9783847418160</v>
      </c>
    </row>
    <row r="13690" spans="1:6" s="3" customFormat="1" ht="29.1" customHeight="1" x14ac:dyDescent="0.25">
      <c r="A13690" s="2" t="s">
        <v>27429</v>
      </c>
      <c r="B13690" s="2" t="s">
        <v>27430</v>
      </c>
      <c r="C13690" s="2" t="s">
        <v>248</v>
      </c>
      <c r="D13690" s="2" t="s">
        <v>712</v>
      </c>
      <c r="E13690" s="2" t="str">
        <f>"9783847426691"</f>
        <v>9783847426691</v>
      </c>
      <c r="F13690" s="2" t="str">
        <f>"9783847418405"</f>
        <v>9783847418405</v>
      </c>
    </row>
    <row r="13691" spans="1:6" s="3" customFormat="1" ht="29.1" customHeight="1" x14ac:dyDescent="0.25">
      <c r="A13691" s="2" t="s">
        <v>27431</v>
      </c>
      <c r="B13691" s="2" t="s">
        <v>27432</v>
      </c>
      <c r="C13691" s="2" t="s">
        <v>2188</v>
      </c>
      <c r="D13691" s="2" t="s">
        <v>33</v>
      </c>
      <c r="E13691" s="2" t="str">
        <f>"9788323241423"</f>
        <v>9788323241423</v>
      </c>
      <c r="F13691" s="2" t="str">
        <f>"9788323241430"</f>
        <v>9788323241430</v>
      </c>
    </row>
    <row r="13692" spans="1:6" s="3" customFormat="1" ht="29.1" customHeight="1" x14ac:dyDescent="0.25">
      <c r="A13692" s="2" t="s">
        <v>27433</v>
      </c>
      <c r="B13692" s="2" t="s">
        <v>27434</v>
      </c>
      <c r="C13692" s="2" t="s">
        <v>2188</v>
      </c>
      <c r="D13692" s="2" t="s">
        <v>2307</v>
      </c>
      <c r="E13692" s="2" t="str">
        <f>"9788323241645"</f>
        <v>9788323241645</v>
      </c>
      <c r="F13692" s="2" t="str">
        <f>"9788323241652"</f>
        <v>9788323241652</v>
      </c>
    </row>
    <row r="13693" spans="1:6" s="3" customFormat="1" ht="29.1" customHeight="1" x14ac:dyDescent="0.25">
      <c r="A13693" s="2" t="s">
        <v>27435</v>
      </c>
      <c r="B13693" s="2" t="s">
        <v>27436</v>
      </c>
      <c r="C13693" s="2" t="s">
        <v>316</v>
      </c>
      <c r="D13693" s="2" t="s">
        <v>317</v>
      </c>
      <c r="E13693" s="2" t="str">
        <f>"9783036402925"</f>
        <v>9783036402925</v>
      </c>
      <c r="F13693" s="2" t="str">
        <f>"9783036412924"</f>
        <v>9783036412924</v>
      </c>
    </row>
    <row r="13694" spans="1:6" s="3" customFormat="1" ht="29.1" customHeight="1" x14ac:dyDescent="0.25">
      <c r="A13694" s="2" t="s">
        <v>27437</v>
      </c>
      <c r="B13694" s="2" t="s">
        <v>27438</v>
      </c>
      <c r="C13694" s="2" t="s">
        <v>8104</v>
      </c>
      <c r="D13694" s="2" t="s">
        <v>2433</v>
      </c>
      <c r="E13694" s="2" t="str">
        <f>"9781805391708"</f>
        <v>9781805391708</v>
      </c>
      <c r="F13694" s="2" t="str">
        <f>"9781805391715"</f>
        <v>9781805391715</v>
      </c>
    </row>
    <row r="13695" spans="1:6" s="3" customFormat="1" ht="29.1" customHeight="1" x14ac:dyDescent="0.25">
      <c r="A13695" s="2" t="s">
        <v>27439</v>
      </c>
      <c r="B13695" s="2" t="s">
        <v>27440</v>
      </c>
      <c r="C13695" s="2" t="s">
        <v>124</v>
      </c>
      <c r="D13695" s="2" t="s">
        <v>183</v>
      </c>
      <c r="E13695" s="2" t="str">
        <f>"9781032314525"</f>
        <v>9781032314525</v>
      </c>
      <c r="F13695" s="2" t="str">
        <f>"9781000888744"</f>
        <v>9781000888744</v>
      </c>
    </row>
    <row r="13696" spans="1:6" s="3" customFormat="1" ht="29.1" customHeight="1" x14ac:dyDescent="0.25">
      <c r="A13696" s="2" t="s">
        <v>27441</v>
      </c>
      <c r="B13696" s="2" t="s">
        <v>27442</v>
      </c>
      <c r="C13696" s="2" t="s">
        <v>15181</v>
      </c>
      <c r="D13696" s="2" t="s">
        <v>653</v>
      </c>
      <c r="E13696" s="2" t="str">
        <f>"9789087283957"</f>
        <v>9789087283957</v>
      </c>
      <c r="F13696" s="2" t="str">
        <f>"9789400604407"</f>
        <v>9789400604407</v>
      </c>
    </row>
    <row r="13697" spans="1:6" s="3" customFormat="1" ht="29.1" customHeight="1" x14ac:dyDescent="0.25">
      <c r="A13697" s="2" t="s">
        <v>1346</v>
      </c>
      <c r="B13697" s="2" t="s">
        <v>27443</v>
      </c>
      <c r="C13697" s="2" t="s">
        <v>1070</v>
      </c>
      <c r="D13697" s="2" t="s">
        <v>1310</v>
      </c>
      <c r="E13697" s="2" t="str">
        <f>"9783318070217"</f>
        <v>9783318070217</v>
      </c>
      <c r="F13697" s="2" t="str">
        <f>"9783318070026"</f>
        <v>9783318070026</v>
      </c>
    </row>
    <row r="13698" spans="1:6" s="3" customFormat="1" ht="29.1" customHeight="1" x14ac:dyDescent="0.25">
      <c r="A13698" s="2" t="s">
        <v>27444</v>
      </c>
      <c r="B13698" s="2" t="s">
        <v>27445</v>
      </c>
      <c r="C13698" s="2" t="s">
        <v>3154</v>
      </c>
      <c r="D13698" s="2" t="s">
        <v>78</v>
      </c>
      <c r="E13698" s="2" t="str">
        <f>"9789523690790"</f>
        <v>9789523690790</v>
      </c>
      <c r="F13698" s="2" t="str">
        <f>"9789523690806"</f>
        <v>9789523690806</v>
      </c>
    </row>
    <row r="13699" spans="1:6" s="3" customFormat="1" ht="29.1" customHeight="1" x14ac:dyDescent="0.25">
      <c r="A13699" s="2" t="s">
        <v>27446</v>
      </c>
      <c r="B13699" s="2" t="s">
        <v>27447</v>
      </c>
      <c r="C13699" s="2" t="s">
        <v>124</v>
      </c>
      <c r="D13699" s="2" t="s">
        <v>75</v>
      </c>
      <c r="E13699" s="2" t="str">
        <f>"9781032426365"</f>
        <v>9781032426365</v>
      </c>
      <c r="F13699" s="2" t="str">
        <f>"9781000865127"</f>
        <v>9781000865127</v>
      </c>
    </row>
    <row r="13700" spans="1:6" s="3" customFormat="1" ht="29.1" customHeight="1" x14ac:dyDescent="0.25">
      <c r="A13700" s="2" t="s">
        <v>27448</v>
      </c>
      <c r="B13700" s="2" t="s">
        <v>27449</v>
      </c>
      <c r="C13700" s="2" t="s">
        <v>2133</v>
      </c>
      <c r="D13700" s="2" t="s">
        <v>1245</v>
      </c>
      <c r="E13700" s="2" t="str">
        <f>"9781760465476"</f>
        <v>9781760465476</v>
      </c>
      <c r="F13700" s="2" t="str">
        <f>"9781760465483"</f>
        <v>9781760465483</v>
      </c>
    </row>
    <row r="13701" spans="1:6" s="3" customFormat="1" ht="29.1" customHeight="1" x14ac:dyDescent="0.25">
      <c r="A13701" s="2" t="s">
        <v>27450</v>
      </c>
      <c r="B13701" s="2" t="s">
        <v>27451</v>
      </c>
      <c r="C13701" s="2" t="s">
        <v>62</v>
      </c>
      <c r="D13701" s="2" t="s">
        <v>3963</v>
      </c>
      <c r="E13701" s="2" t="str">
        <f>"9783428182879"</f>
        <v>9783428182879</v>
      </c>
      <c r="F13701" s="2" t="str">
        <f>"9783428582877"</f>
        <v>9783428582877</v>
      </c>
    </row>
    <row r="13702" spans="1:6" s="3" customFormat="1" ht="29.1" customHeight="1" x14ac:dyDescent="0.25">
      <c r="A13702" s="2" t="s">
        <v>27452</v>
      </c>
      <c r="B13702" s="2" t="s">
        <v>27453</v>
      </c>
      <c r="C13702" s="2" t="s">
        <v>595</v>
      </c>
      <c r="D13702" s="2" t="s">
        <v>183</v>
      </c>
      <c r="E13702" s="2" t="str">
        <f>"9781433191473"</f>
        <v>9781433191473</v>
      </c>
      <c r="F13702" s="2" t="str">
        <f>"9781433191480"</f>
        <v>9781433191480</v>
      </c>
    </row>
    <row r="13703" spans="1:6" s="3" customFormat="1" ht="29.1" customHeight="1" x14ac:dyDescent="0.25">
      <c r="A13703" s="2" t="s">
        <v>27454</v>
      </c>
      <c r="B13703" s="2" t="s">
        <v>27455</v>
      </c>
      <c r="C13703" s="2" t="s">
        <v>595</v>
      </c>
      <c r="D13703" s="2" t="s">
        <v>446</v>
      </c>
      <c r="E13703" s="2" t="str">
        <f>"9783631874554"</f>
        <v>9783631874554</v>
      </c>
      <c r="F13703" s="2" t="str">
        <f>"9783631899175"</f>
        <v>9783631899175</v>
      </c>
    </row>
    <row r="13704" spans="1:6" s="3" customFormat="1" ht="29.1" customHeight="1" x14ac:dyDescent="0.25">
      <c r="A13704" s="2" t="s">
        <v>27456</v>
      </c>
      <c r="B13704" s="2" t="s">
        <v>27457</v>
      </c>
      <c r="C13704" s="2" t="s">
        <v>746</v>
      </c>
      <c r="D13704" s="2" t="s">
        <v>6440</v>
      </c>
      <c r="E13704" s="2" t="str">
        <f>"9781803274737"</f>
        <v>9781803274737</v>
      </c>
      <c r="F13704" s="2" t="str">
        <f>"9781803274744"</f>
        <v>9781803274744</v>
      </c>
    </row>
    <row r="13705" spans="1:6" s="3" customFormat="1" ht="29.1" customHeight="1" x14ac:dyDescent="0.25">
      <c r="A13705" s="2" t="s">
        <v>27458</v>
      </c>
      <c r="B13705" s="2" t="s">
        <v>27459</v>
      </c>
      <c r="C13705" s="2" t="s">
        <v>264</v>
      </c>
      <c r="D13705" s="2" t="s">
        <v>8591</v>
      </c>
      <c r="E13705" s="2" t="str">
        <f>"9781032311913"</f>
        <v>9781032311913</v>
      </c>
      <c r="F13705" s="2" t="str">
        <f>"9781000871531"</f>
        <v>9781000871531</v>
      </c>
    </row>
    <row r="13706" spans="1:6" s="3" customFormat="1" ht="29.1" customHeight="1" x14ac:dyDescent="0.25">
      <c r="A13706" s="2" t="s">
        <v>27460</v>
      </c>
      <c r="B13706" s="2" t="s">
        <v>27461</v>
      </c>
      <c r="C13706" s="2" t="s">
        <v>264</v>
      </c>
      <c r="D13706" s="2" t="s">
        <v>9</v>
      </c>
      <c r="E13706" s="2" t="str">
        <f>"9781032432939"</f>
        <v>9781032432939</v>
      </c>
      <c r="F13706" s="2" t="str">
        <f>"9781000911336"</f>
        <v>9781000911336</v>
      </c>
    </row>
    <row r="13707" spans="1:6" s="3" customFormat="1" ht="29.1" customHeight="1" x14ac:dyDescent="0.25">
      <c r="A13707" s="2" t="s">
        <v>27462</v>
      </c>
      <c r="B13707" s="2" t="s">
        <v>11661</v>
      </c>
      <c r="C13707" s="2" t="s">
        <v>124</v>
      </c>
      <c r="D13707" s="2" t="s">
        <v>1463</v>
      </c>
      <c r="E13707" s="2" t="str">
        <f>"9781032410326"</f>
        <v>9781032410326</v>
      </c>
      <c r="F13707" s="2" t="str">
        <f>"9781000889468"</f>
        <v>9781000889468</v>
      </c>
    </row>
    <row r="13708" spans="1:6" s="3" customFormat="1" ht="29.1" customHeight="1" x14ac:dyDescent="0.25">
      <c r="A13708" s="2" t="s">
        <v>27463</v>
      </c>
      <c r="B13708" s="2" t="s">
        <v>27464</v>
      </c>
      <c r="C13708" s="2" t="s">
        <v>124</v>
      </c>
      <c r="D13708" s="2" t="s">
        <v>6714</v>
      </c>
      <c r="E13708" s="2" t="str">
        <f>"9781032254630"</f>
        <v>9781032254630</v>
      </c>
      <c r="F13708" s="2" t="str">
        <f>"9781000883626"</f>
        <v>9781000883626</v>
      </c>
    </row>
    <row r="13709" spans="1:6" s="3" customFormat="1" ht="29.1" customHeight="1" x14ac:dyDescent="0.25">
      <c r="A13709" s="2" t="s">
        <v>27465</v>
      </c>
      <c r="B13709" s="2" t="s">
        <v>27466</v>
      </c>
      <c r="C13709" s="2" t="s">
        <v>124</v>
      </c>
      <c r="D13709" s="2" t="s">
        <v>81</v>
      </c>
      <c r="E13709" s="2" t="str">
        <f>"9781032134741"</f>
        <v>9781032134741</v>
      </c>
      <c r="F13709" s="2" t="str">
        <f>"9781000859201"</f>
        <v>9781000859201</v>
      </c>
    </row>
    <row r="13710" spans="1:6" s="3" customFormat="1" ht="29.1" customHeight="1" x14ac:dyDescent="0.25">
      <c r="A13710" s="2" t="s">
        <v>27467</v>
      </c>
      <c r="B13710" s="2" t="s">
        <v>27468</v>
      </c>
      <c r="C13710" s="2" t="s">
        <v>124</v>
      </c>
      <c r="D13710" s="2" t="s">
        <v>984</v>
      </c>
      <c r="E13710" s="2" t="str">
        <f>"9781032425177"</f>
        <v>9781032425177</v>
      </c>
      <c r="F13710" s="2" t="str">
        <f>"9781000875836"</f>
        <v>9781000875836</v>
      </c>
    </row>
    <row r="13711" spans="1:6" s="3" customFormat="1" ht="29.1" customHeight="1" x14ac:dyDescent="0.25">
      <c r="A13711" s="2" t="s">
        <v>1344</v>
      </c>
      <c r="B13711" s="2" t="s">
        <v>27469</v>
      </c>
      <c r="C13711" s="2" t="s">
        <v>1070</v>
      </c>
      <c r="D13711" s="2" t="s">
        <v>1272</v>
      </c>
      <c r="E13711" s="2" t="str">
        <f>"9783318071597"</f>
        <v>9783318071597</v>
      </c>
      <c r="F13711" s="2" t="str">
        <f>"9783318005028"</f>
        <v>9783318005028</v>
      </c>
    </row>
    <row r="13712" spans="1:6" s="3" customFormat="1" ht="29.1" customHeight="1" x14ac:dyDescent="0.25">
      <c r="A13712" s="2" t="s">
        <v>27470</v>
      </c>
      <c r="B13712" s="2" t="s">
        <v>27471</v>
      </c>
      <c r="C13712" s="2" t="s">
        <v>124</v>
      </c>
      <c r="D13712" s="2" t="s">
        <v>183</v>
      </c>
      <c r="E13712" s="2" t="str">
        <f>"9781032428581"</f>
        <v>9781032428581</v>
      </c>
      <c r="F13712" s="2" t="str">
        <f>"9781000888348"</f>
        <v>9781000888348</v>
      </c>
    </row>
    <row r="13713" spans="1:6" s="3" customFormat="1" ht="29.1" customHeight="1" x14ac:dyDescent="0.25">
      <c r="A13713" s="2" t="s">
        <v>27472</v>
      </c>
      <c r="B13713" s="2" t="s">
        <v>27474</v>
      </c>
      <c r="C13713" s="2" t="s">
        <v>124</v>
      </c>
      <c r="D13713" s="2" t="s">
        <v>7734</v>
      </c>
      <c r="E13713" s="2" t="str">
        <f>"9781032280073"</f>
        <v>9781032280073</v>
      </c>
      <c r="F13713" s="2" t="str">
        <f>"9781000878158"</f>
        <v>9781000878158</v>
      </c>
    </row>
    <row r="13714" spans="1:6" s="3" customFormat="1" ht="29.1" customHeight="1" x14ac:dyDescent="0.25">
      <c r="A13714" s="2" t="s">
        <v>27475</v>
      </c>
      <c r="B13714" s="2" t="s">
        <v>27476</v>
      </c>
      <c r="C13714" s="2" t="s">
        <v>4788</v>
      </c>
      <c r="D13714" s="2" t="s">
        <v>3993</v>
      </c>
      <c r="E13714" s="2" t="str">
        <f>"9781399511810"</f>
        <v>9781399511810</v>
      </c>
      <c r="F13714" s="2" t="str">
        <f>"9781399511834"</f>
        <v>9781399511834</v>
      </c>
    </row>
    <row r="13715" spans="1:6" s="3" customFormat="1" ht="29.1" customHeight="1" x14ac:dyDescent="0.25">
      <c r="A13715" s="2" t="s">
        <v>27477</v>
      </c>
      <c r="B13715" s="2" t="s">
        <v>27478</v>
      </c>
      <c r="C13715" s="2" t="s">
        <v>4788</v>
      </c>
      <c r="D13715" s="2" t="s">
        <v>4415</v>
      </c>
      <c r="E13715" s="2" t="str">
        <f>"9781474489928"</f>
        <v>9781474489928</v>
      </c>
      <c r="F13715" s="2" t="str">
        <f>"9781474489942"</f>
        <v>9781474489942</v>
      </c>
    </row>
    <row r="13716" spans="1:6" s="3" customFormat="1" ht="29.1" customHeight="1" x14ac:dyDescent="0.25">
      <c r="A13716" s="2" t="s">
        <v>27479</v>
      </c>
      <c r="B13716" s="2" t="s">
        <v>27481</v>
      </c>
      <c r="C13716" s="2" t="s">
        <v>327</v>
      </c>
      <c r="D13716" s="2" t="s">
        <v>27480</v>
      </c>
      <c r="E13716" s="2" t="str">
        <f>"9788383310923"</f>
        <v>9788383310923</v>
      </c>
      <c r="F13716" s="2" t="str">
        <f>"9788383310930"</f>
        <v>9788383310930</v>
      </c>
    </row>
    <row r="13717" spans="1:6" s="3" customFormat="1" ht="29.1" customHeight="1" x14ac:dyDescent="0.25">
      <c r="A13717" s="2" t="s">
        <v>27482</v>
      </c>
      <c r="B13717" s="2" t="s">
        <v>27483</v>
      </c>
      <c r="C13717" s="2" t="s">
        <v>327</v>
      </c>
      <c r="D13717" s="2" t="s">
        <v>210</v>
      </c>
      <c r="E13717" s="2" t="str">
        <f>"9788383310145"</f>
        <v>9788383310145</v>
      </c>
      <c r="F13717" s="2" t="str">
        <f>"9788383310152"</f>
        <v>9788383310152</v>
      </c>
    </row>
    <row r="13718" spans="1:6" s="3" customFormat="1" ht="29.1" customHeight="1" x14ac:dyDescent="0.25">
      <c r="A13718" s="2" t="s">
        <v>27484</v>
      </c>
      <c r="B13718" s="2" t="s">
        <v>27485</v>
      </c>
      <c r="C13718" s="2" t="s">
        <v>327</v>
      </c>
      <c r="D13718" s="2" t="s">
        <v>186</v>
      </c>
      <c r="E13718" s="2"/>
      <c r="F13718" s="2" t="str">
        <f>"9788381427661"</f>
        <v>9788381427661</v>
      </c>
    </row>
    <row r="13719" spans="1:6" s="3" customFormat="1" ht="29.1" customHeight="1" x14ac:dyDescent="0.25">
      <c r="A13719" s="2" t="s">
        <v>27486</v>
      </c>
      <c r="B13719" s="2" t="s">
        <v>27487</v>
      </c>
      <c r="C13719" s="2" t="s">
        <v>327</v>
      </c>
      <c r="D13719" s="2" t="s">
        <v>8413</v>
      </c>
      <c r="E13719" s="2" t="str">
        <f>"9788383310121"</f>
        <v>9788383310121</v>
      </c>
      <c r="F13719" s="2" t="str">
        <f>"9788383310138"</f>
        <v>9788383310138</v>
      </c>
    </row>
    <row r="13720" spans="1:6" s="3" customFormat="1" ht="29.1" customHeight="1" x14ac:dyDescent="0.25">
      <c r="A13720" s="2" t="s">
        <v>27488</v>
      </c>
      <c r="B13720" s="2" t="s">
        <v>27489</v>
      </c>
      <c r="C13720" s="2" t="s">
        <v>327</v>
      </c>
      <c r="D13720" s="2" t="s">
        <v>1127</v>
      </c>
      <c r="E13720" s="2"/>
      <c r="F13720" s="2" t="str">
        <f>"9788382209730"</f>
        <v>9788382209730</v>
      </c>
    </row>
    <row r="13721" spans="1:6" s="3" customFormat="1" ht="29.1" customHeight="1" x14ac:dyDescent="0.25">
      <c r="A13721" s="2" t="s">
        <v>27490</v>
      </c>
      <c r="B13721" s="2" t="s">
        <v>27491</v>
      </c>
      <c r="C13721" s="2" t="s">
        <v>327</v>
      </c>
      <c r="D13721" s="2" t="s">
        <v>984</v>
      </c>
      <c r="E13721" s="2"/>
      <c r="F13721" s="2" t="str">
        <f>"9788383310183"</f>
        <v>9788383310183</v>
      </c>
    </row>
    <row r="13722" spans="1:6" s="3" customFormat="1" ht="29.1" customHeight="1" x14ac:dyDescent="0.25">
      <c r="A13722" s="2" t="s">
        <v>27492</v>
      </c>
      <c r="B13722" s="2" t="s">
        <v>27493</v>
      </c>
      <c r="C13722" s="2" t="s">
        <v>327</v>
      </c>
      <c r="D13722" s="2" t="s">
        <v>2593</v>
      </c>
      <c r="E13722" s="2" t="str">
        <f>"9788382209457"</f>
        <v>9788382209457</v>
      </c>
      <c r="F13722" s="2" t="str">
        <f>"9788382209464"</f>
        <v>9788382209464</v>
      </c>
    </row>
    <row r="13723" spans="1:6" s="3" customFormat="1" ht="29.1" customHeight="1" x14ac:dyDescent="0.25">
      <c r="A13723" s="2" t="s">
        <v>27494</v>
      </c>
      <c r="B13723" s="2" t="s">
        <v>27495</v>
      </c>
      <c r="C13723" s="2" t="s">
        <v>327</v>
      </c>
      <c r="D13723" s="2" t="s">
        <v>7436</v>
      </c>
      <c r="E13723" s="2" t="str">
        <f>"9788382209662"</f>
        <v>9788382209662</v>
      </c>
      <c r="F13723" s="2" t="str">
        <f>"9788382209679"</f>
        <v>9788382209679</v>
      </c>
    </row>
    <row r="13724" spans="1:6" s="3" customFormat="1" ht="29.1" customHeight="1" x14ac:dyDescent="0.25">
      <c r="A13724" s="2" t="s">
        <v>27496</v>
      </c>
      <c r="B13724" s="2" t="s">
        <v>5084</v>
      </c>
      <c r="C13724" s="2" t="s">
        <v>327</v>
      </c>
      <c r="D13724" s="2" t="s">
        <v>2019</v>
      </c>
      <c r="E13724" s="2"/>
      <c r="F13724" s="2" t="str">
        <f>"9788383310480"</f>
        <v>9788383310480</v>
      </c>
    </row>
    <row r="13725" spans="1:6" s="3" customFormat="1" ht="29.1" customHeight="1" x14ac:dyDescent="0.25">
      <c r="A13725" s="2" t="s">
        <v>27497</v>
      </c>
      <c r="B13725" s="2" t="s">
        <v>27498</v>
      </c>
      <c r="C13725" s="2" t="s">
        <v>927</v>
      </c>
      <c r="D13725" s="2" t="s">
        <v>270</v>
      </c>
      <c r="E13725" s="2" t="str">
        <f>"9780472056002"</f>
        <v>9780472056002</v>
      </c>
      <c r="F13725" s="2" t="str">
        <f>"9780472903344"</f>
        <v>9780472903344</v>
      </c>
    </row>
    <row r="13726" spans="1:6" s="3" customFormat="1" ht="29.1" customHeight="1" x14ac:dyDescent="0.25">
      <c r="A13726" s="2" t="s">
        <v>27499</v>
      </c>
      <c r="B13726" s="2" t="s">
        <v>27500</v>
      </c>
      <c r="C13726" s="2" t="s">
        <v>556</v>
      </c>
      <c r="D13726" s="2" t="s">
        <v>218</v>
      </c>
      <c r="E13726" s="2" t="str">
        <f>"9783837668346"</f>
        <v>9783837668346</v>
      </c>
      <c r="F13726" s="2" t="str">
        <f>"9783839468340"</f>
        <v>9783839468340</v>
      </c>
    </row>
    <row r="13727" spans="1:6" s="3" customFormat="1" ht="29.1" customHeight="1" x14ac:dyDescent="0.25">
      <c r="A13727" s="2" t="s">
        <v>27501</v>
      </c>
      <c r="B13727" s="2" t="s">
        <v>27502</v>
      </c>
      <c r="C13727" s="2" t="s">
        <v>556</v>
      </c>
      <c r="D13727" s="2" t="s">
        <v>2005</v>
      </c>
      <c r="E13727" s="2" t="str">
        <f>"9783837666427"</f>
        <v>9783837666427</v>
      </c>
      <c r="F13727" s="2" t="str">
        <f>"9783839466421"</f>
        <v>9783839466421</v>
      </c>
    </row>
    <row r="13728" spans="1:6" s="3" customFormat="1" ht="29.1" customHeight="1" x14ac:dyDescent="0.25">
      <c r="A13728" s="2" t="s">
        <v>27503</v>
      </c>
      <c r="B13728" s="2" t="s">
        <v>27504</v>
      </c>
      <c r="C13728" s="2" t="s">
        <v>556</v>
      </c>
      <c r="D13728" s="2" t="s">
        <v>1637</v>
      </c>
      <c r="E13728" s="2" t="str">
        <f>"9783837666182"</f>
        <v>9783837666182</v>
      </c>
      <c r="F13728" s="2" t="str">
        <f>"9783839466186"</f>
        <v>9783839466186</v>
      </c>
    </row>
    <row r="13729" spans="1:6" s="3" customFormat="1" ht="29.1" customHeight="1" x14ac:dyDescent="0.25">
      <c r="A13729" s="2" t="s">
        <v>27505</v>
      </c>
      <c r="B13729" s="2" t="s">
        <v>27506</v>
      </c>
      <c r="C13729" s="2" t="s">
        <v>556</v>
      </c>
      <c r="D13729" s="2" t="s">
        <v>1189</v>
      </c>
      <c r="E13729" s="2" t="str">
        <f>"9783837666175"</f>
        <v>9783837666175</v>
      </c>
      <c r="F13729" s="2" t="str">
        <f>"9783839466179"</f>
        <v>9783839466179</v>
      </c>
    </row>
    <row r="13730" spans="1:6" s="3" customFormat="1" ht="29.1" customHeight="1" x14ac:dyDescent="0.25">
      <c r="A13730" s="2" t="s">
        <v>27507</v>
      </c>
      <c r="B13730" s="2" t="s">
        <v>27508</v>
      </c>
      <c r="C13730" s="2" t="s">
        <v>556</v>
      </c>
      <c r="D13730" s="2" t="s">
        <v>1162</v>
      </c>
      <c r="E13730" s="2" t="str">
        <f>"9783837665819"</f>
        <v>9783837665819</v>
      </c>
      <c r="F13730" s="2" t="str">
        <f>"9783732865819"</f>
        <v>9783732865819</v>
      </c>
    </row>
    <row r="13731" spans="1:6" s="3" customFormat="1" ht="29.1" customHeight="1" x14ac:dyDescent="0.25">
      <c r="A13731" s="2" t="s">
        <v>27509</v>
      </c>
      <c r="B13731" s="2" t="s">
        <v>27510</v>
      </c>
      <c r="C13731" s="2" t="s">
        <v>556</v>
      </c>
      <c r="D13731" s="2" t="s">
        <v>7280</v>
      </c>
      <c r="E13731" s="2" t="str">
        <f>"9783837665666"</f>
        <v>9783837665666</v>
      </c>
      <c r="F13731" s="2" t="str">
        <f>"9783839465660"</f>
        <v>9783839465660</v>
      </c>
    </row>
    <row r="13732" spans="1:6" s="3" customFormat="1" ht="29.1" customHeight="1" x14ac:dyDescent="0.25">
      <c r="A13732" s="2" t="s">
        <v>27511</v>
      </c>
      <c r="B13732" s="2" t="s">
        <v>27513</v>
      </c>
      <c r="C13732" s="2" t="s">
        <v>556</v>
      </c>
      <c r="D13732" s="2" t="s">
        <v>27512</v>
      </c>
      <c r="E13732" s="2" t="str">
        <f>"9783837665642"</f>
        <v>9783837665642</v>
      </c>
      <c r="F13732" s="2" t="str">
        <f>"9783839465646"</f>
        <v>9783839465646</v>
      </c>
    </row>
    <row r="13733" spans="1:6" s="3" customFormat="1" ht="29.1" customHeight="1" x14ac:dyDescent="0.25">
      <c r="A13733" s="2" t="s">
        <v>27514</v>
      </c>
      <c r="B13733" s="2" t="s">
        <v>27515</v>
      </c>
      <c r="C13733" s="2" t="s">
        <v>556</v>
      </c>
      <c r="D13733" s="2" t="s">
        <v>1141</v>
      </c>
      <c r="E13733" s="2" t="str">
        <f>"9783837665468"</f>
        <v>9783837665468</v>
      </c>
      <c r="F13733" s="2" t="str">
        <f>"9783839465462"</f>
        <v>9783839465462</v>
      </c>
    </row>
    <row r="13734" spans="1:6" s="3" customFormat="1" ht="29.1" customHeight="1" x14ac:dyDescent="0.25">
      <c r="A13734" s="2" t="s">
        <v>27516</v>
      </c>
      <c r="B13734" s="2" t="s">
        <v>27517</v>
      </c>
      <c r="C13734" s="2" t="s">
        <v>556</v>
      </c>
      <c r="D13734" s="2" t="s">
        <v>4030</v>
      </c>
      <c r="E13734" s="2" t="str">
        <f>"9783837665161"</f>
        <v>9783837665161</v>
      </c>
      <c r="F13734" s="2" t="str">
        <f>"9783839465165"</f>
        <v>9783839465165</v>
      </c>
    </row>
    <row r="13735" spans="1:6" s="3" customFormat="1" ht="29.1" customHeight="1" x14ac:dyDescent="0.25">
      <c r="A13735" s="2" t="s">
        <v>27518</v>
      </c>
      <c r="B13735" s="2" t="s">
        <v>27519</v>
      </c>
      <c r="C13735" s="2" t="s">
        <v>556</v>
      </c>
      <c r="D13735" s="2" t="s">
        <v>4210</v>
      </c>
      <c r="E13735" s="2" t="str">
        <f>"9783837664942"</f>
        <v>9783837664942</v>
      </c>
      <c r="F13735" s="2" t="str">
        <f>"9783839464946"</f>
        <v>9783839464946</v>
      </c>
    </row>
    <row r="13736" spans="1:6" s="3" customFormat="1" ht="29.1" customHeight="1" x14ac:dyDescent="0.25">
      <c r="A13736" s="2" t="s">
        <v>27520</v>
      </c>
      <c r="B13736" s="2" t="s">
        <v>27521</v>
      </c>
      <c r="C13736" s="2" t="s">
        <v>556</v>
      </c>
      <c r="D13736" s="2" t="s">
        <v>249</v>
      </c>
      <c r="E13736" s="2" t="str">
        <f>"9783837664690"</f>
        <v>9783837664690</v>
      </c>
      <c r="F13736" s="2" t="str">
        <f>"9783839464694"</f>
        <v>9783839464694</v>
      </c>
    </row>
    <row r="13737" spans="1:6" s="3" customFormat="1" ht="29.1" customHeight="1" x14ac:dyDescent="0.25">
      <c r="A13737" s="2" t="s">
        <v>27522</v>
      </c>
      <c r="B13737" s="2" t="s">
        <v>13916</v>
      </c>
      <c r="C13737" s="2" t="s">
        <v>556</v>
      </c>
      <c r="D13737" s="2" t="s">
        <v>981</v>
      </c>
      <c r="E13737" s="2" t="str">
        <f>"9783837662955"</f>
        <v>9783837662955</v>
      </c>
      <c r="F13737" s="2" t="str">
        <f>"9783839462959"</f>
        <v>9783839462959</v>
      </c>
    </row>
    <row r="13738" spans="1:6" s="3" customFormat="1" ht="29.1" customHeight="1" x14ac:dyDescent="0.25">
      <c r="A13738" s="2" t="s">
        <v>27523</v>
      </c>
      <c r="B13738" s="2" t="s">
        <v>27524</v>
      </c>
      <c r="C13738" s="2" t="s">
        <v>556</v>
      </c>
      <c r="D13738" s="2" t="s">
        <v>26993</v>
      </c>
      <c r="E13738" s="2" t="str">
        <f>"9783837662221"</f>
        <v>9783837662221</v>
      </c>
      <c r="F13738" s="2" t="str">
        <f>"9783839462225"</f>
        <v>9783839462225</v>
      </c>
    </row>
    <row r="13739" spans="1:6" s="3" customFormat="1" ht="29.1" customHeight="1" x14ac:dyDescent="0.25">
      <c r="A13739" s="2" t="s">
        <v>27525</v>
      </c>
      <c r="B13739" s="2" t="s">
        <v>27526</v>
      </c>
      <c r="C13739" s="2" t="s">
        <v>556</v>
      </c>
      <c r="D13739" s="2" t="s">
        <v>553</v>
      </c>
      <c r="E13739" s="2" t="str">
        <f>"9783837657692"</f>
        <v>9783837657692</v>
      </c>
      <c r="F13739" s="2" t="str">
        <f>"9783839457696"</f>
        <v>9783839457696</v>
      </c>
    </row>
    <row r="13740" spans="1:6" s="3" customFormat="1" ht="29.1" customHeight="1" x14ac:dyDescent="0.25">
      <c r="A13740" s="2" t="s">
        <v>27527</v>
      </c>
      <c r="B13740" s="2" t="s">
        <v>27528</v>
      </c>
      <c r="C13740" s="2" t="s">
        <v>556</v>
      </c>
      <c r="D13740" s="2" t="s">
        <v>1162</v>
      </c>
      <c r="E13740" s="2" t="str">
        <f>"9783837657456"</f>
        <v>9783837657456</v>
      </c>
      <c r="F13740" s="2" t="str">
        <f>"9783839457450"</f>
        <v>9783839457450</v>
      </c>
    </row>
    <row r="13741" spans="1:6" s="3" customFormat="1" ht="29.1" customHeight="1" x14ac:dyDescent="0.25">
      <c r="A13741" s="2" t="s">
        <v>27529</v>
      </c>
      <c r="B13741" s="2" t="s">
        <v>27530</v>
      </c>
      <c r="C13741" s="2" t="s">
        <v>556</v>
      </c>
      <c r="D13741" s="2" t="s">
        <v>509</v>
      </c>
      <c r="E13741" s="2" t="str">
        <f>"9783837654134"</f>
        <v>9783837654134</v>
      </c>
      <c r="F13741" s="2" t="str">
        <f>"9783839454138"</f>
        <v>9783839454138</v>
      </c>
    </row>
    <row r="13742" spans="1:6" s="3" customFormat="1" ht="29.1" customHeight="1" x14ac:dyDescent="0.25">
      <c r="A13742" s="2" t="s">
        <v>27531</v>
      </c>
      <c r="B13742" s="2" t="s">
        <v>27532</v>
      </c>
      <c r="C13742" s="2" t="s">
        <v>2188</v>
      </c>
      <c r="D13742" s="2" t="s">
        <v>465</v>
      </c>
      <c r="E13742" s="2" t="str">
        <f>"9788323241522"</f>
        <v>9788323241522</v>
      </c>
      <c r="F13742" s="2" t="str">
        <f>"9788323241539"</f>
        <v>9788323241539</v>
      </c>
    </row>
    <row r="13743" spans="1:6" s="3" customFormat="1" ht="29.1" customHeight="1" x14ac:dyDescent="0.25">
      <c r="A13743" s="2" t="s">
        <v>27533</v>
      </c>
      <c r="B13743" s="2" t="s">
        <v>27534</v>
      </c>
      <c r="C13743" s="2" t="s">
        <v>124</v>
      </c>
      <c r="D13743" s="2" t="s">
        <v>402</v>
      </c>
      <c r="E13743" s="2" t="str">
        <f>"9781032364933"</f>
        <v>9781032364933</v>
      </c>
      <c r="F13743" s="2" t="str">
        <f>"9781000884678"</f>
        <v>9781000884678</v>
      </c>
    </row>
    <row r="13744" spans="1:6" s="3" customFormat="1" ht="29.1" customHeight="1" x14ac:dyDescent="0.25">
      <c r="A13744" s="2" t="s">
        <v>27535</v>
      </c>
      <c r="B13744" s="2" t="s">
        <v>27536</v>
      </c>
      <c r="C13744" s="2" t="s">
        <v>124</v>
      </c>
      <c r="D13744" s="2" t="s">
        <v>210</v>
      </c>
      <c r="E13744" s="2" t="str">
        <f>"9781032318189"</f>
        <v>9781032318189</v>
      </c>
      <c r="F13744" s="2" t="str">
        <f>"9781000877083"</f>
        <v>9781000877083</v>
      </c>
    </row>
    <row r="13745" spans="1:6" s="3" customFormat="1" ht="29.1" customHeight="1" x14ac:dyDescent="0.25">
      <c r="A13745" s="2" t="s">
        <v>1342</v>
      </c>
      <c r="B13745" s="2" t="s">
        <v>27537</v>
      </c>
      <c r="C13745" s="2" t="s">
        <v>1070</v>
      </c>
      <c r="D13745" s="2" t="s">
        <v>1071</v>
      </c>
      <c r="E13745" s="2" t="str">
        <f>"9783318072495"</f>
        <v>9783318072495</v>
      </c>
      <c r="F13745" s="2" t="str">
        <f>"9783318072778"</f>
        <v>9783318072778</v>
      </c>
    </row>
    <row r="13746" spans="1:6" s="3" customFormat="1" ht="29.1" customHeight="1" x14ac:dyDescent="0.25">
      <c r="A13746" s="2" t="s">
        <v>27538</v>
      </c>
      <c r="B13746" s="2" t="s">
        <v>27539</v>
      </c>
      <c r="C13746" s="2" t="s">
        <v>195</v>
      </c>
      <c r="D13746" s="2" t="s">
        <v>3963</v>
      </c>
      <c r="E13746" s="2" t="str">
        <f>"9783110779516"</f>
        <v>9783110779516</v>
      </c>
      <c r="F13746" s="2" t="str">
        <f>"9783110779615"</f>
        <v>9783110779615</v>
      </c>
    </row>
    <row r="13747" spans="1:6" s="3" customFormat="1" ht="29.1" customHeight="1" x14ac:dyDescent="0.25">
      <c r="A13747" s="2" t="s">
        <v>27540</v>
      </c>
      <c r="B13747" s="2" t="s">
        <v>27541</v>
      </c>
      <c r="C13747" s="2" t="s">
        <v>927</v>
      </c>
      <c r="D13747" s="2" t="s">
        <v>9</v>
      </c>
      <c r="E13747" s="2" t="str">
        <f>"9780472054688"</f>
        <v>9780472054688</v>
      </c>
      <c r="F13747" s="2" t="str">
        <f>"9780472903986"</f>
        <v>9780472903986</v>
      </c>
    </row>
    <row r="13748" spans="1:6" s="3" customFormat="1" ht="29.1" customHeight="1" x14ac:dyDescent="0.25">
      <c r="A13748" s="2" t="s">
        <v>27542</v>
      </c>
      <c r="B13748" s="2" t="s">
        <v>27543</v>
      </c>
      <c r="C13748" s="2" t="s">
        <v>927</v>
      </c>
      <c r="D13748" s="2" t="s">
        <v>297</v>
      </c>
      <c r="E13748" s="2" t="str">
        <f>"9780472056040"</f>
        <v>9780472056040</v>
      </c>
      <c r="F13748" s="2" t="str">
        <f>"9780472903382"</f>
        <v>9780472903382</v>
      </c>
    </row>
    <row r="13749" spans="1:6" s="3" customFormat="1" ht="29.1" customHeight="1" x14ac:dyDescent="0.25">
      <c r="A13749" s="2" t="s">
        <v>27544</v>
      </c>
      <c r="B13749" s="2" t="s">
        <v>27545</v>
      </c>
      <c r="C13749" s="2" t="s">
        <v>124</v>
      </c>
      <c r="D13749" s="2" t="s">
        <v>699</v>
      </c>
      <c r="E13749" s="2" t="str">
        <f>"9781032348773"</f>
        <v>9781032348773</v>
      </c>
      <c r="F13749" s="2" t="str">
        <f>"9781000884036"</f>
        <v>9781000884036</v>
      </c>
    </row>
    <row r="13750" spans="1:6" s="3" customFormat="1" ht="29.1" customHeight="1" x14ac:dyDescent="0.25">
      <c r="A13750" s="2" t="s">
        <v>27546</v>
      </c>
      <c r="B13750" s="2" t="s">
        <v>27547</v>
      </c>
      <c r="C13750" s="2" t="s">
        <v>124</v>
      </c>
      <c r="D13750" s="2" t="s">
        <v>791</v>
      </c>
      <c r="E13750" s="2" t="str">
        <f>"9781032015934"</f>
        <v>9781032015934</v>
      </c>
      <c r="F13750" s="2" t="str">
        <f>"9781000840636"</f>
        <v>9781000840636</v>
      </c>
    </row>
    <row r="13751" spans="1:6" s="3" customFormat="1" ht="29.1" customHeight="1" x14ac:dyDescent="0.25">
      <c r="A13751" s="2" t="s">
        <v>27548</v>
      </c>
      <c r="B13751" s="2" t="s">
        <v>27549</v>
      </c>
      <c r="C13751" s="2" t="s">
        <v>29</v>
      </c>
      <c r="D13751" s="2" t="s">
        <v>218</v>
      </c>
      <c r="E13751" s="2" t="str">
        <f>"9789004528673"</f>
        <v>9789004528673</v>
      </c>
      <c r="F13751" s="2" t="str">
        <f>"9789004528680"</f>
        <v>9789004528680</v>
      </c>
    </row>
    <row r="13752" spans="1:6" s="3" customFormat="1" ht="29.1" customHeight="1" x14ac:dyDescent="0.25">
      <c r="A13752" s="2" t="s">
        <v>27550</v>
      </c>
      <c r="B13752" s="2" t="s">
        <v>27551</v>
      </c>
      <c r="C13752" s="2" t="s">
        <v>8059</v>
      </c>
      <c r="D13752" s="2" t="s">
        <v>17571</v>
      </c>
      <c r="E13752" s="2" t="str">
        <f>"9781776425679"</f>
        <v>9781776425679</v>
      </c>
      <c r="F13752" s="2" t="str">
        <f>"9781776425686"</f>
        <v>9781776425686</v>
      </c>
    </row>
    <row r="13753" spans="1:6" s="3" customFormat="1" ht="29.1" customHeight="1" x14ac:dyDescent="0.25">
      <c r="A13753" s="2" t="s">
        <v>27552</v>
      </c>
      <c r="B13753" s="2" t="s">
        <v>27553</v>
      </c>
      <c r="C13753" s="2" t="s">
        <v>8059</v>
      </c>
      <c r="D13753" s="2" t="s">
        <v>2019</v>
      </c>
      <c r="E13753" s="2" t="str">
        <f>"9781776425631"</f>
        <v>9781776425631</v>
      </c>
      <c r="F13753" s="2" t="str">
        <f>"9781776425648"</f>
        <v>9781776425648</v>
      </c>
    </row>
    <row r="13754" spans="1:6" s="3" customFormat="1" ht="29.1" customHeight="1" x14ac:dyDescent="0.25">
      <c r="A13754" s="2" t="s">
        <v>27554</v>
      </c>
      <c r="B13754" s="2" t="s">
        <v>27555</v>
      </c>
      <c r="C13754" s="2" t="s">
        <v>149</v>
      </c>
      <c r="D13754" s="2" t="s">
        <v>66</v>
      </c>
      <c r="E13754" s="2"/>
      <c r="F13754" s="2" t="str">
        <f>"9781800647176"</f>
        <v>9781800647176</v>
      </c>
    </row>
    <row r="13755" spans="1:6" s="3" customFormat="1" ht="29.1" customHeight="1" x14ac:dyDescent="0.25">
      <c r="A13755" s="2" t="s">
        <v>27556</v>
      </c>
      <c r="B13755" s="2" t="s">
        <v>27557</v>
      </c>
      <c r="C13755" s="2" t="s">
        <v>149</v>
      </c>
      <c r="D13755" s="2" t="s">
        <v>3166</v>
      </c>
      <c r="E13755" s="2"/>
      <c r="F13755" s="2" t="str">
        <f>"9781800647749"</f>
        <v>9781800647749</v>
      </c>
    </row>
    <row r="13756" spans="1:6" s="3" customFormat="1" ht="29.1" customHeight="1" x14ac:dyDescent="0.25">
      <c r="A13756" s="2" t="s">
        <v>11366</v>
      </c>
      <c r="B13756" s="2" t="s">
        <v>11367</v>
      </c>
      <c r="C13756" s="2" t="s">
        <v>149</v>
      </c>
      <c r="D13756" s="2" t="s">
        <v>436</v>
      </c>
      <c r="E13756" s="2"/>
      <c r="F13756" s="2" t="str">
        <f>"9781800649927"</f>
        <v>9781800649927</v>
      </c>
    </row>
    <row r="13757" spans="1:6" s="3" customFormat="1" ht="29.1" customHeight="1" x14ac:dyDescent="0.25">
      <c r="A13757" s="2" t="s">
        <v>27558</v>
      </c>
      <c r="B13757" s="2" t="s">
        <v>27559</v>
      </c>
      <c r="C13757" s="2" t="s">
        <v>149</v>
      </c>
      <c r="D13757" s="2" t="s">
        <v>1585</v>
      </c>
      <c r="E13757" s="2"/>
      <c r="F13757" s="2" t="str">
        <f>"9781800644120"</f>
        <v>9781800644120</v>
      </c>
    </row>
    <row r="13758" spans="1:6" s="3" customFormat="1" ht="29.1" customHeight="1" x14ac:dyDescent="0.25">
      <c r="A13758" s="2" t="s">
        <v>27560</v>
      </c>
      <c r="B13758" s="2" t="s">
        <v>27561</v>
      </c>
      <c r="C13758" s="2" t="s">
        <v>124</v>
      </c>
      <c r="D13758" s="2" t="s">
        <v>550</v>
      </c>
      <c r="E13758" s="2" t="str">
        <f>"9781032122939"</f>
        <v>9781032122939</v>
      </c>
      <c r="F13758" s="2" t="str">
        <f>"9781000870817"</f>
        <v>9781000870817</v>
      </c>
    </row>
    <row r="13759" spans="1:6" s="3" customFormat="1" ht="29.1" customHeight="1" x14ac:dyDescent="0.25">
      <c r="A13759" s="2" t="s">
        <v>27562</v>
      </c>
      <c r="B13759" s="2" t="s">
        <v>27563</v>
      </c>
      <c r="C13759" s="2" t="s">
        <v>124</v>
      </c>
      <c r="D13759" s="2" t="s">
        <v>183</v>
      </c>
      <c r="E13759" s="2" t="str">
        <f>"9781032118802"</f>
        <v>9781032118802</v>
      </c>
      <c r="F13759" s="2" t="str">
        <f>"9781000864885"</f>
        <v>9781000864885</v>
      </c>
    </row>
    <row r="13760" spans="1:6" s="3" customFormat="1" ht="29.1" customHeight="1" x14ac:dyDescent="0.25">
      <c r="A13760" s="2" t="s">
        <v>27564</v>
      </c>
      <c r="B13760" s="2" t="s">
        <v>27566</v>
      </c>
      <c r="C13760" s="2" t="s">
        <v>124</v>
      </c>
      <c r="D13760" s="2" t="s">
        <v>27565</v>
      </c>
      <c r="E13760" s="2" t="str">
        <f>"9781032384771"</f>
        <v>9781032384771</v>
      </c>
      <c r="F13760" s="2" t="str">
        <f>"9781000874327"</f>
        <v>9781000874327</v>
      </c>
    </row>
    <row r="13761" spans="1:6" s="3" customFormat="1" ht="29.1" customHeight="1" x14ac:dyDescent="0.25">
      <c r="A13761" s="2" t="s">
        <v>27567</v>
      </c>
      <c r="B13761" s="2" t="s">
        <v>27568</v>
      </c>
      <c r="C13761" s="2" t="s">
        <v>124</v>
      </c>
      <c r="D13761" s="2" t="s">
        <v>858</v>
      </c>
      <c r="E13761" s="2" t="str">
        <f>"9781032022130"</f>
        <v>9781032022130</v>
      </c>
      <c r="F13761" s="2" t="str">
        <f>"9781000872903"</f>
        <v>9781000872903</v>
      </c>
    </row>
    <row r="13762" spans="1:6" s="3" customFormat="1" ht="29.1" customHeight="1" x14ac:dyDescent="0.25">
      <c r="A13762" s="2" t="s">
        <v>27569</v>
      </c>
      <c r="B13762" s="2" t="s">
        <v>27570</v>
      </c>
      <c r="C13762" s="2" t="s">
        <v>2133</v>
      </c>
      <c r="D13762" s="2" t="s">
        <v>5115</v>
      </c>
      <c r="E13762" s="2" t="str">
        <f>"9781921862571"</f>
        <v>9781921862571</v>
      </c>
      <c r="F13762" s="2" t="str">
        <f>"9781921862588"</f>
        <v>9781921862588</v>
      </c>
    </row>
    <row r="13763" spans="1:6" s="3" customFormat="1" ht="29.1" customHeight="1" x14ac:dyDescent="0.25">
      <c r="A13763" s="2" t="s">
        <v>27571</v>
      </c>
      <c r="B13763" s="2" t="s">
        <v>27572</v>
      </c>
      <c r="C13763" s="2" t="s">
        <v>2133</v>
      </c>
      <c r="D13763" s="2" t="s">
        <v>1104</v>
      </c>
      <c r="E13763" s="2" t="str">
        <f>"9781760465391"</f>
        <v>9781760465391</v>
      </c>
      <c r="F13763" s="2" t="str">
        <f>"9781760465407"</f>
        <v>9781760465407</v>
      </c>
    </row>
    <row r="13764" spans="1:6" s="3" customFormat="1" ht="29.1" customHeight="1" x14ac:dyDescent="0.25">
      <c r="A13764" s="2" t="s">
        <v>27573</v>
      </c>
      <c r="B13764" s="2" t="s">
        <v>27574</v>
      </c>
      <c r="C13764" s="2" t="s">
        <v>746</v>
      </c>
      <c r="D13764" s="2" t="s">
        <v>606</v>
      </c>
      <c r="E13764" s="2" t="str">
        <f>"9781803273747"</f>
        <v>9781803273747</v>
      </c>
      <c r="F13764" s="2" t="str">
        <f>"9781803273754"</f>
        <v>9781803273754</v>
      </c>
    </row>
    <row r="13765" spans="1:6" s="3" customFormat="1" ht="29.1" customHeight="1" x14ac:dyDescent="0.25">
      <c r="A13765" s="2" t="s">
        <v>27575</v>
      </c>
      <c r="B13765" s="2" t="s">
        <v>27576</v>
      </c>
      <c r="C13765" s="2" t="s">
        <v>264</v>
      </c>
      <c r="D13765" s="2" t="s">
        <v>52</v>
      </c>
      <c r="E13765" s="2" t="str">
        <f>"9788770227919"</f>
        <v>9788770227919</v>
      </c>
      <c r="F13765" s="2" t="str">
        <f>"9781000852035"</f>
        <v>9781000852035</v>
      </c>
    </row>
    <row r="13766" spans="1:6" s="3" customFormat="1" ht="29.1" customHeight="1" x14ac:dyDescent="0.25">
      <c r="A13766" s="2" t="s">
        <v>27577</v>
      </c>
      <c r="B13766" s="2" t="s">
        <v>27578</v>
      </c>
      <c r="C13766" s="2" t="s">
        <v>124</v>
      </c>
      <c r="D13766" s="2" t="s">
        <v>207</v>
      </c>
      <c r="E13766" s="2" t="str">
        <f>"9781032383330"</f>
        <v>9781032383330</v>
      </c>
      <c r="F13766" s="2" t="str">
        <f>"9781000885910"</f>
        <v>9781000885910</v>
      </c>
    </row>
    <row r="13767" spans="1:6" s="3" customFormat="1" ht="29.1" customHeight="1" x14ac:dyDescent="0.25">
      <c r="A13767" s="2" t="s">
        <v>27579</v>
      </c>
      <c r="B13767" s="2" t="s">
        <v>27580</v>
      </c>
      <c r="C13767" s="2" t="s">
        <v>124</v>
      </c>
      <c r="D13767" s="2" t="s">
        <v>5383</v>
      </c>
      <c r="E13767" s="2" t="str">
        <f>"9780367206017"</f>
        <v>9780367206017</v>
      </c>
      <c r="F13767" s="2" t="str">
        <f>"9780429262487"</f>
        <v>9780429262487</v>
      </c>
    </row>
    <row r="13768" spans="1:6" s="3" customFormat="1" ht="29.1" customHeight="1" x14ac:dyDescent="0.25">
      <c r="A13768" s="2" t="s">
        <v>27581</v>
      </c>
      <c r="B13768" s="2" t="s">
        <v>27582</v>
      </c>
      <c r="C13768" s="2" t="s">
        <v>124</v>
      </c>
      <c r="D13768" s="2" t="s">
        <v>2587</v>
      </c>
      <c r="E13768" s="2" t="str">
        <f>"9781032244099"</f>
        <v>9781032244099</v>
      </c>
      <c r="F13768" s="2" t="str">
        <f>"9781000915860"</f>
        <v>9781000915860</v>
      </c>
    </row>
    <row r="13769" spans="1:6" s="3" customFormat="1" ht="29.1" customHeight="1" x14ac:dyDescent="0.25">
      <c r="A13769" s="2" t="s">
        <v>27583</v>
      </c>
      <c r="B13769" s="2" t="s">
        <v>27584</v>
      </c>
      <c r="C13769" s="2" t="s">
        <v>124</v>
      </c>
      <c r="D13769" s="2" t="s">
        <v>183</v>
      </c>
      <c r="E13769" s="2" t="str">
        <f>"9781032314563"</f>
        <v>9781032314563</v>
      </c>
      <c r="F13769" s="2" t="str">
        <f>"9781000922509"</f>
        <v>9781000922509</v>
      </c>
    </row>
    <row r="13770" spans="1:6" s="3" customFormat="1" ht="29.1" customHeight="1" x14ac:dyDescent="0.25">
      <c r="A13770" s="2" t="s">
        <v>27585</v>
      </c>
      <c r="B13770" s="2" t="s">
        <v>27586</v>
      </c>
      <c r="C13770" s="2" t="s">
        <v>124</v>
      </c>
      <c r="D13770" s="2" t="s">
        <v>647</v>
      </c>
      <c r="E13770" s="2" t="str">
        <f>"9781032429977"</f>
        <v>9781032429977</v>
      </c>
      <c r="F13770" s="2" t="str">
        <f>"9781000917994"</f>
        <v>9781000917994</v>
      </c>
    </row>
    <row r="13771" spans="1:6" s="3" customFormat="1" ht="29.1" customHeight="1" x14ac:dyDescent="0.25">
      <c r="A13771" s="2" t="s">
        <v>27587</v>
      </c>
      <c r="B13771" s="2" t="s">
        <v>27588</v>
      </c>
      <c r="C13771" s="2" t="s">
        <v>124</v>
      </c>
      <c r="D13771" s="2" t="s">
        <v>7734</v>
      </c>
      <c r="E13771" s="2" t="str">
        <f>"9781032275246"</f>
        <v>9781032275246</v>
      </c>
      <c r="F13771" s="2" t="str">
        <f>"9781000918489"</f>
        <v>9781000918489</v>
      </c>
    </row>
    <row r="13772" spans="1:6" s="3" customFormat="1" ht="29.1" customHeight="1" x14ac:dyDescent="0.25">
      <c r="A13772" s="2" t="s">
        <v>27589</v>
      </c>
      <c r="B13772" s="2" t="s">
        <v>27590</v>
      </c>
      <c r="C13772" s="2" t="s">
        <v>124</v>
      </c>
      <c r="D13772" s="2" t="s">
        <v>10725</v>
      </c>
      <c r="E13772" s="2" t="str">
        <f>"9781032434155"</f>
        <v>9781032434155</v>
      </c>
      <c r="F13772" s="2" t="str">
        <f>"9781000914184"</f>
        <v>9781000914184</v>
      </c>
    </row>
    <row r="13773" spans="1:6" s="3" customFormat="1" ht="29.1" customHeight="1" x14ac:dyDescent="0.25">
      <c r="A13773" s="2" t="s">
        <v>27591</v>
      </c>
      <c r="B13773" s="2" t="s">
        <v>27592</v>
      </c>
      <c r="C13773" s="2" t="s">
        <v>124</v>
      </c>
      <c r="D13773" s="2" t="s">
        <v>1816</v>
      </c>
      <c r="E13773" s="2" t="str">
        <f>"9781032289434"</f>
        <v>9781032289434</v>
      </c>
      <c r="F13773" s="2" t="str">
        <f>"9781000842562"</f>
        <v>9781000842562</v>
      </c>
    </row>
    <row r="13774" spans="1:6" s="3" customFormat="1" ht="29.1" customHeight="1" x14ac:dyDescent="0.25">
      <c r="A13774" s="2" t="s">
        <v>27593</v>
      </c>
      <c r="B13774" s="2" t="s">
        <v>27594</v>
      </c>
      <c r="C13774" s="2" t="s">
        <v>29</v>
      </c>
      <c r="D13774" s="2" t="s">
        <v>33</v>
      </c>
      <c r="E13774" s="2" t="str">
        <f>"9789004533813"</f>
        <v>9789004533813</v>
      </c>
      <c r="F13774" s="2" t="str">
        <f>"9789004540255"</f>
        <v>9789004540255</v>
      </c>
    </row>
    <row r="13775" spans="1:6" s="3" customFormat="1" ht="29.1" customHeight="1" x14ac:dyDescent="0.25">
      <c r="A13775" s="2" t="s">
        <v>27595</v>
      </c>
      <c r="B13775" s="2" t="s">
        <v>27596</v>
      </c>
      <c r="C13775" s="2" t="s">
        <v>29</v>
      </c>
      <c r="D13775" s="2" t="s">
        <v>33</v>
      </c>
      <c r="E13775" s="2" t="str">
        <f>"9783770567928"</f>
        <v>9783770567928</v>
      </c>
      <c r="F13775" s="2" t="str">
        <f>"9783846767924"</f>
        <v>9783846767924</v>
      </c>
    </row>
    <row r="13776" spans="1:6" s="3" customFormat="1" ht="29.1" customHeight="1" x14ac:dyDescent="0.25">
      <c r="A13776" s="2" t="s">
        <v>27597</v>
      </c>
      <c r="B13776" s="2" t="s">
        <v>27599</v>
      </c>
      <c r="C13776" s="2" t="s">
        <v>2188</v>
      </c>
      <c r="D13776" s="2" t="s">
        <v>27598</v>
      </c>
      <c r="E13776" s="2" t="str">
        <f>"9788323231585"</f>
        <v>9788323231585</v>
      </c>
      <c r="F13776" s="2" t="str">
        <f>"9788323237457"</f>
        <v>9788323237457</v>
      </c>
    </row>
    <row r="13777" spans="1:6" s="3" customFormat="1" ht="29.1" customHeight="1" x14ac:dyDescent="0.25">
      <c r="A13777" s="2" t="s">
        <v>27600</v>
      </c>
      <c r="B13777" s="2" t="s">
        <v>27599</v>
      </c>
      <c r="C13777" s="2" t="s">
        <v>2188</v>
      </c>
      <c r="D13777" s="2" t="s">
        <v>378</v>
      </c>
      <c r="E13777" s="2" t="str">
        <f>"9788323235897"</f>
        <v>9788323235897</v>
      </c>
      <c r="F13777" s="2" t="str">
        <f>"9788323236832"</f>
        <v>9788323236832</v>
      </c>
    </row>
    <row r="13778" spans="1:6" s="3" customFormat="1" ht="29.1" customHeight="1" x14ac:dyDescent="0.25">
      <c r="A13778" s="2" t="s">
        <v>27601</v>
      </c>
      <c r="B13778" s="2" t="s">
        <v>27599</v>
      </c>
      <c r="C13778" s="2" t="s">
        <v>2188</v>
      </c>
      <c r="D13778" s="2" t="s">
        <v>183</v>
      </c>
      <c r="E13778" s="2" t="str">
        <f>"9788323238034"</f>
        <v>9788323238034</v>
      </c>
      <c r="F13778" s="2" t="str">
        <f>"9788323238041"</f>
        <v>9788323238041</v>
      </c>
    </row>
    <row r="13779" spans="1:6" s="3" customFormat="1" ht="29.1" customHeight="1" x14ac:dyDescent="0.25">
      <c r="A13779" s="2" t="s">
        <v>27602</v>
      </c>
      <c r="B13779" s="2" t="s">
        <v>27603</v>
      </c>
      <c r="C13779" s="2" t="s">
        <v>124</v>
      </c>
      <c r="D13779" s="2" t="s">
        <v>210</v>
      </c>
      <c r="E13779" s="2" t="str">
        <f>"9781032185767"</f>
        <v>9781032185767</v>
      </c>
      <c r="F13779" s="2" t="str">
        <f>"9781000877342"</f>
        <v>9781000877342</v>
      </c>
    </row>
    <row r="13780" spans="1:6" s="3" customFormat="1" ht="29.1" customHeight="1" x14ac:dyDescent="0.25">
      <c r="A13780" s="2" t="s">
        <v>27604</v>
      </c>
      <c r="B13780" s="2" t="s">
        <v>27605</v>
      </c>
      <c r="C13780" s="2" t="s">
        <v>8104</v>
      </c>
      <c r="D13780" s="2" t="s">
        <v>6113</v>
      </c>
      <c r="E13780" s="2" t="str">
        <f>"9781805390084"</f>
        <v>9781805390084</v>
      </c>
      <c r="F13780" s="2" t="str">
        <f>"9781805390091"</f>
        <v>9781805390091</v>
      </c>
    </row>
    <row r="13781" spans="1:6" s="3" customFormat="1" ht="29.1" customHeight="1" x14ac:dyDescent="0.25">
      <c r="A13781" s="2" t="s">
        <v>27606</v>
      </c>
      <c r="B13781" s="2" t="s">
        <v>27607</v>
      </c>
      <c r="C13781" s="2" t="s">
        <v>15775</v>
      </c>
      <c r="D13781" s="2" t="s">
        <v>1617</v>
      </c>
      <c r="E13781" s="2"/>
      <c r="F13781" s="2" t="str">
        <f>"9789811820717"</f>
        <v>9789811820717</v>
      </c>
    </row>
    <row r="13782" spans="1:6" s="3" customFormat="1" ht="29.1" customHeight="1" x14ac:dyDescent="0.25">
      <c r="A13782" s="2" t="s">
        <v>27608</v>
      </c>
      <c r="B13782" s="2" t="s">
        <v>27609</v>
      </c>
      <c r="C13782" s="2" t="s">
        <v>15775</v>
      </c>
      <c r="D13782" s="2" t="s">
        <v>1617</v>
      </c>
      <c r="E13782" s="2" t="str">
        <f>"9789810886752"</f>
        <v>9789810886752</v>
      </c>
      <c r="F13782" s="2" t="str">
        <f>"9789811468988"</f>
        <v>9789811468988</v>
      </c>
    </row>
    <row r="13783" spans="1:6" s="3" customFormat="1" ht="29.1" customHeight="1" x14ac:dyDescent="0.25">
      <c r="A13783" s="2" t="s">
        <v>27610</v>
      </c>
      <c r="B13783" s="2" t="s">
        <v>27611</v>
      </c>
      <c r="C13783" s="2" t="s">
        <v>15775</v>
      </c>
      <c r="D13783" s="2" t="s">
        <v>1617</v>
      </c>
      <c r="E13783" s="2" t="str">
        <f>"9789811128653"</f>
        <v>9789811128653</v>
      </c>
      <c r="F13783" s="2" t="str">
        <f>"9789811419621"</f>
        <v>9789811419621</v>
      </c>
    </row>
    <row r="13784" spans="1:6" s="3" customFormat="1" ht="29.1" customHeight="1" x14ac:dyDescent="0.25">
      <c r="A13784" s="2" t="s">
        <v>27612</v>
      </c>
      <c r="B13784" s="2" t="s">
        <v>27613</v>
      </c>
      <c r="C13784" s="2" t="s">
        <v>15775</v>
      </c>
      <c r="D13784" s="2" t="s">
        <v>1617</v>
      </c>
      <c r="E13784" s="2" t="str">
        <f>"9789810876753"</f>
        <v>9789810876753</v>
      </c>
      <c r="F13784" s="2" t="str">
        <f>"9789811419614"</f>
        <v>9789811419614</v>
      </c>
    </row>
    <row r="13785" spans="1:6" s="3" customFormat="1" ht="29.1" customHeight="1" x14ac:dyDescent="0.25">
      <c r="A13785" s="2" t="s">
        <v>27614</v>
      </c>
      <c r="B13785" s="2" t="s">
        <v>27615</v>
      </c>
      <c r="C13785" s="2" t="s">
        <v>15775</v>
      </c>
      <c r="D13785" s="2" t="s">
        <v>1617</v>
      </c>
      <c r="E13785" s="2" t="str">
        <f>"9789810973490"</f>
        <v>9789810973490</v>
      </c>
      <c r="F13785" s="2" t="str">
        <f>"9789811410437"</f>
        <v>9789811410437</v>
      </c>
    </row>
    <row r="13786" spans="1:6" s="3" customFormat="1" ht="29.1" customHeight="1" x14ac:dyDescent="0.25">
      <c r="A13786" s="2" t="s">
        <v>27616</v>
      </c>
      <c r="B13786" s="2" t="s">
        <v>27615</v>
      </c>
      <c r="C13786" s="2" t="s">
        <v>15775</v>
      </c>
      <c r="D13786" s="2" t="s">
        <v>1617</v>
      </c>
      <c r="E13786" s="2" t="str">
        <f>"9789810973520"</f>
        <v>9789810973520</v>
      </c>
      <c r="F13786" s="2" t="str">
        <f>"9789811405570"</f>
        <v>9789811405570</v>
      </c>
    </row>
    <row r="13787" spans="1:6" s="3" customFormat="1" ht="29.1" customHeight="1" x14ac:dyDescent="0.25">
      <c r="A13787" s="2" t="s">
        <v>27617</v>
      </c>
      <c r="B13787" s="2" t="s">
        <v>27618</v>
      </c>
      <c r="C13787" s="2" t="s">
        <v>15775</v>
      </c>
      <c r="D13787" s="2" t="s">
        <v>1617</v>
      </c>
      <c r="E13787" s="2"/>
      <c r="F13787" s="2" t="str">
        <f>"9789811850899"</f>
        <v>9789811850899</v>
      </c>
    </row>
    <row r="13788" spans="1:6" s="3" customFormat="1" ht="29.1" customHeight="1" x14ac:dyDescent="0.25">
      <c r="A13788" s="2" t="s">
        <v>27619</v>
      </c>
      <c r="B13788" s="2" t="s">
        <v>27609</v>
      </c>
      <c r="C13788" s="2" t="s">
        <v>15775</v>
      </c>
      <c r="D13788" s="2" t="s">
        <v>1617</v>
      </c>
      <c r="E13788" s="2" t="str">
        <f>"9789810853495"</f>
        <v>9789810853495</v>
      </c>
      <c r="F13788" s="2" t="str">
        <f>"9789811455254"</f>
        <v>9789811455254</v>
      </c>
    </row>
    <row r="13789" spans="1:6" s="3" customFormat="1" ht="29.1" customHeight="1" x14ac:dyDescent="0.25">
      <c r="A13789" s="2" t="s">
        <v>27620</v>
      </c>
      <c r="B13789" s="2" t="s">
        <v>27621</v>
      </c>
      <c r="C13789" s="2" t="s">
        <v>15775</v>
      </c>
      <c r="D13789" s="2" t="s">
        <v>1617</v>
      </c>
      <c r="E13789" s="2" t="str">
        <f>"9789811129254"</f>
        <v>9789811129254</v>
      </c>
      <c r="F13789" s="2" t="str">
        <f>"9789811419638"</f>
        <v>9789811419638</v>
      </c>
    </row>
    <row r="13790" spans="1:6" s="3" customFormat="1" ht="29.1" customHeight="1" x14ac:dyDescent="0.25">
      <c r="A13790" s="2" t="s">
        <v>27622</v>
      </c>
      <c r="B13790" s="2" t="s">
        <v>27623</v>
      </c>
      <c r="C13790" s="2" t="s">
        <v>15775</v>
      </c>
      <c r="D13790" s="2" t="s">
        <v>1617</v>
      </c>
      <c r="E13790" s="2" t="str">
        <f>"9789810982829"</f>
        <v>9789810982829</v>
      </c>
      <c r="F13790" s="2" t="str">
        <f>"9789811497858"</f>
        <v>9789811497858</v>
      </c>
    </row>
    <row r="13791" spans="1:6" s="3" customFormat="1" ht="29.1" customHeight="1" x14ac:dyDescent="0.25">
      <c r="A13791" s="2" t="s">
        <v>27624</v>
      </c>
      <c r="B13791" s="2" t="s">
        <v>27625</v>
      </c>
      <c r="C13791" s="2" t="s">
        <v>124</v>
      </c>
      <c r="D13791" s="2" t="s">
        <v>25147</v>
      </c>
      <c r="E13791" s="2" t="str">
        <f>"9781032230528"</f>
        <v>9781032230528</v>
      </c>
      <c r="F13791" s="2" t="str">
        <f>"9781000875379"</f>
        <v>9781000875379</v>
      </c>
    </row>
    <row r="13792" spans="1:6" s="3" customFormat="1" ht="29.1" customHeight="1" x14ac:dyDescent="0.25">
      <c r="A13792" s="2" t="s">
        <v>27626</v>
      </c>
      <c r="B13792" s="2" t="s">
        <v>27627</v>
      </c>
      <c r="C13792" s="2" t="s">
        <v>927</v>
      </c>
      <c r="D13792" s="2" t="s">
        <v>297</v>
      </c>
      <c r="E13792" s="2" t="str">
        <f>"9780472055951"</f>
        <v>9780472055951</v>
      </c>
      <c r="F13792" s="2" t="str">
        <f>"9780472903276"</f>
        <v>9780472903276</v>
      </c>
    </row>
    <row r="13793" spans="1:6" s="3" customFormat="1" ht="29.1" customHeight="1" x14ac:dyDescent="0.25">
      <c r="A13793" s="2" t="s">
        <v>27628</v>
      </c>
      <c r="B13793" s="2" t="s">
        <v>27629</v>
      </c>
      <c r="C13793" s="2" t="s">
        <v>927</v>
      </c>
      <c r="D13793" s="2" t="s">
        <v>270</v>
      </c>
      <c r="E13793" s="2" t="str">
        <f>"9780472055821"</f>
        <v>9780472055821</v>
      </c>
      <c r="F13793" s="2" t="str">
        <f>"9780472903153"</f>
        <v>9780472903153</v>
      </c>
    </row>
    <row r="13794" spans="1:6" s="3" customFormat="1" ht="29.1" customHeight="1" x14ac:dyDescent="0.25">
      <c r="A13794" s="2" t="s">
        <v>27630</v>
      </c>
      <c r="B13794" s="2" t="s">
        <v>27631</v>
      </c>
      <c r="C13794" s="2" t="s">
        <v>7395</v>
      </c>
      <c r="D13794" s="2" t="s">
        <v>202</v>
      </c>
      <c r="E13794" s="2" t="str">
        <f>"9780295750798"</f>
        <v>9780295750798</v>
      </c>
      <c r="F13794" s="2" t="str">
        <f>"9780295750804"</f>
        <v>9780295750804</v>
      </c>
    </row>
    <row r="13795" spans="1:6" s="3" customFormat="1" ht="29.1" customHeight="1" x14ac:dyDescent="0.25">
      <c r="A13795" s="2" t="s">
        <v>27632</v>
      </c>
      <c r="B13795" s="2" t="s">
        <v>27633</v>
      </c>
      <c r="C13795" s="2" t="s">
        <v>7395</v>
      </c>
      <c r="D13795" s="2" t="s">
        <v>653</v>
      </c>
      <c r="E13795" s="2" t="str">
        <f>"9780295751221"</f>
        <v>9780295751221</v>
      </c>
      <c r="F13795" s="2" t="str">
        <f>"9780295751245"</f>
        <v>9780295751245</v>
      </c>
    </row>
    <row r="13796" spans="1:6" s="3" customFormat="1" ht="29.1" customHeight="1" x14ac:dyDescent="0.25">
      <c r="A13796" s="2" t="s">
        <v>27634</v>
      </c>
      <c r="B13796" s="2" t="s">
        <v>27635</v>
      </c>
      <c r="C13796" s="2" t="s">
        <v>7395</v>
      </c>
      <c r="D13796" s="2" t="s">
        <v>10410</v>
      </c>
      <c r="E13796" s="2" t="str">
        <f>"9780295750422"</f>
        <v>9780295750422</v>
      </c>
      <c r="F13796" s="2" t="str">
        <f>"9780295750446"</f>
        <v>9780295750446</v>
      </c>
    </row>
    <row r="13797" spans="1:6" s="3" customFormat="1" ht="29.1" customHeight="1" x14ac:dyDescent="0.25">
      <c r="A13797" s="2" t="s">
        <v>27636</v>
      </c>
      <c r="B13797" s="2" t="s">
        <v>27637</v>
      </c>
      <c r="C13797" s="2" t="s">
        <v>613</v>
      </c>
      <c r="D13797" s="2" t="s">
        <v>8087</v>
      </c>
      <c r="E13797" s="2" t="str">
        <f>"9781668456293"</f>
        <v>9781668456293</v>
      </c>
      <c r="F13797" s="2" t="str">
        <f>"9781668456309"</f>
        <v>9781668456309</v>
      </c>
    </row>
    <row r="13798" spans="1:6" s="3" customFormat="1" ht="29.1" customHeight="1" x14ac:dyDescent="0.25">
      <c r="A13798" s="2" t="s">
        <v>27638</v>
      </c>
      <c r="B13798" s="2" t="s">
        <v>27639</v>
      </c>
      <c r="C13798" s="2" t="s">
        <v>124</v>
      </c>
      <c r="D13798" s="2" t="s">
        <v>353</v>
      </c>
      <c r="E13798" s="2" t="str">
        <f>"9780367692605"</f>
        <v>9780367692605</v>
      </c>
      <c r="F13798" s="2" t="str">
        <f>"9781000877335"</f>
        <v>9781000877335</v>
      </c>
    </row>
    <row r="13799" spans="1:6" s="3" customFormat="1" ht="29.1" customHeight="1" x14ac:dyDescent="0.25">
      <c r="A13799" s="2" t="s">
        <v>27640</v>
      </c>
      <c r="B13799" s="2" t="s">
        <v>27641</v>
      </c>
      <c r="C13799" s="2" t="s">
        <v>124</v>
      </c>
      <c r="D13799" s="2" t="s">
        <v>818</v>
      </c>
      <c r="E13799" s="2" t="str">
        <f>"9780367431716"</f>
        <v>9780367431716</v>
      </c>
      <c r="F13799" s="2" t="str">
        <f>"9781000684223"</f>
        <v>9781000684223</v>
      </c>
    </row>
    <row r="13800" spans="1:6" s="3" customFormat="1" ht="29.1" customHeight="1" x14ac:dyDescent="0.25">
      <c r="A13800" s="2" t="s">
        <v>27642</v>
      </c>
      <c r="B13800" s="2" t="s">
        <v>27643</v>
      </c>
      <c r="C13800" s="2" t="s">
        <v>124</v>
      </c>
      <c r="D13800" s="2" t="s">
        <v>876</v>
      </c>
      <c r="E13800" s="2" t="str">
        <f>"9781032359281"</f>
        <v>9781032359281</v>
      </c>
      <c r="F13800" s="2" t="str">
        <f>"9781000851632"</f>
        <v>9781000851632</v>
      </c>
    </row>
    <row r="13801" spans="1:6" s="3" customFormat="1" ht="29.1" customHeight="1" x14ac:dyDescent="0.25">
      <c r="A13801" s="2" t="s">
        <v>27644</v>
      </c>
      <c r="B13801" s="2" t="s">
        <v>27646</v>
      </c>
      <c r="C13801" s="2" t="s">
        <v>327</v>
      </c>
      <c r="D13801" s="2" t="s">
        <v>27645</v>
      </c>
      <c r="E13801" s="2" t="str">
        <f>"9788383310657"</f>
        <v>9788383310657</v>
      </c>
      <c r="F13801" s="2" t="str">
        <f>"9788383310664"</f>
        <v>9788383310664</v>
      </c>
    </row>
    <row r="13802" spans="1:6" s="3" customFormat="1" ht="29.1" customHeight="1" x14ac:dyDescent="0.25">
      <c r="A13802" s="2" t="s">
        <v>27647</v>
      </c>
      <c r="B13802" s="2" t="s">
        <v>27646</v>
      </c>
      <c r="C13802" s="2" t="s">
        <v>327</v>
      </c>
      <c r="D13802" s="2" t="s">
        <v>27645</v>
      </c>
      <c r="E13802" s="2" t="str">
        <f>"9788383310633"</f>
        <v>9788383310633</v>
      </c>
      <c r="F13802" s="2" t="str">
        <f>"9788383310640"</f>
        <v>9788383310640</v>
      </c>
    </row>
    <row r="13803" spans="1:6" s="3" customFormat="1" ht="29.1" customHeight="1" x14ac:dyDescent="0.25">
      <c r="A13803" s="2" t="s">
        <v>27648</v>
      </c>
      <c r="B13803" s="2" t="s">
        <v>27649</v>
      </c>
      <c r="C13803" s="2" t="s">
        <v>327</v>
      </c>
      <c r="D13803" s="2" t="s">
        <v>1999</v>
      </c>
      <c r="E13803" s="2" t="str">
        <f>"9788383310794"</f>
        <v>9788383310794</v>
      </c>
      <c r="F13803" s="2" t="str">
        <f>"9788383310800"</f>
        <v>9788383310800</v>
      </c>
    </row>
    <row r="13804" spans="1:6" s="3" customFormat="1" ht="29.1" customHeight="1" x14ac:dyDescent="0.25">
      <c r="A13804" s="2" t="s">
        <v>27650</v>
      </c>
      <c r="B13804" s="2" t="s">
        <v>27651</v>
      </c>
      <c r="C13804" s="2" t="s">
        <v>149</v>
      </c>
      <c r="D13804" s="2" t="s">
        <v>509</v>
      </c>
      <c r="E13804" s="2"/>
      <c r="F13804" s="2" t="str">
        <f>"9781800648722"</f>
        <v>9781800648722</v>
      </c>
    </row>
    <row r="13805" spans="1:6" s="3" customFormat="1" ht="29.1" customHeight="1" x14ac:dyDescent="0.25">
      <c r="A13805" s="2" t="s">
        <v>27652</v>
      </c>
      <c r="B13805" s="2" t="s">
        <v>27653</v>
      </c>
      <c r="C13805" s="2" t="s">
        <v>124</v>
      </c>
      <c r="D13805" s="2" t="s">
        <v>98</v>
      </c>
      <c r="E13805" s="2" t="str">
        <f>"9781032432472"</f>
        <v>9781032432472</v>
      </c>
      <c r="F13805" s="2" t="str">
        <f>"9781000875911"</f>
        <v>9781000875911</v>
      </c>
    </row>
    <row r="13806" spans="1:6" s="3" customFormat="1" ht="29.1" customHeight="1" x14ac:dyDescent="0.25">
      <c r="A13806" s="2" t="s">
        <v>27654</v>
      </c>
      <c r="B13806" s="2" t="s">
        <v>27655</v>
      </c>
      <c r="C13806" s="2" t="s">
        <v>62</v>
      </c>
      <c r="D13806" s="2" t="s">
        <v>125</v>
      </c>
      <c r="E13806" s="2" t="str">
        <f>"9783428188024"</f>
        <v>9783428188024</v>
      </c>
      <c r="F13806" s="2" t="str">
        <f>"9783428588022"</f>
        <v>9783428588022</v>
      </c>
    </row>
    <row r="13807" spans="1:6" s="3" customFormat="1" ht="29.1" customHeight="1" x14ac:dyDescent="0.25">
      <c r="A13807" s="2" t="s">
        <v>27656</v>
      </c>
      <c r="B13807" s="2" t="s">
        <v>27657</v>
      </c>
      <c r="C13807" s="2" t="s">
        <v>62</v>
      </c>
      <c r="D13807" s="2" t="s">
        <v>66</v>
      </c>
      <c r="E13807" s="2" t="str">
        <f>"9783428067367"</f>
        <v>9783428067367</v>
      </c>
      <c r="F13807" s="2" t="str">
        <f>"9783428467365"</f>
        <v>9783428467365</v>
      </c>
    </row>
    <row r="13808" spans="1:6" s="3" customFormat="1" ht="29.1" customHeight="1" x14ac:dyDescent="0.25">
      <c r="A13808" s="2" t="s">
        <v>27658</v>
      </c>
      <c r="B13808" s="2" t="s">
        <v>27659</v>
      </c>
      <c r="C13808" s="2" t="s">
        <v>3169</v>
      </c>
      <c r="D13808" s="2" t="s">
        <v>4742</v>
      </c>
      <c r="E13808" s="2"/>
      <c r="F13808" s="2" t="str">
        <f>"9781800106659"</f>
        <v>9781800106659</v>
      </c>
    </row>
    <row r="13809" spans="1:6" s="3" customFormat="1" ht="29.1" customHeight="1" x14ac:dyDescent="0.25">
      <c r="A13809" s="2" t="s">
        <v>27660</v>
      </c>
      <c r="B13809" s="2" t="s">
        <v>27661</v>
      </c>
      <c r="C13809" s="2" t="s">
        <v>3169</v>
      </c>
      <c r="D13809" s="2" t="s">
        <v>6896</v>
      </c>
      <c r="E13809" s="2"/>
      <c r="F13809" s="2" t="str">
        <f>"9781800105676"</f>
        <v>9781800105676</v>
      </c>
    </row>
    <row r="13810" spans="1:6" s="3" customFormat="1" ht="29.1" customHeight="1" x14ac:dyDescent="0.25">
      <c r="A13810" s="2" t="s">
        <v>27662</v>
      </c>
      <c r="B13810" s="2" t="s">
        <v>27663</v>
      </c>
      <c r="C13810" s="2" t="s">
        <v>2242</v>
      </c>
      <c r="D13810" s="2" t="s">
        <v>639</v>
      </c>
      <c r="E13810" s="2" t="str">
        <f>"9788024462332"</f>
        <v>9788024462332</v>
      </c>
      <c r="F13810" s="2" t="str">
        <f>"9788024462349"</f>
        <v>9788024462349</v>
      </c>
    </row>
    <row r="13811" spans="1:6" s="3" customFormat="1" ht="29.1" customHeight="1" x14ac:dyDescent="0.25">
      <c r="A13811" s="2" t="s">
        <v>27664</v>
      </c>
      <c r="B13811" s="2" t="s">
        <v>27665</v>
      </c>
      <c r="C13811" s="2" t="s">
        <v>124</v>
      </c>
      <c r="D13811" s="2" t="s">
        <v>868</v>
      </c>
      <c r="E13811" s="2" t="str">
        <f>"9780367422011"</f>
        <v>9780367422011</v>
      </c>
      <c r="F13811" s="2" t="str">
        <f>"9780367422080"</f>
        <v>9780367422080</v>
      </c>
    </row>
    <row r="13812" spans="1:6" s="3" customFormat="1" ht="29.1" customHeight="1" x14ac:dyDescent="0.25">
      <c r="A13812" s="2" t="s">
        <v>27666</v>
      </c>
      <c r="B13812" s="2" t="s">
        <v>27667</v>
      </c>
      <c r="C13812" s="2" t="s">
        <v>927</v>
      </c>
      <c r="D13812" s="2" t="s">
        <v>297</v>
      </c>
      <c r="E13812" s="2" t="str">
        <f>"9780472055227"</f>
        <v>9780472055227</v>
      </c>
      <c r="F13812" s="2" t="str">
        <f>"9780472902620"</f>
        <v>9780472902620</v>
      </c>
    </row>
    <row r="13813" spans="1:6" s="3" customFormat="1" ht="29.1" customHeight="1" x14ac:dyDescent="0.25">
      <c r="A13813" s="2" t="s">
        <v>27668</v>
      </c>
      <c r="B13813" s="2" t="s">
        <v>27669</v>
      </c>
      <c r="C13813" s="2" t="s">
        <v>613</v>
      </c>
      <c r="D13813" s="2" t="s">
        <v>553</v>
      </c>
      <c r="E13813" s="2" t="str">
        <f>"9781668438091"</f>
        <v>9781668438091</v>
      </c>
      <c r="F13813" s="2" t="str">
        <f>"9781668438114"</f>
        <v>9781668438114</v>
      </c>
    </row>
    <row r="13814" spans="1:6" s="3" customFormat="1" ht="29.1" customHeight="1" x14ac:dyDescent="0.25">
      <c r="A13814" s="2" t="s">
        <v>27670</v>
      </c>
      <c r="B13814" s="2" t="s">
        <v>27671</v>
      </c>
      <c r="C13814" s="2" t="s">
        <v>29</v>
      </c>
      <c r="D13814" s="2" t="s">
        <v>3445</v>
      </c>
      <c r="E13814" s="2" t="str">
        <f>"9783506760647"</f>
        <v>9783506760647</v>
      </c>
      <c r="F13814" s="2" t="str">
        <f>"9783657760640"</f>
        <v>9783657760640</v>
      </c>
    </row>
    <row r="13815" spans="1:6" s="3" customFormat="1" ht="29.1" customHeight="1" x14ac:dyDescent="0.25">
      <c r="A13815" s="2" t="s">
        <v>27672</v>
      </c>
      <c r="B13815" s="2" t="s">
        <v>27673</v>
      </c>
      <c r="C13815" s="2" t="s">
        <v>124</v>
      </c>
      <c r="D13815" s="2" t="s">
        <v>4071</v>
      </c>
      <c r="E13815" s="2" t="str">
        <f>"9781032249988"</f>
        <v>9781032249988</v>
      </c>
      <c r="F13815" s="2" t="str">
        <f>"9781000868265"</f>
        <v>9781000868265</v>
      </c>
    </row>
    <row r="13816" spans="1:6" s="3" customFormat="1" ht="29.1" customHeight="1" x14ac:dyDescent="0.25">
      <c r="A13816" s="2" t="s">
        <v>27674</v>
      </c>
      <c r="B13816" s="2" t="s">
        <v>27675</v>
      </c>
      <c r="C13816" s="2" t="s">
        <v>124</v>
      </c>
      <c r="D13816" s="2" t="s">
        <v>210</v>
      </c>
      <c r="E13816" s="2" t="str">
        <f>"9781032258607"</f>
        <v>9781032258607</v>
      </c>
      <c r="F13816" s="2" t="str">
        <f>"9781000865509"</f>
        <v>9781000865509</v>
      </c>
    </row>
    <row r="13817" spans="1:6" s="3" customFormat="1" ht="29.1" customHeight="1" x14ac:dyDescent="0.25">
      <c r="A13817" s="2" t="s">
        <v>27676</v>
      </c>
      <c r="B13817" s="2" t="s">
        <v>27677</v>
      </c>
      <c r="C13817" s="2" t="s">
        <v>36</v>
      </c>
      <c r="D13817" s="2" t="s">
        <v>72</v>
      </c>
      <c r="E13817" s="2" t="str">
        <f>"9781447364115"</f>
        <v>9781447364115</v>
      </c>
      <c r="F13817" s="2" t="str">
        <f>"9781447364139"</f>
        <v>9781447364139</v>
      </c>
    </row>
    <row r="13818" spans="1:6" s="3" customFormat="1" ht="29.1" customHeight="1" x14ac:dyDescent="0.25">
      <c r="A13818" s="2" t="s">
        <v>27678</v>
      </c>
      <c r="B13818" s="2" t="s">
        <v>27679</v>
      </c>
      <c r="C13818" s="2" t="s">
        <v>885</v>
      </c>
      <c r="D13818" s="2" t="s">
        <v>868</v>
      </c>
      <c r="E13818" s="2" t="str">
        <f>"9781487507671"</f>
        <v>9781487507671</v>
      </c>
      <c r="F13818" s="2" t="str">
        <f>"9781487536718"</f>
        <v>9781487536718</v>
      </c>
    </row>
    <row r="13819" spans="1:6" s="3" customFormat="1" ht="29.1" customHeight="1" x14ac:dyDescent="0.25">
      <c r="A13819" s="2" t="s">
        <v>27680</v>
      </c>
      <c r="B13819" s="2" t="s">
        <v>27681</v>
      </c>
      <c r="C13819" s="2" t="s">
        <v>927</v>
      </c>
      <c r="D13819" s="2" t="s">
        <v>297</v>
      </c>
      <c r="E13819" s="2" t="str">
        <f>"9780472055814"</f>
        <v>9780472055814</v>
      </c>
      <c r="F13819" s="2" t="str">
        <f>"9780472903139"</f>
        <v>9780472903139</v>
      </c>
    </row>
    <row r="13820" spans="1:6" s="3" customFormat="1" ht="29.1" customHeight="1" x14ac:dyDescent="0.25">
      <c r="A13820" s="2" t="s">
        <v>27682</v>
      </c>
      <c r="B13820" s="2" t="s">
        <v>27683</v>
      </c>
      <c r="C13820" s="2" t="s">
        <v>149</v>
      </c>
      <c r="D13820" s="2" t="s">
        <v>37</v>
      </c>
      <c r="E13820" s="2"/>
      <c r="F13820" s="2" t="str">
        <f>"9781800649323"</f>
        <v>9781800649323</v>
      </c>
    </row>
    <row r="13821" spans="1:6" s="3" customFormat="1" ht="29.1" customHeight="1" x14ac:dyDescent="0.25">
      <c r="A13821" s="2" t="s">
        <v>27684</v>
      </c>
      <c r="B13821" s="2" t="s">
        <v>27685</v>
      </c>
      <c r="C13821" s="2" t="s">
        <v>15381</v>
      </c>
      <c r="D13821" s="2" t="s">
        <v>16597</v>
      </c>
      <c r="E13821" s="2" t="str">
        <f>"9781469672687"</f>
        <v>9781469672687</v>
      </c>
      <c r="F13821" s="2" t="str">
        <f>"9781469672717"</f>
        <v>9781469672717</v>
      </c>
    </row>
    <row r="13822" spans="1:6" s="3" customFormat="1" ht="29.1" customHeight="1" x14ac:dyDescent="0.25">
      <c r="A13822" s="2" t="s">
        <v>27686</v>
      </c>
      <c r="B13822" s="2" t="s">
        <v>27687</v>
      </c>
      <c r="C13822" s="2" t="s">
        <v>124</v>
      </c>
      <c r="D13822" s="2" t="s">
        <v>210</v>
      </c>
      <c r="E13822" s="2" t="str">
        <f>"9781032424729"</f>
        <v>9781032424729</v>
      </c>
      <c r="F13822" s="2" t="str">
        <f>"9781000867534"</f>
        <v>9781000867534</v>
      </c>
    </row>
    <row r="13823" spans="1:6" s="3" customFormat="1" ht="29.1" customHeight="1" x14ac:dyDescent="0.25">
      <c r="A13823" s="2" t="s">
        <v>27688</v>
      </c>
      <c r="B13823" s="2" t="s">
        <v>27689</v>
      </c>
      <c r="C13823" s="2" t="s">
        <v>124</v>
      </c>
      <c r="D13823" s="2" t="s">
        <v>1253</v>
      </c>
      <c r="E13823" s="2" t="str">
        <f>"9781032109220"</f>
        <v>9781032109220</v>
      </c>
      <c r="F13823" s="2" t="str">
        <f>"9781000866483"</f>
        <v>9781000866483</v>
      </c>
    </row>
    <row r="13824" spans="1:6" s="3" customFormat="1" ht="29.1" customHeight="1" x14ac:dyDescent="0.25">
      <c r="A13824" s="2" t="s">
        <v>27690</v>
      </c>
      <c r="B13824" s="2" t="s">
        <v>27691</v>
      </c>
      <c r="C13824" s="2" t="s">
        <v>124</v>
      </c>
      <c r="D13824" s="2" t="s">
        <v>6896</v>
      </c>
      <c r="E13824" s="2" t="str">
        <f>"9781032268422"</f>
        <v>9781032268422</v>
      </c>
      <c r="F13824" s="2" t="str">
        <f>"9781000852110"</f>
        <v>9781000852110</v>
      </c>
    </row>
    <row r="13825" spans="1:6" s="3" customFormat="1" ht="29.1" customHeight="1" x14ac:dyDescent="0.25">
      <c r="A13825" s="2" t="s">
        <v>27692</v>
      </c>
      <c r="B13825" s="2" t="s">
        <v>27693</v>
      </c>
      <c r="C13825" s="2" t="s">
        <v>124</v>
      </c>
      <c r="D13825" s="2" t="s">
        <v>3379</v>
      </c>
      <c r="E13825" s="2" t="str">
        <f>"9781032452968"</f>
        <v>9781032452968</v>
      </c>
      <c r="F13825" s="2" t="str">
        <f>"9781000862577"</f>
        <v>9781000862577</v>
      </c>
    </row>
    <row r="13826" spans="1:6" s="3" customFormat="1" ht="29.1" customHeight="1" x14ac:dyDescent="0.25">
      <c r="A13826" s="2" t="s">
        <v>27694</v>
      </c>
      <c r="B13826" s="2" t="s">
        <v>27695</v>
      </c>
      <c r="C13826" s="2" t="s">
        <v>62</v>
      </c>
      <c r="D13826" s="2" t="s">
        <v>6464</v>
      </c>
      <c r="E13826" s="2" t="str">
        <f>"9783428187898"</f>
        <v>9783428187898</v>
      </c>
      <c r="F13826" s="2" t="str">
        <f>"9783428587896"</f>
        <v>9783428587896</v>
      </c>
    </row>
    <row r="13827" spans="1:6" s="3" customFormat="1" ht="29.1" customHeight="1" x14ac:dyDescent="0.25">
      <c r="A13827" s="2" t="s">
        <v>27696</v>
      </c>
      <c r="B13827" s="2" t="s">
        <v>27697</v>
      </c>
      <c r="C13827" s="2" t="s">
        <v>248</v>
      </c>
      <c r="D13827" s="2" t="s">
        <v>75</v>
      </c>
      <c r="E13827" s="2" t="str">
        <f>"9783847427032"</f>
        <v>9783847427032</v>
      </c>
      <c r="F13827" s="2" t="str">
        <f>"9783847418726"</f>
        <v>9783847418726</v>
      </c>
    </row>
    <row r="13828" spans="1:6" s="3" customFormat="1" ht="29.1" customHeight="1" x14ac:dyDescent="0.25">
      <c r="A13828" s="2" t="s">
        <v>27698</v>
      </c>
      <c r="B13828" s="2" t="s">
        <v>27699</v>
      </c>
      <c r="C13828" s="2" t="s">
        <v>55</v>
      </c>
      <c r="D13828" s="2" t="s">
        <v>1463</v>
      </c>
      <c r="E13828" s="2" t="str">
        <f>"9781526163448"</f>
        <v>9781526163448</v>
      </c>
      <c r="F13828" s="2" t="str">
        <f>"9781526163431"</f>
        <v>9781526163431</v>
      </c>
    </row>
    <row r="13829" spans="1:6" s="3" customFormat="1" ht="29.1" customHeight="1" x14ac:dyDescent="0.25">
      <c r="A13829" s="2" t="s">
        <v>27700</v>
      </c>
      <c r="B13829" s="2" t="s">
        <v>27701</v>
      </c>
      <c r="C13829" s="2" t="s">
        <v>595</v>
      </c>
      <c r="D13829" s="2" t="s">
        <v>712</v>
      </c>
      <c r="E13829" s="2" t="str">
        <f>"9781433193583"</f>
        <v>9781433193583</v>
      </c>
      <c r="F13829" s="2" t="str">
        <f>"9781433198236"</f>
        <v>9781433198236</v>
      </c>
    </row>
    <row r="13830" spans="1:6" s="3" customFormat="1" ht="29.1" customHeight="1" x14ac:dyDescent="0.25">
      <c r="A13830" s="2" t="s">
        <v>27702</v>
      </c>
      <c r="B13830" s="2" t="s">
        <v>27703</v>
      </c>
      <c r="C13830" s="2" t="s">
        <v>11220</v>
      </c>
      <c r="D13830" s="2" t="s">
        <v>9317</v>
      </c>
      <c r="E13830" s="2" t="str">
        <f>"9780814731031"</f>
        <v>9780814731031</v>
      </c>
      <c r="F13830" s="2" t="str">
        <f>"9781479812905"</f>
        <v>9781479812905</v>
      </c>
    </row>
    <row r="13831" spans="1:6" s="3" customFormat="1" ht="29.1" customHeight="1" x14ac:dyDescent="0.25">
      <c r="A13831" s="2" t="s">
        <v>27704</v>
      </c>
      <c r="B13831" s="2" t="s">
        <v>27705</v>
      </c>
      <c r="C13831" s="2" t="s">
        <v>2242</v>
      </c>
      <c r="D13831" s="2" t="s">
        <v>14827</v>
      </c>
      <c r="E13831" s="2" t="str">
        <f>"9788024461557"</f>
        <v>9788024461557</v>
      </c>
      <c r="F13831" s="2" t="str">
        <f>"9788024460413"</f>
        <v>9788024460413</v>
      </c>
    </row>
    <row r="13832" spans="1:6" s="3" customFormat="1" ht="29.1" customHeight="1" x14ac:dyDescent="0.25">
      <c r="A13832" s="2" t="s">
        <v>27706</v>
      </c>
      <c r="B13832" s="2" t="s">
        <v>27705</v>
      </c>
      <c r="C13832" s="2" t="s">
        <v>2242</v>
      </c>
      <c r="D13832" s="2" t="s">
        <v>3567</v>
      </c>
      <c r="E13832" s="2" t="str">
        <f>"9788024461540"</f>
        <v>9788024461540</v>
      </c>
      <c r="F13832" s="2" t="str">
        <f>"9788024460406"</f>
        <v>9788024460406</v>
      </c>
    </row>
    <row r="13833" spans="1:6" s="3" customFormat="1" ht="29.1" customHeight="1" x14ac:dyDescent="0.25">
      <c r="A13833" s="2" t="s">
        <v>27707</v>
      </c>
      <c r="B13833" s="2" t="s">
        <v>27708</v>
      </c>
      <c r="C13833" s="2" t="s">
        <v>124</v>
      </c>
      <c r="D13833" s="2" t="s">
        <v>2727</v>
      </c>
      <c r="E13833" s="2" t="str">
        <f>"9781032293295"</f>
        <v>9781032293295</v>
      </c>
      <c r="F13833" s="2" t="str">
        <f>"9781000858389"</f>
        <v>9781000858389</v>
      </c>
    </row>
    <row r="13834" spans="1:6" s="3" customFormat="1" ht="29.1" customHeight="1" x14ac:dyDescent="0.25">
      <c r="A13834" s="2" t="s">
        <v>27709</v>
      </c>
      <c r="B13834" s="2" t="s">
        <v>27710</v>
      </c>
      <c r="C13834" s="2" t="s">
        <v>2188</v>
      </c>
      <c r="D13834" s="2" t="s">
        <v>81</v>
      </c>
      <c r="E13834" s="2" t="str">
        <f>"9788323241157"</f>
        <v>9788323241157</v>
      </c>
      <c r="F13834" s="2" t="str">
        <f>"9788323241164"</f>
        <v>9788323241164</v>
      </c>
    </row>
    <row r="13835" spans="1:6" s="3" customFormat="1" ht="29.1" customHeight="1" x14ac:dyDescent="0.25">
      <c r="A13835" s="2" t="s">
        <v>27711</v>
      </c>
      <c r="B13835" s="2" t="s">
        <v>27712</v>
      </c>
      <c r="C13835" s="2" t="s">
        <v>2188</v>
      </c>
      <c r="D13835" s="2" t="s">
        <v>81</v>
      </c>
      <c r="E13835" s="2" t="str">
        <f>"9788323240969"</f>
        <v>9788323240969</v>
      </c>
      <c r="F13835" s="2" t="str">
        <f>"9788323240976"</f>
        <v>9788323240976</v>
      </c>
    </row>
    <row r="13836" spans="1:6" s="3" customFormat="1" ht="29.1" customHeight="1" x14ac:dyDescent="0.25">
      <c r="A13836" s="2" t="s">
        <v>27713</v>
      </c>
      <c r="B13836" s="2" t="s">
        <v>27714</v>
      </c>
      <c r="C13836" s="2" t="s">
        <v>327</v>
      </c>
      <c r="D13836" s="2" t="s">
        <v>767</v>
      </c>
      <c r="E13836" s="2" t="str">
        <f>"9788383310398"</f>
        <v>9788383310398</v>
      </c>
      <c r="F13836" s="2" t="str">
        <f>"9788383310404"</f>
        <v>9788383310404</v>
      </c>
    </row>
    <row r="13837" spans="1:6" s="3" customFormat="1" ht="29.1" customHeight="1" x14ac:dyDescent="0.25">
      <c r="A13837" s="2" t="s">
        <v>27715</v>
      </c>
      <c r="B13837" s="2" t="s">
        <v>27716</v>
      </c>
      <c r="C13837" s="2" t="s">
        <v>29</v>
      </c>
      <c r="D13837" s="2" t="s">
        <v>324</v>
      </c>
      <c r="E13837" s="2" t="str">
        <f>"9789004538160"</f>
        <v>9789004538160</v>
      </c>
      <c r="F13837" s="2" t="str">
        <f>"9789004538177"</f>
        <v>9789004538177</v>
      </c>
    </row>
    <row r="13838" spans="1:6" s="3" customFormat="1" ht="29.1" customHeight="1" x14ac:dyDescent="0.25">
      <c r="A13838" s="2" t="s">
        <v>27717</v>
      </c>
      <c r="B13838" s="2" t="s">
        <v>27718</v>
      </c>
      <c r="C13838" s="2" t="s">
        <v>556</v>
      </c>
      <c r="D13838" s="2" t="s">
        <v>7589</v>
      </c>
      <c r="E13838" s="2" t="str">
        <f>"9783837661507"</f>
        <v>9783837661507</v>
      </c>
      <c r="F13838" s="2" t="str">
        <f>"9783839461501"</f>
        <v>9783839461501</v>
      </c>
    </row>
    <row r="13839" spans="1:6" s="3" customFormat="1" ht="29.1" customHeight="1" x14ac:dyDescent="0.25">
      <c r="A13839" s="2" t="s">
        <v>27719</v>
      </c>
      <c r="B13839" s="2" t="s">
        <v>27121</v>
      </c>
      <c r="C13839" s="2" t="s">
        <v>556</v>
      </c>
      <c r="D13839" s="2" t="s">
        <v>712</v>
      </c>
      <c r="E13839" s="2" t="str">
        <f>"9783837666731"</f>
        <v>9783837666731</v>
      </c>
      <c r="F13839" s="2" t="str">
        <f>"9783839466735"</f>
        <v>9783839466735</v>
      </c>
    </row>
    <row r="13840" spans="1:6" s="3" customFormat="1" ht="29.1" customHeight="1" x14ac:dyDescent="0.25">
      <c r="A13840" s="2" t="s">
        <v>27720</v>
      </c>
      <c r="B13840" s="2" t="s">
        <v>27721</v>
      </c>
      <c r="C13840" s="2" t="s">
        <v>556</v>
      </c>
      <c r="D13840" s="2" t="s">
        <v>712</v>
      </c>
      <c r="E13840" s="2" t="str">
        <f>"9783837666243"</f>
        <v>9783837666243</v>
      </c>
      <c r="F13840" s="2" t="str">
        <f>"9783732866243"</f>
        <v>9783732866243</v>
      </c>
    </row>
    <row r="13841" spans="1:6" s="3" customFormat="1" ht="29.1" customHeight="1" x14ac:dyDescent="0.25">
      <c r="A13841" s="2" t="s">
        <v>27722</v>
      </c>
      <c r="B13841" s="2" t="s">
        <v>27723</v>
      </c>
      <c r="C13841" s="2" t="s">
        <v>556</v>
      </c>
      <c r="D13841" s="2" t="s">
        <v>37</v>
      </c>
      <c r="E13841" s="2" t="str">
        <f>"9783837666199"</f>
        <v>9783837666199</v>
      </c>
      <c r="F13841" s="2" t="str">
        <f>"9783839466193"</f>
        <v>9783839466193</v>
      </c>
    </row>
    <row r="13842" spans="1:6" s="3" customFormat="1" ht="29.1" customHeight="1" x14ac:dyDescent="0.25">
      <c r="A13842" s="2" t="s">
        <v>27724</v>
      </c>
      <c r="B13842" s="2" t="s">
        <v>27725</v>
      </c>
      <c r="C13842" s="2" t="s">
        <v>556</v>
      </c>
      <c r="D13842" s="2" t="s">
        <v>1127</v>
      </c>
      <c r="E13842" s="2" t="str">
        <f>"9783837665994"</f>
        <v>9783837665994</v>
      </c>
      <c r="F13842" s="2" t="str">
        <f>"9783839465998"</f>
        <v>9783839465998</v>
      </c>
    </row>
    <row r="13843" spans="1:6" s="3" customFormat="1" ht="29.1" customHeight="1" x14ac:dyDescent="0.25">
      <c r="A13843" s="2" t="s">
        <v>27726</v>
      </c>
      <c r="B13843" s="2" t="s">
        <v>27727</v>
      </c>
      <c r="C13843" s="2" t="s">
        <v>556</v>
      </c>
      <c r="D13843" s="2" t="s">
        <v>202</v>
      </c>
      <c r="E13843" s="2" t="str">
        <f>"9783837665918"</f>
        <v>9783837665918</v>
      </c>
      <c r="F13843" s="2" t="str">
        <f>"9783839465912"</f>
        <v>9783839465912</v>
      </c>
    </row>
    <row r="13844" spans="1:6" s="3" customFormat="1" ht="29.1" customHeight="1" x14ac:dyDescent="0.25">
      <c r="A13844" s="2" t="s">
        <v>27728</v>
      </c>
      <c r="B13844" s="2" t="s">
        <v>27729</v>
      </c>
      <c r="C13844" s="2" t="s">
        <v>556</v>
      </c>
      <c r="D13844" s="2" t="s">
        <v>1411</v>
      </c>
      <c r="E13844" s="2" t="str">
        <f>"9783837665697"</f>
        <v>9783837665697</v>
      </c>
      <c r="F13844" s="2" t="str">
        <f>"9783839465691"</f>
        <v>9783839465691</v>
      </c>
    </row>
    <row r="13845" spans="1:6" s="3" customFormat="1" ht="29.1" customHeight="1" x14ac:dyDescent="0.25">
      <c r="A13845" s="2" t="s">
        <v>27730</v>
      </c>
      <c r="B13845" s="2" t="s">
        <v>27731</v>
      </c>
      <c r="C13845" s="2" t="s">
        <v>556</v>
      </c>
      <c r="D13845" s="2" t="s">
        <v>183</v>
      </c>
      <c r="E13845" s="2" t="str">
        <f>"9783837665567"</f>
        <v>9783837665567</v>
      </c>
      <c r="F13845" s="2" t="str">
        <f>"9783839465561"</f>
        <v>9783839465561</v>
      </c>
    </row>
    <row r="13846" spans="1:6" s="3" customFormat="1" ht="29.1" customHeight="1" x14ac:dyDescent="0.25">
      <c r="A13846" s="2" t="s">
        <v>27732</v>
      </c>
      <c r="B13846" s="2" t="s">
        <v>27733</v>
      </c>
      <c r="C13846" s="2" t="s">
        <v>556</v>
      </c>
      <c r="D13846" s="2" t="s">
        <v>215</v>
      </c>
      <c r="E13846" s="2" t="str">
        <f>"9783837665505"</f>
        <v>9783837665505</v>
      </c>
      <c r="F13846" s="2" t="str">
        <f>"9783839465509"</f>
        <v>9783839465509</v>
      </c>
    </row>
    <row r="13847" spans="1:6" s="3" customFormat="1" ht="29.1" customHeight="1" x14ac:dyDescent="0.25">
      <c r="A13847" s="2" t="s">
        <v>27734</v>
      </c>
      <c r="B13847" s="2" t="s">
        <v>27735</v>
      </c>
      <c r="C13847" s="2" t="s">
        <v>556</v>
      </c>
      <c r="D13847" s="2" t="s">
        <v>1895</v>
      </c>
      <c r="E13847" s="2" t="str">
        <f>"9783837665178"</f>
        <v>9783837665178</v>
      </c>
      <c r="F13847" s="2" t="str">
        <f>"9783839465172"</f>
        <v>9783839465172</v>
      </c>
    </row>
    <row r="13848" spans="1:6" s="3" customFormat="1" ht="29.1" customHeight="1" x14ac:dyDescent="0.25">
      <c r="A13848" s="2" t="s">
        <v>27736</v>
      </c>
      <c r="B13848" s="2" t="s">
        <v>27737</v>
      </c>
      <c r="C13848" s="2" t="s">
        <v>556</v>
      </c>
      <c r="D13848" s="2" t="s">
        <v>501</v>
      </c>
      <c r="E13848" s="2" t="str">
        <f>"9783837665062"</f>
        <v>9783837665062</v>
      </c>
      <c r="F13848" s="2" t="str">
        <f>"9783839465066"</f>
        <v>9783839465066</v>
      </c>
    </row>
    <row r="13849" spans="1:6" s="3" customFormat="1" ht="29.1" customHeight="1" x14ac:dyDescent="0.25">
      <c r="A13849" s="2" t="s">
        <v>27738</v>
      </c>
      <c r="B13849" s="2" t="s">
        <v>27739</v>
      </c>
      <c r="C13849" s="2" t="s">
        <v>556</v>
      </c>
      <c r="D13849" s="2" t="s">
        <v>78</v>
      </c>
      <c r="E13849" s="2" t="str">
        <f>"9783837664560"</f>
        <v>9783837664560</v>
      </c>
      <c r="F13849" s="2" t="str">
        <f>"9783732864560"</f>
        <v>9783732864560</v>
      </c>
    </row>
    <row r="13850" spans="1:6" s="3" customFormat="1" ht="29.1" customHeight="1" x14ac:dyDescent="0.25">
      <c r="A13850" s="2" t="s">
        <v>27740</v>
      </c>
      <c r="B13850" s="2" t="s">
        <v>27741</v>
      </c>
      <c r="C13850" s="2" t="s">
        <v>556</v>
      </c>
      <c r="D13850" s="2" t="s">
        <v>712</v>
      </c>
      <c r="E13850" s="2" t="str">
        <f>"9783837664539"</f>
        <v>9783837664539</v>
      </c>
      <c r="F13850" s="2" t="str">
        <f>"9783839464533"</f>
        <v>9783839464533</v>
      </c>
    </row>
    <row r="13851" spans="1:6" s="3" customFormat="1" ht="29.1" customHeight="1" x14ac:dyDescent="0.25">
      <c r="A13851" s="2" t="s">
        <v>27742</v>
      </c>
      <c r="B13851" s="2" t="s">
        <v>27743</v>
      </c>
      <c r="C13851" s="2" t="s">
        <v>556</v>
      </c>
      <c r="D13851" s="2" t="s">
        <v>647</v>
      </c>
      <c r="E13851" s="2" t="str">
        <f>"9783837664492"</f>
        <v>9783837664492</v>
      </c>
      <c r="F13851" s="2" t="str">
        <f>"9783839464496"</f>
        <v>9783839464496</v>
      </c>
    </row>
    <row r="13852" spans="1:6" s="3" customFormat="1" ht="29.1" customHeight="1" x14ac:dyDescent="0.25">
      <c r="A13852" s="2" t="s">
        <v>27744</v>
      </c>
      <c r="B13852" s="2" t="s">
        <v>27745</v>
      </c>
      <c r="C13852" s="2" t="s">
        <v>556</v>
      </c>
      <c r="D13852" s="2" t="s">
        <v>446</v>
      </c>
      <c r="E13852" s="2" t="str">
        <f>"9783837663532"</f>
        <v>9783837663532</v>
      </c>
      <c r="F13852" s="2" t="str">
        <f>"9783839463536"</f>
        <v>9783839463536</v>
      </c>
    </row>
    <row r="13853" spans="1:6" s="3" customFormat="1" ht="29.1" customHeight="1" x14ac:dyDescent="0.25">
      <c r="A13853" s="2" t="s">
        <v>27746</v>
      </c>
      <c r="B13853" s="2" t="s">
        <v>27747</v>
      </c>
      <c r="C13853" s="2" t="s">
        <v>556</v>
      </c>
      <c r="D13853" s="2" t="s">
        <v>183</v>
      </c>
      <c r="E13853" s="2" t="str">
        <f>"9783837662061"</f>
        <v>9783837662061</v>
      </c>
      <c r="F13853" s="2" t="str">
        <f>"9783839462065"</f>
        <v>9783839462065</v>
      </c>
    </row>
    <row r="13854" spans="1:6" s="3" customFormat="1" ht="29.1" customHeight="1" x14ac:dyDescent="0.25">
      <c r="A13854" s="2" t="s">
        <v>27748</v>
      </c>
      <c r="B13854" s="2" t="s">
        <v>27749</v>
      </c>
      <c r="C13854" s="2" t="s">
        <v>556</v>
      </c>
      <c r="D13854" s="2" t="s">
        <v>378</v>
      </c>
      <c r="E13854" s="2" t="str">
        <f>"9783837661606"</f>
        <v>9783837661606</v>
      </c>
      <c r="F13854" s="2" t="str">
        <f>"9783839461600"</f>
        <v>9783839461600</v>
      </c>
    </row>
    <row r="13855" spans="1:6" s="3" customFormat="1" ht="29.1" customHeight="1" x14ac:dyDescent="0.25">
      <c r="A13855" s="2" t="s">
        <v>27750</v>
      </c>
      <c r="B13855" s="2" t="s">
        <v>27751</v>
      </c>
      <c r="C13855" s="2" t="s">
        <v>124</v>
      </c>
      <c r="D13855" s="2" t="s">
        <v>3839</v>
      </c>
      <c r="E13855" s="2" t="str">
        <f>"9781032282954"</f>
        <v>9781032282954</v>
      </c>
      <c r="F13855" s="2" t="str">
        <f>"9781000857177"</f>
        <v>9781000857177</v>
      </c>
    </row>
    <row r="13856" spans="1:6" s="3" customFormat="1" ht="29.1" customHeight="1" x14ac:dyDescent="0.25">
      <c r="A13856" s="2" t="s">
        <v>27752</v>
      </c>
      <c r="B13856" s="2" t="s">
        <v>27753</v>
      </c>
      <c r="C13856" s="2" t="s">
        <v>124</v>
      </c>
      <c r="D13856" s="2" t="s">
        <v>86</v>
      </c>
      <c r="E13856" s="2" t="str">
        <f>"9781032360201"</f>
        <v>9781032360201</v>
      </c>
      <c r="F13856" s="2" t="str">
        <f>"9781000861297"</f>
        <v>9781000861297</v>
      </c>
    </row>
    <row r="13857" spans="1:6" s="3" customFormat="1" ht="29.1" customHeight="1" x14ac:dyDescent="0.25">
      <c r="A13857" s="2" t="s">
        <v>27754</v>
      </c>
      <c r="B13857" s="2" t="s">
        <v>27755</v>
      </c>
      <c r="C13857" s="2" t="s">
        <v>2188</v>
      </c>
      <c r="D13857" s="2" t="s">
        <v>2045</v>
      </c>
      <c r="E13857" s="2" t="str">
        <f>"9788323235552"</f>
        <v>9788323235552</v>
      </c>
      <c r="F13857" s="2" t="str">
        <f>"9788323237440"</f>
        <v>9788323237440</v>
      </c>
    </row>
    <row r="13858" spans="1:6" s="3" customFormat="1" ht="29.1" customHeight="1" x14ac:dyDescent="0.25">
      <c r="A13858" s="2" t="s">
        <v>27756</v>
      </c>
      <c r="B13858" s="2" t="s">
        <v>10270</v>
      </c>
      <c r="C13858" s="2" t="s">
        <v>149</v>
      </c>
      <c r="D13858" s="2" t="s">
        <v>18302</v>
      </c>
      <c r="E13858" s="2"/>
      <c r="F13858" s="2" t="str">
        <f>"9781800649828"</f>
        <v>9781800649828</v>
      </c>
    </row>
    <row r="13859" spans="1:6" s="3" customFormat="1" ht="29.1" customHeight="1" x14ac:dyDescent="0.25">
      <c r="A13859" s="2" t="s">
        <v>27757</v>
      </c>
      <c r="B13859" s="2" t="s">
        <v>27758</v>
      </c>
      <c r="C13859" s="2" t="s">
        <v>15885</v>
      </c>
      <c r="D13859" s="2" t="s">
        <v>606</v>
      </c>
      <c r="E13859" s="2" t="str">
        <f>"9780813069418"</f>
        <v>9780813069418</v>
      </c>
      <c r="F13859" s="2" t="str">
        <f>"9780813070223"</f>
        <v>9780813070223</v>
      </c>
    </row>
    <row r="13860" spans="1:6" s="3" customFormat="1" ht="29.1" customHeight="1" x14ac:dyDescent="0.25">
      <c r="A13860" s="2" t="s">
        <v>27759</v>
      </c>
      <c r="B13860" s="2" t="s">
        <v>27760</v>
      </c>
      <c r="C13860" s="2" t="s">
        <v>5</v>
      </c>
      <c r="D13860" s="2" t="s">
        <v>4180</v>
      </c>
      <c r="E13860" s="2" t="str">
        <f>"9783031245305"</f>
        <v>9783031245305</v>
      </c>
      <c r="F13860" s="2" t="str">
        <f>"9783031245312"</f>
        <v>9783031245312</v>
      </c>
    </row>
    <row r="13861" spans="1:6" s="3" customFormat="1" ht="29.1" customHeight="1" x14ac:dyDescent="0.25">
      <c r="A13861" s="2" t="s">
        <v>27761</v>
      </c>
      <c r="B13861" s="2" t="s">
        <v>27762</v>
      </c>
      <c r="C13861" s="2" t="s">
        <v>5050</v>
      </c>
      <c r="D13861" s="2" t="s">
        <v>5638</v>
      </c>
      <c r="E13861" s="2" t="str">
        <f>"9780824894887"</f>
        <v>9780824894887</v>
      </c>
      <c r="F13861" s="2" t="str">
        <f>"9780824897024"</f>
        <v>9780824897024</v>
      </c>
    </row>
    <row r="13862" spans="1:6" s="3" customFormat="1" ht="29.1" customHeight="1" x14ac:dyDescent="0.25">
      <c r="A13862" s="2" t="s">
        <v>27763</v>
      </c>
      <c r="B13862" s="2" t="s">
        <v>27764</v>
      </c>
      <c r="C13862" s="2" t="s">
        <v>124</v>
      </c>
      <c r="D13862" s="2" t="s">
        <v>33</v>
      </c>
      <c r="E13862" s="2" t="str">
        <f>"9780367674762"</f>
        <v>9780367674762</v>
      </c>
      <c r="F13862" s="2" t="str">
        <f>"9781000852363"</f>
        <v>9781000852363</v>
      </c>
    </row>
    <row r="13863" spans="1:6" s="3" customFormat="1" ht="29.1" customHeight="1" x14ac:dyDescent="0.25">
      <c r="A13863" s="2" t="s">
        <v>27765</v>
      </c>
      <c r="B13863" s="2" t="s">
        <v>27766</v>
      </c>
      <c r="C13863" s="2" t="s">
        <v>316</v>
      </c>
      <c r="D13863" s="2" t="s">
        <v>342</v>
      </c>
      <c r="E13863" s="2" t="str">
        <f>"9783036400082"</f>
        <v>9783036400082</v>
      </c>
      <c r="F13863" s="2" t="str">
        <f>"9783036410081"</f>
        <v>9783036410081</v>
      </c>
    </row>
    <row r="13864" spans="1:6" s="3" customFormat="1" ht="29.1" customHeight="1" x14ac:dyDescent="0.25">
      <c r="A13864" s="2" t="s">
        <v>27767</v>
      </c>
      <c r="B13864" s="2" t="s">
        <v>27769</v>
      </c>
      <c r="C13864" s="2" t="s">
        <v>885</v>
      </c>
      <c r="D13864" s="2" t="s">
        <v>27768</v>
      </c>
      <c r="E13864" s="2" t="str">
        <f>"9781487506711"</f>
        <v>9781487506711</v>
      </c>
      <c r="F13864" s="2" t="str">
        <f>"9781487534707"</f>
        <v>9781487534707</v>
      </c>
    </row>
    <row r="13865" spans="1:6" s="3" customFormat="1" ht="29.1" customHeight="1" x14ac:dyDescent="0.25">
      <c r="A13865" s="2" t="s">
        <v>27770</v>
      </c>
      <c r="B13865" s="2" t="s">
        <v>27771</v>
      </c>
      <c r="C13865" s="2" t="s">
        <v>195</v>
      </c>
      <c r="D13865" s="2" t="s">
        <v>9441</v>
      </c>
      <c r="E13865" s="2" t="str">
        <f>"9783868596465"</f>
        <v>9783868596465</v>
      </c>
      <c r="F13865" s="2" t="str">
        <f>"9783868599732"</f>
        <v>9783868599732</v>
      </c>
    </row>
    <row r="13866" spans="1:6" s="3" customFormat="1" ht="29.1" customHeight="1" x14ac:dyDescent="0.25">
      <c r="A13866" s="2" t="s">
        <v>27770</v>
      </c>
      <c r="B13866" s="2" t="s">
        <v>27771</v>
      </c>
      <c r="C13866" s="2" t="s">
        <v>195</v>
      </c>
      <c r="D13866" s="2" t="s">
        <v>9441</v>
      </c>
      <c r="E13866" s="2" t="str">
        <f>"9783868596458"</f>
        <v>9783868596458</v>
      </c>
      <c r="F13866" s="2" t="str">
        <f>"9783868599725"</f>
        <v>9783868599725</v>
      </c>
    </row>
    <row r="13867" spans="1:6" s="3" customFormat="1" ht="29.1" customHeight="1" x14ac:dyDescent="0.25">
      <c r="A13867" s="2" t="s">
        <v>27772</v>
      </c>
      <c r="B13867" s="2" t="s">
        <v>27773</v>
      </c>
      <c r="C13867" s="2" t="s">
        <v>195</v>
      </c>
      <c r="D13867" s="2" t="s">
        <v>218</v>
      </c>
      <c r="E13867" s="2" t="str">
        <f>"9783111019260"</f>
        <v>9783111019260</v>
      </c>
      <c r="F13867" s="2" t="str">
        <f>"9783111026480"</f>
        <v>9783111026480</v>
      </c>
    </row>
    <row r="13868" spans="1:6" s="3" customFormat="1" ht="29.1" customHeight="1" x14ac:dyDescent="0.25">
      <c r="A13868" s="2" t="s">
        <v>27774</v>
      </c>
      <c r="B13868" s="2" t="s">
        <v>27775</v>
      </c>
      <c r="C13868" s="2" t="s">
        <v>195</v>
      </c>
      <c r="D13868" s="2" t="s">
        <v>446</v>
      </c>
      <c r="E13868" s="2" t="str">
        <f>"9783111015118"</f>
        <v>9783111015118</v>
      </c>
      <c r="F13868" s="2" t="str">
        <f>"9783111015507"</f>
        <v>9783111015507</v>
      </c>
    </row>
    <row r="13869" spans="1:6" s="3" customFormat="1" ht="29.1" customHeight="1" x14ac:dyDescent="0.25">
      <c r="A13869" s="2" t="s">
        <v>27776</v>
      </c>
      <c r="B13869" s="2" t="s">
        <v>27777</v>
      </c>
      <c r="C13869" s="2" t="s">
        <v>195</v>
      </c>
      <c r="D13869" s="2" t="s">
        <v>413</v>
      </c>
      <c r="E13869" s="2" t="str">
        <f>"9783111017273"</f>
        <v>9783111017273</v>
      </c>
      <c r="F13869" s="2" t="str">
        <f>"9783111017433"</f>
        <v>9783111017433</v>
      </c>
    </row>
    <row r="13870" spans="1:6" s="3" customFormat="1" ht="29.1" customHeight="1" x14ac:dyDescent="0.25">
      <c r="A13870" s="2" t="s">
        <v>27778</v>
      </c>
      <c r="B13870" s="2" t="s">
        <v>12165</v>
      </c>
      <c r="C13870" s="2" t="s">
        <v>195</v>
      </c>
      <c r="D13870" s="2" t="s">
        <v>210</v>
      </c>
      <c r="E13870" s="2" t="str">
        <f>"9783110789669"</f>
        <v>9783110789669</v>
      </c>
      <c r="F13870" s="2" t="str">
        <f>"9783110789690"</f>
        <v>9783110789690</v>
      </c>
    </row>
    <row r="13871" spans="1:6" s="3" customFormat="1" ht="29.1" customHeight="1" x14ac:dyDescent="0.25">
      <c r="A13871" s="2" t="s">
        <v>27779</v>
      </c>
      <c r="B13871" s="2" t="s">
        <v>27780</v>
      </c>
      <c r="C13871" s="2" t="s">
        <v>124</v>
      </c>
      <c r="D13871" s="2" t="s">
        <v>378</v>
      </c>
      <c r="E13871" s="2" t="str">
        <f>"9781032219103"</f>
        <v>9781032219103</v>
      </c>
      <c r="F13871" s="2" t="str">
        <f>"9781000839852"</f>
        <v>9781000839852</v>
      </c>
    </row>
    <row r="13872" spans="1:6" s="3" customFormat="1" ht="29.1" customHeight="1" x14ac:dyDescent="0.25">
      <c r="A13872" s="2" t="s">
        <v>27781</v>
      </c>
      <c r="B13872" s="2" t="s">
        <v>27782</v>
      </c>
      <c r="C13872" s="2" t="s">
        <v>927</v>
      </c>
      <c r="D13872" s="2" t="s">
        <v>297</v>
      </c>
      <c r="E13872" s="2" t="str">
        <f>"9780472038596"</f>
        <v>9780472038596</v>
      </c>
      <c r="F13872" s="2" t="str">
        <f>"9780472902453"</f>
        <v>9780472902453</v>
      </c>
    </row>
    <row r="13873" spans="1:6" s="3" customFormat="1" ht="29.1" customHeight="1" x14ac:dyDescent="0.25">
      <c r="A13873" s="2" t="s">
        <v>27783</v>
      </c>
      <c r="B13873" s="2" t="s">
        <v>27784</v>
      </c>
      <c r="C13873" s="2" t="s">
        <v>746</v>
      </c>
      <c r="D13873" s="2" t="s">
        <v>606</v>
      </c>
      <c r="E13873" s="2" t="str">
        <f>"9781803273587"</f>
        <v>9781803273587</v>
      </c>
      <c r="F13873" s="2" t="str">
        <f>"9781803273594"</f>
        <v>9781803273594</v>
      </c>
    </row>
    <row r="13874" spans="1:6" s="3" customFormat="1" ht="29.1" customHeight="1" x14ac:dyDescent="0.25">
      <c r="A13874" s="2" t="s">
        <v>27785</v>
      </c>
      <c r="B13874" s="2" t="s">
        <v>27786</v>
      </c>
      <c r="C13874" s="2" t="s">
        <v>9716</v>
      </c>
      <c r="D13874" s="2" t="s">
        <v>270</v>
      </c>
      <c r="E13874" s="2" t="str">
        <f>"9781439923399"</f>
        <v>9781439923399</v>
      </c>
      <c r="F13874" s="2" t="str">
        <f>"9781439923412"</f>
        <v>9781439923412</v>
      </c>
    </row>
    <row r="13875" spans="1:6" s="3" customFormat="1" ht="29.1" customHeight="1" x14ac:dyDescent="0.25">
      <c r="A13875" s="2" t="s">
        <v>27787</v>
      </c>
      <c r="B13875" s="2" t="s">
        <v>27788</v>
      </c>
      <c r="C13875" s="2" t="s">
        <v>124</v>
      </c>
      <c r="D13875" s="2" t="s">
        <v>647</v>
      </c>
      <c r="E13875" s="2" t="str">
        <f>"9780367552732"</f>
        <v>9780367552732</v>
      </c>
      <c r="F13875" s="2" t="str">
        <f>"9781000856170"</f>
        <v>9781000856170</v>
      </c>
    </row>
    <row r="13876" spans="1:6" s="3" customFormat="1" ht="29.1" customHeight="1" x14ac:dyDescent="0.25">
      <c r="A13876" s="2" t="s">
        <v>27789</v>
      </c>
      <c r="B13876" s="2" t="s">
        <v>27790</v>
      </c>
      <c r="C13876" s="2" t="s">
        <v>927</v>
      </c>
      <c r="D13876" s="2" t="s">
        <v>33</v>
      </c>
      <c r="E13876" s="2" t="str">
        <f>"9780472051403"</f>
        <v>9780472051403</v>
      </c>
      <c r="F13876" s="2" t="str">
        <f>"9780472900350"</f>
        <v>9780472900350</v>
      </c>
    </row>
    <row r="13877" spans="1:6" s="3" customFormat="1" ht="29.1" customHeight="1" x14ac:dyDescent="0.25">
      <c r="A13877" s="2" t="s">
        <v>27791</v>
      </c>
      <c r="B13877" s="2" t="s">
        <v>27792</v>
      </c>
      <c r="C13877" s="2" t="s">
        <v>2188</v>
      </c>
      <c r="D13877" s="2" t="s">
        <v>210</v>
      </c>
      <c r="E13877" s="2" t="str">
        <f>"9788323240907"</f>
        <v>9788323240907</v>
      </c>
      <c r="F13877" s="2" t="str">
        <f>"9788323240914"</f>
        <v>9788323240914</v>
      </c>
    </row>
    <row r="13878" spans="1:6" s="3" customFormat="1" ht="29.1" customHeight="1" x14ac:dyDescent="0.25">
      <c r="A13878" s="2" t="s">
        <v>27793</v>
      </c>
      <c r="B13878" s="2" t="s">
        <v>15547</v>
      </c>
      <c r="C13878" s="2" t="s">
        <v>2133</v>
      </c>
      <c r="D13878" s="2" t="s">
        <v>92</v>
      </c>
      <c r="E13878" s="2" t="str">
        <f>"9781921862328"</f>
        <v>9781921862328</v>
      </c>
      <c r="F13878" s="2" t="str">
        <f>"9781921862335"</f>
        <v>9781921862335</v>
      </c>
    </row>
    <row r="13879" spans="1:6" s="3" customFormat="1" ht="29.1" customHeight="1" x14ac:dyDescent="0.25">
      <c r="A13879" s="2" t="s">
        <v>27794</v>
      </c>
      <c r="B13879" s="2" t="s">
        <v>27795</v>
      </c>
      <c r="C13879" s="2" t="s">
        <v>2133</v>
      </c>
      <c r="D13879" s="2" t="s">
        <v>818</v>
      </c>
      <c r="E13879" s="2" t="str">
        <f>"9781921862595"</f>
        <v>9781921862595</v>
      </c>
      <c r="F13879" s="2" t="str">
        <f>"9781921862601"</f>
        <v>9781921862601</v>
      </c>
    </row>
    <row r="13880" spans="1:6" s="3" customFormat="1" ht="29.1" customHeight="1" x14ac:dyDescent="0.25">
      <c r="A13880" s="2" t="s">
        <v>27796</v>
      </c>
      <c r="B13880" s="2" t="s">
        <v>27797</v>
      </c>
      <c r="C13880" s="2" t="s">
        <v>2133</v>
      </c>
      <c r="D13880" s="2" t="s">
        <v>606</v>
      </c>
      <c r="E13880" s="2" t="str">
        <f>"9781921862717"</f>
        <v>9781921862717</v>
      </c>
      <c r="F13880" s="2" t="str">
        <f>"9781921862724"</f>
        <v>9781921862724</v>
      </c>
    </row>
    <row r="13881" spans="1:6" s="3" customFormat="1" ht="29.1" customHeight="1" x14ac:dyDescent="0.25">
      <c r="A13881" s="2" t="s">
        <v>27798</v>
      </c>
      <c r="B13881" s="2" t="s">
        <v>27799</v>
      </c>
      <c r="C13881" s="2" t="s">
        <v>2133</v>
      </c>
      <c r="D13881" s="2" t="s">
        <v>92</v>
      </c>
      <c r="E13881" s="2" t="str">
        <f>"9781921862366"</f>
        <v>9781921862366</v>
      </c>
      <c r="F13881" s="2" t="str">
        <f>"9781921862373"</f>
        <v>9781921862373</v>
      </c>
    </row>
    <row r="13882" spans="1:6" s="3" customFormat="1" ht="29.1" customHeight="1" x14ac:dyDescent="0.25">
      <c r="A13882" s="2" t="s">
        <v>27800</v>
      </c>
      <c r="B13882" s="2" t="s">
        <v>27801</v>
      </c>
      <c r="C13882" s="2" t="s">
        <v>2133</v>
      </c>
      <c r="D13882" s="2" t="s">
        <v>3214</v>
      </c>
      <c r="E13882" s="2" t="str">
        <f>"9781921862670"</f>
        <v>9781921862670</v>
      </c>
      <c r="F13882" s="2" t="str">
        <f>"9781921862687"</f>
        <v>9781921862687</v>
      </c>
    </row>
    <row r="13883" spans="1:6" s="3" customFormat="1" ht="29.1" customHeight="1" x14ac:dyDescent="0.25">
      <c r="A13883" s="2" t="s">
        <v>27802</v>
      </c>
      <c r="B13883" s="2" t="s">
        <v>27803</v>
      </c>
      <c r="C13883" s="2" t="s">
        <v>124</v>
      </c>
      <c r="D13883" s="2" t="s">
        <v>2271</v>
      </c>
      <c r="E13883" s="2" t="str">
        <f>"9781032406084"</f>
        <v>9781032406084</v>
      </c>
      <c r="F13883" s="2" t="str">
        <f>"9781000867824"</f>
        <v>9781000867824</v>
      </c>
    </row>
    <row r="13884" spans="1:6" s="3" customFormat="1" ht="29.1" customHeight="1" x14ac:dyDescent="0.25">
      <c r="A13884" s="2" t="s">
        <v>27804</v>
      </c>
      <c r="B13884" s="2" t="s">
        <v>27806</v>
      </c>
      <c r="C13884" s="2" t="s">
        <v>27805</v>
      </c>
      <c r="D13884" s="2" t="s">
        <v>9</v>
      </c>
      <c r="E13884" s="2" t="str">
        <f>"9783832552596"</f>
        <v>9783832552596</v>
      </c>
      <c r="F13884" s="2"/>
    </row>
    <row r="13885" spans="1:6" s="3" customFormat="1" ht="29.1" customHeight="1" x14ac:dyDescent="0.25">
      <c r="A13885" s="2" t="s">
        <v>27807</v>
      </c>
      <c r="B13885" s="2" t="s">
        <v>27808</v>
      </c>
      <c r="C13885" s="2" t="s">
        <v>27805</v>
      </c>
      <c r="D13885" s="2" t="s">
        <v>9</v>
      </c>
      <c r="E13885" s="2"/>
      <c r="F13885" s="2" t="str">
        <f>"9783832551490"</f>
        <v>9783832551490</v>
      </c>
    </row>
    <row r="13886" spans="1:6" s="3" customFormat="1" ht="29.1" customHeight="1" x14ac:dyDescent="0.25">
      <c r="A13886" s="2" t="s">
        <v>27809</v>
      </c>
      <c r="B13886" s="2" t="s">
        <v>27810</v>
      </c>
      <c r="C13886" s="2" t="s">
        <v>27805</v>
      </c>
      <c r="D13886" s="2" t="s">
        <v>1902</v>
      </c>
      <c r="E13886" s="2" t="str">
        <f>"9783832551414"</f>
        <v>9783832551414</v>
      </c>
      <c r="F13886" s="2"/>
    </row>
    <row r="13887" spans="1:6" s="3" customFormat="1" ht="29.1" customHeight="1" x14ac:dyDescent="0.25">
      <c r="A13887" s="2" t="s">
        <v>27811</v>
      </c>
      <c r="B13887" s="2" t="s">
        <v>27812</v>
      </c>
      <c r="C13887" s="2" t="s">
        <v>27805</v>
      </c>
      <c r="D13887" s="2" t="s">
        <v>9</v>
      </c>
      <c r="E13887" s="2" t="str">
        <f>"9783832542764"</f>
        <v>9783832542764</v>
      </c>
      <c r="F13887" s="2"/>
    </row>
    <row r="13888" spans="1:6" s="3" customFormat="1" ht="29.1" customHeight="1" x14ac:dyDescent="0.25">
      <c r="A13888" s="2" t="s">
        <v>27813</v>
      </c>
      <c r="B13888" s="2" t="s">
        <v>27814</v>
      </c>
      <c r="C13888" s="2" t="s">
        <v>27805</v>
      </c>
      <c r="D13888" s="2" t="s">
        <v>4739</v>
      </c>
      <c r="E13888" s="2" t="str">
        <f>"9783897228818"</f>
        <v>9783897228818</v>
      </c>
      <c r="F13888" s="2"/>
    </row>
    <row r="13889" spans="1:6" s="3" customFormat="1" ht="29.1" customHeight="1" x14ac:dyDescent="0.25">
      <c r="A13889" s="2" t="s">
        <v>27815</v>
      </c>
      <c r="B13889" s="2" t="s">
        <v>27816</v>
      </c>
      <c r="C13889" s="2" t="s">
        <v>27805</v>
      </c>
      <c r="D13889" s="2" t="s">
        <v>4500</v>
      </c>
      <c r="E13889" s="2" t="str">
        <f>"9783832556013"</f>
        <v>9783832556013</v>
      </c>
      <c r="F13889" s="2"/>
    </row>
    <row r="13890" spans="1:6" s="3" customFormat="1" ht="29.1" customHeight="1" x14ac:dyDescent="0.25">
      <c r="A13890" s="2" t="s">
        <v>27817</v>
      </c>
      <c r="B13890" s="2" t="s">
        <v>11168</v>
      </c>
      <c r="C13890" s="2" t="s">
        <v>27805</v>
      </c>
      <c r="D13890" s="2" t="s">
        <v>1959</v>
      </c>
      <c r="E13890" s="2" t="str">
        <f>"9783832555825"</f>
        <v>9783832555825</v>
      </c>
      <c r="F13890" s="2"/>
    </row>
    <row r="13891" spans="1:6" s="3" customFormat="1" ht="29.1" customHeight="1" x14ac:dyDescent="0.25">
      <c r="A13891" s="2" t="s">
        <v>27818</v>
      </c>
      <c r="B13891" s="2" t="s">
        <v>27819</v>
      </c>
      <c r="C13891" s="2" t="s">
        <v>27805</v>
      </c>
      <c r="D13891" s="2" t="s">
        <v>15336</v>
      </c>
      <c r="E13891" s="2" t="str">
        <f>"9783832555818"</f>
        <v>9783832555818</v>
      </c>
      <c r="F13891" s="2"/>
    </row>
    <row r="13892" spans="1:6" s="3" customFormat="1" ht="29.1" customHeight="1" x14ac:dyDescent="0.25">
      <c r="A13892" s="2" t="s">
        <v>27820</v>
      </c>
      <c r="B13892" s="2" t="s">
        <v>27821</v>
      </c>
      <c r="C13892" s="2" t="s">
        <v>27805</v>
      </c>
      <c r="D13892" s="2" t="s">
        <v>1959</v>
      </c>
      <c r="E13892" s="2" t="str">
        <f>"9783832555788"</f>
        <v>9783832555788</v>
      </c>
      <c r="F13892" s="2"/>
    </row>
    <row r="13893" spans="1:6" s="3" customFormat="1" ht="29.1" customHeight="1" x14ac:dyDescent="0.25">
      <c r="A13893" s="2" t="s">
        <v>27822</v>
      </c>
      <c r="B13893" s="2" t="s">
        <v>27823</v>
      </c>
      <c r="C13893" s="2" t="s">
        <v>27805</v>
      </c>
      <c r="D13893" s="2" t="s">
        <v>2880</v>
      </c>
      <c r="E13893" s="2" t="str">
        <f>"9783832555764"</f>
        <v>9783832555764</v>
      </c>
      <c r="F13893" s="2"/>
    </row>
    <row r="13894" spans="1:6" s="3" customFormat="1" ht="29.1" customHeight="1" x14ac:dyDescent="0.25">
      <c r="A13894" s="2" t="s">
        <v>27824</v>
      </c>
      <c r="B13894" s="2" t="s">
        <v>27825</v>
      </c>
      <c r="C13894" s="2" t="s">
        <v>27805</v>
      </c>
      <c r="D13894" s="2" t="s">
        <v>1959</v>
      </c>
      <c r="E13894" s="2" t="str">
        <f>"9783832555757"</f>
        <v>9783832555757</v>
      </c>
      <c r="F13894" s="2"/>
    </row>
    <row r="13895" spans="1:6" s="3" customFormat="1" ht="29.1" customHeight="1" x14ac:dyDescent="0.25">
      <c r="A13895" s="2" t="s">
        <v>27826</v>
      </c>
      <c r="B13895" s="2" t="s">
        <v>27827</v>
      </c>
      <c r="C13895" s="2" t="s">
        <v>27805</v>
      </c>
      <c r="D13895" s="2" t="s">
        <v>186</v>
      </c>
      <c r="E13895" s="2" t="str">
        <f>"9783832555726"</f>
        <v>9783832555726</v>
      </c>
      <c r="F13895" s="2"/>
    </row>
    <row r="13896" spans="1:6" s="3" customFormat="1" ht="29.1" customHeight="1" x14ac:dyDescent="0.25">
      <c r="A13896" s="2" t="s">
        <v>27828</v>
      </c>
      <c r="B13896" s="2" t="s">
        <v>27829</v>
      </c>
      <c r="C13896" s="2" t="s">
        <v>27805</v>
      </c>
      <c r="D13896" s="2" t="s">
        <v>2880</v>
      </c>
      <c r="E13896" s="2" t="str">
        <f>"9783832555665"</f>
        <v>9783832555665</v>
      </c>
      <c r="F13896" s="2"/>
    </row>
    <row r="13897" spans="1:6" s="3" customFormat="1" ht="29.1" customHeight="1" x14ac:dyDescent="0.25">
      <c r="A13897" s="2" t="s">
        <v>27830</v>
      </c>
      <c r="B13897" s="2" t="s">
        <v>27831</v>
      </c>
      <c r="C13897" s="2" t="s">
        <v>27805</v>
      </c>
      <c r="D13897" s="2" t="s">
        <v>9</v>
      </c>
      <c r="E13897" s="2" t="str">
        <f>"9783832555535"</f>
        <v>9783832555535</v>
      </c>
      <c r="F13897" s="2"/>
    </row>
    <row r="13898" spans="1:6" s="3" customFormat="1" ht="29.1" customHeight="1" x14ac:dyDescent="0.25">
      <c r="A13898" s="2" t="s">
        <v>27832</v>
      </c>
      <c r="B13898" s="2" t="s">
        <v>27833</v>
      </c>
      <c r="C13898" s="2" t="s">
        <v>27805</v>
      </c>
      <c r="D13898" s="2" t="s">
        <v>1059</v>
      </c>
      <c r="E13898" s="2" t="str">
        <f>"9783832555528"</f>
        <v>9783832555528</v>
      </c>
      <c r="F13898" s="2"/>
    </row>
    <row r="13899" spans="1:6" s="3" customFormat="1" ht="29.1" customHeight="1" x14ac:dyDescent="0.25">
      <c r="A13899" s="2" t="s">
        <v>27834</v>
      </c>
      <c r="B13899" s="2" t="s">
        <v>27835</v>
      </c>
      <c r="C13899" s="2" t="s">
        <v>27805</v>
      </c>
      <c r="D13899" s="2" t="s">
        <v>9</v>
      </c>
      <c r="E13899" s="2" t="str">
        <f>"9783832555450"</f>
        <v>9783832555450</v>
      </c>
      <c r="F13899" s="2"/>
    </row>
    <row r="13900" spans="1:6" s="3" customFormat="1" ht="29.1" customHeight="1" x14ac:dyDescent="0.25">
      <c r="A13900" s="2" t="s">
        <v>27836</v>
      </c>
      <c r="B13900" s="2" t="s">
        <v>27837</v>
      </c>
      <c r="C13900" s="2" t="s">
        <v>27805</v>
      </c>
      <c r="D13900" s="2" t="s">
        <v>9</v>
      </c>
      <c r="E13900" s="2"/>
      <c r="F13900" s="2" t="str">
        <f>"9783832555344"</f>
        <v>9783832555344</v>
      </c>
    </row>
    <row r="13901" spans="1:6" s="3" customFormat="1" ht="29.1" customHeight="1" x14ac:dyDescent="0.25">
      <c r="A13901" s="2" t="s">
        <v>27838</v>
      </c>
      <c r="B13901" s="2" t="s">
        <v>27839</v>
      </c>
      <c r="C13901" s="2" t="s">
        <v>27805</v>
      </c>
      <c r="D13901" s="2" t="s">
        <v>81</v>
      </c>
      <c r="E13901" s="2" t="str">
        <f>"9783832555337"</f>
        <v>9783832555337</v>
      </c>
      <c r="F13901" s="2"/>
    </row>
    <row r="13902" spans="1:6" s="3" customFormat="1" ht="29.1" customHeight="1" x14ac:dyDescent="0.25">
      <c r="A13902" s="2" t="s">
        <v>27840</v>
      </c>
      <c r="B13902" s="2" t="s">
        <v>27841</v>
      </c>
      <c r="C13902" s="2" t="s">
        <v>27805</v>
      </c>
      <c r="D13902" s="2" t="s">
        <v>4500</v>
      </c>
      <c r="E13902" s="2" t="str">
        <f>"9783832555290"</f>
        <v>9783832555290</v>
      </c>
      <c r="F13902" s="2"/>
    </row>
    <row r="13903" spans="1:6" s="3" customFormat="1" ht="29.1" customHeight="1" x14ac:dyDescent="0.25">
      <c r="A13903" s="2" t="s">
        <v>27842</v>
      </c>
      <c r="B13903" s="2" t="s">
        <v>27843</v>
      </c>
      <c r="C13903" s="2" t="s">
        <v>27805</v>
      </c>
      <c r="D13903" s="2" t="s">
        <v>9</v>
      </c>
      <c r="E13903" s="2"/>
      <c r="F13903" s="2" t="str">
        <f>"9783832555221"</f>
        <v>9783832555221</v>
      </c>
    </row>
    <row r="13904" spans="1:6" s="3" customFormat="1" ht="29.1" customHeight="1" x14ac:dyDescent="0.25">
      <c r="A13904" s="2" t="s">
        <v>27844</v>
      </c>
      <c r="B13904" s="2" t="s">
        <v>27810</v>
      </c>
      <c r="C13904" s="2" t="s">
        <v>27805</v>
      </c>
      <c r="D13904" s="2" t="s">
        <v>1902</v>
      </c>
      <c r="E13904" s="2" t="str">
        <f>"9783832555207"</f>
        <v>9783832555207</v>
      </c>
      <c r="F13904" s="2"/>
    </row>
    <row r="13905" spans="1:6" s="3" customFormat="1" ht="29.1" customHeight="1" x14ac:dyDescent="0.25">
      <c r="A13905" s="2" t="s">
        <v>27845</v>
      </c>
      <c r="B13905" s="2" t="s">
        <v>27846</v>
      </c>
      <c r="C13905" s="2" t="s">
        <v>27805</v>
      </c>
      <c r="D13905" s="2" t="s">
        <v>186</v>
      </c>
      <c r="E13905" s="2" t="str">
        <f>"9783832555108"</f>
        <v>9783832555108</v>
      </c>
      <c r="F13905" s="2"/>
    </row>
    <row r="13906" spans="1:6" s="3" customFormat="1" ht="29.1" customHeight="1" x14ac:dyDescent="0.25">
      <c r="A13906" s="2" t="s">
        <v>27847</v>
      </c>
      <c r="B13906" s="2" t="s">
        <v>27848</v>
      </c>
      <c r="C13906" s="2" t="s">
        <v>27805</v>
      </c>
      <c r="D13906" s="2" t="s">
        <v>1390</v>
      </c>
      <c r="E13906" s="2"/>
      <c r="F13906" s="2" t="str">
        <f>"9783832555061"</f>
        <v>9783832555061</v>
      </c>
    </row>
    <row r="13907" spans="1:6" s="3" customFormat="1" ht="29.1" customHeight="1" x14ac:dyDescent="0.25">
      <c r="A13907" s="2" t="s">
        <v>27849</v>
      </c>
      <c r="B13907" s="2" t="s">
        <v>27850</v>
      </c>
      <c r="C13907" s="2" t="s">
        <v>27805</v>
      </c>
      <c r="D13907" s="2" t="s">
        <v>2237</v>
      </c>
      <c r="E13907" s="2" t="str">
        <f>"9783832555047"</f>
        <v>9783832555047</v>
      </c>
      <c r="F13907" s="2"/>
    </row>
    <row r="13908" spans="1:6" s="3" customFormat="1" ht="29.1" customHeight="1" x14ac:dyDescent="0.25">
      <c r="A13908" s="2" t="s">
        <v>27851</v>
      </c>
      <c r="B13908" s="2" t="s">
        <v>27852</v>
      </c>
      <c r="C13908" s="2" t="s">
        <v>27805</v>
      </c>
      <c r="D13908" s="2" t="s">
        <v>9</v>
      </c>
      <c r="E13908" s="2"/>
      <c r="F13908" s="2" t="str">
        <f>"9783832554989"</f>
        <v>9783832554989</v>
      </c>
    </row>
    <row r="13909" spans="1:6" s="3" customFormat="1" ht="29.1" customHeight="1" x14ac:dyDescent="0.25">
      <c r="A13909" s="2" t="s">
        <v>27853</v>
      </c>
      <c r="B13909" s="2" t="s">
        <v>27854</v>
      </c>
      <c r="C13909" s="2" t="s">
        <v>27805</v>
      </c>
      <c r="D13909" s="2" t="s">
        <v>2810</v>
      </c>
      <c r="E13909" s="2" t="str">
        <f>"9783832554972"</f>
        <v>9783832554972</v>
      </c>
      <c r="F13909" s="2"/>
    </row>
    <row r="13910" spans="1:6" s="3" customFormat="1" ht="29.1" customHeight="1" x14ac:dyDescent="0.25">
      <c r="A13910" s="2" t="s">
        <v>27855</v>
      </c>
      <c r="B13910" s="2" t="s">
        <v>27856</v>
      </c>
      <c r="C13910" s="2" t="s">
        <v>27805</v>
      </c>
      <c r="D13910" s="2" t="s">
        <v>9392</v>
      </c>
      <c r="E13910" s="2" t="str">
        <f>"9783832554958"</f>
        <v>9783832554958</v>
      </c>
      <c r="F13910" s="2"/>
    </row>
    <row r="13911" spans="1:6" s="3" customFormat="1" ht="29.1" customHeight="1" x14ac:dyDescent="0.25">
      <c r="A13911" s="2" t="s">
        <v>27857</v>
      </c>
      <c r="B13911" s="2" t="s">
        <v>27858</v>
      </c>
      <c r="C13911" s="2" t="s">
        <v>27805</v>
      </c>
      <c r="D13911" s="2" t="s">
        <v>339</v>
      </c>
      <c r="E13911" s="2"/>
      <c r="F13911" s="2" t="str">
        <f>"9783832554934"</f>
        <v>9783832554934</v>
      </c>
    </row>
    <row r="13912" spans="1:6" s="3" customFormat="1" ht="29.1" customHeight="1" x14ac:dyDescent="0.25">
      <c r="A13912" s="2" t="s">
        <v>27859</v>
      </c>
      <c r="B13912" s="2" t="s">
        <v>27860</v>
      </c>
      <c r="C13912" s="2" t="s">
        <v>27805</v>
      </c>
      <c r="D13912" s="2" t="s">
        <v>1902</v>
      </c>
      <c r="E13912" s="2" t="str">
        <f>"9783832554903"</f>
        <v>9783832554903</v>
      </c>
      <c r="F13912" s="2"/>
    </row>
    <row r="13913" spans="1:6" s="3" customFormat="1" ht="29.1" customHeight="1" x14ac:dyDescent="0.25">
      <c r="A13913" s="2" t="s">
        <v>27861</v>
      </c>
      <c r="B13913" s="2" t="s">
        <v>27862</v>
      </c>
      <c r="C13913" s="2" t="s">
        <v>27805</v>
      </c>
      <c r="D13913" s="2" t="s">
        <v>270</v>
      </c>
      <c r="E13913" s="2" t="str">
        <f>"9783832554880"</f>
        <v>9783832554880</v>
      </c>
      <c r="F13913" s="2"/>
    </row>
    <row r="13914" spans="1:6" s="3" customFormat="1" ht="29.1" customHeight="1" x14ac:dyDescent="0.25">
      <c r="A13914" s="2" t="s">
        <v>27863</v>
      </c>
      <c r="B13914" s="2" t="s">
        <v>27864</v>
      </c>
      <c r="C13914" s="2" t="s">
        <v>27805</v>
      </c>
      <c r="D13914" s="2" t="s">
        <v>9</v>
      </c>
      <c r="E13914" s="2"/>
      <c r="F13914" s="2" t="str">
        <f>"9783832554781"</f>
        <v>9783832554781</v>
      </c>
    </row>
    <row r="13915" spans="1:6" s="3" customFormat="1" ht="29.1" customHeight="1" x14ac:dyDescent="0.25">
      <c r="A13915" s="2" t="s">
        <v>27865</v>
      </c>
      <c r="B13915" s="2" t="s">
        <v>27866</v>
      </c>
      <c r="C13915" s="2" t="s">
        <v>27805</v>
      </c>
      <c r="D13915" s="2" t="s">
        <v>9</v>
      </c>
      <c r="E13915" s="2" t="str">
        <f>"9783832554767"</f>
        <v>9783832554767</v>
      </c>
      <c r="F13915" s="2"/>
    </row>
    <row r="13916" spans="1:6" s="3" customFormat="1" ht="29.1" customHeight="1" x14ac:dyDescent="0.25">
      <c r="A13916" s="2" t="s">
        <v>27867</v>
      </c>
      <c r="B13916" s="2" t="s">
        <v>27868</v>
      </c>
      <c r="C13916" s="2" t="s">
        <v>27805</v>
      </c>
      <c r="D13916" s="2" t="s">
        <v>1059</v>
      </c>
      <c r="E13916" s="2" t="str">
        <f>"9783832554750"</f>
        <v>9783832554750</v>
      </c>
      <c r="F13916" s="2"/>
    </row>
    <row r="13917" spans="1:6" s="3" customFormat="1" ht="29.1" customHeight="1" x14ac:dyDescent="0.25">
      <c r="A13917" s="2" t="s">
        <v>27869</v>
      </c>
      <c r="B13917" s="2" t="s">
        <v>27870</v>
      </c>
      <c r="C13917" s="2" t="s">
        <v>27805</v>
      </c>
      <c r="D13917" s="2" t="s">
        <v>4739</v>
      </c>
      <c r="E13917" s="2" t="str">
        <f>"9783832554484"</f>
        <v>9783832554484</v>
      </c>
      <c r="F13917" s="2"/>
    </row>
    <row r="13918" spans="1:6" s="3" customFormat="1" ht="29.1" customHeight="1" x14ac:dyDescent="0.25">
      <c r="A13918" s="2" t="s">
        <v>27871</v>
      </c>
      <c r="B13918" s="2" t="s">
        <v>27872</v>
      </c>
      <c r="C13918" s="2" t="s">
        <v>27805</v>
      </c>
      <c r="D13918" s="2" t="s">
        <v>11038</v>
      </c>
      <c r="E13918" s="2" t="str">
        <f>"9783832554477"</f>
        <v>9783832554477</v>
      </c>
      <c r="F13918" s="2"/>
    </row>
    <row r="13919" spans="1:6" s="3" customFormat="1" ht="29.1" customHeight="1" x14ac:dyDescent="0.25">
      <c r="A13919" s="2" t="s">
        <v>27873</v>
      </c>
      <c r="B13919" s="2" t="s">
        <v>27874</v>
      </c>
      <c r="C13919" s="2" t="s">
        <v>27805</v>
      </c>
      <c r="D13919" s="2" t="s">
        <v>1059</v>
      </c>
      <c r="E13919" s="2" t="str">
        <f>"9783832554361"</f>
        <v>9783832554361</v>
      </c>
      <c r="F13919" s="2"/>
    </row>
    <row r="13920" spans="1:6" s="3" customFormat="1" ht="29.1" customHeight="1" x14ac:dyDescent="0.25">
      <c r="A13920" s="2" t="s">
        <v>27875</v>
      </c>
      <c r="B13920" s="2" t="s">
        <v>27876</v>
      </c>
      <c r="C13920" s="2" t="s">
        <v>27805</v>
      </c>
      <c r="D13920" s="2" t="s">
        <v>8788</v>
      </c>
      <c r="E13920" s="2" t="str">
        <f>"9783832554293"</f>
        <v>9783832554293</v>
      </c>
      <c r="F13920" s="2"/>
    </row>
    <row r="13921" spans="1:6" s="3" customFormat="1" ht="29.1" customHeight="1" x14ac:dyDescent="0.25">
      <c r="A13921" s="2" t="s">
        <v>27877</v>
      </c>
      <c r="B13921" s="2" t="s">
        <v>27878</v>
      </c>
      <c r="C13921" s="2" t="s">
        <v>27805</v>
      </c>
      <c r="D13921" s="2" t="s">
        <v>339</v>
      </c>
      <c r="E13921" s="2" t="str">
        <f>"9783832554224"</f>
        <v>9783832554224</v>
      </c>
      <c r="F13921" s="2"/>
    </row>
    <row r="13922" spans="1:6" s="3" customFormat="1" ht="29.1" customHeight="1" x14ac:dyDescent="0.25">
      <c r="A13922" s="2" t="s">
        <v>27879</v>
      </c>
      <c r="B13922" s="2" t="s">
        <v>27880</v>
      </c>
      <c r="C13922" s="2" t="s">
        <v>27805</v>
      </c>
      <c r="D13922" s="2" t="s">
        <v>186</v>
      </c>
      <c r="E13922" s="2" t="str">
        <f>"9783832554132"</f>
        <v>9783832554132</v>
      </c>
      <c r="F13922" s="2"/>
    </row>
    <row r="13923" spans="1:6" s="3" customFormat="1" ht="29.1" customHeight="1" x14ac:dyDescent="0.25">
      <c r="A13923" s="2" t="s">
        <v>27881</v>
      </c>
      <c r="B13923" s="2" t="s">
        <v>27882</v>
      </c>
      <c r="C13923" s="2" t="s">
        <v>27805</v>
      </c>
      <c r="D13923" s="2" t="s">
        <v>764</v>
      </c>
      <c r="E13923" s="2" t="str">
        <f>"9783832554064"</f>
        <v>9783832554064</v>
      </c>
      <c r="F13923" s="2"/>
    </row>
    <row r="13924" spans="1:6" s="3" customFormat="1" ht="29.1" customHeight="1" x14ac:dyDescent="0.25">
      <c r="A13924" s="2" t="s">
        <v>27883</v>
      </c>
      <c r="B13924" s="2" t="s">
        <v>27884</v>
      </c>
      <c r="C13924" s="2" t="s">
        <v>27805</v>
      </c>
      <c r="D13924" s="2" t="s">
        <v>9</v>
      </c>
      <c r="E13924" s="2" t="str">
        <f>"9783832553975"</f>
        <v>9783832553975</v>
      </c>
      <c r="F13924" s="2"/>
    </row>
    <row r="13925" spans="1:6" s="3" customFormat="1" ht="29.1" customHeight="1" x14ac:dyDescent="0.25">
      <c r="A13925" s="2" t="s">
        <v>27885</v>
      </c>
      <c r="B13925" s="2" t="s">
        <v>27886</v>
      </c>
      <c r="C13925" s="2" t="s">
        <v>27805</v>
      </c>
      <c r="D13925" s="2" t="s">
        <v>9</v>
      </c>
      <c r="E13925" s="2" t="str">
        <f>"9783832553937"</f>
        <v>9783832553937</v>
      </c>
      <c r="F13925" s="2"/>
    </row>
    <row r="13926" spans="1:6" s="3" customFormat="1" ht="29.1" customHeight="1" x14ac:dyDescent="0.25">
      <c r="A13926" s="2" t="s">
        <v>27887</v>
      </c>
      <c r="B13926" s="2" t="s">
        <v>27888</v>
      </c>
      <c r="C13926" s="2" t="s">
        <v>27805</v>
      </c>
      <c r="D13926" s="2" t="s">
        <v>9</v>
      </c>
      <c r="E13926" s="2"/>
      <c r="F13926" s="2" t="str">
        <f>"9783832553920"</f>
        <v>9783832553920</v>
      </c>
    </row>
    <row r="13927" spans="1:6" s="3" customFormat="1" ht="29.1" customHeight="1" x14ac:dyDescent="0.25">
      <c r="A13927" s="2" t="s">
        <v>27889</v>
      </c>
      <c r="B13927" s="2" t="s">
        <v>27890</v>
      </c>
      <c r="C13927" s="2" t="s">
        <v>27805</v>
      </c>
      <c r="D13927" s="2" t="s">
        <v>11038</v>
      </c>
      <c r="E13927" s="2" t="str">
        <f>"9783832553876"</f>
        <v>9783832553876</v>
      </c>
      <c r="F13927" s="2"/>
    </row>
    <row r="13928" spans="1:6" s="3" customFormat="1" ht="29.1" customHeight="1" x14ac:dyDescent="0.25">
      <c r="A13928" s="2" t="s">
        <v>27891</v>
      </c>
      <c r="B13928" s="2" t="s">
        <v>27892</v>
      </c>
      <c r="C13928" s="2" t="s">
        <v>27805</v>
      </c>
      <c r="D13928" s="2" t="s">
        <v>9</v>
      </c>
      <c r="E13928" s="2" t="str">
        <f>"9783832553838"</f>
        <v>9783832553838</v>
      </c>
      <c r="F13928" s="2"/>
    </row>
    <row r="13929" spans="1:6" s="3" customFormat="1" ht="29.1" customHeight="1" x14ac:dyDescent="0.25">
      <c r="A13929" s="2" t="s">
        <v>27893</v>
      </c>
      <c r="B13929" s="2" t="s">
        <v>27894</v>
      </c>
      <c r="C13929" s="2" t="s">
        <v>27805</v>
      </c>
      <c r="D13929" s="2" t="s">
        <v>4739</v>
      </c>
      <c r="E13929" s="2" t="str">
        <f>"9783832553784"</f>
        <v>9783832553784</v>
      </c>
      <c r="F13929" s="2"/>
    </row>
    <row r="13930" spans="1:6" s="3" customFormat="1" ht="29.1" customHeight="1" x14ac:dyDescent="0.25">
      <c r="A13930" s="2" t="s">
        <v>27895</v>
      </c>
      <c r="B13930" s="2" t="s">
        <v>27896</v>
      </c>
      <c r="C13930" s="2" t="s">
        <v>27805</v>
      </c>
      <c r="D13930" s="2" t="s">
        <v>682</v>
      </c>
      <c r="E13930" s="2" t="str">
        <f>"9783832553760"</f>
        <v>9783832553760</v>
      </c>
      <c r="F13930" s="2"/>
    </row>
    <row r="13931" spans="1:6" s="3" customFormat="1" ht="29.1" customHeight="1" x14ac:dyDescent="0.25">
      <c r="A13931" s="2" t="s">
        <v>27897</v>
      </c>
      <c r="B13931" s="2" t="s">
        <v>27898</v>
      </c>
      <c r="C13931" s="2" t="s">
        <v>27805</v>
      </c>
      <c r="D13931" s="2" t="s">
        <v>1390</v>
      </c>
      <c r="E13931" s="2" t="str">
        <f>"9783832553654"</f>
        <v>9783832553654</v>
      </c>
      <c r="F13931" s="2"/>
    </row>
    <row r="13932" spans="1:6" s="3" customFormat="1" ht="29.1" customHeight="1" x14ac:dyDescent="0.25">
      <c r="A13932" s="2" t="s">
        <v>27899</v>
      </c>
      <c r="B13932" s="2" t="s">
        <v>27900</v>
      </c>
      <c r="C13932" s="2" t="s">
        <v>27805</v>
      </c>
      <c r="D13932" s="2" t="s">
        <v>1390</v>
      </c>
      <c r="E13932" s="2" t="str">
        <f>"9783832553630"</f>
        <v>9783832553630</v>
      </c>
      <c r="F13932" s="2"/>
    </row>
    <row r="13933" spans="1:6" s="3" customFormat="1" ht="29.1" customHeight="1" x14ac:dyDescent="0.25">
      <c r="A13933" s="2" t="s">
        <v>27901</v>
      </c>
      <c r="B13933" s="2" t="s">
        <v>27902</v>
      </c>
      <c r="C13933" s="2" t="s">
        <v>27805</v>
      </c>
      <c r="D13933" s="2" t="s">
        <v>186</v>
      </c>
      <c r="E13933" s="2" t="str">
        <f>"9783832553463"</f>
        <v>9783832553463</v>
      </c>
      <c r="F13933" s="2"/>
    </row>
    <row r="13934" spans="1:6" s="3" customFormat="1" ht="29.1" customHeight="1" x14ac:dyDescent="0.25">
      <c r="A13934" s="2" t="s">
        <v>27903</v>
      </c>
      <c r="B13934" s="2" t="s">
        <v>27904</v>
      </c>
      <c r="C13934" s="2" t="s">
        <v>27805</v>
      </c>
      <c r="D13934" s="2" t="s">
        <v>339</v>
      </c>
      <c r="E13934" s="2" t="str">
        <f>"9783832553449"</f>
        <v>9783832553449</v>
      </c>
      <c r="F13934" s="2"/>
    </row>
    <row r="13935" spans="1:6" s="3" customFormat="1" ht="29.1" customHeight="1" x14ac:dyDescent="0.25">
      <c r="A13935" s="2" t="s">
        <v>27905</v>
      </c>
      <c r="B13935" s="2" t="s">
        <v>27906</v>
      </c>
      <c r="C13935" s="2" t="s">
        <v>27805</v>
      </c>
      <c r="D13935" s="2" t="s">
        <v>4739</v>
      </c>
      <c r="E13935" s="2" t="str">
        <f>"9783832553371"</f>
        <v>9783832553371</v>
      </c>
      <c r="F13935" s="2"/>
    </row>
    <row r="13936" spans="1:6" s="3" customFormat="1" ht="29.1" customHeight="1" x14ac:dyDescent="0.25">
      <c r="A13936" s="2" t="s">
        <v>27907</v>
      </c>
      <c r="B13936" s="2" t="s">
        <v>27908</v>
      </c>
      <c r="C13936" s="2" t="s">
        <v>27805</v>
      </c>
      <c r="D13936" s="2" t="s">
        <v>9</v>
      </c>
      <c r="E13936" s="2" t="str">
        <f>"9783832553319"</f>
        <v>9783832553319</v>
      </c>
      <c r="F13936" s="2"/>
    </row>
    <row r="13937" spans="1:6" s="3" customFormat="1" ht="29.1" customHeight="1" x14ac:dyDescent="0.25">
      <c r="A13937" s="2" t="s">
        <v>27909</v>
      </c>
      <c r="B13937" s="2" t="s">
        <v>27910</v>
      </c>
      <c r="C13937" s="2" t="s">
        <v>27805</v>
      </c>
      <c r="D13937" s="2" t="s">
        <v>218</v>
      </c>
      <c r="E13937" s="2" t="str">
        <f>"9783832553227"</f>
        <v>9783832553227</v>
      </c>
      <c r="F13937" s="2"/>
    </row>
    <row r="13938" spans="1:6" s="3" customFormat="1" ht="29.1" customHeight="1" x14ac:dyDescent="0.25">
      <c r="A13938" s="2" t="s">
        <v>27911</v>
      </c>
      <c r="B13938" s="2" t="s">
        <v>27904</v>
      </c>
      <c r="C13938" s="2" t="s">
        <v>27805</v>
      </c>
      <c r="D13938" s="2" t="s">
        <v>339</v>
      </c>
      <c r="E13938" s="2" t="str">
        <f>"9783832553210"</f>
        <v>9783832553210</v>
      </c>
      <c r="F13938" s="2"/>
    </row>
    <row r="13939" spans="1:6" s="3" customFormat="1" ht="29.1" customHeight="1" x14ac:dyDescent="0.25">
      <c r="A13939" s="2" t="s">
        <v>27912</v>
      </c>
      <c r="B13939" s="2" t="s">
        <v>27913</v>
      </c>
      <c r="C13939" s="2" t="s">
        <v>27805</v>
      </c>
      <c r="D13939" s="2" t="s">
        <v>297</v>
      </c>
      <c r="E13939" s="2" t="str">
        <f>"9783832553104"</f>
        <v>9783832553104</v>
      </c>
      <c r="F13939" s="2"/>
    </row>
    <row r="13940" spans="1:6" s="3" customFormat="1" ht="29.1" customHeight="1" x14ac:dyDescent="0.25">
      <c r="A13940" s="2" t="s">
        <v>27914</v>
      </c>
      <c r="B13940" s="2" t="s">
        <v>27915</v>
      </c>
      <c r="C13940" s="2" t="s">
        <v>27805</v>
      </c>
      <c r="D13940" s="2" t="s">
        <v>1902</v>
      </c>
      <c r="E13940" s="2" t="str">
        <f>"9783832553098"</f>
        <v>9783832553098</v>
      </c>
      <c r="F13940" s="2"/>
    </row>
    <row r="13941" spans="1:6" s="3" customFormat="1" ht="29.1" customHeight="1" x14ac:dyDescent="0.25">
      <c r="A13941" s="2" t="s">
        <v>27916</v>
      </c>
      <c r="B13941" s="2" t="s">
        <v>27917</v>
      </c>
      <c r="C13941" s="2" t="s">
        <v>27805</v>
      </c>
      <c r="D13941" s="2" t="s">
        <v>9</v>
      </c>
      <c r="E13941" s="2" t="str">
        <f>"9783832553050"</f>
        <v>9783832553050</v>
      </c>
      <c r="F13941" s="2"/>
    </row>
    <row r="13942" spans="1:6" s="3" customFormat="1" ht="29.1" customHeight="1" x14ac:dyDescent="0.25">
      <c r="A13942" s="2" t="s">
        <v>27918</v>
      </c>
      <c r="B13942" s="2" t="s">
        <v>27904</v>
      </c>
      <c r="C13942" s="2" t="s">
        <v>27805</v>
      </c>
      <c r="D13942" s="2" t="s">
        <v>339</v>
      </c>
      <c r="E13942" s="2" t="str">
        <f>"9783832552961"</f>
        <v>9783832552961</v>
      </c>
      <c r="F13942" s="2"/>
    </row>
    <row r="13943" spans="1:6" s="3" customFormat="1" ht="29.1" customHeight="1" x14ac:dyDescent="0.25">
      <c r="A13943" s="2" t="s">
        <v>27919</v>
      </c>
      <c r="B13943" s="2" t="s">
        <v>27920</v>
      </c>
      <c r="C13943" s="2" t="s">
        <v>27805</v>
      </c>
      <c r="D13943" s="2" t="s">
        <v>9</v>
      </c>
      <c r="E13943" s="2" t="str">
        <f>"9783832552930"</f>
        <v>9783832552930</v>
      </c>
      <c r="F13943" s="2"/>
    </row>
    <row r="13944" spans="1:6" s="3" customFormat="1" ht="29.1" customHeight="1" x14ac:dyDescent="0.25">
      <c r="A13944" s="2" t="s">
        <v>27921</v>
      </c>
      <c r="B13944" s="2" t="s">
        <v>27922</v>
      </c>
      <c r="C13944" s="2" t="s">
        <v>27805</v>
      </c>
      <c r="D13944" s="2" t="s">
        <v>682</v>
      </c>
      <c r="E13944" s="2" t="str">
        <f>"9783832552923"</f>
        <v>9783832552923</v>
      </c>
      <c r="F13944" s="2"/>
    </row>
    <row r="13945" spans="1:6" s="3" customFormat="1" ht="29.1" customHeight="1" x14ac:dyDescent="0.25">
      <c r="A13945" s="2" t="s">
        <v>27923</v>
      </c>
      <c r="B13945" s="2" t="s">
        <v>27924</v>
      </c>
      <c r="C13945" s="2" t="s">
        <v>27805</v>
      </c>
      <c r="D13945" s="2" t="s">
        <v>9</v>
      </c>
      <c r="E13945" s="2" t="str">
        <f>"9783832552886"</f>
        <v>9783832552886</v>
      </c>
      <c r="F13945" s="2"/>
    </row>
    <row r="13946" spans="1:6" s="3" customFormat="1" ht="29.1" customHeight="1" x14ac:dyDescent="0.25">
      <c r="A13946" s="2" t="s">
        <v>27925</v>
      </c>
      <c r="B13946" s="2" t="s">
        <v>27926</v>
      </c>
      <c r="C13946" s="2" t="s">
        <v>27805</v>
      </c>
      <c r="D13946" s="2" t="s">
        <v>8788</v>
      </c>
      <c r="E13946" s="2" t="str">
        <f>"9783832552701"</f>
        <v>9783832552701</v>
      </c>
      <c r="F13946" s="2"/>
    </row>
    <row r="13947" spans="1:6" s="3" customFormat="1" ht="29.1" customHeight="1" x14ac:dyDescent="0.25">
      <c r="A13947" s="2" t="s">
        <v>27927</v>
      </c>
      <c r="B13947" s="2" t="s">
        <v>27928</v>
      </c>
      <c r="C13947" s="2" t="s">
        <v>27805</v>
      </c>
      <c r="D13947" s="2" t="s">
        <v>9</v>
      </c>
      <c r="E13947" s="2" t="str">
        <f>"9783832552688"</f>
        <v>9783832552688</v>
      </c>
      <c r="F13947" s="2"/>
    </row>
    <row r="13948" spans="1:6" s="3" customFormat="1" ht="29.1" customHeight="1" x14ac:dyDescent="0.25">
      <c r="A13948" s="2" t="s">
        <v>27929</v>
      </c>
      <c r="B13948" s="2" t="s">
        <v>27930</v>
      </c>
      <c r="C13948" s="2" t="s">
        <v>27805</v>
      </c>
      <c r="D13948" s="2" t="s">
        <v>1959</v>
      </c>
      <c r="E13948" s="2" t="str">
        <f>"9783832552589"</f>
        <v>9783832552589</v>
      </c>
      <c r="F13948" s="2"/>
    </row>
    <row r="13949" spans="1:6" s="3" customFormat="1" ht="29.1" customHeight="1" x14ac:dyDescent="0.25">
      <c r="A13949" s="2" t="s">
        <v>27931</v>
      </c>
      <c r="B13949" s="2" t="s">
        <v>27932</v>
      </c>
      <c r="C13949" s="2" t="s">
        <v>27805</v>
      </c>
      <c r="D13949" s="2" t="s">
        <v>9</v>
      </c>
      <c r="E13949" s="2" t="str">
        <f>"9783832552565"</f>
        <v>9783832552565</v>
      </c>
      <c r="F13949" s="2"/>
    </row>
    <row r="13950" spans="1:6" s="3" customFormat="1" ht="29.1" customHeight="1" x14ac:dyDescent="0.25">
      <c r="A13950" s="2" t="s">
        <v>27933</v>
      </c>
      <c r="B13950" s="2" t="s">
        <v>27934</v>
      </c>
      <c r="C13950" s="2" t="s">
        <v>27805</v>
      </c>
      <c r="D13950" s="2" t="s">
        <v>9</v>
      </c>
      <c r="E13950" s="2" t="str">
        <f>"9783832552268"</f>
        <v>9783832552268</v>
      </c>
      <c r="F13950" s="2"/>
    </row>
    <row r="13951" spans="1:6" s="3" customFormat="1" ht="29.1" customHeight="1" x14ac:dyDescent="0.25">
      <c r="A13951" s="2" t="s">
        <v>27935</v>
      </c>
      <c r="B13951" s="2" t="s">
        <v>27936</v>
      </c>
      <c r="C13951" s="2" t="s">
        <v>27805</v>
      </c>
      <c r="D13951" s="2" t="s">
        <v>81</v>
      </c>
      <c r="E13951" s="2" t="str">
        <f>"9783832552152"</f>
        <v>9783832552152</v>
      </c>
      <c r="F13951" s="2"/>
    </row>
    <row r="13952" spans="1:6" s="3" customFormat="1" ht="29.1" customHeight="1" x14ac:dyDescent="0.25">
      <c r="A13952" s="2" t="s">
        <v>27937</v>
      </c>
      <c r="B13952" s="2" t="s">
        <v>27938</v>
      </c>
      <c r="C13952" s="2" t="s">
        <v>27805</v>
      </c>
      <c r="D13952" s="2" t="s">
        <v>4739</v>
      </c>
      <c r="E13952" s="2" t="str">
        <f>"9783832552060"</f>
        <v>9783832552060</v>
      </c>
      <c r="F13952" s="2"/>
    </row>
    <row r="13953" spans="1:6" s="3" customFormat="1" ht="29.1" customHeight="1" x14ac:dyDescent="0.25">
      <c r="A13953" s="2" t="s">
        <v>27939</v>
      </c>
      <c r="B13953" s="2" t="s">
        <v>27940</v>
      </c>
      <c r="C13953" s="2" t="s">
        <v>27805</v>
      </c>
      <c r="D13953" s="2" t="s">
        <v>682</v>
      </c>
      <c r="E13953" s="2" t="str">
        <f>"9783832551971"</f>
        <v>9783832551971</v>
      </c>
      <c r="F13953" s="2"/>
    </row>
    <row r="13954" spans="1:6" s="3" customFormat="1" ht="29.1" customHeight="1" x14ac:dyDescent="0.25">
      <c r="A13954" s="2" t="s">
        <v>27941</v>
      </c>
      <c r="B13954" s="2" t="s">
        <v>27942</v>
      </c>
      <c r="C13954" s="2" t="s">
        <v>27805</v>
      </c>
      <c r="D13954" s="2" t="s">
        <v>270</v>
      </c>
      <c r="E13954" s="2" t="str">
        <f>"9783832551926"</f>
        <v>9783832551926</v>
      </c>
      <c r="F13954" s="2"/>
    </row>
    <row r="13955" spans="1:6" s="3" customFormat="1" ht="29.1" customHeight="1" x14ac:dyDescent="0.25">
      <c r="A13955" s="2" t="s">
        <v>27943</v>
      </c>
      <c r="B13955" s="2" t="s">
        <v>27944</v>
      </c>
      <c r="C13955" s="2" t="s">
        <v>27805</v>
      </c>
      <c r="D13955" s="2" t="s">
        <v>2880</v>
      </c>
      <c r="E13955" s="2"/>
      <c r="F13955" s="2" t="str">
        <f>"9783832551902"</f>
        <v>9783832551902</v>
      </c>
    </row>
    <row r="13956" spans="1:6" s="3" customFormat="1" ht="29.1" customHeight="1" x14ac:dyDescent="0.25">
      <c r="A13956" s="2" t="s">
        <v>27945</v>
      </c>
      <c r="B13956" s="2" t="s">
        <v>27946</v>
      </c>
      <c r="C13956" s="2" t="s">
        <v>27805</v>
      </c>
      <c r="D13956" s="2" t="s">
        <v>4739</v>
      </c>
      <c r="E13956" s="2" t="str">
        <f>"9783832551872"</f>
        <v>9783832551872</v>
      </c>
      <c r="F13956" s="2"/>
    </row>
    <row r="13957" spans="1:6" s="3" customFormat="1" ht="29.1" customHeight="1" x14ac:dyDescent="0.25">
      <c r="A13957" s="2" t="s">
        <v>27947</v>
      </c>
      <c r="B13957" s="2" t="s">
        <v>27948</v>
      </c>
      <c r="C13957" s="2" t="s">
        <v>27805</v>
      </c>
      <c r="D13957" s="2" t="s">
        <v>9</v>
      </c>
      <c r="E13957" s="2" t="str">
        <f>"9783832551834"</f>
        <v>9783832551834</v>
      </c>
      <c r="F13957" s="2"/>
    </row>
    <row r="13958" spans="1:6" s="3" customFormat="1" ht="29.1" customHeight="1" x14ac:dyDescent="0.25">
      <c r="A13958" s="2" t="s">
        <v>27949</v>
      </c>
      <c r="B13958" s="2" t="s">
        <v>27950</v>
      </c>
      <c r="C13958" s="2" t="s">
        <v>27805</v>
      </c>
      <c r="D13958" s="2" t="s">
        <v>33</v>
      </c>
      <c r="E13958" s="2" t="str">
        <f>"9783832551827"</f>
        <v>9783832551827</v>
      </c>
      <c r="F13958" s="2"/>
    </row>
    <row r="13959" spans="1:6" s="3" customFormat="1" ht="29.1" customHeight="1" x14ac:dyDescent="0.25">
      <c r="A13959" s="2" t="s">
        <v>27951</v>
      </c>
      <c r="B13959" s="2" t="s">
        <v>27952</v>
      </c>
      <c r="C13959" s="2" t="s">
        <v>27805</v>
      </c>
      <c r="D13959" s="2" t="s">
        <v>30</v>
      </c>
      <c r="E13959" s="2"/>
      <c r="F13959" s="2" t="str">
        <f>"9783832551810"</f>
        <v>9783832551810</v>
      </c>
    </row>
    <row r="13960" spans="1:6" s="3" customFormat="1" ht="29.1" customHeight="1" x14ac:dyDescent="0.25">
      <c r="A13960" s="2" t="s">
        <v>27953</v>
      </c>
      <c r="B13960" s="2" t="s">
        <v>27954</v>
      </c>
      <c r="C13960" s="2" t="s">
        <v>27805</v>
      </c>
      <c r="D13960" s="2" t="s">
        <v>9</v>
      </c>
      <c r="E13960" s="2"/>
      <c r="F13960" s="2" t="str">
        <f>"9783832551742"</f>
        <v>9783832551742</v>
      </c>
    </row>
    <row r="13961" spans="1:6" s="3" customFormat="1" ht="29.1" customHeight="1" x14ac:dyDescent="0.25">
      <c r="A13961" s="2" t="s">
        <v>27955</v>
      </c>
      <c r="B13961" s="2" t="s">
        <v>27956</v>
      </c>
      <c r="C13961" s="2" t="s">
        <v>27805</v>
      </c>
      <c r="D13961" s="2" t="s">
        <v>606</v>
      </c>
      <c r="E13961" s="2" t="str">
        <f>"9783832551711"</f>
        <v>9783832551711</v>
      </c>
      <c r="F13961" s="2"/>
    </row>
    <row r="13962" spans="1:6" s="3" customFormat="1" ht="29.1" customHeight="1" x14ac:dyDescent="0.25">
      <c r="A13962" s="2" t="s">
        <v>27957</v>
      </c>
      <c r="B13962" s="2" t="s">
        <v>27958</v>
      </c>
      <c r="C13962" s="2" t="s">
        <v>27805</v>
      </c>
      <c r="D13962" s="2" t="s">
        <v>81</v>
      </c>
      <c r="E13962" s="2"/>
      <c r="F13962" s="2" t="str">
        <f>"9783832551629"</f>
        <v>9783832551629</v>
      </c>
    </row>
    <row r="13963" spans="1:6" s="3" customFormat="1" ht="29.1" customHeight="1" x14ac:dyDescent="0.25">
      <c r="A13963" s="2" t="s">
        <v>27959</v>
      </c>
      <c r="B13963" s="2" t="s">
        <v>27960</v>
      </c>
      <c r="C13963" s="2" t="s">
        <v>27805</v>
      </c>
      <c r="D13963" s="2" t="s">
        <v>270</v>
      </c>
      <c r="E13963" s="2" t="str">
        <f>"9783832551612"</f>
        <v>9783832551612</v>
      </c>
      <c r="F13963" s="2"/>
    </row>
    <row r="13964" spans="1:6" s="3" customFormat="1" ht="29.1" customHeight="1" x14ac:dyDescent="0.25">
      <c r="A13964" s="2" t="s">
        <v>27961</v>
      </c>
      <c r="B13964" s="2" t="s">
        <v>27962</v>
      </c>
      <c r="C13964" s="2" t="s">
        <v>27805</v>
      </c>
      <c r="D13964" s="2" t="s">
        <v>9</v>
      </c>
      <c r="E13964" s="2"/>
      <c r="F13964" s="2" t="str">
        <f>"9783832551599"</f>
        <v>9783832551599</v>
      </c>
    </row>
    <row r="13965" spans="1:6" s="3" customFormat="1" ht="29.1" customHeight="1" x14ac:dyDescent="0.25">
      <c r="A13965" s="2" t="s">
        <v>27963</v>
      </c>
      <c r="B13965" s="2" t="s">
        <v>27964</v>
      </c>
      <c r="C13965" s="2" t="s">
        <v>27805</v>
      </c>
      <c r="D13965" s="2" t="s">
        <v>9</v>
      </c>
      <c r="E13965" s="2"/>
      <c r="F13965" s="2" t="str">
        <f>"9783832551551"</f>
        <v>9783832551551</v>
      </c>
    </row>
    <row r="13966" spans="1:6" s="3" customFormat="1" ht="29.1" customHeight="1" x14ac:dyDescent="0.25">
      <c r="A13966" s="2" t="s">
        <v>27965</v>
      </c>
      <c r="B13966" s="2" t="s">
        <v>27966</v>
      </c>
      <c r="C13966" s="2" t="s">
        <v>27805</v>
      </c>
      <c r="D13966" s="2" t="s">
        <v>9</v>
      </c>
      <c r="E13966" s="2"/>
      <c r="F13966" s="2" t="str">
        <f>"9783832551407"</f>
        <v>9783832551407</v>
      </c>
    </row>
    <row r="13967" spans="1:6" s="3" customFormat="1" ht="29.1" customHeight="1" x14ac:dyDescent="0.25">
      <c r="A13967" s="2" t="s">
        <v>27967</v>
      </c>
      <c r="B13967" s="2" t="s">
        <v>27968</v>
      </c>
      <c r="C13967" s="2" t="s">
        <v>27805</v>
      </c>
      <c r="D13967" s="2" t="s">
        <v>9</v>
      </c>
      <c r="E13967" s="2"/>
      <c r="F13967" s="2" t="str">
        <f>"9783832551315"</f>
        <v>9783832551315</v>
      </c>
    </row>
    <row r="13968" spans="1:6" s="3" customFormat="1" ht="29.1" customHeight="1" x14ac:dyDescent="0.25">
      <c r="A13968" s="2" t="s">
        <v>27969</v>
      </c>
      <c r="B13968" s="2" t="s">
        <v>27970</v>
      </c>
      <c r="C13968" s="2" t="s">
        <v>27805</v>
      </c>
      <c r="D13968" s="2" t="s">
        <v>11038</v>
      </c>
      <c r="E13968" s="2"/>
      <c r="F13968" s="2" t="str">
        <f>"9783832551285"</f>
        <v>9783832551285</v>
      </c>
    </row>
    <row r="13969" spans="1:6" s="3" customFormat="1" ht="29.1" customHeight="1" x14ac:dyDescent="0.25">
      <c r="A13969" s="2" t="s">
        <v>27971</v>
      </c>
      <c r="B13969" s="2" t="s">
        <v>27972</v>
      </c>
      <c r="C13969" s="2" t="s">
        <v>27805</v>
      </c>
      <c r="D13969" s="2" t="s">
        <v>9</v>
      </c>
      <c r="E13969" s="2"/>
      <c r="F13969" s="2" t="str">
        <f>"9783832551230"</f>
        <v>9783832551230</v>
      </c>
    </row>
    <row r="13970" spans="1:6" s="3" customFormat="1" ht="29.1" customHeight="1" x14ac:dyDescent="0.25">
      <c r="A13970" s="2" t="s">
        <v>27973</v>
      </c>
      <c r="B13970" s="2" t="s">
        <v>27974</v>
      </c>
      <c r="C13970" s="2" t="s">
        <v>27805</v>
      </c>
      <c r="D13970" s="2" t="s">
        <v>9</v>
      </c>
      <c r="E13970" s="2"/>
      <c r="F13970" s="2" t="str">
        <f>"9783832551148"</f>
        <v>9783832551148</v>
      </c>
    </row>
    <row r="13971" spans="1:6" s="3" customFormat="1" ht="29.1" customHeight="1" x14ac:dyDescent="0.25">
      <c r="A13971" s="2" t="s">
        <v>27975</v>
      </c>
      <c r="B13971" s="2" t="s">
        <v>27976</v>
      </c>
      <c r="C13971" s="2" t="s">
        <v>27805</v>
      </c>
      <c r="D13971" s="2" t="s">
        <v>4739</v>
      </c>
      <c r="E13971" s="2" t="str">
        <f>"9783832551087"</f>
        <v>9783832551087</v>
      </c>
      <c r="F13971" s="2"/>
    </row>
    <row r="13972" spans="1:6" s="3" customFormat="1" ht="29.1" customHeight="1" x14ac:dyDescent="0.25">
      <c r="A13972" s="2" t="s">
        <v>27977</v>
      </c>
      <c r="B13972" s="2" t="s">
        <v>27978</v>
      </c>
      <c r="C13972" s="2" t="s">
        <v>27805</v>
      </c>
      <c r="D13972" s="2" t="s">
        <v>4500</v>
      </c>
      <c r="E13972" s="2" t="str">
        <f>"9783832551018"</f>
        <v>9783832551018</v>
      </c>
      <c r="F13972" s="2"/>
    </row>
    <row r="13973" spans="1:6" s="3" customFormat="1" ht="29.1" customHeight="1" x14ac:dyDescent="0.25">
      <c r="A13973" s="2" t="s">
        <v>27979</v>
      </c>
      <c r="B13973" s="2" t="s">
        <v>27980</v>
      </c>
      <c r="C13973" s="2" t="s">
        <v>27805</v>
      </c>
      <c r="D13973" s="2" t="s">
        <v>9</v>
      </c>
      <c r="E13973" s="2" t="str">
        <f>"9783832550929"</f>
        <v>9783832550929</v>
      </c>
      <c r="F13973" s="2"/>
    </row>
    <row r="13974" spans="1:6" s="3" customFormat="1" ht="29.1" customHeight="1" x14ac:dyDescent="0.25">
      <c r="A13974" s="2" t="s">
        <v>27981</v>
      </c>
      <c r="B13974" s="2" t="s">
        <v>27982</v>
      </c>
      <c r="C13974" s="2" t="s">
        <v>27805</v>
      </c>
      <c r="D13974" s="2" t="s">
        <v>9</v>
      </c>
      <c r="E13974" s="2" t="str">
        <f>"9783832550806"</f>
        <v>9783832550806</v>
      </c>
      <c r="F13974" s="2"/>
    </row>
    <row r="13975" spans="1:6" s="3" customFormat="1" ht="29.1" customHeight="1" x14ac:dyDescent="0.25">
      <c r="A13975" s="2" t="s">
        <v>27983</v>
      </c>
      <c r="B13975" s="2" t="s">
        <v>27984</v>
      </c>
      <c r="C13975" s="2" t="s">
        <v>27805</v>
      </c>
      <c r="D13975" s="2" t="s">
        <v>9392</v>
      </c>
      <c r="E13975" s="2" t="str">
        <f>"9783832550714"</f>
        <v>9783832550714</v>
      </c>
      <c r="F13975" s="2"/>
    </row>
    <row r="13976" spans="1:6" s="3" customFormat="1" ht="29.1" customHeight="1" x14ac:dyDescent="0.25">
      <c r="A13976" s="2" t="s">
        <v>27985</v>
      </c>
      <c r="B13976" s="2" t="s">
        <v>27986</v>
      </c>
      <c r="C13976" s="2" t="s">
        <v>27805</v>
      </c>
      <c r="D13976" s="2" t="s">
        <v>1059</v>
      </c>
      <c r="E13976" s="2" t="str">
        <f>"9783832550417"</f>
        <v>9783832550417</v>
      </c>
      <c r="F13976" s="2"/>
    </row>
    <row r="13977" spans="1:6" s="3" customFormat="1" ht="29.1" customHeight="1" x14ac:dyDescent="0.25">
      <c r="A13977" s="2" t="s">
        <v>27987</v>
      </c>
      <c r="B13977" s="2" t="s">
        <v>27988</v>
      </c>
      <c r="C13977" s="2" t="s">
        <v>27805</v>
      </c>
      <c r="D13977" s="2" t="s">
        <v>9</v>
      </c>
      <c r="E13977" s="2" t="str">
        <f>"9783832550363"</f>
        <v>9783832550363</v>
      </c>
      <c r="F13977" s="2"/>
    </row>
    <row r="13978" spans="1:6" s="3" customFormat="1" ht="29.1" customHeight="1" x14ac:dyDescent="0.25">
      <c r="A13978" s="2" t="s">
        <v>27989</v>
      </c>
      <c r="B13978" s="2" t="s">
        <v>27990</v>
      </c>
      <c r="C13978" s="2" t="s">
        <v>27805</v>
      </c>
      <c r="D13978" s="2" t="s">
        <v>9</v>
      </c>
      <c r="E13978" s="2" t="str">
        <f>"9783832549954"</f>
        <v>9783832549954</v>
      </c>
      <c r="F13978" s="2"/>
    </row>
    <row r="13979" spans="1:6" s="3" customFormat="1" ht="29.1" customHeight="1" x14ac:dyDescent="0.25">
      <c r="A13979" s="2" t="s">
        <v>27991</v>
      </c>
      <c r="B13979" s="2" t="s">
        <v>27992</v>
      </c>
      <c r="C13979" s="2" t="s">
        <v>27805</v>
      </c>
      <c r="D13979" s="2" t="s">
        <v>4739</v>
      </c>
      <c r="E13979" s="2" t="str">
        <f>"9783832549848"</f>
        <v>9783832549848</v>
      </c>
      <c r="F13979" s="2"/>
    </row>
    <row r="13980" spans="1:6" s="3" customFormat="1" ht="29.1" customHeight="1" x14ac:dyDescent="0.25">
      <c r="A13980" s="2" t="s">
        <v>27993</v>
      </c>
      <c r="B13980" s="2" t="s">
        <v>27994</v>
      </c>
      <c r="C13980" s="2" t="s">
        <v>27805</v>
      </c>
      <c r="D13980" s="2" t="s">
        <v>4789</v>
      </c>
      <c r="E13980" s="2" t="str">
        <f>"9783832549725"</f>
        <v>9783832549725</v>
      </c>
      <c r="F13980" s="2"/>
    </row>
    <row r="13981" spans="1:6" s="3" customFormat="1" ht="29.1" customHeight="1" x14ac:dyDescent="0.25">
      <c r="A13981" s="2" t="s">
        <v>27995</v>
      </c>
      <c r="B13981" s="2" t="s">
        <v>27996</v>
      </c>
      <c r="C13981" s="2" t="s">
        <v>27805</v>
      </c>
      <c r="D13981" s="2" t="s">
        <v>2880</v>
      </c>
      <c r="E13981" s="2" t="str">
        <f>"9783832549718"</f>
        <v>9783832549718</v>
      </c>
      <c r="F13981" s="2"/>
    </row>
    <row r="13982" spans="1:6" s="3" customFormat="1" ht="29.1" customHeight="1" x14ac:dyDescent="0.25">
      <c r="A13982" s="2" t="s">
        <v>27997</v>
      </c>
      <c r="B13982" s="2" t="s">
        <v>27998</v>
      </c>
      <c r="C13982" s="2" t="s">
        <v>27805</v>
      </c>
      <c r="D13982" s="2" t="s">
        <v>1390</v>
      </c>
      <c r="E13982" s="2" t="str">
        <f>"9783832549633"</f>
        <v>9783832549633</v>
      </c>
      <c r="F13982" s="2"/>
    </row>
    <row r="13983" spans="1:6" s="3" customFormat="1" ht="29.1" customHeight="1" x14ac:dyDescent="0.25">
      <c r="A13983" s="2" t="s">
        <v>27999</v>
      </c>
      <c r="B13983" s="2" t="s">
        <v>28000</v>
      </c>
      <c r="C13983" s="2" t="s">
        <v>27805</v>
      </c>
      <c r="D13983" s="2" t="s">
        <v>9</v>
      </c>
      <c r="E13983" s="2" t="str">
        <f>"9783832549619"</f>
        <v>9783832549619</v>
      </c>
      <c r="F13983" s="2"/>
    </row>
    <row r="13984" spans="1:6" s="3" customFormat="1" ht="29.1" customHeight="1" x14ac:dyDescent="0.25">
      <c r="A13984" s="2" t="s">
        <v>28001</v>
      </c>
      <c r="B13984" s="2" t="s">
        <v>28002</v>
      </c>
      <c r="C13984" s="2" t="s">
        <v>27805</v>
      </c>
      <c r="D13984" s="2" t="s">
        <v>9</v>
      </c>
      <c r="E13984" s="2" t="str">
        <f>"9783832549589"</f>
        <v>9783832549589</v>
      </c>
      <c r="F13984" s="2"/>
    </row>
    <row r="13985" spans="1:6" s="3" customFormat="1" ht="29.1" customHeight="1" x14ac:dyDescent="0.25">
      <c r="A13985" s="2" t="s">
        <v>28003</v>
      </c>
      <c r="B13985" s="2" t="s">
        <v>28004</v>
      </c>
      <c r="C13985" s="2" t="s">
        <v>27805</v>
      </c>
      <c r="D13985" s="2" t="s">
        <v>9</v>
      </c>
      <c r="E13985" s="2" t="str">
        <f>"9783832549442"</f>
        <v>9783832549442</v>
      </c>
      <c r="F13985" s="2"/>
    </row>
    <row r="13986" spans="1:6" s="3" customFormat="1" ht="29.1" customHeight="1" x14ac:dyDescent="0.25">
      <c r="A13986" s="2" t="s">
        <v>28005</v>
      </c>
      <c r="B13986" s="2" t="s">
        <v>28006</v>
      </c>
      <c r="C13986" s="2" t="s">
        <v>27805</v>
      </c>
      <c r="D13986" s="2" t="s">
        <v>186</v>
      </c>
      <c r="E13986" s="2" t="str">
        <f>"9783832549213"</f>
        <v>9783832549213</v>
      </c>
      <c r="F13986" s="2"/>
    </row>
    <row r="13987" spans="1:6" s="3" customFormat="1" ht="29.1" customHeight="1" x14ac:dyDescent="0.25">
      <c r="A13987" s="2" t="s">
        <v>28007</v>
      </c>
      <c r="B13987" s="2" t="s">
        <v>28008</v>
      </c>
      <c r="C13987" s="2" t="s">
        <v>27805</v>
      </c>
      <c r="D13987" s="2" t="s">
        <v>4739</v>
      </c>
      <c r="E13987" s="2" t="str">
        <f>"9783832549107"</f>
        <v>9783832549107</v>
      </c>
      <c r="F13987" s="2"/>
    </row>
    <row r="13988" spans="1:6" s="3" customFormat="1" ht="29.1" customHeight="1" x14ac:dyDescent="0.25">
      <c r="A13988" s="2" t="s">
        <v>28009</v>
      </c>
      <c r="B13988" s="2" t="s">
        <v>28010</v>
      </c>
      <c r="C13988" s="2" t="s">
        <v>27805</v>
      </c>
      <c r="D13988" s="2" t="s">
        <v>4500</v>
      </c>
      <c r="E13988" s="2" t="str">
        <f>"9783832549060"</f>
        <v>9783832549060</v>
      </c>
      <c r="F13988" s="2"/>
    </row>
    <row r="13989" spans="1:6" s="3" customFormat="1" ht="29.1" customHeight="1" x14ac:dyDescent="0.25">
      <c r="A13989" s="2" t="s">
        <v>28011</v>
      </c>
      <c r="B13989" s="2" t="s">
        <v>28012</v>
      </c>
      <c r="C13989" s="2" t="s">
        <v>27805</v>
      </c>
      <c r="D13989" s="2" t="s">
        <v>186</v>
      </c>
      <c r="E13989" s="2" t="str">
        <f>"9783832549039"</f>
        <v>9783832549039</v>
      </c>
      <c r="F13989" s="2"/>
    </row>
    <row r="13990" spans="1:6" s="3" customFormat="1" ht="29.1" customHeight="1" x14ac:dyDescent="0.25">
      <c r="A13990" s="2" t="s">
        <v>28013</v>
      </c>
      <c r="B13990" s="2" t="s">
        <v>28014</v>
      </c>
      <c r="C13990" s="2" t="s">
        <v>27805</v>
      </c>
      <c r="D13990" s="2" t="s">
        <v>6511</v>
      </c>
      <c r="E13990" s="2" t="str">
        <f>"9783832548896"</f>
        <v>9783832548896</v>
      </c>
      <c r="F13990" s="2"/>
    </row>
    <row r="13991" spans="1:6" s="3" customFormat="1" ht="29.1" customHeight="1" x14ac:dyDescent="0.25">
      <c r="A13991" s="2" t="s">
        <v>28015</v>
      </c>
      <c r="B13991" s="2" t="s">
        <v>28016</v>
      </c>
      <c r="C13991" s="2" t="s">
        <v>27805</v>
      </c>
      <c r="D13991" s="2" t="s">
        <v>297</v>
      </c>
      <c r="E13991" s="2" t="str">
        <f>"9783832548803"</f>
        <v>9783832548803</v>
      </c>
      <c r="F13991" s="2"/>
    </row>
    <row r="13992" spans="1:6" s="3" customFormat="1" ht="29.1" customHeight="1" x14ac:dyDescent="0.25">
      <c r="A13992" s="2" t="s">
        <v>28017</v>
      </c>
      <c r="B13992" s="2" t="s">
        <v>28018</v>
      </c>
      <c r="C13992" s="2" t="s">
        <v>27805</v>
      </c>
      <c r="D13992" s="2" t="s">
        <v>186</v>
      </c>
      <c r="E13992" s="2" t="str">
        <f>"9783832548667"</f>
        <v>9783832548667</v>
      </c>
      <c r="F13992" s="2"/>
    </row>
    <row r="13993" spans="1:6" s="3" customFormat="1" ht="29.1" customHeight="1" x14ac:dyDescent="0.25">
      <c r="A13993" s="2" t="s">
        <v>28019</v>
      </c>
      <c r="B13993" s="2" t="s">
        <v>28020</v>
      </c>
      <c r="C13993" s="2" t="s">
        <v>27805</v>
      </c>
      <c r="D13993" s="2" t="s">
        <v>9</v>
      </c>
      <c r="E13993" s="2" t="str">
        <f>"9783832548575"</f>
        <v>9783832548575</v>
      </c>
      <c r="F13993" s="2"/>
    </row>
    <row r="13994" spans="1:6" s="3" customFormat="1" ht="29.1" customHeight="1" x14ac:dyDescent="0.25">
      <c r="A13994" s="2" t="s">
        <v>28021</v>
      </c>
      <c r="B13994" s="2" t="s">
        <v>28022</v>
      </c>
      <c r="C13994" s="2" t="s">
        <v>27805</v>
      </c>
      <c r="D13994" s="2" t="s">
        <v>9</v>
      </c>
      <c r="E13994" s="2" t="str">
        <f>"9783832548421"</f>
        <v>9783832548421</v>
      </c>
      <c r="F13994" s="2"/>
    </row>
    <row r="13995" spans="1:6" s="3" customFormat="1" ht="29.1" customHeight="1" x14ac:dyDescent="0.25">
      <c r="A13995" s="2" t="s">
        <v>28023</v>
      </c>
      <c r="B13995" s="2" t="s">
        <v>28024</v>
      </c>
      <c r="C13995" s="2" t="s">
        <v>27805</v>
      </c>
      <c r="D13995" s="2" t="s">
        <v>1390</v>
      </c>
      <c r="E13995" s="2" t="str">
        <f>"9783832548384"</f>
        <v>9783832548384</v>
      </c>
      <c r="F13995" s="2"/>
    </row>
    <row r="13996" spans="1:6" s="3" customFormat="1" ht="29.1" customHeight="1" x14ac:dyDescent="0.25">
      <c r="A13996" s="2" t="s">
        <v>28025</v>
      </c>
      <c r="B13996" s="2" t="s">
        <v>28026</v>
      </c>
      <c r="C13996" s="2" t="s">
        <v>27805</v>
      </c>
      <c r="D13996" s="2" t="s">
        <v>270</v>
      </c>
      <c r="E13996" s="2" t="str">
        <f>"9783832548360"</f>
        <v>9783832548360</v>
      </c>
      <c r="F13996" s="2"/>
    </row>
    <row r="13997" spans="1:6" s="3" customFormat="1" ht="29.1" customHeight="1" x14ac:dyDescent="0.25">
      <c r="A13997" s="2" t="s">
        <v>28027</v>
      </c>
      <c r="B13997" s="2" t="s">
        <v>28028</v>
      </c>
      <c r="C13997" s="2" t="s">
        <v>27805</v>
      </c>
      <c r="D13997" s="2" t="s">
        <v>297</v>
      </c>
      <c r="E13997" s="2" t="str">
        <f>"9783832548353"</f>
        <v>9783832548353</v>
      </c>
      <c r="F13997" s="2"/>
    </row>
    <row r="13998" spans="1:6" s="3" customFormat="1" ht="29.1" customHeight="1" x14ac:dyDescent="0.25">
      <c r="A13998" s="2" t="s">
        <v>28029</v>
      </c>
      <c r="B13998" s="2" t="s">
        <v>28030</v>
      </c>
      <c r="C13998" s="2" t="s">
        <v>27805</v>
      </c>
      <c r="D13998" s="2" t="s">
        <v>4789</v>
      </c>
      <c r="E13998" s="2" t="str">
        <f>"9783832548308"</f>
        <v>9783832548308</v>
      </c>
      <c r="F13998" s="2"/>
    </row>
    <row r="13999" spans="1:6" s="3" customFormat="1" ht="29.1" customHeight="1" x14ac:dyDescent="0.25">
      <c r="A13999" s="2" t="s">
        <v>28031</v>
      </c>
      <c r="B13999" s="2" t="s">
        <v>28032</v>
      </c>
      <c r="C13999" s="2" t="s">
        <v>27805</v>
      </c>
      <c r="D13999" s="2" t="s">
        <v>9</v>
      </c>
      <c r="E13999" s="2" t="str">
        <f>"9783832548254"</f>
        <v>9783832548254</v>
      </c>
      <c r="F13999" s="2"/>
    </row>
    <row r="14000" spans="1:6" s="3" customFormat="1" ht="29.1" customHeight="1" x14ac:dyDescent="0.25">
      <c r="A14000" s="2" t="s">
        <v>28033</v>
      </c>
      <c r="B14000" s="2" t="s">
        <v>28034</v>
      </c>
      <c r="C14000" s="2" t="s">
        <v>27805</v>
      </c>
      <c r="D14000" s="2" t="s">
        <v>297</v>
      </c>
      <c r="E14000" s="2" t="str">
        <f>"9783832548131"</f>
        <v>9783832548131</v>
      </c>
      <c r="F14000" s="2"/>
    </row>
    <row r="14001" spans="1:6" s="3" customFormat="1" ht="29.1" customHeight="1" x14ac:dyDescent="0.25">
      <c r="A14001" s="2" t="s">
        <v>28035</v>
      </c>
      <c r="B14001" s="2" t="s">
        <v>28036</v>
      </c>
      <c r="C14001" s="2" t="s">
        <v>27805</v>
      </c>
      <c r="D14001" s="2" t="s">
        <v>4500</v>
      </c>
      <c r="E14001" s="2" t="str">
        <f>"9783832548018"</f>
        <v>9783832548018</v>
      </c>
      <c r="F14001" s="2"/>
    </row>
    <row r="14002" spans="1:6" s="3" customFormat="1" ht="29.1" customHeight="1" x14ac:dyDescent="0.25">
      <c r="A14002" s="2" t="s">
        <v>28037</v>
      </c>
      <c r="B14002" s="2" t="s">
        <v>28038</v>
      </c>
      <c r="C14002" s="2" t="s">
        <v>27805</v>
      </c>
      <c r="D14002" s="2" t="s">
        <v>4789</v>
      </c>
      <c r="E14002" s="2" t="str">
        <f>"9783832547943"</f>
        <v>9783832547943</v>
      </c>
      <c r="F14002" s="2"/>
    </row>
    <row r="14003" spans="1:6" s="3" customFormat="1" ht="29.1" customHeight="1" x14ac:dyDescent="0.25">
      <c r="A14003" s="2" t="s">
        <v>28039</v>
      </c>
      <c r="B14003" s="2" t="s">
        <v>28040</v>
      </c>
      <c r="C14003" s="2" t="s">
        <v>27805</v>
      </c>
      <c r="D14003" s="2" t="s">
        <v>1959</v>
      </c>
      <c r="E14003" s="2" t="str">
        <f>"9783832547592"</f>
        <v>9783832547592</v>
      </c>
      <c r="F14003" s="2"/>
    </row>
    <row r="14004" spans="1:6" s="3" customFormat="1" ht="29.1" customHeight="1" x14ac:dyDescent="0.25">
      <c r="A14004" s="2" t="s">
        <v>28041</v>
      </c>
      <c r="B14004" s="2" t="s">
        <v>28042</v>
      </c>
      <c r="C14004" s="2" t="s">
        <v>27805</v>
      </c>
      <c r="D14004" s="2" t="s">
        <v>1059</v>
      </c>
      <c r="E14004" s="2" t="str">
        <f>"9783832547516"</f>
        <v>9783832547516</v>
      </c>
      <c r="F14004" s="2"/>
    </row>
    <row r="14005" spans="1:6" s="3" customFormat="1" ht="29.1" customHeight="1" x14ac:dyDescent="0.25">
      <c r="A14005" s="2" t="s">
        <v>28043</v>
      </c>
      <c r="B14005" s="2" t="s">
        <v>28044</v>
      </c>
      <c r="C14005" s="2" t="s">
        <v>27805</v>
      </c>
      <c r="D14005" s="2" t="s">
        <v>9</v>
      </c>
      <c r="E14005" s="2" t="str">
        <f>"9783832547417"</f>
        <v>9783832547417</v>
      </c>
      <c r="F14005" s="2"/>
    </row>
    <row r="14006" spans="1:6" s="3" customFormat="1" ht="29.1" customHeight="1" x14ac:dyDescent="0.25">
      <c r="A14006" s="2" t="s">
        <v>28045</v>
      </c>
      <c r="B14006" s="2" t="s">
        <v>28046</v>
      </c>
      <c r="C14006" s="2" t="s">
        <v>27805</v>
      </c>
      <c r="D14006" s="2" t="s">
        <v>9</v>
      </c>
      <c r="E14006" s="2" t="str">
        <f>"9783832547370"</f>
        <v>9783832547370</v>
      </c>
      <c r="F14006" s="2"/>
    </row>
    <row r="14007" spans="1:6" s="3" customFormat="1" ht="29.1" customHeight="1" x14ac:dyDescent="0.25">
      <c r="A14007" s="2" t="s">
        <v>28047</v>
      </c>
      <c r="B14007" s="2" t="s">
        <v>28048</v>
      </c>
      <c r="C14007" s="2" t="s">
        <v>27805</v>
      </c>
      <c r="D14007" s="2" t="s">
        <v>1902</v>
      </c>
      <c r="E14007" s="2" t="str">
        <f>"9783832547271"</f>
        <v>9783832547271</v>
      </c>
      <c r="F14007" s="2"/>
    </row>
    <row r="14008" spans="1:6" s="3" customFormat="1" ht="29.1" customHeight="1" x14ac:dyDescent="0.25">
      <c r="A14008" s="2" t="s">
        <v>28049</v>
      </c>
      <c r="B14008" s="2" t="s">
        <v>28050</v>
      </c>
      <c r="C14008" s="2" t="s">
        <v>27805</v>
      </c>
      <c r="D14008" s="2" t="s">
        <v>9</v>
      </c>
      <c r="E14008" s="2" t="str">
        <f>"9783832547264"</f>
        <v>9783832547264</v>
      </c>
      <c r="F14008" s="2"/>
    </row>
    <row r="14009" spans="1:6" s="3" customFormat="1" ht="29.1" customHeight="1" x14ac:dyDescent="0.25">
      <c r="A14009" s="2" t="s">
        <v>28051</v>
      </c>
      <c r="B14009" s="2" t="s">
        <v>28052</v>
      </c>
      <c r="C14009" s="2" t="s">
        <v>27805</v>
      </c>
      <c r="D14009" s="2" t="s">
        <v>1059</v>
      </c>
      <c r="E14009" s="2" t="str">
        <f>"9783832547240"</f>
        <v>9783832547240</v>
      </c>
      <c r="F14009" s="2"/>
    </row>
    <row r="14010" spans="1:6" s="3" customFormat="1" ht="29.1" customHeight="1" x14ac:dyDescent="0.25">
      <c r="A14010" s="2" t="s">
        <v>28053</v>
      </c>
      <c r="B14010" s="2" t="s">
        <v>28054</v>
      </c>
      <c r="C14010" s="2" t="s">
        <v>27805</v>
      </c>
      <c r="D14010" s="2" t="s">
        <v>9</v>
      </c>
      <c r="E14010" s="2" t="str">
        <f>"9783832547233"</f>
        <v>9783832547233</v>
      </c>
      <c r="F14010" s="2"/>
    </row>
    <row r="14011" spans="1:6" s="3" customFormat="1" ht="29.1" customHeight="1" x14ac:dyDescent="0.25">
      <c r="A14011" s="2" t="s">
        <v>28055</v>
      </c>
      <c r="B14011" s="2" t="s">
        <v>28056</v>
      </c>
      <c r="C14011" s="2" t="s">
        <v>27805</v>
      </c>
      <c r="D14011" s="2" t="s">
        <v>9392</v>
      </c>
      <c r="E14011" s="2" t="str">
        <f>"9783832547141"</f>
        <v>9783832547141</v>
      </c>
      <c r="F14011" s="2"/>
    </row>
    <row r="14012" spans="1:6" s="3" customFormat="1" ht="29.1" customHeight="1" x14ac:dyDescent="0.25">
      <c r="A14012" s="2" t="s">
        <v>28057</v>
      </c>
      <c r="B14012" s="2" t="s">
        <v>28058</v>
      </c>
      <c r="C14012" s="2" t="s">
        <v>27805</v>
      </c>
      <c r="D14012" s="2" t="s">
        <v>9</v>
      </c>
      <c r="E14012" s="2" t="str">
        <f>"9783832547127"</f>
        <v>9783832547127</v>
      </c>
      <c r="F14012" s="2"/>
    </row>
    <row r="14013" spans="1:6" s="3" customFormat="1" ht="29.1" customHeight="1" x14ac:dyDescent="0.25">
      <c r="A14013" s="2" t="s">
        <v>28059</v>
      </c>
      <c r="B14013" s="2" t="s">
        <v>28060</v>
      </c>
      <c r="C14013" s="2" t="s">
        <v>27805</v>
      </c>
      <c r="D14013" s="2" t="s">
        <v>9</v>
      </c>
      <c r="E14013" s="2" t="str">
        <f>"9783832546809"</f>
        <v>9783832546809</v>
      </c>
      <c r="F14013" s="2"/>
    </row>
    <row r="14014" spans="1:6" s="3" customFormat="1" ht="29.1" customHeight="1" x14ac:dyDescent="0.25">
      <c r="A14014" s="2" t="s">
        <v>28061</v>
      </c>
      <c r="B14014" s="2" t="s">
        <v>28062</v>
      </c>
      <c r="C14014" s="2" t="s">
        <v>27805</v>
      </c>
      <c r="D14014" s="2" t="s">
        <v>9</v>
      </c>
      <c r="E14014" s="2" t="str">
        <f>"9783832546694"</f>
        <v>9783832546694</v>
      </c>
      <c r="F14014" s="2"/>
    </row>
    <row r="14015" spans="1:6" s="3" customFormat="1" ht="29.1" customHeight="1" x14ac:dyDescent="0.25">
      <c r="A14015" s="2" t="s">
        <v>28063</v>
      </c>
      <c r="B14015" s="2" t="s">
        <v>28065</v>
      </c>
      <c r="C14015" s="2" t="s">
        <v>27805</v>
      </c>
      <c r="D14015" s="2" t="s">
        <v>28064</v>
      </c>
      <c r="E14015" s="2" t="str">
        <f>"9783832546632"</f>
        <v>9783832546632</v>
      </c>
      <c r="F14015" s="2"/>
    </row>
    <row r="14016" spans="1:6" s="3" customFormat="1" ht="29.1" customHeight="1" x14ac:dyDescent="0.25">
      <c r="A14016" s="2" t="s">
        <v>28066</v>
      </c>
      <c r="B14016" s="2" t="s">
        <v>28067</v>
      </c>
      <c r="C14016" s="2" t="s">
        <v>27805</v>
      </c>
      <c r="D14016" s="2" t="s">
        <v>9</v>
      </c>
      <c r="E14016" s="2" t="str">
        <f>"9783832546595"</f>
        <v>9783832546595</v>
      </c>
      <c r="F14016" s="2"/>
    </row>
    <row r="14017" spans="1:6" s="3" customFormat="1" ht="29.1" customHeight="1" x14ac:dyDescent="0.25">
      <c r="A14017" s="2" t="s">
        <v>28068</v>
      </c>
      <c r="B14017" s="2" t="s">
        <v>28069</v>
      </c>
      <c r="C14017" s="2" t="s">
        <v>27805</v>
      </c>
      <c r="D14017" s="2" t="s">
        <v>81</v>
      </c>
      <c r="E14017" s="2" t="str">
        <f>"9783832546465"</f>
        <v>9783832546465</v>
      </c>
      <c r="F14017" s="2"/>
    </row>
    <row r="14018" spans="1:6" s="3" customFormat="1" ht="29.1" customHeight="1" x14ac:dyDescent="0.25">
      <c r="A14018" s="2" t="s">
        <v>28070</v>
      </c>
      <c r="B14018" s="2" t="s">
        <v>28071</v>
      </c>
      <c r="C14018" s="2" t="s">
        <v>27805</v>
      </c>
      <c r="D14018" s="2" t="s">
        <v>606</v>
      </c>
      <c r="E14018" s="2" t="str">
        <f>"9783832546298"</f>
        <v>9783832546298</v>
      </c>
      <c r="F14018" s="2"/>
    </row>
    <row r="14019" spans="1:6" s="3" customFormat="1" ht="29.1" customHeight="1" x14ac:dyDescent="0.25">
      <c r="A14019" s="2" t="s">
        <v>28072</v>
      </c>
      <c r="B14019" s="2" t="s">
        <v>28073</v>
      </c>
      <c r="C14019" s="2" t="s">
        <v>27805</v>
      </c>
      <c r="D14019" s="2" t="s">
        <v>218</v>
      </c>
      <c r="E14019" s="2" t="str">
        <f>"9783832546168"</f>
        <v>9783832546168</v>
      </c>
      <c r="F14019" s="2"/>
    </row>
    <row r="14020" spans="1:6" s="3" customFormat="1" ht="29.1" customHeight="1" x14ac:dyDescent="0.25">
      <c r="A14020" s="2" t="s">
        <v>28074</v>
      </c>
      <c r="B14020" s="2" t="s">
        <v>28075</v>
      </c>
      <c r="C14020" s="2" t="s">
        <v>27805</v>
      </c>
      <c r="D14020" s="2" t="s">
        <v>9</v>
      </c>
      <c r="E14020" s="2" t="str">
        <f>"9783832545956"</f>
        <v>9783832545956</v>
      </c>
      <c r="F14020" s="2"/>
    </row>
    <row r="14021" spans="1:6" s="3" customFormat="1" ht="29.1" customHeight="1" x14ac:dyDescent="0.25">
      <c r="A14021" s="2" t="s">
        <v>28076</v>
      </c>
      <c r="B14021" s="2" t="s">
        <v>28077</v>
      </c>
      <c r="C14021" s="2" t="s">
        <v>27805</v>
      </c>
      <c r="D14021" s="2" t="s">
        <v>9</v>
      </c>
      <c r="E14021" s="2" t="str">
        <f>"9783832545901"</f>
        <v>9783832545901</v>
      </c>
      <c r="F14021" s="2"/>
    </row>
    <row r="14022" spans="1:6" s="3" customFormat="1" ht="29.1" customHeight="1" x14ac:dyDescent="0.25">
      <c r="A14022" s="2" t="s">
        <v>28078</v>
      </c>
      <c r="B14022" s="2" t="s">
        <v>28079</v>
      </c>
      <c r="C14022" s="2" t="s">
        <v>27805</v>
      </c>
      <c r="D14022" s="2" t="s">
        <v>9</v>
      </c>
      <c r="E14022" s="2" t="str">
        <f>"9783832545840"</f>
        <v>9783832545840</v>
      </c>
      <c r="F14022" s="2"/>
    </row>
    <row r="14023" spans="1:6" s="3" customFormat="1" ht="29.1" customHeight="1" x14ac:dyDescent="0.25">
      <c r="A14023" s="2" t="s">
        <v>28080</v>
      </c>
      <c r="B14023" s="2" t="s">
        <v>28081</v>
      </c>
      <c r="C14023" s="2" t="s">
        <v>27805</v>
      </c>
      <c r="D14023" s="2" t="s">
        <v>9</v>
      </c>
      <c r="E14023" s="2" t="str">
        <f>"9783832545772"</f>
        <v>9783832545772</v>
      </c>
      <c r="F14023" s="2"/>
    </row>
    <row r="14024" spans="1:6" s="3" customFormat="1" ht="29.1" customHeight="1" x14ac:dyDescent="0.25">
      <c r="A14024" s="2" t="s">
        <v>28082</v>
      </c>
      <c r="B14024" s="2" t="s">
        <v>28083</v>
      </c>
      <c r="C14024" s="2" t="s">
        <v>27805</v>
      </c>
      <c r="D14024" s="2" t="s">
        <v>2880</v>
      </c>
      <c r="E14024" s="2" t="str">
        <f>"9783832545710"</f>
        <v>9783832545710</v>
      </c>
      <c r="F14024" s="2"/>
    </row>
    <row r="14025" spans="1:6" s="3" customFormat="1" ht="29.1" customHeight="1" x14ac:dyDescent="0.25">
      <c r="A14025" s="2" t="s">
        <v>28084</v>
      </c>
      <c r="B14025" s="2" t="s">
        <v>28085</v>
      </c>
      <c r="C14025" s="2" t="s">
        <v>27805</v>
      </c>
      <c r="D14025" s="2" t="s">
        <v>2237</v>
      </c>
      <c r="E14025" s="2" t="str">
        <f>"9783832545666"</f>
        <v>9783832545666</v>
      </c>
      <c r="F14025" s="2"/>
    </row>
    <row r="14026" spans="1:6" s="3" customFormat="1" ht="29.1" customHeight="1" x14ac:dyDescent="0.25">
      <c r="A14026" s="2" t="s">
        <v>28086</v>
      </c>
      <c r="B14026" s="2" t="s">
        <v>28087</v>
      </c>
      <c r="C14026" s="2" t="s">
        <v>27805</v>
      </c>
      <c r="D14026" s="2" t="s">
        <v>9</v>
      </c>
      <c r="E14026" s="2" t="str">
        <f>"9783832545598"</f>
        <v>9783832545598</v>
      </c>
      <c r="F14026" s="2"/>
    </row>
    <row r="14027" spans="1:6" s="3" customFormat="1" ht="29.1" customHeight="1" x14ac:dyDescent="0.25">
      <c r="A14027" s="2" t="s">
        <v>28088</v>
      </c>
      <c r="B14027" s="2" t="s">
        <v>28089</v>
      </c>
      <c r="C14027" s="2" t="s">
        <v>27805</v>
      </c>
      <c r="D14027" s="2" t="s">
        <v>4739</v>
      </c>
      <c r="E14027" s="2" t="str">
        <f>"9783832545574"</f>
        <v>9783832545574</v>
      </c>
      <c r="F14027" s="2"/>
    </row>
    <row r="14028" spans="1:6" s="3" customFormat="1" ht="29.1" customHeight="1" x14ac:dyDescent="0.25">
      <c r="A14028" s="2" t="s">
        <v>28090</v>
      </c>
      <c r="B14028" s="2" t="s">
        <v>28091</v>
      </c>
      <c r="C14028" s="2" t="s">
        <v>27805</v>
      </c>
      <c r="D14028" s="2" t="s">
        <v>9</v>
      </c>
      <c r="E14028" s="2" t="str">
        <f>"9783832545536"</f>
        <v>9783832545536</v>
      </c>
      <c r="F14028" s="2"/>
    </row>
    <row r="14029" spans="1:6" s="3" customFormat="1" ht="29.1" customHeight="1" x14ac:dyDescent="0.25">
      <c r="A14029" s="2" t="s">
        <v>28092</v>
      </c>
      <c r="B14029" s="2" t="s">
        <v>28093</v>
      </c>
      <c r="C14029" s="2" t="s">
        <v>27805</v>
      </c>
      <c r="D14029" s="2" t="s">
        <v>4500</v>
      </c>
      <c r="E14029" s="2" t="str">
        <f>"9783832545437"</f>
        <v>9783832545437</v>
      </c>
      <c r="F14029" s="2"/>
    </row>
    <row r="14030" spans="1:6" s="3" customFormat="1" ht="29.1" customHeight="1" x14ac:dyDescent="0.25">
      <c r="A14030" s="2" t="s">
        <v>28094</v>
      </c>
      <c r="B14030" s="2" t="s">
        <v>28095</v>
      </c>
      <c r="C14030" s="2" t="s">
        <v>27805</v>
      </c>
      <c r="D14030" s="2" t="s">
        <v>9</v>
      </c>
      <c r="E14030" s="2" t="str">
        <f>"9783832544577"</f>
        <v>9783832544577</v>
      </c>
      <c r="F14030" s="2"/>
    </row>
    <row r="14031" spans="1:6" s="3" customFormat="1" ht="29.1" customHeight="1" x14ac:dyDescent="0.25">
      <c r="A14031" s="2" t="s">
        <v>28096</v>
      </c>
      <c r="B14031" s="2" t="s">
        <v>28097</v>
      </c>
      <c r="C14031" s="2" t="s">
        <v>27805</v>
      </c>
      <c r="D14031" s="2" t="s">
        <v>9</v>
      </c>
      <c r="E14031" s="2" t="str">
        <f>"9783832544379"</f>
        <v>9783832544379</v>
      </c>
      <c r="F14031" s="2"/>
    </row>
    <row r="14032" spans="1:6" s="3" customFormat="1" ht="29.1" customHeight="1" x14ac:dyDescent="0.25">
      <c r="A14032" s="2" t="s">
        <v>28098</v>
      </c>
      <c r="B14032" s="2" t="s">
        <v>28099</v>
      </c>
      <c r="C14032" s="2" t="s">
        <v>27805</v>
      </c>
      <c r="D14032" s="2" t="s">
        <v>9</v>
      </c>
      <c r="E14032" s="2" t="str">
        <f>"9783832544249"</f>
        <v>9783832544249</v>
      </c>
      <c r="F14032" s="2"/>
    </row>
    <row r="14033" spans="1:6" s="3" customFormat="1" ht="29.1" customHeight="1" x14ac:dyDescent="0.25">
      <c r="A14033" s="2" t="s">
        <v>28100</v>
      </c>
      <c r="B14033" s="2" t="s">
        <v>28101</v>
      </c>
      <c r="C14033" s="2" t="s">
        <v>27805</v>
      </c>
      <c r="D14033" s="2" t="s">
        <v>1959</v>
      </c>
      <c r="E14033" s="2" t="str">
        <f>"9783832544058"</f>
        <v>9783832544058</v>
      </c>
      <c r="F14033" s="2"/>
    </row>
    <row r="14034" spans="1:6" s="3" customFormat="1" ht="29.1" customHeight="1" x14ac:dyDescent="0.25">
      <c r="A14034" s="2" t="s">
        <v>28102</v>
      </c>
      <c r="B14034" s="2" t="s">
        <v>28103</v>
      </c>
      <c r="C14034" s="2" t="s">
        <v>27805</v>
      </c>
      <c r="D14034" s="2" t="s">
        <v>186</v>
      </c>
      <c r="E14034" s="2" t="str">
        <f>"9783832543686"</f>
        <v>9783832543686</v>
      </c>
      <c r="F14034" s="2"/>
    </row>
    <row r="14035" spans="1:6" s="3" customFormat="1" ht="29.1" customHeight="1" x14ac:dyDescent="0.25">
      <c r="A14035" s="2" t="s">
        <v>28104</v>
      </c>
      <c r="B14035" s="2" t="s">
        <v>28105</v>
      </c>
      <c r="C14035" s="2" t="s">
        <v>27805</v>
      </c>
      <c r="D14035" s="2" t="s">
        <v>1059</v>
      </c>
      <c r="E14035" s="2" t="str">
        <f>"9783832543594"</f>
        <v>9783832543594</v>
      </c>
      <c r="F14035" s="2"/>
    </row>
    <row r="14036" spans="1:6" s="3" customFormat="1" ht="29.1" customHeight="1" x14ac:dyDescent="0.25">
      <c r="A14036" s="2" t="s">
        <v>28106</v>
      </c>
      <c r="B14036" s="2" t="s">
        <v>28107</v>
      </c>
      <c r="C14036" s="2" t="s">
        <v>27805</v>
      </c>
      <c r="D14036" s="2" t="s">
        <v>9</v>
      </c>
      <c r="E14036" s="2" t="str">
        <f>"9783832543563"</f>
        <v>9783832543563</v>
      </c>
      <c r="F14036" s="2" t="str">
        <f>"9783832598402"</f>
        <v>9783832598402</v>
      </c>
    </row>
    <row r="14037" spans="1:6" s="3" customFormat="1" ht="29.1" customHeight="1" x14ac:dyDescent="0.25">
      <c r="A14037" s="2" t="s">
        <v>28108</v>
      </c>
      <c r="B14037" s="2" t="s">
        <v>28109</v>
      </c>
      <c r="C14037" s="2" t="s">
        <v>27805</v>
      </c>
      <c r="D14037" s="2" t="s">
        <v>9</v>
      </c>
      <c r="E14037" s="2" t="str">
        <f>"9783832543518"</f>
        <v>9783832543518</v>
      </c>
      <c r="F14037" s="2"/>
    </row>
    <row r="14038" spans="1:6" s="3" customFormat="1" ht="29.1" customHeight="1" x14ac:dyDescent="0.25">
      <c r="A14038" s="2" t="s">
        <v>28110</v>
      </c>
      <c r="B14038" s="2" t="s">
        <v>28111</v>
      </c>
      <c r="C14038" s="2" t="s">
        <v>27805</v>
      </c>
      <c r="D14038" s="2" t="s">
        <v>297</v>
      </c>
      <c r="E14038" s="2" t="str">
        <f>"9783832542979"</f>
        <v>9783832542979</v>
      </c>
      <c r="F14038" s="2"/>
    </row>
    <row r="14039" spans="1:6" s="3" customFormat="1" ht="29.1" customHeight="1" x14ac:dyDescent="0.25">
      <c r="A14039" s="2" t="s">
        <v>28112</v>
      </c>
      <c r="B14039" s="2" t="s">
        <v>28113</v>
      </c>
      <c r="C14039" s="2" t="s">
        <v>27805</v>
      </c>
      <c r="D14039" s="2" t="s">
        <v>1902</v>
      </c>
      <c r="E14039" s="2" t="str">
        <f>"9783832542917"</f>
        <v>9783832542917</v>
      </c>
      <c r="F14039" s="2"/>
    </row>
    <row r="14040" spans="1:6" s="3" customFormat="1" ht="29.1" customHeight="1" x14ac:dyDescent="0.25">
      <c r="A14040" s="2" t="s">
        <v>28114</v>
      </c>
      <c r="B14040" s="2" t="s">
        <v>28115</v>
      </c>
      <c r="C14040" s="2" t="s">
        <v>27805</v>
      </c>
      <c r="D14040" s="2" t="s">
        <v>297</v>
      </c>
      <c r="E14040" s="2" t="str">
        <f>"9783832542504"</f>
        <v>9783832542504</v>
      </c>
      <c r="F14040" s="2"/>
    </row>
    <row r="14041" spans="1:6" s="3" customFormat="1" ht="29.1" customHeight="1" x14ac:dyDescent="0.25">
      <c r="A14041" s="2" t="s">
        <v>28116</v>
      </c>
      <c r="B14041" s="2" t="s">
        <v>28117</v>
      </c>
      <c r="C14041" s="2" t="s">
        <v>27805</v>
      </c>
      <c r="D14041" s="2" t="s">
        <v>1959</v>
      </c>
      <c r="E14041" s="2" t="str">
        <f>"9783832541651"</f>
        <v>9783832541651</v>
      </c>
      <c r="F14041" s="2"/>
    </row>
    <row r="14042" spans="1:6" s="3" customFormat="1" ht="29.1" customHeight="1" x14ac:dyDescent="0.25">
      <c r="A14042" s="2" t="s">
        <v>28118</v>
      </c>
      <c r="B14042" s="2" t="s">
        <v>28119</v>
      </c>
      <c r="C14042" s="2" t="s">
        <v>27805</v>
      </c>
      <c r="D14042" s="2" t="s">
        <v>4739</v>
      </c>
      <c r="E14042" s="2" t="str">
        <f>"9783832540722"</f>
        <v>9783832540722</v>
      </c>
      <c r="F14042" s="2"/>
    </row>
    <row r="14043" spans="1:6" s="3" customFormat="1" ht="29.1" customHeight="1" x14ac:dyDescent="0.25">
      <c r="A14043" s="2" t="s">
        <v>28120</v>
      </c>
      <c r="B14043" s="2" t="s">
        <v>28121</v>
      </c>
      <c r="C14043" s="2" t="s">
        <v>27805</v>
      </c>
      <c r="D14043" s="2" t="s">
        <v>270</v>
      </c>
      <c r="E14043" s="2" t="str">
        <f>"9783832536800"</f>
        <v>9783832536800</v>
      </c>
      <c r="F14043" s="2"/>
    </row>
    <row r="14044" spans="1:6" s="3" customFormat="1" ht="29.1" customHeight="1" x14ac:dyDescent="0.25">
      <c r="A14044" s="2" t="s">
        <v>28122</v>
      </c>
      <c r="B14044" s="2" t="s">
        <v>28123</v>
      </c>
      <c r="C14044" s="2" t="s">
        <v>195</v>
      </c>
      <c r="D14044" s="2" t="s">
        <v>221</v>
      </c>
      <c r="E14044" s="2" t="str">
        <f>"9783110783339"</f>
        <v>9783110783339</v>
      </c>
      <c r="F14044" s="2" t="str">
        <f>"9783110783438"</f>
        <v>9783110783438</v>
      </c>
    </row>
    <row r="14045" spans="1:6" s="3" customFormat="1" ht="29.1" customHeight="1" x14ac:dyDescent="0.25">
      <c r="A14045" s="2" t="s">
        <v>28124</v>
      </c>
      <c r="B14045" s="2" t="s">
        <v>28125</v>
      </c>
      <c r="C14045" s="2" t="s">
        <v>195</v>
      </c>
      <c r="D14045" s="2" t="s">
        <v>2488</v>
      </c>
      <c r="E14045" s="2" t="str">
        <f>"9783110998689"</f>
        <v>9783110998689</v>
      </c>
      <c r="F14045" s="2" t="str">
        <f>"9783110987195"</f>
        <v>9783110987195</v>
      </c>
    </row>
    <row r="14046" spans="1:6" s="3" customFormat="1" ht="29.1" customHeight="1" x14ac:dyDescent="0.25">
      <c r="A14046" s="2" t="s">
        <v>28126</v>
      </c>
      <c r="B14046" s="2" t="s">
        <v>28127</v>
      </c>
      <c r="C14046" s="2" t="s">
        <v>195</v>
      </c>
      <c r="D14046" s="2" t="s">
        <v>6564</v>
      </c>
      <c r="E14046" s="2" t="str">
        <f>"9783110745900"</f>
        <v>9783110745900</v>
      </c>
      <c r="F14046" s="2" t="str">
        <f>"9783110764468"</f>
        <v>9783110764468</v>
      </c>
    </row>
    <row r="14047" spans="1:6" s="3" customFormat="1" ht="29.1" customHeight="1" x14ac:dyDescent="0.25">
      <c r="A14047" s="2" t="s">
        <v>28128</v>
      </c>
      <c r="B14047" s="2" t="s">
        <v>28129</v>
      </c>
      <c r="C14047" s="2" t="s">
        <v>195</v>
      </c>
      <c r="D14047" s="2" t="s">
        <v>1669</v>
      </c>
      <c r="E14047" s="2" t="str">
        <f>"9783110736977"</f>
        <v>9783110736977</v>
      </c>
      <c r="F14047" s="2" t="str">
        <f>"9783110731620"</f>
        <v>9783110731620</v>
      </c>
    </row>
    <row r="14048" spans="1:6" s="3" customFormat="1" ht="29.1" customHeight="1" x14ac:dyDescent="0.25">
      <c r="A14048" s="2" t="s">
        <v>28130</v>
      </c>
      <c r="B14048" s="2" t="s">
        <v>28131</v>
      </c>
      <c r="C14048" s="2" t="s">
        <v>195</v>
      </c>
      <c r="D14048" s="2" t="s">
        <v>459</v>
      </c>
      <c r="E14048" s="2" t="str">
        <f>"9783110286779"</f>
        <v>9783110286779</v>
      </c>
      <c r="F14048" s="2" t="str">
        <f>"9783110295498"</f>
        <v>9783110295498</v>
      </c>
    </row>
    <row r="14049" spans="1:6" s="3" customFormat="1" ht="29.1" customHeight="1" x14ac:dyDescent="0.25">
      <c r="A14049" s="2" t="s">
        <v>28132</v>
      </c>
      <c r="B14049" s="2" t="s">
        <v>28133</v>
      </c>
      <c r="C14049" s="2" t="s">
        <v>124</v>
      </c>
      <c r="D14049" s="2" t="s">
        <v>11984</v>
      </c>
      <c r="E14049" s="2" t="str">
        <f>"9781032359434"</f>
        <v>9781032359434</v>
      </c>
      <c r="F14049" s="2" t="str">
        <f>"9781000846294"</f>
        <v>9781000846294</v>
      </c>
    </row>
    <row r="14050" spans="1:6" s="3" customFormat="1" ht="29.1" customHeight="1" x14ac:dyDescent="0.25">
      <c r="A14050" s="2" t="s">
        <v>28134</v>
      </c>
      <c r="B14050" s="2" t="s">
        <v>28135</v>
      </c>
      <c r="C14050" s="2" t="s">
        <v>3169</v>
      </c>
      <c r="D14050" s="2" t="s">
        <v>916</v>
      </c>
      <c r="E14050" s="2"/>
      <c r="F14050" s="2" t="str">
        <f>"9781805430469"</f>
        <v>9781805430469</v>
      </c>
    </row>
    <row r="14051" spans="1:6" s="3" customFormat="1" ht="29.1" customHeight="1" x14ac:dyDescent="0.25">
      <c r="A14051" s="2" t="s">
        <v>28136</v>
      </c>
      <c r="B14051" s="2" t="s">
        <v>28137</v>
      </c>
      <c r="C14051" s="2" t="s">
        <v>327</v>
      </c>
      <c r="D14051" s="2" t="s">
        <v>5417</v>
      </c>
      <c r="E14051" s="2" t="str">
        <f>"9788381426947"</f>
        <v>9788381426947</v>
      </c>
      <c r="F14051" s="2" t="str">
        <f>"9788381426954"</f>
        <v>9788381426954</v>
      </c>
    </row>
    <row r="14052" spans="1:6" s="3" customFormat="1" ht="29.1" customHeight="1" x14ac:dyDescent="0.25">
      <c r="A14052" s="2" t="s">
        <v>28138</v>
      </c>
      <c r="B14052" s="2" t="s">
        <v>28139</v>
      </c>
      <c r="C14052" s="2" t="s">
        <v>327</v>
      </c>
      <c r="D14052" s="2" t="s">
        <v>639</v>
      </c>
      <c r="E14052" s="2"/>
      <c r="F14052" s="2" t="str">
        <f>"9788383310497"</f>
        <v>9788383310497</v>
      </c>
    </row>
    <row r="14053" spans="1:6" s="3" customFormat="1" ht="29.1" customHeight="1" x14ac:dyDescent="0.25">
      <c r="A14053" s="2" t="s">
        <v>28140</v>
      </c>
      <c r="B14053" s="2" t="s">
        <v>28141</v>
      </c>
      <c r="C14053" s="2" t="s">
        <v>264</v>
      </c>
      <c r="D14053" s="2" t="s">
        <v>3653</v>
      </c>
      <c r="E14053" s="2" t="str">
        <f>"9781032387963"</f>
        <v>9781032387963</v>
      </c>
      <c r="F14053" s="2" t="str">
        <f>"9781000859034"</f>
        <v>9781000859034</v>
      </c>
    </row>
    <row r="14054" spans="1:6" s="3" customFormat="1" ht="29.1" customHeight="1" x14ac:dyDescent="0.25">
      <c r="A14054" s="2" t="s">
        <v>28142</v>
      </c>
      <c r="B14054" s="2" t="s">
        <v>28143</v>
      </c>
      <c r="C14054" s="2" t="s">
        <v>248</v>
      </c>
      <c r="D14054" s="2" t="s">
        <v>596</v>
      </c>
      <c r="E14054" s="2" t="str">
        <f>"9783847427148"</f>
        <v>9783847427148</v>
      </c>
      <c r="F14054" s="2" t="str">
        <f>"9783847418849"</f>
        <v>9783847418849</v>
      </c>
    </row>
    <row r="14055" spans="1:6" s="3" customFormat="1" ht="29.1" customHeight="1" x14ac:dyDescent="0.25">
      <c r="A14055" s="2" t="s">
        <v>28144</v>
      </c>
      <c r="B14055" s="2" t="s">
        <v>28143</v>
      </c>
      <c r="C14055" s="2" t="s">
        <v>248</v>
      </c>
      <c r="D14055" s="2" t="s">
        <v>596</v>
      </c>
      <c r="E14055" s="2" t="str">
        <f>"9783847427155"</f>
        <v>9783847427155</v>
      </c>
      <c r="F14055" s="2" t="str">
        <f>"9783847418856"</f>
        <v>9783847418856</v>
      </c>
    </row>
    <row r="14056" spans="1:6" s="3" customFormat="1" ht="29.1" customHeight="1" x14ac:dyDescent="0.25">
      <c r="A14056" s="2" t="s">
        <v>28145</v>
      </c>
      <c r="B14056" s="2" t="s">
        <v>28146</v>
      </c>
      <c r="C14056" s="2" t="s">
        <v>124</v>
      </c>
      <c r="D14056" s="2" t="s">
        <v>6798</v>
      </c>
      <c r="E14056" s="2" t="str">
        <f>"9781032111261"</f>
        <v>9781032111261</v>
      </c>
      <c r="F14056" s="2" t="str">
        <f>"9781000873092"</f>
        <v>9781000873092</v>
      </c>
    </row>
    <row r="14057" spans="1:6" s="3" customFormat="1" ht="29.1" customHeight="1" x14ac:dyDescent="0.25">
      <c r="A14057" s="2" t="s">
        <v>28147</v>
      </c>
      <c r="B14057" s="2" t="s">
        <v>28148</v>
      </c>
      <c r="C14057" s="2" t="s">
        <v>124</v>
      </c>
      <c r="D14057" s="2" t="s">
        <v>78</v>
      </c>
      <c r="E14057" s="2" t="str">
        <f>"9781032441412"</f>
        <v>9781032441412</v>
      </c>
      <c r="F14057" s="2" t="str">
        <f>"9781000871302"</f>
        <v>9781000871302</v>
      </c>
    </row>
    <row r="14058" spans="1:6" s="3" customFormat="1" ht="29.1" customHeight="1" x14ac:dyDescent="0.25">
      <c r="A14058" s="2" t="s">
        <v>28149</v>
      </c>
      <c r="B14058" s="2" t="s">
        <v>28150</v>
      </c>
      <c r="C14058" s="2" t="s">
        <v>55</v>
      </c>
      <c r="D14058" s="2" t="s">
        <v>674</v>
      </c>
      <c r="E14058" s="2"/>
      <c r="F14058" s="2" t="str">
        <f>"9781526161628"</f>
        <v>9781526161628</v>
      </c>
    </row>
    <row r="14059" spans="1:6" s="3" customFormat="1" ht="29.1" customHeight="1" x14ac:dyDescent="0.25">
      <c r="A14059" s="2" t="s">
        <v>28149</v>
      </c>
      <c r="B14059" s="2" t="s">
        <v>28150</v>
      </c>
      <c r="C14059" s="2" t="s">
        <v>55</v>
      </c>
      <c r="D14059" s="2" t="s">
        <v>674</v>
      </c>
      <c r="E14059" s="2"/>
      <c r="F14059" s="2" t="str">
        <f>"9781526161642"</f>
        <v>9781526161642</v>
      </c>
    </row>
    <row r="14060" spans="1:6" s="3" customFormat="1" ht="29.1" customHeight="1" x14ac:dyDescent="0.25">
      <c r="A14060" s="2" t="s">
        <v>28151</v>
      </c>
      <c r="B14060" s="2" t="s">
        <v>28152</v>
      </c>
      <c r="C14060" s="2" t="s">
        <v>18537</v>
      </c>
      <c r="D14060" s="2" t="s">
        <v>9625</v>
      </c>
      <c r="E14060" s="2"/>
      <c r="F14060" s="2" t="str">
        <f>"9780311000425"</f>
        <v>9780311000425</v>
      </c>
    </row>
    <row r="14061" spans="1:6" s="3" customFormat="1" ht="29.1" customHeight="1" x14ac:dyDescent="0.25">
      <c r="A14061" s="2" t="s">
        <v>28153</v>
      </c>
      <c r="B14061" s="2" t="s">
        <v>28154</v>
      </c>
      <c r="C14061" s="2" t="s">
        <v>18537</v>
      </c>
      <c r="D14061" s="2" t="s">
        <v>553</v>
      </c>
      <c r="E14061" s="2"/>
      <c r="F14061" s="2" t="str">
        <f>"9780311000418"</f>
        <v>9780311000418</v>
      </c>
    </row>
    <row r="14062" spans="1:6" s="3" customFormat="1" ht="29.1" customHeight="1" x14ac:dyDescent="0.25">
      <c r="A14062" s="2" t="s">
        <v>28155</v>
      </c>
      <c r="B14062" s="2" t="s">
        <v>28156</v>
      </c>
      <c r="C14062" s="2" t="s">
        <v>2133</v>
      </c>
      <c r="D14062" s="2" t="s">
        <v>92</v>
      </c>
      <c r="E14062" s="2" t="str">
        <f>"9781760465537"</f>
        <v>9781760465537</v>
      </c>
      <c r="F14062" s="2" t="str">
        <f>"9781760465544"</f>
        <v>9781760465544</v>
      </c>
    </row>
    <row r="14063" spans="1:6" s="3" customFormat="1" ht="29.1" customHeight="1" x14ac:dyDescent="0.25">
      <c r="A14063" s="2" t="s">
        <v>28157</v>
      </c>
      <c r="B14063" s="2" t="s">
        <v>28158</v>
      </c>
      <c r="C14063" s="2" t="s">
        <v>595</v>
      </c>
      <c r="D14063" s="2" t="s">
        <v>8788</v>
      </c>
      <c r="E14063" s="2" t="str">
        <f>"9783631869079"</f>
        <v>9783631869079</v>
      </c>
      <c r="F14063" s="2" t="str">
        <f>"9783631887837"</f>
        <v>9783631887837</v>
      </c>
    </row>
    <row r="14064" spans="1:6" s="3" customFormat="1" ht="29.1" customHeight="1" x14ac:dyDescent="0.25">
      <c r="A14064" s="2" t="s">
        <v>28159</v>
      </c>
      <c r="B14064" s="2" t="s">
        <v>28160</v>
      </c>
      <c r="C14064" s="2" t="s">
        <v>124</v>
      </c>
      <c r="D14064" s="2" t="s">
        <v>26441</v>
      </c>
      <c r="E14064" s="2" t="str">
        <f>"9781032433066"</f>
        <v>9781032433066</v>
      </c>
      <c r="F14064" s="2" t="str">
        <f>"9781000851380"</f>
        <v>9781000851380</v>
      </c>
    </row>
    <row r="14065" spans="1:6" s="3" customFormat="1" ht="29.1" customHeight="1" x14ac:dyDescent="0.25">
      <c r="A14065" s="2" t="s">
        <v>28161</v>
      </c>
      <c r="B14065" s="2" t="s">
        <v>28162</v>
      </c>
      <c r="C14065" s="2" t="s">
        <v>195</v>
      </c>
      <c r="D14065" s="2" t="s">
        <v>459</v>
      </c>
      <c r="E14065" s="2" t="str">
        <f>"9783111074139"</f>
        <v>9783111074139</v>
      </c>
      <c r="F14065" s="2" t="str">
        <f>"9783111074917"</f>
        <v>9783111074917</v>
      </c>
    </row>
    <row r="14066" spans="1:6" s="3" customFormat="1" ht="29.1" customHeight="1" x14ac:dyDescent="0.25">
      <c r="A14066" s="2" t="s">
        <v>28163</v>
      </c>
      <c r="B14066" s="2" t="s">
        <v>28164</v>
      </c>
      <c r="C14066" s="2" t="s">
        <v>15052</v>
      </c>
      <c r="D14066" s="2" t="s">
        <v>1082</v>
      </c>
      <c r="E14066" s="2" t="str">
        <f>"9780804799942"</f>
        <v>9780804799942</v>
      </c>
      <c r="F14066" s="2" t="str">
        <f>"9781503634862"</f>
        <v>9781503634862</v>
      </c>
    </row>
    <row r="14067" spans="1:6" s="3" customFormat="1" ht="29.1" customHeight="1" x14ac:dyDescent="0.25">
      <c r="A14067" s="2" t="s">
        <v>28165</v>
      </c>
      <c r="B14067" s="2" t="s">
        <v>28166</v>
      </c>
      <c r="C14067" s="2" t="s">
        <v>195</v>
      </c>
      <c r="D14067" s="2" t="s">
        <v>6678</v>
      </c>
      <c r="E14067" s="2" t="str">
        <f>"9783111028064"</f>
        <v>9783111028064</v>
      </c>
      <c r="F14067" s="2" t="str">
        <f>"9783111028729"</f>
        <v>9783111028729</v>
      </c>
    </row>
    <row r="14068" spans="1:6" s="3" customFormat="1" ht="29.1" customHeight="1" x14ac:dyDescent="0.25">
      <c r="A14068" s="2" t="s">
        <v>28167</v>
      </c>
      <c r="B14068" s="2" t="s">
        <v>28168</v>
      </c>
      <c r="C14068" s="2" t="s">
        <v>195</v>
      </c>
      <c r="D14068" s="2" t="s">
        <v>6440</v>
      </c>
      <c r="E14068" s="2" t="str">
        <f>"9783111001654"</f>
        <v>9783111001654</v>
      </c>
      <c r="F14068" s="2" t="str">
        <f>"9783111012735"</f>
        <v>9783111012735</v>
      </c>
    </row>
    <row r="14069" spans="1:6" s="3" customFormat="1" ht="29.1" customHeight="1" x14ac:dyDescent="0.25">
      <c r="A14069" s="2" t="s">
        <v>28169</v>
      </c>
      <c r="B14069" s="2" t="s">
        <v>28170</v>
      </c>
      <c r="C14069" s="2" t="s">
        <v>195</v>
      </c>
      <c r="D14069" s="2" t="s">
        <v>33</v>
      </c>
      <c r="E14069" s="2" t="str">
        <f>"9783110772104"</f>
        <v>9783110772104</v>
      </c>
      <c r="F14069" s="2" t="str">
        <f>"9783110779653"</f>
        <v>9783110779653</v>
      </c>
    </row>
    <row r="14070" spans="1:6" s="3" customFormat="1" ht="29.1" customHeight="1" x14ac:dyDescent="0.25">
      <c r="A14070" s="2" t="s">
        <v>28171</v>
      </c>
      <c r="B14070" s="2" t="s">
        <v>28172</v>
      </c>
      <c r="C14070" s="2" t="s">
        <v>195</v>
      </c>
      <c r="D14070" s="2" t="s">
        <v>465</v>
      </c>
      <c r="E14070" s="2" t="str">
        <f>"9783110690590"</f>
        <v>9783110690590</v>
      </c>
      <c r="F14070" s="2" t="str">
        <f>"9783110755763"</f>
        <v>9783110755763</v>
      </c>
    </row>
    <row r="14071" spans="1:6" s="3" customFormat="1" ht="29.1" customHeight="1" x14ac:dyDescent="0.25">
      <c r="A14071" s="2" t="s">
        <v>28173</v>
      </c>
      <c r="B14071" s="2" t="s">
        <v>8012</v>
      </c>
      <c r="C14071" s="2" t="s">
        <v>195</v>
      </c>
      <c r="D14071" s="2" t="s">
        <v>2488</v>
      </c>
      <c r="E14071" s="2" t="str">
        <f>"9783110991109"</f>
        <v>9783110991109</v>
      </c>
      <c r="F14071" s="2" t="str">
        <f>"9783110979855"</f>
        <v>9783110979855</v>
      </c>
    </row>
    <row r="14072" spans="1:6" s="3" customFormat="1" ht="29.1" customHeight="1" x14ac:dyDescent="0.25">
      <c r="A14072" s="2" t="s">
        <v>28174</v>
      </c>
      <c r="B14072" s="2" t="s">
        <v>28175</v>
      </c>
      <c r="C14072" s="2" t="s">
        <v>195</v>
      </c>
      <c r="D14072" s="2" t="s">
        <v>402</v>
      </c>
      <c r="E14072" s="2" t="str">
        <f>"9783110694413"</f>
        <v>9783110694413</v>
      </c>
      <c r="F14072" s="2" t="str">
        <f>"9783110694536"</f>
        <v>9783110694536</v>
      </c>
    </row>
    <row r="14073" spans="1:6" s="3" customFormat="1" ht="29.1" customHeight="1" x14ac:dyDescent="0.25">
      <c r="A14073" s="2" t="s">
        <v>28176</v>
      </c>
      <c r="B14073" s="2" t="s">
        <v>28177</v>
      </c>
      <c r="C14073" s="2" t="s">
        <v>195</v>
      </c>
      <c r="D14073" s="2" t="s">
        <v>221</v>
      </c>
      <c r="E14073" s="2" t="str">
        <f>"9783110674804"</f>
        <v>9783110674804</v>
      </c>
      <c r="F14073" s="2" t="str">
        <f>"9783110758061"</f>
        <v>9783110758061</v>
      </c>
    </row>
    <row r="14074" spans="1:6" s="3" customFormat="1" ht="29.1" customHeight="1" x14ac:dyDescent="0.25">
      <c r="A14074" s="2" t="s">
        <v>28178</v>
      </c>
      <c r="B14074" s="2" t="s">
        <v>28179</v>
      </c>
      <c r="C14074" s="2" t="s">
        <v>195</v>
      </c>
      <c r="D14074" s="2" t="s">
        <v>16430</v>
      </c>
      <c r="E14074" s="2" t="str">
        <f>"9783110779141"</f>
        <v>9783110779141</v>
      </c>
      <c r="F14074" s="2" t="str">
        <f>"9783110779172"</f>
        <v>9783110779172</v>
      </c>
    </row>
    <row r="14075" spans="1:6" s="3" customFormat="1" ht="29.1" customHeight="1" x14ac:dyDescent="0.25">
      <c r="A14075" s="2" t="s">
        <v>28180</v>
      </c>
      <c r="B14075" s="2" t="s">
        <v>26228</v>
      </c>
      <c r="C14075" s="2" t="s">
        <v>3725</v>
      </c>
      <c r="D14075" s="2" t="s">
        <v>459</v>
      </c>
      <c r="E14075" s="2"/>
      <c r="F14075" s="2" t="str">
        <f>"9783961104024"</f>
        <v>9783961104024</v>
      </c>
    </row>
    <row r="14076" spans="1:6" s="3" customFormat="1" ht="29.1" customHeight="1" x14ac:dyDescent="0.25">
      <c r="A14076" s="2" t="s">
        <v>28181</v>
      </c>
      <c r="B14076" s="2" t="s">
        <v>28182</v>
      </c>
      <c r="C14076" s="2" t="s">
        <v>3725</v>
      </c>
      <c r="D14076" s="2" t="s">
        <v>1253</v>
      </c>
      <c r="E14076" s="2"/>
      <c r="F14076" s="2" t="str">
        <f>"9783961104031"</f>
        <v>9783961104031</v>
      </c>
    </row>
    <row r="14077" spans="1:6" s="3" customFormat="1" ht="29.1" customHeight="1" x14ac:dyDescent="0.25">
      <c r="A14077" s="2" t="s">
        <v>28183</v>
      </c>
      <c r="B14077" s="2" t="s">
        <v>28184</v>
      </c>
      <c r="C14077" s="2" t="s">
        <v>3725</v>
      </c>
      <c r="D14077" s="2" t="s">
        <v>459</v>
      </c>
      <c r="E14077" s="2"/>
      <c r="F14077" s="2" t="str">
        <f>"9783961104000"</f>
        <v>9783961104000</v>
      </c>
    </row>
    <row r="14078" spans="1:6" s="3" customFormat="1" ht="29.1" customHeight="1" x14ac:dyDescent="0.25">
      <c r="A14078" s="2" t="s">
        <v>28185</v>
      </c>
      <c r="B14078" s="2" t="s">
        <v>28186</v>
      </c>
      <c r="C14078" s="2" t="s">
        <v>3725</v>
      </c>
      <c r="D14078" s="2" t="s">
        <v>459</v>
      </c>
      <c r="E14078" s="2"/>
      <c r="F14078" s="2" t="str">
        <f>"9783961103447"</f>
        <v>9783961103447</v>
      </c>
    </row>
    <row r="14079" spans="1:6" s="3" customFormat="1" ht="29.1" customHeight="1" x14ac:dyDescent="0.25">
      <c r="A14079" s="2" t="s">
        <v>28187</v>
      </c>
      <c r="B14079" s="2" t="s">
        <v>28188</v>
      </c>
      <c r="C14079" s="2" t="s">
        <v>3725</v>
      </c>
      <c r="D14079" s="2" t="s">
        <v>459</v>
      </c>
      <c r="E14079" s="2"/>
      <c r="F14079" s="2" t="str">
        <f>"9783961104048"</f>
        <v>9783961104048</v>
      </c>
    </row>
    <row r="14080" spans="1:6" s="3" customFormat="1" ht="29.1" customHeight="1" x14ac:dyDescent="0.25">
      <c r="A14080" s="2" t="s">
        <v>28189</v>
      </c>
      <c r="B14080" s="2" t="s">
        <v>28190</v>
      </c>
      <c r="C14080" s="2" t="s">
        <v>3725</v>
      </c>
      <c r="D14080" s="2" t="s">
        <v>459</v>
      </c>
      <c r="E14080" s="2"/>
      <c r="F14080" s="2" t="str">
        <f>"9783961103980"</f>
        <v>9783961103980</v>
      </c>
    </row>
    <row r="14081" spans="1:6" s="3" customFormat="1" ht="29.1" customHeight="1" x14ac:dyDescent="0.25">
      <c r="A14081" s="2" t="s">
        <v>28191</v>
      </c>
      <c r="B14081" s="2" t="s">
        <v>28192</v>
      </c>
      <c r="C14081" s="2" t="s">
        <v>3725</v>
      </c>
      <c r="D14081" s="2" t="s">
        <v>459</v>
      </c>
      <c r="E14081" s="2"/>
      <c r="F14081" s="2" t="str">
        <f>"9783961103393"</f>
        <v>9783961103393</v>
      </c>
    </row>
    <row r="14082" spans="1:6" s="3" customFormat="1" ht="29.1" customHeight="1" x14ac:dyDescent="0.25">
      <c r="A14082" s="2" t="s">
        <v>28193</v>
      </c>
      <c r="B14082" s="2" t="s">
        <v>28194</v>
      </c>
      <c r="C14082" s="2" t="s">
        <v>927</v>
      </c>
      <c r="D14082" s="2" t="s">
        <v>2208</v>
      </c>
      <c r="E14082" s="2" t="str">
        <f>"9780472055852"</f>
        <v>9780472055852</v>
      </c>
      <c r="F14082" s="2" t="str">
        <f>"9780472903177"</f>
        <v>9780472903177</v>
      </c>
    </row>
    <row r="14083" spans="1:6" s="3" customFormat="1" ht="29.1" customHeight="1" x14ac:dyDescent="0.25">
      <c r="A14083" s="2" t="s">
        <v>28195</v>
      </c>
      <c r="B14083" s="2" t="s">
        <v>28196</v>
      </c>
      <c r="C14083" s="2" t="s">
        <v>927</v>
      </c>
      <c r="D14083" s="2" t="s">
        <v>210</v>
      </c>
      <c r="E14083" s="2" t="str">
        <f>"9780472133376"</f>
        <v>9780472133376</v>
      </c>
      <c r="F14083" s="2" t="str">
        <f>"9780472903870"</f>
        <v>9780472903870</v>
      </c>
    </row>
    <row r="14084" spans="1:6" s="3" customFormat="1" ht="29.1" customHeight="1" x14ac:dyDescent="0.25">
      <c r="A14084" s="2" t="s">
        <v>28197</v>
      </c>
      <c r="B14084" s="2" t="s">
        <v>28198</v>
      </c>
      <c r="C14084" s="2" t="s">
        <v>36</v>
      </c>
      <c r="D14084" s="2" t="s">
        <v>72</v>
      </c>
      <c r="E14084" s="2" t="str">
        <f>"9781447364511"</f>
        <v>9781447364511</v>
      </c>
      <c r="F14084" s="2" t="str">
        <f>"9781447364535"</f>
        <v>9781447364535</v>
      </c>
    </row>
    <row r="14085" spans="1:6" s="3" customFormat="1" ht="29.1" customHeight="1" x14ac:dyDescent="0.25">
      <c r="A14085" s="2" t="s">
        <v>28199</v>
      </c>
      <c r="B14085" s="2" t="s">
        <v>28200</v>
      </c>
      <c r="C14085" s="2" t="s">
        <v>62</v>
      </c>
      <c r="D14085" s="2" t="s">
        <v>2274</v>
      </c>
      <c r="E14085" s="2" t="str">
        <f>"9783428186969"</f>
        <v>9783428186969</v>
      </c>
      <c r="F14085" s="2" t="str">
        <f>"9783428586967"</f>
        <v>9783428586967</v>
      </c>
    </row>
    <row r="14086" spans="1:6" s="3" customFormat="1" ht="29.1" customHeight="1" x14ac:dyDescent="0.25">
      <c r="A14086" s="2" t="s">
        <v>28201</v>
      </c>
      <c r="B14086" s="2" t="s">
        <v>28203</v>
      </c>
      <c r="C14086" s="2" t="s">
        <v>8059</v>
      </c>
      <c r="D14086" s="2" t="s">
        <v>28202</v>
      </c>
      <c r="E14086" s="2" t="str">
        <f>"9781776424207"</f>
        <v>9781776424207</v>
      </c>
      <c r="F14086" s="2" t="str">
        <f>"9781776419494"</f>
        <v>9781776419494</v>
      </c>
    </row>
    <row r="14087" spans="1:6" s="3" customFormat="1" ht="29.1" customHeight="1" x14ac:dyDescent="0.25">
      <c r="A14087" s="2" t="s">
        <v>28204</v>
      </c>
      <c r="B14087" s="2" t="s">
        <v>28205</v>
      </c>
      <c r="C14087" s="2" t="s">
        <v>124</v>
      </c>
      <c r="D14087" s="2" t="s">
        <v>2307</v>
      </c>
      <c r="E14087" s="2" t="str">
        <f>"9781032196749"</f>
        <v>9781032196749</v>
      </c>
      <c r="F14087" s="2" t="str">
        <f>"9781000835458"</f>
        <v>9781000835458</v>
      </c>
    </row>
    <row r="14088" spans="1:6" s="3" customFormat="1" ht="29.1" customHeight="1" x14ac:dyDescent="0.25">
      <c r="A14088" s="2" t="s">
        <v>28206</v>
      </c>
      <c r="B14088" s="2" t="s">
        <v>28207</v>
      </c>
      <c r="C14088" s="2" t="s">
        <v>124</v>
      </c>
      <c r="D14088" s="2" t="s">
        <v>2702</v>
      </c>
      <c r="E14088" s="2" t="str">
        <f>"9781032307923"</f>
        <v>9781032307923</v>
      </c>
      <c r="F14088" s="2" t="str">
        <f>"9781000842494"</f>
        <v>9781000842494</v>
      </c>
    </row>
    <row r="14089" spans="1:6" s="3" customFormat="1" ht="29.1" customHeight="1" x14ac:dyDescent="0.25">
      <c r="A14089" s="2" t="s">
        <v>28208</v>
      </c>
      <c r="B14089" s="2" t="s">
        <v>28209</v>
      </c>
      <c r="C14089" s="2" t="s">
        <v>950</v>
      </c>
      <c r="D14089" s="2" t="s">
        <v>183</v>
      </c>
      <c r="E14089" s="2"/>
      <c r="F14089" s="2" t="str">
        <f>"9788411223676"</f>
        <v>9788411223676</v>
      </c>
    </row>
    <row r="14090" spans="1:6" s="3" customFormat="1" ht="29.1" customHeight="1" x14ac:dyDescent="0.25">
      <c r="A14090" s="2" t="s">
        <v>28210</v>
      </c>
      <c r="B14090" s="2" t="s">
        <v>28211</v>
      </c>
      <c r="C14090" s="2" t="s">
        <v>950</v>
      </c>
      <c r="D14090" s="2" t="s">
        <v>78</v>
      </c>
      <c r="E14090" s="2"/>
      <c r="F14090" s="2" t="str">
        <f>"9788411228510"</f>
        <v>9788411228510</v>
      </c>
    </row>
    <row r="14091" spans="1:6" s="3" customFormat="1" ht="29.1" customHeight="1" x14ac:dyDescent="0.25">
      <c r="A14091" s="2" t="s">
        <v>28212</v>
      </c>
      <c r="B14091" s="2" t="s">
        <v>28213</v>
      </c>
      <c r="C14091" s="2" t="s">
        <v>950</v>
      </c>
      <c r="D14091" s="2" t="s">
        <v>484</v>
      </c>
      <c r="E14091" s="2"/>
      <c r="F14091" s="2" t="str">
        <f>"9788411228497"</f>
        <v>9788411228497</v>
      </c>
    </row>
    <row r="14092" spans="1:6" s="3" customFormat="1" ht="29.1" customHeight="1" x14ac:dyDescent="0.25">
      <c r="A14092" s="2" t="s">
        <v>28214</v>
      </c>
      <c r="B14092" s="2" t="s">
        <v>28216</v>
      </c>
      <c r="C14092" s="2" t="s">
        <v>950</v>
      </c>
      <c r="D14092" s="2" t="s">
        <v>28215</v>
      </c>
      <c r="E14092" s="2"/>
      <c r="F14092" s="2" t="str">
        <f>"9788411228459"</f>
        <v>9788411228459</v>
      </c>
    </row>
    <row r="14093" spans="1:6" s="3" customFormat="1" ht="29.1" customHeight="1" x14ac:dyDescent="0.25">
      <c r="A14093" s="2" t="s">
        <v>28217</v>
      </c>
      <c r="B14093" s="2" t="s">
        <v>28218</v>
      </c>
      <c r="C14093" s="2" t="s">
        <v>950</v>
      </c>
      <c r="D14093" s="2" t="s">
        <v>951</v>
      </c>
      <c r="E14093" s="2"/>
      <c r="F14093" s="2" t="str">
        <f>"9788411227674"</f>
        <v>9788411227674</v>
      </c>
    </row>
    <row r="14094" spans="1:6" s="3" customFormat="1" ht="29.1" customHeight="1" x14ac:dyDescent="0.25">
      <c r="A14094" s="2" t="s">
        <v>28219</v>
      </c>
      <c r="B14094" s="2" t="s">
        <v>28220</v>
      </c>
      <c r="C14094" s="2" t="s">
        <v>950</v>
      </c>
      <c r="D14094" s="2" t="s">
        <v>836</v>
      </c>
      <c r="E14094" s="2"/>
      <c r="F14094" s="2" t="str">
        <f>"9788411227421"</f>
        <v>9788411227421</v>
      </c>
    </row>
    <row r="14095" spans="1:6" s="3" customFormat="1" ht="29.1" customHeight="1" x14ac:dyDescent="0.25">
      <c r="A14095" s="2" t="s">
        <v>28221</v>
      </c>
      <c r="B14095" s="2" t="s">
        <v>28222</v>
      </c>
      <c r="C14095" s="2" t="s">
        <v>950</v>
      </c>
      <c r="D14095" s="2" t="s">
        <v>998</v>
      </c>
      <c r="E14095" s="2"/>
      <c r="F14095" s="2" t="str">
        <f>"9788411227100"</f>
        <v>9788411227100</v>
      </c>
    </row>
    <row r="14096" spans="1:6" s="3" customFormat="1" ht="29.1" customHeight="1" x14ac:dyDescent="0.25">
      <c r="A14096" s="2" t="s">
        <v>28223</v>
      </c>
      <c r="B14096" s="2" t="s">
        <v>28224</v>
      </c>
      <c r="C14096" s="2" t="s">
        <v>950</v>
      </c>
      <c r="D14096" s="2" t="s">
        <v>3536</v>
      </c>
      <c r="E14096" s="2"/>
      <c r="F14096" s="2" t="str">
        <f>"9788411226981"</f>
        <v>9788411226981</v>
      </c>
    </row>
    <row r="14097" spans="1:6" s="3" customFormat="1" ht="29.1" customHeight="1" x14ac:dyDescent="0.25">
      <c r="A14097" s="2" t="s">
        <v>28225</v>
      </c>
      <c r="B14097" s="2" t="s">
        <v>28226</v>
      </c>
      <c r="C14097" s="2" t="s">
        <v>950</v>
      </c>
      <c r="D14097" s="2" t="s">
        <v>836</v>
      </c>
      <c r="E14097" s="2"/>
      <c r="F14097" s="2" t="str">
        <f>"9788411226844"</f>
        <v>9788411226844</v>
      </c>
    </row>
    <row r="14098" spans="1:6" s="3" customFormat="1" ht="29.1" customHeight="1" x14ac:dyDescent="0.25">
      <c r="A14098" s="2" t="s">
        <v>28227</v>
      </c>
      <c r="B14098" s="2" t="s">
        <v>28228</v>
      </c>
      <c r="C14098" s="2" t="s">
        <v>950</v>
      </c>
      <c r="D14098" s="2" t="s">
        <v>11399</v>
      </c>
      <c r="E14098" s="2"/>
      <c r="F14098" s="2" t="str">
        <f>"9788411226738"</f>
        <v>9788411226738</v>
      </c>
    </row>
    <row r="14099" spans="1:6" s="3" customFormat="1" ht="29.1" customHeight="1" x14ac:dyDescent="0.25">
      <c r="A14099" s="2" t="s">
        <v>28229</v>
      </c>
      <c r="B14099" s="2" t="s">
        <v>28230</v>
      </c>
      <c r="C14099" s="2" t="s">
        <v>950</v>
      </c>
      <c r="D14099" s="2" t="s">
        <v>836</v>
      </c>
      <c r="E14099" s="2"/>
      <c r="F14099" s="2" t="str">
        <f>"9788411226448"</f>
        <v>9788411226448</v>
      </c>
    </row>
    <row r="14100" spans="1:6" s="3" customFormat="1" ht="29.1" customHeight="1" x14ac:dyDescent="0.25">
      <c r="A14100" s="2" t="s">
        <v>28231</v>
      </c>
      <c r="B14100" s="2" t="s">
        <v>28232</v>
      </c>
      <c r="C14100" s="2" t="s">
        <v>950</v>
      </c>
      <c r="D14100" s="2" t="s">
        <v>3958</v>
      </c>
      <c r="E14100" s="2"/>
      <c r="F14100" s="2" t="str">
        <f>"9788411226318"</f>
        <v>9788411226318</v>
      </c>
    </row>
    <row r="14101" spans="1:6" s="3" customFormat="1" ht="29.1" customHeight="1" x14ac:dyDescent="0.25">
      <c r="A14101" s="2" t="s">
        <v>28233</v>
      </c>
      <c r="B14101" s="2" t="s">
        <v>3927</v>
      </c>
      <c r="C14101" s="2" t="s">
        <v>950</v>
      </c>
      <c r="D14101" s="2" t="s">
        <v>5099</v>
      </c>
      <c r="E14101" s="2"/>
      <c r="F14101" s="2" t="str">
        <f>"9788411226233"</f>
        <v>9788411226233</v>
      </c>
    </row>
    <row r="14102" spans="1:6" s="3" customFormat="1" ht="29.1" customHeight="1" x14ac:dyDescent="0.25">
      <c r="A14102" s="2" t="s">
        <v>28234</v>
      </c>
      <c r="B14102" s="2" t="s">
        <v>28235</v>
      </c>
      <c r="C14102" s="2" t="s">
        <v>950</v>
      </c>
      <c r="D14102" s="2" t="s">
        <v>550</v>
      </c>
      <c r="E14102" s="2"/>
      <c r="F14102" s="2" t="str">
        <f>"9788411225779"</f>
        <v>9788411225779</v>
      </c>
    </row>
    <row r="14103" spans="1:6" s="3" customFormat="1" ht="29.1" customHeight="1" x14ac:dyDescent="0.25">
      <c r="A14103" s="2" t="s">
        <v>28236</v>
      </c>
      <c r="B14103" s="2" t="s">
        <v>28237</v>
      </c>
      <c r="C14103" s="2" t="s">
        <v>950</v>
      </c>
      <c r="D14103" s="2" t="s">
        <v>2752</v>
      </c>
      <c r="E14103" s="2"/>
      <c r="F14103" s="2" t="str">
        <f>"9788411224635"</f>
        <v>9788411224635</v>
      </c>
    </row>
    <row r="14104" spans="1:6" s="3" customFormat="1" ht="29.1" customHeight="1" x14ac:dyDescent="0.25">
      <c r="A14104" s="2" t="s">
        <v>28238</v>
      </c>
      <c r="B14104" s="2" t="s">
        <v>28239</v>
      </c>
      <c r="C14104" s="2" t="s">
        <v>950</v>
      </c>
      <c r="D14104" s="2" t="s">
        <v>614</v>
      </c>
      <c r="E14104" s="2"/>
      <c r="F14104" s="2" t="str">
        <f>"9788411224628"</f>
        <v>9788411224628</v>
      </c>
    </row>
    <row r="14105" spans="1:6" s="3" customFormat="1" ht="29.1" customHeight="1" x14ac:dyDescent="0.25">
      <c r="A14105" s="2" t="s">
        <v>28240</v>
      </c>
      <c r="B14105" s="2" t="s">
        <v>28241</v>
      </c>
      <c r="C14105" s="2" t="s">
        <v>950</v>
      </c>
      <c r="D14105" s="2" t="s">
        <v>836</v>
      </c>
      <c r="E14105" s="2"/>
      <c r="F14105" s="2" t="str">
        <f>"9788411224604"</f>
        <v>9788411224604</v>
      </c>
    </row>
    <row r="14106" spans="1:6" s="3" customFormat="1" ht="29.1" customHeight="1" x14ac:dyDescent="0.25">
      <c r="A14106" s="2" t="s">
        <v>28242</v>
      </c>
      <c r="B14106" s="2" t="s">
        <v>28243</v>
      </c>
      <c r="C14106" s="2" t="s">
        <v>950</v>
      </c>
      <c r="D14106" s="2" t="s">
        <v>998</v>
      </c>
      <c r="E14106" s="2"/>
      <c r="F14106" s="2" t="str">
        <f>"9788411224598"</f>
        <v>9788411224598</v>
      </c>
    </row>
    <row r="14107" spans="1:6" s="3" customFormat="1" ht="29.1" customHeight="1" x14ac:dyDescent="0.25">
      <c r="A14107" s="2" t="s">
        <v>28244</v>
      </c>
      <c r="B14107" s="2" t="s">
        <v>28245</v>
      </c>
      <c r="C14107" s="2" t="s">
        <v>950</v>
      </c>
      <c r="D14107" s="2" t="s">
        <v>2752</v>
      </c>
      <c r="E14107" s="2"/>
      <c r="F14107" s="2" t="str">
        <f>"9788411224581"</f>
        <v>9788411224581</v>
      </c>
    </row>
    <row r="14108" spans="1:6" s="3" customFormat="1" ht="29.1" customHeight="1" x14ac:dyDescent="0.25">
      <c r="A14108" s="2" t="s">
        <v>28246</v>
      </c>
      <c r="B14108" s="2" t="s">
        <v>28247</v>
      </c>
      <c r="C14108" s="2" t="s">
        <v>950</v>
      </c>
      <c r="D14108" s="2" t="s">
        <v>1013</v>
      </c>
      <c r="E14108" s="2"/>
      <c r="F14108" s="2" t="str">
        <f>"9788411224574"</f>
        <v>9788411224574</v>
      </c>
    </row>
    <row r="14109" spans="1:6" s="3" customFormat="1" ht="29.1" customHeight="1" x14ac:dyDescent="0.25">
      <c r="A14109" s="2" t="s">
        <v>28248</v>
      </c>
      <c r="B14109" s="2" t="s">
        <v>28249</v>
      </c>
      <c r="C14109" s="2" t="s">
        <v>950</v>
      </c>
      <c r="D14109" s="2" t="s">
        <v>14127</v>
      </c>
      <c r="E14109" s="2"/>
      <c r="F14109" s="2" t="str">
        <f>"9788411224567"</f>
        <v>9788411224567</v>
      </c>
    </row>
    <row r="14110" spans="1:6" s="3" customFormat="1" ht="29.1" customHeight="1" x14ac:dyDescent="0.25">
      <c r="A14110" s="2" t="s">
        <v>28250</v>
      </c>
      <c r="B14110" s="2" t="s">
        <v>28251</v>
      </c>
      <c r="C14110" s="2" t="s">
        <v>950</v>
      </c>
      <c r="D14110" s="2" t="s">
        <v>14127</v>
      </c>
      <c r="E14110" s="2"/>
      <c r="F14110" s="2" t="str">
        <f>"9788411224550"</f>
        <v>9788411224550</v>
      </c>
    </row>
    <row r="14111" spans="1:6" s="3" customFormat="1" ht="29.1" customHeight="1" x14ac:dyDescent="0.25">
      <c r="A14111" s="2" t="s">
        <v>28252</v>
      </c>
      <c r="B14111" s="2" t="s">
        <v>28253</v>
      </c>
      <c r="C14111" s="2" t="s">
        <v>950</v>
      </c>
      <c r="D14111" s="2" t="s">
        <v>192</v>
      </c>
      <c r="E14111" s="2"/>
      <c r="F14111" s="2" t="str">
        <f>"9788411224543"</f>
        <v>9788411224543</v>
      </c>
    </row>
    <row r="14112" spans="1:6" s="3" customFormat="1" ht="29.1" customHeight="1" x14ac:dyDescent="0.25">
      <c r="A14112" s="2" t="s">
        <v>28254</v>
      </c>
      <c r="B14112" s="2" t="s">
        <v>28255</v>
      </c>
      <c r="C14112" s="2" t="s">
        <v>950</v>
      </c>
      <c r="D14112" s="2" t="s">
        <v>183</v>
      </c>
      <c r="E14112" s="2"/>
      <c r="F14112" s="2" t="str">
        <f>"9788411223720"</f>
        <v>9788411223720</v>
      </c>
    </row>
    <row r="14113" spans="1:6" s="3" customFormat="1" ht="29.1" customHeight="1" x14ac:dyDescent="0.25">
      <c r="A14113" s="2" t="s">
        <v>28256</v>
      </c>
      <c r="B14113" s="2" t="s">
        <v>28257</v>
      </c>
      <c r="C14113" s="2" t="s">
        <v>950</v>
      </c>
      <c r="D14113" s="2" t="s">
        <v>868</v>
      </c>
      <c r="E14113" s="2"/>
      <c r="F14113" s="2" t="str">
        <f>"9788411223713"</f>
        <v>9788411223713</v>
      </c>
    </row>
    <row r="14114" spans="1:6" s="3" customFormat="1" ht="29.1" customHeight="1" x14ac:dyDescent="0.25">
      <c r="A14114" s="2" t="s">
        <v>28258</v>
      </c>
      <c r="B14114" s="2" t="s">
        <v>28259</v>
      </c>
      <c r="C14114" s="2" t="s">
        <v>950</v>
      </c>
      <c r="D14114" s="2" t="s">
        <v>490</v>
      </c>
      <c r="E14114" s="2"/>
      <c r="F14114" s="2" t="str">
        <f>"9788411223706"</f>
        <v>9788411223706</v>
      </c>
    </row>
    <row r="14115" spans="1:6" s="3" customFormat="1" ht="29.1" customHeight="1" x14ac:dyDescent="0.25">
      <c r="A14115" s="2" t="s">
        <v>28260</v>
      </c>
      <c r="B14115" s="2" t="s">
        <v>28261</v>
      </c>
      <c r="C14115" s="2" t="s">
        <v>950</v>
      </c>
      <c r="D14115" s="2" t="s">
        <v>413</v>
      </c>
      <c r="E14115" s="2"/>
      <c r="F14115" s="2" t="str">
        <f>"9788411223683"</f>
        <v>9788411223683</v>
      </c>
    </row>
    <row r="14116" spans="1:6" s="3" customFormat="1" ht="29.1" customHeight="1" x14ac:dyDescent="0.25">
      <c r="A14116" s="2" t="s">
        <v>28262</v>
      </c>
      <c r="B14116" s="2" t="s">
        <v>28263</v>
      </c>
      <c r="C14116" s="2" t="s">
        <v>950</v>
      </c>
      <c r="D14116" s="2" t="s">
        <v>6128</v>
      </c>
      <c r="E14116" s="2"/>
      <c r="F14116" s="2" t="str">
        <f>"9788411223669"</f>
        <v>9788411223669</v>
      </c>
    </row>
    <row r="14117" spans="1:6" s="3" customFormat="1" ht="29.1" customHeight="1" x14ac:dyDescent="0.25">
      <c r="A14117" s="2" t="s">
        <v>28264</v>
      </c>
      <c r="B14117" s="2" t="s">
        <v>28265</v>
      </c>
      <c r="C14117" s="2" t="s">
        <v>950</v>
      </c>
      <c r="D14117" s="2" t="s">
        <v>951</v>
      </c>
      <c r="E14117" s="2"/>
      <c r="F14117" s="2" t="str">
        <f>"9788411223591"</f>
        <v>9788411223591</v>
      </c>
    </row>
    <row r="14118" spans="1:6" s="3" customFormat="1" ht="29.1" customHeight="1" x14ac:dyDescent="0.25">
      <c r="A14118" s="2" t="s">
        <v>28266</v>
      </c>
      <c r="B14118" s="2" t="s">
        <v>28267</v>
      </c>
      <c r="C14118" s="2" t="s">
        <v>950</v>
      </c>
      <c r="D14118" s="2" t="s">
        <v>413</v>
      </c>
      <c r="E14118" s="2"/>
      <c r="F14118" s="2" t="str">
        <f>"9788411220835"</f>
        <v>9788411220835</v>
      </c>
    </row>
    <row r="14119" spans="1:6" s="3" customFormat="1" ht="29.1" customHeight="1" x14ac:dyDescent="0.25">
      <c r="A14119" s="2" t="s">
        <v>28268</v>
      </c>
      <c r="B14119" s="2" t="s">
        <v>28269</v>
      </c>
      <c r="C14119" s="2" t="s">
        <v>950</v>
      </c>
      <c r="D14119" s="2" t="s">
        <v>712</v>
      </c>
      <c r="E14119" s="2"/>
      <c r="F14119" s="2" t="str">
        <f>"9788411220828"</f>
        <v>9788411220828</v>
      </c>
    </row>
    <row r="14120" spans="1:6" s="3" customFormat="1" ht="29.1" customHeight="1" x14ac:dyDescent="0.25">
      <c r="A14120" s="2" t="s">
        <v>28270</v>
      </c>
      <c r="B14120" s="2" t="s">
        <v>28271</v>
      </c>
      <c r="C14120" s="2" t="s">
        <v>950</v>
      </c>
      <c r="D14120" s="2" t="s">
        <v>413</v>
      </c>
      <c r="E14120" s="2"/>
      <c r="F14120" s="2" t="str">
        <f>"9788411220811"</f>
        <v>9788411220811</v>
      </c>
    </row>
    <row r="14121" spans="1:6" s="3" customFormat="1" ht="29.1" customHeight="1" x14ac:dyDescent="0.25">
      <c r="A14121" s="2" t="s">
        <v>28272</v>
      </c>
      <c r="B14121" s="2" t="s">
        <v>28273</v>
      </c>
      <c r="C14121" s="2" t="s">
        <v>950</v>
      </c>
      <c r="D14121" s="2" t="s">
        <v>207</v>
      </c>
      <c r="E14121" s="2"/>
      <c r="F14121" s="2" t="str">
        <f>"9788411220804"</f>
        <v>9788411220804</v>
      </c>
    </row>
    <row r="14122" spans="1:6" s="3" customFormat="1" ht="29.1" customHeight="1" x14ac:dyDescent="0.25">
      <c r="A14122" s="2" t="s">
        <v>28274</v>
      </c>
      <c r="B14122" s="2" t="s">
        <v>28275</v>
      </c>
      <c r="C14122" s="2" t="s">
        <v>950</v>
      </c>
      <c r="D14122" s="2" t="s">
        <v>1944</v>
      </c>
      <c r="E14122" s="2"/>
      <c r="F14122" s="2" t="str">
        <f>"9788411220798"</f>
        <v>9788411220798</v>
      </c>
    </row>
    <row r="14123" spans="1:6" s="3" customFormat="1" ht="29.1" customHeight="1" x14ac:dyDescent="0.25">
      <c r="A14123" s="2" t="s">
        <v>28276</v>
      </c>
      <c r="B14123" s="2" t="s">
        <v>28278</v>
      </c>
      <c r="C14123" s="2" t="s">
        <v>950</v>
      </c>
      <c r="D14123" s="2" t="s">
        <v>28277</v>
      </c>
      <c r="E14123" s="2"/>
      <c r="F14123" s="2" t="str">
        <f>"9788411220781"</f>
        <v>9788411220781</v>
      </c>
    </row>
    <row r="14124" spans="1:6" s="3" customFormat="1" ht="29.1" customHeight="1" x14ac:dyDescent="0.25">
      <c r="A14124" s="2" t="s">
        <v>28279</v>
      </c>
      <c r="B14124" s="2" t="s">
        <v>28280</v>
      </c>
      <c r="C14124" s="2" t="s">
        <v>950</v>
      </c>
      <c r="D14124" s="2" t="s">
        <v>2326</v>
      </c>
      <c r="E14124" s="2"/>
      <c r="F14124" s="2" t="str">
        <f>"9788411220774"</f>
        <v>9788411220774</v>
      </c>
    </row>
    <row r="14125" spans="1:6" s="3" customFormat="1" ht="29.1" customHeight="1" x14ac:dyDescent="0.25">
      <c r="A14125" s="2" t="s">
        <v>28281</v>
      </c>
      <c r="B14125" s="2" t="s">
        <v>28282</v>
      </c>
      <c r="C14125" s="2" t="s">
        <v>595</v>
      </c>
      <c r="D14125" s="2" t="s">
        <v>2713</v>
      </c>
      <c r="E14125" s="2" t="str">
        <f>"9783631879054"</f>
        <v>9783631879054</v>
      </c>
      <c r="F14125" s="2" t="str">
        <f>"9783631879061"</f>
        <v>9783631879061</v>
      </c>
    </row>
    <row r="14126" spans="1:6" s="3" customFormat="1" ht="29.1" customHeight="1" x14ac:dyDescent="0.25">
      <c r="A14126" s="2" t="s">
        <v>28283</v>
      </c>
      <c r="B14126" s="2" t="s">
        <v>1110</v>
      </c>
      <c r="C14126" s="2" t="s">
        <v>556</v>
      </c>
      <c r="D14126" s="2" t="s">
        <v>2361</v>
      </c>
      <c r="E14126" s="2" t="str">
        <f>"9783837666939"</f>
        <v>9783837666939</v>
      </c>
      <c r="F14126" s="2" t="str">
        <f>"9783839466933"</f>
        <v>9783839466933</v>
      </c>
    </row>
    <row r="14127" spans="1:6" s="3" customFormat="1" ht="29.1" customHeight="1" x14ac:dyDescent="0.25">
      <c r="A14127" s="2" t="s">
        <v>28284</v>
      </c>
      <c r="B14127" s="2" t="s">
        <v>28285</v>
      </c>
      <c r="C14127" s="2" t="s">
        <v>556</v>
      </c>
      <c r="D14127" s="2" t="s">
        <v>175</v>
      </c>
      <c r="E14127" s="2" t="str">
        <f>"9783837666342"</f>
        <v>9783837666342</v>
      </c>
      <c r="F14127" s="2" t="str">
        <f>"9783839466346"</f>
        <v>9783839466346</v>
      </c>
    </row>
    <row r="14128" spans="1:6" s="3" customFormat="1" ht="29.1" customHeight="1" x14ac:dyDescent="0.25">
      <c r="A14128" s="2" t="s">
        <v>28286</v>
      </c>
      <c r="B14128" s="2" t="s">
        <v>28287</v>
      </c>
      <c r="C14128" s="2" t="s">
        <v>556</v>
      </c>
      <c r="D14128" s="2" t="s">
        <v>324</v>
      </c>
      <c r="E14128" s="2" t="str">
        <f>"9783837665987"</f>
        <v>9783837665987</v>
      </c>
      <c r="F14128" s="2" t="str">
        <f>"9783839465981"</f>
        <v>9783839465981</v>
      </c>
    </row>
    <row r="14129" spans="1:6" s="3" customFormat="1" ht="29.1" customHeight="1" x14ac:dyDescent="0.25">
      <c r="A14129" s="2" t="s">
        <v>28288</v>
      </c>
      <c r="B14129" s="2" t="s">
        <v>28289</v>
      </c>
      <c r="C14129" s="2" t="s">
        <v>556</v>
      </c>
      <c r="D14129" s="2" t="s">
        <v>6128</v>
      </c>
      <c r="E14129" s="2" t="str">
        <f>"9783837665901"</f>
        <v>9783837665901</v>
      </c>
      <c r="F14129" s="2" t="str">
        <f>"9783839465905"</f>
        <v>9783839465905</v>
      </c>
    </row>
    <row r="14130" spans="1:6" s="3" customFormat="1" ht="29.1" customHeight="1" x14ac:dyDescent="0.25">
      <c r="A14130" s="2" t="s">
        <v>28290</v>
      </c>
      <c r="B14130" s="2" t="s">
        <v>28291</v>
      </c>
      <c r="C14130" s="2" t="s">
        <v>556</v>
      </c>
      <c r="D14130" s="2" t="s">
        <v>2142</v>
      </c>
      <c r="E14130" s="2" t="str">
        <f>"9783837665741"</f>
        <v>9783837665741</v>
      </c>
      <c r="F14130" s="2" t="str">
        <f>"9783839465745"</f>
        <v>9783839465745</v>
      </c>
    </row>
    <row r="14131" spans="1:6" s="3" customFormat="1" ht="29.1" customHeight="1" x14ac:dyDescent="0.25">
      <c r="A14131" s="2" t="s">
        <v>28292</v>
      </c>
      <c r="B14131" s="2" t="s">
        <v>28293</v>
      </c>
      <c r="C14131" s="2" t="s">
        <v>556</v>
      </c>
      <c r="D14131" s="2" t="s">
        <v>26460</v>
      </c>
      <c r="E14131" s="2" t="str">
        <f>"9783837665727"</f>
        <v>9783837665727</v>
      </c>
      <c r="F14131" s="2" t="str">
        <f>"9783839465721"</f>
        <v>9783839465721</v>
      </c>
    </row>
    <row r="14132" spans="1:6" s="3" customFormat="1" ht="29.1" customHeight="1" x14ac:dyDescent="0.25">
      <c r="A14132" s="2" t="s">
        <v>28294</v>
      </c>
      <c r="B14132" s="2" t="s">
        <v>28295</v>
      </c>
      <c r="C14132" s="2" t="s">
        <v>556</v>
      </c>
      <c r="D14132" s="2" t="s">
        <v>324</v>
      </c>
      <c r="E14132" s="2" t="str">
        <f>"9783837665628"</f>
        <v>9783837665628</v>
      </c>
      <c r="F14132" s="2" t="str">
        <f>"9783839465622"</f>
        <v>9783839465622</v>
      </c>
    </row>
    <row r="14133" spans="1:6" s="3" customFormat="1" ht="29.1" customHeight="1" x14ac:dyDescent="0.25">
      <c r="A14133" s="2" t="s">
        <v>28296</v>
      </c>
      <c r="B14133" s="2" t="s">
        <v>28297</v>
      </c>
      <c r="C14133" s="2" t="s">
        <v>556</v>
      </c>
      <c r="D14133" s="2" t="s">
        <v>841</v>
      </c>
      <c r="E14133" s="2" t="str">
        <f>"9783837665604"</f>
        <v>9783837665604</v>
      </c>
      <c r="F14133" s="2" t="str">
        <f>"9783839465608"</f>
        <v>9783839465608</v>
      </c>
    </row>
    <row r="14134" spans="1:6" s="3" customFormat="1" ht="29.1" customHeight="1" x14ac:dyDescent="0.25">
      <c r="A14134" s="2" t="s">
        <v>28298</v>
      </c>
      <c r="B14134" s="2" t="s">
        <v>12014</v>
      </c>
      <c r="C14134" s="2" t="s">
        <v>556</v>
      </c>
      <c r="D14134" s="2" t="s">
        <v>1189</v>
      </c>
      <c r="E14134" s="2" t="str">
        <f>"9783837665598"</f>
        <v>9783837665598</v>
      </c>
      <c r="F14134" s="2" t="str">
        <f>"9783839465592"</f>
        <v>9783839465592</v>
      </c>
    </row>
    <row r="14135" spans="1:6" s="3" customFormat="1" ht="29.1" customHeight="1" x14ac:dyDescent="0.25">
      <c r="A14135" s="2" t="s">
        <v>28299</v>
      </c>
      <c r="B14135" s="2" t="s">
        <v>28300</v>
      </c>
      <c r="C14135" s="2" t="s">
        <v>556</v>
      </c>
      <c r="D14135" s="2" t="s">
        <v>202</v>
      </c>
      <c r="E14135" s="2" t="str">
        <f>"9783837665406"</f>
        <v>9783837665406</v>
      </c>
      <c r="F14135" s="2" t="str">
        <f>"9783732865406"</f>
        <v>9783732865406</v>
      </c>
    </row>
    <row r="14136" spans="1:6" s="3" customFormat="1" ht="29.1" customHeight="1" x14ac:dyDescent="0.25">
      <c r="A14136" s="2" t="s">
        <v>28301</v>
      </c>
      <c r="B14136" s="2" t="s">
        <v>28302</v>
      </c>
      <c r="C14136" s="2" t="s">
        <v>556</v>
      </c>
      <c r="D14136" s="2" t="s">
        <v>712</v>
      </c>
      <c r="E14136" s="2" t="str">
        <f>"9783837664966"</f>
        <v>9783837664966</v>
      </c>
      <c r="F14136" s="2" t="str">
        <f>"9783732864966"</f>
        <v>9783732864966</v>
      </c>
    </row>
    <row r="14137" spans="1:6" s="3" customFormat="1" ht="29.1" customHeight="1" x14ac:dyDescent="0.25">
      <c r="A14137" s="2" t="s">
        <v>28303</v>
      </c>
      <c r="B14137" s="2" t="s">
        <v>28304</v>
      </c>
      <c r="C14137" s="2" t="s">
        <v>556</v>
      </c>
      <c r="D14137" s="2" t="s">
        <v>4789</v>
      </c>
      <c r="E14137" s="2" t="str">
        <f>"9783837664669"</f>
        <v>9783837664669</v>
      </c>
      <c r="F14137" s="2" t="str">
        <f>"9783839464663"</f>
        <v>9783839464663</v>
      </c>
    </row>
    <row r="14138" spans="1:6" s="3" customFormat="1" ht="29.1" customHeight="1" x14ac:dyDescent="0.25">
      <c r="A14138" s="2" t="s">
        <v>28305</v>
      </c>
      <c r="B14138" s="2" t="s">
        <v>28306</v>
      </c>
      <c r="C14138" s="2" t="s">
        <v>556</v>
      </c>
      <c r="D14138" s="2" t="s">
        <v>12298</v>
      </c>
      <c r="E14138" s="2" t="str">
        <f>"9783837664553"</f>
        <v>9783837664553</v>
      </c>
      <c r="F14138" s="2" t="str">
        <f>"9783839464557"</f>
        <v>9783839464557</v>
      </c>
    </row>
    <row r="14139" spans="1:6" s="3" customFormat="1" ht="29.1" customHeight="1" x14ac:dyDescent="0.25">
      <c r="A14139" s="2" t="s">
        <v>28307</v>
      </c>
      <c r="B14139" s="2" t="s">
        <v>26091</v>
      </c>
      <c r="C14139" s="2" t="s">
        <v>556</v>
      </c>
      <c r="D14139" s="2" t="s">
        <v>1162</v>
      </c>
      <c r="E14139" s="2" t="str">
        <f>"9783837664409"</f>
        <v>9783837664409</v>
      </c>
      <c r="F14139" s="2" t="str">
        <f>"9783839464403"</f>
        <v>9783839464403</v>
      </c>
    </row>
    <row r="14140" spans="1:6" s="3" customFormat="1" ht="29.1" customHeight="1" x14ac:dyDescent="0.25">
      <c r="A14140" s="2" t="s">
        <v>28308</v>
      </c>
      <c r="B14140" s="2" t="s">
        <v>28309</v>
      </c>
      <c r="C14140" s="2" t="s">
        <v>556</v>
      </c>
      <c r="D14140" s="2" t="s">
        <v>1162</v>
      </c>
      <c r="E14140" s="2" t="str">
        <f>"9783837664379"</f>
        <v>9783837664379</v>
      </c>
      <c r="F14140" s="2" t="str">
        <f>"9783732864379"</f>
        <v>9783732864379</v>
      </c>
    </row>
    <row r="14141" spans="1:6" s="3" customFormat="1" ht="29.1" customHeight="1" x14ac:dyDescent="0.25">
      <c r="A14141" s="2" t="s">
        <v>28310</v>
      </c>
      <c r="B14141" s="2" t="s">
        <v>28311</v>
      </c>
      <c r="C14141" s="2" t="s">
        <v>556</v>
      </c>
      <c r="D14141" s="2" t="s">
        <v>7608</v>
      </c>
      <c r="E14141" s="2" t="str">
        <f>"9783837662948"</f>
        <v>9783837662948</v>
      </c>
      <c r="F14141" s="2" t="str">
        <f>"9783839462942"</f>
        <v>9783839462942</v>
      </c>
    </row>
    <row r="14142" spans="1:6" s="3" customFormat="1" ht="29.1" customHeight="1" x14ac:dyDescent="0.25">
      <c r="A14142" s="2" t="s">
        <v>28312</v>
      </c>
      <c r="B14142" s="2" t="s">
        <v>28313</v>
      </c>
      <c r="C14142" s="2" t="s">
        <v>556</v>
      </c>
      <c r="D14142" s="2" t="s">
        <v>162</v>
      </c>
      <c r="E14142" s="2" t="str">
        <f>"9783837662719"</f>
        <v>9783837662719</v>
      </c>
      <c r="F14142" s="2" t="str">
        <f>"9783839462713"</f>
        <v>9783839462713</v>
      </c>
    </row>
    <row r="14143" spans="1:6" s="3" customFormat="1" ht="29.1" customHeight="1" x14ac:dyDescent="0.25">
      <c r="A14143" s="2" t="s">
        <v>28314</v>
      </c>
      <c r="B14143" s="2" t="s">
        <v>28315</v>
      </c>
      <c r="C14143" s="2" t="s">
        <v>556</v>
      </c>
      <c r="D14143" s="2" t="s">
        <v>1043</v>
      </c>
      <c r="E14143" s="2" t="str">
        <f>"9783837659115"</f>
        <v>9783837659115</v>
      </c>
      <c r="F14143" s="2" t="str">
        <f>"9783839459119"</f>
        <v>9783839459119</v>
      </c>
    </row>
    <row r="14144" spans="1:6" s="3" customFormat="1" ht="29.1" customHeight="1" x14ac:dyDescent="0.25">
      <c r="A14144" s="2" t="s">
        <v>28316</v>
      </c>
      <c r="B14144" s="2" t="s">
        <v>28317</v>
      </c>
      <c r="C14144" s="2" t="s">
        <v>248</v>
      </c>
      <c r="D14144" s="2" t="s">
        <v>9</v>
      </c>
      <c r="E14144" s="2" t="str">
        <f>"9783847425960"</f>
        <v>9783847425960</v>
      </c>
      <c r="F14144" s="2" t="str">
        <f>"9783847417590"</f>
        <v>9783847417590</v>
      </c>
    </row>
    <row r="14145" spans="1:6" s="3" customFormat="1" ht="29.1" customHeight="1" x14ac:dyDescent="0.25">
      <c r="A14145" s="2" t="s">
        <v>28318</v>
      </c>
      <c r="B14145" s="2" t="s">
        <v>28143</v>
      </c>
      <c r="C14145" s="2" t="s">
        <v>248</v>
      </c>
      <c r="D14145" s="2" t="s">
        <v>2045</v>
      </c>
      <c r="E14145" s="2" t="str">
        <f>"9783847426622"</f>
        <v>9783847426622</v>
      </c>
      <c r="F14145" s="2" t="str">
        <f>"9783847418245"</f>
        <v>9783847418245</v>
      </c>
    </row>
    <row r="14146" spans="1:6" s="3" customFormat="1" ht="29.1" customHeight="1" x14ac:dyDescent="0.25">
      <c r="A14146" s="2" t="s">
        <v>28319</v>
      </c>
      <c r="B14146" s="2" t="s">
        <v>28320</v>
      </c>
      <c r="C14146" s="2" t="s">
        <v>248</v>
      </c>
      <c r="D14146" s="2" t="s">
        <v>37</v>
      </c>
      <c r="E14146" s="2" t="str">
        <f>"9783847426141"</f>
        <v>9783847426141</v>
      </c>
      <c r="F14146" s="2" t="str">
        <f>"9783847417736"</f>
        <v>9783847417736</v>
      </c>
    </row>
    <row r="14147" spans="1:6" s="3" customFormat="1" ht="29.1" customHeight="1" x14ac:dyDescent="0.25">
      <c r="A14147" s="2" t="s">
        <v>28321</v>
      </c>
      <c r="B14147" s="2" t="s">
        <v>28322</v>
      </c>
      <c r="C14147" s="2" t="s">
        <v>248</v>
      </c>
      <c r="D14147" s="2" t="s">
        <v>249</v>
      </c>
      <c r="E14147" s="2" t="str">
        <f>"9783966650700"</f>
        <v>9783966650700</v>
      </c>
      <c r="F14147" s="2" t="str">
        <f>"9783966659253"</f>
        <v>9783966659253</v>
      </c>
    </row>
    <row r="14148" spans="1:6" s="3" customFormat="1" ht="29.1" customHeight="1" x14ac:dyDescent="0.25">
      <c r="A14148" s="2">
        <v>-2019</v>
      </c>
      <c r="B14148" s="2" t="s">
        <v>28323</v>
      </c>
      <c r="C14148" s="2" t="s">
        <v>195</v>
      </c>
      <c r="D14148" s="2" t="s">
        <v>98</v>
      </c>
      <c r="E14148" s="2"/>
      <c r="F14148" s="2" t="str">
        <f>"9783110605402"</f>
        <v>9783110605402</v>
      </c>
    </row>
    <row r="14149" spans="1:6" s="3" customFormat="1" ht="29.1" customHeight="1" x14ac:dyDescent="0.25">
      <c r="A14149" s="2" t="s">
        <v>28324</v>
      </c>
      <c r="B14149" s="2" t="s">
        <v>28325</v>
      </c>
      <c r="C14149" s="2" t="s">
        <v>195</v>
      </c>
      <c r="D14149" s="2" t="s">
        <v>1867</v>
      </c>
      <c r="E14149" s="2" t="str">
        <f>"9781946850102"</f>
        <v>9781946850102</v>
      </c>
      <c r="F14149" s="2" t="str">
        <f>"9781501517044"</f>
        <v>9781501517044</v>
      </c>
    </row>
    <row r="14150" spans="1:6" s="3" customFormat="1" ht="29.1" customHeight="1" x14ac:dyDescent="0.25">
      <c r="A14150" s="2" t="s">
        <v>28326</v>
      </c>
      <c r="B14150" s="2" t="s">
        <v>28327</v>
      </c>
      <c r="C14150" s="2" t="s">
        <v>195</v>
      </c>
      <c r="D14150" s="2" t="s">
        <v>202</v>
      </c>
      <c r="E14150" s="2" t="str">
        <f>"9783110668230"</f>
        <v>9783110668230</v>
      </c>
      <c r="F14150" s="2" t="str">
        <f>"9783110608151"</f>
        <v>9783110608151</v>
      </c>
    </row>
    <row r="14151" spans="1:6" s="3" customFormat="1" ht="29.1" customHeight="1" x14ac:dyDescent="0.25">
      <c r="A14151" s="2" t="s">
        <v>28328</v>
      </c>
      <c r="B14151" s="2" t="s">
        <v>28329</v>
      </c>
      <c r="C14151" s="2" t="s">
        <v>195</v>
      </c>
      <c r="D14151" s="2" t="s">
        <v>33</v>
      </c>
      <c r="E14151" s="2" t="str">
        <f>"9783110786354"</f>
        <v>9783110786354</v>
      </c>
      <c r="F14151" s="2" t="str">
        <f>"9783110786422"</f>
        <v>9783110786422</v>
      </c>
    </row>
    <row r="14152" spans="1:6" s="3" customFormat="1" ht="29.1" customHeight="1" x14ac:dyDescent="0.25">
      <c r="A14152" s="2" t="s">
        <v>28330</v>
      </c>
      <c r="B14152" s="2" t="s">
        <v>28331</v>
      </c>
      <c r="C14152" s="2" t="s">
        <v>195</v>
      </c>
      <c r="D14152" s="2" t="s">
        <v>6548</v>
      </c>
      <c r="E14152" s="2" t="str">
        <f>"9783110688870"</f>
        <v>9783110688870</v>
      </c>
      <c r="F14152" s="2" t="str">
        <f>"9783110688924"</f>
        <v>9783110688924</v>
      </c>
    </row>
    <row r="14153" spans="1:6" s="3" customFormat="1" ht="29.1" customHeight="1" x14ac:dyDescent="0.25">
      <c r="A14153" s="2" t="s">
        <v>28332</v>
      </c>
      <c r="B14153" s="2" t="s">
        <v>28333</v>
      </c>
      <c r="C14153" s="2" t="s">
        <v>195</v>
      </c>
      <c r="D14153" s="2" t="s">
        <v>150</v>
      </c>
      <c r="E14153" s="2" t="str">
        <f>"9783110674057"</f>
        <v>9783110674057</v>
      </c>
      <c r="F14153" s="2" t="str">
        <f>"9783110674064"</f>
        <v>9783110674064</v>
      </c>
    </row>
    <row r="14154" spans="1:6" s="3" customFormat="1" ht="29.1" customHeight="1" x14ac:dyDescent="0.25">
      <c r="A14154" s="2" t="s">
        <v>28334</v>
      </c>
      <c r="B14154" s="2" t="s">
        <v>28335</v>
      </c>
      <c r="C14154" s="2" t="s">
        <v>8104</v>
      </c>
      <c r="D14154" s="2" t="s">
        <v>78</v>
      </c>
      <c r="E14154" s="2" t="str">
        <f>"9781805390169"</f>
        <v>9781805390169</v>
      </c>
      <c r="F14154" s="2" t="str">
        <f>"9781805390176"</f>
        <v>9781805390176</v>
      </c>
    </row>
    <row r="14155" spans="1:6" s="3" customFormat="1" ht="29.1" customHeight="1" x14ac:dyDescent="0.25">
      <c r="A14155" s="2" t="s">
        <v>28336</v>
      </c>
      <c r="B14155" s="2" t="s">
        <v>28337</v>
      </c>
      <c r="C14155" s="2" t="s">
        <v>8104</v>
      </c>
      <c r="D14155" s="2" t="s">
        <v>636</v>
      </c>
      <c r="E14155" s="2" t="str">
        <f>"9781805390367"</f>
        <v>9781805390367</v>
      </c>
      <c r="F14155" s="2" t="str">
        <f>"9781805390374"</f>
        <v>9781805390374</v>
      </c>
    </row>
    <row r="14156" spans="1:6" s="3" customFormat="1" ht="29.1" customHeight="1" x14ac:dyDescent="0.25">
      <c r="A14156" s="2" t="s">
        <v>28338</v>
      </c>
      <c r="B14156" s="2" t="s">
        <v>28339</v>
      </c>
      <c r="C14156" s="2" t="s">
        <v>746</v>
      </c>
      <c r="D14156" s="2" t="s">
        <v>606</v>
      </c>
      <c r="E14156" s="2" t="str">
        <f>"9781803272115"</f>
        <v>9781803272115</v>
      </c>
      <c r="F14156" s="2" t="str">
        <f>"9781803272122"</f>
        <v>9781803272122</v>
      </c>
    </row>
    <row r="14157" spans="1:6" s="3" customFormat="1" ht="29.1" customHeight="1" x14ac:dyDescent="0.25">
      <c r="A14157" s="2" t="s">
        <v>28340</v>
      </c>
      <c r="B14157" s="2" t="s">
        <v>28341</v>
      </c>
      <c r="C14157" s="2" t="s">
        <v>746</v>
      </c>
      <c r="D14157" s="2" t="s">
        <v>606</v>
      </c>
      <c r="E14157" s="2" t="str">
        <f>"9781803274140"</f>
        <v>9781803274140</v>
      </c>
      <c r="F14157" s="2" t="str">
        <f>"9781803274157"</f>
        <v>9781803274157</v>
      </c>
    </row>
    <row r="14158" spans="1:6" s="3" customFormat="1" ht="29.1" customHeight="1" x14ac:dyDescent="0.25">
      <c r="A14158" s="2" t="s">
        <v>28342</v>
      </c>
      <c r="B14158" s="2" t="s">
        <v>28343</v>
      </c>
      <c r="C14158" s="2" t="s">
        <v>124</v>
      </c>
      <c r="D14158" s="2" t="s">
        <v>75</v>
      </c>
      <c r="E14158" s="2" t="str">
        <f>"9781032318660"</f>
        <v>9781032318660</v>
      </c>
      <c r="F14158" s="2" t="str">
        <f>"9781000822571"</f>
        <v>9781000822571</v>
      </c>
    </row>
    <row r="14159" spans="1:6" s="3" customFormat="1" ht="29.1" customHeight="1" x14ac:dyDescent="0.25">
      <c r="A14159" s="2" t="s">
        <v>28344</v>
      </c>
      <c r="B14159" s="2" t="s">
        <v>28345</v>
      </c>
      <c r="C14159" s="2" t="s">
        <v>124</v>
      </c>
      <c r="D14159" s="2" t="s">
        <v>210</v>
      </c>
      <c r="E14159" s="2" t="str">
        <f>"9781032330556"</f>
        <v>9781032330556</v>
      </c>
      <c r="F14159" s="2" t="str">
        <f>"9781000846652"</f>
        <v>9781000846652</v>
      </c>
    </row>
    <row r="14160" spans="1:6" s="3" customFormat="1" ht="29.1" customHeight="1" x14ac:dyDescent="0.25">
      <c r="A14160" s="2" t="s">
        <v>28346</v>
      </c>
      <c r="B14160" s="2" t="s">
        <v>28347</v>
      </c>
      <c r="C14160" s="2" t="s">
        <v>29</v>
      </c>
      <c r="D14160" s="2" t="s">
        <v>509</v>
      </c>
      <c r="E14160" s="2" t="str">
        <f>"9789004384170"</f>
        <v>9789004384170</v>
      </c>
      <c r="F14160" s="2" t="str">
        <f>"9789004526372"</f>
        <v>9789004526372</v>
      </c>
    </row>
    <row r="14161" spans="1:6" s="3" customFormat="1" ht="29.1" customHeight="1" x14ac:dyDescent="0.25">
      <c r="A14161" s="2" t="s">
        <v>28348</v>
      </c>
      <c r="B14161" s="2" t="s">
        <v>28349</v>
      </c>
      <c r="C14161" s="2" t="s">
        <v>124</v>
      </c>
      <c r="D14161" s="2" t="s">
        <v>459</v>
      </c>
      <c r="E14161" s="2" t="str">
        <f>"9780367560119"</f>
        <v>9780367560119</v>
      </c>
      <c r="F14161" s="2" t="str">
        <f>"9781000815504"</f>
        <v>9781000815504</v>
      </c>
    </row>
    <row r="14162" spans="1:6" s="3" customFormat="1" ht="29.1" customHeight="1" x14ac:dyDescent="0.25">
      <c r="A14162" s="2" t="s">
        <v>28350</v>
      </c>
      <c r="B14162" s="2" t="s">
        <v>28351</v>
      </c>
      <c r="C14162" s="2" t="s">
        <v>264</v>
      </c>
      <c r="D14162" s="2" t="s">
        <v>1059</v>
      </c>
      <c r="E14162" s="2" t="str">
        <f>"9781032266909"</f>
        <v>9781032266909</v>
      </c>
      <c r="F14162" s="2" t="str">
        <f>"9781000844146"</f>
        <v>9781000844146</v>
      </c>
    </row>
    <row r="14163" spans="1:6" s="3" customFormat="1" ht="29.1" customHeight="1" x14ac:dyDescent="0.25">
      <c r="A14163" s="2" t="s">
        <v>28352</v>
      </c>
      <c r="B14163" s="2" t="s">
        <v>28353</v>
      </c>
      <c r="C14163" s="2" t="s">
        <v>595</v>
      </c>
      <c r="D14163" s="2" t="s">
        <v>2648</v>
      </c>
      <c r="E14163" s="2" t="str">
        <f>"9783631877418"</f>
        <v>9783631877418</v>
      </c>
      <c r="F14163" s="2" t="str">
        <f>"9783631893043"</f>
        <v>9783631893043</v>
      </c>
    </row>
    <row r="14164" spans="1:6" s="3" customFormat="1" ht="29.1" customHeight="1" x14ac:dyDescent="0.25">
      <c r="A14164" s="2" t="s">
        <v>28354</v>
      </c>
      <c r="B14164" s="2" t="s">
        <v>7834</v>
      </c>
      <c r="C14164" s="2" t="s">
        <v>195</v>
      </c>
      <c r="D14164" s="2" t="s">
        <v>297</v>
      </c>
      <c r="E14164" s="2"/>
      <c r="F14164" s="2" t="str">
        <f>"9788367405072"</f>
        <v>9788367405072</v>
      </c>
    </row>
    <row r="14165" spans="1:6" s="3" customFormat="1" ht="29.1" customHeight="1" x14ac:dyDescent="0.25">
      <c r="A14165" s="2" t="s">
        <v>28355</v>
      </c>
      <c r="B14165" s="2" t="s">
        <v>28356</v>
      </c>
      <c r="C14165" s="2" t="s">
        <v>927</v>
      </c>
      <c r="D14165" s="2" t="s">
        <v>270</v>
      </c>
      <c r="E14165" s="2" t="str">
        <f>"9780472055579"</f>
        <v>9780472055579</v>
      </c>
      <c r="F14165" s="2" t="str">
        <f>"9780472902941"</f>
        <v>9780472902941</v>
      </c>
    </row>
    <row r="14166" spans="1:6" s="3" customFormat="1" ht="29.1" customHeight="1" x14ac:dyDescent="0.25">
      <c r="A14166" s="2" t="s">
        <v>28357</v>
      </c>
      <c r="B14166" s="2" t="s">
        <v>28358</v>
      </c>
      <c r="C14166" s="2" t="s">
        <v>124</v>
      </c>
      <c r="D14166" s="2" t="s">
        <v>2086</v>
      </c>
      <c r="E14166" s="2" t="str">
        <f>"9781032352282"</f>
        <v>9781032352282</v>
      </c>
      <c r="F14166" s="2" t="str">
        <f>"9781000844603"</f>
        <v>9781000844603</v>
      </c>
    </row>
    <row r="14167" spans="1:6" s="3" customFormat="1" ht="29.1" customHeight="1" x14ac:dyDescent="0.25">
      <c r="A14167" s="2" t="s">
        <v>28359</v>
      </c>
      <c r="B14167" s="2" t="s">
        <v>28361</v>
      </c>
      <c r="C14167" s="2" t="s">
        <v>124</v>
      </c>
      <c r="D14167" s="2" t="s">
        <v>28360</v>
      </c>
      <c r="E14167" s="2" t="str">
        <f>"9781032151793"</f>
        <v>9781032151793</v>
      </c>
      <c r="F14167" s="2" t="str">
        <f>"9781000840728"</f>
        <v>9781000840728</v>
      </c>
    </row>
    <row r="14168" spans="1:6" s="3" customFormat="1" ht="29.1" customHeight="1" x14ac:dyDescent="0.25">
      <c r="A14168" s="2" t="s">
        <v>28362</v>
      </c>
      <c r="B14168" s="2" t="s">
        <v>28363</v>
      </c>
      <c r="C14168" s="2" t="s">
        <v>124</v>
      </c>
      <c r="D14168" s="2" t="s">
        <v>2002</v>
      </c>
      <c r="E14168" s="2" t="str">
        <f>"9781032314686"</f>
        <v>9781032314686</v>
      </c>
      <c r="F14168" s="2" t="str">
        <f>"9781000827910"</f>
        <v>9781000827910</v>
      </c>
    </row>
    <row r="14169" spans="1:6" s="3" customFormat="1" ht="29.1" customHeight="1" x14ac:dyDescent="0.25">
      <c r="A14169" s="2" t="s">
        <v>28364</v>
      </c>
      <c r="B14169" s="2" t="s">
        <v>28365</v>
      </c>
      <c r="C14169" s="2" t="s">
        <v>195</v>
      </c>
      <c r="D14169" s="2" t="s">
        <v>441</v>
      </c>
      <c r="E14169" s="2" t="str">
        <f>"9783110696417"</f>
        <v>9783110696417</v>
      </c>
      <c r="F14169" s="2" t="str">
        <f>"9783110696431"</f>
        <v>9783110696431</v>
      </c>
    </row>
    <row r="14170" spans="1:6" s="3" customFormat="1" ht="29.1" customHeight="1" x14ac:dyDescent="0.25">
      <c r="A14170" s="2" t="s">
        <v>28366</v>
      </c>
      <c r="B14170" s="2" t="s">
        <v>28367</v>
      </c>
      <c r="C14170" s="2" t="s">
        <v>8059</v>
      </c>
      <c r="D14170" s="2" t="s">
        <v>17875</v>
      </c>
      <c r="E14170" s="2" t="str">
        <f>"9781776419418"</f>
        <v>9781776419418</v>
      </c>
      <c r="F14170" s="2" t="str">
        <f>"9781776419425"</f>
        <v>9781776419425</v>
      </c>
    </row>
    <row r="14171" spans="1:6" s="3" customFormat="1" ht="29.1" customHeight="1" x14ac:dyDescent="0.25">
      <c r="A14171" s="2" t="s">
        <v>28368</v>
      </c>
      <c r="B14171" s="2" t="s">
        <v>28369</v>
      </c>
      <c r="C14171" s="2" t="s">
        <v>927</v>
      </c>
      <c r="D14171" s="2" t="s">
        <v>270</v>
      </c>
      <c r="E14171" s="2" t="str">
        <f>"9780472055630"</f>
        <v>9780472055630</v>
      </c>
      <c r="F14171" s="2" t="str">
        <f>"9780472903306"</f>
        <v>9780472903306</v>
      </c>
    </row>
    <row r="14172" spans="1:6" s="3" customFormat="1" ht="29.1" customHeight="1" x14ac:dyDescent="0.25">
      <c r="A14172" s="2" t="s">
        <v>28370</v>
      </c>
      <c r="B14172" s="2" t="s">
        <v>28371</v>
      </c>
      <c r="C14172" s="2" t="s">
        <v>124</v>
      </c>
      <c r="D14172" s="2" t="s">
        <v>7199</v>
      </c>
      <c r="E14172" s="2" t="str">
        <f>"9781032139746"</f>
        <v>9781032139746</v>
      </c>
      <c r="F14172" s="2" t="str">
        <f>"9781000846560"</f>
        <v>9781000846560</v>
      </c>
    </row>
    <row r="14173" spans="1:6" s="3" customFormat="1" ht="29.1" customHeight="1" x14ac:dyDescent="0.25">
      <c r="A14173" s="2" t="s">
        <v>28372</v>
      </c>
      <c r="B14173" s="2" t="s">
        <v>28373</v>
      </c>
      <c r="C14173" s="2" t="s">
        <v>124</v>
      </c>
      <c r="D14173" s="2" t="s">
        <v>818</v>
      </c>
      <c r="E14173" s="2" t="str">
        <f>"9781032019154"</f>
        <v>9781032019154</v>
      </c>
      <c r="F14173" s="2" t="str">
        <f>"9781000816341"</f>
        <v>9781000816341</v>
      </c>
    </row>
    <row r="14174" spans="1:6" s="3" customFormat="1" ht="29.1" customHeight="1" x14ac:dyDescent="0.25">
      <c r="A14174" s="2" t="s">
        <v>28374</v>
      </c>
      <c r="B14174" s="2" t="s">
        <v>28375</v>
      </c>
      <c r="C14174" s="2" t="s">
        <v>124</v>
      </c>
      <c r="D14174" s="2" t="s">
        <v>1996</v>
      </c>
      <c r="E14174" s="2" t="str">
        <f>"9781032350714"</f>
        <v>9781032350714</v>
      </c>
      <c r="F14174" s="2" t="str">
        <f>"9781000790610"</f>
        <v>9781000790610</v>
      </c>
    </row>
    <row r="14175" spans="1:6" s="3" customFormat="1" ht="29.1" customHeight="1" x14ac:dyDescent="0.25">
      <c r="A14175" s="2" t="s">
        <v>28376</v>
      </c>
      <c r="B14175" s="2" t="s">
        <v>28377</v>
      </c>
      <c r="C14175" s="2" t="s">
        <v>18537</v>
      </c>
      <c r="D14175" s="2" t="s">
        <v>596</v>
      </c>
      <c r="E14175" s="2"/>
      <c r="F14175" s="2" t="str">
        <f>"9780311000050"</f>
        <v>9780311000050</v>
      </c>
    </row>
    <row r="14176" spans="1:6" s="3" customFormat="1" ht="29.1" customHeight="1" x14ac:dyDescent="0.25">
      <c r="A14176" s="2" t="s">
        <v>28378</v>
      </c>
      <c r="B14176" s="2" t="s">
        <v>28379</v>
      </c>
      <c r="C14176" s="2" t="s">
        <v>18537</v>
      </c>
      <c r="D14176" s="2" t="s">
        <v>37</v>
      </c>
      <c r="E14176" s="2"/>
      <c r="F14176" s="2" t="str">
        <f>"9780311000029"</f>
        <v>9780311000029</v>
      </c>
    </row>
    <row r="14177" spans="1:6" s="3" customFormat="1" ht="29.1" customHeight="1" x14ac:dyDescent="0.25">
      <c r="A14177" s="2" t="s">
        <v>28380</v>
      </c>
      <c r="B14177" s="2" t="s">
        <v>18538</v>
      </c>
      <c r="C14177" s="2" t="s">
        <v>18537</v>
      </c>
      <c r="D14177" s="2" t="s">
        <v>981</v>
      </c>
      <c r="E14177" s="2"/>
      <c r="F14177" s="2" t="str">
        <f>"9780311000340"</f>
        <v>9780311000340</v>
      </c>
    </row>
    <row r="14178" spans="1:6" s="3" customFormat="1" ht="29.1" customHeight="1" x14ac:dyDescent="0.25">
      <c r="A14178" s="2" t="s">
        <v>28381</v>
      </c>
      <c r="B14178" s="2" t="s">
        <v>28382</v>
      </c>
      <c r="C14178" s="2" t="s">
        <v>18537</v>
      </c>
      <c r="D14178" s="2" t="s">
        <v>2752</v>
      </c>
      <c r="E14178" s="2"/>
      <c r="F14178" s="2" t="str">
        <f>"9780311000159"</f>
        <v>9780311000159</v>
      </c>
    </row>
    <row r="14179" spans="1:6" s="3" customFormat="1" ht="29.1" customHeight="1" x14ac:dyDescent="0.25">
      <c r="A14179" s="2" t="s">
        <v>28383</v>
      </c>
      <c r="B14179" s="2" t="s">
        <v>18538</v>
      </c>
      <c r="C14179" s="2" t="s">
        <v>18537</v>
      </c>
      <c r="D14179" s="2" t="s">
        <v>15351</v>
      </c>
      <c r="E14179" s="2"/>
      <c r="F14179" s="2" t="str">
        <f>"9780311000326"</f>
        <v>9780311000326</v>
      </c>
    </row>
    <row r="14180" spans="1:6" s="3" customFormat="1" ht="29.1" customHeight="1" x14ac:dyDescent="0.25">
      <c r="A14180" s="2" t="s">
        <v>28384</v>
      </c>
      <c r="B14180" s="2" t="s">
        <v>28385</v>
      </c>
      <c r="C14180" s="2" t="s">
        <v>18537</v>
      </c>
      <c r="D14180" s="2" t="s">
        <v>614</v>
      </c>
      <c r="E14180" s="2"/>
      <c r="F14180" s="2" t="str">
        <f>"9780311000227"</f>
        <v>9780311000227</v>
      </c>
    </row>
    <row r="14181" spans="1:6" s="3" customFormat="1" ht="29.1" customHeight="1" x14ac:dyDescent="0.25">
      <c r="A14181" s="2" t="s">
        <v>28386</v>
      </c>
      <c r="B14181" s="2" t="s">
        <v>18538</v>
      </c>
      <c r="C14181" s="2" t="s">
        <v>18537</v>
      </c>
      <c r="D14181" s="2" t="s">
        <v>278</v>
      </c>
      <c r="E14181" s="2"/>
      <c r="F14181" s="2" t="str">
        <f>"9780311000357"</f>
        <v>9780311000357</v>
      </c>
    </row>
    <row r="14182" spans="1:6" s="3" customFormat="1" ht="29.1" customHeight="1" x14ac:dyDescent="0.25">
      <c r="A14182" s="2" t="s">
        <v>28387</v>
      </c>
      <c r="B14182" s="2" t="s">
        <v>28388</v>
      </c>
      <c r="C14182" s="2" t="s">
        <v>18537</v>
      </c>
      <c r="D14182" s="2" t="s">
        <v>26993</v>
      </c>
      <c r="E14182" s="2"/>
      <c r="F14182" s="2" t="str">
        <f>"9780311000401"</f>
        <v>9780311000401</v>
      </c>
    </row>
    <row r="14183" spans="1:6" s="3" customFormat="1" ht="29.1" customHeight="1" x14ac:dyDescent="0.25">
      <c r="A14183" s="2" t="s">
        <v>28389</v>
      </c>
      <c r="B14183" s="2" t="s">
        <v>18538</v>
      </c>
      <c r="C14183" s="2" t="s">
        <v>18537</v>
      </c>
      <c r="D14183" s="2" t="s">
        <v>101</v>
      </c>
      <c r="E14183" s="2"/>
      <c r="F14183" s="2" t="str">
        <f>"9780311000395"</f>
        <v>9780311000395</v>
      </c>
    </row>
    <row r="14184" spans="1:6" s="3" customFormat="1" ht="29.1" customHeight="1" x14ac:dyDescent="0.25">
      <c r="A14184" s="2" t="s">
        <v>28390</v>
      </c>
      <c r="B14184" s="2" t="s">
        <v>28391</v>
      </c>
      <c r="C14184" s="2" t="s">
        <v>18537</v>
      </c>
      <c r="D14184" s="2" t="s">
        <v>19142</v>
      </c>
      <c r="E14184" s="2"/>
      <c r="F14184" s="2" t="str">
        <f>"9780311000364"</f>
        <v>9780311000364</v>
      </c>
    </row>
    <row r="14185" spans="1:6" s="3" customFormat="1" ht="29.1" customHeight="1" x14ac:dyDescent="0.25">
      <c r="A14185" s="2" t="s">
        <v>28392</v>
      </c>
      <c r="B14185" s="2" t="s">
        <v>28393</v>
      </c>
      <c r="C14185" s="2" t="s">
        <v>18537</v>
      </c>
      <c r="D14185" s="2" t="s">
        <v>19142</v>
      </c>
      <c r="E14185" s="2"/>
      <c r="F14185" s="2" t="str">
        <f>"9780311000333"</f>
        <v>9780311000333</v>
      </c>
    </row>
    <row r="14186" spans="1:6" s="3" customFormat="1" ht="29.1" customHeight="1" x14ac:dyDescent="0.25">
      <c r="A14186" s="2" t="s">
        <v>28394</v>
      </c>
      <c r="B14186" s="2" t="s">
        <v>28395</v>
      </c>
      <c r="C14186" s="2" t="s">
        <v>18537</v>
      </c>
      <c r="D14186" s="2" t="s">
        <v>2178</v>
      </c>
      <c r="E14186" s="2"/>
      <c r="F14186" s="2" t="str">
        <f>"9780311000371"</f>
        <v>9780311000371</v>
      </c>
    </row>
    <row r="14187" spans="1:6" s="3" customFormat="1" ht="29.1" customHeight="1" x14ac:dyDescent="0.25">
      <c r="A14187" s="2" t="s">
        <v>28396</v>
      </c>
      <c r="B14187" s="2" t="s">
        <v>18538</v>
      </c>
      <c r="C14187" s="2" t="s">
        <v>18537</v>
      </c>
      <c r="D14187" s="2" t="s">
        <v>2083</v>
      </c>
      <c r="E14187" s="2"/>
      <c r="F14187" s="2" t="str">
        <f>"9780311000289"</f>
        <v>9780311000289</v>
      </c>
    </row>
    <row r="14188" spans="1:6" s="3" customFormat="1" ht="29.1" customHeight="1" x14ac:dyDescent="0.25">
      <c r="A14188" s="2" t="s">
        <v>28397</v>
      </c>
      <c r="B14188" s="2" t="s">
        <v>28398</v>
      </c>
      <c r="C14188" s="2" t="s">
        <v>18537</v>
      </c>
      <c r="D14188" s="2" t="s">
        <v>215</v>
      </c>
      <c r="E14188" s="2"/>
      <c r="F14188" s="2" t="str">
        <f>"9780311000302"</f>
        <v>9780311000302</v>
      </c>
    </row>
    <row r="14189" spans="1:6" s="3" customFormat="1" ht="29.1" customHeight="1" x14ac:dyDescent="0.25">
      <c r="A14189" s="2" t="s">
        <v>28399</v>
      </c>
      <c r="B14189" s="2" t="s">
        <v>28400</v>
      </c>
      <c r="C14189" s="2" t="s">
        <v>18537</v>
      </c>
      <c r="D14189" s="2" t="s">
        <v>537</v>
      </c>
      <c r="E14189" s="2"/>
      <c r="F14189" s="2" t="str">
        <f>"9780311000319"</f>
        <v>9780311000319</v>
      </c>
    </row>
    <row r="14190" spans="1:6" s="3" customFormat="1" ht="29.1" customHeight="1" x14ac:dyDescent="0.25">
      <c r="A14190" s="2" t="s">
        <v>28401</v>
      </c>
      <c r="B14190" s="2" t="s">
        <v>28402</v>
      </c>
      <c r="C14190" s="2" t="s">
        <v>18537</v>
      </c>
      <c r="D14190" s="2" t="s">
        <v>37</v>
      </c>
      <c r="E14190" s="2"/>
      <c r="F14190" s="2" t="str">
        <f>"9780311000296"</f>
        <v>9780311000296</v>
      </c>
    </row>
    <row r="14191" spans="1:6" s="3" customFormat="1" ht="29.1" customHeight="1" x14ac:dyDescent="0.25">
      <c r="A14191" s="2" t="s">
        <v>28403</v>
      </c>
      <c r="B14191" s="2" t="s">
        <v>28404</v>
      </c>
      <c r="C14191" s="2" t="s">
        <v>18537</v>
      </c>
      <c r="D14191" s="2" t="s">
        <v>125</v>
      </c>
      <c r="E14191" s="2"/>
      <c r="F14191" s="2" t="str">
        <f>"9780311000265"</f>
        <v>9780311000265</v>
      </c>
    </row>
    <row r="14192" spans="1:6" s="3" customFormat="1" ht="29.1" customHeight="1" x14ac:dyDescent="0.25">
      <c r="A14192" s="2" t="s">
        <v>28405</v>
      </c>
      <c r="B14192" s="2" t="s">
        <v>28406</v>
      </c>
      <c r="C14192" s="2" t="s">
        <v>18537</v>
      </c>
      <c r="D14192" s="2" t="s">
        <v>981</v>
      </c>
      <c r="E14192" s="2"/>
      <c r="F14192" s="2" t="str">
        <f>"9780311000234"</f>
        <v>9780311000234</v>
      </c>
    </row>
    <row r="14193" spans="1:6" s="3" customFormat="1" ht="29.1" customHeight="1" x14ac:dyDescent="0.25">
      <c r="A14193" s="2" t="s">
        <v>28407</v>
      </c>
      <c r="B14193" s="2" t="s">
        <v>28408</v>
      </c>
      <c r="C14193" s="2" t="s">
        <v>18537</v>
      </c>
      <c r="D14193" s="2" t="s">
        <v>2559</v>
      </c>
      <c r="E14193" s="2"/>
      <c r="F14193" s="2" t="str">
        <f>"9780311000241"</f>
        <v>9780311000241</v>
      </c>
    </row>
    <row r="14194" spans="1:6" s="3" customFormat="1" ht="29.1" customHeight="1" x14ac:dyDescent="0.25">
      <c r="A14194" s="2" t="s">
        <v>28409</v>
      </c>
      <c r="B14194" s="2" t="s">
        <v>28410</v>
      </c>
      <c r="C14194" s="2" t="s">
        <v>18537</v>
      </c>
      <c r="D14194" s="2" t="s">
        <v>3958</v>
      </c>
      <c r="E14194" s="2"/>
      <c r="F14194" s="2" t="str">
        <f>"9780311000180"</f>
        <v>9780311000180</v>
      </c>
    </row>
    <row r="14195" spans="1:6" s="3" customFormat="1" ht="29.1" customHeight="1" x14ac:dyDescent="0.25">
      <c r="A14195" s="2" t="s">
        <v>28411</v>
      </c>
      <c r="B14195" s="2" t="s">
        <v>28412</v>
      </c>
      <c r="C14195" s="2" t="s">
        <v>18537</v>
      </c>
      <c r="D14195" s="2" t="s">
        <v>3214</v>
      </c>
      <c r="E14195" s="2"/>
      <c r="F14195" s="2" t="str">
        <f>"9780311000258"</f>
        <v>9780311000258</v>
      </c>
    </row>
    <row r="14196" spans="1:6" s="3" customFormat="1" ht="29.1" customHeight="1" x14ac:dyDescent="0.25">
      <c r="A14196" s="2" t="s">
        <v>28413</v>
      </c>
      <c r="B14196" s="2" t="s">
        <v>28414</v>
      </c>
      <c r="C14196" s="2" t="s">
        <v>18537</v>
      </c>
      <c r="D14196" s="2" t="s">
        <v>3028</v>
      </c>
      <c r="E14196" s="2"/>
      <c r="F14196" s="2" t="str">
        <f>"9780311000272"</f>
        <v>9780311000272</v>
      </c>
    </row>
    <row r="14197" spans="1:6" s="3" customFormat="1" ht="29.1" customHeight="1" x14ac:dyDescent="0.25">
      <c r="A14197" s="2" t="s">
        <v>28415</v>
      </c>
      <c r="B14197" s="2" t="s">
        <v>28416</v>
      </c>
      <c r="C14197" s="2" t="s">
        <v>18537</v>
      </c>
      <c r="D14197" s="2" t="s">
        <v>981</v>
      </c>
      <c r="E14197" s="2"/>
      <c r="F14197" s="2" t="str">
        <f>"9780311000210"</f>
        <v>9780311000210</v>
      </c>
    </row>
    <row r="14198" spans="1:6" s="3" customFormat="1" ht="29.1" customHeight="1" x14ac:dyDescent="0.25">
      <c r="A14198" s="2" t="s">
        <v>28417</v>
      </c>
      <c r="B14198" s="2" t="s">
        <v>28418</v>
      </c>
      <c r="C14198" s="2" t="s">
        <v>18537</v>
      </c>
      <c r="D14198" s="2" t="s">
        <v>951</v>
      </c>
      <c r="E14198" s="2"/>
      <c r="F14198" s="2" t="str">
        <f>"9780311000203"</f>
        <v>9780311000203</v>
      </c>
    </row>
    <row r="14199" spans="1:6" s="3" customFormat="1" ht="29.1" customHeight="1" x14ac:dyDescent="0.25">
      <c r="A14199" s="2" t="s">
        <v>28419</v>
      </c>
      <c r="B14199" s="2" t="s">
        <v>28420</v>
      </c>
      <c r="C14199" s="2" t="s">
        <v>18537</v>
      </c>
      <c r="D14199" s="2" t="s">
        <v>614</v>
      </c>
      <c r="E14199" s="2"/>
      <c r="F14199" s="2" t="str">
        <f>"9780311000197"</f>
        <v>9780311000197</v>
      </c>
    </row>
    <row r="14200" spans="1:6" s="3" customFormat="1" ht="29.1" customHeight="1" x14ac:dyDescent="0.25">
      <c r="A14200" s="2" t="s">
        <v>28421</v>
      </c>
      <c r="B14200" s="2" t="s">
        <v>28423</v>
      </c>
      <c r="C14200" s="2" t="s">
        <v>18537</v>
      </c>
      <c r="D14200" s="2" t="s">
        <v>28422</v>
      </c>
      <c r="E14200" s="2"/>
      <c r="F14200" s="2" t="str">
        <f>"9780311000166"</f>
        <v>9780311000166</v>
      </c>
    </row>
    <row r="14201" spans="1:6" s="3" customFormat="1" ht="29.1" customHeight="1" x14ac:dyDescent="0.25">
      <c r="A14201" s="2" t="s">
        <v>28424</v>
      </c>
      <c r="B14201" s="2" t="s">
        <v>28425</v>
      </c>
      <c r="C14201" s="2" t="s">
        <v>18537</v>
      </c>
      <c r="D14201" s="2" t="s">
        <v>490</v>
      </c>
      <c r="E14201" s="2"/>
      <c r="F14201" s="2" t="str">
        <f>"9780311000135"</f>
        <v>9780311000135</v>
      </c>
    </row>
    <row r="14202" spans="1:6" s="3" customFormat="1" ht="29.1" customHeight="1" x14ac:dyDescent="0.25">
      <c r="A14202" s="2" t="s">
        <v>28426</v>
      </c>
      <c r="B14202" s="2" t="s">
        <v>28427</v>
      </c>
      <c r="C14202" s="2" t="s">
        <v>18537</v>
      </c>
      <c r="D14202" s="2" t="s">
        <v>22276</v>
      </c>
      <c r="E14202" s="2"/>
      <c r="F14202" s="2" t="str">
        <f>"9780311000142"</f>
        <v>9780311000142</v>
      </c>
    </row>
    <row r="14203" spans="1:6" s="3" customFormat="1" ht="29.1" customHeight="1" x14ac:dyDescent="0.25">
      <c r="A14203" s="2" t="s">
        <v>28428</v>
      </c>
      <c r="B14203" s="2" t="s">
        <v>28429</v>
      </c>
      <c r="C14203" s="2" t="s">
        <v>18537</v>
      </c>
      <c r="D14203" s="2" t="s">
        <v>951</v>
      </c>
      <c r="E14203" s="2"/>
      <c r="F14203" s="2" t="str">
        <f>"9780311000173"</f>
        <v>9780311000173</v>
      </c>
    </row>
    <row r="14204" spans="1:6" s="3" customFormat="1" ht="29.1" customHeight="1" x14ac:dyDescent="0.25">
      <c r="A14204" s="2" t="s">
        <v>28430</v>
      </c>
      <c r="B14204" s="2" t="s">
        <v>28431</v>
      </c>
      <c r="C14204" s="2" t="s">
        <v>18537</v>
      </c>
      <c r="D14204" s="2" t="s">
        <v>504</v>
      </c>
      <c r="E14204" s="2"/>
      <c r="F14204" s="2" t="str">
        <f>"9780311000012"</f>
        <v>9780311000012</v>
      </c>
    </row>
    <row r="14205" spans="1:6" s="3" customFormat="1" ht="29.1" customHeight="1" x14ac:dyDescent="0.25">
      <c r="A14205" s="2" t="s">
        <v>28432</v>
      </c>
      <c r="B14205" s="2" t="s">
        <v>28433</v>
      </c>
      <c r="C14205" s="2" t="s">
        <v>18537</v>
      </c>
      <c r="D14205" s="2" t="s">
        <v>12589</v>
      </c>
      <c r="E14205" s="2"/>
      <c r="F14205" s="2" t="str">
        <f>"9780311000005"</f>
        <v>9780311000005</v>
      </c>
    </row>
    <row r="14206" spans="1:6" s="3" customFormat="1" ht="29.1" customHeight="1" x14ac:dyDescent="0.25">
      <c r="A14206" s="2" t="s">
        <v>28434</v>
      </c>
      <c r="B14206" s="2" t="s">
        <v>28435</v>
      </c>
      <c r="C14206" s="2" t="s">
        <v>18537</v>
      </c>
      <c r="D14206" s="2" t="s">
        <v>951</v>
      </c>
      <c r="E14206" s="2"/>
      <c r="F14206" s="2" t="str">
        <f>"9780311000098"</f>
        <v>9780311000098</v>
      </c>
    </row>
    <row r="14207" spans="1:6" s="3" customFormat="1" ht="29.1" customHeight="1" x14ac:dyDescent="0.25">
      <c r="A14207" s="2" t="s">
        <v>28436</v>
      </c>
      <c r="B14207" s="2" t="s">
        <v>28437</v>
      </c>
      <c r="C14207" s="2" t="s">
        <v>18537</v>
      </c>
      <c r="D14207" s="2" t="s">
        <v>553</v>
      </c>
      <c r="E14207" s="2"/>
      <c r="F14207" s="2" t="str">
        <f>"9780311000067"</f>
        <v>9780311000067</v>
      </c>
    </row>
    <row r="14208" spans="1:6" s="3" customFormat="1" ht="29.1" customHeight="1" x14ac:dyDescent="0.25">
      <c r="A14208" s="2" t="s">
        <v>28438</v>
      </c>
      <c r="B14208" s="2" t="s">
        <v>28439</v>
      </c>
      <c r="C14208" s="2" t="s">
        <v>18537</v>
      </c>
      <c r="D14208" s="2" t="s">
        <v>1059</v>
      </c>
      <c r="E14208" s="2"/>
      <c r="F14208" s="2" t="str">
        <f>"9780311000111"</f>
        <v>9780311000111</v>
      </c>
    </row>
    <row r="14209" spans="1:6" s="3" customFormat="1" ht="29.1" customHeight="1" x14ac:dyDescent="0.25">
      <c r="A14209" s="2" t="s">
        <v>28440</v>
      </c>
      <c r="B14209" s="2" t="s">
        <v>28441</v>
      </c>
      <c r="C14209" s="2" t="s">
        <v>18537</v>
      </c>
      <c r="D14209" s="2" t="s">
        <v>3098</v>
      </c>
      <c r="E14209" s="2"/>
      <c r="F14209" s="2" t="str">
        <f>"9780311000128"</f>
        <v>9780311000128</v>
      </c>
    </row>
    <row r="14210" spans="1:6" s="3" customFormat="1" ht="29.1" customHeight="1" x14ac:dyDescent="0.25">
      <c r="A14210" s="2" t="s">
        <v>28442</v>
      </c>
      <c r="B14210" s="2" t="s">
        <v>28443</v>
      </c>
      <c r="C14210" s="2" t="s">
        <v>18537</v>
      </c>
      <c r="D14210" s="2" t="s">
        <v>3817</v>
      </c>
      <c r="E14210" s="2"/>
      <c r="F14210" s="2" t="str">
        <f>"9780311000036"</f>
        <v>9780311000036</v>
      </c>
    </row>
    <row r="14211" spans="1:6" s="3" customFormat="1" ht="29.1" customHeight="1" x14ac:dyDescent="0.25">
      <c r="A14211" s="2" t="s">
        <v>28444</v>
      </c>
      <c r="B14211" s="2" t="s">
        <v>28445</v>
      </c>
      <c r="C14211" s="2" t="s">
        <v>18537</v>
      </c>
      <c r="D14211" s="2" t="s">
        <v>694</v>
      </c>
      <c r="E14211" s="2"/>
      <c r="F14211" s="2" t="str">
        <f>"9780311000074"</f>
        <v>9780311000074</v>
      </c>
    </row>
    <row r="14212" spans="1:6" s="3" customFormat="1" ht="29.1" customHeight="1" x14ac:dyDescent="0.25">
      <c r="A14212" s="2" t="s">
        <v>28446</v>
      </c>
      <c r="B14212" s="2" t="s">
        <v>28447</v>
      </c>
      <c r="C14212" s="2" t="s">
        <v>18537</v>
      </c>
      <c r="D14212" s="2" t="s">
        <v>459</v>
      </c>
      <c r="E14212" s="2"/>
      <c r="F14212" s="2" t="str">
        <f>"9780311000104"</f>
        <v>9780311000104</v>
      </c>
    </row>
    <row r="14213" spans="1:6" s="3" customFormat="1" ht="29.1" customHeight="1" x14ac:dyDescent="0.25">
      <c r="A14213" s="2" t="s">
        <v>28448</v>
      </c>
      <c r="B14213" s="2" t="s">
        <v>28449</v>
      </c>
      <c r="C14213" s="2" t="s">
        <v>18537</v>
      </c>
      <c r="D14213" s="2" t="s">
        <v>504</v>
      </c>
      <c r="E14213" s="2"/>
      <c r="F14213" s="2" t="str">
        <f>"9780311000043"</f>
        <v>9780311000043</v>
      </c>
    </row>
    <row r="14214" spans="1:6" s="3" customFormat="1" ht="29.1" customHeight="1" x14ac:dyDescent="0.25">
      <c r="A14214" s="2" t="s">
        <v>28450</v>
      </c>
      <c r="B14214" s="2" t="s">
        <v>28451</v>
      </c>
      <c r="C14214" s="2" t="s">
        <v>2188</v>
      </c>
      <c r="D14214" s="2" t="s">
        <v>339</v>
      </c>
      <c r="E14214" s="2"/>
      <c r="F14214" s="2" t="str">
        <f>"9788323241331"</f>
        <v>9788323241331</v>
      </c>
    </row>
    <row r="14215" spans="1:6" s="3" customFormat="1" ht="29.1" customHeight="1" x14ac:dyDescent="0.25">
      <c r="A14215" s="2" t="s">
        <v>28452</v>
      </c>
      <c r="B14215" s="2" t="s">
        <v>28453</v>
      </c>
      <c r="C14215" s="2" t="s">
        <v>8059</v>
      </c>
      <c r="D14215" s="2" t="s">
        <v>5930</v>
      </c>
      <c r="E14215" s="2" t="str">
        <f>"9781776413478"</f>
        <v>9781776413478</v>
      </c>
      <c r="F14215" s="2" t="str">
        <f>"9781776413485"</f>
        <v>9781776413485</v>
      </c>
    </row>
    <row r="14216" spans="1:6" s="3" customFormat="1" ht="29.1" customHeight="1" x14ac:dyDescent="0.25">
      <c r="A14216" s="2" t="s">
        <v>28454</v>
      </c>
      <c r="B14216" s="2" t="s">
        <v>28455</v>
      </c>
      <c r="C14216" s="2" t="s">
        <v>124</v>
      </c>
      <c r="D14216" s="2" t="s">
        <v>1437</v>
      </c>
      <c r="E14216" s="2" t="str">
        <f>"9781032118659"</f>
        <v>9781032118659</v>
      </c>
      <c r="F14216" s="2" t="str">
        <f>"9781000841022"</f>
        <v>9781000841022</v>
      </c>
    </row>
    <row r="14217" spans="1:6" s="3" customFormat="1" ht="29.1" customHeight="1" x14ac:dyDescent="0.25">
      <c r="A14217" s="2" t="s">
        <v>28456</v>
      </c>
      <c r="B14217" s="2" t="s">
        <v>28457</v>
      </c>
      <c r="C14217" s="2" t="s">
        <v>29</v>
      </c>
      <c r="D14217" s="2" t="s">
        <v>118</v>
      </c>
      <c r="E14217" s="2" t="str">
        <f>"9789004528413"</f>
        <v>9789004528413</v>
      </c>
      <c r="F14217" s="2" t="str">
        <f>"9789004529069"</f>
        <v>9789004529069</v>
      </c>
    </row>
    <row r="14218" spans="1:6" s="3" customFormat="1" ht="29.1" customHeight="1" x14ac:dyDescent="0.25">
      <c r="A14218" s="2" t="s">
        <v>28458</v>
      </c>
      <c r="B14218" s="2" t="s">
        <v>28459</v>
      </c>
      <c r="C14218" s="2" t="s">
        <v>927</v>
      </c>
      <c r="D14218" s="2" t="s">
        <v>270</v>
      </c>
      <c r="E14218" s="2" t="str">
        <f>"9780472039265"</f>
        <v>9780472039265</v>
      </c>
      <c r="F14218" s="2" t="str">
        <f>"9780472903832"</f>
        <v>9780472903832</v>
      </c>
    </row>
    <row r="14219" spans="1:6" s="3" customFormat="1" ht="29.1" customHeight="1" x14ac:dyDescent="0.25">
      <c r="A14219" s="2" t="s">
        <v>28460</v>
      </c>
      <c r="B14219" s="2" t="s">
        <v>28461</v>
      </c>
      <c r="C14219" s="2" t="s">
        <v>927</v>
      </c>
      <c r="D14219" s="2" t="s">
        <v>33</v>
      </c>
      <c r="E14219" s="2" t="str">
        <f>"9780472055197"</f>
        <v>9780472055197</v>
      </c>
      <c r="F14219" s="2" t="str">
        <f>"9780472903146"</f>
        <v>9780472903146</v>
      </c>
    </row>
    <row r="14220" spans="1:6" s="3" customFormat="1" ht="29.1" customHeight="1" x14ac:dyDescent="0.25">
      <c r="A14220" s="2" t="s">
        <v>28462</v>
      </c>
      <c r="B14220" s="2" t="s">
        <v>28463</v>
      </c>
      <c r="C14220" s="2" t="s">
        <v>195</v>
      </c>
      <c r="D14220" s="2" t="s">
        <v>210</v>
      </c>
      <c r="E14220" s="2" t="str">
        <f>"9783111007717"</f>
        <v>9783111007717</v>
      </c>
      <c r="F14220" s="2" t="str">
        <f>"9783111010960"</f>
        <v>9783111010960</v>
      </c>
    </row>
    <row r="14221" spans="1:6" s="3" customFormat="1" ht="29.1" customHeight="1" x14ac:dyDescent="0.25">
      <c r="A14221" s="2" t="s">
        <v>28464</v>
      </c>
      <c r="B14221" s="2" t="s">
        <v>28465</v>
      </c>
      <c r="C14221" s="2" t="s">
        <v>595</v>
      </c>
      <c r="D14221" s="2" t="s">
        <v>465</v>
      </c>
      <c r="E14221" s="2" t="str">
        <f>"9781789975109"</f>
        <v>9781789975109</v>
      </c>
      <c r="F14221" s="2" t="str">
        <f>"9781789975116"</f>
        <v>9781789975116</v>
      </c>
    </row>
    <row r="14222" spans="1:6" s="3" customFormat="1" ht="29.1" customHeight="1" x14ac:dyDescent="0.25">
      <c r="A14222" s="2" t="s">
        <v>28466</v>
      </c>
      <c r="B14222" s="2" t="s">
        <v>28467</v>
      </c>
      <c r="C14222" s="2" t="s">
        <v>15181</v>
      </c>
      <c r="D14222" s="2" t="s">
        <v>33</v>
      </c>
      <c r="E14222" s="2" t="str">
        <f>"9789087283292"</f>
        <v>9789087283292</v>
      </c>
      <c r="F14222" s="2" t="str">
        <f>"9789400603509"</f>
        <v>9789400603509</v>
      </c>
    </row>
    <row r="14223" spans="1:6" s="3" customFormat="1" ht="29.1" customHeight="1" x14ac:dyDescent="0.25">
      <c r="A14223" s="2" t="s">
        <v>28468</v>
      </c>
      <c r="B14223" s="2" t="s">
        <v>7834</v>
      </c>
      <c r="C14223" s="2" t="s">
        <v>195</v>
      </c>
      <c r="D14223" s="2" t="s">
        <v>3407</v>
      </c>
      <c r="E14223" s="2"/>
      <c r="F14223" s="2" t="str">
        <f>"9788366675322"</f>
        <v>9788366675322</v>
      </c>
    </row>
    <row r="14224" spans="1:6" s="3" customFormat="1" ht="29.1" customHeight="1" x14ac:dyDescent="0.25">
      <c r="A14224" s="2" t="s">
        <v>28469</v>
      </c>
      <c r="B14224" s="2" t="s">
        <v>28470</v>
      </c>
      <c r="C14224" s="2" t="s">
        <v>36</v>
      </c>
      <c r="D14224" s="2" t="s">
        <v>4190</v>
      </c>
      <c r="E14224" s="2" t="str">
        <f>"9781529224634"</f>
        <v>9781529224634</v>
      </c>
      <c r="F14224" s="2" t="str">
        <f>"9781529224658"</f>
        <v>9781529224658</v>
      </c>
    </row>
    <row r="14225" spans="1:6" s="3" customFormat="1" ht="29.1" customHeight="1" x14ac:dyDescent="0.25">
      <c r="A14225" s="2" t="s">
        <v>11000</v>
      </c>
      <c r="B14225" s="2" t="s">
        <v>11001</v>
      </c>
      <c r="C14225" s="2" t="s">
        <v>55</v>
      </c>
      <c r="D14225" s="2" t="s">
        <v>4172</v>
      </c>
      <c r="E14225" s="2"/>
      <c r="F14225" s="2" t="str">
        <f>"9781526160867"</f>
        <v>9781526160867</v>
      </c>
    </row>
    <row r="14226" spans="1:6" s="3" customFormat="1" ht="29.1" customHeight="1" x14ac:dyDescent="0.25">
      <c r="A14226" s="2" t="s">
        <v>28471</v>
      </c>
      <c r="B14226" s="2" t="s">
        <v>28472</v>
      </c>
      <c r="C14226" s="2" t="s">
        <v>124</v>
      </c>
      <c r="D14226" s="2" t="s">
        <v>353</v>
      </c>
      <c r="E14226" s="2" t="str">
        <f>"9780367361808"</f>
        <v>9780367361808</v>
      </c>
      <c r="F14226" s="2" t="str">
        <f>"9780429344350"</f>
        <v>9780429344350</v>
      </c>
    </row>
    <row r="14227" spans="1:6" s="3" customFormat="1" ht="29.1" customHeight="1" x14ac:dyDescent="0.25">
      <c r="A14227" s="2" t="s">
        <v>28473</v>
      </c>
      <c r="B14227" s="2" t="s">
        <v>28474</v>
      </c>
      <c r="C14227" s="2" t="s">
        <v>124</v>
      </c>
      <c r="D14227" s="2" t="s">
        <v>2433</v>
      </c>
      <c r="E14227" s="2" t="str">
        <f>"9781032307510"</f>
        <v>9781032307510</v>
      </c>
      <c r="F14227" s="2" t="str">
        <f>"9781000814149"</f>
        <v>9781000814149</v>
      </c>
    </row>
    <row r="14228" spans="1:6" s="3" customFormat="1" ht="29.1" customHeight="1" x14ac:dyDescent="0.25">
      <c r="A14228" s="2" t="s">
        <v>28475</v>
      </c>
      <c r="B14228" s="2" t="s">
        <v>28477</v>
      </c>
      <c r="C14228" s="2" t="s">
        <v>28476</v>
      </c>
      <c r="D14228" s="2" t="s">
        <v>9317</v>
      </c>
      <c r="E14228" s="2"/>
      <c r="F14228" s="2" t="str">
        <f>"9780639707808"</f>
        <v>9780639707808</v>
      </c>
    </row>
    <row r="14229" spans="1:6" s="3" customFormat="1" ht="29.1" customHeight="1" x14ac:dyDescent="0.25">
      <c r="A14229" s="2" t="s">
        <v>28478</v>
      </c>
      <c r="B14229" s="2" t="s">
        <v>28479</v>
      </c>
      <c r="C14229" s="2" t="s">
        <v>124</v>
      </c>
      <c r="D14229" s="2" t="s">
        <v>26483</v>
      </c>
      <c r="E14229" s="2" t="str">
        <f>"9781032147673"</f>
        <v>9781032147673</v>
      </c>
      <c r="F14229" s="2" t="str">
        <f>"9781000843309"</f>
        <v>9781000843309</v>
      </c>
    </row>
    <row r="14230" spans="1:6" s="3" customFormat="1" ht="29.1" customHeight="1" x14ac:dyDescent="0.25">
      <c r="A14230" s="2" t="s">
        <v>28480</v>
      </c>
      <c r="B14230" s="2" t="s">
        <v>28481</v>
      </c>
      <c r="C14230" s="2" t="s">
        <v>15181</v>
      </c>
      <c r="D14230" s="2" t="s">
        <v>210</v>
      </c>
      <c r="E14230" s="2" t="str">
        <f>"9789087282769"</f>
        <v>9789087282769</v>
      </c>
      <c r="F14230" s="2" t="str">
        <f>"9789400602854"</f>
        <v>9789400602854</v>
      </c>
    </row>
    <row r="14231" spans="1:6" s="3" customFormat="1" ht="29.1" customHeight="1" x14ac:dyDescent="0.25">
      <c r="A14231" s="2" t="s">
        <v>28482</v>
      </c>
      <c r="B14231" s="2" t="s">
        <v>28483</v>
      </c>
      <c r="C14231" s="2" t="s">
        <v>15181</v>
      </c>
      <c r="D14231" s="2" t="s">
        <v>297</v>
      </c>
      <c r="E14231" s="2" t="str">
        <f>"9789087282677"</f>
        <v>9789087282677</v>
      </c>
      <c r="F14231" s="2" t="str">
        <f>"9789400602687"</f>
        <v>9789400602687</v>
      </c>
    </row>
    <row r="14232" spans="1:6" s="3" customFormat="1" ht="29.1" customHeight="1" x14ac:dyDescent="0.25">
      <c r="A14232" s="2" t="s">
        <v>28484</v>
      </c>
      <c r="B14232" s="2" t="s">
        <v>28485</v>
      </c>
      <c r="C14232" s="2" t="s">
        <v>15181</v>
      </c>
      <c r="D14232" s="2" t="s">
        <v>210</v>
      </c>
      <c r="E14232" s="2" t="str">
        <f>"9789087282806"</f>
        <v>9789087282806</v>
      </c>
      <c r="F14232" s="2" t="str">
        <f>"9789400602939"</f>
        <v>9789400602939</v>
      </c>
    </row>
    <row r="14233" spans="1:6" s="3" customFormat="1" ht="29.1" customHeight="1" x14ac:dyDescent="0.25">
      <c r="A14233" s="2" t="s">
        <v>28486</v>
      </c>
      <c r="B14233" s="2" t="s">
        <v>28487</v>
      </c>
      <c r="C14233" s="2" t="s">
        <v>15181</v>
      </c>
      <c r="D14233" s="2" t="s">
        <v>210</v>
      </c>
      <c r="E14233" s="2" t="str">
        <f>"9789087282370"</f>
        <v>9789087282370</v>
      </c>
      <c r="F14233" s="2" t="str">
        <f>"9789400602298"</f>
        <v>9789400602298</v>
      </c>
    </row>
    <row r="14234" spans="1:6" s="3" customFormat="1" ht="29.1" customHeight="1" x14ac:dyDescent="0.25">
      <c r="A14234" s="2" t="s">
        <v>28488</v>
      </c>
      <c r="B14234" s="2" t="s">
        <v>28489</v>
      </c>
      <c r="C14234" s="2" t="s">
        <v>15181</v>
      </c>
      <c r="D14234" s="2" t="s">
        <v>10410</v>
      </c>
      <c r="E14234" s="2" t="str">
        <f>"9789087283711"</f>
        <v>9789087283711</v>
      </c>
      <c r="F14234" s="2" t="str">
        <f>"9789400604162"</f>
        <v>9789400604162</v>
      </c>
    </row>
    <row r="14235" spans="1:6" s="3" customFormat="1" ht="29.1" customHeight="1" x14ac:dyDescent="0.25">
      <c r="A14235" s="2" t="s">
        <v>28490</v>
      </c>
      <c r="B14235" s="2" t="s">
        <v>28491</v>
      </c>
      <c r="C14235" s="2" t="s">
        <v>15181</v>
      </c>
      <c r="D14235" s="2" t="s">
        <v>81</v>
      </c>
      <c r="E14235" s="2" t="str">
        <f>"9789087282684"</f>
        <v>9789087282684</v>
      </c>
      <c r="F14235" s="2" t="str">
        <f>"9789400602717"</f>
        <v>9789400602717</v>
      </c>
    </row>
    <row r="14236" spans="1:6" s="3" customFormat="1" ht="29.1" customHeight="1" x14ac:dyDescent="0.25">
      <c r="A14236" s="2" t="s">
        <v>28492</v>
      </c>
      <c r="B14236" s="2" t="s">
        <v>28493</v>
      </c>
      <c r="C14236" s="2" t="s">
        <v>15181</v>
      </c>
      <c r="D14236" s="2" t="s">
        <v>81</v>
      </c>
      <c r="E14236" s="2" t="str">
        <f>"9789087282400"</f>
        <v>9789087282400</v>
      </c>
      <c r="F14236" s="2" t="str">
        <f>"9789400602359"</f>
        <v>9789400602359</v>
      </c>
    </row>
    <row r="14237" spans="1:6" s="3" customFormat="1" ht="29.1" customHeight="1" x14ac:dyDescent="0.25">
      <c r="A14237" s="2" t="s">
        <v>28494</v>
      </c>
      <c r="B14237" s="2" t="s">
        <v>28495</v>
      </c>
      <c r="C14237" s="2" t="s">
        <v>15181</v>
      </c>
      <c r="D14237" s="2" t="s">
        <v>270</v>
      </c>
      <c r="E14237" s="2" t="str">
        <f>"9789087282394"</f>
        <v>9789087282394</v>
      </c>
      <c r="F14237" s="2" t="str">
        <f>"9789400602335"</f>
        <v>9789400602335</v>
      </c>
    </row>
    <row r="14238" spans="1:6" s="3" customFormat="1" ht="29.1" customHeight="1" x14ac:dyDescent="0.25">
      <c r="A14238" s="2" t="s">
        <v>28496</v>
      </c>
      <c r="B14238" s="2" t="s">
        <v>28497</v>
      </c>
      <c r="C14238" s="2" t="s">
        <v>15181</v>
      </c>
      <c r="D14238" s="2" t="s">
        <v>270</v>
      </c>
      <c r="E14238" s="2" t="str">
        <f>"9789087282387"</f>
        <v>9789087282387</v>
      </c>
      <c r="F14238" s="2" t="str">
        <f>"9789400602311"</f>
        <v>9789400602311</v>
      </c>
    </row>
    <row r="14239" spans="1:6" s="3" customFormat="1" ht="29.1" customHeight="1" x14ac:dyDescent="0.25">
      <c r="A14239" s="2" t="s">
        <v>28498</v>
      </c>
      <c r="B14239" s="2" t="s">
        <v>28499</v>
      </c>
      <c r="C14239" s="2" t="s">
        <v>15181</v>
      </c>
      <c r="D14239" s="2" t="s">
        <v>210</v>
      </c>
      <c r="E14239" s="2" t="str">
        <f>"9789087283445"</f>
        <v>9789087283445</v>
      </c>
      <c r="F14239" s="2" t="str">
        <f>"9789400603769"</f>
        <v>9789400603769</v>
      </c>
    </row>
    <row r="14240" spans="1:6" s="3" customFormat="1" ht="29.1" customHeight="1" x14ac:dyDescent="0.25">
      <c r="A14240" s="2" t="s">
        <v>28500</v>
      </c>
      <c r="B14240" s="2" t="s">
        <v>28501</v>
      </c>
      <c r="C14240" s="2" t="s">
        <v>927</v>
      </c>
      <c r="D14240" s="2" t="s">
        <v>33</v>
      </c>
      <c r="E14240" s="2" t="str">
        <f>"9780472133352"</f>
        <v>9780472133352</v>
      </c>
      <c r="F14240" s="2" t="str">
        <f>"9780472903559"</f>
        <v>9780472903559</v>
      </c>
    </row>
    <row r="14241" spans="1:6" s="3" customFormat="1" ht="29.1" customHeight="1" x14ac:dyDescent="0.25">
      <c r="A14241" s="2" t="s">
        <v>28502</v>
      </c>
      <c r="B14241" s="2" t="s">
        <v>28503</v>
      </c>
      <c r="C14241" s="2" t="s">
        <v>248</v>
      </c>
      <c r="D14241" s="2" t="s">
        <v>21</v>
      </c>
      <c r="E14241" s="2" t="str">
        <f>"9783847426288"</f>
        <v>9783847426288</v>
      </c>
      <c r="F14241" s="2" t="str">
        <f>"9783847417873"</f>
        <v>9783847417873</v>
      </c>
    </row>
    <row r="14242" spans="1:6" s="3" customFormat="1" ht="29.1" customHeight="1" x14ac:dyDescent="0.25">
      <c r="A14242" s="2" t="s">
        <v>28504</v>
      </c>
      <c r="B14242" s="2" t="s">
        <v>28505</v>
      </c>
      <c r="C14242" s="2" t="s">
        <v>248</v>
      </c>
      <c r="D14242" s="2" t="s">
        <v>2752</v>
      </c>
      <c r="E14242" s="2" t="str">
        <f>"9783847426158"</f>
        <v>9783847426158</v>
      </c>
      <c r="F14242" s="2" t="str">
        <f>"9783847417743"</f>
        <v>9783847417743</v>
      </c>
    </row>
    <row r="14243" spans="1:6" s="3" customFormat="1" ht="29.1" customHeight="1" x14ac:dyDescent="0.25">
      <c r="A14243" s="2" t="s">
        <v>1340</v>
      </c>
      <c r="B14243" s="2" t="s">
        <v>28506</v>
      </c>
      <c r="C14243" s="2" t="s">
        <v>1070</v>
      </c>
      <c r="D14243" s="2" t="s">
        <v>1272</v>
      </c>
      <c r="E14243" s="2" t="str">
        <f>"9783318069341"</f>
        <v>9783318069341</v>
      </c>
      <c r="F14243" s="2" t="str">
        <f>"9783318072167"</f>
        <v>9783318072167</v>
      </c>
    </row>
    <row r="14244" spans="1:6" s="3" customFormat="1" ht="29.1" customHeight="1" x14ac:dyDescent="0.25">
      <c r="A14244" s="2" t="s">
        <v>28507</v>
      </c>
      <c r="B14244" s="2" t="s">
        <v>28508</v>
      </c>
      <c r="C14244" s="2" t="s">
        <v>595</v>
      </c>
      <c r="D14244" s="2" t="s">
        <v>7766</v>
      </c>
      <c r="E14244" s="2" t="str">
        <f>"9783631880494"</f>
        <v>9783631880494</v>
      </c>
      <c r="F14244" s="2" t="str">
        <f>"9783631880517"</f>
        <v>9783631880517</v>
      </c>
    </row>
    <row r="14245" spans="1:6" s="3" customFormat="1" ht="29.1" customHeight="1" x14ac:dyDescent="0.25">
      <c r="A14245" s="2" t="s">
        <v>28509</v>
      </c>
      <c r="B14245" s="2" t="s">
        <v>28512</v>
      </c>
      <c r="C14245" s="2" t="s">
        <v>28510</v>
      </c>
      <c r="D14245" s="2" t="s">
        <v>28511</v>
      </c>
      <c r="E14245" s="2" t="str">
        <f>"9789815040111"</f>
        <v>9789815040111</v>
      </c>
      <c r="F14245" s="2" t="str">
        <f>"9789815040104"</f>
        <v>9789815040104</v>
      </c>
    </row>
    <row r="14246" spans="1:6" s="3" customFormat="1" ht="29.1" customHeight="1" x14ac:dyDescent="0.25">
      <c r="A14246" s="2" t="s">
        <v>28513</v>
      </c>
      <c r="B14246" s="2" t="s">
        <v>28514</v>
      </c>
      <c r="C14246" s="2" t="s">
        <v>28510</v>
      </c>
      <c r="D14246" s="2" t="s">
        <v>5092</v>
      </c>
      <c r="E14246" s="2" t="str">
        <f>"9781681089027"</f>
        <v>9781681089027</v>
      </c>
      <c r="F14246" s="2" t="str">
        <f>"9781681089010"</f>
        <v>9781681089010</v>
      </c>
    </row>
    <row r="14247" spans="1:6" s="3" customFormat="1" ht="29.1" customHeight="1" x14ac:dyDescent="0.25">
      <c r="A14247" s="2" t="s">
        <v>28515</v>
      </c>
      <c r="B14247" s="2" t="s">
        <v>28516</v>
      </c>
      <c r="C14247" s="2" t="s">
        <v>28510</v>
      </c>
      <c r="D14247" s="2" t="s">
        <v>1310</v>
      </c>
      <c r="E14247" s="2" t="str">
        <f>"9789811421853"</f>
        <v>9789811421853</v>
      </c>
      <c r="F14247" s="2" t="str">
        <f>"9789811421860"</f>
        <v>9789811421860</v>
      </c>
    </row>
    <row r="14248" spans="1:6" s="3" customFormat="1" ht="29.1" customHeight="1" x14ac:dyDescent="0.25">
      <c r="A14248" s="2" t="s">
        <v>28517</v>
      </c>
      <c r="B14248" s="2" t="s">
        <v>28519</v>
      </c>
      <c r="C14248" s="2" t="s">
        <v>28510</v>
      </c>
      <c r="D14248" s="2" t="s">
        <v>28518</v>
      </c>
      <c r="E14248" s="2"/>
      <c r="F14248" s="2" t="str">
        <f>"9781681084015"</f>
        <v>9781681084015</v>
      </c>
    </row>
    <row r="14249" spans="1:6" s="3" customFormat="1" ht="29.1" customHeight="1" x14ac:dyDescent="0.25">
      <c r="A14249" s="2" t="s">
        <v>28520</v>
      </c>
      <c r="B14249" s="2" t="s">
        <v>28521</v>
      </c>
      <c r="C14249" s="2" t="s">
        <v>28510</v>
      </c>
      <c r="D14249" s="2" t="s">
        <v>8486</v>
      </c>
      <c r="E14249" s="2" t="str">
        <f>"9781681080031"</f>
        <v>9781681080031</v>
      </c>
      <c r="F14249" s="2" t="str">
        <f>"9781608059928"</f>
        <v>9781608059928</v>
      </c>
    </row>
    <row r="14250" spans="1:6" s="3" customFormat="1" ht="29.1" customHeight="1" x14ac:dyDescent="0.25">
      <c r="A14250" s="2" t="s">
        <v>28522</v>
      </c>
      <c r="B14250" s="2" t="s">
        <v>28523</v>
      </c>
      <c r="C14250" s="2" t="s">
        <v>28510</v>
      </c>
      <c r="D14250" s="2" t="s">
        <v>544</v>
      </c>
      <c r="E14250" s="2" t="str">
        <f>"9781608059416"</f>
        <v>9781608059416</v>
      </c>
      <c r="F14250" s="2" t="str">
        <f>"9781608059409"</f>
        <v>9781608059409</v>
      </c>
    </row>
    <row r="14251" spans="1:6" s="3" customFormat="1" ht="29.1" customHeight="1" x14ac:dyDescent="0.25">
      <c r="A14251" s="2" t="s">
        <v>28524</v>
      </c>
      <c r="B14251" s="2" t="s">
        <v>28525</v>
      </c>
      <c r="C14251" s="2" t="s">
        <v>28510</v>
      </c>
      <c r="D14251" s="2" t="s">
        <v>25472</v>
      </c>
      <c r="E14251" s="2" t="str">
        <f>"9781608058792"</f>
        <v>9781608058792</v>
      </c>
      <c r="F14251" s="2" t="str">
        <f>"9781608058785"</f>
        <v>9781608058785</v>
      </c>
    </row>
    <row r="14252" spans="1:6" s="3" customFormat="1" ht="29.1" customHeight="1" x14ac:dyDescent="0.25">
      <c r="A14252" s="2" t="s">
        <v>28526</v>
      </c>
      <c r="B14252" s="2" t="s">
        <v>28528</v>
      </c>
      <c r="C14252" s="2" t="s">
        <v>28510</v>
      </c>
      <c r="D14252" s="2" t="s">
        <v>28527</v>
      </c>
      <c r="E14252" s="2" t="str">
        <f>"9781608058174"</f>
        <v>9781608058174</v>
      </c>
      <c r="F14252" s="2" t="str">
        <f>"9781608058167"</f>
        <v>9781608058167</v>
      </c>
    </row>
    <row r="14253" spans="1:6" s="3" customFormat="1" ht="29.1" customHeight="1" x14ac:dyDescent="0.25">
      <c r="A14253" s="2" t="s">
        <v>28529</v>
      </c>
      <c r="B14253" s="2" t="s">
        <v>28530</v>
      </c>
      <c r="C14253" s="2" t="s">
        <v>28510</v>
      </c>
      <c r="D14253" s="2" t="s">
        <v>11633</v>
      </c>
      <c r="E14253" s="2" t="str">
        <f>"9781608054565"</f>
        <v>9781608054565</v>
      </c>
      <c r="F14253" s="2" t="str">
        <f>"9781608055180"</f>
        <v>9781608055180</v>
      </c>
    </row>
    <row r="14254" spans="1:6" s="3" customFormat="1" ht="29.1" customHeight="1" x14ac:dyDescent="0.25">
      <c r="A14254" s="2" t="s">
        <v>28531</v>
      </c>
      <c r="B14254" s="2" t="s">
        <v>28533</v>
      </c>
      <c r="C14254" s="2" t="s">
        <v>28510</v>
      </c>
      <c r="D14254" s="2" t="s">
        <v>28532</v>
      </c>
      <c r="E14254" s="2" t="str">
        <f>"9781608056323"</f>
        <v>9781608056323</v>
      </c>
      <c r="F14254" s="2" t="str">
        <f>"9781608054886"</f>
        <v>9781608054886</v>
      </c>
    </row>
    <row r="14255" spans="1:6" s="3" customFormat="1" ht="29.1" customHeight="1" x14ac:dyDescent="0.25">
      <c r="A14255" s="2" t="s">
        <v>28534</v>
      </c>
      <c r="B14255" s="2" t="s">
        <v>28535</v>
      </c>
      <c r="C14255" s="2" t="s">
        <v>28510</v>
      </c>
      <c r="D14255" s="2" t="s">
        <v>6994</v>
      </c>
      <c r="E14255" s="2" t="str">
        <f>"9781608056279"</f>
        <v>9781608056279</v>
      </c>
      <c r="F14255" s="2" t="str">
        <f>"9781608054831"</f>
        <v>9781608054831</v>
      </c>
    </row>
    <row r="14256" spans="1:6" s="3" customFormat="1" ht="29.1" customHeight="1" x14ac:dyDescent="0.25">
      <c r="A14256" s="2" t="s">
        <v>28536</v>
      </c>
      <c r="B14256" s="2" t="s">
        <v>28538</v>
      </c>
      <c r="C14256" s="2" t="s">
        <v>28510</v>
      </c>
      <c r="D14256" s="2" t="s">
        <v>28537</v>
      </c>
      <c r="E14256" s="2" t="str">
        <f>"9781608054381"</f>
        <v>9781608054381</v>
      </c>
      <c r="F14256" s="2" t="str">
        <f>"9781608054398"</f>
        <v>9781608054398</v>
      </c>
    </row>
    <row r="14257" spans="1:6" s="3" customFormat="1" ht="29.1" customHeight="1" x14ac:dyDescent="0.25">
      <c r="A14257" s="2" t="s">
        <v>28539</v>
      </c>
      <c r="B14257" s="2" t="s">
        <v>28540</v>
      </c>
      <c r="C14257" s="2" t="s">
        <v>28510</v>
      </c>
      <c r="D14257" s="2" t="s">
        <v>2411</v>
      </c>
      <c r="E14257" s="2" t="str">
        <f>"9781608054190"</f>
        <v>9781608054190</v>
      </c>
      <c r="F14257" s="2" t="str">
        <f>"9781608052844"</f>
        <v>9781608052844</v>
      </c>
    </row>
    <row r="14258" spans="1:6" s="3" customFormat="1" ht="29.1" customHeight="1" x14ac:dyDescent="0.25">
      <c r="A14258" s="2" t="s">
        <v>28541</v>
      </c>
      <c r="B14258" s="2" t="s">
        <v>28519</v>
      </c>
      <c r="C14258" s="2" t="s">
        <v>28510</v>
      </c>
      <c r="D14258" s="2" t="s">
        <v>28518</v>
      </c>
      <c r="E14258" s="2"/>
      <c r="F14258" s="2" t="str">
        <f>"9781608054633"</f>
        <v>9781608054633</v>
      </c>
    </row>
    <row r="14259" spans="1:6" s="3" customFormat="1" ht="29.1" customHeight="1" x14ac:dyDescent="0.25">
      <c r="A14259" s="2" t="s">
        <v>28542</v>
      </c>
      <c r="B14259" s="2" t="s">
        <v>28543</v>
      </c>
      <c r="C14259" s="2" t="s">
        <v>28510</v>
      </c>
      <c r="D14259" s="2" t="s">
        <v>98</v>
      </c>
      <c r="E14259" s="2" t="str">
        <f>"9781608054237"</f>
        <v>9781608054237</v>
      </c>
      <c r="F14259" s="2" t="str">
        <f>"9781608052820"</f>
        <v>9781608052820</v>
      </c>
    </row>
    <row r="14260" spans="1:6" s="3" customFormat="1" ht="29.1" customHeight="1" x14ac:dyDescent="0.25">
      <c r="A14260" s="2" t="s">
        <v>28544</v>
      </c>
      <c r="B14260" s="2" t="s">
        <v>28545</v>
      </c>
      <c r="C14260" s="2" t="s">
        <v>28510</v>
      </c>
      <c r="D14260" s="2" t="s">
        <v>13132</v>
      </c>
      <c r="E14260" s="2" t="str">
        <f>"9781608056774"</f>
        <v>9781608056774</v>
      </c>
      <c r="F14260" s="2" t="str">
        <f>"9781608052905"</f>
        <v>9781608052905</v>
      </c>
    </row>
    <row r="14261" spans="1:6" s="3" customFormat="1" ht="29.1" customHeight="1" x14ac:dyDescent="0.25">
      <c r="A14261" s="2" t="s">
        <v>28546</v>
      </c>
      <c r="B14261" s="2" t="s">
        <v>28547</v>
      </c>
      <c r="C14261" s="2" t="s">
        <v>28510</v>
      </c>
      <c r="D14261" s="2" t="s">
        <v>2361</v>
      </c>
      <c r="E14261" s="2" t="str">
        <f>"9781608055647"</f>
        <v>9781608055647</v>
      </c>
      <c r="F14261" s="2" t="str">
        <f>"9781608053414"</f>
        <v>9781608053414</v>
      </c>
    </row>
    <row r="14262" spans="1:6" s="3" customFormat="1" ht="29.1" customHeight="1" x14ac:dyDescent="0.25">
      <c r="A14262" s="2" t="s">
        <v>28548</v>
      </c>
      <c r="B14262" s="2" t="s">
        <v>28549</v>
      </c>
      <c r="C14262" s="2" t="s">
        <v>28510</v>
      </c>
      <c r="D14262" s="2" t="s">
        <v>8213</v>
      </c>
      <c r="E14262" s="2" t="str">
        <f>"9781608050710"</f>
        <v>9781608050710</v>
      </c>
      <c r="F14262" s="2" t="str">
        <f>"9781608053421"</f>
        <v>9781608053421</v>
      </c>
    </row>
    <row r="14263" spans="1:6" s="3" customFormat="1" ht="29.1" customHeight="1" x14ac:dyDescent="0.25">
      <c r="A14263" s="2" t="s">
        <v>28550</v>
      </c>
      <c r="B14263" s="2" t="s">
        <v>28551</v>
      </c>
      <c r="C14263" s="2" t="s">
        <v>28510</v>
      </c>
      <c r="D14263" s="2" t="s">
        <v>2086</v>
      </c>
      <c r="E14263" s="2" t="str">
        <f>"9781608056637"</f>
        <v>9781608056637</v>
      </c>
      <c r="F14263" s="2" t="str">
        <f>"9781608051212"</f>
        <v>9781608051212</v>
      </c>
    </row>
    <row r="14264" spans="1:6" s="3" customFormat="1" ht="29.1" customHeight="1" x14ac:dyDescent="0.25">
      <c r="A14264" s="2" t="s">
        <v>28552</v>
      </c>
      <c r="B14264" s="2" t="s">
        <v>28554</v>
      </c>
      <c r="C14264" s="2" t="s">
        <v>28510</v>
      </c>
      <c r="D14264" s="2" t="s">
        <v>28553</v>
      </c>
      <c r="E14264" s="2" t="str">
        <f>"9781608056255"</f>
        <v>9781608056255</v>
      </c>
      <c r="F14264" s="2" t="str">
        <f>"9781608050765"</f>
        <v>9781608050765</v>
      </c>
    </row>
    <row r="14265" spans="1:6" s="3" customFormat="1" ht="29.1" customHeight="1" x14ac:dyDescent="0.25">
      <c r="A14265" s="2" t="s">
        <v>28555</v>
      </c>
      <c r="B14265" s="2" t="s">
        <v>28556</v>
      </c>
      <c r="C14265" s="2" t="s">
        <v>28510</v>
      </c>
      <c r="D14265" s="2" t="s">
        <v>12520</v>
      </c>
      <c r="E14265" s="2" t="str">
        <f>"9781608050628"</f>
        <v>9781608050628</v>
      </c>
      <c r="F14265" s="2" t="str">
        <f>"9781608051823"</f>
        <v>9781608051823</v>
      </c>
    </row>
    <row r="14266" spans="1:6" s="3" customFormat="1" ht="29.1" customHeight="1" x14ac:dyDescent="0.25">
      <c r="A14266" s="2" t="s">
        <v>28557</v>
      </c>
      <c r="B14266" s="2" t="s">
        <v>28558</v>
      </c>
      <c r="C14266" s="2" t="s">
        <v>28510</v>
      </c>
      <c r="D14266" s="2" t="s">
        <v>11572</v>
      </c>
      <c r="E14266" s="2" t="str">
        <f>"9781608051014"</f>
        <v>9781608051014</v>
      </c>
      <c r="F14266" s="2" t="str">
        <f>"9781608050659"</f>
        <v>9781608050659</v>
      </c>
    </row>
    <row r="14267" spans="1:6" s="3" customFormat="1" ht="29.1" customHeight="1" x14ac:dyDescent="0.25">
      <c r="A14267" s="2" t="s">
        <v>28559</v>
      </c>
      <c r="B14267" s="2" t="s">
        <v>28560</v>
      </c>
      <c r="C14267" s="2" t="s">
        <v>28510</v>
      </c>
      <c r="D14267" s="2" t="s">
        <v>2263</v>
      </c>
      <c r="E14267" s="2" t="str">
        <f>"9781608057054"</f>
        <v>9781608057054</v>
      </c>
      <c r="F14267" s="2" t="str">
        <f>"9781608051694"</f>
        <v>9781608051694</v>
      </c>
    </row>
    <row r="14268" spans="1:6" s="3" customFormat="1" ht="29.1" customHeight="1" x14ac:dyDescent="0.25">
      <c r="A14268" s="2" t="s">
        <v>28561</v>
      </c>
      <c r="B14268" s="2" t="s">
        <v>28562</v>
      </c>
      <c r="C14268" s="2" t="s">
        <v>28510</v>
      </c>
      <c r="D14268" s="2" t="s">
        <v>1278</v>
      </c>
      <c r="E14268" s="2" t="str">
        <f>"9781608056347"</f>
        <v>9781608056347</v>
      </c>
      <c r="F14268" s="2" t="str">
        <f>"9781608050444"</f>
        <v>9781608050444</v>
      </c>
    </row>
    <row r="14269" spans="1:6" s="3" customFormat="1" ht="29.1" customHeight="1" x14ac:dyDescent="0.25">
      <c r="A14269" s="2" t="s">
        <v>28563</v>
      </c>
      <c r="B14269" s="2" t="s">
        <v>28565</v>
      </c>
      <c r="C14269" s="2" t="s">
        <v>28510</v>
      </c>
      <c r="D14269" s="2" t="s">
        <v>28564</v>
      </c>
      <c r="E14269" s="2" t="str">
        <f>"9781608056224"</f>
        <v>9781608056224</v>
      </c>
      <c r="F14269" s="2" t="str">
        <f>"9781608050703"</f>
        <v>9781608050703</v>
      </c>
    </row>
    <row r="14270" spans="1:6" s="3" customFormat="1" ht="29.1" customHeight="1" x14ac:dyDescent="0.25">
      <c r="A14270" s="2" t="s">
        <v>1483</v>
      </c>
      <c r="B14270" s="2" t="s">
        <v>28566</v>
      </c>
      <c r="C14270" s="2" t="s">
        <v>1070</v>
      </c>
      <c r="D14270" s="2" t="s">
        <v>1071</v>
      </c>
      <c r="E14270" s="2" t="str">
        <f>"9783318070750"</f>
        <v>9783318070750</v>
      </c>
      <c r="F14270" s="2" t="str">
        <f>"9783318072129"</f>
        <v>9783318072129</v>
      </c>
    </row>
    <row r="14271" spans="1:6" s="3" customFormat="1" ht="29.1" customHeight="1" x14ac:dyDescent="0.25">
      <c r="A14271" s="2" t="s">
        <v>28567</v>
      </c>
      <c r="B14271" s="2" t="s">
        <v>28568</v>
      </c>
      <c r="C14271" s="2" t="s">
        <v>62</v>
      </c>
      <c r="D14271" s="2" t="s">
        <v>930</v>
      </c>
      <c r="E14271" s="2" t="str">
        <f>"9783428155088"</f>
        <v>9783428155088</v>
      </c>
      <c r="F14271" s="2" t="str">
        <f>"9783428555086"</f>
        <v>9783428555086</v>
      </c>
    </row>
    <row r="14272" spans="1:6" s="3" customFormat="1" ht="29.1" customHeight="1" x14ac:dyDescent="0.25">
      <c r="A14272" s="2" t="s">
        <v>28569</v>
      </c>
      <c r="B14272" s="2" t="s">
        <v>28570</v>
      </c>
      <c r="C14272" s="2" t="s">
        <v>264</v>
      </c>
      <c r="D14272" s="2" t="s">
        <v>758</v>
      </c>
      <c r="E14272" s="2" t="str">
        <f>"9781032373546"</f>
        <v>9781032373546</v>
      </c>
      <c r="F14272" s="2" t="str">
        <f>"9781000821710"</f>
        <v>9781000821710</v>
      </c>
    </row>
    <row r="14273" spans="1:6" s="3" customFormat="1" ht="29.1" customHeight="1" x14ac:dyDescent="0.25">
      <c r="A14273" s="2" t="s">
        <v>28571</v>
      </c>
      <c r="B14273" s="2" t="s">
        <v>28572</v>
      </c>
      <c r="C14273" s="2" t="s">
        <v>248</v>
      </c>
      <c r="D14273" s="2" t="s">
        <v>553</v>
      </c>
      <c r="E14273" s="2" t="str">
        <f>"9783847426707"</f>
        <v>9783847426707</v>
      </c>
      <c r="F14273" s="2" t="str">
        <f>"9783847418429"</f>
        <v>9783847418429</v>
      </c>
    </row>
    <row r="14274" spans="1:6" s="3" customFormat="1" ht="29.1" customHeight="1" x14ac:dyDescent="0.25">
      <c r="A14274" s="2" t="s">
        <v>28573</v>
      </c>
      <c r="B14274" s="2" t="s">
        <v>28574</v>
      </c>
      <c r="C14274" s="2" t="s">
        <v>124</v>
      </c>
      <c r="D14274" s="2" t="s">
        <v>1411</v>
      </c>
      <c r="E14274" s="2" t="str">
        <f>"9781032285092"</f>
        <v>9781032285092</v>
      </c>
      <c r="F14274" s="2" t="str">
        <f>"9781000829860"</f>
        <v>9781000829860</v>
      </c>
    </row>
    <row r="14275" spans="1:6" s="3" customFormat="1" ht="29.1" customHeight="1" x14ac:dyDescent="0.25">
      <c r="A14275" s="2" t="s">
        <v>28575</v>
      </c>
      <c r="B14275" s="2" t="s">
        <v>28576</v>
      </c>
      <c r="C14275" s="2" t="s">
        <v>124</v>
      </c>
      <c r="D14275" s="2" t="s">
        <v>6128</v>
      </c>
      <c r="E14275" s="2" t="str">
        <f>"9781032407678"</f>
        <v>9781032407678</v>
      </c>
      <c r="F14275" s="2" t="str">
        <f>"9781000857603"</f>
        <v>9781000857603</v>
      </c>
    </row>
    <row r="14276" spans="1:6" s="3" customFormat="1" ht="29.1" customHeight="1" x14ac:dyDescent="0.25">
      <c r="A14276" s="2" t="s">
        <v>28577</v>
      </c>
      <c r="B14276" s="2" t="s">
        <v>28578</v>
      </c>
      <c r="C14276" s="2" t="s">
        <v>195</v>
      </c>
      <c r="D14276" s="2" t="s">
        <v>1189</v>
      </c>
      <c r="E14276" s="2"/>
      <c r="F14276" s="2" t="str">
        <f>"9783868598322"</f>
        <v>9783868598322</v>
      </c>
    </row>
    <row r="14277" spans="1:6" s="3" customFormat="1" ht="29.1" customHeight="1" x14ac:dyDescent="0.25">
      <c r="A14277" s="2" t="s">
        <v>28579</v>
      </c>
      <c r="B14277" s="2" t="s">
        <v>28580</v>
      </c>
      <c r="C14277" s="2" t="s">
        <v>195</v>
      </c>
      <c r="D14277" s="2" t="s">
        <v>9441</v>
      </c>
      <c r="E14277" s="2"/>
      <c r="F14277" s="2" t="str">
        <f>"9783868598353"</f>
        <v>9783868598353</v>
      </c>
    </row>
    <row r="14278" spans="1:6" s="3" customFormat="1" ht="29.1" customHeight="1" x14ac:dyDescent="0.25">
      <c r="A14278" s="2" t="s">
        <v>28581</v>
      </c>
      <c r="B14278" s="2" t="s">
        <v>28582</v>
      </c>
      <c r="C14278" s="2" t="s">
        <v>195</v>
      </c>
      <c r="D14278" s="2" t="s">
        <v>26993</v>
      </c>
      <c r="E14278" s="2" t="str">
        <f>"9783868597417"</f>
        <v>9783868597417</v>
      </c>
      <c r="F14278" s="2" t="str">
        <f>"9783868597967"</f>
        <v>9783868597967</v>
      </c>
    </row>
    <row r="14279" spans="1:6" s="3" customFormat="1" ht="29.1" customHeight="1" x14ac:dyDescent="0.25">
      <c r="A14279" s="2" t="s">
        <v>27770</v>
      </c>
      <c r="B14279" s="2" t="s">
        <v>28583</v>
      </c>
      <c r="C14279" s="2" t="s">
        <v>195</v>
      </c>
      <c r="D14279" s="2" t="s">
        <v>1127</v>
      </c>
      <c r="E14279" s="2" t="str">
        <f>"9783868597431"</f>
        <v>9783868597431</v>
      </c>
      <c r="F14279" s="2" t="str">
        <f>"9783868597943"</f>
        <v>9783868597943</v>
      </c>
    </row>
    <row r="14280" spans="1:6" s="3" customFormat="1" ht="29.1" customHeight="1" x14ac:dyDescent="0.25">
      <c r="A14280" s="2" t="s">
        <v>27770</v>
      </c>
      <c r="B14280" s="2" t="s">
        <v>28583</v>
      </c>
      <c r="C14280" s="2" t="s">
        <v>195</v>
      </c>
      <c r="D14280" s="2" t="s">
        <v>1127</v>
      </c>
      <c r="E14280" s="2" t="str">
        <f>"9783868597424"</f>
        <v>9783868597424</v>
      </c>
      <c r="F14280" s="2" t="str">
        <f>"9783868597936"</f>
        <v>9783868597936</v>
      </c>
    </row>
    <row r="14281" spans="1:6" s="3" customFormat="1" ht="29.1" customHeight="1" x14ac:dyDescent="0.25">
      <c r="A14281" s="2" t="s">
        <v>28584</v>
      </c>
      <c r="B14281" s="2" t="s">
        <v>28585</v>
      </c>
      <c r="C14281" s="2" t="s">
        <v>195</v>
      </c>
      <c r="D14281" s="2" t="s">
        <v>9441</v>
      </c>
      <c r="E14281" s="2" t="str">
        <f>"9783868598582"</f>
        <v>9783868598582</v>
      </c>
      <c r="F14281" s="2" t="str">
        <f>"9783868599947"</f>
        <v>9783868599947</v>
      </c>
    </row>
    <row r="14282" spans="1:6" s="3" customFormat="1" ht="29.1" customHeight="1" x14ac:dyDescent="0.25">
      <c r="A14282" s="2" t="s">
        <v>28586</v>
      </c>
      <c r="B14282" s="2" t="s">
        <v>4617</v>
      </c>
      <c r="C14282" s="2" t="s">
        <v>195</v>
      </c>
      <c r="D14282" s="2" t="s">
        <v>3130</v>
      </c>
      <c r="E14282" s="2" t="str">
        <f>"9783110997927"</f>
        <v>9783110997927</v>
      </c>
      <c r="F14282" s="2" t="str">
        <f>"9783110988383"</f>
        <v>9783110988383</v>
      </c>
    </row>
    <row r="14283" spans="1:6" s="3" customFormat="1" ht="29.1" customHeight="1" x14ac:dyDescent="0.25">
      <c r="A14283" s="2" t="s">
        <v>28587</v>
      </c>
      <c r="B14283" s="2" t="s">
        <v>28588</v>
      </c>
      <c r="C14283" s="2" t="s">
        <v>195</v>
      </c>
      <c r="D14283" s="2" t="s">
        <v>297</v>
      </c>
      <c r="E14283" s="2" t="str">
        <f>"9783940671639"</f>
        <v>9783940671639</v>
      </c>
      <c r="F14283" s="2" t="str">
        <f>"9783110720044"</f>
        <v>9783110720044</v>
      </c>
    </row>
    <row r="14284" spans="1:6" s="3" customFormat="1" ht="29.1" customHeight="1" x14ac:dyDescent="0.25">
      <c r="A14284" s="2" t="s">
        <v>28589</v>
      </c>
      <c r="B14284" s="2" t="s">
        <v>28590</v>
      </c>
      <c r="C14284" s="2" t="s">
        <v>195</v>
      </c>
      <c r="D14284" s="2" t="s">
        <v>1127</v>
      </c>
      <c r="E14284" s="2" t="str">
        <f>"9783035625950"</f>
        <v>9783035625950</v>
      </c>
      <c r="F14284" s="2" t="str">
        <f>"9783035625967"</f>
        <v>9783035625967</v>
      </c>
    </row>
    <row r="14285" spans="1:6" s="3" customFormat="1" ht="29.1" customHeight="1" x14ac:dyDescent="0.25">
      <c r="A14285" s="2" t="s">
        <v>28591</v>
      </c>
      <c r="B14285" s="2" t="s">
        <v>28592</v>
      </c>
      <c r="C14285" s="2" t="s">
        <v>195</v>
      </c>
      <c r="D14285" s="2" t="s">
        <v>1127</v>
      </c>
      <c r="E14285" s="2" t="str">
        <f>"9783035625004"</f>
        <v>9783035625004</v>
      </c>
      <c r="F14285" s="2" t="str">
        <f>"9783035625011"</f>
        <v>9783035625011</v>
      </c>
    </row>
    <row r="14286" spans="1:6" s="3" customFormat="1" ht="29.1" customHeight="1" x14ac:dyDescent="0.25">
      <c r="A14286" s="2" t="s">
        <v>28593</v>
      </c>
      <c r="B14286" s="2" t="s">
        <v>28594</v>
      </c>
      <c r="C14286" s="2" t="s">
        <v>195</v>
      </c>
      <c r="D14286" s="2" t="s">
        <v>4908</v>
      </c>
      <c r="E14286" s="2" t="str">
        <f>"9783035623765"</f>
        <v>9783035623765</v>
      </c>
      <c r="F14286" s="2" t="str">
        <f>"9783035623772"</f>
        <v>9783035623772</v>
      </c>
    </row>
    <row r="14287" spans="1:6" s="3" customFormat="1" ht="29.1" customHeight="1" x14ac:dyDescent="0.25">
      <c r="A14287" s="2" t="s">
        <v>28595</v>
      </c>
      <c r="B14287" s="2" t="s">
        <v>28596</v>
      </c>
      <c r="C14287" s="2" t="s">
        <v>149</v>
      </c>
      <c r="D14287" s="2" t="s">
        <v>841</v>
      </c>
      <c r="E14287" s="2"/>
      <c r="F14287" s="2" t="str">
        <f>"9781800648654"</f>
        <v>9781800648654</v>
      </c>
    </row>
    <row r="14288" spans="1:6" s="3" customFormat="1" ht="29.1" customHeight="1" x14ac:dyDescent="0.25">
      <c r="A14288" s="2" t="s">
        <v>28597</v>
      </c>
      <c r="B14288" s="2" t="s">
        <v>28598</v>
      </c>
      <c r="C14288" s="2" t="s">
        <v>149</v>
      </c>
      <c r="D14288" s="2" t="s">
        <v>4739</v>
      </c>
      <c r="E14288" s="2"/>
      <c r="F14288" s="2" t="str">
        <f>"9781800648234"</f>
        <v>9781800648234</v>
      </c>
    </row>
    <row r="14289" spans="1:6" s="3" customFormat="1" ht="29.1" customHeight="1" x14ac:dyDescent="0.25">
      <c r="A14289" s="2" t="s">
        <v>28599</v>
      </c>
      <c r="B14289" s="2" t="s">
        <v>28600</v>
      </c>
      <c r="C14289" s="2" t="s">
        <v>124</v>
      </c>
      <c r="D14289" s="2" t="s">
        <v>1262</v>
      </c>
      <c r="E14289" s="2" t="str">
        <f>"9781032311050"</f>
        <v>9781032311050</v>
      </c>
      <c r="F14289" s="2" t="str">
        <f>"9781000848182"</f>
        <v>9781000848182</v>
      </c>
    </row>
    <row r="14290" spans="1:6" s="3" customFormat="1" ht="29.1" customHeight="1" x14ac:dyDescent="0.25">
      <c r="A14290" s="2" t="s">
        <v>28601</v>
      </c>
      <c r="B14290" s="2" t="s">
        <v>28603</v>
      </c>
      <c r="C14290" s="2" t="s">
        <v>746</v>
      </c>
      <c r="D14290" s="2" t="s">
        <v>28602</v>
      </c>
      <c r="E14290" s="2" t="str">
        <f>"9781803273600"</f>
        <v>9781803273600</v>
      </c>
      <c r="F14290" s="2" t="str">
        <f>"9781803273617"</f>
        <v>9781803273617</v>
      </c>
    </row>
    <row r="14291" spans="1:6" s="3" customFormat="1" ht="29.1" customHeight="1" x14ac:dyDescent="0.25">
      <c r="A14291" s="2" t="s">
        <v>28604</v>
      </c>
      <c r="B14291" s="2" t="s">
        <v>28605</v>
      </c>
      <c r="C14291" s="2" t="s">
        <v>124</v>
      </c>
      <c r="D14291" s="2" t="s">
        <v>2271</v>
      </c>
      <c r="E14291" s="2" t="str">
        <f>"9781032412665"</f>
        <v>9781032412665</v>
      </c>
      <c r="F14291" s="2" t="str">
        <f>"9781000836172"</f>
        <v>9781000836172</v>
      </c>
    </row>
    <row r="14292" spans="1:6" s="3" customFormat="1" ht="29.1" customHeight="1" x14ac:dyDescent="0.25">
      <c r="A14292" s="2" t="s">
        <v>28606</v>
      </c>
      <c r="B14292" s="2" t="s">
        <v>28607</v>
      </c>
      <c r="C14292" s="2" t="s">
        <v>124</v>
      </c>
      <c r="D14292" s="2" t="s">
        <v>647</v>
      </c>
      <c r="E14292" s="2" t="str">
        <f>"9781032042381"</f>
        <v>9781032042381</v>
      </c>
      <c r="F14292" s="2" t="str">
        <f>"9781000830163"</f>
        <v>9781000830163</v>
      </c>
    </row>
    <row r="14293" spans="1:6" s="3" customFormat="1" ht="29.1" customHeight="1" x14ac:dyDescent="0.25">
      <c r="A14293" s="2" t="s">
        <v>28608</v>
      </c>
      <c r="B14293" s="2" t="s">
        <v>28609</v>
      </c>
      <c r="C14293" s="2" t="s">
        <v>28510</v>
      </c>
      <c r="D14293" s="2" t="s">
        <v>1275</v>
      </c>
      <c r="E14293" s="2" t="str">
        <f>"9781681087887"</f>
        <v>9781681087887</v>
      </c>
      <c r="F14293" s="2" t="str">
        <f>"9781681087870"</f>
        <v>9781681087870</v>
      </c>
    </row>
    <row r="14294" spans="1:6" s="3" customFormat="1" ht="29.1" customHeight="1" x14ac:dyDescent="0.25">
      <c r="A14294" s="2" t="s">
        <v>28610</v>
      </c>
      <c r="B14294" s="2" t="s">
        <v>28611</v>
      </c>
      <c r="C14294" s="2" t="s">
        <v>124</v>
      </c>
      <c r="D14294" s="2" t="s">
        <v>294</v>
      </c>
      <c r="E14294" s="2" t="str">
        <f>"9781032007267"</f>
        <v>9781032007267</v>
      </c>
      <c r="F14294" s="2" t="str">
        <f>"9781000814651"</f>
        <v>9781000814651</v>
      </c>
    </row>
    <row r="14295" spans="1:6" s="3" customFormat="1" ht="29.1" customHeight="1" x14ac:dyDescent="0.25">
      <c r="A14295" s="2" t="s">
        <v>28612</v>
      </c>
      <c r="B14295" s="2" t="s">
        <v>28613</v>
      </c>
      <c r="C14295" s="2" t="s">
        <v>2133</v>
      </c>
      <c r="D14295" s="2" t="s">
        <v>9312</v>
      </c>
      <c r="E14295" s="2" t="str">
        <f>"9781760465438"</f>
        <v>9781760465438</v>
      </c>
      <c r="F14295" s="2" t="str">
        <f>"9781760465445"</f>
        <v>9781760465445</v>
      </c>
    </row>
    <row r="14296" spans="1:6" s="3" customFormat="1" ht="29.1" customHeight="1" x14ac:dyDescent="0.25">
      <c r="A14296" s="2" t="s">
        <v>28614</v>
      </c>
      <c r="B14296" s="2" t="s">
        <v>28615</v>
      </c>
      <c r="C14296" s="2" t="s">
        <v>2133</v>
      </c>
      <c r="D14296" s="2" t="s">
        <v>92</v>
      </c>
      <c r="E14296" s="2" t="str">
        <f>"9781760465414"</f>
        <v>9781760465414</v>
      </c>
      <c r="F14296" s="2" t="str">
        <f>"9781760465421"</f>
        <v>9781760465421</v>
      </c>
    </row>
    <row r="14297" spans="1:6" s="3" customFormat="1" ht="29.1" customHeight="1" x14ac:dyDescent="0.25">
      <c r="A14297" s="2" t="s">
        <v>28616</v>
      </c>
      <c r="B14297" s="2" t="s">
        <v>28617</v>
      </c>
      <c r="C14297" s="2" t="s">
        <v>927</v>
      </c>
      <c r="D14297" s="2" t="s">
        <v>2208</v>
      </c>
      <c r="E14297" s="2" t="str">
        <f>"9780472055777"</f>
        <v>9780472055777</v>
      </c>
      <c r="F14297" s="2" t="str">
        <f>"9780472903740"</f>
        <v>9780472903740</v>
      </c>
    </row>
    <row r="14298" spans="1:6" s="3" customFormat="1" ht="29.1" customHeight="1" x14ac:dyDescent="0.25">
      <c r="A14298" s="2" t="s">
        <v>28618</v>
      </c>
      <c r="B14298" s="2" t="s">
        <v>28619</v>
      </c>
      <c r="C14298" s="2" t="s">
        <v>927</v>
      </c>
      <c r="D14298" s="2" t="s">
        <v>270</v>
      </c>
      <c r="E14298" s="2" t="str">
        <f>"9780472133369"</f>
        <v>9780472133369</v>
      </c>
      <c r="F14298" s="2" t="str">
        <f>"9780472221004"</f>
        <v>9780472221004</v>
      </c>
    </row>
    <row r="14299" spans="1:6" s="3" customFormat="1" ht="29.1" customHeight="1" x14ac:dyDescent="0.25">
      <c r="A14299" s="2" t="s">
        <v>28620</v>
      </c>
      <c r="B14299" s="2" t="s">
        <v>28621</v>
      </c>
      <c r="C14299" s="2" t="s">
        <v>124</v>
      </c>
      <c r="D14299" s="2" t="s">
        <v>189</v>
      </c>
      <c r="E14299" s="2" t="str">
        <f>"9781032350073"</f>
        <v>9781032350073</v>
      </c>
      <c r="F14299" s="2" t="str">
        <f>"9781000835083"</f>
        <v>9781000835083</v>
      </c>
    </row>
    <row r="14300" spans="1:6" s="3" customFormat="1" ht="29.1" customHeight="1" x14ac:dyDescent="0.25">
      <c r="A14300" s="2" t="s">
        <v>28622</v>
      </c>
      <c r="B14300" s="2" t="s">
        <v>28623</v>
      </c>
      <c r="C14300" s="2" t="s">
        <v>124</v>
      </c>
      <c r="D14300" s="2" t="s">
        <v>270</v>
      </c>
      <c r="E14300" s="2" t="str">
        <f>"9781032450827"</f>
        <v>9781032450827</v>
      </c>
      <c r="F14300" s="2" t="str">
        <f>"9781000851649"</f>
        <v>9781000851649</v>
      </c>
    </row>
    <row r="14301" spans="1:6" s="3" customFormat="1" ht="29.1" customHeight="1" x14ac:dyDescent="0.25">
      <c r="A14301" s="2" t="s">
        <v>28624</v>
      </c>
      <c r="B14301" s="2" t="s">
        <v>28625</v>
      </c>
      <c r="C14301" s="2" t="s">
        <v>124</v>
      </c>
      <c r="D14301" s="2" t="s">
        <v>818</v>
      </c>
      <c r="E14301" s="2" t="str">
        <f>"9781032229973"</f>
        <v>9781032229973</v>
      </c>
      <c r="F14301" s="2" t="str">
        <f>"9781000845013"</f>
        <v>9781000845013</v>
      </c>
    </row>
    <row r="14302" spans="1:6" s="3" customFormat="1" ht="29.1" customHeight="1" x14ac:dyDescent="0.25">
      <c r="A14302" s="2" t="s">
        <v>1338</v>
      </c>
      <c r="B14302" s="2" t="s">
        <v>28626</v>
      </c>
      <c r="C14302" s="2" t="s">
        <v>1070</v>
      </c>
      <c r="D14302" s="2" t="s">
        <v>1272</v>
      </c>
      <c r="E14302" s="2" t="str">
        <f>"9783318067361"</f>
        <v>9783318067361</v>
      </c>
      <c r="F14302" s="2" t="str">
        <f>"9783318072150"</f>
        <v>9783318072150</v>
      </c>
    </row>
    <row r="14303" spans="1:6" s="3" customFormat="1" ht="29.1" customHeight="1" x14ac:dyDescent="0.25">
      <c r="A14303" s="2" t="s">
        <v>28627</v>
      </c>
      <c r="B14303" s="2" t="s">
        <v>28628</v>
      </c>
      <c r="C14303" s="2" t="s">
        <v>248</v>
      </c>
      <c r="D14303" s="2" t="s">
        <v>855</v>
      </c>
      <c r="E14303" s="2" t="str">
        <f>"9783966650434"</f>
        <v>9783966650434</v>
      </c>
      <c r="F14303" s="2" t="str">
        <f>"9783966659550"</f>
        <v>9783966659550</v>
      </c>
    </row>
    <row r="14304" spans="1:6" s="3" customFormat="1" ht="29.1" customHeight="1" x14ac:dyDescent="0.25">
      <c r="A14304" s="2" t="s">
        <v>28629</v>
      </c>
      <c r="B14304" s="2" t="s">
        <v>28630</v>
      </c>
      <c r="C14304" s="2" t="s">
        <v>248</v>
      </c>
      <c r="D14304" s="2" t="s">
        <v>37</v>
      </c>
      <c r="E14304" s="2" t="str">
        <f>"9783847426318"</f>
        <v>9783847426318</v>
      </c>
      <c r="F14304" s="2" t="str">
        <f>"9783847417927"</f>
        <v>9783847417927</v>
      </c>
    </row>
    <row r="14305" spans="1:6" s="3" customFormat="1" ht="29.1" customHeight="1" x14ac:dyDescent="0.25">
      <c r="A14305" s="2" t="s">
        <v>28631</v>
      </c>
      <c r="B14305" s="2" t="s">
        <v>28632</v>
      </c>
      <c r="C14305" s="2" t="s">
        <v>248</v>
      </c>
      <c r="D14305" s="2" t="s">
        <v>37</v>
      </c>
      <c r="E14305" s="2" t="str">
        <f>"9783847426257"</f>
        <v>9783847426257</v>
      </c>
      <c r="F14305" s="2" t="str">
        <f>"9783847417798"</f>
        <v>9783847417798</v>
      </c>
    </row>
    <row r="14306" spans="1:6" s="3" customFormat="1" ht="29.1" customHeight="1" x14ac:dyDescent="0.25">
      <c r="A14306" s="2" t="s">
        <v>28633</v>
      </c>
      <c r="B14306" s="2" t="s">
        <v>28634</v>
      </c>
      <c r="C14306" s="2" t="s">
        <v>248</v>
      </c>
      <c r="D14306" s="2" t="s">
        <v>490</v>
      </c>
      <c r="E14306" s="2" t="str">
        <f>"9783847426240"</f>
        <v>9783847426240</v>
      </c>
      <c r="F14306" s="2" t="str">
        <f>"9783847417859"</f>
        <v>9783847417859</v>
      </c>
    </row>
    <row r="14307" spans="1:6" s="3" customFormat="1" ht="29.1" customHeight="1" x14ac:dyDescent="0.25">
      <c r="A14307" s="2" t="s">
        <v>28635</v>
      </c>
      <c r="B14307" s="2" t="s">
        <v>28636</v>
      </c>
      <c r="C14307" s="2" t="s">
        <v>248</v>
      </c>
      <c r="D14307" s="2" t="s">
        <v>2899</v>
      </c>
      <c r="E14307" s="2" t="str">
        <f>"9783966650632"</f>
        <v>9783966650632</v>
      </c>
      <c r="F14307" s="2" t="str">
        <f>"9783966659321"</f>
        <v>9783966659321</v>
      </c>
    </row>
    <row r="14308" spans="1:6" s="3" customFormat="1" ht="29.1" customHeight="1" x14ac:dyDescent="0.25">
      <c r="A14308" s="2" t="s">
        <v>28637</v>
      </c>
      <c r="B14308" s="2" t="s">
        <v>28638</v>
      </c>
      <c r="C14308" s="2" t="s">
        <v>556</v>
      </c>
      <c r="D14308" s="2" t="s">
        <v>1189</v>
      </c>
      <c r="E14308" s="2" t="str">
        <f>"9783837665086"</f>
        <v>9783837665086</v>
      </c>
      <c r="F14308" s="2" t="str">
        <f>"9783839465080"</f>
        <v>9783839465080</v>
      </c>
    </row>
    <row r="14309" spans="1:6" s="3" customFormat="1" ht="29.1" customHeight="1" x14ac:dyDescent="0.25">
      <c r="A14309" s="2" t="s">
        <v>28639</v>
      </c>
      <c r="B14309" s="2" t="s">
        <v>28640</v>
      </c>
      <c r="C14309" s="2" t="s">
        <v>556</v>
      </c>
      <c r="D14309" s="2" t="s">
        <v>1262</v>
      </c>
      <c r="E14309" s="2" t="str">
        <f>"9783837664461"</f>
        <v>9783837664461</v>
      </c>
      <c r="F14309" s="2" t="str">
        <f>"9783839464465"</f>
        <v>9783839464465</v>
      </c>
    </row>
    <row r="14310" spans="1:6" s="3" customFormat="1" ht="29.1" customHeight="1" x14ac:dyDescent="0.25">
      <c r="A14310" s="2" t="s">
        <v>28641</v>
      </c>
      <c r="B14310" s="2" t="s">
        <v>28642</v>
      </c>
      <c r="C14310" s="2" t="s">
        <v>556</v>
      </c>
      <c r="D14310" s="2" t="s">
        <v>183</v>
      </c>
      <c r="E14310" s="2" t="str">
        <f>"9783837666359"</f>
        <v>9783837666359</v>
      </c>
      <c r="F14310" s="2" t="str">
        <f>"9783732866359"</f>
        <v>9783732866359</v>
      </c>
    </row>
    <row r="14311" spans="1:6" s="3" customFormat="1" ht="29.1" customHeight="1" x14ac:dyDescent="0.25">
      <c r="A14311" s="2" t="s">
        <v>28643</v>
      </c>
      <c r="B14311" s="2" t="s">
        <v>28644</v>
      </c>
      <c r="C14311" s="2" t="s">
        <v>556</v>
      </c>
      <c r="D14311" s="2" t="s">
        <v>712</v>
      </c>
      <c r="E14311" s="2" t="str">
        <f>"9783837666311"</f>
        <v>9783837666311</v>
      </c>
      <c r="F14311" s="2" t="str">
        <f>"9783839466315"</f>
        <v>9783839466315</v>
      </c>
    </row>
    <row r="14312" spans="1:6" s="3" customFormat="1" ht="29.1" customHeight="1" x14ac:dyDescent="0.25">
      <c r="A14312" s="2" t="s">
        <v>28645</v>
      </c>
      <c r="B14312" s="2" t="s">
        <v>28646</v>
      </c>
      <c r="C14312" s="2" t="s">
        <v>556</v>
      </c>
      <c r="D14312" s="2" t="s">
        <v>647</v>
      </c>
      <c r="E14312" s="2" t="str">
        <f>"9783837665253"</f>
        <v>9783837665253</v>
      </c>
      <c r="F14312" s="2" t="str">
        <f>"9783839465257"</f>
        <v>9783839465257</v>
      </c>
    </row>
    <row r="14313" spans="1:6" s="3" customFormat="1" ht="29.1" customHeight="1" x14ac:dyDescent="0.25">
      <c r="A14313" s="2" t="s">
        <v>28647</v>
      </c>
      <c r="B14313" s="2" t="s">
        <v>28648</v>
      </c>
      <c r="C14313" s="2" t="s">
        <v>556</v>
      </c>
      <c r="D14313" s="2" t="s">
        <v>183</v>
      </c>
      <c r="E14313" s="2" t="str">
        <f>"9783837665246"</f>
        <v>9783837665246</v>
      </c>
      <c r="F14313" s="2" t="str">
        <f>"9783732865246"</f>
        <v>9783732865246</v>
      </c>
    </row>
    <row r="14314" spans="1:6" s="3" customFormat="1" ht="29.1" customHeight="1" x14ac:dyDescent="0.25">
      <c r="A14314" s="2" t="s">
        <v>28649</v>
      </c>
      <c r="B14314" s="2" t="s">
        <v>13561</v>
      </c>
      <c r="C14314" s="2" t="s">
        <v>556</v>
      </c>
      <c r="D14314" s="2" t="s">
        <v>636</v>
      </c>
      <c r="E14314" s="2" t="str">
        <f>"9783837665222"</f>
        <v>9783837665222</v>
      </c>
      <c r="F14314" s="2" t="str">
        <f>"9783839465226"</f>
        <v>9783839465226</v>
      </c>
    </row>
    <row r="14315" spans="1:6" s="3" customFormat="1" ht="29.1" customHeight="1" x14ac:dyDescent="0.25">
      <c r="A14315" s="2" t="s">
        <v>28650</v>
      </c>
      <c r="B14315" s="2" t="s">
        <v>28651</v>
      </c>
      <c r="C14315" s="2" t="s">
        <v>556</v>
      </c>
      <c r="D14315" s="2" t="s">
        <v>1262</v>
      </c>
      <c r="E14315" s="2" t="str">
        <f>"9783837665147"</f>
        <v>9783837665147</v>
      </c>
      <c r="F14315" s="2" t="str">
        <f>"9783839465141"</f>
        <v>9783839465141</v>
      </c>
    </row>
    <row r="14316" spans="1:6" s="3" customFormat="1" ht="29.1" customHeight="1" x14ac:dyDescent="0.25">
      <c r="A14316" s="2" t="s">
        <v>28652</v>
      </c>
      <c r="B14316" s="2" t="s">
        <v>28653</v>
      </c>
      <c r="C14316" s="2" t="s">
        <v>556</v>
      </c>
      <c r="D14316" s="2" t="s">
        <v>4013</v>
      </c>
      <c r="E14316" s="2" t="str">
        <f>"9783837665109"</f>
        <v>9783837665109</v>
      </c>
      <c r="F14316" s="2" t="str">
        <f>"9783839465103"</f>
        <v>9783839465103</v>
      </c>
    </row>
    <row r="14317" spans="1:6" s="3" customFormat="1" ht="29.1" customHeight="1" x14ac:dyDescent="0.25">
      <c r="A14317" s="2" t="s">
        <v>28654</v>
      </c>
      <c r="B14317" s="2" t="s">
        <v>28655</v>
      </c>
      <c r="C14317" s="2" t="s">
        <v>556</v>
      </c>
      <c r="D14317" s="2" t="s">
        <v>1141</v>
      </c>
      <c r="E14317" s="2" t="str">
        <f>"9783837665048"</f>
        <v>9783837665048</v>
      </c>
      <c r="F14317" s="2" t="str">
        <f>"9783732865048"</f>
        <v>9783732865048</v>
      </c>
    </row>
    <row r="14318" spans="1:6" s="3" customFormat="1" ht="29.1" customHeight="1" x14ac:dyDescent="0.25">
      <c r="A14318" s="2" t="s">
        <v>28656</v>
      </c>
      <c r="B14318" s="2" t="s">
        <v>28657</v>
      </c>
      <c r="C14318" s="2" t="s">
        <v>556</v>
      </c>
      <c r="D14318" s="2" t="s">
        <v>446</v>
      </c>
      <c r="E14318" s="2" t="str">
        <f>"9783837665031"</f>
        <v>9783837665031</v>
      </c>
      <c r="F14318" s="2" t="str">
        <f>"9783839465035"</f>
        <v>9783839465035</v>
      </c>
    </row>
    <row r="14319" spans="1:6" s="3" customFormat="1" ht="29.1" customHeight="1" x14ac:dyDescent="0.25">
      <c r="A14319" s="2" t="s">
        <v>28658</v>
      </c>
      <c r="B14319" s="2" t="s">
        <v>28659</v>
      </c>
      <c r="C14319" s="2" t="s">
        <v>556</v>
      </c>
      <c r="D14319" s="2" t="s">
        <v>446</v>
      </c>
      <c r="E14319" s="2" t="str">
        <f>"9783837664997"</f>
        <v>9783837664997</v>
      </c>
      <c r="F14319" s="2" t="str">
        <f>"9783839464991"</f>
        <v>9783839464991</v>
      </c>
    </row>
    <row r="14320" spans="1:6" s="3" customFormat="1" ht="29.1" customHeight="1" x14ac:dyDescent="0.25">
      <c r="A14320" s="2" t="s">
        <v>28660</v>
      </c>
      <c r="B14320" s="2" t="s">
        <v>28661</v>
      </c>
      <c r="C14320" s="2" t="s">
        <v>556</v>
      </c>
      <c r="D14320" s="2" t="s">
        <v>1422</v>
      </c>
      <c r="E14320" s="2" t="str">
        <f>"9783837664935"</f>
        <v>9783837664935</v>
      </c>
      <c r="F14320" s="2" t="str">
        <f>"9783839464939"</f>
        <v>9783839464939</v>
      </c>
    </row>
    <row r="14321" spans="1:6" s="3" customFormat="1" ht="29.1" customHeight="1" x14ac:dyDescent="0.25">
      <c r="A14321" s="2" t="s">
        <v>28662</v>
      </c>
      <c r="B14321" s="2" t="s">
        <v>28663</v>
      </c>
      <c r="C14321" s="2" t="s">
        <v>556</v>
      </c>
      <c r="D14321" s="2" t="s">
        <v>2341</v>
      </c>
      <c r="E14321" s="2" t="str">
        <f>"9783837664447"</f>
        <v>9783837664447</v>
      </c>
      <c r="F14321" s="2" t="str">
        <f>"9783839464441"</f>
        <v>9783839464441</v>
      </c>
    </row>
    <row r="14322" spans="1:6" s="3" customFormat="1" ht="29.1" customHeight="1" x14ac:dyDescent="0.25">
      <c r="A14322" s="2" t="s">
        <v>28664</v>
      </c>
      <c r="B14322" s="2" t="s">
        <v>28665</v>
      </c>
      <c r="C14322" s="2" t="s">
        <v>556</v>
      </c>
      <c r="D14322" s="2" t="s">
        <v>1121</v>
      </c>
      <c r="E14322" s="2" t="str">
        <f>"9783837664119"</f>
        <v>9783837664119</v>
      </c>
      <c r="F14322" s="2" t="str">
        <f>"9783839464113"</f>
        <v>9783839464113</v>
      </c>
    </row>
    <row r="14323" spans="1:6" s="3" customFormat="1" ht="29.1" customHeight="1" x14ac:dyDescent="0.25">
      <c r="A14323" s="2" t="s">
        <v>28666</v>
      </c>
      <c r="B14323" s="2" t="s">
        <v>28667</v>
      </c>
      <c r="C14323" s="2" t="s">
        <v>556</v>
      </c>
      <c r="D14323" s="2" t="s">
        <v>1121</v>
      </c>
      <c r="E14323" s="2" t="str">
        <f>"9783837664096"</f>
        <v>9783837664096</v>
      </c>
      <c r="F14323" s="2" t="str">
        <f>"9783839464090"</f>
        <v>9783839464090</v>
      </c>
    </row>
    <row r="14324" spans="1:6" s="3" customFormat="1" ht="29.1" customHeight="1" x14ac:dyDescent="0.25">
      <c r="A14324" s="2" t="s">
        <v>28668</v>
      </c>
      <c r="B14324" s="2" t="s">
        <v>28669</v>
      </c>
      <c r="C14324" s="2" t="s">
        <v>556</v>
      </c>
      <c r="D14324" s="2" t="s">
        <v>2851</v>
      </c>
      <c r="E14324" s="2" t="str">
        <f>"9783837663815"</f>
        <v>9783837663815</v>
      </c>
      <c r="F14324" s="2" t="str">
        <f>"9783839463819"</f>
        <v>9783839463819</v>
      </c>
    </row>
    <row r="14325" spans="1:6" s="3" customFormat="1" ht="29.1" customHeight="1" x14ac:dyDescent="0.25">
      <c r="A14325" s="2" t="s">
        <v>28670</v>
      </c>
      <c r="B14325" s="2" t="s">
        <v>28671</v>
      </c>
      <c r="C14325" s="2" t="s">
        <v>556</v>
      </c>
      <c r="D14325" s="2" t="s">
        <v>1411</v>
      </c>
      <c r="E14325" s="2" t="str">
        <f>"9783837663426"</f>
        <v>9783837663426</v>
      </c>
      <c r="F14325" s="2" t="str">
        <f>"9783839463420"</f>
        <v>9783839463420</v>
      </c>
    </row>
    <row r="14326" spans="1:6" s="3" customFormat="1" ht="29.1" customHeight="1" x14ac:dyDescent="0.25">
      <c r="A14326" s="2" t="s">
        <v>28672</v>
      </c>
      <c r="B14326" s="2" t="s">
        <v>28673</v>
      </c>
      <c r="C14326" s="2" t="s">
        <v>556</v>
      </c>
      <c r="D14326" s="2" t="s">
        <v>998</v>
      </c>
      <c r="E14326" s="2" t="str">
        <f>"9783837663341"</f>
        <v>9783837663341</v>
      </c>
      <c r="F14326" s="2" t="str">
        <f>"9783839463345"</f>
        <v>9783839463345</v>
      </c>
    </row>
    <row r="14327" spans="1:6" s="3" customFormat="1" ht="29.1" customHeight="1" x14ac:dyDescent="0.25">
      <c r="A14327" s="2" t="s">
        <v>28674</v>
      </c>
      <c r="B14327" s="2" t="s">
        <v>28675</v>
      </c>
      <c r="C14327" s="2" t="s">
        <v>556</v>
      </c>
      <c r="D14327" s="2" t="s">
        <v>712</v>
      </c>
      <c r="E14327" s="2" t="str">
        <f>"9783837663068"</f>
        <v>9783837663068</v>
      </c>
      <c r="F14327" s="2" t="str">
        <f>"9783732863068"</f>
        <v>9783732863068</v>
      </c>
    </row>
    <row r="14328" spans="1:6" s="3" customFormat="1" ht="29.1" customHeight="1" x14ac:dyDescent="0.25">
      <c r="A14328" s="2" t="s">
        <v>28676</v>
      </c>
      <c r="B14328" s="2" t="s">
        <v>28677</v>
      </c>
      <c r="C14328" s="2" t="s">
        <v>556</v>
      </c>
      <c r="D14328" s="2" t="s">
        <v>1155</v>
      </c>
      <c r="E14328" s="2" t="str">
        <f>"9783837663006"</f>
        <v>9783837663006</v>
      </c>
      <c r="F14328" s="2" t="str">
        <f>"9783732863006"</f>
        <v>9783732863006</v>
      </c>
    </row>
    <row r="14329" spans="1:6" s="3" customFormat="1" ht="29.1" customHeight="1" x14ac:dyDescent="0.25">
      <c r="A14329" s="2" t="s">
        <v>28678</v>
      </c>
      <c r="B14329" s="2" t="s">
        <v>28679</v>
      </c>
      <c r="C14329" s="2" t="s">
        <v>556</v>
      </c>
      <c r="D14329" s="2" t="s">
        <v>841</v>
      </c>
      <c r="E14329" s="2" t="str">
        <f>"9783837662467"</f>
        <v>9783837662467</v>
      </c>
      <c r="F14329" s="2" t="str">
        <f>"9783839462461"</f>
        <v>9783839462461</v>
      </c>
    </row>
    <row r="14330" spans="1:6" s="3" customFormat="1" ht="29.1" customHeight="1" x14ac:dyDescent="0.25">
      <c r="A14330" s="2" t="s">
        <v>28680</v>
      </c>
      <c r="B14330" s="2" t="s">
        <v>28681</v>
      </c>
      <c r="C14330" s="2" t="s">
        <v>556</v>
      </c>
      <c r="D14330" s="2" t="s">
        <v>636</v>
      </c>
      <c r="E14330" s="2" t="str">
        <f>"9783837662412"</f>
        <v>9783837662412</v>
      </c>
      <c r="F14330" s="2" t="str">
        <f>"9783839462416"</f>
        <v>9783839462416</v>
      </c>
    </row>
    <row r="14331" spans="1:6" s="3" customFormat="1" ht="29.1" customHeight="1" x14ac:dyDescent="0.25">
      <c r="A14331" s="2" t="s">
        <v>28682</v>
      </c>
      <c r="B14331" s="2" t="s">
        <v>28683</v>
      </c>
      <c r="C14331" s="2" t="s">
        <v>556</v>
      </c>
      <c r="D14331" s="2" t="s">
        <v>5794</v>
      </c>
      <c r="E14331" s="2" t="str">
        <f>"9783837661996"</f>
        <v>9783837661996</v>
      </c>
      <c r="F14331" s="2" t="str">
        <f>"9783839461990"</f>
        <v>9783839461990</v>
      </c>
    </row>
    <row r="14332" spans="1:6" s="3" customFormat="1" ht="29.1" customHeight="1" x14ac:dyDescent="0.25">
      <c r="A14332" s="2" t="s">
        <v>28684</v>
      </c>
      <c r="B14332" s="2" t="s">
        <v>26764</v>
      </c>
      <c r="C14332" s="2" t="s">
        <v>556</v>
      </c>
      <c r="D14332" s="2" t="s">
        <v>1001</v>
      </c>
      <c r="E14332" s="2" t="str">
        <f>"9783837661897"</f>
        <v>9783837661897</v>
      </c>
      <c r="F14332" s="2" t="str">
        <f>"9783839461891"</f>
        <v>9783839461891</v>
      </c>
    </row>
    <row r="14333" spans="1:6" s="3" customFormat="1" ht="29.1" customHeight="1" x14ac:dyDescent="0.25">
      <c r="A14333" s="2" t="s">
        <v>28685</v>
      </c>
      <c r="B14333" s="2" t="s">
        <v>28686</v>
      </c>
      <c r="C14333" s="2" t="s">
        <v>556</v>
      </c>
      <c r="D14333" s="2" t="s">
        <v>712</v>
      </c>
      <c r="E14333" s="2" t="str">
        <f>"9783837661095"</f>
        <v>9783837661095</v>
      </c>
      <c r="F14333" s="2" t="str">
        <f>"9783732861095"</f>
        <v>9783732861095</v>
      </c>
    </row>
    <row r="14334" spans="1:6" s="3" customFormat="1" ht="29.1" customHeight="1" x14ac:dyDescent="0.25">
      <c r="A14334" s="2" t="s">
        <v>28687</v>
      </c>
      <c r="B14334" s="2" t="s">
        <v>28688</v>
      </c>
      <c r="C14334" s="2" t="s">
        <v>556</v>
      </c>
      <c r="D14334" s="2" t="s">
        <v>712</v>
      </c>
      <c r="E14334" s="2" t="str">
        <f>"9783837661088"</f>
        <v>9783837661088</v>
      </c>
      <c r="F14334" s="2" t="str">
        <f>"9783732861088"</f>
        <v>9783732861088</v>
      </c>
    </row>
    <row r="14335" spans="1:6" s="3" customFormat="1" ht="29.1" customHeight="1" x14ac:dyDescent="0.25">
      <c r="A14335" s="2" t="s">
        <v>28689</v>
      </c>
      <c r="B14335" s="2" t="s">
        <v>28690</v>
      </c>
      <c r="C14335" s="2" t="s">
        <v>556</v>
      </c>
      <c r="D14335" s="2" t="s">
        <v>636</v>
      </c>
      <c r="E14335" s="2" t="str">
        <f>"9783837660104"</f>
        <v>9783837660104</v>
      </c>
      <c r="F14335" s="2" t="str">
        <f>"9783839460108"</f>
        <v>9783839460108</v>
      </c>
    </row>
    <row r="14336" spans="1:6" s="3" customFormat="1" ht="29.1" customHeight="1" x14ac:dyDescent="0.25">
      <c r="A14336" s="2" t="s">
        <v>28691</v>
      </c>
      <c r="B14336" s="2" t="s">
        <v>28692</v>
      </c>
      <c r="C14336" s="2" t="s">
        <v>556</v>
      </c>
      <c r="D14336" s="2" t="s">
        <v>1010</v>
      </c>
      <c r="E14336" s="2" t="str">
        <f>"9783837658460"</f>
        <v>9783837658460</v>
      </c>
      <c r="F14336" s="2" t="str">
        <f>"9783839458464"</f>
        <v>9783839458464</v>
      </c>
    </row>
    <row r="14337" spans="1:6" s="3" customFormat="1" ht="29.1" customHeight="1" x14ac:dyDescent="0.25">
      <c r="A14337" s="2" t="s">
        <v>28693</v>
      </c>
      <c r="B14337" s="2" t="s">
        <v>28694</v>
      </c>
      <c r="C14337" s="2" t="s">
        <v>556</v>
      </c>
      <c r="D14337" s="2" t="s">
        <v>712</v>
      </c>
      <c r="E14337" s="2" t="str">
        <f>"9783837656367"</f>
        <v>9783837656367</v>
      </c>
      <c r="F14337" s="2" t="str">
        <f>"9783732856367"</f>
        <v>9783732856367</v>
      </c>
    </row>
    <row r="14338" spans="1:6" s="3" customFormat="1" ht="29.1" customHeight="1" x14ac:dyDescent="0.25">
      <c r="A14338" s="2" t="s">
        <v>28695</v>
      </c>
      <c r="B14338" s="2" t="s">
        <v>28696</v>
      </c>
      <c r="C14338" s="2" t="s">
        <v>556</v>
      </c>
      <c r="D14338" s="2" t="s">
        <v>202</v>
      </c>
      <c r="E14338" s="2" t="str">
        <f>"9783837652482"</f>
        <v>9783837652482</v>
      </c>
      <c r="F14338" s="2" t="str">
        <f>"9783839452486"</f>
        <v>9783839452486</v>
      </c>
    </row>
    <row r="14339" spans="1:6" s="3" customFormat="1" ht="29.1" customHeight="1" x14ac:dyDescent="0.25">
      <c r="A14339" s="2" t="s">
        <v>28697</v>
      </c>
      <c r="B14339" s="2" t="s">
        <v>28698</v>
      </c>
      <c r="C14339" s="2" t="s">
        <v>556</v>
      </c>
      <c r="D14339" s="2" t="s">
        <v>2781</v>
      </c>
      <c r="E14339" s="2" t="str">
        <f>"9783837651201"</f>
        <v>9783837651201</v>
      </c>
      <c r="F14339" s="2" t="str">
        <f>"9783839451205"</f>
        <v>9783839451205</v>
      </c>
    </row>
    <row r="14340" spans="1:6" s="3" customFormat="1" ht="29.1" customHeight="1" x14ac:dyDescent="0.25">
      <c r="A14340" s="2" t="s">
        <v>28699</v>
      </c>
      <c r="B14340" s="2" t="s">
        <v>28700</v>
      </c>
      <c r="C14340" s="2" t="s">
        <v>195</v>
      </c>
      <c r="D14340" s="2" t="s">
        <v>7199</v>
      </c>
      <c r="E14340" s="2" t="str">
        <f>"9783110785975"</f>
        <v>9783110785975</v>
      </c>
      <c r="F14340" s="2" t="str">
        <f>"9783110785982"</f>
        <v>9783110785982</v>
      </c>
    </row>
    <row r="14341" spans="1:6" s="3" customFormat="1" ht="29.1" customHeight="1" x14ac:dyDescent="0.25">
      <c r="A14341" s="2" t="s">
        <v>28701</v>
      </c>
      <c r="B14341" s="2" t="s">
        <v>28702</v>
      </c>
      <c r="C14341" s="2" t="s">
        <v>195</v>
      </c>
      <c r="D14341" s="2" t="s">
        <v>7199</v>
      </c>
      <c r="E14341" s="2" t="str">
        <f>"9783110785937"</f>
        <v>9783110785937</v>
      </c>
      <c r="F14341" s="2" t="str">
        <f>"9783110785944"</f>
        <v>9783110785944</v>
      </c>
    </row>
    <row r="14342" spans="1:6" s="3" customFormat="1" ht="29.1" customHeight="1" x14ac:dyDescent="0.25">
      <c r="A14342" s="2" t="s">
        <v>28703</v>
      </c>
      <c r="B14342" s="2" t="s">
        <v>28704</v>
      </c>
      <c r="C14342" s="2" t="s">
        <v>195</v>
      </c>
      <c r="D14342" s="2" t="s">
        <v>7199</v>
      </c>
      <c r="E14342" s="2" t="str">
        <f>"9783110785951"</f>
        <v>9783110785951</v>
      </c>
      <c r="F14342" s="2" t="str">
        <f>"9783110785968"</f>
        <v>9783110785968</v>
      </c>
    </row>
    <row r="14343" spans="1:6" s="3" customFormat="1" ht="29.1" customHeight="1" x14ac:dyDescent="0.25">
      <c r="A14343" s="2" t="s">
        <v>28705</v>
      </c>
      <c r="B14343" s="2" t="s">
        <v>28706</v>
      </c>
      <c r="C14343" s="2" t="s">
        <v>195</v>
      </c>
      <c r="D14343" s="2" t="s">
        <v>4160</v>
      </c>
      <c r="E14343" s="2" t="str">
        <f>"9783110771503"</f>
        <v>9783110771503</v>
      </c>
      <c r="F14343" s="2" t="str">
        <f>"9783110774856"</f>
        <v>9783110774856</v>
      </c>
    </row>
    <row r="14344" spans="1:6" s="3" customFormat="1" ht="29.1" customHeight="1" x14ac:dyDescent="0.25">
      <c r="A14344" s="2" t="s">
        <v>28707</v>
      </c>
      <c r="B14344" s="2" t="s">
        <v>28708</v>
      </c>
      <c r="C14344" s="2" t="s">
        <v>195</v>
      </c>
      <c r="D14344" s="2" t="s">
        <v>428</v>
      </c>
      <c r="E14344" s="2" t="str">
        <f>"9783111014241"</f>
        <v>9783111014241</v>
      </c>
      <c r="F14344" s="2" t="str">
        <f>"9783111015583"</f>
        <v>9783111015583</v>
      </c>
    </row>
    <row r="14345" spans="1:6" s="3" customFormat="1" ht="29.1" customHeight="1" x14ac:dyDescent="0.25">
      <c r="A14345" s="2" t="s">
        <v>28709</v>
      </c>
      <c r="B14345" s="2" t="s">
        <v>28710</v>
      </c>
      <c r="C14345" s="2" t="s">
        <v>195</v>
      </c>
      <c r="D14345" s="2" t="s">
        <v>465</v>
      </c>
      <c r="E14345" s="2" t="str">
        <f>"9783110763881"</f>
        <v>9783110763881</v>
      </c>
      <c r="F14345" s="2" t="str">
        <f>"9783110763959"</f>
        <v>9783110763959</v>
      </c>
    </row>
    <row r="14346" spans="1:6" s="3" customFormat="1" ht="29.1" customHeight="1" x14ac:dyDescent="0.25">
      <c r="A14346" s="2" t="s">
        <v>28711</v>
      </c>
      <c r="B14346" s="2" t="s">
        <v>28712</v>
      </c>
      <c r="C14346" s="2" t="s">
        <v>195</v>
      </c>
      <c r="D14346" s="2" t="s">
        <v>1861</v>
      </c>
      <c r="E14346" s="2" t="str">
        <f>"9783110741612"</f>
        <v>9783110741612</v>
      </c>
      <c r="F14346" s="2" t="str">
        <f>"9783110741735"</f>
        <v>9783110741735</v>
      </c>
    </row>
    <row r="14347" spans="1:6" s="3" customFormat="1" ht="29.1" customHeight="1" x14ac:dyDescent="0.25">
      <c r="A14347" s="2" t="s">
        <v>28713</v>
      </c>
      <c r="B14347" s="2"/>
      <c r="C14347" s="2" t="s">
        <v>195</v>
      </c>
      <c r="D14347" s="2" t="s">
        <v>297</v>
      </c>
      <c r="E14347" s="2" t="str">
        <f>"9783110626711"</f>
        <v>9783110626711</v>
      </c>
      <c r="F14347" s="2" t="str">
        <f>"9783110626841"</f>
        <v>9783110626841</v>
      </c>
    </row>
    <row r="14348" spans="1:6" s="3" customFormat="1" ht="29.1" customHeight="1" x14ac:dyDescent="0.25">
      <c r="A14348" s="2" t="s">
        <v>28714</v>
      </c>
      <c r="B14348" s="2" t="s">
        <v>28715</v>
      </c>
      <c r="C14348" s="2" t="s">
        <v>195</v>
      </c>
      <c r="D14348" s="2" t="s">
        <v>459</v>
      </c>
      <c r="E14348" s="2" t="str">
        <f>"9783110672466"</f>
        <v>9783110672466</v>
      </c>
      <c r="F14348" s="2" t="str">
        <f>"9783110672619"</f>
        <v>9783110672619</v>
      </c>
    </row>
    <row r="14349" spans="1:6" s="3" customFormat="1" ht="29.1" customHeight="1" x14ac:dyDescent="0.25">
      <c r="A14349" s="2" t="s">
        <v>28716</v>
      </c>
      <c r="B14349" s="2" t="s">
        <v>28717</v>
      </c>
      <c r="C14349" s="2" t="s">
        <v>124</v>
      </c>
      <c r="D14349" s="2" t="s">
        <v>210</v>
      </c>
      <c r="E14349" s="2" t="str">
        <f>"9781032325965"</f>
        <v>9781032325965</v>
      </c>
      <c r="F14349" s="2" t="str">
        <f>"9781000833904"</f>
        <v>9781000833904</v>
      </c>
    </row>
    <row r="14350" spans="1:6" s="3" customFormat="1" ht="29.1" customHeight="1" x14ac:dyDescent="0.25">
      <c r="A14350" s="2" t="s">
        <v>28718</v>
      </c>
      <c r="B14350" s="2" t="s">
        <v>28719</v>
      </c>
      <c r="C14350" s="2" t="s">
        <v>124</v>
      </c>
      <c r="D14350" s="2" t="s">
        <v>553</v>
      </c>
      <c r="E14350" s="2" t="str">
        <f>"9781032274942"</f>
        <v>9781032274942</v>
      </c>
      <c r="F14350" s="2" t="str">
        <f>"9781000842722"</f>
        <v>9781000842722</v>
      </c>
    </row>
    <row r="14351" spans="1:6" s="3" customFormat="1" ht="29.1" customHeight="1" x14ac:dyDescent="0.25">
      <c r="A14351" s="2" t="s">
        <v>28720</v>
      </c>
      <c r="B14351" s="2" t="s">
        <v>28721</v>
      </c>
      <c r="C14351" s="2" t="s">
        <v>124</v>
      </c>
      <c r="D14351" s="2" t="s">
        <v>186</v>
      </c>
      <c r="E14351" s="2" t="str">
        <f>"9781032302515"</f>
        <v>9781032302515</v>
      </c>
      <c r="F14351" s="2" t="str">
        <f>"9781000851281"</f>
        <v>9781000851281</v>
      </c>
    </row>
    <row r="14352" spans="1:6" s="3" customFormat="1" ht="29.1" customHeight="1" x14ac:dyDescent="0.25">
      <c r="A14352" s="2" t="s">
        <v>28722</v>
      </c>
      <c r="B14352" s="2" t="s">
        <v>28723</v>
      </c>
      <c r="C14352" s="2" t="s">
        <v>124</v>
      </c>
      <c r="D14352" s="2" t="s">
        <v>1560</v>
      </c>
      <c r="E14352" s="2" t="str">
        <f>"9781032051505"</f>
        <v>9781032051505</v>
      </c>
      <c r="F14352" s="2" t="str">
        <f>"9781000811346"</f>
        <v>9781000811346</v>
      </c>
    </row>
    <row r="14353" spans="1:6" s="3" customFormat="1" ht="29.1" customHeight="1" x14ac:dyDescent="0.25">
      <c r="A14353" s="2" t="s">
        <v>28724</v>
      </c>
      <c r="B14353" s="2" t="s">
        <v>28725</v>
      </c>
      <c r="C14353" s="2" t="s">
        <v>124</v>
      </c>
      <c r="D14353" s="2" t="s">
        <v>4030</v>
      </c>
      <c r="E14353" s="2" t="str">
        <f>"9781032245164"</f>
        <v>9781032245164</v>
      </c>
      <c r="F14353" s="2" t="str">
        <f>"9781000815900"</f>
        <v>9781000815900</v>
      </c>
    </row>
    <row r="14354" spans="1:6" s="3" customFormat="1" ht="29.1" customHeight="1" x14ac:dyDescent="0.25">
      <c r="A14354" s="2" t="s">
        <v>28726</v>
      </c>
      <c r="B14354" s="2" t="s">
        <v>28727</v>
      </c>
      <c r="C14354" s="2" t="s">
        <v>927</v>
      </c>
      <c r="D14354" s="2" t="s">
        <v>270</v>
      </c>
      <c r="E14354" s="2" t="str">
        <f>"9780472055142"</f>
        <v>9780472055142</v>
      </c>
      <c r="F14354" s="2" t="str">
        <f>"9780472902835"</f>
        <v>9780472902835</v>
      </c>
    </row>
    <row r="14355" spans="1:6" s="3" customFormat="1" ht="29.1" customHeight="1" x14ac:dyDescent="0.25">
      <c r="A14355" s="2" t="s">
        <v>28728</v>
      </c>
      <c r="B14355" s="2" t="s">
        <v>28729</v>
      </c>
      <c r="C14355" s="2" t="s">
        <v>124</v>
      </c>
      <c r="D14355" s="2" t="s">
        <v>270</v>
      </c>
      <c r="E14355" s="2" t="str">
        <f>"9781032266701"</f>
        <v>9781032266701</v>
      </c>
      <c r="F14355" s="2" t="str">
        <f>"9781000827088"</f>
        <v>9781000827088</v>
      </c>
    </row>
    <row r="14356" spans="1:6" s="3" customFormat="1" ht="29.1" customHeight="1" x14ac:dyDescent="0.25">
      <c r="A14356" s="2" t="s">
        <v>28730</v>
      </c>
      <c r="B14356" s="2" t="s">
        <v>9766</v>
      </c>
      <c r="C14356" s="2" t="s">
        <v>149</v>
      </c>
      <c r="D14356" s="2" t="s">
        <v>6628</v>
      </c>
      <c r="E14356" s="2"/>
      <c r="F14356" s="2" t="str">
        <f>"9781800649071"</f>
        <v>9781800649071</v>
      </c>
    </row>
    <row r="14357" spans="1:6" s="3" customFormat="1" ht="29.1" customHeight="1" x14ac:dyDescent="0.25">
      <c r="A14357" s="2" t="s">
        <v>28731</v>
      </c>
      <c r="B14357" s="2" t="s">
        <v>26038</v>
      </c>
      <c r="C14357" s="2" t="s">
        <v>149</v>
      </c>
      <c r="D14357" s="2" t="s">
        <v>1109</v>
      </c>
      <c r="E14357" s="2"/>
      <c r="F14357" s="2" t="str">
        <f>"9781800648517"</f>
        <v>9781800648517</v>
      </c>
    </row>
    <row r="14358" spans="1:6" s="3" customFormat="1" ht="29.1" customHeight="1" x14ac:dyDescent="0.25">
      <c r="A14358" s="2" t="s">
        <v>28732</v>
      </c>
      <c r="B14358" s="2" t="s">
        <v>28733</v>
      </c>
      <c r="C14358" s="2" t="s">
        <v>124</v>
      </c>
      <c r="D14358" s="2" t="s">
        <v>95</v>
      </c>
      <c r="E14358" s="2" t="str">
        <f>"9780367481001"</f>
        <v>9780367481001</v>
      </c>
      <c r="F14358" s="2" t="str">
        <f>"9781000830422"</f>
        <v>9781000830422</v>
      </c>
    </row>
    <row r="14359" spans="1:6" s="3" customFormat="1" ht="29.1" customHeight="1" x14ac:dyDescent="0.25">
      <c r="A14359" s="2" t="s">
        <v>28734</v>
      </c>
      <c r="B14359" s="2" t="s">
        <v>28735</v>
      </c>
      <c r="C14359" s="2" t="s">
        <v>124</v>
      </c>
      <c r="D14359" s="2" t="s">
        <v>2045</v>
      </c>
      <c r="E14359" s="2" t="str">
        <f>"9780367534219"</f>
        <v>9780367534219</v>
      </c>
      <c r="F14359" s="2" t="str">
        <f>"9781000813500"</f>
        <v>9781000813500</v>
      </c>
    </row>
    <row r="14360" spans="1:6" s="3" customFormat="1" ht="29.1" customHeight="1" x14ac:dyDescent="0.25">
      <c r="A14360" s="2" t="s">
        <v>9448</v>
      </c>
      <c r="B14360" s="2" t="s">
        <v>9449</v>
      </c>
      <c r="C14360" s="2" t="s">
        <v>2133</v>
      </c>
      <c r="D14360" s="2" t="s">
        <v>66</v>
      </c>
      <c r="E14360" s="2" t="str">
        <f>"9781760465513"</f>
        <v>9781760465513</v>
      </c>
      <c r="F14360" s="2" t="str">
        <f>"9781760465520"</f>
        <v>9781760465520</v>
      </c>
    </row>
    <row r="14361" spans="1:6" s="3" customFormat="1" ht="29.1" customHeight="1" x14ac:dyDescent="0.25">
      <c r="A14361" s="2" t="s">
        <v>28736</v>
      </c>
      <c r="B14361" s="2" t="s">
        <v>28737</v>
      </c>
      <c r="C14361" s="2" t="s">
        <v>195</v>
      </c>
      <c r="D14361" s="2" t="s">
        <v>431</v>
      </c>
      <c r="E14361" s="2" t="str">
        <f>"9783110673210"</f>
        <v>9783110673210</v>
      </c>
      <c r="F14361" s="2" t="str">
        <f>"9783110673272"</f>
        <v>9783110673272</v>
      </c>
    </row>
    <row r="14362" spans="1:6" s="3" customFormat="1" ht="29.1" customHeight="1" x14ac:dyDescent="0.25">
      <c r="A14362" s="2" t="s">
        <v>28738</v>
      </c>
      <c r="B14362" s="2" t="s">
        <v>28739</v>
      </c>
      <c r="C14362" s="2" t="s">
        <v>195</v>
      </c>
      <c r="D14362" s="2" t="s">
        <v>960</v>
      </c>
      <c r="E14362" s="2" t="str">
        <f>"9783868597394"</f>
        <v>9783868597394</v>
      </c>
      <c r="F14362" s="2" t="str">
        <f>"9783868598315"</f>
        <v>9783868598315</v>
      </c>
    </row>
    <row r="14363" spans="1:6" s="3" customFormat="1" ht="29.1" customHeight="1" x14ac:dyDescent="0.25">
      <c r="A14363" s="2" t="s">
        <v>28740</v>
      </c>
      <c r="B14363" s="2" t="s">
        <v>28741</v>
      </c>
      <c r="C14363" s="2" t="s">
        <v>195</v>
      </c>
      <c r="D14363" s="2" t="s">
        <v>33</v>
      </c>
      <c r="E14363" s="2" t="str">
        <f>"9783110781410"</f>
        <v>9783110781410</v>
      </c>
      <c r="F14363" s="2" t="str">
        <f>"9783110781502"</f>
        <v>9783110781502</v>
      </c>
    </row>
    <row r="14364" spans="1:6" s="3" customFormat="1" ht="29.1" customHeight="1" x14ac:dyDescent="0.25">
      <c r="A14364" s="2" t="s">
        <v>28742</v>
      </c>
      <c r="B14364" s="2" t="s">
        <v>28743</v>
      </c>
      <c r="C14364" s="2" t="s">
        <v>195</v>
      </c>
      <c r="D14364" s="2" t="s">
        <v>446</v>
      </c>
      <c r="E14364" s="2" t="str">
        <f>"9783110755596"</f>
        <v>9783110755596</v>
      </c>
      <c r="F14364" s="2" t="str">
        <f>"9783110756463"</f>
        <v>9783110756463</v>
      </c>
    </row>
    <row r="14365" spans="1:6" s="3" customFormat="1" ht="29.1" customHeight="1" x14ac:dyDescent="0.25">
      <c r="A14365" s="2" t="s">
        <v>28744</v>
      </c>
      <c r="B14365" s="2" t="s">
        <v>28745</v>
      </c>
      <c r="C14365" s="2" t="s">
        <v>195</v>
      </c>
      <c r="D14365" s="2" t="s">
        <v>1630</v>
      </c>
      <c r="E14365" s="2" t="str">
        <f>"9783110719581"</f>
        <v>9783110719581</v>
      </c>
      <c r="F14365" s="2" t="str">
        <f>"9783110719871"</f>
        <v>9783110719871</v>
      </c>
    </row>
    <row r="14366" spans="1:6" s="3" customFormat="1" ht="29.1" customHeight="1" x14ac:dyDescent="0.25">
      <c r="A14366" s="2" t="s">
        <v>28746</v>
      </c>
      <c r="B14366" s="2" t="s">
        <v>28747</v>
      </c>
      <c r="C14366" s="2" t="s">
        <v>195</v>
      </c>
      <c r="D14366" s="2" t="s">
        <v>98</v>
      </c>
      <c r="E14366" s="2" t="str">
        <f>"9783110762419"</f>
        <v>9783110762419</v>
      </c>
      <c r="F14366" s="2" t="str">
        <f>"9783110762556"</f>
        <v>9783110762556</v>
      </c>
    </row>
    <row r="14367" spans="1:6" s="3" customFormat="1" ht="29.1" customHeight="1" x14ac:dyDescent="0.25">
      <c r="A14367" s="2" t="s">
        <v>28748</v>
      </c>
      <c r="B14367" s="2" t="s">
        <v>28749</v>
      </c>
      <c r="C14367" s="2" t="s">
        <v>195</v>
      </c>
      <c r="D14367" s="2" t="s">
        <v>210</v>
      </c>
      <c r="E14367" s="2" t="str">
        <f>"9783110729719"</f>
        <v>9783110729719</v>
      </c>
      <c r="F14367" s="2" t="str">
        <f>"9783110729214"</f>
        <v>9783110729214</v>
      </c>
    </row>
    <row r="14368" spans="1:6" s="3" customFormat="1" ht="29.1" customHeight="1" x14ac:dyDescent="0.25">
      <c r="A14368" s="2" t="s">
        <v>28750</v>
      </c>
      <c r="B14368" s="2" t="s">
        <v>28751</v>
      </c>
      <c r="C14368" s="2" t="s">
        <v>195</v>
      </c>
      <c r="D14368" s="2" t="s">
        <v>1183</v>
      </c>
      <c r="E14368" s="2" t="str">
        <f>"9783110702668"</f>
        <v>9783110702668</v>
      </c>
      <c r="F14368" s="2" t="str">
        <f>"9783110702729"</f>
        <v>9783110702729</v>
      </c>
    </row>
    <row r="14369" spans="1:6" s="3" customFormat="1" ht="29.1" customHeight="1" x14ac:dyDescent="0.25">
      <c r="A14369" s="2" t="s">
        <v>28752</v>
      </c>
      <c r="B14369" s="2" t="s">
        <v>28754</v>
      </c>
      <c r="C14369" s="2" t="s">
        <v>3169</v>
      </c>
      <c r="D14369" s="2" t="s">
        <v>28753</v>
      </c>
      <c r="E14369" s="2"/>
      <c r="F14369" s="2" t="str">
        <f>"9781805430339"</f>
        <v>9781805430339</v>
      </c>
    </row>
    <row r="14370" spans="1:6" s="3" customFormat="1" ht="29.1" customHeight="1" x14ac:dyDescent="0.25">
      <c r="A14370" s="2" t="s">
        <v>28755</v>
      </c>
      <c r="B14370" s="2" t="s">
        <v>28756</v>
      </c>
      <c r="C14370" s="2" t="s">
        <v>885</v>
      </c>
      <c r="D14370" s="2" t="s">
        <v>636</v>
      </c>
      <c r="E14370" s="2" t="str">
        <f>"9781487541774"</f>
        <v>9781487541774</v>
      </c>
      <c r="F14370" s="2" t="str">
        <f>"9781487541798"</f>
        <v>9781487541798</v>
      </c>
    </row>
    <row r="14371" spans="1:6" s="3" customFormat="1" ht="29.1" customHeight="1" x14ac:dyDescent="0.25">
      <c r="A14371" s="2" t="s">
        <v>28757</v>
      </c>
      <c r="B14371" s="2" t="s">
        <v>28758</v>
      </c>
      <c r="C14371" s="2" t="s">
        <v>264</v>
      </c>
      <c r="D14371" s="2" t="s">
        <v>2168</v>
      </c>
      <c r="E14371" s="2" t="str">
        <f>"9781032372013"</f>
        <v>9781032372013</v>
      </c>
      <c r="F14371" s="2" t="str">
        <f>"9781000882605"</f>
        <v>9781000882605</v>
      </c>
    </row>
    <row r="14372" spans="1:6" s="3" customFormat="1" ht="29.1" customHeight="1" x14ac:dyDescent="0.25">
      <c r="A14372" s="2" t="s">
        <v>28759</v>
      </c>
      <c r="B14372" s="2" t="s">
        <v>28760</v>
      </c>
      <c r="C14372" s="2" t="s">
        <v>264</v>
      </c>
      <c r="D14372" s="2" t="s">
        <v>1059</v>
      </c>
      <c r="E14372" s="2" t="str">
        <f>"9781032351070"</f>
        <v>9781032351070</v>
      </c>
      <c r="F14372" s="2" t="str">
        <f>"9781000883312"</f>
        <v>9781000883312</v>
      </c>
    </row>
    <row r="14373" spans="1:6" s="3" customFormat="1" ht="29.1" customHeight="1" x14ac:dyDescent="0.25">
      <c r="A14373" s="2" t="s">
        <v>28761</v>
      </c>
      <c r="B14373" s="2" t="s">
        <v>28762</v>
      </c>
      <c r="C14373" s="2" t="s">
        <v>124</v>
      </c>
      <c r="D14373" s="2" t="s">
        <v>75</v>
      </c>
      <c r="E14373" s="2" t="str">
        <f>"9781032261737"</f>
        <v>9781032261737</v>
      </c>
      <c r="F14373" s="2" t="str">
        <f>"9781000822410"</f>
        <v>9781000822410</v>
      </c>
    </row>
    <row r="14374" spans="1:6" s="3" customFormat="1" ht="29.1" customHeight="1" x14ac:dyDescent="0.25">
      <c r="A14374" s="2" t="s">
        <v>28763</v>
      </c>
      <c r="B14374" s="2" t="s">
        <v>28764</v>
      </c>
      <c r="C14374" s="2" t="s">
        <v>124</v>
      </c>
      <c r="D14374" s="2" t="s">
        <v>270</v>
      </c>
      <c r="E14374" s="2" t="str">
        <f>"9781032111278"</f>
        <v>9781032111278</v>
      </c>
      <c r="F14374" s="2" t="str">
        <f>"9781000812855"</f>
        <v>9781000812855</v>
      </c>
    </row>
    <row r="14375" spans="1:6" s="3" customFormat="1" ht="29.1" customHeight="1" x14ac:dyDescent="0.25">
      <c r="A14375" s="2" t="s">
        <v>28765</v>
      </c>
      <c r="B14375" s="2" t="s">
        <v>28766</v>
      </c>
      <c r="C14375" s="2" t="s">
        <v>746</v>
      </c>
      <c r="D14375" s="2" t="s">
        <v>606</v>
      </c>
      <c r="E14375" s="2" t="str">
        <f>"9781803273440"</f>
        <v>9781803273440</v>
      </c>
      <c r="F14375" s="2" t="str">
        <f>"9781803273457"</f>
        <v>9781803273457</v>
      </c>
    </row>
    <row r="14376" spans="1:6" s="3" customFormat="1" ht="29.1" customHeight="1" x14ac:dyDescent="0.25">
      <c r="A14376" s="2" t="s">
        <v>28767</v>
      </c>
      <c r="B14376" s="2" t="s">
        <v>28768</v>
      </c>
      <c r="C14376" s="2" t="s">
        <v>595</v>
      </c>
      <c r="D14376" s="2" t="s">
        <v>183</v>
      </c>
      <c r="E14376" s="2" t="str">
        <f>"9783034344951"</f>
        <v>9783034344951</v>
      </c>
      <c r="F14376" s="2" t="str">
        <f>"9783034345088"</f>
        <v>9783034345088</v>
      </c>
    </row>
    <row r="14377" spans="1:6" s="3" customFormat="1" ht="29.1" customHeight="1" x14ac:dyDescent="0.25">
      <c r="A14377" s="2" t="s">
        <v>28769</v>
      </c>
      <c r="B14377" s="2" t="s">
        <v>28770</v>
      </c>
      <c r="C14377" s="2" t="s">
        <v>124</v>
      </c>
      <c r="D14377" s="2" t="s">
        <v>278</v>
      </c>
      <c r="E14377" s="2" t="str">
        <f>"9781032442150"</f>
        <v>9781032442150</v>
      </c>
      <c r="F14377" s="2" t="str">
        <f>"9781000844771"</f>
        <v>9781000844771</v>
      </c>
    </row>
    <row r="14378" spans="1:6" s="3" customFormat="1" ht="29.1" customHeight="1" x14ac:dyDescent="0.25">
      <c r="A14378" s="2" t="s">
        <v>28771</v>
      </c>
      <c r="B14378" s="2" t="s">
        <v>28772</v>
      </c>
      <c r="C14378" s="2" t="s">
        <v>124</v>
      </c>
      <c r="D14378" s="2" t="s">
        <v>75</v>
      </c>
      <c r="E14378" s="2" t="str">
        <f>"9781138345768"</f>
        <v>9781138345768</v>
      </c>
      <c r="F14378" s="2" t="str">
        <f>"9780429437694"</f>
        <v>9780429437694</v>
      </c>
    </row>
    <row r="14379" spans="1:6" s="3" customFormat="1" ht="29.1" customHeight="1" x14ac:dyDescent="0.25">
      <c r="A14379" s="2" t="s">
        <v>28773</v>
      </c>
      <c r="B14379" s="2" t="s">
        <v>28774</v>
      </c>
      <c r="C14379" s="2" t="s">
        <v>556</v>
      </c>
      <c r="D14379" s="2" t="s">
        <v>98</v>
      </c>
      <c r="E14379" s="2" t="str">
        <f>"9783837661736"</f>
        <v>9783837661736</v>
      </c>
      <c r="F14379" s="2" t="str">
        <f>"9783839461730"</f>
        <v>9783839461730</v>
      </c>
    </row>
    <row r="14380" spans="1:6" s="3" customFormat="1" ht="29.1" customHeight="1" x14ac:dyDescent="0.25">
      <c r="A14380" s="2" t="s">
        <v>28775</v>
      </c>
      <c r="B14380" s="2" t="s">
        <v>28776</v>
      </c>
      <c r="C14380" s="2" t="s">
        <v>556</v>
      </c>
      <c r="D14380" s="2" t="s">
        <v>712</v>
      </c>
      <c r="E14380" s="2" t="str">
        <f>"9783837666267"</f>
        <v>9783837666267</v>
      </c>
      <c r="F14380" s="2" t="str">
        <f>"9783839466261"</f>
        <v>9783839466261</v>
      </c>
    </row>
    <row r="14381" spans="1:6" s="3" customFormat="1" ht="29.1" customHeight="1" x14ac:dyDescent="0.25">
      <c r="A14381" s="2" t="s">
        <v>28777</v>
      </c>
      <c r="B14381" s="2" t="s">
        <v>28778</v>
      </c>
      <c r="C14381" s="2" t="s">
        <v>556</v>
      </c>
      <c r="D14381" s="2" t="s">
        <v>636</v>
      </c>
      <c r="E14381" s="2" t="str">
        <f>"9783837665659"</f>
        <v>9783837665659</v>
      </c>
      <c r="F14381" s="2" t="str">
        <f>"9783839465653"</f>
        <v>9783839465653</v>
      </c>
    </row>
    <row r="14382" spans="1:6" s="3" customFormat="1" ht="29.1" customHeight="1" x14ac:dyDescent="0.25">
      <c r="A14382" s="2" t="s">
        <v>28779</v>
      </c>
      <c r="B14382" s="2" t="s">
        <v>28780</v>
      </c>
      <c r="C14382" s="2" t="s">
        <v>556</v>
      </c>
      <c r="D14382" s="2" t="s">
        <v>712</v>
      </c>
      <c r="E14382" s="2" t="str">
        <f>"9783837665581"</f>
        <v>9783837665581</v>
      </c>
      <c r="F14382" s="2" t="str">
        <f>"9783732865581"</f>
        <v>9783732865581</v>
      </c>
    </row>
    <row r="14383" spans="1:6" s="3" customFormat="1" ht="29.1" customHeight="1" x14ac:dyDescent="0.25">
      <c r="A14383" s="2" t="s">
        <v>28781</v>
      </c>
      <c r="B14383" s="2" t="s">
        <v>28782</v>
      </c>
      <c r="C14383" s="2" t="s">
        <v>556</v>
      </c>
      <c r="D14383" s="2" t="s">
        <v>1999</v>
      </c>
      <c r="E14383" s="2" t="str">
        <f>"9783837665215"</f>
        <v>9783837665215</v>
      </c>
      <c r="F14383" s="2" t="str">
        <f>"9783839465219"</f>
        <v>9783839465219</v>
      </c>
    </row>
    <row r="14384" spans="1:6" s="3" customFormat="1" ht="29.1" customHeight="1" x14ac:dyDescent="0.25">
      <c r="A14384" s="2" t="s">
        <v>28783</v>
      </c>
      <c r="B14384" s="2" t="s">
        <v>28784</v>
      </c>
      <c r="C14384" s="2" t="s">
        <v>556</v>
      </c>
      <c r="D14384" s="2" t="s">
        <v>446</v>
      </c>
      <c r="E14384" s="2" t="str">
        <f>"9783837664898"</f>
        <v>9783837664898</v>
      </c>
      <c r="F14384" s="2" t="str">
        <f>"9783839464892"</f>
        <v>9783839464892</v>
      </c>
    </row>
    <row r="14385" spans="1:6" s="3" customFormat="1" ht="29.1" customHeight="1" x14ac:dyDescent="0.25">
      <c r="A14385" s="2" t="s">
        <v>28785</v>
      </c>
      <c r="B14385" s="2" t="s">
        <v>28786</v>
      </c>
      <c r="C14385" s="2" t="s">
        <v>556</v>
      </c>
      <c r="D14385" s="2" t="s">
        <v>1127</v>
      </c>
      <c r="E14385" s="2" t="str">
        <f>"9783837664881"</f>
        <v>9783837664881</v>
      </c>
      <c r="F14385" s="2" t="str">
        <f>"9783839464885"</f>
        <v>9783839464885</v>
      </c>
    </row>
    <row r="14386" spans="1:6" s="3" customFormat="1" ht="29.1" customHeight="1" x14ac:dyDescent="0.25">
      <c r="A14386" s="2" t="s">
        <v>28787</v>
      </c>
      <c r="B14386" s="2" t="s">
        <v>28788</v>
      </c>
      <c r="C14386" s="2" t="s">
        <v>556</v>
      </c>
      <c r="D14386" s="2" t="s">
        <v>998</v>
      </c>
      <c r="E14386" s="2" t="str">
        <f>"9783837664812"</f>
        <v>9783837664812</v>
      </c>
      <c r="F14386" s="2" t="str">
        <f>"9783839464816"</f>
        <v>9783839464816</v>
      </c>
    </row>
    <row r="14387" spans="1:6" s="3" customFormat="1" ht="29.1" customHeight="1" x14ac:dyDescent="0.25">
      <c r="A14387" s="2" t="s">
        <v>28789</v>
      </c>
      <c r="B14387" s="2" t="s">
        <v>28790</v>
      </c>
      <c r="C14387" s="2" t="s">
        <v>556</v>
      </c>
      <c r="D14387" s="2" t="s">
        <v>1189</v>
      </c>
      <c r="E14387" s="2" t="str">
        <f>"9783837664744"</f>
        <v>9783837664744</v>
      </c>
      <c r="F14387" s="2" t="str">
        <f>"9783839464748"</f>
        <v>9783839464748</v>
      </c>
    </row>
    <row r="14388" spans="1:6" s="3" customFormat="1" ht="29.1" customHeight="1" x14ac:dyDescent="0.25">
      <c r="A14388" s="2" t="s">
        <v>28791</v>
      </c>
      <c r="B14388" s="2" t="s">
        <v>28792</v>
      </c>
      <c r="C14388" s="2" t="s">
        <v>556</v>
      </c>
      <c r="D14388" s="2" t="s">
        <v>2139</v>
      </c>
      <c r="E14388" s="2" t="str">
        <f>"9783837664614"</f>
        <v>9783837664614</v>
      </c>
      <c r="F14388" s="2" t="str">
        <f>"9783839464618"</f>
        <v>9783839464618</v>
      </c>
    </row>
    <row r="14389" spans="1:6" s="3" customFormat="1" ht="29.1" customHeight="1" x14ac:dyDescent="0.25">
      <c r="A14389" s="2" t="s">
        <v>28793</v>
      </c>
      <c r="B14389" s="2" t="s">
        <v>20568</v>
      </c>
      <c r="C14389" s="2" t="s">
        <v>556</v>
      </c>
      <c r="D14389" s="2" t="s">
        <v>484</v>
      </c>
      <c r="E14389" s="2" t="str">
        <f>"9783837664515"</f>
        <v>9783837664515</v>
      </c>
      <c r="F14389" s="2" t="str">
        <f>"9783839464519"</f>
        <v>9783839464519</v>
      </c>
    </row>
    <row r="14390" spans="1:6" s="3" customFormat="1" ht="29.1" customHeight="1" x14ac:dyDescent="0.25">
      <c r="A14390" s="2" t="s">
        <v>28794</v>
      </c>
      <c r="B14390" s="2" t="s">
        <v>28795</v>
      </c>
      <c r="C14390" s="2" t="s">
        <v>556</v>
      </c>
      <c r="D14390" s="2" t="s">
        <v>162</v>
      </c>
      <c r="E14390" s="2" t="str">
        <f>"9783837664478"</f>
        <v>9783837664478</v>
      </c>
      <c r="F14390" s="2" t="str">
        <f>"9783839464472"</f>
        <v>9783839464472</v>
      </c>
    </row>
    <row r="14391" spans="1:6" s="3" customFormat="1" ht="29.1" customHeight="1" x14ac:dyDescent="0.25">
      <c r="A14391" s="2" t="s">
        <v>28796</v>
      </c>
      <c r="B14391" s="2" t="s">
        <v>28797</v>
      </c>
      <c r="C14391" s="2" t="s">
        <v>556</v>
      </c>
      <c r="D14391" s="2" t="s">
        <v>75</v>
      </c>
      <c r="E14391" s="2" t="str">
        <f>"9783837664331"</f>
        <v>9783837664331</v>
      </c>
      <c r="F14391" s="2" t="str">
        <f>"9783839464335"</f>
        <v>9783839464335</v>
      </c>
    </row>
    <row r="14392" spans="1:6" s="3" customFormat="1" ht="29.1" customHeight="1" x14ac:dyDescent="0.25">
      <c r="A14392" s="2" t="s">
        <v>28798</v>
      </c>
      <c r="B14392" s="2" t="s">
        <v>28799</v>
      </c>
      <c r="C14392" s="2" t="s">
        <v>556</v>
      </c>
      <c r="D14392" s="2" t="s">
        <v>647</v>
      </c>
      <c r="E14392" s="2" t="str">
        <f>"9783837663976"</f>
        <v>9783837663976</v>
      </c>
      <c r="F14392" s="2" t="str">
        <f>"9783839463970"</f>
        <v>9783839463970</v>
      </c>
    </row>
    <row r="14393" spans="1:6" s="3" customFormat="1" ht="29.1" customHeight="1" x14ac:dyDescent="0.25">
      <c r="A14393" s="2" t="s">
        <v>28800</v>
      </c>
      <c r="B14393" s="2" t="s">
        <v>28801</v>
      </c>
      <c r="C14393" s="2" t="s">
        <v>556</v>
      </c>
      <c r="D14393" s="2" t="s">
        <v>215</v>
      </c>
      <c r="E14393" s="2" t="str">
        <f>"9783837663952"</f>
        <v>9783837663952</v>
      </c>
      <c r="F14393" s="2" t="str">
        <f>"9783839463956"</f>
        <v>9783839463956</v>
      </c>
    </row>
    <row r="14394" spans="1:6" s="3" customFormat="1" ht="29.1" customHeight="1" x14ac:dyDescent="0.25">
      <c r="A14394" s="2" t="s">
        <v>28802</v>
      </c>
      <c r="B14394" s="2" t="s">
        <v>28803</v>
      </c>
      <c r="C14394" s="2" t="s">
        <v>556</v>
      </c>
      <c r="D14394" s="2" t="s">
        <v>1183</v>
      </c>
      <c r="E14394" s="2" t="str">
        <f>"9783837663402"</f>
        <v>9783837663402</v>
      </c>
      <c r="F14394" s="2" t="str">
        <f>"9783839463406"</f>
        <v>9783839463406</v>
      </c>
    </row>
    <row r="14395" spans="1:6" s="3" customFormat="1" ht="29.1" customHeight="1" x14ac:dyDescent="0.25">
      <c r="A14395" s="2" t="s">
        <v>28804</v>
      </c>
      <c r="B14395" s="2" t="s">
        <v>28805</v>
      </c>
      <c r="C14395" s="2" t="s">
        <v>556</v>
      </c>
      <c r="D14395" s="2" t="s">
        <v>446</v>
      </c>
      <c r="E14395" s="2" t="str">
        <f>"9783837663372"</f>
        <v>9783837663372</v>
      </c>
      <c r="F14395" s="2" t="str">
        <f>"9783839463376"</f>
        <v>9783839463376</v>
      </c>
    </row>
    <row r="14396" spans="1:6" s="3" customFormat="1" ht="29.1" customHeight="1" x14ac:dyDescent="0.25">
      <c r="A14396" s="2" t="s">
        <v>28806</v>
      </c>
      <c r="B14396" s="2" t="s">
        <v>28807</v>
      </c>
      <c r="C14396" s="2" t="s">
        <v>556</v>
      </c>
      <c r="D14396" s="2" t="s">
        <v>636</v>
      </c>
      <c r="E14396" s="2" t="str">
        <f>"9783837662788"</f>
        <v>9783837662788</v>
      </c>
      <c r="F14396" s="2" t="str">
        <f>"9783732862788"</f>
        <v>9783732862788</v>
      </c>
    </row>
    <row r="14397" spans="1:6" s="3" customFormat="1" ht="29.1" customHeight="1" x14ac:dyDescent="0.25">
      <c r="A14397" s="2" t="s">
        <v>28808</v>
      </c>
      <c r="B14397" s="2" t="s">
        <v>28809</v>
      </c>
      <c r="C14397" s="2" t="s">
        <v>556</v>
      </c>
      <c r="D14397" s="2" t="s">
        <v>5794</v>
      </c>
      <c r="E14397" s="2" t="str">
        <f>"9783837662665"</f>
        <v>9783837662665</v>
      </c>
      <c r="F14397" s="2" t="str">
        <f>"9783839462669"</f>
        <v>9783839462669</v>
      </c>
    </row>
    <row r="14398" spans="1:6" s="3" customFormat="1" ht="29.1" customHeight="1" x14ac:dyDescent="0.25">
      <c r="A14398" s="2" t="s">
        <v>28810</v>
      </c>
      <c r="B14398" s="2" t="s">
        <v>28811</v>
      </c>
      <c r="C14398" s="2" t="s">
        <v>556</v>
      </c>
      <c r="D14398" s="2" t="s">
        <v>689</v>
      </c>
      <c r="E14398" s="2" t="str">
        <f>"9783837662658"</f>
        <v>9783837662658</v>
      </c>
      <c r="F14398" s="2" t="str">
        <f>"9783839462652"</f>
        <v>9783839462652</v>
      </c>
    </row>
    <row r="14399" spans="1:6" s="3" customFormat="1" ht="29.1" customHeight="1" x14ac:dyDescent="0.25">
      <c r="A14399" s="2" t="s">
        <v>28812</v>
      </c>
      <c r="B14399" s="2" t="s">
        <v>28813</v>
      </c>
      <c r="C14399" s="2" t="s">
        <v>556</v>
      </c>
      <c r="D14399" s="2" t="s">
        <v>4789</v>
      </c>
      <c r="E14399" s="2" t="str">
        <f>"9783837662603"</f>
        <v>9783837662603</v>
      </c>
      <c r="F14399" s="2" t="str">
        <f>"9783839462607"</f>
        <v>9783839462607</v>
      </c>
    </row>
    <row r="14400" spans="1:6" s="3" customFormat="1" ht="29.1" customHeight="1" x14ac:dyDescent="0.25">
      <c r="A14400" s="2" t="s">
        <v>28814</v>
      </c>
      <c r="B14400" s="2" t="s">
        <v>28815</v>
      </c>
      <c r="C14400" s="2" t="s">
        <v>556</v>
      </c>
      <c r="D14400" s="2" t="s">
        <v>75</v>
      </c>
      <c r="E14400" s="2" t="str">
        <f>"9783837662252"</f>
        <v>9783837662252</v>
      </c>
      <c r="F14400" s="2" t="str">
        <f>"9783839462256"</f>
        <v>9783839462256</v>
      </c>
    </row>
    <row r="14401" spans="1:6" s="3" customFormat="1" ht="29.1" customHeight="1" x14ac:dyDescent="0.25">
      <c r="A14401" s="2" t="s">
        <v>28816</v>
      </c>
      <c r="B14401" s="2" t="s">
        <v>28817</v>
      </c>
      <c r="C14401" s="2" t="s">
        <v>556</v>
      </c>
      <c r="D14401" s="2" t="s">
        <v>7000</v>
      </c>
      <c r="E14401" s="2" t="str">
        <f>"9783837662092"</f>
        <v>9783837662092</v>
      </c>
      <c r="F14401" s="2" t="str">
        <f>"9783732862092"</f>
        <v>9783732862092</v>
      </c>
    </row>
    <row r="14402" spans="1:6" s="3" customFormat="1" ht="29.1" customHeight="1" x14ac:dyDescent="0.25">
      <c r="A14402" s="2" t="s">
        <v>28818</v>
      </c>
      <c r="B14402" s="2" t="s">
        <v>28819</v>
      </c>
      <c r="C14402" s="2" t="s">
        <v>556</v>
      </c>
      <c r="D14402" s="2" t="s">
        <v>1177</v>
      </c>
      <c r="E14402" s="2" t="str">
        <f>"9783837661552"</f>
        <v>9783837661552</v>
      </c>
      <c r="F14402" s="2" t="str">
        <f>"9783839461556"</f>
        <v>9783839461556</v>
      </c>
    </row>
    <row r="14403" spans="1:6" s="3" customFormat="1" ht="29.1" customHeight="1" x14ac:dyDescent="0.25">
      <c r="A14403" s="2" t="s">
        <v>28820</v>
      </c>
      <c r="B14403" s="2" t="s">
        <v>28821</v>
      </c>
      <c r="C14403" s="2" t="s">
        <v>556</v>
      </c>
      <c r="D14403" s="2" t="s">
        <v>428</v>
      </c>
      <c r="E14403" s="2" t="str">
        <f>"9783837660593"</f>
        <v>9783837660593</v>
      </c>
      <c r="F14403" s="2" t="str">
        <f>"9783839460597"</f>
        <v>9783839460597</v>
      </c>
    </row>
    <row r="14404" spans="1:6" s="3" customFormat="1" ht="29.1" customHeight="1" x14ac:dyDescent="0.25">
      <c r="A14404" s="2" t="s">
        <v>28822</v>
      </c>
      <c r="B14404" s="2" t="s">
        <v>28823</v>
      </c>
      <c r="C14404" s="2" t="s">
        <v>556</v>
      </c>
      <c r="D14404" s="2" t="s">
        <v>1162</v>
      </c>
      <c r="E14404" s="2" t="str">
        <f>"9783837659962"</f>
        <v>9783837659962</v>
      </c>
      <c r="F14404" s="2" t="str">
        <f>"9783732859962"</f>
        <v>9783732859962</v>
      </c>
    </row>
    <row r="14405" spans="1:6" s="3" customFormat="1" ht="29.1" customHeight="1" x14ac:dyDescent="0.25">
      <c r="A14405" s="2" t="s">
        <v>28824</v>
      </c>
      <c r="B14405" s="2" t="s">
        <v>28825</v>
      </c>
      <c r="C14405" s="2" t="s">
        <v>556</v>
      </c>
      <c r="D14405" s="2" t="s">
        <v>689</v>
      </c>
      <c r="E14405" s="2" t="str">
        <f>"9783837659887"</f>
        <v>9783837659887</v>
      </c>
      <c r="F14405" s="2" t="str">
        <f>"9783839459881"</f>
        <v>9783839459881</v>
      </c>
    </row>
    <row r="14406" spans="1:6" s="3" customFormat="1" ht="29.1" customHeight="1" x14ac:dyDescent="0.25">
      <c r="A14406" s="2" t="s">
        <v>28826</v>
      </c>
      <c r="B14406" s="2" t="s">
        <v>28827</v>
      </c>
      <c r="C14406" s="2" t="s">
        <v>556</v>
      </c>
      <c r="D14406" s="2" t="s">
        <v>2587</v>
      </c>
      <c r="E14406" s="2" t="str">
        <f>"9783837659832"</f>
        <v>9783837659832</v>
      </c>
      <c r="F14406" s="2" t="str">
        <f>"9783839459836"</f>
        <v>9783839459836</v>
      </c>
    </row>
    <row r="14407" spans="1:6" s="3" customFormat="1" ht="29.1" customHeight="1" x14ac:dyDescent="0.25">
      <c r="A14407" s="2" t="s">
        <v>28828</v>
      </c>
      <c r="B14407" s="2" t="s">
        <v>28829</v>
      </c>
      <c r="C14407" s="2" t="s">
        <v>556</v>
      </c>
      <c r="D14407" s="2" t="s">
        <v>428</v>
      </c>
      <c r="E14407" s="2" t="str">
        <f>"9783837659276"</f>
        <v>9783837659276</v>
      </c>
      <c r="F14407" s="2" t="str">
        <f>"9783839459270"</f>
        <v>9783839459270</v>
      </c>
    </row>
    <row r="14408" spans="1:6" s="3" customFormat="1" ht="29.1" customHeight="1" x14ac:dyDescent="0.25">
      <c r="A14408" s="2" t="s">
        <v>28830</v>
      </c>
      <c r="B14408" s="2" t="s">
        <v>28831</v>
      </c>
      <c r="C14408" s="2" t="s">
        <v>556</v>
      </c>
      <c r="D14408" s="2" t="s">
        <v>1162</v>
      </c>
      <c r="E14408" s="2" t="str">
        <f>"9783837658279"</f>
        <v>9783837658279</v>
      </c>
      <c r="F14408" s="2" t="str">
        <f>"9783732858279"</f>
        <v>9783732858279</v>
      </c>
    </row>
    <row r="14409" spans="1:6" s="3" customFormat="1" ht="29.1" customHeight="1" x14ac:dyDescent="0.25">
      <c r="A14409" s="2" t="s">
        <v>28832</v>
      </c>
      <c r="B14409" s="2" t="s">
        <v>28833</v>
      </c>
      <c r="C14409" s="2" t="s">
        <v>556</v>
      </c>
      <c r="D14409" s="2" t="s">
        <v>402</v>
      </c>
      <c r="E14409" s="2" t="str">
        <f>"9783837657739"</f>
        <v>9783837657739</v>
      </c>
      <c r="F14409" s="2" t="str">
        <f>"9783839457733"</f>
        <v>9783839457733</v>
      </c>
    </row>
    <row r="14410" spans="1:6" s="3" customFormat="1" ht="29.1" customHeight="1" x14ac:dyDescent="0.25">
      <c r="A14410" s="2" t="s">
        <v>28834</v>
      </c>
      <c r="B14410" s="2" t="s">
        <v>28835</v>
      </c>
      <c r="C14410" s="2" t="s">
        <v>556</v>
      </c>
      <c r="D14410" s="2" t="s">
        <v>998</v>
      </c>
      <c r="E14410" s="2" t="str">
        <f>"9783837656329"</f>
        <v>9783837656329</v>
      </c>
      <c r="F14410" s="2" t="str">
        <f>"9783839456323"</f>
        <v>9783839456323</v>
      </c>
    </row>
    <row r="14411" spans="1:6" s="3" customFormat="1" ht="29.1" customHeight="1" x14ac:dyDescent="0.25">
      <c r="A14411" s="2" t="s">
        <v>28836</v>
      </c>
      <c r="B14411" s="2" t="s">
        <v>28837</v>
      </c>
      <c r="C14411" s="2" t="s">
        <v>556</v>
      </c>
      <c r="D14411" s="2" t="s">
        <v>674</v>
      </c>
      <c r="E14411" s="2" t="str">
        <f>"9783837656275"</f>
        <v>9783837656275</v>
      </c>
      <c r="F14411" s="2" t="str">
        <f>"9783839456279"</f>
        <v>9783839456279</v>
      </c>
    </row>
    <row r="14412" spans="1:6" s="3" customFormat="1" ht="29.1" customHeight="1" x14ac:dyDescent="0.25">
      <c r="A14412" s="2" t="s">
        <v>28838</v>
      </c>
      <c r="B14412" s="2" t="s">
        <v>28839</v>
      </c>
      <c r="C14412" s="2" t="s">
        <v>556</v>
      </c>
      <c r="D14412" s="2" t="s">
        <v>1262</v>
      </c>
      <c r="E14412" s="2" t="str">
        <f>"9783837653144"</f>
        <v>9783837653144</v>
      </c>
      <c r="F14412" s="2" t="str">
        <f>"9783839453148"</f>
        <v>9783839453148</v>
      </c>
    </row>
    <row r="14413" spans="1:6" s="3" customFormat="1" ht="29.1" customHeight="1" x14ac:dyDescent="0.25">
      <c r="A14413" s="2" t="s">
        <v>28840</v>
      </c>
      <c r="B14413" s="2" t="s">
        <v>28841</v>
      </c>
      <c r="C14413" s="2" t="s">
        <v>556</v>
      </c>
      <c r="D14413" s="2" t="s">
        <v>712</v>
      </c>
      <c r="E14413" s="2" t="str">
        <f>"9783837651133"</f>
        <v>9783837651133</v>
      </c>
      <c r="F14413" s="2" t="str">
        <f>"9783839451137"</f>
        <v>9783839451137</v>
      </c>
    </row>
    <row r="14414" spans="1:6" s="3" customFormat="1" ht="29.1" customHeight="1" x14ac:dyDescent="0.25">
      <c r="A14414" s="2" t="s">
        <v>28842</v>
      </c>
      <c r="B14414" s="2" t="s">
        <v>28843</v>
      </c>
      <c r="C14414" s="2" t="s">
        <v>556</v>
      </c>
      <c r="D14414" s="2" t="s">
        <v>712</v>
      </c>
      <c r="E14414" s="2" t="str">
        <f>"9783837648089"</f>
        <v>9783837648089</v>
      </c>
      <c r="F14414" s="2" t="str">
        <f>"9783732848089"</f>
        <v>9783732848089</v>
      </c>
    </row>
    <row r="14415" spans="1:6" s="3" customFormat="1" ht="29.1" customHeight="1" x14ac:dyDescent="0.25">
      <c r="A14415" s="2" t="s">
        <v>28844</v>
      </c>
      <c r="B14415" s="2" t="s">
        <v>28845</v>
      </c>
      <c r="C14415" s="2" t="s">
        <v>149</v>
      </c>
      <c r="D14415" s="2" t="s">
        <v>17791</v>
      </c>
      <c r="E14415" s="2"/>
      <c r="F14415" s="2" t="str">
        <f>"9781800647589"</f>
        <v>9781800647589</v>
      </c>
    </row>
    <row r="14416" spans="1:6" s="3" customFormat="1" ht="29.1" customHeight="1" x14ac:dyDescent="0.25">
      <c r="A14416" s="2" t="s">
        <v>28846</v>
      </c>
      <c r="B14416" s="2" t="s">
        <v>28847</v>
      </c>
      <c r="C14416" s="2" t="s">
        <v>149</v>
      </c>
      <c r="D14416" s="2" t="s">
        <v>11426</v>
      </c>
      <c r="E14416" s="2"/>
      <c r="F14416" s="2" t="str">
        <f>"9781800647374"</f>
        <v>9781800647374</v>
      </c>
    </row>
    <row r="14417" spans="1:6" s="3" customFormat="1" ht="29.1" customHeight="1" x14ac:dyDescent="0.25">
      <c r="A14417" s="2" t="s">
        <v>28848</v>
      </c>
      <c r="B14417" s="2" t="s">
        <v>28849</v>
      </c>
      <c r="C14417" s="2" t="s">
        <v>149</v>
      </c>
      <c r="D14417" s="2" t="s">
        <v>1141</v>
      </c>
      <c r="E14417" s="2"/>
      <c r="F14417" s="2" t="str">
        <f>"9781800643949"</f>
        <v>9781800643949</v>
      </c>
    </row>
    <row r="14418" spans="1:6" s="3" customFormat="1" ht="29.1" customHeight="1" x14ac:dyDescent="0.25">
      <c r="A14418" s="2" t="s">
        <v>28850</v>
      </c>
      <c r="B14418" s="2" t="s">
        <v>28851</v>
      </c>
      <c r="C14418" s="2" t="s">
        <v>5050</v>
      </c>
      <c r="D14418" s="2" t="s">
        <v>1189</v>
      </c>
      <c r="E14418" s="2" t="str">
        <f>"9780824892913"</f>
        <v>9780824892913</v>
      </c>
      <c r="F14418" s="2" t="str">
        <f>"9780824894375"</f>
        <v>9780824894375</v>
      </c>
    </row>
    <row r="14419" spans="1:6" s="3" customFormat="1" ht="29.1" customHeight="1" x14ac:dyDescent="0.25">
      <c r="A14419" s="2" t="s">
        <v>28852</v>
      </c>
      <c r="B14419" s="2" t="s">
        <v>28853</v>
      </c>
      <c r="C14419" s="2" t="s">
        <v>5050</v>
      </c>
      <c r="D14419" s="2" t="s">
        <v>1259</v>
      </c>
      <c r="E14419" s="2" t="str">
        <f>"9780824892098"</f>
        <v>9780824892098</v>
      </c>
      <c r="F14419" s="2" t="str">
        <f>"9780824892173"</f>
        <v>9780824892173</v>
      </c>
    </row>
    <row r="14420" spans="1:6" s="3" customFormat="1" ht="29.1" customHeight="1" x14ac:dyDescent="0.25">
      <c r="A14420" s="2" t="s">
        <v>28854</v>
      </c>
      <c r="B14420" s="2" t="s">
        <v>28855</v>
      </c>
      <c r="C14420" s="2" t="s">
        <v>5050</v>
      </c>
      <c r="D14420" s="2" t="s">
        <v>13300</v>
      </c>
      <c r="E14420" s="2" t="str">
        <f>"9780824891060"</f>
        <v>9780824891060</v>
      </c>
      <c r="F14420" s="2" t="str">
        <f>"9780824892258"</f>
        <v>9780824892258</v>
      </c>
    </row>
    <row r="14421" spans="1:6" s="3" customFormat="1" ht="29.1" customHeight="1" x14ac:dyDescent="0.25">
      <c r="A14421" s="2" t="s">
        <v>28856</v>
      </c>
      <c r="B14421" s="2" t="s">
        <v>28857</v>
      </c>
      <c r="C14421" s="2" t="s">
        <v>5050</v>
      </c>
      <c r="D14421" s="2" t="s">
        <v>636</v>
      </c>
      <c r="E14421" s="2" t="str">
        <f>"9780824894924"</f>
        <v>9780824894924</v>
      </c>
      <c r="F14421" s="2" t="str">
        <f>"9780824894931"</f>
        <v>9780824894931</v>
      </c>
    </row>
    <row r="14422" spans="1:6" s="3" customFormat="1" ht="29.1" customHeight="1" x14ac:dyDescent="0.25">
      <c r="A14422" s="2" t="s">
        <v>28858</v>
      </c>
      <c r="B14422" s="2" t="s">
        <v>28859</v>
      </c>
      <c r="C14422" s="2" t="s">
        <v>927</v>
      </c>
      <c r="D14422" s="2" t="s">
        <v>8788</v>
      </c>
      <c r="E14422" s="2" t="str">
        <f>"9780472039098"</f>
        <v>9780472039098</v>
      </c>
      <c r="F14422" s="2" t="str">
        <f>"9780472903009"</f>
        <v>9780472903009</v>
      </c>
    </row>
    <row r="14423" spans="1:6" s="3" customFormat="1" ht="29.1" customHeight="1" x14ac:dyDescent="0.25">
      <c r="A14423" s="2" t="s">
        <v>28860</v>
      </c>
      <c r="B14423" s="2" t="s">
        <v>28861</v>
      </c>
      <c r="C14423" s="2" t="s">
        <v>927</v>
      </c>
      <c r="D14423" s="2" t="s">
        <v>270</v>
      </c>
      <c r="E14423" s="2" t="str">
        <f>"9780472055548"</f>
        <v>9780472055548</v>
      </c>
      <c r="F14423" s="2" t="str">
        <f>"9780472902927"</f>
        <v>9780472902927</v>
      </c>
    </row>
    <row r="14424" spans="1:6" s="3" customFormat="1" ht="29.1" customHeight="1" x14ac:dyDescent="0.25">
      <c r="A14424" s="2" t="s">
        <v>28862</v>
      </c>
      <c r="B14424" s="2" t="s">
        <v>28863</v>
      </c>
      <c r="C14424" s="2" t="s">
        <v>927</v>
      </c>
      <c r="D14424" s="2" t="s">
        <v>2208</v>
      </c>
      <c r="E14424" s="2" t="str">
        <f>"9780472055746"</f>
        <v>9780472055746</v>
      </c>
      <c r="F14424" s="2" t="str">
        <f>"9780472903337"</f>
        <v>9780472903337</v>
      </c>
    </row>
    <row r="14425" spans="1:6" s="3" customFormat="1" ht="29.1" customHeight="1" x14ac:dyDescent="0.25">
      <c r="A14425" s="2" t="s">
        <v>28864</v>
      </c>
      <c r="B14425" s="2" t="s">
        <v>28865</v>
      </c>
      <c r="C14425" s="2" t="s">
        <v>124</v>
      </c>
      <c r="D14425" s="2" t="s">
        <v>712</v>
      </c>
      <c r="E14425" s="2" t="str">
        <f>"9781032154138"</f>
        <v>9781032154138</v>
      </c>
      <c r="F14425" s="2" t="str">
        <f>"9781000826999"</f>
        <v>9781000826999</v>
      </c>
    </row>
    <row r="14426" spans="1:6" s="3" customFormat="1" ht="29.1" customHeight="1" x14ac:dyDescent="0.25">
      <c r="A14426" s="2" t="s">
        <v>28866</v>
      </c>
      <c r="B14426" s="2" t="s">
        <v>28867</v>
      </c>
      <c r="C14426" s="2" t="s">
        <v>124</v>
      </c>
      <c r="D14426" s="2" t="s">
        <v>1013</v>
      </c>
      <c r="E14426" s="2" t="str">
        <f>"9781032294261"</f>
        <v>9781032294261</v>
      </c>
      <c r="F14426" s="2" t="str">
        <f>"9781000840735"</f>
        <v>9781000840735</v>
      </c>
    </row>
    <row r="14427" spans="1:6" s="3" customFormat="1" ht="29.1" customHeight="1" x14ac:dyDescent="0.25">
      <c r="A14427" s="2" t="s">
        <v>28868</v>
      </c>
      <c r="B14427" s="2" t="s">
        <v>28869</v>
      </c>
      <c r="C14427" s="2" t="s">
        <v>124</v>
      </c>
      <c r="D14427" s="2" t="s">
        <v>9052</v>
      </c>
      <c r="E14427" s="2" t="str">
        <f>"9781032029979"</f>
        <v>9781032029979</v>
      </c>
      <c r="F14427" s="2" t="str">
        <f>"9781000827309"</f>
        <v>9781000827309</v>
      </c>
    </row>
    <row r="14428" spans="1:6" s="3" customFormat="1" ht="29.1" customHeight="1" x14ac:dyDescent="0.25">
      <c r="A14428" s="2" t="s">
        <v>28870</v>
      </c>
      <c r="B14428" s="2" t="s">
        <v>28871</v>
      </c>
      <c r="C14428" s="2" t="s">
        <v>124</v>
      </c>
      <c r="D14428" s="2" t="s">
        <v>2150</v>
      </c>
      <c r="E14428" s="2" t="str">
        <f>"9781032345505"</f>
        <v>9781032345505</v>
      </c>
      <c r="F14428" s="2" t="str">
        <f>"9781000826838"</f>
        <v>9781000826838</v>
      </c>
    </row>
    <row r="14429" spans="1:6" s="3" customFormat="1" ht="29.1" customHeight="1" x14ac:dyDescent="0.25">
      <c r="A14429" s="2" t="s">
        <v>28872</v>
      </c>
      <c r="B14429" s="2" t="s">
        <v>28873</v>
      </c>
      <c r="C14429" s="2" t="s">
        <v>124</v>
      </c>
      <c r="D14429" s="2" t="s">
        <v>270</v>
      </c>
      <c r="E14429" s="2" t="str">
        <f>"9781032059501"</f>
        <v>9781032059501</v>
      </c>
      <c r="F14429" s="2" t="str">
        <f>"9781000815887"</f>
        <v>9781000815887</v>
      </c>
    </row>
    <row r="14430" spans="1:6" s="3" customFormat="1" ht="29.1" customHeight="1" x14ac:dyDescent="0.25">
      <c r="A14430" s="2" t="s">
        <v>28874</v>
      </c>
      <c r="B14430" s="2" t="s">
        <v>28875</v>
      </c>
      <c r="C14430" s="2" t="s">
        <v>149</v>
      </c>
      <c r="D14430" s="2" t="s">
        <v>2086</v>
      </c>
      <c r="E14430" s="2"/>
      <c r="F14430" s="2" t="str">
        <f>"9781800648586"</f>
        <v>9781800648586</v>
      </c>
    </row>
    <row r="14431" spans="1:6" s="3" customFormat="1" ht="29.1" customHeight="1" x14ac:dyDescent="0.25">
      <c r="A14431" s="2" t="s">
        <v>28876</v>
      </c>
      <c r="B14431" s="2" t="s">
        <v>28877</v>
      </c>
      <c r="C14431" s="2" t="s">
        <v>149</v>
      </c>
      <c r="D14431" s="2" t="s">
        <v>18302</v>
      </c>
      <c r="E14431" s="2"/>
      <c r="F14431" s="2" t="str">
        <f>"9781800647657"</f>
        <v>9781800647657</v>
      </c>
    </row>
    <row r="14432" spans="1:6" s="3" customFormat="1" ht="29.1" customHeight="1" x14ac:dyDescent="0.25">
      <c r="A14432" s="2" t="s">
        <v>28878</v>
      </c>
      <c r="B14432" s="2" t="s">
        <v>28879</v>
      </c>
      <c r="C14432" s="2" t="s">
        <v>4104</v>
      </c>
      <c r="D14432" s="2" t="s">
        <v>4172</v>
      </c>
      <c r="E14432" s="2" t="str">
        <f>"9781802078480"</f>
        <v>9781802078480</v>
      </c>
      <c r="F14432" s="2" t="str">
        <f>"9781837646562"</f>
        <v>9781837646562</v>
      </c>
    </row>
    <row r="14433" spans="1:6" s="3" customFormat="1" ht="29.1" customHeight="1" x14ac:dyDescent="0.25">
      <c r="A14433" s="2" t="s">
        <v>28880</v>
      </c>
      <c r="B14433" s="2" t="s">
        <v>28881</v>
      </c>
      <c r="C14433" s="2" t="s">
        <v>4104</v>
      </c>
      <c r="D14433" s="2" t="s">
        <v>5635</v>
      </c>
      <c r="E14433" s="2" t="str">
        <f>"9781802078589"</f>
        <v>9781802078589</v>
      </c>
      <c r="F14433" s="2" t="str">
        <f>"9781837646845"</f>
        <v>9781837646845</v>
      </c>
    </row>
    <row r="14434" spans="1:6" s="3" customFormat="1" ht="29.1" customHeight="1" x14ac:dyDescent="0.25">
      <c r="A14434" s="2" t="s">
        <v>28882</v>
      </c>
      <c r="B14434" s="2" t="s">
        <v>28883</v>
      </c>
      <c r="C14434" s="2" t="s">
        <v>4104</v>
      </c>
      <c r="D14434" s="2" t="s">
        <v>2150</v>
      </c>
      <c r="E14434" s="2" t="str">
        <f>"9781802077278"</f>
        <v>9781802077278</v>
      </c>
      <c r="F14434" s="2" t="str">
        <f>"9781802079081"</f>
        <v>9781802079081</v>
      </c>
    </row>
    <row r="14435" spans="1:6" s="3" customFormat="1" ht="29.1" customHeight="1" x14ac:dyDescent="0.25">
      <c r="A14435" s="2" t="s">
        <v>28884</v>
      </c>
      <c r="B14435" s="2" t="s">
        <v>28885</v>
      </c>
      <c r="C14435" s="2" t="s">
        <v>4104</v>
      </c>
      <c r="D14435" s="2" t="s">
        <v>218</v>
      </c>
      <c r="E14435" s="2" t="str">
        <f>"9781802078046"</f>
        <v>9781802078046</v>
      </c>
      <c r="F14435" s="2" t="str">
        <f>"9781802076400"</f>
        <v>9781802076400</v>
      </c>
    </row>
    <row r="14436" spans="1:6" s="3" customFormat="1" ht="29.1" customHeight="1" x14ac:dyDescent="0.25">
      <c r="A14436" s="2" t="s">
        <v>28886</v>
      </c>
      <c r="B14436" s="2" t="s">
        <v>28887</v>
      </c>
      <c r="C14436" s="2" t="s">
        <v>4104</v>
      </c>
      <c r="D14436" s="2" t="s">
        <v>1049</v>
      </c>
      <c r="E14436" s="2" t="str">
        <f>"9781802078053"</f>
        <v>9781802078053</v>
      </c>
      <c r="F14436" s="2" t="str">
        <f>"9781802076417"</f>
        <v>9781802076417</v>
      </c>
    </row>
    <row r="14437" spans="1:6" s="3" customFormat="1" ht="29.1" customHeight="1" x14ac:dyDescent="0.25">
      <c r="A14437" s="2" t="s">
        <v>28888</v>
      </c>
      <c r="B14437" s="2" t="s">
        <v>28889</v>
      </c>
      <c r="C14437" s="2" t="s">
        <v>4104</v>
      </c>
      <c r="D14437" s="2" t="s">
        <v>27218</v>
      </c>
      <c r="E14437" s="2" t="str">
        <f>"9781802078008"</f>
        <v>9781802078008</v>
      </c>
      <c r="F14437" s="2" t="str">
        <f>"9781802076523"</f>
        <v>9781802076523</v>
      </c>
    </row>
    <row r="14438" spans="1:6" s="3" customFormat="1" ht="29.1" customHeight="1" x14ac:dyDescent="0.25">
      <c r="A14438" s="2" t="s">
        <v>28890</v>
      </c>
      <c r="B14438" s="2" t="s">
        <v>28891</v>
      </c>
      <c r="C14438" s="2" t="s">
        <v>195</v>
      </c>
      <c r="D14438" s="2" t="s">
        <v>2692</v>
      </c>
      <c r="E14438" s="2" t="str">
        <f>"9783110785920"</f>
        <v>9783110785920</v>
      </c>
      <c r="F14438" s="2" t="str">
        <f>"9783110786088"</f>
        <v>9783110786088</v>
      </c>
    </row>
    <row r="14439" spans="1:6" s="3" customFormat="1" ht="29.1" customHeight="1" x14ac:dyDescent="0.25">
      <c r="A14439" s="2" t="s">
        <v>28892</v>
      </c>
      <c r="B14439" s="2" t="s">
        <v>28893</v>
      </c>
      <c r="C14439" s="2" t="s">
        <v>195</v>
      </c>
      <c r="D14439" s="2" t="s">
        <v>5649</v>
      </c>
      <c r="E14439" s="2" t="str">
        <f>"9783111012933"</f>
        <v>9783111012933</v>
      </c>
      <c r="F14439" s="2" t="str">
        <f>"9783111017754"</f>
        <v>9783111017754</v>
      </c>
    </row>
    <row r="14440" spans="1:6" s="3" customFormat="1" ht="29.1" customHeight="1" x14ac:dyDescent="0.25">
      <c r="A14440" s="2" t="s">
        <v>28894</v>
      </c>
      <c r="B14440" s="2" t="s">
        <v>28895</v>
      </c>
      <c r="C14440" s="2" t="s">
        <v>195</v>
      </c>
      <c r="D14440" s="2" t="s">
        <v>33</v>
      </c>
      <c r="E14440" s="2" t="str">
        <f>"9783110997620"</f>
        <v>9783110997620</v>
      </c>
      <c r="F14440" s="2" t="str">
        <f>"9783110986525"</f>
        <v>9783110986525</v>
      </c>
    </row>
    <row r="14441" spans="1:6" s="3" customFormat="1" ht="29.1" customHeight="1" x14ac:dyDescent="0.25">
      <c r="A14441" s="2" t="s">
        <v>28896</v>
      </c>
      <c r="B14441" s="2" t="s">
        <v>28897</v>
      </c>
      <c r="C14441" s="2" t="s">
        <v>195</v>
      </c>
      <c r="D14441" s="2" t="s">
        <v>5335</v>
      </c>
      <c r="E14441" s="2" t="str">
        <f>"9783110738247"</f>
        <v>9783110738247</v>
      </c>
      <c r="F14441" s="2" t="str">
        <f>"9783110733372"</f>
        <v>9783110733372</v>
      </c>
    </row>
    <row r="14442" spans="1:6" s="3" customFormat="1" ht="29.1" customHeight="1" x14ac:dyDescent="0.25">
      <c r="A14442" s="2" t="s">
        <v>28898</v>
      </c>
      <c r="B14442" s="2" t="s">
        <v>28899</v>
      </c>
      <c r="C14442" s="2" t="s">
        <v>195</v>
      </c>
      <c r="D14442" s="2" t="s">
        <v>210</v>
      </c>
      <c r="E14442" s="2" t="str">
        <f>"9783110795813"</f>
        <v>9783110795813</v>
      </c>
      <c r="F14442" s="2" t="str">
        <f>"9783110799767"</f>
        <v>9783110799767</v>
      </c>
    </row>
    <row r="14443" spans="1:6" s="3" customFormat="1" ht="29.1" customHeight="1" x14ac:dyDescent="0.25">
      <c r="A14443" s="2" t="s">
        <v>28898</v>
      </c>
      <c r="B14443" s="2" t="s">
        <v>28900</v>
      </c>
      <c r="C14443" s="2" t="s">
        <v>195</v>
      </c>
      <c r="D14443" s="2" t="s">
        <v>210</v>
      </c>
      <c r="E14443" s="2" t="str">
        <f>"9783110795806"</f>
        <v>9783110795806</v>
      </c>
      <c r="F14443" s="2" t="str">
        <f>"9783110799774"</f>
        <v>9783110799774</v>
      </c>
    </row>
    <row r="14444" spans="1:6" s="3" customFormat="1" ht="29.1" customHeight="1" x14ac:dyDescent="0.25">
      <c r="A14444" s="2" t="s">
        <v>28901</v>
      </c>
      <c r="B14444" s="2" t="s">
        <v>28902</v>
      </c>
      <c r="C14444" s="2" t="s">
        <v>195</v>
      </c>
      <c r="D14444" s="2" t="s">
        <v>7766</v>
      </c>
      <c r="E14444" s="2" t="str">
        <f>"9783110796490"</f>
        <v>9783110796490</v>
      </c>
      <c r="F14444" s="2" t="str">
        <f>"9783110798432"</f>
        <v>9783110798432</v>
      </c>
    </row>
    <row r="14445" spans="1:6" s="3" customFormat="1" ht="29.1" customHeight="1" x14ac:dyDescent="0.25">
      <c r="A14445" s="2" t="s">
        <v>28903</v>
      </c>
      <c r="B14445" s="2" t="s">
        <v>28904</v>
      </c>
      <c r="C14445" s="2" t="s">
        <v>195</v>
      </c>
      <c r="D14445" s="2" t="s">
        <v>33</v>
      </c>
      <c r="E14445" s="2" t="str">
        <f>"9783110795233"</f>
        <v>9783110795233</v>
      </c>
      <c r="F14445" s="2" t="str">
        <f>"9783110795271"</f>
        <v>9783110795271</v>
      </c>
    </row>
    <row r="14446" spans="1:6" s="3" customFormat="1" ht="29.1" customHeight="1" x14ac:dyDescent="0.25">
      <c r="A14446" s="2" t="s">
        <v>28905</v>
      </c>
      <c r="B14446" s="2" t="s">
        <v>28906</v>
      </c>
      <c r="C14446" s="2" t="s">
        <v>195</v>
      </c>
      <c r="D14446" s="2" t="s">
        <v>297</v>
      </c>
      <c r="E14446" s="2" t="str">
        <f>"9783110770117"</f>
        <v>9783110770117</v>
      </c>
      <c r="F14446" s="2" t="str">
        <f>"9783110770179"</f>
        <v>9783110770179</v>
      </c>
    </row>
    <row r="14447" spans="1:6" s="3" customFormat="1" ht="29.1" customHeight="1" x14ac:dyDescent="0.25">
      <c r="A14447" s="2" t="s">
        <v>28907</v>
      </c>
      <c r="B14447" s="2" t="s">
        <v>28908</v>
      </c>
      <c r="C14447" s="2" t="s">
        <v>195</v>
      </c>
      <c r="D14447" s="2" t="s">
        <v>413</v>
      </c>
      <c r="E14447" s="2" t="str">
        <f>"9783110774290"</f>
        <v>9783110774290</v>
      </c>
      <c r="F14447" s="2" t="str">
        <f>"9783110774313"</f>
        <v>9783110774313</v>
      </c>
    </row>
    <row r="14448" spans="1:6" s="3" customFormat="1" ht="29.1" customHeight="1" x14ac:dyDescent="0.25">
      <c r="A14448" s="2" t="s">
        <v>28909</v>
      </c>
      <c r="B14448" s="2" t="s">
        <v>28910</v>
      </c>
      <c r="C14448" s="2" t="s">
        <v>195</v>
      </c>
      <c r="D14448" s="2" t="s">
        <v>2428</v>
      </c>
      <c r="E14448" s="2" t="str">
        <f>"9783110792232"</f>
        <v>9783110792232</v>
      </c>
      <c r="F14448" s="2" t="str">
        <f>"9783110792263"</f>
        <v>9783110792263</v>
      </c>
    </row>
    <row r="14449" spans="1:6" s="3" customFormat="1" ht="29.1" customHeight="1" x14ac:dyDescent="0.25">
      <c r="A14449" s="2" t="s">
        <v>28911</v>
      </c>
      <c r="B14449" s="2" t="s">
        <v>28912</v>
      </c>
      <c r="C14449" s="2" t="s">
        <v>195</v>
      </c>
      <c r="D14449" s="2" t="s">
        <v>3345</v>
      </c>
      <c r="E14449" s="2" t="str">
        <f>"9783110739206"</f>
        <v>9783110739206</v>
      </c>
      <c r="F14449" s="2" t="str">
        <f>"9783110735550"</f>
        <v>9783110735550</v>
      </c>
    </row>
    <row r="14450" spans="1:6" s="3" customFormat="1" ht="29.1" customHeight="1" x14ac:dyDescent="0.25">
      <c r="A14450" s="2" t="s">
        <v>28913</v>
      </c>
      <c r="B14450" s="2" t="s">
        <v>28914</v>
      </c>
      <c r="C14450" s="2" t="s">
        <v>195</v>
      </c>
      <c r="D14450" s="2" t="s">
        <v>7702</v>
      </c>
      <c r="E14450" s="2" t="str">
        <f>"9783110759068"</f>
        <v>9783110759068</v>
      </c>
      <c r="F14450" s="2" t="str">
        <f>"9783110761665"</f>
        <v>9783110761665</v>
      </c>
    </row>
    <row r="14451" spans="1:6" s="3" customFormat="1" ht="29.1" customHeight="1" x14ac:dyDescent="0.25">
      <c r="A14451" s="2" t="s">
        <v>28915</v>
      </c>
      <c r="B14451" s="2" t="s">
        <v>28916</v>
      </c>
      <c r="C14451" s="2" t="s">
        <v>195</v>
      </c>
      <c r="D14451" s="2" t="s">
        <v>1127</v>
      </c>
      <c r="E14451" s="2" t="str">
        <f>"9783035620948"</f>
        <v>9783035620948</v>
      </c>
      <c r="F14451" s="2" t="str">
        <f>"9783035621006"</f>
        <v>9783035621006</v>
      </c>
    </row>
    <row r="14452" spans="1:6" s="3" customFormat="1" ht="29.1" customHeight="1" x14ac:dyDescent="0.25">
      <c r="A14452" s="2" t="s">
        <v>28917</v>
      </c>
      <c r="B14452" s="2" t="s">
        <v>28918</v>
      </c>
      <c r="C14452" s="2" t="s">
        <v>124</v>
      </c>
      <c r="D14452" s="2" t="s">
        <v>210</v>
      </c>
      <c r="E14452" s="2" t="str">
        <f>"9781032066738"</f>
        <v>9781032066738</v>
      </c>
      <c r="F14452" s="2" t="str">
        <f>"9781000832174"</f>
        <v>9781000832174</v>
      </c>
    </row>
    <row r="14453" spans="1:6" s="3" customFormat="1" ht="29.1" customHeight="1" x14ac:dyDescent="0.25">
      <c r="A14453" s="2" t="s">
        <v>28919</v>
      </c>
      <c r="B14453" s="2" t="s">
        <v>28920</v>
      </c>
      <c r="C14453" s="2" t="s">
        <v>885</v>
      </c>
      <c r="D14453" s="2" t="s">
        <v>8791</v>
      </c>
      <c r="E14453" s="2" t="str">
        <f>"9781487559830"</f>
        <v>9781487559830</v>
      </c>
      <c r="F14453" s="2" t="str">
        <f>"9781487548612"</f>
        <v>9781487548612</v>
      </c>
    </row>
    <row r="14454" spans="1:6" s="3" customFormat="1" ht="29.1" customHeight="1" x14ac:dyDescent="0.25">
      <c r="A14454" s="2" t="s">
        <v>28921</v>
      </c>
      <c r="B14454" s="2" t="s">
        <v>28922</v>
      </c>
      <c r="C14454" s="2" t="s">
        <v>885</v>
      </c>
      <c r="D14454" s="2" t="s">
        <v>886</v>
      </c>
      <c r="E14454" s="2" t="str">
        <f>"9781487542429"</f>
        <v>9781487542429</v>
      </c>
      <c r="F14454" s="2" t="str">
        <f>"9781487542443"</f>
        <v>9781487542443</v>
      </c>
    </row>
    <row r="14455" spans="1:6" s="3" customFormat="1" ht="29.1" customHeight="1" x14ac:dyDescent="0.25">
      <c r="A14455" s="2" t="s">
        <v>28923</v>
      </c>
      <c r="B14455" s="2" t="s">
        <v>28924</v>
      </c>
      <c r="C14455" s="2" t="s">
        <v>885</v>
      </c>
      <c r="D14455" s="2" t="s">
        <v>221</v>
      </c>
      <c r="E14455" s="2" t="str">
        <f>"9781487528652"</f>
        <v>9781487528652</v>
      </c>
      <c r="F14455" s="2" t="str">
        <f>"9781487528676"</f>
        <v>9781487528676</v>
      </c>
    </row>
    <row r="14456" spans="1:6" s="3" customFormat="1" ht="29.1" customHeight="1" x14ac:dyDescent="0.25">
      <c r="A14456" s="2" t="s">
        <v>28925</v>
      </c>
      <c r="B14456" s="2" t="s">
        <v>28926</v>
      </c>
      <c r="C14456" s="2" t="s">
        <v>2242</v>
      </c>
      <c r="D14456" s="2" t="s">
        <v>49</v>
      </c>
      <c r="E14456" s="2"/>
      <c r="F14456" s="2" t="str">
        <f>"9788024460840"</f>
        <v>9788024460840</v>
      </c>
    </row>
    <row r="14457" spans="1:6" s="3" customFormat="1" ht="29.1" customHeight="1" x14ac:dyDescent="0.25">
      <c r="A14457" s="2" t="s">
        <v>28927</v>
      </c>
      <c r="B14457" s="2" t="s">
        <v>28928</v>
      </c>
      <c r="C14457" s="2" t="s">
        <v>2242</v>
      </c>
      <c r="D14457" s="2" t="s">
        <v>5557</v>
      </c>
      <c r="E14457" s="2"/>
      <c r="F14457" s="2" t="str">
        <f>"9788024461830"</f>
        <v>9788024461830</v>
      </c>
    </row>
    <row r="14458" spans="1:6" s="3" customFormat="1" ht="29.1" customHeight="1" x14ac:dyDescent="0.25">
      <c r="A14458" s="2" t="s">
        <v>28929</v>
      </c>
      <c r="B14458" s="2" t="s">
        <v>28930</v>
      </c>
      <c r="C14458" s="2" t="s">
        <v>2242</v>
      </c>
      <c r="D14458" s="2" t="s">
        <v>15869</v>
      </c>
      <c r="E14458" s="2"/>
      <c r="F14458" s="2" t="str">
        <f>"9788024462097"</f>
        <v>9788024462097</v>
      </c>
    </row>
    <row r="14459" spans="1:6" s="3" customFormat="1" ht="29.1" customHeight="1" x14ac:dyDescent="0.25">
      <c r="A14459" s="2" t="s">
        <v>28931</v>
      </c>
      <c r="B14459" s="2" t="s">
        <v>28932</v>
      </c>
      <c r="C14459" s="2" t="s">
        <v>2242</v>
      </c>
      <c r="D14459" s="2" t="s">
        <v>5012</v>
      </c>
      <c r="E14459" s="2"/>
      <c r="F14459" s="2" t="str">
        <f>"9788024461762"</f>
        <v>9788024461762</v>
      </c>
    </row>
    <row r="14460" spans="1:6" s="3" customFormat="1" ht="29.1" customHeight="1" x14ac:dyDescent="0.25">
      <c r="A14460" s="2" t="s">
        <v>28933</v>
      </c>
      <c r="B14460" s="2" t="s">
        <v>28934</v>
      </c>
      <c r="C14460" s="2" t="s">
        <v>2242</v>
      </c>
      <c r="D14460" s="2" t="s">
        <v>3958</v>
      </c>
      <c r="E14460" s="2"/>
      <c r="F14460" s="2" t="str">
        <f>"9788024461298"</f>
        <v>9788024461298</v>
      </c>
    </row>
    <row r="14461" spans="1:6" s="3" customFormat="1" ht="29.1" customHeight="1" x14ac:dyDescent="0.25">
      <c r="A14461" s="2" t="s">
        <v>28935</v>
      </c>
      <c r="B14461" s="2" t="s">
        <v>28936</v>
      </c>
      <c r="C14461" s="2" t="s">
        <v>2242</v>
      </c>
      <c r="D14461" s="2" t="s">
        <v>636</v>
      </c>
      <c r="E14461" s="2"/>
      <c r="F14461" s="2" t="str">
        <f>"9788024461731"</f>
        <v>9788024461731</v>
      </c>
    </row>
    <row r="14462" spans="1:6" s="3" customFormat="1" ht="29.1" customHeight="1" x14ac:dyDescent="0.25">
      <c r="A14462" s="2" t="s">
        <v>28937</v>
      </c>
      <c r="B14462" s="2" t="s">
        <v>8696</v>
      </c>
      <c r="C14462" s="2" t="s">
        <v>4788</v>
      </c>
      <c r="D14462" s="2" t="s">
        <v>465</v>
      </c>
      <c r="E14462" s="2" t="str">
        <f>"9781399502412"</f>
        <v>9781399502412</v>
      </c>
      <c r="F14462" s="2" t="str">
        <f>"9781399502436"</f>
        <v>9781399502436</v>
      </c>
    </row>
    <row r="14463" spans="1:6" s="3" customFormat="1" ht="29.1" customHeight="1" x14ac:dyDescent="0.25">
      <c r="A14463" s="2" t="s">
        <v>28938</v>
      </c>
      <c r="B14463" s="2" t="s">
        <v>28939</v>
      </c>
      <c r="C14463" s="2" t="s">
        <v>4788</v>
      </c>
      <c r="D14463" s="2" t="s">
        <v>501</v>
      </c>
      <c r="E14463" s="2" t="str">
        <f>"9781399512497"</f>
        <v>9781399512497</v>
      </c>
      <c r="F14463" s="2" t="str">
        <f>"9781399512510"</f>
        <v>9781399512510</v>
      </c>
    </row>
    <row r="14464" spans="1:6" s="3" customFormat="1" ht="29.1" customHeight="1" x14ac:dyDescent="0.25">
      <c r="A14464" s="2" t="s">
        <v>28940</v>
      </c>
      <c r="B14464" s="2" t="s">
        <v>28941</v>
      </c>
      <c r="C14464" s="2" t="s">
        <v>4788</v>
      </c>
      <c r="D14464" s="2" t="s">
        <v>16057</v>
      </c>
      <c r="E14464" s="2" t="str">
        <f>"9781399520256"</f>
        <v>9781399520256</v>
      </c>
      <c r="F14464" s="2" t="str">
        <f>"9781399520270"</f>
        <v>9781399520270</v>
      </c>
    </row>
    <row r="14465" spans="1:6" s="3" customFormat="1" ht="29.1" customHeight="1" x14ac:dyDescent="0.25">
      <c r="A14465" s="2" t="s">
        <v>28942</v>
      </c>
      <c r="B14465" s="2" t="s">
        <v>28943</v>
      </c>
      <c r="C14465" s="2" t="s">
        <v>4788</v>
      </c>
      <c r="D14465" s="2" t="s">
        <v>6669</v>
      </c>
      <c r="E14465" s="2" t="str">
        <f>"9781474490047"</f>
        <v>9781474490047</v>
      </c>
      <c r="F14465" s="2" t="str">
        <f>"9781474490061"</f>
        <v>9781474490061</v>
      </c>
    </row>
    <row r="14466" spans="1:6" s="3" customFormat="1" ht="29.1" customHeight="1" x14ac:dyDescent="0.25">
      <c r="A14466" s="2" t="s">
        <v>28944</v>
      </c>
      <c r="B14466" s="2" t="s">
        <v>28945</v>
      </c>
      <c r="C14466" s="2" t="s">
        <v>4788</v>
      </c>
      <c r="D14466" s="2" t="s">
        <v>192</v>
      </c>
      <c r="E14466" s="2" t="str">
        <f>"9781474490085"</f>
        <v>9781474490085</v>
      </c>
      <c r="F14466" s="2" t="str">
        <f>"9781474490108"</f>
        <v>9781474490108</v>
      </c>
    </row>
    <row r="14467" spans="1:6" s="3" customFormat="1" ht="29.1" customHeight="1" x14ac:dyDescent="0.25">
      <c r="A14467" s="2" t="s">
        <v>28946</v>
      </c>
      <c r="B14467" s="2" t="s">
        <v>28947</v>
      </c>
      <c r="C14467" s="2" t="s">
        <v>4788</v>
      </c>
      <c r="D14467" s="2" t="s">
        <v>207</v>
      </c>
      <c r="E14467" s="2" t="str">
        <f>"9781474492959"</f>
        <v>9781474492959</v>
      </c>
      <c r="F14467" s="2" t="str">
        <f>"9781474492973"</f>
        <v>9781474492973</v>
      </c>
    </row>
    <row r="14468" spans="1:6" s="3" customFormat="1" ht="29.1" customHeight="1" x14ac:dyDescent="0.25">
      <c r="A14468" s="2" t="s">
        <v>28948</v>
      </c>
      <c r="B14468" s="2" t="s">
        <v>28949</v>
      </c>
      <c r="C14468" s="2" t="s">
        <v>4788</v>
      </c>
      <c r="D14468" s="2" t="s">
        <v>3993</v>
      </c>
      <c r="E14468" s="2" t="str">
        <f>"9781474497824"</f>
        <v>9781474497824</v>
      </c>
      <c r="F14468" s="2" t="str">
        <f>"9781474497848"</f>
        <v>9781474497848</v>
      </c>
    </row>
    <row r="14469" spans="1:6" s="3" customFormat="1" ht="29.1" customHeight="1" x14ac:dyDescent="0.25">
      <c r="A14469" s="2" t="s">
        <v>28950</v>
      </c>
      <c r="B14469" s="2" t="s">
        <v>28951</v>
      </c>
      <c r="C14469" s="2" t="s">
        <v>4788</v>
      </c>
      <c r="D14469" s="2" t="s">
        <v>465</v>
      </c>
      <c r="E14469" s="2" t="str">
        <f>"9781399500128"</f>
        <v>9781399500128</v>
      </c>
      <c r="F14469" s="2" t="str">
        <f>"9781399500142"</f>
        <v>9781399500142</v>
      </c>
    </row>
    <row r="14470" spans="1:6" s="3" customFormat="1" ht="29.1" customHeight="1" x14ac:dyDescent="0.25">
      <c r="A14470" s="2" t="s">
        <v>28952</v>
      </c>
      <c r="B14470" s="2" t="s">
        <v>28953</v>
      </c>
      <c r="C14470" s="2" t="s">
        <v>4788</v>
      </c>
      <c r="D14470" s="2" t="s">
        <v>4789</v>
      </c>
      <c r="E14470" s="2" t="str">
        <f>"9781399500869"</f>
        <v>9781399500869</v>
      </c>
      <c r="F14470" s="2" t="str">
        <f>"9781399500883"</f>
        <v>9781399500883</v>
      </c>
    </row>
    <row r="14471" spans="1:6" s="3" customFormat="1" ht="29.1" customHeight="1" x14ac:dyDescent="0.25">
      <c r="A14471" s="2" t="s">
        <v>28954</v>
      </c>
      <c r="B14471" s="2" t="s">
        <v>28955</v>
      </c>
      <c r="C14471" s="2" t="s">
        <v>4788</v>
      </c>
      <c r="D14471" s="2" t="s">
        <v>4789</v>
      </c>
      <c r="E14471" s="2" t="str">
        <f>"9781474463447"</f>
        <v>9781474463447</v>
      </c>
      <c r="F14471" s="2" t="str">
        <f>"9781474463461"</f>
        <v>9781474463461</v>
      </c>
    </row>
    <row r="14472" spans="1:6" s="3" customFormat="1" ht="29.1" customHeight="1" x14ac:dyDescent="0.25">
      <c r="A14472" s="2" t="s">
        <v>28956</v>
      </c>
      <c r="B14472" s="2" t="s">
        <v>28957</v>
      </c>
      <c r="C14472" s="2" t="s">
        <v>4788</v>
      </c>
      <c r="D14472" s="2" t="s">
        <v>9878</v>
      </c>
      <c r="E14472" s="2" t="str">
        <f>"9781474486491"</f>
        <v>9781474486491</v>
      </c>
      <c r="F14472" s="2" t="str">
        <f>"9781474486514"</f>
        <v>9781474486514</v>
      </c>
    </row>
    <row r="14473" spans="1:6" s="3" customFormat="1" ht="29.1" customHeight="1" x14ac:dyDescent="0.25">
      <c r="A14473" s="2" t="s">
        <v>28958</v>
      </c>
      <c r="B14473" s="2" t="s">
        <v>28959</v>
      </c>
      <c r="C14473" s="2" t="s">
        <v>4788</v>
      </c>
      <c r="D14473" s="2" t="s">
        <v>1419</v>
      </c>
      <c r="E14473" s="2" t="str">
        <f>"9781474492065"</f>
        <v>9781474492065</v>
      </c>
      <c r="F14473" s="2" t="str">
        <f>"9781474492089"</f>
        <v>9781474492089</v>
      </c>
    </row>
    <row r="14474" spans="1:6" s="3" customFormat="1" ht="29.1" customHeight="1" x14ac:dyDescent="0.25">
      <c r="A14474" s="2" t="s">
        <v>28960</v>
      </c>
      <c r="B14474" s="2" t="s">
        <v>28961</v>
      </c>
      <c r="C14474" s="2" t="s">
        <v>4788</v>
      </c>
      <c r="D14474" s="2" t="s">
        <v>4185</v>
      </c>
      <c r="E14474" s="2" t="str">
        <f>"9781474493628"</f>
        <v>9781474493628</v>
      </c>
      <c r="F14474" s="2" t="str">
        <f>"9781474493642"</f>
        <v>9781474493642</v>
      </c>
    </row>
    <row r="14475" spans="1:6" s="3" customFormat="1" ht="29.1" customHeight="1" x14ac:dyDescent="0.25">
      <c r="A14475" s="2" t="s">
        <v>28962</v>
      </c>
      <c r="B14475" s="2" t="s">
        <v>28963</v>
      </c>
      <c r="C14475" s="2" t="s">
        <v>124</v>
      </c>
      <c r="D14475" s="2" t="s">
        <v>4307</v>
      </c>
      <c r="E14475" s="2" t="str">
        <f>"9781041179214"</f>
        <v>9781041179214</v>
      </c>
      <c r="F14475" s="2" t="str">
        <f>"9781040779538"</f>
        <v>9781040779538</v>
      </c>
    </row>
    <row r="14476" spans="1:6" s="3" customFormat="1" ht="29.1" customHeight="1" x14ac:dyDescent="0.25">
      <c r="A14476" s="2" t="s">
        <v>28964</v>
      </c>
      <c r="B14476" s="2" t="s">
        <v>28965</v>
      </c>
      <c r="C14476" s="2" t="s">
        <v>927</v>
      </c>
      <c r="D14476" s="2" t="s">
        <v>297</v>
      </c>
      <c r="E14476" s="2" t="str">
        <f>"9780472055692"</f>
        <v>9780472055692</v>
      </c>
      <c r="F14476" s="2" t="str">
        <f>"9780472903030"</f>
        <v>9780472903030</v>
      </c>
    </row>
    <row r="14477" spans="1:6" s="3" customFormat="1" ht="29.1" customHeight="1" x14ac:dyDescent="0.25">
      <c r="A14477" s="2" t="s">
        <v>28966</v>
      </c>
      <c r="B14477" s="2" t="s">
        <v>28967</v>
      </c>
      <c r="C14477" s="2" t="s">
        <v>927</v>
      </c>
      <c r="D14477" s="2" t="s">
        <v>270</v>
      </c>
      <c r="E14477" s="2" t="str">
        <f>"9780472055760"</f>
        <v>9780472055760</v>
      </c>
      <c r="F14477" s="2" t="str">
        <f>"9780472903108"</f>
        <v>9780472903108</v>
      </c>
    </row>
    <row r="14478" spans="1:6" s="3" customFormat="1" ht="29.1" customHeight="1" x14ac:dyDescent="0.25">
      <c r="A14478" s="2" t="s">
        <v>28968</v>
      </c>
      <c r="B14478" s="2" t="s">
        <v>28969</v>
      </c>
      <c r="C14478" s="2" t="s">
        <v>3169</v>
      </c>
      <c r="D14478" s="2" t="s">
        <v>1240</v>
      </c>
      <c r="E14478" s="2" t="str">
        <f>"9781783277681"</f>
        <v>9781783277681</v>
      </c>
      <c r="F14478" s="2" t="str">
        <f>"9781805430087"</f>
        <v>9781805430087</v>
      </c>
    </row>
    <row r="14479" spans="1:6" s="3" customFormat="1" ht="29.1" customHeight="1" x14ac:dyDescent="0.25">
      <c r="A14479" s="2" t="s">
        <v>28970</v>
      </c>
      <c r="B14479" s="2" t="s">
        <v>28971</v>
      </c>
      <c r="C14479" s="2" t="s">
        <v>124</v>
      </c>
      <c r="D14479" s="2" t="s">
        <v>75</v>
      </c>
      <c r="E14479" s="2" t="str">
        <f>"9781032268859"</f>
        <v>9781032268859</v>
      </c>
      <c r="F14479" s="2" t="str">
        <f>"9781000827880"</f>
        <v>9781000827880</v>
      </c>
    </row>
    <row r="14480" spans="1:6" s="3" customFormat="1" ht="29.1" customHeight="1" x14ac:dyDescent="0.25">
      <c r="A14480" s="2" t="s">
        <v>28972</v>
      </c>
      <c r="B14480" s="2" t="s">
        <v>28973</v>
      </c>
      <c r="C14480" s="2" t="s">
        <v>124</v>
      </c>
      <c r="D14480" s="2" t="s">
        <v>1155</v>
      </c>
      <c r="E14480" s="2" t="str">
        <f>"9781032158204"</f>
        <v>9781032158204</v>
      </c>
      <c r="F14480" s="2" t="str">
        <f>"9781000824810"</f>
        <v>9781000824810</v>
      </c>
    </row>
    <row r="14481" spans="1:6" s="3" customFormat="1" ht="29.1" customHeight="1" x14ac:dyDescent="0.25">
      <c r="A14481" s="2" t="s">
        <v>28974</v>
      </c>
      <c r="B14481" s="2" t="s">
        <v>28975</v>
      </c>
      <c r="C14481" s="2" t="s">
        <v>124</v>
      </c>
      <c r="D14481" s="2" t="s">
        <v>2255</v>
      </c>
      <c r="E14481" s="2" t="str">
        <f>"9781032366739"</f>
        <v>9781032366739</v>
      </c>
      <c r="F14481" s="2" t="str">
        <f>"9781000823882"</f>
        <v>9781000823882</v>
      </c>
    </row>
    <row r="14482" spans="1:6" s="3" customFormat="1" ht="29.1" customHeight="1" x14ac:dyDescent="0.25">
      <c r="A14482" s="2" t="s">
        <v>28976</v>
      </c>
      <c r="B14482" s="2" t="s">
        <v>28977</v>
      </c>
      <c r="C14482" s="2" t="s">
        <v>124</v>
      </c>
      <c r="D14482" s="2" t="s">
        <v>2513</v>
      </c>
      <c r="E14482" s="2" t="str">
        <f>"9781032210377"</f>
        <v>9781032210377</v>
      </c>
      <c r="F14482" s="2" t="str">
        <f>"9781000822946"</f>
        <v>9781000822946</v>
      </c>
    </row>
    <row r="14483" spans="1:6" s="3" customFormat="1" ht="29.1" customHeight="1" x14ac:dyDescent="0.25">
      <c r="A14483" s="2" t="s">
        <v>28978</v>
      </c>
      <c r="B14483" s="2" t="s">
        <v>28979</v>
      </c>
      <c r="C14483" s="2" t="s">
        <v>124</v>
      </c>
      <c r="D14483" s="2" t="s">
        <v>15</v>
      </c>
      <c r="E14483" s="2" t="str">
        <f>"9781032365404"</f>
        <v>9781032365404</v>
      </c>
      <c r="F14483" s="2" t="str">
        <f>"9781000820430"</f>
        <v>9781000820430</v>
      </c>
    </row>
    <row r="14484" spans="1:6" s="3" customFormat="1" ht="29.1" customHeight="1" x14ac:dyDescent="0.25">
      <c r="A14484" s="2" t="s">
        <v>28980</v>
      </c>
      <c r="B14484" s="2" t="s">
        <v>9707</v>
      </c>
      <c r="C14484" s="2" t="s">
        <v>2133</v>
      </c>
      <c r="D14484" s="2" t="s">
        <v>694</v>
      </c>
      <c r="E14484" s="2"/>
      <c r="F14484" s="2" t="str">
        <f>"9781760465582"</f>
        <v>9781760465582</v>
      </c>
    </row>
    <row r="14485" spans="1:6" s="3" customFormat="1" ht="29.1" customHeight="1" x14ac:dyDescent="0.25">
      <c r="A14485" s="2" t="s">
        <v>28981</v>
      </c>
      <c r="B14485" s="2" t="s">
        <v>28982</v>
      </c>
      <c r="C14485" s="2" t="s">
        <v>2133</v>
      </c>
      <c r="D14485" s="2" t="s">
        <v>16588</v>
      </c>
      <c r="E14485" s="2" t="str">
        <f>"9781760465377"</f>
        <v>9781760465377</v>
      </c>
      <c r="F14485" s="2" t="str">
        <f>"9781760465384"</f>
        <v>9781760465384</v>
      </c>
    </row>
    <row r="14486" spans="1:6" s="3" customFormat="1" ht="29.1" customHeight="1" x14ac:dyDescent="0.25">
      <c r="A14486" s="2" t="s">
        <v>28983</v>
      </c>
      <c r="B14486" s="2" t="s">
        <v>28984</v>
      </c>
      <c r="C14486" s="2" t="s">
        <v>124</v>
      </c>
      <c r="D14486" s="2" t="s">
        <v>3943</v>
      </c>
      <c r="E14486" s="2" t="str">
        <f>"9781032151670"</f>
        <v>9781032151670</v>
      </c>
      <c r="F14486" s="2" t="str">
        <f>"9781000800982"</f>
        <v>9781000800982</v>
      </c>
    </row>
    <row r="14487" spans="1:6" s="3" customFormat="1" ht="29.1" customHeight="1" x14ac:dyDescent="0.25">
      <c r="A14487" s="2" t="s">
        <v>28985</v>
      </c>
      <c r="B14487" s="2" t="s">
        <v>28986</v>
      </c>
      <c r="C14487" s="2" t="s">
        <v>124</v>
      </c>
      <c r="D14487" s="2" t="s">
        <v>2208</v>
      </c>
      <c r="E14487" s="2" t="str">
        <f>"9781032138046"</f>
        <v>9781032138046</v>
      </c>
      <c r="F14487" s="2" t="str">
        <f>"9781000785128"</f>
        <v>9781000785128</v>
      </c>
    </row>
    <row r="14488" spans="1:6" s="3" customFormat="1" ht="29.1" customHeight="1" x14ac:dyDescent="0.25">
      <c r="A14488" s="2" t="s">
        <v>28987</v>
      </c>
      <c r="B14488" s="2" t="s">
        <v>28988</v>
      </c>
      <c r="C14488" s="2" t="s">
        <v>4104</v>
      </c>
      <c r="D14488" s="2" t="s">
        <v>674</v>
      </c>
      <c r="E14488" s="2" t="str">
        <f>"9781802077209"</f>
        <v>9781802077209</v>
      </c>
      <c r="F14488" s="2" t="str">
        <f>"9781802079012"</f>
        <v>9781802079012</v>
      </c>
    </row>
    <row r="14489" spans="1:6" s="3" customFormat="1" ht="29.1" customHeight="1" x14ac:dyDescent="0.25">
      <c r="A14489" s="2" t="s">
        <v>28989</v>
      </c>
      <c r="B14489" s="2" t="s">
        <v>28991</v>
      </c>
      <c r="C14489" s="2" t="s">
        <v>264</v>
      </c>
      <c r="D14489" s="2" t="s">
        <v>28990</v>
      </c>
      <c r="E14489" s="2" t="str">
        <f>"9781032419916"</f>
        <v>9781032419916</v>
      </c>
      <c r="F14489" s="2" t="str">
        <f>"9781000750119"</f>
        <v>9781000750119</v>
      </c>
    </row>
    <row r="14490" spans="1:6" s="3" customFormat="1" ht="29.1" customHeight="1" x14ac:dyDescent="0.25">
      <c r="A14490" s="2" t="s">
        <v>28992</v>
      </c>
      <c r="B14490" s="2" t="s">
        <v>28993</v>
      </c>
      <c r="C14490" s="2" t="s">
        <v>3725</v>
      </c>
      <c r="D14490" s="2" t="s">
        <v>459</v>
      </c>
      <c r="E14490" s="2"/>
      <c r="F14490" s="2" t="str">
        <f>"9783961101498"</f>
        <v>9783961101498</v>
      </c>
    </row>
    <row r="14491" spans="1:6" s="3" customFormat="1" ht="29.1" customHeight="1" x14ac:dyDescent="0.25">
      <c r="A14491" s="2" t="s">
        <v>28994</v>
      </c>
      <c r="B14491" s="2" t="s">
        <v>28995</v>
      </c>
      <c r="C14491" s="2" t="s">
        <v>3725</v>
      </c>
      <c r="D14491" s="2" t="s">
        <v>459</v>
      </c>
      <c r="E14491" s="2"/>
      <c r="F14491" s="2" t="str">
        <f>"9783946234944"</f>
        <v>9783946234944</v>
      </c>
    </row>
    <row r="14492" spans="1:6" s="3" customFormat="1" ht="29.1" customHeight="1" x14ac:dyDescent="0.25">
      <c r="A14492" s="2" t="s">
        <v>28996</v>
      </c>
      <c r="B14492" s="2" t="s">
        <v>28997</v>
      </c>
      <c r="C14492" s="2" t="s">
        <v>3725</v>
      </c>
      <c r="D14492" s="2" t="s">
        <v>1253</v>
      </c>
      <c r="E14492" s="2"/>
      <c r="F14492" s="2" t="str">
        <f>"9783961103942"</f>
        <v>9783961103942</v>
      </c>
    </row>
    <row r="14493" spans="1:6" s="3" customFormat="1" ht="29.1" customHeight="1" x14ac:dyDescent="0.25">
      <c r="A14493" s="2" t="s">
        <v>28998</v>
      </c>
      <c r="B14493" s="2" t="s">
        <v>28999</v>
      </c>
      <c r="C14493" s="2" t="s">
        <v>3725</v>
      </c>
      <c r="D14493" s="2" t="s">
        <v>459</v>
      </c>
      <c r="E14493" s="2"/>
      <c r="F14493" s="2" t="str">
        <f>"9783961101061"</f>
        <v>9783961101061</v>
      </c>
    </row>
    <row r="14494" spans="1:6" s="3" customFormat="1" ht="29.1" customHeight="1" x14ac:dyDescent="0.25">
      <c r="A14494" s="2" t="s">
        <v>29000</v>
      </c>
      <c r="B14494" s="2" t="s">
        <v>29001</v>
      </c>
      <c r="C14494" s="2" t="s">
        <v>3725</v>
      </c>
      <c r="D14494" s="2" t="s">
        <v>459</v>
      </c>
      <c r="E14494" s="2"/>
      <c r="F14494" s="2" t="str">
        <f>"9783961100170"</f>
        <v>9783961100170</v>
      </c>
    </row>
    <row r="14495" spans="1:6" s="3" customFormat="1" ht="29.1" customHeight="1" x14ac:dyDescent="0.25">
      <c r="A14495" s="2" t="s">
        <v>29002</v>
      </c>
      <c r="B14495" s="2" t="s">
        <v>29003</v>
      </c>
      <c r="C14495" s="2" t="s">
        <v>3725</v>
      </c>
      <c r="D14495" s="2" t="s">
        <v>459</v>
      </c>
      <c r="E14495" s="2"/>
      <c r="F14495" s="2" t="str">
        <f>"9783961100224"</f>
        <v>9783961100224</v>
      </c>
    </row>
    <row r="14496" spans="1:6" s="3" customFormat="1" ht="29.1" customHeight="1" x14ac:dyDescent="0.25">
      <c r="A14496" s="2" t="s">
        <v>29004</v>
      </c>
      <c r="B14496" s="2" t="s">
        <v>29005</v>
      </c>
      <c r="C14496" s="2" t="s">
        <v>3725</v>
      </c>
      <c r="D14496" s="2" t="s">
        <v>459</v>
      </c>
      <c r="E14496" s="2"/>
      <c r="F14496" s="2" t="str">
        <f>"9783946234784"</f>
        <v>9783946234784</v>
      </c>
    </row>
    <row r="14497" spans="1:6" s="3" customFormat="1" ht="29.1" customHeight="1" x14ac:dyDescent="0.25">
      <c r="A14497" s="2" t="s">
        <v>29006</v>
      </c>
      <c r="B14497" s="2" t="s">
        <v>29007</v>
      </c>
      <c r="C14497" s="2" t="s">
        <v>3725</v>
      </c>
      <c r="D14497" s="2" t="s">
        <v>459</v>
      </c>
      <c r="E14497" s="2"/>
      <c r="F14497" s="2" t="str">
        <f>"9783944675527"</f>
        <v>9783944675527</v>
      </c>
    </row>
    <row r="14498" spans="1:6" s="3" customFormat="1" ht="29.1" customHeight="1" x14ac:dyDescent="0.25">
      <c r="A14498" s="2" t="s">
        <v>29008</v>
      </c>
      <c r="B14498" s="2" t="s">
        <v>29009</v>
      </c>
      <c r="C14498" s="2" t="s">
        <v>3725</v>
      </c>
      <c r="D14498" s="2" t="s">
        <v>459</v>
      </c>
      <c r="E14498" s="2"/>
      <c r="F14498" s="2" t="str">
        <f>"9783961104017"</f>
        <v>9783961104017</v>
      </c>
    </row>
    <row r="14499" spans="1:6" s="3" customFormat="1" ht="29.1" customHeight="1" x14ac:dyDescent="0.25">
      <c r="A14499" s="2" t="s">
        <v>29010</v>
      </c>
      <c r="B14499" s="2" t="s">
        <v>29011</v>
      </c>
      <c r="C14499" s="2" t="s">
        <v>3725</v>
      </c>
      <c r="D14499" s="2" t="s">
        <v>459</v>
      </c>
      <c r="E14499" s="2"/>
      <c r="F14499" s="2" t="str">
        <f>"9783961103966"</f>
        <v>9783961103966</v>
      </c>
    </row>
    <row r="14500" spans="1:6" s="3" customFormat="1" ht="29.1" customHeight="1" x14ac:dyDescent="0.25">
      <c r="A14500" s="2" t="s">
        <v>29012</v>
      </c>
      <c r="B14500" s="2" t="s">
        <v>29013</v>
      </c>
      <c r="C14500" s="2" t="s">
        <v>3725</v>
      </c>
      <c r="D14500" s="2" t="s">
        <v>459</v>
      </c>
      <c r="E14500" s="2"/>
      <c r="F14500" s="2" t="str">
        <f>"9783961103898"</f>
        <v>9783961103898</v>
      </c>
    </row>
    <row r="14501" spans="1:6" s="3" customFormat="1" ht="29.1" customHeight="1" x14ac:dyDescent="0.25">
      <c r="A14501" s="2" t="s">
        <v>29014</v>
      </c>
      <c r="B14501" s="2" t="s">
        <v>29015</v>
      </c>
      <c r="C14501" s="2" t="s">
        <v>3725</v>
      </c>
      <c r="D14501" s="2" t="s">
        <v>459</v>
      </c>
      <c r="E14501" s="2"/>
      <c r="F14501" s="2" t="str">
        <f>"9783961103904"</f>
        <v>9783961103904</v>
      </c>
    </row>
    <row r="14502" spans="1:6" s="3" customFormat="1" ht="29.1" customHeight="1" x14ac:dyDescent="0.25">
      <c r="A14502" s="2" t="s">
        <v>29016</v>
      </c>
      <c r="B14502" s="2" t="s">
        <v>29017</v>
      </c>
      <c r="C14502" s="2" t="s">
        <v>3725</v>
      </c>
      <c r="D14502" s="2" t="s">
        <v>459</v>
      </c>
      <c r="E14502" s="2"/>
      <c r="F14502" s="2" t="str">
        <f>"9783961103959"</f>
        <v>9783961103959</v>
      </c>
    </row>
    <row r="14503" spans="1:6" s="3" customFormat="1" ht="29.1" customHeight="1" x14ac:dyDescent="0.25">
      <c r="A14503" s="2" t="s">
        <v>29018</v>
      </c>
      <c r="B14503" s="2" t="s">
        <v>29019</v>
      </c>
      <c r="C14503" s="2" t="s">
        <v>3725</v>
      </c>
      <c r="D14503" s="2" t="s">
        <v>459</v>
      </c>
      <c r="E14503" s="2"/>
      <c r="F14503" s="2" t="str">
        <f>"9783961103881"</f>
        <v>9783961103881</v>
      </c>
    </row>
    <row r="14504" spans="1:6" s="3" customFormat="1" ht="29.1" customHeight="1" x14ac:dyDescent="0.25">
      <c r="A14504" s="2" t="s">
        <v>29020</v>
      </c>
      <c r="B14504" s="2" t="s">
        <v>29021</v>
      </c>
      <c r="C14504" s="2" t="s">
        <v>3725</v>
      </c>
      <c r="D14504" s="2" t="s">
        <v>459</v>
      </c>
      <c r="E14504" s="2"/>
      <c r="F14504" s="2" t="str">
        <f>"9783961103911"</f>
        <v>9783961103911</v>
      </c>
    </row>
    <row r="14505" spans="1:6" s="3" customFormat="1" ht="29.1" customHeight="1" x14ac:dyDescent="0.25">
      <c r="A14505" s="2" t="s">
        <v>29022</v>
      </c>
      <c r="B14505" s="2" t="s">
        <v>29023</v>
      </c>
      <c r="C14505" s="2" t="s">
        <v>3725</v>
      </c>
      <c r="D14505" s="2" t="s">
        <v>459</v>
      </c>
      <c r="E14505" s="2"/>
      <c r="F14505" s="2" t="str">
        <f>"9783961103461"</f>
        <v>9783961103461</v>
      </c>
    </row>
    <row r="14506" spans="1:6" s="3" customFormat="1" ht="29.1" customHeight="1" x14ac:dyDescent="0.25">
      <c r="A14506" s="2" t="s">
        <v>29024</v>
      </c>
      <c r="B14506" s="2" t="s">
        <v>29025</v>
      </c>
      <c r="C14506" s="2" t="s">
        <v>3725</v>
      </c>
      <c r="D14506" s="2" t="s">
        <v>459</v>
      </c>
      <c r="E14506" s="2"/>
      <c r="F14506" s="2" t="str">
        <f>"9783961103430"</f>
        <v>9783961103430</v>
      </c>
    </row>
    <row r="14507" spans="1:6" s="3" customFormat="1" ht="29.1" customHeight="1" x14ac:dyDescent="0.25">
      <c r="A14507" s="2" t="s">
        <v>29026</v>
      </c>
      <c r="B14507" s="2" t="s">
        <v>29027</v>
      </c>
      <c r="C14507" s="2" t="s">
        <v>3725</v>
      </c>
      <c r="D14507" s="2" t="s">
        <v>1253</v>
      </c>
      <c r="E14507" s="2"/>
      <c r="F14507" s="2" t="str">
        <f>"9783961103935"</f>
        <v>9783961103935</v>
      </c>
    </row>
    <row r="14508" spans="1:6" s="3" customFormat="1" ht="29.1" customHeight="1" x14ac:dyDescent="0.25">
      <c r="A14508" s="2" t="s">
        <v>29028</v>
      </c>
      <c r="B14508" s="2" t="s">
        <v>29029</v>
      </c>
      <c r="C14508" s="2" t="s">
        <v>3725</v>
      </c>
      <c r="D14508" s="2" t="s">
        <v>1253</v>
      </c>
      <c r="E14508" s="2"/>
      <c r="F14508" s="2" t="str">
        <f>"9783961103485"</f>
        <v>9783961103485</v>
      </c>
    </row>
    <row r="14509" spans="1:6" s="3" customFormat="1" ht="29.1" customHeight="1" x14ac:dyDescent="0.25">
      <c r="A14509" s="2" t="s">
        <v>29030</v>
      </c>
      <c r="B14509" s="2" t="s">
        <v>29031</v>
      </c>
      <c r="C14509" s="2" t="s">
        <v>3725</v>
      </c>
      <c r="D14509" s="2" t="s">
        <v>459</v>
      </c>
      <c r="E14509" s="2"/>
      <c r="F14509" s="2" t="str">
        <f>"9783961103386"</f>
        <v>9783961103386</v>
      </c>
    </row>
    <row r="14510" spans="1:6" s="3" customFormat="1" ht="29.1" customHeight="1" x14ac:dyDescent="0.25">
      <c r="A14510" s="2" t="s">
        <v>29032</v>
      </c>
      <c r="B14510" s="2" t="s">
        <v>29033</v>
      </c>
      <c r="C14510" s="2" t="s">
        <v>3725</v>
      </c>
      <c r="D14510" s="2" t="s">
        <v>1253</v>
      </c>
      <c r="E14510" s="2"/>
      <c r="F14510" s="2" t="str">
        <f>"9783961103379"</f>
        <v>9783961103379</v>
      </c>
    </row>
    <row r="14511" spans="1:6" s="3" customFormat="1" ht="29.1" customHeight="1" x14ac:dyDescent="0.25">
      <c r="A14511" s="2" t="s">
        <v>29034</v>
      </c>
      <c r="B14511" s="2" t="s">
        <v>29035</v>
      </c>
      <c r="C14511" s="2" t="s">
        <v>3725</v>
      </c>
      <c r="D14511" s="2" t="s">
        <v>459</v>
      </c>
      <c r="E14511" s="2"/>
      <c r="F14511" s="2" t="str">
        <f>"9783961103362"</f>
        <v>9783961103362</v>
      </c>
    </row>
    <row r="14512" spans="1:6" s="3" customFormat="1" ht="29.1" customHeight="1" x14ac:dyDescent="0.25">
      <c r="A14512" s="2" t="s">
        <v>29036</v>
      </c>
      <c r="B14512" s="2" t="s">
        <v>29037</v>
      </c>
      <c r="C14512" s="2" t="s">
        <v>3725</v>
      </c>
      <c r="D14512" s="2" t="s">
        <v>459</v>
      </c>
      <c r="E14512" s="2"/>
      <c r="F14512" s="2" t="str">
        <f>"9783961103928"</f>
        <v>9783961103928</v>
      </c>
    </row>
    <row r="14513" spans="1:6" s="3" customFormat="1" ht="29.1" customHeight="1" x14ac:dyDescent="0.25">
      <c r="A14513" s="2" t="s">
        <v>29038</v>
      </c>
      <c r="B14513" s="2" t="s">
        <v>29039</v>
      </c>
      <c r="C14513" s="2" t="s">
        <v>3725</v>
      </c>
      <c r="D14513" s="2" t="s">
        <v>459</v>
      </c>
      <c r="E14513" s="2"/>
      <c r="F14513" s="2" t="str">
        <f>"9783961103454"</f>
        <v>9783961103454</v>
      </c>
    </row>
    <row r="14514" spans="1:6" s="3" customFormat="1" ht="29.1" customHeight="1" x14ac:dyDescent="0.25">
      <c r="A14514" s="2" t="s">
        <v>29040</v>
      </c>
      <c r="B14514" s="2" t="s">
        <v>29041</v>
      </c>
      <c r="C14514" s="2" t="s">
        <v>3725</v>
      </c>
      <c r="D14514" s="2" t="s">
        <v>459</v>
      </c>
      <c r="E14514" s="2"/>
      <c r="F14514" s="2" t="str">
        <f>"9783961103256"</f>
        <v>9783961103256</v>
      </c>
    </row>
    <row r="14515" spans="1:6" s="3" customFormat="1" ht="29.1" customHeight="1" x14ac:dyDescent="0.25">
      <c r="A14515" s="2" t="s">
        <v>29042</v>
      </c>
      <c r="B14515" s="2" t="s">
        <v>29043</v>
      </c>
      <c r="C14515" s="2" t="s">
        <v>3725</v>
      </c>
      <c r="D14515" s="2" t="s">
        <v>459</v>
      </c>
      <c r="E14515" s="2"/>
      <c r="F14515" s="2" t="str">
        <f>"9783961103270"</f>
        <v>9783961103270</v>
      </c>
    </row>
    <row r="14516" spans="1:6" s="3" customFormat="1" ht="29.1" customHeight="1" x14ac:dyDescent="0.25">
      <c r="A14516" s="2" t="s">
        <v>29044</v>
      </c>
      <c r="B14516" s="2" t="s">
        <v>29045</v>
      </c>
      <c r="C14516" s="2" t="s">
        <v>3725</v>
      </c>
      <c r="D14516" s="2" t="s">
        <v>459</v>
      </c>
      <c r="E14516" s="2"/>
      <c r="F14516" s="2" t="str">
        <f>"9783961103294"</f>
        <v>9783961103294</v>
      </c>
    </row>
    <row r="14517" spans="1:6" s="3" customFormat="1" ht="29.1" customHeight="1" x14ac:dyDescent="0.25">
      <c r="A14517" s="2" t="s">
        <v>29046</v>
      </c>
      <c r="B14517" s="2" t="s">
        <v>29047</v>
      </c>
      <c r="C14517" s="2" t="s">
        <v>3725</v>
      </c>
      <c r="D14517" s="2" t="s">
        <v>459</v>
      </c>
      <c r="E14517" s="2"/>
      <c r="F14517" s="2" t="str">
        <f>"9783961103348"</f>
        <v>9783961103348</v>
      </c>
    </row>
    <row r="14518" spans="1:6" s="3" customFormat="1" ht="29.1" customHeight="1" x14ac:dyDescent="0.25">
      <c r="A14518" s="2" t="s">
        <v>29048</v>
      </c>
      <c r="B14518" s="2" t="s">
        <v>29049</v>
      </c>
      <c r="C14518" s="2" t="s">
        <v>3725</v>
      </c>
      <c r="D14518" s="2" t="s">
        <v>459</v>
      </c>
      <c r="E14518" s="2"/>
      <c r="F14518" s="2" t="str">
        <f>"9783961103997"</f>
        <v>9783961103997</v>
      </c>
    </row>
    <row r="14519" spans="1:6" s="3" customFormat="1" ht="29.1" customHeight="1" x14ac:dyDescent="0.25">
      <c r="A14519" s="2" t="s">
        <v>29050</v>
      </c>
      <c r="B14519" s="2" t="s">
        <v>29051</v>
      </c>
      <c r="C14519" s="2" t="s">
        <v>3725</v>
      </c>
      <c r="D14519" s="2" t="s">
        <v>459</v>
      </c>
      <c r="E14519" s="2"/>
      <c r="F14519" s="2" t="str">
        <f>"9783961103201"</f>
        <v>9783961103201</v>
      </c>
    </row>
    <row r="14520" spans="1:6" s="3" customFormat="1" ht="29.1" customHeight="1" x14ac:dyDescent="0.25">
      <c r="A14520" s="2" t="s">
        <v>29052</v>
      </c>
      <c r="B14520" s="2" t="s">
        <v>29053</v>
      </c>
      <c r="C14520" s="2" t="s">
        <v>3725</v>
      </c>
      <c r="D14520" s="2" t="s">
        <v>459</v>
      </c>
      <c r="E14520" s="2"/>
      <c r="F14520" s="2" t="str">
        <f>"9783961103317"</f>
        <v>9783961103317</v>
      </c>
    </row>
    <row r="14521" spans="1:6" s="3" customFormat="1" ht="29.1" customHeight="1" x14ac:dyDescent="0.25">
      <c r="A14521" s="2" t="s">
        <v>29054</v>
      </c>
      <c r="B14521" s="2" t="s">
        <v>29055</v>
      </c>
      <c r="C14521" s="2" t="s">
        <v>3725</v>
      </c>
      <c r="D14521" s="2" t="s">
        <v>459</v>
      </c>
      <c r="E14521" s="2"/>
      <c r="F14521" s="2" t="str">
        <f>"9783961103355"</f>
        <v>9783961103355</v>
      </c>
    </row>
    <row r="14522" spans="1:6" s="3" customFormat="1" ht="29.1" customHeight="1" x14ac:dyDescent="0.25">
      <c r="A14522" s="2" t="s">
        <v>29056</v>
      </c>
      <c r="B14522" s="2" t="s">
        <v>29057</v>
      </c>
      <c r="C14522" s="2" t="s">
        <v>3725</v>
      </c>
      <c r="D14522" s="2" t="s">
        <v>1253</v>
      </c>
      <c r="E14522" s="2"/>
      <c r="F14522" s="2" t="str">
        <f>"9783961103331"</f>
        <v>9783961103331</v>
      </c>
    </row>
    <row r="14523" spans="1:6" s="3" customFormat="1" ht="29.1" customHeight="1" x14ac:dyDescent="0.25">
      <c r="A14523" s="2" t="s">
        <v>29058</v>
      </c>
      <c r="B14523" s="2" t="s">
        <v>29059</v>
      </c>
      <c r="C14523" s="2" t="s">
        <v>3725</v>
      </c>
      <c r="D14523" s="2" t="s">
        <v>459</v>
      </c>
      <c r="E14523" s="2"/>
      <c r="F14523" s="2" t="str">
        <f>"9783961103263"</f>
        <v>9783961103263</v>
      </c>
    </row>
    <row r="14524" spans="1:6" s="3" customFormat="1" ht="29.1" customHeight="1" x14ac:dyDescent="0.25">
      <c r="A14524" s="2" t="s">
        <v>29060</v>
      </c>
      <c r="B14524" s="2" t="s">
        <v>29061</v>
      </c>
      <c r="C14524" s="2" t="s">
        <v>3725</v>
      </c>
      <c r="D14524" s="2" t="s">
        <v>459</v>
      </c>
      <c r="E14524" s="2"/>
      <c r="F14524" s="2" t="str">
        <f>"9783961103157"</f>
        <v>9783961103157</v>
      </c>
    </row>
    <row r="14525" spans="1:6" s="3" customFormat="1" ht="29.1" customHeight="1" x14ac:dyDescent="0.25">
      <c r="A14525" s="2" t="s">
        <v>29062</v>
      </c>
      <c r="B14525" s="2" t="s">
        <v>29063</v>
      </c>
      <c r="C14525" s="2" t="s">
        <v>3725</v>
      </c>
      <c r="D14525" s="2" t="s">
        <v>459</v>
      </c>
      <c r="E14525" s="2"/>
      <c r="F14525" s="2" t="str">
        <f>"9783961103140"</f>
        <v>9783961103140</v>
      </c>
    </row>
    <row r="14526" spans="1:6" s="3" customFormat="1" ht="29.1" customHeight="1" x14ac:dyDescent="0.25">
      <c r="A14526" s="2" t="s">
        <v>29064</v>
      </c>
      <c r="B14526" s="2" t="s">
        <v>29065</v>
      </c>
      <c r="C14526" s="2" t="s">
        <v>3725</v>
      </c>
      <c r="D14526" s="2" t="s">
        <v>459</v>
      </c>
      <c r="E14526" s="2"/>
      <c r="F14526" s="2" t="str">
        <f>"9783961103195"</f>
        <v>9783961103195</v>
      </c>
    </row>
    <row r="14527" spans="1:6" s="3" customFormat="1" ht="29.1" customHeight="1" x14ac:dyDescent="0.25">
      <c r="A14527" s="2" t="s">
        <v>29066</v>
      </c>
      <c r="B14527" s="2" t="s">
        <v>29067</v>
      </c>
      <c r="C14527" s="2" t="s">
        <v>3725</v>
      </c>
      <c r="D14527" s="2" t="s">
        <v>459</v>
      </c>
      <c r="E14527" s="2"/>
      <c r="F14527" s="2" t="str">
        <f>"9783961103249"</f>
        <v>9783961103249</v>
      </c>
    </row>
    <row r="14528" spans="1:6" s="3" customFormat="1" ht="29.1" customHeight="1" x14ac:dyDescent="0.25">
      <c r="A14528" s="2" t="s">
        <v>29068</v>
      </c>
      <c r="B14528" s="2" t="s">
        <v>29069</v>
      </c>
      <c r="C14528" s="2" t="s">
        <v>3725</v>
      </c>
      <c r="D14528" s="2" t="s">
        <v>459</v>
      </c>
      <c r="E14528" s="2"/>
      <c r="F14528" s="2" t="str">
        <f>"9783961103218"</f>
        <v>9783961103218</v>
      </c>
    </row>
    <row r="14529" spans="1:6" s="3" customFormat="1" ht="29.1" customHeight="1" x14ac:dyDescent="0.25">
      <c r="A14529" s="2" t="s">
        <v>29070</v>
      </c>
      <c r="B14529" s="2" t="s">
        <v>29071</v>
      </c>
      <c r="C14529" s="2" t="s">
        <v>3725</v>
      </c>
      <c r="D14529" s="2" t="s">
        <v>459</v>
      </c>
      <c r="E14529" s="2"/>
      <c r="F14529" s="2" t="str">
        <f>"9783961103188"</f>
        <v>9783961103188</v>
      </c>
    </row>
    <row r="14530" spans="1:6" s="3" customFormat="1" ht="29.1" customHeight="1" x14ac:dyDescent="0.25">
      <c r="A14530" s="2" t="s">
        <v>29072</v>
      </c>
      <c r="B14530" s="2" t="s">
        <v>29073</v>
      </c>
      <c r="C14530" s="2" t="s">
        <v>3725</v>
      </c>
      <c r="D14530" s="2" t="s">
        <v>459</v>
      </c>
      <c r="E14530" s="2"/>
      <c r="F14530" s="2" t="str">
        <f>"9783961103409"</f>
        <v>9783961103409</v>
      </c>
    </row>
    <row r="14531" spans="1:6" s="3" customFormat="1" ht="29.1" customHeight="1" x14ac:dyDescent="0.25">
      <c r="A14531" s="2" t="s">
        <v>29074</v>
      </c>
      <c r="B14531" s="2" t="s">
        <v>29075</v>
      </c>
      <c r="C14531" s="2" t="s">
        <v>3725</v>
      </c>
      <c r="D14531" s="2" t="s">
        <v>459</v>
      </c>
      <c r="E14531" s="2"/>
      <c r="F14531" s="2" t="str">
        <f>"9783961103133"</f>
        <v>9783961103133</v>
      </c>
    </row>
    <row r="14532" spans="1:6" s="3" customFormat="1" ht="29.1" customHeight="1" x14ac:dyDescent="0.25">
      <c r="A14532" s="2" t="s">
        <v>29076</v>
      </c>
      <c r="B14532" s="2" t="s">
        <v>29077</v>
      </c>
      <c r="C14532" s="2" t="s">
        <v>3725</v>
      </c>
      <c r="D14532" s="2" t="s">
        <v>459</v>
      </c>
      <c r="E14532" s="2"/>
      <c r="F14532" s="2" t="str">
        <f>"9783961103102"</f>
        <v>9783961103102</v>
      </c>
    </row>
    <row r="14533" spans="1:6" s="3" customFormat="1" ht="29.1" customHeight="1" x14ac:dyDescent="0.25">
      <c r="A14533" s="2" t="s">
        <v>29078</v>
      </c>
      <c r="B14533" s="2" t="s">
        <v>29079</v>
      </c>
      <c r="C14533" s="2" t="s">
        <v>3725</v>
      </c>
      <c r="D14533" s="2" t="s">
        <v>459</v>
      </c>
      <c r="E14533" s="2"/>
      <c r="F14533" s="2" t="str">
        <f>"9783961103126"</f>
        <v>9783961103126</v>
      </c>
    </row>
    <row r="14534" spans="1:6" s="3" customFormat="1" ht="29.1" customHeight="1" x14ac:dyDescent="0.25">
      <c r="A14534" s="2" t="s">
        <v>29080</v>
      </c>
      <c r="B14534" s="2" t="s">
        <v>29081</v>
      </c>
      <c r="C14534" s="2" t="s">
        <v>3725</v>
      </c>
      <c r="D14534" s="2" t="s">
        <v>459</v>
      </c>
      <c r="E14534" s="2"/>
      <c r="F14534" s="2" t="str">
        <f>"9783961103478"</f>
        <v>9783961103478</v>
      </c>
    </row>
    <row r="14535" spans="1:6" s="3" customFormat="1" ht="29.1" customHeight="1" x14ac:dyDescent="0.25">
      <c r="A14535" s="2" t="s">
        <v>29082</v>
      </c>
      <c r="B14535" s="2" t="s">
        <v>29083</v>
      </c>
      <c r="C14535" s="2" t="s">
        <v>3725</v>
      </c>
      <c r="D14535" s="2" t="s">
        <v>459</v>
      </c>
      <c r="E14535" s="2"/>
      <c r="F14535" s="2" t="str">
        <f>"9783961103027"</f>
        <v>9783961103027</v>
      </c>
    </row>
    <row r="14536" spans="1:6" s="3" customFormat="1" ht="29.1" customHeight="1" x14ac:dyDescent="0.25">
      <c r="A14536" s="2" t="s">
        <v>29084</v>
      </c>
      <c r="B14536" s="2" t="s">
        <v>29085</v>
      </c>
      <c r="C14536" s="2" t="s">
        <v>3725</v>
      </c>
      <c r="D14536" s="2" t="s">
        <v>459</v>
      </c>
      <c r="E14536" s="2"/>
      <c r="F14536" s="2" t="str">
        <f>"9783961103119"</f>
        <v>9783961103119</v>
      </c>
    </row>
    <row r="14537" spans="1:6" s="3" customFormat="1" ht="29.1" customHeight="1" x14ac:dyDescent="0.25">
      <c r="A14537" s="2" t="s">
        <v>29086</v>
      </c>
      <c r="B14537" s="2" t="s">
        <v>3782</v>
      </c>
      <c r="C14537" s="2" t="s">
        <v>3725</v>
      </c>
      <c r="D14537" s="2" t="s">
        <v>459</v>
      </c>
      <c r="E14537" s="2"/>
      <c r="F14537" s="2" t="str">
        <f>"9783961102945"</f>
        <v>9783961102945</v>
      </c>
    </row>
    <row r="14538" spans="1:6" s="3" customFormat="1" ht="29.1" customHeight="1" x14ac:dyDescent="0.25">
      <c r="A14538" s="2" t="s">
        <v>29087</v>
      </c>
      <c r="B14538" s="2" t="s">
        <v>29088</v>
      </c>
      <c r="C14538" s="2" t="s">
        <v>3725</v>
      </c>
      <c r="D14538" s="2" t="s">
        <v>1253</v>
      </c>
      <c r="E14538" s="2"/>
      <c r="F14538" s="2" t="str">
        <f>"9783961103003"</f>
        <v>9783961103003</v>
      </c>
    </row>
    <row r="14539" spans="1:6" s="3" customFormat="1" ht="29.1" customHeight="1" x14ac:dyDescent="0.25">
      <c r="A14539" s="2" t="s">
        <v>29089</v>
      </c>
      <c r="B14539" s="2" t="s">
        <v>29090</v>
      </c>
      <c r="C14539" s="2" t="s">
        <v>3725</v>
      </c>
      <c r="D14539" s="2" t="s">
        <v>459</v>
      </c>
      <c r="E14539" s="2"/>
      <c r="F14539" s="2" t="str">
        <f>"9783961103058"</f>
        <v>9783961103058</v>
      </c>
    </row>
    <row r="14540" spans="1:6" s="3" customFormat="1" ht="29.1" customHeight="1" x14ac:dyDescent="0.25">
      <c r="A14540" s="2" t="s">
        <v>29091</v>
      </c>
      <c r="B14540" s="2" t="s">
        <v>29092</v>
      </c>
      <c r="C14540" s="2" t="s">
        <v>3725</v>
      </c>
      <c r="D14540" s="2" t="s">
        <v>459</v>
      </c>
      <c r="E14540" s="2"/>
      <c r="F14540" s="2" t="str">
        <f>"9783961103096"</f>
        <v>9783961103096</v>
      </c>
    </row>
    <row r="14541" spans="1:6" s="3" customFormat="1" ht="29.1" customHeight="1" x14ac:dyDescent="0.25">
      <c r="A14541" s="2" t="s">
        <v>29093</v>
      </c>
      <c r="B14541" s="2" t="s">
        <v>29094</v>
      </c>
      <c r="C14541" s="2" t="s">
        <v>3725</v>
      </c>
      <c r="D14541" s="2" t="s">
        <v>459</v>
      </c>
      <c r="E14541" s="2"/>
      <c r="F14541" s="2" t="str">
        <f>"9783961102969"</f>
        <v>9783961102969</v>
      </c>
    </row>
    <row r="14542" spans="1:6" s="3" customFormat="1" ht="29.1" customHeight="1" x14ac:dyDescent="0.25">
      <c r="A14542" s="2" t="s">
        <v>29095</v>
      </c>
      <c r="B14542" s="2" t="s">
        <v>29096</v>
      </c>
      <c r="C14542" s="2" t="s">
        <v>3725</v>
      </c>
      <c r="D14542" s="2" t="s">
        <v>459</v>
      </c>
      <c r="E14542" s="2"/>
      <c r="F14542" s="2" t="str">
        <f>"9783961103300"</f>
        <v>9783961103300</v>
      </c>
    </row>
    <row r="14543" spans="1:6" s="3" customFormat="1" ht="29.1" customHeight="1" x14ac:dyDescent="0.25">
      <c r="A14543" s="2" t="s">
        <v>29097</v>
      </c>
      <c r="B14543" s="2" t="s">
        <v>29098</v>
      </c>
      <c r="C14543" s="2" t="s">
        <v>3725</v>
      </c>
      <c r="D14543" s="2" t="s">
        <v>1253</v>
      </c>
      <c r="E14543" s="2"/>
      <c r="F14543" s="2" t="str">
        <f>"9783961103041"</f>
        <v>9783961103041</v>
      </c>
    </row>
    <row r="14544" spans="1:6" s="3" customFormat="1" ht="29.1" customHeight="1" x14ac:dyDescent="0.25">
      <c r="A14544" s="2" t="s">
        <v>28180</v>
      </c>
      <c r="B14544" s="2" t="s">
        <v>26228</v>
      </c>
      <c r="C14544" s="2" t="s">
        <v>3725</v>
      </c>
      <c r="D14544" s="2" t="s">
        <v>459</v>
      </c>
      <c r="E14544" s="2"/>
      <c r="F14544" s="2" t="str">
        <f>"9783961102730"</f>
        <v>9783961102730</v>
      </c>
    </row>
    <row r="14545" spans="1:6" s="3" customFormat="1" ht="29.1" customHeight="1" x14ac:dyDescent="0.25">
      <c r="A14545" s="2" t="s">
        <v>29099</v>
      </c>
      <c r="B14545" s="2" t="s">
        <v>29100</v>
      </c>
      <c r="C14545" s="2" t="s">
        <v>3725</v>
      </c>
      <c r="D14545" s="2" t="s">
        <v>459</v>
      </c>
      <c r="E14545" s="2"/>
      <c r="F14545" s="2" t="str">
        <f>"9783961102921"</f>
        <v>9783961102921</v>
      </c>
    </row>
    <row r="14546" spans="1:6" s="3" customFormat="1" ht="29.1" customHeight="1" x14ac:dyDescent="0.25">
      <c r="A14546" s="2" t="s">
        <v>29101</v>
      </c>
      <c r="B14546" s="2" t="s">
        <v>29102</v>
      </c>
      <c r="C14546" s="2" t="s">
        <v>3725</v>
      </c>
      <c r="D14546" s="2" t="s">
        <v>459</v>
      </c>
      <c r="E14546" s="2"/>
      <c r="F14546" s="2" t="str">
        <f>"9783961102846"</f>
        <v>9783961102846</v>
      </c>
    </row>
    <row r="14547" spans="1:6" s="3" customFormat="1" ht="29.1" customHeight="1" x14ac:dyDescent="0.25">
      <c r="A14547" s="2" t="s">
        <v>29103</v>
      </c>
      <c r="B14547" s="2" t="s">
        <v>29104</v>
      </c>
      <c r="C14547" s="2" t="s">
        <v>3725</v>
      </c>
      <c r="D14547" s="2" t="s">
        <v>459</v>
      </c>
      <c r="E14547" s="2"/>
      <c r="F14547" s="2" t="str">
        <f>"9783961102860"</f>
        <v>9783961102860</v>
      </c>
    </row>
    <row r="14548" spans="1:6" s="3" customFormat="1" ht="29.1" customHeight="1" x14ac:dyDescent="0.25">
      <c r="A14548" s="2" t="s">
        <v>29105</v>
      </c>
      <c r="B14548" s="2" t="s">
        <v>29106</v>
      </c>
      <c r="C14548" s="2" t="s">
        <v>3725</v>
      </c>
      <c r="D14548" s="2" t="s">
        <v>459</v>
      </c>
      <c r="E14548" s="2"/>
      <c r="F14548" s="2" t="str">
        <f>"9783961102907"</f>
        <v>9783961102907</v>
      </c>
    </row>
    <row r="14549" spans="1:6" s="3" customFormat="1" ht="29.1" customHeight="1" x14ac:dyDescent="0.25">
      <c r="A14549" s="2" t="s">
        <v>29107</v>
      </c>
      <c r="B14549" s="2" t="s">
        <v>29108</v>
      </c>
      <c r="C14549" s="2" t="s">
        <v>3725</v>
      </c>
      <c r="D14549" s="2" t="s">
        <v>459</v>
      </c>
      <c r="E14549" s="2"/>
      <c r="F14549" s="2" t="str">
        <f>"9783961103225"</f>
        <v>9783961103225</v>
      </c>
    </row>
    <row r="14550" spans="1:6" s="3" customFormat="1" ht="29.1" customHeight="1" x14ac:dyDescent="0.25">
      <c r="A14550" s="2" t="s">
        <v>29109</v>
      </c>
      <c r="B14550" s="2" t="s">
        <v>29110</v>
      </c>
      <c r="C14550" s="2" t="s">
        <v>3725</v>
      </c>
      <c r="D14550" s="2" t="s">
        <v>459</v>
      </c>
      <c r="E14550" s="2"/>
      <c r="F14550" s="2" t="str">
        <f>"9783961102822"</f>
        <v>9783961102822</v>
      </c>
    </row>
    <row r="14551" spans="1:6" s="3" customFormat="1" ht="29.1" customHeight="1" x14ac:dyDescent="0.25">
      <c r="A14551" s="2" t="s">
        <v>29111</v>
      </c>
      <c r="B14551" s="2" t="s">
        <v>29112</v>
      </c>
      <c r="C14551" s="2" t="s">
        <v>3725</v>
      </c>
      <c r="D14551" s="2" t="s">
        <v>459</v>
      </c>
      <c r="E14551" s="2"/>
      <c r="F14551" s="2" t="str">
        <f>"9783961103089"</f>
        <v>9783961103089</v>
      </c>
    </row>
    <row r="14552" spans="1:6" s="3" customFormat="1" ht="29.1" customHeight="1" x14ac:dyDescent="0.25">
      <c r="A14552" s="2" t="s">
        <v>29113</v>
      </c>
      <c r="B14552" s="2" t="s">
        <v>29112</v>
      </c>
      <c r="C14552" s="2" t="s">
        <v>3725</v>
      </c>
      <c r="D14552" s="2" t="s">
        <v>459</v>
      </c>
      <c r="E14552" s="2"/>
      <c r="F14552" s="2" t="str">
        <f>"9783961102884"</f>
        <v>9783961102884</v>
      </c>
    </row>
    <row r="14553" spans="1:6" s="3" customFormat="1" ht="29.1" customHeight="1" x14ac:dyDescent="0.25">
      <c r="A14553" s="2" t="s">
        <v>29114</v>
      </c>
      <c r="B14553" s="2" t="s">
        <v>29112</v>
      </c>
      <c r="C14553" s="2" t="s">
        <v>3725</v>
      </c>
      <c r="D14553" s="2" t="s">
        <v>459</v>
      </c>
      <c r="E14553" s="2"/>
      <c r="F14553" s="2" t="str">
        <f>"9783961102754"</f>
        <v>9783961102754</v>
      </c>
    </row>
    <row r="14554" spans="1:6" s="3" customFormat="1" ht="29.1" customHeight="1" x14ac:dyDescent="0.25">
      <c r="A14554" s="2" t="s">
        <v>29115</v>
      </c>
      <c r="B14554" s="2" t="s">
        <v>29116</v>
      </c>
      <c r="C14554" s="2" t="s">
        <v>3725</v>
      </c>
      <c r="D14554" s="2" t="s">
        <v>459</v>
      </c>
      <c r="E14554" s="2"/>
      <c r="F14554" s="2" t="str">
        <f>"9783961102631"</f>
        <v>9783961102631</v>
      </c>
    </row>
    <row r="14555" spans="1:6" s="3" customFormat="1" ht="29.1" customHeight="1" x14ac:dyDescent="0.25">
      <c r="A14555" s="2" t="s">
        <v>29117</v>
      </c>
      <c r="B14555" s="2" t="s">
        <v>29118</v>
      </c>
      <c r="C14555" s="2" t="s">
        <v>3725</v>
      </c>
      <c r="D14555" s="2" t="s">
        <v>459</v>
      </c>
      <c r="E14555" s="2"/>
      <c r="F14555" s="2" t="str">
        <f>"9783961102570"</f>
        <v>9783961102570</v>
      </c>
    </row>
    <row r="14556" spans="1:6" s="3" customFormat="1" ht="29.1" customHeight="1" x14ac:dyDescent="0.25">
      <c r="A14556" s="2" t="s">
        <v>29119</v>
      </c>
      <c r="B14556" s="2" t="s">
        <v>29120</v>
      </c>
      <c r="C14556" s="2" t="s">
        <v>3725</v>
      </c>
      <c r="D14556" s="2" t="s">
        <v>459</v>
      </c>
      <c r="E14556" s="2"/>
      <c r="F14556" s="2" t="str">
        <f>"9783961102716"</f>
        <v>9783961102716</v>
      </c>
    </row>
    <row r="14557" spans="1:6" s="3" customFormat="1" ht="29.1" customHeight="1" x14ac:dyDescent="0.25">
      <c r="A14557" s="2" t="s">
        <v>29121</v>
      </c>
      <c r="B14557" s="2" t="s">
        <v>29122</v>
      </c>
      <c r="C14557" s="2" t="s">
        <v>3725</v>
      </c>
      <c r="D14557" s="2" t="s">
        <v>459</v>
      </c>
      <c r="E14557" s="2"/>
      <c r="F14557" s="2" t="str">
        <f>"9783961102808"</f>
        <v>9783961102808</v>
      </c>
    </row>
    <row r="14558" spans="1:6" s="3" customFormat="1" ht="29.1" customHeight="1" x14ac:dyDescent="0.25">
      <c r="A14558" s="2" t="s">
        <v>29123</v>
      </c>
      <c r="B14558" s="2" t="s">
        <v>29124</v>
      </c>
      <c r="C14558" s="2" t="s">
        <v>3725</v>
      </c>
      <c r="D14558" s="2" t="s">
        <v>459</v>
      </c>
      <c r="E14558" s="2"/>
      <c r="F14558" s="2" t="str">
        <f>"9783961102617"</f>
        <v>9783961102617</v>
      </c>
    </row>
    <row r="14559" spans="1:6" s="3" customFormat="1" ht="29.1" customHeight="1" x14ac:dyDescent="0.25">
      <c r="A14559" s="2" t="s">
        <v>29125</v>
      </c>
      <c r="B14559" s="2" t="s">
        <v>29126</v>
      </c>
      <c r="C14559" s="2" t="s">
        <v>3725</v>
      </c>
      <c r="D14559" s="2" t="s">
        <v>459</v>
      </c>
      <c r="E14559" s="2"/>
      <c r="F14559" s="2" t="str">
        <f>"9783961102785"</f>
        <v>9783961102785</v>
      </c>
    </row>
    <row r="14560" spans="1:6" s="3" customFormat="1" ht="29.1" customHeight="1" x14ac:dyDescent="0.25">
      <c r="A14560" s="2" t="s">
        <v>29127</v>
      </c>
      <c r="B14560" s="2" t="s">
        <v>29128</v>
      </c>
      <c r="C14560" s="2" t="s">
        <v>3725</v>
      </c>
      <c r="D14560" s="2" t="s">
        <v>459</v>
      </c>
      <c r="E14560" s="2"/>
      <c r="F14560" s="2" t="str">
        <f>"9783961103072"</f>
        <v>9783961103072</v>
      </c>
    </row>
    <row r="14561" spans="1:6" s="3" customFormat="1" ht="29.1" customHeight="1" x14ac:dyDescent="0.25">
      <c r="A14561" s="2" t="s">
        <v>29129</v>
      </c>
      <c r="B14561" s="2" t="s">
        <v>29130</v>
      </c>
      <c r="C14561" s="2" t="s">
        <v>3725</v>
      </c>
      <c r="D14561" s="2" t="s">
        <v>459</v>
      </c>
      <c r="E14561" s="2"/>
      <c r="F14561" s="2" t="str">
        <f>"9783961102693"</f>
        <v>9783961102693</v>
      </c>
    </row>
    <row r="14562" spans="1:6" s="3" customFormat="1" ht="29.1" customHeight="1" x14ac:dyDescent="0.25">
      <c r="A14562" s="2" t="s">
        <v>29131</v>
      </c>
      <c r="B14562" s="2" t="s">
        <v>29132</v>
      </c>
      <c r="C14562" s="2" t="s">
        <v>3725</v>
      </c>
      <c r="D14562" s="2" t="s">
        <v>459</v>
      </c>
      <c r="E14562" s="2"/>
      <c r="F14562" s="2" t="str">
        <f>"9783961102532"</f>
        <v>9783961102532</v>
      </c>
    </row>
    <row r="14563" spans="1:6" s="3" customFormat="1" ht="29.1" customHeight="1" x14ac:dyDescent="0.25">
      <c r="A14563" s="2" t="s">
        <v>3727</v>
      </c>
      <c r="B14563" s="2" t="s">
        <v>3728</v>
      </c>
      <c r="C14563" s="2" t="s">
        <v>3725</v>
      </c>
      <c r="D14563" s="2" t="s">
        <v>459</v>
      </c>
      <c r="E14563" s="2"/>
      <c r="F14563" s="2" t="str">
        <f>"9783961102556"</f>
        <v>9783961102556</v>
      </c>
    </row>
    <row r="14564" spans="1:6" s="3" customFormat="1" ht="29.1" customHeight="1" x14ac:dyDescent="0.25">
      <c r="A14564" s="2" t="s">
        <v>29133</v>
      </c>
      <c r="B14564" s="2" t="s">
        <v>29134</v>
      </c>
      <c r="C14564" s="2" t="s">
        <v>3725</v>
      </c>
      <c r="D14564" s="2" t="s">
        <v>459</v>
      </c>
      <c r="E14564" s="2"/>
      <c r="F14564" s="2" t="str">
        <f>"9783961102495"</f>
        <v>9783961102495</v>
      </c>
    </row>
    <row r="14565" spans="1:6" s="3" customFormat="1" ht="29.1" customHeight="1" x14ac:dyDescent="0.25">
      <c r="A14565" s="2" t="s">
        <v>29135</v>
      </c>
      <c r="B14565" s="2" t="s">
        <v>29136</v>
      </c>
      <c r="C14565" s="2" t="s">
        <v>3725</v>
      </c>
      <c r="D14565" s="2" t="s">
        <v>459</v>
      </c>
      <c r="E14565" s="2"/>
      <c r="F14565" s="2" t="str">
        <f>"9783961102181"</f>
        <v>9783961102181</v>
      </c>
    </row>
    <row r="14566" spans="1:6" s="3" customFormat="1" ht="29.1" customHeight="1" x14ac:dyDescent="0.25">
      <c r="A14566" s="2" t="s">
        <v>28180</v>
      </c>
      <c r="B14566" s="2" t="s">
        <v>26228</v>
      </c>
      <c r="C14566" s="2" t="s">
        <v>3725</v>
      </c>
      <c r="D14566" s="2" t="s">
        <v>459</v>
      </c>
      <c r="E14566" s="2"/>
      <c r="F14566" s="2" t="str">
        <f>"9783961102020"</f>
        <v>9783961102020</v>
      </c>
    </row>
    <row r="14567" spans="1:6" s="3" customFormat="1" ht="29.1" customHeight="1" x14ac:dyDescent="0.25">
      <c r="A14567" s="2" t="s">
        <v>29137</v>
      </c>
      <c r="B14567" s="2" t="s">
        <v>29138</v>
      </c>
      <c r="C14567" s="2" t="s">
        <v>3725</v>
      </c>
      <c r="D14567" s="2" t="s">
        <v>459</v>
      </c>
      <c r="E14567" s="2"/>
      <c r="F14567" s="2" t="str">
        <f>"9783961102143"</f>
        <v>9783961102143</v>
      </c>
    </row>
    <row r="14568" spans="1:6" s="3" customFormat="1" ht="29.1" customHeight="1" x14ac:dyDescent="0.25">
      <c r="A14568" s="2" t="s">
        <v>29139</v>
      </c>
      <c r="B14568" s="2" t="s">
        <v>29140</v>
      </c>
      <c r="C14568" s="2" t="s">
        <v>3725</v>
      </c>
      <c r="D14568" s="2" t="s">
        <v>459</v>
      </c>
      <c r="E14568" s="2"/>
      <c r="F14568" s="2" t="str">
        <f>"9783961102105"</f>
        <v>9783961102105</v>
      </c>
    </row>
    <row r="14569" spans="1:6" s="3" customFormat="1" ht="29.1" customHeight="1" x14ac:dyDescent="0.25">
      <c r="A14569" s="2" t="s">
        <v>29141</v>
      </c>
      <c r="B14569" s="2" t="s">
        <v>29142</v>
      </c>
      <c r="C14569" s="2" t="s">
        <v>3725</v>
      </c>
      <c r="D14569" s="2" t="s">
        <v>459</v>
      </c>
      <c r="E14569" s="2"/>
      <c r="F14569" s="2" t="str">
        <f>"9783961102655"</f>
        <v>9783961102655</v>
      </c>
    </row>
    <row r="14570" spans="1:6" s="3" customFormat="1" ht="29.1" customHeight="1" x14ac:dyDescent="0.25">
      <c r="A14570" s="2" t="s">
        <v>17013</v>
      </c>
      <c r="B14570" s="2" t="s">
        <v>17014</v>
      </c>
      <c r="C14570" s="2" t="s">
        <v>3725</v>
      </c>
      <c r="D14570" s="2" t="s">
        <v>459</v>
      </c>
      <c r="E14570" s="2"/>
      <c r="F14570" s="2" t="str">
        <f>"9783961101900"</f>
        <v>9783961101900</v>
      </c>
    </row>
    <row r="14571" spans="1:6" s="3" customFormat="1" ht="29.1" customHeight="1" x14ac:dyDescent="0.25">
      <c r="A14571" s="2" t="s">
        <v>29143</v>
      </c>
      <c r="B14571" s="2" t="s">
        <v>29144</v>
      </c>
      <c r="C14571" s="2" t="s">
        <v>3725</v>
      </c>
      <c r="D14571" s="2" t="s">
        <v>459</v>
      </c>
      <c r="E14571" s="2"/>
      <c r="F14571" s="2" t="str">
        <f>"9783961101962"</f>
        <v>9783961101962</v>
      </c>
    </row>
    <row r="14572" spans="1:6" s="3" customFormat="1" ht="29.1" customHeight="1" x14ac:dyDescent="0.25">
      <c r="A14572" s="2" t="s">
        <v>29145</v>
      </c>
      <c r="B14572" s="2" t="s">
        <v>29146</v>
      </c>
      <c r="C14572" s="2" t="s">
        <v>3725</v>
      </c>
      <c r="D14572" s="2" t="s">
        <v>459</v>
      </c>
      <c r="E14572" s="2"/>
      <c r="F14572" s="2" t="str">
        <f>"9783961101948"</f>
        <v>9783961101948</v>
      </c>
    </row>
    <row r="14573" spans="1:6" s="3" customFormat="1" ht="29.1" customHeight="1" x14ac:dyDescent="0.25">
      <c r="A14573" s="2" t="s">
        <v>29147</v>
      </c>
      <c r="B14573" s="2" t="s">
        <v>29148</v>
      </c>
      <c r="C14573" s="2" t="s">
        <v>3725</v>
      </c>
      <c r="D14573" s="2" t="s">
        <v>459</v>
      </c>
      <c r="E14573" s="2"/>
      <c r="F14573" s="2" t="str">
        <f>"9783961101986"</f>
        <v>9783961101986</v>
      </c>
    </row>
    <row r="14574" spans="1:6" s="3" customFormat="1" ht="29.1" customHeight="1" x14ac:dyDescent="0.25">
      <c r="A14574" s="2" t="s">
        <v>29149</v>
      </c>
      <c r="B14574" s="2" t="s">
        <v>29150</v>
      </c>
      <c r="C14574" s="2" t="s">
        <v>3725</v>
      </c>
      <c r="D14574" s="2" t="s">
        <v>459</v>
      </c>
      <c r="E14574" s="2"/>
      <c r="F14574" s="2" t="str">
        <f>"9783961103232"</f>
        <v>9783961103232</v>
      </c>
    </row>
    <row r="14575" spans="1:6" s="3" customFormat="1" ht="29.1" customHeight="1" x14ac:dyDescent="0.25">
      <c r="A14575" s="2" t="s">
        <v>29151</v>
      </c>
      <c r="B14575" s="2" t="s">
        <v>29152</v>
      </c>
      <c r="C14575" s="2" t="s">
        <v>3725</v>
      </c>
      <c r="D14575" s="2" t="s">
        <v>459</v>
      </c>
      <c r="E14575" s="2"/>
      <c r="F14575" s="2" t="str">
        <f>"9783961101603"</f>
        <v>9783961101603</v>
      </c>
    </row>
    <row r="14576" spans="1:6" s="3" customFormat="1" ht="29.1" customHeight="1" x14ac:dyDescent="0.25">
      <c r="A14576" s="2" t="s">
        <v>29153</v>
      </c>
      <c r="B14576" s="2" t="s">
        <v>29154</v>
      </c>
      <c r="C14576" s="2" t="s">
        <v>3725</v>
      </c>
      <c r="D14576" s="2" t="s">
        <v>459</v>
      </c>
      <c r="E14576" s="2"/>
      <c r="F14576" s="2" t="str">
        <f>"9783985540372"</f>
        <v>9783985540372</v>
      </c>
    </row>
    <row r="14577" spans="1:6" s="3" customFormat="1" ht="29.1" customHeight="1" x14ac:dyDescent="0.25">
      <c r="A14577" s="2" t="s">
        <v>29155</v>
      </c>
      <c r="B14577" s="2" t="s">
        <v>29156</v>
      </c>
      <c r="C14577" s="2" t="s">
        <v>3725</v>
      </c>
      <c r="D14577" s="2" t="s">
        <v>459</v>
      </c>
      <c r="E14577" s="2"/>
      <c r="F14577" s="2" t="str">
        <f>"9783961101849"</f>
        <v>9783961101849</v>
      </c>
    </row>
    <row r="14578" spans="1:6" s="3" customFormat="1" ht="29.1" customHeight="1" x14ac:dyDescent="0.25">
      <c r="A14578" s="2" t="s">
        <v>29157</v>
      </c>
      <c r="B14578" s="2" t="s">
        <v>29158</v>
      </c>
      <c r="C14578" s="2" t="s">
        <v>3725</v>
      </c>
      <c r="D14578" s="2" t="s">
        <v>459</v>
      </c>
      <c r="E14578" s="2"/>
      <c r="F14578" s="2" t="str">
        <f>"9783961101801"</f>
        <v>9783961101801</v>
      </c>
    </row>
    <row r="14579" spans="1:6" s="3" customFormat="1" ht="29.1" customHeight="1" x14ac:dyDescent="0.25">
      <c r="A14579" s="2" t="s">
        <v>29159</v>
      </c>
      <c r="B14579" s="2" t="s">
        <v>29160</v>
      </c>
      <c r="C14579" s="2" t="s">
        <v>3725</v>
      </c>
      <c r="D14579" s="2" t="s">
        <v>459</v>
      </c>
      <c r="E14579" s="2"/>
      <c r="F14579" s="2" t="str">
        <f>"9783961103324"</f>
        <v>9783961103324</v>
      </c>
    </row>
    <row r="14580" spans="1:6" s="3" customFormat="1" ht="29.1" customHeight="1" x14ac:dyDescent="0.25">
      <c r="A14580" s="2" t="s">
        <v>29161</v>
      </c>
      <c r="B14580" s="2" t="s">
        <v>29162</v>
      </c>
      <c r="C14580" s="2" t="s">
        <v>3725</v>
      </c>
      <c r="D14580" s="2" t="s">
        <v>459</v>
      </c>
      <c r="E14580" s="2"/>
      <c r="F14580" s="2" t="str">
        <f>"9783961102518"</f>
        <v>9783961102518</v>
      </c>
    </row>
    <row r="14581" spans="1:6" s="3" customFormat="1" ht="29.1" customHeight="1" x14ac:dyDescent="0.25">
      <c r="A14581" s="2" t="s">
        <v>29163</v>
      </c>
      <c r="B14581" s="2" t="s">
        <v>29164</v>
      </c>
      <c r="C14581" s="2" t="s">
        <v>3725</v>
      </c>
      <c r="D14581" s="2" t="s">
        <v>459</v>
      </c>
      <c r="E14581" s="2"/>
      <c r="F14581" s="2" t="str">
        <f>"9783961101436"</f>
        <v>9783961101436</v>
      </c>
    </row>
    <row r="14582" spans="1:6" s="3" customFormat="1" ht="29.1" customHeight="1" x14ac:dyDescent="0.25">
      <c r="A14582" s="2" t="s">
        <v>29014</v>
      </c>
      <c r="B14582" s="2" t="s">
        <v>29165</v>
      </c>
      <c r="C14582" s="2" t="s">
        <v>3725</v>
      </c>
      <c r="D14582" s="2" t="s">
        <v>459</v>
      </c>
      <c r="E14582" s="2"/>
      <c r="F14582" s="2" t="str">
        <f>"9783961101368"</f>
        <v>9783961101368</v>
      </c>
    </row>
    <row r="14583" spans="1:6" s="3" customFormat="1" ht="29.1" customHeight="1" x14ac:dyDescent="0.25">
      <c r="A14583" s="2" t="s">
        <v>29166</v>
      </c>
      <c r="B14583" s="2" t="s">
        <v>29167</v>
      </c>
      <c r="C14583" s="2" t="s">
        <v>3725</v>
      </c>
      <c r="D14583" s="2" t="s">
        <v>459</v>
      </c>
      <c r="E14583" s="2"/>
      <c r="F14583" s="2" t="str">
        <f>"9783961102594"</f>
        <v>9783961102594</v>
      </c>
    </row>
    <row r="14584" spans="1:6" s="3" customFormat="1" ht="29.1" customHeight="1" x14ac:dyDescent="0.25">
      <c r="A14584" s="2" t="s">
        <v>29168</v>
      </c>
      <c r="B14584" s="2" t="s">
        <v>29169</v>
      </c>
      <c r="C14584" s="2" t="s">
        <v>3725</v>
      </c>
      <c r="D14584" s="2" t="s">
        <v>459</v>
      </c>
      <c r="E14584" s="2"/>
      <c r="F14584" s="2" t="str">
        <f>"9783961102228"</f>
        <v>9783961102228</v>
      </c>
    </row>
    <row r="14585" spans="1:6" s="3" customFormat="1" ht="29.1" customHeight="1" x14ac:dyDescent="0.25">
      <c r="A14585" s="2" t="s">
        <v>29170</v>
      </c>
      <c r="B14585" s="2" t="s">
        <v>29171</v>
      </c>
      <c r="C14585" s="2" t="s">
        <v>3725</v>
      </c>
      <c r="D14585" s="2" t="s">
        <v>459</v>
      </c>
      <c r="E14585" s="2"/>
      <c r="F14585" s="2" t="str">
        <f>"9783961101924"</f>
        <v>9783961101924</v>
      </c>
    </row>
    <row r="14586" spans="1:6" s="3" customFormat="1" ht="29.1" customHeight="1" x14ac:dyDescent="0.25">
      <c r="A14586" s="2" t="s">
        <v>29172</v>
      </c>
      <c r="B14586" s="2" t="s">
        <v>29173</v>
      </c>
      <c r="C14586" s="2" t="s">
        <v>3725</v>
      </c>
      <c r="D14586" s="2" t="s">
        <v>459</v>
      </c>
      <c r="E14586" s="2"/>
      <c r="F14586" s="2" t="str">
        <f>"9783961102129"</f>
        <v>9783961102129</v>
      </c>
    </row>
    <row r="14587" spans="1:6" s="3" customFormat="1" ht="29.1" customHeight="1" x14ac:dyDescent="0.25">
      <c r="A14587" s="2" t="s">
        <v>29174</v>
      </c>
      <c r="B14587" s="2" t="s">
        <v>29175</v>
      </c>
      <c r="C14587" s="2" t="s">
        <v>3725</v>
      </c>
      <c r="D14587" s="2" t="s">
        <v>459</v>
      </c>
      <c r="E14587" s="2"/>
      <c r="F14587" s="2" t="str">
        <f>"9783961102082"</f>
        <v>9783961102082</v>
      </c>
    </row>
    <row r="14588" spans="1:6" s="3" customFormat="1" ht="29.1" customHeight="1" x14ac:dyDescent="0.25">
      <c r="A14588" s="2" t="s">
        <v>29176</v>
      </c>
      <c r="B14588" s="2" t="s">
        <v>28995</v>
      </c>
      <c r="C14588" s="2" t="s">
        <v>3725</v>
      </c>
      <c r="D14588" s="2" t="s">
        <v>459</v>
      </c>
      <c r="E14588" s="2"/>
      <c r="F14588" s="2" t="str">
        <f>"9783961101160"</f>
        <v>9783961101160</v>
      </c>
    </row>
    <row r="14589" spans="1:6" s="3" customFormat="1" ht="29.1" customHeight="1" x14ac:dyDescent="0.25">
      <c r="A14589" s="2" t="s">
        <v>29177</v>
      </c>
      <c r="B14589" s="2" t="s">
        <v>29158</v>
      </c>
      <c r="C14589" s="2" t="s">
        <v>3725</v>
      </c>
      <c r="D14589" s="2" t="s">
        <v>459</v>
      </c>
      <c r="E14589" s="2"/>
      <c r="F14589" s="2" t="str">
        <f>"9783961101788"</f>
        <v>9783961101788</v>
      </c>
    </row>
    <row r="14590" spans="1:6" s="3" customFormat="1" ht="29.1" customHeight="1" x14ac:dyDescent="0.25">
      <c r="A14590" s="2" t="s">
        <v>29178</v>
      </c>
      <c r="B14590" s="2" t="s">
        <v>29179</v>
      </c>
      <c r="C14590" s="2" t="s">
        <v>3725</v>
      </c>
      <c r="D14590" s="2" t="s">
        <v>459</v>
      </c>
      <c r="E14590" s="2"/>
      <c r="F14590" s="2" t="str">
        <f>"9783961101887"</f>
        <v>9783961101887</v>
      </c>
    </row>
    <row r="14591" spans="1:6" s="3" customFormat="1" ht="29.1" customHeight="1" x14ac:dyDescent="0.25">
      <c r="A14591" s="2" t="s">
        <v>29180</v>
      </c>
      <c r="B14591" s="2" t="s">
        <v>29181</v>
      </c>
      <c r="C14591" s="2" t="s">
        <v>3725</v>
      </c>
      <c r="D14591" s="2" t="s">
        <v>459</v>
      </c>
      <c r="E14591" s="2"/>
      <c r="F14591" s="2" t="str">
        <f>"9783961101474"</f>
        <v>9783961101474</v>
      </c>
    </row>
    <row r="14592" spans="1:6" s="3" customFormat="1" ht="29.1" customHeight="1" x14ac:dyDescent="0.25">
      <c r="A14592" s="2" t="s">
        <v>29182</v>
      </c>
      <c r="B14592" s="2" t="s">
        <v>29183</v>
      </c>
      <c r="C14592" s="2" t="s">
        <v>3725</v>
      </c>
      <c r="D14592" s="2" t="s">
        <v>459</v>
      </c>
      <c r="E14592" s="2"/>
      <c r="F14592" s="2" t="str">
        <f>"9783961101290"</f>
        <v>9783961101290</v>
      </c>
    </row>
    <row r="14593" spans="1:6" s="3" customFormat="1" ht="29.1" customHeight="1" x14ac:dyDescent="0.25">
      <c r="A14593" s="2" t="s">
        <v>29184</v>
      </c>
      <c r="B14593" s="2" t="s">
        <v>29185</v>
      </c>
      <c r="C14593" s="2" t="s">
        <v>3725</v>
      </c>
      <c r="D14593" s="2" t="s">
        <v>459</v>
      </c>
      <c r="E14593" s="2"/>
      <c r="F14593" s="2" t="str">
        <f>"9783961101412"</f>
        <v>9783961101412</v>
      </c>
    </row>
    <row r="14594" spans="1:6" s="3" customFormat="1" ht="29.1" customHeight="1" x14ac:dyDescent="0.25">
      <c r="A14594" s="2" t="s">
        <v>29186</v>
      </c>
      <c r="B14594" s="2" t="s">
        <v>29187</v>
      </c>
      <c r="C14594" s="2" t="s">
        <v>3725</v>
      </c>
      <c r="D14594" s="2" t="s">
        <v>459</v>
      </c>
      <c r="E14594" s="2"/>
      <c r="F14594" s="2" t="str">
        <f>"9783961102006"</f>
        <v>9783961102006</v>
      </c>
    </row>
    <row r="14595" spans="1:6" s="3" customFormat="1" ht="29.1" customHeight="1" x14ac:dyDescent="0.25">
      <c r="A14595" s="2" t="s">
        <v>29188</v>
      </c>
      <c r="B14595" s="2" t="s">
        <v>29011</v>
      </c>
      <c r="C14595" s="2" t="s">
        <v>3725</v>
      </c>
      <c r="D14595" s="2" t="s">
        <v>459</v>
      </c>
      <c r="E14595" s="2"/>
      <c r="F14595" s="2" t="str">
        <f>"9783961101825"</f>
        <v>9783961101825</v>
      </c>
    </row>
    <row r="14596" spans="1:6" s="3" customFormat="1" ht="29.1" customHeight="1" x14ac:dyDescent="0.25">
      <c r="A14596" s="2" t="s">
        <v>29189</v>
      </c>
      <c r="B14596" s="2" t="s">
        <v>29190</v>
      </c>
      <c r="C14596" s="2" t="s">
        <v>3725</v>
      </c>
      <c r="D14596" s="2" t="s">
        <v>459</v>
      </c>
      <c r="E14596" s="2"/>
      <c r="F14596" s="2" t="str">
        <f>"9783961102167"</f>
        <v>9783961102167</v>
      </c>
    </row>
    <row r="14597" spans="1:6" s="3" customFormat="1" ht="29.1" customHeight="1" x14ac:dyDescent="0.25">
      <c r="A14597" s="2" t="s">
        <v>29191</v>
      </c>
      <c r="B14597" s="2" t="s">
        <v>3738</v>
      </c>
      <c r="C14597" s="2" t="s">
        <v>3725</v>
      </c>
      <c r="D14597" s="2" t="s">
        <v>459</v>
      </c>
      <c r="E14597" s="2"/>
      <c r="F14597" s="2" t="str">
        <f>"9783961101252"</f>
        <v>9783961101252</v>
      </c>
    </row>
    <row r="14598" spans="1:6" s="3" customFormat="1" ht="29.1" customHeight="1" x14ac:dyDescent="0.25">
      <c r="A14598" s="2" t="s">
        <v>29192</v>
      </c>
      <c r="B14598" s="2" t="s">
        <v>29193</v>
      </c>
      <c r="C14598" s="2" t="s">
        <v>3725</v>
      </c>
      <c r="D14598" s="2" t="s">
        <v>459</v>
      </c>
      <c r="E14598" s="2"/>
      <c r="F14598" s="2" t="str">
        <f>"9783961101191"</f>
        <v>9783961101191</v>
      </c>
    </row>
    <row r="14599" spans="1:6" s="3" customFormat="1" ht="29.1" customHeight="1" x14ac:dyDescent="0.25">
      <c r="A14599" s="2" t="s">
        <v>29194</v>
      </c>
      <c r="B14599" s="2" t="s">
        <v>29195</v>
      </c>
      <c r="C14599" s="2" t="s">
        <v>3725</v>
      </c>
      <c r="D14599" s="2" t="s">
        <v>1253</v>
      </c>
      <c r="E14599" s="2"/>
      <c r="F14599" s="2" t="str">
        <f>"9783961101610"</f>
        <v>9783961101610</v>
      </c>
    </row>
    <row r="14600" spans="1:6" s="3" customFormat="1" ht="29.1" customHeight="1" x14ac:dyDescent="0.25">
      <c r="A14600" s="2" t="s">
        <v>29196</v>
      </c>
      <c r="B14600" s="2" t="s">
        <v>29197</v>
      </c>
      <c r="C14600" s="2" t="s">
        <v>3725</v>
      </c>
      <c r="D14600" s="2" t="s">
        <v>459</v>
      </c>
      <c r="E14600" s="2"/>
      <c r="F14600" s="2" t="str">
        <f>"9783961101238"</f>
        <v>9783961101238</v>
      </c>
    </row>
    <row r="14601" spans="1:6" s="3" customFormat="1" ht="29.1" customHeight="1" x14ac:dyDescent="0.25">
      <c r="A14601" s="2" t="s">
        <v>29198</v>
      </c>
      <c r="B14601" s="2" t="s">
        <v>29199</v>
      </c>
      <c r="C14601" s="2" t="s">
        <v>3725</v>
      </c>
      <c r="D14601" s="2" t="s">
        <v>459</v>
      </c>
      <c r="E14601" s="2"/>
      <c r="F14601" s="2" t="str">
        <f>"9783961101146"</f>
        <v>9783961101146</v>
      </c>
    </row>
    <row r="14602" spans="1:6" s="3" customFormat="1" ht="29.1" customHeight="1" x14ac:dyDescent="0.25">
      <c r="A14602" s="2" t="s">
        <v>29200</v>
      </c>
      <c r="B14602" s="2" t="s">
        <v>29201</v>
      </c>
      <c r="C14602" s="2" t="s">
        <v>3725</v>
      </c>
      <c r="D14602" s="2" t="s">
        <v>459</v>
      </c>
      <c r="E14602" s="2"/>
      <c r="F14602" s="2" t="str">
        <f>"9783961101450"</f>
        <v>9783961101450</v>
      </c>
    </row>
    <row r="14603" spans="1:6" s="3" customFormat="1" ht="29.1" customHeight="1" x14ac:dyDescent="0.25">
      <c r="A14603" s="2" t="s">
        <v>29202</v>
      </c>
      <c r="B14603" s="2" t="s">
        <v>29203</v>
      </c>
      <c r="C14603" s="2" t="s">
        <v>3725</v>
      </c>
      <c r="D14603" s="2" t="s">
        <v>459</v>
      </c>
      <c r="E14603" s="2"/>
      <c r="F14603" s="2" t="str">
        <f>"9783961101085"</f>
        <v>9783961101085</v>
      </c>
    </row>
    <row r="14604" spans="1:6" s="3" customFormat="1" ht="29.1" customHeight="1" x14ac:dyDescent="0.25">
      <c r="A14604" s="2" t="s">
        <v>29204</v>
      </c>
      <c r="B14604" s="2" t="s">
        <v>29205</v>
      </c>
      <c r="C14604" s="2" t="s">
        <v>3725</v>
      </c>
      <c r="D14604" s="2" t="s">
        <v>459</v>
      </c>
      <c r="E14604" s="2"/>
      <c r="F14604" s="2" t="str">
        <f>"9783961101535"</f>
        <v>9783961101535</v>
      </c>
    </row>
    <row r="14605" spans="1:6" s="3" customFormat="1" ht="29.1" customHeight="1" x14ac:dyDescent="0.25">
      <c r="A14605" s="2" t="s">
        <v>29206</v>
      </c>
      <c r="B14605" s="2" t="s">
        <v>29207</v>
      </c>
      <c r="C14605" s="2" t="s">
        <v>3725</v>
      </c>
      <c r="D14605" s="2" t="s">
        <v>459</v>
      </c>
      <c r="E14605" s="2"/>
      <c r="F14605" s="2" t="str">
        <f>"9783961100965"</f>
        <v>9783961100965</v>
      </c>
    </row>
    <row r="14606" spans="1:6" s="3" customFormat="1" ht="29.1" customHeight="1" x14ac:dyDescent="0.25">
      <c r="A14606" s="2" t="s">
        <v>29208</v>
      </c>
      <c r="B14606" s="2" t="s">
        <v>29209</v>
      </c>
      <c r="C14606" s="2" t="s">
        <v>3725</v>
      </c>
      <c r="D14606" s="2" t="s">
        <v>459</v>
      </c>
      <c r="E14606" s="2"/>
      <c r="F14606" s="2" t="str">
        <f>"9783961101573"</f>
        <v>9783961101573</v>
      </c>
    </row>
    <row r="14607" spans="1:6" s="3" customFormat="1" ht="29.1" customHeight="1" x14ac:dyDescent="0.25">
      <c r="A14607" s="2" t="s">
        <v>29210</v>
      </c>
      <c r="B14607" s="2" t="s">
        <v>29211</v>
      </c>
      <c r="C14607" s="2" t="s">
        <v>3725</v>
      </c>
      <c r="D14607" s="2" t="s">
        <v>1253</v>
      </c>
      <c r="E14607" s="2"/>
      <c r="F14607" s="2" t="str">
        <f>"9783961101313"</f>
        <v>9783961101313</v>
      </c>
    </row>
    <row r="14608" spans="1:6" s="3" customFormat="1" ht="29.1" customHeight="1" x14ac:dyDescent="0.25">
      <c r="A14608" s="2" t="s">
        <v>28180</v>
      </c>
      <c r="B14608" s="2" t="s">
        <v>26228</v>
      </c>
      <c r="C14608" s="2" t="s">
        <v>3725</v>
      </c>
      <c r="D14608" s="2" t="s">
        <v>459</v>
      </c>
      <c r="E14608" s="2"/>
      <c r="F14608" s="2" t="str">
        <f>"9783961100743"</f>
        <v>9783961100743</v>
      </c>
    </row>
    <row r="14609" spans="1:6" s="3" customFormat="1" ht="29.1" customHeight="1" x14ac:dyDescent="0.25">
      <c r="A14609" s="2" t="s">
        <v>29212</v>
      </c>
      <c r="B14609" s="2" t="s">
        <v>29213</v>
      </c>
      <c r="C14609" s="2" t="s">
        <v>3725</v>
      </c>
      <c r="D14609" s="2" t="s">
        <v>1253</v>
      </c>
      <c r="E14609" s="2"/>
      <c r="F14609" s="2" t="str">
        <f>"9783961100729"</f>
        <v>9783961100729</v>
      </c>
    </row>
    <row r="14610" spans="1:6" s="3" customFormat="1" ht="29.1" customHeight="1" x14ac:dyDescent="0.25">
      <c r="A14610" s="2" t="s">
        <v>29214</v>
      </c>
      <c r="B14610" s="2" t="s">
        <v>17028</v>
      </c>
      <c r="C14610" s="2" t="s">
        <v>3725</v>
      </c>
      <c r="D14610" s="2" t="s">
        <v>459</v>
      </c>
      <c r="E14610" s="2"/>
      <c r="F14610" s="2" t="str">
        <f>"9783961100835"</f>
        <v>9783961100835</v>
      </c>
    </row>
    <row r="14611" spans="1:6" s="3" customFormat="1" ht="29.1" customHeight="1" x14ac:dyDescent="0.25">
      <c r="A14611" s="2" t="s">
        <v>29215</v>
      </c>
      <c r="B14611" s="2" t="s">
        <v>29216</v>
      </c>
      <c r="C14611" s="2" t="s">
        <v>3725</v>
      </c>
      <c r="D14611" s="2" t="s">
        <v>459</v>
      </c>
      <c r="E14611" s="2"/>
      <c r="F14611" s="2" t="str">
        <f>"9783961102051"</f>
        <v>9783961102051</v>
      </c>
    </row>
    <row r="14612" spans="1:6" s="3" customFormat="1" ht="29.1" customHeight="1" x14ac:dyDescent="0.25">
      <c r="A14612" s="2" t="s">
        <v>29217</v>
      </c>
      <c r="B14612" s="2" t="s">
        <v>29047</v>
      </c>
      <c r="C14612" s="2" t="s">
        <v>3725</v>
      </c>
      <c r="D14612" s="2" t="s">
        <v>459</v>
      </c>
      <c r="E14612" s="2"/>
      <c r="F14612" s="2" t="str">
        <f>"9783961100989"</f>
        <v>9783961100989</v>
      </c>
    </row>
    <row r="14613" spans="1:6" s="3" customFormat="1" ht="29.1" customHeight="1" x14ac:dyDescent="0.25">
      <c r="A14613" s="2" t="s">
        <v>29218</v>
      </c>
      <c r="B14613" s="2" t="s">
        <v>29219</v>
      </c>
      <c r="C14613" s="2" t="s">
        <v>3725</v>
      </c>
      <c r="D14613" s="2" t="s">
        <v>459</v>
      </c>
      <c r="E14613" s="2"/>
      <c r="F14613" s="2" t="str">
        <f>"9783961101009"</f>
        <v>9783961101009</v>
      </c>
    </row>
    <row r="14614" spans="1:6" s="3" customFormat="1" ht="29.1" customHeight="1" x14ac:dyDescent="0.25">
      <c r="A14614" s="2" t="s">
        <v>29220</v>
      </c>
      <c r="B14614" s="2" t="s">
        <v>29221</v>
      </c>
      <c r="C14614" s="2" t="s">
        <v>3725</v>
      </c>
      <c r="D14614" s="2" t="s">
        <v>459</v>
      </c>
      <c r="E14614" s="2"/>
      <c r="F14614" s="2" t="str">
        <f>"9783961101276"</f>
        <v>9783961101276</v>
      </c>
    </row>
    <row r="14615" spans="1:6" s="3" customFormat="1" ht="29.1" customHeight="1" x14ac:dyDescent="0.25">
      <c r="A14615" s="2" t="s">
        <v>29222</v>
      </c>
      <c r="B14615" s="2" t="s">
        <v>29223</v>
      </c>
      <c r="C14615" s="2" t="s">
        <v>3725</v>
      </c>
      <c r="D14615" s="2" t="s">
        <v>1253</v>
      </c>
      <c r="E14615" s="2"/>
      <c r="F14615" s="2" t="str">
        <f>"9783961100651"</f>
        <v>9783961100651</v>
      </c>
    </row>
    <row r="14616" spans="1:6" s="3" customFormat="1" ht="29.1" customHeight="1" x14ac:dyDescent="0.25">
      <c r="A14616" s="2" t="s">
        <v>29224</v>
      </c>
      <c r="B14616" s="2" t="s">
        <v>29225</v>
      </c>
      <c r="C14616" s="2" t="s">
        <v>3725</v>
      </c>
      <c r="D14616" s="2" t="s">
        <v>459</v>
      </c>
      <c r="E14616" s="2"/>
      <c r="F14616" s="2" t="str">
        <f>"9783961101863"</f>
        <v>9783961101863</v>
      </c>
    </row>
    <row r="14617" spans="1:6" s="3" customFormat="1" ht="29.1" customHeight="1" x14ac:dyDescent="0.25">
      <c r="A14617" s="2" t="s">
        <v>29226</v>
      </c>
      <c r="B14617" s="2" t="s">
        <v>29227</v>
      </c>
      <c r="C14617" s="2" t="s">
        <v>3725</v>
      </c>
      <c r="D14617" s="2" t="s">
        <v>459</v>
      </c>
      <c r="E14617" s="2"/>
      <c r="F14617" s="2" t="str">
        <f>"9783961100637"</f>
        <v>9783961100637</v>
      </c>
    </row>
    <row r="14618" spans="1:6" s="3" customFormat="1" ht="29.1" customHeight="1" x14ac:dyDescent="0.25">
      <c r="A14618" s="2" t="s">
        <v>29228</v>
      </c>
      <c r="B14618" s="2" t="s">
        <v>29229</v>
      </c>
      <c r="C14618" s="2" t="s">
        <v>3725</v>
      </c>
      <c r="D14618" s="2" t="s">
        <v>459</v>
      </c>
      <c r="E14618" s="2"/>
      <c r="F14618" s="2" t="str">
        <f>"9783961101047"</f>
        <v>9783961101047</v>
      </c>
    </row>
    <row r="14619" spans="1:6" s="3" customFormat="1" ht="29.1" customHeight="1" x14ac:dyDescent="0.25">
      <c r="A14619" s="2" t="s">
        <v>29230</v>
      </c>
      <c r="B14619" s="2" t="s">
        <v>29231</v>
      </c>
      <c r="C14619" s="2" t="s">
        <v>3725</v>
      </c>
      <c r="D14619" s="2" t="s">
        <v>459</v>
      </c>
      <c r="E14619" s="2"/>
      <c r="F14619" s="2" t="str">
        <f>"9783961100705"</f>
        <v>9783961100705</v>
      </c>
    </row>
    <row r="14620" spans="1:6" s="3" customFormat="1" ht="29.1" customHeight="1" x14ac:dyDescent="0.25">
      <c r="A14620" s="2" t="s">
        <v>29232</v>
      </c>
      <c r="B14620" s="2" t="s">
        <v>29233</v>
      </c>
      <c r="C14620" s="2" t="s">
        <v>3725</v>
      </c>
      <c r="D14620" s="2" t="s">
        <v>1253</v>
      </c>
      <c r="E14620" s="2"/>
      <c r="F14620" s="2" t="str">
        <f>"9783946234838"</f>
        <v>9783946234838</v>
      </c>
    </row>
    <row r="14621" spans="1:6" s="3" customFormat="1" ht="29.1" customHeight="1" x14ac:dyDescent="0.25">
      <c r="A14621" s="2" t="s">
        <v>29234</v>
      </c>
      <c r="B14621" s="2" t="s">
        <v>29235</v>
      </c>
      <c r="C14621" s="2" t="s">
        <v>3725</v>
      </c>
      <c r="D14621" s="2" t="s">
        <v>459</v>
      </c>
      <c r="E14621" s="2"/>
      <c r="F14621" s="2" t="str">
        <f>"9783961100934"</f>
        <v>9783961100934</v>
      </c>
    </row>
    <row r="14622" spans="1:6" s="3" customFormat="1" ht="29.1" customHeight="1" x14ac:dyDescent="0.25">
      <c r="A14622" s="2" t="s">
        <v>29236</v>
      </c>
      <c r="B14622" s="2" t="s">
        <v>29237</v>
      </c>
      <c r="C14622" s="2" t="s">
        <v>3725</v>
      </c>
      <c r="D14622" s="2" t="s">
        <v>459</v>
      </c>
      <c r="E14622" s="2"/>
      <c r="F14622" s="2" t="str">
        <f>"9783961101559"</f>
        <v>9783961101559</v>
      </c>
    </row>
    <row r="14623" spans="1:6" s="3" customFormat="1" ht="29.1" customHeight="1" x14ac:dyDescent="0.25">
      <c r="A14623" s="2" t="s">
        <v>29238</v>
      </c>
      <c r="B14623" s="2" t="s">
        <v>29239</v>
      </c>
      <c r="C14623" s="2" t="s">
        <v>3725</v>
      </c>
      <c r="D14623" s="2" t="s">
        <v>459</v>
      </c>
      <c r="E14623" s="2"/>
      <c r="F14623" s="2" t="str">
        <f>"9783961101382"</f>
        <v>9783961101382</v>
      </c>
    </row>
    <row r="14624" spans="1:6" s="3" customFormat="1" ht="29.1" customHeight="1" x14ac:dyDescent="0.25">
      <c r="A14624" s="2" t="s">
        <v>29240</v>
      </c>
      <c r="B14624" s="2" t="s">
        <v>26228</v>
      </c>
      <c r="C14624" s="2" t="s">
        <v>3725</v>
      </c>
      <c r="D14624" s="2" t="s">
        <v>459</v>
      </c>
      <c r="E14624" s="2"/>
      <c r="F14624" s="2" t="str">
        <f>"9783961102563"</f>
        <v>9783961102563</v>
      </c>
    </row>
    <row r="14625" spans="1:6" s="3" customFormat="1" ht="29.1" customHeight="1" x14ac:dyDescent="0.25">
      <c r="A14625" s="2" t="s">
        <v>29241</v>
      </c>
      <c r="B14625" s="2" t="s">
        <v>29242</v>
      </c>
      <c r="C14625" s="2" t="s">
        <v>3725</v>
      </c>
      <c r="D14625" s="2" t="s">
        <v>1253</v>
      </c>
      <c r="E14625" s="2"/>
      <c r="F14625" s="2" t="str">
        <f>"9783961100903"</f>
        <v>9783961100903</v>
      </c>
    </row>
    <row r="14626" spans="1:6" s="3" customFormat="1" ht="29.1" customHeight="1" x14ac:dyDescent="0.25">
      <c r="A14626" s="2" t="s">
        <v>29243</v>
      </c>
      <c r="B14626" s="2" t="s">
        <v>29244</v>
      </c>
      <c r="C14626" s="2" t="s">
        <v>3725</v>
      </c>
      <c r="D14626" s="2" t="s">
        <v>459</v>
      </c>
      <c r="E14626" s="2"/>
      <c r="F14626" s="2" t="str">
        <f>"9783961100873"</f>
        <v>9783961100873</v>
      </c>
    </row>
    <row r="14627" spans="1:6" s="3" customFormat="1" ht="29.1" customHeight="1" x14ac:dyDescent="0.25">
      <c r="A14627" s="2" t="s">
        <v>29245</v>
      </c>
      <c r="B14627" s="2" t="s">
        <v>29246</v>
      </c>
      <c r="C14627" s="2" t="s">
        <v>3725</v>
      </c>
      <c r="D14627" s="2" t="s">
        <v>459</v>
      </c>
      <c r="E14627" s="2"/>
      <c r="F14627" s="2" t="str">
        <f>"9783961101023"</f>
        <v>9783961101023</v>
      </c>
    </row>
    <row r="14628" spans="1:6" s="3" customFormat="1" ht="29.1" customHeight="1" x14ac:dyDescent="0.25">
      <c r="A14628" s="2" t="s">
        <v>29247</v>
      </c>
      <c r="B14628" s="2" t="s">
        <v>29248</v>
      </c>
      <c r="C14628" s="2" t="s">
        <v>3725</v>
      </c>
      <c r="D14628" s="2" t="s">
        <v>459</v>
      </c>
      <c r="E14628" s="2"/>
      <c r="F14628" s="2" t="str">
        <f>"9783961100859"</f>
        <v>9783961100859</v>
      </c>
    </row>
    <row r="14629" spans="1:6" s="3" customFormat="1" ht="29.1" customHeight="1" x14ac:dyDescent="0.25">
      <c r="A14629" s="2" t="s">
        <v>29249</v>
      </c>
      <c r="B14629" s="2" t="s">
        <v>29250</v>
      </c>
      <c r="C14629" s="2" t="s">
        <v>3725</v>
      </c>
      <c r="D14629" s="2" t="s">
        <v>459</v>
      </c>
      <c r="E14629" s="2"/>
      <c r="F14629" s="2" t="str">
        <f>"9783961100187"</f>
        <v>9783961100187</v>
      </c>
    </row>
    <row r="14630" spans="1:6" s="3" customFormat="1" ht="29.1" customHeight="1" x14ac:dyDescent="0.25">
      <c r="A14630" s="2" t="s">
        <v>29251</v>
      </c>
      <c r="B14630" s="2" t="s">
        <v>29252</v>
      </c>
      <c r="C14630" s="2" t="s">
        <v>3725</v>
      </c>
      <c r="D14630" s="2" t="s">
        <v>459</v>
      </c>
      <c r="E14630" s="2"/>
      <c r="F14630" s="2" t="str">
        <f>"9783961101511"</f>
        <v>9783961101511</v>
      </c>
    </row>
    <row r="14631" spans="1:6" s="3" customFormat="1" ht="29.1" customHeight="1" x14ac:dyDescent="0.25">
      <c r="A14631" s="2" t="s">
        <v>29253</v>
      </c>
      <c r="B14631" s="2" t="s">
        <v>29254</v>
      </c>
      <c r="C14631" s="2" t="s">
        <v>3725</v>
      </c>
      <c r="D14631" s="2" t="s">
        <v>459</v>
      </c>
      <c r="E14631" s="2"/>
      <c r="F14631" s="2" t="str">
        <f>"9783961101108"</f>
        <v>9783961101108</v>
      </c>
    </row>
    <row r="14632" spans="1:6" s="3" customFormat="1" ht="29.1" customHeight="1" x14ac:dyDescent="0.25">
      <c r="A14632" s="2" t="s">
        <v>29255</v>
      </c>
      <c r="B14632" s="2" t="s">
        <v>26228</v>
      </c>
      <c r="C14632" s="2" t="s">
        <v>3725</v>
      </c>
      <c r="D14632" s="2" t="s">
        <v>459</v>
      </c>
      <c r="E14632" s="2"/>
      <c r="F14632" s="2" t="str">
        <f>"9783961101214"</f>
        <v>9783961101214</v>
      </c>
    </row>
    <row r="14633" spans="1:6" s="3" customFormat="1" ht="29.1" customHeight="1" x14ac:dyDescent="0.25">
      <c r="A14633" s="2" t="s">
        <v>29256</v>
      </c>
      <c r="B14633" s="2" t="s">
        <v>29257</v>
      </c>
      <c r="C14633" s="2" t="s">
        <v>3725</v>
      </c>
      <c r="D14633" s="2" t="s">
        <v>459</v>
      </c>
      <c r="E14633" s="2"/>
      <c r="F14633" s="2" t="str">
        <f>"9783961100163"</f>
        <v>9783961100163</v>
      </c>
    </row>
    <row r="14634" spans="1:6" s="3" customFormat="1" ht="29.1" customHeight="1" x14ac:dyDescent="0.25">
      <c r="A14634" s="2" t="s">
        <v>29258</v>
      </c>
      <c r="B14634" s="2" t="s">
        <v>29259</v>
      </c>
      <c r="C14634" s="2" t="s">
        <v>3725</v>
      </c>
      <c r="D14634" s="2" t="s">
        <v>459</v>
      </c>
      <c r="E14634" s="2"/>
      <c r="F14634" s="2" t="str">
        <f>"9783961100262"</f>
        <v>9783961100262</v>
      </c>
    </row>
    <row r="14635" spans="1:6" s="3" customFormat="1" ht="29.1" customHeight="1" x14ac:dyDescent="0.25">
      <c r="A14635" s="2" t="s">
        <v>29260</v>
      </c>
      <c r="B14635" s="2" t="s">
        <v>29261</v>
      </c>
      <c r="C14635" s="2" t="s">
        <v>3725</v>
      </c>
      <c r="D14635" s="2" t="s">
        <v>459</v>
      </c>
      <c r="E14635" s="2"/>
      <c r="F14635" s="2" t="str">
        <f>"9783944675947"</f>
        <v>9783944675947</v>
      </c>
    </row>
    <row r="14636" spans="1:6" s="3" customFormat="1" ht="29.1" customHeight="1" x14ac:dyDescent="0.25">
      <c r="A14636" s="2" t="s">
        <v>29262</v>
      </c>
      <c r="B14636" s="2" t="s">
        <v>29263</v>
      </c>
      <c r="C14636" s="2" t="s">
        <v>3725</v>
      </c>
      <c r="D14636" s="2" t="s">
        <v>459</v>
      </c>
      <c r="E14636" s="2"/>
      <c r="F14636" s="2" t="str">
        <f>"9783961100125"</f>
        <v>9783961100125</v>
      </c>
    </row>
    <row r="14637" spans="1:6" s="3" customFormat="1" ht="29.1" customHeight="1" x14ac:dyDescent="0.25">
      <c r="A14637" s="2" t="s">
        <v>29264</v>
      </c>
      <c r="B14637" s="2" t="s">
        <v>29265</v>
      </c>
      <c r="C14637" s="2" t="s">
        <v>3725</v>
      </c>
      <c r="D14637" s="2" t="s">
        <v>459</v>
      </c>
      <c r="E14637" s="2"/>
      <c r="F14637" s="2" t="str">
        <f>"9783961100682"</f>
        <v>9783961100682</v>
      </c>
    </row>
    <row r="14638" spans="1:6" s="3" customFormat="1" ht="29.1" customHeight="1" x14ac:dyDescent="0.25">
      <c r="A14638" s="2" t="s">
        <v>29266</v>
      </c>
      <c r="B14638" s="2" t="s">
        <v>29267</v>
      </c>
      <c r="C14638" s="2" t="s">
        <v>3725</v>
      </c>
      <c r="D14638" s="2" t="s">
        <v>459</v>
      </c>
      <c r="E14638" s="2"/>
      <c r="F14638" s="2" t="str">
        <f>"9783961100309"</f>
        <v>9783961100309</v>
      </c>
    </row>
    <row r="14639" spans="1:6" s="3" customFormat="1" ht="29.1" customHeight="1" x14ac:dyDescent="0.25">
      <c r="A14639" s="2" t="s">
        <v>29268</v>
      </c>
      <c r="B14639" s="2" t="s">
        <v>29269</v>
      </c>
      <c r="C14639" s="2" t="s">
        <v>3725</v>
      </c>
      <c r="D14639" s="2" t="s">
        <v>459</v>
      </c>
      <c r="E14639" s="2"/>
      <c r="F14639" s="2" t="str">
        <f>"9783946234999"</f>
        <v>9783946234999</v>
      </c>
    </row>
    <row r="14640" spans="1:6" s="3" customFormat="1" ht="29.1" customHeight="1" x14ac:dyDescent="0.25">
      <c r="A14640" s="2" t="s">
        <v>29270</v>
      </c>
      <c r="B14640" s="2" t="s">
        <v>29271</v>
      </c>
      <c r="C14640" s="2" t="s">
        <v>3725</v>
      </c>
      <c r="D14640" s="2" t="s">
        <v>459</v>
      </c>
      <c r="E14640" s="2"/>
      <c r="F14640" s="2" t="str">
        <f>"9783946234920"</f>
        <v>9783946234920</v>
      </c>
    </row>
    <row r="14641" spans="1:6" s="3" customFormat="1" ht="29.1" customHeight="1" x14ac:dyDescent="0.25">
      <c r="A14641" s="2" t="s">
        <v>29272</v>
      </c>
      <c r="B14641" s="2" t="s">
        <v>29273</v>
      </c>
      <c r="C14641" s="2" t="s">
        <v>3725</v>
      </c>
      <c r="D14641" s="2" t="s">
        <v>459</v>
      </c>
      <c r="E14641" s="2"/>
      <c r="F14641" s="2" t="str">
        <f>"9783961102983"</f>
        <v>9783961102983</v>
      </c>
    </row>
    <row r="14642" spans="1:6" s="3" customFormat="1" ht="29.1" customHeight="1" x14ac:dyDescent="0.25">
      <c r="A14642" s="2" t="s">
        <v>29274</v>
      </c>
      <c r="B14642" s="2" t="s">
        <v>29275</v>
      </c>
      <c r="C14642" s="2" t="s">
        <v>3725</v>
      </c>
      <c r="D14642" s="2" t="s">
        <v>459</v>
      </c>
      <c r="E14642" s="2"/>
      <c r="F14642" s="2" t="str">
        <f>"9783961100323"</f>
        <v>9783961100323</v>
      </c>
    </row>
    <row r="14643" spans="1:6" s="3" customFormat="1" ht="29.1" customHeight="1" x14ac:dyDescent="0.25">
      <c r="A14643" s="2" t="s">
        <v>29276</v>
      </c>
      <c r="B14643" s="2" t="s">
        <v>29277</v>
      </c>
      <c r="C14643" s="2" t="s">
        <v>3725</v>
      </c>
      <c r="D14643" s="2" t="s">
        <v>459</v>
      </c>
      <c r="E14643" s="2"/>
      <c r="F14643" s="2" t="str">
        <f>"9783961102242"</f>
        <v>9783961102242</v>
      </c>
    </row>
    <row r="14644" spans="1:6" s="3" customFormat="1" ht="29.1" customHeight="1" x14ac:dyDescent="0.25">
      <c r="A14644" s="2" t="s">
        <v>29014</v>
      </c>
      <c r="B14644" s="2" t="s">
        <v>29015</v>
      </c>
      <c r="C14644" s="2" t="s">
        <v>3725</v>
      </c>
      <c r="D14644" s="2" t="s">
        <v>459</v>
      </c>
      <c r="E14644" s="2"/>
      <c r="F14644" s="2" t="str">
        <f>"9783961100347"</f>
        <v>9783961100347</v>
      </c>
    </row>
    <row r="14645" spans="1:6" s="3" customFormat="1" ht="29.1" customHeight="1" x14ac:dyDescent="0.25">
      <c r="A14645" s="2" t="s">
        <v>29278</v>
      </c>
      <c r="B14645" s="2" t="s">
        <v>29279</v>
      </c>
      <c r="C14645" s="2" t="s">
        <v>3725</v>
      </c>
      <c r="D14645" s="2" t="s">
        <v>459</v>
      </c>
      <c r="E14645" s="2"/>
      <c r="F14645" s="2" t="str">
        <f>"9783961103287"</f>
        <v>9783961103287</v>
      </c>
    </row>
    <row r="14646" spans="1:6" s="3" customFormat="1" ht="29.1" customHeight="1" x14ac:dyDescent="0.25">
      <c r="A14646" s="2" t="s">
        <v>29086</v>
      </c>
      <c r="B14646" s="2" t="s">
        <v>3782</v>
      </c>
      <c r="C14646" s="2" t="s">
        <v>3725</v>
      </c>
      <c r="D14646" s="2" t="s">
        <v>459</v>
      </c>
      <c r="E14646" s="2"/>
      <c r="F14646" s="2" t="str">
        <f>"9783961100149"</f>
        <v>9783961100149</v>
      </c>
    </row>
    <row r="14647" spans="1:6" s="3" customFormat="1" ht="29.1" customHeight="1" x14ac:dyDescent="0.25">
      <c r="A14647" s="2" t="s">
        <v>29280</v>
      </c>
      <c r="B14647" s="2" t="s">
        <v>29281</v>
      </c>
      <c r="C14647" s="2" t="s">
        <v>3725</v>
      </c>
      <c r="D14647" s="2" t="s">
        <v>459</v>
      </c>
      <c r="E14647" s="2"/>
      <c r="F14647" s="2" t="str">
        <f>"9783944675992"</f>
        <v>9783944675992</v>
      </c>
    </row>
    <row r="14648" spans="1:6" s="3" customFormat="1" ht="29.1" customHeight="1" x14ac:dyDescent="0.25">
      <c r="A14648" s="2" t="s">
        <v>29282</v>
      </c>
      <c r="B14648" s="2" t="s">
        <v>29283</v>
      </c>
      <c r="C14648" s="2" t="s">
        <v>3725</v>
      </c>
      <c r="D14648" s="2" t="s">
        <v>1253</v>
      </c>
      <c r="E14648" s="2"/>
      <c r="F14648" s="2" t="str">
        <f>"9783961100248"</f>
        <v>9783961100248</v>
      </c>
    </row>
    <row r="14649" spans="1:6" s="3" customFormat="1" ht="29.1" customHeight="1" x14ac:dyDescent="0.25">
      <c r="A14649" s="2" t="s">
        <v>29284</v>
      </c>
      <c r="B14649" s="2" t="s">
        <v>29285</v>
      </c>
      <c r="C14649" s="2" t="s">
        <v>3725</v>
      </c>
      <c r="D14649" s="2" t="s">
        <v>459</v>
      </c>
      <c r="E14649" s="2"/>
      <c r="F14649" s="2" t="str">
        <f>"9783946234753"</f>
        <v>9783946234753</v>
      </c>
    </row>
    <row r="14650" spans="1:6" s="3" customFormat="1" ht="29.1" customHeight="1" x14ac:dyDescent="0.25">
      <c r="A14650" s="2" t="s">
        <v>29286</v>
      </c>
      <c r="B14650" s="2" t="s">
        <v>29287</v>
      </c>
      <c r="C14650" s="2" t="s">
        <v>3725</v>
      </c>
      <c r="D14650" s="2" t="s">
        <v>459</v>
      </c>
      <c r="E14650" s="2"/>
      <c r="F14650" s="2" t="str">
        <f>"9783961100811"</f>
        <v>9783961100811</v>
      </c>
    </row>
    <row r="14651" spans="1:6" s="3" customFormat="1" ht="29.1" customHeight="1" x14ac:dyDescent="0.25">
      <c r="A14651" s="2" t="s">
        <v>29288</v>
      </c>
      <c r="B14651" s="2" t="s">
        <v>29289</v>
      </c>
      <c r="C14651" s="2" t="s">
        <v>3725</v>
      </c>
      <c r="D14651" s="2" t="s">
        <v>459</v>
      </c>
      <c r="E14651" s="2"/>
      <c r="F14651" s="2" t="str">
        <f>"9783946234708"</f>
        <v>9783946234708</v>
      </c>
    </row>
    <row r="14652" spans="1:6" s="3" customFormat="1" ht="29.1" customHeight="1" x14ac:dyDescent="0.25">
      <c r="A14652" s="2" t="s">
        <v>29290</v>
      </c>
      <c r="B14652" s="2" t="s">
        <v>29291</v>
      </c>
      <c r="C14652" s="2" t="s">
        <v>3725</v>
      </c>
      <c r="D14652" s="2" t="s">
        <v>459</v>
      </c>
      <c r="E14652" s="2"/>
      <c r="F14652" s="2" t="str">
        <f>"9783961100361"</f>
        <v>9783961100361</v>
      </c>
    </row>
    <row r="14653" spans="1:6" s="3" customFormat="1" ht="29.1" customHeight="1" x14ac:dyDescent="0.25">
      <c r="A14653" s="2" t="s">
        <v>29292</v>
      </c>
      <c r="B14653" s="2" t="s">
        <v>29293</v>
      </c>
      <c r="C14653" s="2" t="s">
        <v>3725</v>
      </c>
      <c r="D14653" s="2" t="s">
        <v>459</v>
      </c>
      <c r="E14653" s="2"/>
      <c r="F14653" s="2" t="str">
        <f>"9783946234630"</f>
        <v>9783946234630</v>
      </c>
    </row>
    <row r="14654" spans="1:6" s="3" customFormat="1" ht="29.1" customHeight="1" x14ac:dyDescent="0.25">
      <c r="A14654" s="2" t="s">
        <v>29294</v>
      </c>
      <c r="B14654" s="2" t="s">
        <v>29295</v>
      </c>
      <c r="C14654" s="2" t="s">
        <v>3725</v>
      </c>
      <c r="D14654" s="2" t="s">
        <v>459</v>
      </c>
      <c r="E14654" s="2"/>
      <c r="F14654" s="2" t="str">
        <f>"9783961100286"</f>
        <v>9783961100286</v>
      </c>
    </row>
    <row r="14655" spans="1:6" s="3" customFormat="1" ht="29.1" customHeight="1" x14ac:dyDescent="0.25">
      <c r="A14655" s="2" t="s">
        <v>29296</v>
      </c>
      <c r="B14655" s="2" t="s">
        <v>29297</v>
      </c>
      <c r="C14655" s="2" t="s">
        <v>3725</v>
      </c>
      <c r="D14655" s="2" t="s">
        <v>459</v>
      </c>
      <c r="E14655" s="2"/>
      <c r="F14655" s="2" t="str">
        <f>"9783946234906"</f>
        <v>9783946234906</v>
      </c>
    </row>
    <row r="14656" spans="1:6" s="3" customFormat="1" ht="29.1" customHeight="1" x14ac:dyDescent="0.25">
      <c r="A14656" s="2" t="s">
        <v>29298</v>
      </c>
      <c r="B14656" s="2" t="s">
        <v>29299</v>
      </c>
      <c r="C14656" s="2" t="s">
        <v>3725</v>
      </c>
      <c r="D14656" s="2" t="s">
        <v>459</v>
      </c>
      <c r="E14656" s="2"/>
      <c r="F14656" s="2" t="str">
        <f>"9783946234869"</f>
        <v>9783946234869</v>
      </c>
    </row>
    <row r="14657" spans="1:6" s="3" customFormat="1" ht="29.1" customHeight="1" x14ac:dyDescent="0.25">
      <c r="A14657" s="2" t="s">
        <v>29300</v>
      </c>
      <c r="B14657" s="2" t="s">
        <v>29301</v>
      </c>
      <c r="C14657" s="2" t="s">
        <v>3725</v>
      </c>
      <c r="D14657" s="2" t="s">
        <v>1253</v>
      </c>
      <c r="E14657" s="2"/>
      <c r="F14657" s="2" t="str">
        <f>"9783944675985"</f>
        <v>9783944675985</v>
      </c>
    </row>
    <row r="14658" spans="1:6" s="3" customFormat="1" ht="29.1" customHeight="1" x14ac:dyDescent="0.25">
      <c r="A14658" s="2" t="s">
        <v>29302</v>
      </c>
      <c r="B14658" s="2" t="s">
        <v>29303</v>
      </c>
      <c r="C14658" s="2" t="s">
        <v>3725</v>
      </c>
      <c r="D14658" s="2" t="s">
        <v>1253</v>
      </c>
      <c r="E14658" s="2"/>
      <c r="F14658" s="2" t="str">
        <f>"9783946234722"</f>
        <v>9783946234722</v>
      </c>
    </row>
    <row r="14659" spans="1:6" s="3" customFormat="1" ht="29.1" customHeight="1" x14ac:dyDescent="0.25">
      <c r="A14659" s="2" t="s">
        <v>29304</v>
      </c>
      <c r="B14659" s="2" t="s">
        <v>29305</v>
      </c>
      <c r="C14659" s="2" t="s">
        <v>3725</v>
      </c>
      <c r="D14659" s="2" t="s">
        <v>1253</v>
      </c>
      <c r="E14659" s="2"/>
      <c r="F14659" s="2" t="str">
        <f>"9783946234739"</f>
        <v>9783946234739</v>
      </c>
    </row>
    <row r="14660" spans="1:6" s="3" customFormat="1" ht="29.1" customHeight="1" x14ac:dyDescent="0.25">
      <c r="A14660" s="2" t="s">
        <v>29306</v>
      </c>
      <c r="B14660" s="2" t="s">
        <v>29307</v>
      </c>
      <c r="C14660" s="2" t="s">
        <v>3725</v>
      </c>
      <c r="D14660" s="2" t="s">
        <v>1253</v>
      </c>
      <c r="E14660" s="2"/>
      <c r="F14660" s="2" t="str">
        <f>"9783946234852"</f>
        <v>9783946234852</v>
      </c>
    </row>
    <row r="14661" spans="1:6" s="3" customFormat="1" ht="29.1" customHeight="1" x14ac:dyDescent="0.25">
      <c r="A14661" s="2" t="s">
        <v>29308</v>
      </c>
      <c r="B14661" s="2" t="s">
        <v>29309</v>
      </c>
      <c r="C14661" s="2" t="s">
        <v>3725</v>
      </c>
      <c r="D14661" s="2" t="s">
        <v>1253</v>
      </c>
      <c r="E14661" s="2"/>
      <c r="F14661" s="2" t="str">
        <f>"9783946234265"</f>
        <v>9783946234265</v>
      </c>
    </row>
    <row r="14662" spans="1:6" s="3" customFormat="1" ht="29.1" customHeight="1" x14ac:dyDescent="0.25">
      <c r="A14662" s="2" t="s">
        <v>29310</v>
      </c>
      <c r="B14662" s="2" t="s">
        <v>29311</v>
      </c>
      <c r="C14662" s="2" t="s">
        <v>3725</v>
      </c>
      <c r="D14662" s="2" t="s">
        <v>459</v>
      </c>
      <c r="E14662" s="2"/>
      <c r="F14662" s="2" t="str">
        <f>"9783944675954"</f>
        <v>9783944675954</v>
      </c>
    </row>
    <row r="14663" spans="1:6" s="3" customFormat="1" ht="29.1" customHeight="1" x14ac:dyDescent="0.25">
      <c r="A14663" s="2" t="s">
        <v>29312</v>
      </c>
      <c r="B14663" s="2" t="s">
        <v>29313</v>
      </c>
      <c r="C14663" s="2" t="s">
        <v>3725</v>
      </c>
      <c r="D14663" s="2" t="s">
        <v>459</v>
      </c>
      <c r="E14663" s="2"/>
      <c r="F14663" s="2" t="str">
        <f>"9783946234340"</f>
        <v>9783946234340</v>
      </c>
    </row>
    <row r="14664" spans="1:6" s="3" customFormat="1" ht="29.1" customHeight="1" x14ac:dyDescent="0.25">
      <c r="A14664" s="2" t="s">
        <v>29314</v>
      </c>
      <c r="B14664" s="2" t="s">
        <v>29315</v>
      </c>
      <c r="C14664" s="2" t="s">
        <v>3725</v>
      </c>
      <c r="D14664" s="2" t="s">
        <v>459</v>
      </c>
      <c r="E14664" s="2"/>
      <c r="F14664" s="2" t="str">
        <f>"9783946234883"</f>
        <v>9783946234883</v>
      </c>
    </row>
    <row r="14665" spans="1:6" s="3" customFormat="1" ht="29.1" customHeight="1" x14ac:dyDescent="0.25">
      <c r="A14665" s="2" t="s">
        <v>29316</v>
      </c>
      <c r="B14665" s="2" t="s">
        <v>29317</v>
      </c>
      <c r="C14665" s="2" t="s">
        <v>3725</v>
      </c>
      <c r="D14665" s="2" t="s">
        <v>459</v>
      </c>
      <c r="E14665" s="2"/>
      <c r="F14665" s="2" t="str">
        <f>"9783946234371"</f>
        <v>9783946234371</v>
      </c>
    </row>
    <row r="14666" spans="1:6" s="3" customFormat="1" ht="29.1" customHeight="1" x14ac:dyDescent="0.25">
      <c r="A14666" s="2" t="s">
        <v>29318</v>
      </c>
      <c r="B14666" s="2" t="s">
        <v>29319</v>
      </c>
      <c r="C14666" s="2" t="s">
        <v>3725</v>
      </c>
      <c r="D14666" s="2" t="s">
        <v>459</v>
      </c>
      <c r="E14666" s="2"/>
      <c r="F14666" s="2" t="str">
        <f>"9783946234081"</f>
        <v>9783946234081</v>
      </c>
    </row>
    <row r="14667" spans="1:6" s="3" customFormat="1" ht="29.1" customHeight="1" x14ac:dyDescent="0.25">
      <c r="A14667" s="2" t="s">
        <v>29320</v>
      </c>
      <c r="B14667" s="2" t="s">
        <v>29321</v>
      </c>
      <c r="C14667" s="2" t="s">
        <v>3725</v>
      </c>
      <c r="D14667" s="2" t="s">
        <v>459</v>
      </c>
      <c r="E14667" s="2"/>
      <c r="F14667" s="2" t="str">
        <f>"9783946234029"</f>
        <v>9783946234029</v>
      </c>
    </row>
    <row r="14668" spans="1:6" s="3" customFormat="1" ht="29.1" customHeight="1" x14ac:dyDescent="0.25">
      <c r="A14668" s="2" t="s">
        <v>29322</v>
      </c>
      <c r="B14668" s="2" t="s">
        <v>29323</v>
      </c>
      <c r="C14668" s="2" t="s">
        <v>3725</v>
      </c>
      <c r="D14668" s="2" t="s">
        <v>459</v>
      </c>
      <c r="E14668" s="2"/>
      <c r="F14668" s="2" t="str">
        <f>"9783946234050"</f>
        <v>9783946234050</v>
      </c>
    </row>
    <row r="14669" spans="1:6" s="3" customFormat="1" ht="29.1" customHeight="1" x14ac:dyDescent="0.25">
      <c r="A14669" s="2" t="s">
        <v>29324</v>
      </c>
      <c r="B14669" s="2" t="s">
        <v>29325</v>
      </c>
      <c r="C14669" s="2" t="s">
        <v>3725</v>
      </c>
      <c r="D14669" s="2" t="s">
        <v>459</v>
      </c>
      <c r="E14669" s="2"/>
      <c r="F14669" s="2" t="str">
        <f>"9783961101337"</f>
        <v>9783961101337</v>
      </c>
    </row>
    <row r="14670" spans="1:6" s="3" customFormat="1" ht="29.1" customHeight="1" x14ac:dyDescent="0.25">
      <c r="A14670" s="2" t="s">
        <v>29326</v>
      </c>
      <c r="B14670" s="2" t="s">
        <v>29327</v>
      </c>
      <c r="C14670" s="2" t="s">
        <v>3725</v>
      </c>
      <c r="D14670" s="2" t="s">
        <v>459</v>
      </c>
      <c r="E14670" s="2"/>
      <c r="F14670" s="2" t="str">
        <f>"9783946234210"</f>
        <v>9783946234210</v>
      </c>
    </row>
    <row r="14671" spans="1:6" s="3" customFormat="1" ht="29.1" customHeight="1" x14ac:dyDescent="0.25">
      <c r="A14671" s="2" t="s">
        <v>29328</v>
      </c>
      <c r="B14671" s="2" t="s">
        <v>29329</v>
      </c>
      <c r="C14671" s="2" t="s">
        <v>3725</v>
      </c>
      <c r="D14671" s="2" t="s">
        <v>459</v>
      </c>
      <c r="E14671" s="2"/>
      <c r="F14671" s="2" t="str">
        <f>"9783946234319"</f>
        <v>9783946234319</v>
      </c>
    </row>
    <row r="14672" spans="1:6" s="3" customFormat="1" ht="29.1" customHeight="1" x14ac:dyDescent="0.25">
      <c r="A14672" s="2" t="s">
        <v>29330</v>
      </c>
      <c r="B14672" s="2" t="s">
        <v>29331</v>
      </c>
      <c r="C14672" s="2" t="s">
        <v>3725</v>
      </c>
      <c r="D14672" s="2" t="s">
        <v>459</v>
      </c>
      <c r="E14672" s="2"/>
      <c r="F14672" s="2" t="str">
        <f>"9783946234180"</f>
        <v>9783946234180</v>
      </c>
    </row>
    <row r="14673" spans="1:6" s="3" customFormat="1" ht="29.1" customHeight="1" x14ac:dyDescent="0.25">
      <c r="A14673" s="2" t="s">
        <v>29332</v>
      </c>
      <c r="B14673" s="2" t="s">
        <v>29333</v>
      </c>
      <c r="C14673" s="2" t="s">
        <v>3725</v>
      </c>
      <c r="D14673" s="2" t="s">
        <v>459</v>
      </c>
      <c r="E14673" s="2"/>
      <c r="F14673" s="2" t="str">
        <f>"9783961101122"</f>
        <v>9783961101122</v>
      </c>
    </row>
    <row r="14674" spans="1:6" s="3" customFormat="1" ht="29.1" customHeight="1" x14ac:dyDescent="0.25">
      <c r="A14674" s="2" t="s">
        <v>29334</v>
      </c>
      <c r="B14674" s="2" t="s">
        <v>29335</v>
      </c>
      <c r="C14674" s="2" t="s">
        <v>3725</v>
      </c>
      <c r="D14674" s="2" t="s">
        <v>459</v>
      </c>
      <c r="E14674" s="2"/>
      <c r="F14674" s="2" t="str">
        <f>"9783944675862"</f>
        <v>9783944675862</v>
      </c>
    </row>
    <row r="14675" spans="1:6" s="3" customFormat="1" ht="29.1" customHeight="1" x14ac:dyDescent="0.25">
      <c r="A14675" s="2" t="s">
        <v>29336</v>
      </c>
      <c r="B14675" s="2" t="s">
        <v>29337</v>
      </c>
      <c r="C14675" s="2" t="s">
        <v>3725</v>
      </c>
      <c r="D14675" s="2" t="s">
        <v>1253</v>
      </c>
      <c r="E14675" s="2" t="str">
        <f>"9783944675831"</f>
        <v>9783944675831</v>
      </c>
      <c r="F14675" s="2"/>
    </row>
    <row r="14676" spans="1:6" s="3" customFormat="1" ht="29.1" customHeight="1" x14ac:dyDescent="0.25">
      <c r="A14676" s="2" t="s">
        <v>29338</v>
      </c>
      <c r="B14676" s="2" t="s">
        <v>29339</v>
      </c>
      <c r="C14676" s="2" t="s">
        <v>3725</v>
      </c>
      <c r="D14676" s="2" t="s">
        <v>459</v>
      </c>
      <c r="E14676" s="2"/>
      <c r="F14676" s="2" t="str">
        <f>"9783946234241"</f>
        <v>9783946234241</v>
      </c>
    </row>
    <row r="14677" spans="1:6" s="3" customFormat="1" ht="29.1" customHeight="1" x14ac:dyDescent="0.25">
      <c r="A14677" s="2" t="s">
        <v>29340</v>
      </c>
      <c r="B14677" s="2" t="s">
        <v>29341</v>
      </c>
      <c r="C14677" s="2" t="s">
        <v>3725</v>
      </c>
      <c r="D14677" s="2" t="s">
        <v>459</v>
      </c>
      <c r="E14677" s="2"/>
      <c r="F14677" s="2" t="str">
        <f>"9783944675916"</f>
        <v>9783944675916</v>
      </c>
    </row>
    <row r="14678" spans="1:6" s="3" customFormat="1" ht="29.1" customHeight="1" x14ac:dyDescent="0.25">
      <c r="A14678" s="2" t="s">
        <v>29342</v>
      </c>
      <c r="B14678" s="2" t="s">
        <v>29343</v>
      </c>
      <c r="C14678" s="2" t="s">
        <v>3725</v>
      </c>
      <c r="D14678" s="2" t="s">
        <v>459</v>
      </c>
      <c r="E14678" s="2"/>
      <c r="F14678" s="2" t="str">
        <f>"9783944675572"</f>
        <v>9783944675572</v>
      </c>
    </row>
    <row r="14679" spans="1:6" s="3" customFormat="1" ht="29.1" customHeight="1" x14ac:dyDescent="0.25">
      <c r="A14679" s="2" t="s">
        <v>29344</v>
      </c>
      <c r="B14679" s="2" t="s">
        <v>29345</v>
      </c>
      <c r="C14679" s="2" t="s">
        <v>3725</v>
      </c>
      <c r="D14679" s="2" t="s">
        <v>459</v>
      </c>
      <c r="E14679" s="2"/>
      <c r="F14679" s="2" t="str">
        <f>"9783946234272"</f>
        <v>9783946234272</v>
      </c>
    </row>
    <row r="14680" spans="1:6" s="3" customFormat="1" ht="29.1" customHeight="1" x14ac:dyDescent="0.25">
      <c r="A14680" s="2" t="s">
        <v>29346</v>
      </c>
      <c r="B14680" s="2" t="s">
        <v>29347</v>
      </c>
      <c r="C14680" s="2" t="s">
        <v>3725</v>
      </c>
      <c r="D14680" s="2" t="s">
        <v>459</v>
      </c>
      <c r="E14680" s="2"/>
      <c r="F14680" s="2" t="str">
        <f>"9783946234111"</f>
        <v>9783946234111</v>
      </c>
    </row>
    <row r="14681" spans="1:6" s="3" customFormat="1" ht="29.1" customHeight="1" x14ac:dyDescent="0.25">
      <c r="A14681" s="2" t="s">
        <v>29348</v>
      </c>
      <c r="B14681" s="2" t="s">
        <v>29349</v>
      </c>
      <c r="C14681" s="2" t="s">
        <v>3725</v>
      </c>
      <c r="D14681" s="2" t="s">
        <v>459</v>
      </c>
      <c r="E14681" s="2"/>
      <c r="F14681" s="2" t="str">
        <f>"9783946234166"</f>
        <v>9783946234166</v>
      </c>
    </row>
    <row r="14682" spans="1:6" s="3" customFormat="1" ht="29.1" customHeight="1" x14ac:dyDescent="0.25">
      <c r="A14682" s="2" t="s">
        <v>29350</v>
      </c>
      <c r="B14682" s="2" t="s">
        <v>29351</v>
      </c>
      <c r="C14682" s="2" t="s">
        <v>3725</v>
      </c>
      <c r="D14682" s="2" t="s">
        <v>459</v>
      </c>
      <c r="E14682" s="2"/>
      <c r="F14682" s="2" t="str">
        <f>"9783946234012"</f>
        <v>9783946234012</v>
      </c>
    </row>
    <row r="14683" spans="1:6" s="3" customFormat="1" ht="29.1" customHeight="1" x14ac:dyDescent="0.25">
      <c r="A14683" s="2" t="s">
        <v>29352</v>
      </c>
      <c r="B14683" s="2" t="s">
        <v>29353</v>
      </c>
      <c r="C14683" s="2" t="s">
        <v>3725</v>
      </c>
      <c r="D14683" s="2" t="s">
        <v>459</v>
      </c>
      <c r="E14683" s="2"/>
      <c r="F14683" s="2" t="str">
        <f>"9783944675428"</f>
        <v>9783944675428</v>
      </c>
    </row>
    <row r="14684" spans="1:6" s="3" customFormat="1" ht="29.1" customHeight="1" x14ac:dyDescent="0.25">
      <c r="A14684" s="2" t="s">
        <v>29354</v>
      </c>
      <c r="B14684" s="2" t="s">
        <v>29355</v>
      </c>
      <c r="C14684" s="2" t="s">
        <v>3725</v>
      </c>
      <c r="D14684" s="2" t="s">
        <v>459</v>
      </c>
      <c r="E14684" s="2"/>
      <c r="F14684" s="2" t="str">
        <f>"9783944675503"</f>
        <v>9783944675503</v>
      </c>
    </row>
    <row r="14685" spans="1:6" s="3" customFormat="1" ht="29.1" customHeight="1" x14ac:dyDescent="0.25">
      <c r="A14685" s="2" t="s">
        <v>29176</v>
      </c>
      <c r="B14685" s="2" t="s">
        <v>28995</v>
      </c>
      <c r="C14685" s="2" t="s">
        <v>3725</v>
      </c>
      <c r="D14685" s="2" t="s">
        <v>459</v>
      </c>
      <c r="E14685" s="2"/>
      <c r="F14685" s="2" t="str">
        <f>"9783944675534"</f>
        <v>9783944675534</v>
      </c>
    </row>
    <row r="14686" spans="1:6" s="3" customFormat="1" ht="29.1" customHeight="1" x14ac:dyDescent="0.25">
      <c r="A14686" s="2" t="s">
        <v>28180</v>
      </c>
      <c r="B14686" s="2" t="s">
        <v>26228</v>
      </c>
      <c r="C14686" s="2" t="s">
        <v>3725</v>
      </c>
      <c r="D14686" s="2" t="s">
        <v>459</v>
      </c>
      <c r="E14686" s="2"/>
      <c r="F14686" s="2" t="str">
        <f>"9783944675213"</f>
        <v>9783944675213</v>
      </c>
    </row>
    <row r="14687" spans="1:6" s="3" customFormat="1" ht="29.1" customHeight="1" x14ac:dyDescent="0.25">
      <c r="A14687" s="2" t="s">
        <v>29260</v>
      </c>
      <c r="B14687" s="2" t="s">
        <v>29261</v>
      </c>
      <c r="C14687" s="2" t="s">
        <v>3725</v>
      </c>
      <c r="D14687" s="2" t="s">
        <v>459</v>
      </c>
      <c r="E14687" s="2"/>
      <c r="F14687" s="2" t="str">
        <f>"9783944675480"</f>
        <v>9783944675480</v>
      </c>
    </row>
    <row r="14688" spans="1:6" s="3" customFormat="1" ht="29.1" customHeight="1" x14ac:dyDescent="0.25">
      <c r="A14688" s="2" t="s">
        <v>29356</v>
      </c>
      <c r="B14688" s="2" t="s">
        <v>29357</v>
      </c>
      <c r="C14688" s="2" t="s">
        <v>3725</v>
      </c>
      <c r="D14688" s="2" t="s">
        <v>459</v>
      </c>
      <c r="E14688" s="2"/>
      <c r="F14688" s="2" t="str">
        <f>"9783944675510"</f>
        <v>9783944675510</v>
      </c>
    </row>
    <row r="14689" spans="1:6" s="3" customFormat="1" ht="29.1" customHeight="1" x14ac:dyDescent="0.25">
      <c r="A14689" s="2" t="s">
        <v>29358</v>
      </c>
      <c r="B14689" s="2" t="s">
        <v>29359</v>
      </c>
      <c r="C14689" s="2" t="s">
        <v>3725</v>
      </c>
      <c r="D14689" s="2" t="s">
        <v>459</v>
      </c>
      <c r="E14689" s="2"/>
      <c r="F14689" s="2" t="str">
        <f>"9783944675657"</f>
        <v>9783944675657</v>
      </c>
    </row>
    <row r="14690" spans="1:6" s="3" customFormat="1" ht="29.1" customHeight="1" x14ac:dyDescent="0.25">
      <c r="A14690" s="2" t="s">
        <v>29360</v>
      </c>
      <c r="B14690" s="2" t="s">
        <v>29361</v>
      </c>
      <c r="C14690" s="2" t="s">
        <v>3725</v>
      </c>
      <c r="D14690" s="2" t="s">
        <v>459</v>
      </c>
      <c r="E14690" s="2"/>
      <c r="F14690" s="2" t="str">
        <f>"9783944675190"</f>
        <v>9783944675190</v>
      </c>
    </row>
    <row r="14691" spans="1:6" s="3" customFormat="1" ht="29.1" customHeight="1" x14ac:dyDescent="0.25">
      <c r="A14691" s="2" t="s">
        <v>29362</v>
      </c>
      <c r="B14691" s="2" t="s">
        <v>29363</v>
      </c>
      <c r="C14691" s="2" t="s">
        <v>3725</v>
      </c>
      <c r="D14691" s="2" t="s">
        <v>459</v>
      </c>
      <c r="E14691" s="2"/>
      <c r="F14691" s="2" t="str">
        <f>"9783944675473"</f>
        <v>9783944675473</v>
      </c>
    </row>
    <row r="14692" spans="1:6" s="3" customFormat="1" ht="29.1" customHeight="1" x14ac:dyDescent="0.25">
      <c r="A14692" s="2" t="s">
        <v>29364</v>
      </c>
      <c r="B14692" s="2" t="s">
        <v>29365</v>
      </c>
      <c r="C14692" s="2" t="s">
        <v>3725</v>
      </c>
      <c r="D14692" s="2" t="s">
        <v>459</v>
      </c>
      <c r="E14692" s="2"/>
      <c r="F14692" s="2" t="str">
        <f>"9783944675015"</f>
        <v>9783944675015</v>
      </c>
    </row>
    <row r="14693" spans="1:6" s="3" customFormat="1" ht="29.1" customHeight="1" x14ac:dyDescent="0.25">
      <c r="A14693" s="2" t="s">
        <v>29366</v>
      </c>
      <c r="B14693" s="2" t="s">
        <v>29367</v>
      </c>
      <c r="C14693" s="2" t="s">
        <v>195</v>
      </c>
      <c r="D14693" s="2" t="s">
        <v>413</v>
      </c>
      <c r="E14693" s="2" t="str">
        <f>"9783110768954"</f>
        <v>9783110768954</v>
      </c>
      <c r="F14693" s="2" t="str">
        <f>"9783110769043"</f>
        <v>9783110769043</v>
      </c>
    </row>
    <row r="14694" spans="1:6" s="3" customFormat="1" ht="29.1" customHeight="1" x14ac:dyDescent="0.25">
      <c r="A14694" s="2" t="s">
        <v>29368</v>
      </c>
      <c r="B14694" s="2" t="s">
        <v>29369</v>
      </c>
      <c r="C14694" s="2" t="s">
        <v>195</v>
      </c>
      <c r="D14694" s="2" t="s">
        <v>1956</v>
      </c>
      <c r="E14694" s="2" t="str">
        <f>"9783110738094"</f>
        <v>9783110738094</v>
      </c>
      <c r="F14694" s="2" t="str">
        <f>"9783110733198"</f>
        <v>9783110733198</v>
      </c>
    </row>
    <row r="14695" spans="1:6" s="3" customFormat="1" ht="29.1" customHeight="1" x14ac:dyDescent="0.25">
      <c r="A14695" s="2" t="s">
        <v>29370</v>
      </c>
      <c r="B14695" s="2" t="s">
        <v>29371</v>
      </c>
      <c r="C14695" s="2" t="s">
        <v>195</v>
      </c>
      <c r="D14695" s="2" t="s">
        <v>4160</v>
      </c>
      <c r="E14695" s="2" t="str">
        <f>"9783110738124"</f>
        <v>9783110738124</v>
      </c>
      <c r="F14695" s="2" t="str">
        <f>"9783110733204"</f>
        <v>9783110733204</v>
      </c>
    </row>
    <row r="14696" spans="1:6" s="3" customFormat="1" ht="29.1" customHeight="1" x14ac:dyDescent="0.25">
      <c r="A14696" s="2" t="s">
        <v>29372</v>
      </c>
      <c r="B14696" s="2" t="s">
        <v>29373</v>
      </c>
      <c r="C14696" s="2" t="s">
        <v>195</v>
      </c>
      <c r="D14696" s="2" t="s">
        <v>118</v>
      </c>
      <c r="E14696" s="2" t="str">
        <f>"9783110796247"</f>
        <v>9783110796247</v>
      </c>
      <c r="F14696" s="2" t="str">
        <f>"9783110798098"</f>
        <v>9783110798098</v>
      </c>
    </row>
    <row r="14697" spans="1:6" s="3" customFormat="1" ht="29.1" customHeight="1" x14ac:dyDescent="0.25">
      <c r="A14697" s="2" t="s">
        <v>29374</v>
      </c>
      <c r="B14697" s="2" t="s">
        <v>29375</v>
      </c>
      <c r="C14697" s="2" t="s">
        <v>195</v>
      </c>
      <c r="D14697" s="2" t="s">
        <v>221</v>
      </c>
      <c r="E14697" s="2" t="str">
        <f>"9783110792409"</f>
        <v>9783110792409</v>
      </c>
      <c r="F14697" s="2" t="str">
        <f>"9783110792904"</f>
        <v>9783110792904</v>
      </c>
    </row>
    <row r="14698" spans="1:6" s="3" customFormat="1" ht="29.1" customHeight="1" x14ac:dyDescent="0.25">
      <c r="A14698" s="2" t="s">
        <v>29376</v>
      </c>
      <c r="B14698" s="2" t="s">
        <v>29377</v>
      </c>
      <c r="C14698" s="2" t="s">
        <v>195</v>
      </c>
      <c r="D14698" s="2" t="s">
        <v>6440</v>
      </c>
      <c r="E14698" s="2" t="str">
        <f>"9783110775693"</f>
        <v>9783110775693</v>
      </c>
      <c r="F14698" s="2" t="str">
        <f>"9783110775761"</f>
        <v>9783110775761</v>
      </c>
    </row>
    <row r="14699" spans="1:6" s="3" customFormat="1" ht="29.1" customHeight="1" x14ac:dyDescent="0.25">
      <c r="A14699" s="2" t="s">
        <v>29379</v>
      </c>
      <c r="B14699" s="2" t="s">
        <v>7098</v>
      </c>
      <c r="C14699" s="2" t="s">
        <v>195</v>
      </c>
      <c r="D14699" s="2" t="s">
        <v>465</v>
      </c>
      <c r="E14699" s="2" t="str">
        <f>"9783110692648"</f>
        <v>9783110692648</v>
      </c>
      <c r="F14699" s="2" t="str">
        <f>"9783110719963"</f>
        <v>9783110719963</v>
      </c>
    </row>
    <row r="14700" spans="1:6" s="3" customFormat="1" ht="29.1" customHeight="1" x14ac:dyDescent="0.25">
      <c r="A14700" s="2" t="s">
        <v>29380</v>
      </c>
      <c r="B14700" s="2" t="s">
        <v>29381</v>
      </c>
      <c r="C14700" s="2" t="s">
        <v>195</v>
      </c>
      <c r="D14700" s="2" t="s">
        <v>446</v>
      </c>
      <c r="E14700" s="2" t="str">
        <f>"9783110748192"</f>
        <v>9783110748192</v>
      </c>
      <c r="F14700" s="2" t="str">
        <f>"9783110759112"</f>
        <v>9783110759112</v>
      </c>
    </row>
    <row r="14701" spans="1:6" s="3" customFormat="1" ht="29.1" customHeight="1" x14ac:dyDescent="0.25">
      <c r="A14701" s="2" t="s">
        <v>29382</v>
      </c>
      <c r="B14701" s="2" t="s">
        <v>29383</v>
      </c>
      <c r="C14701" s="2" t="s">
        <v>195</v>
      </c>
      <c r="D14701" s="2" t="s">
        <v>436</v>
      </c>
      <c r="E14701" s="2" t="str">
        <f>"9783110576016"</f>
        <v>9783110576016</v>
      </c>
      <c r="F14701" s="2" t="str">
        <f>"9783110576092"</f>
        <v>9783110576092</v>
      </c>
    </row>
    <row r="14702" spans="1:6" s="3" customFormat="1" ht="29.1" customHeight="1" x14ac:dyDescent="0.25">
      <c r="A14702" s="2" t="s">
        <v>29384</v>
      </c>
      <c r="B14702" s="2" t="s">
        <v>29385</v>
      </c>
      <c r="C14702" s="2" t="s">
        <v>264</v>
      </c>
      <c r="D14702" s="2" t="s">
        <v>7842</v>
      </c>
      <c r="E14702" s="2" t="str">
        <f>"9781032265056"</f>
        <v>9781032265056</v>
      </c>
      <c r="F14702" s="2" t="str">
        <f>"9781000781113"</f>
        <v>9781000781113</v>
      </c>
    </row>
    <row r="14703" spans="1:6" s="3" customFormat="1" ht="29.1" customHeight="1" x14ac:dyDescent="0.25">
      <c r="A14703" s="2" t="s">
        <v>29386</v>
      </c>
      <c r="B14703" s="2" t="s">
        <v>19106</v>
      </c>
      <c r="C14703" s="2" t="s">
        <v>29</v>
      </c>
      <c r="D14703" s="2" t="s">
        <v>501</v>
      </c>
      <c r="E14703" s="2" t="str">
        <f>"9789004526006"</f>
        <v>9789004526006</v>
      </c>
      <c r="F14703" s="2" t="str">
        <f>"9789004526013"</f>
        <v>9789004526013</v>
      </c>
    </row>
    <row r="14704" spans="1:6" s="3" customFormat="1" ht="29.1" customHeight="1" x14ac:dyDescent="0.25">
      <c r="A14704" s="2" t="s">
        <v>29387</v>
      </c>
      <c r="B14704" s="2" t="s">
        <v>29388</v>
      </c>
      <c r="C14704" s="2" t="s">
        <v>29</v>
      </c>
      <c r="D14704" s="2" t="s">
        <v>3270</v>
      </c>
      <c r="E14704" s="2" t="str">
        <f>"9789004522039"</f>
        <v>9789004522039</v>
      </c>
      <c r="F14704" s="2" t="str">
        <f>"9789004522053"</f>
        <v>9789004522053</v>
      </c>
    </row>
    <row r="14705" spans="1:6" s="3" customFormat="1" ht="29.1" customHeight="1" x14ac:dyDescent="0.25">
      <c r="A14705" s="2" t="s">
        <v>29389</v>
      </c>
      <c r="B14705" s="2" t="s">
        <v>29390</v>
      </c>
      <c r="C14705" s="2" t="s">
        <v>8104</v>
      </c>
      <c r="D14705" s="2" t="s">
        <v>984</v>
      </c>
      <c r="E14705" s="2" t="str">
        <f>"9781805390046"</f>
        <v>9781805390046</v>
      </c>
      <c r="F14705" s="2" t="str">
        <f>"9781805390053"</f>
        <v>9781805390053</v>
      </c>
    </row>
    <row r="14706" spans="1:6" s="3" customFormat="1" ht="29.1" customHeight="1" x14ac:dyDescent="0.25">
      <c r="A14706" s="2" t="s">
        <v>29391</v>
      </c>
      <c r="B14706" s="2" t="s">
        <v>29392</v>
      </c>
      <c r="C14706" s="2" t="s">
        <v>8104</v>
      </c>
      <c r="D14706" s="2" t="s">
        <v>1809</v>
      </c>
      <c r="E14706" s="2" t="str">
        <f>"9781805390107"</f>
        <v>9781805390107</v>
      </c>
      <c r="F14706" s="2" t="str">
        <f>"9781805390114"</f>
        <v>9781805390114</v>
      </c>
    </row>
    <row r="14707" spans="1:6" s="3" customFormat="1" ht="29.1" customHeight="1" x14ac:dyDescent="0.25">
      <c r="A14707" s="2" t="s">
        <v>29393</v>
      </c>
      <c r="B14707" s="2" t="s">
        <v>29394</v>
      </c>
      <c r="C14707" s="2" t="s">
        <v>927</v>
      </c>
      <c r="D14707" s="2" t="s">
        <v>334</v>
      </c>
      <c r="E14707" s="2" t="str">
        <f>"9780472039180"</f>
        <v>9780472039180</v>
      </c>
      <c r="F14707" s="2" t="str">
        <f>"9780472903078"</f>
        <v>9780472903078</v>
      </c>
    </row>
    <row r="14708" spans="1:6" s="3" customFormat="1" ht="29.1" customHeight="1" x14ac:dyDescent="0.25">
      <c r="A14708" s="2" t="s">
        <v>29395</v>
      </c>
      <c r="B14708" s="2" t="s">
        <v>29396</v>
      </c>
      <c r="C14708" s="2" t="s">
        <v>264</v>
      </c>
      <c r="D14708" s="2" t="s">
        <v>2168</v>
      </c>
      <c r="E14708" s="2" t="str">
        <f>"9781032300702"</f>
        <v>9781032300702</v>
      </c>
      <c r="F14708" s="2" t="str">
        <f>"9781000830545"</f>
        <v>9781000830545</v>
      </c>
    </row>
    <row r="14709" spans="1:6" s="3" customFormat="1" ht="29.1" customHeight="1" x14ac:dyDescent="0.25">
      <c r="A14709" s="2" t="s">
        <v>29397</v>
      </c>
      <c r="B14709" s="2" t="s">
        <v>29398</v>
      </c>
      <c r="C14709" s="2" t="s">
        <v>124</v>
      </c>
      <c r="D14709" s="2" t="s">
        <v>2587</v>
      </c>
      <c r="E14709" s="2" t="str">
        <f>"9781032100982"</f>
        <v>9781032100982</v>
      </c>
      <c r="F14709" s="2" t="str">
        <f>"9781000831412"</f>
        <v>9781000831412</v>
      </c>
    </row>
    <row r="14710" spans="1:6" s="3" customFormat="1" ht="29.1" customHeight="1" x14ac:dyDescent="0.25">
      <c r="A14710" s="2" t="s">
        <v>29399</v>
      </c>
      <c r="B14710" s="2" t="s">
        <v>29400</v>
      </c>
      <c r="C14710" s="2" t="s">
        <v>124</v>
      </c>
      <c r="D14710" s="2" t="s">
        <v>2271</v>
      </c>
      <c r="E14710" s="2" t="str">
        <f>"9781032360294"</f>
        <v>9781032360294</v>
      </c>
      <c r="F14710" s="2" t="str">
        <f>"9781000818543"</f>
        <v>9781000818543</v>
      </c>
    </row>
    <row r="14711" spans="1:6" s="3" customFormat="1" ht="29.1" customHeight="1" x14ac:dyDescent="0.25">
      <c r="A14711" s="2" t="s">
        <v>29401</v>
      </c>
      <c r="B14711" s="2" t="s">
        <v>28611</v>
      </c>
      <c r="C14711" s="2" t="s">
        <v>124</v>
      </c>
      <c r="D14711" s="2" t="s">
        <v>297</v>
      </c>
      <c r="E14711" s="2" t="str">
        <f>"9781032287683"</f>
        <v>9781032287683</v>
      </c>
      <c r="F14711" s="2" t="str">
        <f>"9781000815573"</f>
        <v>9781000815573</v>
      </c>
    </row>
    <row r="14712" spans="1:6" s="3" customFormat="1" ht="29.1" customHeight="1" x14ac:dyDescent="0.25">
      <c r="A14712" s="2" t="s">
        <v>29402</v>
      </c>
      <c r="B14712" s="2" t="s">
        <v>29403</v>
      </c>
      <c r="C14712" s="2" t="s">
        <v>124</v>
      </c>
      <c r="D14712" s="2" t="s">
        <v>270</v>
      </c>
      <c r="E14712" s="2" t="str">
        <f>"9781032130408"</f>
        <v>9781032130408</v>
      </c>
      <c r="F14712" s="2" t="str">
        <f>"9781000785722"</f>
        <v>9781000785722</v>
      </c>
    </row>
    <row r="14713" spans="1:6" s="3" customFormat="1" ht="29.1" customHeight="1" x14ac:dyDescent="0.25">
      <c r="A14713" s="2" t="s">
        <v>1335</v>
      </c>
      <c r="B14713" s="2" t="s">
        <v>29404</v>
      </c>
      <c r="C14713" s="2" t="s">
        <v>1070</v>
      </c>
      <c r="D14713" s="2" t="s">
        <v>1336</v>
      </c>
      <c r="E14713" s="2" t="str">
        <f>"9783318071436"</f>
        <v>9783318071436</v>
      </c>
      <c r="F14713" s="2" t="str">
        <f>"9783318071474"</f>
        <v>9783318071474</v>
      </c>
    </row>
    <row r="14714" spans="1:6" s="3" customFormat="1" ht="29.1" customHeight="1" x14ac:dyDescent="0.25">
      <c r="A14714" s="2" t="s">
        <v>1333</v>
      </c>
      <c r="B14714" s="2" t="s">
        <v>29405</v>
      </c>
      <c r="C14714" s="2" t="s">
        <v>1070</v>
      </c>
      <c r="D14714" s="2" t="s">
        <v>1071</v>
      </c>
      <c r="E14714" s="2" t="str">
        <f>"9783318070859"</f>
        <v>9783318070859</v>
      </c>
      <c r="F14714" s="2" t="str">
        <f>"9783318072426"</f>
        <v>9783318072426</v>
      </c>
    </row>
    <row r="14715" spans="1:6" s="3" customFormat="1" ht="29.1" customHeight="1" x14ac:dyDescent="0.25">
      <c r="A14715" s="2" t="s">
        <v>1331</v>
      </c>
      <c r="B14715" s="2" t="s">
        <v>29406</v>
      </c>
      <c r="C14715" s="2" t="s">
        <v>1070</v>
      </c>
      <c r="D14715" s="2" t="s">
        <v>1265</v>
      </c>
      <c r="E14715" s="2" t="str">
        <f>"9783318067354"</f>
        <v>9783318067354</v>
      </c>
      <c r="F14715" s="2" t="str">
        <f>"9783318071955"</f>
        <v>9783318071955</v>
      </c>
    </row>
    <row r="14716" spans="1:6" s="3" customFormat="1" ht="29.1" customHeight="1" x14ac:dyDescent="0.25">
      <c r="A14716" s="2" t="s">
        <v>1485</v>
      </c>
      <c r="B14716" s="2" t="s">
        <v>29407</v>
      </c>
      <c r="C14716" s="2" t="s">
        <v>1070</v>
      </c>
      <c r="D14716" s="2" t="s">
        <v>1387</v>
      </c>
      <c r="E14716" s="2" t="str">
        <f>"9783318071351"</f>
        <v>9783318071351</v>
      </c>
      <c r="F14716" s="2" t="str">
        <f>"9783318071726"</f>
        <v>9783318071726</v>
      </c>
    </row>
    <row r="14717" spans="1:6" s="3" customFormat="1" ht="29.1" customHeight="1" x14ac:dyDescent="0.25">
      <c r="A14717" s="2" t="s">
        <v>1329</v>
      </c>
      <c r="B14717" s="2" t="s">
        <v>29408</v>
      </c>
      <c r="C14717" s="2" t="s">
        <v>1070</v>
      </c>
      <c r="D14717" s="2" t="s">
        <v>1272</v>
      </c>
      <c r="E14717" s="2" t="str">
        <f>"9783318070811"</f>
        <v>9783318070811</v>
      </c>
      <c r="F14717" s="2" t="str">
        <f>"9783318071948"</f>
        <v>9783318071948</v>
      </c>
    </row>
    <row r="14718" spans="1:6" s="3" customFormat="1" ht="29.1" customHeight="1" x14ac:dyDescent="0.25">
      <c r="A14718" s="2" t="s">
        <v>29409</v>
      </c>
      <c r="B14718" s="2" t="s">
        <v>29410</v>
      </c>
      <c r="C14718" s="2" t="s">
        <v>124</v>
      </c>
      <c r="D14718" s="2" t="s">
        <v>270</v>
      </c>
      <c r="E14718" s="2" t="str">
        <f>"9781032133027"</f>
        <v>9781032133027</v>
      </c>
      <c r="F14718" s="2" t="str">
        <f>"9781000817133"</f>
        <v>9781000817133</v>
      </c>
    </row>
    <row r="14719" spans="1:6" s="3" customFormat="1" ht="29.1" customHeight="1" x14ac:dyDescent="0.25">
      <c r="A14719" s="2" t="s">
        <v>29411</v>
      </c>
      <c r="B14719" s="2" t="s">
        <v>29412</v>
      </c>
      <c r="C14719" s="2" t="s">
        <v>327</v>
      </c>
      <c r="D14719" s="2" t="s">
        <v>9502</v>
      </c>
      <c r="E14719" s="2"/>
      <c r="F14719" s="2" t="str">
        <f>"9788381426381"</f>
        <v>9788381426381</v>
      </c>
    </row>
    <row r="14720" spans="1:6" s="3" customFormat="1" ht="29.1" customHeight="1" x14ac:dyDescent="0.25">
      <c r="A14720" s="2" t="s">
        <v>29413</v>
      </c>
      <c r="B14720" s="2" t="s">
        <v>8434</v>
      </c>
      <c r="C14720" s="2" t="s">
        <v>327</v>
      </c>
      <c r="D14720" s="2" t="s">
        <v>767</v>
      </c>
      <c r="E14720" s="2" t="str">
        <f>"9788382209549"</f>
        <v>9788382209549</v>
      </c>
      <c r="F14720" s="2" t="str">
        <f>"9788382209556"</f>
        <v>9788382209556</v>
      </c>
    </row>
    <row r="14721" spans="1:6" s="3" customFormat="1" ht="29.1" customHeight="1" x14ac:dyDescent="0.25">
      <c r="A14721" s="2" t="s">
        <v>29414</v>
      </c>
      <c r="B14721" s="2" t="s">
        <v>29415</v>
      </c>
      <c r="C14721" s="2" t="s">
        <v>5</v>
      </c>
      <c r="D14721" s="2" t="s">
        <v>183</v>
      </c>
      <c r="E14721" s="2" t="str">
        <f>"9783031188640"</f>
        <v>9783031188640</v>
      </c>
      <c r="F14721" s="2" t="str">
        <f>"9783031188657"</f>
        <v>9783031188657</v>
      </c>
    </row>
    <row r="14722" spans="1:6" s="3" customFormat="1" ht="29.1" customHeight="1" x14ac:dyDescent="0.25">
      <c r="A14722" s="2" t="s">
        <v>29416</v>
      </c>
      <c r="B14722" s="2" t="s">
        <v>29417</v>
      </c>
      <c r="C14722" s="2" t="s">
        <v>124</v>
      </c>
      <c r="D14722" s="2" t="s">
        <v>270</v>
      </c>
      <c r="E14722" s="2" t="str">
        <f>"9780367478667"</f>
        <v>9780367478667</v>
      </c>
      <c r="F14722" s="2" t="str">
        <f>"9781000816990"</f>
        <v>9781000816990</v>
      </c>
    </row>
    <row r="14723" spans="1:6" s="3" customFormat="1" ht="29.1" customHeight="1" x14ac:dyDescent="0.25">
      <c r="A14723" s="2" t="s">
        <v>29418</v>
      </c>
      <c r="B14723" s="2" t="s">
        <v>29419</v>
      </c>
      <c r="C14723" s="2" t="s">
        <v>124</v>
      </c>
      <c r="D14723" s="2" t="s">
        <v>553</v>
      </c>
      <c r="E14723" s="2" t="str">
        <f>"9781032307558"</f>
        <v>9781032307558</v>
      </c>
      <c r="F14723" s="2" t="str">
        <f>"9781000814088"</f>
        <v>9781000814088</v>
      </c>
    </row>
    <row r="14724" spans="1:6" s="3" customFormat="1" ht="29.1" customHeight="1" x14ac:dyDescent="0.25">
      <c r="A14724" s="2" t="s">
        <v>29420</v>
      </c>
      <c r="B14724" s="2" t="s">
        <v>29421</v>
      </c>
      <c r="C14724" s="2" t="s">
        <v>124</v>
      </c>
      <c r="D14724" s="2" t="s">
        <v>1237</v>
      </c>
      <c r="E14724" s="2" t="str">
        <f>"9781032156965"</f>
        <v>9781032156965</v>
      </c>
      <c r="F14724" s="2" t="str">
        <f>"9781000812527"</f>
        <v>9781000812527</v>
      </c>
    </row>
    <row r="14725" spans="1:6" s="3" customFormat="1" ht="29.1" customHeight="1" x14ac:dyDescent="0.25">
      <c r="A14725" s="2" t="s">
        <v>29422</v>
      </c>
      <c r="B14725" s="2" t="s">
        <v>29423</v>
      </c>
      <c r="C14725" s="2" t="s">
        <v>195</v>
      </c>
      <c r="D14725" s="2" t="s">
        <v>118</v>
      </c>
      <c r="E14725" s="2" t="str">
        <f>"9783111007106"</f>
        <v>9783111007106</v>
      </c>
      <c r="F14725" s="2" t="str">
        <f>"9783111012698"</f>
        <v>9783111012698</v>
      </c>
    </row>
    <row r="14726" spans="1:6" s="3" customFormat="1" ht="29.1" customHeight="1" x14ac:dyDescent="0.25">
      <c r="A14726" s="2" t="s">
        <v>29424</v>
      </c>
      <c r="B14726" s="2" t="s">
        <v>29425</v>
      </c>
      <c r="C14726" s="2" t="s">
        <v>195</v>
      </c>
      <c r="D14726" s="2" t="s">
        <v>118</v>
      </c>
      <c r="E14726" s="2" t="str">
        <f>"9783111007427"</f>
        <v>9783111007427</v>
      </c>
      <c r="F14726" s="2" t="str">
        <f>"9783111014845"</f>
        <v>9783111014845</v>
      </c>
    </row>
    <row r="14727" spans="1:6" s="3" customFormat="1" ht="29.1" customHeight="1" x14ac:dyDescent="0.25">
      <c r="A14727" s="2" t="s">
        <v>29426</v>
      </c>
      <c r="B14727" s="2" t="s">
        <v>29427</v>
      </c>
      <c r="C14727" s="2" t="s">
        <v>195</v>
      </c>
      <c r="D14727" s="2" t="s">
        <v>4619</v>
      </c>
      <c r="E14727" s="2" t="str">
        <f>"9783110795561"</f>
        <v>9783110795561</v>
      </c>
      <c r="F14727" s="2" t="str">
        <f>"9783110798081"</f>
        <v>9783110798081</v>
      </c>
    </row>
    <row r="14728" spans="1:6" s="3" customFormat="1" ht="29.1" customHeight="1" x14ac:dyDescent="0.25">
      <c r="A14728" s="2" t="s">
        <v>29428</v>
      </c>
      <c r="B14728" s="2" t="s">
        <v>29429</v>
      </c>
      <c r="C14728" s="2" t="s">
        <v>195</v>
      </c>
      <c r="D14728" s="2" t="s">
        <v>2332</v>
      </c>
      <c r="E14728" s="2" t="str">
        <f>"9783110775662"</f>
        <v>9783110775662</v>
      </c>
      <c r="F14728" s="2" t="str">
        <f>"9783110775747"</f>
        <v>9783110775747</v>
      </c>
    </row>
    <row r="14729" spans="1:6" s="3" customFormat="1" ht="29.1" customHeight="1" x14ac:dyDescent="0.25">
      <c r="A14729" s="2" t="s">
        <v>29430</v>
      </c>
      <c r="B14729" s="2" t="s">
        <v>29431</v>
      </c>
      <c r="C14729" s="2" t="s">
        <v>195</v>
      </c>
      <c r="D14729" s="2" t="s">
        <v>210</v>
      </c>
      <c r="E14729" s="2" t="str">
        <f>"9783110762440"</f>
        <v>9783110762440</v>
      </c>
      <c r="F14729" s="2" t="str">
        <f>"9783110762549"</f>
        <v>9783110762549</v>
      </c>
    </row>
    <row r="14730" spans="1:6" s="3" customFormat="1" ht="29.1" customHeight="1" x14ac:dyDescent="0.25">
      <c r="A14730" s="2" t="s">
        <v>29432</v>
      </c>
      <c r="B14730" s="2" t="s">
        <v>29433</v>
      </c>
      <c r="C14730" s="2" t="s">
        <v>595</v>
      </c>
      <c r="D14730" s="2" t="s">
        <v>501</v>
      </c>
      <c r="E14730" s="2" t="str">
        <f>"9783631873076"</f>
        <v>9783631873076</v>
      </c>
      <c r="F14730" s="2" t="str">
        <f>"9783631889695"</f>
        <v>9783631889695</v>
      </c>
    </row>
    <row r="14731" spans="1:6" s="3" customFormat="1" ht="29.1" customHeight="1" x14ac:dyDescent="0.25">
      <c r="A14731" s="2" t="s">
        <v>29434</v>
      </c>
      <c r="B14731" s="2" t="s">
        <v>29435</v>
      </c>
      <c r="C14731" s="2" t="s">
        <v>248</v>
      </c>
      <c r="D14731" s="2" t="s">
        <v>9</v>
      </c>
      <c r="E14731" s="2" t="str">
        <f>"9783847426264"</f>
        <v>9783847426264</v>
      </c>
      <c r="F14731" s="2" t="str">
        <f>"9783847417866"</f>
        <v>9783847417866</v>
      </c>
    </row>
    <row r="14732" spans="1:6" s="3" customFormat="1" ht="29.1" customHeight="1" x14ac:dyDescent="0.25">
      <c r="A14732" s="2" t="s">
        <v>29436</v>
      </c>
      <c r="B14732" s="2" t="s">
        <v>29437</v>
      </c>
      <c r="C14732" s="2" t="s">
        <v>248</v>
      </c>
      <c r="D14732" s="2" t="s">
        <v>1927</v>
      </c>
      <c r="E14732" s="2" t="str">
        <f>"9783966650656"</f>
        <v>9783966650656</v>
      </c>
      <c r="F14732" s="2" t="str">
        <f>"9783966659291"</f>
        <v>9783966659291</v>
      </c>
    </row>
    <row r="14733" spans="1:6" s="3" customFormat="1" ht="29.1" customHeight="1" x14ac:dyDescent="0.25">
      <c r="A14733" s="2" t="s">
        <v>29438</v>
      </c>
      <c r="B14733" s="2" t="s">
        <v>29439</v>
      </c>
      <c r="C14733" s="2" t="s">
        <v>248</v>
      </c>
      <c r="D14733" s="2" t="s">
        <v>249</v>
      </c>
      <c r="E14733" s="2" t="str">
        <f>"9783847425106"</f>
        <v>9783847425106</v>
      </c>
      <c r="F14733" s="2" t="str">
        <f>"9783847416579"</f>
        <v>9783847416579</v>
      </c>
    </row>
    <row r="14734" spans="1:6" s="3" customFormat="1" ht="29.1" customHeight="1" x14ac:dyDescent="0.25">
      <c r="A14734" s="2" t="s">
        <v>29440</v>
      </c>
      <c r="B14734" s="2" t="s">
        <v>29441</v>
      </c>
      <c r="C14734" s="2" t="s">
        <v>746</v>
      </c>
      <c r="D14734" s="2" t="s">
        <v>606</v>
      </c>
      <c r="E14734" s="2" t="str">
        <f>"9781803273341"</f>
        <v>9781803273341</v>
      </c>
      <c r="F14734" s="2" t="str">
        <f>"9781803273358"</f>
        <v>9781803273358</v>
      </c>
    </row>
    <row r="14735" spans="1:6" s="3" customFormat="1" ht="29.1" customHeight="1" x14ac:dyDescent="0.25">
      <c r="A14735" s="2" t="s">
        <v>29442</v>
      </c>
      <c r="B14735" s="2" t="s">
        <v>29443</v>
      </c>
      <c r="C14735" s="2" t="s">
        <v>605</v>
      </c>
      <c r="D14735" s="2" t="s">
        <v>606</v>
      </c>
      <c r="E14735" s="2" t="str">
        <f>"9789654067652"</f>
        <v>9789654067652</v>
      </c>
      <c r="F14735" s="2" t="str">
        <f>"9789654067669"</f>
        <v>9789654067669</v>
      </c>
    </row>
    <row r="14736" spans="1:6" s="3" customFormat="1" ht="29.1" customHeight="1" x14ac:dyDescent="0.25">
      <c r="A14736" s="2" t="s">
        <v>29444</v>
      </c>
      <c r="B14736" s="2" t="s">
        <v>29445</v>
      </c>
      <c r="C14736" s="2" t="s">
        <v>264</v>
      </c>
      <c r="D14736" s="2" t="s">
        <v>12465</v>
      </c>
      <c r="E14736" s="2" t="str">
        <f>"9788792329127"</f>
        <v>9788792329127</v>
      </c>
      <c r="F14736" s="2" t="str">
        <f>"9781000793888"</f>
        <v>9781000793888</v>
      </c>
    </row>
    <row r="14737" spans="1:6" s="3" customFormat="1" ht="29.1" customHeight="1" x14ac:dyDescent="0.25">
      <c r="A14737" s="2" t="s">
        <v>29446</v>
      </c>
      <c r="B14737" s="2" t="s">
        <v>29447</v>
      </c>
      <c r="C14737" s="2" t="s">
        <v>264</v>
      </c>
      <c r="D14737" s="2" t="s">
        <v>12465</v>
      </c>
      <c r="E14737" s="2" t="str">
        <f>"9788792329400"</f>
        <v>9788792329400</v>
      </c>
      <c r="F14737" s="2" t="str">
        <f>"9781000793123"</f>
        <v>9781000793123</v>
      </c>
    </row>
    <row r="14738" spans="1:6" s="3" customFormat="1" ht="29.1" customHeight="1" x14ac:dyDescent="0.25">
      <c r="A14738" s="2" t="s">
        <v>29448</v>
      </c>
      <c r="B14738" s="2" t="s">
        <v>29449</v>
      </c>
      <c r="C14738" s="2" t="s">
        <v>124</v>
      </c>
      <c r="D14738" s="2" t="s">
        <v>11984</v>
      </c>
      <c r="E14738" s="2" t="str">
        <f>"9781032324999"</f>
        <v>9781032324999</v>
      </c>
      <c r="F14738" s="2" t="str">
        <f>"9781000773583"</f>
        <v>9781000773583</v>
      </c>
    </row>
    <row r="14739" spans="1:6" s="3" customFormat="1" ht="29.1" customHeight="1" x14ac:dyDescent="0.25">
      <c r="A14739" s="2" t="s">
        <v>29450</v>
      </c>
      <c r="B14739" s="2" t="s">
        <v>29451</v>
      </c>
      <c r="C14739" s="2" t="s">
        <v>124</v>
      </c>
      <c r="D14739" s="2" t="s">
        <v>186</v>
      </c>
      <c r="E14739" s="2" t="str">
        <f>"9781032013091"</f>
        <v>9781032013091</v>
      </c>
      <c r="F14739" s="2" t="str">
        <f>"9781000835823"</f>
        <v>9781000835823</v>
      </c>
    </row>
    <row r="14740" spans="1:6" s="3" customFormat="1" ht="29.1" customHeight="1" x14ac:dyDescent="0.25">
      <c r="A14740" s="2" t="s">
        <v>29452</v>
      </c>
      <c r="B14740" s="2" t="s">
        <v>29453</v>
      </c>
      <c r="C14740" s="2" t="s">
        <v>124</v>
      </c>
      <c r="D14740" s="2" t="s">
        <v>270</v>
      </c>
      <c r="E14740" s="2" t="str">
        <f>"9781032228129"</f>
        <v>9781032228129</v>
      </c>
      <c r="F14740" s="2" t="str">
        <f>"9781000820256"</f>
        <v>9781000820256</v>
      </c>
    </row>
    <row r="14741" spans="1:6" s="3" customFormat="1" ht="29.1" customHeight="1" x14ac:dyDescent="0.25">
      <c r="A14741" s="2" t="s">
        <v>29454</v>
      </c>
      <c r="B14741" s="2" t="s">
        <v>29455</v>
      </c>
      <c r="C14741" s="2" t="s">
        <v>124</v>
      </c>
      <c r="D14741" s="2" t="s">
        <v>81</v>
      </c>
      <c r="E14741" s="2" t="str">
        <f>"9781032233475"</f>
        <v>9781032233475</v>
      </c>
      <c r="F14741" s="2" t="str">
        <f>"9781000799057"</f>
        <v>9781000799057</v>
      </c>
    </row>
    <row r="14742" spans="1:6" s="3" customFormat="1" ht="29.1" customHeight="1" x14ac:dyDescent="0.25">
      <c r="A14742" s="2" t="s">
        <v>29456</v>
      </c>
      <c r="B14742" s="2" t="s">
        <v>29457</v>
      </c>
      <c r="C14742" s="2" t="s">
        <v>3513</v>
      </c>
      <c r="D14742" s="2" t="s">
        <v>984</v>
      </c>
      <c r="E14742" s="2" t="str">
        <f>"9788382111439"</f>
        <v>9788382111439</v>
      </c>
      <c r="F14742" s="2" t="str">
        <f>"9788382111422"</f>
        <v>9788382111422</v>
      </c>
    </row>
    <row r="14743" spans="1:6" s="3" customFormat="1" ht="29.1" customHeight="1" x14ac:dyDescent="0.25">
      <c r="A14743" s="2" t="s">
        <v>29458</v>
      </c>
      <c r="B14743" s="2" t="s">
        <v>29459</v>
      </c>
      <c r="C14743" s="2" t="s">
        <v>124</v>
      </c>
      <c r="D14743" s="2" t="s">
        <v>818</v>
      </c>
      <c r="E14743" s="2" t="str">
        <f>"9780367701895"</f>
        <v>9780367701895</v>
      </c>
      <c r="F14743" s="2" t="str">
        <f>"9781000815870"</f>
        <v>9781000815870</v>
      </c>
    </row>
    <row r="14744" spans="1:6" s="3" customFormat="1" ht="29.1" customHeight="1" x14ac:dyDescent="0.25">
      <c r="A14744" s="2" t="s">
        <v>29460</v>
      </c>
      <c r="B14744" s="2" t="s">
        <v>29461</v>
      </c>
      <c r="C14744" s="2" t="s">
        <v>124</v>
      </c>
      <c r="D14744" s="2" t="s">
        <v>75</v>
      </c>
      <c r="E14744" s="2" t="str">
        <f>"9781032169125"</f>
        <v>9781032169125</v>
      </c>
      <c r="F14744" s="2" t="str">
        <f>"9781000799552"</f>
        <v>9781000799552</v>
      </c>
    </row>
    <row r="14745" spans="1:6" s="3" customFormat="1" ht="29.1" customHeight="1" x14ac:dyDescent="0.25">
      <c r="A14745" s="2" t="s">
        <v>29462</v>
      </c>
      <c r="B14745" s="2" t="s">
        <v>29463</v>
      </c>
      <c r="C14745" s="2" t="s">
        <v>29</v>
      </c>
      <c r="D14745" s="2" t="s">
        <v>33</v>
      </c>
      <c r="E14745" s="2" t="str">
        <f>"9783770566983"</f>
        <v>9783770566983</v>
      </c>
      <c r="F14745" s="2" t="str">
        <f>"9783846766989"</f>
        <v>9783846766989</v>
      </c>
    </row>
    <row r="14746" spans="1:6" s="3" customFormat="1" ht="29.1" customHeight="1" x14ac:dyDescent="0.25">
      <c r="A14746" s="2" t="s">
        <v>29464</v>
      </c>
      <c r="B14746" s="2" t="s">
        <v>29465</v>
      </c>
      <c r="C14746" s="2" t="s">
        <v>29</v>
      </c>
      <c r="D14746" s="2" t="s">
        <v>841</v>
      </c>
      <c r="E14746" s="2" t="str">
        <f>"9789086863877"</f>
        <v>9789086863877</v>
      </c>
      <c r="F14746" s="2" t="str">
        <f>"9789086869398"</f>
        <v>9789086869398</v>
      </c>
    </row>
    <row r="14747" spans="1:6" s="3" customFormat="1" ht="29.1" customHeight="1" x14ac:dyDescent="0.25">
      <c r="A14747" s="2" t="s">
        <v>29466</v>
      </c>
      <c r="B14747" s="2" t="s">
        <v>29467</v>
      </c>
      <c r="C14747" s="2" t="s">
        <v>29</v>
      </c>
      <c r="D14747" s="2" t="s">
        <v>9625</v>
      </c>
      <c r="E14747" s="2" t="str">
        <f>"9789086863815"</f>
        <v>9789086863815</v>
      </c>
      <c r="F14747" s="2" t="str">
        <f>"9789086869336"</f>
        <v>9789086869336</v>
      </c>
    </row>
    <row r="14748" spans="1:6" s="3" customFormat="1" ht="29.1" customHeight="1" x14ac:dyDescent="0.25">
      <c r="A14748" s="2" t="s">
        <v>29468</v>
      </c>
      <c r="B14748" s="2" t="s">
        <v>29469</v>
      </c>
      <c r="C14748" s="2" t="s">
        <v>124</v>
      </c>
      <c r="D14748" s="2" t="s">
        <v>2587</v>
      </c>
      <c r="E14748" s="2" t="str">
        <f>"9781032158624"</f>
        <v>9781032158624</v>
      </c>
      <c r="F14748" s="2" t="str">
        <f>"9781000815894"</f>
        <v>9781000815894</v>
      </c>
    </row>
    <row r="14749" spans="1:6" s="3" customFormat="1" ht="29.1" customHeight="1" x14ac:dyDescent="0.25">
      <c r="A14749" s="2" t="s">
        <v>29470</v>
      </c>
      <c r="B14749" s="2" t="s">
        <v>29471</v>
      </c>
      <c r="C14749" s="2" t="s">
        <v>124</v>
      </c>
      <c r="D14749" s="2" t="s">
        <v>402</v>
      </c>
      <c r="E14749" s="2" t="str">
        <f>"9781032316956"</f>
        <v>9781032316956</v>
      </c>
      <c r="F14749" s="2" t="str">
        <f>"9781000812145"</f>
        <v>9781000812145</v>
      </c>
    </row>
    <row r="14750" spans="1:6" s="3" customFormat="1" ht="29.1" customHeight="1" x14ac:dyDescent="0.25">
      <c r="A14750" s="2" t="s">
        <v>29472</v>
      </c>
      <c r="B14750" s="2" t="s">
        <v>29474</v>
      </c>
      <c r="C14750" s="2" t="s">
        <v>124</v>
      </c>
      <c r="D14750" s="2" t="s">
        <v>29473</v>
      </c>
      <c r="E14750" s="2" t="str">
        <f>"9781032373645"</f>
        <v>9781032373645</v>
      </c>
      <c r="F14750" s="2" t="str">
        <f>"9781000812015"</f>
        <v>9781000812015</v>
      </c>
    </row>
    <row r="14751" spans="1:6" s="3" customFormat="1" ht="29.1" customHeight="1" x14ac:dyDescent="0.25">
      <c r="A14751" s="2" t="s">
        <v>29475</v>
      </c>
      <c r="B14751" s="2" t="s">
        <v>29476</v>
      </c>
      <c r="C14751" s="2" t="s">
        <v>124</v>
      </c>
      <c r="D14751" s="2" t="s">
        <v>818</v>
      </c>
      <c r="E14751" s="2" t="str">
        <f>"9781032404271"</f>
        <v>9781032404271</v>
      </c>
      <c r="F14751" s="2" t="str">
        <f>"9781315564609"</f>
        <v>9781315564609</v>
      </c>
    </row>
    <row r="14752" spans="1:6" s="3" customFormat="1" ht="29.1" customHeight="1" x14ac:dyDescent="0.25">
      <c r="A14752" s="2" t="s">
        <v>29477</v>
      </c>
      <c r="B14752" s="2" t="s">
        <v>29478</v>
      </c>
      <c r="C14752" s="2" t="s">
        <v>124</v>
      </c>
      <c r="D14752" s="2" t="s">
        <v>334</v>
      </c>
      <c r="E14752" s="2" t="str">
        <f>"9781032125756"</f>
        <v>9781032125756</v>
      </c>
      <c r="F14752" s="2" t="str">
        <f>"9781000810288"</f>
        <v>9781000810288</v>
      </c>
    </row>
    <row r="14753" spans="1:6" s="3" customFormat="1" ht="29.1" customHeight="1" x14ac:dyDescent="0.25">
      <c r="A14753" s="2" t="s">
        <v>29479</v>
      </c>
      <c r="B14753" s="2" t="s">
        <v>29480</v>
      </c>
      <c r="C14753" s="2" t="s">
        <v>327</v>
      </c>
      <c r="D14753" s="2" t="s">
        <v>25097</v>
      </c>
      <c r="E14753" s="2" t="str">
        <f>"9788382209075"</f>
        <v>9788382209075</v>
      </c>
      <c r="F14753" s="2" t="str">
        <f>"9788382209082"</f>
        <v>9788382209082</v>
      </c>
    </row>
    <row r="14754" spans="1:6" s="3" customFormat="1" ht="29.1" customHeight="1" x14ac:dyDescent="0.25">
      <c r="A14754" s="2" t="s">
        <v>29481</v>
      </c>
      <c r="B14754" s="2" t="s">
        <v>29482</v>
      </c>
      <c r="C14754" s="2" t="s">
        <v>327</v>
      </c>
      <c r="D14754" s="2" t="s">
        <v>25097</v>
      </c>
      <c r="E14754" s="2" t="str">
        <f>"9788382203554"</f>
        <v>9788382203554</v>
      </c>
      <c r="F14754" s="2" t="str">
        <f>"9788382203561"</f>
        <v>9788382203561</v>
      </c>
    </row>
    <row r="14755" spans="1:6" s="3" customFormat="1" ht="29.1" customHeight="1" x14ac:dyDescent="0.25">
      <c r="A14755" s="2" t="s">
        <v>29483</v>
      </c>
      <c r="B14755" s="2" t="s">
        <v>29484</v>
      </c>
      <c r="C14755" s="2" t="s">
        <v>327</v>
      </c>
      <c r="D14755" s="2" t="s">
        <v>694</v>
      </c>
      <c r="E14755" s="2"/>
      <c r="F14755" s="2" t="str">
        <f>"9788382208832"</f>
        <v>9788382208832</v>
      </c>
    </row>
    <row r="14756" spans="1:6" s="3" customFormat="1" ht="29.1" customHeight="1" x14ac:dyDescent="0.25">
      <c r="A14756" s="2" t="s">
        <v>29485</v>
      </c>
      <c r="B14756" s="2" t="s">
        <v>29486</v>
      </c>
      <c r="C14756" s="2" t="s">
        <v>327</v>
      </c>
      <c r="D14756" s="2" t="s">
        <v>3407</v>
      </c>
      <c r="E14756" s="2"/>
      <c r="F14756" s="2" t="str">
        <f>"9788382208047"</f>
        <v>9788382208047</v>
      </c>
    </row>
    <row r="14757" spans="1:6" s="3" customFormat="1" ht="29.1" customHeight="1" x14ac:dyDescent="0.25">
      <c r="A14757" s="2" t="s">
        <v>29487</v>
      </c>
      <c r="B14757" s="2" t="s">
        <v>29488</v>
      </c>
      <c r="C14757" s="2" t="s">
        <v>327</v>
      </c>
      <c r="D14757" s="2" t="s">
        <v>186</v>
      </c>
      <c r="E14757" s="2"/>
      <c r="F14757" s="2" t="str">
        <f>"9788382209532"</f>
        <v>9788382209532</v>
      </c>
    </row>
    <row r="14758" spans="1:6" s="3" customFormat="1" ht="29.1" customHeight="1" x14ac:dyDescent="0.25">
      <c r="A14758" s="2" t="s">
        <v>29489</v>
      </c>
      <c r="B14758" s="2" t="s">
        <v>7960</v>
      </c>
      <c r="C14758" s="2" t="s">
        <v>327</v>
      </c>
      <c r="D14758" s="2" t="s">
        <v>4517</v>
      </c>
      <c r="E14758" s="2" t="str">
        <f>"9788382209518"</f>
        <v>9788382209518</v>
      </c>
      <c r="F14758" s="2" t="str">
        <f>"9788382209525"</f>
        <v>9788382209525</v>
      </c>
    </row>
    <row r="14759" spans="1:6" s="3" customFormat="1" ht="29.1" customHeight="1" x14ac:dyDescent="0.25">
      <c r="A14759" s="2" t="s">
        <v>29490</v>
      </c>
      <c r="B14759" s="2" t="s">
        <v>29491</v>
      </c>
      <c r="C14759" s="2" t="s">
        <v>327</v>
      </c>
      <c r="D14759" s="2" t="s">
        <v>16673</v>
      </c>
      <c r="E14759" s="2" t="str">
        <f>"9788382209600"</f>
        <v>9788382209600</v>
      </c>
      <c r="F14759" s="2" t="str">
        <f>"9788382209617"</f>
        <v>9788382209617</v>
      </c>
    </row>
    <row r="14760" spans="1:6" s="3" customFormat="1" ht="29.1" customHeight="1" x14ac:dyDescent="0.25">
      <c r="A14760" s="2" t="s">
        <v>29492</v>
      </c>
      <c r="B14760" s="2" t="s">
        <v>29493</v>
      </c>
      <c r="C14760" s="2" t="s">
        <v>327</v>
      </c>
      <c r="D14760" s="2" t="s">
        <v>758</v>
      </c>
      <c r="E14760" s="2" t="str">
        <f>"9788382208702"</f>
        <v>9788382208702</v>
      </c>
      <c r="F14760" s="2" t="str">
        <f>"9788382208719"</f>
        <v>9788382208719</v>
      </c>
    </row>
    <row r="14761" spans="1:6" s="3" customFormat="1" ht="29.1" customHeight="1" x14ac:dyDescent="0.25">
      <c r="A14761" s="2" t="s">
        <v>29494</v>
      </c>
      <c r="B14761" s="2" t="s">
        <v>29495</v>
      </c>
      <c r="C14761" s="2" t="s">
        <v>327</v>
      </c>
      <c r="D14761" s="2" t="s">
        <v>9</v>
      </c>
      <c r="E14761" s="2" t="str">
        <f>"9788383310206"</f>
        <v>9788383310206</v>
      </c>
      <c r="F14761" s="2" t="str">
        <f>"9788383310213"</f>
        <v>9788383310213</v>
      </c>
    </row>
    <row r="14762" spans="1:6" s="3" customFormat="1" ht="29.1" customHeight="1" x14ac:dyDescent="0.25">
      <c r="A14762" s="2" t="s">
        <v>29496</v>
      </c>
      <c r="B14762" s="2" t="s">
        <v>29497</v>
      </c>
      <c r="C14762" s="2" t="s">
        <v>327</v>
      </c>
      <c r="D14762" s="2" t="s">
        <v>207</v>
      </c>
      <c r="E14762" s="2" t="str">
        <f>"9788380888715"</f>
        <v>9788380888715</v>
      </c>
      <c r="F14762" s="2" t="str">
        <f>"9788380888722"</f>
        <v>9788380888722</v>
      </c>
    </row>
    <row r="14763" spans="1:6" s="3" customFormat="1" ht="29.1" customHeight="1" x14ac:dyDescent="0.25">
      <c r="A14763" s="2" t="s">
        <v>29498</v>
      </c>
      <c r="B14763" s="2" t="s">
        <v>29499</v>
      </c>
      <c r="C14763" s="2" t="s">
        <v>327</v>
      </c>
      <c r="D14763" s="2" t="s">
        <v>81</v>
      </c>
      <c r="E14763" s="2"/>
      <c r="F14763" s="2" t="str">
        <f>"9788382209686"</f>
        <v>9788382209686</v>
      </c>
    </row>
    <row r="14764" spans="1:6" s="3" customFormat="1" ht="29.1" customHeight="1" x14ac:dyDescent="0.25">
      <c r="A14764" s="2" t="s">
        <v>29500</v>
      </c>
      <c r="B14764" s="2" t="s">
        <v>29501</v>
      </c>
      <c r="C14764" s="2" t="s">
        <v>327</v>
      </c>
      <c r="D14764" s="2" t="s">
        <v>7970</v>
      </c>
      <c r="E14764" s="2" t="str">
        <f>"9788382208955"</f>
        <v>9788382208955</v>
      </c>
      <c r="F14764" s="2" t="str">
        <f>"9788382209440"</f>
        <v>9788382209440</v>
      </c>
    </row>
    <row r="14765" spans="1:6" s="3" customFormat="1" ht="29.1" customHeight="1" x14ac:dyDescent="0.25">
      <c r="A14765" s="2" t="s">
        <v>29502</v>
      </c>
      <c r="B14765" s="2" t="s">
        <v>29503</v>
      </c>
      <c r="C14765" s="2" t="s">
        <v>124</v>
      </c>
      <c r="D14765" s="2" t="s">
        <v>402</v>
      </c>
      <c r="E14765" s="2" t="str">
        <f>"9780367257651"</f>
        <v>9780367257651</v>
      </c>
      <c r="F14765" s="2" t="str">
        <f>"9780429289750"</f>
        <v>9780429289750</v>
      </c>
    </row>
    <row r="14766" spans="1:6" s="3" customFormat="1" ht="29.1" customHeight="1" x14ac:dyDescent="0.25">
      <c r="A14766" s="2" t="s">
        <v>29504</v>
      </c>
      <c r="B14766" s="2" t="s">
        <v>29505</v>
      </c>
      <c r="C14766" s="2" t="s">
        <v>124</v>
      </c>
      <c r="D14766" s="2" t="s">
        <v>9</v>
      </c>
      <c r="E14766" s="2" t="str">
        <f>"9781032369211"</f>
        <v>9781032369211</v>
      </c>
      <c r="F14766" s="2" t="str">
        <f>"9781000834314"</f>
        <v>9781000834314</v>
      </c>
    </row>
    <row r="14767" spans="1:6" s="3" customFormat="1" ht="29.1" customHeight="1" x14ac:dyDescent="0.25">
      <c r="A14767" s="2" t="s">
        <v>29506</v>
      </c>
      <c r="B14767" s="2" t="s">
        <v>29507</v>
      </c>
      <c r="C14767" s="2" t="s">
        <v>124</v>
      </c>
      <c r="D14767" s="2" t="s">
        <v>402</v>
      </c>
      <c r="E14767" s="2" t="str">
        <f>"9780367769499"</f>
        <v>9780367769499</v>
      </c>
      <c r="F14767" s="2" t="str">
        <f>"9781000811339"</f>
        <v>9781000811339</v>
      </c>
    </row>
    <row r="14768" spans="1:6" s="3" customFormat="1" ht="29.1" customHeight="1" x14ac:dyDescent="0.25">
      <c r="A14768" s="2" t="s">
        <v>29508</v>
      </c>
      <c r="B14768" s="2" t="s">
        <v>29509</v>
      </c>
      <c r="C14768" s="2" t="s">
        <v>248</v>
      </c>
      <c r="D14768" s="2" t="s">
        <v>24</v>
      </c>
      <c r="E14768" s="2" t="str">
        <f>"9783847424864"</f>
        <v>9783847424864</v>
      </c>
      <c r="F14768" s="2" t="str">
        <f>"9783847416302"</f>
        <v>9783847416302</v>
      </c>
    </row>
    <row r="14769" spans="1:6" s="3" customFormat="1" ht="29.1" customHeight="1" x14ac:dyDescent="0.25">
      <c r="A14769" s="2" t="s">
        <v>29510</v>
      </c>
      <c r="B14769" s="2" t="s">
        <v>29511</v>
      </c>
      <c r="C14769" s="2" t="s">
        <v>149</v>
      </c>
      <c r="D14769" s="2" t="s">
        <v>15287</v>
      </c>
      <c r="E14769" s="2"/>
      <c r="F14769" s="2" t="str">
        <f>"9781800649217"</f>
        <v>9781800649217</v>
      </c>
    </row>
    <row r="14770" spans="1:6" s="3" customFormat="1" ht="29.1" customHeight="1" x14ac:dyDescent="0.25">
      <c r="A14770" s="2" t="s">
        <v>29512</v>
      </c>
      <c r="B14770" s="2" t="s">
        <v>29513</v>
      </c>
      <c r="C14770" s="2" t="s">
        <v>11005</v>
      </c>
      <c r="D14770" s="2" t="s">
        <v>11213</v>
      </c>
      <c r="E14770" s="2" t="str">
        <f>"9783837931921"</f>
        <v>9783837931921</v>
      </c>
      <c r="F14770" s="2" t="str">
        <f>"9783837978797"</f>
        <v>9783837978797</v>
      </c>
    </row>
    <row r="14771" spans="1:6" s="3" customFormat="1" ht="29.1" customHeight="1" x14ac:dyDescent="0.25">
      <c r="A14771" s="2" t="s">
        <v>29514</v>
      </c>
      <c r="B14771" s="2" t="s">
        <v>29515</v>
      </c>
      <c r="C14771" s="2" t="s">
        <v>2133</v>
      </c>
      <c r="D14771" s="2" t="s">
        <v>1449</v>
      </c>
      <c r="E14771" s="2" t="str">
        <f>"9781760464929"</f>
        <v>9781760464929</v>
      </c>
      <c r="F14771" s="2" t="str">
        <f>"9781760464936"</f>
        <v>9781760464936</v>
      </c>
    </row>
    <row r="14772" spans="1:6" s="3" customFormat="1" ht="29.1" customHeight="1" x14ac:dyDescent="0.25">
      <c r="A14772" s="2" t="s">
        <v>29516</v>
      </c>
      <c r="B14772" s="2" t="s">
        <v>29517</v>
      </c>
      <c r="C14772" s="2" t="s">
        <v>4104</v>
      </c>
      <c r="D14772" s="2" t="s">
        <v>107</v>
      </c>
      <c r="E14772" s="2" t="str">
        <f>"9781802077230"</f>
        <v>9781802077230</v>
      </c>
      <c r="F14772" s="2" t="str">
        <f>"9781802079043"</f>
        <v>9781802079043</v>
      </c>
    </row>
    <row r="14773" spans="1:6" s="3" customFormat="1" ht="29.1" customHeight="1" x14ac:dyDescent="0.25">
      <c r="A14773" s="2" t="s">
        <v>29518</v>
      </c>
      <c r="B14773" s="2" t="s">
        <v>29519</v>
      </c>
      <c r="C14773" s="2" t="s">
        <v>927</v>
      </c>
      <c r="D14773" s="2" t="s">
        <v>270</v>
      </c>
      <c r="E14773" s="2" t="str">
        <f>"9780472055173"</f>
        <v>9780472055173</v>
      </c>
      <c r="F14773" s="2" t="str">
        <f>"9780472902842"</f>
        <v>9780472902842</v>
      </c>
    </row>
    <row r="14774" spans="1:6" s="3" customFormat="1" ht="29.1" customHeight="1" x14ac:dyDescent="0.25">
      <c r="A14774" s="2" t="s">
        <v>29520</v>
      </c>
      <c r="B14774" s="2" t="s">
        <v>29521</v>
      </c>
      <c r="C14774" s="2" t="s">
        <v>124</v>
      </c>
      <c r="D14774" s="2" t="s">
        <v>694</v>
      </c>
      <c r="E14774" s="2" t="str">
        <f>"9781032154435"</f>
        <v>9781032154435</v>
      </c>
      <c r="F14774" s="2" t="str">
        <f>"9781000819540"</f>
        <v>9781000819540</v>
      </c>
    </row>
    <row r="14775" spans="1:6" s="3" customFormat="1" ht="29.1" customHeight="1" x14ac:dyDescent="0.25">
      <c r="A14775" s="2" t="s">
        <v>29522</v>
      </c>
      <c r="B14775" s="2" t="s">
        <v>29523</v>
      </c>
      <c r="C14775" s="2" t="s">
        <v>124</v>
      </c>
      <c r="D14775" s="2" t="s">
        <v>1155</v>
      </c>
      <c r="E14775" s="2" t="str">
        <f>"9781032285047"</f>
        <v>9781032285047</v>
      </c>
      <c r="F14775" s="2" t="str">
        <f>"9781000801248"</f>
        <v>9781000801248</v>
      </c>
    </row>
    <row r="14776" spans="1:6" s="3" customFormat="1" ht="29.1" customHeight="1" x14ac:dyDescent="0.25">
      <c r="A14776" s="2" t="s">
        <v>29524</v>
      </c>
      <c r="B14776" s="2" t="s">
        <v>29525</v>
      </c>
      <c r="C14776" s="2" t="s">
        <v>124</v>
      </c>
      <c r="D14776" s="2" t="s">
        <v>2086</v>
      </c>
      <c r="E14776" s="2" t="str">
        <f>"9781032375700"</f>
        <v>9781032375700</v>
      </c>
      <c r="F14776" s="2" t="str">
        <f>"9780429426414"</f>
        <v>9780429426414</v>
      </c>
    </row>
    <row r="14777" spans="1:6" s="3" customFormat="1" ht="29.1" customHeight="1" x14ac:dyDescent="0.25">
      <c r="A14777" s="2" t="s">
        <v>29526</v>
      </c>
      <c r="B14777" s="2" t="s">
        <v>29527</v>
      </c>
      <c r="C14777" s="2" t="s">
        <v>124</v>
      </c>
      <c r="D14777" s="2" t="s">
        <v>791</v>
      </c>
      <c r="E14777" s="2" t="str">
        <f>"9781032184654"</f>
        <v>9781032184654</v>
      </c>
      <c r="F14777" s="2" t="str">
        <f>"9781000788822"</f>
        <v>9781000788822</v>
      </c>
    </row>
    <row r="14778" spans="1:6" s="3" customFormat="1" ht="29.1" customHeight="1" x14ac:dyDescent="0.25">
      <c r="A14778" s="2" t="s">
        <v>29528</v>
      </c>
      <c r="B14778" s="2" t="s">
        <v>29529</v>
      </c>
      <c r="C14778" s="2" t="s">
        <v>195</v>
      </c>
      <c r="D14778" s="2" t="s">
        <v>689</v>
      </c>
      <c r="E14778" s="2" t="str">
        <f>"9783110798838"</f>
        <v>9783110798838</v>
      </c>
      <c r="F14778" s="2" t="str">
        <f>"9783110798913"</f>
        <v>9783110798913</v>
      </c>
    </row>
    <row r="14779" spans="1:6" s="3" customFormat="1" ht="29.1" customHeight="1" x14ac:dyDescent="0.25">
      <c r="A14779" s="2" t="s">
        <v>29530</v>
      </c>
      <c r="B14779" s="2" t="s">
        <v>29531</v>
      </c>
      <c r="C14779" s="2" t="s">
        <v>195</v>
      </c>
      <c r="D14779" s="2" t="s">
        <v>210</v>
      </c>
      <c r="E14779" s="2" t="str">
        <f>"9783110794564"</f>
        <v>9783110794564</v>
      </c>
      <c r="F14779" s="2" t="str">
        <f>"9783110794694"</f>
        <v>9783110794694</v>
      </c>
    </row>
    <row r="14780" spans="1:6" s="3" customFormat="1" ht="29.1" customHeight="1" x14ac:dyDescent="0.25">
      <c r="A14780" s="2" t="s">
        <v>29532</v>
      </c>
      <c r="B14780" s="2" t="s">
        <v>29533</v>
      </c>
      <c r="C14780" s="2" t="s">
        <v>195</v>
      </c>
      <c r="D14780" s="2" t="s">
        <v>712</v>
      </c>
      <c r="E14780" s="2" t="str">
        <f>"9783110768985"</f>
        <v>9783110768985</v>
      </c>
      <c r="F14780" s="2" t="str">
        <f>"9783110769012"</f>
        <v>9783110769012</v>
      </c>
    </row>
    <row r="14781" spans="1:6" s="3" customFormat="1" ht="29.1" customHeight="1" x14ac:dyDescent="0.25">
      <c r="A14781" s="2" t="s">
        <v>29534</v>
      </c>
      <c r="B14781" s="2" t="s">
        <v>29535</v>
      </c>
      <c r="C14781" s="2" t="s">
        <v>195</v>
      </c>
      <c r="D14781" s="2" t="s">
        <v>2810</v>
      </c>
      <c r="E14781" s="2" t="str">
        <f>"9783110378726"</f>
        <v>9783110378726</v>
      </c>
      <c r="F14781" s="2" t="str">
        <f>"9783110400304"</f>
        <v>9783110400304</v>
      </c>
    </row>
    <row r="14782" spans="1:6" s="3" customFormat="1" ht="29.1" customHeight="1" x14ac:dyDescent="0.25">
      <c r="A14782" s="2" t="s">
        <v>29536</v>
      </c>
      <c r="B14782" s="2" t="s">
        <v>29538</v>
      </c>
      <c r="C14782" s="2" t="s">
        <v>885</v>
      </c>
      <c r="D14782" s="2" t="s">
        <v>29537</v>
      </c>
      <c r="E14782" s="2" t="str">
        <f>"9781487545635"</f>
        <v>9781487545635</v>
      </c>
      <c r="F14782" s="2" t="str">
        <f>"9781487545659"</f>
        <v>9781487545659</v>
      </c>
    </row>
    <row r="14783" spans="1:6" s="3" customFormat="1" ht="29.1" customHeight="1" x14ac:dyDescent="0.25">
      <c r="A14783" s="2" t="s">
        <v>29539</v>
      </c>
      <c r="B14783" s="2" t="s">
        <v>29540</v>
      </c>
      <c r="C14783" s="2" t="s">
        <v>885</v>
      </c>
      <c r="D14783" s="2" t="s">
        <v>886</v>
      </c>
      <c r="E14783" s="2" t="str">
        <f>"9781487504274"</f>
        <v>9781487504274</v>
      </c>
      <c r="F14783" s="2" t="str">
        <f>"9781487519803"</f>
        <v>9781487519803</v>
      </c>
    </row>
    <row r="14784" spans="1:6" s="3" customFormat="1" ht="29.1" customHeight="1" x14ac:dyDescent="0.25">
      <c r="A14784" s="2" t="s">
        <v>29541</v>
      </c>
      <c r="B14784" s="2" t="s">
        <v>29542</v>
      </c>
      <c r="C14784" s="2" t="s">
        <v>248</v>
      </c>
      <c r="D14784" s="2" t="s">
        <v>1043</v>
      </c>
      <c r="E14784" s="2" t="str">
        <f>"9783847425212"</f>
        <v>9783847425212</v>
      </c>
      <c r="F14784" s="2" t="str">
        <f>"9783847416753"</f>
        <v>9783847416753</v>
      </c>
    </row>
    <row r="14785" spans="1:6" s="3" customFormat="1" ht="29.1" customHeight="1" x14ac:dyDescent="0.25">
      <c r="A14785" s="2" t="s">
        <v>29543</v>
      </c>
      <c r="B14785" s="2" t="s">
        <v>29544</v>
      </c>
      <c r="C14785" s="2" t="s">
        <v>29</v>
      </c>
      <c r="D14785" s="2" t="s">
        <v>33</v>
      </c>
      <c r="E14785" s="2" t="str">
        <f>"9789004518292"</f>
        <v>9789004518292</v>
      </c>
      <c r="F14785" s="2" t="str">
        <f>"9789004518315"</f>
        <v>9789004518315</v>
      </c>
    </row>
    <row r="14786" spans="1:6" s="3" customFormat="1" ht="29.1" customHeight="1" x14ac:dyDescent="0.25">
      <c r="A14786" s="2" t="s">
        <v>29545</v>
      </c>
      <c r="B14786" s="2" t="s">
        <v>29547</v>
      </c>
      <c r="C14786" s="2" t="s">
        <v>29</v>
      </c>
      <c r="D14786" s="2" t="s">
        <v>29546</v>
      </c>
      <c r="E14786" s="2" t="str">
        <f>"9789004527645"</f>
        <v>9789004527645</v>
      </c>
      <c r="F14786" s="2" t="str">
        <f>"9789004527652"</f>
        <v>9789004527652</v>
      </c>
    </row>
    <row r="14787" spans="1:6" s="3" customFormat="1" ht="29.1" customHeight="1" x14ac:dyDescent="0.25">
      <c r="A14787" s="2" t="s">
        <v>29548</v>
      </c>
      <c r="B14787" s="2" t="s">
        <v>29549</v>
      </c>
      <c r="C14787" s="2" t="s">
        <v>124</v>
      </c>
      <c r="D14787" s="2" t="s">
        <v>297</v>
      </c>
      <c r="E14787" s="2" t="str">
        <f>"9780415834629"</f>
        <v>9780415834629</v>
      </c>
      <c r="F14787" s="2" t="str">
        <f>"9780203503577"</f>
        <v>9780203503577</v>
      </c>
    </row>
    <row r="14788" spans="1:6" s="3" customFormat="1" ht="29.1" customHeight="1" x14ac:dyDescent="0.25">
      <c r="A14788" s="2" t="s">
        <v>29550</v>
      </c>
      <c r="B14788" s="2" t="s">
        <v>29551</v>
      </c>
      <c r="C14788" s="2" t="s">
        <v>124</v>
      </c>
      <c r="D14788" s="2" t="s">
        <v>324</v>
      </c>
      <c r="E14788" s="2" t="str">
        <f>"9781032003191"</f>
        <v>9781032003191</v>
      </c>
      <c r="F14788" s="2" t="str">
        <f>"9781000812336"</f>
        <v>9781000812336</v>
      </c>
    </row>
    <row r="14789" spans="1:6" s="3" customFormat="1" ht="29.1" customHeight="1" x14ac:dyDescent="0.25">
      <c r="A14789" s="2" t="s">
        <v>29552</v>
      </c>
      <c r="B14789" s="2" t="s">
        <v>29553</v>
      </c>
      <c r="C14789" s="2" t="s">
        <v>124</v>
      </c>
      <c r="D14789" s="2" t="s">
        <v>1155</v>
      </c>
      <c r="E14789" s="2" t="str">
        <f>"9780367617769"</f>
        <v>9780367617769</v>
      </c>
      <c r="F14789" s="2" t="str">
        <f>"9781000799545"</f>
        <v>9781000799545</v>
      </c>
    </row>
    <row r="14790" spans="1:6" s="3" customFormat="1" ht="29.1" customHeight="1" x14ac:dyDescent="0.25">
      <c r="A14790" s="2" t="s">
        <v>29554</v>
      </c>
      <c r="B14790" s="2" t="s">
        <v>29555</v>
      </c>
      <c r="C14790" s="2" t="s">
        <v>124</v>
      </c>
      <c r="D14790" s="2" t="s">
        <v>287</v>
      </c>
      <c r="E14790" s="2" t="str">
        <f>"9781032050102"</f>
        <v>9781032050102</v>
      </c>
      <c r="F14790" s="2" t="str">
        <f>"9781000782189"</f>
        <v>9781000782189</v>
      </c>
    </row>
    <row r="14791" spans="1:6" s="3" customFormat="1" ht="29.1" customHeight="1" x14ac:dyDescent="0.25">
      <c r="A14791" s="2" t="s">
        <v>29556</v>
      </c>
      <c r="B14791" s="2" t="s">
        <v>29557</v>
      </c>
      <c r="C14791" s="2" t="s">
        <v>595</v>
      </c>
      <c r="D14791" s="2" t="s">
        <v>2002</v>
      </c>
      <c r="E14791" s="2" t="str">
        <f>"9783631841679"</f>
        <v>9783631841679</v>
      </c>
      <c r="F14791" s="2" t="str">
        <f>"9783631887998"</f>
        <v>9783631887998</v>
      </c>
    </row>
    <row r="14792" spans="1:6" s="3" customFormat="1" ht="29.1" customHeight="1" x14ac:dyDescent="0.25">
      <c r="A14792" s="2" t="s">
        <v>29558</v>
      </c>
      <c r="B14792" s="2" t="s">
        <v>29559</v>
      </c>
      <c r="C14792" s="2" t="s">
        <v>3169</v>
      </c>
      <c r="D14792" s="2" t="s">
        <v>2199</v>
      </c>
      <c r="E14792" s="2" t="str">
        <f>"9781847013385"</f>
        <v>9781847013385</v>
      </c>
      <c r="F14792" s="2" t="str">
        <f>"9781800106581"</f>
        <v>9781800106581</v>
      </c>
    </row>
    <row r="14793" spans="1:6" s="3" customFormat="1" ht="29.1" customHeight="1" x14ac:dyDescent="0.25">
      <c r="A14793" s="2" t="s">
        <v>29560</v>
      </c>
      <c r="B14793" s="2" t="s">
        <v>29561</v>
      </c>
      <c r="C14793" s="2" t="s">
        <v>27396</v>
      </c>
      <c r="D14793" s="2" t="s">
        <v>5021</v>
      </c>
      <c r="E14793" s="2" t="str">
        <f>"9783161616068"</f>
        <v>9783161616068</v>
      </c>
      <c r="F14793" s="2" t="str">
        <f>"9783161616075"</f>
        <v>9783161616075</v>
      </c>
    </row>
    <row r="14794" spans="1:6" s="3" customFormat="1" ht="29.1" customHeight="1" x14ac:dyDescent="0.25">
      <c r="A14794" s="2" t="s">
        <v>29562</v>
      </c>
      <c r="B14794" s="2" t="s">
        <v>29563</v>
      </c>
      <c r="C14794" s="2" t="s">
        <v>195</v>
      </c>
      <c r="D14794" s="2" t="s">
        <v>462</v>
      </c>
      <c r="E14794" s="2" t="str">
        <f>"9783110773187"</f>
        <v>9783110773187</v>
      </c>
      <c r="F14794" s="2" t="str">
        <f>"9783110774986"</f>
        <v>9783110774986</v>
      </c>
    </row>
    <row r="14795" spans="1:6" s="3" customFormat="1" ht="29.1" customHeight="1" x14ac:dyDescent="0.25">
      <c r="A14795" s="2" t="s">
        <v>29562</v>
      </c>
      <c r="B14795" s="2" t="s">
        <v>29563</v>
      </c>
      <c r="C14795" s="2" t="s">
        <v>195</v>
      </c>
      <c r="D14795" s="2" t="s">
        <v>462</v>
      </c>
      <c r="E14795" s="2" t="str">
        <f>"9783110773194"</f>
        <v>9783110773194</v>
      </c>
      <c r="F14795" s="2" t="str">
        <f>"9783110775006"</f>
        <v>9783110775006</v>
      </c>
    </row>
    <row r="14796" spans="1:6" s="3" customFormat="1" ht="29.1" customHeight="1" x14ac:dyDescent="0.25">
      <c r="A14796" s="2" t="s">
        <v>29562</v>
      </c>
      <c r="B14796" s="2" t="s">
        <v>29563</v>
      </c>
      <c r="C14796" s="2" t="s">
        <v>195</v>
      </c>
      <c r="D14796" s="2" t="s">
        <v>462</v>
      </c>
      <c r="E14796" s="2" t="str">
        <f>"9783110772098"</f>
        <v>9783110772098</v>
      </c>
      <c r="F14796" s="2" t="str">
        <f>"9783110774993"</f>
        <v>9783110774993</v>
      </c>
    </row>
    <row r="14797" spans="1:6" s="3" customFormat="1" ht="29.1" customHeight="1" x14ac:dyDescent="0.25">
      <c r="A14797" s="2" t="s">
        <v>29564</v>
      </c>
      <c r="B14797" s="2" t="s">
        <v>29565</v>
      </c>
      <c r="C14797" s="2" t="s">
        <v>195</v>
      </c>
      <c r="D14797" s="2" t="s">
        <v>196</v>
      </c>
      <c r="E14797" s="2" t="str">
        <f>"9783110762396"</f>
        <v>9783110762396</v>
      </c>
      <c r="F14797" s="2" t="str">
        <f>"9783110765137"</f>
        <v>9783110765137</v>
      </c>
    </row>
    <row r="14798" spans="1:6" s="3" customFormat="1" ht="29.1" customHeight="1" x14ac:dyDescent="0.25">
      <c r="A14798" s="2" t="s">
        <v>29566</v>
      </c>
      <c r="B14798" s="2" t="s">
        <v>29567</v>
      </c>
      <c r="C14798" s="2" t="s">
        <v>195</v>
      </c>
      <c r="D14798" s="2" t="s">
        <v>1432</v>
      </c>
      <c r="E14798" s="2" t="str">
        <f>"9783110776126"</f>
        <v>9783110776126</v>
      </c>
      <c r="F14798" s="2" t="str">
        <f>"9783110777246"</f>
        <v>9783110777246</v>
      </c>
    </row>
    <row r="14799" spans="1:6" s="3" customFormat="1" ht="29.1" customHeight="1" x14ac:dyDescent="0.25">
      <c r="A14799" s="2" t="s">
        <v>29568</v>
      </c>
      <c r="B14799" s="2" t="s">
        <v>9887</v>
      </c>
      <c r="C14799" s="2" t="s">
        <v>195</v>
      </c>
      <c r="D14799" s="2" t="s">
        <v>2488</v>
      </c>
      <c r="E14799" s="2" t="str">
        <f>"9783110787146"</f>
        <v>9783110787146</v>
      </c>
      <c r="F14799" s="2" t="str">
        <f>"9783110787160"</f>
        <v>9783110787160</v>
      </c>
    </row>
    <row r="14800" spans="1:6" s="3" customFormat="1" ht="29.1" customHeight="1" x14ac:dyDescent="0.25">
      <c r="A14800" s="2" t="s">
        <v>29569</v>
      </c>
      <c r="B14800" s="2" t="s">
        <v>29570</v>
      </c>
      <c r="C14800" s="2" t="s">
        <v>195</v>
      </c>
      <c r="D14800" s="2" t="s">
        <v>2713</v>
      </c>
      <c r="E14800" s="2" t="str">
        <f>"9783110774283"</f>
        <v>9783110774283</v>
      </c>
      <c r="F14800" s="2" t="str">
        <f>"9783110774375"</f>
        <v>9783110774375</v>
      </c>
    </row>
    <row r="14801" spans="1:6" s="3" customFormat="1" ht="29.1" customHeight="1" x14ac:dyDescent="0.25">
      <c r="A14801" s="2" t="s">
        <v>29571</v>
      </c>
      <c r="B14801" s="2" t="s">
        <v>29572</v>
      </c>
      <c r="C14801" s="2" t="s">
        <v>195</v>
      </c>
      <c r="D14801" s="2" t="s">
        <v>240</v>
      </c>
      <c r="E14801" s="2" t="str">
        <f>"9783110717204"</f>
        <v>9783110717204</v>
      </c>
      <c r="F14801" s="2" t="str">
        <f>"9783110718447"</f>
        <v>9783110718447</v>
      </c>
    </row>
    <row r="14802" spans="1:6" s="3" customFormat="1" ht="29.1" customHeight="1" x14ac:dyDescent="0.25">
      <c r="A14802" s="2" t="s">
        <v>29573</v>
      </c>
      <c r="B14802" s="2" t="s">
        <v>29574</v>
      </c>
      <c r="C14802" s="2" t="s">
        <v>195</v>
      </c>
      <c r="D14802" s="2" t="s">
        <v>2513</v>
      </c>
      <c r="E14802" s="2" t="str">
        <f>"9783035622515"</f>
        <v>9783035622515</v>
      </c>
      <c r="F14802" s="2" t="str">
        <f>"9783035622522"</f>
        <v>9783035622522</v>
      </c>
    </row>
    <row r="14803" spans="1:6" s="3" customFormat="1" ht="29.1" customHeight="1" x14ac:dyDescent="0.25">
      <c r="A14803" s="2" t="s">
        <v>29575</v>
      </c>
      <c r="B14803" s="2" t="s">
        <v>29576</v>
      </c>
      <c r="C14803" s="2" t="s">
        <v>3248</v>
      </c>
      <c r="D14803" s="2" t="s">
        <v>2237</v>
      </c>
      <c r="E14803" s="2" t="str">
        <f>"9781978834323"</f>
        <v>9781978834323</v>
      </c>
      <c r="F14803" s="2" t="str">
        <f>"9781978834354"</f>
        <v>9781978834354</v>
      </c>
    </row>
    <row r="14804" spans="1:6" s="3" customFormat="1" ht="29.1" customHeight="1" x14ac:dyDescent="0.25">
      <c r="A14804" s="2" t="s">
        <v>29577</v>
      </c>
      <c r="B14804" s="2" t="s">
        <v>29578</v>
      </c>
      <c r="C14804" s="2" t="s">
        <v>3248</v>
      </c>
      <c r="D14804" s="2" t="s">
        <v>9</v>
      </c>
      <c r="E14804" s="2" t="str">
        <f>"9781644532959"</f>
        <v>9781644532959</v>
      </c>
      <c r="F14804" s="2" t="str">
        <f>"9781644532980"</f>
        <v>9781644532980</v>
      </c>
    </row>
    <row r="14805" spans="1:6" s="3" customFormat="1" ht="29.1" customHeight="1" x14ac:dyDescent="0.25">
      <c r="A14805" s="2" t="s">
        <v>29579</v>
      </c>
      <c r="B14805" s="2" t="s">
        <v>29580</v>
      </c>
      <c r="C14805" s="2" t="s">
        <v>62</v>
      </c>
      <c r="D14805" s="2" t="s">
        <v>8091</v>
      </c>
      <c r="E14805" s="2" t="str">
        <f>"9783428186426"</f>
        <v>9783428186426</v>
      </c>
      <c r="F14805" s="2" t="str">
        <f>"9783428586424"</f>
        <v>9783428586424</v>
      </c>
    </row>
    <row r="14806" spans="1:6" s="3" customFormat="1" ht="29.1" customHeight="1" x14ac:dyDescent="0.25">
      <c r="A14806" s="2" t="s">
        <v>29581</v>
      </c>
      <c r="B14806" s="2" t="s">
        <v>29582</v>
      </c>
      <c r="C14806" s="2" t="s">
        <v>2133</v>
      </c>
      <c r="D14806" s="2" t="s">
        <v>92</v>
      </c>
      <c r="E14806" s="2" t="str">
        <f>"9781760465452"</f>
        <v>9781760465452</v>
      </c>
      <c r="F14806" s="2" t="str">
        <f>"9781760465469"</f>
        <v>9781760465469</v>
      </c>
    </row>
    <row r="14807" spans="1:6" s="3" customFormat="1" ht="29.1" customHeight="1" x14ac:dyDescent="0.25">
      <c r="A14807" s="2" t="s">
        <v>29583</v>
      </c>
      <c r="B14807" s="2" t="s">
        <v>29584</v>
      </c>
      <c r="C14807" s="2" t="s">
        <v>124</v>
      </c>
      <c r="D14807" s="2" t="s">
        <v>1127</v>
      </c>
      <c r="E14807" s="2" t="str">
        <f>"9781032117621"</f>
        <v>9781032117621</v>
      </c>
      <c r="F14807" s="2" t="str">
        <f>"9781000790405"</f>
        <v>9781000790405</v>
      </c>
    </row>
    <row r="14808" spans="1:6" s="3" customFormat="1" ht="29.1" customHeight="1" x14ac:dyDescent="0.25">
      <c r="A14808" s="2" t="s">
        <v>29585</v>
      </c>
      <c r="B14808" s="2" t="s">
        <v>29586</v>
      </c>
      <c r="C14808" s="2" t="s">
        <v>124</v>
      </c>
      <c r="D14808" s="2" t="s">
        <v>1104</v>
      </c>
      <c r="E14808" s="2" t="str">
        <f>"9781032043654"</f>
        <v>9781032043654</v>
      </c>
      <c r="F14808" s="2" t="str">
        <f>"9781000813555"</f>
        <v>9781000813555</v>
      </c>
    </row>
    <row r="14809" spans="1:6" s="3" customFormat="1" ht="29.1" customHeight="1" x14ac:dyDescent="0.25">
      <c r="A14809" s="2" t="s">
        <v>29587</v>
      </c>
      <c r="B14809" s="2" t="s">
        <v>29588</v>
      </c>
      <c r="C14809" s="2" t="s">
        <v>746</v>
      </c>
      <c r="D14809" s="2" t="s">
        <v>606</v>
      </c>
      <c r="E14809" s="2" t="str">
        <f>"9781803273822"</f>
        <v>9781803273822</v>
      </c>
      <c r="F14809" s="2" t="str">
        <f>"9781803273839"</f>
        <v>9781803273839</v>
      </c>
    </row>
    <row r="14810" spans="1:6" s="3" customFormat="1" ht="29.1" customHeight="1" x14ac:dyDescent="0.25">
      <c r="A14810" s="2" t="s">
        <v>29589</v>
      </c>
      <c r="B14810" s="2" t="s">
        <v>29590</v>
      </c>
      <c r="C14810" s="2" t="s">
        <v>124</v>
      </c>
      <c r="D14810" s="2" t="s">
        <v>353</v>
      </c>
      <c r="E14810" s="2" t="str">
        <f>"9781032197555"</f>
        <v>9781032197555</v>
      </c>
      <c r="F14810" s="2" t="str">
        <f>"9781000805543"</f>
        <v>9781000805543</v>
      </c>
    </row>
    <row r="14811" spans="1:6" s="3" customFormat="1" ht="29.1" customHeight="1" x14ac:dyDescent="0.25">
      <c r="A14811" s="2" t="s">
        <v>29591</v>
      </c>
      <c r="B14811" s="2" t="s">
        <v>29592</v>
      </c>
      <c r="C14811" s="2" t="s">
        <v>29</v>
      </c>
      <c r="D14811" s="2" t="s">
        <v>1432</v>
      </c>
      <c r="E14811" s="2" t="str">
        <f>"9789004499270"</f>
        <v>9789004499270</v>
      </c>
      <c r="F14811" s="2" t="str">
        <f>"9789004499287"</f>
        <v>9789004499287</v>
      </c>
    </row>
    <row r="14812" spans="1:6" s="3" customFormat="1" ht="29.1" customHeight="1" x14ac:dyDescent="0.25">
      <c r="A14812" s="2" t="s">
        <v>29593</v>
      </c>
      <c r="B14812" s="2" t="s">
        <v>29594</v>
      </c>
      <c r="C14812" s="2" t="s">
        <v>124</v>
      </c>
      <c r="D14812" s="2" t="s">
        <v>647</v>
      </c>
      <c r="E14812" s="2" t="str">
        <f>"9781032033648"</f>
        <v>9781032033648</v>
      </c>
      <c r="F14812" s="2" t="str">
        <f>"9781000817652"</f>
        <v>9781000817652</v>
      </c>
    </row>
    <row r="14813" spans="1:6" s="3" customFormat="1" ht="29.1" customHeight="1" x14ac:dyDescent="0.25">
      <c r="A14813" s="2" t="s">
        <v>29595</v>
      </c>
      <c r="B14813" s="2" t="s">
        <v>29596</v>
      </c>
      <c r="C14813" s="2" t="s">
        <v>124</v>
      </c>
      <c r="D14813" s="2" t="s">
        <v>33</v>
      </c>
      <c r="E14813" s="2" t="str">
        <f>"9781032211411"</f>
        <v>9781032211411</v>
      </c>
      <c r="F14813" s="2" t="str">
        <f>"9781000784121"</f>
        <v>9781000784121</v>
      </c>
    </row>
    <row r="14814" spans="1:6" s="3" customFormat="1" ht="29.1" customHeight="1" x14ac:dyDescent="0.25">
      <c r="A14814" s="2" t="s">
        <v>29597</v>
      </c>
      <c r="B14814" s="2" t="s">
        <v>29598</v>
      </c>
      <c r="C14814" s="2" t="s">
        <v>124</v>
      </c>
      <c r="D14814" s="2" t="s">
        <v>14507</v>
      </c>
      <c r="E14814" s="2" t="str">
        <f>"9781032201818"</f>
        <v>9781032201818</v>
      </c>
      <c r="F14814" s="2" t="str">
        <f>"9781000822540"</f>
        <v>9781000822540</v>
      </c>
    </row>
    <row r="14815" spans="1:6" s="3" customFormat="1" ht="29.1" customHeight="1" x14ac:dyDescent="0.25">
      <c r="A14815" s="2" t="s">
        <v>29599</v>
      </c>
      <c r="B14815" s="2" t="s">
        <v>29600</v>
      </c>
      <c r="C14815" s="2" t="s">
        <v>8104</v>
      </c>
      <c r="D14815" s="2" t="s">
        <v>858</v>
      </c>
      <c r="E14815" s="2" t="str">
        <f>"9781800738737"</f>
        <v>9781800738737</v>
      </c>
      <c r="F14815" s="2" t="str">
        <f>"9781800738744"</f>
        <v>9781800738744</v>
      </c>
    </row>
    <row r="14816" spans="1:6" s="3" customFormat="1" ht="29.1" customHeight="1" x14ac:dyDescent="0.25">
      <c r="A14816" s="2" t="s">
        <v>29601</v>
      </c>
      <c r="B14816" s="2" t="s">
        <v>29602</v>
      </c>
      <c r="C14816" s="2" t="s">
        <v>55</v>
      </c>
      <c r="D14816" s="2" t="s">
        <v>913</v>
      </c>
      <c r="E14816" s="2" t="str">
        <f>"9781526166166"</f>
        <v>9781526166166</v>
      </c>
      <c r="F14816" s="2" t="str">
        <f>"9781526166173"</f>
        <v>9781526166173</v>
      </c>
    </row>
    <row r="14817" spans="1:6" s="3" customFormat="1" ht="29.1" customHeight="1" x14ac:dyDescent="0.25">
      <c r="A14817" s="2" t="s">
        <v>29603</v>
      </c>
      <c r="B14817" s="2" t="s">
        <v>29604</v>
      </c>
      <c r="C14817" s="2" t="s">
        <v>3248</v>
      </c>
      <c r="D14817" s="2" t="s">
        <v>297</v>
      </c>
      <c r="E14817" s="2" t="str">
        <f>"9781978830400"</f>
        <v>9781978830400</v>
      </c>
      <c r="F14817" s="2" t="str">
        <f>"9781978830431"</f>
        <v>9781978830431</v>
      </c>
    </row>
    <row r="14818" spans="1:6" s="3" customFormat="1" ht="29.1" customHeight="1" x14ac:dyDescent="0.25">
      <c r="A14818" s="2" t="s">
        <v>29605</v>
      </c>
      <c r="B14818" s="2" t="s">
        <v>29606</v>
      </c>
      <c r="C14818" s="2" t="s">
        <v>195</v>
      </c>
      <c r="D14818" s="2" t="s">
        <v>402</v>
      </c>
      <c r="E14818" s="2" t="str">
        <f>"9783110784664"</f>
        <v>9783110784664</v>
      </c>
      <c r="F14818" s="2" t="str">
        <f>"9783110784985"</f>
        <v>9783110784985</v>
      </c>
    </row>
    <row r="14819" spans="1:6" s="3" customFormat="1" ht="29.1" customHeight="1" x14ac:dyDescent="0.25">
      <c r="A14819" s="2" t="s">
        <v>29607</v>
      </c>
      <c r="B14819" s="2" t="s">
        <v>29608</v>
      </c>
      <c r="C14819" s="2" t="s">
        <v>195</v>
      </c>
      <c r="D14819" s="2" t="s">
        <v>465</v>
      </c>
      <c r="E14819" s="2" t="str">
        <f>"9783110788396"</f>
        <v>9783110788396</v>
      </c>
      <c r="F14819" s="2" t="str">
        <f>"9783110788419"</f>
        <v>9783110788419</v>
      </c>
    </row>
    <row r="14820" spans="1:6" s="3" customFormat="1" ht="29.1" customHeight="1" x14ac:dyDescent="0.25">
      <c r="A14820" s="2" t="s">
        <v>29609</v>
      </c>
      <c r="B14820" s="2" t="s">
        <v>29610</v>
      </c>
      <c r="C14820" s="2" t="s">
        <v>195</v>
      </c>
      <c r="D14820" s="2" t="s">
        <v>1466</v>
      </c>
      <c r="E14820" s="2" t="str">
        <f>"9783110790085"</f>
        <v>9783110790085</v>
      </c>
      <c r="F14820" s="2" t="str">
        <f>"9783110969016"</f>
        <v>9783110969016</v>
      </c>
    </row>
    <row r="14821" spans="1:6" s="3" customFormat="1" ht="29.1" customHeight="1" x14ac:dyDescent="0.25">
      <c r="A14821" s="2" t="s">
        <v>29611</v>
      </c>
      <c r="B14821" s="2" t="s">
        <v>29612</v>
      </c>
      <c r="C14821" s="2" t="s">
        <v>195</v>
      </c>
      <c r="D14821" s="2" t="s">
        <v>446</v>
      </c>
      <c r="E14821" s="2" t="str">
        <f>"9783110738100"</f>
        <v>9783110738100</v>
      </c>
      <c r="F14821" s="2" t="str">
        <f>"9783110733235"</f>
        <v>9783110733235</v>
      </c>
    </row>
    <row r="14822" spans="1:6" s="3" customFormat="1" ht="29.1" customHeight="1" x14ac:dyDescent="0.25">
      <c r="A14822" s="2" t="s">
        <v>29613</v>
      </c>
      <c r="B14822" s="2" t="s">
        <v>29614</v>
      </c>
      <c r="C14822" s="2" t="s">
        <v>124</v>
      </c>
      <c r="D14822" s="2" t="s">
        <v>1861</v>
      </c>
      <c r="E14822" s="2" t="str">
        <f>"9781032198651"</f>
        <v>9781032198651</v>
      </c>
      <c r="F14822" s="2" t="str">
        <f>"9781000802542"</f>
        <v>9781000802542</v>
      </c>
    </row>
    <row r="14823" spans="1:6" s="3" customFormat="1" ht="29.1" customHeight="1" x14ac:dyDescent="0.25">
      <c r="A14823" s="2" t="s">
        <v>29615</v>
      </c>
      <c r="B14823" s="2" t="s">
        <v>29616</v>
      </c>
      <c r="C14823" s="2" t="s">
        <v>124</v>
      </c>
      <c r="D14823" s="2" t="s">
        <v>183</v>
      </c>
      <c r="E14823" s="2" t="str">
        <f>"9781032285122"</f>
        <v>9781032285122</v>
      </c>
      <c r="F14823" s="2" t="str">
        <f>"9781000788839"</f>
        <v>9781000788839</v>
      </c>
    </row>
    <row r="14824" spans="1:6" s="3" customFormat="1" ht="29.1" customHeight="1" x14ac:dyDescent="0.25">
      <c r="A14824" s="2" t="s">
        <v>29617</v>
      </c>
      <c r="B14824" s="2" t="s">
        <v>29618</v>
      </c>
      <c r="C14824" s="2" t="s">
        <v>124</v>
      </c>
      <c r="D14824" s="2" t="s">
        <v>334</v>
      </c>
      <c r="E14824" s="2" t="str">
        <f>"9781032025414"</f>
        <v>9781032025414</v>
      </c>
      <c r="F14824" s="2" t="str">
        <f>"9781000686487"</f>
        <v>9781000686487</v>
      </c>
    </row>
    <row r="14825" spans="1:6" s="3" customFormat="1" ht="29.1" customHeight="1" x14ac:dyDescent="0.25">
      <c r="A14825" s="2" t="s">
        <v>29619</v>
      </c>
      <c r="B14825" s="2" t="s">
        <v>29620</v>
      </c>
      <c r="C14825" s="2" t="s">
        <v>124</v>
      </c>
      <c r="D14825" s="2" t="s">
        <v>10410</v>
      </c>
      <c r="E14825" s="2" t="str">
        <f>"9781032320922"</f>
        <v>9781032320922</v>
      </c>
      <c r="F14825" s="2" t="str">
        <f>"9781000804966"</f>
        <v>9781000804966</v>
      </c>
    </row>
    <row r="14826" spans="1:6" s="3" customFormat="1" ht="29.1" customHeight="1" x14ac:dyDescent="0.25">
      <c r="A14826" s="2" t="s">
        <v>29621</v>
      </c>
      <c r="B14826" s="2" t="s">
        <v>29622</v>
      </c>
      <c r="C14826" s="2" t="s">
        <v>124</v>
      </c>
      <c r="D14826" s="2" t="s">
        <v>334</v>
      </c>
      <c r="E14826" s="2" t="str">
        <f>"9781032221168"</f>
        <v>9781032221168</v>
      </c>
      <c r="F14826" s="2" t="str">
        <f>"9781000802023"</f>
        <v>9781000802023</v>
      </c>
    </row>
    <row r="14827" spans="1:6" s="3" customFormat="1" ht="29.1" customHeight="1" x14ac:dyDescent="0.25">
      <c r="A14827" s="2" t="s">
        <v>29623</v>
      </c>
      <c r="B14827" s="2" t="s">
        <v>29624</v>
      </c>
      <c r="C14827" s="2" t="s">
        <v>124</v>
      </c>
      <c r="D14827" s="2" t="s">
        <v>5716</v>
      </c>
      <c r="E14827" s="2" t="str">
        <f>"9781032225791"</f>
        <v>9781032225791</v>
      </c>
      <c r="F14827" s="2" t="str">
        <f>"9781000776225"</f>
        <v>9781000776225</v>
      </c>
    </row>
    <row r="14828" spans="1:6" s="3" customFormat="1" ht="29.1" customHeight="1" x14ac:dyDescent="0.25">
      <c r="A14828" s="2" t="s">
        <v>29625</v>
      </c>
      <c r="B14828" s="2" t="s">
        <v>29626</v>
      </c>
      <c r="C14828" s="2" t="s">
        <v>927</v>
      </c>
      <c r="D14828" s="2" t="s">
        <v>270</v>
      </c>
      <c r="E14828" s="2" t="str">
        <f>"9780472055517"</f>
        <v>9780472055517</v>
      </c>
      <c r="F14828" s="2" t="str">
        <f>"9780472902897"</f>
        <v>9780472902897</v>
      </c>
    </row>
    <row r="14829" spans="1:6" s="3" customFormat="1" ht="29.1" customHeight="1" x14ac:dyDescent="0.25">
      <c r="A14829" s="2" t="s">
        <v>29627</v>
      </c>
      <c r="B14829" s="2" t="s">
        <v>29628</v>
      </c>
      <c r="C14829" s="2" t="s">
        <v>327</v>
      </c>
      <c r="D14829" s="2" t="s">
        <v>459</v>
      </c>
      <c r="E14829" s="2" t="str">
        <f>"9788382208795"</f>
        <v>9788382208795</v>
      </c>
      <c r="F14829" s="2" t="str">
        <f>"9788382208801"</f>
        <v>9788382208801</v>
      </c>
    </row>
    <row r="14830" spans="1:6" s="3" customFormat="1" ht="29.1" customHeight="1" x14ac:dyDescent="0.25">
      <c r="A14830" s="2" t="s">
        <v>29629</v>
      </c>
      <c r="B14830" s="2" t="s">
        <v>5084</v>
      </c>
      <c r="C14830" s="2" t="s">
        <v>327</v>
      </c>
      <c r="D14830" s="2" t="s">
        <v>186</v>
      </c>
      <c r="E14830" s="2"/>
      <c r="F14830" s="2" t="str">
        <f>"9788382208375"</f>
        <v>9788382208375</v>
      </c>
    </row>
    <row r="14831" spans="1:6" s="3" customFormat="1" ht="29.1" customHeight="1" x14ac:dyDescent="0.25">
      <c r="A14831" s="2" t="s">
        <v>29630</v>
      </c>
      <c r="B14831" s="2" t="s">
        <v>29631</v>
      </c>
      <c r="C14831" s="2" t="s">
        <v>327</v>
      </c>
      <c r="D14831" s="2" t="s">
        <v>2168</v>
      </c>
      <c r="E14831" s="2" t="str">
        <f>"9788382208382"</f>
        <v>9788382208382</v>
      </c>
      <c r="F14831" s="2" t="str">
        <f>"9788382208399"</f>
        <v>9788382208399</v>
      </c>
    </row>
    <row r="14832" spans="1:6" s="3" customFormat="1" ht="29.1" customHeight="1" x14ac:dyDescent="0.25">
      <c r="A14832" s="2" t="s">
        <v>29632</v>
      </c>
      <c r="B14832" s="2" t="s">
        <v>29633</v>
      </c>
      <c r="C14832" s="2" t="s">
        <v>327</v>
      </c>
      <c r="D14832" s="2" t="s">
        <v>1864</v>
      </c>
      <c r="E14832" s="2" t="str">
        <f>"9788382208023"</f>
        <v>9788382208023</v>
      </c>
      <c r="F14832" s="2" t="str">
        <f>"9788382208030"</f>
        <v>9788382208030</v>
      </c>
    </row>
    <row r="14833" spans="1:6" s="3" customFormat="1" ht="29.1" customHeight="1" x14ac:dyDescent="0.25">
      <c r="A14833" s="2" t="s">
        <v>29634</v>
      </c>
      <c r="B14833" s="2" t="s">
        <v>29635</v>
      </c>
      <c r="C14833" s="2" t="s">
        <v>327</v>
      </c>
      <c r="D14833" s="2" t="s">
        <v>512</v>
      </c>
      <c r="E14833" s="2" t="str">
        <f>"9788382205008"</f>
        <v>9788382205008</v>
      </c>
      <c r="F14833" s="2" t="str">
        <f>"9788382205015"</f>
        <v>9788382205015</v>
      </c>
    </row>
    <row r="14834" spans="1:6" s="3" customFormat="1" ht="29.1" customHeight="1" x14ac:dyDescent="0.25">
      <c r="A14834" s="2" t="s">
        <v>29636</v>
      </c>
      <c r="B14834" s="2" t="s">
        <v>29637</v>
      </c>
      <c r="C14834" s="2" t="s">
        <v>124</v>
      </c>
      <c r="D14834" s="2" t="s">
        <v>9395</v>
      </c>
      <c r="E14834" s="2" t="str">
        <f>"9781032005089"</f>
        <v>9781032005089</v>
      </c>
      <c r="F14834" s="2" t="str">
        <f>"9781000802535"</f>
        <v>9781000802535</v>
      </c>
    </row>
    <row r="14835" spans="1:6" s="3" customFormat="1" ht="29.1" customHeight="1" x14ac:dyDescent="0.25">
      <c r="A14835" s="2" t="s">
        <v>29638</v>
      </c>
      <c r="B14835" s="2" t="s">
        <v>29639</v>
      </c>
      <c r="C14835" s="2" t="s">
        <v>29</v>
      </c>
      <c r="D14835" s="2" t="s">
        <v>7702</v>
      </c>
      <c r="E14835" s="2" t="str">
        <f>"9789004524811"</f>
        <v>9789004524811</v>
      </c>
      <c r="F14835" s="2" t="str">
        <f>"9789004524804"</f>
        <v>9789004524804</v>
      </c>
    </row>
    <row r="14836" spans="1:6" s="3" customFormat="1" ht="29.1" customHeight="1" x14ac:dyDescent="0.25">
      <c r="A14836" s="2" t="s">
        <v>29640</v>
      </c>
      <c r="B14836" s="2" t="s">
        <v>29641</v>
      </c>
      <c r="C14836" s="2" t="s">
        <v>8104</v>
      </c>
      <c r="D14836" s="2" t="s">
        <v>56</v>
      </c>
      <c r="E14836" s="2" t="str">
        <f>"9781800739567"</f>
        <v>9781800739567</v>
      </c>
      <c r="F14836" s="2" t="str">
        <f>"9781800739574"</f>
        <v>9781800739574</v>
      </c>
    </row>
    <row r="14837" spans="1:6" s="3" customFormat="1" ht="29.1" customHeight="1" x14ac:dyDescent="0.25">
      <c r="A14837" s="2" t="s">
        <v>29642</v>
      </c>
      <c r="B14837" s="2" t="s">
        <v>29643</v>
      </c>
      <c r="C14837" s="2" t="s">
        <v>8104</v>
      </c>
      <c r="D14837" s="2" t="s">
        <v>1183</v>
      </c>
      <c r="E14837" s="2" t="str">
        <f>"9781800739581"</f>
        <v>9781800739581</v>
      </c>
      <c r="F14837" s="2" t="str">
        <f>"9781800739598"</f>
        <v>9781800739598</v>
      </c>
    </row>
    <row r="14838" spans="1:6" s="3" customFormat="1" ht="29.1" customHeight="1" x14ac:dyDescent="0.25">
      <c r="A14838" s="2" t="s">
        <v>29644</v>
      </c>
      <c r="B14838" s="2" t="s">
        <v>29645</v>
      </c>
      <c r="C14838" s="2" t="s">
        <v>27396</v>
      </c>
      <c r="D14838" s="2" t="s">
        <v>1944</v>
      </c>
      <c r="E14838" s="2" t="str">
        <f>"9783161618833"</f>
        <v>9783161618833</v>
      </c>
      <c r="F14838" s="2" t="str">
        <f>"9783161618840"</f>
        <v>9783161618840</v>
      </c>
    </row>
    <row r="14839" spans="1:6" s="3" customFormat="1" ht="29.1" customHeight="1" x14ac:dyDescent="0.25">
      <c r="A14839" s="2" t="s">
        <v>29646</v>
      </c>
      <c r="B14839" s="2" t="s">
        <v>29647</v>
      </c>
      <c r="C14839" s="2" t="s">
        <v>27396</v>
      </c>
      <c r="D14839" s="2" t="s">
        <v>2551</v>
      </c>
      <c r="E14839" s="2" t="str">
        <f>"9783161616440"</f>
        <v>9783161616440</v>
      </c>
      <c r="F14839" s="2" t="str">
        <f>"9783161618925"</f>
        <v>9783161618925</v>
      </c>
    </row>
    <row r="14840" spans="1:6" s="3" customFormat="1" ht="29.1" customHeight="1" x14ac:dyDescent="0.25">
      <c r="A14840" s="2" t="s">
        <v>29648</v>
      </c>
      <c r="B14840" s="2" t="s">
        <v>29650</v>
      </c>
      <c r="C14840" s="2" t="s">
        <v>8449</v>
      </c>
      <c r="D14840" s="2" t="s">
        <v>29649</v>
      </c>
      <c r="E14840" s="2" t="str">
        <f>"9780821424957"</f>
        <v>9780821424957</v>
      </c>
      <c r="F14840" s="2" t="str">
        <f>"9780821447819"</f>
        <v>9780821447819</v>
      </c>
    </row>
    <row r="14841" spans="1:6" s="3" customFormat="1" ht="29.1" customHeight="1" x14ac:dyDescent="0.25">
      <c r="A14841" s="2" t="s">
        <v>29651</v>
      </c>
      <c r="B14841" s="2" t="s">
        <v>29652</v>
      </c>
      <c r="C14841" s="2" t="s">
        <v>124</v>
      </c>
      <c r="D14841" s="2" t="s">
        <v>270</v>
      </c>
      <c r="E14841" s="2" t="str">
        <f>"9780367763916"</f>
        <v>9780367763916</v>
      </c>
      <c r="F14841" s="2" t="str">
        <f>"9781000780048"</f>
        <v>9781000780048</v>
      </c>
    </row>
    <row r="14842" spans="1:6" s="3" customFormat="1" ht="29.1" customHeight="1" x14ac:dyDescent="0.25">
      <c r="A14842" s="2" t="s">
        <v>29653</v>
      </c>
      <c r="B14842" s="2" t="s">
        <v>29655</v>
      </c>
      <c r="C14842" s="2" t="s">
        <v>124</v>
      </c>
      <c r="D14842" s="2" t="s">
        <v>29654</v>
      </c>
      <c r="E14842" s="2" t="str">
        <f>"9780367473662"</f>
        <v>9780367473662</v>
      </c>
      <c r="F14842" s="2" t="str">
        <f>"9781000803594"</f>
        <v>9781000803594</v>
      </c>
    </row>
    <row r="14843" spans="1:6" s="3" customFormat="1" ht="29.1" customHeight="1" x14ac:dyDescent="0.25">
      <c r="A14843" s="2" t="s">
        <v>29656</v>
      </c>
      <c r="B14843" s="2" t="s">
        <v>29657</v>
      </c>
      <c r="C14843" s="2" t="s">
        <v>124</v>
      </c>
      <c r="D14843" s="2" t="s">
        <v>56</v>
      </c>
      <c r="E14843" s="2" t="str">
        <f>"9780367726430"</f>
        <v>9780367726430</v>
      </c>
      <c r="F14843" s="2" t="str">
        <f>"9781000790085"</f>
        <v>9781000790085</v>
      </c>
    </row>
    <row r="14844" spans="1:6" s="3" customFormat="1" ht="29.1" customHeight="1" x14ac:dyDescent="0.25">
      <c r="A14844" s="2" t="s">
        <v>29658</v>
      </c>
      <c r="B14844" s="2" t="s">
        <v>29659</v>
      </c>
      <c r="C14844" s="2" t="s">
        <v>124</v>
      </c>
      <c r="D14844" s="2" t="s">
        <v>1127</v>
      </c>
      <c r="E14844" s="2" t="str">
        <f>"9780367258603"</f>
        <v>9780367258603</v>
      </c>
      <c r="F14844" s="2" t="str">
        <f>"9780429290237"</f>
        <v>9780429290237</v>
      </c>
    </row>
    <row r="14845" spans="1:6" s="3" customFormat="1" ht="29.1" customHeight="1" x14ac:dyDescent="0.25">
      <c r="A14845" s="2" t="s">
        <v>29660</v>
      </c>
      <c r="B14845" s="2" t="s">
        <v>29661</v>
      </c>
      <c r="C14845" s="2" t="s">
        <v>124</v>
      </c>
      <c r="D14845" s="2" t="s">
        <v>4019</v>
      </c>
      <c r="E14845" s="2" t="str">
        <f>"9781032055121"</f>
        <v>9781032055121</v>
      </c>
      <c r="F14845" s="2" t="str">
        <f>"9781000787177"</f>
        <v>9781000787177</v>
      </c>
    </row>
    <row r="14846" spans="1:6" s="3" customFormat="1" ht="29.1" customHeight="1" x14ac:dyDescent="0.25">
      <c r="A14846" s="2" t="s">
        <v>29662</v>
      </c>
      <c r="B14846" s="2" t="s">
        <v>29664</v>
      </c>
      <c r="C14846" s="2" t="s">
        <v>327</v>
      </c>
      <c r="D14846" s="2" t="s">
        <v>29663</v>
      </c>
      <c r="E14846" s="2" t="str">
        <f>"9788381425254"</f>
        <v>9788381425254</v>
      </c>
      <c r="F14846" s="2" t="str">
        <f>"9788381425261"</f>
        <v>9788381425261</v>
      </c>
    </row>
    <row r="14847" spans="1:6" s="3" customFormat="1" ht="29.1" customHeight="1" x14ac:dyDescent="0.25">
      <c r="A14847" s="2" t="s">
        <v>29665</v>
      </c>
      <c r="B14847" s="2" t="s">
        <v>29666</v>
      </c>
      <c r="C14847" s="2" t="s">
        <v>327</v>
      </c>
      <c r="D14847" s="2" t="s">
        <v>2048</v>
      </c>
      <c r="E14847" s="2" t="str">
        <f>"9788380886575"</f>
        <v>9788380886575</v>
      </c>
      <c r="F14847" s="2" t="str">
        <f>"9788380886582"</f>
        <v>9788380886582</v>
      </c>
    </row>
    <row r="14848" spans="1:6" s="3" customFormat="1" ht="29.1" customHeight="1" x14ac:dyDescent="0.25">
      <c r="A14848" s="2" t="s">
        <v>29667</v>
      </c>
      <c r="B14848" s="2" t="s">
        <v>29668</v>
      </c>
      <c r="C14848" s="2" t="s">
        <v>327</v>
      </c>
      <c r="D14848" s="2" t="s">
        <v>9</v>
      </c>
      <c r="E14848" s="2" t="str">
        <f>"9788383310107"</f>
        <v>9788383310107</v>
      </c>
      <c r="F14848" s="2" t="str">
        <f>"9788383310114"</f>
        <v>9788383310114</v>
      </c>
    </row>
    <row r="14849" spans="1:6" s="3" customFormat="1" ht="29.1" customHeight="1" x14ac:dyDescent="0.25">
      <c r="A14849" s="2" t="s">
        <v>29669</v>
      </c>
      <c r="B14849" s="2" t="s">
        <v>29670</v>
      </c>
      <c r="C14849" s="2" t="s">
        <v>327</v>
      </c>
      <c r="D14849" s="2" t="s">
        <v>1248</v>
      </c>
      <c r="E14849" s="2" t="str">
        <f>"9788382208405"</f>
        <v>9788382208405</v>
      </c>
      <c r="F14849" s="2" t="str">
        <f>"9788382208412"</f>
        <v>9788382208412</v>
      </c>
    </row>
    <row r="14850" spans="1:6" s="3" customFormat="1" ht="29.1" customHeight="1" x14ac:dyDescent="0.25">
      <c r="A14850" s="2" t="s">
        <v>29671</v>
      </c>
      <c r="B14850" s="2" t="s">
        <v>29672</v>
      </c>
      <c r="C14850" s="2" t="s">
        <v>327</v>
      </c>
      <c r="D14850" s="2" t="s">
        <v>15336</v>
      </c>
      <c r="E14850" s="2" t="str">
        <f>"9788382209310"</f>
        <v>9788382209310</v>
      </c>
      <c r="F14850" s="2" t="str">
        <f>"9788382209327"</f>
        <v>9788382209327</v>
      </c>
    </row>
    <row r="14851" spans="1:6" s="3" customFormat="1" ht="29.1" customHeight="1" x14ac:dyDescent="0.25">
      <c r="A14851" s="2" t="s">
        <v>29673</v>
      </c>
      <c r="B14851" s="2" t="s">
        <v>29674</v>
      </c>
      <c r="C14851" s="2" t="s">
        <v>327</v>
      </c>
      <c r="D14851" s="2" t="s">
        <v>636</v>
      </c>
      <c r="E14851" s="2" t="str">
        <f>"9788382208689"</f>
        <v>9788382208689</v>
      </c>
      <c r="F14851" s="2" t="str">
        <f>"9788382208696"</f>
        <v>9788382208696</v>
      </c>
    </row>
    <row r="14852" spans="1:6" s="3" customFormat="1" ht="29.1" customHeight="1" x14ac:dyDescent="0.25">
      <c r="A14852" s="2" t="s">
        <v>29675</v>
      </c>
      <c r="B14852" s="2" t="s">
        <v>29676</v>
      </c>
      <c r="C14852" s="2" t="s">
        <v>595</v>
      </c>
      <c r="D14852" s="2" t="s">
        <v>207</v>
      </c>
      <c r="E14852" s="2" t="str">
        <f>"9782875747150"</f>
        <v>9782875747150</v>
      </c>
      <c r="F14852" s="2" t="str">
        <f>"9782875747167"</f>
        <v>9782875747167</v>
      </c>
    </row>
    <row r="14853" spans="1:6" s="3" customFormat="1" ht="29.1" customHeight="1" x14ac:dyDescent="0.25">
      <c r="A14853" s="2" t="s">
        <v>29677</v>
      </c>
      <c r="B14853" s="2" t="s">
        <v>17252</v>
      </c>
      <c r="C14853" s="2" t="s">
        <v>595</v>
      </c>
      <c r="D14853" s="2" t="s">
        <v>4517</v>
      </c>
      <c r="E14853" s="2" t="str">
        <f>"9783034344760"</f>
        <v>9783034344760</v>
      </c>
      <c r="F14853" s="2" t="str">
        <f>"9783034345347"</f>
        <v>9783034345347</v>
      </c>
    </row>
    <row r="14854" spans="1:6" s="3" customFormat="1" ht="29.1" customHeight="1" x14ac:dyDescent="0.25">
      <c r="A14854" s="2" t="s">
        <v>29678</v>
      </c>
      <c r="B14854" s="2" t="s">
        <v>29679</v>
      </c>
      <c r="C14854" s="2" t="s">
        <v>3513</v>
      </c>
      <c r="D14854" s="2" t="s">
        <v>1585</v>
      </c>
      <c r="E14854" s="2" t="str">
        <f>"9788382111361"</f>
        <v>9788382111361</v>
      </c>
      <c r="F14854" s="2" t="str">
        <f>"9788382111378"</f>
        <v>9788382111378</v>
      </c>
    </row>
    <row r="14855" spans="1:6" s="3" customFormat="1" ht="29.1" customHeight="1" x14ac:dyDescent="0.25">
      <c r="A14855" s="2" t="s">
        <v>29680</v>
      </c>
      <c r="B14855" s="2" t="s">
        <v>29681</v>
      </c>
      <c r="C14855" s="2" t="s">
        <v>248</v>
      </c>
      <c r="D14855" s="2" t="s">
        <v>490</v>
      </c>
      <c r="E14855" s="2" t="str">
        <f>"9783847425915"</f>
        <v>9783847425915</v>
      </c>
      <c r="F14855" s="2" t="str">
        <f>"9783847417514"</f>
        <v>9783847417514</v>
      </c>
    </row>
    <row r="14856" spans="1:6" s="3" customFormat="1" ht="29.1" customHeight="1" x14ac:dyDescent="0.25">
      <c r="A14856" s="2" t="s">
        <v>29682</v>
      </c>
      <c r="B14856" s="2" t="s">
        <v>29683</v>
      </c>
      <c r="C14856" s="2" t="s">
        <v>248</v>
      </c>
      <c r="D14856" s="2" t="s">
        <v>836</v>
      </c>
      <c r="E14856" s="2" t="str">
        <f>"9783966650687"</f>
        <v>9783966650687</v>
      </c>
      <c r="F14856" s="2" t="str">
        <f>"9783966659277"</f>
        <v>9783966659277</v>
      </c>
    </row>
    <row r="14857" spans="1:6" s="3" customFormat="1" ht="29.1" customHeight="1" x14ac:dyDescent="0.25">
      <c r="A14857" s="2" t="s">
        <v>29684</v>
      </c>
      <c r="B14857" s="2" t="s">
        <v>29685</v>
      </c>
      <c r="C14857" s="2" t="s">
        <v>248</v>
      </c>
      <c r="D14857" s="2" t="s">
        <v>24</v>
      </c>
      <c r="E14857" s="2" t="str">
        <f>"9783847425588"</f>
        <v>9783847425588</v>
      </c>
      <c r="F14857" s="2" t="str">
        <f>"9783847417057"</f>
        <v>9783847417057</v>
      </c>
    </row>
    <row r="14858" spans="1:6" s="3" customFormat="1" ht="29.1" customHeight="1" x14ac:dyDescent="0.25">
      <c r="A14858" s="2" t="s">
        <v>29686</v>
      </c>
      <c r="B14858" s="2" t="s">
        <v>29687</v>
      </c>
      <c r="C14858" s="2" t="s">
        <v>248</v>
      </c>
      <c r="D14858" s="2" t="s">
        <v>855</v>
      </c>
      <c r="E14858" s="2" t="str">
        <f>"9783966650465"</f>
        <v>9783966650465</v>
      </c>
      <c r="F14858" s="2" t="str">
        <f>"9783966659529"</f>
        <v>9783966659529</v>
      </c>
    </row>
    <row r="14859" spans="1:6" s="3" customFormat="1" ht="29.1" customHeight="1" x14ac:dyDescent="0.25">
      <c r="A14859" s="2" t="s">
        <v>29688</v>
      </c>
      <c r="B14859" s="2" t="s">
        <v>29689</v>
      </c>
      <c r="C14859" s="2" t="s">
        <v>4104</v>
      </c>
      <c r="D14859" s="2" t="s">
        <v>462</v>
      </c>
      <c r="E14859" s="2" t="str">
        <f>"9781802077469"</f>
        <v>9781802077469</v>
      </c>
      <c r="F14859" s="2" t="str">
        <f>"9781802079135"</f>
        <v>9781802079135</v>
      </c>
    </row>
    <row r="14860" spans="1:6" s="3" customFormat="1" ht="29.1" customHeight="1" x14ac:dyDescent="0.25">
      <c r="A14860" s="2" t="s">
        <v>29690</v>
      </c>
      <c r="B14860" s="2" t="s">
        <v>29692</v>
      </c>
      <c r="C14860" s="2" t="s">
        <v>4104</v>
      </c>
      <c r="D14860" s="2" t="s">
        <v>29691</v>
      </c>
      <c r="E14860" s="2" t="str">
        <f>"9781800856141"</f>
        <v>9781800856141</v>
      </c>
      <c r="F14860" s="2" t="str">
        <f>"9781800855687"</f>
        <v>9781800855687</v>
      </c>
    </row>
    <row r="14861" spans="1:6" s="3" customFormat="1" ht="29.1" customHeight="1" x14ac:dyDescent="0.25">
      <c r="A14861" s="2" t="s">
        <v>29693</v>
      </c>
      <c r="B14861" s="2" t="s">
        <v>29694</v>
      </c>
      <c r="C14861" s="2" t="s">
        <v>195</v>
      </c>
      <c r="D14861" s="2" t="s">
        <v>462</v>
      </c>
      <c r="E14861" s="2" t="str">
        <f>"9783110994889"</f>
        <v>9783110994889</v>
      </c>
      <c r="F14861" s="2" t="str">
        <f>"9783110981421"</f>
        <v>9783110981421</v>
      </c>
    </row>
    <row r="14862" spans="1:6" s="3" customFormat="1" ht="29.1" customHeight="1" x14ac:dyDescent="0.25">
      <c r="A14862" s="2" t="s">
        <v>29695</v>
      </c>
      <c r="B14862" s="2" t="s">
        <v>29696</v>
      </c>
      <c r="C14862" s="2" t="s">
        <v>195</v>
      </c>
      <c r="D14862" s="2" t="s">
        <v>118</v>
      </c>
      <c r="E14862" s="2" t="str">
        <f>"9783110796469"</f>
        <v>9783110796469</v>
      </c>
      <c r="F14862" s="2" t="str">
        <f>"9783110796599"</f>
        <v>9783110796599</v>
      </c>
    </row>
    <row r="14863" spans="1:6" s="3" customFormat="1" ht="29.1" customHeight="1" x14ac:dyDescent="0.25">
      <c r="A14863" s="2" t="s">
        <v>29697</v>
      </c>
      <c r="B14863" s="2" t="s">
        <v>29698</v>
      </c>
      <c r="C14863" s="2" t="s">
        <v>195</v>
      </c>
      <c r="D14863" s="2" t="s">
        <v>1183</v>
      </c>
      <c r="E14863" s="2" t="str">
        <f>"9783110742305"</f>
        <v>9783110742305</v>
      </c>
      <c r="F14863" s="2" t="str">
        <f>"9783110746464"</f>
        <v>9783110746464</v>
      </c>
    </row>
    <row r="14864" spans="1:6" s="3" customFormat="1" ht="29.1" customHeight="1" x14ac:dyDescent="0.25">
      <c r="A14864" s="2" t="s">
        <v>29699</v>
      </c>
      <c r="B14864" s="2" t="s">
        <v>29700</v>
      </c>
      <c r="C14864" s="2" t="s">
        <v>195</v>
      </c>
      <c r="D14864" s="2" t="s">
        <v>33</v>
      </c>
      <c r="E14864" s="2" t="str">
        <f>"9783110741223"</f>
        <v>9783110741223</v>
      </c>
      <c r="F14864" s="2" t="str">
        <f>"9783110740301"</f>
        <v>9783110740301</v>
      </c>
    </row>
    <row r="14865" spans="1:6" s="3" customFormat="1" ht="29.1" customHeight="1" x14ac:dyDescent="0.25">
      <c r="A14865" s="2" t="s">
        <v>29701</v>
      </c>
      <c r="B14865" s="2" t="s">
        <v>29702</v>
      </c>
      <c r="C14865" s="2" t="s">
        <v>195</v>
      </c>
      <c r="D14865" s="2" t="s">
        <v>459</v>
      </c>
      <c r="E14865" s="2" t="str">
        <f>"9783110781885"</f>
        <v>9783110781885</v>
      </c>
      <c r="F14865" s="2" t="str">
        <f>"9783110781915"</f>
        <v>9783110781915</v>
      </c>
    </row>
    <row r="14866" spans="1:6" s="3" customFormat="1" ht="29.1" customHeight="1" x14ac:dyDescent="0.25">
      <c r="A14866" s="2" t="s">
        <v>29703</v>
      </c>
      <c r="B14866" s="2" t="s">
        <v>29704</v>
      </c>
      <c r="C14866" s="2" t="s">
        <v>195</v>
      </c>
      <c r="D14866" s="2" t="s">
        <v>522</v>
      </c>
      <c r="E14866" s="2" t="str">
        <f>"9783110737066"</f>
        <v>9783110737066</v>
      </c>
      <c r="F14866" s="2" t="str">
        <f>"9783110732122"</f>
        <v>9783110732122</v>
      </c>
    </row>
    <row r="14867" spans="1:6" s="3" customFormat="1" ht="29.1" customHeight="1" x14ac:dyDescent="0.25">
      <c r="A14867" s="2" t="s">
        <v>29705</v>
      </c>
      <c r="B14867" s="2" t="s">
        <v>29706</v>
      </c>
      <c r="C14867" s="2" t="s">
        <v>3154</v>
      </c>
      <c r="D14867" s="2" t="s">
        <v>7589</v>
      </c>
      <c r="E14867" s="2" t="str">
        <f>"9789523690721"</f>
        <v>9789523690721</v>
      </c>
      <c r="F14867" s="2" t="str">
        <f>"9789523690738"</f>
        <v>9789523690738</v>
      </c>
    </row>
    <row r="14868" spans="1:6" s="3" customFormat="1" ht="29.1" customHeight="1" x14ac:dyDescent="0.25">
      <c r="A14868" s="2" t="s">
        <v>29707</v>
      </c>
      <c r="B14868" s="2" t="s">
        <v>29708</v>
      </c>
      <c r="C14868" s="2" t="s">
        <v>3154</v>
      </c>
      <c r="D14868" s="2" t="s">
        <v>636</v>
      </c>
      <c r="E14868" s="2" t="str">
        <f>"9789523690769"</f>
        <v>9789523690769</v>
      </c>
      <c r="F14868" s="2" t="str">
        <f>"9789523690776"</f>
        <v>9789523690776</v>
      </c>
    </row>
    <row r="14869" spans="1:6" s="3" customFormat="1" ht="29.1" customHeight="1" x14ac:dyDescent="0.25">
      <c r="A14869" s="2" t="s">
        <v>29709</v>
      </c>
      <c r="B14869" s="2" t="s">
        <v>29710</v>
      </c>
      <c r="C14869" s="2" t="s">
        <v>3154</v>
      </c>
      <c r="D14869" s="2" t="s">
        <v>183</v>
      </c>
      <c r="E14869" s="2" t="str">
        <f>"9789523690660"</f>
        <v>9789523690660</v>
      </c>
      <c r="F14869" s="2" t="str">
        <f>"9789523690677"</f>
        <v>9789523690677</v>
      </c>
    </row>
    <row r="14870" spans="1:6" s="3" customFormat="1" ht="29.1" customHeight="1" x14ac:dyDescent="0.25">
      <c r="A14870" s="2" t="s">
        <v>29711</v>
      </c>
      <c r="B14870" s="2" t="s">
        <v>29712</v>
      </c>
      <c r="C14870" s="2" t="s">
        <v>3154</v>
      </c>
      <c r="D14870" s="2" t="s">
        <v>210</v>
      </c>
      <c r="E14870" s="2" t="str">
        <f>"9789523690622"</f>
        <v>9789523690622</v>
      </c>
      <c r="F14870" s="2" t="str">
        <f>"9789523690639"</f>
        <v>9789523690639</v>
      </c>
    </row>
    <row r="14871" spans="1:6" s="3" customFormat="1" ht="29.1" customHeight="1" x14ac:dyDescent="0.25">
      <c r="A14871" s="2" t="s">
        <v>29713</v>
      </c>
      <c r="B14871" s="2" t="s">
        <v>29714</v>
      </c>
      <c r="C14871" s="2" t="s">
        <v>3154</v>
      </c>
      <c r="D14871" s="2" t="s">
        <v>1162</v>
      </c>
      <c r="E14871" s="2" t="str">
        <f>"9789523690707"</f>
        <v>9789523690707</v>
      </c>
      <c r="F14871" s="2" t="str">
        <f>"9789523690714"</f>
        <v>9789523690714</v>
      </c>
    </row>
    <row r="14872" spans="1:6" s="3" customFormat="1" ht="29.1" customHeight="1" x14ac:dyDescent="0.25">
      <c r="A14872" s="2" t="s">
        <v>29715</v>
      </c>
      <c r="B14872" s="2" t="s">
        <v>29716</v>
      </c>
      <c r="C14872" s="2" t="s">
        <v>3154</v>
      </c>
      <c r="D14872" s="2" t="s">
        <v>5360</v>
      </c>
      <c r="E14872" s="2" t="str">
        <f>"9789523690547"</f>
        <v>9789523690547</v>
      </c>
      <c r="F14872" s="2" t="str">
        <f>"9789523690554"</f>
        <v>9789523690554</v>
      </c>
    </row>
    <row r="14873" spans="1:6" s="3" customFormat="1" ht="29.1" customHeight="1" x14ac:dyDescent="0.25">
      <c r="A14873" s="2" t="s">
        <v>29717</v>
      </c>
      <c r="B14873" s="2" t="s">
        <v>29718</v>
      </c>
      <c r="C14873" s="2" t="s">
        <v>3154</v>
      </c>
      <c r="D14873" s="2" t="s">
        <v>3536</v>
      </c>
      <c r="E14873" s="2" t="str">
        <f>"9789523690585"</f>
        <v>9789523690585</v>
      </c>
      <c r="F14873" s="2" t="str">
        <f>"9789523690592"</f>
        <v>9789523690592</v>
      </c>
    </row>
    <row r="14874" spans="1:6" s="3" customFormat="1" ht="29.1" customHeight="1" x14ac:dyDescent="0.25">
      <c r="A14874" s="2" t="s">
        <v>29719</v>
      </c>
      <c r="B14874" s="2" t="s">
        <v>29720</v>
      </c>
      <c r="C14874" s="2" t="s">
        <v>3154</v>
      </c>
      <c r="D14874" s="2" t="s">
        <v>81</v>
      </c>
      <c r="E14874" s="2" t="str">
        <f>"9789523690509"</f>
        <v>9789523690509</v>
      </c>
      <c r="F14874" s="2" t="str">
        <f>"9789523690516"</f>
        <v>9789523690516</v>
      </c>
    </row>
    <row r="14875" spans="1:6" s="3" customFormat="1" ht="29.1" customHeight="1" x14ac:dyDescent="0.25">
      <c r="A14875" s="2" t="s">
        <v>29721</v>
      </c>
      <c r="B14875" s="2" t="s">
        <v>29722</v>
      </c>
      <c r="C14875" s="2" t="s">
        <v>3154</v>
      </c>
      <c r="D14875" s="2" t="s">
        <v>5319</v>
      </c>
      <c r="E14875" s="2" t="str">
        <f>"9789523690462"</f>
        <v>9789523690462</v>
      </c>
      <c r="F14875" s="2" t="str">
        <f>"9789523690479"</f>
        <v>9789523690479</v>
      </c>
    </row>
    <row r="14876" spans="1:6" s="3" customFormat="1" ht="29.1" customHeight="1" x14ac:dyDescent="0.25">
      <c r="A14876" s="2" t="s">
        <v>29723</v>
      </c>
      <c r="B14876" s="2" t="s">
        <v>29724</v>
      </c>
      <c r="C14876" s="2" t="s">
        <v>3154</v>
      </c>
      <c r="D14876" s="2" t="s">
        <v>1712</v>
      </c>
      <c r="E14876" s="2" t="str">
        <f>"9789523690424"</f>
        <v>9789523690424</v>
      </c>
      <c r="F14876" s="2" t="str">
        <f>"9789523690431"</f>
        <v>9789523690431</v>
      </c>
    </row>
    <row r="14877" spans="1:6" s="3" customFormat="1" ht="29.1" customHeight="1" x14ac:dyDescent="0.25">
      <c r="A14877" s="2" t="s">
        <v>29725</v>
      </c>
      <c r="B14877" s="2" t="s">
        <v>29726</v>
      </c>
      <c r="C14877" s="2" t="s">
        <v>3154</v>
      </c>
      <c r="D14877" s="2" t="s">
        <v>196</v>
      </c>
      <c r="E14877" s="2" t="str">
        <f>"9789523690387"</f>
        <v>9789523690387</v>
      </c>
      <c r="F14877" s="2" t="str">
        <f>"9789523690394"</f>
        <v>9789523690394</v>
      </c>
    </row>
    <row r="14878" spans="1:6" s="3" customFormat="1" ht="29.1" customHeight="1" x14ac:dyDescent="0.25">
      <c r="A14878" s="2" t="s">
        <v>29727</v>
      </c>
      <c r="B14878" s="2" t="s">
        <v>29728</v>
      </c>
      <c r="C14878" s="2" t="s">
        <v>3154</v>
      </c>
      <c r="D14878" s="2" t="s">
        <v>12131</v>
      </c>
      <c r="E14878" s="2" t="str">
        <f>"9789523690349"</f>
        <v>9789523690349</v>
      </c>
      <c r="F14878" s="2" t="str">
        <f>"9789523690356"</f>
        <v>9789523690356</v>
      </c>
    </row>
    <row r="14879" spans="1:6" s="3" customFormat="1" ht="29.1" customHeight="1" x14ac:dyDescent="0.25">
      <c r="A14879" s="2" t="s">
        <v>29729</v>
      </c>
      <c r="B14879" s="2" t="s">
        <v>29730</v>
      </c>
      <c r="C14879" s="2" t="s">
        <v>3154</v>
      </c>
      <c r="D14879" s="2" t="s">
        <v>6511</v>
      </c>
      <c r="E14879" s="2" t="str">
        <f>"9789523690240"</f>
        <v>9789523690240</v>
      </c>
      <c r="F14879" s="2" t="str">
        <f>"9789523690257"</f>
        <v>9789523690257</v>
      </c>
    </row>
    <row r="14880" spans="1:6" s="3" customFormat="1" ht="29.1" customHeight="1" x14ac:dyDescent="0.25">
      <c r="A14880" s="2" t="s">
        <v>29731</v>
      </c>
      <c r="B14880" s="2" t="s">
        <v>29732</v>
      </c>
      <c r="C14880" s="2" t="s">
        <v>3154</v>
      </c>
      <c r="D14880" s="2" t="s">
        <v>270</v>
      </c>
      <c r="E14880" s="2" t="str">
        <f>"9789523690301"</f>
        <v>9789523690301</v>
      </c>
      <c r="F14880" s="2" t="str">
        <f>"9789523690318"</f>
        <v>9789523690318</v>
      </c>
    </row>
    <row r="14881" spans="1:6" s="3" customFormat="1" ht="29.1" customHeight="1" x14ac:dyDescent="0.25">
      <c r="A14881" s="2" t="s">
        <v>29733</v>
      </c>
      <c r="B14881" s="2" t="s">
        <v>29735</v>
      </c>
      <c r="C14881" s="2" t="s">
        <v>3154</v>
      </c>
      <c r="D14881" s="2" t="s">
        <v>29734</v>
      </c>
      <c r="E14881" s="2" t="str">
        <f>"9789523690288"</f>
        <v>9789523690288</v>
      </c>
      <c r="F14881" s="2" t="str">
        <f>"9789523690295"</f>
        <v>9789523690295</v>
      </c>
    </row>
    <row r="14882" spans="1:6" s="3" customFormat="1" ht="29.1" customHeight="1" x14ac:dyDescent="0.25">
      <c r="A14882" s="2" t="s">
        <v>29736</v>
      </c>
      <c r="B14882" s="2" t="s">
        <v>29737</v>
      </c>
      <c r="C14882" s="2" t="s">
        <v>3154</v>
      </c>
      <c r="D14882" s="2" t="s">
        <v>75</v>
      </c>
      <c r="E14882" s="2" t="str">
        <f>"9789523690165"</f>
        <v>9789523690165</v>
      </c>
      <c r="F14882" s="2" t="str">
        <f>"9789523690172"</f>
        <v>9789523690172</v>
      </c>
    </row>
    <row r="14883" spans="1:6" s="3" customFormat="1" ht="29.1" customHeight="1" x14ac:dyDescent="0.25">
      <c r="A14883" s="2" t="s">
        <v>29738</v>
      </c>
      <c r="B14883" s="2" t="s">
        <v>29739</v>
      </c>
      <c r="C14883" s="2" t="s">
        <v>3154</v>
      </c>
      <c r="D14883" s="2" t="s">
        <v>490</v>
      </c>
      <c r="E14883" s="2" t="str">
        <f>"9789523690202"</f>
        <v>9789523690202</v>
      </c>
      <c r="F14883" s="2" t="str">
        <f>"9789523690219"</f>
        <v>9789523690219</v>
      </c>
    </row>
    <row r="14884" spans="1:6" s="3" customFormat="1" ht="29.1" customHeight="1" x14ac:dyDescent="0.25">
      <c r="A14884" s="2" t="s">
        <v>29740</v>
      </c>
      <c r="B14884" s="2" t="s">
        <v>29741</v>
      </c>
      <c r="C14884" s="2" t="s">
        <v>3154</v>
      </c>
      <c r="D14884" s="2" t="s">
        <v>712</v>
      </c>
      <c r="E14884" s="2" t="str">
        <f>"9789523690127"</f>
        <v>9789523690127</v>
      </c>
      <c r="F14884" s="2" t="str">
        <f>"9789523690134"</f>
        <v>9789523690134</v>
      </c>
    </row>
    <row r="14885" spans="1:6" s="3" customFormat="1" ht="29.1" customHeight="1" x14ac:dyDescent="0.25">
      <c r="A14885" s="2" t="s">
        <v>29742</v>
      </c>
      <c r="B14885" s="2" t="s">
        <v>29743</v>
      </c>
      <c r="C14885" s="2" t="s">
        <v>3154</v>
      </c>
      <c r="D14885" s="2" t="s">
        <v>1133</v>
      </c>
      <c r="E14885" s="2" t="str">
        <f>"9789523690080"</f>
        <v>9789523690080</v>
      </c>
      <c r="F14885" s="2" t="str">
        <f>"9789523690097"</f>
        <v>9789523690097</v>
      </c>
    </row>
    <row r="14886" spans="1:6" s="3" customFormat="1" ht="29.1" customHeight="1" x14ac:dyDescent="0.25">
      <c r="A14886" s="2" t="s">
        <v>29744</v>
      </c>
      <c r="B14886" s="2" t="s">
        <v>29745</v>
      </c>
      <c r="C14886" s="2" t="s">
        <v>3154</v>
      </c>
      <c r="D14886" s="2" t="s">
        <v>4071</v>
      </c>
      <c r="E14886" s="2" t="str">
        <f>"9789523690042"</f>
        <v>9789523690042</v>
      </c>
      <c r="F14886" s="2" t="str">
        <f>"9789523690059"</f>
        <v>9789523690059</v>
      </c>
    </row>
    <row r="14887" spans="1:6" s="3" customFormat="1" ht="29.1" customHeight="1" x14ac:dyDescent="0.25">
      <c r="A14887" s="2" t="s">
        <v>29746</v>
      </c>
      <c r="B14887" s="2" t="s">
        <v>29747</v>
      </c>
      <c r="C14887" s="2" t="s">
        <v>3154</v>
      </c>
      <c r="D14887" s="2" t="s">
        <v>727</v>
      </c>
      <c r="E14887" s="2" t="str">
        <f>"9789523690004"</f>
        <v>9789523690004</v>
      </c>
      <c r="F14887" s="2" t="str">
        <f>"9789523690011"</f>
        <v>9789523690011</v>
      </c>
    </row>
    <row r="14888" spans="1:6" s="3" customFormat="1" ht="29.1" customHeight="1" x14ac:dyDescent="0.25">
      <c r="A14888" s="2" t="s">
        <v>29748</v>
      </c>
      <c r="B14888" s="2" t="s">
        <v>29749</v>
      </c>
      <c r="C14888" s="2" t="s">
        <v>746</v>
      </c>
      <c r="D14888" s="2" t="s">
        <v>2433</v>
      </c>
      <c r="E14888" s="2" t="str">
        <f>"9781803272627"</f>
        <v>9781803272627</v>
      </c>
      <c r="F14888" s="2" t="str">
        <f>"9781803272634"</f>
        <v>9781803272634</v>
      </c>
    </row>
    <row r="14889" spans="1:6" s="3" customFormat="1" ht="29.1" customHeight="1" x14ac:dyDescent="0.25">
      <c r="A14889" s="2" t="s">
        <v>29750</v>
      </c>
      <c r="B14889" s="2" t="s">
        <v>29749</v>
      </c>
      <c r="C14889" s="2" t="s">
        <v>746</v>
      </c>
      <c r="D14889" s="2" t="s">
        <v>2433</v>
      </c>
      <c r="E14889" s="2" t="str">
        <f>"9781803272603"</f>
        <v>9781803272603</v>
      </c>
      <c r="F14889" s="2" t="str">
        <f>"9781803272610"</f>
        <v>9781803272610</v>
      </c>
    </row>
    <row r="14890" spans="1:6" s="3" customFormat="1" ht="29.1" customHeight="1" x14ac:dyDescent="0.25">
      <c r="A14890" s="2" t="s">
        <v>29751</v>
      </c>
      <c r="B14890" s="2" t="s">
        <v>29752</v>
      </c>
      <c r="C14890" s="2" t="s">
        <v>746</v>
      </c>
      <c r="D14890" s="2" t="s">
        <v>4064</v>
      </c>
      <c r="E14890" s="2" t="str">
        <f>"9781803273242"</f>
        <v>9781803273242</v>
      </c>
      <c r="F14890" s="2" t="str">
        <f>"9781803273259"</f>
        <v>9781803273259</v>
      </c>
    </row>
    <row r="14891" spans="1:6" s="3" customFormat="1" ht="29.1" customHeight="1" x14ac:dyDescent="0.25">
      <c r="A14891" s="2" t="s">
        <v>29753</v>
      </c>
      <c r="B14891" s="2" t="s">
        <v>29754</v>
      </c>
      <c r="C14891" s="2" t="s">
        <v>124</v>
      </c>
      <c r="D14891" s="2" t="s">
        <v>10578</v>
      </c>
      <c r="E14891" s="2" t="str">
        <f>"9781032133454"</f>
        <v>9781032133454</v>
      </c>
      <c r="F14891" s="2" t="str">
        <f>"9781000785067"</f>
        <v>9781000785067</v>
      </c>
    </row>
    <row r="14892" spans="1:6" s="3" customFormat="1" ht="29.1" customHeight="1" x14ac:dyDescent="0.25">
      <c r="A14892" s="2" t="s">
        <v>29755</v>
      </c>
      <c r="B14892" s="2" t="s">
        <v>29756</v>
      </c>
      <c r="C14892" s="2" t="s">
        <v>15381</v>
      </c>
      <c r="D14892" s="2" t="s">
        <v>653</v>
      </c>
      <c r="E14892" s="2" t="str">
        <f>"9781469669618"</f>
        <v>9781469669618</v>
      </c>
      <c r="F14892" s="2" t="str">
        <f>"9781469669632"</f>
        <v>9781469669632</v>
      </c>
    </row>
    <row r="14893" spans="1:6" s="3" customFormat="1" ht="29.1" customHeight="1" x14ac:dyDescent="0.25">
      <c r="A14893" s="2" t="s">
        <v>29757</v>
      </c>
      <c r="B14893" s="2" t="s">
        <v>29758</v>
      </c>
      <c r="C14893" s="2" t="s">
        <v>556</v>
      </c>
      <c r="D14893" s="2" t="s">
        <v>10888</v>
      </c>
      <c r="E14893" s="2" t="str">
        <f>"9783837665154"</f>
        <v>9783837665154</v>
      </c>
      <c r="F14893" s="2" t="str">
        <f>"9783839465158"</f>
        <v>9783839465158</v>
      </c>
    </row>
    <row r="14894" spans="1:6" s="3" customFormat="1" ht="29.1" customHeight="1" x14ac:dyDescent="0.25">
      <c r="A14894" s="2" t="s">
        <v>29759</v>
      </c>
      <c r="B14894" s="2" t="s">
        <v>29760</v>
      </c>
      <c r="C14894" s="2" t="s">
        <v>556</v>
      </c>
      <c r="D14894" s="2" t="s">
        <v>1183</v>
      </c>
      <c r="E14894" s="2" t="str">
        <f>"9783837664591"</f>
        <v>9783837664591</v>
      </c>
      <c r="F14894" s="2" t="str">
        <f>"9783839464595"</f>
        <v>9783839464595</v>
      </c>
    </row>
    <row r="14895" spans="1:6" s="3" customFormat="1" ht="29.1" customHeight="1" x14ac:dyDescent="0.25">
      <c r="A14895" s="2" t="s">
        <v>29761</v>
      </c>
      <c r="B14895" s="2" t="s">
        <v>29762</v>
      </c>
      <c r="C14895" s="2" t="s">
        <v>556</v>
      </c>
      <c r="D14895" s="2" t="s">
        <v>446</v>
      </c>
      <c r="E14895" s="2" t="str">
        <f>"9783837664584"</f>
        <v>9783837664584</v>
      </c>
      <c r="F14895" s="2" t="str">
        <f>"9783839464588"</f>
        <v>9783839464588</v>
      </c>
    </row>
    <row r="14896" spans="1:6" s="3" customFormat="1" ht="29.1" customHeight="1" x14ac:dyDescent="0.25">
      <c r="A14896" s="2" t="s">
        <v>29763</v>
      </c>
      <c r="B14896" s="2" t="s">
        <v>29764</v>
      </c>
      <c r="C14896" s="2" t="s">
        <v>556</v>
      </c>
      <c r="D14896" s="2" t="s">
        <v>1823</v>
      </c>
      <c r="E14896" s="2" t="str">
        <f>"9783837664355"</f>
        <v>9783837664355</v>
      </c>
      <c r="F14896" s="2" t="str">
        <f>"9783839464359"</f>
        <v>9783839464359</v>
      </c>
    </row>
    <row r="14897" spans="1:6" s="3" customFormat="1" ht="29.1" customHeight="1" x14ac:dyDescent="0.25">
      <c r="A14897" s="2" t="s">
        <v>29765</v>
      </c>
      <c r="B14897" s="2" t="s">
        <v>29766</v>
      </c>
      <c r="C14897" s="2" t="s">
        <v>556</v>
      </c>
      <c r="D14897" s="2" t="s">
        <v>324</v>
      </c>
      <c r="E14897" s="2" t="str">
        <f>"9783837664324"</f>
        <v>9783837664324</v>
      </c>
      <c r="F14897" s="2" t="str">
        <f>"9783839464328"</f>
        <v>9783839464328</v>
      </c>
    </row>
    <row r="14898" spans="1:6" s="3" customFormat="1" ht="29.1" customHeight="1" x14ac:dyDescent="0.25">
      <c r="A14898" s="2" t="s">
        <v>29767</v>
      </c>
      <c r="B14898" s="2" t="s">
        <v>29768</v>
      </c>
      <c r="C14898" s="2" t="s">
        <v>556</v>
      </c>
      <c r="D14898" s="2" t="s">
        <v>1717</v>
      </c>
      <c r="E14898" s="2" t="str">
        <f>"9783837664300"</f>
        <v>9783837664300</v>
      </c>
      <c r="F14898" s="2" t="str">
        <f>"9783839464304"</f>
        <v>9783839464304</v>
      </c>
    </row>
    <row r="14899" spans="1:6" s="3" customFormat="1" ht="29.1" customHeight="1" x14ac:dyDescent="0.25">
      <c r="A14899" s="2" t="s">
        <v>29769</v>
      </c>
      <c r="B14899" s="2" t="s">
        <v>29770</v>
      </c>
      <c r="C14899" s="2" t="s">
        <v>556</v>
      </c>
      <c r="D14899" s="2" t="s">
        <v>5794</v>
      </c>
      <c r="E14899" s="2" t="str">
        <f>"9783837664171"</f>
        <v>9783837664171</v>
      </c>
      <c r="F14899" s="2" t="str">
        <f>"9783839464175"</f>
        <v>9783839464175</v>
      </c>
    </row>
    <row r="14900" spans="1:6" s="3" customFormat="1" ht="29.1" customHeight="1" x14ac:dyDescent="0.25">
      <c r="A14900" s="2" t="s">
        <v>29771</v>
      </c>
      <c r="B14900" s="2" t="s">
        <v>29772</v>
      </c>
      <c r="C14900" s="2" t="s">
        <v>556</v>
      </c>
      <c r="D14900" s="2" t="s">
        <v>183</v>
      </c>
      <c r="E14900" s="2" t="str">
        <f>"9783837663983"</f>
        <v>9783837663983</v>
      </c>
      <c r="F14900" s="2" t="str">
        <f>"9783839463987"</f>
        <v>9783839463987</v>
      </c>
    </row>
    <row r="14901" spans="1:6" s="3" customFormat="1" ht="29.1" customHeight="1" x14ac:dyDescent="0.25">
      <c r="A14901" s="2" t="s">
        <v>29773</v>
      </c>
      <c r="B14901" s="2" t="s">
        <v>29774</v>
      </c>
      <c r="C14901" s="2" t="s">
        <v>556</v>
      </c>
      <c r="D14901" s="2" t="s">
        <v>446</v>
      </c>
      <c r="E14901" s="2" t="str">
        <f>"9783837663792"</f>
        <v>9783837663792</v>
      </c>
      <c r="F14901" s="2" t="str">
        <f>"9783839463796"</f>
        <v>9783839463796</v>
      </c>
    </row>
    <row r="14902" spans="1:6" s="3" customFormat="1" ht="29.1" customHeight="1" x14ac:dyDescent="0.25">
      <c r="A14902" s="2" t="s">
        <v>29775</v>
      </c>
      <c r="B14902" s="2" t="s">
        <v>29776</v>
      </c>
      <c r="C14902" s="2" t="s">
        <v>556</v>
      </c>
      <c r="D14902" s="2" t="s">
        <v>2462</v>
      </c>
      <c r="E14902" s="2" t="str">
        <f>"9783837663280"</f>
        <v>9783837663280</v>
      </c>
      <c r="F14902" s="2" t="str">
        <f>"9783839463284"</f>
        <v>9783839463284</v>
      </c>
    </row>
    <row r="14903" spans="1:6" s="3" customFormat="1" ht="29.1" customHeight="1" x14ac:dyDescent="0.25">
      <c r="A14903" s="2" t="s">
        <v>29777</v>
      </c>
      <c r="B14903" s="2" t="s">
        <v>29778</v>
      </c>
      <c r="C14903" s="2" t="s">
        <v>556</v>
      </c>
      <c r="D14903" s="2" t="s">
        <v>183</v>
      </c>
      <c r="E14903" s="2" t="str">
        <f>"9783837663273"</f>
        <v>9783837663273</v>
      </c>
      <c r="F14903" s="2" t="str">
        <f>"9783732863273"</f>
        <v>9783732863273</v>
      </c>
    </row>
    <row r="14904" spans="1:6" s="3" customFormat="1" ht="29.1" customHeight="1" x14ac:dyDescent="0.25">
      <c r="A14904" s="2" t="s">
        <v>29779</v>
      </c>
      <c r="B14904" s="2" t="s">
        <v>29780</v>
      </c>
      <c r="C14904" s="2" t="s">
        <v>556</v>
      </c>
      <c r="D14904" s="2" t="s">
        <v>324</v>
      </c>
      <c r="E14904" s="2" t="str">
        <f>"9783837663136"</f>
        <v>9783837663136</v>
      </c>
      <c r="F14904" s="2" t="str">
        <f>"9783839463130"</f>
        <v>9783839463130</v>
      </c>
    </row>
    <row r="14905" spans="1:6" s="3" customFormat="1" ht="29.1" customHeight="1" x14ac:dyDescent="0.25">
      <c r="A14905" s="2" t="s">
        <v>29781</v>
      </c>
      <c r="B14905" s="2" t="s">
        <v>29782</v>
      </c>
      <c r="C14905" s="2" t="s">
        <v>556</v>
      </c>
      <c r="D14905" s="2" t="s">
        <v>2139</v>
      </c>
      <c r="E14905" s="2" t="str">
        <f>"9783837662771"</f>
        <v>9783837662771</v>
      </c>
      <c r="F14905" s="2" t="str">
        <f>"9783839462775"</f>
        <v>9783839462775</v>
      </c>
    </row>
    <row r="14906" spans="1:6" s="3" customFormat="1" ht="29.1" customHeight="1" x14ac:dyDescent="0.25">
      <c r="A14906" s="2" t="s">
        <v>29783</v>
      </c>
      <c r="B14906" s="2" t="s">
        <v>29784</v>
      </c>
      <c r="C14906" s="2" t="s">
        <v>556</v>
      </c>
      <c r="D14906" s="2" t="s">
        <v>2263</v>
      </c>
      <c r="E14906" s="2" t="str">
        <f>"9783837662641"</f>
        <v>9783837662641</v>
      </c>
      <c r="F14906" s="2" t="str">
        <f>"9783732862641"</f>
        <v>9783732862641</v>
      </c>
    </row>
    <row r="14907" spans="1:6" s="3" customFormat="1" ht="29.1" customHeight="1" x14ac:dyDescent="0.25">
      <c r="A14907" s="2" t="s">
        <v>29785</v>
      </c>
      <c r="B14907" s="2" t="s">
        <v>29786</v>
      </c>
      <c r="C14907" s="2" t="s">
        <v>556</v>
      </c>
      <c r="D14907" s="2" t="s">
        <v>1557</v>
      </c>
      <c r="E14907" s="2" t="str">
        <f>"9783837662405"</f>
        <v>9783837662405</v>
      </c>
      <c r="F14907" s="2" t="str">
        <f>"9783839462409"</f>
        <v>9783839462409</v>
      </c>
    </row>
    <row r="14908" spans="1:6" s="3" customFormat="1" ht="29.1" customHeight="1" x14ac:dyDescent="0.25">
      <c r="A14908" s="2" t="s">
        <v>29787</v>
      </c>
      <c r="B14908" s="2" t="s">
        <v>29789</v>
      </c>
      <c r="C14908" s="2" t="s">
        <v>556</v>
      </c>
      <c r="D14908" s="2" t="s">
        <v>29788</v>
      </c>
      <c r="E14908" s="2" t="str">
        <f>"9783837662351"</f>
        <v>9783837662351</v>
      </c>
      <c r="F14908" s="2" t="str">
        <f>"9783839462355"</f>
        <v>9783839462355</v>
      </c>
    </row>
    <row r="14909" spans="1:6" s="3" customFormat="1" ht="29.1" customHeight="1" x14ac:dyDescent="0.25">
      <c r="A14909" s="2" t="s">
        <v>29790</v>
      </c>
      <c r="B14909" s="2" t="s">
        <v>29791</v>
      </c>
      <c r="C14909" s="2" t="s">
        <v>556</v>
      </c>
      <c r="D14909" s="2" t="s">
        <v>1013</v>
      </c>
      <c r="E14909" s="2" t="str">
        <f>"9783837662290"</f>
        <v>9783837662290</v>
      </c>
      <c r="F14909" s="2" t="str">
        <f>"9783839462294"</f>
        <v>9783839462294</v>
      </c>
    </row>
    <row r="14910" spans="1:6" s="3" customFormat="1" ht="29.1" customHeight="1" x14ac:dyDescent="0.25">
      <c r="A14910" s="2" t="s">
        <v>29792</v>
      </c>
      <c r="B14910" s="2" t="s">
        <v>29793</v>
      </c>
      <c r="C14910" s="2" t="s">
        <v>556</v>
      </c>
      <c r="D14910" s="2" t="s">
        <v>75</v>
      </c>
      <c r="E14910" s="2" t="str">
        <f>"9783837662214"</f>
        <v>9783837662214</v>
      </c>
      <c r="F14910" s="2" t="str">
        <f>"9783839462218"</f>
        <v>9783839462218</v>
      </c>
    </row>
    <row r="14911" spans="1:6" s="3" customFormat="1" ht="29.1" customHeight="1" x14ac:dyDescent="0.25">
      <c r="A14911" s="2" t="s">
        <v>29794</v>
      </c>
      <c r="B14911" s="2" t="s">
        <v>29795</v>
      </c>
      <c r="C14911" s="2" t="s">
        <v>556</v>
      </c>
      <c r="D14911" s="2" t="s">
        <v>1411</v>
      </c>
      <c r="E14911" s="2" t="str">
        <f>"9783837662078"</f>
        <v>9783837662078</v>
      </c>
      <c r="F14911" s="2" t="str">
        <f>"9783839462072"</f>
        <v>9783839462072</v>
      </c>
    </row>
    <row r="14912" spans="1:6" s="3" customFormat="1" ht="29.1" customHeight="1" x14ac:dyDescent="0.25">
      <c r="A14912" s="2" t="s">
        <v>29796</v>
      </c>
      <c r="B14912" s="2" t="s">
        <v>29797</v>
      </c>
      <c r="C14912" s="2" t="s">
        <v>556</v>
      </c>
      <c r="D14912" s="2" t="s">
        <v>446</v>
      </c>
      <c r="E14912" s="2" t="str">
        <f>"9783837661347"</f>
        <v>9783837661347</v>
      </c>
      <c r="F14912" s="2" t="str">
        <f>"9783839461341"</f>
        <v>9783839461341</v>
      </c>
    </row>
    <row r="14913" spans="1:6" s="3" customFormat="1" ht="29.1" customHeight="1" x14ac:dyDescent="0.25">
      <c r="A14913" s="2" t="s">
        <v>29798</v>
      </c>
      <c r="B14913" s="2" t="s">
        <v>13916</v>
      </c>
      <c r="C14913" s="2" t="s">
        <v>556</v>
      </c>
      <c r="D14913" s="2" t="s">
        <v>981</v>
      </c>
      <c r="E14913" s="2" t="str">
        <f>"9783837660975"</f>
        <v>9783837660975</v>
      </c>
      <c r="F14913" s="2" t="str">
        <f>"9783839460979"</f>
        <v>9783839460979</v>
      </c>
    </row>
    <row r="14914" spans="1:6" s="3" customFormat="1" ht="29.1" customHeight="1" x14ac:dyDescent="0.25">
      <c r="A14914" s="2" t="s">
        <v>29799</v>
      </c>
      <c r="B14914" s="2" t="s">
        <v>29800</v>
      </c>
      <c r="C14914" s="2" t="s">
        <v>556</v>
      </c>
      <c r="D14914" s="2" t="s">
        <v>7589</v>
      </c>
      <c r="E14914" s="2" t="str">
        <f>"9783837660531"</f>
        <v>9783837660531</v>
      </c>
      <c r="F14914" s="2" t="str">
        <f>"9783839460535"</f>
        <v>9783839460535</v>
      </c>
    </row>
    <row r="14915" spans="1:6" s="3" customFormat="1" ht="29.1" customHeight="1" x14ac:dyDescent="0.25">
      <c r="A14915" s="2" t="s">
        <v>29801</v>
      </c>
      <c r="B14915" s="2" t="s">
        <v>29802</v>
      </c>
      <c r="C14915" s="2" t="s">
        <v>556</v>
      </c>
      <c r="D14915" s="2" t="s">
        <v>465</v>
      </c>
      <c r="E14915" s="2" t="str">
        <f>"9783837660197"</f>
        <v>9783837660197</v>
      </c>
      <c r="F14915" s="2" t="str">
        <f>"9783839460191"</f>
        <v>9783839460191</v>
      </c>
    </row>
    <row r="14916" spans="1:6" s="3" customFormat="1" ht="29.1" customHeight="1" x14ac:dyDescent="0.25">
      <c r="A14916" s="2" t="s">
        <v>29803</v>
      </c>
      <c r="B14916" s="2" t="s">
        <v>29804</v>
      </c>
      <c r="C14916" s="2" t="s">
        <v>556</v>
      </c>
      <c r="D14916" s="2" t="s">
        <v>712</v>
      </c>
      <c r="E14916" s="2" t="str">
        <f>"9783837660180"</f>
        <v>9783837660180</v>
      </c>
      <c r="F14916" s="2" t="str">
        <f>"9783839460184"</f>
        <v>9783839460184</v>
      </c>
    </row>
    <row r="14917" spans="1:6" s="3" customFormat="1" ht="29.1" customHeight="1" x14ac:dyDescent="0.25">
      <c r="A14917" s="2" t="s">
        <v>29805</v>
      </c>
      <c r="B14917" s="2" t="s">
        <v>29806</v>
      </c>
      <c r="C14917" s="2" t="s">
        <v>556</v>
      </c>
      <c r="D14917" s="2" t="s">
        <v>712</v>
      </c>
      <c r="E14917" s="2" t="str">
        <f>"9783837659740"</f>
        <v>9783837659740</v>
      </c>
      <c r="F14917" s="2" t="str">
        <f>"9783839459744"</f>
        <v>9783839459744</v>
      </c>
    </row>
    <row r="14918" spans="1:6" s="3" customFormat="1" ht="29.1" customHeight="1" x14ac:dyDescent="0.25">
      <c r="A14918" s="2" t="s">
        <v>29807</v>
      </c>
      <c r="B14918" s="2" t="s">
        <v>29808</v>
      </c>
      <c r="C14918" s="2" t="s">
        <v>556</v>
      </c>
      <c r="D14918" s="2" t="s">
        <v>378</v>
      </c>
      <c r="E14918" s="2" t="str">
        <f>"9783837659665"</f>
        <v>9783837659665</v>
      </c>
      <c r="F14918" s="2" t="str">
        <f>"9783839459669"</f>
        <v>9783839459669</v>
      </c>
    </row>
    <row r="14919" spans="1:6" s="3" customFormat="1" ht="29.1" customHeight="1" x14ac:dyDescent="0.25">
      <c r="A14919" s="2" t="s">
        <v>29809</v>
      </c>
      <c r="B14919" s="2" t="s">
        <v>29810</v>
      </c>
      <c r="C14919" s="2" t="s">
        <v>556</v>
      </c>
      <c r="D14919" s="2" t="s">
        <v>712</v>
      </c>
      <c r="E14919" s="2" t="str">
        <f>"9783837658781"</f>
        <v>9783837658781</v>
      </c>
      <c r="F14919" s="2" t="str">
        <f>"9783732858781"</f>
        <v>9783732858781</v>
      </c>
    </row>
    <row r="14920" spans="1:6" s="3" customFormat="1" ht="29.1" customHeight="1" x14ac:dyDescent="0.25">
      <c r="A14920" s="2" t="s">
        <v>29811</v>
      </c>
      <c r="B14920" s="2" t="s">
        <v>29813</v>
      </c>
      <c r="C14920" s="2" t="s">
        <v>556</v>
      </c>
      <c r="D14920" s="2" t="s">
        <v>29812</v>
      </c>
      <c r="E14920" s="2" t="str">
        <f>"9783837657340"</f>
        <v>9783837657340</v>
      </c>
      <c r="F14920" s="2" t="str">
        <f>"9783839457344"</f>
        <v>9783839457344</v>
      </c>
    </row>
    <row r="14921" spans="1:6" s="3" customFormat="1" ht="29.1" customHeight="1" x14ac:dyDescent="0.25">
      <c r="A14921" s="2" t="s">
        <v>29814</v>
      </c>
      <c r="B14921" s="2" t="s">
        <v>29815</v>
      </c>
      <c r="C14921" s="2" t="s">
        <v>556</v>
      </c>
      <c r="D14921" s="2" t="s">
        <v>9436</v>
      </c>
      <c r="E14921" s="2" t="str">
        <f>"9783837656305"</f>
        <v>9783837656305</v>
      </c>
      <c r="F14921" s="2" t="str">
        <f>"9783839456309"</f>
        <v>9783839456309</v>
      </c>
    </row>
    <row r="14922" spans="1:6" s="3" customFormat="1" ht="29.1" customHeight="1" x14ac:dyDescent="0.25">
      <c r="A14922" s="2" t="s">
        <v>29816</v>
      </c>
      <c r="B14922" s="2" t="s">
        <v>29818</v>
      </c>
      <c r="C14922" s="2" t="s">
        <v>556</v>
      </c>
      <c r="D14922" s="2" t="s">
        <v>29817</v>
      </c>
      <c r="E14922" s="2" t="str">
        <f>"9783837655612"</f>
        <v>9783837655612</v>
      </c>
      <c r="F14922" s="2" t="str">
        <f>"9783839455616"</f>
        <v>9783839455616</v>
      </c>
    </row>
    <row r="14923" spans="1:6" s="3" customFormat="1" ht="29.1" customHeight="1" x14ac:dyDescent="0.25">
      <c r="A14923" s="2" t="s">
        <v>29819</v>
      </c>
      <c r="B14923" s="2" t="s">
        <v>29821</v>
      </c>
      <c r="C14923" s="2" t="s">
        <v>556</v>
      </c>
      <c r="D14923" s="2" t="s">
        <v>29820</v>
      </c>
      <c r="E14923" s="2" t="str">
        <f>"9783837645798"</f>
        <v>9783837645798</v>
      </c>
      <c r="F14923" s="2" t="str">
        <f>"9783839445792"</f>
        <v>9783839445792</v>
      </c>
    </row>
    <row r="14924" spans="1:6" s="3" customFormat="1" ht="29.1" customHeight="1" x14ac:dyDescent="0.25">
      <c r="A14924" s="2" t="s">
        <v>29822</v>
      </c>
      <c r="B14924" s="2" t="s">
        <v>29823</v>
      </c>
      <c r="C14924" s="2" t="s">
        <v>124</v>
      </c>
      <c r="D14924" s="2" t="s">
        <v>4789</v>
      </c>
      <c r="E14924" s="2" t="str">
        <f>"9781032363417"</f>
        <v>9781032363417</v>
      </c>
      <c r="F14924" s="2" t="str">
        <f>"9781000804607"</f>
        <v>9781000804607</v>
      </c>
    </row>
    <row r="14925" spans="1:6" s="3" customFormat="1" ht="29.1" customHeight="1" x14ac:dyDescent="0.25">
      <c r="A14925" s="2" t="s">
        <v>29824</v>
      </c>
      <c r="B14925" s="2" t="s">
        <v>29825</v>
      </c>
      <c r="C14925" s="2" t="s">
        <v>124</v>
      </c>
      <c r="D14925" s="2" t="s">
        <v>150</v>
      </c>
      <c r="E14925" s="2" t="str">
        <f>"9780367862534"</f>
        <v>9780367862534</v>
      </c>
      <c r="F14925" s="2" t="str">
        <f>"9781000805376"</f>
        <v>9781000805376</v>
      </c>
    </row>
    <row r="14926" spans="1:6" s="3" customFormat="1" ht="29.1" customHeight="1" x14ac:dyDescent="0.25">
      <c r="A14926" s="2" t="s">
        <v>16576</v>
      </c>
      <c r="B14926" s="2" t="s">
        <v>16577</v>
      </c>
      <c r="C14926" s="2" t="s">
        <v>11220</v>
      </c>
      <c r="D14926" s="2" t="s">
        <v>712</v>
      </c>
      <c r="E14926" s="2" t="str">
        <f>"9781479819140"</f>
        <v>9781479819140</v>
      </c>
      <c r="F14926" s="2" t="str">
        <f>"9781479819164"</f>
        <v>9781479819164</v>
      </c>
    </row>
    <row r="14927" spans="1:6" s="3" customFormat="1" ht="29.1" customHeight="1" x14ac:dyDescent="0.25">
      <c r="A14927" s="2" t="s">
        <v>29826</v>
      </c>
      <c r="B14927" s="2" t="s">
        <v>29827</v>
      </c>
      <c r="C14927" s="2" t="s">
        <v>11220</v>
      </c>
      <c r="D14927" s="2" t="s">
        <v>15915</v>
      </c>
      <c r="E14927" s="2" t="str">
        <f>"9781479819355"</f>
        <v>9781479819355</v>
      </c>
      <c r="F14927" s="2" t="str">
        <f>"9781479819386"</f>
        <v>9781479819386</v>
      </c>
    </row>
    <row r="14928" spans="1:6" s="3" customFormat="1" ht="29.1" customHeight="1" x14ac:dyDescent="0.25">
      <c r="A14928" s="2" t="s">
        <v>29828</v>
      </c>
      <c r="B14928" s="2" t="s">
        <v>26206</v>
      </c>
      <c r="C14928" s="2" t="s">
        <v>62</v>
      </c>
      <c r="D14928" s="2" t="s">
        <v>2005</v>
      </c>
      <c r="E14928" s="2" t="str">
        <f>"9783428186778"</f>
        <v>9783428186778</v>
      </c>
      <c r="F14928" s="2" t="str">
        <f>"9783428586776"</f>
        <v>9783428586776</v>
      </c>
    </row>
    <row r="14929" spans="1:6" s="3" customFormat="1" ht="29.1" customHeight="1" x14ac:dyDescent="0.25">
      <c r="A14929" s="2" t="s">
        <v>29829</v>
      </c>
      <c r="B14929" s="2" t="s">
        <v>29830</v>
      </c>
      <c r="C14929" s="2" t="s">
        <v>62</v>
      </c>
      <c r="D14929" s="2" t="s">
        <v>9244</v>
      </c>
      <c r="E14929" s="2" t="str">
        <f>"9783428186976"</f>
        <v>9783428186976</v>
      </c>
      <c r="F14929" s="2" t="str">
        <f>"9783428586974"</f>
        <v>9783428586974</v>
      </c>
    </row>
    <row r="14930" spans="1:6" s="3" customFormat="1" ht="29.1" customHeight="1" x14ac:dyDescent="0.25">
      <c r="A14930" s="2" t="s">
        <v>29831</v>
      </c>
      <c r="B14930" s="2" t="s">
        <v>29832</v>
      </c>
      <c r="C14930" s="2" t="s">
        <v>124</v>
      </c>
      <c r="D14930" s="2" t="s">
        <v>636</v>
      </c>
      <c r="E14930" s="2" t="str">
        <f>"9781032210193"</f>
        <v>9781032210193</v>
      </c>
      <c r="F14930" s="2" t="str">
        <f>"9781000784763"</f>
        <v>9781000784763</v>
      </c>
    </row>
    <row r="14931" spans="1:6" s="3" customFormat="1" ht="29.1" customHeight="1" x14ac:dyDescent="0.25">
      <c r="A14931" s="2" t="s">
        <v>29833</v>
      </c>
      <c r="B14931" s="2" t="s">
        <v>29834</v>
      </c>
      <c r="C14931" s="2" t="s">
        <v>124</v>
      </c>
      <c r="D14931" s="2" t="s">
        <v>15</v>
      </c>
      <c r="E14931" s="2" t="str">
        <f>"9781032049793"</f>
        <v>9781032049793</v>
      </c>
      <c r="F14931" s="2" t="str">
        <f>"9781000801828"</f>
        <v>9781000801828</v>
      </c>
    </row>
    <row r="14932" spans="1:6" s="3" customFormat="1" ht="29.1" customHeight="1" x14ac:dyDescent="0.25">
      <c r="A14932" s="2" t="s">
        <v>29835</v>
      </c>
      <c r="B14932" s="2" t="s">
        <v>29836</v>
      </c>
      <c r="C14932" s="2" t="s">
        <v>124</v>
      </c>
      <c r="D14932" s="2" t="s">
        <v>2086</v>
      </c>
      <c r="E14932" s="2" t="str">
        <f>"9781032060019"</f>
        <v>9781032060019</v>
      </c>
      <c r="F14932" s="2" t="str">
        <f>"9781000777116"</f>
        <v>9781000777116</v>
      </c>
    </row>
    <row r="14933" spans="1:6" s="3" customFormat="1" ht="29.1" customHeight="1" x14ac:dyDescent="0.25">
      <c r="A14933" s="2" t="s">
        <v>29837</v>
      </c>
      <c r="B14933" s="2" t="s">
        <v>29838</v>
      </c>
      <c r="C14933" s="2" t="s">
        <v>124</v>
      </c>
      <c r="D14933" s="2" t="s">
        <v>462</v>
      </c>
      <c r="E14933" s="2" t="str">
        <f>"9781032263496"</f>
        <v>9781032263496</v>
      </c>
      <c r="F14933" s="2" t="str">
        <f>"9781000735734"</f>
        <v>9781000735734</v>
      </c>
    </row>
    <row r="14934" spans="1:6" s="3" customFormat="1" ht="29.1" customHeight="1" x14ac:dyDescent="0.25">
      <c r="A14934" s="2" t="s">
        <v>29839</v>
      </c>
      <c r="B14934" s="2" t="s">
        <v>29840</v>
      </c>
      <c r="C14934" s="2" t="s">
        <v>124</v>
      </c>
      <c r="D14934" s="2" t="s">
        <v>981</v>
      </c>
      <c r="E14934" s="2" t="str">
        <f>"9781032251974"</f>
        <v>9781032251974</v>
      </c>
      <c r="F14934" s="2" t="str">
        <f>"9781000810028"</f>
        <v>9781000810028</v>
      </c>
    </row>
    <row r="14935" spans="1:6" s="3" customFormat="1" ht="29.1" customHeight="1" x14ac:dyDescent="0.25">
      <c r="A14935" s="2" t="s">
        <v>29841</v>
      </c>
      <c r="B14935" s="2" t="s">
        <v>29842</v>
      </c>
      <c r="C14935" s="2" t="s">
        <v>195</v>
      </c>
      <c r="D14935" s="2" t="s">
        <v>270</v>
      </c>
      <c r="E14935" s="2" t="str">
        <f>"9783110783056"</f>
        <v>9783110783056</v>
      </c>
      <c r="F14935" s="2" t="str">
        <f>"9783110783148"</f>
        <v>9783110783148</v>
      </c>
    </row>
    <row r="14936" spans="1:6" s="3" customFormat="1" ht="29.1" customHeight="1" x14ac:dyDescent="0.25">
      <c r="A14936" s="2" t="s">
        <v>29843</v>
      </c>
      <c r="B14936" s="2" t="s">
        <v>29844</v>
      </c>
      <c r="C14936" s="2" t="s">
        <v>195</v>
      </c>
      <c r="D14936" s="2" t="s">
        <v>273</v>
      </c>
      <c r="E14936" s="2" t="str">
        <f>"9783110711752"</f>
        <v>9783110711752</v>
      </c>
      <c r="F14936" s="2" t="str">
        <f>"9783110711776"</f>
        <v>9783110711776</v>
      </c>
    </row>
    <row r="14937" spans="1:6" s="3" customFormat="1" ht="29.1" customHeight="1" x14ac:dyDescent="0.25">
      <c r="A14937" s="2" t="s">
        <v>29845</v>
      </c>
      <c r="B14937" s="2" t="s">
        <v>29846</v>
      </c>
      <c r="C14937" s="2" t="s">
        <v>195</v>
      </c>
      <c r="D14937" s="2" t="s">
        <v>459</v>
      </c>
      <c r="E14937" s="2" t="str">
        <f>"9783110724677"</f>
        <v>9783110724677</v>
      </c>
      <c r="F14937" s="2" t="str">
        <f>"9783110724790"</f>
        <v>9783110724790</v>
      </c>
    </row>
    <row r="14938" spans="1:6" s="3" customFormat="1" ht="29.1" customHeight="1" x14ac:dyDescent="0.25">
      <c r="A14938" s="2" t="s">
        <v>29847</v>
      </c>
      <c r="B14938" s="2" t="s">
        <v>29848</v>
      </c>
      <c r="C14938" s="2" t="s">
        <v>195</v>
      </c>
      <c r="D14938" s="2" t="s">
        <v>391</v>
      </c>
      <c r="E14938" s="2" t="str">
        <f>"9783110717235"</f>
        <v>9783110717235</v>
      </c>
      <c r="F14938" s="2" t="str">
        <f>"9783110717365"</f>
        <v>9783110717365</v>
      </c>
    </row>
    <row r="14939" spans="1:6" s="3" customFormat="1" ht="29.1" customHeight="1" x14ac:dyDescent="0.25">
      <c r="A14939" s="2" t="s">
        <v>29849</v>
      </c>
      <c r="B14939" s="2" t="s">
        <v>29850</v>
      </c>
      <c r="C14939" s="2" t="s">
        <v>124</v>
      </c>
      <c r="D14939" s="2" t="s">
        <v>2361</v>
      </c>
      <c r="E14939" s="2" t="str">
        <f>"9781032278391"</f>
        <v>9781032278391</v>
      </c>
      <c r="F14939" s="2" t="str">
        <f>"9781000777239"</f>
        <v>9781000777239</v>
      </c>
    </row>
    <row r="14940" spans="1:6" s="3" customFormat="1" ht="29.1" customHeight="1" x14ac:dyDescent="0.25">
      <c r="A14940" s="2" t="s">
        <v>29851</v>
      </c>
      <c r="B14940" s="2" t="s">
        <v>29852</v>
      </c>
      <c r="C14940" s="2" t="s">
        <v>124</v>
      </c>
      <c r="D14940" s="2" t="s">
        <v>1697</v>
      </c>
      <c r="E14940" s="2" t="str">
        <f>"9781032347257"</f>
        <v>9781032347257</v>
      </c>
      <c r="F14940" s="2" t="str">
        <f>"9781000798968"</f>
        <v>9781000798968</v>
      </c>
    </row>
    <row r="14941" spans="1:6" s="3" customFormat="1" ht="29.1" customHeight="1" x14ac:dyDescent="0.25">
      <c r="A14941" s="2" t="s">
        <v>29853</v>
      </c>
      <c r="B14941" s="2" t="s">
        <v>29854</v>
      </c>
      <c r="C14941" s="2" t="s">
        <v>124</v>
      </c>
      <c r="D14941" s="2" t="s">
        <v>619</v>
      </c>
      <c r="E14941" s="2" t="str">
        <f>"9781032252520"</f>
        <v>9781032252520</v>
      </c>
      <c r="F14941" s="2" t="str">
        <f>"9781000652949"</f>
        <v>9781000652949</v>
      </c>
    </row>
    <row r="14942" spans="1:6" s="3" customFormat="1" ht="29.1" customHeight="1" x14ac:dyDescent="0.25">
      <c r="A14942" s="2" t="s">
        <v>29855</v>
      </c>
      <c r="B14942" s="2" t="s">
        <v>29856</v>
      </c>
      <c r="C14942" s="2" t="s">
        <v>746</v>
      </c>
      <c r="D14942" s="2" t="s">
        <v>4185</v>
      </c>
      <c r="E14942" s="2" t="str">
        <f>"9781803272276"</f>
        <v>9781803272276</v>
      </c>
      <c r="F14942" s="2" t="str">
        <f>"9781803272283"</f>
        <v>9781803272283</v>
      </c>
    </row>
    <row r="14943" spans="1:6" s="3" customFormat="1" ht="29.1" customHeight="1" x14ac:dyDescent="0.25">
      <c r="A14943" s="2" t="s">
        <v>29857</v>
      </c>
      <c r="B14943" s="2" t="s">
        <v>29858</v>
      </c>
      <c r="C14943" s="2" t="s">
        <v>55</v>
      </c>
      <c r="D14943" s="2" t="s">
        <v>7132</v>
      </c>
      <c r="E14943" s="2" t="str">
        <f>"9781526119131"</f>
        <v>9781526119131</v>
      </c>
      <c r="F14943" s="2" t="str">
        <f>"9781526119148"</f>
        <v>9781526119148</v>
      </c>
    </row>
    <row r="14944" spans="1:6" s="3" customFormat="1" ht="29.1" customHeight="1" x14ac:dyDescent="0.25">
      <c r="A14944" s="2" t="s">
        <v>29859</v>
      </c>
      <c r="B14944" s="2" t="s">
        <v>29860</v>
      </c>
      <c r="C14944" s="2" t="s">
        <v>36</v>
      </c>
      <c r="D14944" s="2" t="s">
        <v>249</v>
      </c>
      <c r="E14944" s="2" t="str">
        <f>"9781447367253"</f>
        <v>9781447367253</v>
      </c>
      <c r="F14944" s="2" t="str">
        <f>"9781447367277"</f>
        <v>9781447367277</v>
      </c>
    </row>
    <row r="14945" spans="1:6" s="3" customFormat="1" ht="29.1" customHeight="1" x14ac:dyDescent="0.25">
      <c r="A14945" s="2" t="s">
        <v>29861</v>
      </c>
      <c r="B14945" s="2" t="s">
        <v>29862</v>
      </c>
      <c r="C14945" s="2" t="s">
        <v>36</v>
      </c>
      <c r="D14945" s="2" t="s">
        <v>26483</v>
      </c>
      <c r="E14945" s="2" t="str">
        <f>"9781447367222"</f>
        <v>9781447367222</v>
      </c>
      <c r="F14945" s="2" t="str">
        <f>"9781447367246"</f>
        <v>9781447367246</v>
      </c>
    </row>
    <row r="14946" spans="1:6" s="3" customFormat="1" ht="29.1" customHeight="1" x14ac:dyDescent="0.25">
      <c r="A14946" s="2" t="s">
        <v>29863</v>
      </c>
      <c r="B14946" s="2" t="s">
        <v>29864</v>
      </c>
      <c r="C14946" s="2" t="s">
        <v>36</v>
      </c>
      <c r="D14946" s="2" t="s">
        <v>15</v>
      </c>
      <c r="E14946" s="2" t="str">
        <f>"9781529214055"</f>
        <v>9781529214055</v>
      </c>
      <c r="F14946" s="2" t="str">
        <f>"9781529214086"</f>
        <v>9781529214086</v>
      </c>
    </row>
    <row r="14947" spans="1:6" s="3" customFormat="1" ht="29.1" customHeight="1" x14ac:dyDescent="0.25">
      <c r="A14947" s="2" t="s">
        <v>29865</v>
      </c>
      <c r="B14947" s="2" t="s">
        <v>29866</v>
      </c>
      <c r="C14947" s="2" t="s">
        <v>927</v>
      </c>
      <c r="D14947" s="2" t="s">
        <v>8788</v>
      </c>
      <c r="E14947" s="2" t="str">
        <f>"9780472055685"</f>
        <v>9780472055685</v>
      </c>
      <c r="F14947" s="2" t="str">
        <f>"9780472903016"</f>
        <v>9780472903016</v>
      </c>
    </row>
    <row r="14948" spans="1:6" s="3" customFormat="1" ht="29.1" customHeight="1" x14ac:dyDescent="0.25">
      <c r="A14948" s="2" t="s">
        <v>29867</v>
      </c>
      <c r="B14948" s="2" t="s">
        <v>29868</v>
      </c>
      <c r="C14948" s="2" t="s">
        <v>2129</v>
      </c>
      <c r="D14948" s="2" t="s">
        <v>9441</v>
      </c>
      <c r="E14948" s="2" t="str">
        <f>"9781438492872"</f>
        <v>9781438492872</v>
      </c>
      <c r="F14948" s="2" t="str">
        <f>"9781438492896"</f>
        <v>9781438492896</v>
      </c>
    </row>
    <row r="14949" spans="1:6" s="3" customFormat="1" ht="29.1" customHeight="1" x14ac:dyDescent="0.25">
      <c r="A14949" s="2" t="s">
        <v>29869</v>
      </c>
      <c r="B14949" s="2" t="s">
        <v>29870</v>
      </c>
      <c r="C14949" s="2" t="s">
        <v>2129</v>
      </c>
      <c r="D14949" s="2" t="s">
        <v>413</v>
      </c>
      <c r="E14949" s="2" t="str">
        <f>"9781438492759"</f>
        <v>9781438492759</v>
      </c>
      <c r="F14949" s="2" t="str">
        <f>"9781438492773"</f>
        <v>9781438492773</v>
      </c>
    </row>
    <row r="14950" spans="1:6" s="3" customFormat="1" ht="29.1" customHeight="1" x14ac:dyDescent="0.25">
      <c r="A14950" s="2" t="s">
        <v>29871</v>
      </c>
      <c r="B14950" s="2" t="s">
        <v>29872</v>
      </c>
      <c r="C14950" s="2" t="s">
        <v>595</v>
      </c>
      <c r="D14950" s="2" t="s">
        <v>210</v>
      </c>
      <c r="E14950" s="2" t="str">
        <f>"9783631866221"</f>
        <v>9783631866221</v>
      </c>
      <c r="F14950" s="2" t="str">
        <f>"9783631878682"</f>
        <v>9783631878682</v>
      </c>
    </row>
    <row r="14951" spans="1:6" s="3" customFormat="1" ht="29.1" customHeight="1" x14ac:dyDescent="0.25">
      <c r="A14951" s="2" t="s">
        <v>29873</v>
      </c>
      <c r="B14951" s="2" t="s">
        <v>29874</v>
      </c>
      <c r="C14951" s="2" t="s">
        <v>27396</v>
      </c>
      <c r="D14951" s="2" t="s">
        <v>2551</v>
      </c>
      <c r="E14951" s="2" t="str">
        <f>"9783161619052"</f>
        <v>9783161619052</v>
      </c>
      <c r="F14951" s="2" t="str">
        <f>"9783161619069"</f>
        <v>9783161619069</v>
      </c>
    </row>
    <row r="14952" spans="1:6" s="3" customFormat="1" ht="29.1" customHeight="1" x14ac:dyDescent="0.25">
      <c r="A14952" s="2" t="s">
        <v>29875</v>
      </c>
      <c r="B14952" s="2" t="s">
        <v>29876</v>
      </c>
      <c r="C14952" s="2" t="s">
        <v>27396</v>
      </c>
      <c r="D14952" s="2" t="s">
        <v>3943</v>
      </c>
      <c r="E14952" s="2" t="str">
        <f>"9783161616716"</f>
        <v>9783161616716</v>
      </c>
      <c r="F14952" s="2" t="str">
        <f>"9783161616723"</f>
        <v>9783161616723</v>
      </c>
    </row>
    <row r="14953" spans="1:6" s="3" customFormat="1" ht="29.1" customHeight="1" x14ac:dyDescent="0.25">
      <c r="A14953" s="2" t="s">
        <v>29877</v>
      </c>
      <c r="B14953" s="2" t="s">
        <v>29878</v>
      </c>
      <c r="C14953" s="2" t="s">
        <v>27396</v>
      </c>
      <c r="D14953" s="2" t="s">
        <v>178</v>
      </c>
      <c r="E14953" s="2" t="str">
        <f>"9783161612466"</f>
        <v>9783161612466</v>
      </c>
      <c r="F14953" s="2" t="str">
        <f>"9783161612473"</f>
        <v>9783161612473</v>
      </c>
    </row>
    <row r="14954" spans="1:6" s="3" customFormat="1" ht="29.1" customHeight="1" x14ac:dyDescent="0.25">
      <c r="A14954" s="2" t="s">
        <v>29879</v>
      </c>
      <c r="B14954" s="2" t="s">
        <v>29880</v>
      </c>
      <c r="C14954" s="2" t="s">
        <v>29</v>
      </c>
      <c r="D14954" s="2" t="s">
        <v>462</v>
      </c>
      <c r="E14954" s="2" t="str">
        <f>"9789004525122"</f>
        <v>9789004525122</v>
      </c>
      <c r="F14954" s="2" t="str">
        <f>"9789004525139"</f>
        <v>9789004525139</v>
      </c>
    </row>
    <row r="14955" spans="1:6" s="3" customFormat="1" ht="29.1" customHeight="1" x14ac:dyDescent="0.25">
      <c r="A14955" s="2" t="s">
        <v>29881</v>
      </c>
      <c r="B14955" s="2" t="s">
        <v>8310</v>
      </c>
      <c r="C14955" s="2" t="s">
        <v>29</v>
      </c>
      <c r="D14955" s="2" t="s">
        <v>4160</v>
      </c>
      <c r="E14955" s="2" t="str">
        <f>"9789004523012"</f>
        <v>9789004523012</v>
      </c>
      <c r="F14955" s="2" t="str">
        <f>"9789004523029"</f>
        <v>9789004523029</v>
      </c>
    </row>
    <row r="14956" spans="1:6" s="3" customFormat="1" ht="29.1" customHeight="1" x14ac:dyDescent="0.25">
      <c r="A14956" s="2" t="s">
        <v>29882</v>
      </c>
      <c r="B14956" s="2" t="s">
        <v>29883</v>
      </c>
      <c r="C14956" s="2" t="s">
        <v>124</v>
      </c>
      <c r="D14956" s="2" t="s">
        <v>270</v>
      </c>
      <c r="E14956" s="2" t="str">
        <f>"9780367357573"</f>
        <v>9780367357573</v>
      </c>
      <c r="F14956" s="2" t="str">
        <f>"9781315159799"</f>
        <v>9781315159799</v>
      </c>
    </row>
    <row r="14957" spans="1:6" s="3" customFormat="1" ht="29.1" customHeight="1" x14ac:dyDescent="0.25">
      <c r="A14957" s="2" t="s">
        <v>29884</v>
      </c>
      <c r="B14957" s="2" t="s">
        <v>29885</v>
      </c>
      <c r="C14957" s="2" t="s">
        <v>3169</v>
      </c>
      <c r="D14957" s="2" t="s">
        <v>1717</v>
      </c>
      <c r="E14957" s="2" t="str">
        <f>"9781847013323"</f>
        <v>9781847013323</v>
      </c>
      <c r="F14957" s="2" t="str">
        <f>"9781800106321"</f>
        <v>9781800106321</v>
      </c>
    </row>
    <row r="14958" spans="1:6" s="3" customFormat="1" ht="29.1" customHeight="1" x14ac:dyDescent="0.25">
      <c r="A14958" s="2" t="s">
        <v>29886</v>
      </c>
      <c r="B14958" s="2" t="s">
        <v>29887</v>
      </c>
      <c r="C14958" s="2" t="s">
        <v>124</v>
      </c>
      <c r="D14958" s="2" t="s">
        <v>81</v>
      </c>
      <c r="E14958" s="2" t="str">
        <f>"9781032305790"</f>
        <v>9781032305790</v>
      </c>
      <c r="F14958" s="2" t="str">
        <f>"9780429468377"</f>
        <v>9780429468377</v>
      </c>
    </row>
    <row r="14959" spans="1:6" s="3" customFormat="1" ht="29.1" customHeight="1" x14ac:dyDescent="0.25">
      <c r="A14959" s="2" t="s">
        <v>29888</v>
      </c>
      <c r="B14959" s="2" t="s">
        <v>29889</v>
      </c>
      <c r="C14959" s="2" t="s">
        <v>149</v>
      </c>
      <c r="D14959" s="2" t="s">
        <v>18302</v>
      </c>
      <c r="E14959" s="2"/>
      <c r="F14959" s="2" t="str">
        <f>"9781800644007"</f>
        <v>9781800644007</v>
      </c>
    </row>
    <row r="14960" spans="1:6" s="3" customFormat="1" ht="29.1" customHeight="1" x14ac:dyDescent="0.25">
      <c r="A14960" s="2" t="s">
        <v>29890</v>
      </c>
      <c r="B14960" s="2" t="s">
        <v>29891</v>
      </c>
      <c r="C14960" s="2" t="s">
        <v>149</v>
      </c>
      <c r="D14960" s="2" t="s">
        <v>712</v>
      </c>
      <c r="E14960" s="2"/>
      <c r="F14960" s="2" t="str">
        <f>"9781800642386"</f>
        <v>9781800642386</v>
      </c>
    </row>
    <row r="14961" spans="1:6" s="3" customFormat="1" ht="29.1" customHeight="1" x14ac:dyDescent="0.25">
      <c r="A14961" s="2" t="s">
        <v>29892</v>
      </c>
      <c r="B14961" s="2" t="s">
        <v>29893</v>
      </c>
      <c r="C14961" s="2" t="s">
        <v>149</v>
      </c>
      <c r="D14961" s="2" t="s">
        <v>1104</v>
      </c>
      <c r="E14961" s="2"/>
      <c r="F14961" s="2" t="str">
        <f>"9781800647954"</f>
        <v>9781800647954</v>
      </c>
    </row>
    <row r="14962" spans="1:6" s="3" customFormat="1" ht="29.1" customHeight="1" x14ac:dyDescent="0.25">
      <c r="A14962" s="2" t="s">
        <v>29894</v>
      </c>
      <c r="B14962" s="2" t="s">
        <v>29895</v>
      </c>
      <c r="C14962" s="2" t="s">
        <v>149</v>
      </c>
      <c r="D14962" s="2" t="s">
        <v>919</v>
      </c>
      <c r="E14962" s="2"/>
      <c r="F14962" s="2" t="str">
        <f>"9781800647244"</f>
        <v>9781800647244</v>
      </c>
    </row>
    <row r="14963" spans="1:6" s="3" customFormat="1" ht="29.1" customHeight="1" x14ac:dyDescent="0.25">
      <c r="A14963" s="2" t="s">
        <v>29896</v>
      </c>
      <c r="B14963" s="2" t="s">
        <v>29898</v>
      </c>
      <c r="C14963" s="2" t="s">
        <v>149</v>
      </c>
      <c r="D14963" s="2" t="s">
        <v>29897</v>
      </c>
      <c r="E14963" s="2"/>
      <c r="F14963" s="2" t="str">
        <f>"9781800643642"</f>
        <v>9781800643642</v>
      </c>
    </row>
    <row r="14964" spans="1:6" s="3" customFormat="1" ht="29.1" customHeight="1" x14ac:dyDescent="0.25">
      <c r="A14964" s="2" t="s">
        <v>29899</v>
      </c>
      <c r="B14964" s="2" t="s">
        <v>29900</v>
      </c>
      <c r="C14964" s="2" t="s">
        <v>927</v>
      </c>
      <c r="D14964" s="2" t="s">
        <v>270</v>
      </c>
      <c r="E14964" s="2" t="str">
        <f>"9780472055500"</f>
        <v>9780472055500</v>
      </c>
      <c r="F14964" s="2" t="str">
        <f>"9780472902880"</f>
        <v>9780472902880</v>
      </c>
    </row>
    <row r="14965" spans="1:6" s="3" customFormat="1" ht="29.1" customHeight="1" x14ac:dyDescent="0.25">
      <c r="A14965" s="2" t="s">
        <v>29901</v>
      </c>
      <c r="B14965" s="2" t="s">
        <v>29902</v>
      </c>
      <c r="C14965" s="2" t="s">
        <v>927</v>
      </c>
      <c r="D14965" s="2" t="s">
        <v>210</v>
      </c>
      <c r="E14965" s="2" t="str">
        <f>"9780472055265"</f>
        <v>9780472055265</v>
      </c>
      <c r="F14965" s="2" t="str">
        <f>"9780472903610"</f>
        <v>9780472903610</v>
      </c>
    </row>
    <row r="14966" spans="1:6" s="3" customFormat="1" ht="29.1" customHeight="1" x14ac:dyDescent="0.25">
      <c r="A14966" s="2" t="s">
        <v>29903</v>
      </c>
      <c r="B14966" s="2" t="s">
        <v>29904</v>
      </c>
      <c r="C14966" s="2" t="s">
        <v>7395</v>
      </c>
      <c r="D14966" s="2" t="s">
        <v>49</v>
      </c>
      <c r="E14966" s="2" t="str">
        <f>"9780295750354"</f>
        <v>9780295750354</v>
      </c>
      <c r="F14966" s="2" t="str">
        <f>"9780295750378"</f>
        <v>9780295750378</v>
      </c>
    </row>
    <row r="14967" spans="1:6" s="3" customFormat="1" ht="29.1" customHeight="1" x14ac:dyDescent="0.25">
      <c r="A14967" s="2" t="s">
        <v>29905</v>
      </c>
      <c r="B14967" s="2" t="s">
        <v>29906</v>
      </c>
      <c r="C14967" s="2" t="s">
        <v>195</v>
      </c>
      <c r="D14967" s="2" t="s">
        <v>210</v>
      </c>
      <c r="E14967" s="2" t="str">
        <f>"9783110728149"</f>
        <v>9783110728149</v>
      </c>
      <c r="F14967" s="2" t="str">
        <f>"9783110776232"</f>
        <v>9783110776232</v>
      </c>
    </row>
    <row r="14968" spans="1:6" s="3" customFormat="1" ht="29.1" customHeight="1" x14ac:dyDescent="0.25">
      <c r="A14968" s="2" t="s">
        <v>29907</v>
      </c>
      <c r="B14968" s="2" t="s">
        <v>29908</v>
      </c>
      <c r="C14968" s="2" t="s">
        <v>195</v>
      </c>
      <c r="D14968" s="2" t="s">
        <v>98</v>
      </c>
      <c r="E14968" s="2" t="str">
        <f>"9783110992731"</f>
        <v>9783110992731</v>
      </c>
      <c r="F14968" s="2" t="str">
        <f>"9783110980967"</f>
        <v>9783110980967</v>
      </c>
    </row>
    <row r="14969" spans="1:6" s="3" customFormat="1" ht="29.1" customHeight="1" x14ac:dyDescent="0.25">
      <c r="A14969" s="2" t="s">
        <v>29909</v>
      </c>
      <c r="B14969" s="2" t="s">
        <v>29608</v>
      </c>
      <c r="C14969" s="2" t="s">
        <v>195</v>
      </c>
      <c r="D14969" s="2" t="s">
        <v>465</v>
      </c>
      <c r="E14969" s="2" t="str">
        <f>"9783110723243"</f>
        <v>9783110723243</v>
      </c>
      <c r="F14969" s="2" t="str">
        <f>"9783110724097"</f>
        <v>9783110724097</v>
      </c>
    </row>
    <row r="14970" spans="1:6" s="3" customFormat="1" ht="29.1" customHeight="1" x14ac:dyDescent="0.25">
      <c r="A14970" s="2" t="s">
        <v>29910</v>
      </c>
      <c r="B14970" s="2" t="s">
        <v>29911</v>
      </c>
      <c r="C14970" s="2" t="s">
        <v>195</v>
      </c>
      <c r="D14970" s="2" t="s">
        <v>297</v>
      </c>
      <c r="E14970" s="2" t="str">
        <f>"9783110763799"</f>
        <v>9783110763799</v>
      </c>
      <c r="F14970" s="2" t="str">
        <f>"9783110767483"</f>
        <v>9783110767483</v>
      </c>
    </row>
    <row r="14971" spans="1:6" s="3" customFormat="1" ht="29.1" customHeight="1" x14ac:dyDescent="0.25">
      <c r="A14971" s="2" t="s">
        <v>29912</v>
      </c>
      <c r="B14971" s="2" t="s">
        <v>29913</v>
      </c>
      <c r="C14971" s="2" t="s">
        <v>195</v>
      </c>
      <c r="D14971" s="2" t="s">
        <v>33</v>
      </c>
      <c r="E14971" s="2" t="str">
        <f>"9783110799552"</f>
        <v>9783110799552</v>
      </c>
      <c r="F14971" s="2" t="str">
        <f>"9783110799620"</f>
        <v>9783110799620</v>
      </c>
    </row>
    <row r="14972" spans="1:6" s="3" customFormat="1" ht="29.1" customHeight="1" x14ac:dyDescent="0.25">
      <c r="A14972" s="2" t="s">
        <v>29914</v>
      </c>
      <c r="B14972" s="2" t="s">
        <v>29915</v>
      </c>
      <c r="C14972" s="2" t="s">
        <v>195</v>
      </c>
      <c r="D14972" s="2" t="s">
        <v>465</v>
      </c>
      <c r="E14972" s="2" t="str">
        <f>"9783110754407"</f>
        <v>9783110754407</v>
      </c>
      <c r="F14972" s="2" t="str">
        <f>"9783110754483"</f>
        <v>9783110754483</v>
      </c>
    </row>
    <row r="14973" spans="1:6" s="3" customFormat="1" ht="29.1" customHeight="1" x14ac:dyDescent="0.25">
      <c r="A14973" s="2" t="s">
        <v>29916</v>
      </c>
      <c r="B14973" s="2" t="s">
        <v>29917</v>
      </c>
      <c r="C14973" s="2" t="s">
        <v>195</v>
      </c>
      <c r="D14973" s="2" t="s">
        <v>107</v>
      </c>
      <c r="E14973" s="2" t="str">
        <f>"9783110771299"</f>
        <v>9783110771299</v>
      </c>
      <c r="F14973" s="2" t="str">
        <f>"9783110771343"</f>
        <v>9783110771343</v>
      </c>
    </row>
    <row r="14974" spans="1:6" s="3" customFormat="1" ht="29.1" customHeight="1" x14ac:dyDescent="0.25">
      <c r="A14974" s="2" t="s">
        <v>29918</v>
      </c>
      <c r="B14974" s="2" t="s">
        <v>29919</v>
      </c>
      <c r="C14974" s="2" t="s">
        <v>195</v>
      </c>
      <c r="D14974" s="2" t="s">
        <v>196</v>
      </c>
      <c r="E14974" s="2" t="str">
        <f>"9783110717945"</f>
        <v>9783110717945</v>
      </c>
      <c r="F14974" s="2" t="str">
        <f>"9783110718034"</f>
        <v>9783110718034</v>
      </c>
    </row>
    <row r="14975" spans="1:6" s="3" customFormat="1" ht="29.1" customHeight="1" x14ac:dyDescent="0.25">
      <c r="A14975" s="2" t="s">
        <v>29920</v>
      </c>
      <c r="B14975" s="2" t="s">
        <v>29921</v>
      </c>
      <c r="C14975" s="2" t="s">
        <v>195</v>
      </c>
      <c r="D14975" s="2" t="s">
        <v>221</v>
      </c>
      <c r="E14975" s="2" t="str">
        <f>"9783110748604"</f>
        <v>9783110748604</v>
      </c>
      <c r="F14975" s="2" t="str">
        <f>"9783110749465"</f>
        <v>9783110749465</v>
      </c>
    </row>
    <row r="14976" spans="1:6" s="3" customFormat="1" ht="29.1" customHeight="1" x14ac:dyDescent="0.25">
      <c r="A14976" s="2" t="s">
        <v>29922</v>
      </c>
      <c r="B14976" s="2" t="s">
        <v>29923</v>
      </c>
      <c r="C14976" s="2" t="s">
        <v>195</v>
      </c>
      <c r="D14976" s="2" t="s">
        <v>1630</v>
      </c>
      <c r="E14976" s="2" t="str">
        <f>"9783110735130"</f>
        <v>9783110735130</v>
      </c>
      <c r="F14976" s="2" t="str">
        <f>"9783110731019"</f>
        <v>9783110731019</v>
      </c>
    </row>
    <row r="14977" spans="1:6" s="3" customFormat="1" ht="29.1" customHeight="1" x14ac:dyDescent="0.25">
      <c r="A14977" s="2" t="s">
        <v>29924</v>
      </c>
      <c r="B14977" s="2" t="s">
        <v>29925</v>
      </c>
      <c r="C14977" s="2" t="s">
        <v>124</v>
      </c>
      <c r="D14977" s="2" t="s">
        <v>2587</v>
      </c>
      <c r="E14977" s="2" t="str">
        <f>"9780367434823"</f>
        <v>9780367434823</v>
      </c>
      <c r="F14977" s="2" t="str">
        <f>"9781000732122"</f>
        <v>9781000732122</v>
      </c>
    </row>
    <row r="14978" spans="1:6" s="3" customFormat="1" ht="29.1" customHeight="1" x14ac:dyDescent="0.25">
      <c r="A14978" s="2" t="s">
        <v>29926</v>
      </c>
      <c r="B14978" s="2" t="s">
        <v>29927</v>
      </c>
      <c r="C14978" s="2" t="s">
        <v>124</v>
      </c>
      <c r="D14978" s="2" t="s">
        <v>86</v>
      </c>
      <c r="E14978" s="2" t="str">
        <f>"9781032243931"</f>
        <v>9781032243931</v>
      </c>
      <c r="F14978" s="2" t="str">
        <f>"9781000777871"</f>
        <v>9781000777871</v>
      </c>
    </row>
    <row r="14979" spans="1:6" s="3" customFormat="1" ht="29.1" customHeight="1" x14ac:dyDescent="0.25">
      <c r="A14979" s="2" t="s">
        <v>29928</v>
      </c>
      <c r="B14979" s="2" t="s">
        <v>29929</v>
      </c>
      <c r="C14979" s="2" t="s">
        <v>927</v>
      </c>
      <c r="D14979" s="2" t="s">
        <v>270</v>
      </c>
      <c r="E14979" s="2" t="str">
        <f>"9780472055371"</f>
        <v>9780472055371</v>
      </c>
      <c r="F14979" s="2" t="str">
        <f>"9780472902965"</f>
        <v>9780472902965</v>
      </c>
    </row>
    <row r="14980" spans="1:6" s="3" customFormat="1" ht="29.1" customHeight="1" x14ac:dyDescent="0.25">
      <c r="A14980" s="2" t="s">
        <v>29930</v>
      </c>
      <c r="B14980" s="2" t="s">
        <v>29931</v>
      </c>
      <c r="C14980" s="2" t="s">
        <v>2133</v>
      </c>
      <c r="D14980" s="2" t="s">
        <v>1432</v>
      </c>
      <c r="E14980" s="2" t="str">
        <f>"9781760465292"</f>
        <v>9781760465292</v>
      </c>
      <c r="F14980" s="2" t="str">
        <f>"9781760465308"</f>
        <v>9781760465308</v>
      </c>
    </row>
    <row r="14981" spans="1:6" s="3" customFormat="1" ht="29.1" customHeight="1" x14ac:dyDescent="0.25">
      <c r="A14981" s="2" t="s">
        <v>29932</v>
      </c>
      <c r="B14981" s="2" t="s">
        <v>29933</v>
      </c>
      <c r="C14981" s="2" t="s">
        <v>264</v>
      </c>
      <c r="D14981" s="2" t="s">
        <v>297</v>
      </c>
      <c r="E14981" s="2" t="str">
        <f>"9781032349275"</f>
        <v>9781032349275</v>
      </c>
      <c r="F14981" s="2" t="str">
        <f>"9781000785463"</f>
        <v>9781000785463</v>
      </c>
    </row>
    <row r="14982" spans="1:6" s="3" customFormat="1" ht="29.1" customHeight="1" x14ac:dyDescent="0.25">
      <c r="A14982" s="2" t="s">
        <v>29934</v>
      </c>
      <c r="B14982" s="2" t="s">
        <v>29935</v>
      </c>
      <c r="C14982" s="2" t="s">
        <v>124</v>
      </c>
      <c r="D14982" s="2" t="s">
        <v>5794</v>
      </c>
      <c r="E14982" s="2" t="str">
        <f>"9781032201924"</f>
        <v>9781032201924</v>
      </c>
      <c r="F14982" s="2" t="str">
        <f>"9781000782677"</f>
        <v>9781000782677</v>
      </c>
    </row>
    <row r="14983" spans="1:6" s="3" customFormat="1" ht="29.1" customHeight="1" x14ac:dyDescent="0.25">
      <c r="A14983" s="2" t="s">
        <v>29936</v>
      </c>
      <c r="B14983" s="2" t="s">
        <v>29937</v>
      </c>
      <c r="C14983" s="2" t="s">
        <v>62</v>
      </c>
      <c r="D14983" s="2" t="s">
        <v>1228</v>
      </c>
      <c r="E14983" s="2" t="str">
        <f>"9783428033782"</f>
        <v>9783428033782</v>
      </c>
      <c r="F14983" s="2" t="str">
        <f>"9783428433780"</f>
        <v>9783428433780</v>
      </c>
    </row>
    <row r="14984" spans="1:6" s="3" customFormat="1" ht="29.1" customHeight="1" x14ac:dyDescent="0.25">
      <c r="A14984" s="2" t="s">
        <v>29938</v>
      </c>
      <c r="B14984" s="2" t="s">
        <v>29939</v>
      </c>
      <c r="C14984" s="2" t="s">
        <v>62</v>
      </c>
      <c r="D14984" s="2" t="s">
        <v>1463</v>
      </c>
      <c r="E14984" s="2" t="str">
        <f>"9783428019243"</f>
        <v>9783428019243</v>
      </c>
      <c r="F14984" s="2" t="str">
        <f>"9783428419241"</f>
        <v>9783428419241</v>
      </c>
    </row>
    <row r="14985" spans="1:6" s="3" customFormat="1" ht="29.1" customHeight="1" x14ac:dyDescent="0.25">
      <c r="A14985" s="2" t="s">
        <v>29940</v>
      </c>
      <c r="B14985" s="2" t="s">
        <v>29941</v>
      </c>
      <c r="C14985" s="2" t="s">
        <v>62</v>
      </c>
      <c r="D14985" s="2" t="s">
        <v>6609</v>
      </c>
      <c r="E14985" s="2" t="str">
        <f>"9783428184910"</f>
        <v>9783428184910</v>
      </c>
      <c r="F14985" s="2" t="str">
        <f>"9783428584918"</f>
        <v>9783428584918</v>
      </c>
    </row>
    <row r="14986" spans="1:6" s="3" customFormat="1" ht="29.1" customHeight="1" x14ac:dyDescent="0.25">
      <c r="A14986" s="2" t="s">
        <v>29942</v>
      </c>
      <c r="B14986" s="2" t="s">
        <v>29943</v>
      </c>
      <c r="C14986" s="2" t="s">
        <v>62</v>
      </c>
      <c r="D14986" s="2" t="s">
        <v>1651</v>
      </c>
      <c r="E14986" s="2" t="str">
        <f>"9783428065356"</f>
        <v>9783428065356</v>
      </c>
      <c r="F14986" s="2" t="str">
        <f>"9783428465354"</f>
        <v>9783428465354</v>
      </c>
    </row>
    <row r="14987" spans="1:6" s="3" customFormat="1" ht="29.1" customHeight="1" x14ac:dyDescent="0.25">
      <c r="A14987" s="2" t="s">
        <v>29944</v>
      </c>
      <c r="B14987" s="2" t="s">
        <v>29943</v>
      </c>
      <c r="C14987" s="2" t="s">
        <v>62</v>
      </c>
      <c r="D14987" s="2" t="s">
        <v>1651</v>
      </c>
      <c r="E14987" s="2" t="str">
        <f>"9783428040315"</f>
        <v>9783428040315</v>
      </c>
      <c r="F14987" s="2" t="str">
        <f>"9783428440313"</f>
        <v>9783428440313</v>
      </c>
    </row>
    <row r="14988" spans="1:6" s="3" customFormat="1" ht="29.1" customHeight="1" x14ac:dyDescent="0.25">
      <c r="A14988" s="2" t="s">
        <v>29945</v>
      </c>
      <c r="B14988" s="2" t="s">
        <v>29946</v>
      </c>
      <c r="C14988" s="2" t="s">
        <v>62</v>
      </c>
      <c r="D14988" s="2" t="s">
        <v>4783</v>
      </c>
      <c r="E14988" s="2" t="str">
        <f>"9783428037216"</f>
        <v>9783428037216</v>
      </c>
      <c r="F14988" s="2" t="str">
        <f>"9783428437214"</f>
        <v>9783428437214</v>
      </c>
    </row>
    <row r="14989" spans="1:6" s="3" customFormat="1" ht="29.1" customHeight="1" x14ac:dyDescent="0.25">
      <c r="A14989" s="2" t="s">
        <v>29947</v>
      </c>
      <c r="B14989" s="2" t="s">
        <v>29948</v>
      </c>
      <c r="C14989" s="2" t="s">
        <v>62</v>
      </c>
      <c r="D14989" s="2" t="s">
        <v>1209</v>
      </c>
      <c r="E14989" s="2" t="str">
        <f>"9783428035236"</f>
        <v>9783428035236</v>
      </c>
      <c r="F14989" s="2" t="str">
        <f>"9783428435234"</f>
        <v>9783428435234</v>
      </c>
    </row>
    <row r="14990" spans="1:6" s="3" customFormat="1" ht="29.1" customHeight="1" x14ac:dyDescent="0.25">
      <c r="A14990" s="2" t="s">
        <v>29949</v>
      </c>
      <c r="B14990" s="2" t="s">
        <v>29950</v>
      </c>
      <c r="C14990" s="2" t="s">
        <v>195</v>
      </c>
      <c r="D14990" s="2" t="s">
        <v>465</v>
      </c>
      <c r="E14990" s="2" t="str">
        <f>"9783111000374"</f>
        <v>9783111000374</v>
      </c>
      <c r="F14990" s="2" t="str">
        <f>"9783110990799"</f>
        <v>9783110990799</v>
      </c>
    </row>
    <row r="14991" spans="1:6" s="3" customFormat="1" ht="29.1" customHeight="1" x14ac:dyDescent="0.25">
      <c r="A14991" s="2" t="s">
        <v>29951</v>
      </c>
      <c r="B14991" s="2" t="s">
        <v>29952</v>
      </c>
      <c r="C14991" s="2" t="s">
        <v>195</v>
      </c>
      <c r="D14991" s="2" t="s">
        <v>210</v>
      </c>
      <c r="E14991" s="2" t="str">
        <f>"9783110748611"</f>
        <v>9783110748611</v>
      </c>
      <c r="F14991" s="2" t="str">
        <f>"9783110748819"</f>
        <v>9783110748819</v>
      </c>
    </row>
    <row r="14992" spans="1:6" s="3" customFormat="1" ht="29.1" customHeight="1" x14ac:dyDescent="0.25">
      <c r="A14992" s="2" t="s">
        <v>29953</v>
      </c>
      <c r="B14992" s="2" t="s">
        <v>29954</v>
      </c>
      <c r="C14992" s="2" t="s">
        <v>195</v>
      </c>
      <c r="D14992" s="2" t="s">
        <v>284</v>
      </c>
      <c r="E14992" s="2" t="str">
        <f>"9783110767346"</f>
        <v>9783110767346</v>
      </c>
      <c r="F14992" s="2" t="str">
        <f>"9783110767377"</f>
        <v>9783110767377</v>
      </c>
    </row>
    <row r="14993" spans="1:6" s="3" customFormat="1" ht="29.1" customHeight="1" x14ac:dyDescent="0.25">
      <c r="A14993" s="2" t="s">
        <v>29955</v>
      </c>
      <c r="B14993" s="2" t="s">
        <v>29956</v>
      </c>
      <c r="C14993" s="2" t="s">
        <v>195</v>
      </c>
      <c r="D14993" s="2" t="s">
        <v>5671</v>
      </c>
      <c r="E14993" s="2" t="str">
        <f>"9783110758443"</f>
        <v>9783110758443</v>
      </c>
      <c r="F14993" s="2" t="str">
        <f>"9783110761160"</f>
        <v>9783110761160</v>
      </c>
    </row>
    <row r="14994" spans="1:6" s="3" customFormat="1" ht="29.1" customHeight="1" x14ac:dyDescent="0.25">
      <c r="A14994" s="2" t="s">
        <v>29957</v>
      </c>
      <c r="B14994" s="2" t="s">
        <v>29958</v>
      </c>
      <c r="C14994" s="2" t="s">
        <v>195</v>
      </c>
      <c r="D14994" s="2" t="s">
        <v>1049</v>
      </c>
      <c r="E14994" s="2" t="str">
        <f>"9783110693904"</f>
        <v>9783110693904</v>
      </c>
      <c r="F14994" s="2" t="str">
        <f>"9783110693928"</f>
        <v>9783110693928</v>
      </c>
    </row>
    <row r="14995" spans="1:6" s="3" customFormat="1" ht="29.1" customHeight="1" x14ac:dyDescent="0.25">
      <c r="A14995" s="2" t="s">
        <v>29959</v>
      </c>
      <c r="B14995" s="2" t="s">
        <v>29960</v>
      </c>
      <c r="C14995" s="2" t="s">
        <v>195</v>
      </c>
      <c r="D14995" s="2" t="s">
        <v>465</v>
      </c>
      <c r="E14995" s="2" t="str">
        <f>"9783110760927"</f>
        <v>9783110760927</v>
      </c>
      <c r="F14995" s="2" t="str">
        <f>"9783110761122"</f>
        <v>9783110761122</v>
      </c>
    </row>
    <row r="14996" spans="1:6" s="3" customFormat="1" ht="29.1" customHeight="1" x14ac:dyDescent="0.25">
      <c r="A14996" s="2" t="s">
        <v>29961</v>
      </c>
      <c r="B14996" s="2" t="s">
        <v>29962</v>
      </c>
      <c r="C14996" s="2" t="s">
        <v>29</v>
      </c>
      <c r="D14996" s="2" t="s">
        <v>9</v>
      </c>
      <c r="E14996" s="2" t="str">
        <f>"9789004532632"</f>
        <v>9789004532632</v>
      </c>
      <c r="F14996" s="2" t="str">
        <f>"9789004532649"</f>
        <v>9789004532649</v>
      </c>
    </row>
    <row r="14997" spans="1:6" s="3" customFormat="1" ht="29.1" customHeight="1" x14ac:dyDescent="0.25">
      <c r="A14997" s="2" t="s">
        <v>29963</v>
      </c>
      <c r="B14997" s="2" t="s">
        <v>29964</v>
      </c>
      <c r="C14997" s="2" t="s">
        <v>248</v>
      </c>
      <c r="D14997" s="2" t="s">
        <v>490</v>
      </c>
      <c r="E14997" s="2" t="str">
        <f>"9783847425205"</f>
        <v>9783847425205</v>
      </c>
      <c r="F14997" s="2" t="str">
        <f>"9783847417200"</f>
        <v>9783847417200</v>
      </c>
    </row>
    <row r="14998" spans="1:6" s="3" customFormat="1" ht="29.1" customHeight="1" x14ac:dyDescent="0.25">
      <c r="A14998" s="2" t="s">
        <v>29965</v>
      </c>
      <c r="B14998" s="2" t="s">
        <v>11925</v>
      </c>
      <c r="C14998" s="2" t="s">
        <v>124</v>
      </c>
      <c r="D14998" s="2" t="s">
        <v>11924</v>
      </c>
      <c r="E14998" s="2" t="str">
        <f>"9781032362366"</f>
        <v>9781032362366</v>
      </c>
      <c r="F14998" s="2" t="str">
        <f>"9781000818666"</f>
        <v>9781000818666</v>
      </c>
    </row>
    <row r="14999" spans="1:6" s="3" customFormat="1" ht="29.1" customHeight="1" x14ac:dyDescent="0.25">
      <c r="A14999" s="2" t="s">
        <v>29966</v>
      </c>
      <c r="B14999" s="2" t="s">
        <v>29967</v>
      </c>
      <c r="C14999" s="2" t="s">
        <v>124</v>
      </c>
      <c r="D14999" s="2" t="s">
        <v>5758</v>
      </c>
      <c r="E14999" s="2" t="str">
        <f>"9781032347752"</f>
        <v>9781032347752</v>
      </c>
      <c r="F14999" s="2" t="str">
        <f>"9781000774818"</f>
        <v>9781000774818</v>
      </c>
    </row>
    <row r="15000" spans="1:6" s="3" customFormat="1" ht="29.1" customHeight="1" x14ac:dyDescent="0.25">
      <c r="A15000" s="2" t="s">
        <v>29968</v>
      </c>
      <c r="B15000" s="2" t="s">
        <v>29969</v>
      </c>
      <c r="C15000" s="2" t="s">
        <v>8040</v>
      </c>
      <c r="D15000" s="2" t="s">
        <v>459</v>
      </c>
      <c r="E15000" s="2" t="str">
        <f>"9781800412996"</f>
        <v>9781800412996</v>
      </c>
      <c r="F15000" s="2" t="str">
        <f>"9781800413009"</f>
        <v>9781800413009</v>
      </c>
    </row>
    <row r="15001" spans="1:6" s="3" customFormat="1" ht="29.1" customHeight="1" x14ac:dyDescent="0.25">
      <c r="A15001" s="2" t="s">
        <v>29970</v>
      </c>
      <c r="B15001" s="2" t="s">
        <v>29971</v>
      </c>
      <c r="C15001" s="2" t="s">
        <v>746</v>
      </c>
      <c r="D15001" s="2" t="s">
        <v>606</v>
      </c>
      <c r="E15001" s="2" t="str">
        <f>"9781803273631"</f>
        <v>9781803273631</v>
      </c>
      <c r="F15001" s="2" t="str">
        <f>"9781803273648"</f>
        <v>9781803273648</v>
      </c>
    </row>
    <row r="15002" spans="1:6" s="3" customFormat="1" ht="29.1" customHeight="1" x14ac:dyDescent="0.25">
      <c r="A15002" s="2" t="s">
        <v>29972</v>
      </c>
      <c r="B15002" s="2" t="s">
        <v>29973</v>
      </c>
      <c r="C15002" s="2" t="s">
        <v>746</v>
      </c>
      <c r="D15002" s="2" t="s">
        <v>7858</v>
      </c>
      <c r="E15002" s="2" t="str">
        <f>"9781803273167"</f>
        <v>9781803273167</v>
      </c>
      <c r="F15002" s="2" t="str">
        <f>"9781803273174"</f>
        <v>9781803273174</v>
      </c>
    </row>
    <row r="15003" spans="1:6" s="3" customFormat="1" ht="29.1" customHeight="1" x14ac:dyDescent="0.25">
      <c r="A15003" s="2" t="s">
        <v>29974</v>
      </c>
      <c r="B15003" s="2" t="s">
        <v>29975</v>
      </c>
      <c r="C15003" s="2" t="s">
        <v>36</v>
      </c>
      <c r="D15003" s="2" t="s">
        <v>4190</v>
      </c>
      <c r="E15003" s="2" t="str">
        <f>"9781529225655"</f>
        <v>9781529225655</v>
      </c>
      <c r="F15003" s="2" t="str">
        <f>"9781529225679"</f>
        <v>9781529225679</v>
      </c>
    </row>
    <row r="15004" spans="1:6" s="3" customFormat="1" ht="29.1" customHeight="1" x14ac:dyDescent="0.25">
      <c r="A15004" s="2" t="s">
        <v>29976</v>
      </c>
      <c r="B15004" s="2" t="s">
        <v>29977</v>
      </c>
      <c r="C15004" s="2" t="s">
        <v>124</v>
      </c>
      <c r="D15004" s="2" t="s">
        <v>339</v>
      </c>
      <c r="E15004" s="2" t="str">
        <f>"9781032035604"</f>
        <v>9781032035604</v>
      </c>
      <c r="F15004" s="2" t="str">
        <f>"9781000801200"</f>
        <v>9781000801200</v>
      </c>
    </row>
    <row r="15005" spans="1:6" s="3" customFormat="1" ht="29.1" customHeight="1" x14ac:dyDescent="0.25">
      <c r="A15005" s="2" t="s">
        <v>29978</v>
      </c>
      <c r="B15005" s="2" t="s">
        <v>29979</v>
      </c>
      <c r="C15005" s="2" t="s">
        <v>124</v>
      </c>
      <c r="D15005" s="2" t="s">
        <v>334</v>
      </c>
      <c r="E15005" s="2" t="str">
        <f>"9780367767075"</f>
        <v>9780367767075</v>
      </c>
      <c r="F15005" s="2" t="str">
        <f>"9781000772371"</f>
        <v>9781000772371</v>
      </c>
    </row>
    <row r="15006" spans="1:6" s="3" customFormat="1" ht="29.1" customHeight="1" x14ac:dyDescent="0.25">
      <c r="A15006" s="2" t="s">
        <v>29980</v>
      </c>
      <c r="B15006" s="2" t="s">
        <v>29981</v>
      </c>
      <c r="C15006" s="2" t="s">
        <v>927</v>
      </c>
      <c r="D15006" s="2" t="s">
        <v>270</v>
      </c>
      <c r="E15006" s="2" t="str">
        <f>"9780472055531"</f>
        <v>9780472055531</v>
      </c>
      <c r="F15006" s="2" t="str">
        <f>"9780472902910"</f>
        <v>9780472902910</v>
      </c>
    </row>
    <row r="15007" spans="1:6" s="3" customFormat="1" ht="29.1" customHeight="1" x14ac:dyDescent="0.25">
      <c r="A15007" s="2" t="s">
        <v>29982</v>
      </c>
      <c r="B15007" s="2" t="s">
        <v>29983</v>
      </c>
      <c r="C15007" s="2" t="s">
        <v>4788</v>
      </c>
      <c r="D15007" s="2" t="s">
        <v>3993</v>
      </c>
      <c r="E15007" s="2" t="str">
        <f>"9781474487641"</f>
        <v>9781474487641</v>
      </c>
      <c r="F15007" s="2" t="str">
        <f>"9781474487665"</f>
        <v>9781474487665</v>
      </c>
    </row>
    <row r="15008" spans="1:6" s="3" customFormat="1" ht="29.1" customHeight="1" x14ac:dyDescent="0.25">
      <c r="A15008" s="2" t="s">
        <v>29984</v>
      </c>
      <c r="B15008" s="2" t="s">
        <v>29985</v>
      </c>
      <c r="C15008" s="2" t="s">
        <v>4788</v>
      </c>
      <c r="D15008" s="2" t="s">
        <v>162</v>
      </c>
      <c r="E15008" s="2" t="str">
        <f>"9781474482424"</f>
        <v>9781474482424</v>
      </c>
      <c r="F15008" s="2" t="str">
        <f>"9781474482448"</f>
        <v>9781474482448</v>
      </c>
    </row>
    <row r="15009" spans="1:6" s="3" customFormat="1" ht="29.1" customHeight="1" x14ac:dyDescent="0.25">
      <c r="A15009" s="2" t="s">
        <v>29986</v>
      </c>
      <c r="B15009" s="2" t="s">
        <v>9742</v>
      </c>
      <c r="C15009" s="2" t="s">
        <v>4788</v>
      </c>
      <c r="D15009" s="2" t="s">
        <v>10410</v>
      </c>
      <c r="E15009" s="2" t="str">
        <f>"9781474479561"</f>
        <v>9781474479561</v>
      </c>
      <c r="F15009" s="2" t="str">
        <f>"9781474479585"</f>
        <v>9781474479585</v>
      </c>
    </row>
    <row r="15010" spans="1:6" s="3" customFormat="1" ht="29.1" customHeight="1" x14ac:dyDescent="0.25">
      <c r="A15010" s="2" t="s">
        <v>29987</v>
      </c>
      <c r="B15010" s="2" t="s">
        <v>29988</v>
      </c>
      <c r="C15010" s="2" t="s">
        <v>3169</v>
      </c>
      <c r="D15010" s="2" t="s">
        <v>12164</v>
      </c>
      <c r="E15010" s="2"/>
      <c r="F15010" s="2" t="str">
        <f>"9781800105621"</f>
        <v>9781800105621</v>
      </c>
    </row>
    <row r="15011" spans="1:6" s="3" customFormat="1" ht="29.1" customHeight="1" x14ac:dyDescent="0.25">
      <c r="A15011" s="2" t="s">
        <v>29989</v>
      </c>
      <c r="B15011" s="2" t="s">
        <v>29990</v>
      </c>
      <c r="C15011" s="2" t="s">
        <v>124</v>
      </c>
      <c r="D15011" s="2" t="s">
        <v>1189</v>
      </c>
      <c r="E15011" s="2" t="str">
        <f>"9781032299037"</f>
        <v>9781032299037</v>
      </c>
      <c r="F15011" s="2" t="str">
        <f>"9781000774672"</f>
        <v>9781000774672</v>
      </c>
    </row>
    <row r="15012" spans="1:6" s="3" customFormat="1" ht="29.1" customHeight="1" x14ac:dyDescent="0.25">
      <c r="A15012" s="2" t="s">
        <v>29991</v>
      </c>
      <c r="B15012" s="2" t="s">
        <v>29992</v>
      </c>
      <c r="C15012" s="2" t="s">
        <v>124</v>
      </c>
      <c r="D15012" s="2" t="s">
        <v>3379</v>
      </c>
      <c r="E15012" s="2" t="str">
        <f>"9781032286143"</f>
        <v>9781032286143</v>
      </c>
      <c r="F15012" s="2" t="str">
        <f>"9781000683806"</f>
        <v>9781000683806</v>
      </c>
    </row>
    <row r="15013" spans="1:6" s="3" customFormat="1" ht="29.1" customHeight="1" x14ac:dyDescent="0.25">
      <c r="A15013" s="2" t="s">
        <v>29993</v>
      </c>
      <c r="B15013" s="2" t="s">
        <v>29994</v>
      </c>
      <c r="C15013" s="2" t="s">
        <v>124</v>
      </c>
      <c r="D15013" s="2" t="s">
        <v>334</v>
      </c>
      <c r="E15013" s="2" t="str">
        <f>"9781032213231"</f>
        <v>9781032213231</v>
      </c>
      <c r="F15013" s="2" t="str">
        <f>"9781000777857"</f>
        <v>9781000777857</v>
      </c>
    </row>
    <row r="15014" spans="1:6" s="3" customFormat="1" ht="29.1" customHeight="1" x14ac:dyDescent="0.25">
      <c r="A15014" s="2" t="s">
        <v>29995</v>
      </c>
      <c r="B15014" s="2" t="s">
        <v>29996</v>
      </c>
      <c r="C15014" s="2" t="s">
        <v>124</v>
      </c>
      <c r="D15014" s="2" t="s">
        <v>5383</v>
      </c>
      <c r="E15014" s="2" t="str">
        <f>"9780367524012"</f>
        <v>9780367524012</v>
      </c>
      <c r="F15014" s="2" t="str">
        <f>"9781000644494"</f>
        <v>9781000644494</v>
      </c>
    </row>
    <row r="15015" spans="1:6" s="3" customFormat="1" ht="29.1" customHeight="1" x14ac:dyDescent="0.25">
      <c r="A15015" s="2" t="s">
        <v>29997</v>
      </c>
      <c r="B15015" s="2" t="s">
        <v>29998</v>
      </c>
      <c r="C15015" s="2" t="s">
        <v>124</v>
      </c>
      <c r="D15015" s="2" t="s">
        <v>2404</v>
      </c>
      <c r="E15015" s="2" t="str">
        <f>"9781138577626"</f>
        <v>9781138577626</v>
      </c>
      <c r="F15015" s="2" t="str">
        <f>"9781351266468"</f>
        <v>9781351266468</v>
      </c>
    </row>
    <row r="15016" spans="1:6" s="3" customFormat="1" ht="29.1" customHeight="1" x14ac:dyDescent="0.25">
      <c r="A15016" s="2" t="s">
        <v>29999</v>
      </c>
      <c r="B15016" s="2" t="s">
        <v>30000</v>
      </c>
      <c r="C15016" s="2" t="s">
        <v>27396</v>
      </c>
      <c r="D15016" s="2" t="s">
        <v>2551</v>
      </c>
      <c r="E15016" s="2" t="str">
        <f>"9783161617416"</f>
        <v>9783161617416</v>
      </c>
      <c r="F15016" s="2" t="str">
        <f>"9783161617423"</f>
        <v>9783161617423</v>
      </c>
    </row>
    <row r="15017" spans="1:6" s="3" customFormat="1" ht="29.1" customHeight="1" x14ac:dyDescent="0.25">
      <c r="A15017" s="2" t="s">
        <v>30001</v>
      </c>
      <c r="B15017" s="2" t="s">
        <v>30002</v>
      </c>
      <c r="C15017" s="2" t="s">
        <v>124</v>
      </c>
      <c r="D15017" s="2" t="s">
        <v>871</v>
      </c>
      <c r="E15017" s="2" t="str">
        <f>"9789463724562"</f>
        <v>9789463724562</v>
      </c>
      <c r="F15017" s="2" t="str">
        <f>"9789048554621"</f>
        <v>9789048554621</v>
      </c>
    </row>
    <row r="15018" spans="1:6" s="3" customFormat="1" ht="29.1" customHeight="1" x14ac:dyDescent="0.25">
      <c r="A15018" s="2" t="s">
        <v>30003</v>
      </c>
      <c r="B15018" s="2" t="s">
        <v>30004</v>
      </c>
      <c r="C15018" s="2" t="s">
        <v>2133</v>
      </c>
      <c r="D15018" s="2" t="s">
        <v>1228</v>
      </c>
      <c r="E15018" s="2" t="str">
        <f>"9781760465315"</f>
        <v>9781760465315</v>
      </c>
      <c r="F15018" s="2" t="str">
        <f>"9781760465322"</f>
        <v>9781760465322</v>
      </c>
    </row>
    <row r="15019" spans="1:6" s="3" customFormat="1" ht="29.1" customHeight="1" x14ac:dyDescent="0.25">
      <c r="A15019" s="2" t="s">
        <v>30005</v>
      </c>
      <c r="B15019" s="2" t="s">
        <v>30006</v>
      </c>
      <c r="C15019" s="2" t="s">
        <v>4104</v>
      </c>
      <c r="D15019" s="2" t="s">
        <v>1411</v>
      </c>
      <c r="E15019" s="2" t="str">
        <f>"9781802070590"</f>
        <v>9781802070590</v>
      </c>
      <c r="F15019" s="2" t="str">
        <f>"9781802071122"</f>
        <v>9781802071122</v>
      </c>
    </row>
    <row r="15020" spans="1:6" s="3" customFormat="1" ht="29.1" customHeight="1" x14ac:dyDescent="0.25">
      <c r="A15020" s="2" t="s">
        <v>30007</v>
      </c>
      <c r="B15020" s="2" t="s">
        <v>30008</v>
      </c>
      <c r="C15020" s="2" t="s">
        <v>4104</v>
      </c>
      <c r="D15020" s="2" t="s">
        <v>218</v>
      </c>
      <c r="E15020" s="2" t="str">
        <f>"9781802077254"</f>
        <v>9781802077254</v>
      </c>
      <c r="F15020" s="2" t="str">
        <f>"9781802079067"</f>
        <v>9781802079067</v>
      </c>
    </row>
    <row r="15021" spans="1:6" s="3" customFormat="1" ht="29.1" customHeight="1" x14ac:dyDescent="0.25">
      <c r="A15021" s="2" t="s">
        <v>30009</v>
      </c>
      <c r="B15021" s="2" t="s">
        <v>30010</v>
      </c>
      <c r="C15021" s="2" t="s">
        <v>195</v>
      </c>
      <c r="D15021" s="2" t="s">
        <v>446</v>
      </c>
      <c r="E15021" s="2" t="str">
        <f>"9783110692662"</f>
        <v>9783110692662</v>
      </c>
      <c r="F15021" s="2" t="str">
        <f>"9783110719956"</f>
        <v>9783110719956</v>
      </c>
    </row>
    <row r="15022" spans="1:6" s="3" customFormat="1" ht="29.1" customHeight="1" x14ac:dyDescent="0.25">
      <c r="A15022" s="2" t="s">
        <v>30011</v>
      </c>
      <c r="B15022" s="2" t="s">
        <v>30012</v>
      </c>
      <c r="C15022" s="2" t="s">
        <v>195</v>
      </c>
      <c r="D15022" s="2" t="s">
        <v>8388</v>
      </c>
      <c r="E15022" s="2" t="str">
        <f>"9783110795912"</f>
        <v>9783110795912</v>
      </c>
      <c r="F15022" s="2" t="str">
        <f>"9783110795936"</f>
        <v>9783110795936</v>
      </c>
    </row>
    <row r="15023" spans="1:6" s="3" customFormat="1" ht="29.1" customHeight="1" x14ac:dyDescent="0.25">
      <c r="A15023" s="2" t="s">
        <v>30013</v>
      </c>
      <c r="B15023" s="2" t="s">
        <v>30014</v>
      </c>
      <c r="C15023" s="2" t="s">
        <v>195</v>
      </c>
      <c r="D15023" s="2" t="s">
        <v>33</v>
      </c>
      <c r="E15023" s="2" t="str">
        <f>"9783110741681"</f>
        <v>9783110741681</v>
      </c>
      <c r="F15023" s="2" t="str">
        <f>"9783110741773"</f>
        <v>9783110741773</v>
      </c>
    </row>
    <row r="15024" spans="1:6" s="3" customFormat="1" ht="29.1" customHeight="1" x14ac:dyDescent="0.25">
      <c r="A15024" s="2" t="s">
        <v>30015</v>
      </c>
      <c r="B15024" s="2" t="s">
        <v>30016</v>
      </c>
      <c r="C15024" s="2" t="s">
        <v>195</v>
      </c>
      <c r="D15024" s="2" t="s">
        <v>465</v>
      </c>
      <c r="E15024" s="2" t="str">
        <f>"9783110761016"</f>
        <v>9783110761016</v>
      </c>
      <c r="F15024" s="2" t="str">
        <f>"9783110761047"</f>
        <v>9783110761047</v>
      </c>
    </row>
    <row r="15025" spans="1:6" s="3" customFormat="1" ht="29.1" customHeight="1" x14ac:dyDescent="0.25">
      <c r="A15025" s="2" t="s">
        <v>30017</v>
      </c>
      <c r="B15025" s="2" t="s">
        <v>30019</v>
      </c>
      <c r="C15025" s="2" t="s">
        <v>195</v>
      </c>
      <c r="D15025" s="2" t="s">
        <v>30018</v>
      </c>
      <c r="E15025" s="2" t="str">
        <f>"9783110692686"</f>
        <v>9783110692686</v>
      </c>
      <c r="F15025" s="2" t="str">
        <f>"9783110725322"</f>
        <v>9783110725322</v>
      </c>
    </row>
    <row r="15026" spans="1:6" s="3" customFormat="1" ht="29.1" customHeight="1" x14ac:dyDescent="0.25">
      <c r="A15026" s="2" t="s">
        <v>30020</v>
      </c>
      <c r="B15026" s="2" t="s">
        <v>30021</v>
      </c>
      <c r="C15026" s="2" t="s">
        <v>195</v>
      </c>
      <c r="D15026" s="2" t="s">
        <v>446</v>
      </c>
      <c r="E15026" s="2" t="str">
        <f>"9783110742732"</f>
        <v>9783110742732</v>
      </c>
      <c r="F15026" s="2" t="str">
        <f>"9783110742756"</f>
        <v>9783110742756</v>
      </c>
    </row>
    <row r="15027" spans="1:6" s="3" customFormat="1" ht="29.1" customHeight="1" x14ac:dyDescent="0.25">
      <c r="A15027" s="2" t="s">
        <v>30022</v>
      </c>
      <c r="B15027" s="2" t="s">
        <v>30023</v>
      </c>
      <c r="C15027" s="2" t="s">
        <v>195</v>
      </c>
      <c r="D15027" s="2" t="s">
        <v>1183</v>
      </c>
      <c r="E15027" s="2" t="str">
        <f>"9783110784879"</f>
        <v>9783110784879</v>
      </c>
      <c r="F15027" s="2" t="str">
        <f>"9783110785302"</f>
        <v>9783110785302</v>
      </c>
    </row>
    <row r="15028" spans="1:6" s="3" customFormat="1" ht="29.1" customHeight="1" x14ac:dyDescent="0.25">
      <c r="A15028" s="2" t="s">
        <v>30024</v>
      </c>
      <c r="B15028" s="2" t="s">
        <v>30025</v>
      </c>
      <c r="C15028" s="2" t="s">
        <v>195</v>
      </c>
      <c r="D15028" s="2" t="s">
        <v>118</v>
      </c>
      <c r="E15028" s="2" t="str">
        <f>"9783110767216"</f>
        <v>9783110767216</v>
      </c>
      <c r="F15028" s="2" t="str">
        <f>"9783110768084"</f>
        <v>9783110768084</v>
      </c>
    </row>
    <row r="15029" spans="1:6" s="3" customFormat="1" ht="29.1" customHeight="1" x14ac:dyDescent="0.25">
      <c r="A15029" s="2" t="s">
        <v>30026</v>
      </c>
      <c r="B15029" s="2" t="s">
        <v>30027</v>
      </c>
      <c r="C15029" s="2" t="s">
        <v>195</v>
      </c>
      <c r="D15029" s="2" t="s">
        <v>462</v>
      </c>
      <c r="E15029" s="2" t="str">
        <f>"9783110710922"</f>
        <v>9783110710922</v>
      </c>
      <c r="F15029" s="2" t="str">
        <f>"9783110711554"</f>
        <v>9783110711554</v>
      </c>
    </row>
    <row r="15030" spans="1:6" s="3" customFormat="1" ht="29.1" customHeight="1" x14ac:dyDescent="0.25">
      <c r="A15030" s="2" t="s">
        <v>30028</v>
      </c>
      <c r="B15030" s="2" t="s">
        <v>30029</v>
      </c>
      <c r="C15030" s="2" t="s">
        <v>195</v>
      </c>
      <c r="D15030" s="2" t="s">
        <v>6564</v>
      </c>
      <c r="E15030" s="2" t="str">
        <f>"9783110665543"</f>
        <v>9783110665543</v>
      </c>
      <c r="F15030" s="2" t="str">
        <f>"9783110665703"</f>
        <v>9783110665703</v>
      </c>
    </row>
    <row r="15031" spans="1:6" s="3" customFormat="1" ht="29.1" customHeight="1" x14ac:dyDescent="0.25">
      <c r="A15031" s="2" t="s">
        <v>30030</v>
      </c>
      <c r="B15031" s="2" t="s">
        <v>30031</v>
      </c>
      <c r="C15031" s="2" t="s">
        <v>62</v>
      </c>
      <c r="D15031" s="2" t="s">
        <v>2153</v>
      </c>
      <c r="E15031" s="2" t="str">
        <f>"9783428186600"</f>
        <v>9783428186600</v>
      </c>
      <c r="F15031" s="2" t="str">
        <f>"9783428586608"</f>
        <v>9783428586608</v>
      </c>
    </row>
    <row r="15032" spans="1:6" s="3" customFormat="1" ht="29.1" customHeight="1" x14ac:dyDescent="0.25">
      <c r="A15032" s="2" t="s">
        <v>30032</v>
      </c>
      <c r="B15032" s="2" t="s">
        <v>30033</v>
      </c>
      <c r="C15032" s="2" t="s">
        <v>62</v>
      </c>
      <c r="D15032" s="2" t="s">
        <v>6464</v>
      </c>
      <c r="E15032" s="2" t="str">
        <f>"9783428186310"</f>
        <v>9783428186310</v>
      </c>
      <c r="F15032" s="2" t="str">
        <f>"9783428586318"</f>
        <v>9783428586318</v>
      </c>
    </row>
    <row r="15033" spans="1:6" s="3" customFormat="1" ht="29.1" customHeight="1" x14ac:dyDescent="0.25">
      <c r="A15033" s="2" t="s">
        <v>30034</v>
      </c>
      <c r="B15033" s="2" t="s">
        <v>30035</v>
      </c>
      <c r="C15033" s="2" t="s">
        <v>62</v>
      </c>
      <c r="D15033" s="2" t="s">
        <v>2153</v>
      </c>
      <c r="E15033" s="2" t="str">
        <f>"9783428185436"</f>
        <v>9783428185436</v>
      </c>
      <c r="F15033" s="2" t="str">
        <f>"9783428585434"</f>
        <v>9783428585434</v>
      </c>
    </row>
    <row r="15034" spans="1:6" s="3" customFormat="1" ht="29.1" customHeight="1" x14ac:dyDescent="0.25">
      <c r="A15034" s="2" t="s">
        <v>30036</v>
      </c>
      <c r="B15034" s="2" t="s">
        <v>30037</v>
      </c>
      <c r="C15034" s="2" t="s">
        <v>746</v>
      </c>
      <c r="D15034" s="2" t="s">
        <v>4185</v>
      </c>
      <c r="E15034" s="2" t="str">
        <f>"9781803271743"</f>
        <v>9781803271743</v>
      </c>
      <c r="F15034" s="2" t="str">
        <f>"9781803271750"</f>
        <v>9781803271750</v>
      </c>
    </row>
    <row r="15035" spans="1:6" s="3" customFormat="1" ht="29.1" customHeight="1" x14ac:dyDescent="0.25">
      <c r="A15035" s="2" t="s">
        <v>30038</v>
      </c>
      <c r="B15035" s="2" t="s">
        <v>30039</v>
      </c>
      <c r="C15035" s="2" t="s">
        <v>746</v>
      </c>
      <c r="D15035" s="2" t="s">
        <v>4185</v>
      </c>
      <c r="E15035" s="2" t="str">
        <f>"9781803273044"</f>
        <v>9781803273044</v>
      </c>
      <c r="F15035" s="2" t="str">
        <f>"9781803273051"</f>
        <v>9781803273051</v>
      </c>
    </row>
    <row r="15036" spans="1:6" s="3" customFormat="1" ht="29.1" customHeight="1" x14ac:dyDescent="0.25">
      <c r="A15036" s="2" t="s">
        <v>30040</v>
      </c>
      <c r="B15036" s="2" t="s">
        <v>30041</v>
      </c>
      <c r="C15036" s="2" t="s">
        <v>746</v>
      </c>
      <c r="D15036" s="2" t="s">
        <v>4185</v>
      </c>
      <c r="E15036" s="2" t="str">
        <f>"9781803272641"</f>
        <v>9781803272641</v>
      </c>
      <c r="F15036" s="2" t="str">
        <f>"9781803272658"</f>
        <v>9781803272658</v>
      </c>
    </row>
    <row r="15037" spans="1:6" s="3" customFormat="1" ht="29.1" customHeight="1" x14ac:dyDescent="0.25">
      <c r="A15037" s="2" t="s">
        <v>30042</v>
      </c>
      <c r="B15037" s="2" t="s">
        <v>30043</v>
      </c>
      <c r="C15037" s="2" t="s">
        <v>746</v>
      </c>
      <c r="D15037" s="2" t="s">
        <v>606</v>
      </c>
      <c r="E15037" s="2" t="str">
        <f>"9781803273402"</f>
        <v>9781803273402</v>
      </c>
      <c r="F15037" s="2" t="str">
        <f>"9781803273419"</f>
        <v>9781803273419</v>
      </c>
    </row>
    <row r="15038" spans="1:6" s="3" customFormat="1" ht="29.1" customHeight="1" x14ac:dyDescent="0.25">
      <c r="A15038" s="2" t="s">
        <v>30044</v>
      </c>
      <c r="B15038" s="2" t="s">
        <v>30045</v>
      </c>
      <c r="C15038" s="2" t="s">
        <v>746</v>
      </c>
      <c r="D15038" s="2" t="s">
        <v>4185</v>
      </c>
      <c r="E15038" s="2" t="str">
        <f>"9781803272917"</f>
        <v>9781803272917</v>
      </c>
      <c r="F15038" s="2" t="str">
        <f>"9781803272924"</f>
        <v>9781803272924</v>
      </c>
    </row>
    <row r="15039" spans="1:6" s="3" customFormat="1" ht="29.1" customHeight="1" x14ac:dyDescent="0.25">
      <c r="A15039" s="2" t="s">
        <v>30046</v>
      </c>
      <c r="B15039" s="2" t="s">
        <v>30047</v>
      </c>
      <c r="C15039" s="2" t="s">
        <v>556</v>
      </c>
      <c r="D15039" s="2" t="s">
        <v>1411</v>
      </c>
      <c r="E15039" s="2" t="str">
        <f>"9783837660555"</f>
        <v>9783837660555</v>
      </c>
      <c r="F15039" s="2" t="str">
        <f>"9783839460559"</f>
        <v>9783839460559</v>
      </c>
    </row>
    <row r="15040" spans="1:6" s="3" customFormat="1" ht="29.1" customHeight="1" x14ac:dyDescent="0.25">
      <c r="A15040" s="2" t="s">
        <v>30048</v>
      </c>
      <c r="B15040" s="2" t="s">
        <v>9134</v>
      </c>
      <c r="C15040" s="2" t="s">
        <v>556</v>
      </c>
      <c r="D15040" s="2" t="s">
        <v>78</v>
      </c>
      <c r="E15040" s="2" t="str">
        <f>"9783837659375"</f>
        <v>9783837659375</v>
      </c>
      <c r="F15040" s="2" t="str">
        <f>"9783839459379"</f>
        <v>9783839459379</v>
      </c>
    </row>
    <row r="15041" spans="1:6" s="3" customFormat="1" ht="29.1" customHeight="1" x14ac:dyDescent="0.25">
      <c r="A15041" s="2" t="s">
        <v>30049</v>
      </c>
      <c r="B15041" s="2" t="s">
        <v>28642</v>
      </c>
      <c r="C15041" s="2" t="s">
        <v>556</v>
      </c>
      <c r="D15041" s="2" t="s">
        <v>183</v>
      </c>
      <c r="E15041" s="2" t="str">
        <f>"9783837665703"</f>
        <v>9783837665703</v>
      </c>
      <c r="F15041" s="2" t="str">
        <f>"9783732865703"</f>
        <v>9783732865703</v>
      </c>
    </row>
    <row r="15042" spans="1:6" s="3" customFormat="1" ht="29.1" customHeight="1" x14ac:dyDescent="0.25">
      <c r="A15042" s="2" t="s">
        <v>30050</v>
      </c>
      <c r="B15042" s="2" t="s">
        <v>30051</v>
      </c>
      <c r="C15042" s="2" t="s">
        <v>556</v>
      </c>
      <c r="D15042" s="2" t="s">
        <v>2147</v>
      </c>
      <c r="E15042" s="2" t="str">
        <f>"9783837664782"</f>
        <v>9783837664782</v>
      </c>
      <c r="F15042" s="2" t="str">
        <f>"9783839464786"</f>
        <v>9783839464786</v>
      </c>
    </row>
    <row r="15043" spans="1:6" s="3" customFormat="1" ht="29.1" customHeight="1" x14ac:dyDescent="0.25">
      <c r="A15043" s="2" t="s">
        <v>30052</v>
      </c>
      <c r="B15043" s="2" t="s">
        <v>30053</v>
      </c>
      <c r="C15043" s="2" t="s">
        <v>556</v>
      </c>
      <c r="D15043" s="2" t="s">
        <v>10493</v>
      </c>
      <c r="E15043" s="2" t="str">
        <f>"9783837664089"</f>
        <v>9783837664089</v>
      </c>
      <c r="F15043" s="2" t="str">
        <f>"9783839464083"</f>
        <v>9783839464083</v>
      </c>
    </row>
    <row r="15044" spans="1:6" s="3" customFormat="1" ht="29.1" customHeight="1" x14ac:dyDescent="0.25">
      <c r="A15044" s="2" t="s">
        <v>30054</v>
      </c>
      <c r="B15044" s="2" t="s">
        <v>30055</v>
      </c>
      <c r="C15044" s="2" t="s">
        <v>556</v>
      </c>
      <c r="D15044" s="2" t="s">
        <v>2336</v>
      </c>
      <c r="E15044" s="2" t="str">
        <f>"9783837664027"</f>
        <v>9783837664027</v>
      </c>
      <c r="F15044" s="2" t="str">
        <f>"9783732864027"</f>
        <v>9783732864027</v>
      </c>
    </row>
    <row r="15045" spans="1:6" s="3" customFormat="1" ht="29.1" customHeight="1" x14ac:dyDescent="0.25">
      <c r="A15045" s="2" t="s">
        <v>30056</v>
      </c>
      <c r="B15045" s="2" t="s">
        <v>30057</v>
      </c>
      <c r="C15045" s="2" t="s">
        <v>556</v>
      </c>
      <c r="D15045" s="2" t="s">
        <v>446</v>
      </c>
      <c r="E15045" s="2" t="str">
        <f>"9783837663853"</f>
        <v>9783837663853</v>
      </c>
      <c r="F15045" s="2" t="str">
        <f>"9783839463857"</f>
        <v>9783839463857</v>
      </c>
    </row>
    <row r="15046" spans="1:6" s="3" customFormat="1" ht="29.1" customHeight="1" x14ac:dyDescent="0.25">
      <c r="A15046" s="2" t="s">
        <v>30058</v>
      </c>
      <c r="B15046" s="2" t="s">
        <v>30059</v>
      </c>
      <c r="C15046" s="2" t="s">
        <v>556</v>
      </c>
      <c r="D15046" s="2" t="s">
        <v>2462</v>
      </c>
      <c r="E15046" s="2" t="str">
        <f>"9783837663686"</f>
        <v>9783837663686</v>
      </c>
      <c r="F15046" s="2" t="str">
        <f>"9783732863686"</f>
        <v>9783732863686</v>
      </c>
    </row>
    <row r="15047" spans="1:6" s="3" customFormat="1" ht="29.1" customHeight="1" x14ac:dyDescent="0.25">
      <c r="A15047" s="2" t="s">
        <v>30060</v>
      </c>
      <c r="B15047" s="2" t="s">
        <v>30061</v>
      </c>
      <c r="C15047" s="2" t="s">
        <v>556</v>
      </c>
      <c r="D15047" s="2" t="s">
        <v>1189</v>
      </c>
      <c r="E15047" s="2" t="str">
        <f>"9783837663549"</f>
        <v>9783837663549</v>
      </c>
      <c r="F15047" s="2" t="str">
        <f>"9783839463543"</f>
        <v>9783839463543</v>
      </c>
    </row>
    <row r="15048" spans="1:6" s="3" customFormat="1" ht="29.1" customHeight="1" x14ac:dyDescent="0.25">
      <c r="A15048" s="2" t="s">
        <v>30062</v>
      </c>
      <c r="B15048" s="2" t="s">
        <v>30063</v>
      </c>
      <c r="C15048" s="2" t="s">
        <v>556</v>
      </c>
      <c r="D15048" s="2" t="s">
        <v>2462</v>
      </c>
      <c r="E15048" s="2" t="str">
        <f>"9783837663495"</f>
        <v>9783837663495</v>
      </c>
      <c r="F15048" s="2" t="str">
        <f>"9783732863495"</f>
        <v>9783732863495</v>
      </c>
    </row>
    <row r="15049" spans="1:6" s="3" customFormat="1" ht="29.1" customHeight="1" x14ac:dyDescent="0.25">
      <c r="A15049" s="2" t="s">
        <v>30064</v>
      </c>
      <c r="B15049" s="2" t="s">
        <v>30065</v>
      </c>
      <c r="C15049" s="2" t="s">
        <v>556</v>
      </c>
      <c r="D15049" s="2" t="s">
        <v>712</v>
      </c>
      <c r="E15049" s="2" t="str">
        <f>"9783837663419"</f>
        <v>9783837663419</v>
      </c>
      <c r="F15049" s="2" t="str">
        <f>"9783839463413"</f>
        <v>9783839463413</v>
      </c>
    </row>
    <row r="15050" spans="1:6" s="3" customFormat="1" ht="29.1" customHeight="1" x14ac:dyDescent="0.25">
      <c r="A15050" s="2" t="s">
        <v>30066</v>
      </c>
      <c r="B15050" s="2" t="s">
        <v>30067</v>
      </c>
      <c r="C15050" s="2" t="s">
        <v>556</v>
      </c>
      <c r="D15050" s="2" t="s">
        <v>446</v>
      </c>
      <c r="E15050" s="2" t="str">
        <f>"9783837663242"</f>
        <v>9783837663242</v>
      </c>
      <c r="F15050" s="2" t="str">
        <f>"9783839463246"</f>
        <v>9783839463246</v>
      </c>
    </row>
    <row r="15051" spans="1:6" s="3" customFormat="1" ht="29.1" customHeight="1" x14ac:dyDescent="0.25">
      <c r="A15051" s="2" t="s">
        <v>30068</v>
      </c>
      <c r="B15051" s="2" t="s">
        <v>30069</v>
      </c>
      <c r="C15051" s="2" t="s">
        <v>556</v>
      </c>
      <c r="D15051" s="2" t="s">
        <v>1189</v>
      </c>
      <c r="E15051" s="2" t="str">
        <f>"9783837663105"</f>
        <v>9783837663105</v>
      </c>
      <c r="F15051" s="2" t="str">
        <f>"9783839463109"</f>
        <v>9783839463109</v>
      </c>
    </row>
    <row r="15052" spans="1:6" s="3" customFormat="1" ht="29.1" customHeight="1" x14ac:dyDescent="0.25">
      <c r="A15052" s="2" t="s">
        <v>30070</v>
      </c>
      <c r="B15052" s="2" t="s">
        <v>30071</v>
      </c>
      <c r="C15052" s="2" t="s">
        <v>556</v>
      </c>
      <c r="D15052" s="2" t="s">
        <v>446</v>
      </c>
      <c r="E15052" s="2" t="str">
        <f>"9783837662863"</f>
        <v>9783837662863</v>
      </c>
      <c r="F15052" s="2" t="str">
        <f>"9783839462867"</f>
        <v>9783839462867</v>
      </c>
    </row>
    <row r="15053" spans="1:6" s="3" customFormat="1" ht="29.1" customHeight="1" x14ac:dyDescent="0.25">
      <c r="A15053" s="2" t="s">
        <v>30072</v>
      </c>
      <c r="B15053" s="2" t="s">
        <v>30073</v>
      </c>
      <c r="C15053" s="2" t="s">
        <v>556</v>
      </c>
      <c r="D15053" s="2" t="s">
        <v>7865</v>
      </c>
      <c r="E15053" s="2" t="str">
        <f>"9783837662498"</f>
        <v>9783837662498</v>
      </c>
      <c r="F15053" s="2" t="str">
        <f>"9783732862498"</f>
        <v>9783732862498</v>
      </c>
    </row>
    <row r="15054" spans="1:6" s="3" customFormat="1" ht="29.1" customHeight="1" x14ac:dyDescent="0.25">
      <c r="A15054" s="2" t="s">
        <v>30074</v>
      </c>
      <c r="B15054" s="2" t="s">
        <v>30075</v>
      </c>
      <c r="C15054" s="2" t="s">
        <v>556</v>
      </c>
      <c r="D15054" s="2" t="s">
        <v>9163</v>
      </c>
      <c r="E15054" s="2" t="str">
        <f>"9783837662375"</f>
        <v>9783837662375</v>
      </c>
      <c r="F15054" s="2" t="str">
        <f>"9783839462379"</f>
        <v>9783839462379</v>
      </c>
    </row>
    <row r="15055" spans="1:6" s="3" customFormat="1" ht="29.1" customHeight="1" x14ac:dyDescent="0.25">
      <c r="A15055" s="2" t="s">
        <v>30076</v>
      </c>
      <c r="B15055" s="2" t="s">
        <v>30077</v>
      </c>
      <c r="C15055" s="2" t="s">
        <v>556</v>
      </c>
      <c r="D15055" s="2" t="s">
        <v>4030</v>
      </c>
      <c r="E15055" s="2" t="str">
        <f>"9783837662344"</f>
        <v>9783837662344</v>
      </c>
      <c r="F15055" s="2" t="str">
        <f>"9783839462348"</f>
        <v>9783839462348</v>
      </c>
    </row>
    <row r="15056" spans="1:6" s="3" customFormat="1" ht="29.1" customHeight="1" x14ac:dyDescent="0.25">
      <c r="A15056" s="2" t="s">
        <v>30078</v>
      </c>
      <c r="B15056" s="2" t="s">
        <v>30079</v>
      </c>
      <c r="C15056" s="2" t="s">
        <v>556</v>
      </c>
      <c r="D15056" s="2" t="s">
        <v>509</v>
      </c>
      <c r="E15056" s="2" t="str">
        <f>"9783837662313"</f>
        <v>9783837662313</v>
      </c>
      <c r="F15056" s="2" t="str">
        <f>"9783839462317"</f>
        <v>9783839462317</v>
      </c>
    </row>
    <row r="15057" spans="1:6" s="3" customFormat="1" ht="29.1" customHeight="1" x14ac:dyDescent="0.25">
      <c r="A15057" s="2" t="s">
        <v>30080</v>
      </c>
      <c r="B15057" s="2" t="s">
        <v>30081</v>
      </c>
      <c r="C15057" s="2" t="s">
        <v>556</v>
      </c>
      <c r="D15057" s="2" t="s">
        <v>378</v>
      </c>
      <c r="E15057" s="2" t="str">
        <f>"9783837662108"</f>
        <v>9783837662108</v>
      </c>
      <c r="F15057" s="2" t="str">
        <f>"9783839462102"</f>
        <v>9783839462102</v>
      </c>
    </row>
    <row r="15058" spans="1:6" s="3" customFormat="1" ht="29.1" customHeight="1" x14ac:dyDescent="0.25">
      <c r="A15058" s="2" t="s">
        <v>30082</v>
      </c>
      <c r="B15058" s="2" t="s">
        <v>30083</v>
      </c>
      <c r="C15058" s="2" t="s">
        <v>556</v>
      </c>
      <c r="D15058" s="2" t="s">
        <v>162</v>
      </c>
      <c r="E15058" s="2" t="str">
        <f>"9783837662016"</f>
        <v>9783837662016</v>
      </c>
      <c r="F15058" s="2" t="str">
        <f>"9783839462010"</f>
        <v>9783839462010</v>
      </c>
    </row>
    <row r="15059" spans="1:6" s="3" customFormat="1" ht="29.1" customHeight="1" x14ac:dyDescent="0.25">
      <c r="A15059" s="2" t="s">
        <v>30084</v>
      </c>
      <c r="B15059" s="2" t="s">
        <v>30085</v>
      </c>
      <c r="C15059" s="2" t="s">
        <v>556</v>
      </c>
      <c r="D15059" s="2" t="s">
        <v>712</v>
      </c>
      <c r="E15059" s="2" t="str">
        <f>"9783837662009"</f>
        <v>9783837662009</v>
      </c>
      <c r="F15059" s="2" t="str">
        <f>"9783732862009"</f>
        <v>9783732862009</v>
      </c>
    </row>
    <row r="15060" spans="1:6" s="3" customFormat="1" ht="29.1" customHeight="1" x14ac:dyDescent="0.25">
      <c r="A15060" s="2" t="s">
        <v>30086</v>
      </c>
      <c r="B15060" s="2" t="s">
        <v>30088</v>
      </c>
      <c r="C15060" s="2" t="s">
        <v>556</v>
      </c>
      <c r="D15060" s="2" t="s">
        <v>30087</v>
      </c>
      <c r="E15060" s="2" t="str">
        <f>"9783837661767"</f>
        <v>9783837661767</v>
      </c>
      <c r="F15060" s="2" t="str">
        <f>"9783839461761"</f>
        <v>9783839461761</v>
      </c>
    </row>
    <row r="15061" spans="1:6" s="3" customFormat="1" ht="29.1" customHeight="1" x14ac:dyDescent="0.25">
      <c r="A15061" s="2" t="s">
        <v>30089</v>
      </c>
      <c r="B15061" s="2" t="s">
        <v>30090</v>
      </c>
      <c r="C15061" s="2" t="s">
        <v>556</v>
      </c>
      <c r="D15061" s="2" t="s">
        <v>75</v>
      </c>
      <c r="E15061" s="2" t="str">
        <f>"9783837661682"</f>
        <v>9783837661682</v>
      </c>
      <c r="F15061" s="2" t="str">
        <f>"9783839461686"</f>
        <v>9783839461686</v>
      </c>
    </row>
    <row r="15062" spans="1:6" s="3" customFormat="1" ht="29.1" customHeight="1" x14ac:dyDescent="0.25">
      <c r="A15062" s="2" t="s">
        <v>30091</v>
      </c>
      <c r="B15062" s="2" t="s">
        <v>30092</v>
      </c>
      <c r="C15062" s="2" t="s">
        <v>556</v>
      </c>
      <c r="D15062" s="2" t="s">
        <v>4030</v>
      </c>
      <c r="E15062" s="2" t="str">
        <f>"9783837661354"</f>
        <v>9783837661354</v>
      </c>
      <c r="F15062" s="2" t="str">
        <f>"9783839461358"</f>
        <v>9783839461358</v>
      </c>
    </row>
    <row r="15063" spans="1:6" s="3" customFormat="1" ht="29.1" customHeight="1" x14ac:dyDescent="0.25">
      <c r="A15063" s="2" t="s">
        <v>30093</v>
      </c>
      <c r="B15063" s="2" t="s">
        <v>14778</v>
      </c>
      <c r="C15063" s="2" t="s">
        <v>556</v>
      </c>
      <c r="D15063" s="2" t="s">
        <v>446</v>
      </c>
      <c r="E15063" s="2" t="str">
        <f>"9783837660920"</f>
        <v>9783837660920</v>
      </c>
      <c r="F15063" s="2" t="str">
        <f>"9783839460924"</f>
        <v>9783839460924</v>
      </c>
    </row>
    <row r="15064" spans="1:6" s="3" customFormat="1" ht="29.1" customHeight="1" x14ac:dyDescent="0.25">
      <c r="A15064" s="2" t="s">
        <v>30094</v>
      </c>
      <c r="B15064" s="2" t="s">
        <v>30095</v>
      </c>
      <c r="C15064" s="2" t="s">
        <v>556</v>
      </c>
      <c r="D15064" s="2" t="s">
        <v>1189</v>
      </c>
      <c r="E15064" s="2" t="str">
        <f>"9783837659641"</f>
        <v>9783837659641</v>
      </c>
      <c r="F15064" s="2" t="str">
        <f>"9783839459645"</f>
        <v>9783839459645</v>
      </c>
    </row>
    <row r="15065" spans="1:6" s="3" customFormat="1" ht="29.1" customHeight="1" x14ac:dyDescent="0.25">
      <c r="A15065" s="2" t="s">
        <v>30096</v>
      </c>
      <c r="B15065" s="2" t="s">
        <v>30097</v>
      </c>
      <c r="C15065" s="2" t="s">
        <v>556</v>
      </c>
      <c r="D15065" s="2" t="s">
        <v>75</v>
      </c>
      <c r="E15065" s="2" t="str">
        <f>"9783837658217"</f>
        <v>9783837658217</v>
      </c>
      <c r="F15065" s="2" t="str">
        <f>"9783839458211"</f>
        <v>9783839458211</v>
      </c>
    </row>
    <row r="15066" spans="1:6" s="3" customFormat="1" ht="29.1" customHeight="1" x14ac:dyDescent="0.25">
      <c r="A15066" s="2" t="s">
        <v>30098</v>
      </c>
      <c r="B15066" s="2" t="s">
        <v>30099</v>
      </c>
      <c r="C15066" s="2" t="s">
        <v>556</v>
      </c>
      <c r="D15066" s="2" t="s">
        <v>78</v>
      </c>
      <c r="E15066" s="2" t="str">
        <f>"9783837658026"</f>
        <v>9783837658026</v>
      </c>
      <c r="F15066" s="2" t="str">
        <f>"9783839458020"</f>
        <v>9783839458020</v>
      </c>
    </row>
    <row r="15067" spans="1:6" s="3" customFormat="1" ht="29.1" customHeight="1" x14ac:dyDescent="0.25">
      <c r="A15067" s="2" t="s">
        <v>30100</v>
      </c>
      <c r="B15067" s="2" t="s">
        <v>30101</v>
      </c>
      <c r="C15067" s="2" t="s">
        <v>556</v>
      </c>
      <c r="D15067" s="2" t="s">
        <v>378</v>
      </c>
      <c r="E15067" s="2" t="str">
        <f>"9783837657562"</f>
        <v>9783837657562</v>
      </c>
      <c r="F15067" s="2" t="str">
        <f>"9783839457566"</f>
        <v>9783839457566</v>
      </c>
    </row>
    <row r="15068" spans="1:6" s="3" customFormat="1" ht="29.1" customHeight="1" x14ac:dyDescent="0.25">
      <c r="A15068" s="2" t="s">
        <v>30102</v>
      </c>
      <c r="B15068" s="2" t="s">
        <v>30103</v>
      </c>
      <c r="C15068" s="2" t="s">
        <v>556</v>
      </c>
      <c r="D15068" s="2" t="s">
        <v>1189</v>
      </c>
      <c r="E15068" s="2" t="str">
        <f>"9783837656985"</f>
        <v>9783837656985</v>
      </c>
      <c r="F15068" s="2" t="str">
        <f>"9783839456989"</f>
        <v>9783839456989</v>
      </c>
    </row>
    <row r="15069" spans="1:6" s="3" customFormat="1" ht="29.1" customHeight="1" x14ac:dyDescent="0.25">
      <c r="A15069" s="2" t="s">
        <v>30104</v>
      </c>
      <c r="B15069" s="2" t="s">
        <v>30105</v>
      </c>
      <c r="C15069" s="2" t="s">
        <v>556</v>
      </c>
      <c r="D15069" s="2" t="s">
        <v>6113</v>
      </c>
      <c r="E15069" s="2" t="str">
        <f>"9783837655445"</f>
        <v>9783837655445</v>
      </c>
      <c r="F15069" s="2" t="str">
        <f>"9783839455449"</f>
        <v>9783839455449</v>
      </c>
    </row>
    <row r="15070" spans="1:6" s="3" customFormat="1" ht="29.1" customHeight="1" x14ac:dyDescent="0.25">
      <c r="A15070" s="2" t="s">
        <v>30106</v>
      </c>
      <c r="B15070" s="2" t="s">
        <v>30107</v>
      </c>
      <c r="C15070" s="2" t="s">
        <v>556</v>
      </c>
      <c r="D15070" s="2" t="s">
        <v>75</v>
      </c>
      <c r="E15070" s="2" t="str">
        <f>"9783837652727"</f>
        <v>9783837652727</v>
      </c>
      <c r="F15070" s="2" t="str">
        <f>"9783839452721"</f>
        <v>9783839452721</v>
      </c>
    </row>
    <row r="15071" spans="1:6" s="3" customFormat="1" ht="29.1" customHeight="1" x14ac:dyDescent="0.25">
      <c r="A15071" s="2" t="s">
        <v>30108</v>
      </c>
      <c r="B15071" s="2" t="s">
        <v>30109</v>
      </c>
      <c r="C15071" s="2" t="s">
        <v>556</v>
      </c>
      <c r="D15071" s="2" t="s">
        <v>4612</v>
      </c>
      <c r="E15071" s="2" t="str">
        <f>"9783837650822"</f>
        <v>9783837650822</v>
      </c>
      <c r="F15071" s="2" t="str">
        <f>"9783839450826"</f>
        <v>9783839450826</v>
      </c>
    </row>
    <row r="15072" spans="1:6" s="3" customFormat="1" ht="29.1" customHeight="1" x14ac:dyDescent="0.25">
      <c r="A15072" s="2" t="s">
        <v>30110</v>
      </c>
      <c r="B15072" s="2" t="s">
        <v>30111</v>
      </c>
      <c r="C15072" s="2" t="s">
        <v>556</v>
      </c>
      <c r="D15072" s="2" t="s">
        <v>92</v>
      </c>
      <c r="E15072" s="2" t="str">
        <f>"9783837633306"</f>
        <v>9783837633306</v>
      </c>
      <c r="F15072" s="2" t="str">
        <f>"9783732833306"</f>
        <v>9783732833306</v>
      </c>
    </row>
    <row r="15073" spans="1:6" s="3" customFormat="1" ht="29.1" customHeight="1" x14ac:dyDescent="0.25">
      <c r="A15073" s="2" t="s">
        <v>30112</v>
      </c>
      <c r="B15073" s="2" t="s">
        <v>30113</v>
      </c>
      <c r="C15073" s="2" t="s">
        <v>124</v>
      </c>
      <c r="D15073" s="2" t="s">
        <v>210</v>
      </c>
      <c r="E15073" s="2" t="str">
        <f>"9781032316802"</f>
        <v>9781032316802</v>
      </c>
      <c r="F15073" s="2" t="str">
        <f>"9781000802078"</f>
        <v>9781000802078</v>
      </c>
    </row>
    <row r="15074" spans="1:6" s="3" customFormat="1" ht="29.1" customHeight="1" x14ac:dyDescent="0.25">
      <c r="A15074" s="2" t="s">
        <v>30114</v>
      </c>
      <c r="B15074" s="2" t="s">
        <v>30115</v>
      </c>
      <c r="C15074" s="2" t="s">
        <v>15181</v>
      </c>
      <c r="D15074" s="2" t="s">
        <v>210</v>
      </c>
      <c r="E15074" s="2" t="str">
        <f>"9789087283674"</f>
        <v>9789087283674</v>
      </c>
      <c r="F15074" s="2" t="str">
        <f>"9789400604124"</f>
        <v>9789400604124</v>
      </c>
    </row>
    <row r="15075" spans="1:6" s="3" customFormat="1" ht="29.1" customHeight="1" x14ac:dyDescent="0.25">
      <c r="A15075" s="2" t="s">
        <v>30116</v>
      </c>
      <c r="B15075" s="2"/>
      <c r="C15075" s="2" t="s">
        <v>15181</v>
      </c>
      <c r="D15075" s="2" t="s">
        <v>15901</v>
      </c>
      <c r="E15075" s="2" t="str">
        <f>"9789087282721"</f>
        <v>9789087282721</v>
      </c>
      <c r="F15075" s="2" t="str">
        <f>"9789400602779"</f>
        <v>9789400602779</v>
      </c>
    </row>
    <row r="15076" spans="1:6" s="3" customFormat="1" ht="29.1" customHeight="1" x14ac:dyDescent="0.25">
      <c r="A15076" s="2" t="s">
        <v>30117</v>
      </c>
      <c r="B15076" s="2" t="s">
        <v>30118</v>
      </c>
      <c r="C15076" s="2" t="s">
        <v>124</v>
      </c>
      <c r="D15076" s="2" t="s">
        <v>2391</v>
      </c>
      <c r="E15076" s="2" t="str">
        <f>"9781032274881"</f>
        <v>9781032274881</v>
      </c>
      <c r="F15076" s="2" t="str">
        <f>"9781000781212"</f>
        <v>9781000781212</v>
      </c>
    </row>
    <row r="15077" spans="1:6" s="3" customFormat="1" ht="29.1" customHeight="1" x14ac:dyDescent="0.25">
      <c r="A15077" s="2" t="s">
        <v>30119</v>
      </c>
      <c r="B15077" s="2" t="s">
        <v>30120</v>
      </c>
      <c r="C15077" s="2" t="s">
        <v>2133</v>
      </c>
      <c r="D15077" s="2" t="s">
        <v>17987</v>
      </c>
      <c r="E15077" s="2" t="str">
        <f>"9781760465278"</f>
        <v>9781760465278</v>
      </c>
      <c r="F15077" s="2" t="str">
        <f>"9781760465285"</f>
        <v>9781760465285</v>
      </c>
    </row>
    <row r="15078" spans="1:6" s="3" customFormat="1" ht="29.1" customHeight="1" x14ac:dyDescent="0.25">
      <c r="A15078" s="2" t="s">
        <v>30121</v>
      </c>
      <c r="B15078" s="2" t="s">
        <v>30122</v>
      </c>
      <c r="C15078" s="2" t="s">
        <v>2133</v>
      </c>
      <c r="D15078" s="2" t="s">
        <v>13300</v>
      </c>
      <c r="E15078" s="2" t="str">
        <f>"9781760465339"</f>
        <v>9781760465339</v>
      </c>
      <c r="F15078" s="2" t="str">
        <f>"9781760465346"</f>
        <v>9781760465346</v>
      </c>
    </row>
    <row r="15079" spans="1:6" s="3" customFormat="1" ht="29.1" customHeight="1" x14ac:dyDescent="0.25">
      <c r="A15079" s="2" t="s">
        <v>30123</v>
      </c>
      <c r="B15079" s="2" t="s">
        <v>30124</v>
      </c>
      <c r="C15079" s="2" t="s">
        <v>248</v>
      </c>
      <c r="D15079" s="2" t="s">
        <v>24</v>
      </c>
      <c r="E15079" s="2" t="str">
        <f>"9783847426653"</f>
        <v>9783847426653</v>
      </c>
      <c r="F15079" s="2" t="str">
        <f>"9783847418344"</f>
        <v>9783847418344</v>
      </c>
    </row>
    <row r="15080" spans="1:6" s="3" customFormat="1" ht="29.1" customHeight="1" x14ac:dyDescent="0.25">
      <c r="A15080" s="2" t="s">
        <v>30125</v>
      </c>
      <c r="B15080" s="2" t="s">
        <v>30126</v>
      </c>
      <c r="C15080" s="2" t="s">
        <v>62</v>
      </c>
      <c r="D15080" s="2" t="s">
        <v>297</v>
      </c>
      <c r="E15080" s="2" t="str">
        <f>"9783428014040"</f>
        <v>9783428014040</v>
      </c>
      <c r="F15080" s="2" t="str">
        <f>"9783428414048"</f>
        <v>9783428414048</v>
      </c>
    </row>
    <row r="15081" spans="1:6" s="3" customFormat="1" ht="29.1" customHeight="1" x14ac:dyDescent="0.25">
      <c r="A15081" s="2" t="s">
        <v>30125</v>
      </c>
      <c r="B15081" s="2" t="s">
        <v>30126</v>
      </c>
      <c r="C15081" s="2" t="s">
        <v>62</v>
      </c>
      <c r="D15081" s="2" t="s">
        <v>297</v>
      </c>
      <c r="E15081" s="2" t="str">
        <f>"9783428012268"</f>
        <v>9783428012268</v>
      </c>
      <c r="F15081" s="2" t="str">
        <f>"9783428412266"</f>
        <v>9783428412266</v>
      </c>
    </row>
    <row r="15082" spans="1:6" s="3" customFormat="1" ht="29.1" customHeight="1" x14ac:dyDescent="0.25">
      <c r="A15082" s="2" t="s">
        <v>30127</v>
      </c>
      <c r="B15082" s="2" t="s">
        <v>30128</v>
      </c>
      <c r="C15082" s="2" t="s">
        <v>62</v>
      </c>
      <c r="D15082" s="2" t="s">
        <v>4783</v>
      </c>
      <c r="E15082" s="2" t="str">
        <f>"9783428011902"</f>
        <v>9783428011902</v>
      </c>
      <c r="F15082" s="2" t="str">
        <f>"9783428411900"</f>
        <v>9783428411900</v>
      </c>
    </row>
    <row r="15083" spans="1:6" s="3" customFormat="1" ht="29.1" customHeight="1" x14ac:dyDescent="0.25">
      <c r="A15083" s="2" t="s">
        <v>30125</v>
      </c>
      <c r="B15083" s="2" t="s">
        <v>30126</v>
      </c>
      <c r="C15083" s="2" t="s">
        <v>62</v>
      </c>
      <c r="D15083" s="2" t="s">
        <v>297</v>
      </c>
      <c r="E15083" s="2" t="str">
        <f>"9783428010585"</f>
        <v>9783428010585</v>
      </c>
      <c r="F15083" s="2" t="str">
        <f>"9783428410583"</f>
        <v>9783428410583</v>
      </c>
    </row>
    <row r="15084" spans="1:6" s="3" customFormat="1" ht="29.1" customHeight="1" x14ac:dyDescent="0.25">
      <c r="A15084" s="2" t="s">
        <v>30125</v>
      </c>
      <c r="B15084" s="2" t="s">
        <v>30126</v>
      </c>
      <c r="C15084" s="2" t="s">
        <v>62</v>
      </c>
      <c r="D15084" s="2" t="s">
        <v>297</v>
      </c>
      <c r="E15084" s="2" t="str">
        <f>"9783428008131"</f>
        <v>9783428008131</v>
      </c>
      <c r="F15084" s="2" t="str">
        <f>"9783428408139"</f>
        <v>9783428408139</v>
      </c>
    </row>
    <row r="15085" spans="1:6" s="3" customFormat="1" ht="29.1" customHeight="1" x14ac:dyDescent="0.25">
      <c r="A15085" s="2" t="s">
        <v>30129</v>
      </c>
      <c r="B15085" s="2" t="s">
        <v>30130</v>
      </c>
      <c r="C15085" s="2" t="s">
        <v>62</v>
      </c>
      <c r="D15085" s="2" t="s">
        <v>1209</v>
      </c>
      <c r="E15085" s="2" t="str">
        <f>"9783428007431"</f>
        <v>9783428007431</v>
      </c>
      <c r="F15085" s="2" t="str">
        <f>"9783428407439"</f>
        <v>9783428407439</v>
      </c>
    </row>
    <row r="15086" spans="1:6" s="3" customFormat="1" ht="29.1" customHeight="1" x14ac:dyDescent="0.25">
      <c r="A15086" s="2" t="s">
        <v>30131</v>
      </c>
      <c r="B15086" s="2" t="s">
        <v>30132</v>
      </c>
      <c r="C15086" s="2" t="s">
        <v>62</v>
      </c>
      <c r="D15086" s="2" t="s">
        <v>1463</v>
      </c>
      <c r="E15086" s="2" t="str">
        <f>"9783428004003"</f>
        <v>9783428004003</v>
      </c>
      <c r="F15086" s="2" t="str">
        <f>"9783428404001"</f>
        <v>9783428404001</v>
      </c>
    </row>
    <row r="15087" spans="1:6" s="3" customFormat="1" ht="29.1" customHeight="1" x14ac:dyDescent="0.25">
      <c r="A15087" s="2" t="s">
        <v>30125</v>
      </c>
      <c r="B15087" s="2" t="s">
        <v>30126</v>
      </c>
      <c r="C15087" s="2" t="s">
        <v>62</v>
      </c>
      <c r="D15087" s="2" t="s">
        <v>297</v>
      </c>
      <c r="E15087" s="2" t="str">
        <f>"9783428003761"</f>
        <v>9783428003761</v>
      </c>
      <c r="F15087" s="2" t="str">
        <f>"9783428403769"</f>
        <v>9783428403769</v>
      </c>
    </row>
    <row r="15088" spans="1:6" s="3" customFormat="1" ht="29.1" customHeight="1" x14ac:dyDescent="0.25">
      <c r="A15088" s="2" t="s">
        <v>30125</v>
      </c>
      <c r="B15088" s="2" t="s">
        <v>30133</v>
      </c>
      <c r="C15088" s="2" t="s">
        <v>62</v>
      </c>
      <c r="D15088" s="2" t="s">
        <v>297</v>
      </c>
      <c r="E15088" s="2" t="str">
        <f>"9783428003372"</f>
        <v>9783428003372</v>
      </c>
      <c r="F15088" s="2" t="str">
        <f>"9783428403370"</f>
        <v>9783428403370</v>
      </c>
    </row>
    <row r="15089" spans="1:6" s="3" customFormat="1" ht="29.1" customHeight="1" x14ac:dyDescent="0.25">
      <c r="A15089" s="2" t="s">
        <v>30134</v>
      </c>
      <c r="B15089" s="2" t="s">
        <v>30135</v>
      </c>
      <c r="C15089" s="2" t="s">
        <v>62</v>
      </c>
      <c r="D15089" s="2" t="s">
        <v>4783</v>
      </c>
      <c r="E15089" s="2" t="str">
        <f>"9783428003082"</f>
        <v>9783428003082</v>
      </c>
      <c r="F15089" s="2" t="str">
        <f>"9783428403080"</f>
        <v>9783428403080</v>
      </c>
    </row>
    <row r="15090" spans="1:6" s="3" customFormat="1" ht="29.1" customHeight="1" x14ac:dyDescent="0.25">
      <c r="A15090" s="2" t="s">
        <v>30125</v>
      </c>
      <c r="B15090" s="2" t="s">
        <v>30126</v>
      </c>
      <c r="C15090" s="2" t="s">
        <v>62</v>
      </c>
      <c r="D15090" s="2" t="s">
        <v>297</v>
      </c>
      <c r="E15090" s="2" t="str">
        <f>"9783428000302"</f>
        <v>9783428000302</v>
      </c>
      <c r="F15090" s="2" t="str">
        <f>"9783428400300"</f>
        <v>9783428400300</v>
      </c>
    </row>
    <row r="15091" spans="1:6" s="3" customFormat="1" ht="29.1" customHeight="1" x14ac:dyDescent="0.25">
      <c r="A15091" s="2" t="s">
        <v>30136</v>
      </c>
      <c r="B15091" s="2" t="s">
        <v>30137</v>
      </c>
      <c r="C15091" s="2" t="s">
        <v>62</v>
      </c>
      <c r="D15091" s="2" t="s">
        <v>107</v>
      </c>
      <c r="E15091" s="2" t="str">
        <f>"9783428184279"</f>
        <v>9783428184279</v>
      </c>
      <c r="F15091" s="2" t="str">
        <f>"9783428584277"</f>
        <v>9783428584277</v>
      </c>
    </row>
    <row r="15092" spans="1:6" s="3" customFormat="1" ht="29.1" customHeight="1" x14ac:dyDescent="0.25">
      <c r="A15092" s="2" t="s">
        <v>30138</v>
      </c>
      <c r="B15092" s="2" t="s">
        <v>30139</v>
      </c>
      <c r="C15092" s="2" t="s">
        <v>62</v>
      </c>
      <c r="D15092" s="2" t="s">
        <v>4783</v>
      </c>
      <c r="E15092" s="2" t="str">
        <f>"9783428052776"</f>
        <v>9783428052776</v>
      </c>
      <c r="F15092" s="2" t="str">
        <f>"9783428452774"</f>
        <v>9783428452774</v>
      </c>
    </row>
    <row r="15093" spans="1:6" s="3" customFormat="1" ht="29.1" customHeight="1" x14ac:dyDescent="0.25">
      <c r="A15093" s="2" t="s">
        <v>30140</v>
      </c>
      <c r="B15093" s="2" t="s">
        <v>30141</v>
      </c>
      <c r="C15093" s="2" t="s">
        <v>62</v>
      </c>
      <c r="D15093" s="2" t="s">
        <v>5758</v>
      </c>
      <c r="E15093" s="2" t="str">
        <f>"9783428022977"</f>
        <v>9783428022977</v>
      </c>
      <c r="F15093" s="2" t="str">
        <f>"9783428422975"</f>
        <v>9783428422975</v>
      </c>
    </row>
    <row r="15094" spans="1:6" s="3" customFormat="1" ht="29.1" customHeight="1" x14ac:dyDescent="0.25">
      <c r="A15094" s="2" t="s">
        <v>30142</v>
      </c>
      <c r="B15094" s="2" t="s">
        <v>30143</v>
      </c>
      <c r="C15094" s="2" t="s">
        <v>62</v>
      </c>
      <c r="D15094" s="2" t="s">
        <v>4783</v>
      </c>
      <c r="E15094" s="2" t="str">
        <f>"9783428014668"</f>
        <v>9783428014668</v>
      </c>
      <c r="F15094" s="2" t="str">
        <f>"9783428414666"</f>
        <v>9783428414666</v>
      </c>
    </row>
    <row r="15095" spans="1:6" s="3" customFormat="1" ht="29.1" customHeight="1" x14ac:dyDescent="0.25">
      <c r="A15095" s="2" t="s">
        <v>30144</v>
      </c>
      <c r="B15095" s="2" t="s">
        <v>30145</v>
      </c>
      <c r="C15095" s="2" t="s">
        <v>62</v>
      </c>
      <c r="D15095" s="2" t="s">
        <v>297</v>
      </c>
      <c r="E15095" s="2" t="str">
        <f>"9783428014002"</f>
        <v>9783428014002</v>
      </c>
      <c r="F15095" s="2" t="str">
        <f>"9783428414000"</f>
        <v>9783428414000</v>
      </c>
    </row>
    <row r="15096" spans="1:6" s="3" customFormat="1" ht="29.1" customHeight="1" x14ac:dyDescent="0.25">
      <c r="A15096" s="2" t="s">
        <v>30125</v>
      </c>
      <c r="B15096" s="2" t="s">
        <v>30146</v>
      </c>
      <c r="C15096" s="2" t="s">
        <v>62</v>
      </c>
      <c r="D15096" s="2" t="s">
        <v>297</v>
      </c>
      <c r="E15096" s="2" t="str">
        <f>"9783428013395"</f>
        <v>9783428013395</v>
      </c>
      <c r="F15096" s="2" t="str">
        <f>"9783428413393"</f>
        <v>9783428413393</v>
      </c>
    </row>
    <row r="15097" spans="1:6" s="3" customFormat="1" ht="29.1" customHeight="1" x14ac:dyDescent="0.25">
      <c r="A15097" s="2" t="s">
        <v>30147</v>
      </c>
      <c r="B15097" s="2" t="s">
        <v>30143</v>
      </c>
      <c r="C15097" s="2" t="s">
        <v>62</v>
      </c>
      <c r="D15097" s="2" t="s">
        <v>501</v>
      </c>
      <c r="E15097" s="2" t="str">
        <f>"9783428011988"</f>
        <v>9783428011988</v>
      </c>
      <c r="F15097" s="2" t="str">
        <f>"9783428411986"</f>
        <v>9783428411986</v>
      </c>
    </row>
    <row r="15098" spans="1:6" s="3" customFormat="1" ht="29.1" customHeight="1" x14ac:dyDescent="0.25">
      <c r="A15098" s="2" t="s">
        <v>30148</v>
      </c>
      <c r="B15098" s="2" t="s">
        <v>30149</v>
      </c>
      <c r="C15098" s="2" t="s">
        <v>62</v>
      </c>
      <c r="D15098" s="2" t="s">
        <v>1228</v>
      </c>
      <c r="E15098" s="2" t="str">
        <f>"9783428011964"</f>
        <v>9783428011964</v>
      </c>
      <c r="F15098" s="2" t="str">
        <f>"9783428411962"</f>
        <v>9783428411962</v>
      </c>
    </row>
    <row r="15099" spans="1:6" s="3" customFormat="1" ht="29.1" customHeight="1" x14ac:dyDescent="0.25">
      <c r="A15099" s="2" t="s">
        <v>30150</v>
      </c>
      <c r="B15099" s="2" t="s">
        <v>30151</v>
      </c>
      <c r="C15099" s="2" t="s">
        <v>62</v>
      </c>
      <c r="D15099" s="2" t="s">
        <v>297</v>
      </c>
      <c r="E15099" s="2" t="str">
        <f>"9783428011919"</f>
        <v>9783428011919</v>
      </c>
      <c r="F15099" s="2" t="str">
        <f>"9783428411917"</f>
        <v>9783428411917</v>
      </c>
    </row>
    <row r="15100" spans="1:6" s="3" customFormat="1" ht="29.1" customHeight="1" x14ac:dyDescent="0.25">
      <c r="A15100" s="2" t="s">
        <v>30152</v>
      </c>
      <c r="B15100" s="2" t="s">
        <v>30153</v>
      </c>
      <c r="C15100" s="2" t="s">
        <v>62</v>
      </c>
      <c r="D15100" s="2" t="s">
        <v>1864</v>
      </c>
      <c r="E15100" s="2" t="str">
        <f>"9783428011896"</f>
        <v>9783428011896</v>
      </c>
      <c r="F15100" s="2" t="str">
        <f>"9783428411894"</f>
        <v>9783428411894</v>
      </c>
    </row>
    <row r="15101" spans="1:6" s="3" customFormat="1" ht="29.1" customHeight="1" x14ac:dyDescent="0.25">
      <c r="A15101" s="2" t="s">
        <v>30154</v>
      </c>
      <c r="B15101" s="2" t="s">
        <v>30130</v>
      </c>
      <c r="C15101" s="2" t="s">
        <v>62</v>
      </c>
      <c r="D15101" s="2" t="s">
        <v>1209</v>
      </c>
      <c r="E15101" s="2" t="str">
        <f>"9783428011872"</f>
        <v>9783428011872</v>
      </c>
      <c r="F15101" s="2" t="str">
        <f>"9783428411870"</f>
        <v>9783428411870</v>
      </c>
    </row>
    <row r="15102" spans="1:6" s="3" customFormat="1" ht="29.1" customHeight="1" x14ac:dyDescent="0.25">
      <c r="A15102" s="2" t="s">
        <v>30155</v>
      </c>
      <c r="B15102" s="2" t="s">
        <v>30156</v>
      </c>
      <c r="C15102" s="2" t="s">
        <v>62</v>
      </c>
      <c r="D15102" s="2" t="s">
        <v>5758</v>
      </c>
      <c r="E15102" s="2" t="str">
        <f>"9783428010745"</f>
        <v>9783428010745</v>
      </c>
      <c r="F15102" s="2" t="str">
        <f>"9783428410743"</f>
        <v>9783428410743</v>
      </c>
    </row>
    <row r="15103" spans="1:6" s="3" customFormat="1" ht="29.1" customHeight="1" x14ac:dyDescent="0.25">
      <c r="A15103" s="2" t="s">
        <v>30157</v>
      </c>
      <c r="B15103" s="2" t="s">
        <v>30158</v>
      </c>
      <c r="C15103" s="2" t="s">
        <v>62</v>
      </c>
      <c r="D15103" s="2" t="s">
        <v>1864</v>
      </c>
      <c r="E15103" s="2" t="str">
        <f>"9783428010097"</f>
        <v>9783428010097</v>
      </c>
      <c r="F15103" s="2" t="str">
        <f>"9783428410095"</f>
        <v>9783428410095</v>
      </c>
    </row>
    <row r="15104" spans="1:6" s="3" customFormat="1" ht="29.1" customHeight="1" x14ac:dyDescent="0.25">
      <c r="A15104" s="2" t="s">
        <v>30159</v>
      </c>
      <c r="B15104" s="2" t="s">
        <v>30160</v>
      </c>
      <c r="C15104" s="2" t="s">
        <v>62</v>
      </c>
      <c r="D15104" s="2" t="s">
        <v>1209</v>
      </c>
      <c r="E15104" s="2" t="str">
        <f>"9783428008452"</f>
        <v>9783428008452</v>
      </c>
      <c r="F15104" s="2" t="str">
        <f>"9783428408450"</f>
        <v>9783428408450</v>
      </c>
    </row>
    <row r="15105" spans="1:6" s="3" customFormat="1" ht="29.1" customHeight="1" x14ac:dyDescent="0.25">
      <c r="A15105" s="2" t="s">
        <v>30125</v>
      </c>
      <c r="B15105" s="2" t="s">
        <v>30161</v>
      </c>
      <c r="C15105" s="2" t="s">
        <v>62</v>
      </c>
      <c r="D15105" s="2" t="s">
        <v>297</v>
      </c>
      <c r="E15105" s="2" t="str">
        <f>"9783428008094"</f>
        <v>9783428008094</v>
      </c>
      <c r="F15105" s="2" t="str">
        <f>"9783428408092"</f>
        <v>9783428408092</v>
      </c>
    </row>
    <row r="15106" spans="1:6" s="3" customFormat="1" ht="29.1" customHeight="1" x14ac:dyDescent="0.25">
      <c r="A15106" s="2" t="s">
        <v>30162</v>
      </c>
      <c r="B15106" s="2" t="s">
        <v>30128</v>
      </c>
      <c r="C15106" s="2" t="s">
        <v>62</v>
      </c>
      <c r="D15106" s="2" t="s">
        <v>5758</v>
      </c>
      <c r="E15106" s="2" t="str">
        <f>"9783428006083"</f>
        <v>9783428006083</v>
      </c>
      <c r="F15106" s="2" t="str">
        <f>"9783428406081"</f>
        <v>9783428406081</v>
      </c>
    </row>
    <row r="15107" spans="1:6" s="3" customFormat="1" ht="29.1" customHeight="1" x14ac:dyDescent="0.25">
      <c r="A15107" s="2" t="s">
        <v>30163</v>
      </c>
      <c r="B15107" s="2" t="s">
        <v>30149</v>
      </c>
      <c r="C15107" s="2" t="s">
        <v>62</v>
      </c>
      <c r="D15107" s="2" t="s">
        <v>1463</v>
      </c>
      <c r="E15107" s="2" t="str">
        <f>"9783428005420"</f>
        <v>9783428005420</v>
      </c>
      <c r="F15107" s="2" t="str">
        <f>"9783428405428"</f>
        <v>9783428405428</v>
      </c>
    </row>
    <row r="15108" spans="1:6" s="3" customFormat="1" ht="29.1" customHeight="1" x14ac:dyDescent="0.25">
      <c r="A15108" s="2" t="s">
        <v>30164</v>
      </c>
      <c r="B15108" s="2" t="s">
        <v>30128</v>
      </c>
      <c r="C15108" s="2" t="s">
        <v>62</v>
      </c>
      <c r="D15108" s="2" t="s">
        <v>1209</v>
      </c>
      <c r="E15108" s="2" t="str">
        <f>"9783428004928"</f>
        <v>9783428004928</v>
      </c>
      <c r="F15108" s="2" t="str">
        <f>"9783428404926"</f>
        <v>9783428404926</v>
      </c>
    </row>
    <row r="15109" spans="1:6" s="3" customFormat="1" ht="29.1" customHeight="1" x14ac:dyDescent="0.25">
      <c r="A15109" s="2" t="s">
        <v>30144</v>
      </c>
      <c r="B15109" s="2" t="s">
        <v>30145</v>
      </c>
      <c r="C15109" s="2" t="s">
        <v>62</v>
      </c>
      <c r="D15109" s="2" t="s">
        <v>1463</v>
      </c>
      <c r="E15109" s="2" t="str">
        <f>"9783428003792"</f>
        <v>9783428003792</v>
      </c>
      <c r="F15109" s="2" t="str">
        <f>"9783428403790"</f>
        <v>9783428403790</v>
      </c>
    </row>
    <row r="15110" spans="1:6" s="3" customFormat="1" ht="29.1" customHeight="1" x14ac:dyDescent="0.25">
      <c r="A15110" s="2" t="s">
        <v>30165</v>
      </c>
      <c r="B15110" s="2" t="s">
        <v>30158</v>
      </c>
      <c r="C15110" s="2" t="s">
        <v>62</v>
      </c>
      <c r="D15110" s="2" t="s">
        <v>501</v>
      </c>
      <c r="E15110" s="2" t="str">
        <f>"9783428003693"</f>
        <v>9783428003693</v>
      </c>
      <c r="F15110" s="2" t="str">
        <f>"9783428403691"</f>
        <v>9783428403691</v>
      </c>
    </row>
    <row r="15111" spans="1:6" s="3" customFormat="1" ht="29.1" customHeight="1" x14ac:dyDescent="0.25">
      <c r="A15111" s="2" t="s">
        <v>30166</v>
      </c>
      <c r="B15111" s="2" t="s">
        <v>30158</v>
      </c>
      <c r="C15111" s="2" t="s">
        <v>62</v>
      </c>
      <c r="D15111" s="2" t="s">
        <v>501</v>
      </c>
      <c r="E15111" s="2" t="str">
        <f>"9783428003426"</f>
        <v>9783428003426</v>
      </c>
      <c r="F15111" s="2" t="str">
        <f>"9783428403424"</f>
        <v>9783428403424</v>
      </c>
    </row>
    <row r="15112" spans="1:6" s="3" customFormat="1" ht="29.1" customHeight="1" x14ac:dyDescent="0.25">
      <c r="A15112" s="2" t="s">
        <v>30167</v>
      </c>
      <c r="B15112" s="2" t="s">
        <v>30128</v>
      </c>
      <c r="C15112" s="2" t="s">
        <v>62</v>
      </c>
      <c r="D15112" s="2" t="s">
        <v>1209</v>
      </c>
      <c r="E15112" s="2" t="str">
        <f>"9783428002429"</f>
        <v>9783428002429</v>
      </c>
      <c r="F15112" s="2" t="str">
        <f>"9783428402427"</f>
        <v>9783428402427</v>
      </c>
    </row>
    <row r="15113" spans="1:6" s="3" customFormat="1" ht="29.1" customHeight="1" x14ac:dyDescent="0.25">
      <c r="A15113" s="2" t="s">
        <v>30168</v>
      </c>
      <c r="B15113" s="2" t="s">
        <v>30169</v>
      </c>
      <c r="C15113" s="2" t="s">
        <v>62</v>
      </c>
      <c r="D15113" s="2" t="s">
        <v>1463</v>
      </c>
      <c r="E15113" s="2" t="str">
        <f>"9783428000890"</f>
        <v>9783428000890</v>
      </c>
      <c r="F15113" s="2" t="str">
        <f>"9783428400898"</f>
        <v>9783428400898</v>
      </c>
    </row>
    <row r="15114" spans="1:6" s="3" customFormat="1" ht="29.1" customHeight="1" x14ac:dyDescent="0.25">
      <c r="A15114" s="2" t="s">
        <v>30170</v>
      </c>
      <c r="B15114" s="2" t="s">
        <v>30156</v>
      </c>
      <c r="C15114" s="2" t="s">
        <v>62</v>
      </c>
      <c r="D15114" s="2" t="s">
        <v>5758</v>
      </c>
      <c r="E15114" s="2" t="str">
        <f>"9783428000869"</f>
        <v>9783428000869</v>
      </c>
      <c r="F15114" s="2" t="str">
        <f>"9783428400867"</f>
        <v>9783428400867</v>
      </c>
    </row>
    <row r="15115" spans="1:6" s="3" customFormat="1" ht="29.1" customHeight="1" x14ac:dyDescent="0.25">
      <c r="A15115" s="2" t="s">
        <v>30125</v>
      </c>
      <c r="B15115" s="2" t="s">
        <v>30171</v>
      </c>
      <c r="C15115" s="2" t="s">
        <v>62</v>
      </c>
      <c r="D15115" s="2" t="s">
        <v>297</v>
      </c>
      <c r="E15115" s="2" t="str">
        <f>"9783428000098"</f>
        <v>9783428000098</v>
      </c>
      <c r="F15115" s="2" t="str">
        <f>"9783428400096"</f>
        <v>9783428400096</v>
      </c>
    </row>
    <row r="15116" spans="1:6" s="3" customFormat="1" ht="29.1" customHeight="1" x14ac:dyDescent="0.25">
      <c r="A15116" s="2" t="s">
        <v>30172</v>
      </c>
      <c r="B15116" s="2" t="s">
        <v>30173</v>
      </c>
      <c r="C15116" s="2" t="s">
        <v>195</v>
      </c>
      <c r="D15116" s="2" t="s">
        <v>210</v>
      </c>
      <c r="E15116" s="2" t="str">
        <f>"9783110785227"</f>
        <v>9783110785227</v>
      </c>
      <c r="F15116" s="2" t="str">
        <f>"9783110785265"</f>
        <v>9783110785265</v>
      </c>
    </row>
    <row r="15117" spans="1:6" s="3" customFormat="1" ht="29.1" customHeight="1" x14ac:dyDescent="0.25">
      <c r="A15117" s="2" t="s">
        <v>30174</v>
      </c>
      <c r="B15117" s="2" t="s">
        <v>30175</v>
      </c>
      <c r="C15117" s="2" t="s">
        <v>195</v>
      </c>
      <c r="D15117" s="2" t="s">
        <v>8388</v>
      </c>
      <c r="E15117" s="2" t="str">
        <f>"9783110761610"</f>
        <v>9783110761610</v>
      </c>
      <c r="F15117" s="2" t="str">
        <f>"9783110762143"</f>
        <v>9783110762143</v>
      </c>
    </row>
    <row r="15118" spans="1:6" s="3" customFormat="1" ht="29.1" customHeight="1" x14ac:dyDescent="0.25">
      <c r="A15118" s="2" t="s">
        <v>30176</v>
      </c>
      <c r="B15118" s="2" t="s">
        <v>30177</v>
      </c>
      <c r="C15118" s="2" t="s">
        <v>195</v>
      </c>
      <c r="D15118" s="2" t="s">
        <v>33</v>
      </c>
      <c r="E15118" s="2" t="str">
        <f>"9783110778274"</f>
        <v>9783110778274</v>
      </c>
      <c r="F15118" s="2" t="str">
        <f>"9783110778304"</f>
        <v>9783110778304</v>
      </c>
    </row>
    <row r="15119" spans="1:6" s="3" customFormat="1" ht="29.1" customHeight="1" x14ac:dyDescent="0.25">
      <c r="A15119" s="2" t="s">
        <v>30178</v>
      </c>
      <c r="B15119" s="2" t="s">
        <v>30179</v>
      </c>
      <c r="C15119" s="2" t="s">
        <v>195</v>
      </c>
      <c r="D15119" s="2" t="s">
        <v>218</v>
      </c>
      <c r="E15119" s="2" t="str">
        <f>"9783110752885"</f>
        <v>9783110752885</v>
      </c>
      <c r="F15119" s="2" t="str">
        <f>"9783110753592"</f>
        <v>9783110753592</v>
      </c>
    </row>
    <row r="15120" spans="1:6" s="3" customFormat="1" ht="29.1" customHeight="1" x14ac:dyDescent="0.25">
      <c r="A15120" s="2" t="s">
        <v>30180</v>
      </c>
      <c r="B15120" s="2" t="s">
        <v>30181</v>
      </c>
      <c r="C15120" s="2" t="s">
        <v>195</v>
      </c>
      <c r="D15120" s="2" t="s">
        <v>210</v>
      </c>
      <c r="E15120" s="2" t="str">
        <f>"9783110771879"</f>
        <v>9783110771879</v>
      </c>
      <c r="F15120" s="2" t="str">
        <f>"9783110774382"</f>
        <v>9783110774382</v>
      </c>
    </row>
    <row r="15121" spans="1:6" s="3" customFormat="1" ht="29.1" customHeight="1" x14ac:dyDescent="0.25">
      <c r="A15121" s="2" t="s">
        <v>30182</v>
      </c>
      <c r="B15121" s="2" t="s">
        <v>30183</v>
      </c>
      <c r="C15121" s="2" t="s">
        <v>195</v>
      </c>
      <c r="D15121" s="2" t="s">
        <v>121</v>
      </c>
      <c r="E15121" s="2" t="str">
        <f>"9783110501216"</f>
        <v>9783110501216</v>
      </c>
      <c r="F15121" s="2" t="str">
        <f>"9783110498370"</f>
        <v>9783110498370</v>
      </c>
    </row>
    <row r="15122" spans="1:6" s="3" customFormat="1" ht="29.1" customHeight="1" x14ac:dyDescent="0.25">
      <c r="A15122" s="2" t="s">
        <v>30184</v>
      </c>
      <c r="B15122" s="2" t="s">
        <v>30185</v>
      </c>
      <c r="C15122" s="2" t="s">
        <v>644</v>
      </c>
      <c r="D15122" s="2" t="s">
        <v>1189</v>
      </c>
      <c r="E15122" s="2"/>
      <c r="F15122" s="2" t="str">
        <f>"9781478092643"</f>
        <v>9781478092643</v>
      </c>
    </row>
    <row r="15123" spans="1:6" s="3" customFormat="1" ht="29.1" customHeight="1" x14ac:dyDescent="0.25">
      <c r="A15123" s="2" t="s">
        <v>30186</v>
      </c>
      <c r="B15123" s="2" t="s">
        <v>30187</v>
      </c>
      <c r="C15123" s="2" t="s">
        <v>124</v>
      </c>
      <c r="D15123" s="2" t="s">
        <v>2391</v>
      </c>
      <c r="E15123" s="2" t="str">
        <f>"9781032034782"</f>
        <v>9781032034782</v>
      </c>
      <c r="F15123" s="2" t="str">
        <f>"9781000625721"</f>
        <v>9781000625721</v>
      </c>
    </row>
    <row r="15124" spans="1:6" s="3" customFormat="1" ht="29.1" customHeight="1" x14ac:dyDescent="0.25">
      <c r="A15124" s="2" t="s">
        <v>30188</v>
      </c>
      <c r="B15124" s="2" t="s">
        <v>30189</v>
      </c>
      <c r="C15124" s="2" t="s">
        <v>124</v>
      </c>
      <c r="D15124" s="2" t="s">
        <v>202</v>
      </c>
      <c r="E15124" s="2" t="str">
        <f>"9780367704407"</f>
        <v>9780367704407</v>
      </c>
      <c r="F15124" s="2" t="str">
        <f>"9781000775112"</f>
        <v>9781000775112</v>
      </c>
    </row>
    <row r="15125" spans="1:6" s="3" customFormat="1" ht="29.1" customHeight="1" x14ac:dyDescent="0.25">
      <c r="A15125" s="2" t="s">
        <v>30190</v>
      </c>
      <c r="B15125" s="2" t="s">
        <v>30191</v>
      </c>
      <c r="C15125" s="2" t="s">
        <v>124</v>
      </c>
      <c r="D15125" s="2" t="s">
        <v>101</v>
      </c>
      <c r="E15125" s="2" t="str">
        <f>"9780367652098"</f>
        <v>9780367652098</v>
      </c>
      <c r="F15125" s="2" t="str">
        <f>"9781000713329"</f>
        <v>9781000713329</v>
      </c>
    </row>
    <row r="15126" spans="1:6" s="3" customFormat="1" ht="29.1" customHeight="1" x14ac:dyDescent="0.25">
      <c r="A15126" s="2" t="s">
        <v>30192</v>
      </c>
      <c r="B15126" s="2" t="s">
        <v>30193</v>
      </c>
      <c r="C15126" s="2" t="s">
        <v>605</v>
      </c>
      <c r="D15126" s="2" t="s">
        <v>606</v>
      </c>
      <c r="E15126" s="2" t="str">
        <f>"9789654067614"</f>
        <v>9789654067614</v>
      </c>
      <c r="F15126" s="2" t="str">
        <f>"9789654067621"</f>
        <v>9789654067621</v>
      </c>
    </row>
    <row r="15127" spans="1:6" s="3" customFormat="1" ht="29.1" customHeight="1" x14ac:dyDescent="0.25">
      <c r="A15127" s="2" t="s">
        <v>30194</v>
      </c>
      <c r="B15127" s="2" t="s">
        <v>30195</v>
      </c>
      <c r="C15127" s="2" t="s">
        <v>264</v>
      </c>
      <c r="D15127" s="2" t="s">
        <v>3861</v>
      </c>
      <c r="E15127" s="2" t="str">
        <f>"9780367645779"</f>
        <v>9780367645779</v>
      </c>
      <c r="F15127" s="2" t="str">
        <f>"9781000770964"</f>
        <v>9781000770964</v>
      </c>
    </row>
    <row r="15128" spans="1:6" s="3" customFormat="1" ht="29.1" customHeight="1" x14ac:dyDescent="0.25">
      <c r="A15128" s="2" t="s">
        <v>30196</v>
      </c>
      <c r="B15128" s="2" t="s">
        <v>30197</v>
      </c>
      <c r="C15128" s="2" t="s">
        <v>2133</v>
      </c>
      <c r="D15128" s="2" t="s">
        <v>606</v>
      </c>
      <c r="E15128" s="2" t="str">
        <f>"9781760465353"</f>
        <v>9781760465353</v>
      </c>
      <c r="F15128" s="2" t="str">
        <f>"9781760465360"</f>
        <v>9781760465360</v>
      </c>
    </row>
    <row r="15129" spans="1:6" s="3" customFormat="1" ht="29.1" customHeight="1" x14ac:dyDescent="0.25">
      <c r="A15129" s="2" t="s">
        <v>30198</v>
      </c>
      <c r="B15129" s="2" t="s">
        <v>30199</v>
      </c>
      <c r="C15129" s="2" t="s">
        <v>248</v>
      </c>
      <c r="D15129" s="2" t="s">
        <v>24</v>
      </c>
      <c r="E15129" s="2" t="str">
        <f>"9783847426172"</f>
        <v>9783847426172</v>
      </c>
      <c r="F15129" s="2" t="str">
        <f>"9783847417941"</f>
        <v>9783847417941</v>
      </c>
    </row>
    <row r="15130" spans="1:6" s="3" customFormat="1" ht="29.1" customHeight="1" x14ac:dyDescent="0.25">
      <c r="A15130" s="2" t="s">
        <v>30200</v>
      </c>
      <c r="B15130" s="2" t="s">
        <v>30201</v>
      </c>
      <c r="C15130" s="2" t="s">
        <v>248</v>
      </c>
      <c r="D15130" s="2" t="s">
        <v>836</v>
      </c>
      <c r="E15130" s="2" t="str">
        <f>"9783847426073"</f>
        <v>9783847426073</v>
      </c>
      <c r="F15130" s="2" t="str">
        <f>"9783847417651"</f>
        <v>9783847417651</v>
      </c>
    </row>
    <row r="15131" spans="1:6" s="3" customFormat="1" ht="29.1" customHeight="1" x14ac:dyDescent="0.25">
      <c r="A15131" s="2" t="s">
        <v>30202</v>
      </c>
      <c r="B15131" s="2" t="s">
        <v>30203</v>
      </c>
      <c r="C15131" s="2" t="s">
        <v>248</v>
      </c>
      <c r="D15131" s="2" t="s">
        <v>1013</v>
      </c>
      <c r="E15131" s="2" t="str">
        <f>"9783966650526"</f>
        <v>9783966650526</v>
      </c>
      <c r="F15131" s="2" t="str">
        <f>"9783966659468"</f>
        <v>9783966659468</v>
      </c>
    </row>
    <row r="15132" spans="1:6" s="3" customFormat="1" ht="29.1" customHeight="1" x14ac:dyDescent="0.25">
      <c r="A15132" s="2" t="s">
        <v>30204</v>
      </c>
      <c r="B15132" s="2" t="s">
        <v>30205</v>
      </c>
      <c r="C15132" s="2" t="s">
        <v>124</v>
      </c>
      <c r="D15132" s="2" t="s">
        <v>678</v>
      </c>
      <c r="E15132" s="2" t="str">
        <f>"9781032266954"</f>
        <v>9781032266954</v>
      </c>
      <c r="F15132" s="2" t="str">
        <f>"9781000737783"</f>
        <v>9781000737783</v>
      </c>
    </row>
    <row r="15133" spans="1:6" s="3" customFormat="1" ht="29.1" customHeight="1" x14ac:dyDescent="0.25">
      <c r="A15133" s="2" t="s">
        <v>30206</v>
      </c>
      <c r="B15133" s="2" t="s">
        <v>30207</v>
      </c>
      <c r="C15133" s="2" t="s">
        <v>124</v>
      </c>
      <c r="D15133" s="2" t="s">
        <v>2147</v>
      </c>
      <c r="E15133" s="2" t="str">
        <f>"9781032129662"</f>
        <v>9781032129662</v>
      </c>
      <c r="F15133" s="2" t="str">
        <f>"9781000779479"</f>
        <v>9781000779479</v>
      </c>
    </row>
    <row r="15134" spans="1:6" s="3" customFormat="1" ht="29.1" customHeight="1" x14ac:dyDescent="0.25">
      <c r="A15134" s="2" t="s">
        <v>30208</v>
      </c>
      <c r="B15134" s="2" t="s">
        <v>26760</v>
      </c>
      <c r="C15134" s="2" t="s">
        <v>195</v>
      </c>
      <c r="D15134" s="2" t="s">
        <v>210</v>
      </c>
      <c r="E15134" s="2" t="str">
        <f>"9783110737080"</f>
        <v>9783110737080</v>
      </c>
      <c r="F15134" s="2" t="str">
        <f>"9783110745672"</f>
        <v>9783110745672</v>
      </c>
    </row>
    <row r="15135" spans="1:6" s="3" customFormat="1" ht="29.1" customHeight="1" x14ac:dyDescent="0.25">
      <c r="A15135" s="2" t="s">
        <v>30209</v>
      </c>
      <c r="B15135" s="2" t="s">
        <v>30210</v>
      </c>
      <c r="C15135" s="2" t="s">
        <v>195</v>
      </c>
      <c r="D15135" s="2" t="s">
        <v>210</v>
      </c>
      <c r="E15135" s="2" t="str">
        <f>"9783110795226"</f>
        <v>9783110795226</v>
      </c>
      <c r="F15135" s="2" t="str">
        <f>"9783110795288"</f>
        <v>9783110795288</v>
      </c>
    </row>
    <row r="15136" spans="1:6" s="3" customFormat="1" ht="29.1" customHeight="1" x14ac:dyDescent="0.25">
      <c r="A15136" s="2" t="s">
        <v>30211</v>
      </c>
      <c r="B15136" s="2" t="s">
        <v>30212</v>
      </c>
      <c r="C15136" s="2" t="s">
        <v>195</v>
      </c>
      <c r="D15136" s="2" t="s">
        <v>218</v>
      </c>
      <c r="E15136" s="2" t="str">
        <f>"9783110735161"</f>
        <v>9783110735161</v>
      </c>
      <c r="F15136" s="2" t="str">
        <f>"9783110730234"</f>
        <v>9783110730234</v>
      </c>
    </row>
    <row r="15137" spans="1:6" s="3" customFormat="1" ht="29.1" customHeight="1" x14ac:dyDescent="0.25">
      <c r="A15137" s="2" t="s">
        <v>30213</v>
      </c>
      <c r="B15137" s="2" t="s">
        <v>30214</v>
      </c>
      <c r="C15137" s="2" t="s">
        <v>62</v>
      </c>
      <c r="D15137" s="2" t="s">
        <v>1228</v>
      </c>
      <c r="E15137" s="2" t="str">
        <f>"9783428033010"</f>
        <v>9783428033010</v>
      </c>
      <c r="F15137" s="2" t="str">
        <f>"9783428433018"</f>
        <v>9783428433018</v>
      </c>
    </row>
    <row r="15138" spans="1:6" s="3" customFormat="1" ht="29.1" customHeight="1" x14ac:dyDescent="0.25">
      <c r="A15138" s="2" t="s">
        <v>30215</v>
      </c>
      <c r="B15138" s="2" t="s">
        <v>30216</v>
      </c>
      <c r="C15138" s="2" t="s">
        <v>62</v>
      </c>
      <c r="D15138" s="2" t="s">
        <v>1228</v>
      </c>
      <c r="E15138" s="2" t="str">
        <f>"9783428032099"</f>
        <v>9783428032099</v>
      </c>
      <c r="F15138" s="2" t="str">
        <f>"9783428432097"</f>
        <v>9783428432097</v>
      </c>
    </row>
    <row r="15139" spans="1:6" s="3" customFormat="1" ht="29.1" customHeight="1" x14ac:dyDescent="0.25">
      <c r="A15139" s="2" t="s">
        <v>30217</v>
      </c>
      <c r="B15139" s="2" t="s">
        <v>30214</v>
      </c>
      <c r="C15139" s="2" t="s">
        <v>62</v>
      </c>
      <c r="D15139" s="2" t="s">
        <v>1228</v>
      </c>
      <c r="E15139" s="2" t="str">
        <f>"9783428029860"</f>
        <v>9783428029860</v>
      </c>
      <c r="F15139" s="2" t="str">
        <f>"9783428429868"</f>
        <v>9783428429868</v>
      </c>
    </row>
    <row r="15140" spans="1:6" s="3" customFormat="1" ht="29.1" customHeight="1" x14ac:dyDescent="0.25">
      <c r="A15140" s="2" t="s">
        <v>30218</v>
      </c>
      <c r="B15140" s="2" t="s">
        <v>30219</v>
      </c>
      <c r="C15140" s="2" t="s">
        <v>62</v>
      </c>
      <c r="D15140" s="2" t="s">
        <v>1463</v>
      </c>
      <c r="E15140" s="2" t="str">
        <f>"9783428026487"</f>
        <v>9783428026487</v>
      </c>
      <c r="F15140" s="2" t="str">
        <f>"9783428426485"</f>
        <v>9783428426485</v>
      </c>
    </row>
    <row r="15141" spans="1:6" s="3" customFormat="1" ht="29.1" customHeight="1" x14ac:dyDescent="0.25">
      <c r="A15141" s="2" t="s">
        <v>30220</v>
      </c>
      <c r="B15141" s="2" t="s">
        <v>30221</v>
      </c>
      <c r="C15141" s="2" t="s">
        <v>62</v>
      </c>
      <c r="D15141" s="2" t="s">
        <v>1651</v>
      </c>
      <c r="E15141" s="2" t="str">
        <f>"9783428025237"</f>
        <v>9783428025237</v>
      </c>
      <c r="F15141" s="2" t="str">
        <f>"9783428425235"</f>
        <v>9783428425235</v>
      </c>
    </row>
    <row r="15142" spans="1:6" s="3" customFormat="1" ht="29.1" customHeight="1" x14ac:dyDescent="0.25">
      <c r="A15142" s="2" t="s">
        <v>30222</v>
      </c>
      <c r="B15142" s="2" t="s">
        <v>30223</v>
      </c>
      <c r="C15142" s="2" t="s">
        <v>62</v>
      </c>
      <c r="D15142" s="2" t="s">
        <v>1463</v>
      </c>
      <c r="E15142" s="2" t="str">
        <f>"9783428025213"</f>
        <v>9783428025213</v>
      </c>
      <c r="F15142" s="2" t="str">
        <f>"9783428425211"</f>
        <v>9783428425211</v>
      </c>
    </row>
    <row r="15143" spans="1:6" s="3" customFormat="1" ht="29.1" customHeight="1" x14ac:dyDescent="0.25">
      <c r="A15143" s="2" t="s">
        <v>30224</v>
      </c>
      <c r="B15143" s="2" t="s">
        <v>30225</v>
      </c>
      <c r="C15143" s="2" t="s">
        <v>62</v>
      </c>
      <c r="D15143" s="2" t="s">
        <v>1228</v>
      </c>
      <c r="E15143" s="2" t="str">
        <f>"9783428020430"</f>
        <v>9783428020430</v>
      </c>
      <c r="F15143" s="2" t="str">
        <f>"9783428420438"</f>
        <v>9783428420438</v>
      </c>
    </row>
    <row r="15144" spans="1:6" s="3" customFormat="1" ht="29.1" customHeight="1" x14ac:dyDescent="0.25">
      <c r="A15144" s="2" t="s">
        <v>30226</v>
      </c>
      <c r="B15144" s="2" t="s">
        <v>30128</v>
      </c>
      <c r="C15144" s="2" t="s">
        <v>62</v>
      </c>
      <c r="D15144" s="2" t="s">
        <v>1463</v>
      </c>
      <c r="E15144" s="2" t="str">
        <f>"9783428017126"</f>
        <v>9783428017126</v>
      </c>
      <c r="F15144" s="2" t="str">
        <f>"9783428417124"</f>
        <v>9783428417124</v>
      </c>
    </row>
    <row r="15145" spans="1:6" s="3" customFormat="1" ht="29.1" customHeight="1" x14ac:dyDescent="0.25">
      <c r="A15145" s="2" t="s">
        <v>30227</v>
      </c>
      <c r="B15145" s="2" t="s">
        <v>30228</v>
      </c>
      <c r="C15145" s="2" t="s">
        <v>62</v>
      </c>
      <c r="D15145" s="2" t="s">
        <v>5758</v>
      </c>
      <c r="E15145" s="2" t="str">
        <f>"9783428016198"</f>
        <v>9783428016198</v>
      </c>
      <c r="F15145" s="2" t="str">
        <f>"9783428416196"</f>
        <v>9783428416196</v>
      </c>
    </row>
    <row r="15146" spans="1:6" s="3" customFormat="1" ht="29.1" customHeight="1" x14ac:dyDescent="0.25">
      <c r="A15146" s="2" t="s">
        <v>30125</v>
      </c>
      <c r="B15146" s="2" t="s">
        <v>30126</v>
      </c>
      <c r="C15146" s="2" t="s">
        <v>62</v>
      </c>
      <c r="D15146" s="2" t="s">
        <v>297</v>
      </c>
      <c r="E15146" s="2" t="str">
        <f>"9783428016143"</f>
        <v>9783428016143</v>
      </c>
      <c r="F15146" s="2" t="str">
        <f>"9783428416141"</f>
        <v>9783428416141</v>
      </c>
    </row>
    <row r="15147" spans="1:6" s="3" customFormat="1" ht="29.1" customHeight="1" x14ac:dyDescent="0.25">
      <c r="A15147" s="2" t="s">
        <v>30229</v>
      </c>
      <c r="B15147" s="2" t="s">
        <v>30230</v>
      </c>
      <c r="C15147" s="2" t="s">
        <v>62</v>
      </c>
      <c r="D15147" s="2" t="s">
        <v>183</v>
      </c>
      <c r="E15147" s="2" t="str">
        <f>"9783428015733"</f>
        <v>9783428015733</v>
      </c>
      <c r="F15147" s="2" t="str">
        <f>"9783428415731"</f>
        <v>9783428415731</v>
      </c>
    </row>
    <row r="15148" spans="1:6" s="3" customFormat="1" ht="29.1" customHeight="1" x14ac:dyDescent="0.25">
      <c r="A15148" s="2" t="s">
        <v>30231</v>
      </c>
      <c r="B15148" s="2" t="s">
        <v>30232</v>
      </c>
      <c r="C15148" s="2" t="s">
        <v>62</v>
      </c>
      <c r="D15148" s="2" t="s">
        <v>183</v>
      </c>
      <c r="E15148" s="2" t="str">
        <f>"9783428015351"</f>
        <v>9783428015351</v>
      </c>
      <c r="F15148" s="2" t="str">
        <f>"9783428415359"</f>
        <v>9783428415359</v>
      </c>
    </row>
    <row r="15149" spans="1:6" s="3" customFormat="1" ht="29.1" customHeight="1" x14ac:dyDescent="0.25">
      <c r="A15149" s="2" t="s">
        <v>30233</v>
      </c>
      <c r="B15149" s="2" t="s">
        <v>30234</v>
      </c>
      <c r="C15149" s="2" t="s">
        <v>62</v>
      </c>
      <c r="D15149" s="2" t="s">
        <v>1228</v>
      </c>
      <c r="E15149" s="2" t="str">
        <f>"9783428015085"</f>
        <v>9783428015085</v>
      </c>
      <c r="F15149" s="2" t="str">
        <f>"9783428415083"</f>
        <v>9783428415083</v>
      </c>
    </row>
    <row r="15150" spans="1:6" s="3" customFormat="1" ht="29.1" customHeight="1" x14ac:dyDescent="0.25">
      <c r="A15150" s="2" t="s">
        <v>30233</v>
      </c>
      <c r="B15150" s="2" t="s">
        <v>30234</v>
      </c>
      <c r="C15150" s="2" t="s">
        <v>62</v>
      </c>
      <c r="D15150" s="2" t="s">
        <v>1228</v>
      </c>
      <c r="E15150" s="2" t="str">
        <f>"9783428015078"</f>
        <v>9783428015078</v>
      </c>
      <c r="F15150" s="2" t="str">
        <f>"9783428415076"</f>
        <v>9783428415076</v>
      </c>
    </row>
    <row r="15151" spans="1:6" s="3" customFormat="1" ht="29.1" customHeight="1" x14ac:dyDescent="0.25">
      <c r="A15151" s="2" t="s">
        <v>30235</v>
      </c>
      <c r="B15151" s="2" t="s">
        <v>30236</v>
      </c>
      <c r="C15151" s="2" t="s">
        <v>62</v>
      </c>
      <c r="D15151" s="2" t="s">
        <v>1228</v>
      </c>
      <c r="E15151" s="2" t="str">
        <f>"9783428174676"</f>
        <v>9783428174676</v>
      </c>
      <c r="F15151" s="2" t="str">
        <f>"9783428574674"</f>
        <v>9783428574674</v>
      </c>
    </row>
    <row r="15152" spans="1:6" s="3" customFormat="1" ht="29.1" customHeight="1" x14ac:dyDescent="0.25">
      <c r="A15152" s="2" t="s">
        <v>30237</v>
      </c>
      <c r="B15152" s="2" t="s">
        <v>30238</v>
      </c>
      <c r="C15152" s="2" t="s">
        <v>62</v>
      </c>
      <c r="D15152" s="2" t="s">
        <v>297</v>
      </c>
      <c r="E15152" s="2" t="str">
        <f>"9783428173051"</f>
        <v>9783428173051</v>
      </c>
      <c r="F15152" s="2" t="str">
        <f>"9783428573059"</f>
        <v>9783428573059</v>
      </c>
    </row>
    <row r="15153" spans="1:6" s="3" customFormat="1" ht="29.1" customHeight="1" x14ac:dyDescent="0.25">
      <c r="A15153" s="2" t="s">
        <v>30239</v>
      </c>
      <c r="B15153" s="2" t="s">
        <v>30240</v>
      </c>
      <c r="C15153" s="2" t="s">
        <v>62</v>
      </c>
      <c r="D15153" s="2" t="s">
        <v>2005</v>
      </c>
      <c r="E15153" s="2" t="str">
        <f>"9783428034277"</f>
        <v>9783428034277</v>
      </c>
      <c r="F15153" s="2" t="str">
        <f>"9783428434275"</f>
        <v>9783428434275</v>
      </c>
    </row>
    <row r="15154" spans="1:6" s="3" customFormat="1" ht="29.1" customHeight="1" x14ac:dyDescent="0.25">
      <c r="A15154" s="2" t="s">
        <v>30241</v>
      </c>
      <c r="B15154" s="2" t="s">
        <v>30242</v>
      </c>
      <c r="C15154" s="2" t="s">
        <v>62</v>
      </c>
      <c r="D15154" s="2" t="s">
        <v>5758</v>
      </c>
      <c r="E15154" s="2" t="str">
        <f>"9783428033478"</f>
        <v>9783428033478</v>
      </c>
      <c r="F15154" s="2" t="str">
        <f>"9783428433476"</f>
        <v>9783428433476</v>
      </c>
    </row>
    <row r="15155" spans="1:6" s="3" customFormat="1" ht="29.1" customHeight="1" x14ac:dyDescent="0.25">
      <c r="A15155" s="2" t="s">
        <v>30243</v>
      </c>
      <c r="B15155" s="2" t="s">
        <v>29943</v>
      </c>
      <c r="C15155" s="2" t="s">
        <v>62</v>
      </c>
      <c r="D15155" s="2" t="s">
        <v>5758</v>
      </c>
      <c r="E15155" s="2" t="str">
        <f>"9783428032716"</f>
        <v>9783428032716</v>
      </c>
      <c r="F15155" s="2" t="str">
        <f>"9783428432714"</f>
        <v>9783428432714</v>
      </c>
    </row>
    <row r="15156" spans="1:6" s="3" customFormat="1" ht="29.1" customHeight="1" x14ac:dyDescent="0.25">
      <c r="A15156" s="2" t="s">
        <v>30244</v>
      </c>
      <c r="B15156" s="2" t="s">
        <v>29948</v>
      </c>
      <c r="C15156" s="2" t="s">
        <v>62</v>
      </c>
      <c r="D15156" s="2" t="s">
        <v>5758</v>
      </c>
      <c r="E15156" s="2" t="str">
        <f>"9783428031672"</f>
        <v>9783428031672</v>
      </c>
      <c r="F15156" s="2" t="str">
        <f>"9783428431670"</f>
        <v>9783428431670</v>
      </c>
    </row>
    <row r="15157" spans="1:6" s="3" customFormat="1" ht="29.1" customHeight="1" x14ac:dyDescent="0.25">
      <c r="A15157" s="2" t="s">
        <v>30245</v>
      </c>
      <c r="B15157" s="2" t="s">
        <v>30246</v>
      </c>
      <c r="C15157" s="2" t="s">
        <v>62</v>
      </c>
      <c r="D15157" s="2" t="s">
        <v>1228</v>
      </c>
      <c r="E15157" s="2" t="str">
        <f>"9783428031184"</f>
        <v>9783428031184</v>
      </c>
      <c r="F15157" s="2" t="str">
        <f>"9783428431182"</f>
        <v>9783428431182</v>
      </c>
    </row>
    <row r="15158" spans="1:6" s="3" customFormat="1" ht="29.1" customHeight="1" x14ac:dyDescent="0.25">
      <c r="A15158" s="2" t="s">
        <v>30247</v>
      </c>
      <c r="B15158" s="2" t="s">
        <v>30225</v>
      </c>
      <c r="C15158" s="2" t="s">
        <v>62</v>
      </c>
      <c r="D15158" s="2" t="s">
        <v>1651</v>
      </c>
      <c r="E15158" s="2" t="str">
        <f>"9783428029648"</f>
        <v>9783428029648</v>
      </c>
      <c r="F15158" s="2" t="str">
        <f>"9783428429646"</f>
        <v>9783428429646</v>
      </c>
    </row>
    <row r="15159" spans="1:6" s="3" customFormat="1" ht="29.1" customHeight="1" x14ac:dyDescent="0.25">
      <c r="A15159" s="2" t="s">
        <v>30247</v>
      </c>
      <c r="B15159" s="2" t="s">
        <v>30225</v>
      </c>
      <c r="C15159" s="2" t="s">
        <v>62</v>
      </c>
      <c r="D15159" s="2" t="s">
        <v>1651</v>
      </c>
      <c r="E15159" s="2" t="str">
        <f>"9783428029631"</f>
        <v>9783428029631</v>
      </c>
      <c r="F15159" s="2" t="str">
        <f>"9783428429639"</f>
        <v>9783428429639</v>
      </c>
    </row>
    <row r="15160" spans="1:6" s="3" customFormat="1" ht="29.1" customHeight="1" x14ac:dyDescent="0.25">
      <c r="A15160" s="2" t="s">
        <v>30248</v>
      </c>
      <c r="B15160" s="2" t="s">
        <v>30249</v>
      </c>
      <c r="C15160" s="2" t="s">
        <v>62</v>
      </c>
      <c r="D15160" s="2" t="s">
        <v>1228</v>
      </c>
      <c r="E15160" s="2" t="str">
        <f>"9783428029341"</f>
        <v>9783428029341</v>
      </c>
      <c r="F15160" s="2" t="str">
        <f>"9783428429349"</f>
        <v>9783428429349</v>
      </c>
    </row>
    <row r="15161" spans="1:6" s="3" customFormat="1" ht="29.1" customHeight="1" x14ac:dyDescent="0.25">
      <c r="A15161" s="2" t="s">
        <v>30250</v>
      </c>
      <c r="B15161" s="2" t="s">
        <v>30251</v>
      </c>
      <c r="C15161" s="2" t="s">
        <v>62</v>
      </c>
      <c r="D15161" s="2" t="s">
        <v>5758</v>
      </c>
      <c r="E15161" s="2" t="str">
        <f>"9783428028931"</f>
        <v>9783428028931</v>
      </c>
      <c r="F15161" s="2" t="str">
        <f>"9783428428939"</f>
        <v>9783428428939</v>
      </c>
    </row>
    <row r="15162" spans="1:6" s="3" customFormat="1" ht="29.1" customHeight="1" x14ac:dyDescent="0.25">
      <c r="A15162" s="2" t="s">
        <v>30252</v>
      </c>
      <c r="B15162" s="2" t="s">
        <v>29948</v>
      </c>
      <c r="C15162" s="2" t="s">
        <v>62</v>
      </c>
      <c r="D15162" s="2" t="s">
        <v>1209</v>
      </c>
      <c r="E15162" s="2" t="str">
        <f>"9783428028726"</f>
        <v>9783428028726</v>
      </c>
      <c r="F15162" s="2" t="str">
        <f>"9783428428724"</f>
        <v>9783428428724</v>
      </c>
    </row>
    <row r="15163" spans="1:6" s="3" customFormat="1" ht="29.1" customHeight="1" x14ac:dyDescent="0.25">
      <c r="A15163" s="2" t="s">
        <v>30253</v>
      </c>
      <c r="B15163" s="2" t="s">
        <v>30246</v>
      </c>
      <c r="C15163" s="2" t="s">
        <v>62</v>
      </c>
      <c r="D15163" s="2" t="s">
        <v>4783</v>
      </c>
      <c r="E15163" s="2" t="str">
        <f>"9783428028443"</f>
        <v>9783428028443</v>
      </c>
      <c r="F15163" s="2" t="str">
        <f>"9783428428441"</f>
        <v>9783428428441</v>
      </c>
    </row>
    <row r="15164" spans="1:6" s="3" customFormat="1" ht="29.1" customHeight="1" x14ac:dyDescent="0.25">
      <c r="A15164" s="2" t="s">
        <v>30254</v>
      </c>
      <c r="B15164" s="2" t="s">
        <v>30214</v>
      </c>
      <c r="C15164" s="2" t="s">
        <v>62</v>
      </c>
      <c r="D15164" s="2" t="s">
        <v>1864</v>
      </c>
      <c r="E15164" s="2" t="str">
        <f>"9783428028146"</f>
        <v>9783428028146</v>
      </c>
      <c r="F15164" s="2" t="str">
        <f>"9783428428144"</f>
        <v>9783428428144</v>
      </c>
    </row>
    <row r="15165" spans="1:6" s="3" customFormat="1" ht="29.1" customHeight="1" x14ac:dyDescent="0.25">
      <c r="A15165" s="2" t="s">
        <v>30255</v>
      </c>
      <c r="B15165" s="2" t="s">
        <v>30256</v>
      </c>
      <c r="C15165" s="2" t="s">
        <v>62</v>
      </c>
      <c r="D15165" s="2" t="s">
        <v>5758</v>
      </c>
      <c r="E15165" s="2" t="str">
        <f>"9783428026296"</f>
        <v>9783428026296</v>
      </c>
      <c r="F15165" s="2" t="str">
        <f>"9783428426294"</f>
        <v>9783428426294</v>
      </c>
    </row>
    <row r="15166" spans="1:6" s="3" customFormat="1" ht="29.1" customHeight="1" x14ac:dyDescent="0.25">
      <c r="A15166" s="2" t="s">
        <v>30257</v>
      </c>
      <c r="B15166" s="2" t="s">
        <v>30258</v>
      </c>
      <c r="C15166" s="2" t="s">
        <v>62</v>
      </c>
      <c r="D15166" s="2" t="s">
        <v>2005</v>
      </c>
      <c r="E15166" s="2" t="str">
        <f>"9783428025954"</f>
        <v>9783428025954</v>
      </c>
      <c r="F15166" s="2" t="str">
        <f>"9783428425952"</f>
        <v>9783428425952</v>
      </c>
    </row>
    <row r="15167" spans="1:6" s="3" customFormat="1" ht="29.1" customHeight="1" x14ac:dyDescent="0.25">
      <c r="A15167" s="2" t="s">
        <v>30259</v>
      </c>
      <c r="B15167" s="2" t="s">
        <v>30126</v>
      </c>
      <c r="C15167" s="2" t="s">
        <v>62</v>
      </c>
      <c r="D15167" s="2" t="s">
        <v>4783</v>
      </c>
      <c r="E15167" s="2" t="str">
        <f>"9783428025527"</f>
        <v>9783428025527</v>
      </c>
      <c r="F15167" s="2" t="str">
        <f>"9783428425525"</f>
        <v>9783428425525</v>
      </c>
    </row>
    <row r="15168" spans="1:6" s="3" customFormat="1" ht="29.1" customHeight="1" x14ac:dyDescent="0.25">
      <c r="A15168" s="2" t="s">
        <v>30260</v>
      </c>
      <c r="B15168" s="2" t="s">
        <v>30249</v>
      </c>
      <c r="C15168" s="2" t="s">
        <v>62</v>
      </c>
      <c r="D15168" s="2" t="s">
        <v>1228</v>
      </c>
      <c r="E15168" s="2" t="str">
        <f>"9783428025497"</f>
        <v>9783428025497</v>
      </c>
      <c r="F15168" s="2" t="str">
        <f>"9783428425495"</f>
        <v>9783428425495</v>
      </c>
    </row>
    <row r="15169" spans="1:6" s="3" customFormat="1" ht="29.1" customHeight="1" x14ac:dyDescent="0.25">
      <c r="A15169" s="2" t="s">
        <v>30261</v>
      </c>
      <c r="B15169" s="2" t="s">
        <v>30262</v>
      </c>
      <c r="C15169" s="2" t="s">
        <v>62</v>
      </c>
      <c r="D15169" s="2" t="s">
        <v>183</v>
      </c>
      <c r="E15169" s="2" t="str">
        <f>"9783428023912"</f>
        <v>9783428023912</v>
      </c>
      <c r="F15169" s="2" t="str">
        <f>"9783428423910"</f>
        <v>9783428423910</v>
      </c>
    </row>
    <row r="15170" spans="1:6" s="3" customFormat="1" ht="29.1" customHeight="1" x14ac:dyDescent="0.25">
      <c r="A15170" s="2" t="s">
        <v>30263</v>
      </c>
      <c r="B15170" s="2" t="s">
        <v>30264</v>
      </c>
      <c r="C15170" s="2" t="s">
        <v>62</v>
      </c>
      <c r="D15170" s="2" t="s">
        <v>5758</v>
      </c>
      <c r="E15170" s="2" t="str">
        <f>"9783428023806"</f>
        <v>9783428023806</v>
      </c>
      <c r="F15170" s="2" t="str">
        <f>"9783428423804"</f>
        <v>9783428423804</v>
      </c>
    </row>
    <row r="15171" spans="1:6" s="3" customFormat="1" ht="29.1" customHeight="1" x14ac:dyDescent="0.25">
      <c r="A15171" s="2" t="s">
        <v>30265</v>
      </c>
      <c r="B15171" s="2" t="s">
        <v>30249</v>
      </c>
      <c r="C15171" s="2" t="s">
        <v>62</v>
      </c>
      <c r="D15171" s="2" t="s">
        <v>1228</v>
      </c>
      <c r="E15171" s="2" t="str">
        <f>"9783428023240"</f>
        <v>9783428023240</v>
      </c>
      <c r="F15171" s="2" t="str">
        <f>"9783428423248"</f>
        <v>9783428423248</v>
      </c>
    </row>
    <row r="15172" spans="1:6" s="3" customFormat="1" ht="29.1" customHeight="1" x14ac:dyDescent="0.25">
      <c r="A15172" s="2" t="s">
        <v>30266</v>
      </c>
      <c r="B15172" s="2" t="s">
        <v>30267</v>
      </c>
      <c r="C15172" s="2" t="s">
        <v>62</v>
      </c>
      <c r="D15172" s="2" t="s">
        <v>5758</v>
      </c>
      <c r="E15172" s="2" t="str">
        <f>"9783428022854"</f>
        <v>9783428022854</v>
      </c>
      <c r="F15172" s="2" t="str">
        <f>"9783428422852"</f>
        <v>9783428422852</v>
      </c>
    </row>
    <row r="15173" spans="1:6" s="3" customFormat="1" ht="29.1" customHeight="1" x14ac:dyDescent="0.25">
      <c r="A15173" s="2" t="s">
        <v>30266</v>
      </c>
      <c r="B15173" s="2" t="s">
        <v>30267</v>
      </c>
      <c r="C15173" s="2" t="s">
        <v>62</v>
      </c>
      <c r="D15173" s="2" t="s">
        <v>5758</v>
      </c>
      <c r="E15173" s="2" t="str">
        <f>"9783428022847"</f>
        <v>9783428022847</v>
      </c>
      <c r="F15173" s="2" t="str">
        <f>"9783428422845"</f>
        <v>9783428422845</v>
      </c>
    </row>
    <row r="15174" spans="1:6" s="3" customFormat="1" ht="29.1" customHeight="1" x14ac:dyDescent="0.25">
      <c r="A15174" s="2" t="s">
        <v>30268</v>
      </c>
      <c r="B15174" s="2" t="s">
        <v>30269</v>
      </c>
      <c r="C15174" s="2" t="s">
        <v>62</v>
      </c>
      <c r="D15174" s="2" t="s">
        <v>1463</v>
      </c>
      <c r="E15174" s="2" t="str">
        <f>"9783428021123"</f>
        <v>9783428021123</v>
      </c>
      <c r="F15174" s="2" t="str">
        <f>"9783428421121"</f>
        <v>9783428421121</v>
      </c>
    </row>
    <row r="15175" spans="1:6" s="3" customFormat="1" ht="29.1" customHeight="1" x14ac:dyDescent="0.25">
      <c r="A15175" s="2" t="s">
        <v>30270</v>
      </c>
      <c r="B15175" s="2" t="s">
        <v>29939</v>
      </c>
      <c r="C15175" s="2" t="s">
        <v>62</v>
      </c>
      <c r="D15175" s="2" t="s">
        <v>5983</v>
      </c>
      <c r="E15175" s="2" t="str">
        <f>"9783428019236"</f>
        <v>9783428019236</v>
      </c>
      <c r="F15175" s="2" t="str">
        <f>"9783428419234"</f>
        <v>9783428419234</v>
      </c>
    </row>
    <row r="15176" spans="1:6" s="3" customFormat="1" ht="29.1" customHeight="1" x14ac:dyDescent="0.25">
      <c r="A15176" s="2" t="s">
        <v>30271</v>
      </c>
      <c r="B15176" s="2" t="s">
        <v>29939</v>
      </c>
      <c r="C15176" s="2" t="s">
        <v>62</v>
      </c>
      <c r="D15176" s="2" t="s">
        <v>5758</v>
      </c>
      <c r="E15176" s="2" t="str">
        <f>"9783428017928"</f>
        <v>9783428017928</v>
      </c>
      <c r="F15176" s="2" t="str">
        <f>"9783428417926"</f>
        <v>9783428417926</v>
      </c>
    </row>
    <row r="15177" spans="1:6" s="3" customFormat="1" ht="29.1" customHeight="1" x14ac:dyDescent="0.25">
      <c r="A15177" s="2" t="s">
        <v>30272</v>
      </c>
      <c r="B15177" s="2" t="s">
        <v>30256</v>
      </c>
      <c r="C15177" s="2" t="s">
        <v>62</v>
      </c>
      <c r="D15177" s="2" t="s">
        <v>501</v>
      </c>
      <c r="E15177" s="2" t="str">
        <f>"9783428017911"</f>
        <v>9783428017911</v>
      </c>
      <c r="F15177" s="2" t="str">
        <f>"9783428417919"</f>
        <v>9783428417919</v>
      </c>
    </row>
    <row r="15178" spans="1:6" s="3" customFormat="1" ht="29.1" customHeight="1" x14ac:dyDescent="0.25">
      <c r="A15178" s="2" t="s">
        <v>30273</v>
      </c>
      <c r="B15178" s="2" t="s">
        <v>29939</v>
      </c>
      <c r="C15178" s="2" t="s">
        <v>62</v>
      </c>
      <c r="D15178" s="2" t="s">
        <v>270</v>
      </c>
      <c r="E15178" s="2" t="str">
        <f>"9783428017904"</f>
        <v>9783428017904</v>
      </c>
      <c r="F15178" s="2" t="str">
        <f>"9783428417902"</f>
        <v>9783428417902</v>
      </c>
    </row>
    <row r="15179" spans="1:6" s="3" customFormat="1" ht="29.1" customHeight="1" x14ac:dyDescent="0.25">
      <c r="A15179" s="2" t="s">
        <v>30274</v>
      </c>
      <c r="B15179" s="2" t="s">
        <v>30275</v>
      </c>
      <c r="C15179" s="2" t="s">
        <v>62</v>
      </c>
      <c r="D15179" s="2" t="s">
        <v>501</v>
      </c>
      <c r="E15179" s="2" t="str">
        <f>"9783428017188"</f>
        <v>9783428017188</v>
      </c>
      <c r="F15179" s="2" t="str">
        <f>"9783428417186"</f>
        <v>9783428417186</v>
      </c>
    </row>
    <row r="15180" spans="1:6" s="3" customFormat="1" ht="29.1" customHeight="1" x14ac:dyDescent="0.25">
      <c r="A15180" s="2" t="s">
        <v>30274</v>
      </c>
      <c r="B15180" s="2" t="s">
        <v>30276</v>
      </c>
      <c r="C15180" s="2" t="s">
        <v>62</v>
      </c>
      <c r="D15180" s="2" t="s">
        <v>501</v>
      </c>
      <c r="E15180" s="2" t="str">
        <f>"9783428017171"</f>
        <v>9783428017171</v>
      </c>
      <c r="F15180" s="2" t="str">
        <f>"9783428417179"</f>
        <v>9783428417179</v>
      </c>
    </row>
    <row r="15181" spans="1:6" s="3" customFormat="1" ht="29.1" customHeight="1" x14ac:dyDescent="0.25">
      <c r="A15181" s="2" t="s">
        <v>30144</v>
      </c>
      <c r="B15181" s="2" t="s">
        <v>30145</v>
      </c>
      <c r="C15181" s="2" t="s">
        <v>62</v>
      </c>
      <c r="D15181" s="2" t="s">
        <v>297</v>
      </c>
      <c r="E15181" s="2" t="str">
        <f>"9783428015702"</f>
        <v>9783428015702</v>
      </c>
      <c r="F15181" s="2" t="str">
        <f>"9783428415700"</f>
        <v>9783428415700</v>
      </c>
    </row>
    <row r="15182" spans="1:6" s="3" customFormat="1" ht="29.1" customHeight="1" x14ac:dyDescent="0.25">
      <c r="A15182" s="2" t="s">
        <v>30277</v>
      </c>
      <c r="B15182" s="2" t="s">
        <v>30232</v>
      </c>
      <c r="C15182" s="2" t="s">
        <v>62</v>
      </c>
      <c r="D15182" s="2" t="s">
        <v>297</v>
      </c>
      <c r="E15182" s="2" t="str">
        <f>"9783428015672"</f>
        <v>9783428015672</v>
      </c>
      <c r="F15182" s="2" t="str">
        <f>"9783428415670"</f>
        <v>9783428415670</v>
      </c>
    </row>
    <row r="15183" spans="1:6" s="3" customFormat="1" ht="29.1" customHeight="1" x14ac:dyDescent="0.25">
      <c r="A15183" s="2" t="s">
        <v>30278</v>
      </c>
      <c r="B15183" s="2" t="s">
        <v>30279</v>
      </c>
      <c r="C15183" s="2" t="s">
        <v>124</v>
      </c>
      <c r="D15183" s="2" t="s">
        <v>653</v>
      </c>
      <c r="E15183" s="2" t="str">
        <f>"9781032289892"</f>
        <v>9781032289892</v>
      </c>
      <c r="F15183" s="2" t="str">
        <f>"9781000730746"</f>
        <v>9781000730746</v>
      </c>
    </row>
    <row r="15184" spans="1:6" s="3" customFormat="1" ht="29.1" customHeight="1" x14ac:dyDescent="0.25">
      <c r="A15184" s="2" t="s">
        <v>30280</v>
      </c>
      <c r="B15184" s="2" t="s">
        <v>30283</v>
      </c>
      <c r="C15184" s="2" t="s">
        <v>30281</v>
      </c>
      <c r="D15184" s="2" t="s">
        <v>30282</v>
      </c>
      <c r="E15184" s="2" t="str">
        <f>"9781626765146"</f>
        <v>9781626765146</v>
      </c>
      <c r="F15184" s="2" t="str">
        <f>"9781626765139"</f>
        <v>9781626765139</v>
      </c>
    </row>
    <row r="15185" spans="1:6" s="3" customFormat="1" ht="29.1" customHeight="1" x14ac:dyDescent="0.25">
      <c r="A15185" s="2" t="s">
        <v>30284</v>
      </c>
      <c r="B15185" s="2" t="s">
        <v>30286</v>
      </c>
      <c r="C15185" s="2" t="s">
        <v>30281</v>
      </c>
      <c r="D15185" s="2" t="s">
        <v>30285</v>
      </c>
      <c r="E15185" s="2" t="str">
        <f>"9781626765276"</f>
        <v>9781626765276</v>
      </c>
      <c r="F15185" s="2" t="str">
        <f>"9781626760622"</f>
        <v>9781626760622</v>
      </c>
    </row>
    <row r="15186" spans="1:6" s="3" customFormat="1" ht="29.1" customHeight="1" x14ac:dyDescent="0.25">
      <c r="A15186" s="2" t="s">
        <v>30287</v>
      </c>
      <c r="B15186" s="2" t="s">
        <v>30288</v>
      </c>
      <c r="C15186" s="2" t="s">
        <v>29</v>
      </c>
      <c r="D15186" s="2" t="s">
        <v>33</v>
      </c>
      <c r="E15186" s="2" t="str">
        <f>"9789004515338"</f>
        <v>9789004515338</v>
      </c>
      <c r="F15186" s="2" t="str">
        <f>"9789004519800"</f>
        <v>9789004519800</v>
      </c>
    </row>
    <row r="15187" spans="1:6" s="3" customFormat="1" ht="29.1" customHeight="1" x14ac:dyDescent="0.25">
      <c r="A15187" s="2" t="s">
        <v>30289</v>
      </c>
      <c r="B15187" s="2" t="s">
        <v>30290</v>
      </c>
      <c r="C15187" s="2" t="s">
        <v>124</v>
      </c>
      <c r="D15187" s="2" t="s">
        <v>8642</v>
      </c>
      <c r="E15187" s="2" t="str">
        <f>"9781032251226"</f>
        <v>9781032251226</v>
      </c>
      <c r="F15187" s="2" t="str">
        <f>"9781000642902"</f>
        <v>9781000642902</v>
      </c>
    </row>
    <row r="15188" spans="1:6" s="3" customFormat="1" ht="29.1" customHeight="1" x14ac:dyDescent="0.25">
      <c r="A15188" s="2" t="s">
        <v>30291</v>
      </c>
      <c r="B15188" s="2" t="s">
        <v>30292</v>
      </c>
      <c r="C15188" s="2" t="s">
        <v>8059</v>
      </c>
      <c r="D15188" s="2" t="s">
        <v>2019</v>
      </c>
      <c r="E15188" s="2" t="str">
        <f>"9781776402359"</f>
        <v>9781776402359</v>
      </c>
      <c r="F15188" s="2" t="str">
        <f>"9781776402366"</f>
        <v>9781776402366</v>
      </c>
    </row>
    <row r="15189" spans="1:6" s="3" customFormat="1" ht="29.1" customHeight="1" x14ac:dyDescent="0.25">
      <c r="A15189" s="2" t="s">
        <v>30293</v>
      </c>
      <c r="B15189" s="2" t="s">
        <v>30294</v>
      </c>
      <c r="C15189" s="2" t="s">
        <v>8059</v>
      </c>
      <c r="D15189" s="2" t="s">
        <v>81</v>
      </c>
      <c r="E15189" s="2" t="str">
        <f>"9781776405640"</f>
        <v>9781776405640</v>
      </c>
      <c r="F15189" s="2" t="str">
        <f>"9781776405657"</f>
        <v>9781776405657</v>
      </c>
    </row>
    <row r="15190" spans="1:6" s="3" customFormat="1" ht="29.1" customHeight="1" x14ac:dyDescent="0.25">
      <c r="A15190" s="2" t="s">
        <v>30295</v>
      </c>
      <c r="B15190" s="2" t="s">
        <v>30296</v>
      </c>
      <c r="C15190" s="2" t="s">
        <v>8059</v>
      </c>
      <c r="D15190" s="2" t="s">
        <v>7079</v>
      </c>
      <c r="E15190" s="2" t="str">
        <f>"9781776405602"</f>
        <v>9781776405602</v>
      </c>
      <c r="F15190" s="2" t="str">
        <f>"9781776405619"</f>
        <v>9781776405619</v>
      </c>
    </row>
    <row r="15191" spans="1:6" s="3" customFormat="1" ht="29.1" customHeight="1" x14ac:dyDescent="0.25">
      <c r="A15191" s="2" t="s">
        <v>30297</v>
      </c>
      <c r="B15191" s="2" t="s">
        <v>30298</v>
      </c>
      <c r="C15191" s="2" t="s">
        <v>2133</v>
      </c>
      <c r="D15191" s="2" t="s">
        <v>459</v>
      </c>
      <c r="E15191" s="2" t="str">
        <f>"9781760465162"</f>
        <v>9781760465162</v>
      </c>
      <c r="F15191" s="2" t="str">
        <f>"9781760465179"</f>
        <v>9781760465179</v>
      </c>
    </row>
    <row r="15192" spans="1:6" s="3" customFormat="1" ht="29.1" customHeight="1" x14ac:dyDescent="0.25">
      <c r="A15192" s="2" t="s">
        <v>30299</v>
      </c>
      <c r="B15192" s="2" t="s">
        <v>30300</v>
      </c>
      <c r="C15192" s="2" t="s">
        <v>124</v>
      </c>
      <c r="D15192" s="2" t="s">
        <v>689</v>
      </c>
      <c r="E15192" s="2" t="str">
        <f>"9781032147864"</f>
        <v>9781032147864</v>
      </c>
      <c r="F15192" s="2" t="str">
        <f>"9781000784893"</f>
        <v>9781000784893</v>
      </c>
    </row>
    <row r="15193" spans="1:6" s="3" customFormat="1" ht="29.1" customHeight="1" x14ac:dyDescent="0.25">
      <c r="A15193" s="2" t="s">
        <v>30301</v>
      </c>
      <c r="B15193" s="2" t="s">
        <v>30302</v>
      </c>
      <c r="C15193" s="2" t="s">
        <v>36</v>
      </c>
      <c r="D15193" s="2" t="s">
        <v>18205</v>
      </c>
      <c r="E15193" s="2" t="str">
        <f>"9781529219609"</f>
        <v>9781529219609</v>
      </c>
      <c r="F15193" s="2" t="str">
        <f>"9781529219623"</f>
        <v>9781529219623</v>
      </c>
    </row>
    <row r="15194" spans="1:6" s="3" customFormat="1" ht="29.1" customHeight="1" x14ac:dyDescent="0.25">
      <c r="A15194" s="2" t="s">
        <v>30303</v>
      </c>
      <c r="B15194" s="2" t="s">
        <v>30304</v>
      </c>
      <c r="C15194" s="2" t="s">
        <v>62</v>
      </c>
      <c r="D15194" s="2" t="s">
        <v>2005</v>
      </c>
      <c r="E15194" s="2" t="str">
        <f>"9783428036684"</f>
        <v>9783428036684</v>
      </c>
      <c r="F15194" s="2" t="str">
        <f>"9783428436682"</f>
        <v>9783428436682</v>
      </c>
    </row>
    <row r="15195" spans="1:6" s="3" customFormat="1" ht="29.1" customHeight="1" x14ac:dyDescent="0.25">
      <c r="A15195" s="2" t="s">
        <v>30305</v>
      </c>
      <c r="B15195" s="2" t="s">
        <v>29937</v>
      </c>
      <c r="C15195" s="2" t="s">
        <v>62</v>
      </c>
      <c r="D15195" s="2" t="s">
        <v>1228</v>
      </c>
      <c r="E15195" s="2" t="str">
        <f>"9783428036189"</f>
        <v>9783428036189</v>
      </c>
      <c r="F15195" s="2" t="str">
        <f>"9783428436187"</f>
        <v>9783428436187</v>
      </c>
    </row>
    <row r="15196" spans="1:6" s="3" customFormat="1" ht="29.1" customHeight="1" x14ac:dyDescent="0.25">
      <c r="A15196" s="2" t="s">
        <v>30306</v>
      </c>
      <c r="B15196" s="2" t="s">
        <v>30307</v>
      </c>
      <c r="C15196" s="2" t="s">
        <v>62</v>
      </c>
      <c r="D15196" s="2" t="s">
        <v>1209</v>
      </c>
      <c r="E15196" s="2" t="str">
        <f>"9783428035588"</f>
        <v>9783428035588</v>
      </c>
      <c r="F15196" s="2" t="str">
        <f>"9783428435586"</f>
        <v>9783428435586</v>
      </c>
    </row>
    <row r="15197" spans="1:6" s="3" customFormat="1" ht="29.1" customHeight="1" x14ac:dyDescent="0.25">
      <c r="A15197" s="2" t="s">
        <v>30308</v>
      </c>
      <c r="B15197" s="2" t="s">
        <v>29943</v>
      </c>
      <c r="C15197" s="2" t="s">
        <v>62</v>
      </c>
      <c r="D15197" s="2" t="s">
        <v>1651</v>
      </c>
      <c r="E15197" s="2" t="str">
        <f>"9783428035380"</f>
        <v>9783428035380</v>
      </c>
      <c r="F15197" s="2" t="str">
        <f>"9783428435388"</f>
        <v>9783428435388</v>
      </c>
    </row>
    <row r="15198" spans="1:6" s="3" customFormat="1" ht="29.1" customHeight="1" x14ac:dyDescent="0.25">
      <c r="A15198" s="2" t="s">
        <v>30309</v>
      </c>
      <c r="B15198" s="2" t="s">
        <v>30310</v>
      </c>
      <c r="C15198" s="2" t="s">
        <v>62</v>
      </c>
      <c r="D15198" s="2" t="s">
        <v>2153</v>
      </c>
      <c r="E15198" s="2" t="str">
        <f>"9783428183029"</f>
        <v>9783428183029</v>
      </c>
      <c r="F15198" s="2" t="str">
        <f>"9783428583027"</f>
        <v>9783428583027</v>
      </c>
    </row>
    <row r="15199" spans="1:6" s="3" customFormat="1" ht="29.1" customHeight="1" x14ac:dyDescent="0.25">
      <c r="A15199" s="2" t="s">
        <v>30311</v>
      </c>
      <c r="B15199" s="2" t="s">
        <v>30312</v>
      </c>
      <c r="C15199" s="2" t="s">
        <v>62</v>
      </c>
      <c r="D15199" s="2" t="s">
        <v>297</v>
      </c>
      <c r="E15199" s="2" t="str">
        <f>"9783428038916"</f>
        <v>9783428038916</v>
      </c>
      <c r="F15199" s="2" t="str">
        <f>"9783428438914"</f>
        <v>9783428438914</v>
      </c>
    </row>
    <row r="15200" spans="1:6" s="3" customFormat="1" ht="29.1" customHeight="1" x14ac:dyDescent="0.25">
      <c r="A15200" s="2" t="s">
        <v>30313</v>
      </c>
      <c r="B15200" s="2" t="s">
        <v>30314</v>
      </c>
      <c r="C15200" s="2" t="s">
        <v>62</v>
      </c>
      <c r="D15200" s="2" t="s">
        <v>1463</v>
      </c>
      <c r="E15200" s="2" t="str">
        <f>"9783428037988"</f>
        <v>9783428037988</v>
      </c>
      <c r="F15200" s="2" t="str">
        <f>"9783428437986"</f>
        <v>9783428437986</v>
      </c>
    </row>
    <row r="15201" spans="1:6" s="3" customFormat="1" ht="29.1" customHeight="1" x14ac:dyDescent="0.25">
      <c r="A15201" s="2" t="s">
        <v>30315</v>
      </c>
      <c r="B15201" s="2" t="s">
        <v>30316</v>
      </c>
      <c r="C15201" s="2" t="s">
        <v>62</v>
      </c>
      <c r="D15201" s="2" t="s">
        <v>297</v>
      </c>
      <c r="E15201" s="2" t="str">
        <f>"9783428036356"</f>
        <v>9783428036356</v>
      </c>
      <c r="F15201" s="2" t="str">
        <f>"9783428436354"</f>
        <v>9783428436354</v>
      </c>
    </row>
    <row r="15202" spans="1:6" s="3" customFormat="1" ht="29.1" customHeight="1" x14ac:dyDescent="0.25">
      <c r="A15202" s="2" t="s">
        <v>30317</v>
      </c>
      <c r="B15202" s="2" t="s">
        <v>30246</v>
      </c>
      <c r="C15202" s="2" t="s">
        <v>62</v>
      </c>
      <c r="D15202" s="2" t="s">
        <v>4783</v>
      </c>
      <c r="E15202" s="2" t="str">
        <f>"9783428034697"</f>
        <v>9783428034697</v>
      </c>
      <c r="F15202" s="2" t="str">
        <f>"9783428434695"</f>
        <v>9783428434695</v>
      </c>
    </row>
    <row r="15203" spans="1:6" s="3" customFormat="1" ht="29.1" customHeight="1" x14ac:dyDescent="0.25">
      <c r="A15203" s="2" t="s">
        <v>30318</v>
      </c>
      <c r="B15203" s="2" t="s">
        <v>30319</v>
      </c>
      <c r="C15203" s="2" t="s">
        <v>62</v>
      </c>
      <c r="D15203" s="2" t="s">
        <v>1228</v>
      </c>
      <c r="E15203" s="2" t="str">
        <f>"9783428034642"</f>
        <v>9783428034642</v>
      </c>
      <c r="F15203" s="2" t="str">
        <f>"9783428434640"</f>
        <v>9783428434640</v>
      </c>
    </row>
    <row r="15204" spans="1:6" s="3" customFormat="1" ht="29.1" customHeight="1" x14ac:dyDescent="0.25">
      <c r="A15204" s="2" t="s">
        <v>30320</v>
      </c>
      <c r="B15204" s="2" t="s">
        <v>30319</v>
      </c>
      <c r="C15204" s="2" t="s">
        <v>62</v>
      </c>
      <c r="D15204" s="2" t="s">
        <v>1228</v>
      </c>
      <c r="E15204" s="2" t="str">
        <f>"9783428034635"</f>
        <v>9783428034635</v>
      </c>
      <c r="F15204" s="2" t="str">
        <f>"9783428434633"</f>
        <v>9783428434633</v>
      </c>
    </row>
    <row r="15205" spans="1:6" s="3" customFormat="1" ht="29.1" customHeight="1" x14ac:dyDescent="0.25">
      <c r="A15205" s="2" t="s">
        <v>30321</v>
      </c>
      <c r="B15205" s="2" t="s">
        <v>30322</v>
      </c>
      <c r="C15205" s="2" t="s">
        <v>195</v>
      </c>
      <c r="D15205" s="2" t="s">
        <v>186</v>
      </c>
      <c r="E15205" s="2"/>
      <c r="F15205" s="2" t="str">
        <f>"9788366675261"</f>
        <v>9788366675261</v>
      </c>
    </row>
    <row r="15206" spans="1:6" s="3" customFormat="1" ht="29.1" customHeight="1" x14ac:dyDescent="0.25">
      <c r="A15206" s="2" t="s">
        <v>30323</v>
      </c>
      <c r="B15206" s="2" t="s">
        <v>30324</v>
      </c>
      <c r="C15206" s="2" t="s">
        <v>195</v>
      </c>
      <c r="D15206" s="2" t="s">
        <v>339</v>
      </c>
      <c r="E15206" s="2" t="str">
        <f>"9783110738810"</f>
        <v>9783110738810</v>
      </c>
      <c r="F15206" s="2" t="str">
        <f>"9783110734522"</f>
        <v>9783110734522</v>
      </c>
    </row>
    <row r="15207" spans="1:6" s="3" customFormat="1" ht="29.1" customHeight="1" x14ac:dyDescent="0.25">
      <c r="A15207" s="2" t="s">
        <v>30325</v>
      </c>
      <c r="B15207" s="2" t="s">
        <v>30326</v>
      </c>
      <c r="C15207" s="2" t="s">
        <v>195</v>
      </c>
      <c r="D15207" s="2" t="s">
        <v>107</v>
      </c>
      <c r="E15207" s="2" t="str">
        <f>"9783110786910"</f>
        <v>9783110786910</v>
      </c>
      <c r="F15207" s="2" t="str">
        <f>"9783110786989"</f>
        <v>9783110786989</v>
      </c>
    </row>
    <row r="15208" spans="1:6" s="3" customFormat="1" ht="29.1" customHeight="1" x14ac:dyDescent="0.25">
      <c r="A15208" s="2" t="s">
        <v>30327</v>
      </c>
      <c r="B15208" s="2" t="s">
        <v>30329</v>
      </c>
      <c r="C15208" s="2" t="s">
        <v>195</v>
      </c>
      <c r="D15208" s="2" t="s">
        <v>30328</v>
      </c>
      <c r="E15208" s="2" t="str">
        <f>"9783110707977"</f>
        <v>9783110707977</v>
      </c>
      <c r="F15208" s="2" t="str">
        <f>"9783110708110"</f>
        <v>9783110708110</v>
      </c>
    </row>
    <row r="15209" spans="1:6" s="3" customFormat="1" ht="29.1" customHeight="1" x14ac:dyDescent="0.25">
      <c r="A15209" s="2" t="s">
        <v>30330</v>
      </c>
      <c r="B15209" s="2" t="s">
        <v>30331</v>
      </c>
      <c r="C15209" s="2" t="s">
        <v>195</v>
      </c>
      <c r="D15209" s="2" t="s">
        <v>20003</v>
      </c>
      <c r="E15209" s="2" t="str">
        <f>"9783110698626"</f>
        <v>9783110698626</v>
      </c>
      <c r="F15209" s="2" t="str">
        <f>"9783110698794"</f>
        <v>9783110698794</v>
      </c>
    </row>
    <row r="15210" spans="1:6" s="3" customFormat="1" ht="29.1" customHeight="1" x14ac:dyDescent="0.25">
      <c r="A15210" s="2" t="s">
        <v>30332</v>
      </c>
      <c r="B15210" s="2" t="s">
        <v>30333</v>
      </c>
      <c r="C15210" s="2" t="s">
        <v>195</v>
      </c>
      <c r="D15210" s="2" t="s">
        <v>984</v>
      </c>
      <c r="E15210" s="2" t="str">
        <f>"9783110725544"</f>
        <v>9783110725544</v>
      </c>
      <c r="F15210" s="2" t="str">
        <f>"9783110725582"</f>
        <v>9783110725582</v>
      </c>
    </row>
    <row r="15211" spans="1:6" s="3" customFormat="1" ht="29.1" customHeight="1" x14ac:dyDescent="0.25">
      <c r="A15211" s="2" t="s">
        <v>30334</v>
      </c>
      <c r="B15211" s="2" t="s">
        <v>30335</v>
      </c>
      <c r="C15211" s="2" t="s">
        <v>195</v>
      </c>
      <c r="D15211" s="2" t="s">
        <v>436</v>
      </c>
      <c r="E15211" s="2" t="str">
        <f>"9783110744699"</f>
        <v>9783110744699</v>
      </c>
      <c r="F15211" s="2" t="str">
        <f>"9783110744828"</f>
        <v>9783110744828</v>
      </c>
    </row>
    <row r="15212" spans="1:6" s="3" customFormat="1" ht="29.1" customHeight="1" x14ac:dyDescent="0.25">
      <c r="A15212" s="2" t="s">
        <v>30336</v>
      </c>
      <c r="B15212" s="2" t="s">
        <v>30337</v>
      </c>
      <c r="C15212" s="2" t="s">
        <v>55</v>
      </c>
      <c r="D15212" s="2" t="s">
        <v>7589</v>
      </c>
      <c r="E15212" s="2" t="str">
        <f>"9781526157959"</f>
        <v>9781526157959</v>
      </c>
      <c r="F15212" s="2" t="str">
        <f>"9781526157942"</f>
        <v>9781526157942</v>
      </c>
    </row>
    <row r="15213" spans="1:6" s="3" customFormat="1" ht="29.1" customHeight="1" x14ac:dyDescent="0.25">
      <c r="A15213" s="2" t="s">
        <v>30338</v>
      </c>
      <c r="B15213" s="2" t="s">
        <v>30339</v>
      </c>
      <c r="C15213" s="2" t="s">
        <v>15181</v>
      </c>
      <c r="D15213" s="2" t="s">
        <v>297</v>
      </c>
      <c r="E15213" s="2" t="str">
        <f>"9789087281151"</f>
        <v>9789087281151</v>
      </c>
      <c r="F15213" s="2" t="str">
        <f>"9789400600348"</f>
        <v>9789400600348</v>
      </c>
    </row>
    <row r="15214" spans="1:6" s="3" customFormat="1" ht="29.1" customHeight="1" x14ac:dyDescent="0.25">
      <c r="A15214" s="2" t="s">
        <v>30340</v>
      </c>
      <c r="B15214" s="2" t="s">
        <v>30341</v>
      </c>
      <c r="C15214" s="2" t="s">
        <v>15181</v>
      </c>
      <c r="D15214" s="2" t="s">
        <v>297</v>
      </c>
      <c r="E15214" s="2" t="str">
        <f>"9789087282240"</f>
        <v>9789087282240</v>
      </c>
      <c r="F15214" s="2" t="str">
        <f>"9789400602076"</f>
        <v>9789400602076</v>
      </c>
    </row>
    <row r="15215" spans="1:6" s="3" customFormat="1" ht="29.1" customHeight="1" x14ac:dyDescent="0.25">
      <c r="A15215" s="2" t="s">
        <v>30342</v>
      </c>
      <c r="B15215" s="2" t="s">
        <v>12278</v>
      </c>
      <c r="C15215" s="2" t="s">
        <v>746</v>
      </c>
      <c r="D15215" s="2" t="s">
        <v>1809</v>
      </c>
      <c r="E15215" s="2" t="str">
        <f>"9781803273020"</f>
        <v>9781803273020</v>
      </c>
      <c r="F15215" s="2" t="str">
        <f>"9781803273037"</f>
        <v>9781803273037</v>
      </c>
    </row>
    <row r="15216" spans="1:6" s="3" customFormat="1" ht="29.1" customHeight="1" x14ac:dyDescent="0.25">
      <c r="A15216" s="2" t="s">
        <v>30343</v>
      </c>
      <c r="B15216" s="2"/>
      <c r="C15216" s="2" t="s">
        <v>59</v>
      </c>
      <c r="D15216" s="2" t="s">
        <v>2083</v>
      </c>
      <c r="E15216" s="2"/>
      <c r="F15216" s="2" t="str">
        <f>"9782759232475"</f>
        <v>9782759232475</v>
      </c>
    </row>
    <row r="15217" spans="1:6" s="3" customFormat="1" ht="29.1" customHeight="1" x14ac:dyDescent="0.25">
      <c r="A15217" s="2" t="s">
        <v>30344</v>
      </c>
      <c r="B15217" s="2" t="s">
        <v>30345</v>
      </c>
      <c r="C15217" s="2" t="s">
        <v>55</v>
      </c>
      <c r="D15217" s="2" t="s">
        <v>636</v>
      </c>
      <c r="E15217" s="2" t="str">
        <f>"9781526161871"</f>
        <v>9781526161871</v>
      </c>
      <c r="F15217" s="2" t="str">
        <f>"9781526161864"</f>
        <v>9781526161864</v>
      </c>
    </row>
    <row r="15218" spans="1:6" s="3" customFormat="1" ht="29.1" customHeight="1" x14ac:dyDescent="0.25">
      <c r="A15218" s="2" t="s">
        <v>30346</v>
      </c>
      <c r="B15218" s="2" t="s">
        <v>30347</v>
      </c>
      <c r="C15218" s="2" t="s">
        <v>264</v>
      </c>
      <c r="D15218" s="2" t="s">
        <v>44</v>
      </c>
      <c r="E15218" s="2" t="str">
        <f>"9781032203034"</f>
        <v>9781032203034</v>
      </c>
      <c r="F15218" s="2" t="str">
        <f>"9781000685244"</f>
        <v>9781000685244</v>
      </c>
    </row>
    <row r="15219" spans="1:6" s="3" customFormat="1" ht="29.1" customHeight="1" x14ac:dyDescent="0.25">
      <c r="A15219" s="2" t="s">
        <v>30348</v>
      </c>
      <c r="B15219" s="2" t="s">
        <v>30349</v>
      </c>
      <c r="C15219" s="2" t="s">
        <v>124</v>
      </c>
      <c r="D15219" s="2" t="s">
        <v>1411</v>
      </c>
      <c r="E15219" s="2" t="str">
        <f>"9781032126135"</f>
        <v>9781032126135</v>
      </c>
      <c r="F15219" s="2" t="str">
        <f>"9781000790269"</f>
        <v>9781000790269</v>
      </c>
    </row>
    <row r="15220" spans="1:6" s="3" customFormat="1" ht="29.1" customHeight="1" x14ac:dyDescent="0.25">
      <c r="A15220" s="2" t="s">
        <v>30350</v>
      </c>
      <c r="B15220" s="2" t="s">
        <v>30351</v>
      </c>
      <c r="C15220" s="2" t="s">
        <v>124</v>
      </c>
      <c r="D15220" s="2" t="s">
        <v>596</v>
      </c>
      <c r="E15220" s="2" t="str">
        <f>"9781032100548"</f>
        <v>9781032100548</v>
      </c>
      <c r="F15220" s="2" t="str">
        <f>"9781000771985"</f>
        <v>9781000771985</v>
      </c>
    </row>
    <row r="15221" spans="1:6" s="3" customFormat="1" ht="29.1" customHeight="1" x14ac:dyDescent="0.25">
      <c r="A15221" s="2" t="s">
        <v>30352</v>
      </c>
      <c r="B15221" s="2" t="s">
        <v>30353</v>
      </c>
      <c r="C15221" s="2" t="s">
        <v>124</v>
      </c>
      <c r="D15221" s="2" t="s">
        <v>3468</v>
      </c>
      <c r="E15221" s="2" t="str">
        <f>"9781032063782"</f>
        <v>9781032063782</v>
      </c>
      <c r="F15221" s="2" t="str">
        <f>"9781000773439"</f>
        <v>9781000773439</v>
      </c>
    </row>
    <row r="15222" spans="1:6" s="3" customFormat="1" ht="29.1" customHeight="1" x14ac:dyDescent="0.25">
      <c r="A15222" s="2" t="s">
        <v>30354</v>
      </c>
      <c r="B15222" s="2" t="s">
        <v>30355</v>
      </c>
      <c r="C15222" s="2" t="s">
        <v>124</v>
      </c>
      <c r="D15222" s="2" t="s">
        <v>3656</v>
      </c>
      <c r="E15222" s="2" t="str">
        <f>"9781032043883"</f>
        <v>9781032043883</v>
      </c>
      <c r="F15222" s="2" t="str">
        <f>"9781000688894"</f>
        <v>9781000688894</v>
      </c>
    </row>
    <row r="15223" spans="1:6" s="3" customFormat="1" ht="29.1" customHeight="1" x14ac:dyDescent="0.25">
      <c r="A15223" s="2" t="s">
        <v>30356</v>
      </c>
      <c r="B15223" s="2" t="s">
        <v>30357</v>
      </c>
      <c r="C15223" s="2" t="s">
        <v>7395</v>
      </c>
      <c r="D15223" s="2" t="s">
        <v>1449</v>
      </c>
      <c r="E15223" s="2" t="str">
        <f>"9780295750484"</f>
        <v>9780295750484</v>
      </c>
      <c r="F15223" s="2" t="str">
        <f>"9780295750507"</f>
        <v>9780295750507</v>
      </c>
    </row>
    <row r="15224" spans="1:6" s="3" customFormat="1" ht="29.1" customHeight="1" x14ac:dyDescent="0.25">
      <c r="A15224" s="2" t="s">
        <v>30358</v>
      </c>
      <c r="B15224" s="2" t="s">
        <v>30359</v>
      </c>
      <c r="C15224" s="2" t="s">
        <v>124</v>
      </c>
      <c r="D15224" s="2" t="s">
        <v>183</v>
      </c>
      <c r="E15224" s="2" t="str">
        <f>"9781032066653"</f>
        <v>9781032066653</v>
      </c>
      <c r="F15224" s="2" t="str">
        <f>"9781000768824"</f>
        <v>9781000768824</v>
      </c>
    </row>
    <row r="15225" spans="1:6" s="3" customFormat="1" ht="29.1" customHeight="1" x14ac:dyDescent="0.25">
      <c r="A15225" s="2" t="s">
        <v>30360</v>
      </c>
      <c r="B15225" s="2" t="s">
        <v>4779</v>
      </c>
      <c r="C15225" s="2" t="s">
        <v>124</v>
      </c>
      <c r="D15225" s="2" t="s">
        <v>694</v>
      </c>
      <c r="E15225" s="2" t="str">
        <f>"9781032119953"</f>
        <v>9781032119953</v>
      </c>
      <c r="F15225" s="2" t="str">
        <f>"9781000636024"</f>
        <v>9781000636024</v>
      </c>
    </row>
    <row r="15226" spans="1:6" s="3" customFormat="1" ht="29.1" customHeight="1" x14ac:dyDescent="0.25">
      <c r="A15226" s="2" t="s">
        <v>30361</v>
      </c>
      <c r="B15226" s="2" t="s">
        <v>30362</v>
      </c>
      <c r="C15226" s="2" t="s">
        <v>149</v>
      </c>
      <c r="D15226" s="2" t="s">
        <v>868</v>
      </c>
      <c r="E15226" s="2"/>
      <c r="F15226" s="2" t="str">
        <f>"9781800647107"</f>
        <v>9781800647107</v>
      </c>
    </row>
    <row r="15227" spans="1:6" s="3" customFormat="1" ht="29.1" customHeight="1" x14ac:dyDescent="0.25">
      <c r="A15227" s="2" t="s">
        <v>30363</v>
      </c>
      <c r="B15227" s="2" t="s">
        <v>30365</v>
      </c>
      <c r="C15227" s="2" t="s">
        <v>149</v>
      </c>
      <c r="D15227" s="2" t="s">
        <v>30364</v>
      </c>
      <c r="E15227" s="2"/>
      <c r="F15227" s="2" t="str">
        <f>"9781800643468"</f>
        <v>9781800643468</v>
      </c>
    </row>
    <row r="15228" spans="1:6" s="3" customFormat="1" ht="29.1" customHeight="1" x14ac:dyDescent="0.25">
      <c r="A15228" s="2" t="s">
        <v>30366</v>
      </c>
      <c r="B15228" s="2" t="s">
        <v>30367</v>
      </c>
      <c r="C15228" s="2" t="s">
        <v>149</v>
      </c>
      <c r="D15228" s="2" t="s">
        <v>33</v>
      </c>
      <c r="E15228" s="2"/>
      <c r="F15228" s="2" t="str">
        <f>"9781800647510"</f>
        <v>9781800647510</v>
      </c>
    </row>
    <row r="15229" spans="1:6" s="3" customFormat="1" ht="29.1" customHeight="1" x14ac:dyDescent="0.25">
      <c r="A15229" s="2" t="s">
        <v>30368</v>
      </c>
      <c r="B15229" s="2" t="s">
        <v>6742</v>
      </c>
      <c r="C15229" s="2" t="s">
        <v>149</v>
      </c>
      <c r="D15229" s="2" t="s">
        <v>33</v>
      </c>
      <c r="E15229" s="2"/>
      <c r="F15229" s="2" t="str">
        <f>"9781800647442"</f>
        <v>9781800647442</v>
      </c>
    </row>
    <row r="15230" spans="1:6" s="3" customFormat="1" ht="29.1" customHeight="1" x14ac:dyDescent="0.25">
      <c r="A15230" s="2" t="s">
        <v>30369</v>
      </c>
      <c r="B15230" s="2" t="s">
        <v>30370</v>
      </c>
      <c r="C15230" s="2" t="s">
        <v>15181</v>
      </c>
      <c r="D15230" s="2" t="s">
        <v>1466</v>
      </c>
      <c r="E15230" s="2" t="str">
        <f>"9789633866108"</f>
        <v>9789633866108</v>
      </c>
      <c r="F15230" s="2" t="str">
        <f>"9789633866115"</f>
        <v>9789633866115</v>
      </c>
    </row>
    <row r="15231" spans="1:6" s="3" customFormat="1" ht="29.1" customHeight="1" x14ac:dyDescent="0.25">
      <c r="A15231" s="2" t="s">
        <v>30371</v>
      </c>
      <c r="B15231" s="2" t="s">
        <v>30372</v>
      </c>
      <c r="C15231" s="2" t="s">
        <v>15181</v>
      </c>
      <c r="D15231" s="2" t="s">
        <v>436</v>
      </c>
      <c r="E15231" s="2" t="str">
        <f>"9789633866207"</f>
        <v>9789633866207</v>
      </c>
      <c r="F15231" s="2" t="str">
        <f>"9789633866214"</f>
        <v>9789633866214</v>
      </c>
    </row>
    <row r="15232" spans="1:6" s="3" customFormat="1" ht="29.1" customHeight="1" x14ac:dyDescent="0.25">
      <c r="A15232" s="2" t="s">
        <v>30373</v>
      </c>
      <c r="B15232" s="2" t="s">
        <v>30374</v>
      </c>
      <c r="C15232" s="2" t="s">
        <v>2133</v>
      </c>
      <c r="D15232" s="2" t="s">
        <v>818</v>
      </c>
      <c r="E15232" s="2" t="str">
        <f>"9781760465209"</f>
        <v>9781760465209</v>
      </c>
      <c r="F15232" s="2" t="str">
        <f>"9781760465216"</f>
        <v>9781760465216</v>
      </c>
    </row>
    <row r="15233" spans="1:6" s="3" customFormat="1" ht="29.1" customHeight="1" x14ac:dyDescent="0.25">
      <c r="A15233" s="2" t="s">
        <v>30375</v>
      </c>
      <c r="B15233" s="2" t="s">
        <v>30377</v>
      </c>
      <c r="C15233" s="2" t="s">
        <v>124</v>
      </c>
      <c r="D15233" s="2" t="s">
        <v>30376</v>
      </c>
      <c r="E15233" s="2" t="str">
        <f>"9781138589292"</f>
        <v>9781138589292</v>
      </c>
      <c r="F15233" s="2" t="str">
        <f>"9780429491733"</f>
        <v>9780429491733</v>
      </c>
    </row>
    <row r="15234" spans="1:6" s="3" customFormat="1" ht="29.1" customHeight="1" x14ac:dyDescent="0.25">
      <c r="A15234" s="2" t="s">
        <v>30378</v>
      </c>
      <c r="B15234" s="2" t="s">
        <v>30379</v>
      </c>
      <c r="C15234" s="2" t="s">
        <v>124</v>
      </c>
      <c r="D15234" s="2" t="s">
        <v>2587</v>
      </c>
      <c r="E15234" s="2" t="str">
        <f>"9781032198224"</f>
        <v>9781032198224</v>
      </c>
      <c r="F15234" s="2" t="str">
        <f>"9781000755978"</f>
        <v>9781000755978</v>
      </c>
    </row>
    <row r="15235" spans="1:6" s="3" customFormat="1" ht="29.1" customHeight="1" x14ac:dyDescent="0.25">
      <c r="A15235" s="2" t="s">
        <v>30380</v>
      </c>
      <c r="B15235" s="2" t="s">
        <v>30381</v>
      </c>
      <c r="C15235" s="2" t="s">
        <v>195</v>
      </c>
      <c r="D15235" s="2" t="s">
        <v>218</v>
      </c>
      <c r="E15235" s="2" t="str">
        <f>"9783110766219"</f>
        <v>9783110766219</v>
      </c>
      <c r="F15235" s="2" t="str">
        <f>"9783110772746"</f>
        <v>9783110772746</v>
      </c>
    </row>
    <row r="15236" spans="1:6" s="3" customFormat="1" ht="29.1" customHeight="1" x14ac:dyDescent="0.25">
      <c r="A15236" s="2" t="s">
        <v>30382</v>
      </c>
      <c r="B15236" s="2" t="s">
        <v>30383</v>
      </c>
      <c r="C15236" s="2" t="s">
        <v>195</v>
      </c>
      <c r="D15236" s="2" t="s">
        <v>1806</v>
      </c>
      <c r="E15236" s="2" t="str">
        <f>"9783110781441"</f>
        <v>9783110781441</v>
      </c>
      <c r="F15236" s="2" t="str">
        <f>"9783110781519"</f>
        <v>9783110781519</v>
      </c>
    </row>
    <row r="15237" spans="1:6" s="3" customFormat="1" ht="29.1" customHeight="1" x14ac:dyDescent="0.25">
      <c r="A15237" s="2" t="s">
        <v>30384</v>
      </c>
      <c r="B15237" s="2" t="s">
        <v>30385</v>
      </c>
      <c r="C15237" s="2" t="s">
        <v>195</v>
      </c>
      <c r="D15237" s="2" t="s">
        <v>210</v>
      </c>
      <c r="E15237" s="2" t="str">
        <f>"9783110756937"</f>
        <v>9783110756937</v>
      </c>
      <c r="F15237" s="2" t="str">
        <f>"9783110757101"</f>
        <v>9783110757101</v>
      </c>
    </row>
    <row r="15238" spans="1:6" s="3" customFormat="1" ht="29.1" customHeight="1" x14ac:dyDescent="0.25">
      <c r="A15238" s="2" t="s">
        <v>30386</v>
      </c>
      <c r="B15238" s="2" t="s">
        <v>29937</v>
      </c>
      <c r="C15238" s="2" t="s">
        <v>62</v>
      </c>
      <c r="D15238" s="2" t="s">
        <v>1228</v>
      </c>
      <c r="E15238" s="2" t="str">
        <f>"9783428041664"</f>
        <v>9783428041664</v>
      </c>
      <c r="F15238" s="2" t="str">
        <f>"9783428441662"</f>
        <v>9783428441662</v>
      </c>
    </row>
    <row r="15239" spans="1:6" s="3" customFormat="1" ht="29.1" customHeight="1" x14ac:dyDescent="0.25">
      <c r="A15239" s="2" t="s">
        <v>30387</v>
      </c>
      <c r="B15239" s="2" t="s">
        <v>30388</v>
      </c>
      <c r="C15239" s="2" t="s">
        <v>62</v>
      </c>
      <c r="D15239" s="2" t="s">
        <v>1228</v>
      </c>
      <c r="E15239" s="2" t="str">
        <f>"9783428045822"</f>
        <v>9783428045822</v>
      </c>
      <c r="F15239" s="2" t="str">
        <f>"9783428445820"</f>
        <v>9783428445820</v>
      </c>
    </row>
    <row r="15240" spans="1:6" s="3" customFormat="1" ht="29.1" customHeight="1" x14ac:dyDescent="0.25">
      <c r="A15240" s="2" t="s">
        <v>30389</v>
      </c>
      <c r="B15240" s="2" t="s">
        <v>30390</v>
      </c>
      <c r="C15240" s="2" t="s">
        <v>62</v>
      </c>
      <c r="D15240" s="2" t="s">
        <v>5758</v>
      </c>
      <c r="E15240" s="2" t="str">
        <f>"9783428052295"</f>
        <v>9783428052295</v>
      </c>
      <c r="F15240" s="2" t="str">
        <f>"9783428452293"</f>
        <v>9783428452293</v>
      </c>
    </row>
    <row r="15241" spans="1:6" s="3" customFormat="1" ht="29.1" customHeight="1" x14ac:dyDescent="0.25">
      <c r="A15241" s="2" t="s">
        <v>30391</v>
      </c>
      <c r="B15241" s="2" t="s">
        <v>30392</v>
      </c>
      <c r="C15241" s="2" t="s">
        <v>62</v>
      </c>
      <c r="D15241" s="2" t="s">
        <v>1228</v>
      </c>
      <c r="E15241" s="2" t="str">
        <f>"9783428056484"</f>
        <v>9783428056484</v>
      </c>
      <c r="F15241" s="2" t="str">
        <f>"9783428456482"</f>
        <v>9783428456482</v>
      </c>
    </row>
    <row r="15242" spans="1:6" s="3" customFormat="1" ht="29.1" customHeight="1" x14ac:dyDescent="0.25">
      <c r="A15242" s="2" t="s">
        <v>30393</v>
      </c>
      <c r="B15242" s="2" t="s">
        <v>30394</v>
      </c>
      <c r="C15242" s="2" t="s">
        <v>62</v>
      </c>
      <c r="D15242" s="2" t="s">
        <v>297</v>
      </c>
      <c r="E15242" s="2" t="str">
        <f>"9783428059102"</f>
        <v>9783428059102</v>
      </c>
      <c r="F15242" s="2" t="str">
        <f>"9783428459100"</f>
        <v>9783428459100</v>
      </c>
    </row>
    <row r="15243" spans="1:6" s="3" customFormat="1" ht="29.1" customHeight="1" x14ac:dyDescent="0.25">
      <c r="A15243" s="2" t="s">
        <v>30395</v>
      </c>
      <c r="B15243" s="2" t="s">
        <v>30396</v>
      </c>
      <c r="C15243" s="2" t="s">
        <v>62</v>
      </c>
      <c r="D15243" s="2" t="s">
        <v>5758</v>
      </c>
      <c r="E15243" s="2" t="str">
        <f>"9783428062478"</f>
        <v>9783428062478</v>
      </c>
      <c r="F15243" s="2" t="str">
        <f>"9783428462476"</f>
        <v>9783428462476</v>
      </c>
    </row>
    <row r="15244" spans="1:6" s="3" customFormat="1" ht="29.1" customHeight="1" x14ac:dyDescent="0.25">
      <c r="A15244" s="2" t="s">
        <v>30397</v>
      </c>
      <c r="B15244" s="2" t="s">
        <v>30398</v>
      </c>
      <c r="C15244" s="2" t="s">
        <v>62</v>
      </c>
      <c r="D15244" s="2" t="s">
        <v>183</v>
      </c>
      <c r="E15244" s="2" t="str">
        <f>"9783428065134"</f>
        <v>9783428065134</v>
      </c>
      <c r="F15244" s="2" t="str">
        <f>"9783428465132"</f>
        <v>9783428465132</v>
      </c>
    </row>
    <row r="15245" spans="1:6" s="3" customFormat="1" ht="29.1" customHeight="1" x14ac:dyDescent="0.25">
      <c r="A15245" s="2" t="s">
        <v>30399</v>
      </c>
      <c r="B15245" s="2" t="s">
        <v>30258</v>
      </c>
      <c r="C15245" s="2" t="s">
        <v>62</v>
      </c>
      <c r="D15245" s="2" t="s">
        <v>1228</v>
      </c>
      <c r="E15245" s="2" t="str">
        <f>"9783428067275"</f>
        <v>9783428067275</v>
      </c>
      <c r="F15245" s="2" t="str">
        <f>"9783428467273"</f>
        <v>9783428467273</v>
      </c>
    </row>
    <row r="15246" spans="1:6" s="3" customFormat="1" ht="29.1" customHeight="1" x14ac:dyDescent="0.25">
      <c r="A15246" s="2" t="s">
        <v>30400</v>
      </c>
      <c r="B15246" s="2" t="s">
        <v>30401</v>
      </c>
      <c r="C15246" s="2" t="s">
        <v>62</v>
      </c>
      <c r="D15246" s="2" t="s">
        <v>5758</v>
      </c>
      <c r="E15246" s="2" t="str">
        <f>"9783428067008"</f>
        <v>9783428067008</v>
      </c>
      <c r="F15246" s="2" t="str">
        <f>"9783428467006"</f>
        <v>9783428467006</v>
      </c>
    </row>
    <row r="15247" spans="1:6" s="3" customFormat="1" ht="29.1" customHeight="1" x14ac:dyDescent="0.25">
      <c r="A15247" s="2" t="s">
        <v>30402</v>
      </c>
      <c r="B15247" s="2" t="s">
        <v>30403</v>
      </c>
      <c r="C15247" s="2" t="s">
        <v>62</v>
      </c>
      <c r="D15247" s="2" t="s">
        <v>2005</v>
      </c>
      <c r="E15247" s="2" t="str">
        <f>"9783428066988"</f>
        <v>9783428066988</v>
      </c>
      <c r="F15247" s="2" t="str">
        <f>"9783428466986"</f>
        <v>9783428466986</v>
      </c>
    </row>
    <row r="15248" spans="1:6" s="3" customFormat="1" ht="29.1" customHeight="1" x14ac:dyDescent="0.25">
      <c r="A15248" s="2" t="s">
        <v>30404</v>
      </c>
      <c r="B15248" s="2" t="s">
        <v>30405</v>
      </c>
      <c r="C15248" s="2" t="s">
        <v>62</v>
      </c>
      <c r="D15248" s="2" t="s">
        <v>1228</v>
      </c>
      <c r="E15248" s="2" t="str">
        <f>"9783428066957"</f>
        <v>9783428066957</v>
      </c>
      <c r="F15248" s="2" t="str">
        <f>"9783428466955"</f>
        <v>9783428466955</v>
      </c>
    </row>
    <row r="15249" spans="1:6" s="3" customFormat="1" ht="29.1" customHeight="1" x14ac:dyDescent="0.25">
      <c r="A15249" s="2" t="s">
        <v>30406</v>
      </c>
      <c r="B15249" s="2" t="s">
        <v>29943</v>
      </c>
      <c r="C15249" s="2" t="s">
        <v>62</v>
      </c>
      <c r="D15249" s="2" t="s">
        <v>1651</v>
      </c>
      <c r="E15249" s="2" t="str">
        <f>"9783428066346"</f>
        <v>9783428066346</v>
      </c>
      <c r="F15249" s="2" t="str">
        <f>"9783428466344"</f>
        <v>9783428466344</v>
      </c>
    </row>
    <row r="15250" spans="1:6" s="3" customFormat="1" ht="29.1" customHeight="1" x14ac:dyDescent="0.25">
      <c r="A15250" s="2" t="s">
        <v>30407</v>
      </c>
      <c r="B15250" s="2" t="s">
        <v>30408</v>
      </c>
      <c r="C15250" s="2" t="s">
        <v>62</v>
      </c>
      <c r="D15250" s="2" t="s">
        <v>1651</v>
      </c>
      <c r="E15250" s="2" t="str">
        <f>"9783428065899"</f>
        <v>9783428065899</v>
      </c>
      <c r="F15250" s="2" t="str">
        <f>"9783428465897"</f>
        <v>9783428465897</v>
      </c>
    </row>
    <row r="15251" spans="1:6" s="3" customFormat="1" ht="29.1" customHeight="1" x14ac:dyDescent="0.25">
      <c r="A15251" s="2" t="s">
        <v>30409</v>
      </c>
      <c r="B15251" s="2" t="s">
        <v>30410</v>
      </c>
      <c r="C15251" s="2" t="s">
        <v>62</v>
      </c>
      <c r="D15251" s="2" t="s">
        <v>1228</v>
      </c>
      <c r="E15251" s="2" t="str">
        <f>"9783428064519"</f>
        <v>9783428064519</v>
      </c>
      <c r="F15251" s="2" t="str">
        <f>"9783428464517"</f>
        <v>9783428464517</v>
      </c>
    </row>
    <row r="15252" spans="1:6" s="3" customFormat="1" ht="29.1" customHeight="1" x14ac:dyDescent="0.25">
      <c r="A15252" s="2" t="s">
        <v>30411</v>
      </c>
      <c r="B15252" s="2" t="s">
        <v>30412</v>
      </c>
      <c r="C15252" s="2" t="s">
        <v>62</v>
      </c>
      <c r="D15252" s="2" t="s">
        <v>5758</v>
      </c>
      <c r="E15252" s="2" t="str">
        <f>"9783428064335"</f>
        <v>9783428064335</v>
      </c>
      <c r="F15252" s="2" t="str">
        <f>"9783428464333"</f>
        <v>9783428464333</v>
      </c>
    </row>
    <row r="15253" spans="1:6" s="3" customFormat="1" ht="29.1" customHeight="1" x14ac:dyDescent="0.25">
      <c r="A15253" s="2" t="s">
        <v>30413</v>
      </c>
      <c r="B15253" s="2" t="s">
        <v>30405</v>
      </c>
      <c r="C15253" s="2" t="s">
        <v>62</v>
      </c>
      <c r="D15253" s="2" t="s">
        <v>1228</v>
      </c>
      <c r="E15253" s="2" t="str">
        <f>"9783428064328"</f>
        <v>9783428064328</v>
      </c>
      <c r="F15253" s="2" t="str">
        <f>"9783428464326"</f>
        <v>9783428464326</v>
      </c>
    </row>
    <row r="15254" spans="1:6" s="3" customFormat="1" ht="29.1" customHeight="1" x14ac:dyDescent="0.25">
      <c r="A15254" s="2" t="s">
        <v>30414</v>
      </c>
      <c r="B15254" s="2" t="s">
        <v>30415</v>
      </c>
      <c r="C15254" s="2" t="s">
        <v>62</v>
      </c>
      <c r="D15254" s="2" t="s">
        <v>1228</v>
      </c>
      <c r="E15254" s="2" t="str">
        <f>"9783428064274"</f>
        <v>9783428064274</v>
      </c>
      <c r="F15254" s="2" t="str">
        <f>"9783428464272"</f>
        <v>9783428464272</v>
      </c>
    </row>
    <row r="15255" spans="1:6" s="3" customFormat="1" ht="29.1" customHeight="1" x14ac:dyDescent="0.25">
      <c r="A15255" s="2" t="s">
        <v>30416</v>
      </c>
      <c r="B15255" s="2" t="s">
        <v>30417</v>
      </c>
      <c r="C15255" s="2" t="s">
        <v>62</v>
      </c>
      <c r="D15255" s="2" t="s">
        <v>4783</v>
      </c>
      <c r="E15255" s="2" t="str">
        <f>"9783428064250"</f>
        <v>9783428064250</v>
      </c>
      <c r="F15255" s="2" t="str">
        <f>"9783428464258"</f>
        <v>9783428464258</v>
      </c>
    </row>
    <row r="15256" spans="1:6" s="3" customFormat="1" ht="29.1" customHeight="1" x14ac:dyDescent="0.25">
      <c r="A15256" s="2" t="s">
        <v>30418</v>
      </c>
      <c r="B15256" s="2" t="s">
        <v>30419</v>
      </c>
      <c r="C15256" s="2" t="s">
        <v>62</v>
      </c>
      <c r="D15256" s="2" t="s">
        <v>1209</v>
      </c>
      <c r="E15256" s="2" t="str">
        <f>"9783428062836"</f>
        <v>9783428062836</v>
      </c>
      <c r="F15256" s="2" t="str">
        <f>"9783428462834"</f>
        <v>9783428462834</v>
      </c>
    </row>
    <row r="15257" spans="1:6" s="3" customFormat="1" ht="29.1" customHeight="1" x14ac:dyDescent="0.25">
      <c r="A15257" s="2" t="s">
        <v>30420</v>
      </c>
      <c r="B15257" s="2" t="s">
        <v>30421</v>
      </c>
      <c r="C15257" s="2" t="s">
        <v>62</v>
      </c>
      <c r="D15257" s="2" t="s">
        <v>1864</v>
      </c>
      <c r="E15257" s="2" t="str">
        <f>"9783428062720"</f>
        <v>9783428062720</v>
      </c>
      <c r="F15257" s="2" t="str">
        <f>"9783428462728"</f>
        <v>9783428462728</v>
      </c>
    </row>
    <row r="15258" spans="1:6" s="3" customFormat="1" ht="29.1" customHeight="1" x14ac:dyDescent="0.25">
      <c r="A15258" s="2" t="s">
        <v>30422</v>
      </c>
      <c r="B15258" s="2" t="s">
        <v>30423</v>
      </c>
      <c r="C15258" s="2" t="s">
        <v>62</v>
      </c>
      <c r="D15258" s="2" t="s">
        <v>297</v>
      </c>
      <c r="E15258" s="2" t="str">
        <f>"9783428061693"</f>
        <v>9783428061693</v>
      </c>
      <c r="F15258" s="2" t="str">
        <f>"9783428461691"</f>
        <v>9783428461691</v>
      </c>
    </row>
    <row r="15259" spans="1:6" s="3" customFormat="1" ht="29.1" customHeight="1" x14ac:dyDescent="0.25">
      <c r="A15259" s="2" t="s">
        <v>30424</v>
      </c>
      <c r="B15259" s="2" t="s">
        <v>30405</v>
      </c>
      <c r="C15259" s="2" t="s">
        <v>62</v>
      </c>
      <c r="D15259" s="2" t="s">
        <v>1228</v>
      </c>
      <c r="E15259" s="2" t="str">
        <f>"9783428061648"</f>
        <v>9783428061648</v>
      </c>
      <c r="F15259" s="2" t="str">
        <f>"9783428461646"</f>
        <v>9783428461646</v>
      </c>
    </row>
    <row r="15260" spans="1:6" s="3" customFormat="1" ht="29.1" customHeight="1" x14ac:dyDescent="0.25">
      <c r="A15260" s="2" t="s">
        <v>30425</v>
      </c>
      <c r="B15260" s="2" t="s">
        <v>29943</v>
      </c>
      <c r="C15260" s="2" t="s">
        <v>62</v>
      </c>
      <c r="D15260" s="2" t="s">
        <v>1651</v>
      </c>
      <c r="E15260" s="2" t="str">
        <f>"9783428061266"</f>
        <v>9783428061266</v>
      </c>
      <c r="F15260" s="2" t="str">
        <f>"9783428461264"</f>
        <v>9783428461264</v>
      </c>
    </row>
    <row r="15261" spans="1:6" s="3" customFormat="1" ht="29.1" customHeight="1" x14ac:dyDescent="0.25">
      <c r="A15261" s="2" t="s">
        <v>30426</v>
      </c>
      <c r="B15261" s="2" t="s">
        <v>30412</v>
      </c>
      <c r="C15261" s="2" t="s">
        <v>62</v>
      </c>
      <c r="D15261" s="2" t="s">
        <v>5758</v>
      </c>
      <c r="E15261" s="2" t="str">
        <f>"9783428061235"</f>
        <v>9783428061235</v>
      </c>
      <c r="F15261" s="2" t="str">
        <f>"9783428461233"</f>
        <v>9783428461233</v>
      </c>
    </row>
    <row r="15262" spans="1:6" s="3" customFormat="1" ht="29.1" customHeight="1" x14ac:dyDescent="0.25">
      <c r="A15262" s="2" t="s">
        <v>30427</v>
      </c>
      <c r="B15262" s="2" t="s">
        <v>30428</v>
      </c>
      <c r="C15262" s="2" t="s">
        <v>62</v>
      </c>
      <c r="D15262" s="2" t="s">
        <v>2005</v>
      </c>
      <c r="E15262" s="2" t="str">
        <f>"9783428061006"</f>
        <v>9783428061006</v>
      </c>
      <c r="F15262" s="2" t="str">
        <f>"9783428461004"</f>
        <v>9783428461004</v>
      </c>
    </row>
    <row r="15263" spans="1:6" s="3" customFormat="1" ht="29.1" customHeight="1" x14ac:dyDescent="0.25">
      <c r="A15263" s="2" t="s">
        <v>30429</v>
      </c>
      <c r="B15263" s="2" t="s">
        <v>30430</v>
      </c>
      <c r="C15263" s="2" t="s">
        <v>62</v>
      </c>
      <c r="D15263" s="2" t="s">
        <v>1228</v>
      </c>
      <c r="E15263" s="2" t="str">
        <f>"9783428060825"</f>
        <v>9783428060825</v>
      </c>
      <c r="F15263" s="2" t="str">
        <f>"9783428460823"</f>
        <v>9783428460823</v>
      </c>
    </row>
    <row r="15264" spans="1:6" s="3" customFormat="1" ht="29.1" customHeight="1" x14ac:dyDescent="0.25">
      <c r="A15264" s="2" t="s">
        <v>30431</v>
      </c>
      <c r="B15264" s="2" t="s">
        <v>30432</v>
      </c>
      <c r="C15264" s="2" t="s">
        <v>62</v>
      </c>
      <c r="D15264" s="2" t="s">
        <v>5758</v>
      </c>
      <c r="E15264" s="2" t="str">
        <f>"9783428060771"</f>
        <v>9783428060771</v>
      </c>
      <c r="F15264" s="2" t="str">
        <f>"9783428460779"</f>
        <v>9783428460779</v>
      </c>
    </row>
    <row r="15265" spans="1:6" s="3" customFormat="1" ht="29.1" customHeight="1" x14ac:dyDescent="0.25">
      <c r="A15265" s="2" t="s">
        <v>30433</v>
      </c>
      <c r="B15265" s="2" t="s">
        <v>30392</v>
      </c>
      <c r="C15265" s="2" t="s">
        <v>62</v>
      </c>
      <c r="D15265" s="2" t="s">
        <v>1228</v>
      </c>
      <c r="E15265" s="2" t="str">
        <f>"9783428060474"</f>
        <v>9783428060474</v>
      </c>
      <c r="F15265" s="2" t="str">
        <f>"9783428460472"</f>
        <v>9783428460472</v>
      </c>
    </row>
    <row r="15266" spans="1:6" s="3" customFormat="1" ht="29.1" customHeight="1" x14ac:dyDescent="0.25">
      <c r="A15266" s="2" t="s">
        <v>30434</v>
      </c>
      <c r="B15266" s="2" t="s">
        <v>30435</v>
      </c>
      <c r="C15266" s="2" t="s">
        <v>62</v>
      </c>
      <c r="D15266" s="2" t="s">
        <v>2005</v>
      </c>
      <c r="E15266" s="2" t="str">
        <f>"9783428060436"</f>
        <v>9783428060436</v>
      </c>
      <c r="F15266" s="2" t="str">
        <f>"9783428460434"</f>
        <v>9783428460434</v>
      </c>
    </row>
    <row r="15267" spans="1:6" s="3" customFormat="1" ht="29.1" customHeight="1" x14ac:dyDescent="0.25">
      <c r="A15267" s="2" t="s">
        <v>30436</v>
      </c>
      <c r="B15267" s="2" t="s">
        <v>30139</v>
      </c>
      <c r="C15267" s="2" t="s">
        <v>62</v>
      </c>
      <c r="D15267" s="2" t="s">
        <v>4783</v>
      </c>
      <c r="E15267" s="2" t="str">
        <f>"9783428059737"</f>
        <v>9783428059737</v>
      </c>
      <c r="F15267" s="2" t="str">
        <f>"9783428459735"</f>
        <v>9783428459735</v>
      </c>
    </row>
    <row r="15268" spans="1:6" s="3" customFormat="1" ht="29.1" customHeight="1" x14ac:dyDescent="0.25">
      <c r="A15268" s="2" t="s">
        <v>30437</v>
      </c>
      <c r="B15268" s="2" t="s">
        <v>30412</v>
      </c>
      <c r="C15268" s="2" t="s">
        <v>62</v>
      </c>
      <c r="D15268" s="2" t="s">
        <v>1864</v>
      </c>
      <c r="E15268" s="2" t="str">
        <f>"9783428059720"</f>
        <v>9783428059720</v>
      </c>
      <c r="F15268" s="2" t="str">
        <f>"9783428459728"</f>
        <v>9783428459728</v>
      </c>
    </row>
    <row r="15269" spans="1:6" s="3" customFormat="1" ht="29.1" customHeight="1" x14ac:dyDescent="0.25">
      <c r="A15269" s="2" t="s">
        <v>30438</v>
      </c>
      <c r="B15269" s="2" t="s">
        <v>30405</v>
      </c>
      <c r="C15269" s="2" t="s">
        <v>62</v>
      </c>
      <c r="D15269" s="2" t="s">
        <v>1228</v>
      </c>
      <c r="E15269" s="2" t="str">
        <f>"9783428059690"</f>
        <v>9783428059690</v>
      </c>
      <c r="F15269" s="2" t="str">
        <f>"9783428459698"</f>
        <v>9783428459698</v>
      </c>
    </row>
    <row r="15270" spans="1:6" s="3" customFormat="1" ht="29.1" customHeight="1" x14ac:dyDescent="0.25">
      <c r="A15270" s="2" t="s">
        <v>30439</v>
      </c>
      <c r="B15270" s="2" t="s">
        <v>30392</v>
      </c>
      <c r="C15270" s="2" t="s">
        <v>62</v>
      </c>
      <c r="D15270" s="2" t="s">
        <v>1228</v>
      </c>
      <c r="E15270" s="2" t="str">
        <f>"9783428059492"</f>
        <v>9783428059492</v>
      </c>
      <c r="F15270" s="2" t="str">
        <f>"9783428459490"</f>
        <v>9783428459490</v>
      </c>
    </row>
    <row r="15271" spans="1:6" s="3" customFormat="1" ht="29.1" customHeight="1" x14ac:dyDescent="0.25">
      <c r="A15271" s="2" t="s">
        <v>30440</v>
      </c>
      <c r="B15271" s="2" t="s">
        <v>30441</v>
      </c>
      <c r="C15271" s="2" t="s">
        <v>62</v>
      </c>
      <c r="D15271" s="2" t="s">
        <v>1228</v>
      </c>
      <c r="E15271" s="2" t="str">
        <f>"9783428059324"</f>
        <v>9783428059324</v>
      </c>
      <c r="F15271" s="2" t="str">
        <f>"9783428459322"</f>
        <v>9783428459322</v>
      </c>
    </row>
    <row r="15272" spans="1:6" s="3" customFormat="1" ht="29.1" customHeight="1" x14ac:dyDescent="0.25">
      <c r="A15272" s="2" t="s">
        <v>30442</v>
      </c>
      <c r="B15272" s="2" t="s">
        <v>29943</v>
      </c>
      <c r="C15272" s="2" t="s">
        <v>62</v>
      </c>
      <c r="D15272" s="2" t="s">
        <v>5758</v>
      </c>
      <c r="E15272" s="2" t="str">
        <f>"9783428059249"</f>
        <v>9783428059249</v>
      </c>
      <c r="F15272" s="2" t="str">
        <f>"9783428459247"</f>
        <v>9783428459247</v>
      </c>
    </row>
    <row r="15273" spans="1:6" s="3" customFormat="1" ht="29.1" customHeight="1" x14ac:dyDescent="0.25">
      <c r="A15273" s="2" t="s">
        <v>30443</v>
      </c>
      <c r="B15273" s="2" t="s">
        <v>30419</v>
      </c>
      <c r="C15273" s="2" t="s">
        <v>62</v>
      </c>
      <c r="D15273" s="2" t="s">
        <v>4783</v>
      </c>
      <c r="E15273" s="2" t="str">
        <f>"9783428059232"</f>
        <v>9783428059232</v>
      </c>
      <c r="F15273" s="2" t="str">
        <f>"9783428459230"</f>
        <v>9783428459230</v>
      </c>
    </row>
    <row r="15274" spans="1:6" s="3" customFormat="1" ht="29.1" customHeight="1" x14ac:dyDescent="0.25">
      <c r="A15274" s="2" t="s">
        <v>30444</v>
      </c>
      <c r="B15274" s="2" t="s">
        <v>30428</v>
      </c>
      <c r="C15274" s="2" t="s">
        <v>62</v>
      </c>
      <c r="D15274" s="2" t="s">
        <v>1864</v>
      </c>
      <c r="E15274" s="2" t="str">
        <f>"9783428059225"</f>
        <v>9783428059225</v>
      </c>
      <c r="F15274" s="2" t="str">
        <f>"9783428459223"</f>
        <v>9783428459223</v>
      </c>
    </row>
    <row r="15275" spans="1:6" s="3" customFormat="1" ht="29.1" customHeight="1" x14ac:dyDescent="0.25">
      <c r="A15275" s="2" t="s">
        <v>30445</v>
      </c>
      <c r="B15275" s="2" t="s">
        <v>30446</v>
      </c>
      <c r="C15275" s="2" t="s">
        <v>62</v>
      </c>
      <c r="D15275" s="2" t="s">
        <v>1228</v>
      </c>
      <c r="E15275" s="2" t="str">
        <f>"9783428058402"</f>
        <v>9783428058402</v>
      </c>
      <c r="F15275" s="2" t="str">
        <f>"9783428458400"</f>
        <v>9783428458400</v>
      </c>
    </row>
    <row r="15276" spans="1:6" s="3" customFormat="1" ht="29.1" customHeight="1" x14ac:dyDescent="0.25">
      <c r="A15276" s="2" t="s">
        <v>30447</v>
      </c>
      <c r="B15276" s="2" t="s">
        <v>30428</v>
      </c>
      <c r="C15276" s="2" t="s">
        <v>62</v>
      </c>
      <c r="D15276" s="2" t="s">
        <v>1228</v>
      </c>
      <c r="E15276" s="2" t="str">
        <f>"9783428057603"</f>
        <v>9783428057603</v>
      </c>
      <c r="F15276" s="2" t="str">
        <f>"9783428457601"</f>
        <v>9783428457601</v>
      </c>
    </row>
    <row r="15277" spans="1:6" s="3" customFormat="1" ht="29.1" customHeight="1" x14ac:dyDescent="0.25">
      <c r="A15277" s="2" t="s">
        <v>30448</v>
      </c>
      <c r="B15277" s="2" t="s">
        <v>30139</v>
      </c>
      <c r="C15277" s="2" t="s">
        <v>62</v>
      </c>
      <c r="D15277" s="2" t="s">
        <v>4783</v>
      </c>
      <c r="E15277" s="2" t="str">
        <f>"9783428056811"</f>
        <v>9783428056811</v>
      </c>
      <c r="F15277" s="2" t="str">
        <f>"9783428456819"</f>
        <v>9783428456819</v>
      </c>
    </row>
    <row r="15278" spans="1:6" s="3" customFormat="1" ht="29.1" customHeight="1" x14ac:dyDescent="0.25">
      <c r="A15278" s="2" t="s">
        <v>30450</v>
      </c>
      <c r="B15278" s="2" t="s">
        <v>30451</v>
      </c>
      <c r="C15278" s="2" t="s">
        <v>62</v>
      </c>
      <c r="D15278" s="2" t="s">
        <v>4783</v>
      </c>
      <c r="E15278" s="2" t="str">
        <f>"9783428056590"</f>
        <v>9783428056590</v>
      </c>
      <c r="F15278" s="2" t="str">
        <f>"9783428456598"</f>
        <v>9783428456598</v>
      </c>
    </row>
    <row r="15279" spans="1:6" s="3" customFormat="1" ht="29.1" customHeight="1" x14ac:dyDescent="0.25">
      <c r="A15279" s="2" t="s">
        <v>30452</v>
      </c>
      <c r="B15279" s="2" t="s">
        <v>30419</v>
      </c>
      <c r="C15279" s="2" t="s">
        <v>62</v>
      </c>
      <c r="D15279" s="2" t="s">
        <v>5758</v>
      </c>
      <c r="E15279" s="2" t="str">
        <f>"9783428056262"</f>
        <v>9783428056262</v>
      </c>
      <c r="F15279" s="2" t="str">
        <f>"9783428456260"</f>
        <v>9783428456260</v>
      </c>
    </row>
    <row r="15280" spans="1:6" s="3" customFormat="1" ht="29.1" customHeight="1" x14ac:dyDescent="0.25">
      <c r="A15280" s="2" t="s">
        <v>30453</v>
      </c>
      <c r="B15280" s="2" t="s">
        <v>30423</v>
      </c>
      <c r="C15280" s="2" t="s">
        <v>62</v>
      </c>
      <c r="D15280" s="2" t="s">
        <v>297</v>
      </c>
      <c r="E15280" s="2" t="str">
        <f>"9783428056224"</f>
        <v>9783428056224</v>
      </c>
      <c r="F15280" s="2" t="str">
        <f>"9783428456222"</f>
        <v>9783428456222</v>
      </c>
    </row>
    <row r="15281" spans="1:6" s="3" customFormat="1" ht="29.1" customHeight="1" x14ac:dyDescent="0.25">
      <c r="A15281" s="2" t="s">
        <v>30454</v>
      </c>
      <c r="B15281" s="2" t="s">
        <v>30455</v>
      </c>
      <c r="C15281" s="2" t="s">
        <v>62</v>
      </c>
      <c r="D15281" s="2" t="s">
        <v>5758</v>
      </c>
      <c r="E15281" s="2" t="str">
        <f>"9783428056040"</f>
        <v>9783428056040</v>
      </c>
      <c r="F15281" s="2" t="str">
        <f>"9783428456048"</f>
        <v>9783428456048</v>
      </c>
    </row>
    <row r="15282" spans="1:6" s="3" customFormat="1" ht="29.1" customHeight="1" x14ac:dyDescent="0.25">
      <c r="A15282" s="2" t="s">
        <v>30456</v>
      </c>
      <c r="B15282" s="2" t="s">
        <v>30455</v>
      </c>
      <c r="C15282" s="2" t="s">
        <v>62</v>
      </c>
      <c r="D15282" s="2" t="s">
        <v>5758</v>
      </c>
      <c r="E15282" s="2" t="str">
        <f>"9783428055302"</f>
        <v>9783428055302</v>
      </c>
      <c r="F15282" s="2" t="str">
        <f>"9783428455300"</f>
        <v>9783428455300</v>
      </c>
    </row>
    <row r="15283" spans="1:6" s="3" customFormat="1" ht="29.1" customHeight="1" x14ac:dyDescent="0.25">
      <c r="A15283" s="2" t="s">
        <v>30449</v>
      </c>
      <c r="B15283" s="2" t="s">
        <v>30139</v>
      </c>
      <c r="C15283" s="2" t="s">
        <v>62</v>
      </c>
      <c r="D15283" s="2" t="s">
        <v>4783</v>
      </c>
      <c r="E15283" s="2" t="str">
        <f>"9783428054732"</f>
        <v>9783428054732</v>
      </c>
      <c r="F15283" s="2" t="str">
        <f>"9783428454730"</f>
        <v>9783428454730</v>
      </c>
    </row>
    <row r="15284" spans="1:6" s="3" customFormat="1" ht="29.1" customHeight="1" x14ac:dyDescent="0.25">
      <c r="A15284" s="2" t="s">
        <v>30457</v>
      </c>
      <c r="B15284" s="2" t="s">
        <v>30458</v>
      </c>
      <c r="C15284" s="2" t="s">
        <v>62</v>
      </c>
      <c r="D15284" s="2" t="s">
        <v>1463</v>
      </c>
      <c r="E15284" s="2" t="str">
        <f>"9783428054206"</f>
        <v>9783428054206</v>
      </c>
      <c r="F15284" s="2" t="str">
        <f>"9783428454204"</f>
        <v>9783428454204</v>
      </c>
    </row>
    <row r="15285" spans="1:6" s="3" customFormat="1" ht="29.1" customHeight="1" x14ac:dyDescent="0.25">
      <c r="A15285" s="2" t="s">
        <v>30459</v>
      </c>
      <c r="B15285" s="2" t="s">
        <v>30428</v>
      </c>
      <c r="C15285" s="2" t="s">
        <v>62</v>
      </c>
      <c r="D15285" s="2" t="s">
        <v>1228</v>
      </c>
      <c r="E15285" s="2" t="str">
        <f>"9783428054190"</f>
        <v>9783428054190</v>
      </c>
      <c r="F15285" s="2" t="str">
        <f>"9783428454198"</f>
        <v>9783428454198</v>
      </c>
    </row>
    <row r="15286" spans="1:6" s="3" customFormat="1" ht="29.1" customHeight="1" x14ac:dyDescent="0.25">
      <c r="A15286" s="2" t="s">
        <v>30460</v>
      </c>
      <c r="B15286" s="2" t="s">
        <v>30461</v>
      </c>
      <c r="C15286" s="2" t="s">
        <v>62</v>
      </c>
      <c r="D15286" s="2" t="s">
        <v>1463</v>
      </c>
      <c r="E15286" s="2" t="str">
        <f>"9783428053933"</f>
        <v>9783428053933</v>
      </c>
      <c r="F15286" s="2" t="str">
        <f>"9783428453931"</f>
        <v>9783428453931</v>
      </c>
    </row>
    <row r="15287" spans="1:6" s="3" customFormat="1" ht="29.1" customHeight="1" x14ac:dyDescent="0.25">
      <c r="A15287" s="2" t="s">
        <v>30462</v>
      </c>
      <c r="B15287" s="2" t="s">
        <v>30463</v>
      </c>
      <c r="C15287" s="2" t="s">
        <v>62</v>
      </c>
      <c r="D15287" s="2" t="s">
        <v>1463</v>
      </c>
      <c r="E15287" s="2" t="str">
        <f>"9783428053308"</f>
        <v>9783428053308</v>
      </c>
      <c r="F15287" s="2" t="str">
        <f>"9783428453306"</f>
        <v>9783428453306</v>
      </c>
    </row>
    <row r="15288" spans="1:6" s="3" customFormat="1" ht="29.1" customHeight="1" x14ac:dyDescent="0.25">
      <c r="A15288" s="2" t="s">
        <v>30464</v>
      </c>
      <c r="B15288" s="2" t="s">
        <v>30465</v>
      </c>
      <c r="C15288" s="2" t="s">
        <v>62</v>
      </c>
      <c r="D15288" s="2" t="s">
        <v>1463</v>
      </c>
      <c r="E15288" s="2" t="str">
        <f>"9783428053230"</f>
        <v>9783428053230</v>
      </c>
      <c r="F15288" s="2" t="str">
        <f>"9783428453238"</f>
        <v>9783428453238</v>
      </c>
    </row>
    <row r="15289" spans="1:6" s="3" customFormat="1" ht="29.1" customHeight="1" x14ac:dyDescent="0.25">
      <c r="A15289" s="2" t="s">
        <v>30466</v>
      </c>
      <c r="B15289" s="2" t="s">
        <v>30388</v>
      </c>
      <c r="C15289" s="2" t="s">
        <v>62</v>
      </c>
      <c r="D15289" s="2" t="s">
        <v>1864</v>
      </c>
      <c r="E15289" s="2" t="str">
        <f>"9783428052561"</f>
        <v>9783428052561</v>
      </c>
      <c r="F15289" s="2" t="str">
        <f>"9783428452569"</f>
        <v>9783428452569</v>
      </c>
    </row>
    <row r="15290" spans="1:6" s="3" customFormat="1" ht="29.1" customHeight="1" x14ac:dyDescent="0.25">
      <c r="A15290" s="2" t="s">
        <v>30467</v>
      </c>
      <c r="B15290" s="2" t="s">
        <v>30461</v>
      </c>
      <c r="C15290" s="2" t="s">
        <v>62</v>
      </c>
      <c r="D15290" s="2" t="s">
        <v>1463</v>
      </c>
      <c r="E15290" s="2" t="str">
        <f>"9783428052240"</f>
        <v>9783428052240</v>
      </c>
      <c r="F15290" s="2" t="str">
        <f>"9783428452248"</f>
        <v>9783428452248</v>
      </c>
    </row>
    <row r="15291" spans="1:6" s="3" customFormat="1" ht="29.1" customHeight="1" x14ac:dyDescent="0.25">
      <c r="A15291" s="2" t="s">
        <v>30468</v>
      </c>
      <c r="B15291" s="2" t="s">
        <v>30469</v>
      </c>
      <c r="C15291" s="2" t="s">
        <v>62</v>
      </c>
      <c r="D15291" s="2" t="s">
        <v>1463</v>
      </c>
      <c r="E15291" s="2" t="str">
        <f>"9783428051946"</f>
        <v>9783428051946</v>
      </c>
      <c r="F15291" s="2" t="str">
        <f>"9783428451944"</f>
        <v>9783428451944</v>
      </c>
    </row>
    <row r="15292" spans="1:6" s="3" customFormat="1" ht="29.1" customHeight="1" x14ac:dyDescent="0.25">
      <c r="A15292" s="2" t="s">
        <v>30470</v>
      </c>
      <c r="B15292" s="2" t="s">
        <v>30471</v>
      </c>
      <c r="C15292" s="2" t="s">
        <v>62</v>
      </c>
      <c r="D15292" s="2" t="s">
        <v>2005</v>
      </c>
      <c r="E15292" s="2" t="str">
        <f>"9783428051625"</f>
        <v>9783428051625</v>
      </c>
      <c r="F15292" s="2" t="str">
        <f>"9783428451623"</f>
        <v>9783428451623</v>
      </c>
    </row>
    <row r="15293" spans="1:6" s="3" customFormat="1" ht="29.1" customHeight="1" x14ac:dyDescent="0.25">
      <c r="A15293" s="2" t="s">
        <v>30472</v>
      </c>
      <c r="B15293" s="2" t="s">
        <v>29943</v>
      </c>
      <c r="C15293" s="2" t="s">
        <v>62</v>
      </c>
      <c r="D15293" s="2" t="s">
        <v>1651</v>
      </c>
      <c r="E15293" s="2" t="str">
        <f>"9783428051588"</f>
        <v>9783428051588</v>
      </c>
      <c r="F15293" s="2" t="str">
        <f>"9783428451586"</f>
        <v>9783428451586</v>
      </c>
    </row>
    <row r="15294" spans="1:6" s="3" customFormat="1" ht="29.1" customHeight="1" x14ac:dyDescent="0.25">
      <c r="A15294" s="2" t="s">
        <v>30473</v>
      </c>
      <c r="B15294" s="2" t="s">
        <v>30390</v>
      </c>
      <c r="C15294" s="2" t="s">
        <v>62</v>
      </c>
      <c r="D15294" s="2" t="s">
        <v>1228</v>
      </c>
      <c r="E15294" s="2" t="str">
        <f>"9783428050291"</f>
        <v>9783428050291</v>
      </c>
      <c r="F15294" s="2" t="str">
        <f>"9783428450299"</f>
        <v>9783428450299</v>
      </c>
    </row>
    <row r="15295" spans="1:6" s="3" customFormat="1" ht="29.1" customHeight="1" x14ac:dyDescent="0.25">
      <c r="A15295" s="2" t="s">
        <v>30474</v>
      </c>
      <c r="B15295" s="2" t="s">
        <v>30475</v>
      </c>
      <c r="C15295" s="2" t="s">
        <v>62</v>
      </c>
      <c r="D15295" s="2" t="s">
        <v>297</v>
      </c>
      <c r="E15295" s="2" t="str">
        <f>"9783428050130"</f>
        <v>9783428050130</v>
      </c>
      <c r="F15295" s="2" t="str">
        <f>"9783428450138"</f>
        <v>9783428450138</v>
      </c>
    </row>
    <row r="15296" spans="1:6" s="3" customFormat="1" ht="29.1" customHeight="1" x14ac:dyDescent="0.25">
      <c r="A15296" s="2" t="s">
        <v>30476</v>
      </c>
      <c r="B15296" s="2" t="s">
        <v>30388</v>
      </c>
      <c r="C15296" s="2" t="s">
        <v>62</v>
      </c>
      <c r="D15296" s="2" t="s">
        <v>1864</v>
      </c>
      <c r="E15296" s="2" t="str">
        <f>"9783428050086"</f>
        <v>9783428050086</v>
      </c>
      <c r="F15296" s="2" t="str">
        <f>"9783428450084"</f>
        <v>9783428450084</v>
      </c>
    </row>
    <row r="15297" spans="1:6" s="3" customFormat="1" ht="29.1" customHeight="1" x14ac:dyDescent="0.25">
      <c r="A15297" s="2" t="s">
        <v>30477</v>
      </c>
      <c r="B15297" s="2" t="s">
        <v>30471</v>
      </c>
      <c r="C15297" s="2" t="s">
        <v>62</v>
      </c>
      <c r="D15297" s="2" t="s">
        <v>2005</v>
      </c>
      <c r="E15297" s="2" t="str">
        <f>"9783428049592"</f>
        <v>9783428049592</v>
      </c>
      <c r="F15297" s="2" t="str">
        <f>"9783428449590"</f>
        <v>9783428449590</v>
      </c>
    </row>
    <row r="15298" spans="1:6" s="3" customFormat="1" ht="29.1" customHeight="1" x14ac:dyDescent="0.25">
      <c r="A15298" s="2" t="s">
        <v>30478</v>
      </c>
      <c r="B15298" s="2" t="s">
        <v>30461</v>
      </c>
      <c r="C15298" s="2" t="s">
        <v>62</v>
      </c>
      <c r="D15298" s="2" t="s">
        <v>1463</v>
      </c>
      <c r="E15298" s="2" t="str">
        <f>"9783428049349"</f>
        <v>9783428049349</v>
      </c>
      <c r="F15298" s="2" t="str">
        <f>"9783428449347"</f>
        <v>9783428449347</v>
      </c>
    </row>
    <row r="15299" spans="1:6" s="3" customFormat="1" ht="29.1" customHeight="1" x14ac:dyDescent="0.25">
      <c r="A15299" s="2" t="s">
        <v>30479</v>
      </c>
      <c r="B15299" s="2" t="s">
        <v>30465</v>
      </c>
      <c r="C15299" s="2" t="s">
        <v>62</v>
      </c>
      <c r="D15299" s="2" t="s">
        <v>5758</v>
      </c>
      <c r="E15299" s="2" t="str">
        <f>"9783428048526"</f>
        <v>9783428048526</v>
      </c>
      <c r="F15299" s="2" t="str">
        <f>"9783428448524"</f>
        <v>9783428448524</v>
      </c>
    </row>
    <row r="15300" spans="1:6" s="3" customFormat="1" ht="29.1" customHeight="1" x14ac:dyDescent="0.25">
      <c r="A15300" s="2" t="s">
        <v>30480</v>
      </c>
      <c r="B15300" s="2" t="s">
        <v>30481</v>
      </c>
      <c r="C15300" s="2" t="s">
        <v>62</v>
      </c>
      <c r="D15300" s="2" t="s">
        <v>501</v>
      </c>
      <c r="E15300" s="2" t="str">
        <f>"9783428048144"</f>
        <v>9783428048144</v>
      </c>
      <c r="F15300" s="2" t="str">
        <f>"9783428448142"</f>
        <v>9783428448142</v>
      </c>
    </row>
    <row r="15301" spans="1:6" s="3" customFormat="1" ht="29.1" customHeight="1" x14ac:dyDescent="0.25">
      <c r="A15301" s="2" t="s">
        <v>30482</v>
      </c>
      <c r="B15301" s="2" t="s">
        <v>30461</v>
      </c>
      <c r="C15301" s="2" t="s">
        <v>62</v>
      </c>
      <c r="D15301" s="2" t="s">
        <v>297</v>
      </c>
      <c r="E15301" s="2" t="str">
        <f>"9783428048106"</f>
        <v>9783428048106</v>
      </c>
      <c r="F15301" s="2" t="str">
        <f>"9783428448104"</f>
        <v>9783428448104</v>
      </c>
    </row>
    <row r="15302" spans="1:6" s="3" customFormat="1" ht="29.1" customHeight="1" x14ac:dyDescent="0.25">
      <c r="A15302" s="2" t="s">
        <v>30483</v>
      </c>
      <c r="B15302" s="2" t="s">
        <v>30484</v>
      </c>
      <c r="C15302" s="2" t="s">
        <v>62</v>
      </c>
      <c r="D15302" s="2" t="s">
        <v>1228</v>
      </c>
      <c r="E15302" s="2" t="str">
        <f>"9783428048090"</f>
        <v>9783428048090</v>
      </c>
      <c r="F15302" s="2" t="str">
        <f>"9783428448098"</f>
        <v>9783428448098</v>
      </c>
    </row>
    <row r="15303" spans="1:6" s="3" customFormat="1" ht="29.1" customHeight="1" x14ac:dyDescent="0.25">
      <c r="A15303" s="2" t="s">
        <v>30485</v>
      </c>
      <c r="B15303" s="2" t="s">
        <v>30486</v>
      </c>
      <c r="C15303" s="2" t="s">
        <v>62</v>
      </c>
      <c r="D15303" s="2" t="s">
        <v>5758</v>
      </c>
      <c r="E15303" s="2" t="str">
        <f>"9783428047710"</f>
        <v>9783428047710</v>
      </c>
      <c r="F15303" s="2" t="str">
        <f>"9783428447718"</f>
        <v>9783428447718</v>
      </c>
    </row>
    <row r="15304" spans="1:6" s="3" customFormat="1" ht="29.1" customHeight="1" x14ac:dyDescent="0.25">
      <c r="A15304" s="2" t="s">
        <v>30487</v>
      </c>
      <c r="B15304" s="2" t="s">
        <v>16750</v>
      </c>
      <c r="C15304" s="2" t="s">
        <v>62</v>
      </c>
      <c r="D15304" s="2" t="s">
        <v>1463</v>
      </c>
      <c r="E15304" s="2" t="str">
        <f>"9783428047406"</f>
        <v>9783428047406</v>
      </c>
      <c r="F15304" s="2" t="str">
        <f>"9783428447404"</f>
        <v>9783428447404</v>
      </c>
    </row>
    <row r="15305" spans="1:6" s="3" customFormat="1" ht="29.1" customHeight="1" x14ac:dyDescent="0.25">
      <c r="A15305" s="2" t="s">
        <v>30488</v>
      </c>
      <c r="B15305" s="2" t="s">
        <v>30471</v>
      </c>
      <c r="C15305" s="2" t="s">
        <v>62</v>
      </c>
      <c r="D15305" s="2" t="s">
        <v>183</v>
      </c>
      <c r="E15305" s="2" t="str">
        <f>"9783428047161"</f>
        <v>9783428047161</v>
      </c>
      <c r="F15305" s="2" t="str">
        <f>"9783428447169"</f>
        <v>9783428447169</v>
      </c>
    </row>
    <row r="15306" spans="1:6" s="3" customFormat="1" ht="29.1" customHeight="1" x14ac:dyDescent="0.25">
      <c r="A15306" s="2" t="s">
        <v>30489</v>
      </c>
      <c r="B15306" s="2" t="s">
        <v>29943</v>
      </c>
      <c r="C15306" s="2" t="s">
        <v>62</v>
      </c>
      <c r="D15306" s="2" t="s">
        <v>1651</v>
      </c>
      <c r="E15306" s="2" t="str">
        <f>"9783428045976"</f>
        <v>9783428045976</v>
      </c>
      <c r="F15306" s="2" t="str">
        <f>"9783428445974"</f>
        <v>9783428445974</v>
      </c>
    </row>
    <row r="15307" spans="1:6" s="3" customFormat="1" ht="29.1" customHeight="1" x14ac:dyDescent="0.25">
      <c r="A15307" s="2" t="s">
        <v>30490</v>
      </c>
      <c r="B15307" s="2" t="s">
        <v>30491</v>
      </c>
      <c r="C15307" s="2" t="s">
        <v>62</v>
      </c>
      <c r="D15307" s="2" t="s">
        <v>4783</v>
      </c>
      <c r="E15307" s="2" t="str">
        <f>"9783428045501"</f>
        <v>9783428045501</v>
      </c>
      <c r="F15307" s="2" t="str">
        <f>"9783428445509"</f>
        <v>9783428445509</v>
      </c>
    </row>
    <row r="15308" spans="1:6" s="3" customFormat="1" ht="29.1" customHeight="1" x14ac:dyDescent="0.25">
      <c r="A15308" s="2" t="s">
        <v>30492</v>
      </c>
      <c r="B15308" s="2" t="s">
        <v>30304</v>
      </c>
      <c r="C15308" s="2" t="s">
        <v>62</v>
      </c>
      <c r="D15308" s="2" t="s">
        <v>2005</v>
      </c>
      <c r="E15308" s="2" t="str">
        <f>"9783428045402"</f>
        <v>9783428045402</v>
      </c>
      <c r="F15308" s="2" t="str">
        <f>"9783428445400"</f>
        <v>9783428445400</v>
      </c>
    </row>
    <row r="15309" spans="1:6" s="3" customFormat="1" ht="29.1" customHeight="1" x14ac:dyDescent="0.25">
      <c r="A15309" s="2" t="s">
        <v>30493</v>
      </c>
      <c r="B15309" s="2" t="s">
        <v>30390</v>
      </c>
      <c r="C15309" s="2" t="s">
        <v>62</v>
      </c>
      <c r="D15309" s="2" t="s">
        <v>1228</v>
      </c>
      <c r="E15309" s="2" t="str">
        <f>"9783428045099"</f>
        <v>9783428045099</v>
      </c>
      <c r="F15309" s="2" t="str">
        <f>"9783428445097"</f>
        <v>9783428445097</v>
      </c>
    </row>
    <row r="15310" spans="1:6" s="3" customFormat="1" ht="29.1" customHeight="1" x14ac:dyDescent="0.25">
      <c r="A15310" s="2" t="s">
        <v>30494</v>
      </c>
      <c r="B15310" s="2" t="s">
        <v>12006</v>
      </c>
      <c r="C15310" s="2" t="s">
        <v>62</v>
      </c>
      <c r="D15310" s="2" t="s">
        <v>1209</v>
      </c>
      <c r="E15310" s="2" t="str">
        <f>"9783428044528"</f>
        <v>9783428044528</v>
      </c>
      <c r="F15310" s="2" t="str">
        <f>"9783428444526"</f>
        <v>9783428444526</v>
      </c>
    </row>
    <row r="15311" spans="1:6" s="3" customFormat="1" ht="29.1" customHeight="1" x14ac:dyDescent="0.25">
      <c r="A15311" s="2" t="s">
        <v>30495</v>
      </c>
      <c r="B15311" s="2" t="s">
        <v>30496</v>
      </c>
      <c r="C15311" s="2" t="s">
        <v>62</v>
      </c>
      <c r="D15311" s="2" t="s">
        <v>1228</v>
      </c>
      <c r="E15311" s="2" t="str">
        <f>"9783428044467"</f>
        <v>9783428044467</v>
      </c>
      <c r="F15311" s="2" t="str">
        <f>"9783428444465"</f>
        <v>9783428444465</v>
      </c>
    </row>
    <row r="15312" spans="1:6" s="3" customFormat="1" ht="29.1" customHeight="1" x14ac:dyDescent="0.25">
      <c r="A15312" s="2" t="s">
        <v>30497</v>
      </c>
      <c r="B15312" s="2" t="s">
        <v>30314</v>
      </c>
      <c r="C15312" s="2" t="s">
        <v>62</v>
      </c>
      <c r="D15312" s="2" t="s">
        <v>1228</v>
      </c>
      <c r="E15312" s="2" t="str">
        <f>"9783428043057"</f>
        <v>9783428043057</v>
      </c>
      <c r="F15312" s="2" t="str">
        <f>"9783428443055"</f>
        <v>9783428443055</v>
      </c>
    </row>
    <row r="15313" spans="1:6" s="3" customFormat="1" ht="29.1" customHeight="1" x14ac:dyDescent="0.25">
      <c r="A15313" s="2" t="s">
        <v>30498</v>
      </c>
      <c r="B15313" s="2" t="s">
        <v>30499</v>
      </c>
      <c r="C15313" s="2" t="s">
        <v>62</v>
      </c>
      <c r="D15313" s="2" t="s">
        <v>1209</v>
      </c>
      <c r="E15313" s="2" t="str">
        <f>"9783428042401"</f>
        <v>9783428042401</v>
      </c>
      <c r="F15313" s="2" t="str">
        <f>"9783428442409"</f>
        <v>9783428442409</v>
      </c>
    </row>
    <row r="15314" spans="1:6" s="3" customFormat="1" ht="29.1" customHeight="1" x14ac:dyDescent="0.25">
      <c r="A15314" s="2" t="s">
        <v>30500</v>
      </c>
      <c r="B15314" s="2" t="s">
        <v>30156</v>
      </c>
      <c r="C15314" s="2" t="s">
        <v>62</v>
      </c>
      <c r="D15314" s="2" t="s">
        <v>5758</v>
      </c>
      <c r="E15314" s="2" t="str">
        <f>"9783428042142"</f>
        <v>9783428042142</v>
      </c>
      <c r="F15314" s="2" t="str">
        <f>"9783428442140"</f>
        <v>9783428442140</v>
      </c>
    </row>
    <row r="15315" spans="1:6" s="3" customFormat="1" ht="29.1" customHeight="1" x14ac:dyDescent="0.25">
      <c r="A15315" s="2" t="s">
        <v>30501</v>
      </c>
      <c r="B15315" s="2" t="s">
        <v>30502</v>
      </c>
      <c r="C15315" s="2" t="s">
        <v>62</v>
      </c>
      <c r="D15315" s="2" t="s">
        <v>5758</v>
      </c>
      <c r="E15315" s="2" t="str">
        <f>"9783428041954"</f>
        <v>9783428041954</v>
      </c>
      <c r="F15315" s="2" t="str">
        <f>"9783428441952"</f>
        <v>9783428441952</v>
      </c>
    </row>
    <row r="15316" spans="1:6" s="3" customFormat="1" ht="29.1" customHeight="1" x14ac:dyDescent="0.25">
      <c r="A15316" s="2" t="s">
        <v>30231</v>
      </c>
      <c r="B15316" s="2" t="s">
        <v>30232</v>
      </c>
      <c r="C15316" s="2" t="s">
        <v>62</v>
      </c>
      <c r="D15316" s="2" t="s">
        <v>1228</v>
      </c>
      <c r="E15316" s="2" t="str">
        <f>"9783428041817"</f>
        <v>9783428041817</v>
      </c>
      <c r="F15316" s="2" t="str">
        <f>"9783428441815"</f>
        <v>9783428441815</v>
      </c>
    </row>
    <row r="15317" spans="1:6" s="3" customFormat="1" ht="29.1" customHeight="1" x14ac:dyDescent="0.25">
      <c r="A15317" s="2" t="s">
        <v>30503</v>
      </c>
      <c r="B15317" s="2" t="s">
        <v>30491</v>
      </c>
      <c r="C15317" s="2" t="s">
        <v>62</v>
      </c>
      <c r="D15317" s="2" t="s">
        <v>1651</v>
      </c>
      <c r="E15317" s="2" t="str">
        <f>"9783428041794"</f>
        <v>9783428041794</v>
      </c>
      <c r="F15317" s="2" t="str">
        <f>"9783428441792"</f>
        <v>9783428441792</v>
      </c>
    </row>
    <row r="15318" spans="1:6" s="3" customFormat="1" ht="29.1" customHeight="1" x14ac:dyDescent="0.25">
      <c r="A15318" s="2" t="s">
        <v>30504</v>
      </c>
      <c r="B15318" s="2" t="s">
        <v>30234</v>
      </c>
      <c r="C15318" s="2" t="s">
        <v>62</v>
      </c>
      <c r="D15318" s="2" t="s">
        <v>1651</v>
      </c>
      <c r="E15318" s="2" t="str">
        <f>"9783428041787"</f>
        <v>9783428041787</v>
      </c>
      <c r="F15318" s="2" t="str">
        <f>"9783428441785"</f>
        <v>9783428441785</v>
      </c>
    </row>
    <row r="15319" spans="1:6" s="3" customFormat="1" ht="29.1" customHeight="1" x14ac:dyDescent="0.25">
      <c r="A15319" s="2" t="s">
        <v>30505</v>
      </c>
      <c r="B15319" s="2" t="s">
        <v>30128</v>
      </c>
      <c r="C15319" s="2" t="s">
        <v>62</v>
      </c>
      <c r="D15319" s="2" t="s">
        <v>297</v>
      </c>
      <c r="E15319" s="2" t="str">
        <f>"9783428041640"</f>
        <v>9783428041640</v>
      </c>
      <c r="F15319" s="2" t="str">
        <f>"9783428441648"</f>
        <v>9783428441648</v>
      </c>
    </row>
    <row r="15320" spans="1:6" s="3" customFormat="1" ht="29.1" customHeight="1" x14ac:dyDescent="0.25">
      <c r="A15320" s="2" t="s">
        <v>30506</v>
      </c>
      <c r="B15320" s="2" t="s">
        <v>30507</v>
      </c>
      <c r="C15320" s="2" t="s">
        <v>62</v>
      </c>
      <c r="D15320" s="2" t="s">
        <v>1228</v>
      </c>
      <c r="E15320" s="2" t="str">
        <f>"9783428041510"</f>
        <v>9783428041510</v>
      </c>
      <c r="F15320" s="2" t="str">
        <f>"9783428441518"</f>
        <v>9783428441518</v>
      </c>
    </row>
    <row r="15321" spans="1:6" s="3" customFormat="1" ht="29.1" customHeight="1" x14ac:dyDescent="0.25">
      <c r="A15321" s="2" t="s">
        <v>30508</v>
      </c>
      <c r="B15321" s="2" t="s">
        <v>30151</v>
      </c>
      <c r="C15321" s="2" t="s">
        <v>62</v>
      </c>
      <c r="D15321" s="2" t="s">
        <v>1463</v>
      </c>
      <c r="E15321" s="2" t="str">
        <f>"9783428041503"</f>
        <v>9783428041503</v>
      </c>
      <c r="F15321" s="2" t="str">
        <f>"9783428441501"</f>
        <v>9783428441501</v>
      </c>
    </row>
    <row r="15322" spans="1:6" s="3" customFormat="1" ht="29.1" customHeight="1" x14ac:dyDescent="0.25">
      <c r="A15322" s="2" t="s">
        <v>30509</v>
      </c>
      <c r="B15322" s="2" t="s">
        <v>30151</v>
      </c>
      <c r="C15322" s="2" t="s">
        <v>62</v>
      </c>
      <c r="D15322" s="2" t="s">
        <v>1209</v>
      </c>
      <c r="E15322" s="2" t="str">
        <f>"9783428041473"</f>
        <v>9783428041473</v>
      </c>
      <c r="F15322" s="2" t="str">
        <f>"9783428441471"</f>
        <v>9783428441471</v>
      </c>
    </row>
    <row r="15323" spans="1:6" s="3" customFormat="1" ht="29.1" customHeight="1" x14ac:dyDescent="0.25">
      <c r="A15323" s="2" t="s">
        <v>30510</v>
      </c>
      <c r="B15323" s="2" t="s">
        <v>30511</v>
      </c>
      <c r="C15323" s="2" t="s">
        <v>62</v>
      </c>
      <c r="D15323" s="2" t="s">
        <v>297</v>
      </c>
      <c r="E15323" s="2" t="str">
        <f>"9783428041336"</f>
        <v>9783428041336</v>
      </c>
      <c r="F15323" s="2" t="str">
        <f>"9783428441334"</f>
        <v>9783428441334</v>
      </c>
    </row>
    <row r="15324" spans="1:6" s="3" customFormat="1" ht="29.1" customHeight="1" x14ac:dyDescent="0.25">
      <c r="A15324" s="2" t="s">
        <v>30512</v>
      </c>
      <c r="B15324" s="2" t="s">
        <v>30135</v>
      </c>
      <c r="C15324" s="2" t="s">
        <v>62</v>
      </c>
      <c r="D15324" s="2" t="s">
        <v>183</v>
      </c>
      <c r="E15324" s="2" t="str">
        <f>"9783428041169"</f>
        <v>9783428041169</v>
      </c>
      <c r="F15324" s="2" t="str">
        <f>"9783428441167"</f>
        <v>9783428441167</v>
      </c>
    </row>
    <row r="15325" spans="1:6" s="3" customFormat="1" ht="29.1" customHeight="1" x14ac:dyDescent="0.25">
      <c r="A15325" s="2" t="s">
        <v>30513</v>
      </c>
      <c r="B15325" s="2" t="s">
        <v>30135</v>
      </c>
      <c r="C15325" s="2" t="s">
        <v>62</v>
      </c>
      <c r="D15325" s="2" t="s">
        <v>1228</v>
      </c>
      <c r="E15325" s="2" t="str">
        <f>"9783428041022"</f>
        <v>9783428041022</v>
      </c>
      <c r="F15325" s="2" t="str">
        <f>"9783428441020"</f>
        <v>9783428441020</v>
      </c>
    </row>
    <row r="15326" spans="1:6" s="3" customFormat="1" ht="29.1" customHeight="1" x14ac:dyDescent="0.25">
      <c r="A15326" s="2" t="s">
        <v>30514</v>
      </c>
      <c r="B15326" s="2" t="s">
        <v>29946</v>
      </c>
      <c r="C15326" s="2" t="s">
        <v>62</v>
      </c>
      <c r="D15326" s="2" t="s">
        <v>5758</v>
      </c>
      <c r="E15326" s="2" t="str">
        <f>"9783428040544"</f>
        <v>9783428040544</v>
      </c>
      <c r="F15326" s="2" t="str">
        <f>"9783428440542"</f>
        <v>9783428440542</v>
      </c>
    </row>
    <row r="15327" spans="1:6" s="3" customFormat="1" ht="29.1" customHeight="1" x14ac:dyDescent="0.25">
      <c r="A15327" s="2" t="s">
        <v>30515</v>
      </c>
      <c r="B15327" s="2" t="s">
        <v>29937</v>
      </c>
      <c r="C15327" s="2" t="s">
        <v>62</v>
      </c>
      <c r="D15327" s="2" t="s">
        <v>1228</v>
      </c>
      <c r="E15327" s="2" t="str">
        <f>"9783428039142"</f>
        <v>9783428039142</v>
      </c>
      <c r="F15327" s="2" t="str">
        <f>"9783428439140"</f>
        <v>9783428439140</v>
      </c>
    </row>
    <row r="15328" spans="1:6" s="3" customFormat="1" ht="29.1" customHeight="1" x14ac:dyDescent="0.25">
      <c r="A15328" s="2" t="s">
        <v>30516</v>
      </c>
      <c r="B15328" s="2" t="s">
        <v>30517</v>
      </c>
      <c r="C15328" s="2" t="s">
        <v>927</v>
      </c>
      <c r="D15328" s="2" t="s">
        <v>297</v>
      </c>
      <c r="E15328" s="2" t="str">
        <f>"9780472055494"</f>
        <v>9780472055494</v>
      </c>
      <c r="F15328" s="2" t="str">
        <f>"9780472903597"</f>
        <v>9780472903597</v>
      </c>
    </row>
    <row r="15329" spans="1:6" s="3" customFormat="1" ht="29.1" customHeight="1" x14ac:dyDescent="0.25">
      <c r="A15329" s="2" t="s">
        <v>30518</v>
      </c>
      <c r="B15329" s="2" t="s">
        <v>30519</v>
      </c>
      <c r="C15329" s="2" t="s">
        <v>927</v>
      </c>
      <c r="D15329" s="2" t="s">
        <v>270</v>
      </c>
      <c r="E15329" s="2" t="str">
        <f>"9780472055524"</f>
        <v>9780472055524</v>
      </c>
      <c r="F15329" s="2" t="str">
        <f>"9780472902903"</f>
        <v>9780472902903</v>
      </c>
    </row>
    <row r="15330" spans="1:6" s="3" customFormat="1" ht="29.1" customHeight="1" x14ac:dyDescent="0.25">
      <c r="A15330" s="2" t="s">
        <v>30520</v>
      </c>
      <c r="B15330" s="2" t="s">
        <v>30521</v>
      </c>
      <c r="C15330" s="2" t="s">
        <v>746</v>
      </c>
      <c r="D15330" s="2" t="s">
        <v>27014</v>
      </c>
      <c r="E15330" s="2" t="str">
        <f>"9781803272856"</f>
        <v>9781803272856</v>
      </c>
      <c r="F15330" s="2" t="str">
        <f>"9781803272863"</f>
        <v>9781803272863</v>
      </c>
    </row>
    <row r="15331" spans="1:6" s="3" customFormat="1" ht="29.1" customHeight="1" x14ac:dyDescent="0.25">
      <c r="A15331" s="2" t="s">
        <v>30522</v>
      </c>
      <c r="B15331" s="2" t="s">
        <v>30523</v>
      </c>
      <c r="C15331" s="2" t="s">
        <v>124</v>
      </c>
      <c r="D15331" s="2" t="s">
        <v>7280</v>
      </c>
      <c r="E15331" s="2" t="str">
        <f>"9781032290423"</f>
        <v>9781032290423</v>
      </c>
      <c r="F15331" s="2" t="str">
        <f>"9781000736359"</f>
        <v>9781000736359</v>
      </c>
    </row>
    <row r="15332" spans="1:6" s="3" customFormat="1" ht="29.1" customHeight="1" x14ac:dyDescent="0.25">
      <c r="A15332" s="2" t="s">
        <v>30524</v>
      </c>
      <c r="B15332" s="2" t="s">
        <v>30525</v>
      </c>
      <c r="C15332" s="2" t="s">
        <v>124</v>
      </c>
      <c r="D15332" s="2" t="s">
        <v>5428</v>
      </c>
      <c r="E15332" s="2" t="str">
        <f>"9780367683177"</f>
        <v>9780367683177</v>
      </c>
      <c r="F15332" s="2" t="str">
        <f>"9781000687040"</f>
        <v>9781000687040</v>
      </c>
    </row>
    <row r="15333" spans="1:6" s="3" customFormat="1" ht="29.1" customHeight="1" x14ac:dyDescent="0.25">
      <c r="A15333" s="2" t="s">
        <v>30526</v>
      </c>
      <c r="B15333" s="2" t="s">
        <v>30527</v>
      </c>
      <c r="C15333" s="2" t="s">
        <v>124</v>
      </c>
      <c r="D15333" s="2" t="s">
        <v>4180</v>
      </c>
      <c r="E15333" s="2" t="str">
        <f>"9781032014340"</f>
        <v>9781032014340</v>
      </c>
      <c r="F15333" s="2" t="str">
        <f>"9781000684537"</f>
        <v>9781000684537</v>
      </c>
    </row>
    <row r="15334" spans="1:6" s="3" customFormat="1" ht="29.1" customHeight="1" x14ac:dyDescent="0.25">
      <c r="A15334" s="2" t="s">
        <v>30528</v>
      </c>
      <c r="B15334" s="2" t="s">
        <v>30529</v>
      </c>
      <c r="C15334" s="2" t="s">
        <v>29</v>
      </c>
      <c r="D15334" s="2" t="s">
        <v>18750</v>
      </c>
      <c r="E15334" s="2" t="str">
        <f>"9789004503670"</f>
        <v>9789004503670</v>
      </c>
      <c r="F15334" s="2" t="str">
        <f>"9789004513945"</f>
        <v>9789004513945</v>
      </c>
    </row>
    <row r="15335" spans="1:6" s="3" customFormat="1" ht="29.1" customHeight="1" x14ac:dyDescent="0.25">
      <c r="A15335" s="2" t="s">
        <v>30343</v>
      </c>
      <c r="B15335" s="2"/>
      <c r="C15335" s="2" t="s">
        <v>59</v>
      </c>
      <c r="D15335" s="2" t="s">
        <v>2083</v>
      </c>
      <c r="E15335" s="2"/>
      <c r="F15335" s="2" t="str">
        <f>"9782759232468"</f>
        <v>9782759232468</v>
      </c>
    </row>
    <row r="15336" spans="1:6" s="3" customFormat="1" ht="29.1" customHeight="1" x14ac:dyDescent="0.25">
      <c r="A15336" s="2" t="s">
        <v>30530</v>
      </c>
      <c r="B15336" s="2" t="s">
        <v>30531</v>
      </c>
      <c r="C15336" s="2" t="s">
        <v>131</v>
      </c>
      <c r="D15336" s="2" t="s">
        <v>459</v>
      </c>
      <c r="E15336" s="2" t="str">
        <f>"9789027211477"</f>
        <v>9789027211477</v>
      </c>
      <c r="F15336" s="2" t="str">
        <f>"9789027257536"</f>
        <v>9789027257536</v>
      </c>
    </row>
    <row r="15337" spans="1:6" s="3" customFormat="1" ht="29.1" customHeight="1" x14ac:dyDescent="0.25">
      <c r="A15337" s="2" t="s">
        <v>30532</v>
      </c>
      <c r="B15337" s="2" t="s">
        <v>30533</v>
      </c>
      <c r="C15337" s="2" t="s">
        <v>556</v>
      </c>
      <c r="D15337" s="2" t="s">
        <v>339</v>
      </c>
      <c r="E15337" s="2" t="str">
        <f>"9783837663051"</f>
        <v>9783837663051</v>
      </c>
      <c r="F15337" s="2" t="str">
        <f>"9783839463055"</f>
        <v>9783839463055</v>
      </c>
    </row>
    <row r="15338" spans="1:6" s="3" customFormat="1" ht="29.1" customHeight="1" x14ac:dyDescent="0.25">
      <c r="A15338" s="2" t="s">
        <v>30534</v>
      </c>
      <c r="B15338" s="2" t="s">
        <v>30535</v>
      </c>
      <c r="C15338" s="2" t="s">
        <v>556</v>
      </c>
      <c r="D15338" s="2" t="s">
        <v>998</v>
      </c>
      <c r="E15338" s="2" t="str">
        <f>"9783837664294"</f>
        <v>9783837664294</v>
      </c>
      <c r="F15338" s="2" t="str">
        <f>"9783839464298"</f>
        <v>9783839464298</v>
      </c>
    </row>
    <row r="15339" spans="1:6" s="3" customFormat="1" ht="29.1" customHeight="1" x14ac:dyDescent="0.25">
      <c r="A15339" s="2" t="s">
        <v>30536</v>
      </c>
      <c r="B15339" s="2" t="s">
        <v>30537</v>
      </c>
      <c r="C15339" s="2" t="s">
        <v>556</v>
      </c>
      <c r="D15339" s="2" t="s">
        <v>647</v>
      </c>
      <c r="E15339" s="2" t="str">
        <f>"9783837664270"</f>
        <v>9783837664270</v>
      </c>
      <c r="F15339" s="2" t="str">
        <f>"9783839464274"</f>
        <v>9783839464274</v>
      </c>
    </row>
    <row r="15340" spans="1:6" s="3" customFormat="1" ht="29.1" customHeight="1" x14ac:dyDescent="0.25">
      <c r="A15340" s="2" t="s">
        <v>30538</v>
      </c>
      <c r="B15340" s="2" t="s">
        <v>30539</v>
      </c>
      <c r="C15340" s="2" t="s">
        <v>556</v>
      </c>
      <c r="D15340" s="2" t="s">
        <v>78</v>
      </c>
      <c r="E15340" s="2" t="str">
        <f>"9783837664263"</f>
        <v>9783837664263</v>
      </c>
      <c r="F15340" s="2" t="str">
        <f>"9783732864263"</f>
        <v>9783732864263</v>
      </c>
    </row>
    <row r="15341" spans="1:6" s="3" customFormat="1" ht="29.1" customHeight="1" x14ac:dyDescent="0.25">
      <c r="A15341" s="2" t="s">
        <v>30540</v>
      </c>
      <c r="B15341" s="2" t="s">
        <v>30541</v>
      </c>
      <c r="C15341" s="2" t="s">
        <v>556</v>
      </c>
      <c r="D15341" s="2" t="s">
        <v>183</v>
      </c>
      <c r="E15341" s="2" t="str">
        <f>"9783837664041"</f>
        <v>9783837664041</v>
      </c>
      <c r="F15341" s="2" t="str">
        <f>"9783839464045"</f>
        <v>9783839464045</v>
      </c>
    </row>
    <row r="15342" spans="1:6" s="3" customFormat="1" ht="29.1" customHeight="1" x14ac:dyDescent="0.25">
      <c r="A15342" s="2" t="s">
        <v>30542</v>
      </c>
      <c r="B15342" s="2" t="s">
        <v>26938</v>
      </c>
      <c r="C15342" s="2" t="s">
        <v>556</v>
      </c>
      <c r="D15342" s="2" t="s">
        <v>1895</v>
      </c>
      <c r="E15342" s="2" t="str">
        <f>"9783837664034"</f>
        <v>9783837664034</v>
      </c>
      <c r="F15342" s="2" t="str">
        <f>"9783839464038"</f>
        <v>9783839464038</v>
      </c>
    </row>
    <row r="15343" spans="1:6" s="3" customFormat="1" ht="29.1" customHeight="1" x14ac:dyDescent="0.25">
      <c r="A15343" s="2" t="s">
        <v>30543</v>
      </c>
      <c r="B15343" s="2" t="s">
        <v>30544</v>
      </c>
      <c r="C15343" s="2" t="s">
        <v>556</v>
      </c>
      <c r="D15343" s="2" t="s">
        <v>2139</v>
      </c>
      <c r="E15343" s="2" t="str">
        <f>"9783837664010"</f>
        <v>9783837664010</v>
      </c>
      <c r="F15343" s="2" t="str">
        <f>"9783732864010"</f>
        <v>9783732864010</v>
      </c>
    </row>
    <row r="15344" spans="1:6" s="3" customFormat="1" ht="29.1" customHeight="1" x14ac:dyDescent="0.25">
      <c r="A15344" s="2" t="s">
        <v>30545</v>
      </c>
      <c r="B15344" s="2" t="s">
        <v>30546</v>
      </c>
      <c r="C15344" s="2" t="s">
        <v>556</v>
      </c>
      <c r="D15344" s="2" t="s">
        <v>446</v>
      </c>
      <c r="E15344" s="2" t="str">
        <f>"9783837663945"</f>
        <v>9783837663945</v>
      </c>
      <c r="F15344" s="2" t="str">
        <f>"9783839463949"</f>
        <v>9783839463949</v>
      </c>
    </row>
    <row r="15345" spans="1:6" s="3" customFormat="1" ht="29.1" customHeight="1" x14ac:dyDescent="0.25">
      <c r="A15345" s="2" t="s">
        <v>30547</v>
      </c>
      <c r="B15345" s="2" t="s">
        <v>30548</v>
      </c>
      <c r="C15345" s="2" t="s">
        <v>556</v>
      </c>
      <c r="D15345" s="2" t="s">
        <v>712</v>
      </c>
      <c r="E15345" s="2" t="str">
        <f>"9783837663907"</f>
        <v>9783837663907</v>
      </c>
      <c r="F15345" s="2" t="str">
        <f>"9783839463901"</f>
        <v>9783839463901</v>
      </c>
    </row>
    <row r="15346" spans="1:6" s="3" customFormat="1" ht="29.1" customHeight="1" x14ac:dyDescent="0.25">
      <c r="A15346" s="2" t="s">
        <v>30549</v>
      </c>
      <c r="B15346" s="2" t="s">
        <v>30550</v>
      </c>
      <c r="C15346" s="2" t="s">
        <v>556</v>
      </c>
      <c r="D15346" s="2" t="s">
        <v>7000</v>
      </c>
      <c r="E15346" s="2" t="str">
        <f>"9783837663785"</f>
        <v>9783837663785</v>
      </c>
      <c r="F15346" s="2" t="str">
        <f>"9783732863785"</f>
        <v>9783732863785</v>
      </c>
    </row>
    <row r="15347" spans="1:6" s="3" customFormat="1" ht="29.1" customHeight="1" x14ac:dyDescent="0.25">
      <c r="A15347" s="2" t="s">
        <v>30551</v>
      </c>
      <c r="B15347" s="2" t="s">
        <v>30552</v>
      </c>
      <c r="C15347" s="2" t="s">
        <v>556</v>
      </c>
      <c r="D15347" s="2" t="s">
        <v>21</v>
      </c>
      <c r="E15347" s="2" t="str">
        <f>"9783837663440"</f>
        <v>9783837663440</v>
      </c>
      <c r="F15347" s="2" t="str">
        <f>"9783732863440"</f>
        <v>9783732863440</v>
      </c>
    </row>
    <row r="15348" spans="1:6" s="3" customFormat="1" ht="29.1" customHeight="1" x14ac:dyDescent="0.25">
      <c r="A15348" s="2" t="s">
        <v>30553</v>
      </c>
      <c r="B15348" s="2" t="s">
        <v>30554</v>
      </c>
      <c r="C15348" s="2" t="s">
        <v>556</v>
      </c>
      <c r="D15348" s="2" t="s">
        <v>639</v>
      </c>
      <c r="E15348" s="2" t="str">
        <f>"9783837663433"</f>
        <v>9783837663433</v>
      </c>
      <c r="F15348" s="2" t="str">
        <f>"9783839463437"</f>
        <v>9783839463437</v>
      </c>
    </row>
    <row r="15349" spans="1:6" s="3" customFormat="1" ht="29.1" customHeight="1" x14ac:dyDescent="0.25">
      <c r="A15349" s="2" t="s">
        <v>30555</v>
      </c>
      <c r="B15349" s="2" t="s">
        <v>30556</v>
      </c>
      <c r="C15349" s="2" t="s">
        <v>556</v>
      </c>
      <c r="D15349" s="2" t="s">
        <v>162</v>
      </c>
      <c r="E15349" s="2" t="str">
        <f>"9783837663396"</f>
        <v>9783837663396</v>
      </c>
      <c r="F15349" s="2" t="str">
        <f>"9783839463390"</f>
        <v>9783839463390</v>
      </c>
    </row>
    <row r="15350" spans="1:6" s="3" customFormat="1" ht="29.1" customHeight="1" x14ac:dyDescent="0.25">
      <c r="A15350" s="2" t="s">
        <v>30557</v>
      </c>
      <c r="B15350" s="2" t="s">
        <v>30558</v>
      </c>
      <c r="C15350" s="2" t="s">
        <v>556</v>
      </c>
      <c r="D15350" s="2" t="s">
        <v>21362</v>
      </c>
      <c r="E15350" s="2" t="str">
        <f>"9783837663365"</f>
        <v>9783837663365</v>
      </c>
      <c r="F15350" s="2" t="str">
        <f>"9783839463369"</f>
        <v>9783839463369</v>
      </c>
    </row>
    <row r="15351" spans="1:6" s="3" customFormat="1" ht="29.1" customHeight="1" x14ac:dyDescent="0.25">
      <c r="A15351" s="2" t="s">
        <v>30559</v>
      </c>
      <c r="B15351" s="2" t="s">
        <v>30560</v>
      </c>
      <c r="C15351" s="2" t="s">
        <v>556</v>
      </c>
      <c r="D15351" s="2" t="s">
        <v>712</v>
      </c>
      <c r="E15351" s="2" t="str">
        <f>"9783837663334"</f>
        <v>9783837663334</v>
      </c>
      <c r="F15351" s="2" t="str">
        <f>"9783732863334"</f>
        <v>9783732863334</v>
      </c>
    </row>
    <row r="15352" spans="1:6" s="3" customFormat="1" ht="29.1" customHeight="1" x14ac:dyDescent="0.25">
      <c r="A15352" s="2" t="s">
        <v>30561</v>
      </c>
      <c r="B15352" s="2" t="s">
        <v>30562</v>
      </c>
      <c r="C15352" s="2" t="s">
        <v>556</v>
      </c>
      <c r="D15352" s="2" t="s">
        <v>6972</v>
      </c>
      <c r="E15352" s="2" t="str">
        <f>"9783837663327"</f>
        <v>9783837663327</v>
      </c>
      <c r="F15352" s="2" t="str">
        <f>"9783732863327"</f>
        <v>9783732863327</v>
      </c>
    </row>
    <row r="15353" spans="1:6" s="3" customFormat="1" ht="29.1" customHeight="1" x14ac:dyDescent="0.25">
      <c r="A15353" s="2" t="s">
        <v>30563</v>
      </c>
      <c r="B15353" s="2" t="s">
        <v>30564</v>
      </c>
      <c r="C15353" s="2" t="s">
        <v>556</v>
      </c>
      <c r="D15353" s="2" t="s">
        <v>484</v>
      </c>
      <c r="E15353" s="2" t="str">
        <f>"9783837663303"</f>
        <v>9783837663303</v>
      </c>
      <c r="F15353" s="2" t="str">
        <f>"9783839463307"</f>
        <v>9783839463307</v>
      </c>
    </row>
    <row r="15354" spans="1:6" s="3" customFormat="1" ht="29.1" customHeight="1" x14ac:dyDescent="0.25">
      <c r="A15354" s="2" t="s">
        <v>30565</v>
      </c>
      <c r="B15354" s="2" t="s">
        <v>30566</v>
      </c>
      <c r="C15354" s="2" t="s">
        <v>556</v>
      </c>
      <c r="D15354" s="2" t="s">
        <v>1155</v>
      </c>
      <c r="E15354" s="2" t="str">
        <f>"9783837663266"</f>
        <v>9783837663266</v>
      </c>
      <c r="F15354" s="2" t="str">
        <f>"9783732863266"</f>
        <v>9783732863266</v>
      </c>
    </row>
    <row r="15355" spans="1:6" s="3" customFormat="1" ht="29.1" customHeight="1" x14ac:dyDescent="0.25">
      <c r="A15355" s="2" t="s">
        <v>30567</v>
      </c>
      <c r="B15355" s="2" t="s">
        <v>30568</v>
      </c>
      <c r="C15355" s="2" t="s">
        <v>556</v>
      </c>
      <c r="D15355" s="2" t="s">
        <v>712</v>
      </c>
      <c r="E15355" s="2" t="str">
        <f>"9783837663235"</f>
        <v>9783837663235</v>
      </c>
      <c r="F15355" s="2" t="str">
        <f>"9783839463239"</f>
        <v>9783839463239</v>
      </c>
    </row>
    <row r="15356" spans="1:6" s="3" customFormat="1" ht="29.1" customHeight="1" x14ac:dyDescent="0.25">
      <c r="A15356" s="2" t="s">
        <v>28639</v>
      </c>
      <c r="B15356" s="2" t="s">
        <v>28640</v>
      </c>
      <c r="C15356" s="2" t="s">
        <v>556</v>
      </c>
      <c r="D15356" s="2" t="s">
        <v>98</v>
      </c>
      <c r="E15356" s="2" t="str">
        <f>"9783837663211"</f>
        <v>9783837663211</v>
      </c>
      <c r="F15356" s="2" t="str">
        <f>"9783839463215"</f>
        <v>9783839463215</v>
      </c>
    </row>
    <row r="15357" spans="1:6" s="3" customFormat="1" ht="29.1" customHeight="1" x14ac:dyDescent="0.25">
      <c r="A15357" s="2" t="s">
        <v>30569</v>
      </c>
      <c r="B15357" s="2" t="s">
        <v>30570</v>
      </c>
      <c r="C15357" s="2" t="s">
        <v>556</v>
      </c>
      <c r="D15357" s="2" t="s">
        <v>509</v>
      </c>
      <c r="E15357" s="2" t="str">
        <f>"9783837663204"</f>
        <v>9783837663204</v>
      </c>
      <c r="F15357" s="2" t="str">
        <f>"9783839463208"</f>
        <v>9783839463208</v>
      </c>
    </row>
    <row r="15358" spans="1:6" s="3" customFormat="1" ht="29.1" customHeight="1" x14ac:dyDescent="0.25">
      <c r="A15358" s="2" t="s">
        <v>30571</v>
      </c>
      <c r="B15358" s="2" t="s">
        <v>30572</v>
      </c>
      <c r="C15358" s="2" t="s">
        <v>556</v>
      </c>
      <c r="D15358" s="2" t="s">
        <v>6103</v>
      </c>
      <c r="E15358" s="2" t="str">
        <f>"9783837663198"</f>
        <v>9783837663198</v>
      </c>
      <c r="F15358" s="2" t="str">
        <f>"9783732863198"</f>
        <v>9783732863198</v>
      </c>
    </row>
    <row r="15359" spans="1:6" s="3" customFormat="1" ht="29.1" customHeight="1" x14ac:dyDescent="0.25">
      <c r="A15359" s="2" t="s">
        <v>30573</v>
      </c>
      <c r="B15359" s="2" t="s">
        <v>30574</v>
      </c>
      <c r="C15359" s="2" t="s">
        <v>556</v>
      </c>
      <c r="D15359" s="2" t="s">
        <v>1411</v>
      </c>
      <c r="E15359" s="2" t="str">
        <f>"9783837663167"</f>
        <v>9783837663167</v>
      </c>
      <c r="F15359" s="2" t="str">
        <f>"9783839463161"</f>
        <v>9783839463161</v>
      </c>
    </row>
    <row r="15360" spans="1:6" s="3" customFormat="1" ht="29.1" customHeight="1" x14ac:dyDescent="0.25">
      <c r="A15360" s="2" t="s">
        <v>30575</v>
      </c>
      <c r="B15360" s="2" t="s">
        <v>30576</v>
      </c>
      <c r="C15360" s="2" t="s">
        <v>556</v>
      </c>
      <c r="D15360" s="2" t="s">
        <v>78</v>
      </c>
      <c r="E15360" s="2" t="str">
        <f>"9783837663082"</f>
        <v>9783837663082</v>
      </c>
      <c r="F15360" s="2" t="str">
        <f>"9783839463086"</f>
        <v>9783839463086</v>
      </c>
    </row>
    <row r="15361" spans="1:6" s="3" customFormat="1" ht="29.1" customHeight="1" x14ac:dyDescent="0.25">
      <c r="A15361" s="2" t="s">
        <v>30577</v>
      </c>
      <c r="B15361" s="2" t="s">
        <v>30578</v>
      </c>
      <c r="C15361" s="2" t="s">
        <v>556</v>
      </c>
      <c r="D15361" s="2" t="s">
        <v>5983</v>
      </c>
      <c r="E15361" s="2" t="str">
        <f>"9783837663075"</f>
        <v>9783837663075</v>
      </c>
      <c r="F15361" s="2" t="str">
        <f>"9783732863075"</f>
        <v>9783732863075</v>
      </c>
    </row>
    <row r="15362" spans="1:6" s="3" customFormat="1" ht="29.1" customHeight="1" x14ac:dyDescent="0.25">
      <c r="A15362" s="2" t="s">
        <v>30579</v>
      </c>
      <c r="B15362" s="2" t="s">
        <v>30580</v>
      </c>
      <c r="C15362" s="2" t="s">
        <v>556</v>
      </c>
      <c r="D15362" s="2" t="s">
        <v>647</v>
      </c>
      <c r="E15362" s="2" t="str">
        <f>"9783837663044"</f>
        <v>9783837663044</v>
      </c>
      <c r="F15362" s="2" t="str">
        <f>"9783839463048"</f>
        <v>9783839463048</v>
      </c>
    </row>
    <row r="15363" spans="1:6" s="3" customFormat="1" ht="29.1" customHeight="1" x14ac:dyDescent="0.25">
      <c r="A15363" s="2" t="s">
        <v>30581</v>
      </c>
      <c r="B15363" s="2" t="s">
        <v>30583</v>
      </c>
      <c r="C15363" s="2" t="s">
        <v>556</v>
      </c>
      <c r="D15363" s="2" t="s">
        <v>30582</v>
      </c>
      <c r="E15363" s="2" t="str">
        <f>"9783837662917"</f>
        <v>9783837662917</v>
      </c>
      <c r="F15363" s="2" t="str">
        <f>"9783839462911"</f>
        <v>9783839462911</v>
      </c>
    </row>
    <row r="15364" spans="1:6" s="3" customFormat="1" ht="29.1" customHeight="1" x14ac:dyDescent="0.25">
      <c r="A15364" s="2" t="s">
        <v>30584</v>
      </c>
      <c r="B15364" s="2" t="s">
        <v>30585</v>
      </c>
      <c r="C15364" s="2" t="s">
        <v>556</v>
      </c>
      <c r="D15364" s="2" t="s">
        <v>712</v>
      </c>
      <c r="E15364" s="2" t="str">
        <f>"9783837662849"</f>
        <v>9783837662849</v>
      </c>
      <c r="F15364" s="2" t="str">
        <f>"9783732862849"</f>
        <v>9783732862849</v>
      </c>
    </row>
    <row r="15365" spans="1:6" s="3" customFormat="1" ht="29.1" customHeight="1" x14ac:dyDescent="0.25">
      <c r="A15365" s="2" t="s">
        <v>30586</v>
      </c>
      <c r="B15365" s="2" t="s">
        <v>30587</v>
      </c>
      <c r="C15365" s="2" t="s">
        <v>556</v>
      </c>
      <c r="D15365" s="2" t="s">
        <v>1895</v>
      </c>
      <c r="E15365" s="2" t="str">
        <f>"9783837662757"</f>
        <v>9783837662757</v>
      </c>
      <c r="F15365" s="2" t="str">
        <f>"9783732862757"</f>
        <v>9783732862757</v>
      </c>
    </row>
    <row r="15366" spans="1:6" s="3" customFormat="1" ht="29.1" customHeight="1" x14ac:dyDescent="0.25">
      <c r="A15366" s="2" t="s">
        <v>30588</v>
      </c>
      <c r="B15366" s="2" t="s">
        <v>18412</v>
      </c>
      <c r="C15366" s="2" t="s">
        <v>556</v>
      </c>
      <c r="D15366" s="2" t="s">
        <v>484</v>
      </c>
      <c r="E15366" s="2" t="str">
        <f>"9783837662726"</f>
        <v>9783837662726</v>
      </c>
      <c r="F15366" s="2" t="str">
        <f>"9783839462720"</f>
        <v>9783839462720</v>
      </c>
    </row>
    <row r="15367" spans="1:6" s="3" customFormat="1" ht="29.1" customHeight="1" x14ac:dyDescent="0.25">
      <c r="A15367" s="2" t="s">
        <v>30589</v>
      </c>
      <c r="B15367" s="2" t="s">
        <v>30590</v>
      </c>
      <c r="C15367" s="2" t="s">
        <v>556</v>
      </c>
      <c r="D15367" s="2" t="s">
        <v>75</v>
      </c>
      <c r="E15367" s="2" t="str">
        <f>"9783837662689"</f>
        <v>9783837662689</v>
      </c>
      <c r="F15367" s="2" t="str">
        <f>"9783839462683"</f>
        <v>9783839462683</v>
      </c>
    </row>
    <row r="15368" spans="1:6" s="3" customFormat="1" ht="29.1" customHeight="1" x14ac:dyDescent="0.25">
      <c r="A15368" s="2" t="s">
        <v>30591</v>
      </c>
      <c r="B15368" s="2" t="s">
        <v>30592</v>
      </c>
      <c r="C15368" s="2" t="s">
        <v>556</v>
      </c>
      <c r="D15368" s="2" t="s">
        <v>183</v>
      </c>
      <c r="E15368" s="2" t="str">
        <f>"9783837662597"</f>
        <v>9783837662597</v>
      </c>
      <c r="F15368" s="2" t="str">
        <f>"9783839462591"</f>
        <v>9783839462591</v>
      </c>
    </row>
    <row r="15369" spans="1:6" s="3" customFormat="1" ht="29.1" customHeight="1" x14ac:dyDescent="0.25">
      <c r="A15369" s="2" t="s">
        <v>30593</v>
      </c>
      <c r="B15369" s="2" t="s">
        <v>30594</v>
      </c>
      <c r="C15369" s="2" t="s">
        <v>556</v>
      </c>
      <c r="D15369" s="2" t="s">
        <v>446</v>
      </c>
      <c r="E15369" s="2" t="str">
        <f>"9783837662573"</f>
        <v>9783837662573</v>
      </c>
      <c r="F15369" s="2" t="str">
        <f>"9783839462577"</f>
        <v>9783839462577</v>
      </c>
    </row>
    <row r="15370" spans="1:6" s="3" customFormat="1" ht="29.1" customHeight="1" x14ac:dyDescent="0.25">
      <c r="A15370" s="2" t="s">
        <v>30595</v>
      </c>
      <c r="B15370" s="2" t="s">
        <v>30596</v>
      </c>
      <c r="C15370" s="2" t="s">
        <v>556</v>
      </c>
      <c r="D15370" s="2" t="s">
        <v>446</v>
      </c>
      <c r="E15370" s="2" t="str">
        <f>"9783837662566"</f>
        <v>9783837662566</v>
      </c>
      <c r="F15370" s="2" t="str">
        <f>"9783839462560"</f>
        <v>9783839462560</v>
      </c>
    </row>
    <row r="15371" spans="1:6" s="3" customFormat="1" ht="29.1" customHeight="1" x14ac:dyDescent="0.25">
      <c r="A15371" s="2" t="s">
        <v>30597</v>
      </c>
      <c r="B15371" s="2" t="s">
        <v>30598</v>
      </c>
      <c r="C15371" s="2" t="s">
        <v>556</v>
      </c>
      <c r="D15371" s="2" t="s">
        <v>78</v>
      </c>
      <c r="E15371" s="2" t="str">
        <f>"9783837662535"</f>
        <v>9783837662535</v>
      </c>
      <c r="F15371" s="2" t="str">
        <f>"9783839462539"</f>
        <v>9783839462539</v>
      </c>
    </row>
    <row r="15372" spans="1:6" s="3" customFormat="1" ht="29.1" customHeight="1" x14ac:dyDescent="0.25">
      <c r="A15372" s="2" t="s">
        <v>30599</v>
      </c>
      <c r="B15372" s="2" t="s">
        <v>30600</v>
      </c>
      <c r="C15372" s="2" t="s">
        <v>556</v>
      </c>
      <c r="D15372" s="2" t="s">
        <v>183</v>
      </c>
      <c r="E15372" s="2" t="str">
        <f>"9783837662337"</f>
        <v>9783837662337</v>
      </c>
      <c r="F15372" s="2" t="str">
        <f>"9783839462331"</f>
        <v>9783839462331</v>
      </c>
    </row>
    <row r="15373" spans="1:6" s="3" customFormat="1" ht="29.1" customHeight="1" x14ac:dyDescent="0.25">
      <c r="A15373" s="2" t="s">
        <v>30601</v>
      </c>
      <c r="B15373" s="2" t="s">
        <v>30602</v>
      </c>
      <c r="C15373" s="2" t="s">
        <v>556</v>
      </c>
      <c r="D15373" s="2" t="s">
        <v>1189</v>
      </c>
      <c r="E15373" s="2" t="str">
        <f>"9783837662320"</f>
        <v>9783837662320</v>
      </c>
      <c r="F15373" s="2" t="str">
        <f>"9783839462324"</f>
        <v>9783839462324</v>
      </c>
    </row>
    <row r="15374" spans="1:6" s="3" customFormat="1" ht="29.1" customHeight="1" x14ac:dyDescent="0.25">
      <c r="A15374" s="2" t="s">
        <v>30603</v>
      </c>
      <c r="B15374" s="2" t="s">
        <v>30604</v>
      </c>
      <c r="C15374" s="2" t="s">
        <v>556</v>
      </c>
      <c r="D15374" s="2" t="s">
        <v>674</v>
      </c>
      <c r="E15374" s="2" t="str">
        <f>"9783837662306"</f>
        <v>9783837662306</v>
      </c>
      <c r="F15374" s="2" t="str">
        <f>"9783839462300"</f>
        <v>9783839462300</v>
      </c>
    </row>
    <row r="15375" spans="1:6" s="3" customFormat="1" ht="29.1" customHeight="1" x14ac:dyDescent="0.25">
      <c r="A15375" s="2" t="s">
        <v>30605</v>
      </c>
      <c r="B15375" s="2" t="s">
        <v>30606</v>
      </c>
      <c r="C15375" s="2" t="s">
        <v>556</v>
      </c>
      <c r="D15375" s="2" t="s">
        <v>1155</v>
      </c>
      <c r="E15375" s="2" t="str">
        <f>"9783837662269"</f>
        <v>9783837662269</v>
      </c>
      <c r="F15375" s="2" t="str">
        <f>"9783732862269"</f>
        <v>9783732862269</v>
      </c>
    </row>
    <row r="15376" spans="1:6" s="3" customFormat="1" ht="29.1" customHeight="1" x14ac:dyDescent="0.25">
      <c r="A15376" s="2" t="s">
        <v>30607</v>
      </c>
      <c r="B15376" s="2" t="s">
        <v>30608</v>
      </c>
      <c r="C15376" s="2" t="s">
        <v>556</v>
      </c>
      <c r="D15376" s="2" t="s">
        <v>37</v>
      </c>
      <c r="E15376" s="2" t="str">
        <f>"9783837662245"</f>
        <v>9783837662245</v>
      </c>
      <c r="F15376" s="2" t="str">
        <f>"9783839462249"</f>
        <v>9783839462249</v>
      </c>
    </row>
    <row r="15377" spans="1:6" s="3" customFormat="1" ht="29.1" customHeight="1" x14ac:dyDescent="0.25">
      <c r="A15377" s="2" t="s">
        <v>30609</v>
      </c>
      <c r="B15377" s="2" t="s">
        <v>30610</v>
      </c>
      <c r="C15377" s="2" t="s">
        <v>556</v>
      </c>
      <c r="D15377" s="2" t="s">
        <v>98</v>
      </c>
      <c r="E15377" s="2" t="str">
        <f>"9783837662191"</f>
        <v>9783837662191</v>
      </c>
      <c r="F15377" s="2" t="str">
        <f>"9783839462195"</f>
        <v>9783839462195</v>
      </c>
    </row>
    <row r="15378" spans="1:6" s="3" customFormat="1" ht="29.1" customHeight="1" x14ac:dyDescent="0.25">
      <c r="A15378" s="2" t="s">
        <v>30611</v>
      </c>
      <c r="B15378" s="2" t="s">
        <v>30612</v>
      </c>
      <c r="C15378" s="2" t="s">
        <v>556</v>
      </c>
      <c r="D15378" s="2" t="s">
        <v>4940</v>
      </c>
      <c r="E15378" s="2" t="str">
        <f>"9783837662177"</f>
        <v>9783837662177</v>
      </c>
      <c r="F15378" s="2" t="str">
        <f>"9783839462171"</f>
        <v>9783839462171</v>
      </c>
    </row>
    <row r="15379" spans="1:6" s="3" customFormat="1" ht="29.1" customHeight="1" x14ac:dyDescent="0.25">
      <c r="A15379" s="2" t="s">
        <v>30613</v>
      </c>
      <c r="B15379" s="2" t="s">
        <v>30614</v>
      </c>
      <c r="C15379" s="2" t="s">
        <v>556</v>
      </c>
      <c r="D15379" s="2" t="s">
        <v>1162</v>
      </c>
      <c r="E15379" s="2" t="str">
        <f>"9783837662153"</f>
        <v>9783837662153</v>
      </c>
      <c r="F15379" s="2" t="str">
        <f>"9783732862153"</f>
        <v>9783732862153</v>
      </c>
    </row>
    <row r="15380" spans="1:6" s="3" customFormat="1" ht="29.1" customHeight="1" x14ac:dyDescent="0.25">
      <c r="A15380" s="2" t="s">
        <v>30615</v>
      </c>
      <c r="B15380" s="2" t="s">
        <v>30616</v>
      </c>
      <c r="C15380" s="2" t="s">
        <v>556</v>
      </c>
      <c r="D15380" s="2" t="s">
        <v>1183</v>
      </c>
      <c r="E15380" s="2" t="str">
        <f>"9783837662146"</f>
        <v>9783837662146</v>
      </c>
      <c r="F15380" s="2" t="str">
        <f>"9783839462140"</f>
        <v>9783839462140</v>
      </c>
    </row>
    <row r="15381" spans="1:6" s="3" customFormat="1" ht="29.1" customHeight="1" x14ac:dyDescent="0.25">
      <c r="A15381" s="2" t="s">
        <v>30617</v>
      </c>
      <c r="B15381" s="2" t="s">
        <v>30618</v>
      </c>
      <c r="C15381" s="2" t="s">
        <v>556</v>
      </c>
      <c r="D15381" s="2" t="s">
        <v>689</v>
      </c>
      <c r="E15381" s="2" t="str">
        <f>"9783837662115"</f>
        <v>9783837662115</v>
      </c>
      <c r="F15381" s="2" t="str">
        <f>"9783839462119"</f>
        <v>9783839462119</v>
      </c>
    </row>
    <row r="15382" spans="1:6" s="3" customFormat="1" ht="29.1" customHeight="1" x14ac:dyDescent="0.25">
      <c r="A15382" s="2" t="s">
        <v>30619</v>
      </c>
      <c r="B15382" s="2" t="s">
        <v>30620</v>
      </c>
      <c r="C15382" s="2" t="s">
        <v>556</v>
      </c>
      <c r="D15382" s="2" t="s">
        <v>712</v>
      </c>
      <c r="E15382" s="2" t="str">
        <f>"9783837661972"</f>
        <v>9783837661972</v>
      </c>
      <c r="F15382" s="2" t="str">
        <f>"9783839461976"</f>
        <v>9783839461976</v>
      </c>
    </row>
    <row r="15383" spans="1:6" s="3" customFormat="1" ht="29.1" customHeight="1" x14ac:dyDescent="0.25">
      <c r="A15383" s="2" t="s">
        <v>30621</v>
      </c>
      <c r="B15383" s="2" t="s">
        <v>30622</v>
      </c>
      <c r="C15383" s="2" t="s">
        <v>556</v>
      </c>
      <c r="D15383" s="2" t="s">
        <v>1162</v>
      </c>
      <c r="E15383" s="2" t="str">
        <f>"9783837661965"</f>
        <v>9783837661965</v>
      </c>
      <c r="F15383" s="2" t="str">
        <f>"9783732861965"</f>
        <v>9783732861965</v>
      </c>
    </row>
    <row r="15384" spans="1:6" s="3" customFormat="1" ht="29.1" customHeight="1" x14ac:dyDescent="0.25">
      <c r="A15384" s="2" t="s">
        <v>30623</v>
      </c>
      <c r="B15384" s="2" t="s">
        <v>30624</v>
      </c>
      <c r="C15384" s="2" t="s">
        <v>556</v>
      </c>
      <c r="D15384" s="2" t="s">
        <v>183</v>
      </c>
      <c r="E15384" s="2" t="str">
        <f>"9783837661941"</f>
        <v>9783837661941</v>
      </c>
      <c r="F15384" s="2" t="str">
        <f>"9783839461945"</f>
        <v>9783839461945</v>
      </c>
    </row>
    <row r="15385" spans="1:6" s="3" customFormat="1" ht="29.1" customHeight="1" x14ac:dyDescent="0.25">
      <c r="A15385" s="2" t="s">
        <v>30625</v>
      </c>
      <c r="B15385" s="2" t="s">
        <v>30626</v>
      </c>
      <c r="C15385" s="2" t="s">
        <v>556</v>
      </c>
      <c r="D15385" s="2" t="s">
        <v>324</v>
      </c>
      <c r="E15385" s="2" t="str">
        <f>"9783837661934"</f>
        <v>9783837661934</v>
      </c>
      <c r="F15385" s="2" t="str">
        <f>"9783732861934"</f>
        <v>9783732861934</v>
      </c>
    </row>
    <row r="15386" spans="1:6" s="3" customFormat="1" ht="29.1" customHeight="1" x14ac:dyDescent="0.25">
      <c r="A15386" s="2" t="s">
        <v>30627</v>
      </c>
      <c r="B15386" s="2" t="s">
        <v>30628</v>
      </c>
      <c r="C15386" s="2" t="s">
        <v>556</v>
      </c>
      <c r="D15386" s="2" t="s">
        <v>509</v>
      </c>
      <c r="E15386" s="2" t="str">
        <f>"9783837661828"</f>
        <v>9783837661828</v>
      </c>
      <c r="F15386" s="2" t="str">
        <f>"9783839461822"</f>
        <v>9783839461822</v>
      </c>
    </row>
    <row r="15387" spans="1:6" s="3" customFormat="1" ht="29.1" customHeight="1" x14ac:dyDescent="0.25">
      <c r="A15387" s="2" t="s">
        <v>30629</v>
      </c>
      <c r="B15387" s="2" t="s">
        <v>30630</v>
      </c>
      <c r="C15387" s="2" t="s">
        <v>556</v>
      </c>
      <c r="D15387" s="2" t="s">
        <v>150</v>
      </c>
      <c r="E15387" s="2" t="str">
        <f>"9783837661811"</f>
        <v>9783837661811</v>
      </c>
      <c r="F15387" s="2" t="str">
        <f>"9783839461815"</f>
        <v>9783839461815</v>
      </c>
    </row>
    <row r="15388" spans="1:6" s="3" customFormat="1" ht="29.1" customHeight="1" x14ac:dyDescent="0.25">
      <c r="A15388" s="2" t="s">
        <v>30631</v>
      </c>
      <c r="B15388" s="2" t="s">
        <v>30632</v>
      </c>
      <c r="C15388" s="2" t="s">
        <v>556</v>
      </c>
      <c r="D15388" s="2" t="s">
        <v>968</v>
      </c>
      <c r="E15388" s="2" t="str">
        <f>"9783837661705"</f>
        <v>9783837661705</v>
      </c>
      <c r="F15388" s="2" t="str">
        <f>"9783839461709"</f>
        <v>9783839461709</v>
      </c>
    </row>
    <row r="15389" spans="1:6" s="3" customFormat="1" ht="29.1" customHeight="1" x14ac:dyDescent="0.25">
      <c r="A15389" s="2" t="s">
        <v>30633</v>
      </c>
      <c r="B15389" s="2" t="s">
        <v>30634</v>
      </c>
      <c r="C15389" s="2" t="s">
        <v>556</v>
      </c>
      <c r="D15389" s="2" t="s">
        <v>1141</v>
      </c>
      <c r="E15389" s="2" t="str">
        <f>"9783837661675"</f>
        <v>9783837661675</v>
      </c>
      <c r="F15389" s="2" t="str">
        <f>"9783839461679"</f>
        <v>9783839461679</v>
      </c>
    </row>
    <row r="15390" spans="1:6" s="3" customFormat="1" ht="29.1" customHeight="1" x14ac:dyDescent="0.25">
      <c r="A15390" s="2" t="s">
        <v>30635</v>
      </c>
      <c r="B15390" s="2" t="s">
        <v>30636</v>
      </c>
      <c r="C15390" s="2" t="s">
        <v>556</v>
      </c>
      <c r="D15390" s="2" t="s">
        <v>4238</v>
      </c>
      <c r="E15390" s="2" t="str">
        <f>"9783837661644"</f>
        <v>9783837661644</v>
      </c>
      <c r="F15390" s="2" t="str">
        <f>"9783839461648"</f>
        <v>9783839461648</v>
      </c>
    </row>
    <row r="15391" spans="1:6" s="3" customFormat="1" ht="29.1" customHeight="1" x14ac:dyDescent="0.25">
      <c r="A15391" s="2" t="s">
        <v>30637</v>
      </c>
      <c r="B15391" s="2" t="s">
        <v>30638</v>
      </c>
      <c r="C15391" s="2" t="s">
        <v>556</v>
      </c>
      <c r="D15391" s="2" t="s">
        <v>33</v>
      </c>
      <c r="E15391" s="2" t="str">
        <f>"9783837661620"</f>
        <v>9783837661620</v>
      </c>
      <c r="F15391" s="2" t="str">
        <f>"9783839461624"</f>
        <v>9783839461624</v>
      </c>
    </row>
    <row r="15392" spans="1:6" s="3" customFormat="1" ht="29.1" customHeight="1" x14ac:dyDescent="0.25">
      <c r="A15392" s="2" t="s">
        <v>30639</v>
      </c>
      <c r="B15392" s="2" t="s">
        <v>30640</v>
      </c>
      <c r="C15392" s="2" t="s">
        <v>556</v>
      </c>
      <c r="D15392" s="2" t="s">
        <v>1162</v>
      </c>
      <c r="E15392" s="2" t="str">
        <f>"9783837661613"</f>
        <v>9783837661613</v>
      </c>
      <c r="F15392" s="2" t="str">
        <f>"9783732861613"</f>
        <v>9783732861613</v>
      </c>
    </row>
    <row r="15393" spans="1:6" s="3" customFormat="1" ht="29.1" customHeight="1" x14ac:dyDescent="0.25">
      <c r="A15393" s="2" t="s">
        <v>30641</v>
      </c>
      <c r="B15393" s="2" t="s">
        <v>30642</v>
      </c>
      <c r="C15393" s="2" t="s">
        <v>556</v>
      </c>
      <c r="D15393" s="2" t="s">
        <v>33</v>
      </c>
      <c r="E15393" s="2" t="str">
        <f>"9783837661576"</f>
        <v>9783837661576</v>
      </c>
      <c r="F15393" s="2" t="str">
        <f>"9783839461570"</f>
        <v>9783839461570</v>
      </c>
    </row>
    <row r="15394" spans="1:6" s="3" customFormat="1" ht="29.1" customHeight="1" x14ac:dyDescent="0.25">
      <c r="A15394" s="2" t="s">
        <v>30643</v>
      </c>
      <c r="B15394" s="2" t="s">
        <v>30644</v>
      </c>
      <c r="C15394" s="2" t="s">
        <v>556</v>
      </c>
      <c r="D15394" s="2" t="s">
        <v>712</v>
      </c>
      <c r="E15394" s="2" t="str">
        <f>"9783837661521"</f>
        <v>9783837661521</v>
      </c>
      <c r="F15394" s="2" t="str">
        <f>"9783732861521"</f>
        <v>9783732861521</v>
      </c>
    </row>
    <row r="15395" spans="1:6" s="3" customFormat="1" ht="29.1" customHeight="1" x14ac:dyDescent="0.25">
      <c r="A15395" s="2" t="s">
        <v>30645</v>
      </c>
      <c r="B15395" s="2" t="s">
        <v>30646</v>
      </c>
      <c r="C15395" s="2" t="s">
        <v>556</v>
      </c>
      <c r="D15395" s="2" t="s">
        <v>1127</v>
      </c>
      <c r="E15395" s="2" t="str">
        <f>"9783837661491"</f>
        <v>9783837661491</v>
      </c>
      <c r="F15395" s="2" t="str">
        <f>"9783839461495"</f>
        <v>9783839461495</v>
      </c>
    </row>
    <row r="15396" spans="1:6" s="3" customFormat="1" ht="29.1" customHeight="1" x14ac:dyDescent="0.25">
      <c r="A15396" s="2" t="s">
        <v>30647</v>
      </c>
      <c r="B15396" s="2" t="s">
        <v>30648</v>
      </c>
      <c r="C15396" s="2" t="s">
        <v>556</v>
      </c>
      <c r="D15396" s="2" t="s">
        <v>712</v>
      </c>
      <c r="E15396" s="2" t="str">
        <f>"9783837661477"</f>
        <v>9783837661477</v>
      </c>
      <c r="F15396" s="2" t="str">
        <f>"9783732861477"</f>
        <v>9783732861477</v>
      </c>
    </row>
    <row r="15397" spans="1:6" s="3" customFormat="1" ht="29.1" customHeight="1" x14ac:dyDescent="0.25">
      <c r="A15397" s="2" t="s">
        <v>30649</v>
      </c>
      <c r="B15397" s="2" t="s">
        <v>30650</v>
      </c>
      <c r="C15397" s="2" t="s">
        <v>556</v>
      </c>
      <c r="D15397" s="2" t="s">
        <v>324</v>
      </c>
      <c r="E15397" s="2" t="str">
        <f>"9783837661439"</f>
        <v>9783837661439</v>
      </c>
      <c r="F15397" s="2" t="str">
        <f>"9783839461433"</f>
        <v>9783839461433</v>
      </c>
    </row>
    <row r="15398" spans="1:6" s="3" customFormat="1" ht="29.1" customHeight="1" x14ac:dyDescent="0.25">
      <c r="A15398" s="2" t="s">
        <v>30651</v>
      </c>
      <c r="B15398" s="2" t="s">
        <v>30652</v>
      </c>
      <c r="C15398" s="2" t="s">
        <v>556</v>
      </c>
      <c r="D15398" s="2" t="s">
        <v>1162</v>
      </c>
      <c r="E15398" s="2" t="str">
        <f>"9783837661422"</f>
        <v>9783837661422</v>
      </c>
      <c r="F15398" s="2" t="str">
        <f>"9783839461426"</f>
        <v>9783839461426</v>
      </c>
    </row>
    <row r="15399" spans="1:6" s="3" customFormat="1" ht="29.1" customHeight="1" x14ac:dyDescent="0.25">
      <c r="A15399" s="2" t="s">
        <v>30653</v>
      </c>
      <c r="B15399" s="2" t="s">
        <v>30654</v>
      </c>
      <c r="C15399" s="2" t="s">
        <v>556</v>
      </c>
      <c r="D15399" s="2" t="s">
        <v>75</v>
      </c>
      <c r="E15399" s="2" t="str">
        <f>"9783837661316"</f>
        <v>9783837661316</v>
      </c>
      <c r="F15399" s="2" t="str">
        <f>"9783839461310"</f>
        <v>9783839461310</v>
      </c>
    </row>
    <row r="15400" spans="1:6" s="3" customFormat="1" ht="29.1" customHeight="1" x14ac:dyDescent="0.25">
      <c r="A15400" s="2" t="s">
        <v>30655</v>
      </c>
      <c r="B15400" s="2" t="s">
        <v>30656</v>
      </c>
      <c r="C15400" s="2" t="s">
        <v>556</v>
      </c>
      <c r="D15400" s="2" t="s">
        <v>4789</v>
      </c>
      <c r="E15400" s="2" t="str">
        <f>"9783837661309"</f>
        <v>9783837661309</v>
      </c>
      <c r="F15400" s="2" t="str">
        <f>"9783839461303"</f>
        <v>9783839461303</v>
      </c>
    </row>
    <row r="15401" spans="1:6" s="3" customFormat="1" ht="29.1" customHeight="1" x14ac:dyDescent="0.25">
      <c r="A15401" s="2" t="s">
        <v>30657</v>
      </c>
      <c r="B15401" s="2" t="s">
        <v>30658</v>
      </c>
      <c r="C15401" s="2" t="s">
        <v>556</v>
      </c>
      <c r="D15401" s="2" t="s">
        <v>712</v>
      </c>
      <c r="E15401" s="2" t="str">
        <f>"9783837661255"</f>
        <v>9783837661255</v>
      </c>
      <c r="F15401" s="2" t="str">
        <f>"9783732861255"</f>
        <v>9783732861255</v>
      </c>
    </row>
    <row r="15402" spans="1:6" s="3" customFormat="1" ht="29.1" customHeight="1" x14ac:dyDescent="0.25">
      <c r="A15402" s="2" t="s">
        <v>30659</v>
      </c>
      <c r="B15402" s="2" t="s">
        <v>30660</v>
      </c>
      <c r="C15402" s="2" t="s">
        <v>556</v>
      </c>
      <c r="D15402" s="2" t="s">
        <v>1411</v>
      </c>
      <c r="E15402" s="2" t="str">
        <f>"9783837661170"</f>
        <v>9783837661170</v>
      </c>
      <c r="F15402" s="2" t="str">
        <f>"9783839461174"</f>
        <v>9783839461174</v>
      </c>
    </row>
    <row r="15403" spans="1:6" s="3" customFormat="1" ht="29.1" customHeight="1" x14ac:dyDescent="0.25">
      <c r="A15403" s="2" t="s">
        <v>30661</v>
      </c>
      <c r="B15403" s="2" t="s">
        <v>30662</v>
      </c>
      <c r="C15403" s="2" t="s">
        <v>556</v>
      </c>
      <c r="D15403" s="2" t="s">
        <v>30582</v>
      </c>
      <c r="E15403" s="2" t="str">
        <f>"9783837661057"</f>
        <v>9783837661057</v>
      </c>
      <c r="F15403" s="2" t="str">
        <f>"9783732861057"</f>
        <v>9783732861057</v>
      </c>
    </row>
    <row r="15404" spans="1:6" s="3" customFormat="1" ht="29.1" customHeight="1" x14ac:dyDescent="0.25">
      <c r="A15404" s="2" t="s">
        <v>30663</v>
      </c>
      <c r="B15404" s="2" t="s">
        <v>30664</v>
      </c>
      <c r="C15404" s="2" t="s">
        <v>556</v>
      </c>
      <c r="D15404" s="2" t="s">
        <v>1411</v>
      </c>
      <c r="E15404" s="2" t="str">
        <f>"9783837660999"</f>
        <v>9783837660999</v>
      </c>
      <c r="F15404" s="2" t="str">
        <f>"9783839460993"</f>
        <v>9783839460993</v>
      </c>
    </row>
    <row r="15405" spans="1:6" s="3" customFormat="1" ht="29.1" customHeight="1" x14ac:dyDescent="0.25">
      <c r="A15405" s="2" t="s">
        <v>30665</v>
      </c>
      <c r="B15405" s="2" t="s">
        <v>30666</v>
      </c>
      <c r="C15405" s="2" t="s">
        <v>556</v>
      </c>
      <c r="D15405" s="2" t="s">
        <v>7737</v>
      </c>
      <c r="E15405" s="2" t="str">
        <f>"9783837660951"</f>
        <v>9783837660951</v>
      </c>
      <c r="F15405" s="2" t="str">
        <f>"9783839460955"</f>
        <v>9783839460955</v>
      </c>
    </row>
    <row r="15406" spans="1:6" s="3" customFormat="1" ht="29.1" customHeight="1" x14ac:dyDescent="0.25">
      <c r="A15406" s="2" t="s">
        <v>30667</v>
      </c>
      <c r="B15406" s="2" t="s">
        <v>30668</v>
      </c>
      <c r="C15406" s="2" t="s">
        <v>556</v>
      </c>
      <c r="D15406" s="2" t="s">
        <v>78</v>
      </c>
      <c r="E15406" s="2" t="str">
        <f>"9783837660944"</f>
        <v>9783837660944</v>
      </c>
      <c r="F15406" s="2" t="str">
        <f>"9783839460948"</f>
        <v>9783839460948</v>
      </c>
    </row>
    <row r="15407" spans="1:6" s="3" customFormat="1" ht="29.1" customHeight="1" x14ac:dyDescent="0.25">
      <c r="A15407" s="2" t="s">
        <v>30669</v>
      </c>
      <c r="B15407" s="2" t="s">
        <v>30670</v>
      </c>
      <c r="C15407" s="2" t="s">
        <v>556</v>
      </c>
      <c r="D15407" s="2" t="s">
        <v>998</v>
      </c>
      <c r="E15407" s="2" t="str">
        <f>"9783837660890"</f>
        <v>9783837660890</v>
      </c>
      <c r="F15407" s="2" t="str">
        <f>"9783839460894"</f>
        <v>9783839460894</v>
      </c>
    </row>
    <row r="15408" spans="1:6" s="3" customFormat="1" ht="29.1" customHeight="1" x14ac:dyDescent="0.25">
      <c r="A15408" s="2" t="s">
        <v>30671</v>
      </c>
      <c r="B15408" s="2" t="s">
        <v>30672</v>
      </c>
      <c r="C15408" s="2" t="s">
        <v>556</v>
      </c>
      <c r="D15408" s="2" t="s">
        <v>897</v>
      </c>
      <c r="E15408" s="2" t="str">
        <f>"9783837660883"</f>
        <v>9783837660883</v>
      </c>
      <c r="F15408" s="2" t="str">
        <f>"9783839460887"</f>
        <v>9783839460887</v>
      </c>
    </row>
    <row r="15409" spans="1:6" s="3" customFormat="1" ht="29.1" customHeight="1" x14ac:dyDescent="0.25">
      <c r="A15409" s="2" t="s">
        <v>30673</v>
      </c>
      <c r="B15409" s="2" t="s">
        <v>30674</v>
      </c>
      <c r="C15409" s="2" t="s">
        <v>556</v>
      </c>
      <c r="D15409" s="2" t="s">
        <v>1809</v>
      </c>
      <c r="E15409" s="2" t="str">
        <f>"9783837660845"</f>
        <v>9783837660845</v>
      </c>
      <c r="F15409" s="2" t="str">
        <f>"9783839460849"</f>
        <v>9783839460849</v>
      </c>
    </row>
    <row r="15410" spans="1:6" s="3" customFormat="1" ht="29.1" customHeight="1" x14ac:dyDescent="0.25">
      <c r="A15410" s="2" t="s">
        <v>30675</v>
      </c>
      <c r="B15410" s="2" t="s">
        <v>30676</v>
      </c>
      <c r="C15410" s="2" t="s">
        <v>556</v>
      </c>
      <c r="D15410" s="2" t="s">
        <v>636</v>
      </c>
      <c r="E15410" s="2" t="str">
        <f>"9783837660814"</f>
        <v>9783837660814</v>
      </c>
      <c r="F15410" s="2" t="str">
        <f>"9783839460818"</f>
        <v>9783839460818</v>
      </c>
    </row>
    <row r="15411" spans="1:6" s="3" customFormat="1" ht="29.1" customHeight="1" x14ac:dyDescent="0.25">
      <c r="A15411" s="2" t="s">
        <v>30677</v>
      </c>
      <c r="B15411" s="2" t="s">
        <v>30678</v>
      </c>
      <c r="C15411" s="2" t="s">
        <v>556</v>
      </c>
      <c r="D15411" s="2" t="s">
        <v>501</v>
      </c>
      <c r="E15411" s="2" t="str">
        <f>"9783837660647"</f>
        <v>9783837660647</v>
      </c>
      <c r="F15411" s="2" t="str">
        <f>"9783732860647"</f>
        <v>9783732860647</v>
      </c>
    </row>
    <row r="15412" spans="1:6" s="3" customFormat="1" ht="29.1" customHeight="1" x14ac:dyDescent="0.25">
      <c r="A15412" s="2" t="s">
        <v>30679</v>
      </c>
      <c r="B15412" s="2" t="s">
        <v>30680</v>
      </c>
      <c r="C15412" s="2" t="s">
        <v>556</v>
      </c>
      <c r="D15412" s="2" t="s">
        <v>998</v>
      </c>
      <c r="E15412" s="2" t="str">
        <f>"9783837660586"</f>
        <v>9783837660586</v>
      </c>
      <c r="F15412" s="2" t="str">
        <f>"9783839460580"</f>
        <v>9783839460580</v>
      </c>
    </row>
    <row r="15413" spans="1:6" s="3" customFormat="1" ht="29.1" customHeight="1" x14ac:dyDescent="0.25">
      <c r="A15413" s="2" t="s">
        <v>30681</v>
      </c>
      <c r="B15413" s="2" t="s">
        <v>30682</v>
      </c>
      <c r="C15413" s="2" t="s">
        <v>556</v>
      </c>
      <c r="D15413" s="2" t="s">
        <v>484</v>
      </c>
      <c r="E15413" s="2" t="str">
        <f>"9783837660548"</f>
        <v>9783837660548</v>
      </c>
      <c r="F15413" s="2" t="str">
        <f>"9783839460542"</f>
        <v>9783839460542</v>
      </c>
    </row>
    <row r="15414" spans="1:6" s="3" customFormat="1" ht="29.1" customHeight="1" x14ac:dyDescent="0.25">
      <c r="A15414" s="2" t="s">
        <v>30683</v>
      </c>
      <c r="B15414" s="2" t="s">
        <v>30684</v>
      </c>
      <c r="C15414" s="2" t="s">
        <v>556</v>
      </c>
      <c r="D15414" s="2" t="s">
        <v>402</v>
      </c>
      <c r="E15414" s="2" t="str">
        <f>"9783837660432"</f>
        <v>9783837660432</v>
      </c>
      <c r="F15414" s="2" t="str">
        <f>"9783839460436"</f>
        <v>9783839460436</v>
      </c>
    </row>
    <row r="15415" spans="1:6" s="3" customFormat="1" ht="29.1" customHeight="1" x14ac:dyDescent="0.25">
      <c r="A15415" s="2" t="s">
        <v>30685</v>
      </c>
      <c r="B15415" s="2" t="s">
        <v>30686</v>
      </c>
      <c r="C15415" s="2" t="s">
        <v>556</v>
      </c>
      <c r="D15415" s="2" t="s">
        <v>490</v>
      </c>
      <c r="E15415" s="2" t="str">
        <f>"9783837660340"</f>
        <v>9783837660340</v>
      </c>
      <c r="F15415" s="2" t="str">
        <f>"9783732860340"</f>
        <v>9783732860340</v>
      </c>
    </row>
    <row r="15416" spans="1:6" s="3" customFormat="1" ht="29.1" customHeight="1" x14ac:dyDescent="0.25">
      <c r="A15416" s="2" t="s">
        <v>30687</v>
      </c>
      <c r="B15416" s="2" t="s">
        <v>30688</v>
      </c>
      <c r="C15416" s="2" t="s">
        <v>556</v>
      </c>
      <c r="D15416" s="2" t="s">
        <v>636</v>
      </c>
      <c r="E15416" s="2" t="str">
        <f>"9783837660296"</f>
        <v>9783837660296</v>
      </c>
      <c r="F15416" s="2" t="str">
        <f>"9783839460290"</f>
        <v>9783839460290</v>
      </c>
    </row>
    <row r="15417" spans="1:6" s="3" customFormat="1" ht="29.1" customHeight="1" x14ac:dyDescent="0.25">
      <c r="A15417" s="2" t="s">
        <v>30689</v>
      </c>
      <c r="B15417" s="2" t="s">
        <v>30690</v>
      </c>
      <c r="C15417" s="2" t="s">
        <v>556</v>
      </c>
      <c r="D15417" s="2" t="s">
        <v>674</v>
      </c>
      <c r="E15417" s="2" t="str">
        <f>"9783837660210"</f>
        <v>9783837660210</v>
      </c>
      <c r="F15417" s="2" t="str">
        <f>"9783839460214"</f>
        <v>9783839460214</v>
      </c>
    </row>
    <row r="15418" spans="1:6" s="3" customFormat="1" ht="29.1" customHeight="1" x14ac:dyDescent="0.25">
      <c r="A15418" s="2" t="s">
        <v>30691</v>
      </c>
      <c r="B15418" s="2" t="s">
        <v>30692</v>
      </c>
      <c r="C15418" s="2" t="s">
        <v>556</v>
      </c>
      <c r="D15418" s="2" t="s">
        <v>446</v>
      </c>
      <c r="E15418" s="2" t="str">
        <f>"9783837660142"</f>
        <v>9783837660142</v>
      </c>
      <c r="F15418" s="2" t="str">
        <f>"9783839460146"</f>
        <v>9783839460146</v>
      </c>
    </row>
    <row r="15419" spans="1:6" s="3" customFormat="1" ht="29.1" customHeight="1" x14ac:dyDescent="0.25">
      <c r="A15419" s="2" t="s">
        <v>30693</v>
      </c>
      <c r="B15419" s="2" t="s">
        <v>30694</v>
      </c>
      <c r="C15419" s="2" t="s">
        <v>556</v>
      </c>
      <c r="D15419" s="2" t="s">
        <v>674</v>
      </c>
      <c r="E15419" s="2" t="str">
        <f>"9783837660135"</f>
        <v>9783837660135</v>
      </c>
      <c r="F15419" s="2" t="str">
        <f>"9783839460139"</f>
        <v>9783839460139</v>
      </c>
    </row>
    <row r="15420" spans="1:6" s="3" customFormat="1" ht="29.1" customHeight="1" x14ac:dyDescent="0.25">
      <c r="A15420" s="2" t="s">
        <v>30695</v>
      </c>
      <c r="B15420" s="2" t="s">
        <v>30696</v>
      </c>
      <c r="C15420" s="2" t="s">
        <v>556</v>
      </c>
      <c r="D15420" s="2" t="s">
        <v>636</v>
      </c>
      <c r="E15420" s="2" t="str">
        <f>"9783837660098"</f>
        <v>9783837660098</v>
      </c>
      <c r="F15420" s="2" t="str">
        <f>"9783839460092"</f>
        <v>9783839460092</v>
      </c>
    </row>
    <row r="15421" spans="1:6" s="3" customFormat="1" ht="29.1" customHeight="1" x14ac:dyDescent="0.25">
      <c r="A15421" s="2" t="s">
        <v>30697</v>
      </c>
      <c r="B15421" s="2" t="s">
        <v>30699</v>
      </c>
      <c r="C15421" s="2" t="s">
        <v>556</v>
      </c>
      <c r="D15421" s="2" t="s">
        <v>30698</v>
      </c>
      <c r="E15421" s="2" t="str">
        <f>"9783837660050"</f>
        <v>9783837660050</v>
      </c>
      <c r="F15421" s="2" t="str">
        <f>"9783839460054"</f>
        <v>9783839460054</v>
      </c>
    </row>
    <row r="15422" spans="1:6" s="3" customFormat="1" ht="29.1" customHeight="1" x14ac:dyDescent="0.25">
      <c r="A15422" s="2" t="s">
        <v>30700</v>
      </c>
      <c r="B15422" s="2" t="s">
        <v>30701</v>
      </c>
      <c r="C15422" s="2" t="s">
        <v>556</v>
      </c>
      <c r="D15422" s="2" t="s">
        <v>78</v>
      </c>
      <c r="E15422" s="2" t="str">
        <f>"9783837659856"</f>
        <v>9783837659856</v>
      </c>
      <c r="F15422" s="2" t="str">
        <f>"9783839459850"</f>
        <v>9783839459850</v>
      </c>
    </row>
    <row r="15423" spans="1:6" s="3" customFormat="1" ht="29.1" customHeight="1" x14ac:dyDescent="0.25">
      <c r="A15423" s="2" t="s">
        <v>30702</v>
      </c>
      <c r="B15423" s="2" t="s">
        <v>30703</v>
      </c>
      <c r="C15423" s="2" t="s">
        <v>556</v>
      </c>
      <c r="D15423" s="2" t="s">
        <v>998</v>
      </c>
      <c r="E15423" s="2" t="str">
        <f>"9783837659849"</f>
        <v>9783837659849</v>
      </c>
      <c r="F15423" s="2" t="str">
        <f>"9783839459843"</f>
        <v>9783839459843</v>
      </c>
    </row>
    <row r="15424" spans="1:6" s="3" customFormat="1" ht="29.1" customHeight="1" x14ac:dyDescent="0.25">
      <c r="A15424" s="2" t="s">
        <v>30704</v>
      </c>
      <c r="B15424" s="2" t="s">
        <v>30705</v>
      </c>
      <c r="C15424" s="2" t="s">
        <v>556</v>
      </c>
      <c r="D15424" s="2" t="s">
        <v>998</v>
      </c>
      <c r="E15424" s="2" t="str">
        <f>"9783837659757"</f>
        <v>9783837659757</v>
      </c>
      <c r="F15424" s="2" t="str">
        <f>"9783839459751"</f>
        <v>9783839459751</v>
      </c>
    </row>
    <row r="15425" spans="1:6" s="3" customFormat="1" ht="29.1" customHeight="1" x14ac:dyDescent="0.25">
      <c r="A15425" s="2" t="s">
        <v>30706</v>
      </c>
      <c r="B15425" s="2" t="s">
        <v>30707</v>
      </c>
      <c r="C15425" s="2" t="s">
        <v>556</v>
      </c>
      <c r="D15425" s="2" t="s">
        <v>712</v>
      </c>
      <c r="E15425" s="2" t="str">
        <f>"9783837659733"</f>
        <v>9783837659733</v>
      </c>
      <c r="F15425" s="2" t="str">
        <f>"9783839459737"</f>
        <v>9783839459737</v>
      </c>
    </row>
    <row r="15426" spans="1:6" s="3" customFormat="1" ht="29.1" customHeight="1" x14ac:dyDescent="0.25">
      <c r="A15426" s="2" t="s">
        <v>30708</v>
      </c>
      <c r="B15426" s="2" t="s">
        <v>30709</v>
      </c>
      <c r="C15426" s="2" t="s">
        <v>556</v>
      </c>
      <c r="D15426" s="2" t="s">
        <v>324</v>
      </c>
      <c r="E15426" s="2" t="str">
        <f>"9783837659627"</f>
        <v>9783837659627</v>
      </c>
      <c r="F15426" s="2" t="str">
        <f>"9783839459621"</f>
        <v>9783839459621</v>
      </c>
    </row>
    <row r="15427" spans="1:6" s="3" customFormat="1" ht="29.1" customHeight="1" x14ac:dyDescent="0.25">
      <c r="A15427" s="2" t="s">
        <v>30710</v>
      </c>
      <c r="B15427" s="2" t="s">
        <v>30711</v>
      </c>
      <c r="C15427" s="2" t="s">
        <v>556</v>
      </c>
      <c r="D15427" s="2" t="s">
        <v>1183</v>
      </c>
      <c r="E15427" s="2" t="str">
        <f>"9783837659436"</f>
        <v>9783837659436</v>
      </c>
      <c r="F15427" s="2" t="str">
        <f>"9783839459430"</f>
        <v>9783839459430</v>
      </c>
    </row>
    <row r="15428" spans="1:6" s="3" customFormat="1" ht="29.1" customHeight="1" x14ac:dyDescent="0.25">
      <c r="A15428" s="2" t="s">
        <v>30712</v>
      </c>
      <c r="B15428" s="2" t="s">
        <v>30713</v>
      </c>
      <c r="C15428" s="2" t="s">
        <v>556</v>
      </c>
      <c r="D15428" s="2" t="s">
        <v>1183</v>
      </c>
      <c r="E15428" s="2" t="str">
        <f>"9783837659290"</f>
        <v>9783837659290</v>
      </c>
      <c r="F15428" s="2" t="str">
        <f>"9783839459294"</f>
        <v>9783839459294</v>
      </c>
    </row>
    <row r="15429" spans="1:6" s="3" customFormat="1" ht="29.1" customHeight="1" x14ac:dyDescent="0.25">
      <c r="A15429" s="2" t="s">
        <v>30714</v>
      </c>
      <c r="B15429" s="2" t="s">
        <v>30715</v>
      </c>
      <c r="C15429" s="2" t="s">
        <v>556</v>
      </c>
      <c r="D15429" s="2" t="s">
        <v>712</v>
      </c>
      <c r="E15429" s="2" t="str">
        <f>"9783837659245"</f>
        <v>9783837659245</v>
      </c>
      <c r="F15429" s="2" t="str">
        <f>"9783839459249"</f>
        <v>9783839459249</v>
      </c>
    </row>
    <row r="15430" spans="1:6" s="3" customFormat="1" ht="29.1" customHeight="1" x14ac:dyDescent="0.25">
      <c r="A15430" s="2" t="s">
        <v>30716</v>
      </c>
      <c r="B15430" s="2" t="s">
        <v>30717</v>
      </c>
      <c r="C15430" s="2" t="s">
        <v>556</v>
      </c>
      <c r="D15430" s="2" t="s">
        <v>1162</v>
      </c>
      <c r="E15430" s="2" t="str">
        <f>"9783837659085"</f>
        <v>9783837659085</v>
      </c>
      <c r="F15430" s="2" t="str">
        <f>"9783839459089"</f>
        <v>9783839459089</v>
      </c>
    </row>
    <row r="15431" spans="1:6" s="3" customFormat="1" ht="29.1" customHeight="1" x14ac:dyDescent="0.25">
      <c r="A15431" s="2" t="s">
        <v>30718</v>
      </c>
      <c r="B15431" s="2" t="s">
        <v>30719</v>
      </c>
      <c r="C15431" s="2" t="s">
        <v>556</v>
      </c>
      <c r="D15431" s="2" t="s">
        <v>1162</v>
      </c>
      <c r="E15431" s="2" t="str">
        <f>"9783837659078"</f>
        <v>9783837659078</v>
      </c>
      <c r="F15431" s="2" t="str">
        <f>"9783839459072"</f>
        <v>9783839459072</v>
      </c>
    </row>
    <row r="15432" spans="1:6" s="3" customFormat="1" ht="29.1" customHeight="1" x14ac:dyDescent="0.25">
      <c r="A15432" s="2" t="s">
        <v>30720</v>
      </c>
      <c r="B15432" s="2" t="s">
        <v>30721</v>
      </c>
      <c r="C15432" s="2" t="s">
        <v>556</v>
      </c>
      <c r="D15432" s="2" t="s">
        <v>509</v>
      </c>
      <c r="E15432" s="2" t="str">
        <f>"9783837658866"</f>
        <v>9783837658866</v>
      </c>
      <c r="F15432" s="2" t="str">
        <f>"9783839458860"</f>
        <v>9783839458860</v>
      </c>
    </row>
    <row r="15433" spans="1:6" s="3" customFormat="1" ht="29.1" customHeight="1" x14ac:dyDescent="0.25">
      <c r="A15433" s="2" t="s">
        <v>30722</v>
      </c>
      <c r="B15433" s="2" t="s">
        <v>30723</v>
      </c>
      <c r="C15433" s="2" t="s">
        <v>556</v>
      </c>
      <c r="D15433" s="2" t="s">
        <v>218</v>
      </c>
      <c r="E15433" s="2" t="str">
        <f>"9783837658521"</f>
        <v>9783837658521</v>
      </c>
      <c r="F15433" s="2" t="str">
        <f>"9783839458525"</f>
        <v>9783839458525</v>
      </c>
    </row>
    <row r="15434" spans="1:6" s="3" customFormat="1" ht="29.1" customHeight="1" x14ac:dyDescent="0.25">
      <c r="A15434" s="2" t="s">
        <v>30724</v>
      </c>
      <c r="B15434" s="2" t="s">
        <v>30725</v>
      </c>
      <c r="C15434" s="2" t="s">
        <v>556</v>
      </c>
      <c r="D15434" s="2" t="s">
        <v>1127</v>
      </c>
      <c r="E15434" s="2" t="str">
        <f>"9783837658507"</f>
        <v>9783837658507</v>
      </c>
      <c r="F15434" s="2" t="str">
        <f>"9783839458501"</f>
        <v>9783839458501</v>
      </c>
    </row>
    <row r="15435" spans="1:6" s="3" customFormat="1" ht="29.1" customHeight="1" x14ac:dyDescent="0.25">
      <c r="A15435" s="2" t="s">
        <v>30726</v>
      </c>
      <c r="B15435" s="2" t="s">
        <v>30727</v>
      </c>
      <c r="C15435" s="2" t="s">
        <v>556</v>
      </c>
      <c r="D15435" s="2" t="s">
        <v>636</v>
      </c>
      <c r="E15435" s="2" t="str">
        <f>"9783837658446"</f>
        <v>9783837658446</v>
      </c>
      <c r="F15435" s="2" t="str">
        <f>"9783839458440"</f>
        <v>9783839458440</v>
      </c>
    </row>
    <row r="15436" spans="1:6" s="3" customFormat="1" ht="29.1" customHeight="1" x14ac:dyDescent="0.25">
      <c r="A15436" s="2" t="s">
        <v>30728</v>
      </c>
      <c r="B15436" s="2" t="s">
        <v>30729</v>
      </c>
      <c r="C15436" s="2" t="s">
        <v>556</v>
      </c>
      <c r="D15436" s="2" t="s">
        <v>1189</v>
      </c>
      <c r="E15436" s="2" t="str">
        <f>"9783837658385"</f>
        <v>9783837658385</v>
      </c>
      <c r="F15436" s="2" t="str">
        <f>"9783839458389"</f>
        <v>9783839458389</v>
      </c>
    </row>
    <row r="15437" spans="1:6" s="3" customFormat="1" ht="29.1" customHeight="1" x14ac:dyDescent="0.25">
      <c r="A15437" s="2" t="s">
        <v>30730</v>
      </c>
      <c r="B15437" s="2" t="s">
        <v>30731</v>
      </c>
      <c r="C15437" s="2" t="s">
        <v>556</v>
      </c>
      <c r="D15437" s="2" t="s">
        <v>75</v>
      </c>
      <c r="E15437" s="2" t="str">
        <f>"9783837658071"</f>
        <v>9783837658071</v>
      </c>
      <c r="F15437" s="2" t="str">
        <f>"9783839458075"</f>
        <v>9783839458075</v>
      </c>
    </row>
    <row r="15438" spans="1:6" s="3" customFormat="1" ht="29.1" customHeight="1" x14ac:dyDescent="0.25">
      <c r="A15438" s="2" t="s">
        <v>30732</v>
      </c>
      <c r="B15438" s="2" t="s">
        <v>30733</v>
      </c>
      <c r="C15438" s="2" t="s">
        <v>556</v>
      </c>
      <c r="D15438" s="2" t="s">
        <v>2139</v>
      </c>
      <c r="E15438" s="2" t="str">
        <f>"9783837657951"</f>
        <v>9783837657951</v>
      </c>
      <c r="F15438" s="2" t="str">
        <f>"9783839457955"</f>
        <v>9783839457955</v>
      </c>
    </row>
    <row r="15439" spans="1:6" s="3" customFormat="1" ht="29.1" customHeight="1" x14ac:dyDescent="0.25">
      <c r="A15439" s="2" t="s">
        <v>30734</v>
      </c>
      <c r="B15439" s="2" t="s">
        <v>30735</v>
      </c>
      <c r="C15439" s="2" t="s">
        <v>556</v>
      </c>
      <c r="D15439" s="2" t="s">
        <v>78</v>
      </c>
      <c r="E15439" s="2" t="str">
        <f>"9783837657920"</f>
        <v>9783837657920</v>
      </c>
      <c r="F15439" s="2" t="str">
        <f>"9783839457924"</f>
        <v>9783839457924</v>
      </c>
    </row>
    <row r="15440" spans="1:6" s="3" customFormat="1" ht="29.1" customHeight="1" x14ac:dyDescent="0.25">
      <c r="A15440" s="2" t="s">
        <v>30736</v>
      </c>
      <c r="B15440" s="2" t="s">
        <v>30737</v>
      </c>
      <c r="C15440" s="2" t="s">
        <v>556</v>
      </c>
      <c r="D15440" s="2" t="s">
        <v>4789</v>
      </c>
      <c r="E15440" s="2" t="str">
        <f>"9783837657876"</f>
        <v>9783837657876</v>
      </c>
      <c r="F15440" s="2" t="str">
        <f>"9783839457870"</f>
        <v>9783839457870</v>
      </c>
    </row>
    <row r="15441" spans="1:6" s="3" customFormat="1" ht="29.1" customHeight="1" x14ac:dyDescent="0.25">
      <c r="A15441" s="2" t="s">
        <v>30738</v>
      </c>
      <c r="B15441" s="2" t="s">
        <v>30739</v>
      </c>
      <c r="C15441" s="2" t="s">
        <v>556</v>
      </c>
      <c r="D15441" s="2" t="s">
        <v>402</v>
      </c>
      <c r="E15441" s="2" t="str">
        <f>"9783837657807"</f>
        <v>9783837657807</v>
      </c>
      <c r="F15441" s="2" t="str">
        <f>"9783839457801"</f>
        <v>9783839457801</v>
      </c>
    </row>
    <row r="15442" spans="1:6" s="3" customFormat="1" ht="29.1" customHeight="1" x14ac:dyDescent="0.25">
      <c r="A15442" s="2" t="s">
        <v>30740</v>
      </c>
      <c r="B15442" s="2" t="s">
        <v>30741</v>
      </c>
      <c r="C15442" s="2" t="s">
        <v>556</v>
      </c>
      <c r="D15442" s="2" t="s">
        <v>1133</v>
      </c>
      <c r="E15442" s="2" t="str">
        <f>"9783837657715"</f>
        <v>9783837657715</v>
      </c>
      <c r="F15442" s="2" t="str">
        <f>"9783839457719"</f>
        <v>9783839457719</v>
      </c>
    </row>
    <row r="15443" spans="1:6" s="3" customFormat="1" ht="29.1" customHeight="1" x14ac:dyDescent="0.25">
      <c r="A15443" s="2" t="s">
        <v>30742</v>
      </c>
      <c r="B15443" s="2" t="s">
        <v>30743</v>
      </c>
      <c r="C15443" s="2" t="s">
        <v>556</v>
      </c>
      <c r="D15443" s="2" t="s">
        <v>1411</v>
      </c>
      <c r="E15443" s="2" t="str">
        <f>"9783837657418"</f>
        <v>9783837657418</v>
      </c>
      <c r="F15443" s="2" t="str">
        <f>"9783839457412"</f>
        <v>9783839457412</v>
      </c>
    </row>
    <row r="15444" spans="1:6" s="3" customFormat="1" ht="29.1" customHeight="1" x14ac:dyDescent="0.25">
      <c r="A15444" s="2" t="s">
        <v>30744</v>
      </c>
      <c r="B15444" s="2" t="s">
        <v>30745</v>
      </c>
      <c r="C15444" s="2" t="s">
        <v>556</v>
      </c>
      <c r="D15444" s="2" t="s">
        <v>647</v>
      </c>
      <c r="E15444" s="2" t="str">
        <f>"9783837657074"</f>
        <v>9783837657074</v>
      </c>
      <c r="F15444" s="2" t="str">
        <f>"9783839457078"</f>
        <v>9783839457078</v>
      </c>
    </row>
    <row r="15445" spans="1:6" s="3" customFormat="1" ht="29.1" customHeight="1" x14ac:dyDescent="0.25">
      <c r="A15445" s="2" t="s">
        <v>30746</v>
      </c>
      <c r="B15445" s="2" t="s">
        <v>30747</v>
      </c>
      <c r="C15445" s="2" t="s">
        <v>556</v>
      </c>
      <c r="D15445" s="2" t="s">
        <v>1189</v>
      </c>
      <c r="E15445" s="2" t="str">
        <f>"9783837657050"</f>
        <v>9783837657050</v>
      </c>
      <c r="F15445" s="2" t="str">
        <f>"9783839457054"</f>
        <v>9783839457054</v>
      </c>
    </row>
    <row r="15446" spans="1:6" s="3" customFormat="1" ht="29.1" customHeight="1" x14ac:dyDescent="0.25">
      <c r="A15446" s="2" t="s">
        <v>30748</v>
      </c>
      <c r="B15446" s="2" t="s">
        <v>30749</v>
      </c>
      <c r="C15446" s="2" t="s">
        <v>556</v>
      </c>
      <c r="D15446" s="2" t="s">
        <v>1141</v>
      </c>
      <c r="E15446" s="2" t="str">
        <f>"9783837657012"</f>
        <v>9783837657012</v>
      </c>
      <c r="F15446" s="2" t="str">
        <f>"9783839457016"</f>
        <v>9783839457016</v>
      </c>
    </row>
    <row r="15447" spans="1:6" s="3" customFormat="1" ht="29.1" customHeight="1" x14ac:dyDescent="0.25">
      <c r="A15447" s="2" t="s">
        <v>30750</v>
      </c>
      <c r="B15447" s="2" t="s">
        <v>30751</v>
      </c>
      <c r="C15447" s="2" t="s">
        <v>556</v>
      </c>
      <c r="D15447" s="2" t="s">
        <v>674</v>
      </c>
      <c r="E15447" s="2" t="str">
        <f>"9783837656848"</f>
        <v>9783837656848</v>
      </c>
      <c r="F15447" s="2" t="str">
        <f>"9783839456842"</f>
        <v>9783839456842</v>
      </c>
    </row>
    <row r="15448" spans="1:6" s="3" customFormat="1" ht="29.1" customHeight="1" x14ac:dyDescent="0.25">
      <c r="A15448" s="2" t="s">
        <v>30752</v>
      </c>
      <c r="B15448" s="2" t="s">
        <v>30753</v>
      </c>
      <c r="C15448" s="2" t="s">
        <v>556</v>
      </c>
      <c r="D15448" s="2" t="s">
        <v>183</v>
      </c>
      <c r="E15448" s="2" t="str">
        <f>"9783837656664"</f>
        <v>9783837656664</v>
      </c>
      <c r="F15448" s="2" t="str">
        <f>"9783839456668"</f>
        <v>9783839456668</v>
      </c>
    </row>
    <row r="15449" spans="1:6" s="3" customFormat="1" ht="29.1" customHeight="1" x14ac:dyDescent="0.25">
      <c r="A15449" s="2" t="s">
        <v>30754</v>
      </c>
      <c r="B15449" s="2" t="s">
        <v>30755</v>
      </c>
      <c r="C15449" s="2" t="s">
        <v>556</v>
      </c>
      <c r="D15449" s="2" t="s">
        <v>324</v>
      </c>
      <c r="E15449" s="2" t="str">
        <f>"9783837656640"</f>
        <v>9783837656640</v>
      </c>
      <c r="F15449" s="2" t="str">
        <f>"9783732856640"</f>
        <v>9783732856640</v>
      </c>
    </row>
    <row r="15450" spans="1:6" s="3" customFormat="1" ht="29.1" customHeight="1" x14ac:dyDescent="0.25">
      <c r="A15450" s="2" t="s">
        <v>30756</v>
      </c>
      <c r="B15450" s="2" t="s">
        <v>30757</v>
      </c>
      <c r="C15450" s="2" t="s">
        <v>556</v>
      </c>
      <c r="D15450" s="2" t="s">
        <v>509</v>
      </c>
      <c r="E15450" s="2" t="str">
        <f>"9783837656268"</f>
        <v>9783837656268</v>
      </c>
      <c r="F15450" s="2" t="str">
        <f>"9783839456262"</f>
        <v>9783839456262</v>
      </c>
    </row>
    <row r="15451" spans="1:6" s="3" customFormat="1" ht="29.1" customHeight="1" x14ac:dyDescent="0.25">
      <c r="A15451" s="2" t="s">
        <v>30758</v>
      </c>
      <c r="B15451" s="2" t="s">
        <v>30759</v>
      </c>
      <c r="C15451" s="2" t="s">
        <v>556</v>
      </c>
      <c r="D15451" s="2" t="s">
        <v>1189</v>
      </c>
      <c r="E15451" s="2" t="str">
        <f>"9783837656046"</f>
        <v>9783837656046</v>
      </c>
      <c r="F15451" s="2" t="str">
        <f>"9783839456040"</f>
        <v>9783839456040</v>
      </c>
    </row>
    <row r="15452" spans="1:6" s="3" customFormat="1" ht="29.1" customHeight="1" x14ac:dyDescent="0.25">
      <c r="A15452" s="2" t="s">
        <v>30760</v>
      </c>
      <c r="B15452" s="2" t="s">
        <v>30761</v>
      </c>
      <c r="C15452" s="2" t="s">
        <v>556</v>
      </c>
      <c r="D15452" s="2" t="s">
        <v>712</v>
      </c>
      <c r="E15452" s="2" t="str">
        <f>"9783837656015"</f>
        <v>9783837656015</v>
      </c>
      <c r="F15452" s="2" t="str">
        <f>"9783839456019"</f>
        <v>9783839456019</v>
      </c>
    </row>
    <row r="15453" spans="1:6" s="3" customFormat="1" ht="29.1" customHeight="1" x14ac:dyDescent="0.25">
      <c r="A15453" s="2" t="s">
        <v>30762</v>
      </c>
      <c r="B15453" s="2" t="s">
        <v>30761</v>
      </c>
      <c r="C15453" s="2" t="s">
        <v>556</v>
      </c>
      <c r="D15453" s="2" t="s">
        <v>712</v>
      </c>
      <c r="E15453" s="2" t="str">
        <f>"9783837656008"</f>
        <v>9783837656008</v>
      </c>
      <c r="F15453" s="2" t="str">
        <f>"9783839456002"</f>
        <v>9783839456002</v>
      </c>
    </row>
    <row r="15454" spans="1:6" s="3" customFormat="1" ht="29.1" customHeight="1" x14ac:dyDescent="0.25">
      <c r="A15454" s="2" t="s">
        <v>30763</v>
      </c>
      <c r="B15454" s="2" t="s">
        <v>8000</v>
      </c>
      <c r="C15454" s="2" t="s">
        <v>556</v>
      </c>
      <c r="D15454" s="2" t="s">
        <v>712</v>
      </c>
      <c r="E15454" s="2" t="str">
        <f>"9783837655841"</f>
        <v>9783837655841</v>
      </c>
      <c r="F15454" s="2" t="str">
        <f>"9783839455845"</f>
        <v>9783839455845</v>
      </c>
    </row>
    <row r="15455" spans="1:6" s="3" customFormat="1" ht="29.1" customHeight="1" x14ac:dyDescent="0.25">
      <c r="A15455" s="2" t="s">
        <v>30764</v>
      </c>
      <c r="B15455" s="2" t="s">
        <v>30765</v>
      </c>
      <c r="C15455" s="2" t="s">
        <v>556</v>
      </c>
      <c r="D15455" s="2" t="s">
        <v>183</v>
      </c>
      <c r="E15455" s="2" t="str">
        <f>"9783837655575"</f>
        <v>9783837655575</v>
      </c>
      <c r="F15455" s="2" t="str">
        <f>"9783839455579"</f>
        <v>9783839455579</v>
      </c>
    </row>
    <row r="15456" spans="1:6" s="3" customFormat="1" ht="29.1" customHeight="1" x14ac:dyDescent="0.25">
      <c r="A15456" s="2" t="s">
        <v>30766</v>
      </c>
      <c r="B15456" s="2" t="s">
        <v>30767</v>
      </c>
      <c r="C15456" s="2" t="s">
        <v>556</v>
      </c>
      <c r="D15456" s="2" t="s">
        <v>1262</v>
      </c>
      <c r="E15456" s="2" t="str">
        <f>"9783837655537"</f>
        <v>9783837655537</v>
      </c>
      <c r="F15456" s="2" t="str">
        <f>"9783839455531"</f>
        <v>9783839455531</v>
      </c>
    </row>
    <row r="15457" spans="1:6" s="3" customFormat="1" ht="29.1" customHeight="1" x14ac:dyDescent="0.25">
      <c r="A15457" s="2" t="s">
        <v>30768</v>
      </c>
      <c r="B15457" s="2" t="s">
        <v>30769</v>
      </c>
      <c r="C15457" s="2" t="s">
        <v>556</v>
      </c>
      <c r="D15457" s="2" t="s">
        <v>636</v>
      </c>
      <c r="E15457" s="2" t="str">
        <f>"9783837655339"</f>
        <v>9783837655339</v>
      </c>
      <c r="F15457" s="2" t="str">
        <f>"9783839455333"</f>
        <v>9783839455333</v>
      </c>
    </row>
    <row r="15458" spans="1:6" s="3" customFormat="1" ht="29.1" customHeight="1" x14ac:dyDescent="0.25">
      <c r="A15458" s="2" t="s">
        <v>30770</v>
      </c>
      <c r="B15458" s="2" t="s">
        <v>30771</v>
      </c>
      <c r="C15458" s="2" t="s">
        <v>556</v>
      </c>
      <c r="D15458" s="2" t="s">
        <v>218</v>
      </c>
      <c r="E15458" s="2" t="str">
        <f>"9783837655261"</f>
        <v>9783837655261</v>
      </c>
      <c r="F15458" s="2" t="str">
        <f>"9783839455265"</f>
        <v>9783839455265</v>
      </c>
    </row>
    <row r="15459" spans="1:6" s="3" customFormat="1" ht="29.1" customHeight="1" x14ac:dyDescent="0.25">
      <c r="A15459" s="2" t="s">
        <v>30772</v>
      </c>
      <c r="B15459" s="2" t="s">
        <v>30773</v>
      </c>
      <c r="C15459" s="2" t="s">
        <v>556</v>
      </c>
      <c r="D15459" s="2" t="s">
        <v>1411</v>
      </c>
      <c r="E15459" s="2" t="str">
        <f>"9783837654998"</f>
        <v>9783837654998</v>
      </c>
      <c r="F15459" s="2" t="str">
        <f>"9783839454992"</f>
        <v>9783839454992</v>
      </c>
    </row>
    <row r="15460" spans="1:6" s="3" customFormat="1" ht="29.1" customHeight="1" x14ac:dyDescent="0.25">
      <c r="A15460" s="2" t="s">
        <v>30774</v>
      </c>
      <c r="B15460" s="2" t="s">
        <v>30775</v>
      </c>
      <c r="C15460" s="2" t="s">
        <v>556</v>
      </c>
      <c r="D15460" s="2" t="s">
        <v>4030</v>
      </c>
      <c r="E15460" s="2" t="str">
        <f>"9783837654905"</f>
        <v>9783837654905</v>
      </c>
      <c r="F15460" s="2" t="str">
        <f>"9783839454909"</f>
        <v>9783839454909</v>
      </c>
    </row>
    <row r="15461" spans="1:6" s="3" customFormat="1" ht="29.1" customHeight="1" x14ac:dyDescent="0.25">
      <c r="A15461" s="2" t="s">
        <v>30776</v>
      </c>
      <c r="B15461" s="2" t="s">
        <v>30777</v>
      </c>
      <c r="C15461" s="2" t="s">
        <v>556</v>
      </c>
      <c r="D15461" s="2" t="s">
        <v>1155</v>
      </c>
      <c r="E15461" s="2" t="str">
        <f>"9783837653809"</f>
        <v>9783837653809</v>
      </c>
      <c r="F15461" s="2" t="str">
        <f>"9783839453803"</f>
        <v>9783839453803</v>
      </c>
    </row>
    <row r="15462" spans="1:6" s="3" customFormat="1" ht="29.1" customHeight="1" x14ac:dyDescent="0.25">
      <c r="A15462" s="2" t="s">
        <v>30778</v>
      </c>
      <c r="B15462" s="2" t="s">
        <v>30779</v>
      </c>
      <c r="C15462" s="2" t="s">
        <v>556</v>
      </c>
      <c r="D15462" s="2" t="s">
        <v>1422</v>
      </c>
      <c r="E15462" s="2" t="str">
        <f>"9783837653359"</f>
        <v>9783837653359</v>
      </c>
      <c r="F15462" s="2" t="str">
        <f>"9783839453353"</f>
        <v>9783839453353</v>
      </c>
    </row>
    <row r="15463" spans="1:6" s="3" customFormat="1" ht="29.1" customHeight="1" x14ac:dyDescent="0.25">
      <c r="A15463" s="2" t="s">
        <v>30780</v>
      </c>
      <c r="B15463" s="2" t="s">
        <v>30781</v>
      </c>
      <c r="C15463" s="2" t="s">
        <v>556</v>
      </c>
      <c r="D15463" s="2" t="s">
        <v>1411</v>
      </c>
      <c r="E15463" s="2" t="str">
        <f>"9783837653243"</f>
        <v>9783837653243</v>
      </c>
      <c r="F15463" s="2" t="str">
        <f>"9783839453247"</f>
        <v>9783839453247</v>
      </c>
    </row>
    <row r="15464" spans="1:6" s="3" customFormat="1" ht="29.1" customHeight="1" x14ac:dyDescent="0.25">
      <c r="A15464" s="2" t="s">
        <v>30782</v>
      </c>
      <c r="B15464" s="2" t="s">
        <v>30783</v>
      </c>
      <c r="C15464" s="2" t="s">
        <v>556</v>
      </c>
      <c r="D15464" s="2" t="s">
        <v>1411</v>
      </c>
      <c r="E15464" s="2" t="str">
        <f>"9783837653236"</f>
        <v>9783837653236</v>
      </c>
      <c r="F15464" s="2" t="str">
        <f>"9783839453230"</f>
        <v>9783839453230</v>
      </c>
    </row>
    <row r="15465" spans="1:6" s="3" customFormat="1" ht="29.1" customHeight="1" x14ac:dyDescent="0.25">
      <c r="A15465" s="2" t="s">
        <v>30784</v>
      </c>
      <c r="B15465" s="2" t="s">
        <v>30785</v>
      </c>
      <c r="C15465" s="2" t="s">
        <v>556</v>
      </c>
      <c r="D15465" s="2" t="s">
        <v>4030</v>
      </c>
      <c r="E15465" s="2" t="str">
        <f>"9783837652239"</f>
        <v>9783837652239</v>
      </c>
      <c r="F15465" s="2" t="str">
        <f>"9783839452233"</f>
        <v>9783839452233</v>
      </c>
    </row>
    <row r="15466" spans="1:6" s="3" customFormat="1" ht="29.1" customHeight="1" x14ac:dyDescent="0.25">
      <c r="A15466" s="2" t="s">
        <v>30786</v>
      </c>
      <c r="B15466" s="2" t="s">
        <v>30787</v>
      </c>
      <c r="C15466" s="2" t="s">
        <v>556</v>
      </c>
      <c r="D15466" s="2" t="s">
        <v>1411</v>
      </c>
      <c r="E15466" s="2" t="str">
        <f>"9783837652208"</f>
        <v>9783837652208</v>
      </c>
      <c r="F15466" s="2" t="str">
        <f>"9783839452202"</f>
        <v>9783839452202</v>
      </c>
    </row>
    <row r="15467" spans="1:6" s="3" customFormat="1" ht="29.1" customHeight="1" x14ac:dyDescent="0.25">
      <c r="A15467" s="2" t="s">
        <v>30788</v>
      </c>
      <c r="B15467" s="2" t="s">
        <v>30789</v>
      </c>
      <c r="C15467" s="2" t="s">
        <v>556</v>
      </c>
      <c r="D15467" s="2" t="s">
        <v>75</v>
      </c>
      <c r="E15467" s="2" t="str">
        <f>"9783837650600"</f>
        <v>9783837650600</v>
      </c>
      <c r="F15467" s="2" t="str">
        <f>"9783839450604"</f>
        <v>9783839450604</v>
      </c>
    </row>
    <row r="15468" spans="1:6" s="3" customFormat="1" ht="29.1" customHeight="1" x14ac:dyDescent="0.25">
      <c r="A15468" s="2" t="s">
        <v>30790</v>
      </c>
      <c r="B15468" s="2" t="s">
        <v>30791</v>
      </c>
      <c r="C15468" s="2" t="s">
        <v>556</v>
      </c>
      <c r="D15468" s="2" t="s">
        <v>3062</v>
      </c>
      <c r="E15468" s="2" t="str">
        <f>"9783837650051"</f>
        <v>9783837650051</v>
      </c>
      <c r="F15468" s="2" t="str">
        <f>"9783839450055"</f>
        <v>9783839450055</v>
      </c>
    </row>
    <row r="15469" spans="1:6" s="3" customFormat="1" ht="29.1" customHeight="1" x14ac:dyDescent="0.25">
      <c r="A15469" s="2" t="s">
        <v>30792</v>
      </c>
      <c r="B15469" s="2" t="s">
        <v>30793</v>
      </c>
      <c r="C15469" s="2" t="s">
        <v>556</v>
      </c>
      <c r="D15469" s="2" t="s">
        <v>1411</v>
      </c>
      <c r="E15469" s="2" t="str">
        <f>"9783837631197"</f>
        <v>9783837631197</v>
      </c>
      <c r="F15469" s="2" t="str">
        <f>"9783839431191"</f>
        <v>9783839431191</v>
      </c>
    </row>
    <row r="15470" spans="1:6" s="3" customFormat="1" ht="29.1" customHeight="1" x14ac:dyDescent="0.25">
      <c r="A15470" s="2" t="s">
        <v>30794</v>
      </c>
      <c r="B15470" s="2" t="s">
        <v>30795</v>
      </c>
      <c r="C15470" s="2" t="s">
        <v>62</v>
      </c>
      <c r="D15470" s="2" t="s">
        <v>3963</v>
      </c>
      <c r="E15470" s="2" t="str">
        <f>"9783428186198"</f>
        <v>9783428186198</v>
      </c>
      <c r="F15470" s="2" t="str">
        <f>"9783428586196"</f>
        <v>9783428586196</v>
      </c>
    </row>
    <row r="15471" spans="1:6" s="3" customFormat="1" ht="29.1" customHeight="1" x14ac:dyDescent="0.25">
      <c r="A15471" s="2" t="s">
        <v>30796</v>
      </c>
      <c r="B15471" s="2" t="s">
        <v>30797</v>
      </c>
      <c r="C15471" s="2" t="s">
        <v>195</v>
      </c>
      <c r="D15471" s="2" t="s">
        <v>218</v>
      </c>
      <c r="E15471" s="2" t="str">
        <f>"9783110713022"</f>
        <v>9783110713022</v>
      </c>
      <c r="F15471" s="2" t="str">
        <f>"9783110713091"</f>
        <v>9783110713091</v>
      </c>
    </row>
    <row r="15472" spans="1:6" s="3" customFormat="1" ht="29.1" customHeight="1" x14ac:dyDescent="0.25">
      <c r="A15472" s="2" t="s">
        <v>30798</v>
      </c>
      <c r="B15472" s="2" t="s">
        <v>30799</v>
      </c>
      <c r="C15472" s="2" t="s">
        <v>195</v>
      </c>
      <c r="D15472" s="2" t="s">
        <v>3149</v>
      </c>
      <c r="E15472" s="2" t="str">
        <f>"9783110753547"</f>
        <v>9783110753547</v>
      </c>
      <c r="F15472" s="2" t="str">
        <f>"9783110753554"</f>
        <v>9783110753554</v>
      </c>
    </row>
    <row r="15473" spans="1:6" s="3" customFormat="1" ht="29.1" customHeight="1" x14ac:dyDescent="0.25">
      <c r="A15473" s="2" t="s">
        <v>30800</v>
      </c>
      <c r="B15473" s="2" t="s">
        <v>30801</v>
      </c>
      <c r="C15473" s="2" t="s">
        <v>195</v>
      </c>
      <c r="D15473" s="2" t="s">
        <v>446</v>
      </c>
      <c r="E15473" s="2" t="str">
        <f>"9783110738704"</f>
        <v>9783110738704</v>
      </c>
      <c r="F15473" s="2" t="str">
        <f>"9783110735581"</f>
        <v>9783110735581</v>
      </c>
    </row>
    <row r="15474" spans="1:6" s="3" customFormat="1" ht="29.1" customHeight="1" x14ac:dyDescent="0.25">
      <c r="A15474" s="2" t="s">
        <v>30802</v>
      </c>
      <c r="B15474" s="2" t="s">
        <v>30803</v>
      </c>
      <c r="C15474" s="2" t="s">
        <v>124</v>
      </c>
      <c r="D15474" s="2" t="s">
        <v>4019</v>
      </c>
      <c r="E15474" s="2" t="str">
        <f>"9781032329802"</f>
        <v>9781032329802</v>
      </c>
      <c r="F15474" s="2" t="str">
        <f>"9781000685312"</f>
        <v>9781000685312</v>
      </c>
    </row>
    <row r="15475" spans="1:6" s="3" customFormat="1" ht="29.1" customHeight="1" x14ac:dyDescent="0.25">
      <c r="A15475" s="2" t="s">
        <v>30804</v>
      </c>
      <c r="B15475" s="2" t="s">
        <v>30805</v>
      </c>
      <c r="C15475" s="2" t="s">
        <v>746</v>
      </c>
      <c r="D15475" s="2" t="s">
        <v>606</v>
      </c>
      <c r="E15475" s="2"/>
      <c r="F15475" s="2" t="str">
        <f>"9781803273211"</f>
        <v>9781803273211</v>
      </c>
    </row>
    <row r="15476" spans="1:6" s="3" customFormat="1" ht="29.1" customHeight="1" x14ac:dyDescent="0.25">
      <c r="A15476" s="2" t="s">
        <v>30806</v>
      </c>
      <c r="B15476" s="2" t="s">
        <v>30807</v>
      </c>
      <c r="C15476" s="2" t="s">
        <v>746</v>
      </c>
      <c r="D15476" s="2" t="s">
        <v>606</v>
      </c>
      <c r="E15476" s="2" t="str">
        <f>"9781803272689"</f>
        <v>9781803272689</v>
      </c>
      <c r="F15476" s="2" t="str">
        <f>"9781803272696"</f>
        <v>9781803272696</v>
      </c>
    </row>
    <row r="15477" spans="1:6" s="3" customFormat="1" ht="29.1" customHeight="1" x14ac:dyDescent="0.25">
      <c r="A15477" s="2" t="s">
        <v>30808</v>
      </c>
      <c r="B15477" s="2" t="s">
        <v>30809</v>
      </c>
      <c r="C15477" s="2" t="s">
        <v>746</v>
      </c>
      <c r="D15477" s="2" t="s">
        <v>7702</v>
      </c>
      <c r="E15477" s="2" t="str">
        <f>"9781803272894"</f>
        <v>9781803272894</v>
      </c>
      <c r="F15477" s="2" t="str">
        <f>"9781803272900"</f>
        <v>9781803272900</v>
      </c>
    </row>
    <row r="15478" spans="1:6" s="3" customFormat="1" ht="29.1" customHeight="1" x14ac:dyDescent="0.25">
      <c r="A15478" s="2" t="s">
        <v>30810</v>
      </c>
      <c r="B15478" s="2" t="s">
        <v>30811</v>
      </c>
      <c r="C15478" s="2" t="s">
        <v>124</v>
      </c>
      <c r="D15478" s="2" t="s">
        <v>4654</v>
      </c>
      <c r="E15478" s="2" t="str">
        <f>"9781032116860"</f>
        <v>9781032116860</v>
      </c>
      <c r="F15478" s="2" t="str">
        <f>"9781000774917"</f>
        <v>9781000774917</v>
      </c>
    </row>
    <row r="15479" spans="1:6" s="3" customFormat="1" ht="29.1" customHeight="1" x14ac:dyDescent="0.25">
      <c r="A15479" s="2" t="s">
        <v>30812</v>
      </c>
      <c r="B15479" s="2" t="s">
        <v>30813</v>
      </c>
      <c r="C15479" s="2" t="s">
        <v>595</v>
      </c>
      <c r="D15479" s="2" t="s">
        <v>1999</v>
      </c>
      <c r="E15479" s="2" t="str">
        <f>"9783631778401"</f>
        <v>9783631778401</v>
      </c>
      <c r="F15479" s="2" t="str">
        <f>"9783631841655"</f>
        <v>9783631841655</v>
      </c>
    </row>
    <row r="15480" spans="1:6" s="3" customFormat="1" ht="29.1" customHeight="1" x14ac:dyDescent="0.25">
      <c r="A15480" s="2" t="s">
        <v>30814</v>
      </c>
      <c r="B15480" s="2" t="s">
        <v>30815</v>
      </c>
      <c r="C15480" s="2" t="s">
        <v>927</v>
      </c>
      <c r="D15480" s="2" t="s">
        <v>8788</v>
      </c>
      <c r="E15480" s="2" t="str">
        <f>"9780472039197"</f>
        <v>9780472039197</v>
      </c>
      <c r="F15480" s="2" t="str">
        <f>"9780472903115"</f>
        <v>9780472903115</v>
      </c>
    </row>
    <row r="15481" spans="1:6" s="3" customFormat="1" ht="29.1" customHeight="1" x14ac:dyDescent="0.25">
      <c r="A15481" s="2" t="s">
        <v>30816</v>
      </c>
      <c r="B15481" s="2" t="s">
        <v>30817</v>
      </c>
      <c r="C15481" s="2" t="s">
        <v>8104</v>
      </c>
      <c r="D15481" s="2" t="s">
        <v>636</v>
      </c>
      <c r="E15481" s="2" t="str">
        <f>"9781800736177"</f>
        <v>9781800736177</v>
      </c>
      <c r="F15481" s="2" t="str">
        <f>"9781800736184"</f>
        <v>9781800736184</v>
      </c>
    </row>
    <row r="15482" spans="1:6" s="3" customFormat="1" ht="29.1" customHeight="1" x14ac:dyDescent="0.25">
      <c r="A15482" s="2" t="s">
        <v>30818</v>
      </c>
      <c r="B15482" s="2" t="s">
        <v>30820</v>
      </c>
      <c r="C15482" s="2" t="s">
        <v>8104</v>
      </c>
      <c r="D15482" s="2" t="s">
        <v>30819</v>
      </c>
      <c r="E15482" s="2" t="str">
        <f>"9781800738799"</f>
        <v>9781800738799</v>
      </c>
      <c r="F15482" s="2" t="str">
        <f>"9781800738805"</f>
        <v>9781800738805</v>
      </c>
    </row>
    <row r="15483" spans="1:6" s="3" customFormat="1" ht="29.1" customHeight="1" x14ac:dyDescent="0.25">
      <c r="A15483" s="2" t="s">
        <v>30821</v>
      </c>
      <c r="B15483" s="2" t="s">
        <v>30822</v>
      </c>
      <c r="C15483" s="2" t="s">
        <v>8104</v>
      </c>
      <c r="D15483" s="2" t="s">
        <v>2142</v>
      </c>
      <c r="E15483" s="2" t="str">
        <f>"9781800738423"</f>
        <v>9781800738423</v>
      </c>
      <c r="F15483" s="2" t="str">
        <f>"9781800738430"</f>
        <v>9781800738430</v>
      </c>
    </row>
    <row r="15484" spans="1:6" s="3" customFormat="1" ht="29.1" customHeight="1" x14ac:dyDescent="0.25">
      <c r="A15484" s="2" t="s">
        <v>30823</v>
      </c>
      <c r="B15484" s="2" t="s">
        <v>30824</v>
      </c>
      <c r="C15484" s="2" t="s">
        <v>8104</v>
      </c>
      <c r="D15484" s="2" t="s">
        <v>8642</v>
      </c>
      <c r="E15484" s="2" t="str">
        <f>"9781800738010"</f>
        <v>9781800738010</v>
      </c>
      <c r="F15484" s="2" t="str">
        <f>"9781800737891"</f>
        <v>9781800737891</v>
      </c>
    </row>
    <row r="15485" spans="1:6" s="3" customFormat="1" ht="29.1" customHeight="1" x14ac:dyDescent="0.25">
      <c r="A15485" s="2" t="s">
        <v>30825</v>
      </c>
      <c r="B15485" s="2" t="s">
        <v>30826</v>
      </c>
      <c r="C15485" s="2" t="s">
        <v>8104</v>
      </c>
      <c r="D15485" s="2" t="s">
        <v>2016</v>
      </c>
      <c r="E15485" s="2" t="str">
        <f>"9781800738409"</f>
        <v>9781800738409</v>
      </c>
      <c r="F15485" s="2" t="str">
        <f>"9781800738416"</f>
        <v>9781800738416</v>
      </c>
    </row>
    <row r="15486" spans="1:6" s="3" customFormat="1" ht="29.1" customHeight="1" x14ac:dyDescent="0.25">
      <c r="A15486" s="2" t="s">
        <v>30827</v>
      </c>
      <c r="B15486" s="2" t="s">
        <v>30828</v>
      </c>
      <c r="C15486" s="2" t="s">
        <v>124</v>
      </c>
      <c r="D15486" s="2" t="s">
        <v>4214</v>
      </c>
      <c r="E15486" s="2" t="str">
        <f>"9780367863234"</f>
        <v>9780367863234</v>
      </c>
      <c r="F15486" s="2" t="str">
        <f>"9781000634600"</f>
        <v>9781000634600</v>
      </c>
    </row>
    <row r="15487" spans="1:6" s="3" customFormat="1" ht="29.1" customHeight="1" x14ac:dyDescent="0.25">
      <c r="A15487" s="2" t="s">
        <v>30829</v>
      </c>
      <c r="B15487" s="2" t="s">
        <v>4505</v>
      </c>
      <c r="C15487" s="2" t="s">
        <v>124</v>
      </c>
      <c r="D15487" s="2" t="s">
        <v>15</v>
      </c>
      <c r="E15487" s="2" t="str">
        <f>"9781032204383"</f>
        <v>9781032204383</v>
      </c>
      <c r="F15487" s="2" t="str">
        <f>"9781000623994"</f>
        <v>9781000623994</v>
      </c>
    </row>
    <row r="15488" spans="1:6" s="3" customFormat="1" ht="29.1" customHeight="1" x14ac:dyDescent="0.25">
      <c r="A15488" s="2" t="s">
        <v>1487</v>
      </c>
      <c r="B15488" s="2" t="s">
        <v>30830</v>
      </c>
      <c r="C15488" s="2" t="s">
        <v>1070</v>
      </c>
      <c r="D15488" s="2" t="s">
        <v>1272</v>
      </c>
      <c r="E15488" s="2" t="str">
        <f>"9783318070842"</f>
        <v>9783318070842</v>
      </c>
      <c r="F15488" s="2" t="str">
        <f>"9783318071627"</f>
        <v>9783318071627</v>
      </c>
    </row>
    <row r="15489" spans="1:6" s="3" customFormat="1" ht="29.1" customHeight="1" x14ac:dyDescent="0.25">
      <c r="A15489" s="2" t="s">
        <v>30831</v>
      </c>
      <c r="B15489" s="2" t="s">
        <v>30833</v>
      </c>
      <c r="C15489" s="2" t="s">
        <v>327</v>
      </c>
      <c r="D15489" s="2" t="s">
        <v>30832</v>
      </c>
      <c r="E15489" s="2" t="str">
        <f>"9788382208993"</f>
        <v>9788382208993</v>
      </c>
      <c r="F15489" s="2" t="str">
        <f>"9788382209006"</f>
        <v>9788382209006</v>
      </c>
    </row>
    <row r="15490" spans="1:6" s="3" customFormat="1" ht="29.1" customHeight="1" x14ac:dyDescent="0.25">
      <c r="A15490" s="2" t="s">
        <v>30834</v>
      </c>
      <c r="B15490" s="2" t="s">
        <v>30835</v>
      </c>
      <c r="C15490" s="2" t="s">
        <v>327</v>
      </c>
      <c r="D15490" s="2" t="s">
        <v>3105</v>
      </c>
      <c r="E15490" s="2" t="str">
        <f>"9788382208900"</f>
        <v>9788382208900</v>
      </c>
      <c r="F15490" s="2" t="str">
        <f>"9788382208917"</f>
        <v>9788382208917</v>
      </c>
    </row>
    <row r="15491" spans="1:6" s="3" customFormat="1" ht="29.1" customHeight="1" x14ac:dyDescent="0.25">
      <c r="A15491" s="2" t="s">
        <v>30836</v>
      </c>
      <c r="B15491" s="2" t="s">
        <v>30837</v>
      </c>
      <c r="C15491" s="2" t="s">
        <v>327</v>
      </c>
      <c r="D15491" s="2" t="s">
        <v>998</v>
      </c>
      <c r="E15491" s="2" t="str">
        <f>"9788382208849"</f>
        <v>9788382208849</v>
      </c>
      <c r="F15491" s="2" t="str">
        <f>"9788382208856"</f>
        <v>9788382208856</v>
      </c>
    </row>
    <row r="15492" spans="1:6" s="3" customFormat="1" ht="29.1" customHeight="1" x14ac:dyDescent="0.25">
      <c r="A15492" s="2" t="s">
        <v>13514</v>
      </c>
      <c r="B15492" s="2" t="s">
        <v>13515</v>
      </c>
      <c r="C15492" s="2" t="s">
        <v>264</v>
      </c>
      <c r="D15492" s="2" t="s">
        <v>2086</v>
      </c>
      <c r="E15492" s="2" t="str">
        <f>"9780367762421"</f>
        <v>9780367762421</v>
      </c>
      <c r="F15492" s="2" t="str">
        <f>"9780429155659"</f>
        <v>9780429155659</v>
      </c>
    </row>
    <row r="15493" spans="1:6" s="3" customFormat="1" ht="29.1" customHeight="1" x14ac:dyDescent="0.25">
      <c r="A15493" s="2" t="s">
        <v>30838</v>
      </c>
      <c r="B15493" s="2" t="s">
        <v>30839</v>
      </c>
      <c r="C15493" s="2" t="s">
        <v>124</v>
      </c>
      <c r="D15493" s="2" t="s">
        <v>868</v>
      </c>
      <c r="E15493" s="2" t="str">
        <f>"9781032207339"</f>
        <v>9781032207339</v>
      </c>
      <c r="F15493" s="2" t="str">
        <f>"9781000608441"</f>
        <v>9781000608441</v>
      </c>
    </row>
    <row r="15494" spans="1:6" s="3" customFormat="1" ht="29.1" customHeight="1" x14ac:dyDescent="0.25">
      <c r="A15494" s="2" t="s">
        <v>30840</v>
      </c>
      <c r="B15494" s="2" t="s">
        <v>30841</v>
      </c>
      <c r="C15494" s="2" t="s">
        <v>316</v>
      </c>
      <c r="D15494" s="2" t="s">
        <v>342</v>
      </c>
      <c r="E15494" s="2" t="str">
        <f>"9783035717594"</f>
        <v>9783035717594</v>
      </c>
      <c r="F15494" s="2" t="str">
        <f>"9783035737509"</f>
        <v>9783035737509</v>
      </c>
    </row>
    <row r="15495" spans="1:6" s="3" customFormat="1" ht="29.1" customHeight="1" x14ac:dyDescent="0.25">
      <c r="A15495" s="2" t="s">
        <v>30842</v>
      </c>
      <c r="B15495" s="2" t="s">
        <v>30843</v>
      </c>
      <c r="C15495" s="2" t="s">
        <v>248</v>
      </c>
      <c r="D15495" s="2" t="s">
        <v>10725</v>
      </c>
      <c r="E15495" s="2" t="str">
        <f>"9783966650267"</f>
        <v>9783966650267</v>
      </c>
      <c r="F15495" s="2" t="str">
        <f>"9783966659963"</f>
        <v>9783966659963</v>
      </c>
    </row>
    <row r="15496" spans="1:6" s="3" customFormat="1" ht="29.1" customHeight="1" x14ac:dyDescent="0.25">
      <c r="A15496" s="2" t="s">
        <v>30844</v>
      </c>
      <c r="B15496" s="2" t="s">
        <v>30845</v>
      </c>
      <c r="C15496" s="2" t="s">
        <v>248</v>
      </c>
      <c r="D15496" s="2" t="s">
        <v>490</v>
      </c>
      <c r="E15496" s="2" t="str">
        <f>"9783847425540"</f>
        <v>9783847425540</v>
      </c>
      <c r="F15496" s="2" t="str">
        <f>"9783847417019"</f>
        <v>9783847417019</v>
      </c>
    </row>
    <row r="15497" spans="1:6" s="3" customFormat="1" ht="29.1" customHeight="1" x14ac:dyDescent="0.25">
      <c r="A15497" s="2" t="s">
        <v>30846</v>
      </c>
      <c r="B15497" s="2" t="s">
        <v>30847</v>
      </c>
      <c r="C15497" s="2" t="s">
        <v>248</v>
      </c>
      <c r="D15497" s="2" t="s">
        <v>249</v>
      </c>
      <c r="E15497" s="2" t="str">
        <f>"9783847426226"</f>
        <v>9783847426226</v>
      </c>
      <c r="F15497" s="2" t="str">
        <f>"9783847418153"</f>
        <v>9783847418153</v>
      </c>
    </row>
    <row r="15498" spans="1:6" s="3" customFormat="1" ht="29.1" customHeight="1" x14ac:dyDescent="0.25">
      <c r="A15498" s="2" t="s">
        <v>30848</v>
      </c>
      <c r="B15498" s="2" t="s">
        <v>30849</v>
      </c>
      <c r="C15498" s="2" t="s">
        <v>5050</v>
      </c>
      <c r="D15498" s="2" t="s">
        <v>13300</v>
      </c>
      <c r="E15498" s="2" t="str">
        <f>"9780824888985"</f>
        <v>9780824888985</v>
      </c>
      <c r="F15498" s="2" t="str">
        <f>"9780824892135"</f>
        <v>9780824892135</v>
      </c>
    </row>
    <row r="15499" spans="1:6" s="3" customFormat="1" ht="29.1" customHeight="1" x14ac:dyDescent="0.25">
      <c r="A15499" s="2" t="s">
        <v>30850</v>
      </c>
      <c r="B15499" s="2" t="s">
        <v>30240</v>
      </c>
      <c r="C15499" s="2" t="s">
        <v>62</v>
      </c>
      <c r="D15499" s="2" t="s">
        <v>1463</v>
      </c>
      <c r="E15499" s="2" t="str">
        <f>"9783428029495"</f>
        <v>9783428029495</v>
      </c>
      <c r="F15499" s="2" t="str">
        <f>"9783428429493"</f>
        <v>9783428429493</v>
      </c>
    </row>
    <row r="15500" spans="1:6" s="3" customFormat="1" ht="29.1" customHeight="1" x14ac:dyDescent="0.25">
      <c r="A15500" s="2" t="s">
        <v>30851</v>
      </c>
      <c r="B15500" s="2" t="s">
        <v>30238</v>
      </c>
      <c r="C15500" s="2" t="s">
        <v>62</v>
      </c>
      <c r="D15500" s="2" t="s">
        <v>1651</v>
      </c>
      <c r="E15500" s="2" t="str">
        <f>"9783428172856"</f>
        <v>9783428172856</v>
      </c>
      <c r="F15500" s="2" t="str">
        <f>"9783428572854"</f>
        <v>9783428572854</v>
      </c>
    </row>
    <row r="15501" spans="1:6" s="3" customFormat="1" ht="29.1" customHeight="1" x14ac:dyDescent="0.25">
      <c r="A15501" s="2" t="s">
        <v>30852</v>
      </c>
      <c r="B15501" s="2" t="s">
        <v>30853</v>
      </c>
      <c r="C15501" s="2" t="s">
        <v>62</v>
      </c>
      <c r="D15501" s="2" t="s">
        <v>1228</v>
      </c>
      <c r="E15501" s="2" t="str">
        <f>"9783428168460"</f>
        <v>9783428168460</v>
      </c>
      <c r="F15501" s="2" t="str">
        <f>"9783428568468"</f>
        <v>9783428568468</v>
      </c>
    </row>
    <row r="15502" spans="1:6" s="3" customFormat="1" ht="29.1" customHeight="1" x14ac:dyDescent="0.25">
      <c r="A15502" s="2" t="s">
        <v>30852</v>
      </c>
      <c r="B15502" s="2" t="s">
        <v>30853</v>
      </c>
      <c r="C15502" s="2" t="s">
        <v>62</v>
      </c>
      <c r="D15502" s="2" t="s">
        <v>1228</v>
      </c>
      <c r="E15502" s="2" t="str">
        <f>"9783428168453"</f>
        <v>9783428168453</v>
      </c>
      <c r="F15502" s="2" t="str">
        <f>"9783428568451"</f>
        <v>9783428568451</v>
      </c>
    </row>
    <row r="15503" spans="1:6" s="3" customFormat="1" ht="29.1" customHeight="1" x14ac:dyDescent="0.25">
      <c r="A15503" s="2" t="s">
        <v>30854</v>
      </c>
      <c r="B15503" s="2" t="s">
        <v>30855</v>
      </c>
      <c r="C15503" s="2" t="s">
        <v>195</v>
      </c>
      <c r="D15503" s="2" t="s">
        <v>431</v>
      </c>
      <c r="E15503" s="2" t="str">
        <f>"9783110729702"</f>
        <v>9783110729702</v>
      </c>
      <c r="F15503" s="2" t="str">
        <f>"9783110729221"</f>
        <v>9783110729221</v>
      </c>
    </row>
    <row r="15504" spans="1:6" s="3" customFormat="1" ht="29.1" customHeight="1" x14ac:dyDescent="0.25">
      <c r="A15504" s="2" t="s">
        <v>30856</v>
      </c>
      <c r="B15504" s="2" t="s">
        <v>30857</v>
      </c>
      <c r="C15504" s="2" t="s">
        <v>195</v>
      </c>
      <c r="D15504" s="2" t="s">
        <v>512</v>
      </c>
      <c r="E15504" s="2" t="str">
        <f>"9783110642841"</f>
        <v>9783110642841</v>
      </c>
      <c r="F15504" s="2" t="str">
        <f>"9783110642926"</f>
        <v>9783110642926</v>
      </c>
    </row>
    <row r="15505" spans="1:6" s="3" customFormat="1" ht="29.1" customHeight="1" x14ac:dyDescent="0.25">
      <c r="A15505" s="2" t="s">
        <v>30858</v>
      </c>
      <c r="B15505" s="2" t="s">
        <v>30859</v>
      </c>
      <c r="C15505" s="2" t="s">
        <v>195</v>
      </c>
      <c r="D15505" s="2" t="s">
        <v>1654</v>
      </c>
      <c r="E15505" s="2" t="str">
        <f>"9783110791242"</f>
        <v>9783110791242</v>
      </c>
      <c r="F15505" s="2" t="str">
        <f>"9783110794113"</f>
        <v>9783110794113</v>
      </c>
    </row>
    <row r="15506" spans="1:6" s="3" customFormat="1" ht="29.1" customHeight="1" x14ac:dyDescent="0.25">
      <c r="A15506" s="2" t="s">
        <v>30860</v>
      </c>
      <c r="B15506" s="2" t="s">
        <v>30861</v>
      </c>
      <c r="C15506" s="2" t="s">
        <v>195</v>
      </c>
      <c r="D15506" s="2" t="s">
        <v>196</v>
      </c>
      <c r="E15506" s="2" t="str">
        <f>"9783110772241"</f>
        <v>9783110772241</v>
      </c>
      <c r="F15506" s="2" t="str">
        <f>"9783110772395"</f>
        <v>9783110772395</v>
      </c>
    </row>
    <row r="15507" spans="1:6" s="3" customFormat="1" ht="29.1" customHeight="1" x14ac:dyDescent="0.25">
      <c r="A15507" s="2" t="s">
        <v>30862</v>
      </c>
      <c r="B15507" s="2" t="s">
        <v>30863</v>
      </c>
      <c r="C15507" s="2" t="s">
        <v>195</v>
      </c>
      <c r="D15507" s="2" t="s">
        <v>436</v>
      </c>
      <c r="E15507" s="2" t="str">
        <f>"9783110778793"</f>
        <v>9783110778793</v>
      </c>
      <c r="F15507" s="2" t="str">
        <f>"9783110778953"</f>
        <v>9783110778953</v>
      </c>
    </row>
    <row r="15508" spans="1:6" s="3" customFormat="1" ht="29.1" customHeight="1" x14ac:dyDescent="0.25">
      <c r="A15508" s="2" t="s">
        <v>30864</v>
      </c>
      <c r="B15508" s="2" t="s">
        <v>30865</v>
      </c>
      <c r="C15508" s="2" t="s">
        <v>195</v>
      </c>
      <c r="D15508" s="2" t="s">
        <v>3270</v>
      </c>
      <c r="E15508" s="2" t="str">
        <f>"9783110789218"</f>
        <v>9783110789218</v>
      </c>
      <c r="F15508" s="2" t="str">
        <f>"9783110790160"</f>
        <v>9783110790160</v>
      </c>
    </row>
    <row r="15509" spans="1:6" s="3" customFormat="1" ht="29.1" customHeight="1" x14ac:dyDescent="0.25">
      <c r="A15509" s="2" t="s">
        <v>30866</v>
      </c>
      <c r="B15509" s="2"/>
      <c r="C15509" s="2" t="s">
        <v>195</v>
      </c>
      <c r="D15509" s="2" t="s">
        <v>2562</v>
      </c>
      <c r="E15509" s="2" t="str">
        <f>"9783110786903"</f>
        <v>9783110786903</v>
      </c>
      <c r="F15509" s="2" t="str">
        <f>"9783110786965"</f>
        <v>9783110786965</v>
      </c>
    </row>
    <row r="15510" spans="1:6" s="3" customFormat="1" ht="29.1" customHeight="1" x14ac:dyDescent="0.25">
      <c r="A15510" s="2" t="s">
        <v>30867</v>
      </c>
      <c r="B15510" s="2" t="s">
        <v>30868</v>
      </c>
      <c r="C15510" s="2" t="s">
        <v>195</v>
      </c>
      <c r="D15510" s="2" t="s">
        <v>916</v>
      </c>
      <c r="E15510" s="2" t="str">
        <f>"9783110782028"</f>
        <v>9783110782028</v>
      </c>
      <c r="F15510" s="2" t="str">
        <f>"9783110782189"</f>
        <v>9783110782189</v>
      </c>
    </row>
    <row r="15511" spans="1:6" s="3" customFormat="1" ht="29.1" customHeight="1" x14ac:dyDescent="0.25">
      <c r="A15511" s="2" t="s">
        <v>30869</v>
      </c>
      <c r="B15511" s="2" t="s">
        <v>30870</v>
      </c>
      <c r="C15511" s="2" t="s">
        <v>195</v>
      </c>
      <c r="D15511" s="2" t="s">
        <v>431</v>
      </c>
      <c r="E15511" s="2" t="str">
        <f>"9783110737158"</f>
        <v>9783110737158</v>
      </c>
      <c r="F15511" s="2" t="str">
        <f>"9783110732009"</f>
        <v>9783110732009</v>
      </c>
    </row>
    <row r="15512" spans="1:6" s="3" customFormat="1" ht="29.1" customHeight="1" x14ac:dyDescent="0.25">
      <c r="A15512" s="2" t="s">
        <v>30871</v>
      </c>
      <c r="B15512" s="2" t="s">
        <v>30872</v>
      </c>
      <c r="C15512" s="2" t="s">
        <v>124</v>
      </c>
      <c r="D15512" s="2" t="s">
        <v>210</v>
      </c>
      <c r="E15512" s="2" t="str">
        <f>"9780367721152"</f>
        <v>9780367721152</v>
      </c>
      <c r="F15512" s="2" t="str">
        <f>"9781000683714"</f>
        <v>9781000683714</v>
      </c>
    </row>
    <row r="15513" spans="1:6" s="3" customFormat="1" ht="29.1" customHeight="1" x14ac:dyDescent="0.25">
      <c r="A15513" s="2" t="s">
        <v>30873</v>
      </c>
      <c r="B15513" s="2" t="s">
        <v>30874</v>
      </c>
      <c r="C15513" s="2" t="s">
        <v>746</v>
      </c>
      <c r="D15513" s="2" t="s">
        <v>606</v>
      </c>
      <c r="E15513" s="2" t="str">
        <f>"9781803271521"</f>
        <v>9781803271521</v>
      </c>
      <c r="F15513" s="2" t="str">
        <f>"9781803271538"</f>
        <v>9781803271538</v>
      </c>
    </row>
    <row r="15514" spans="1:6" s="3" customFormat="1" ht="29.1" customHeight="1" x14ac:dyDescent="0.25">
      <c r="A15514" s="2" t="s">
        <v>30875</v>
      </c>
      <c r="B15514" s="2" t="s">
        <v>30876</v>
      </c>
      <c r="C15514" s="2" t="s">
        <v>124</v>
      </c>
      <c r="D15514" s="2" t="s">
        <v>3963</v>
      </c>
      <c r="E15514" s="2" t="str">
        <f>"9781032189055"</f>
        <v>9781032189055</v>
      </c>
      <c r="F15514" s="2" t="str">
        <f>"9781000685190"</f>
        <v>9781000685190</v>
      </c>
    </row>
    <row r="15515" spans="1:6" s="3" customFormat="1" ht="29.1" customHeight="1" x14ac:dyDescent="0.25">
      <c r="A15515" s="2" t="s">
        <v>30877</v>
      </c>
      <c r="B15515" s="2" t="s">
        <v>30878</v>
      </c>
      <c r="C15515" s="2" t="s">
        <v>124</v>
      </c>
      <c r="D15515" s="2" t="s">
        <v>2513</v>
      </c>
      <c r="E15515" s="2" t="str">
        <f>"9781032222264"</f>
        <v>9781032222264</v>
      </c>
      <c r="F15515" s="2" t="str">
        <f>"9781000646795"</f>
        <v>9781000646795</v>
      </c>
    </row>
    <row r="15516" spans="1:6" s="3" customFormat="1" ht="29.1" customHeight="1" x14ac:dyDescent="0.25">
      <c r="A15516" s="2" t="s">
        <v>30879</v>
      </c>
      <c r="B15516" s="2" t="s">
        <v>30880</v>
      </c>
      <c r="C15516" s="2" t="s">
        <v>124</v>
      </c>
      <c r="D15516" s="2" t="s">
        <v>689</v>
      </c>
      <c r="E15516" s="2" t="str">
        <f>"9781032304885"</f>
        <v>9781032304885</v>
      </c>
      <c r="F15516" s="2" t="str">
        <f>"9781000646245"</f>
        <v>9781000646245</v>
      </c>
    </row>
    <row r="15517" spans="1:6" s="3" customFormat="1" ht="29.1" customHeight="1" x14ac:dyDescent="0.25">
      <c r="A15517" s="2" t="s">
        <v>30881</v>
      </c>
      <c r="B15517" s="2" t="s">
        <v>30882</v>
      </c>
      <c r="C15517" s="2" t="s">
        <v>124</v>
      </c>
      <c r="D15517" s="2" t="s">
        <v>2752</v>
      </c>
      <c r="E15517" s="2" t="str">
        <f>"9781032037349"</f>
        <v>9781032037349</v>
      </c>
      <c r="F15517" s="2" t="str">
        <f>"9781000652840"</f>
        <v>9781000652840</v>
      </c>
    </row>
    <row r="15518" spans="1:6" s="3" customFormat="1" ht="29.1" customHeight="1" x14ac:dyDescent="0.25">
      <c r="A15518" s="2" t="s">
        <v>30883</v>
      </c>
      <c r="B15518" s="2" t="s">
        <v>30884</v>
      </c>
      <c r="C15518" s="2" t="s">
        <v>149</v>
      </c>
      <c r="D15518" s="2" t="s">
        <v>14865</v>
      </c>
      <c r="E15518" s="2"/>
      <c r="F15518" s="2" t="str">
        <f>"9781800647275"</f>
        <v>9781800647275</v>
      </c>
    </row>
    <row r="15519" spans="1:6" s="3" customFormat="1" ht="29.1" customHeight="1" x14ac:dyDescent="0.25">
      <c r="A15519" s="2" t="s">
        <v>30885</v>
      </c>
      <c r="B15519" s="2" t="s">
        <v>30886</v>
      </c>
      <c r="C15519" s="2" t="s">
        <v>264</v>
      </c>
      <c r="D15519" s="2" t="s">
        <v>141</v>
      </c>
      <c r="E15519" s="2" t="str">
        <f>"9781032282596"</f>
        <v>9781032282596</v>
      </c>
      <c r="F15519" s="2" t="str">
        <f>"9781000777840"</f>
        <v>9781000777840</v>
      </c>
    </row>
    <row r="15520" spans="1:6" s="3" customFormat="1" ht="29.1" customHeight="1" x14ac:dyDescent="0.25">
      <c r="A15520" s="2" t="s">
        <v>30887</v>
      </c>
      <c r="B15520" s="2" t="s">
        <v>30888</v>
      </c>
      <c r="C15520" s="2" t="s">
        <v>124</v>
      </c>
      <c r="D15520" s="2" t="s">
        <v>186</v>
      </c>
      <c r="E15520" s="2" t="str">
        <f>"9781032137414"</f>
        <v>9781032137414</v>
      </c>
      <c r="F15520" s="2" t="str">
        <f>"9781000686371"</f>
        <v>9781000686371</v>
      </c>
    </row>
    <row r="15521" spans="1:6" s="3" customFormat="1" ht="29.1" customHeight="1" x14ac:dyDescent="0.25">
      <c r="A15521" s="2" t="s">
        <v>30889</v>
      </c>
      <c r="B15521" s="2" t="s">
        <v>30891</v>
      </c>
      <c r="C15521" s="2" t="s">
        <v>124</v>
      </c>
      <c r="D15521" s="2" t="s">
        <v>30890</v>
      </c>
      <c r="E15521" s="2" t="str">
        <f>"9780367678906"</f>
        <v>9780367678906</v>
      </c>
      <c r="F15521" s="2" t="str">
        <f>"9781000686937"</f>
        <v>9781000686937</v>
      </c>
    </row>
    <row r="15522" spans="1:6" s="3" customFormat="1" ht="29.1" customHeight="1" x14ac:dyDescent="0.25">
      <c r="A15522" s="2" t="s">
        <v>30892</v>
      </c>
      <c r="B15522" s="2" t="s">
        <v>30893</v>
      </c>
      <c r="C15522" s="2" t="s">
        <v>195</v>
      </c>
      <c r="D15522" s="2" t="s">
        <v>3993</v>
      </c>
      <c r="E15522" s="2" t="str">
        <f>"9783110780345"</f>
        <v>9783110780345</v>
      </c>
      <c r="F15522" s="2" t="str">
        <f>"9783110780574"</f>
        <v>9783110780574</v>
      </c>
    </row>
    <row r="15523" spans="1:6" s="3" customFormat="1" ht="29.1" customHeight="1" x14ac:dyDescent="0.25">
      <c r="A15523" s="2" t="s">
        <v>30894</v>
      </c>
      <c r="B15523" s="2" t="s">
        <v>30895</v>
      </c>
      <c r="C15523" s="2" t="s">
        <v>195</v>
      </c>
      <c r="D15523" s="2" t="s">
        <v>446</v>
      </c>
      <c r="E15523" s="2" t="str">
        <f>"9783110774191"</f>
        <v>9783110774191</v>
      </c>
      <c r="F15523" s="2" t="str">
        <f>"9783110775570"</f>
        <v>9783110775570</v>
      </c>
    </row>
    <row r="15524" spans="1:6" s="3" customFormat="1" ht="29.1" customHeight="1" x14ac:dyDescent="0.25">
      <c r="A15524" s="2" t="s">
        <v>30896</v>
      </c>
      <c r="B15524" s="2" t="s">
        <v>30897</v>
      </c>
      <c r="C15524" s="2" t="s">
        <v>195</v>
      </c>
      <c r="D15524" s="2" t="s">
        <v>446</v>
      </c>
      <c r="E15524" s="2" t="str">
        <f>"9783110694680"</f>
        <v>9783110694680</v>
      </c>
      <c r="F15524" s="2" t="str">
        <f>"9783110695090"</f>
        <v>9783110695090</v>
      </c>
    </row>
    <row r="15525" spans="1:6" s="3" customFormat="1" ht="29.1" customHeight="1" x14ac:dyDescent="0.25">
      <c r="A15525" s="2" t="s">
        <v>30898</v>
      </c>
      <c r="B15525" s="2" t="s">
        <v>30899</v>
      </c>
      <c r="C15525" s="2" t="s">
        <v>195</v>
      </c>
      <c r="D15525" s="2" t="s">
        <v>33</v>
      </c>
      <c r="E15525" s="2" t="str">
        <f>"9783110744040"</f>
        <v>9783110744040</v>
      </c>
      <c r="F15525" s="2" t="str">
        <f>"9783110744552"</f>
        <v>9783110744552</v>
      </c>
    </row>
    <row r="15526" spans="1:6" s="3" customFormat="1" ht="29.1" customHeight="1" x14ac:dyDescent="0.25">
      <c r="A15526" s="2" t="s">
        <v>30900</v>
      </c>
      <c r="B15526" s="2" t="s">
        <v>30901</v>
      </c>
      <c r="C15526" s="2" t="s">
        <v>195</v>
      </c>
      <c r="D15526" s="2" t="s">
        <v>459</v>
      </c>
      <c r="E15526" s="2" t="str">
        <f>"9783110776034"</f>
        <v>9783110776034</v>
      </c>
      <c r="F15526" s="2" t="str">
        <f>"9783110776485"</f>
        <v>9783110776485</v>
      </c>
    </row>
    <row r="15527" spans="1:6" s="3" customFormat="1" ht="29.1" customHeight="1" x14ac:dyDescent="0.25">
      <c r="A15527" s="2" t="s">
        <v>30902</v>
      </c>
      <c r="B15527" s="2" t="s">
        <v>30903</v>
      </c>
      <c r="C15527" s="2" t="s">
        <v>195</v>
      </c>
      <c r="D15527" s="2" t="s">
        <v>682</v>
      </c>
      <c r="E15527" s="2" t="str">
        <f>"9783110765588"</f>
        <v>9783110765588</v>
      </c>
      <c r="F15527" s="2" t="str">
        <f>"9783110765687"</f>
        <v>9783110765687</v>
      </c>
    </row>
    <row r="15528" spans="1:6" s="3" customFormat="1" ht="29.1" customHeight="1" x14ac:dyDescent="0.25">
      <c r="A15528" s="2" t="s">
        <v>30904</v>
      </c>
      <c r="B15528" s="2" t="s">
        <v>30906</v>
      </c>
      <c r="C15528" s="2" t="s">
        <v>195</v>
      </c>
      <c r="D15528" s="2" t="s">
        <v>30905</v>
      </c>
      <c r="E15528" s="2" t="str">
        <f>"9783110644555"</f>
        <v>9783110644555</v>
      </c>
      <c r="F15528" s="2" t="str">
        <f>"9783110618150"</f>
        <v>9783110618150</v>
      </c>
    </row>
    <row r="15529" spans="1:6" s="3" customFormat="1" ht="29.1" customHeight="1" x14ac:dyDescent="0.25">
      <c r="A15529" s="2" t="s">
        <v>30907</v>
      </c>
      <c r="B15529" s="2" t="s">
        <v>30909</v>
      </c>
      <c r="C15529" s="2" t="s">
        <v>195</v>
      </c>
      <c r="D15529" s="2" t="s">
        <v>30908</v>
      </c>
      <c r="E15529" s="2" t="str">
        <f>"9783110697605"</f>
        <v>9783110697605</v>
      </c>
      <c r="F15529" s="2" t="str">
        <f>"9783110698046"</f>
        <v>9783110698046</v>
      </c>
    </row>
    <row r="15530" spans="1:6" s="3" customFormat="1" ht="29.1" customHeight="1" x14ac:dyDescent="0.25">
      <c r="A15530" s="2" t="s">
        <v>30910</v>
      </c>
      <c r="B15530" s="2" t="s">
        <v>30432</v>
      </c>
      <c r="C15530" s="2" t="s">
        <v>62</v>
      </c>
      <c r="D15530" s="2" t="s">
        <v>1463</v>
      </c>
      <c r="E15530" s="2" t="str">
        <f>"9783428062881"</f>
        <v>9783428062881</v>
      </c>
      <c r="F15530" s="2" t="str">
        <f>"9783428462889"</f>
        <v>9783428462889</v>
      </c>
    </row>
    <row r="15531" spans="1:6" s="3" customFormat="1" ht="29.1" customHeight="1" x14ac:dyDescent="0.25">
      <c r="A15531" s="2" t="s">
        <v>30911</v>
      </c>
      <c r="B15531" s="2" t="s">
        <v>30507</v>
      </c>
      <c r="C15531" s="2" t="s">
        <v>62</v>
      </c>
      <c r="D15531" s="2" t="s">
        <v>5758</v>
      </c>
      <c r="E15531" s="2" t="str">
        <f>"9783428054909"</f>
        <v>9783428054909</v>
      </c>
      <c r="F15531" s="2" t="str">
        <f>"9783428454907"</f>
        <v>9783428454907</v>
      </c>
    </row>
    <row r="15532" spans="1:6" s="3" customFormat="1" ht="29.1" customHeight="1" x14ac:dyDescent="0.25">
      <c r="A15532" s="2" t="s">
        <v>30912</v>
      </c>
      <c r="B15532" s="2" t="s">
        <v>30392</v>
      </c>
      <c r="C15532" s="2" t="s">
        <v>62</v>
      </c>
      <c r="D15532" s="2" t="s">
        <v>1228</v>
      </c>
      <c r="E15532" s="2" t="str">
        <f>"9783428054145"</f>
        <v>9783428054145</v>
      </c>
      <c r="F15532" s="2" t="str">
        <f>"9783428454143"</f>
        <v>9783428454143</v>
      </c>
    </row>
    <row r="15533" spans="1:6" s="3" customFormat="1" ht="29.1" customHeight="1" x14ac:dyDescent="0.25">
      <c r="A15533" s="2" t="s">
        <v>30913</v>
      </c>
      <c r="B15533" s="2" t="s">
        <v>29943</v>
      </c>
      <c r="C15533" s="2" t="s">
        <v>62</v>
      </c>
      <c r="D15533" s="2" t="s">
        <v>1651</v>
      </c>
      <c r="E15533" s="2" t="str">
        <f>"9783428049585"</f>
        <v>9783428049585</v>
      </c>
      <c r="F15533" s="2" t="str">
        <f>"9783428449583"</f>
        <v>9783428449583</v>
      </c>
    </row>
    <row r="15534" spans="1:6" s="3" customFormat="1" ht="29.1" customHeight="1" x14ac:dyDescent="0.25">
      <c r="A15534" s="2" t="s">
        <v>30914</v>
      </c>
      <c r="B15534" s="2" t="s">
        <v>29943</v>
      </c>
      <c r="C15534" s="2" t="s">
        <v>62</v>
      </c>
      <c r="D15534" s="2" t="s">
        <v>1651</v>
      </c>
      <c r="E15534" s="2" t="str">
        <f>"9783428043132"</f>
        <v>9783428043132</v>
      </c>
      <c r="F15534" s="2" t="str">
        <f>"9783428443130"</f>
        <v>9783428443130</v>
      </c>
    </row>
    <row r="15535" spans="1:6" s="3" customFormat="1" ht="29.1" customHeight="1" x14ac:dyDescent="0.25">
      <c r="A15535" s="2" t="s">
        <v>30915</v>
      </c>
      <c r="B15535" s="2" t="s">
        <v>30916</v>
      </c>
      <c r="C15535" s="2" t="s">
        <v>927</v>
      </c>
      <c r="D15535" s="2" t="s">
        <v>210</v>
      </c>
      <c r="E15535" s="2" t="str">
        <f>"9780472055616"</f>
        <v>9780472055616</v>
      </c>
      <c r="F15535" s="2" t="str">
        <f>"9780472902972"</f>
        <v>9780472902972</v>
      </c>
    </row>
    <row r="15536" spans="1:6" s="3" customFormat="1" ht="29.1" customHeight="1" x14ac:dyDescent="0.25">
      <c r="A15536" s="2" t="s">
        <v>30917</v>
      </c>
      <c r="B15536" s="2" t="s">
        <v>30918</v>
      </c>
      <c r="C15536" s="2" t="s">
        <v>62</v>
      </c>
      <c r="D15536" s="2" t="s">
        <v>1840</v>
      </c>
      <c r="E15536" s="2" t="str">
        <f>"9783428172146"</f>
        <v>9783428172146</v>
      </c>
      <c r="F15536" s="2" t="str">
        <f>"9783428572144"</f>
        <v>9783428572144</v>
      </c>
    </row>
    <row r="15537" spans="1:6" s="3" customFormat="1" ht="29.1" customHeight="1" x14ac:dyDescent="0.25">
      <c r="A15537" s="2" t="s">
        <v>30919</v>
      </c>
      <c r="B15537" s="2" t="s">
        <v>30920</v>
      </c>
      <c r="C15537" s="2" t="s">
        <v>62</v>
      </c>
      <c r="D15537" s="2" t="s">
        <v>2005</v>
      </c>
      <c r="E15537" s="2" t="str">
        <f>"9783428161652"</f>
        <v>9783428161652</v>
      </c>
      <c r="F15537" s="2" t="str">
        <f>"9783428561650"</f>
        <v>9783428561650</v>
      </c>
    </row>
    <row r="15538" spans="1:6" s="3" customFormat="1" ht="29.1" customHeight="1" x14ac:dyDescent="0.25">
      <c r="A15538" s="2" t="s">
        <v>30921</v>
      </c>
      <c r="B15538" s="2" t="s">
        <v>30922</v>
      </c>
      <c r="C15538" s="2" t="s">
        <v>62</v>
      </c>
      <c r="D15538" s="2" t="s">
        <v>1694</v>
      </c>
      <c r="E15538" s="2" t="str">
        <f>"9783428175291"</f>
        <v>9783428175291</v>
      </c>
      <c r="F15538" s="2" t="str">
        <f>"9783428575299"</f>
        <v>9783428575299</v>
      </c>
    </row>
    <row r="15539" spans="1:6" s="3" customFormat="1" ht="29.1" customHeight="1" x14ac:dyDescent="0.25">
      <c r="A15539" s="2" t="s">
        <v>30923</v>
      </c>
      <c r="B15539" s="2" t="s">
        <v>30918</v>
      </c>
      <c r="C15539" s="2" t="s">
        <v>62</v>
      </c>
      <c r="D15539" s="2" t="s">
        <v>1840</v>
      </c>
      <c r="E15539" s="2" t="str">
        <f>"9783428175420"</f>
        <v>9783428175420</v>
      </c>
      <c r="F15539" s="2" t="str">
        <f>"9783428575428"</f>
        <v>9783428575428</v>
      </c>
    </row>
    <row r="15540" spans="1:6" s="3" customFormat="1" ht="29.1" customHeight="1" x14ac:dyDescent="0.25">
      <c r="A15540" s="2" t="s">
        <v>30852</v>
      </c>
      <c r="B15540" s="2" t="s">
        <v>30924</v>
      </c>
      <c r="C15540" s="2" t="s">
        <v>62</v>
      </c>
      <c r="D15540" s="2" t="s">
        <v>1228</v>
      </c>
      <c r="E15540" s="2" t="str">
        <f>"9783428175413"</f>
        <v>9783428175413</v>
      </c>
      <c r="F15540" s="2" t="str">
        <f>"9783428575411"</f>
        <v>9783428575411</v>
      </c>
    </row>
    <row r="15541" spans="1:6" s="3" customFormat="1" ht="29.1" customHeight="1" x14ac:dyDescent="0.25">
      <c r="A15541" s="2" t="s">
        <v>30925</v>
      </c>
      <c r="B15541" s="2" t="s">
        <v>30926</v>
      </c>
      <c r="C15541" s="2" t="s">
        <v>62</v>
      </c>
      <c r="D15541" s="2" t="s">
        <v>1228</v>
      </c>
      <c r="E15541" s="2" t="str">
        <f>"9783428175390"</f>
        <v>9783428175390</v>
      </c>
      <c r="F15541" s="2" t="str">
        <f>"9783428575398"</f>
        <v>9783428575398</v>
      </c>
    </row>
    <row r="15542" spans="1:6" s="3" customFormat="1" ht="29.1" customHeight="1" x14ac:dyDescent="0.25">
      <c r="A15542" s="2" t="s">
        <v>30925</v>
      </c>
      <c r="B15542" s="2" t="s">
        <v>30926</v>
      </c>
      <c r="C15542" s="2" t="s">
        <v>62</v>
      </c>
      <c r="D15542" s="2" t="s">
        <v>1228</v>
      </c>
      <c r="E15542" s="2" t="str">
        <f>"9783428175383"</f>
        <v>9783428175383</v>
      </c>
      <c r="F15542" s="2" t="str">
        <f>"9783428575381"</f>
        <v>9783428575381</v>
      </c>
    </row>
    <row r="15543" spans="1:6" s="3" customFormat="1" ht="29.1" customHeight="1" x14ac:dyDescent="0.25">
      <c r="A15543" s="2" t="s">
        <v>30927</v>
      </c>
      <c r="B15543" s="2" t="s">
        <v>30920</v>
      </c>
      <c r="C15543" s="2" t="s">
        <v>62</v>
      </c>
      <c r="D15543" s="2" t="s">
        <v>1228</v>
      </c>
      <c r="E15543" s="2" t="str">
        <f>"9783428175352"</f>
        <v>9783428175352</v>
      </c>
      <c r="F15543" s="2" t="str">
        <f>"9783428575350"</f>
        <v>9783428575350</v>
      </c>
    </row>
    <row r="15544" spans="1:6" s="3" customFormat="1" ht="29.1" customHeight="1" x14ac:dyDescent="0.25">
      <c r="A15544" s="2" t="s">
        <v>30928</v>
      </c>
      <c r="B15544" s="2" t="s">
        <v>30929</v>
      </c>
      <c r="C15544" s="2" t="s">
        <v>62</v>
      </c>
      <c r="D15544" s="2" t="s">
        <v>1651</v>
      </c>
      <c r="E15544" s="2" t="str">
        <f>"9783428175321"</f>
        <v>9783428175321</v>
      </c>
      <c r="F15544" s="2" t="str">
        <f>"9783428575329"</f>
        <v>9783428575329</v>
      </c>
    </row>
    <row r="15545" spans="1:6" s="3" customFormat="1" ht="29.1" customHeight="1" x14ac:dyDescent="0.25">
      <c r="A15545" s="2" t="s">
        <v>30930</v>
      </c>
      <c r="B15545" s="2" t="s">
        <v>30931</v>
      </c>
      <c r="C15545" s="2" t="s">
        <v>62</v>
      </c>
      <c r="D15545" s="2" t="s">
        <v>1651</v>
      </c>
      <c r="E15545" s="2" t="str">
        <f>"9783428175314"</f>
        <v>9783428175314</v>
      </c>
      <c r="F15545" s="2" t="str">
        <f>"9783428575312"</f>
        <v>9783428575312</v>
      </c>
    </row>
    <row r="15546" spans="1:6" s="3" customFormat="1" ht="29.1" customHeight="1" x14ac:dyDescent="0.25">
      <c r="A15546" s="2" t="s">
        <v>30928</v>
      </c>
      <c r="B15546" s="2" t="s">
        <v>30929</v>
      </c>
      <c r="C15546" s="2" t="s">
        <v>62</v>
      </c>
      <c r="D15546" s="2" t="s">
        <v>1651</v>
      </c>
      <c r="E15546" s="2" t="str">
        <f>"9783428175307"</f>
        <v>9783428175307</v>
      </c>
      <c r="F15546" s="2" t="str">
        <f>"9783428575305"</f>
        <v>9783428575305</v>
      </c>
    </row>
    <row r="15547" spans="1:6" s="3" customFormat="1" ht="29.1" customHeight="1" x14ac:dyDescent="0.25">
      <c r="A15547" s="2" t="s">
        <v>30932</v>
      </c>
      <c r="B15547" s="2" t="s">
        <v>30933</v>
      </c>
      <c r="C15547" s="2" t="s">
        <v>62</v>
      </c>
      <c r="D15547" s="2" t="s">
        <v>1694</v>
      </c>
      <c r="E15547" s="2" t="str">
        <f>"9783428175284"</f>
        <v>9783428175284</v>
      </c>
      <c r="F15547" s="2" t="str">
        <f>"9783428575282"</f>
        <v>9783428575282</v>
      </c>
    </row>
    <row r="15548" spans="1:6" s="3" customFormat="1" ht="29.1" customHeight="1" x14ac:dyDescent="0.25">
      <c r="A15548" s="2" t="s">
        <v>30934</v>
      </c>
      <c r="B15548" s="2" t="s">
        <v>30935</v>
      </c>
      <c r="C15548" s="2" t="s">
        <v>62</v>
      </c>
      <c r="D15548" s="2" t="s">
        <v>297</v>
      </c>
      <c r="E15548" s="2" t="str">
        <f>"9783428175215"</f>
        <v>9783428175215</v>
      </c>
      <c r="F15548" s="2" t="str">
        <f>"9783428575213"</f>
        <v>9783428575213</v>
      </c>
    </row>
    <row r="15549" spans="1:6" s="3" customFormat="1" ht="29.1" customHeight="1" x14ac:dyDescent="0.25">
      <c r="A15549" s="2" t="s">
        <v>30934</v>
      </c>
      <c r="B15549" s="2" t="s">
        <v>30935</v>
      </c>
      <c r="C15549" s="2" t="s">
        <v>62</v>
      </c>
      <c r="D15549" s="2" t="s">
        <v>297</v>
      </c>
      <c r="E15549" s="2" t="str">
        <f>"9783428175208"</f>
        <v>9783428175208</v>
      </c>
      <c r="F15549" s="2" t="str">
        <f>"9783428575206"</f>
        <v>9783428575206</v>
      </c>
    </row>
    <row r="15550" spans="1:6" s="3" customFormat="1" ht="29.1" customHeight="1" x14ac:dyDescent="0.25">
      <c r="A15550" s="2" t="s">
        <v>30934</v>
      </c>
      <c r="B15550" s="2" t="s">
        <v>30935</v>
      </c>
      <c r="C15550" s="2" t="s">
        <v>62</v>
      </c>
      <c r="D15550" s="2" t="s">
        <v>297</v>
      </c>
      <c r="E15550" s="2" t="str">
        <f>"9783428175192"</f>
        <v>9783428175192</v>
      </c>
      <c r="F15550" s="2" t="str">
        <f>"9783428575190"</f>
        <v>9783428575190</v>
      </c>
    </row>
    <row r="15551" spans="1:6" s="3" customFormat="1" ht="29.1" customHeight="1" x14ac:dyDescent="0.25">
      <c r="A15551" s="2" t="s">
        <v>30936</v>
      </c>
      <c r="B15551" s="2" t="s">
        <v>30937</v>
      </c>
      <c r="C15551" s="2" t="s">
        <v>62</v>
      </c>
      <c r="D15551" s="2" t="s">
        <v>297</v>
      </c>
      <c r="E15551" s="2" t="str">
        <f>"9783428175185"</f>
        <v>9783428175185</v>
      </c>
      <c r="F15551" s="2" t="str">
        <f>"9783428575183"</f>
        <v>9783428575183</v>
      </c>
    </row>
    <row r="15552" spans="1:6" s="3" customFormat="1" ht="29.1" customHeight="1" x14ac:dyDescent="0.25">
      <c r="A15552" s="2" t="s">
        <v>30936</v>
      </c>
      <c r="B15552" s="2" t="s">
        <v>30937</v>
      </c>
      <c r="C15552" s="2" t="s">
        <v>62</v>
      </c>
      <c r="D15552" s="2" t="s">
        <v>297</v>
      </c>
      <c r="E15552" s="2" t="str">
        <f>"9783428175178"</f>
        <v>9783428175178</v>
      </c>
      <c r="F15552" s="2" t="str">
        <f>"9783428575176"</f>
        <v>9783428575176</v>
      </c>
    </row>
    <row r="15553" spans="1:6" s="3" customFormat="1" ht="29.1" customHeight="1" x14ac:dyDescent="0.25">
      <c r="A15553" s="2" t="s">
        <v>30936</v>
      </c>
      <c r="B15553" s="2" t="s">
        <v>30937</v>
      </c>
      <c r="C15553" s="2" t="s">
        <v>62</v>
      </c>
      <c r="D15553" s="2" t="s">
        <v>297</v>
      </c>
      <c r="E15553" s="2" t="str">
        <f>"9783428175161"</f>
        <v>9783428175161</v>
      </c>
      <c r="F15553" s="2" t="str">
        <f>"9783428575169"</f>
        <v>9783428575169</v>
      </c>
    </row>
    <row r="15554" spans="1:6" s="3" customFormat="1" ht="29.1" customHeight="1" x14ac:dyDescent="0.25">
      <c r="A15554" s="2" t="s">
        <v>30938</v>
      </c>
      <c r="B15554" s="2" t="s">
        <v>30939</v>
      </c>
      <c r="C15554" s="2" t="s">
        <v>62</v>
      </c>
      <c r="D15554" s="2" t="s">
        <v>1209</v>
      </c>
      <c r="E15554" s="2" t="str">
        <f>"9783428175079"</f>
        <v>9783428175079</v>
      </c>
      <c r="F15554" s="2" t="str">
        <f>"9783428575077"</f>
        <v>9783428575077</v>
      </c>
    </row>
    <row r="15555" spans="1:6" s="3" customFormat="1" ht="29.1" customHeight="1" x14ac:dyDescent="0.25">
      <c r="A15555" s="2" t="s">
        <v>30938</v>
      </c>
      <c r="B15555" s="2" t="s">
        <v>30939</v>
      </c>
      <c r="C15555" s="2" t="s">
        <v>62</v>
      </c>
      <c r="D15555" s="2" t="s">
        <v>1209</v>
      </c>
      <c r="E15555" s="2" t="str">
        <f>"9783428175062"</f>
        <v>9783428175062</v>
      </c>
      <c r="F15555" s="2" t="str">
        <f>"9783428575060"</f>
        <v>9783428575060</v>
      </c>
    </row>
    <row r="15556" spans="1:6" s="3" customFormat="1" ht="29.1" customHeight="1" x14ac:dyDescent="0.25">
      <c r="A15556" s="2" t="s">
        <v>30940</v>
      </c>
      <c r="B15556" s="2" t="s">
        <v>30920</v>
      </c>
      <c r="C15556" s="2" t="s">
        <v>62</v>
      </c>
      <c r="D15556" s="2" t="s">
        <v>297</v>
      </c>
      <c r="E15556" s="2" t="str">
        <f>"9783428175055"</f>
        <v>9783428175055</v>
      </c>
      <c r="F15556" s="2" t="str">
        <f>"9783428575053"</f>
        <v>9783428575053</v>
      </c>
    </row>
    <row r="15557" spans="1:6" s="3" customFormat="1" ht="29.1" customHeight="1" x14ac:dyDescent="0.25">
      <c r="A15557" s="2" t="s">
        <v>30941</v>
      </c>
      <c r="B15557" s="2" t="s">
        <v>30942</v>
      </c>
      <c r="C15557" s="2" t="s">
        <v>62</v>
      </c>
      <c r="D15557" s="2" t="s">
        <v>5758</v>
      </c>
      <c r="E15557" s="2" t="str">
        <f>"9783428174959"</f>
        <v>9783428174959</v>
      </c>
      <c r="F15557" s="2" t="str">
        <f>"9783428574957"</f>
        <v>9783428574957</v>
      </c>
    </row>
    <row r="15558" spans="1:6" s="3" customFormat="1" ht="29.1" customHeight="1" x14ac:dyDescent="0.25">
      <c r="A15558" s="2" t="s">
        <v>30943</v>
      </c>
      <c r="B15558" s="2" t="s">
        <v>30944</v>
      </c>
      <c r="C15558" s="2" t="s">
        <v>62</v>
      </c>
      <c r="D15558" s="2" t="s">
        <v>5758</v>
      </c>
      <c r="E15558" s="2" t="str">
        <f>"9783428174935"</f>
        <v>9783428174935</v>
      </c>
      <c r="F15558" s="2" t="str">
        <f>"9783428574933"</f>
        <v>9783428574933</v>
      </c>
    </row>
    <row r="15559" spans="1:6" s="3" customFormat="1" ht="29.1" customHeight="1" x14ac:dyDescent="0.25">
      <c r="A15559" s="2" t="s">
        <v>30945</v>
      </c>
      <c r="B15559" s="2" t="s">
        <v>30946</v>
      </c>
      <c r="C15559" s="2" t="s">
        <v>62</v>
      </c>
      <c r="D15559" s="2" t="s">
        <v>5758</v>
      </c>
      <c r="E15559" s="2" t="str">
        <f>"9783428174898"</f>
        <v>9783428174898</v>
      </c>
      <c r="F15559" s="2" t="str">
        <f>"9783428574896"</f>
        <v>9783428574896</v>
      </c>
    </row>
    <row r="15560" spans="1:6" s="3" customFormat="1" ht="29.1" customHeight="1" x14ac:dyDescent="0.25">
      <c r="A15560" s="2" t="s">
        <v>30947</v>
      </c>
      <c r="B15560" s="2" t="s">
        <v>30948</v>
      </c>
      <c r="C15560" s="2" t="s">
        <v>62</v>
      </c>
      <c r="D15560" s="2" t="s">
        <v>4002</v>
      </c>
      <c r="E15560" s="2" t="str">
        <f>"9783428186464"</f>
        <v>9783428186464</v>
      </c>
      <c r="F15560" s="2" t="str">
        <f>"9783428586462"</f>
        <v>9783428586462</v>
      </c>
    </row>
    <row r="15561" spans="1:6" s="3" customFormat="1" ht="29.1" customHeight="1" x14ac:dyDescent="0.25">
      <c r="A15561" s="2" t="s">
        <v>30949</v>
      </c>
      <c r="B15561" s="2" t="s">
        <v>30950</v>
      </c>
      <c r="C15561" s="2" t="s">
        <v>62</v>
      </c>
      <c r="D15561" s="2" t="s">
        <v>2153</v>
      </c>
      <c r="E15561" s="2" t="str">
        <f>"9783428186167"</f>
        <v>9783428186167</v>
      </c>
      <c r="F15561" s="2" t="str">
        <f>"9783428586165"</f>
        <v>9783428586165</v>
      </c>
    </row>
    <row r="15562" spans="1:6" s="3" customFormat="1" ht="29.1" customHeight="1" x14ac:dyDescent="0.25">
      <c r="A15562" s="2" t="s">
        <v>30951</v>
      </c>
      <c r="B15562" s="2" t="s">
        <v>30952</v>
      </c>
      <c r="C15562" s="2" t="s">
        <v>927</v>
      </c>
      <c r="D15562" s="2" t="s">
        <v>2208</v>
      </c>
      <c r="E15562" s="2" t="str">
        <f>"9780472055586"</f>
        <v>9780472055586</v>
      </c>
      <c r="F15562" s="2" t="str">
        <f>"9780472902958"</f>
        <v>9780472902958</v>
      </c>
    </row>
    <row r="15563" spans="1:6" s="3" customFormat="1" ht="29.1" customHeight="1" x14ac:dyDescent="0.25">
      <c r="A15563" s="2" t="s">
        <v>30953</v>
      </c>
      <c r="B15563" s="2" t="s">
        <v>30955</v>
      </c>
      <c r="C15563" s="2" t="s">
        <v>124</v>
      </c>
      <c r="D15563" s="2" t="s">
        <v>30954</v>
      </c>
      <c r="E15563" s="2" t="str">
        <f>"9780367713959"</f>
        <v>9780367713959</v>
      </c>
      <c r="F15563" s="2" t="str">
        <f>"9781000738933"</f>
        <v>9781000738933</v>
      </c>
    </row>
    <row r="15564" spans="1:6" s="3" customFormat="1" ht="29.1" customHeight="1" x14ac:dyDescent="0.25">
      <c r="A15564" s="2" t="s">
        <v>30956</v>
      </c>
      <c r="B15564" s="2" t="s">
        <v>30957</v>
      </c>
      <c r="C15564" s="2" t="s">
        <v>124</v>
      </c>
      <c r="D15564" s="2" t="s">
        <v>10493</v>
      </c>
      <c r="E15564" s="2" t="str">
        <f>"9781032123615"</f>
        <v>9781032123615</v>
      </c>
      <c r="F15564" s="2" t="str">
        <f>"9781000648263"</f>
        <v>9781000648263</v>
      </c>
    </row>
    <row r="15565" spans="1:6" s="3" customFormat="1" ht="29.1" customHeight="1" x14ac:dyDescent="0.25">
      <c r="A15565" s="2" t="s">
        <v>30958</v>
      </c>
      <c r="B15565" s="2" t="s">
        <v>30959</v>
      </c>
      <c r="C15565" s="2" t="s">
        <v>29</v>
      </c>
      <c r="D15565" s="2" t="s">
        <v>218</v>
      </c>
      <c r="E15565" s="2" t="str">
        <f>"9783506795465"</f>
        <v>9783506795465</v>
      </c>
      <c r="F15565" s="2" t="str">
        <f>"9783657795468"</f>
        <v>9783657795468</v>
      </c>
    </row>
    <row r="15566" spans="1:6" s="3" customFormat="1" ht="29.1" customHeight="1" x14ac:dyDescent="0.25">
      <c r="A15566" s="2" t="s">
        <v>30960</v>
      </c>
      <c r="B15566" s="2" t="s">
        <v>30961</v>
      </c>
      <c r="C15566" s="2" t="s">
        <v>29</v>
      </c>
      <c r="D15566" s="2" t="s">
        <v>33</v>
      </c>
      <c r="E15566" s="2" t="str">
        <f>"9783770567324"</f>
        <v>9783770567324</v>
      </c>
      <c r="F15566" s="2" t="str">
        <f>"9783846767320"</f>
        <v>9783846767320</v>
      </c>
    </row>
    <row r="15567" spans="1:6" s="3" customFormat="1" ht="29.1" customHeight="1" x14ac:dyDescent="0.25">
      <c r="A15567" s="2" t="s">
        <v>30962</v>
      </c>
      <c r="B15567" s="2" t="s">
        <v>30963</v>
      </c>
      <c r="C15567" s="2" t="s">
        <v>124</v>
      </c>
      <c r="D15567" s="2" t="s">
        <v>75</v>
      </c>
      <c r="E15567" s="2" t="str">
        <f>"9781032115658"</f>
        <v>9781032115658</v>
      </c>
      <c r="F15567" s="2" t="str">
        <f>"9781000646610"</f>
        <v>9781000646610</v>
      </c>
    </row>
    <row r="15568" spans="1:6" s="3" customFormat="1" ht="29.1" customHeight="1" x14ac:dyDescent="0.25">
      <c r="A15568" s="2" t="s">
        <v>30964</v>
      </c>
      <c r="B15568" s="2" t="s">
        <v>30965</v>
      </c>
      <c r="C15568" s="2" t="s">
        <v>595</v>
      </c>
      <c r="D15568" s="2" t="s">
        <v>7766</v>
      </c>
      <c r="E15568" s="2" t="str">
        <f>"9783631880777"</f>
        <v>9783631880777</v>
      </c>
      <c r="F15568" s="2" t="str">
        <f>"9783631880784"</f>
        <v>9783631880784</v>
      </c>
    </row>
    <row r="15569" spans="1:6" s="3" customFormat="1" ht="29.1" customHeight="1" x14ac:dyDescent="0.25">
      <c r="A15569" s="2" t="s">
        <v>30966</v>
      </c>
      <c r="B15569" s="2" t="s">
        <v>30967</v>
      </c>
      <c r="C15569" s="2" t="s">
        <v>3513</v>
      </c>
      <c r="D15569" s="2" t="s">
        <v>1437</v>
      </c>
      <c r="E15569" s="2" t="str">
        <f>"9788382111286"</f>
        <v>9788382111286</v>
      </c>
      <c r="F15569" s="2" t="str">
        <f>"9788382111293"</f>
        <v>9788382111293</v>
      </c>
    </row>
    <row r="15570" spans="1:6" s="3" customFormat="1" ht="29.1" customHeight="1" x14ac:dyDescent="0.25">
      <c r="A15570" s="2" t="s">
        <v>30968</v>
      </c>
      <c r="B15570" s="2" t="s">
        <v>30969</v>
      </c>
      <c r="C15570" s="2" t="s">
        <v>149</v>
      </c>
      <c r="D15570" s="2" t="s">
        <v>5493</v>
      </c>
      <c r="E15570" s="2"/>
      <c r="F15570" s="2" t="str">
        <f>"9781800643703"</f>
        <v>9781800643703</v>
      </c>
    </row>
    <row r="15571" spans="1:6" s="3" customFormat="1" ht="29.1" customHeight="1" x14ac:dyDescent="0.25">
      <c r="A15571" s="2" t="s">
        <v>30970</v>
      </c>
      <c r="B15571" s="2" t="s">
        <v>30971</v>
      </c>
      <c r="C15571" s="2" t="s">
        <v>8104</v>
      </c>
      <c r="D15571" s="2" t="s">
        <v>12520</v>
      </c>
      <c r="E15571" s="2" t="str">
        <f>"9781800738522"</f>
        <v>9781800738522</v>
      </c>
      <c r="F15571" s="2" t="str">
        <f>"9781800738539"</f>
        <v>9781800738539</v>
      </c>
    </row>
    <row r="15572" spans="1:6" s="3" customFormat="1" ht="29.1" customHeight="1" x14ac:dyDescent="0.25">
      <c r="A15572" s="2" t="s">
        <v>30972</v>
      </c>
      <c r="B15572" s="2" t="s">
        <v>30973</v>
      </c>
      <c r="C15572" s="2" t="s">
        <v>36</v>
      </c>
      <c r="D15572" s="2" t="s">
        <v>882</v>
      </c>
      <c r="E15572" s="2" t="str">
        <f>"9781447363958"</f>
        <v>9781447363958</v>
      </c>
      <c r="F15572" s="2" t="str">
        <f>"9781447363972"</f>
        <v>9781447363972</v>
      </c>
    </row>
    <row r="15573" spans="1:6" s="3" customFormat="1" ht="29.1" customHeight="1" x14ac:dyDescent="0.25">
      <c r="A15573" s="2" t="s">
        <v>30974</v>
      </c>
      <c r="B15573" s="2" t="s">
        <v>30975</v>
      </c>
      <c r="C15573" s="2" t="s">
        <v>36</v>
      </c>
      <c r="D15573" s="2" t="s">
        <v>2234</v>
      </c>
      <c r="E15573" s="2" t="str">
        <f>"9781529217551"</f>
        <v>9781529217551</v>
      </c>
      <c r="F15573" s="2" t="str">
        <f>"9781529217575"</f>
        <v>9781529217575</v>
      </c>
    </row>
    <row r="15574" spans="1:6" s="3" customFormat="1" ht="29.1" customHeight="1" x14ac:dyDescent="0.25">
      <c r="A15574" s="2" t="s">
        <v>30976</v>
      </c>
      <c r="B15574" s="2" t="s">
        <v>30977</v>
      </c>
      <c r="C15574" s="2" t="s">
        <v>124</v>
      </c>
      <c r="D15574" s="2" t="s">
        <v>334</v>
      </c>
      <c r="E15574" s="2" t="str">
        <f>"9780367748128"</f>
        <v>9780367748128</v>
      </c>
      <c r="F15574" s="2" t="str">
        <f>"9781000685848"</f>
        <v>9781000685848</v>
      </c>
    </row>
    <row r="15575" spans="1:6" s="3" customFormat="1" ht="29.1" customHeight="1" x14ac:dyDescent="0.25">
      <c r="A15575" s="2" t="s">
        <v>30978</v>
      </c>
      <c r="B15575" s="2" t="s">
        <v>30979</v>
      </c>
      <c r="C15575" s="2" t="s">
        <v>327</v>
      </c>
      <c r="D15575" s="2" t="s">
        <v>339</v>
      </c>
      <c r="E15575" s="2" t="str">
        <f>"9788382205701"</f>
        <v>9788382205701</v>
      </c>
      <c r="F15575" s="2" t="str">
        <f>"9788382205718"</f>
        <v>9788382205718</v>
      </c>
    </row>
    <row r="15576" spans="1:6" s="3" customFormat="1" ht="29.1" customHeight="1" x14ac:dyDescent="0.25">
      <c r="A15576" s="2" t="s">
        <v>30980</v>
      </c>
      <c r="B15576" s="2" t="s">
        <v>30981</v>
      </c>
      <c r="C15576" s="2" t="s">
        <v>327</v>
      </c>
      <c r="D15576" s="2" t="s">
        <v>6678</v>
      </c>
      <c r="E15576" s="2" t="str">
        <f>"9788382208153"</f>
        <v>9788382208153</v>
      </c>
      <c r="F15576" s="2" t="str">
        <f>"9788382208160"</f>
        <v>9788382208160</v>
      </c>
    </row>
    <row r="15577" spans="1:6" s="3" customFormat="1" ht="29.1" customHeight="1" x14ac:dyDescent="0.25">
      <c r="A15577" s="2" t="s">
        <v>30982</v>
      </c>
      <c r="B15577" s="2" t="s">
        <v>30983</v>
      </c>
      <c r="C15577" s="2" t="s">
        <v>327</v>
      </c>
      <c r="D15577" s="2" t="s">
        <v>1127</v>
      </c>
      <c r="E15577" s="2" t="str">
        <f>"9788382208207"</f>
        <v>9788382208207</v>
      </c>
      <c r="F15577" s="2" t="str">
        <f>"9788382208214"</f>
        <v>9788382208214</v>
      </c>
    </row>
    <row r="15578" spans="1:6" s="3" customFormat="1" ht="29.1" customHeight="1" x14ac:dyDescent="0.25">
      <c r="A15578" s="2" t="s">
        <v>30984</v>
      </c>
      <c r="B15578" s="2" t="s">
        <v>30985</v>
      </c>
      <c r="C15578" s="2" t="s">
        <v>327</v>
      </c>
      <c r="D15578" s="2" t="s">
        <v>2411</v>
      </c>
      <c r="E15578" s="2" t="str">
        <f>"9788382208634"</f>
        <v>9788382208634</v>
      </c>
      <c r="F15578" s="2" t="str">
        <f>"9788382208641"</f>
        <v>9788382208641</v>
      </c>
    </row>
    <row r="15579" spans="1:6" s="3" customFormat="1" ht="29.1" customHeight="1" x14ac:dyDescent="0.25">
      <c r="A15579" s="2" t="s">
        <v>30986</v>
      </c>
      <c r="B15579" s="2" t="s">
        <v>30987</v>
      </c>
      <c r="C15579" s="2" t="s">
        <v>195</v>
      </c>
      <c r="D15579" s="2" t="s">
        <v>459</v>
      </c>
      <c r="E15579" s="2" t="str">
        <f>"9783110786651"</f>
        <v>9783110786651</v>
      </c>
      <c r="F15579" s="2" t="str">
        <f>"9783110786675"</f>
        <v>9783110786675</v>
      </c>
    </row>
    <row r="15580" spans="1:6" s="3" customFormat="1" ht="29.1" customHeight="1" x14ac:dyDescent="0.25">
      <c r="A15580" s="2" t="s">
        <v>30988</v>
      </c>
      <c r="B15580" s="2" t="s">
        <v>30989</v>
      </c>
      <c r="C15580" s="2" t="s">
        <v>195</v>
      </c>
      <c r="D15580" s="2" t="s">
        <v>897</v>
      </c>
      <c r="E15580" s="2" t="str">
        <f>"9783110726794"</f>
        <v>9783110726794</v>
      </c>
      <c r="F15580" s="2" t="str">
        <f>"9783110726404"</f>
        <v>9783110726404</v>
      </c>
    </row>
    <row r="15581" spans="1:6" s="3" customFormat="1" ht="29.1" customHeight="1" x14ac:dyDescent="0.25">
      <c r="A15581" s="2" t="s">
        <v>30990</v>
      </c>
      <c r="B15581" s="2" t="s">
        <v>30991</v>
      </c>
      <c r="C15581" s="2" t="s">
        <v>195</v>
      </c>
      <c r="D15581" s="2" t="s">
        <v>689</v>
      </c>
      <c r="E15581" s="2" t="str">
        <f>"9783110759075"</f>
        <v>9783110759075</v>
      </c>
      <c r="F15581" s="2" t="str">
        <f>"9783110759105"</f>
        <v>9783110759105</v>
      </c>
    </row>
    <row r="15582" spans="1:6" s="3" customFormat="1" ht="29.1" customHeight="1" x14ac:dyDescent="0.25">
      <c r="A15582" s="2" t="s">
        <v>30992</v>
      </c>
      <c r="B15582" s="2" t="s">
        <v>30993</v>
      </c>
      <c r="C15582" s="2" t="s">
        <v>195</v>
      </c>
      <c r="D15582" s="2" t="s">
        <v>1806</v>
      </c>
      <c r="E15582" s="2" t="str">
        <f>"9783110754421"</f>
        <v>9783110754421</v>
      </c>
      <c r="F15582" s="2" t="str">
        <f>"9783110754469"</f>
        <v>9783110754469</v>
      </c>
    </row>
    <row r="15583" spans="1:6" s="3" customFormat="1" ht="29.1" customHeight="1" x14ac:dyDescent="0.25">
      <c r="A15583" s="2" t="s">
        <v>30994</v>
      </c>
      <c r="B15583" s="2" t="s">
        <v>30995</v>
      </c>
      <c r="C15583" s="2" t="s">
        <v>195</v>
      </c>
      <c r="D15583" s="2" t="s">
        <v>682</v>
      </c>
      <c r="E15583" s="2" t="str">
        <f>"9783110738032"</f>
        <v>9783110738032</v>
      </c>
      <c r="F15583" s="2" t="str">
        <f>"9783110720921"</f>
        <v>9783110720921</v>
      </c>
    </row>
    <row r="15584" spans="1:6" s="3" customFormat="1" ht="29.1" customHeight="1" x14ac:dyDescent="0.25">
      <c r="A15584" s="2" t="s">
        <v>30996</v>
      </c>
      <c r="B15584" s="2" t="s">
        <v>30997</v>
      </c>
      <c r="C15584" s="2" t="s">
        <v>927</v>
      </c>
      <c r="D15584" s="2" t="s">
        <v>270</v>
      </c>
      <c r="E15584" s="2" t="str">
        <f>"9780472055623"</f>
        <v>9780472055623</v>
      </c>
      <c r="F15584" s="2" t="str">
        <f>"9780472902989"</f>
        <v>9780472902989</v>
      </c>
    </row>
    <row r="15585" spans="1:6" s="3" customFormat="1" ht="29.1" customHeight="1" x14ac:dyDescent="0.25">
      <c r="A15585" s="2" t="s">
        <v>30998</v>
      </c>
      <c r="B15585" s="2" t="s">
        <v>30999</v>
      </c>
      <c r="C15585" s="2" t="s">
        <v>124</v>
      </c>
      <c r="D15585" s="2" t="s">
        <v>2587</v>
      </c>
      <c r="E15585" s="2" t="str">
        <f>"9781032057309"</f>
        <v>9781032057309</v>
      </c>
      <c r="F15585" s="2" t="str">
        <f>"9781000635898"</f>
        <v>9781000635898</v>
      </c>
    </row>
    <row r="15586" spans="1:6" s="3" customFormat="1" ht="29.1" customHeight="1" x14ac:dyDescent="0.25">
      <c r="A15586" s="2" t="s">
        <v>31000</v>
      </c>
      <c r="B15586" s="2" t="s">
        <v>31001</v>
      </c>
      <c r="C15586" s="2" t="s">
        <v>927</v>
      </c>
      <c r="D15586" s="2" t="s">
        <v>270</v>
      </c>
      <c r="E15586" s="2" t="str">
        <f>"9780472055401"</f>
        <v>9780472055401</v>
      </c>
      <c r="F15586" s="2" t="str">
        <f>"9780472902859"</f>
        <v>9780472902859</v>
      </c>
    </row>
    <row r="15587" spans="1:6" s="3" customFormat="1" ht="29.1" customHeight="1" x14ac:dyDescent="0.25">
      <c r="A15587" s="2" t="s">
        <v>31002</v>
      </c>
      <c r="B15587" s="2" t="s">
        <v>31003</v>
      </c>
      <c r="C15587" s="2" t="s">
        <v>746</v>
      </c>
      <c r="D15587" s="2" t="s">
        <v>7702</v>
      </c>
      <c r="E15587" s="2" t="str">
        <f>"9781803271620"</f>
        <v>9781803271620</v>
      </c>
      <c r="F15587" s="2" t="str">
        <f>"9781803271637"</f>
        <v>9781803271637</v>
      </c>
    </row>
    <row r="15588" spans="1:6" s="3" customFormat="1" ht="29.1" customHeight="1" x14ac:dyDescent="0.25">
      <c r="A15588" s="2" t="s">
        <v>31004</v>
      </c>
      <c r="B15588" s="2" t="s">
        <v>31005</v>
      </c>
      <c r="C15588" s="2" t="s">
        <v>746</v>
      </c>
      <c r="D15588" s="2" t="s">
        <v>606</v>
      </c>
      <c r="E15588" s="2" t="str">
        <f>"9781803271262"</f>
        <v>9781803271262</v>
      </c>
      <c r="F15588" s="2" t="str">
        <f>"9781803271279"</f>
        <v>9781803271279</v>
      </c>
    </row>
    <row r="15589" spans="1:6" s="3" customFormat="1" ht="29.1" customHeight="1" x14ac:dyDescent="0.25">
      <c r="A15589" s="2" t="s">
        <v>31006</v>
      </c>
      <c r="B15589" s="2" t="s">
        <v>31007</v>
      </c>
      <c r="C15589" s="2" t="s">
        <v>264</v>
      </c>
      <c r="D15589" s="2" t="s">
        <v>10883</v>
      </c>
      <c r="E15589" s="2" t="str">
        <f>"9781032040394"</f>
        <v>9781032040394</v>
      </c>
      <c r="F15589" s="2" t="str">
        <f>"9781000683578"</f>
        <v>9781000683578</v>
      </c>
    </row>
    <row r="15590" spans="1:6" s="3" customFormat="1" ht="29.1" customHeight="1" x14ac:dyDescent="0.25">
      <c r="A15590" s="2" t="s">
        <v>31008</v>
      </c>
      <c r="B15590" s="2" t="s">
        <v>31009</v>
      </c>
      <c r="C15590" s="2" t="s">
        <v>124</v>
      </c>
      <c r="D15590" s="2" t="s">
        <v>14507</v>
      </c>
      <c r="E15590" s="2" t="str">
        <f>"9781032218113"</f>
        <v>9781032218113</v>
      </c>
      <c r="F15590" s="2" t="str">
        <f>"9781000635515"</f>
        <v>9781000635515</v>
      </c>
    </row>
    <row r="15591" spans="1:6" s="3" customFormat="1" ht="29.1" customHeight="1" x14ac:dyDescent="0.25">
      <c r="A15591" s="2" t="s">
        <v>31010</v>
      </c>
      <c r="B15591" s="2" t="s">
        <v>31011</v>
      </c>
      <c r="C15591" s="2" t="s">
        <v>264</v>
      </c>
      <c r="D15591" s="2" t="s">
        <v>8591</v>
      </c>
      <c r="E15591" s="2" t="str">
        <f>"9781032057392"</f>
        <v>9781032057392</v>
      </c>
      <c r="F15591" s="2" t="str">
        <f>"9781000629064"</f>
        <v>9781000629064</v>
      </c>
    </row>
    <row r="15592" spans="1:6" s="3" customFormat="1" ht="29.1" customHeight="1" x14ac:dyDescent="0.25">
      <c r="A15592" s="2" t="s">
        <v>31012</v>
      </c>
      <c r="B15592" s="2" t="s">
        <v>31013</v>
      </c>
      <c r="C15592" s="2" t="s">
        <v>595</v>
      </c>
      <c r="D15592" s="2" t="s">
        <v>210</v>
      </c>
      <c r="E15592" s="2" t="str">
        <f>"9783631877760"</f>
        <v>9783631877760</v>
      </c>
      <c r="F15592" s="2" t="str">
        <f>"9783631880685"</f>
        <v>9783631880685</v>
      </c>
    </row>
    <row r="15593" spans="1:6" s="3" customFormat="1" ht="29.1" customHeight="1" x14ac:dyDescent="0.25">
      <c r="A15593" s="2" t="s">
        <v>31014</v>
      </c>
      <c r="B15593" s="2" t="s">
        <v>31015</v>
      </c>
      <c r="C15593" s="2" t="s">
        <v>595</v>
      </c>
      <c r="D15593" s="2" t="s">
        <v>210</v>
      </c>
      <c r="E15593" s="2" t="str">
        <f>"9783631868324"</f>
        <v>9783631868324</v>
      </c>
      <c r="F15593" s="2" t="str">
        <f>"9783631878095"</f>
        <v>9783631878095</v>
      </c>
    </row>
    <row r="15594" spans="1:6" s="3" customFormat="1" ht="29.1" customHeight="1" x14ac:dyDescent="0.25">
      <c r="A15594" s="2" t="s">
        <v>31016</v>
      </c>
      <c r="B15594" s="2" t="s">
        <v>31017</v>
      </c>
      <c r="C15594" s="2" t="s">
        <v>316</v>
      </c>
      <c r="D15594" s="2" t="s">
        <v>342</v>
      </c>
      <c r="E15594" s="2" t="str">
        <f>"9783036401447"</f>
        <v>9783036401447</v>
      </c>
      <c r="F15594" s="2" t="str">
        <f>"9783036411446"</f>
        <v>9783036411446</v>
      </c>
    </row>
    <row r="15595" spans="1:6" s="3" customFormat="1" ht="29.1" customHeight="1" x14ac:dyDescent="0.25">
      <c r="A15595" s="2" t="s">
        <v>31018</v>
      </c>
      <c r="B15595" s="2" t="s">
        <v>31019</v>
      </c>
      <c r="C15595" s="2" t="s">
        <v>124</v>
      </c>
      <c r="D15595" s="2" t="s">
        <v>183</v>
      </c>
      <c r="E15595" s="2" t="str">
        <f>"9780367511708"</f>
        <v>9780367511708</v>
      </c>
      <c r="F15595" s="2" t="str">
        <f>"9781000647693"</f>
        <v>9781000647693</v>
      </c>
    </row>
    <row r="15596" spans="1:6" s="3" customFormat="1" ht="29.1" customHeight="1" x14ac:dyDescent="0.25">
      <c r="A15596" s="2" t="s">
        <v>31020</v>
      </c>
      <c r="B15596" s="2" t="s">
        <v>31021</v>
      </c>
      <c r="C15596" s="2" t="s">
        <v>62</v>
      </c>
      <c r="D15596" s="2" t="s">
        <v>4783</v>
      </c>
      <c r="E15596" s="2" t="str">
        <f>"9783428174713"</f>
        <v>9783428174713</v>
      </c>
      <c r="F15596" s="2" t="str">
        <f>"9783428574711"</f>
        <v>9783428574711</v>
      </c>
    </row>
    <row r="15597" spans="1:6" s="3" customFormat="1" ht="29.1" customHeight="1" x14ac:dyDescent="0.25">
      <c r="A15597" s="2" t="s">
        <v>31022</v>
      </c>
      <c r="B15597" s="2" t="s">
        <v>31023</v>
      </c>
      <c r="C15597" s="2" t="s">
        <v>62</v>
      </c>
      <c r="D15597" s="2" t="s">
        <v>8553</v>
      </c>
      <c r="E15597" s="2" t="str">
        <f>"9783428185696"</f>
        <v>9783428185696</v>
      </c>
      <c r="F15597" s="2" t="str">
        <f>"9783428585694"</f>
        <v>9783428585694</v>
      </c>
    </row>
    <row r="15598" spans="1:6" s="3" customFormat="1" ht="29.1" customHeight="1" x14ac:dyDescent="0.25">
      <c r="A15598" s="2" t="s">
        <v>31024</v>
      </c>
      <c r="B15598" s="2" t="s">
        <v>31025</v>
      </c>
      <c r="C15598" s="2" t="s">
        <v>62</v>
      </c>
      <c r="D15598" s="2" t="s">
        <v>1864</v>
      </c>
      <c r="E15598" s="2" t="str">
        <f>"9783428175154"</f>
        <v>9783428175154</v>
      </c>
      <c r="F15598" s="2" t="str">
        <f>"9783428575152"</f>
        <v>9783428575152</v>
      </c>
    </row>
    <row r="15599" spans="1:6" s="3" customFormat="1" ht="29.1" customHeight="1" x14ac:dyDescent="0.25">
      <c r="A15599" s="2" t="s">
        <v>31024</v>
      </c>
      <c r="B15599" s="2" t="s">
        <v>31026</v>
      </c>
      <c r="C15599" s="2" t="s">
        <v>62</v>
      </c>
      <c r="D15599" s="2" t="s">
        <v>4783</v>
      </c>
      <c r="E15599" s="2" t="str">
        <f>"9783428175147"</f>
        <v>9783428175147</v>
      </c>
      <c r="F15599" s="2" t="str">
        <f>"9783428575145"</f>
        <v>9783428575145</v>
      </c>
    </row>
    <row r="15600" spans="1:6" s="3" customFormat="1" ht="29.1" customHeight="1" x14ac:dyDescent="0.25">
      <c r="A15600" s="2" t="s">
        <v>31024</v>
      </c>
      <c r="B15600" s="2" t="s">
        <v>31026</v>
      </c>
      <c r="C15600" s="2" t="s">
        <v>62</v>
      </c>
      <c r="D15600" s="2" t="s">
        <v>1864</v>
      </c>
      <c r="E15600" s="2" t="str">
        <f>"9783428175130"</f>
        <v>9783428175130</v>
      </c>
      <c r="F15600" s="2" t="str">
        <f>"9783428575138"</f>
        <v>9783428575138</v>
      </c>
    </row>
    <row r="15601" spans="1:6" s="3" customFormat="1" ht="29.1" customHeight="1" x14ac:dyDescent="0.25">
      <c r="A15601" s="2" t="s">
        <v>31027</v>
      </c>
      <c r="B15601" s="2" t="s">
        <v>31028</v>
      </c>
      <c r="C15601" s="2" t="s">
        <v>62</v>
      </c>
      <c r="D15601" s="2" t="s">
        <v>1864</v>
      </c>
      <c r="E15601" s="2" t="str">
        <f>"9783428175116"</f>
        <v>9783428175116</v>
      </c>
      <c r="F15601" s="2" t="str">
        <f>"9783428575114"</f>
        <v>9783428575114</v>
      </c>
    </row>
    <row r="15602" spans="1:6" s="3" customFormat="1" ht="29.1" customHeight="1" x14ac:dyDescent="0.25">
      <c r="A15602" s="2" t="s">
        <v>31029</v>
      </c>
      <c r="B15602" s="2" t="s">
        <v>31028</v>
      </c>
      <c r="C15602" s="2" t="s">
        <v>62</v>
      </c>
      <c r="D15602" s="2" t="s">
        <v>1864</v>
      </c>
      <c r="E15602" s="2" t="str">
        <f>"9783428175109"</f>
        <v>9783428175109</v>
      </c>
      <c r="F15602" s="2" t="str">
        <f>"9783428575107"</f>
        <v>9783428575107</v>
      </c>
    </row>
    <row r="15603" spans="1:6" s="3" customFormat="1" ht="29.1" customHeight="1" x14ac:dyDescent="0.25">
      <c r="A15603" s="2" t="s">
        <v>31030</v>
      </c>
      <c r="B15603" s="2" t="s">
        <v>31031</v>
      </c>
      <c r="C15603" s="2" t="s">
        <v>62</v>
      </c>
      <c r="D15603" s="2" t="s">
        <v>1864</v>
      </c>
      <c r="E15603" s="2" t="str">
        <f>"9783428175093"</f>
        <v>9783428175093</v>
      </c>
      <c r="F15603" s="2" t="str">
        <f>"9783428575091"</f>
        <v>9783428575091</v>
      </c>
    </row>
    <row r="15604" spans="1:6" s="3" customFormat="1" ht="29.1" customHeight="1" x14ac:dyDescent="0.25">
      <c r="A15604" s="2" t="s">
        <v>31032</v>
      </c>
      <c r="B15604" s="2" t="s">
        <v>31028</v>
      </c>
      <c r="C15604" s="2" t="s">
        <v>62</v>
      </c>
      <c r="D15604" s="2" t="s">
        <v>1864</v>
      </c>
      <c r="E15604" s="2" t="str">
        <f>"9783428175086"</f>
        <v>9783428175086</v>
      </c>
      <c r="F15604" s="2" t="str">
        <f>"9783428575084"</f>
        <v>9783428575084</v>
      </c>
    </row>
    <row r="15605" spans="1:6" s="3" customFormat="1" ht="29.1" customHeight="1" x14ac:dyDescent="0.25">
      <c r="A15605" s="2" t="s">
        <v>31033</v>
      </c>
      <c r="B15605" s="2" t="s">
        <v>31034</v>
      </c>
      <c r="C15605" s="2" t="s">
        <v>62</v>
      </c>
      <c r="D15605" s="2" t="s">
        <v>1463</v>
      </c>
      <c r="E15605" s="2" t="str">
        <f>"9783428175048"</f>
        <v>9783428175048</v>
      </c>
      <c r="F15605" s="2" t="str">
        <f>"9783428575046"</f>
        <v>9783428575046</v>
      </c>
    </row>
    <row r="15606" spans="1:6" s="3" customFormat="1" ht="29.1" customHeight="1" x14ac:dyDescent="0.25">
      <c r="A15606" s="2" t="s">
        <v>31033</v>
      </c>
      <c r="B15606" s="2" t="s">
        <v>31034</v>
      </c>
      <c r="C15606" s="2" t="s">
        <v>62</v>
      </c>
      <c r="D15606" s="2" t="s">
        <v>1463</v>
      </c>
      <c r="E15606" s="2" t="str">
        <f>"9783428175031"</f>
        <v>9783428175031</v>
      </c>
      <c r="F15606" s="2" t="str">
        <f>"9783428575039"</f>
        <v>9783428575039</v>
      </c>
    </row>
    <row r="15607" spans="1:6" s="3" customFormat="1" ht="29.1" customHeight="1" x14ac:dyDescent="0.25">
      <c r="A15607" s="2" t="s">
        <v>31033</v>
      </c>
      <c r="B15607" s="2" t="s">
        <v>31034</v>
      </c>
      <c r="C15607" s="2" t="s">
        <v>62</v>
      </c>
      <c r="D15607" s="2" t="s">
        <v>1463</v>
      </c>
      <c r="E15607" s="2" t="str">
        <f>"9783428175024"</f>
        <v>9783428175024</v>
      </c>
      <c r="F15607" s="2" t="str">
        <f>"9783428575022"</f>
        <v>9783428575022</v>
      </c>
    </row>
    <row r="15608" spans="1:6" s="3" customFormat="1" ht="29.1" customHeight="1" x14ac:dyDescent="0.25">
      <c r="A15608" s="2" t="s">
        <v>31033</v>
      </c>
      <c r="B15608" s="2" t="s">
        <v>31034</v>
      </c>
      <c r="C15608" s="2" t="s">
        <v>62</v>
      </c>
      <c r="D15608" s="2" t="s">
        <v>1463</v>
      </c>
      <c r="E15608" s="2" t="str">
        <f>"9783428175017"</f>
        <v>9783428175017</v>
      </c>
      <c r="F15608" s="2" t="str">
        <f>"9783428575015"</f>
        <v>9783428575015</v>
      </c>
    </row>
    <row r="15609" spans="1:6" s="3" customFormat="1" ht="29.1" customHeight="1" x14ac:dyDescent="0.25">
      <c r="A15609" s="2" t="s">
        <v>31035</v>
      </c>
      <c r="B15609" s="2" t="s">
        <v>30238</v>
      </c>
      <c r="C15609" s="2" t="s">
        <v>62</v>
      </c>
      <c r="D15609" s="2" t="s">
        <v>1209</v>
      </c>
      <c r="E15609" s="2" t="str">
        <f>"9783428175000"</f>
        <v>9783428175000</v>
      </c>
      <c r="F15609" s="2" t="str">
        <f>"9783428575008"</f>
        <v>9783428575008</v>
      </c>
    </row>
    <row r="15610" spans="1:6" s="3" customFormat="1" ht="29.1" customHeight="1" x14ac:dyDescent="0.25">
      <c r="A15610" s="2" t="s">
        <v>31036</v>
      </c>
      <c r="B15610" s="2" t="s">
        <v>31037</v>
      </c>
      <c r="C15610" s="2" t="s">
        <v>62</v>
      </c>
      <c r="D15610" s="2" t="s">
        <v>297</v>
      </c>
      <c r="E15610" s="2" t="str">
        <f>"9783428174997"</f>
        <v>9783428174997</v>
      </c>
      <c r="F15610" s="2" t="str">
        <f>"9783428574995"</f>
        <v>9783428574995</v>
      </c>
    </row>
    <row r="15611" spans="1:6" s="3" customFormat="1" ht="29.1" customHeight="1" x14ac:dyDescent="0.25">
      <c r="A15611" s="2" t="s">
        <v>31038</v>
      </c>
      <c r="B15611" s="2" t="s">
        <v>31039</v>
      </c>
      <c r="C15611" s="2" t="s">
        <v>62</v>
      </c>
      <c r="D15611" s="2" t="s">
        <v>5758</v>
      </c>
      <c r="E15611" s="2" t="str">
        <f>"9783428174980"</f>
        <v>9783428174980</v>
      </c>
      <c r="F15611" s="2" t="str">
        <f>"9783428574988"</f>
        <v>9783428574988</v>
      </c>
    </row>
    <row r="15612" spans="1:6" s="3" customFormat="1" ht="29.1" customHeight="1" x14ac:dyDescent="0.25">
      <c r="A15612" s="2" t="s">
        <v>31040</v>
      </c>
      <c r="B15612" s="2" t="s">
        <v>31041</v>
      </c>
      <c r="C15612" s="2" t="s">
        <v>62</v>
      </c>
      <c r="D15612" s="2" t="s">
        <v>5758</v>
      </c>
      <c r="E15612" s="2" t="str">
        <f>"9783428174973"</f>
        <v>9783428174973</v>
      </c>
      <c r="F15612" s="2" t="str">
        <f>"9783428574971"</f>
        <v>9783428574971</v>
      </c>
    </row>
    <row r="15613" spans="1:6" s="3" customFormat="1" ht="29.1" customHeight="1" x14ac:dyDescent="0.25">
      <c r="A15613" s="2" t="s">
        <v>31042</v>
      </c>
      <c r="B15613" s="2" t="s">
        <v>31043</v>
      </c>
      <c r="C15613" s="2" t="s">
        <v>62</v>
      </c>
      <c r="D15613" s="2" t="s">
        <v>5758</v>
      </c>
      <c r="E15613" s="2" t="str">
        <f>"9783428174966"</f>
        <v>9783428174966</v>
      </c>
      <c r="F15613" s="2" t="str">
        <f>"9783428574964"</f>
        <v>9783428574964</v>
      </c>
    </row>
    <row r="15614" spans="1:6" s="3" customFormat="1" ht="29.1" customHeight="1" x14ac:dyDescent="0.25">
      <c r="A15614" s="2" t="s">
        <v>31044</v>
      </c>
      <c r="B15614" s="2" t="s">
        <v>31045</v>
      </c>
      <c r="C15614" s="2" t="s">
        <v>62</v>
      </c>
      <c r="D15614" s="2" t="s">
        <v>5758</v>
      </c>
      <c r="E15614" s="2" t="str">
        <f>"9783428174911"</f>
        <v>9783428174911</v>
      </c>
      <c r="F15614" s="2" t="str">
        <f>"9783428574919"</f>
        <v>9783428574919</v>
      </c>
    </row>
    <row r="15615" spans="1:6" s="3" customFormat="1" ht="29.1" customHeight="1" x14ac:dyDescent="0.25">
      <c r="A15615" s="2" t="s">
        <v>31046</v>
      </c>
      <c r="B15615" s="2" t="s">
        <v>31047</v>
      </c>
      <c r="C15615" s="2" t="s">
        <v>62</v>
      </c>
      <c r="D15615" s="2" t="s">
        <v>5758</v>
      </c>
      <c r="E15615" s="2" t="str">
        <f>"9783428174904"</f>
        <v>9783428174904</v>
      </c>
      <c r="F15615" s="2" t="str">
        <f>"9783428574902"</f>
        <v>9783428574902</v>
      </c>
    </row>
    <row r="15616" spans="1:6" s="3" customFormat="1" ht="29.1" customHeight="1" x14ac:dyDescent="0.25">
      <c r="A15616" s="2" t="s">
        <v>31048</v>
      </c>
      <c r="B15616" s="2" t="s">
        <v>31049</v>
      </c>
      <c r="C15616" s="2" t="s">
        <v>62</v>
      </c>
      <c r="D15616" s="2" t="s">
        <v>5758</v>
      </c>
      <c r="E15616" s="2" t="str">
        <f>"9783428174881"</f>
        <v>9783428174881</v>
      </c>
      <c r="F15616" s="2" t="str">
        <f>"9783428574889"</f>
        <v>9783428574889</v>
      </c>
    </row>
    <row r="15617" spans="1:6" s="3" customFormat="1" ht="29.1" customHeight="1" x14ac:dyDescent="0.25">
      <c r="A15617" s="2" t="s">
        <v>31050</v>
      </c>
      <c r="B15617" s="2" t="s">
        <v>31051</v>
      </c>
      <c r="C15617" s="2" t="s">
        <v>62</v>
      </c>
      <c r="D15617" s="2" t="s">
        <v>5758</v>
      </c>
      <c r="E15617" s="2" t="str">
        <f>"9783428174874"</f>
        <v>9783428174874</v>
      </c>
      <c r="F15617" s="2" t="str">
        <f>"9783428574872"</f>
        <v>9783428574872</v>
      </c>
    </row>
    <row r="15618" spans="1:6" s="3" customFormat="1" ht="29.1" customHeight="1" x14ac:dyDescent="0.25">
      <c r="A15618" s="2" t="s">
        <v>31052</v>
      </c>
      <c r="B15618" s="2" t="s">
        <v>30238</v>
      </c>
      <c r="C15618" s="2" t="s">
        <v>62</v>
      </c>
      <c r="D15618" s="2" t="s">
        <v>1228</v>
      </c>
      <c r="E15618" s="2" t="str">
        <f>"9783428174850"</f>
        <v>9783428174850</v>
      </c>
      <c r="F15618" s="2" t="str">
        <f>"9783428574858"</f>
        <v>9783428574858</v>
      </c>
    </row>
    <row r="15619" spans="1:6" s="3" customFormat="1" ht="29.1" customHeight="1" x14ac:dyDescent="0.25">
      <c r="A15619" s="2" t="s">
        <v>31053</v>
      </c>
      <c r="B15619" s="2" t="s">
        <v>30238</v>
      </c>
      <c r="C15619" s="2" t="s">
        <v>62</v>
      </c>
      <c r="D15619" s="2" t="s">
        <v>1228</v>
      </c>
      <c r="E15619" s="2" t="str">
        <f>"9783428174836"</f>
        <v>9783428174836</v>
      </c>
      <c r="F15619" s="2" t="str">
        <f>"9783428574834"</f>
        <v>9783428574834</v>
      </c>
    </row>
    <row r="15620" spans="1:6" s="3" customFormat="1" ht="29.1" customHeight="1" x14ac:dyDescent="0.25">
      <c r="A15620" s="2" t="s">
        <v>31054</v>
      </c>
      <c r="B15620" s="2" t="s">
        <v>31055</v>
      </c>
      <c r="C15620" s="2" t="s">
        <v>62</v>
      </c>
      <c r="D15620" s="2" t="s">
        <v>1228</v>
      </c>
      <c r="E15620" s="2" t="str">
        <f>"9783428174829"</f>
        <v>9783428174829</v>
      </c>
      <c r="F15620" s="2" t="str">
        <f>"9783428574827"</f>
        <v>9783428574827</v>
      </c>
    </row>
    <row r="15621" spans="1:6" s="3" customFormat="1" ht="29.1" customHeight="1" x14ac:dyDescent="0.25">
      <c r="A15621" s="2" t="s">
        <v>31056</v>
      </c>
      <c r="B15621" s="2" t="s">
        <v>30238</v>
      </c>
      <c r="C15621" s="2" t="s">
        <v>62</v>
      </c>
      <c r="D15621" s="2" t="s">
        <v>1228</v>
      </c>
      <c r="E15621" s="2" t="str">
        <f>"9783428174812"</f>
        <v>9783428174812</v>
      </c>
      <c r="F15621" s="2" t="str">
        <f>"9783428574810"</f>
        <v>9783428574810</v>
      </c>
    </row>
    <row r="15622" spans="1:6" s="3" customFormat="1" ht="29.1" customHeight="1" x14ac:dyDescent="0.25">
      <c r="A15622" s="2" t="s">
        <v>31057</v>
      </c>
      <c r="B15622" s="2" t="s">
        <v>31058</v>
      </c>
      <c r="C15622" s="2" t="s">
        <v>62</v>
      </c>
      <c r="D15622" s="2" t="s">
        <v>1864</v>
      </c>
      <c r="E15622" s="2" t="str">
        <f>"9783428174805"</f>
        <v>9783428174805</v>
      </c>
      <c r="F15622" s="2" t="str">
        <f>"9783428574803"</f>
        <v>9783428574803</v>
      </c>
    </row>
    <row r="15623" spans="1:6" s="3" customFormat="1" ht="29.1" customHeight="1" x14ac:dyDescent="0.25">
      <c r="A15623" s="2" t="s">
        <v>31059</v>
      </c>
      <c r="B15623" s="2" t="s">
        <v>31021</v>
      </c>
      <c r="C15623" s="2" t="s">
        <v>62</v>
      </c>
      <c r="D15623" s="2" t="s">
        <v>1864</v>
      </c>
      <c r="E15623" s="2" t="str">
        <f>"9783428174799"</f>
        <v>9783428174799</v>
      </c>
      <c r="F15623" s="2" t="str">
        <f>"9783428574797"</f>
        <v>9783428574797</v>
      </c>
    </row>
    <row r="15624" spans="1:6" s="3" customFormat="1" ht="29.1" customHeight="1" x14ac:dyDescent="0.25">
      <c r="A15624" s="2" t="s">
        <v>31059</v>
      </c>
      <c r="B15624" s="2" t="s">
        <v>31021</v>
      </c>
      <c r="C15624" s="2" t="s">
        <v>62</v>
      </c>
      <c r="D15624" s="2" t="s">
        <v>1864</v>
      </c>
      <c r="E15624" s="2" t="str">
        <f>"9783428174782"</f>
        <v>9783428174782</v>
      </c>
      <c r="F15624" s="2" t="str">
        <f>"9783428574780"</f>
        <v>9783428574780</v>
      </c>
    </row>
    <row r="15625" spans="1:6" s="3" customFormat="1" ht="29.1" customHeight="1" x14ac:dyDescent="0.25">
      <c r="A15625" s="2" t="s">
        <v>31020</v>
      </c>
      <c r="B15625" s="2" t="s">
        <v>31021</v>
      </c>
      <c r="C15625" s="2" t="s">
        <v>62</v>
      </c>
      <c r="D15625" s="2" t="s">
        <v>4783</v>
      </c>
      <c r="E15625" s="2" t="str">
        <f>"9783428174737"</f>
        <v>9783428174737</v>
      </c>
      <c r="F15625" s="2" t="str">
        <f>"9783428574735"</f>
        <v>9783428574735</v>
      </c>
    </row>
    <row r="15626" spans="1:6" s="3" customFormat="1" ht="29.1" customHeight="1" x14ac:dyDescent="0.25">
      <c r="A15626" s="2" t="s">
        <v>31020</v>
      </c>
      <c r="B15626" s="2" t="s">
        <v>31021</v>
      </c>
      <c r="C15626" s="2" t="s">
        <v>62</v>
      </c>
      <c r="D15626" s="2" t="s">
        <v>4783</v>
      </c>
      <c r="E15626" s="2" t="str">
        <f>"9783428174720"</f>
        <v>9783428174720</v>
      </c>
      <c r="F15626" s="2" t="str">
        <f>"9783428574728"</f>
        <v>9783428574728</v>
      </c>
    </row>
    <row r="15627" spans="1:6" s="3" customFormat="1" ht="29.1" customHeight="1" x14ac:dyDescent="0.25">
      <c r="A15627" s="2" t="s">
        <v>31060</v>
      </c>
      <c r="B15627" s="2" t="s">
        <v>31061</v>
      </c>
      <c r="C15627" s="2" t="s">
        <v>62</v>
      </c>
      <c r="D15627" s="2" t="s">
        <v>5758</v>
      </c>
      <c r="E15627" s="2" t="str">
        <f>"9783428174706"</f>
        <v>9783428174706</v>
      </c>
      <c r="F15627" s="2" t="str">
        <f>"9783428574704"</f>
        <v>9783428574704</v>
      </c>
    </row>
    <row r="15628" spans="1:6" s="3" customFormat="1" ht="29.1" customHeight="1" x14ac:dyDescent="0.25">
      <c r="A15628" s="2" t="s">
        <v>31062</v>
      </c>
      <c r="B15628" s="2" t="s">
        <v>31063</v>
      </c>
      <c r="C15628" s="2" t="s">
        <v>62</v>
      </c>
      <c r="D15628" s="2" t="s">
        <v>5758</v>
      </c>
      <c r="E15628" s="2" t="str">
        <f>"9783428174690"</f>
        <v>9783428174690</v>
      </c>
      <c r="F15628" s="2" t="str">
        <f>"9783428574698"</f>
        <v>9783428574698</v>
      </c>
    </row>
    <row r="15629" spans="1:6" s="3" customFormat="1" ht="29.1" customHeight="1" x14ac:dyDescent="0.25">
      <c r="A15629" s="2" t="s">
        <v>31064</v>
      </c>
      <c r="B15629" s="2" t="s">
        <v>30238</v>
      </c>
      <c r="C15629" s="2" t="s">
        <v>62</v>
      </c>
      <c r="D15629" s="2" t="s">
        <v>1228</v>
      </c>
      <c r="E15629" s="2" t="str">
        <f>"9783428174683"</f>
        <v>9783428174683</v>
      </c>
      <c r="F15629" s="2" t="str">
        <f>"9783428574681"</f>
        <v>9783428574681</v>
      </c>
    </row>
    <row r="15630" spans="1:6" s="3" customFormat="1" ht="29.1" customHeight="1" x14ac:dyDescent="0.25">
      <c r="A15630" s="2" t="s">
        <v>30235</v>
      </c>
      <c r="B15630" s="2" t="s">
        <v>31065</v>
      </c>
      <c r="C15630" s="2" t="s">
        <v>62</v>
      </c>
      <c r="D15630" s="2" t="s">
        <v>1228</v>
      </c>
      <c r="E15630" s="2" t="str">
        <f>"9783428174669"</f>
        <v>9783428174669</v>
      </c>
      <c r="F15630" s="2" t="str">
        <f>"9783428574667"</f>
        <v>9783428574667</v>
      </c>
    </row>
    <row r="15631" spans="1:6" s="3" customFormat="1" ht="29.1" customHeight="1" x14ac:dyDescent="0.25">
      <c r="A15631" s="2" t="s">
        <v>31066</v>
      </c>
      <c r="B15631" s="2" t="s">
        <v>31067</v>
      </c>
      <c r="C15631" s="2" t="s">
        <v>62</v>
      </c>
      <c r="D15631" s="2" t="s">
        <v>1651</v>
      </c>
      <c r="E15631" s="2" t="str">
        <f>"9783428174652"</f>
        <v>9783428174652</v>
      </c>
      <c r="F15631" s="2" t="str">
        <f>"9783428574650"</f>
        <v>9783428574650</v>
      </c>
    </row>
    <row r="15632" spans="1:6" s="3" customFormat="1" ht="29.1" customHeight="1" x14ac:dyDescent="0.25">
      <c r="A15632" s="2" t="s">
        <v>31068</v>
      </c>
      <c r="B15632" s="2" t="s">
        <v>31069</v>
      </c>
      <c r="C15632" s="2" t="s">
        <v>62</v>
      </c>
      <c r="D15632" s="2" t="s">
        <v>1651</v>
      </c>
      <c r="E15632" s="2" t="str">
        <f>"9783428174645"</f>
        <v>9783428174645</v>
      </c>
      <c r="F15632" s="2" t="str">
        <f>"9783428574643"</f>
        <v>9783428574643</v>
      </c>
    </row>
    <row r="15633" spans="1:6" s="3" customFormat="1" ht="29.1" customHeight="1" x14ac:dyDescent="0.25">
      <c r="A15633" s="2" t="s">
        <v>31070</v>
      </c>
      <c r="B15633" s="2" t="s">
        <v>31071</v>
      </c>
      <c r="C15633" s="2" t="s">
        <v>62</v>
      </c>
      <c r="D15633" s="2" t="s">
        <v>1651</v>
      </c>
      <c r="E15633" s="2" t="str">
        <f>"9783428174638"</f>
        <v>9783428174638</v>
      </c>
      <c r="F15633" s="2" t="str">
        <f>"9783428574636"</f>
        <v>9783428574636</v>
      </c>
    </row>
    <row r="15634" spans="1:6" s="3" customFormat="1" ht="29.1" customHeight="1" x14ac:dyDescent="0.25">
      <c r="A15634" s="2" t="s">
        <v>31072</v>
      </c>
      <c r="B15634" s="2" t="s">
        <v>31034</v>
      </c>
      <c r="C15634" s="2" t="s">
        <v>62</v>
      </c>
      <c r="D15634" s="2" t="s">
        <v>1228</v>
      </c>
      <c r="E15634" s="2" t="str">
        <f>"9783428174478"</f>
        <v>9783428174478</v>
      </c>
      <c r="F15634" s="2" t="str">
        <f>"9783428574476"</f>
        <v>9783428574476</v>
      </c>
    </row>
    <row r="15635" spans="1:6" s="3" customFormat="1" ht="29.1" customHeight="1" x14ac:dyDescent="0.25">
      <c r="A15635" s="2" t="s">
        <v>31024</v>
      </c>
      <c r="B15635" s="2" t="s">
        <v>31026</v>
      </c>
      <c r="C15635" s="2" t="s">
        <v>62</v>
      </c>
      <c r="D15635" s="2" t="s">
        <v>1864</v>
      </c>
      <c r="E15635" s="2" t="str">
        <f>"9783428165698"</f>
        <v>9783428165698</v>
      </c>
      <c r="F15635" s="2" t="str">
        <f>"9783428565696"</f>
        <v>9783428565696</v>
      </c>
    </row>
    <row r="15636" spans="1:6" s="3" customFormat="1" ht="29.1" customHeight="1" x14ac:dyDescent="0.25">
      <c r="A15636" s="2" t="s">
        <v>31073</v>
      </c>
      <c r="B15636" s="2" t="s">
        <v>31074</v>
      </c>
      <c r="C15636" s="2" t="s">
        <v>927</v>
      </c>
      <c r="D15636" s="2" t="s">
        <v>270</v>
      </c>
      <c r="E15636" s="2" t="str">
        <f>"9780472038985"</f>
        <v>9780472038985</v>
      </c>
      <c r="F15636" s="2" t="str">
        <f>"9780472902781"</f>
        <v>9780472902781</v>
      </c>
    </row>
    <row r="15637" spans="1:6" s="3" customFormat="1" ht="29.1" customHeight="1" x14ac:dyDescent="0.25">
      <c r="A15637" s="2" t="s">
        <v>31075</v>
      </c>
      <c r="B15637" s="2" t="s">
        <v>31076</v>
      </c>
      <c r="C15637" s="2" t="s">
        <v>124</v>
      </c>
      <c r="D15637" s="2" t="s">
        <v>353</v>
      </c>
      <c r="E15637" s="2" t="str">
        <f>"9781032274782"</f>
        <v>9781032274782</v>
      </c>
      <c r="F15637" s="2" t="str">
        <f>"9781000648041"</f>
        <v>9781000648041</v>
      </c>
    </row>
    <row r="15638" spans="1:6" s="3" customFormat="1" ht="29.1" customHeight="1" x14ac:dyDescent="0.25">
      <c r="A15638" s="2" t="s">
        <v>31077</v>
      </c>
      <c r="B15638" s="2" t="s">
        <v>31078</v>
      </c>
      <c r="C15638" s="2" t="s">
        <v>195</v>
      </c>
      <c r="D15638" s="2" t="s">
        <v>436</v>
      </c>
      <c r="E15638" s="2" t="str">
        <f>"9783110770704"</f>
        <v>9783110770704</v>
      </c>
      <c r="F15638" s="2" t="str">
        <f>"9783110772388"</f>
        <v>9783110772388</v>
      </c>
    </row>
    <row r="15639" spans="1:6" s="3" customFormat="1" ht="29.1" customHeight="1" x14ac:dyDescent="0.25">
      <c r="A15639" s="2" t="s">
        <v>31079</v>
      </c>
      <c r="B15639" s="2" t="s">
        <v>31080</v>
      </c>
      <c r="C15639" s="2" t="s">
        <v>195</v>
      </c>
      <c r="D15639" s="2" t="s">
        <v>20003</v>
      </c>
      <c r="E15639" s="2" t="str">
        <f>"9783110722413"</f>
        <v>9783110722413</v>
      </c>
      <c r="F15639" s="2" t="str">
        <f>"9783110722819"</f>
        <v>9783110722819</v>
      </c>
    </row>
    <row r="15640" spans="1:6" s="3" customFormat="1" ht="29.1" customHeight="1" x14ac:dyDescent="0.25">
      <c r="A15640" s="2" t="s">
        <v>31081</v>
      </c>
      <c r="B15640" s="2" t="s">
        <v>31082</v>
      </c>
      <c r="C15640" s="2" t="s">
        <v>195</v>
      </c>
      <c r="D15640" s="2" t="s">
        <v>218</v>
      </c>
      <c r="E15640" s="2" t="str">
        <f>"9783110731279"</f>
        <v>9783110731279</v>
      </c>
      <c r="F15640" s="2" t="str">
        <f>"9783110729740"</f>
        <v>9783110729740</v>
      </c>
    </row>
    <row r="15641" spans="1:6" s="3" customFormat="1" ht="29.1" customHeight="1" x14ac:dyDescent="0.25">
      <c r="A15641" s="2" t="s">
        <v>31083</v>
      </c>
      <c r="B15641" s="2" t="s">
        <v>31085</v>
      </c>
      <c r="C15641" s="2" t="s">
        <v>195</v>
      </c>
      <c r="D15641" s="2" t="s">
        <v>31084</v>
      </c>
      <c r="E15641" s="2" t="str">
        <f>"9783110758221"</f>
        <v>9783110758221</v>
      </c>
      <c r="F15641" s="2" t="str">
        <f>"9783110758870"</f>
        <v>9783110758870</v>
      </c>
    </row>
    <row r="15642" spans="1:6" s="3" customFormat="1" ht="29.1" customHeight="1" x14ac:dyDescent="0.25">
      <c r="A15642" s="2" t="s">
        <v>31086</v>
      </c>
      <c r="B15642" s="2" t="s">
        <v>31087</v>
      </c>
      <c r="C15642" s="2" t="s">
        <v>195</v>
      </c>
      <c r="D15642" s="2" t="s">
        <v>3345</v>
      </c>
      <c r="E15642" s="2" t="str">
        <f>"9783110698459"</f>
        <v>9783110698459</v>
      </c>
      <c r="F15642" s="2" t="str">
        <f>"9783110698510"</f>
        <v>9783110698510</v>
      </c>
    </row>
    <row r="15643" spans="1:6" s="3" customFormat="1" ht="29.1" customHeight="1" x14ac:dyDescent="0.25">
      <c r="A15643" s="2" t="s">
        <v>31088</v>
      </c>
      <c r="B15643" s="2" t="s">
        <v>31089</v>
      </c>
      <c r="C15643" s="2" t="s">
        <v>26676</v>
      </c>
      <c r="D15643" s="2" t="s">
        <v>12699</v>
      </c>
      <c r="E15643" s="2" t="str">
        <f>"9781644698235"</f>
        <v>9781644698235</v>
      </c>
      <c r="F15643" s="2" t="str">
        <f>"9781644698273"</f>
        <v>9781644698273</v>
      </c>
    </row>
    <row r="15644" spans="1:6" s="3" customFormat="1" ht="29.1" customHeight="1" x14ac:dyDescent="0.25">
      <c r="A15644" s="2" t="s">
        <v>31090</v>
      </c>
      <c r="B15644" s="2" t="s">
        <v>31091</v>
      </c>
      <c r="C15644" s="2" t="s">
        <v>927</v>
      </c>
      <c r="D15644" s="2" t="s">
        <v>33</v>
      </c>
      <c r="E15644" s="2" t="str">
        <f>"9780472051199"</f>
        <v>9780472051199</v>
      </c>
      <c r="F15644" s="2" t="str">
        <f>"9780472900343"</f>
        <v>9780472900343</v>
      </c>
    </row>
    <row r="15645" spans="1:6" s="3" customFormat="1" ht="29.1" customHeight="1" x14ac:dyDescent="0.25">
      <c r="A15645" s="2" t="s">
        <v>31092</v>
      </c>
      <c r="B15645" s="2" t="s">
        <v>31093</v>
      </c>
      <c r="C15645" s="2" t="s">
        <v>927</v>
      </c>
      <c r="D15645" s="2" t="s">
        <v>297</v>
      </c>
      <c r="E15645" s="2" t="str">
        <f>"9780472051373"</f>
        <v>9780472051373</v>
      </c>
      <c r="F15645" s="2" t="str">
        <f>"9780472900312"</f>
        <v>9780472900312</v>
      </c>
    </row>
    <row r="15646" spans="1:6" s="3" customFormat="1" ht="29.1" customHeight="1" x14ac:dyDescent="0.25">
      <c r="A15646" s="2" t="s">
        <v>31094</v>
      </c>
      <c r="B15646" s="2" t="s">
        <v>31095</v>
      </c>
      <c r="C15646" s="2" t="s">
        <v>124</v>
      </c>
      <c r="D15646" s="2" t="s">
        <v>324</v>
      </c>
      <c r="E15646" s="2" t="str">
        <f>"9781032146300"</f>
        <v>9781032146300</v>
      </c>
      <c r="F15646" s="2" t="str">
        <f>"9781000652772"</f>
        <v>9781000652772</v>
      </c>
    </row>
    <row r="15647" spans="1:6" s="3" customFormat="1" ht="29.1" customHeight="1" x14ac:dyDescent="0.25">
      <c r="A15647" s="2" t="s">
        <v>31096</v>
      </c>
      <c r="B15647" s="2" t="s">
        <v>31097</v>
      </c>
      <c r="C15647" s="2" t="s">
        <v>927</v>
      </c>
      <c r="D15647" s="2" t="s">
        <v>270</v>
      </c>
      <c r="E15647" s="2" t="str">
        <f>"9780472055326"</f>
        <v>9780472055326</v>
      </c>
      <c r="F15647" s="2" t="str">
        <f>"9780472902866"</f>
        <v>9780472902866</v>
      </c>
    </row>
    <row r="15648" spans="1:6" s="3" customFormat="1" ht="29.1" customHeight="1" x14ac:dyDescent="0.25">
      <c r="A15648" s="2" t="s">
        <v>31098</v>
      </c>
      <c r="B15648" s="2" t="s">
        <v>31099</v>
      </c>
      <c r="C15648" s="2" t="s">
        <v>36</v>
      </c>
      <c r="D15648" s="2" t="s">
        <v>8639</v>
      </c>
      <c r="E15648" s="2" t="str">
        <f>"9781529222043"</f>
        <v>9781529222043</v>
      </c>
      <c r="F15648" s="2" t="str">
        <f>"9781529222074"</f>
        <v>9781529222074</v>
      </c>
    </row>
    <row r="15649" spans="1:6" s="3" customFormat="1" ht="29.1" customHeight="1" x14ac:dyDescent="0.25">
      <c r="A15649" s="2" t="s">
        <v>31100</v>
      </c>
      <c r="B15649" s="2" t="s">
        <v>31101</v>
      </c>
      <c r="C15649" s="2" t="s">
        <v>124</v>
      </c>
      <c r="D15649" s="2" t="s">
        <v>6798</v>
      </c>
      <c r="E15649" s="2" t="str">
        <f>"9781032200392"</f>
        <v>9781032200392</v>
      </c>
      <c r="F15649" s="2" t="str">
        <f>"9781000619812"</f>
        <v>9781000619812</v>
      </c>
    </row>
    <row r="15650" spans="1:6" s="3" customFormat="1" ht="29.1" customHeight="1" x14ac:dyDescent="0.25">
      <c r="A15650" s="2" t="s">
        <v>31102</v>
      </c>
      <c r="B15650" s="2" t="s">
        <v>31103</v>
      </c>
      <c r="C15650" s="2" t="s">
        <v>149</v>
      </c>
      <c r="D15650" s="2" t="s">
        <v>175</v>
      </c>
      <c r="E15650" s="2"/>
      <c r="F15650" s="2" t="str">
        <f>"9781800647688"</f>
        <v>9781800647688</v>
      </c>
    </row>
    <row r="15651" spans="1:6" s="3" customFormat="1" ht="29.1" customHeight="1" x14ac:dyDescent="0.25">
      <c r="A15651" s="2" t="s">
        <v>31104</v>
      </c>
      <c r="B15651" s="2" t="s">
        <v>31105</v>
      </c>
      <c r="C15651" s="2" t="s">
        <v>149</v>
      </c>
      <c r="D15651" s="2" t="s">
        <v>66</v>
      </c>
      <c r="E15651" s="2"/>
      <c r="F15651" s="2" t="str">
        <f>"9781800643765"</f>
        <v>9781800643765</v>
      </c>
    </row>
    <row r="15652" spans="1:6" s="3" customFormat="1" ht="29.1" customHeight="1" x14ac:dyDescent="0.25">
      <c r="A15652" s="2" t="s">
        <v>31106</v>
      </c>
      <c r="B15652" s="2" t="s">
        <v>31107</v>
      </c>
      <c r="C15652" s="2" t="s">
        <v>4788</v>
      </c>
      <c r="D15652" s="2" t="s">
        <v>8639</v>
      </c>
      <c r="E15652" s="2" t="str">
        <f>"9781474499460"</f>
        <v>9781474499460</v>
      </c>
      <c r="F15652" s="2" t="str">
        <f>"9781474499484"</f>
        <v>9781474499484</v>
      </c>
    </row>
    <row r="15653" spans="1:6" s="3" customFormat="1" ht="29.1" customHeight="1" x14ac:dyDescent="0.25">
      <c r="A15653" s="2" t="s">
        <v>31108</v>
      </c>
      <c r="B15653" s="2" t="s">
        <v>31109</v>
      </c>
      <c r="C15653" s="2" t="s">
        <v>4788</v>
      </c>
      <c r="D15653" s="2" t="s">
        <v>4789</v>
      </c>
      <c r="E15653" s="2" t="str">
        <f>"9781474481960"</f>
        <v>9781474481960</v>
      </c>
      <c r="F15653" s="2" t="str">
        <f>"9781474481984"</f>
        <v>9781474481984</v>
      </c>
    </row>
    <row r="15654" spans="1:6" s="3" customFormat="1" ht="29.1" customHeight="1" x14ac:dyDescent="0.25">
      <c r="A15654" s="2" t="s">
        <v>31110</v>
      </c>
      <c r="B15654" s="2" t="s">
        <v>31111</v>
      </c>
      <c r="C15654" s="2" t="s">
        <v>29</v>
      </c>
      <c r="D15654" s="2" t="s">
        <v>509</v>
      </c>
      <c r="E15654" s="2" t="str">
        <f>"9789004120853"</f>
        <v>9789004120853</v>
      </c>
      <c r="F15654" s="2" t="str">
        <f>"9789004453333"</f>
        <v>9789004453333</v>
      </c>
    </row>
    <row r="15655" spans="1:6" s="3" customFormat="1" ht="29.1" customHeight="1" x14ac:dyDescent="0.25">
      <c r="A15655" s="2" t="s">
        <v>31112</v>
      </c>
      <c r="B15655" s="2" t="s">
        <v>31113</v>
      </c>
      <c r="C15655" s="2" t="s">
        <v>124</v>
      </c>
      <c r="D15655" s="2" t="s">
        <v>22667</v>
      </c>
      <c r="E15655" s="2" t="str">
        <f>"9780367762544"</f>
        <v>9780367762544</v>
      </c>
      <c r="F15655" s="2" t="str">
        <f>"9781000619041"</f>
        <v>9781000619041</v>
      </c>
    </row>
    <row r="15656" spans="1:6" s="3" customFormat="1" ht="29.1" customHeight="1" x14ac:dyDescent="0.25">
      <c r="A15656" s="2" t="s">
        <v>31114</v>
      </c>
      <c r="B15656" s="2" t="s">
        <v>31115</v>
      </c>
      <c r="C15656" s="2" t="s">
        <v>62</v>
      </c>
      <c r="D15656" s="2" t="s">
        <v>4783</v>
      </c>
      <c r="E15656" s="2" t="str">
        <f>"9783428174454"</f>
        <v>9783428174454</v>
      </c>
      <c r="F15656" s="2" t="str">
        <f>"9783428574452"</f>
        <v>9783428574452</v>
      </c>
    </row>
    <row r="15657" spans="1:6" s="3" customFormat="1" ht="29.1" customHeight="1" x14ac:dyDescent="0.25">
      <c r="A15657" s="2" t="s">
        <v>31116</v>
      </c>
      <c r="B15657" s="2" t="s">
        <v>31034</v>
      </c>
      <c r="C15657" s="2" t="s">
        <v>62</v>
      </c>
      <c r="D15657" s="2" t="s">
        <v>1651</v>
      </c>
      <c r="E15657" s="2" t="str">
        <f>"9783428174423"</f>
        <v>9783428174423</v>
      </c>
      <c r="F15657" s="2" t="str">
        <f>"9783428574421"</f>
        <v>9783428574421</v>
      </c>
    </row>
    <row r="15658" spans="1:6" s="3" customFormat="1" ht="29.1" customHeight="1" x14ac:dyDescent="0.25">
      <c r="A15658" s="2" t="s">
        <v>31116</v>
      </c>
      <c r="B15658" s="2" t="s">
        <v>31034</v>
      </c>
      <c r="C15658" s="2" t="s">
        <v>62</v>
      </c>
      <c r="D15658" s="2" t="s">
        <v>1651</v>
      </c>
      <c r="E15658" s="2" t="str">
        <f>"9783428174393"</f>
        <v>9783428174393</v>
      </c>
      <c r="F15658" s="2" t="str">
        <f>"9783428574391"</f>
        <v>9783428574391</v>
      </c>
    </row>
    <row r="15659" spans="1:6" s="3" customFormat="1" ht="29.1" customHeight="1" x14ac:dyDescent="0.25">
      <c r="A15659" s="2" t="s">
        <v>31117</v>
      </c>
      <c r="B15659" s="2" t="s">
        <v>31118</v>
      </c>
      <c r="C15659" s="2" t="s">
        <v>62</v>
      </c>
      <c r="D15659" s="2" t="s">
        <v>4783</v>
      </c>
      <c r="E15659" s="2" t="str">
        <f>"9783428161263"</f>
        <v>9783428161263</v>
      </c>
      <c r="F15659" s="2" t="str">
        <f>"9783428561261"</f>
        <v>9783428561261</v>
      </c>
    </row>
    <row r="15660" spans="1:6" s="3" customFormat="1" ht="29.1" customHeight="1" x14ac:dyDescent="0.25">
      <c r="A15660" s="2" t="s">
        <v>31119</v>
      </c>
      <c r="B15660" s="2" t="s">
        <v>31120</v>
      </c>
      <c r="C15660" s="2" t="s">
        <v>62</v>
      </c>
      <c r="D15660" s="2" t="s">
        <v>7978</v>
      </c>
      <c r="E15660" s="2" t="str">
        <f>"9783428185276"</f>
        <v>9783428185276</v>
      </c>
      <c r="F15660" s="2" t="str">
        <f>"9783428585274"</f>
        <v>9783428585274</v>
      </c>
    </row>
    <row r="15661" spans="1:6" s="3" customFormat="1" ht="29.1" customHeight="1" x14ac:dyDescent="0.25">
      <c r="A15661" s="2" t="s">
        <v>31121</v>
      </c>
      <c r="B15661" s="2" t="s">
        <v>31122</v>
      </c>
      <c r="C15661" s="2" t="s">
        <v>62</v>
      </c>
      <c r="D15661" s="2" t="s">
        <v>4783</v>
      </c>
      <c r="E15661" s="2" t="str">
        <f>"9783428174621"</f>
        <v>9783428174621</v>
      </c>
      <c r="F15661" s="2" t="str">
        <f>"9783428574629"</f>
        <v>9783428574629</v>
      </c>
    </row>
    <row r="15662" spans="1:6" s="3" customFormat="1" ht="29.1" customHeight="1" x14ac:dyDescent="0.25">
      <c r="A15662" s="2" t="s">
        <v>31123</v>
      </c>
      <c r="B15662" s="2" t="s">
        <v>31124</v>
      </c>
      <c r="C15662" s="2" t="s">
        <v>62</v>
      </c>
      <c r="D15662" s="2" t="s">
        <v>1651</v>
      </c>
      <c r="E15662" s="2" t="str">
        <f>"9783428174614"</f>
        <v>9783428174614</v>
      </c>
      <c r="F15662" s="2" t="str">
        <f>"9783428574612"</f>
        <v>9783428574612</v>
      </c>
    </row>
    <row r="15663" spans="1:6" s="3" customFormat="1" ht="29.1" customHeight="1" x14ac:dyDescent="0.25">
      <c r="A15663" s="2" t="s">
        <v>31125</v>
      </c>
      <c r="B15663" s="2" t="s">
        <v>31122</v>
      </c>
      <c r="C15663" s="2" t="s">
        <v>62</v>
      </c>
      <c r="D15663" s="2" t="s">
        <v>4783</v>
      </c>
      <c r="E15663" s="2" t="str">
        <f>"9783428174607"</f>
        <v>9783428174607</v>
      </c>
      <c r="F15663" s="2" t="str">
        <f>"9783428574605"</f>
        <v>9783428574605</v>
      </c>
    </row>
    <row r="15664" spans="1:6" s="3" customFormat="1" ht="29.1" customHeight="1" x14ac:dyDescent="0.25">
      <c r="A15664" s="2" t="s">
        <v>31126</v>
      </c>
      <c r="B15664" s="2" t="s">
        <v>31127</v>
      </c>
      <c r="C15664" s="2" t="s">
        <v>62</v>
      </c>
      <c r="D15664" s="2" t="s">
        <v>4783</v>
      </c>
      <c r="E15664" s="2" t="str">
        <f>"9783428174591"</f>
        <v>9783428174591</v>
      </c>
      <c r="F15664" s="2" t="str">
        <f>"9783428574599"</f>
        <v>9783428574599</v>
      </c>
    </row>
    <row r="15665" spans="1:6" s="3" customFormat="1" ht="29.1" customHeight="1" x14ac:dyDescent="0.25">
      <c r="A15665" s="2" t="s">
        <v>31128</v>
      </c>
      <c r="B15665" s="2" t="s">
        <v>31129</v>
      </c>
      <c r="C15665" s="2" t="s">
        <v>62</v>
      </c>
      <c r="D15665" s="2" t="s">
        <v>4783</v>
      </c>
      <c r="E15665" s="2" t="str">
        <f>"9783428174584"</f>
        <v>9783428174584</v>
      </c>
      <c r="F15665" s="2" t="str">
        <f>"9783428574582"</f>
        <v>9783428574582</v>
      </c>
    </row>
    <row r="15666" spans="1:6" s="3" customFormat="1" ht="29.1" customHeight="1" x14ac:dyDescent="0.25">
      <c r="A15666" s="2" t="s">
        <v>31130</v>
      </c>
      <c r="B15666" s="2" t="s">
        <v>31131</v>
      </c>
      <c r="C15666" s="2" t="s">
        <v>62</v>
      </c>
      <c r="D15666" s="2" t="s">
        <v>1651</v>
      </c>
      <c r="E15666" s="2" t="str">
        <f>"9783428174577"</f>
        <v>9783428174577</v>
      </c>
      <c r="F15666" s="2" t="str">
        <f>"9783428574575"</f>
        <v>9783428574575</v>
      </c>
    </row>
    <row r="15667" spans="1:6" s="3" customFormat="1" ht="29.1" customHeight="1" x14ac:dyDescent="0.25">
      <c r="A15667" s="2" t="s">
        <v>31132</v>
      </c>
      <c r="B15667" s="2"/>
      <c r="C15667" s="2" t="s">
        <v>62</v>
      </c>
      <c r="D15667" s="2" t="s">
        <v>1651</v>
      </c>
      <c r="E15667" s="2" t="str">
        <f>"9783428174560"</f>
        <v>9783428174560</v>
      </c>
      <c r="F15667" s="2" t="str">
        <f>"9783428574568"</f>
        <v>9783428574568</v>
      </c>
    </row>
    <row r="15668" spans="1:6" s="3" customFormat="1" ht="29.1" customHeight="1" x14ac:dyDescent="0.25">
      <c r="A15668" s="2" t="s">
        <v>31133</v>
      </c>
      <c r="B15668" s="2" t="s">
        <v>31134</v>
      </c>
      <c r="C15668" s="2" t="s">
        <v>62</v>
      </c>
      <c r="D15668" s="2" t="s">
        <v>4783</v>
      </c>
      <c r="E15668" s="2" t="str">
        <f>"9783428174553"</f>
        <v>9783428174553</v>
      </c>
      <c r="F15668" s="2" t="str">
        <f>"9783428574551"</f>
        <v>9783428574551</v>
      </c>
    </row>
    <row r="15669" spans="1:6" s="3" customFormat="1" ht="29.1" customHeight="1" x14ac:dyDescent="0.25">
      <c r="A15669" s="2" t="s">
        <v>31135</v>
      </c>
      <c r="B15669" s="2" t="s">
        <v>31136</v>
      </c>
      <c r="C15669" s="2" t="s">
        <v>62</v>
      </c>
      <c r="D15669" s="2" t="s">
        <v>4783</v>
      </c>
      <c r="E15669" s="2" t="str">
        <f>"9783428174546"</f>
        <v>9783428174546</v>
      </c>
      <c r="F15669" s="2" t="str">
        <f>"9783428574544"</f>
        <v>9783428574544</v>
      </c>
    </row>
    <row r="15670" spans="1:6" s="3" customFormat="1" ht="29.1" customHeight="1" x14ac:dyDescent="0.25">
      <c r="A15670" s="2" t="s">
        <v>31137</v>
      </c>
      <c r="B15670" s="2" t="s">
        <v>30238</v>
      </c>
      <c r="C15670" s="2" t="s">
        <v>62</v>
      </c>
      <c r="D15670" s="2" t="s">
        <v>4783</v>
      </c>
      <c r="E15670" s="2" t="str">
        <f>"9783428174539"</f>
        <v>9783428174539</v>
      </c>
      <c r="F15670" s="2" t="str">
        <f>"9783428574537"</f>
        <v>9783428574537</v>
      </c>
    </row>
    <row r="15671" spans="1:6" s="3" customFormat="1" ht="29.1" customHeight="1" x14ac:dyDescent="0.25">
      <c r="A15671" s="2" t="s">
        <v>31137</v>
      </c>
      <c r="B15671" s="2" t="s">
        <v>30238</v>
      </c>
      <c r="C15671" s="2" t="s">
        <v>62</v>
      </c>
      <c r="D15671" s="2" t="s">
        <v>4783</v>
      </c>
      <c r="E15671" s="2" t="str">
        <f>"9783428174522"</f>
        <v>9783428174522</v>
      </c>
      <c r="F15671" s="2" t="str">
        <f>"9783428574520"</f>
        <v>9783428574520</v>
      </c>
    </row>
    <row r="15672" spans="1:6" s="3" customFormat="1" ht="29.1" customHeight="1" x14ac:dyDescent="0.25">
      <c r="A15672" s="2" t="s">
        <v>31072</v>
      </c>
      <c r="B15672" s="2" t="s">
        <v>31034</v>
      </c>
      <c r="C15672" s="2" t="s">
        <v>62</v>
      </c>
      <c r="D15672" s="2" t="s">
        <v>1228</v>
      </c>
      <c r="E15672" s="2" t="str">
        <f>"9783428174492"</f>
        <v>9783428174492</v>
      </c>
      <c r="F15672" s="2" t="str">
        <f>"9783428574490"</f>
        <v>9783428574490</v>
      </c>
    </row>
    <row r="15673" spans="1:6" s="3" customFormat="1" ht="29.1" customHeight="1" x14ac:dyDescent="0.25">
      <c r="A15673" s="2" t="s">
        <v>31138</v>
      </c>
      <c r="B15673" s="2" t="s">
        <v>31139</v>
      </c>
      <c r="C15673" s="2" t="s">
        <v>62</v>
      </c>
      <c r="D15673" s="2" t="s">
        <v>4783</v>
      </c>
      <c r="E15673" s="2" t="str">
        <f>"9783428174485"</f>
        <v>9783428174485</v>
      </c>
      <c r="F15673" s="2" t="str">
        <f>"9783428574483"</f>
        <v>9783428574483</v>
      </c>
    </row>
    <row r="15674" spans="1:6" s="3" customFormat="1" ht="29.1" customHeight="1" x14ac:dyDescent="0.25">
      <c r="A15674" s="2" t="s">
        <v>31072</v>
      </c>
      <c r="B15674" s="2" t="s">
        <v>31034</v>
      </c>
      <c r="C15674" s="2" t="s">
        <v>62</v>
      </c>
      <c r="D15674" s="2" t="s">
        <v>1228</v>
      </c>
      <c r="E15674" s="2" t="str">
        <f>"9783428174461"</f>
        <v>9783428174461</v>
      </c>
      <c r="F15674" s="2" t="str">
        <f>"9783428574469"</f>
        <v>9783428574469</v>
      </c>
    </row>
    <row r="15675" spans="1:6" s="3" customFormat="1" ht="29.1" customHeight="1" x14ac:dyDescent="0.25">
      <c r="A15675" s="2" t="s">
        <v>31140</v>
      </c>
      <c r="B15675" s="2" t="s">
        <v>31141</v>
      </c>
      <c r="C15675" s="2" t="s">
        <v>62</v>
      </c>
      <c r="D15675" s="2" t="s">
        <v>1651</v>
      </c>
      <c r="E15675" s="2" t="str">
        <f>"9783428174447"</f>
        <v>9783428174447</v>
      </c>
      <c r="F15675" s="2" t="str">
        <f>"9783428574445"</f>
        <v>9783428574445</v>
      </c>
    </row>
    <row r="15676" spans="1:6" s="3" customFormat="1" ht="29.1" customHeight="1" x14ac:dyDescent="0.25">
      <c r="A15676" s="2" t="s">
        <v>31142</v>
      </c>
      <c r="B15676" s="2" t="s">
        <v>31143</v>
      </c>
      <c r="C15676" s="2" t="s">
        <v>62</v>
      </c>
      <c r="D15676" s="2" t="s">
        <v>1651</v>
      </c>
      <c r="E15676" s="2" t="str">
        <f>"9783428174430"</f>
        <v>9783428174430</v>
      </c>
      <c r="F15676" s="2" t="str">
        <f>"9783428574438"</f>
        <v>9783428574438</v>
      </c>
    </row>
    <row r="15677" spans="1:6" s="3" customFormat="1" ht="29.1" customHeight="1" x14ac:dyDescent="0.25">
      <c r="A15677" s="2" t="s">
        <v>31144</v>
      </c>
      <c r="B15677" s="2" t="s">
        <v>31145</v>
      </c>
      <c r="C15677" s="2" t="s">
        <v>62</v>
      </c>
      <c r="D15677" s="2" t="s">
        <v>1651</v>
      </c>
      <c r="E15677" s="2" t="str">
        <f>"9783428174416"</f>
        <v>9783428174416</v>
      </c>
      <c r="F15677" s="2" t="str">
        <f>"9783428574414"</f>
        <v>9783428574414</v>
      </c>
    </row>
    <row r="15678" spans="1:6" s="3" customFormat="1" ht="29.1" customHeight="1" x14ac:dyDescent="0.25">
      <c r="A15678" s="2" t="s">
        <v>31146</v>
      </c>
      <c r="B15678" s="2" t="s">
        <v>31147</v>
      </c>
      <c r="C15678" s="2" t="s">
        <v>62</v>
      </c>
      <c r="D15678" s="2" t="s">
        <v>1651</v>
      </c>
      <c r="E15678" s="2" t="str">
        <f>"9783428174409"</f>
        <v>9783428174409</v>
      </c>
      <c r="F15678" s="2" t="str">
        <f>"9783428574407"</f>
        <v>9783428574407</v>
      </c>
    </row>
    <row r="15679" spans="1:6" s="3" customFormat="1" ht="29.1" customHeight="1" x14ac:dyDescent="0.25">
      <c r="A15679" s="2" t="s">
        <v>31148</v>
      </c>
      <c r="B15679" s="2" t="s">
        <v>31149</v>
      </c>
      <c r="C15679" s="2" t="s">
        <v>2133</v>
      </c>
      <c r="D15679" s="2" t="s">
        <v>270</v>
      </c>
      <c r="E15679" s="2" t="str">
        <f>"9781921862632"</f>
        <v>9781921862632</v>
      </c>
      <c r="F15679" s="2" t="str">
        <f>"9781921862649"</f>
        <v>9781921862649</v>
      </c>
    </row>
    <row r="15680" spans="1:6" s="3" customFormat="1" ht="29.1" customHeight="1" x14ac:dyDescent="0.25">
      <c r="A15680" s="2" t="s">
        <v>31150</v>
      </c>
      <c r="B15680" s="2" t="s">
        <v>31151</v>
      </c>
      <c r="C15680" s="2" t="s">
        <v>2133</v>
      </c>
      <c r="D15680" s="2" t="s">
        <v>501</v>
      </c>
      <c r="E15680" s="2" t="str">
        <f>"9781921862755"</f>
        <v>9781921862755</v>
      </c>
      <c r="F15680" s="2" t="str">
        <f>"9781921862762"</f>
        <v>9781921862762</v>
      </c>
    </row>
    <row r="15681" spans="1:6" s="3" customFormat="1" ht="29.1" customHeight="1" x14ac:dyDescent="0.25">
      <c r="A15681" s="2" t="s">
        <v>31152</v>
      </c>
      <c r="B15681" s="2" t="s">
        <v>31153</v>
      </c>
      <c r="C15681" s="2" t="s">
        <v>124</v>
      </c>
      <c r="D15681" s="2" t="s">
        <v>10433</v>
      </c>
      <c r="E15681" s="2" t="str">
        <f>"9780367522247"</f>
        <v>9780367522247</v>
      </c>
      <c r="F15681" s="2" t="str">
        <f>"9781000654844"</f>
        <v>9781000654844</v>
      </c>
    </row>
    <row r="15682" spans="1:6" s="3" customFormat="1" ht="29.1" customHeight="1" x14ac:dyDescent="0.25">
      <c r="A15682" s="2" t="s">
        <v>31154</v>
      </c>
      <c r="B15682" s="2" t="s">
        <v>31155</v>
      </c>
      <c r="C15682" s="2" t="s">
        <v>5050</v>
      </c>
      <c r="D15682" s="2" t="s">
        <v>13300</v>
      </c>
      <c r="E15682" s="2" t="str">
        <f>"9780824891817"</f>
        <v>9780824891817</v>
      </c>
      <c r="F15682" s="2" t="str">
        <f>"9780824891794"</f>
        <v>9780824891794</v>
      </c>
    </row>
    <row r="15683" spans="1:6" s="3" customFormat="1" ht="29.1" customHeight="1" x14ac:dyDescent="0.25">
      <c r="A15683" s="2" t="s">
        <v>31156</v>
      </c>
      <c r="B15683" s="2" t="s">
        <v>31157</v>
      </c>
      <c r="C15683" s="2" t="s">
        <v>248</v>
      </c>
      <c r="D15683" s="2" t="s">
        <v>2045</v>
      </c>
      <c r="E15683" s="2" t="str">
        <f>"9783966650458"</f>
        <v>9783966650458</v>
      </c>
      <c r="F15683" s="2" t="str">
        <f>"9783966659420"</f>
        <v>9783966659420</v>
      </c>
    </row>
    <row r="15684" spans="1:6" s="3" customFormat="1" ht="29.1" customHeight="1" x14ac:dyDescent="0.25">
      <c r="A15684" s="2" t="s">
        <v>31158</v>
      </c>
      <c r="B15684" s="2" t="s">
        <v>31159</v>
      </c>
      <c r="C15684" s="2" t="s">
        <v>195</v>
      </c>
      <c r="D15684" s="2" t="s">
        <v>6564</v>
      </c>
      <c r="E15684" s="2" t="str">
        <f>"9783110784589"</f>
        <v>9783110784589</v>
      </c>
      <c r="F15684" s="2" t="str">
        <f>"9783110784695"</f>
        <v>9783110784695</v>
      </c>
    </row>
    <row r="15685" spans="1:6" s="3" customFormat="1" ht="29.1" customHeight="1" x14ac:dyDescent="0.25">
      <c r="A15685" s="2" t="s">
        <v>31160</v>
      </c>
      <c r="B15685" s="2" t="s">
        <v>31161</v>
      </c>
      <c r="C15685" s="2" t="s">
        <v>195</v>
      </c>
      <c r="D15685" s="2" t="s">
        <v>431</v>
      </c>
      <c r="E15685" s="2" t="str">
        <f>"9783110770728"</f>
        <v>9783110770728</v>
      </c>
      <c r="F15685" s="2" t="str">
        <f>"9783110770773"</f>
        <v>9783110770773</v>
      </c>
    </row>
    <row r="15686" spans="1:6" s="3" customFormat="1" ht="29.1" customHeight="1" x14ac:dyDescent="0.25">
      <c r="A15686" s="2" t="s">
        <v>31162</v>
      </c>
      <c r="B15686" s="2" t="s">
        <v>31163</v>
      </c>
      <c r="C15686" s="2" t="s">
        <v>195</v>
      </c>
      <c r="D15686" s="2" t="s">
        <v>813</v>
      </c>
      <c r="E15686" s="2" t="str">
        <f>"9783110745726"</f>
        <v>9783110745726</v>
      </c>
      <c r="F15686" s="2" t="str">
        <f>"9783110746419"</f>
        <v>9783110746419</v>
      </c>
    </row>
    <row r="15687" spans="1:6" s="3" customFormat="1" ht="29.1" customHeight="1" x14ac:dyDescent="0.25">
      <c r="A15687" s="2" t="s">
        <v>31164</v>
      </c>
      <c r="B15687" s="2" t="s">
        <v>31165</v>
      </c>
      <c r="C15687" s="2" t="s">
        <v>195</v>
      </c>
      <c r="D15687" s="2" t="s">
        <v>1183</v>
      </c>
      <c r="E15687" s="2" t="str">
        <f>"9783110750713"</f>
        <v>9783110750713</v>
      </c>
      <c r="F15687" s="2" t="str">
        <f>"9783110750812"</f>
        <v>9783110750812</v>
      </c>
    </row>
    <row r="15688" spans="1:6" s="3" customFormat="1" ht="29.1" customHeight="1" x14ac:dyDescent="0.25">
      <c r="A15688" s="2" t="s">
        <v>31166</v>
      </c>
      <c r="B15688" s="2" t="s">
        <v>31167</v>
      </c>
      <c r="C15688" s="2" t="s">
        <v>195</v>
      </c>
      <c r="D15688" s="2" t="s">
        <v>2713</v>
      </c>
      <c r="E15688" s="2" t="str">
        <f>"9783110760705"</f>
        <v>9783110760705</v>
      </c>
      <c r="F15688" s="2" t="str">
        <f>"9783110760804"</f>
        <v>9783110760804</v>
      </c>
    </row>
    <row r="15689" spans="1:6" s="3" customFormat="1" ht="29.1" customHeight="1" x14ac:dyDescent="0.25">
      <c r="A15689" s="2" t="s">
        <v>31168</v>
      </c>
      <c r="B15689" s="2" t="s">
        <v>31169</v>
      </c>
      <c r="C15689" s="2" t="s">
        <v>195</v>
      </c>
      <c r="D15689" s="2" t="s">
        <v>33</v>
      </c>
      <c r="E15689" s="2" t="str">
        <f>"9783110764048"</f>
        <v>9783110764048</v>
      </c>
      <c r="F15689" s="2" t="str">
        <f>"9783110764185"</f>
        <v>9783110764185</v>
      </c>
    </row>
    <row r="15690" spans="1:6" s="3" customFormat="1" ht="29.1" customHeight="1" x14ac:dyDescent="0.25">
      <c r="A15690" s="2" t="s">
        <v>31170</v>
      </c>
      <c r="B15690" s="2" t="s">
        <v>31171</v>
      </c>
      <c r="C15690" s="2" t="s">
        <v>195</v>
      </c>
      <c r="D15690" s="2" t="s">
        <v>3166</v>
      </c>
      <c r="E15690" s="2" t="str">
        <f>"9783110718409"</f>
        <v>9783110718409</v>
      </c>
      <c r="F15690" s="2" t="str">
        <f>"9783110719444"</f>
        <v>9783110719444</v>
      </c>
    </row>
    <row r="15691" spans="1:6" s="3" customFormat="1" ht="29.1" customHeight="1" x14ac:dyDescent="0.25">
      <c r="A15691" s="2" t="s">
        <v>31172</v>
      </c>
      <c r="B15691" s="2" t="s">
        <v>31174</v>
      </c>
      <c r="C15691" s="2" t="s">
        <v>2129</v>
      </c>
      <c r="D15691" s="2" t="s">
        <v>31173</v>
      </c>
      <c r="E15691" s="2" t="str">
        <f>"9781438491288"</f>
        <v>9781438491288</v>
      </c>
      <c r="F15691" s="2" t="str">
        <f>"9781438491301"</f>
        <v>9781438491301</v>
      </c>
    </row>
    <row r="15692" spans="1:6" s="3" customFormat="1" ht="29.1" customHeight="1" x14ac:dyDescent="0.25">
      <c r="A15692" s="2" t="s">
        <v>31175</v>
      </c>
      <c r="B15692" s="2" t="s">
        <v>31176</v>
      </c>
      <c r="C15692" s="2" t="s">
        <v>124</v>
      </c>
      <c r="D15692" s="2" t="s">
        <v>1240</v>
      </c>
      <c r="E15692" s="2" t="str">
        <f>"9781032073897"</f>
        <v>9781032073897</v>
      </c>
      <c r="F15692" s="2" t="str">
        <f>"9781000644135"</f>
        <v>9781000644135</v>
      </c>
    </row>
    <row r="15693" spans="1:6" s="3" customFormat="1" ht="29.1" customHeight="1" x14ac:dyDescent="0.25">
      <c r="A15693" s="2" t="s">
        <v>31177</v>
      </c>
      <c r="B15693" s="2" t="s">
        <v>31178</v>
      </c>
      <c r="C15693" s="2" t="s">
        <v>124</v>
      </c>
      <c r="D15693" s="2" t="s">
        <v>5686</v>
      </c>
      <c r="E15693" s="2" t="str">
        <f>"9781032132341"</f>
        <v>9781032132341</v>
      </c>
      <c r="F15693" s="2" t="str">
        <f>"9781000643459"</f>
        <v>9781000643459</v>
      </c>
    </row>
    <row r="15694" spans="1:6" s="3" customFormat="1" ht="29.1" customHeight="1" x14ac:dyDescent="0.25">
      <c r="A15694" s="2" t="s">
        <v>31179</v>
      </c>
      <c r="B15694" s="2" t="s">
        <v>31180</v>
      </c>
      <c r="C15694" s="2" t="s">
        <v>248</v>
      </c>
      <c r="D15694" s="2" t="s">
        <v>24</v>
      </c>
      <c r="E15694" s="2" t="str">
        <f>"9783966650519"</f>
        <v>9783966650519</v>
      </c>
      <c r="F15694" s="2" t="str">
        <f>"9783966659475"</f>
        <v>9783966659475</v>
      </c>
    </row>
    <row r="15695" spans="1:6" s="3" customFormat="1" ht="29.1" customHeight="1" x14ac:dyDescent="0.25">
      <c r="A15695" s="2" t="s">
        <v>31181</v>
      </c>
      <c r="B15695" s="2" t="s">
        <v>31182</v>
      </c>
      <c r="C15695" s="2" t="s">
        <v>248</v>
      </c>
      <c r="D15695" s="2" t="s">
        <v>249</v>
      </c>
      <c r="E15695" s="2" t="str">
        <f>"9783847426134"</f>
        <v>9783847426134</v>
      </c>
      <c r="F15695" s="2" t="str">
        <f>"9783847417729"</f>
        <v>9783847417729</v>
      </c>
    </row>
    <row r="15696" spans="1:6" s="3" customFormat="1" ht="29.1" customHeight="1" x14ac:dyDescent="0.25">
      <c r="A15696" s="2" t="s">
        <v>31183</v>
      </c>
      <c r="B15696" s="2" t="s">
        <v>31184</v>
      </c>
      <c r="C15696" s="2" t="s">
        <v>248</v>
      </c>
      <c r="D15696" s="2" t="s">
        <v>9</v>
      </c>
      <c r="E15696" s="2" t="str">
        <f>"9783847425342"</f>
        <v>9783847425342</v>
      </c>
      <c r="F15696" s="2" t="str">
        <f>"9783847416821"</f>
        <v>9783847416821</v>
      </c>
    </row>
    <row r="15697" spans="1:6" s="3" customFormat="1" ht="29.1" customHeight="1" x14ac:dyDescent="0.25">
      <c r="A15697" s="2" t="s">
        <v>31185</v>
      </c>
      <c r="B15697" s="2" t="s">
        <v>31186</v>
      </c>
      <c r="C15697" s="2" t="s">
        <v>124</v>
      </c>
      <c r="D15697" s="2" t="s">
        <v>4210</v>
      </c>
      <c r="E15697" s="2" t="str">
        <f>"9781032309941"</f>
        <v>9781032309941</v>
      </c>
      <c r="F15697" s="2" t="str">
        <f>"9781000728934"</f>
        <v>9781000728934</v>
      </c>
    </row>
    <row r="15698" spans="1:6" s="3" customFormat="1" ht="29.1" customHeight="1" x14ac:dyDescent="0.25">
      <c r="A15698" s="2" t="s">
        <v>31187</v>
      </c>
      <c r="B15698" s="2" t="s">
        <v>31188</v>
      </c>
      <c r="C15698" s="2" t="s">
        <v>124</v>
      </c>
      <c r="D15698" s="2" t="s">
        <v>4016</v>
      </c>
      <c r="E15698" s="2" t="str">
        <f>"9781032051925"</f>
        <v>9781032051925</v>
      </c>
      <c r="F15698" s="2" t="str">
        <f>"9781000634877"</f>
        <v>9781000634877</v>
      </c>
    </row>
    <row r="15699" spans="1:6" s="3" customFormat="1" ht="29.1" customHeight="1" x14ac:dyDescent="0.25">
      <c r="A15699" s="2" t="s">
        <v>31189</v>
      </c>
      <c r="B15699" s="2" t="s">
        <v>31190</v>
      </c>
      <c r="C15699" s="2" t="s">
        <v>595</v>
      </c>
      <c r="D15699" s="2" t="s">
        <v>1999</v>
      </c>
      <c r="E15699" s="2" t="str">
        <f>"9783631882832"</f>
        <v>9783631882832</v>
      </c>
      <c r="F15699" s="2" t="str">
        <f>"9783631883136"</f>
        <v>9783631883136</v>
      </c>
    </row>
    <row r="15700" spans="1:6" s="3" customFormat="1" ht="29.1" customHeight="1" x14ac:dyDescent="0.25">
      <c r="A15700" s="2" t="s">
        <v>31191</v>
      </c>
      <c r="B15700" s="2" t="s">
        <v>31192</v>
      </c>
      <c r="C15700" s="2" t="s">
        <v>885</v>
      </c>
      <c r="D15700" s="2" t="s">
        <v>596</v>
      </c>
      <c r="E15700" s="2" t="str">
        <f>"9781487540944"</f>
        <v>9781487540944</v>
      </c>
      <c r="F15700" s="2" t="str">
        <f>"9781487540968"</f>
        <v>9781487540968</v>
      </c>
    </row>
    <row r="15701" spans="1:6" s="3" customFormat="1" ht="29.1" customHeight="1" x14ac:dyDescent="0.25">
      <c r="A15701" s="2" t="s">
        <v>31193</v>
      </c>
      <c r="B15701" s="2" t="s">
        <v>31194</v>
      </c>
      <c r="C15701" s="2" t="s">
        <v>264</v>
      </c>
      <c r="D15701" s="2" t="s">
        <v>3567</v>
      </c>
      <c r="E15701" s="2" t="str">
        <f>"9780367146382"</f>
        <v>9780367146382</v>
      </c>
      <c r="F15701" s="2" t="str">
        <f>"9780429052842"</f>
        <v>9780429052842</v>
      </c>
    </row>
    <row r="15702" spans="1:6" s="3" customFormat="1" ht="29.1" customHeight="1" x14ac:dyDescent="0.25">
      <c r="A15702" s="2" t="s">
        <v>31195</v>
      </c>
      <c r="B15702" s="2" t="s">
        <v>31196</v>
      </c>
      <c r="C15702" s="2" t="s">
        <v>124</v>
      </c>
      <c r="D15702" s="2" t="s">
        <v>2307</v>
      </c>
      <c r="E15702" s="2" t="str">
        <f>"9781032260754"</f>
        <v>9781032260754</v>
      </c>
      <c r="F15702" s="2" t="str">
        <f>"9781000625233"</f>
        <v>9781000625233</v>
      </c>
    </row>
    <row r="15703" spans="1:6" s="3" customFormat="1" ht="29.1" customHeight="1" x14ac:dyDescent="0.25">
      <c r="A15703" s="2" t="s">
        <v>31197</v>
      </c>
      <c r="B15703" s="2" t="s">
        <v>31198</v>
      </c>
      <c r="C15703" s="2" t="s">
        <v>36</v>
      </c>
      <c r="D15703" s="2" t="s">
        <v>183</v>
      </c>
      <c r="E15703" s="2" t="str">
        <f>"9781529217223"</f>
        <v>9781529217223</v>
      </c>
      <c r="F15703" s="2" t="str">
        <f>"9781529217254"</f>
        <v>9781529217254</v>
      </c>
    </row>
    <row r="15704" spans="1:6" s="3" customFormat="1" ht="29.1" customHeight="1" x14ac:dyDescent="0.25">
      <c r="A15704" s="2" t="s">
        <v>31199</v>
      </c>
      <c r="B15704" s="2" t="s">
        <v>31200</v>
      </c>
      <c r="C15704" s="2" t="s">
        <v>264</v>
      </c>
      <c r="D15704" s="2" t="s">
        <v>15880</v>
      </c>
      <c r="E15704" s="2" t="str">
        <f>"9781032280875"</f>
        <v>9781032280875</v>
      </c>
      <c r="F15704" s="2" t="str">
        <f>"9781000635966"</f>
        <v>9781000635966</v>
      </c>
    </row>
    <row r="15705" spans="1:6" s="3" customFormat="1" ht="29.1" customHeight="1" x14ac:dyDescent="0.25">
      <c r="A15705" s="2" t="s">
        <v>31201</v>
      </c>
      <c r="B15705" s="2" t="s">
        <v>31203</v>
      </c>
      <c r="C15705" s="2" t="s">
        <v>124</v>
      </c>
      <c r="D15705" s="2" t="s">
        <v>31202</v>
      </c>
      <c r="E15705" s="2" t="str">
        <f>"9781032051000"</f>
        <v>9781032051000</v>
      </c>
      <c r="F15705" s="2" t="str">
        <f>"9781000636499"</f>
        <v>9781000636499</v>
      </c>
    </row>
    <row r="15706" spans="1:6" s="3" customFormat="1" ht="29.1" customHeight="1" x14ac:dyDescent="0.25">
      <c r="A15706" s="2" t="s">
        <v>31204</v>
      </c>
      <c r="B15706" s="2" t="s">
        <v>31205</v>
      </c>
      <c r="C15706" s="2" t="s">
        <v>950</v>
      </c>
      <c r="D15706" s="2" t="s">
        <v>836</v>
      </c>
      <c r="E15706" s="2"/>
      <c r="F15706" s="2" t="str">
        <f>"9788411222204"</f>
        <v>9788411222204</v>
      </c>
    </row>
    <row r="15707" spans="1:6" s="3" customFormat="1" ht="29.1" customHeight="1" x14ac:dyDescent="0.25">
      <c r="A15707" s="2" t="s">
        <v>31206</v>
      </c>
      <c r="B15707" s="2" t="s">
        <v>31207</v>
      </c>
      <c r="C15707" s="2" t="s">
        <v>950</v>
      </c>
      <c r="D15707" s="2" t="s">
        <v>175</v>
      </c>
      <c r="E15707" s="2"/>
      <c r="F15707" s="2" t="str">
        <f>"9788411220750"</f>
        <v>9788411220750</v>
      </c>
    </row>
    <row r="15708" spans="1:6" s="3" customFormat="1" ht="29.1" customHeight="1" x14ac:dyDescent="0.25">
      <c r="A15708" s="2" t="s">
        <v>31208</v>
      </c>
      <c r="B15708" s="2" t="s">
        <v>31209</v>
      </c>
      <c r="C15708" s="2" t="s">
        <v>950</v>
      </c>
      <c r="D15708" s="2" t="s">
        <v>101</v>
      </c>
      <c r="E15708" s="2"/>
      <c r="F15708" s="2" t="str">
        <f>"9788411220743"</f>
        <v>9788411220743</v>
      </c>
    </row>
    <row r="15709" spans="1:6" s="3" customFormat="1" ht="29.1" customHeight="1" x14ac:dyDescent="0.25">
      <c r="A15709" s="2" t="s">
        <v>31210</v>
      </c>
      <c r="B15709" s="2" t="s">
        <v>31211</v>
      </c>
      <c r="C15709" s="2" t="s">
        <v>316</v>
      </c>
      <c r="D15709" s="2" t="s">
        <v>2697</v>
      </c>
      <c r="E15709" s="2" t="str">
        <f>"9783036400976"</f>
        <v>9783036400976</v>
      </c>
      <c r="F15709" s="2" t="str">
        <f>"9783036410975"</f>
        <v>9783036410975</v>
      </c>
    </row>
    <row r="15710" spans="1:6" s="3" customFormat="1" ht="29.1" customHeight="1" x14ac:dyDescent="0.25">
      <c r="A15710" s="2" t="s">
        <v>31212</v>
      </c>
      <c r="B15710" s="2" t="s">
        <v>31213</v>
      </c>
      <c r="C15710" s="2" t="s">
        <v>2133</v>
      </c>
      <c r="D15710" s="2" t="s">
        <v>5480</v>
      </c>
      <c r="E15710" s="2" t="str">
        <f>"9781760465186"</f>
        <v>9781760465186</v>
      </c>
      <c r="F15710" s="2" t="str">
        <f>"9781760465193"</f>
        <v>9781760465193</v>
      </c>
    </row>
    <row r="15711" spans="1:6" s="3" customFormat="1" ht="29.1" customHeight="1" x14ac:dyDescent="0.25">
      <c r="A15711" s="2" t="s">
        <v>31214</v>
      </c>
      <c r="B15711" s="2" t="s">
        <v>31215</v>
      </c>
      <c r="C15711" s="2" t="s">
        <v>927</v>
      </c>
      <c r="D15711" s="2" t="s">
        <v>402</v>
      </c>
      <c r="E15711" s="2" t="str">
        <f>"9780472055159"</f>
        <v>9780472055159</v>
      </c>
      <c r="F15711" s="2" t="str">
        <f>"9780472902682"</f>
        <v>9780472902682</v>
      </c>
    </row>
    <row r="15712" spans="1:6" s="3" customFormat="1" ht="29.1" customHeight="1" x14ac:dyDescent="0.25">
      <c r="A15712" s="2" t="s">
        <v>31216</v>
      </c>
      <c r="B15712" s="2" t="s">
        <v>31217</v>
      </c>
      <c r="C15712" s="2" t="s">
        <v>62</v>
      </c>
      <c r="D15712" s="2" t="s">
        <v>339</v>
      </c>
      <c r="E15712" s="2" t="str">
        <f>"9783428186372"</f>
        <v>9783428186372</v>
      </c>
      <c r="F15712" s="2" t="str">
        <f>"9783428586370"</f>
        <v>9783428586370</v>
      </c>
    </row>
    <row r="15713" spans="1:6" s="3" customFormat="1" ht="29.1" customHeight="1" x14ac:dyDescent="0.25">
      <c r="A15713" s="2" t="s">
        <v>31218</v>
      </c>
      <c r="B15713" s="2" t="s">
        <v>31219</v>
      </c>
      <c r="C15713" s="2" t="s">
        <v>927</v>
      </c>
      <c r="D15713" s="2" t="s">
        <v>9</v>
      </c>
      <c r="E15713" s="2" t="str">
        <f>"9780472055289"</f>
        <v>9780472055289</v>
      </c>
      <c r="F15713" s="2" t="str">
        <f>"9780472902705"</f>
        <v>9780472902705</v>
      </c>
    </row>
    <row r="15714" spans="1:6" s="3" customFormat="1" ht="29.1" customHeight="1" x14ac:dyDescent="0.25">
      <c r="A15714" s="2" t="s">
        <v>31220</v>
      </c>
      <c r="B15714" s="2" t="s">
        <v>31221</v>
      </c>
      <c r="C15714" s="2" t="s">
        <v>927</v>
      </c>
      <c r="D15714" s="2" t="s">
        <v>186</v>
      </c>
      <c r="E15714" s="2" t="str">
        <f>"9780472087075"</f>
        <v>9780472087075</v>
      </c>
      <c r="F15714" s="2" t="str">
        <f>"9780472903122"</f>
        <v>9780472903122</v>
      </c>
    </row>
    <row r="15715" spans="1:6" s="3" customFormat="1" ht="29.1" customHeight="1" x14ac:dyDescent="0.25">
      <c r="A15715" s="2" t="s">
        <v>31222</v>
      </c>
      <c r="B15715" s="2" t="s">
        <v>31223</v>
      </c>
      <c r="C15715" s="2" t="s">
        <v>195</v>
      </c>
      <c r="D15715" s="2" t="s">
        <v>465</v>
      </c>
      <c r="E15715" s="2" t="str">
        <f>"9783110776065"</f>
        <v>9783110776065</v>
      </c>
      <c r="F15715" s="2" t="str">
        <f>"9783110776195"</f>
        <v>9783110776195</v>
      </c>
    </row>
    <row r="15716" spans="1:6" s="3" customFormat="1" ht="29.1" customHeight="1" x14ac:dyDescent="0.25">
      <c r="A15716" s="2" t="s">
        <v>31224</v>
      </c>
      <c r="B15716" s="2" t="s">
        <v>31225</v>
      </c>
      <c r="C15716" s="2" t="s">
        <v>195</v>
      </c>
      <c r="D15716" s="2" t="s">
        <v>118</v>
      </c>
      <c r="E15716" s="2" t="str">
        <f>"9783110735338"</f>
        <v>9783110735338</v>
      </c>
      <c r="F15716" s="2" t="str">
        <f>"9783110731590"</f>
        <v>9783110731590</v>
      </c>
    </row>
    <row r="15717" spans="1:6" s="3" customFormat="1" ht="29.1" customHeight="1" x14ac:dyDescent="0.25">
      <c r="A15717" s="2" t="s">
        <v>31226</v>
      </c>
      <c r="B15717" s="2" t="s">
        <v>31227</v>
      </c>
      <c r="C15717" s="2" t="s">
        <v>29</v>
      </c>
      <c r="D15717" s="2" t="s">
        <v>14574</v>
      </c>
      <c r="E15717" s="2" t="str">
        <f>"9789004473041"</f>
        <v>9789004473041</v>
      </c>
      <c r="F15717" s="2" t="str">
        <f>"9789004473058"</f>
        <v>9789004473058</v>
      </c>
    </row>
    <row r="15718" spans="1:6" s="3" customFormat="1" ht="29.1" customHeight="1" x14ac:dyDescent="0.25">
      <c r="A15718" s="2" t="s">
        <v>31228</v>
      </c>
      <c r="B15718" s="2" t="s">
        <v>31229</v>
      </c>
      <c r="C15718" s="2" t="s">
        <v>29</v>
      </c>
      <c r="D15718" s="2" t="s">
        <v>14574</v>
      </c>
      <c r="E15718" s="2" t="str">
        <f>"9789004510531"</f>
        <v>9789004510531</v>
      </c>
      <c r="F15718" s="2" t="str">
        <f>"9789004512061"</f>
        <v>9789004512061</v>
      </c>
    </row>
    <row r="15719" spans="1:6" s="3" customFormat="1" ht="29.1" customHeight="1" x14ac:dyDescent="0.25">
      <c r="A15719" s="2" t="s">
        <v>31230</v>
      </c>
      <c r="B15719" s="2" t="s">
        <v>31231</v>
      </c>
      <c r="C15719" s="2" t="s">
        <v>746</v>
      </c>
      <c r="D15719" s="2" t="s">
        <v>4185</v>
      </c>
      <c r="E15719" s="2" t="str">
        <f>"9781803271446"</f>
        <v>9781803271446</v>
      </c>
      <c r="F15719" s="2" t="str">
        <f>"9781803271453"</f>
        <v>9781803271453</v>
      </c>
    </row>
    <row r="15720" spans="1:6" s="3" customFormat="1" ht="29.1" customHeight="1" x14ac:dyDescent="0.25">
      <c r="A15720" s="2" t="s">
        <v>31232</v>
      </c>
      <c r="B15720" s="2" t="s">
        <v>31233</v>
      </c>
      <c r="C15720" s="2" t="s">
        <v>746</v>
      </c>
      <c r="D15720" s="2" t="s">
        <v>606</v>
      </c>
      <c r="E15720" s="2" t="str">
        <f>"9781803270449"</f>
        <v>9781803270449</v>
      </c>
      <c r="F15720" s="2" t="str">
        <f>"9781803270456"</f>
        <v>9781803270456</v>
      </c>
    </row>
    <row r="15721" spans="1:6" s="3" customFormat="1" ht="29.1" customHeight="1" x14ac:dyDescent="0.25">
      <c r="A15721" s="2" t="s">
        <v>31234</v>
      </c>
      <c r="B15721" s="2" t="s">
        <v>31235</v>
      </c>
      <c r="C15721" s="2" t="s">
        <v>3513</v>
      </c>
      <c r="D15721" s="2" t="s">
        <v>2587</v>
      </c>
      <c r="E15721" s="2"/>
      <c r="F15721" s="2" t="str">
        <f>"9788382110845"</f>
        <v>9788382110845</v>
      </c>
    </row>
    <row r="15722" spans="1:6" s="3" customFormat="1" ht="29.1" customHeight="1" x14ac:dyDescent="0.25">
      <c r="A15722" s="2" t="s">
        <v>31236</v>
      </c>
      <c r="B15722" s="2" t="s">
        <v>30967</v>
      </c>
      <c r="C15722" s="2" t="s">
        <v>3513</v>
      </c>
      <c r="D15722" s="2" t="s">
        <v>2587</v>
      </c>
      <c r="E15722" s="2"/>
      <c r="F15722" s="2" t="str">
        <f>"9788382110791"</f>
        <v>9788382110791</v>
      </c>
    </row>
    <row r="15723" spans="1:6" s="3" customFormat="1" ht="29.1" customHeight="1" x14ac:dyDescent="0.25">
      <c r="A15723" s="2" t="s">
        <v>31237</v>
      </c>
      <c r="B15723" s="2" t="s">
        <v>31238</v>
      </c>
      <c r="C15723" s="2" t="s">
        <v>3513</v>
      </c>
      <c r="D15723" s="2" t="s">
        <v>2587</v>
      </c>
      <c r="E15723" s="2"/>
      <c r="F15723" s="2" t="str">
        <f>"9788382110722"</f>
        <v>9788382110722</v>
      </c>
    </row>
    <row r="15724" spans="1:6" s="3" customFormat="1" ht="29.1" customHeight="1" x14ac:dyDescent="0.25">
      <c r="A15724" s="2" t="s">
        <v>31239</v>
      </c>
      <c r="B15724" s="2" t="s">
        <v>31240</v>
      </c>
      <c r="C15724" s="2" t="s">
        <v>3513</v>
      </c>
      <c r="D15724" s="2" t="s">
        <v>2587</v>
      </c>
      <c r="E15724" s="2"/>
      <c r="F15724" s="2" t="str">
        <f>"9788382110746"</f>
        <v>9788382110746</v>
      </c>
    </row>
    <row r="15725" spans="1:6" s="3" customFormat="1" ht="29.1" customHeight="1" x14ac:dyDescent="0.25">
      <c r="A15725" s="2" t="s">
        <v>31241</v>
      </c>
      <c r="B15725" s="2" t="s">
        <v>31242</v>
      </c>
      <c r="C15725" s="2" t="s">
        <v>3513</v>
      </c>
      <c r="D15725" s="2" t="s">
        <v>6965</v>
      </c>
      <c r="E15725" s="2"/>
      <c r="F15725" s="2" t="str">
        <f>"9788382110753"</f>
        <v>9788382110753</v>
      </c>
    </row>
    <row r="15726" spans="1:6" s="3" customFormat="1" ht="29.1" customHeight="1" x14ac:dyDescent="0.25">
      <c r="A15726" s="2" t="s">
        <v>31243</v>
      </c>
      <c r="B15726" s="2" t="s">
        <v>31244</v>
      </c>
      <c r="C15726" s="2" t="s">
        <v>3513</v>
      </c>
      <c r="D15726" s="2" t="s">
        <v>6965</v>
      </c>
      <c r="E15726" s="2" t="str">
        <f>"9788382110609"</f>
        <v>9788382110609</v>
      </c>
      <c r="F15726" s="2" t="str">
        <f>"9788382110616"</f>
        <v>9788382110616</v>
      </c>
    </row>
    <row r="15727" spans="1:6" s="3" customFormat="1" ht="29.1" customHeight="1" x14ac:dyDescent="0.25">
      <c r="A15727" s="2" t="s">
        <v>31245</v>
      </c>
      <c r="B15727" s="2" t="s">
        <v>31246</v>
      </c>
      <c r="C15727" s="2" t="s">
        <v>3513</v>
      </c>
      <c r="D15727" s="2" t="s">
        <v>5761</v>
      </c>
      <c r="E15727" s="2"/>
      <c r="F15727" s="2" t="str">
        <f>"9788382110593"</f>
        <v>9788382110593</v>
      </c>
    </row>
    <row r="15728" spans="1:6" s="3" customFormat="1" ht="29.1" customHeight="1" x14ac:dyDescent="0.25">
      <c r="A15728" s="2" t="s">
        <v>31247</v>
      </c>
      <c r="B15728" s="2" t="s">
        <v>31248</v>
      </c>
      <c r="C15728" s="2" t="s">
        <v>3513</v>
      </c>
      <c r="D15728" s="2" t="s">
        <v>3407</v>
      </c>
      <c r="E15728" s="2"/>
      <c r="F15728" s="2" t="str">
        <f>"9788382110555"</f>
        <v>9788382110555</v>
      </c>
    </row>
    <row r="15729" spans="1:6" s="3" customFormat="1" ht="29.1" customHeight="1" x14ac:dyDescent="0.25">
      <c r="A15729" s="2" t="s">
        <v>31249</v>
      </c>
      <c r="B15729" s="2" t="s">
        <v>31250</v>
      </c>
      <c r="C15729" s="2" t="s">
        <v>131</v>
      </c>
      <c r="D15729" s="2" t="s">
        <v>3328</v>
      </c>
      <c r="E15729" s="2" t="str">
        <f>"9789027211170"</f>
        <v>9789027211170</v>
      </c>
      <c r="F15729" s="2" t="str">
        <f>"9789027257697"</f>
        <v>9789027257697</v>
      </c>
    </row>
    <row r="15730" spans="1:6" s="3" customFormat="1" ht="29.1" customHeight="1" x14ac:dyDescent="0.25">
      <c r="A15730" s="2" t="s">
        <v>31251</v>
      </c>
      <c r="B15730" s="2" t="s">
        <v>31252</v>
      </c>
      <c r="C15730" s="2" t="s">
        <v>20</v>
      </c>
      <c r="D15730" s="2" t="s">
        <v>21</v>
      </c>
      <c r="E15730" s="2" t="str">
        <f>"9783834021991"</f>
        <v>9783834021991</v>
      </c>
      <c r="F15730" s="2" t="str">
        <f>"9783763971886"</f>
        <v>9783763971886</v>
      </c>
    </row>
    <row r="15731" spans="1:6" s="3" customFormat="1" ht="29.1" customHeight="1" x14ac:dyDescent="0.25">
      <c r="A15731" s="2" t="s">
        <v>31253</v>
      </c>
      <c r="B15731" s="2" t="s">
        <v>31254</v>
      </c>
      <c r="C15731" s="2" t="s">
        <v>264</v>
      </c>
      <c r="D15731" s="2" t="s">
        <v>28511</v>
      </c>
      <c r="E15731" s="2" t="str">
        <f>"9780367567781"</f>
        <v>9780367567781</v>
      </c>
      <c r="F15731" s="2" t="str">
        <f>"9781000623086"</f>
        <v>9781000623086</v>
      </c>
    </row>
    <row r="15732" spans="1:6" s="3" customFormat="1" ht="29.1" customHeight="1" x14ac:dyDescent="0.25">
      <c r="A15732" s="2" t="s">
        <v>31255</v>
      </c>
      <c r="B15732" s="2" t="s">
        <v>31256</v>
      </c>
      <c r="C15732" s="2" t="s">
        <v>124</v>
      </c>
      <c r="D15732" s="2" t="s">
        <v>8639</v>
      </c>
      <c r="E15732" s="2" t="str">
        <f>"9781032231464"</f>
        <v>9781032231464</v>
      </c>
      <c r="F15732" s="2" t="str">
        <f>"9781000626766"</f>
        <v>9781000626766</v>
      </c>
    </row>
    <row r="15733" spans="1:6" s="3" customFormat="1" ht="29.1" customHeight="1" x14ac:dyDescent="0.25">
      <c r="A15733" s="2" t="s">
        <v>31257</v>
      </c>
      <c r="B15733" s="2" t="s">
        <v>31258</v>
      </c>
      <c r="C15733" s="2" t="s">
        <v>327</v>
      </c>
      <c r="D15733" s="2" t="s">
        <v>5758</v>
      </c>
      <c r="E15733" s="2" t="str">
        <f>"9788382207934"</f>
        <v>9788382207934</v>
      </c>
      <c r="F15733" s="2" t="str">
        <f>"9788382207941"</f>
        <v>9788382207941</v>
      </c>
    </row>
    <row r="15734" spans="1:6" s="3" customFormat="1" ht="29.1" customHeight="1" x14ac:dyDescent="0.25">
      <c r="A15734" s="2" t="s">
        <v>31259</v>
      </c>
      <c r="B15734" s="2" t="s">
        <v>31260</v>
      </c>
      <c r="C15734" s="2" t="s">
        <v>327</v>
      </c>
      <c r="D15734" s="2" t="s">
        <v>2168</v>
      </c>
      <c r="E15734" s="2" t="str">
        <f>"9788382207910"</f>
        <v>9788382207910</v>
      </c>
      <c r="F15734" s="2" t="str">
        <f>"9788382207927"</f>
        <v>9788382207927</v>
      </c>
    </row>
    <row r="15735" spans="1:6" s="3" customFormat="1" ht="29.1" customHeight="1" x14ac:dyDescent="0.25">
      <c r="A15735" s="2" t="s">
        <v>31261</v>
      </c>
      <c r="B15735" s="2" t="s">
        <v>31262</v>
      </c>
      <c r="C15735" s="2" t="s">
        <v>327</v>
      </c>
      <c r="D15735" s="2" t="s">
        <v>501</v>
      </c>
      <c r="E15735" s="2" t="str">
        <f>"9788382208177"</f>
        <v>9788382208177</v>
      </c>
      <c r="F15735" s="2" t="str">
        <f>"9788382208184"</f>
        <v>9788382208184</v>
      </c>
    </row>
    <row r="15736" spans="1:6" s="3" customFormat="1" ht="29.1" customHeight="1" x14ac:dyDescent="0.25">
      <c r="A15736" s="2" t="s">
        <v>31263</v>
      </c>
      <c r="B15736" s="2" t="s">
        <v>31264</v>
      </c>
      <c r="C15736" s="2" t="s">
        <v>327</v>
      </c>
      <c r="D15736" s="2" t="s">
        <v>4180</v>
      </c>
      <c r="E15736" s="2" t="str">
        <f>"9788382207736"</f>
        <v>9788382207736</v>
      </c>
      <c r="F15736" s="2" t="str">
        <f>"9788382207743"</f>
        <v>9788382207743</v>
      </c>
    </row>
    <row r="15737" spans="1:6" s="3" customFormat="1" ht="29.1" customHeight="1" x14ac:dyDescent="0.25">
      <c r="A15737" s="2" t="s">
        <v>31265</v>
      </c>
      <c r="B15737" s="2" t="s">
        <v>31266</v>
      </c>
      <c r="C15737" s="2" t="s">
        <v>327</v>
      </c>
      <c r="D15737" s="2" t="s">
        <v>4048</v>
      </c>
      <c r="E15737" s="2" t="str">
        <f>"9788381428552"</f>
        <v>9788381428552</v>
      </c>
      <c r="F15737" s="2" t="str">
        <f>"9788382208146"</f>
        <v>9788382208146</v>
      </c>
    </row>
    <row r="15738" spans="1:6" s="3" customFormat="1" ht="29.1" customHeight="1" x14ac:dyDescent="0.25">
      <c r="A15738" s="2" t="s">
        <v>31267</v>
      </c>
      <c r="B15738" s="2" t="s">
        <v>31268</v>
      </c>
      <c r="C15738" s="2" t="s">
        <v>327</v>
      </c>
      <c r="D15738" s="2" t="s">
        <v>8373</v>
      </c>
      <c r="E15738" s="2" t="str">
        <f>"9788382208535"</f>
        <v>9788382208535</v>
      </c>
      <c r="F15738" s="2" t="str">
        <f>"9788382208542"</f>
        <v>9788382208542</v>
      </c>
    </row>
    <row r="15739" spans="1:6" s="3" customFormat="1" ht="29.1" customHeight="1" x14ac:dyDescent="0.25">
      <c r="A15739" s="2" t="s">
        <v>31269</v>
      </c>
      <c r="B15739" s="2" t="s">
        <v>31270</v>
      </c>
      <c r="C15739" s="2" t="s">
        <v>149</v>
      </c>
      <c r="D15739" s="2" t="s">
        <v>11426</v>
      </c>
      <c r="E15739" s="2"/>
      <c r="F15739" s="2" t="str">
        <f>"9781800644182"</f>
        <v>9781800644182</v>
      </c>
    </row>
    <row r="15740" spans="1:6" s="3" customFormat="1" ht="29.1" customHeight="1" x14ac:dyDescent="0.25">
      <c r="A15740" s="2" t="s">
        <v>31271</v>
      </c>
      <c r="B15740" s="2" t="s">
        <v>31272</v>
      </c>
      <c r="C15740" s="2" t="s">
        <v>149</v>
      </c>
      <c r="D15740" s="2" t="s">
        <v>1209</v>
      </c>
      <c r="E15740" s="2"/>
      <c r="F15740" s="2" t="str">
        <f>"9781800647817"</f>
        <v>9781800647817</v>
      </c>
    </row>
    <row r="15741" spans="1:6" s="3" customFormat="1" ht="29.1" customHeight="1" x14ac:dyDescent="0.25">
      <c r="A15741" s="2" t="s">
        <v>31102</v>
      </c>
      <c r="B15741" s="2" t="s">
        <v>31103</v>
      </c>
      <c r="C15741" s="2" t="s">
        <v>149</v>
      </c>
      <c r="D15741" s="2" t="s">
        <v>175</v>
      </c>
      <c r="E15741" s="2"/>
      <c r="F15741" s="2" t="str">
        <f>"9781800647718"</f>
        <v>9781800647718</v>
      </c>
    </row>
    <row r="15742" spans="1:6" s="3" customFormat="1" ht="29.1" customHeight="1" x14ac:dyDescent="0.25">
      <c r="A15742" s="2" t="s">
        <v>31273</v>
      </c>
      <c r="B15742" s="2" t="s">
        <v>31274</v>
      </c>
      <c r="C15742" s="2" t="s">
        <v>149</v>
      </c>
      <c r="D15742" s="2" t="s">
        <v>2237</v>
      </c>
      <c r="E15742" s="2"/>
      <c r="F15742" s="2" t="str">
        <f>"9781800647305"</f>
        <v>9781800647305</v>
      </c>
    </row>
    <row r="15743" spans="1:6" s="3" customFormat="1" ht="29.1" customHeight="1" x14ac:dyDescent="0.25">
      <c r="A15743" s="2" t="s">
        <v>1489</v>
      </c>
      <c r="B15743" s="2" t="s">
        <v>31275</v>
      </c>
      <c r="C15743" s="2" t="s">
        <v>1070</v>
      </c>
      <c r="D15743" s="2" t="s">
        <v>813</v>
      </c>
      <c r="E15743" s="2" t="str">
        <f>"9783318070767"</f>
        <v>9783318070767</v>
      </c>
      <c r="F15743" s="2" t="str">
        <f>"9783318070873"</f>
        <v>9783318070873</v>
      </c>
    </row>
    <row r="15744" spans="1:6" s="3" customFormat="1" ht="29.1" customHeight="1" x14ac:dyDescent="0.25">
      <c r="A15744" s="2" t="s">
        <v>31276</v>
      </c>
      <c r="B15744" s="2" t="s">
        <v>31277</v>
      </c>
      <c r="C15744" s="2" t="s">
        <v>2133</v>
      </c>
      <c r="D15744" s="2" t="s">
        <v>1725</v>
      </c>
      <c r="E15744" s="2" t="str">
        <f>"9781760465247"</f>
        <v>9781760465247</v>
      </c>
      <c r="F15744" s="2" t="str">
        <f>"9781760465254"</f>
        <v>9781760465254</v>
      </c>
    </row>
    <row r="15745" spans="1:6" s="3" customFormat="1" ht="29.1" customHeight="1" x14ac:dyDescent="0.25">
      <c r="A15745" s="2" t="s">
        <v>31278</v>
      </c>
      <c r="B15745" s="2" t="s">
        <v>31279</v>
      </c>
      <c r="C15745" s="2" t="s">
        <v>124</v>
      </c>
      <c r="D15745" s="2" t="s">
        <v>743</v>
      </c>
      <c r="E15745" s="2" t="str">
        <f>"9781032222653"</f>
        <v>9781032222653</v>
      </c>
      <c r="F15745" s="2" t="str">
        <f>"9781000652864"</f>
        <v>9781000652864</v>
      </c>
    </row>
    <row r="15746" spans="1:6" s="3" customFormat="1" ht="29.1" customHeight="1" x14ac:dyDescent="0.25">
      <c r="A15746" s="2" t="s">
        <v>31280</v>
      </c>
      <c r="B15746" s="2" t="s">
        <v>31281</v>
      </c>
      <c r="C15746" s="2" t="s">
        <v>62</v>
      </c>
      <c r="D15746" s="2" t="s">
        <v>297</v>
      </c>
      <c r="E15746" s="2" t="str">
        <f>"9783428173020"</f>
        <v>9783428173020</v>
      </c>
      <c r="F15746" s="2" t="str">
        <f>"9783428573028"</f>
        <v>9783428573028</v>
      </c>
    </row>
    <row r="15747" spans="1:6" s="3" customFormat="1" ht="29.1" customHeight="1" x14ac:dyDescent="0.25">
      <c r="A15747" s="2" t="s">
        <v>31282</v>
      </c>
      <c r="B15747" s="2" t="s">
        <v>30238</v>
      </c>
      <c r="C15747" s="2" t="s">
        <v>62</v>
      </c>
      <c r="D15747" s="2" t="s">
        <v>297</v>
      </c>
      <c r="E15747" s="2" t="str">
        <f>"9783428173013"</f>
        <v>9783428173013</v>
      </c>
      <c r="F15747" s="2" t="str">
        <f>"9783428573011"</f>
        <v>9783428573011</v>
      </c>
    </row>
    <row r="15748" spans="1:6" s="3" customFormat="1" ht="29.1" customHeight="1" x14ac:dyDescent="0.25">
      <c r="A15748" s="2" t="s">
        <v>31283</v>
      </c>
      <c r="B15748" s="2" t="s">
        <v>30238</v>
      </c>
      <c r="C15748" s="2" t="s">
        <v>62</v>
      </c>
      <c r="D15748" s="2" t="s">
        <v>297</v>
      </c>
      <c r="E15748" s="2" t="str">
        <f>"9783428173006"</f>
        <v>9783428173006</v>
      </c>
      <c r="F15748" s="2" t="str">
        <f>"9783428573004"</f>
        <v>9783428573004</v>
      </c>
    </row>
    <row r="15749" spans="1:6" s="3" customFormat="1" ht="29.1" customHeight="1" x14ac:dyDescent="0.25">
      <c r="A15749" s="2" t="s">
        <v>31284</v>
      </c>
      <c r="B15749" s="2" t="s">
        <v>31285</v>
      </c>
      <c r="C15749" s="2" t="s">
        <v>62</v>
      </c>
      <c r="D15749" s="2" t="s">
        <v>2005</v>
      </c>
      <c r="E15749" s="2" t="str">
        <f>"9783428184569"</f>
        <v>9783428184569</v>
      </c>
      <c r="F15749" s="2" t="str">
        <f>"9783428584567"</f>
        <v>9783428584567</v>
      </c>
    </row>
    <row r="15750" spans="1:6" s="3" customFormat="1" ht="29.1" customHeight="1" x14ac:dyDescent="0.25">
      <c r="A15750" s="2" t="s">
        <v>31286</v>
      </c>
      <c r="B15750" s="2" t="s">
        <v>31287</v>
      </c>
      <c r="C15750" s="2" t="s">
        <v>62</v>
      </c>
      <c r="D15750" s="2" t="s">
        <v>1228</v>
      </c>
      <c r="E15750" s="2" t="str">
        <f>"9783428173785"</f>
        <v>9783428173785</v>
      </c>
      <c r="F15750" s="2" t="str">
        <f>"9783428573783"</f>
        <v>9783428573783</v>
      </c>
    </row>
    <row r="15751" spans="1:6" s="3" customFormat="1" ht="29.1" customHeight="1" x14ac:dyDescent="0.25">
      <c r="A15751" s="2" t="s">
        <v>31288</v>
      </c>
      <c r="B15751" s="2" t="s">
        <v>31289</v>
      </c>
      <c r="C15751" s="2" t="s">
        <v>62</v>
      </c>
      <c r="D15751" s="2" t="s">
        <v>2005</v>
      </c>
      <c r="E15751" s="2" t="str">
        <f>"9783428073450"</f>
        <v>9783428073450</v>
      </c>
      <c r="F15751" s="2" t="str">
        <f>"9783428473458"</f>
        <v>9783428473458</v>
      </c>
    </row>
    <row r="15752" spans="1:6" s="3" customFormat="1" ht="29.1" customHeight="1" x14ac:dyDescent="0.25">
      <c r="A15752" s="2" t="s">
        <v>31290</v>
      </c>
      <c r="B15752" s="2" t="s">
        <v>31289</v>
      </c>
      <c r="C15752" s="2" t="s">
        <v>62</v>
      </c>
      <c r="D15752" s="2" t="s">
        <v>2005</v>
      </c>
      <c r="E15752" s="2" t="str">
        <f>"9783428069781"</f>
        <v>9783428069781</v>
      </c>
      <c r="F15752" s="2" t="str">
        <f>"9783428469789"</f>
        <v>9783428469789</v>
      </c>
    </row>
    <row r="15753" spans="1:6" s="3" customFormat="1" ht="29.1" customHeight="1" x14ac:dyDescent="0.25">
      <c r="A15753" s="2" t="s">
        <v>31291</v>
      </c>
      <c r="B15753" s="2" t="s">
        <v>31289</v>
      </c>
      <c r="C15753" s="2" t="s">
        <v>62</v>
      </c>
      <c r="D15753" s="2" t="s">
        <v>1463</v>
      </c>
      <c r="E15753" s="2" t="str">
        <f>"9783428066483"</f>
        <v>9783428066483</v>
      </c>
      <c r="F15753" s="2" t="str">
        <f>"9783428466481"</f>
        <v>9783428466481</v>
      </c>
    </row>
    <row r="15754" spans="1:6" s="3" customFormat="1" ht="29.1" customHeight="1" x14ac:dyDescent="0.25">
      <c r="A15754" s="2" t="s">
        <v>31292</v>
      </c>
      <c r="B15754" s="2" t="s">
        <v>31289</v>
      </c>
      <c r="C15754" s="2" t="s">
        <v>62</v>
      </c>
      <c r="D15754" s="2" t="s">
        <v>2005</v>
      </c>
      <c r="E15754" s="2" t="str">
        <f>"9783428065455"</f>
        <v>9783428065455</v>
      </c>
      <c r="F15754" s="2" t="str">
        <f>"9783428465453"</f>
        <v>9783428465453</v>
      </c>
    </row>
    <row r="15755" spans="1:6" s="3" customFormat="1" ht="29.1" customHeight="1" x14ac:dyDescent="0.25">
      <c r="A15755" s="2" t="s">
        <v>31293</v>
      </c>
      <c r="B15755" s="2" t="s">
        <v>31294</v>
      </c>
      <c r="C15755" s="2" t="s">
        <v>62</v>
      </c>
      <c r="D15755" s="2" t="s">
        <v>2551</v>
      </c>
      <c r="E15755" s="2" t="str">
        <f>"9783428185221"</f>
        <v>9783428185221</v>
      </c>
      <c r="F15755" s="2" t="str">
        <f>"9783428585229"</f>
        <v>9783428585229</v>
      </c>
    </row>
    <row r="15756" spans="1:6" s="3" customFormat="1" ht="29.1" customHeight="1" x14ac:dyDescent="0.25">
      <c r="A15756" s="2" t="s">
        <v>31295</v>
      </c>
      <c r="B15756" s="2" t="s">
        <v>31296</v>
      </c>
      <c r="C15756" s="2" t="s">
        <v>62</v>
      </c>
      <c r="D15756" s="2" t="s">
        <v>2153</v>
      </c>
      <c r="E15756" s="2" t="str">
        <f>"9783428184873"</f>
        <v>9783428184873</v>
      </c>
      <c r="F15756" s="2" t="str">
        <f>"9783428584871"</f>
        <v>9783428584871</v>
      </c>
    </row>
    <row r="15757" spans="1:6" s="3" customFormat="1" ht="29.1" customHeight="1" x14ac:dyDescent="0.25">
      <c r="A15757" s="2" t="s">
        <v>31297</v>
      </c>
      <c r="B15757" s="2" t="s">
        <v>31298</v>
      </c>
      <c r="C15757" s="2" t="s">
        <v>62</v>
      </c>
      <c r="D15757" s="2" t="s">
        <v>1840</v>
      </c>
      <c r="E15757" s="2" t="str">
        <f>"9783428175345"</f>
        <v>9783428175345</v>
      </c>
      <c r="F15757" s="2" t="str">
        <f>"9783428575343"</f>
        <v>9783428575343</v>
      </c>
    </row>
    <row r="15758" spans="1:6" s="3" customFormat="1" ht="29.1" customHeight="1" x14ac:dyDescent="0.25">
      <c r="A15758" s="2" t="s">
        <v>31299</v>
      </c>
      <c r="B15758" s="2" t="s">
        <v>31300</v>
      </c>
      <c r="C15758" s="2" t="s">
        <v>62</v>
      </c>
      <c r="D15758" s="2" t="s">
        <v>1840</v>
      </c>
      <c r="E15758" s="2" t="str">
        <f>"9783428175338"</f>
        <v>9783428175338</v>
      </c>
      <c r="F15758" s="2" t="str">
        <f>"9783428575336"</f>
        <v>9783428575336</v>
      </c>
    </row>
    <row r="15759" spans="1:6" s="3" customFormat="1" ht="29.1" customHeight="1" x14ac:dyDescent="0.25">
      <c r="A15759" s="2" t="s">
        <v>31301</v>
      </c>
      <c r="B15759" s="2" t="s">
        <v>31302</v>
      </c>
      <c r="C15759" s="2" t="s">
        <v>62</v>
      </c>
      <c r="D15759" s="2" t="s">
        <v>1651</v>
      </c>
      <c r="E15759" s="2" t="str">
        <f>"9783428174386"</f>
        <v>9783428174386</v>
      </c>
      <c r="F15759" s="2" t="str">
        <f>"9783428574384"</f>
        <v>9783428574384</v>
      </c>
    </row>
    <row r="15760" spans="1:6" s="3" customFormat="1" ht="29.1" customHeight="1" x14ac:dyDescent="0.25">
      <c r="A15760" s="2" t="s">
        <v>31301</v>
      </c>
      <c r="B15760" s="2" t="s">
        <v>30238</v>
      </c>
      <c r="C15760" s="2" t="s">
        <v>62</v>
      </c>
      <c r="D15760" s="2" t="s">
        <v>1651</v>
      </c>
      <c r="E15760" s="2" t="str">
        <f>"9783428174379"</f>
        <v>9783428174379</v>
      </c>
      <c r="F15760" s="2" t="str">
        <f>"9783428574377"</f>
        <v>9783428574377</v>
      </c>
    </row>
    <row r="15761" spans="1:6" s="3" customFormat="1" ht="29.1" customHeight="1" x14ac:dyDescent="0.25">
      <c r="A15761" s="2" t="s">
        <v>31303</v>
      </c>
      <c r="B15761" s="2" t="s">
        <v>31304</v>
      </c>
      <c r="C15761" s="2" t="s">
        <v>62</v>
      </c>
      <c r="D15761" s="2" t="s">
        <v>4783</v>
      </c>
      <c r="E15761" s="2" t="str">
        <f>"9783428174362"</f>
        <v>9783428174362</v>
      </c>
      <c r="F15761" s="2" t="str">
        <f>"9783428574360"</f>
        <v>9783428574360</v>
      </c>
    </row>
    <row r="15762" spans="1:6" s="3" customFormat="1" ht="29.1" customHeight="1" x14ac:dyDescent="0.25">
      <c r="A15762" s="2" t="s">
        <v>31305</v>
      </c>
      <c r="B15762" s="2" t="s">
        <v>31306</v>
      </c>
      <c r="C15762" s="2" t="s">
        <v>62</v>
      </c>
      <c r="D15762" s="2" t="s">
        <v>4783</v>
      </c>
      <c r="E15762" s="2" t="str">
        <f>"9783428174355"</f>
        <v>9783428174355</v>
      </c>
      <c r="F15762" s="2" t="str">
        <f>"9783428574353"</f>
        <v>9783428574353</v>
      </c>
    </row>
    <row r="15763" spans="1:6" s="3" customFormat="1" ht="29.1" customHeight="1" x14ac:dyDescent="0.25">
      <c r="A15763" s="2" t="s">
        <v>31307</v>
      </c>
      <c r="B15763" s="2" t="s">
        <v>31308</v>
      </c>
      <c r="C15763" s="2" t="s">
        <v>62</v>
      </c>
      <c r="D15763" s="2" t="s">
        <v>1651</v>
      </c>
      <c r="E15763" s="2" t="str">
        <f>"9783428174348"</f>
        <v>9783428174348</v>
      </c>
      <c r="F15763" s="2" t="str">
        <f>"9783428574346"</f>
        <v>9783428574346</v>
      </c>
    </row>
    <row r="15764" spans="1:6" s="3" customFormat="1" ht="29.1" customHeight="1" x14ac:dyDescent="0.25">
      <c r="A15764" s="2" t="s">
        <v>31309</v>
      </c>
      <c r="B15764" s="2" t="s">
        <v>31310</v>
      </c>
      <c r="C15764" s="2" t="s">
        <v>62</v>
      </c>
      <c r="D15764" s="2" t="s">
        <v>1651</v>
      </c>
      <c r="E15764" s="2" t="str">
        <f>"9783428174331"</f>
        <v>9783428174331</v>
      </c>
      <c r="F15764" s="2" t="str">
        <f>"9783428574339"</f>
        <v>9783428574339</v>
      </c>
    </row>
    <row r="15765" spans="1:6" s="3" customFormat="1" ht="29.1" customHeight="1" x14ac:dyDescent="0.25">
      <c r="A15765" s="2" t="s">
        <v>31311</v>
      </c>
      <c r="B15765" s="2" t="s">
        <v>31308</v>
      </c>
      <c r="C15765" s="2" t="s">
        <v>62</v>
      </c>
      <c r="D15765" s="2" t="s">
        <v>1651</v>
      </c>
      <c r="E15765" s="2" t="str">
        <f>"9783428174324"</f>
        <v>9783428174324</v>
      </c>
      <c r="F15765" s="2" t="str">
        <f>"9783428574322"</f>
        <v>9783428574322</v>
      </c>
    </row>
    <row r="15766" spans="1:6" s="3" customFormat="1" ht="29.1" customHeight="1" x14ac:dyDescent="0.25">
      <c r="A15766" s="2" t="s">
        <v>31312</v>
      </c>
      <c r="B15766" s="2" t="s">
        <v>31308</v>
      </c>
      <c r="C15766" s="2" t="s">
        <v>62</v>
      </c>
      <c r="D15766" s="2" t="s">
        <v>1651</v>
      </c>
      <c r="E15766" s="2" t="str">
        <f>"9783428174317"</f>
        <v>9783428174317</v>
      </c>
      <c r="F15766" s="2" t="str">
        <f>"9783428574315"</f>
        <v>9783428574315</v>
      </c>
    </row>
    <row r="15767" spans="1:6" s="3" customFormat="1" ht="29.1" customHeight="1" x14ac:dyDescent="0.25">
      <c r="A15767" s="2" t="s">
        <v>31313</v>
      </c>
      <c r="B15767" s="2" t="s">
        <v>31314</v>
      </c>
      <c r="C15767" s="2" t="s">
        <v>62</v>
      </c>
      <c r="D15767" s="2" t="s">
        <v>1651</v>
      </c>
      <c r="E15767" s="2" t="str">
        <f>"9783428174300"</f>
        <v>9783428174300</v>
      </c>
      <c r="F15767" s="2" t="str">
        <f>"9783428574308"</f>
        <v>9783428574308</v>
      </c>
    </row>
    <row r="15768" spans="1:6" s="3" customFormat="1" ht="29.1" customHeight="1" x14ac:dyDescent="0.25">
      <c r="A15768" s="2" t="s">
        <v>31315</v>
      </c>
      <c r="B15768" s="2" t="s">
        <v>31316</v>
      </c>
      <c r="C15768" s="2" t="s">
        <v>62</v>
      </c>
      <c r="D15768" s="2" t="s">
        <v>1651</v>
      </c>
      <c r="E15768" s="2" t="str">
        <f>"9783428174294"</f>
        <v>9783428174294</v>
      </c>
      <c r="F15768" s="2" t="str">
        <f>"9783428574292"</f>
        <v>9783428574292</v>
      </c>
    </row>
    <row r="15769" spans="1:6" s="3" customFormat="1" ht="29.1" customHeight="1" x14ac:dyDescent="0.25">
      <c r="A15769" s="2" t="s">
        <v>31317</v>
      </c>
      <c r="B15769" s="2" t="s">
        <v>31318</v>
      </c>
      <c r="C15769" s="2" t="s">
        <v>62</v>
      </c>
      <c r="D15769" s="2" t="s">
        <v>1651</v>
      </c>
      <c r="E15769" s="2" t="str">
        <f>"9783428174287"</f>
        <v>9783428174287</v>
      </c>
      <c r="F15769" s="2" t="str">
        <f>"9783428574285"</f>
        <v>9783428574285</v>
      </c>
    </row>
    <row r="15770" spans="1:6" s="3" customFormat="1" ht="29.1" customHeight="1" x14ac:dyDescent="0.25">
      <c r="A15770" s="2" t="s">
        <v>31319</v>
      </c>
      <c r="B15770" s="2" t="s">
        <v>31320</v>
      </c>
      <c r="C15770" s="2" t="s">
        <v>62</v>
      </c>
      <c r="D15770" s="2" t="s">
        <v>1651</v>
      </c>
      <c r="E15770" s="2" t="str">
        <f>"9783428174270"</f>
        <v>9783428174270</v>
      </c>
      <c r="F15770" s="2" t="str">
        <f>"9783428574278"</f>
        <v>9783428574278</v>
      </c>
    </row>
    <row r="15771" spans="1:6" s="3" customFormat="1" ht="29.1" customHeight="1" x14ac:dyDescent="0.25">
      <c r="A15771" s="2" t="s">
        <v>31321</v>
      </c>
      <c r="B15771" s="2" t="s">
        <v>30238</v>
      </c>
      <c r="C15771" s="2" t="s">
        <v>62</v>
      </c>
      <c r="D15771" s="2" t="s">
        <v>1228</v>
      </c>
      <c r="E15771" s="2" t="str">
        <f>"9783428174256"</f>
        <v>9783428174256</v>
      </c>
      <c r="F15771" s="2" t="str">
        <f>"9783428574254"</f>
        <v>9783428574254</v>
      </c>
    </row>
    <row r="15772" spans="1:6" s="3" customFormat="1" ht="29.1" customHeight="1" x14ac:dyDescent="0.25">
      <c r="A15772" s="2" t="s">
        <v>31322</v>
      </c>
      <c r="B15772" s="2" t="s">
        <v>30238</v>
      </c>
      <c r="C15772" s="2" t="s">
        <v>62</v>
      </c>
      <c r="D15772" s="2" t="s">
        <v>1209</v>
      </c>
      <c r="E15772" s="2" t="str">
        <f>"9783428174249"</f>
        <v>9783428174249</v>
      </c>
      <c r="F15772" s="2" t="str">
        <f>"9783428574247"</f>
        <v>9783428574247</v>
      </c>
    </row>
    <row r="15773" spans="1:6" s="3" customFormat="1" ht="29.1" customHeight="1" x14ac:dyDescent="0.25">
      <c r="A15773" s="2" t="s">
        <v>31323</v>
      </c>
      <c r="B15773" s="2" t="s">
        <v>30238</v>
      </c>
      <c r="C15773" s="2" t="s">
        <v>62</v>
      </c>
      <c r="D15773" s="2" t="s">
        <v>5758</v>
      </c>
      <c r="E15773" s="2" t="str">
        <f>"9783428174232"</f>
        <v>9783428174232</v>
      </c>
      <c r="F15773" s="2" t="str">
        <f>"9783428574230"</f>
        <v>9783428574230</v>
      </c>
    </row>
    <row r="15774" spans="1:6" s="3" customFormat="1" ht="29.1" customHeight="1" x14ac:dyDescent="0.25">
      <c r="A15774" s="2" t="s">
        <v>31323</v>
      </c>
      <c r="B15774" s="2" t="s">
        <v>30238</v>
      </c>
      <c r="C15774" s="2" t="s">
        <v>62</v>
      </c>
      <c r="D15774" s="2" t="s">
        <v>5758</v>
      </c>
      <c r="E15774" s="2" t="str">
        <f>"9783428174225"</f>
        <v>9783428174225</v>
      </c>
      <c r="F15774" s="2" t="str">
        <f>"9783428574223"</f>
        <v>9783428574223</v>
      </c>
    </row>
    <row r="15775" spans="1:6" s="3" customFormat="1" ht="29.1" customHeight="1" x14ac:dyDescent="0.25">
      <c r="A15775" s="2" t="s">
        <v>31323</v>
      </c>
      <c r="B15775" s="2" t="s">
        <v>30238</v>
      </c>
      <c r="C15775" s="2" t="s">
        <v>62</v>
      </c>
      <c r="D15775" s="2" t="s">
        <v>5758</v>
      </c>
      <c r="E15775" s="2" t="str">
        <f>"9783428174218"</f>
        <v>9783428174218</v>
      </c>
      <c r="F15775" s="2" t="str">
        <f>"9783428574216"</f>
        <v>9783428574216</v>
      </c>
    </row>
    <row r="15776" spans="1:6" s="3" customFormat="1" ht="29.1" customHeight="1" x14ac:dyDescent="0.25">
      <c r="A15776" s="2" t="s">
        <v>31323</v>
      </c>
      <c r="B15776" s="2" t="s">
        <v>30238</v>
      </c>
      <c r="C15776" s="2" t="s">
        <v>62</v>
      </c>
      <c r="D15776" s="2" t="s">
        <v>5758</v>
      </c>
      <c r="E15776" s="2" t="str">
        <f>"9783428174201"</f>
        <v>9783428174201</v>
      </c>
      <c r="F15776" s="2" t="str">
        <f>"9783428574209"</f>
        <v>9783428574209</v>
      </c>
    </row>
    <row r="15777" spans="1:6" s="3" customFormat="1" ht="29.1" customHeight="1" x14ac:dyDescent="0.25">
      <c r="A15777" s="2" t="s">
        <v>31324</v>
      </c>
      <c r="B15777" s="2" t="s">
        <v>31325</v>
      </c>
      <c r="C15777" s="2" t="s">
        <v>62</v>
      </c>
      <c r="D15777" s="2" t="s">
        <v>1228</v>
      </c>
      <c r="E15777" s="2" t="str">
        <f>"9783428174195"</f>
        <v>9783428174195</v>
      </c>
      <c r="F15777" s="2" t="str">
        <f>"9783428574193"</f>
        <v>9783428574193</v>
      </c>
    </row>
    <row r="15778" spans="1:6" s="3" customFormat="1" ht="29.1" customHeight="1" x14ac:dyDescent="0.25">
      <c r="A15778" s="2" t="s">
        <v>31326</v>
      </c>
      <c r="B15778" s="2" t="s">
        <v>30238</v>
      </c>
      <c r="C15778" s="2" t="s">
        <v>62</v>
      </c>
      <c r="D15778" s="2" t="s">
        <v>1228</v>
      </c>
      <c r="E15778" s="2" t="str">
        <f>"9783428174188"</f>
        <v>9783428174188</v>
      </c>
      <c r="F15778" s="2" t="str">
        <f>"9783428574186"</f>
        <v>9783428574186</v>
      </c>
    </row>
    <row r="15779" spans="1:6" s="3" customFormat="1" ht="29.1" customHeight="1" x14ac:dyDescent="0.25">
      <c r="A15779" s="2" t="s">
        <v>31327</v>
      </c>
      <c r="B15779" s="2" t="s">
        <v>31328</v>
      </c>
      <c r="C15779" s="2" t="s">
        <v>62</v>
      </c>
      <c r="D15779" s="2" t="s">
        <v>1228</v>
      </c>
      <c r="E15779" s="2" t="str">
        <f>"9783428174171"</f>
        <v>9783428174171</v>
      </c>
      <c r="F15779" s="2" t="str">
        <f>"9783428574179"</f>
        <v>9783428574179</v>
      </c>
    </row>
    <row r="15780" spans="1:6" s="3" customFormat="1" ht="29.1" customHeight="1" x14ac:dyDescent="0.25">
      <c r="A15780" s="2" t="s">
        <v>31329</v>
      </c>
      <c r="B15780" s="2" t="s">
        <v>30238</v>
      </c>
      <c r="C15780" s="2" t="s">
        <v>62</v>
      </c>
      <c r="D15780" s="2" t="s">
        <v>1228</v>
      </c>
      <c r="E15780" s="2" t="str">
        <f>"9783428174164"</f>
        <v>9783428174164</v>
      </c>
      <c r="F15780" s="2" t="str">
        <f>"9783428574162"</f>
        <v>9783428574162</v>
      </c>
    </row>
    <row r="15781" spans="1:6" s="3" customFormat="1" ht="29.1" customHeight="1" x14ac:dyDescent="0.25">
      <c r="A15781" s="2" t="s">
        <v>31330</v>
      </c>
      <c r="B15781" s="2" t="s">
        <v>30238</v>
      </c>
      <c r="C15781" s="2" t="s">
        <v>62</v>
      </c>
      <c r="D15781" s="2" t="s">
        <v>1228</v>
      </c>
      <c r="E15781" s="2" t="str">
        <f>"9783428174157"</f>
        <v>9783428174157</v>
      </c>
      <c r="F15781" s="2" t="str">
        <f>"9783428574155"</f>
        <v>9783428574155</v>
      </c>
    </row>
    <row r="15782" spans="1:6" s="3" customFormat="1" ht="29.1" customHeight="1" x14ac:dyDescent="0.25">
      <c r="A15782" s="2" t="s">
        <v>31331</v>
      </c>
      <c r="B15782" s="2" t="s">
        <v>31332</v>
      </c>
      <c r="C15782" s="2" t="s">
        <v>62</v>
      </c>
      <c r="D15782" s="2" t="s">
        <v>1228</v>
      </c>
      <c r="E15782" s="2" t="str">
        <f>"9783428174140"</f>
        <v>9783428174140</v>
      </c>
      <c r="F15782" s="2" t="str">
        <f>"9783428574148"</f>
        <v>9783428574148</v>
      </c>
    </row>
    <row r="15783" spans="1:6" s="3" customFormat="1" ht="29.1" customHeight="1" x14ac:dyDescent="0.25">
      <c r="A15783" s="2" t="s">
        <v>31333</v>
      </c>
      <c r="B15783" s="2" t="s">
        <v>31334</v>
      </c>
      <c r="C15783" s="2" t="s">
        <v>62</v>
      </c>
      <c r="D15783" s="2" t="s">
        <v>297</v>
      </c>
      <c r="E15783" s="2" t="str">
        <f>"9783428174003"</f>
        <v>9783428174003</v>
      </c>
      <c r="F15783" s="2" t="str">
        <f>"9783428574001"</f>
        <v>9783428574001</v>
      </c>
    </row>
    <row r="15784" spans="1:6" s="3" customFormat="1" ht="29.1" customHeight="1" x14ac:dyDescent="0.25">
      <c r="A15784" s="2" t="s">
        <v>31335</v>
      </c>
      <c r="B15784" s="2" t="s">
        <v>31336</v>
      </c>
      <c r="C15784" s="2" t="s">
        <v>62</v>
      </c>
      <c r="D15784" s="2" t="s">
        <v>4783</v>
      </c>
      <c r="E15784" s="2" t="str">
        <f>"9783428173990"</f>
        <v>9783428173990</v>
      </c>
      <c r="F15784" s="2" t="str">
        <f>"9783428573998"</f>
        <v>9783428573998</v>
      </c>
    </row>
    <row r="15785" spans="1:6" s="3" customFormat="1" ht="29.1" customHeight="1" x14ac:dyDescent="0.25">
      <c r="A15785" s="2" t="s">
        <v>31337</v>
      </c>
      <c r="B15785" s="2" t="s">
        <v>31338</v>
      </c>
      <c r="C15785" s="2" t="s">
        <v>62</v>
      </c>
      <c r="D15785" s="2" t="s">
        <v>4783</v>
      </c>
      <c r="E15785" s="2" t="str">
        <f>"9783428173983"</f>
        <v>9783428173983</v>
      </c>
      <c r="F15785" s="2" t="str">
        <f>"9783428573981"</f>
        <v>9783428573981</v>
      </c>
    </row>
    <row r="15786" spans="1:6" s="3" customFormat="1" ht="29.1" customHeight="1" x14ac:dyDescent="0.25">
      <c r="A15786" s="2" t="s">
        <v>31339</v>
      </c>
      <c r="B15786" s="2" t="s">
        <v>31338</v>
      </c>
      <c r="C15786" s="2" t="s">
        <v>62</v>
      </c>
      <c r="D15786" s="2" t="s">
        <v>4783</v>
      </c>
      <c r="E15786" s="2" t="str">
        <f>"9783428173976"</f>
        <v>9783428173976</v>
      </c>
      <c r="F15786" s="2" t="str">
        <f>"9783428573974"</f>
        <v>9783428573974</v>
      </c>
    </row>
    <row r="15787" spans="1:6" s="3" customFormat="1" ht="29.1" customHeight="1" x14ac:dyDescent="0.25">
      <c r="A15787" s="2" t="s">
        <v>31340</v>
      </c>
      <c r="B15787" s="2" t="s">
        <v>31341</v>
      </c>
      <c r="C15787" s="2" t="s">
        <v>62</v>
      </c>
      <c r="D15787" s="2" t="s">
        <v>4783</v>
      </c>
      <c r="E15787" s="2" t="str">
        <f>"9783428173969"</f>
        <v>9783428173969</v>
      </c>
      <c r="F15787" s="2" t="str">
        <f>"9783428573967"</f>
        <v>9783428573967</v>
      </c>
    </row>
    <row r="15788" spans="1:6" s="3" customFormat="1" ht="29.1" customHeight="1" x14ac:dyDescent="0.25">
      <c r="A15788" s="2" t="s">
        <v>31342</v>
      </c>
      <c r="B15788" s="2" t="s">
        <v>31338</v>
      </c>
      <c r="C15788" s="2" t="s">
        <v>62</v>
      </c>
      <c r="D15788" s="2" t="s">
        <v>4783</v>
      </c>
      <c r="E15788" s="2" t="str">
        <f>"9783428173952"</f>
        <v>9783428173952</v>
      </c>
      <c r="F15788" s="2" t="str">
        <f>"9783428573950"</f>
        <v>9783428573950</v>
      </c>
    </row>
    <row r="15789" spans="1:6" s="3" customFormat="1" ht="29.1" customHeight="1" x14ac:dyDescent="0.25">
      <c r="A15789" s="2" t="s">
        <v>31343</v>
      </c>
      <c r="B15789" s="2" t="s">
        <v>31344</v>
      </c>
      <c r="C15789" s="2" t="s">
        <v>62</v>
      </c>
      <c r="D15789" s="2" t="s">
        <v>1864</v>
      </c>
      <c r="E15789" s="2" t="str">
        <f>"9783428173945"</f>
        <v>9783428173945</v>
      </c>
      <c r="F15789" s="2" t="str">
        <f>"9783428573943"</f>
        <v>9783428573943</v>
      </c>
    </row>
    <row r="15790" spans="1:6" s="3" customFormat="1" ht="29.1" customHeight="1" x14ac:dyDescent="0.25">
      <c r="A15790" s="2" t="s">
        <v>31345</v>
      </c>
      <c r="B15790" s="2" t="s">
        <v>31346</v>
      </c>
      <c r="C15790" s="2" t="s">
        <v>62</v>
      </c>
      <c r="D15790" s="2" t="s">
        <v>1864</v>
      </c>
      <c r="E15790" s="2" t="str">
        <f>"9783428173938"</f>
        <v>9783428173938</v>
      </c>
      <c r="F15790" s="2" t="str">
        <f>"9783428573936"</f>
        <v>9783428573936</v>
      </c>
    </row>
    <row r="15791" spans="1:6" s="3" customFormat="1" ht="29.1" customHeight="1" x14ac:dyDescent="0.25">
      <c r="A15791" s="2" t="s">
        <v>31347</v>
      </c>
      <c r="B15791" s="2" t="s">
        <v>31338</v>
      </c>
      <c r="C15791" s="2" t="s">
        <v>62</v>
      </c>
      <c r="D15791" s="2" t="s">
        <v>1864</v>
      </c>
      <c r="E15791" s="2" t="str">
        <f>"9783428173921"</f>
        <v>9783428173921</v>
      </c>
      <c r="F15791" s="2" t="str">
        <f>"9783428573929"</f>
        <v>9783428573929</v>
      </c>
    </row>
    <row r="15792" spans="1:6" s="3" customFormat="1" ht="29.1" customHeight="1" x14ac:dyDescent="0.25">
      <c r="A15792" s="2" t="s">
        <v>31348</v>
      </c>
      <c r="B15792" s="2" t="s">
        <v>31349</v>
      </c>
      <c r="C15792" s="2" t="s">
        <v>62</v>
      </c>
      <c r="D15792" s="2" t="s">
        <v>1864</v>
      </c>
      <c r="E15792" s="2" t="str">
        <f>"9783428173914"</f>
        <v>9783428173914</v>
      </c>
      <c r="F15792" s="2" t="str">
        <f>"9783428573912"</f>
        <v>9783428573912</v>
      </c>
    </row>
    <row r="15793" spans="1:6" s="3" customFormat="1" ht="29.1" customHeight="1" x14ac:dyDescent="0.25">
      <c r="A15793" s="2" t="s">
        <v>31350</v>
      </c>
      <c r="B15793" s="2" t="s">
        <v>31351</v>
      </c>
      <c r="C15793" s="2" t="s">
        <v>62</v>
      </c>
      <c r="D15793" s="2" t="s">
        <v>1864</v>
      </c>
      <c r="E15793" s="2" t="str">
        <f>"9783428173907"</f>
        <v>9783428173907</v>
      </c>
      <c r="F15793" s="2" t="str">
        <f>"9783428573905"</f>
        <v>9783428573905</v>
      </c>
    </row>
    <row r="15794" spans="1:6" s="3" customFormat="1" ht="29.1" customHeight="1" x14ac:dyDescent="0.25">
      <c r="A15794" s="2" t="s">
        <v>31352</v>
      </c>
      <c r="B15794" s="2" t="s">
        <v>31353</v>
      </c>
      <c r="C15794" s="2" t="s">
        <v>62</v>
      </c>
      <c r="D15794" s="2" t="s">
        <v>1864</v>
      </c>
      <c r="E15794" s="2" t="str">
        <f>"9783428173891"</f>
        <v>9783428173891</v>
      </c>
      <c r="F15794" s="2" t="str">
        <f>"9783428573899"</f>
        <v>9783428573899</v>
      </c>
    </row>
    <row r="15795" spans="1:6" s="3" customFormat="1" ht="29.1" customHeight="1" x14ac:dyDescent="0.25">
      <c r="A15795" s="2" t="s">
        <v>31354</v>
      </c>
      <c r="B15795" s="2" t="s">
        <v>31355</v>
      </c>
      <c r="C15795" s="2" t="s">
        <v>62</v>
      </c>
      <c r="D15795" s="2" t="s">
        <v>1864</v>
      </c>
      <c r="E15795" s="2" t="str">
        <f>"9783428173884"</f>
        <v>9783428173884</v>
      </c>
      <c r="F15795" s="2" t="str">
        <f>"9783428573882"</f>
        <v>9783428573882</v>
      </c>
    </row>
    <row r="15796" spans="1:6" s="3" customFormat="1" ht="29.1" customHeight="1" x14ac:dyDescent="0.25">
      <c r="A15796" s="2" t="s">
        <v>31356</v>
      </c>
      <c r="B15796" s="2" t="s">
        <v>31338</v>
      </c>
      <c r="C15796" s="2" t="s">
        <v>62</v>
      </c>
      <c r="D15796" s="2" t="s">
        <v>1864</v>
      </c>
      <c r="E15796" s="2" t="str">
        <f>"9783428173877"</f>
        <v>9783428173877</v>
      </c>
      <c r="F15796" s="2" t="str">
        <f>"9783428573875"</f>
        <v>9783428573875</v>
      </c>
    </row>
    <row r="15797" spans="1:6" s="3" customFormat="1" ht="29.1" customHeight="1" x14ac:dyDescent="0.25">
      <c r="A15797" s="2" t="s">
        <v>31357</v>
      </c>
      <c r="B15797" s="2" t="s">
        <v>31358</v>
      </c>
      <c r="C15797" s="2" t="s">
        <v>62</v>
      </c>
      <c r="D15797" s="2" t="s">
        <v>1864</v>
      </c>
      <c r="E15797" s="2" t="str">
        <f>"9783428173860"</f>
        <v>9783428173860</v>
      </c>
      <c r="F15797" s="2" t="str">
        <f>"9783428573868"</f>
        <v>9783428573868</v>
      </c>
    </row>
    <row r="15798" spans="1:6" s="3" customFormat="1" ht="29.1" customHeight="1" x14ac:dyDescent="0.25">
      <c r="A15798" s="2" t="s">
        <v>31359</v>
      </c>
      <c r="B15798" s="2" t="s">
        <v>31360</v>
      </c>
      <c r="C15798" s="2" t="s">
        <v>62</v>
      </c>
      <c r="D15798" s="2" t="s">
        <v>1864</v>
      </c>
      <c r="E15798" s="2" t="str">
        <f>"9783428173853"</f>
        <v>9783428173853</v>
      </c>
      <c r="F15798" s="2" t="str">
        <f>"9783428573851"</f>
        <v>9783428573851</v>
      </c>
    </row>
    <row r="15799" spans="1:6" s="3" customFormat="1" ht="29.1" customHeight="1" x14ac:dyDescent="0.25">
      <c r="A15799" s="2" t="s">
        <v>31361</v>
      </c>
      <c r="B15799" s="2" t="s">
        <v>31338</v>
      </c>
      <c r="C15799" s="2" t="s">
        <v>62</v>
      </c>
      <c r="D15799" s="2" t="s">
        <v>1864</v>
      </c>
      <c r="E15799" s="2" t="str">
        <f>"9783428173846"</f>
        <v>9783428173846</v>
      </c>
      <c r="F15799" s="2" t="str">
        <f>"9783428573844"</f>
        <v>9783428573844</v>
      </c>
    </row>
    <row r="15800" spans="1:6" s="3" customFormat="1" ht="29.1" customHeight="1" x14ac:dyDescent="0.25">
      <c r="A15800" s="2" t="s">
        <v>31362</v>
      </c>
      <c r="B15800" s="2" t="s">
        <v>30238</v>
      </c>
      <c r="C15800" s="2" t="s">
        <v>62</v>
      </c>
      <c r="D15800" s="2" t="s">
        <v>1864</v>
      </c>
      <c r="E15800" s="2" t="str">
        <f>"9783428173839"</f>
        <v>9783428173839</v>
      </c>
      <c r="F15800" s="2" t="str">
        <f>"9783428573837"</f>
        <v>9783428573837</v>
      </c>
    </row>
    <row r="15801" spans="1:6" s="3" customFormat="1" ht="29.1" customHeight="1" x14ac:dyDescent="0.25">
      <c r="A15801" s="2" t="s">
        <v>31362</v>
      </c>
      <c r="B15801" s="2" t="s">
        <v>31363</v>
      </c>
      <c r="C15801" s="2" t="s">
        <v>62</v>
      </c>
      <c r="D15801" s="2" t="s">
        <v>1864</v>
      </c>
      <c r="E15801" s="2" t="str">
        <f>"9783428173822"</f>
        <v>9783428173822</v>
      </c>
      <c r="F15801" s="2" t="str">
        <f>"9783428573820"</f>
        <v>9783428573820</v>
      </c>
    </row>
    <row r="15802" spans="1:6" s="3" customFormat="1" ht="29.1" customHeight="1" x14ac:dyDescent="0.25">
      <c r="A15802" s="2" t="s">
        <v>31362</v>
      </c>
      <c r="B15802" s="2" t="s">
        <v>31364</v>
      </c>
      <c r="C15802" s="2" t="s">
        <v>62</v>
      </c>
      <c r="D15802" s="2" t="s">
        <v>1864</v>
      </c>
      <c r="E15802" s="2" t="str">
        <f>"9783428173815"</f>
        <v>9783428173815</v>
      </c>
      <c r="F15802" s="2" t="str">
        <f>"9783428573813"</f>
        <v>9783428573813</v>
      </c>
    </row>
    <row r="15803" spans="1:6" s="3" customFormat="1" ht="29.1" customHeight="1" x14ac:dyDescent="0.25">
      <c r="A15803" s="2" t="s">
        <v>31362</v>
      </c>
      <c r="B15803" s="2" t="s">
        <v>30238</v>
      </c>
      <c r="C15803" s="2" t="s">
        <v>62</v>
      </c>
      <c r="D15803" s="2" t="s">
        <v>1864</v>
      </c>
      <c r="E15803" s="2" t="str">
        <f>"9783428173808"</f>
        <v>9783428173808</v>
      </c>
      <c r="F15803" s="2" t="str">
        <f>"9783428573806"</f>
        <v>9783428573806</v>
      </c>
    </row>
    <row r="15804" spans="1:6" s="3" customFormat="1" ht="29.1" customHeight="1" x14ac:dyDescent="0.25">
      <c r="A15804" s="2" t="s">
        <v>31365</v>
      </c>
      <c r="B15804" s="2" t="s">
        <v>30238</v>
      </c>
      <c r="C15804" s="2" t="s">
        <v>62</v>
      </c>
      <c r="D15804" s="2" t="s">
        <v>1228</v>
      </c>
      <c r="E15804" s="2" t="str">
        <f>"9783428173792"</f>
        <v>9783428173792</v>
      </c>
      <c r="F15804" s="2" t="str">
        <f>"9783428573790"</f>
        <v>9783428573790</v>
      </c>
    </row>
    <row r="15805" spans="1:6" s="3" customFormat="1" ht="29.1" customHeight="1" x14ac:dyDescent="0.25">
      <c r="A15805" s="2" t="s">
        <v>31366</v>
      </c>
      <c r="B15805" s="2" t="s">
        <v>30238</v>
      </c>
      <c r="C15805" s="2" t="s">
        <v>62</v>
      </c>
      <c r="D15805" s="2" t="s">
        <v>3943</v>
      </c>
      <c r="E15805" s="2" t="str">
        <f>"9783428173778"</f>
        <v>9783428173778</v>
      </c>
      <c r="F15805" s="2" t="str">
        <f>"9783428573776"</f>
        <v>9783428573776</v>
      </c>
    </row>
    <row r="15806" spans="1:6" s="3" customFormat="1" ht="29.1" customHeight="1" x14ac:dyDescent="0.25">
      <c r="A15806" s="2" t="s">
        <v>31367</v>
      </c>
      <c r="B15806" s="2" t="s">
        <v>30238</v>
      </c>
      <c r="C15806" s="2" t="s">
        <v>62</v>
      </c>
      <c r="D15806" s="2" t="s">
        <v>3943</v>
      </c>
      <c r="E15806" s="2" t="str">
        <f>"9783428173761"</f>
        <v>9783428173761</v>
      </c>
      <c r="F15806" s="2" t="str">
        <f>"9783428573769"</f>
        <v>9783428573769</v>
      </c>
    </row>
    <row r="15807" spans="1:6" s="3" customFormat="1" ht="29.1" customHeight="1" x14ac:dyDescent="0.25">
      <c r="A15807" s="2" t="s">
        <v>31367</v>
      </c>
      <c r="B15807" s="2" t="s">
        <v>30238</v>
      </c>
      <c r="C15807" s="2" t="s">
        <v>62</v>
      </c>
      <c r="D15807" s="2" t="s">
        <v>3943</v>
      </c>
      <c r="E15807" s="2" t="str">
        <f>"9783428173754"</f>
        <v>9783428173754</v>
      </c>
      <c r="F15807" s="2" t="str">
        <f>"9783428573752"</f>
        <v>9783428573752</v>
      </c>
    </row>
    <row r="15808" spans="1:6" s="3" customFormat="1" ht="29.1" customHeight="1" x14ac:dyDescent="0.25">
      <c r="A15808" s="2" t="s">
        <v>31367</v>
      </c>
      <c r="B15808" s="2" t="s">
        <v>30238</v>
      </c>
      <c r="C15808" s="2" t="s">
        <v>62</v>
      </c>
      <c r="D15808" s="2" t="s">
        <v>3943</v>
      </c>
      <c r="E15808" s="2" t="str">
        <f>"9783428173747"</f>
        <v>9783428173747</v>
      </c>
      <c r="F15808" s="2" t="str">
        <f>"9783428573745"</f>
        <v>9783428573745</v>
      </c>
    </row>
    <row r="15809" spans="1:6" s="3" customFormat="1" ht="29.1" customHeight="1" x14ac:dyDescent="0.25">
      <c r="A15809" s="2" t="s">
        <v>31367</v>
      </c>
      <c r="B15809" s="2" t="s">
        <v>30238</v>
      </c>
      <c r="C15809" s="2" t="s">
        <v>62</v>
      </c>
      <c r="D15809" s="2" t="s">
        <v>3943</v>
      </c>
      <c r="E15809" s="2" t="str">
        <f>"9783428173730"</f>
        <v>9783428173730</v>
      </c>
      <c r="F15809" s="2" t="str">
        <f>"9783428573738"</f>
        <v>9783428573738</v>
      </c>
    </row>
    <row r="15810" spans="1:6" s="3" customFormat="1" ht="29.1" customHeight="1" x14ac:dyDescent="0.25">
      <c r="A15810" s="2" t="s">
        <v>31367</v>
      </c>
      <c r="B15810" s="2" t="s">
        <v>30238</v>
      </c>
      <c r="C15810" s="2" t="s">
        <v>62</v>
      </c>
      <c r="D15810" s="2" t="s">
        <v>3943</v>
      </c>
      <c r="E15810" s="2" t="str">
        <f>"9783428173723"</f>
        <v>9783428173723</v>
      </c>
      <c r="F15810" s="2" t="str">
        <f>"9783428573721"</f>
        <v>9783428573721</v>
      </c>
    </row>
    <row r="15811" spans="1:6" s="3" customFormat="1" ht="29.1" customHeight="1" x14ac:dyDescent="0.25">
      <c r="A15811" s="2" t="s">
        <v>31367</v>
      </c>
      <c r="B15811" s="2" t="s">
        <v>31368</v>
      </c>
      <c r="C15811" s="2" t="s">
        <v>62</v>
      </c>
      <c r="D15811" s="2" t="s">
        <v>3943</v>
      </c>
      <c r="E15811" s="2" t="str">
        <f>"9783428173716"</f>
        <v>9783428173716</v>
      </c>
      <c r="F15811" s="2" t="str">
        <f>"9783428573714"</f>
        <v>9783428573714</v>
      </c>
    </row>
    <row r="15812" spans="1:6" s="3" customFormat="1" ht="29.1" customHeight="1" x14ac:dyDescent="0.25">
      <c r="A15812" s="2" t="s">
        <v>31367</v>
      </c>
      <c r="B15812" s="2" t="s">
        <v>30238</v>
      </c>
      <c r="C15812" s="2" t="s">
        <v>62</v>
      </c>
      <c r="D15812" s="2" t="s">
        <v>3943</v>
      </c>
      <c r="E15812" s="2" t="str">
        <f>"9783428173709"</f>
        <v>9783428173709</v>
      </c>
      <c r="F15812" s="2" t="str">
        <f>"9783428573707"</f>
        <v>9783428573707</v>
      </c>
    </row>
    <row r="15813" spans="1:6" s="3" customFormat="1" ht="29.1" customHeight="1" x14ac:dyDescent="0.25">
      <c r="A15813" s="2" t="s">
        <v>31369</v>
      </c>
      <c r="B15813" s="2" t="s">
        <v>31370</v>
      </c>
      <c r="C15813" s="2" t="s">
        <v>62</v>
      </c>
      <c r="D15813" s="2" t="s">
        <v>3943</v>
      </c>
      <c r="E15813" s="2" t="str">
        <f>"9783428173693"</f>
        <v>9783428173693</v>
      </c>
      <c r="F15813" s="2" t="str">
        <f>"9783428573691"</f>
        <v>9783428573691</v>
      </c>
    </row>
    <row r="15814" spans="1:6" s="3" customFormat="1" ht="29.1" customHeight="1" x14ac:dyDescent="0.25">
      <c r="A15814" s="2" t="s">
        <v>31371</v>
      </c>
      <c r="B15814" s="2" t="s">
        <v>31372</v>
      </c>
      <c r="C15814" s="2" t="s">
        <v>62</v>
      </c>
      <c r="D15814" s="2" t="s">
        <v>3943</v>
      </c>
      <c r="E15814" s="2" t="str">
        <f>"9783428173686"</f>
        <v>9783428173686</v>
      </c>
      <c r="F15814" s="2" t="str">
        <f>"9783428573684"</f>
        <v>9783428573684</v>
      </c>
    </row>
    <row r="15815" spans="1:6" s="3" customFormat="1" ht="29.1" customHeight="1" x14ac:dyDescent="0.25">
      <c r="A15815" s="2" t="s">
        <v>31367</v>
      </c>
      <c r="B15815" s="2" t="s">
        <v>30238</v>
      </c>
      <c r="C15815" s="2" t="s">
        <v>62</v>
      </c>
      <c r="D15815" s="2" t="s">
        <v>3943</v>
      </c>
      <c r="E15815" s="2" t="str">
        <f>"9783428173679"</f>
        <v>9783428173679</v>
      </c>
      <c r="F15815" s="2" t="str">
        <f>"9783428573677"</f>
        <v>9783428573677</v>
      </c>
    </row>
    <row r="15816" spans="1:6" s="3" customFormat="1" ht="29.1" customHeight="1" x14ac:dyDescent="0.25">
      <c r="A15816" s="2" t="s">
        <v>31367</v>
      </c>
      <c r="B15816" s="2" t="s">
        <v>30238</v>
      </c>
      <c r="C15816" s="2" t="s">
        <v>62</v>
      </c>
      <c r="D15816" s="2" t="s">
        <v>3943</v>
      </c>
      <c r="E15816" s="2" t="str">
        <f>"9783428173662"</f>
        <v>9783428173662</v>
      </c>
      <c r="F15816" s="2" t="str">
        <f>"9783428573660"</f>
        <v>9783428573660</v>
      </c>
    </row>
    <row r="15817" spans="1:6" s="3" customFormat="1" ht="29.1" customHeight="1" x14ac:dyDescent="0.25">
      <c r="A15817" s="2" t="s">
        <v>31373</v>
      </c>
      <c r="B15817" s="2" t="s">
        <v>30238</v>
      </c>
      <c r="C15817" s="2" t="s">
        <v>62</v>
      </c>
      <c r="D15817" s="2" t="s">
        <v>1228</v>
      </c>
      <c r="E15817" s="2" t="str">
        <f>"9783428173655"</f>
        <v>9783428173655</v>
      </c>
      <c r="F15817" s="2" t="str">
        <f>"9783428573653"</f>
        <v>9783428573653</v>
      </c>
    </row>
    <row r="15818" spans="1:6" s="3" customFormat="1" ht="29.1" customHeight="1" x14ac:dyDescent="0.25">
      <c r="A15818" s="2" t="s">
        <v>31374</v>
      </c>
      <c r="B15818" s="2" t="s">
        <v>31375</v>
      </c>
      <c r="C15818" s="2" t="s">
        <v>62</v>
      </c>
      <c r="D15818" s="2" t="s">
        <v>5758</v>
      </c>
      <c r="E15818" s="2" t="str">
        <f>"9783428173648"</f>
        <v>9783428173648</v>
      </c>
      <c r="F15818" s="2" t="str">
        <f>"9783428573646"</f>
        <v>9783428573646</v>
      </c>
    </row>
    <row r="15819" spans="1:6" s="3" customFormat="1" ht="29.1" customHeight="1" x14ac:dyDescent="0.25">
      <c r="A15819" s="2" t="s">
        <v>31374</v>
      </c>
      <c r="B15819" s="2" t="s">
        <v>31375</v>
      </c>
      <c r="C15819" s="2" t="s">
        <v>62</v>
      </c>
      <c r="D15819" s="2" t="s">
        <v>5758</v>
      </c>
      <c r="E15819" s="2" t="str">
        <f>"9783428173631"</f>
        <v>9783428173631</v>
      </c>
      <c r="F15819" s="2" t="str">
        <f>"9783428573639"</f>
        <v>9783428573639</v>
      </c>
    </row>
    <row r="15820" spans="1:6" s="3" customFormat="1" ht="29.1" customHeight="1" x14ac:dyDescent="0.25">
      <c r="A15820" s="2" t="s">
        <v>31376</v>
      </c>
      <c r="B15820" s="2" t="s">
        <v>30238</v>
      </c>
      <c r="C15820" s="2" t="s">
        <v>62</v>
      </c>
      <c r="D15820" s="2" t="s">
        <v>1228</v>
      </c>
      <c r="E15820" s="2" t="str">
        <f>"9783428173617"</f>
        <v>9783428173617</v>
      </c>
      <c r="F15820" s="2" t="str">
        <f>"9783428573615"</f>
        <v>9783428573615</v>
      </c>
    </row>
    <row r="15821" spans="1:6" s="3" customFormat="1" ht="29.1" customHeight="1" x14ac:dyDescent="0.25">
      <c r="A15821" s="2" t="s">
        <v>31377</v>
      </c>
      <c r="B15821" s="2" t="s">
        <v>30238</v>
      </c>
      <c r="C15821" s="2" t="s">
        <v>62</v>
      </c>
      <c r="D15821" s="2" t="s">
        <v>5758</v>
      </c>
      <c r="E15821" s="2" t="str">
        <f>"9783428173594"</f>
        <v>9783428173594</v>
      </c>
      <c r="F15821" s="2" t="str">
        <f>"9783428573592"</f>
        <v>9783428573592</v>
      </c>
    </row>
    <row r="15822" spans="1:6" s="3" customFormat="1" ht="29.1" customHeight="1" x14ac:dyDescent="0.25">
      <c r="A15822" s="2" t="s">
        <v>31377</v>
      </c>
      <c r="B15822" s="2" t="s">
        <v>30238</v>
      </c>
      <c r="C15822" s="2" t="s">
        <v>62</v>
      </c>
      <c r="D15822" s="2" t="s">
        <v>5758</v>
      </c>
      <c r="E15822" s="2" t="str">
        <f>"9783428173570"</f>
        <v>9783428173570</v>
      </c>
      <c r="F15822" s="2" t="str">
        <f>"9783428573578"</f>
        <v>9783428573578</v>
      </c>
    </row>
    <row r="15823" spans="1:6" s="3" customFormat="1" ht="29.1" customHeight="1" x14ac:dyDescent="0.25">
      <c r="A15823" s="2" t="s">
        <v>31377</v>
      </c>
      <c r="B15823" s="2" t="s">
        <v>30238</v>
      </c>
      <c r="C15823" s="2" t="s">
        <v>62</v>
      </c>
      <c r="D15823" s="2" t="s">
        <v>5758</v>
      </c>
      <c r="E15823" s="2" t="str">
        <f>"9783428173563"</f>
        <v>9783428173563</v>
      </c>
      <c r="F15823" s="2" t="str">
        <f>"9783428573561"</f>
        <v>9783428573561</v>
      </c>
    </row>
    <row r="15824" spans="1:6" s="3" customFormat="1" ht="29.1" customHeight="1" x14ac:dyDescent="0.25">
      <c r="A15824" s="2" t="s">
        <v>31377</v>
      </c>
      <c r="B15824" s="2" t="s">
        <v>30238</v>
      </c>
      <c r="C15824" s="2" t="s">
        <v>62</v>
      </c>
      <c r="D15824" s="2" t="s">
        <v>5758</v>
      </c>
      <c r="E15824" s="2" t="str">
        <f>"9783428173556"</f>
        <v>9783428173556</v>
      </c>
      <c r="F15824" s="2" t="str">
        <f>"9783428573554"</f>
        <v>9783428573554</v>
      </c>
    </row>
    <row r="15825" spans="1:6" s="3" customFormat="1" ht="29.1" customHeight="1" x14ac:dyDescent="0.25">
      <c r="A15825" s="2" t="s">
        <v>31377</v>
      </c>
      <c r="B15825" s="2" t="s">
        <v>30238</v>
      </c>
      <c r="C15825" s="2" t="s">
        <v>62</v>
      </c>
      <c r="D15825" s="2" t="s">
        <v>5758</v>
      </c>
      <c r="E15825" s="2" t="str">
        <f>"9783428173549"</f>
        <v>9783428173549</v>
      </c>
      <c r="F15825" s="2" t="str">
        <f>"9783428573547"</f>
        <v>9783428573547</v>
      </c>
    </row>
    <row r="15826" spans="1:6" s="3" customFormat="1" ht="29.1" customHeight="1" x14ac:dyDescent="0.25">
      <c r="A15826" s="2" t="s">
        <v>31377</v>
      </c>
      <c r="B15826" s="2" t="s">
        <v>30238</v>
      </c>
      <c r="C15826" s="2" t="s">
        <v>62</v>
      </c>
      <c r="D15826" s="2" t="s">
        <v>5758</v>
      </c>
      <c r="E15826" s="2" t="str">
        <f>"9783428173532"</f>
        <v>9783428173532</v>
      </c>
      <c r="F15826" s="2" t="str">
        <f>"9783428573530"</f>
        <v>9783428573530</v>
      </c>
    </row>
    <row r="15827" spans="1:6" s="3" customFormat="1" ht="29.1" customHeight="1" x14ac:dyDescent="0.25">
      <c r="A15827" s="2" t="s">
        <v>31378</v>
      </c>
      <c r="B15827" s="2" t="s">
        <v>30238</v>
      </c>
      <c r="C15827" s="2" t="s">
        <v>62</v>
      </c>
      <c r="D15827" s="2" t="s">
        <v>1228</v>
      </c>
      <c r="E15827" s="2" t="str">
        <f>"9783428173525"</f>
        <v>9783428173525</v>
      </c>
      <c r="F15827" s="2" t="str">
        <f>"9783428573523"</f>
        <v>9783428573523</v>
      </c>
    </row>
    <row r="15828" spans="1:6" s="3" customFormat="1" ht="29.1" customHeight="1" x14ac:dyDescent="0.25">
      <c r="A15828" s="2" t="s">
        <v>31378</v>
      </c>
      <c r="B15828" s="2" t="s">
        <v>30238</v>
      </c>
      <c r="C15828" s="2" t="s">
        <v>62</v>
      </c>
      <c r="D15828" s="2" t="s">
        <v>1228</v>
      </c>
      <c r="E15828" s="2" t="str">
        <f>"9783428173518"</f>
        <v>9783428173518</v>
      </c>
      <c r="F15828" s="2" t="str">
        <f>"9783428573516"</f>
        <v>9783428573516</v>
      </c>
    </row>
    <row r="15829" spans="1:6" s="3" customFormat="1" ht="29.1" customHeight="1" x14ac:dyDescent="0.25">
      <c r="A15829" s="2" t="s">
        <v>31379</v>
      </c>
      <c r="B15829" s="2" t="s">
        <v>31380</v>
      </c>
      <c r="C15829" s="2" t="s">
        <v>62</v>
      </c>
      <c r="D15829" s="2" t="s">
        <v>5758</v>
      </c>
      <c r="E15829" s="2" t="str">
        <f>"9783428173501"</f>
        <v>9783428173501</v>
      </c>
      <c r="F15829" s="2" t="str">
        <f>"9783428573509"</f>
        <v>9783428573509</v>
      </c>
    </row>
    <row r="15830" spans="1:6" s="3" customFormat="1" ht="29.1" customHeight="1" x14ac:dyDescent="0.25">
      <c r="A15830" s="2" t="s">
        <v>31381</v>
      </c>
      <c r="B15830" s="2" t="s">
        <v>30238</v>
      </c>
      <c r="C15830" s="2" t="s">
        <v>62</v>
      </c>
      <c r="D15830" s="2" t="s">
        <v>1463</v>
      </c>
      <c r="E15830" s="2" t="str">
        <f>"9783428173495"</f>
        <v>9783428173495</v>
      </c>
      <c r="F15830" s="2" t="str">
        <f>"9783428573493"</f>
        <v>9783428573493</v>
      </c>
    </row>
    <row r="15831" spans="1:6" s="3" customFormat="1" ht="29.1" customHeight="1" x14ac:dyDescent="0.25">
      <c r="A15831" s="2" t="s">
        <v>31381</v>
      </c>
      <c r="B15831" s="2" t="s">
        <v>31382</v>
      </c>
      <c r="C15831" s="2" t="s">
        <v>62</v>
      </c>
      <c r="D15831" s="2" t="s">
        <v>2005</v>
      </c>
      <c r="E15831" s="2" t="str">
        <f>"9783428173488"</f>
        <v>9783428173488</v>
      </c>
      <c r="F15831" s="2" t="str">
        <f>"9783428573486"</f>
        <v>9783428573486</v>
      </c>
    </row>
    <row r="15832" spans="1:6" s="3" customFormat="1" ht="29.1" customHeight="1" x14ac:dyDescent="0.25">
      <c r="A15832" s="2" t="s">
        <v>31381</v>
      </c>
      <c r="B15832" s="2" t="s">
        <v>30238</v>
      </c>
      <c r="C15832" s="2" t="s">
        <v>62</v>
      </c>
      <c r="D15832" s="2" t="s">
        <v>1463</v>
      </c>
      <c r="E15832" s="2" t="str">
        <f>"9783428173471"</f>
        <v>9783428173471</v>
      </c>
      <c r="F15832" s="2" t="str">
        <f>"9783428573479"</f>
        <v>9783428573479</v>
      </c>
    </row>
    <row r="15833" spans="1:6" s="3" customFormat="1" ht="29.1" customHeight="1" x14ac:dyDescent="0.25">
      <c r="A15833" s="2" t="s">
        <v>31383</v>
      </c>
      <c r="B15833" s="2" t="s">
        <v>30238</v>
      </c>
      <c r="C15833" s="2" t="s">
        <v>62</v>
      </c>
      <c r="D15833" s="2" t="s">
        <v>1228</v>
      </c>
      <c r="E15833" s="2" t="str">
        <f>"9783428173464"</f>
        <v>9783428173464</v>
      </c>
      <c r="F15833" s="2" t="str">
        <f>"9783428573462"</f>
        <v>9783428573462</v>
      </c>
    </row>
    <row r="15834" spans="1:6" s="3" customFormat="1" ht="29.1" customHeight="1" x14ac:dyDescent="0.25">
      <c r="A15834" s="2" t="s">
        <v>31384</v>
      </c>
      <c r="B15834" s="2" t="s">
        <v>30238</v>
      </c>
      <c r="C15834" s="2" t="s">
        <v>62</v>
      </c>
      <c r="D15834" s="2" t="s">
        <v>297</v>
      </c>
      <c r="E15834" s="2" t="str">
        <f>"9783428173457"</f>
        <v>9783428173457</v>
      </c>
      <c r="F15834" s="2" t="str">
        <f>"9783428573455"</f>
        <v>9783428573455</v>
      </c>
    </row>
    <row r="15835" spans="1:6" s="3" customFormat="1" ht="29.1" customHeight="1" x14ac:dyDescent="0.25">
      <c r="A15835" s="2" t="s">
        <v>31385</v>
      </c>
      <c r="B15835" s="2" t="s">
        <v>30238</v>
      </c>
      <c r="C15835" s="2" t="s">
        <v>62</v>
      </c>
      <c r="D15835" s="2" t="s">
        <v>297</v>
      </c>
      <c r="E15835" s="2" t="str">
        <f>"9783428173440"</f>
        <v>9783428173440</v>
      </c>
      <c r="F15835" s="2" t="str">
        <f>"9783428573448"</f>
        <v>9783428573448</v>
      </c>
    </row>
    <row r="15836" spans="1:6" s="3" customFormat="1" ht="29.1" customHeight="1" x14ac:dyDescent="0.25">
      <c r="A15836" s="2" t="s">
        <v>31385</v>
      </c>
      <c r="B15836" s="2" t="s">
        <v>30238</v>
      </c>
      <c r="C15836" s="2" t="s">
        <v>62</v>
      </c>
      <c r="D15836" s="2" t="s">
        <v>297</v>
      </c>
      <c r="E15836" s="2" t="str">
        <f>"9783428173433"</f>
        <v>9783428173433</v>
      </c>
      <c r="F15836" s="2" t="str">
        <f>"9783428573431"</f>
        <v>9783428573431</v>
      </c>
    </row>
    <row r="15837" spans="1:6" s="3" customFormat="1" ht="29.1" customHeight="1" x14ac:dyDescent="0.25">
      <c r="A15837" s="2" t="s">
        <v>31385</v>
      </c>
      <c r="B15837" s="2" t="s">
        <v>30238</v>
      </c>
      <c r="C15837" s="2" t="s">
        <v>62</v>
      </c>
      <c r="D15837" s="2" t="s">
        <v>1209</v>
      </c>
      <c r="E15837" s="2" t="str">
        <f>"9783428173426"</f>
        <v>9783428173426</v>
      </c>
      <c r="F15837" s="2" t="str">
        <f>"9783428573424"</f>
        <v>9783428573424</v>
      </c>
    </row>
    <row r="15838" spans="1:6" s="3" customFormat="1" ht="29.1" customHeight="1" x14ac:dyDescent="0.25">
      <c r="A15838" s="2" t="s">
        <v>31385</v>
      </c>
      <c r="B15838" s="2" t="s">
        <v>30238</v>
      </c>
      <c r="C15838" s="2" t="s">
        <v>62</v>
      </c>
      <c r="D15838" s="2" t="s">
        <v>1209</v>
      </c>
      <c r="E15838" s="2" t="str">
        <f>"9783428173419"</f>
        <v>9783428173419</v>
      </c>
      <c r="F15838" s="2" t="str">
        <f>"9783428573417"</f>
        <v>9783428573417</v>
      </c>
    </row>
    <row r="15839" spans="1:6" s="3" customFormat="1" ht="29.1" customHeight="1" x14ac:dyDescent="0.25">
      <c r="A15839" s="2" t="s">
        <v>31386</v>
      </c>
      <c r="B15839" s="2" t="s">
        <v>30238</v>
      </c>
      <c r="C15839" s="2" t="s">
        <v>62</v>
      </c>
      <c r="D15839" s="2" t="s">
        <v>4783</v>
      </c>
      <c r="E15839" s="2" t="str">
        <f>"9783428173402"</f>
        <v>9783428173402</v>
      </c>
      <c r="F15839" s="2" t="str">
        <f>"9783428573400"</f>
        <v>9783428573400</v>
      </c>
    </row>
    <row r="15840" spans="1:6" s="3" customFormat="1" ht="29.1" customHeight="1" x14ac:dyDescent="0.25">
      <c r="A15840" s="2" t="s">
        <v>31387</v>
      </c>
      <c r="B15840" s="2" t="s">
        <v>30238</v>
      </c>
      <c r="C15840" s="2" t="s">
        <v>62</v>
      </c>
      <c r="D15840" s="2" t="s">
        <v>1463</v>
      </c>
      <c r="E15840" s="2" t="str">
        <f>"9783428173396"</f>
        <v>9783428173396</v>
      </c>
      <c r="F15840" s="2" t="str">
        <f>"9783428573394"</f>
        <v>9783428573394</v>
      </c>
    </row>
    <row r="15841" spans="1:6" s="3" customFormat="1" ht="29.1" customHeight="1" x14ac:dyDescent="0.25">
      <c r="A15841" s="2" t="s">
        <v>31387</v>
      </c>
      <c r="B15841" s="2" t="s">
        <v>30238</v>
      </c>
      <c r="C15841" s="2" t="s">
        <v>62</v>
      </c>
      <c r="D15841" s="2" t="s">
        <v>1463</v>
      </c>
      <c r="E15841" s="2" t="str">
        <f>"9783428173389"</f>
        <v>9783428173389</v>
      </c>
      <c r="F15841" s="2" t="str">
        <f>"9783428573387"</f>
        <v>9783428573387</v>
      </c>
    </row>
    <row r="15842" spans="1:6" s="3" customFormat="1" ht="29.1" customHeight="1" x14ac:dyDescent="0.25">
      <c r="A15842" s="2" t="s">
        <v>31387</v>
      </c>
      <c r="B15842" s="2" t="s">
        <v>30238</v>
      </c>
      <c r="C15842" s="2" t="s">
        <v>62</v>
      </c>
      <c r="D15842" s="2" t="s">
        <v>1463</v>
      </c>
      <c r="E15842" s="2" t="str">
        <f>"9783428173372"</f>
        <v>9783428173372</v>
      </c>
      <c r="F15842" s="2" t="str">
        <f>"9783428573370"</f>
        <v>9783428573370</v>
      </c>
    </row>
    <row r="15843" spans="1:6" s="3" customFormat="1" ht="29.1" customHeight="1" x14ac:dyDescent="0.25">
      <c r="A15843" s="2" t="s">
        <v>31388</v>
      </c>
      <c r="B15843" s="2" t="s">
        <v>31028</v>
      </c>
      <c r="C15843" s="2" t="s">
        <v>62</v>
      </c>
      <c r="D15843" s="2" t="s">
        <v>5758</v>
      </c>
      <c r="E15843" s="2" t="str">
        <f>"9783428173365"</f>
        <v>9783428173365</v>
      </c>
      <c r="F15843" s="2" t="str">
        <f>"9783428573363"</f>
        <v>9783428573363</v>
      </c>
    </row>
    <row r="15844" spans="1:6" s="3" customFormat="1" ht="29.1" customHeight="1" x14ac:dyDescent="0.25">
      <c r="A15844" s="2" t="s">
        <v>31389</v>
      </c>
      <c r="B15844" s="2" t="s">
        <v>30238</v>
      </c>
      <c r="C15844" s="2" t="s">
        <v>62</v>
      </c>
      <c r="D15844" s="2" t="s">
        <v>1228</v>
      </c>
      <c r="E15844" s="2" t="str">
        <f>"9783428173358"</f>
        <v>9783428173358</v>
      </c>
      <c r="F15844" s="2" t="str">
        <f>"9783428573356"</f>
        <v>9783428573356</v>
      </c>
    </row>
    <row r="15845" spans="1:6" s="3" customFormat="1" ht="29.1" customHeight="1" x14ac:dyDescent="0.25">
      <c r="A15845" s="2" t="s">
        <v>31390</v>
      </c>
      <c r="B15845" s="2" t="s">
        <v>30238</v>
      </c>
      <c r="C15845" s="2" t="s">
        <v>62</v>
      </c>
      <c r="D15845" s="2" t="s">
        <v>1228</v>
      </c>
      <c r="E15845" s="2" t="str">
        <f>"9783428173341"</f>
        <v>9783428173341</v>
      </c>
      <c r="F15845" s="2" t="str">
        <f>"9783428573349"</f>
        <v>9783428573349</v>
      </c>
    </row>
    <row r="15846" spans="1:6" s="3" customFormat="1" ht="29.1" customHeight="1" x14ac:dyDescent="0.25">
      <c r="A15846" s="2" t="s">
        <v>31390</v>
      </c>
      <c r="B15846" s="2" t="s">
        <v>30238</v>
      </c>
      <c r="C15846" s="2" t="s">
        <v>62</v>
      </c>
      <c r="D15846" s="2" t="s">
        <v>1228</v>
      </c>
      <c r="E15846" s="2" t="str">
        <f>"9783428173334"</f>
        <v>9783428173334</v>
      </c>
      <c r="F15846" s="2" t="str">
        <f>"9783428573332"</f>
        <v>9783428573332</v>
      </c>
    </row>
    <row r="15847" spans="1:6" s="3" customFormat="1" ht="29.1" customHeight="1" x14ac:dyDescent="0.25">
      <c r="A15847" s="2" t="s">
        <v>31390</v>
      </c>
      <c r="B15847" s="2" t="s">
        <v>30238</v>
      </c>
      <c r="C15847" s="2" t="s">
        <v>62</v>
      </c>
      <c r="D15847" s="2" t="s">
        <v>1228</v>
      </c>
      <c r="E15847" s="2" t="str">
        <f>"9783428173327"</f>
        <v>9783428173327</v>
      </c>
      <c r="F15847" s="2" t="str">
        <f>"9783428573325"</f>
        <v>9783428573325</v>
      </c>
    </row>
    <row r="15848" spans="1:6" s="3" customFormat="1" ht="29.1" customHeight="1" x14ac:dyDescent="0.25">
      <c r="A15848" s="2" t="s">
        <v>31390</v>
      </c>
      <c r="B15848" s="2" t="s">
        <v>30238</v>
      </c>
      <c r="C15848" s="2" t="s">
        <v>62</v>
      </c>
      <c r="D15848" s="2" t="s">
        <v>1228</v>
      </c>
      <c r="E15848" s="2" t="str">
        <f>"9783428173310"</f>
        <v>9783428173310</v>
      </c>
      <c r="F15848" s="2" t="str">
        <f>"9783428573318"</f>
        <v>9783428573318</v>
      </c>
    </row>
    <row r="15849" spans="1:6" s="3" customFormat="1" ht="29.1" customHeight="1" x14ac:dyDescent="0.25">
      <c r="A15849" s="2" t="s">
        <v>31391</v>
      </c>
      <c r="B15849" s="2" t="s">
        <v>30238</v>
      </c>
      <c r="C15849" s="2" t="s">
        <v>62</v>
      </c>
      <c r="D15849" s="2" t="s">
        <v>1228</v>
      </c>
      <c r="E15849" s="2" t="str">
        <f>"9783428173303"</f>
        <v>9783428173303</v>
      </c>
      <c r="F15849" s="2" t="str">
        <f>"9783428573301"</f>
        <v>9783428573301</v>
      </c>
    </row>
    <row r="15850" spans="1:6" s="3" customFormat="1" ht="29.1" customHeight="1" x14ac:dyDescent="0.25">
      <c r="A15850" s="2" t="s">
        <v>31392</v>
      </c>
      <c r="B15850" s="2" t="s">
        <v>30238</v>
      </c>
      <c r="C15850" s="2" t="s">
        <v>62</v>
      </c>
      <c r="D15850" s="2" t="s">
        <v>1228</v>
      </c>
      <c r="E15850" s="2" t="str">
        <f>"9783428173297"</f>
        <v>9783428173297</v>
      </c>
      <c r="F15850" s="2" t="str">
        <f>"9783428573295"</f>
        <v>9783428573295</v>
      </c>
    </row>
    <row r="15851" spans="1:6" s="3" customFormat="1" ht="29.1" customHeight="1" x14ac:dyDescent="0.25">
      <c r="A15851" s="2" t="s">
        <v>31393</v>
      </c>
      <c r="B15851" s="2" t="s">
        <v>30238</v>
      </c>
      <c r="C15851" s="2" t="s">
        <v>62</v>
      </c>
      <c r="D15851" s="2" t="s">
        <v>1228</v>
      </c>
      <c r="E15851" s="2" t="str">
        <f>"9783428173280"</f>
        <v>9783428173280</v>
      </c>
      <c r="F15851" s="2" t="str">
        <f>"9783428573288"</f>
        <v>9783428573288</v>
      </c>
    </row>
    <row r="15852" spans="1:6" s="3" customFormat="1" ht="29.1" customHeight="1" x14ac:dyDescent="0.25">
      <c r="A15852" s="2" t="s">
        <v>31393</v>
      </c>
      <c r="B15852" s="2" t="s">
        <v>30238</v>
      </c>
      <c r="C15852" s="2" t="s">
        <v>62</v>
      </c>
      <c r="D15852" s="2" t="s">
        <v>1228</v>
      </c>
      <c r="E15852" s="2" t="str">
        <f>"9783428173273"</f>
        <v>9783428173273</v>
      </c>
      <c r="F15852" s="2" t="str">
        <f>"9783428573271"</f>
        <v>9783428573271</v>
      </c>
    </row>
    <row r="15853" spans="1:6" s="3" customFormat="1" ht="29.1" customHeight="1" x14ac:dyDescent="0.25">
      <c r="A15853" s="2" t="s">
        <v>31393</v>
      </c>
      <c r="B15853" s="2" t="s">
        <v>30238</v>
      </c>
      <c r="C15853" s="2" t="s">
        <v>62</v>
      </c>
      <c r="D15853" s="2" t="s">
        <v>1228</v>
      </c>
      <c r="E15853" s="2" t="str">
        <f>"9783428173266"</f>
        <v>9783428173266</v>
      </c>
      <c r="F15853" s="2" t="str">
        <f>"9783428573264"</f>
        <v>9783428573264</v>
      </c>
    </row>
    <row r="15854" spans="1:6" s="3" customFormat="1" ht="29.1" customHeight="1" x14ac:dyDescent="0.25">
      <c r="A15854" s="2" t="s">
        <v>31393</v>
      </c>
      <c r="B15854" s="2" t="s">
        <v>30238</v>
      </c>
      <c r="C15854" s="2" t="s">
        <v>62</v>
      </c>
      <c r="D15854" s="2" t="s">
        <v>1228</v>
      </c>
      <c r="E15854" s="2" t="str">
        <f>"9783428173259"</f>
        <v>9783428173259</v>
      </c>
      <c r="F15854" s="2" t="str">
        <f>"9783428573257"</f>
        <v>9783428573257</v>
      </c>
    </row>
    <row r="15855" spans="1:6" s="3" customFormat="1" ht="29.1" customHeight="1" x14ac:dyDescent="0.25">
      <c r="A15855" s="2" t="s">
        <v>31393</v>
      </c>
      <c r="B15855" s="2" t="s">
        <v>30238</v>
      </c>
      <c r="C15855" s="2" t="s">
        <v>62</v>
      </c>
      <c r="D15855" s="2" t="s">
        <v>1228</v>
      </c>
      <c r="E15855" s="2" t="str">
        <f>"9783428173242"</f>
        <v>9783428173242</v>
      </c>
      <c r="F15855" s="2" t="str">
        <f>"9783428573240"</f>
        <v>9783428573240</v>
      </c>
    </row>
    <row r="15856" spans="1:6" s="3" customFormat="1" ht="29.1" customHeight="1" x14ac:dyDescent="0.25">
      <c r="A15856" s="2" t="s">
        <v>31394</v>
      </c>
      <c r="B15856" s="2" t="s">
        <v>30238</v>
      </c>
      <c r="C15856" s="2" t="s">
        <v>62</v>
      </c>
      <c r="D15856" s="2" t="s">
        <v>1228</v>
      </c>
      <c r="E15856" s="2" t="str">
        <f>"9783428173235"</f>
        <v>9783428173235</v>
      </c>
      <c r="F15856" s="2" t="str">
        <f>"9783428573233"</f>
        <v>9783428573233</v>
      </c>
    </row>
    <row r="15857" spans="1:6" s="3" customFormat="1" ht="29.1" customHeight="1" x14ac:dyDescent="0.25">
      <c r="A15857" s="2" t="s">
        <v>31395</v>
      </c>
      <c r="B15857" s="2" t="s">
        <v>30238</v>
      </c>
      <c r="C15857" s="2" t="s">
        <v>62</v>
      </c>
      <c r="D15857" s="2" t="s">
        <v>1228</v>
      </c>
      <c r="E15857" s="2" t="str">
        <f>"9783428173228"</f>
        <v>9783428173228</v>
      </c>
      <c r="F15857" s="2" t="str">
        <f>"9783428573226"</f>
        <v>9783428573226</v>
      </c>
    </row>
    <row r="15858" spans="1:6" s="3" customFormat="1" ht="29.1" customHeight="1" x14ac:dyDescent="0.25">
      <c r="A15858" s="2" t="s">
        <v>31396</v>
      </c>
      <c r="B15858" s="2" t="s">
        <v>30238</v>
      </c>
      <c r="C15858" s="2" t="s">
        <v>62</v>
      </c>
      <c r="D15858" s="2" t="s">
        <v>1228</v>
      </c>
      <c r="E15858" s="2" t="str">
        <f>"9783428173211"</f>
        <v>9783428173211</v>
      </c>
      <c r="F15858" s="2" t="str">
        <f>"9783428573219"</f>
        <v>9783428573219</v>
      </c>
    </row>
    <row r="15859" spans="1:6" s="3" customFormat="1" ht="29.1" customHeight="1" x14ac:dyDescent="0.25">
      <c r="A15859" s="2" t="s">
        <v>31396</v>
      </c>
      <c r="B15859" s="2" t="s">
        <v>30238</v>
      </c>
      <c r="C15859" s="2" t="s">
        <v>62</v>
      </c>
      <c r="D15859" s="2" t="s">
        <v>1228</v>
      </c>
      <c r="E15859" s="2" t="str">
        <f>"9783428173204"</f>
        <v>9783428173204</v>
      </c>
      <c r="F15859" s="2" t="str">
        <f>"9783428573202"</f>
        <v>9783428573202</v>
      </c>
    </row>
    <row r="15860" spans="1:6" s="3" customFormat="1" ht="29.1" customHeight="1" x14ac:dyDescent="0.25">
      <c r="A15860" s="2" t="s">
        <v>31397</v>
      </c>
      <c r="B15860" s="2" t="s">
        <v>31398</v>
      </c>
      <c r="C15860" s="2" t="s">
        <v>62</v>
      </c>
      <c r="D15860" s="2" t="s">
        <v>297</v>
      </c>
      <c r="E15860" s="2" t="str">
        <f>"9783428173198"</f>
        <v>9783428173198</v>
      </c>
      <c r="F15860" s="2" t="str">
        <f>"9783428573196"</f>
        <v>9783428573196</v>
      </c>
    </row>
    <row r="15861" spans="1:6" s="3" customFormat="1" ht="29.1" customHeight="1" x14ac:dyDescent="0.25">
      <c r="A15861" s="2" t="s">
        <v>31399</v>
      </c>
      <c r="B15861" s="2" t="s">
        <v>30238</v>
      </c>
      <c r="C15861" s="2" t="s">
        <v>62</v>
      </c>
      <c r="D15861" s="2" t="s">
        <v>4783</v>
      </c>
      <c r="E15861" s="2" t="str">
        <f>"9783428173181"</f>
        <v>9783428173181</v>
      </c>
      <c r="F15861" s="2" t="str">
        <f>"9783428573189"</f>
        <v>9783428573189</v>
      </c>
    </row>
    <row r="15862" spans="1:6" s="3" customFormat="1" ht="29.1" customHeight="1" x14ac:dyDescent="0.25">
      <c r="A15862" s="2" t="s">
        <v>31400</v>
      </c>
      <c r="B15862" s="2" t="s">
        <v>30238</v>
      </c>
      <c r="C15862" s="2" t="s">
        <v>62</v>
      </c>
      <c r="D15862" s="2" t="s">
        <v>1651</v>
      </c>
      <c r="E15862" s="2" t="str">
        <f>"9783428173174"</f>
        <v>9783428173174</v>
      </c>
      <c r="F15862" s="2" t="str">
        <f>"9783428573172"</f>
        <v>9783428573172</v>
      </c>
    </row>
    <row r="15863" spans="1:6" s="3" customFormat="1" ht="29.1" customHeight="1" x14ac:dyDescent="0.25">
      <c r="A15863" s="2" t="s">
        <v>31400</v>
      </c>
      <c r="B15863" s="2" t="s">
        <v>30238</v>
      </c>
      <c r="C15863" s="2" t="s">
        <v>62</v>
      </c>
      <c r="D15863" s="2" t="s">
        <v>1651</v>
      </c>
      <c r="E15863" s="2" t="str">
        <f>"9783428173167"</f>
        <v>9783428173167</v>
      </c>
      <c r="F15863" s="2" t="str">
        <f>"9783428573165"</f>
        <v>9783428573165</v>
      </c>
    </row>
    <row r="15864" spans="1:6" s="3" customFormat="1" ht="29.1" customHeight="1" x14ac:dyDescent="0.25">
      <c r="A15864" s="2" t="s">
        <v>31400</v>
      </c>
      <c r="B15864" s="2" t="s">
        <v>30238</v>
      </c>
      <c r="C15864" s="2" t="s">
        <v>62</v>
      </c>
      <c r="D15864" s="2" t="s">
        <v>1651</v>
      </c>
      <c r="E15864" s="2" t="str">
        <f>"9783428173150"</f>
        <v>9783428173150</v>
      </c>
      <c r="F15864" s="2" t="str">
        <f>"9783428573158"</f>
        <v>9783428573158</v>
      </c>
    </row>
    <row r="15865" spans="1:6" s="3" customFormat="1" ht="29.1" customHeight="1" x14ac:dyDescent="0.25">
      <c r="A15865" s="2" t="s">
        <v>31400</v>
      </c>
      <c r="B15865" s="2" t="s">
        <v>30238</v>
      </c>
      <c r="C15865" s="2" t="s">
        <v>62</v>
      </c>
      <c r="D15865" s="2" t="s">
        <v>1651</v>
      </c>
      <c r="E15865" s="2" t="str">
        <f>"9783428173143"</f>
        <v>9783428173143</v>
      </c>
      <c r="F15865" s="2" t="str">
        <f>"9783428573141"</f>
        <v>9783428573141</v>
      </c>
    </row>
    <row r="15866" spans="1:6" s="3" customFormat="1" ht="29.1" customHeight="1" x14ac:dyDescent="0.25">
      <c r="A15866" s="2" t="s">
        <v>31400</v>
      </c>
      <c r="B15866" s="2" t="s">
        <v>30238</v>
      </c>
      <c r="C15866" s="2" t="s">
        <v>62</v>
      </c>
      <c r="D15866" s="2" t="s">
        <v>1651</v>
      </c>
      <c r="E15866" s="2" t="str">
        <f>"9783428173136"</f>
        <v>9783428173136</v>
      </c>
      <c r="F15866" s="2" t="str">
        <f>"9783428573134"</f>
        <v>9783428573134</v>
      </c>
    </row>
    <row r="15867" spans="1:6" s="3" customFormat="1" ht="29.1" customHeight="1" x14ac:dyDescent="0.25">
      <c r="A15867" s="2" t="s">
        <v>31400</v>
      </c>
      <c r="B15867" s="2" t="s">
        <v>30238</v>
      </c>
      <c r="C15867" s="2" t="s">
        <v>62</v>
      </c>
      <c r="D15867" s="2" t="s">
        <v>1651</v>
      </c>
      <c r="E15867" s="2" t="str">
        <f>"9783428173129"</f>
        <v>9783428173129</v>
      </c>
      <c r="F15867" s="2" t="str">
        <f>"9783428573127"</f>
        <v>9783428573127</v>
      </c>
    </row>
    <row r="15868" spans="1:6" s="3" customFormat="1" ht="29.1" customHeight="1" x14ac:dyDescent="0.25">
      <c r="A15868" s="2" t="s">
        <v>31400</v>
      </c>
      <c r="B15868" s="2" t="s">
        <v>30238</v>
      </c>
      <c r="C15868" s="2" t="s">
        <v>62</v>
      </c>
      <c r="D15868" s="2" t="s">
        <v>1651</v>
      </c>
      <c r="E15868" s="2" t="str">
        <f>"9783428173112"</f>
        <v>9783428173112</v>
      </c>
      <c r="F15868" s="2" t="str">
        <f>"9783428573110"</f>
        <v>9783428573110</v>
      </c>
    </row>
    <row r="15869" spans="1:6" s="3" customFormat="1" ht="29.1" customHeight="1" x14ac:dyDescent="0.25">
      <c r="A15869" s="2" t="s">
        <v>31400</v>
      </c>
      <c r="B15869" s="2" t="s">
        <v>30238</v>
      </c>
      <c r="C15869" s="2" t="s">
        <v>62</v>
      </c>
      <c r="D15869" s="2" t="s">
        <v>1651</v>
      </c>
      <c r="E15869" s="2" t="str">
        <f>"9783428173105"</f>
        <v>9783428173105</v>
      </c>
      <c r="F15869" s="2" t="str">
        <f>"9783428573103"</f>
        <v>9783428573103</v>
      </c>
    </row>
    <row r="15870" spans="1:6" s="3" customFormat="1" ht="29.1" customHeight="1" x14ac:dyDescent="0.25">
      <c r="A15870" s="2" t="s">
        <v>31400</v>
      </c>
      <c r="B15870" s="2" t="s">
        <v>30238</v>
      </c>
      <c r="C15870" s="2" t="s">
        <v>62</v>
      </c>
      <c r="D15870" s="2" t="s">
        <v>1651</v>
      </c>
      <c r="E15870" s="2" t="str">
        <f>"9783428173099"</f>
        <v>9783428173099</v>
      </c>
      <c r="F15870" s="2" t="str">
        <f>"9783428573097"</f>
        <v>9783428573097</v>
      </c>
    </row>
    <row r="15871" spans="1:6" s="3" customFormat="1" ht="29.1" customHeight="1" x14ac:dyDescent="0.25">
      <c r="A15871" s="2" t="s">
        <v>31401</v>
      </c>
      <c r="B15871" s="2" t="s">
        <v>30238</v>
      </c>
      <c r="C15871" s="2" t="s">
        <v>62</v>
      </c>
      <c r="D15871" s="2" t="s">
        <v>1228</v>
      </c>
      <c r="E15871" s="2" t="str">
        <f>"9783428173082"</f>
        <v>9783428173082</v>
      </c>
      <c r="F15871" s="2" t="str">
        <f>"9783428573080"</f>
        <v>9783428573080</v>
      </c>
    </row>
    <row r="15872" spans="1:6" s="3" customFormat="1" ht="29.1" customHeight="1" x14ac:dyDescent="0.25">
      <c r="A15872" s="2" t="s">
        <v>31402</v>
      </c>
      <c r="B15872" s="2" t="s">
        <v>30238</v>
      </c>
      <c r="C15872" s="2" t="s">
        <v>62</v>
      </c>
      <c r="D15872" s="2" t="s">
        <v>1651</v>
      </c>
      <c r="E15872" s="2" t="str">
        <f>"9783428173075"</f>
        <v>9783428173075</v>
      </c>
      <c r="F15872" s="2" t="str">
        <f>"9783428573073"</f>
        <v>9783428573073</v>
      </c>
    </row>
    <row r="15873" spans="1:6" s="3" customFormat="1" ht="29.1" customHeight="1" x14ac:dyDescent="0.25">
      <c r="A15873" s="2" t="s">
        <v>31403</v>
      </c>
      <c r="B15873" s="2" t="s">
        <v>31404</v>
      </c>
      <c r="C15873" s="2" t="s">
        <v>62</v>
      </c>
      <c r="D15873" s="2" t="s">
        <v>297</v>
      </c>
      <c r="E15873" s="2" t="str">
        <f>"9783428173068"</f>
        <v>9783428173068</v>
      </c>
      <c r="F15873" s="2" t="str">
        <f>"9783428573066"</f>
        <v>9783428573066</v>
      </c>
    </row>
    <row r="15874" spans="1:6" s="3" customFormat="1" ht="29.1" customHeight="1" x14ac:dyDescent="0.25">
      <c r="A15874" s="2" t="s">
        <v>31405</v>
      </c>
      <c r="B15874" s="2" t="s">
        <v>31338</v>
      </c>
      <c r="C15874" s="2" t="s">
        <v>62</v>
      </c>
      <c r="D15874" s="2" t="s">
        <v>1463</v>
      </c>
      <c r="E15874" s="2" t="str">
        <f>"9783428173044"</f>
        <v>9783428173044</v>
      </c>
      <c r="F15874" s="2" t="str">
        <f>"9783428573042"</f>
        <v>9783428573042</v>
      </c>
    </row>
    <row r="15875" spans="1:6" s="3" customFormat="1" ht="29.1" customHeight="1" x14ac:dyDescent="0.25">
      <c r="A15875" s="2" t="s">
        <v>31406</v>
      </c>
      <c r="B15875" s="2" t="s">
        <v>31407</v>
      </c>
      <c r="C15875" s="2" t="s">
        <v>62</v>
      </c>
      <c r="D15875" s="2" t="s">
        <v>1463</v>
      </c>
      <c r="E15875" s="2" t="str">
        <f>"9783428173037"</f>
        <v>9783428173037</v>
      </c>
      <c r="F15875" s="2" t="str">
        <f>"9783428573035"</f>
        <v>9783428573035</v>
      </c>
    </row>
    <row r="15876" spans="1:6" s="3" customFormat="1" ht="29.1" customHeight="1" x14ac:dyDescent="0.25">
      <c r="A15876" s="2" t="s">
        <v>31408</v>
      </c>
      <c r="B15876" s="2" t="s">
        <v>31409</v>
      </c>
      <c r="C15876" s="2" t="s">
        <v>62</v>
      </c>
      <c r="D15876" s="2" t="s">
        <v>297</v>
      </c>
      <c r="E15876" s="2" t="str">
        <f>"9783428172993"</f>
        <v>9783428172993</v>
      </c>
      <c r="F15876" s="2" t="str">
        <f>"9783428572991"</f>
        <v>9783428572991</v>
      </c>
    </row>
    <row r="15877" spans="1:6" s="3" customFormat="1" ht="29.1" customHeight="1" x14ac:dyDescent="0.25">
      <c r="A15877" s="2" t="s">
        <v>31410</v>
      </c>
      <c r="B15877" s="2" t="s">
        <v>30238</v>
      </c>
      <c r="C15877" s="2" t="s">
        <v>62</v>
      </c>
      <c r="D15877" s="2" t="s">
        <v>1463</v>
      </c>
      <c r="E15877" s="2" t="str">
        <f>"9783428172986"</f>
        <v>9783428172986</v>
      </c>
      <c r="F15877" s="2" t="str">
        <f>"9783428572984"</f>
        <v>9783428572984</v>
      </c>
    </row>
    <row r="15878" spans="1:6" s="3" customFormat="1" ht="29.1" customHeight="1" x14ac:dyDescent="0.25">
      <c r="A15878" s="2" t="s">
        <v>31411</v>
      </c>
      <c r="B15878" s="2" t="s">
        <v>31028</v>
      </c>
      <c r="C15878" s="2" t="s">
        <v>62</v>
      </c>
      <c r="D15878" s="2" t="s">
        <v>1463</v>
      </c>
      <c r="E15878" s="2" t="str">
        <f>"9783428172979"</f>
        <v>9783428172979</v>
      </c>
      <c r="F15878" s="2" t="str">
        <f>"9783428572977"</f>
        <v>9783428572977</v>
      </c>
    </row>
    <row r="15879" spans="1:6" s="3" customFormat="1" ht="29.1" customHeight="1" x14ac:dyDescent="0.25">
      <c r="A15879" s="2" t="s">
        <v>31412</v>
      </c>
      <c r="B15879" s="2" t="s">
        <v>30238</v>
      </c>
      <c r="C15879" s="2" t="s">
        <v>62</v>
      </c>
      <c r="D15879" s="2" t="s">
        <v>1463</v>
      </c>
      <c r="E15879" s="2" t="str">
        <f>"9783428172962"</f>
        <v>9783428172962</v>
      </c>
      <c r="F15879" s="2" t="str">
        <f>"9783428572960"</f>
        <v>9783428572960</v>
      </c>
    </row>
    <row r="15880" spans="1:6" s="3" customFormat="1" ht="29.1" customHeight="1" x14ac:dyDescent="0.25">
      <c r="A15880" s="2" t="s">
        <v>31413</v>
      </c>
      <c r="B15880" s="2" t="s">
        <v>31414</v>
      </c>
      <c r="C15880" s="2" t="s">
        <v>62</v>
      </c>
      <c r="D15880" s="2" t="s">
        <v>1651</v>
      </c>
      <c r="E15880" s="2" t="str">
        <f>"9783428172955"</f>
        <v>9783428172955</v>
      </c>
      <c r="F15880" s="2" t="str">
        <f>"9783428572953"</f>
        <v>9783428572953</v>
      </c>
    </row>
    <row r="15881" spans="1:6" s="3" customFormat="1" ht="29.1" customHeight="1" x14ac:dyDescent="0.25">
      <c r="A15881" s="2" t="s">
        <v>31415</v>
      </c>
      <c r="B15881" s="2" t="s">
        <v>30238</v>
      </c>
      <c r="C15881" s="2" t="s">
        <v>62</v>
      </c>
      <c r="D15881" s="2" t="s">
        <v>1228</v>
      </c>
      <c r="E15881" s="2" t="str">
        <f>"9783428172948"</f>
        <v>9783428172948</v>
      </c>
      <c r="F15881" s="2" t="str">
        <f>"9783428572946"</f>
        <v>9783428572946</v>
      </c>
    </row>
    <row r="15882" spans="1:6" s="3" customFormat="1" ht="29.1" customHeight="1" x14ac:dyDescent="0.25">
      <c r="A15882" s="2" t="s">
        <v>31416</v>
      </c>
      <c r="B15882" s="2" t="s">
        <v>31407</v>
      </c>
      <c r="C15882" s="2" t="s">
        <v>62</v>
      </c>
      <c r="D15882" s="2" t="s">
        <v>1228</v>
      </c>
      <c r="E15882" s="2" t="str">
        <f>"9783428172931"</f>
        <v>9783428172931</v>
      </c>
      <c r="F15882" s="2" t="str">
        <f>"9783428572939"</f>
        <v>9783428572939</v>
      </c>
    </row>
    <row r="15883" spans="1:6" s="3" customFormat="1" ht="29.1" customHeight="1" x14ac:dyDescent="0.25">
      <c r="A15883" s="2" t="s">
        <v>31417</v>
      </c>
      <c r="B15883" s="2" t="s">
        <v>31418</v>
      </c>
      <c r="C15883" s="2" t="s">
        <v>62</v>
      </c>
      <c r="D15883" s="2" t="s">
        <v>1228</v>
      </c>
      <c r="E15883" s="2" t="str">
        <f>"9783428172924"</f>
        <v>9783428172924</v>
      </c>
      <c r="F15883" s="2" t="str">
        <f>"9783428572922"</f>
        <v>9783428572922</v>
      </c>
    </row>
    <row r="15884" spans="1:6" s="3" customFormat="1" ht="29.1" customHeight="1" x14ac:dyDescent="0.25">
      <c r="A15884" s="2" t="s">
        <v>31419</v>
      </c>
      <c r="B15884" s="2" t="s">
        <v>30238</v>
      </c>
      <c r="C15884" s="2" t="s">
        <v>62</v>
      </c>
      <c r="D15884" s="2" t="s">
        <v>2005</v>
      </c>
      <c r="E15884" s="2" t="str">
        <f>"9783428172917"</f>
        <v>9783428172917</v>
      </c>
      <c r="F15884" s="2" t="str">
        <f>"9783428572915"</f>
        <v>9783428572915</v>
      </c>
    </row>
    <row r="15885" spans="1:6" s="3" customFormat="1" ht="29.1" customHeight="1" x14ac:dyDescent="0.25">
      <c r="A15885" s="2" t="s">
        <v>31420</v>
      </c>
      <c r="B15885" s="2" t="s">
        <v>31421</v>
      </c>
      <c r="C15885" s="2" t="s">
        <v>62</v>
      </c>
      <c r="D15885" s="2" t="s">
        <v>2005</v>
      </c>
      <c r="E15885" s="2" t="str">
        <f>"9783428172900"</f>
        <v>9783428172900</v>
      </c>
      <c r="F15885" s="2" t="str">
        <f>"9783428572908"</f>
        <v>9783428572908</v>
      </c>
    </row>
    <row r="15886" spans="1:6" s="3" customFormat="1" ht="29.1" customHeight="1" x14ac:dyDescent="0.25">
      <c r="A15886" s="2" t="s">
        <v>31422</v>
      </c>
      <c r="B15886" s="2" t="s">
        <v>30238</v>
      </c>
      <c r="C15886" s="2" t="s">
        <v>62</v>
      </c>
      <c r="D15886" s="2" t="s">
        <v>1651</v>
      </c>
      <c r="E15886" s="2" t="str">
        <f>"9783428172894"</f>
        <v>9783428172894</v>
      </c>
      <c r="F15886" s="2" t="str">
        <f>"9783428572892"</f>
        <v>9783428572892</v>
      </c>
    </row>
    <row r="15887" spans="1:6" s="3" customFormat="1" ht="29.1" customHeight="1" x14ac:dyDescent="0.25">
      <c r="A15887" s="2" t="s">
        <v>31423</v>
      </c>
      <c r="B15887" s="2" t="s">
        <v>30238</v>
      </c>
      <c r="C15887" s="2" t="s">
        <v>62</v>
      </c>
      <c r="D15887" s="2" t="s">
        <v>1651</v>
      </c>
      <c r="E15887" s="2" t="str">
        <f>"9783428172887"</f>
        <v>9783428172887</v>
      </c>
      <c r="F15887" s="2" t="str">
        <f>"9783428572885"</f>
        <v>9783428572885</v>
      </c>
    </row>
    <row r="15888" spans="1:6" s="3" customFormat="1" ht="29.1" customHeight="1" x14ac:dyDescent="0.25">
      <c r="A15888" s="2" t="s">
        <v>31424</v>
      </c>
      <c r="B15888" s="2" t="s">
        <v>30238</v>
      </c>
      <c r="C15888" s="2" t="s">
        <v>62</v>
      </c>
      <c r="D15888" s="2" t="s">
        <v>1651</v>
      </c>
      <c r="E15888" s="2" t="str">
        <f>"9783428172870"</f>
        <v>9783428172870</v>
      </c>
      <c r="F15888" s="2" t="str">
        <f>"9783428572878"</f>
        <v>9783428572878</v>
      </c>
    </row>
    <row r="15889" spans="1:6" s="3" customFormat="1" ht="29.1" customHeight="1" x14ac:dyDescent="0.25">
      <c r="A15889" s="2" t="s">
        <v>31425</v>
      </c>
      <c r="B15889" s="2" t="s">
        <v>31426</v>
      </c>
      <c r="C15889" s="2" t="s">
        <v>62</v>
      </c>
      <c r="D15889" s="2" t="s">
        <v>1651</v>
      </c>
      <c r="E15889" s="2" t="str">
        <f>"9783428172863"</f>
        <v>9783428172863</v>
      </c>
      <c r="F15889" s="2" t="str">
        <f>"9783428572861"</f>
        <v>9783428572861</v>
      </c>
    </row>
    <row r="15890" spans="1:6" s="3" customFormat="1" ht="29.1" customHeight="1" x14ac:dyDescent="0.25">
      <c r="A15890" s="2" t="s">
        <v>31427</v>
      </c>
      <c r="B15890" s="2" t="s">
        <v>31428</v>
      </c>
      <c r="C15890" s="2" t="s">
        <v>62</v>
      </c>
      <c r="D15890" s="2" t="s">
        <v>1651</v>
      </c>
      <c r="E15890" s="2" t="str">
        <f>"9783428172832"</f>
        <v>9783428172832</v>
      </c>
      <c r="F15890" s="2" t="str">
        <f>"9783428572830"</f>
        <v>9783428572830</v>
      </c>
    </row>
    <row r="15891" spans="1:6" s="3" customFormat="1" ht="29.1" customHeight="1" x14ac:dyDescent="0.25">
      <c r="A15891" s="2" t="s">
        <v>31429</v>
      </c>
      <c r="B15891" s="2" t="s">
        <v>30238</v>
      </c>
      <c r="C15891" s="2" t="s">
        <v>62</v>
      </c>
      <c r="D15891" s="2" t="s">
        <v>1228</v>
      </c>
      <c r="E15891" s="2" t="str">
        <f>"9783428172825"</f>
        <v>9783428172825</v>
      </c>
      <c r="F15891" s="2" t="str">
        <f>"9783428572823"</f>
        <v>9783428572823</v>
      </c>
    </row>
    <row r="15892" spans="1:6" s="3" customFormat="1" ht="29.1" customHeight="1" x14ac:dyDescent="0.25">
      <c r="A15892" s="2" t="s">
        <v>31430</v>
      </c>
      <c r="B15892" s="2" t="s">
        <v>30238</v>
      </c>
      <c r="C15892" s="2" t="s">
        <v>62</v>
      </c>
      <c r="D15892" s="2" t="s">
        <v>1228</v>
      </c>
      <c r="E15892" s="2" t="str">
        <f>"9783428172818"</f>
        <v>9783428172818</v>
      </c>
      <c r="F15892" s="2" t="str">
        <f>"9783428572816"</f>
        <v>9783428572816</v>
      </c>
    </row>
    <row r="15893" spans="1:6" s="3" customFormat="1" ht="29.1" customHeight="1" x14ac:dyDescent="0.25">
      <c r="A15893" s="2" t="s">
        <v>31431</v>
      </c>
      <c r="B15893" s="2" t="s">
        <v>30238</v>
      </c>
      <c r="C15893" s="2" t="s">
        <v>62</v>
      </c>
      <c r="D15893" s="2" t="s">
        <v>297</v>
      </c>
      <c r="E15893" s="2" t="str">
        <f>"9783428172801"</f>
        <v>9783428172801</v>
      </c>
      <c r="F15893" s="2" t="str">
        <f>"9783428572809"</f>
        <v>9783428572809</v>
      </c>
    </row>
    <row r="15894" spans="1:6" s="3" customFormat="1" ht="29.1" customHeight="1" x14ac:dyDescent="0.25">
      <c r="A15894" s="2" t="s">
        <v>31432</v>
      </c>
      <c r="B15894" s="2" t="s">
        <v>30238</v>
      </c>
      <c r="C15894" s="2" t="s">
        <v>62</v>
      </c>
      <c r="D15894" s="2" t="s">
        <v>1463</v>
      </c>
      <c r="E15894" s="2" t="str">
        <f>"9783428172795"</f>
        <v>9783428172795</v>
      </c>
      <c r="F15894" s="2" t="str">
        <f>"9783428572793"</f>
        <v>9783428572793</v>
      </c>
    </row>
    <row r="15895" spans="1:6" s="3" customFormat="1" ht="29.1" customHeight="1" x14ac:dyDescent="0.25">
      <c r="A15895" s="2" t="s">
        <v>31433</v>
      </c>
      <c r="B15895" s="2" t="s">
        <v>30238</v>
      </c>
      <c r="C15895" s="2" t="s">
        <v>62</v>
      </c>
      <c r="D15895" s="2" t="s">
        <v>297</v>
      </c>
      <c r="E15895" s="2" t="str">
        <f>"9783428172788"</f>
        <v>9783428172788</v>
      </c>
      <c r="F15895" s="2" t="str">
        <f>"9783428572786"</f>
        <v>9783428572786</v>
      </c>
    </row>
    <row r="15896" spans="1:6" s="3" customFormat="1" ht="29.1" customHeight="1" x14ac:dyDescent="0.25">
      <c r="A15896" s="2" t="s">
        <v>31433</v>
      </c>
      <c r="B15896" s="2" t="s">
        <v>30238</v>
      </c>
      <c r="C15896" s="2" t="s">
        <v>62</v>
      </c>
      <c r="D15896" s="2" t="s">
        <v>297</v>
      </c>
      <c r="E15896" s="2" t="str">
        <f>"9783428172771"</f>
        <v>9783428172771</v>
      </c>
      <c r="F15896" s="2" t="str">
        <f>"9783428572779"</f>
        <v>9783428572779</v>
      </c>
    </row>
    <row r="15897" spans="1:6" s="3" customFormat="1" ht="29.1" customHeight="1" x14ac:dyDescent="0.25">
      <c r="A15897" s="2" t="s">
        <v>31434</v>
      </c>
      <c r="B15897" s="2" t="s">
        <v>31435</v>
      </c>
      <c r="C15897" s="2" t="s">
        <v>62</v>
      </c>
      <c r="D15897" s="2" t="s">
        <v>1228</v>
      </c>
      <c r="E15897" s="2" t="str">
        <f>"9783428172764"</f>
        <v>9783428172764</v>
      </c>
      <c r="F15897" s="2" t="str">
        <f>"9783428572762"</f>
        <v>9783428572762</v>
      </c>
    </row>
    <row r="15898" spans="1:6" s="3" customFormat="1" ht="29.1" customHeight="1" x14ac:dyDescent="0.25">
      <c r="A15898" s="2" t="s">
        <v>31436</v>
      </c>
      <c r="B15898" s="2" t="s">
        <v>30238</v>
      </c>
      <c r="C15898" s="2" t="s">
        <v>62</v>
      </c>
      <c r="D15898" s="2" t="s">
        <v>1228</v>
      </c>
      <c r="E15898" s="2" t="str">
        <f>"9783428172757"</f>
        <v>9783428172757</v>
      </c>
      <c r="F15898" s="2" t="str">
        <f>"9783428572755"</f>
        <v>9783428572755</v>
      </c>
    </row>
    <row r="15899" spans="1:6" s="3" customFormat="1" ht="29.1" customHeight="1" x14ac:dyDescent="0.25">
      <c r="A15899" s="2" t="s">
        <v>31437</v>
      </c>
      <c r="B15899" s="2" t="s">
        <v>31438</v>
      </c>
      <c r="C15899" s="2" t="s">
        <v>62</v>
      </c>
      <c r="D15899" s="2" t="s">
        <v>1228</v>
      </c>
      <c r="E15899" s="2" t="str">
        <f>"9783428172740"</f>
        <v>9783428172740</v>
      </c>
      <c r="F15899" s="2" t="str">
        <f>"9783428572748"</f>
        <v>9783428572748</v>
      </c>
    </row>
    <row r="15900" spans="1:6" s="3" customFormat="1" ht="29.1" customHeight="1" x14ac:dyDescent="0.25">
      <c r="A15900" s="2" t="s">
        <v>31439</v>
      </c>
      <c r="B15900" s="2" t="s">
        <v>31440</v>
      </c>
      <c r="C15900" s="2" t="s">
        <v>62</v>
      </c>
      <c r="D15900" s="2" t="s">
        <v>1228</v>
      </c>
      <c r="E15900" s="2" t="str">
        <f>"9783428172733"</f>
        <v>9783428172733</v>
      </c>
      <c r="F15900" s="2" t="str">
        <f>"9783428572731"</f>
        <v>9783428572731</v>
      </c>
    </row>
    <row r="15901" spans="1:6" s="3" customFormat="1" ht="29.1" customHeight="1" x14ac:dyDescent="0.25">
      <c r="A15901" s="2" t="s">
        <v>31441</v>
      </c>
      <c r="B15901" s="2" t="s">
        <v>31442</v>
      </c>
      <c r="C15901" s="2" t="s">
        <v>62</v>
      </c>
      <c r="D15901" s="2" t="s">
        <v>1228</v>
      </c>
      <c r="E15901" s="2" t="str">
        <f>"9783428172726"</f>
        <v>9783428172726</v>
      </c>
      <c r="F15901" s="2" t="str">
        <f>"9783428572724"</f>
        <v>9783428572724</v>
      </c>
    </row>
    <row r="15902" spans="1:6" s="3" customFormat="1" ht="29.1" customHeight="1" x14ac:dyDescent="0.25">
      <c r="A15902" s="2" t="s">
        <v>31443</v>
      </c>
      <c r="B15902" s="2" t="s">
        <v>30238</v>
      </c>
      <c r="C15902" s="2" t="s">
        <v>62</v>
      </c>
      <c r="D15902" s="2" t="s">
        <v>1228</v>
      </c>
      <c r="E15902" s="2" t="str">
        <f>"9783428172719"</f>
        <v>9783428172719</v>
      </c>
      <c r="F15902" s="2" t="str">
        <f>"9783428572717"</f>
        <v>9783428572717</v>
      </c>
    </row>
    <row r="15903" spans="1:6" s="3" customFormat="1" ht="29.1" customHeight="1" x14ac:dyDescent="0.25">
      <c r="A15903" s="2" t="s">
        <v>31443</v>
      </c>
      <c r="B15903" s="2" t="s">
        <v>30238</v>
      </c>
      <c r="C15903" s="2" t="s">
        <v>62</v>
      </c>
      <c r="D15903" s="2" t="s">
        <v>1228</v>
      </c>
      <c r="E15903" s="2" t="str">
        <f>"9783428172702"</f>
        <v>9783428172702</v>
      </c>
      <c r="F15903" s="2" t="str">
        <f>"9783428572700"</f>
        <v>9783428572700</v>
      </c>
    </row>
    <row r="15904" spans="1:6" s="3" customFormat="1" ht="29.1" customHeight="1" x14ac:dyDescent="0.25">
      <c r="A15904" s="2" t="s">
        <v>31443</v>
      </c>
      <c r="B15904" s="2" t="s">
        <v>30238</v>
      </c>
      <c r="C15904" s="2" t="s">
        <v>62</v>
      </c>
      <c r="D15904" s="2" t="s">
        <v>1228</v>
      </c>
      <c r="E15904" s="2" t="str">
        <f>"9783428172696"</f>
        <v>9783428172696</v>
      </c>
      <c r="F15904" s="2" t="str">
        <f>"9783428572694"</f>
        <v>9783428572694</v>
      </c>
    </row>
    <row r="15905" spans="1:6" s="3" customFormat="1" ht="29.1" customHeight="1" x14ac:dyDescent="0.25">
      <c r="A15905" s="2" t="s">
        <v>31444</v>
      </c>
      <c r="B15905" s="2" t="s">
        <v>30238</v>
      </c>
      <c r="C15905" s="2" t="s">
        <v>62</v>
      </c>
      <c r="D15905" s="2" t="s">
        <v>1228</v>
      </c>
      <c r="E15905" s="2" t="str">
        <f>"9783428172689"</f>
        <v>9783428172689</v>
      </c>
      <c r="F15905" s="2" t="str">
        <f>"9783428572687"</f>
        <v>9783428572687</v>
      </c>
    </row>
    <row r="15906" spans="1:6" s="3" customFormat="1" ht="29.1" customHeight="1" x14ac:dyDescent="0.25">
      <c r="A15906" s="2" t="s">
        <v>31441</v>
      </c>
      <c r="B15906" s="2" t="s">
        <v>31442</v>
      </c>
      <c r="C15906" s="2" t="s">
        <v>62</v>
      </c>
      <c r="D15906" s="2" t="s">
        <v>1228</v>
      </c>
      <c r="E15906" s="2" t="str">
        <f>"9783428172672"</f>
        <v>9783428172672</v>
      </c>
      <c r="F15906" s="2" t="str">
        <f>"9783428572670"</f>
        <v>9783428572670</v>
      </c>
    </row>
    <row r="15907" spans="1:6" s="3" customFormat="1" ht="29.1" customHeight="1" x14ac:dyDescent="0.25">
      <c r="A15907" s="2" t="s">
        <v>31445</v>
      </c>
      <c r="B15907" s="2" t="s">
        <v>30238</v>
      </c>
      <c r="C15907" s="2" t="s">
        <v>62</v>
      </c>
      <c r="D15907" s="2" t="s">
        <v>4700</v>
      </c>
      <c r="E15907" s="2" t="str">
        <f>"9783428172665"</f>
        <v>9783428172665</v>
      </c>
      <c r="F15907" s="2" t="str">
        <f>"9783428572663"</f>
        <v>9783428572663</v>
      </c>
    </row>
    <row r="15908" spans="1:6" s="3" customFormat="1" ht="29.1" customHeight="1" x14ac:dyDescent="0.25">
      <c r="A15908" s="2" t="s">
        <v>31446</v>
      </c>
      <c r="B15908" s="2" t="s">
        <v>31447</v>
      </c>
      <c r="C15908" s="2" t="s">
        <v>62</v>
      </c>
      <c r="D15908" s="2" t="s">
        <v>1228</v>
      </c>
      <c r="E15908" s="2" t="str">
        <f>"9783428172658"</f>
        <v>9783428172658</v>
      </c>
      <c r="F15908" s="2" t="str">
        <f>"9783428572656"</f>
        <v>9783428572656</v>
      </c>
    </row>
    <row r="15909" spans="1:6" s="3" customFormat="1" ht="29.1" customHeight="1" x14ac:dyDescent="0.25">
      <c r="A15909" s="2" t="s">
        <v>31448</v>
      </c>
      <c r="B15909" s="2" t="s">
        <v>31449</v>
      </c>
      <c r="C15909" s="2" t="s">
        <v>62</v>
      </c>
      <c r="D15909" s="2" t="s">
        <v>1228</v>
      </c>
      <c r="E15909" s="2" t="str">
        <f>"9783428172641"</f>
        <v>9783428172641</v>
      </c>
      <c r="F15909" s="2" t="str">
        <f>"9783428572649"</f>
        <v>9783428572649</v>
      </c>
    </row>
    <row r="15910" spans="1:6" s="3" customFormat="1" ht="29.1" customHeight="1" x14ac:dyDescent="0.25">
      <c r="A15910" s="2" t="s">
        <v>31450</v>
      </c>
      <c r="B15910" s="2" t="s">
        <v>30238</v>
      </c>
      <c r="C15910" s="2" t="s">
        <v>62</v>
      </c>
      <c r="D15910" s="2" t="s">
        <v>1463</v>
      </c>
      <c r="E15910" s="2" t="str">
        <f>"9783428172634"</f>
        <v>9783428172634</v>
      </c>
      <c r="F15910" s="2" t="str">
        <f>"9783428572632"</f>
        <v>9783428572632</v>
      </c>
    </row>
    <row r="15911" spans="1:6" s="3" customFormat="1" ht="29.1" customHeight="1" x14ac:dyDescent="0.25">
      <c r="A15911" s="2" t="s">
        <v>31451</v>
      </c>
      <c r="B15911" s="2" t="s">
        <v>30238</v>
      </c>
      <c r="C15911" s="2" t="s">
        <v>62</v>
      </c>
      <c r="D15911" s="2" t="s">
        <v>1228</v>
      </c>
      <c r="E15911" s="2" t="str">
        <f>"9783428172627"</f>
        <v>9783428172627</v>
      </c>
      <c r="F15911" s="2" t="str">
        <f>"9783428572625"</f>
        <v>9783428572625</v>
      </c>
    </row>
    <row r="15912" spans="1:6" s="3" customFormat="1" ht="29.1" customHeight="1" x14ac:dyDescent="0.25">
      <c r="A15912" s="2" t="s">
        <v>31452</v>
      </c>
      <c r="B15912" s="2" t="s">
        <v>30238</v>
      </c>
      <c r="C15912" s="2" t="s">
        <v>62</v>
      </c>
      <c r="D15912" s="2" t="s">
        <v>4783</v>
      </c>
      <c r="E15912" s="2" t="str">
        <f>"9783428172610"</f>
        <v>9783428172610</v>
      </c>
      <c r="F15912" s="2" t="str">
        <f>"9783428572618"</f>
        <v>9783428572618</v>
      </c>
    </row>
    <row r="15913" spans="1:6" s="3" customFormat="1" ht="29.1" customHeight="1" x14ac:dyDescent="0.25">
      <c r="A15913" s="2" t="s">
        <v>31453</v>
      </c>
      <c r="B15913" s="2" t="s">
        <v>30238</v>
      </c>
      <c r="C15913" s="2" t="s">
        <v>62</v>
      </c>
      <c r="D15913" s="2" t="s">
        <v>1228</v>
      </c>
      <c r="E15913" s="2" t="str">
        <f>"9783428172603"</f>
        <v>9783428172603</v>
      </c>
      <c r="F15913" s="2" t="str">
        <f>"9783428572601"</f>
        <v>9783428572601</v>
      </c>
    </row>
    <row r="15914" spans="1:6" s="3" customFormat="1" ht="29.1" customHeight="1" x14ac:dyDescent="0.25">
      <c r="A15914" s="2" t="s">
        <v>31454</v>
      </c>
      <c r="B15914" s="2" t="s">
        <v>30238</v>
      </c>
      <c r="C15914" s="2" t="s">
        <v>62</v>
      </c>
      <c r="D15914" s="2" t="s">
        <v>1864</v>
      </c>
      <c r="E15914" s="2" t="str">
        <f>"9783428172597"</f>
        <v>9783428172597</v>
      </c>
      <c r="F15914" s="2" t="str">
        <f>"9783428572595"</f>
        <v>9783428572595</v>
      </c>
    </row>
    <row r="15915" spans="1:6" s="3" customFormat="1" ht="29.1" customHeight="1" x14ac:dyDescent="0.25">
      <c r="A15915" s="2" t="s">
        <v>31455</v>
      </c>
      <c r="B15915" s="2" t="s">
        <v>30238</v>
      </c>
      <c r="C15915" s="2" t="s">
        <v>62</v>
      </c>
      <c r="D15915" s="2" t="s">
        <v>1228</v>
      </c>
      <c r="E15915" s="2" t="str">
        <f>"9783428172580"</f>
        <v>9783428172580</v>
      </c>
      <c r="F15915" s="2" t="str">
        <f>"9783428572588"</f>
        <v>9783428572588</v>
      </c>
    </row>
    <row r="15916" spans="1:6" s="3" customFormat="1" ht="29.1" customHeight="1" x14ac:dyDescent="0.25">
      <c r="A15916" s="2" t="s">
        <v>31456</v>
      </c>
      <c r="B15916" s="2" t="s">
        <v>30238</v>
      </c>
      <c r="C15916" s="2" t="s">
        <v>62</v>
      </c>
      <c r="D15916" s="2" t="s">
        <v>1228</v>
      </c>
      <c r="E15916" s="2" t="str">
        <f>"9783428172573"</f>
        <v>9783428172573</v>
      </c>
      <c r="F15916" s="2" t="str">
        <f>"9783428572571"</f>
        <v>9783428572571</v>
      </c>
    </row>
    <row r="15917" spans="1:6" s="3" customFormat="1" ht="29.1" customHeight="1" x14ac:dyDescent="0.25">
      <c r="A15917" s="2" t="s">
        <v>31457</v>
      </c>
      <c r="B15917" s="2" t="s">
        <v>30238</v>
      </c>
      <c r="C15917" s="2" t="s">
        <v>62</v>
      </c>
      <c r="D15917" s="2" t="s">
        <v>1228</v>
      </c>
      <c r="E15917" s="2" t="str">
        <f>"9783428172566"</f>
        <v>9783428172566</v>
      </c>
      <c r="F15917" s="2" t="str">
        <f>"9783428572564"</f>
        <v>9783428572564</v>
      </c>
    </row>
    <row r="15918" spans="1:6" s="3" customFormat="1" ht="29.1" customHeight="1" x14ac:dyDescent="0.25">
      <c r="A15918" s="2" t="s">
        <v>31458</v>
      </c>
      <c r="B15918" s="2" t="s">
        <v>31459</v>
      </c>
      <c r="C15918" s="2" t="s">
        <v>62</v>
      </c>
      <c r="D15918" s="2" t="s">
        <v>1864</v>
      </c>
      <c r="E15918" s="2" t="str">
        <f>"9783428172559"</f>
        <v>9783428172559</v>
      </c>
      <c r="F15918" s="2" t="str">
        <f>"9783428572557"</f>
        <v>9783428572557</v>
      </c>
    </row>
    <row r="15919" spans="1:6" s="3" customFormat="1" ht="29.1" customHeight="1" x14ac:dyDescent="0.25">
      <c r="A15919" s="2" t="s">
        <v>31460</v>
      </c>
      <c r="B15919" s="2" t="s">
        <v>30238</v>
      </c>
      <c r="C15919" s="2" t="s">
        <v>62</v>
      </c>
      <c r="D15919" s="2" t="s">
        <v>2048</v>
      </c>
      <c r="E15919" s="2" t="str">
        <f>"9783428172542"</f>
        <v>9783428172542</v>
      </c>
      <c r="F15919" s="2" t="str">
        <f>"9783428572540"</f>
        <v>9783428572540</v>
      </c>
    </row>
    <row r="15920" spans="1:6" s="3" customFormat="1" ht="29.1" customHeight="1" x14ac:dyDescent="0.25">
      <c r="A15920" s="2" t="s">
        <v>31461</v>
      </c>
      <c r="B15920" s="2" t="s">
        <v>30238</v>
      </c>
      <c r="C15920" s="2" t="s">
        <v>62</v>
      </c>
      <c r="D15920" s="2" t="s">
        <v>1228</v>
      </c>
      <c r="E15920" s="2" t="str">
        <f>"9783428172535"</f>
        <v>9783428172535</v>
      </c>
      <c r="F15920" s="2" t="str">
        <f>"9783428572533"</f>
        <v>9783428572533</v>
      </c>
    </row>
    <row r="15921" spans="1:6" s="3" customFormat="1" ht="29.1" customHeight="1" x14ac:dyDescent="0.25">
      <c r="A15921" s="2" t="s">
        <v>31462</v>
      </c>
      <c r="B15921" s="2" t="s">
        <v>30238</v>
      </c>
      <c r="C15921" s="2" t="s">
        <v>62</v>
      </c>
      <c r="D15921" s="2" t="s">
        <v>1228</v>
      </c>
      <c r="E15921" s="2" t="str">
        <f>"9783428172528"</f>
        <v>9783428172528</v>
      </c>
      <c r="F15921" s="2" t="str">
        <f>"9783428572526"</f>
        <v>9783428572526</v>
      </c>
    </row>
    <row r="15922" spans="1:6" s="3" customFormat="1" ht="29.1" customHeight="1" x14ac:dyDescent="0.25">
      <c r="A15922" s="2" t="s">
        <v>31463</v>
      </c>
      <c r="B15922" s="2" t="s">
        <v>30238</v>
      </c>
      <c r="C15922" s="2" t="s">
        <v>62</v>
      </c>
      <c r="D15922" s="2" t="s">
        <v>1651</v>
      </c>
      <c r="E15922" s="2" t="str">
        <f>"9783428172511"</f>
        <v>9783428172511</v>
      </c>
      <c r="F15922" s="2" t="str">
        <f>"9783428572519"</f>
        <v>9783428572519</v>
      </c>
    </row>
    <row r="15923" spans="1:6" s="3" customFormat="1" ht="29.1" customHeight="1" x14ac:dyDescent="0.25">
      <c r="A15923" s="2" t="s">
        <v>31464</v>
      </c>
      <c r="B15923" s="2" t="s">
        <v>30238</v>
      </c>
      <c r="C15923" s="2" t="s">
        <v>62</v>
      </c>
      <c r="D15923" s="2" t="s">
        <v>1864</v>
      </c>
      <c r="E15923" s="2" t="str">
        <f>"9783428172504"</f>
        <v>9783428172504</v>
      </c>
      <c r="F15923" s="2" t="str">
        <f>"9783428572502"</f>
        <v>9783428572502</v>
      </c>
    </row>
    <row r="15924" spans="1:6" s="3" customFormat="1" ht="29.1" customHeight="1" x14ac:dyDescent="0.25">
      <c r="A15924" s="2" t="s">
        <v>31465</v>
      </c>
      <c r="B15924" s="2" t="s">
        <v>30238</v>
      </c>
      <c r="C15924" s="2" t="s">
        <v>62</v>
      </c>
      <c r="D15924" s="2" t="s">
        <v>7978</v>
      </c>
      <c r="E15924" s="2" t="str">
        <f>"9783428172498"</f>
        <v>9783428172498</v>
      </c>
      <c r="F15924" s="2" t="str">
        <f>"9783428572496"</f>
        <v>9783428572496</v>
      </c>
    </row>
    <row r="15925" spans="1:6" s="3" customFormat="1" ht="29.1" customHeight="1" x14ac:dyDescent="0.25">
      <c r="A15925" s="2" t="s">
        <v>31466</v>
      </c>
      <c r="B15925" s="2" t="s">
        <v>30238</v>
      </c>
      <c r="C15925" s="2" t="s">
        <v>62</v>
      </c>
      <c r="D15925" s="2" t="s">
        <v>1651</v>
      </c>
      <c r="E15925" s="2" t="str">
        <f>"9783428172481"</f>
        <v>9783428172481</v>
      </c>
      <c r="F15925" s="2" t="str">
        <f>"9783428572489"</f>
        <v>9783428572489</v>
      </c>
    </row>
    <row r="15926" spans="1:6" s="3" customFormat="1" ht="29.1" customHeight="1" x14ac:dyDescent="0.25">
      <c r="A15926" s="2" t="s">
        <v>31467</v>
      </c>
      <c r="B15926" s="2" t="s">
        <v>31468</v>
      </c>
      <c r="C15926" s="2" t="s">
        <v>195</v>
      </c>
      <c r="D15926" s="2" t="s">
        <v>3852</v>
      </c>
      <c r="E15926" s="2" t="str">
        <f>"9783110625639"</f>
        <v>9783110625639</v>
      </c>
      <c r="F15926" s="2" t="str">
        <f>"9783110625660"</f>
        <v>9783110625660</v>
      </c>
    </row>
    <row r="15927" spans="1:6" s="3" customFormat="1" ht="29.1" customHeight="1" x14ac:dyDescent="0.25">
      <c r="A15927" s="2" t="s">
        <v>31469</v>
      </c>
      <c r="B15927" s="2" t="s">
        <v>31470</v>
      </c>
      <c r="C15927" s="2" t="s">
        <v>195</v>
      </c>
      <c r="D15927" s="2" t="s">
        <v>5536</v>
      </c>
      <c r="E15927" s="2" t="str">
        <f>"9783110620542"</f>
        <v>9783110620542</v>
      </c>
      <c r="F15927" s="2" t="str">
        <f>"9783110620580"</f>
        <v>9783110620580</v>
      </c>
    </row>
    <row r="15928" spans="1:6" s="3" customFormat="1" ht="29.1" customHeight="1" x14ac:dyDescent="0.25">
      <c r="A15928" s="2" t="s">
        <v>31471</v>
      </c>
      <c r="B15928" s="2" t="s">
        <v>31472</v>
      </c>
      <c r="C15928" s="2" t="s">
        <v>195</v>
      </c>
      <c r="D15928" s="2" t="s">
        <v>682</v>
      </c>
      <c r="E15928" s="2" t="str">
        <f>"9783110785784"</f>
        <v>9783110785784</v>
      </c>
      <c r="F15928" s="2" t="str">
        <f>"9783110786279"</f>
        <v>9783110786279</v>
      </c>
    </row>
    <row r="15929" spans="1:6" s="3" customFormat="1" ht="29.1" customHeight="1" x14ac:dyDescent="0.25">
      <c r="A15929" s="2" t="s">
        <v>31473</v>
      </c>
      <c r="B15929" s="2" t="s">
        <v>31474</v>
      </c>
      <c r="C15929" s="2" t="s">
        <v>195</v>
      </c>
      <c r="D15929" s="2" t="s">
        <v>9420</v>
      </c>
      <c r="E15929" s="2" t="str">
        <f>"9783035625851"</f>
        <v>9783035625851</v>
      </c>
      <c r="F15929" s="2" t="str">
        <f>"9783035625882"</f>
        <v>9783035625882</v>
      </c>
    </row>
    <row r="15930" spans="1:6" s="3" customFormat="1" ht="29.1" customHeight="1" x14ac:dyDescent="0.25">
      <c r="A15930" s="2" t="s">
        <v>31475</v>
      </c>
      <c r="B15930" s="2" t="s">
        <v>31476</v>
      </c>
      <c r="C15930" s="2" t="s">
        <v>195</v>
      </c>
      <c r="D15930" s="2" t="s">
        <v>1127</v>
      </c>
      <c r="E15930" s="2" t="str">
        <f>"9783035624212"</f>
        <v>9783035624212</v>
      </c>
      <c r="F15930" s="2" t="str">
        <f>"9783035624243"</f>
        <v>9783035624243</v>
      </c>
    </row>
    <row r="15931" spans="1:6" s="3" customFormat="1" ht="29.1" customHeight="1" x14ac:dyDescent="0.25">
      <c r="A15931" s="2" t="s">
        <v>31477</v>
      </c>
      <c r="B15931" s="2" t="s">
        <v>31479</v>
      </c>
      <c r="C15931" s="2" t="s">
        <v>195</v>
      </c>
      <c r="D15931" s="2" t="s">
        <v>31478</v>
      </c>
      <c r="E15931" s="2" t="str">
        <f>"9783035624144"</f>
        <v>9783035624144</v>
      </c>
      <c r="F15931" s="2" t="str">
        <f>"9783035624168"</f>
        <v>9783035624168</v>
      </c>
    </row>
    <row r="15932" spans="1:6" s="3" customFormat="1" ht="29.1" customHeight="1" x14ac:dyDescent="0.25">
      <c r="A15932" s="2" t="s">
        <v>31480</v>
      </c>
      <c r="B15932" s="2" t="s">
        <v>31481</v>
      </c>
      <c r="C15932" s="2" t="s">
        <v>264</v>
      </c>
      <c r="D15932" s="2" t="s">
        <v>1867</v>
      </c>
      <c r="E15932" s="2" t="str">
        <f>"9781032282206"</f>
        <v>9781032282206</v>
      </c>
      <c r="F15932" s="2" t="str">
        <f>"9781000783629"</f>
        <v>9781000783629</v>
      </c>
    </row>
    <row r="15933" spans="1:6" s="3" customFormat="1" ht="29.1" customHeight="1" x14ac:dyDescent="0.25">
      <c r="A15933" s="2" t="s">
        <v>31482</v>
      </c>
      <c r="B15933" s="2" t="s">
        <v>31483</v>
      </c>
      <c r="C15933" s="2" t="s">
        <v>124</v>
      </c>
      <c r="D15933" s="2" t="s">
        <v>339</v>
      </c>
      <c r="E15933" s="2" t="str">
        <f>"9781844654901"</f>
        <v>9781844654901</v>
      </c>
      <c r="F15933" s="2" t="str">
        <f>"9781000609530"</f>
        <v>9781000609530</v>
      </c>
    </row>
    <row r="15934" spans="1:6" s="3" customFormat="1" ht="29.1" customHeight="1" x14ac:dyDescent="0.25">
      <c r="A15934" s="2" t="s">
        <v>31484</v>
      </c>
      <c r="B15934" s="2" t="s">
        <v>31485</v>
      </c>
      <c r="C15934" s="2" t="s">
        <v>124</v>
      </c>
      <c r="D15934" s="2" t="s">
        <v>5716</v>
      </c>
      <c r="E15934" s="2" t="str">
        <f>"9781032022062"</f>
        <v>9781032022062</v>
      </c>
      <c r="F15934" s="2" t="str">
        <f>"9781000635768"</f>
        <v>9781000635768</v>
      </c>
    </row>
    <row r="15935" spans="1:6" s="3" customFormat="1" ht="29.1" customHeight="1" x14ac:dyDescent="0.25">
      <c r="A15935" s="2" t="s">
        <v>31486</v>
      </c>
      <c r="B15935" s="2" t="s">
        <v>31487</v>
      </c>
      <c r="C15935" s="2" t="s">
        <v>124</v>
      </c>
      <c r="D15935" s="2" t="s">
        <v>183</v>
      </c>
      <c r="E15935" s="2" t="str">
        <f>"9780367705084"</f>
        <v>9780367705084</v>
      </c>
      <c r="F15935" s="2" t="str">
        <f>"9781000629057"</f>
        <v>9781000629057</v>
      </c>
    </row>
    <row r="15936" spans="1:6" s="3" customFormat="1" ht="29.1" customHeight="1" x14ac:dyDescent="0.25">
      <c r="A15936" s="2" t="s">
        <v>31488</v>
      </c>
      <c r="B15936" s="2" t="s">
        <v>31489</v>
      </c>
      <c r="C15936" s="2" t="s">
        <v>746</v>
      </c>
      <c r="D15936" s="2" t="s">
        <v>4185</v>
      </c>
      <c r="E15936" s="2" t="str">
        <f>"9781803271682"</f>
        <v>9781803271682</v>
      </c>
      <c r="F15936" s="2" t="str">
        <f>"9781803271699"</f>
        <v>9781803271699</v>
      </c>
    </row>
    <row r="15937" spans="1:6" s="3" customFormat="1" ht="29.1" customHeight="1" x14ac:dyDescent="0.25">
      <c r="A15937" s="2" t="s">
        <v>31490</v>
      </c>
      <c r="B15937" s="2" t="s">
        <v>31491</v>
      </c>
      <c r="C15937" s="2" t="s">
        <v>746</v>
      </c>
      <c r="D15937" s="2" t="s">
        <v>4185</v>
      </c>
      <c r="E15937" s="2" t="str">
        <f>"9781803271347"</f>
        <v>9781803271347</v>
      </c>
      <c r="F15937" s="2" t="str">
        <f>"9781803271354"</f>
        <v>9781803271354</v>
      </c>
    </row>
    <row r="15938" spans="1:6" s="3" customFormat="1" ht="29.1" customHeight="1" x14ac:dyDescent="0.25">
      <c r="A15938" s="2" t="s">
        <v>31492</v>
      </c>
      <c r="B15938" s="2" t="s">
        <v>31493</v>
      </c>
      <c r="C15938" s="2" t="s">
        <v>746</v>
      </c>
      <c r="D15938" s="2" t="s">
        <v>4185</v>
      </c>
      <c r="E15938" s="2" t="str">
        <f>"9781803271460"</f>
        <v>9781803271460</v>
      </c>
      <c r="F15938" s="2" t="str">
        <f>"9781803271477"</f>
        <v>9781803271477</v>
      </c>
    </row>
    <row r="15939" spans="1:6" s="3" customFormat="1" ht="29.1" customHeight="1" x14ac:dyDescent="0.25">
      <c r="A15939" s="2" t="s">
        <v>31494</v>
      </c>
      <c r="B15939" s="2" t="s">
        <v>31495</v>
      </c>
      <c r="C15939" s="2" t="s">
        <v>746</v>
      </c>
      <c r="D15939" s="2" t="s">
        <v>4185</v>
      </c>
      <c r="E15939" s="2" t="str">
        <f>"9781803271422"</f>
        <v>9781803271422</v>
      </c>
      <c r="F15939" s="2" t="str">
        <f>"9781803271439"</f>
        <v>9781803271439</v>
      </c>
    </row>
    <row r="15940" spans="1:6" s="3" customFormat="1" ht="29.1" customHeight="1" x14ac:dyDescent="0.25">
      <c r="A15940" s="2" t="s">
        <v>31496</v>
      </c>
      <c r="B15940" s="2" t="s">
        <v>31497</v>
      </c>
      <c r="C15940" s="2" t="s">
        <v>746</v>
      </c>
      <c r="D15940" s="2" t="s">
        <v>4185</v>
      </c>
      <c r="E15940" s="2" t="str">
        <f>"9781803272238"</f>
        <v>9781803272238</v>
      </c>
      <c r="F15940" s="2" t="str">
        <f>"9781803272245"</f>
        <v>9781803272245</v>
      </c>
    </row>
    <row r="15941" spans="1:6" s="3" customFormat="1" ht="29.1" customHeight="1" x14ac:dyDescent="0.25">
      <c r="A15941" s="2" t="s">
        <v>31498</v>
      </c>
      <c r="B15941" s="2" t="s">
        <v>31499</v>
      </c>
      <c r="C15941" s="2" t="s">
        <v>248</v>
      </c>
      <c r="D15941" s="2" t="s">
        <v>3062</v>
      </c>
      <c r="E15941" s="2" t="str">
        <f>"9783847425663"</f>
        <v>9783847425663</v>
      </c>
      <c r="F15941" s="2" t="str">
        <f>"9783847417132"</f>
        <v>9783847417132</v>
      </c>
    </row>
    <row r="15942" spans="1:6" s="3" customFormat="1" ht="29.1" customHeight="1" x14ac:dyDescent="0.25">
      <c r="A15942" s="2" t="s">
        <v>31500</v>
      </c>
      <c r="B15942" s="2" t="s">
        <v>31501</v>
      </c>
      <c r="C15942" s="2" t="s">
        <v>36</v>
      </c>
      <c r="D15942" s="2" t="s">
        <v>1189</v>
      </c>
      <c r="E15942" s="2" t="str">
        <f>"9781529216288"</f>
        <v>9781529216288</v>
      </c>
      <c r="F15942" s="2" t="str">
        <f>"9781529216301"</f>
        <v>9781529216301</v>
      </c>
    </row>
    <row r="15943" spans="1:6" s="3" customFormat="1" ht="29.1" customHeight="1" x14ac:dyDescent="0.25">
      <c r="A15943" s="2" t="s">
        <v>31502</v>
      </c>
      <c r="B15943" s="2" t="s">
        <v>31503</v>
      </c>
      <c r="C15943" s="2" t="s">
        <v>124</v>
      </c>
      <c r="D15943" s="2" t="s">
        <v>501</v>
      </c>
      <c r="E15943" s="2" t="str">
        <f>"9781032010014"</f>
        <v>9781032010014</v>
      </c>
      <c r="F15943" s="2" t="str">
        <f>"9781000629651"</f>
        <v>9781000629651</v>
      </c>
    </row>
    <row r="15944" spans="1:6" s="3" customFormat="1" ht="29.1" customHeight="1" x14ac:dyDescent="0.25">
      <c r="A15944" s="2" t="s">
        <v>31504</v>
      </c>
      <c r="B15944" s="2" t="s">
        <v>31505</v>
      </c>
      <c r="C15944" s="2" t="s">
        <v>124</v>
      </c>
      <c r="D15944" s="2" t="s">
        <v>674</v>
      </c>
      <c r="E15944" s="2" t="str">
        <f>"9781032263809"</f>
        <v>9781032263809</v>
      </c>
      <c r="F15944" s="2" t="str">
        <f>"9781000625912"</f>
        <v>9781000625912</v>
      </c>
    </row>
    <row r="15945" spans="1:6" s="3" customFormat="1" ht="29.1" customHeight="1" x14ac:dyDescent="0.25">
      <c r="A15945" s="2" t="s">
        <v>31506</v>
      </c>
      <c r="B15945" s="2" t="s">
        <v>31507</v>
      </c>
      <c r="C15945" s="2" t="s">
        <v>124</v>
      </c>
      <c r="D15945" s="2" t="s">
        <v>490</v>
      </c>
      <c r="E15945" s="2" t="str">
        <f>"9780367702526"</f>
        <v>9780367702526</v>
      </c>
      <c r="F15945" s="2" t="str">
        <f>"9781000617955"</f>
        <v>9781000617955</v>
      </c>
    </row>
    <row r="15946" spans="1:6" s="3" customFormat="1" ht="29.1" customHeight="1" x14ac:dyDescent="0.25">
      <c r="A15946" s="2" t="s">
        <v>1491</v>
      </c>
      <c r="B15946" s="2" t="s">
        <v>31508</v>
      </c>
      <c r="C15946" s="2" t="s">
        <v>1070</v>
      </c>
      <c r="D15946" s="2" t="s">
        <v>1071</v>
      </c>
      <c r="E15946" s="2" t="str">
        <f>"9783318070200"</f>
        <v>9783318070200</v>
      </c>
      <c r="F15946" s="2" t="str">
        <f>"9783318071368"</f>
        <v>9783318071368</v>
      </c>
    </row>
    <row r="15947" spans="1:6" s="3" customFormat="1" ht="29.1" customHeight="1" x14ac:dyDescent="0.25">
      <c r="A15947" s="2" t="s">
        <v>31509</v>
      </c>
      <c r="B15947" s="2" t="s">
        <v>31510</v>
      </c>
      <c r="C15947" s="2" t="s">
        <v>55</v>
      </c>
      <c r="D15947" s="2" t="s">
        <v>183</v>
      </c>
      <c r="E15947" s="2" t="str">
        <f>"9781526158567"</f>
        <v>9781526158567</v>
      </c>
      <c r="F15947" s="2" t="str">
        <f>"9781526158550"</f>
        <v>9781526158550</v>
      </c>
    </row>
    <row r="15948" spans="1:6" s="3" customFormat="1" ht="29.1" customHeight="1" x14ac:dyDescent="0.25">
      <c r="A15948" s="2" t="s">
        <v>31511</v>
      </c>
      <c r="B15948" s="2" t="s">
        <v>31512</v>
      </c>
      <c r="C15948" s="2" t="s">
        <v>124</v>
      </c>
      <c r="D15948" s="2" t="s">
        <v>37</v>
      </c>
      <c r="E15948" s="2" t="str">
        <f>"9781032110462"</f>
        <v>9781032110462</v>
      </c>
      <c r="F15948" s="2" t="str">
        <f>"9781000632439"</f>
        <v>9781000632439</v>
      </c>
    </row>
    <row r="15949" spans="1:6" s="3" customFormat="1" ht="29.1" customHeight="1" x14ac:dyDescent="0.25">
      <c r="A15949" s="2" t="s">
        <v>31513</v>
      </c>
      <c r="B15949" s="2" t="s">
        <v>31514</v>
      </c>
      <c r="C15949" s="2" t="s">
        <v>2133</v>
      </c>
      <c r="D15949" s="2" t="s">
        <v>13300</v>
      </c>
      <c r="E15949" s="2" t="str">
        <f>"9781760464868"</f>
        <v>9781760464868</v>
      </c>
      <c r="F15949" s="2" t="str">
        <f>"9781760464875"</f>
        <v>9781760464875</v>
      </c>
    </row>
    <row r="15950" spans="1:6" s="3" customFormat="1" ht="29.1" customHeight="1" x14ac:dyDescent="0.25">
      <c r="A15950" s="2" t="s">
        <v>31515</v>
      </c>
      <c r="B15950" s="2" t="s">
        <v>31089</v>
      </c>
      <c r="C15950" s="2" t="s">
        <v>26676</v>
      </c>
      <c r="D15950" s="2" t="s">
        <v>12699</v>
      </c>
      <c r="E15950" s="2" t="str">
        <f>"9781644698211"</f>
        <v>9781644698211</v>
      </c>
      <c r="F15950" s="2" t="str">
        <f>"9781644698259"</f>
        <v>9781644698259</v>
      </c>
    </row>
    <row r="15951" spans="1:6" s="3" customFormat="1" ht="29.1" customHeight="1" x14ac:dyDescent="0.25">
      <c r="A15951" s="2" t="s">
        <v>31516</v>
      </c>
      <c r="B15951" s="2" t="s">
        <v>31517</v>
      </c>
      <c r="C15951" s="2" t="s">
        <v>927</v>
      </c>
      <c r="D15951" s="2" t="s">
        <v>270</v>
      </c>
      <c r="E15951" s="2" t="str">
        <f>"9780472055449"</f>
        <v>9780472055449</v>
      </c>
      <c r="F15951" s="2" t="str">
        <f>"9780472902873"</f>
        <v>9780472902873</v>
      </c>
    </row>
    <row r="15952" spans="1:6" s="3" customFormat="1" ht="29.1" customHeight="1" x14ac:dyDescent="0.25">
      <c r="A15952" s="2" t="s">
        <v>31518</v>
      </c>
      <c r="B15952" s="2" t="s">
        <v>31519</v>
      </c>
      <c r="C15952" s="2" t="s">
        <v>927</v>
      </c>
      <c r="D15952" s="2" t="s">
        <v>270</v>
      </c>
      <c r="E15952" s="2" t="str">
        <f>"9780472055319"</f>
        <v>9780472055319</v>
      </c>
      <c r="F15952" s="2" t="str">
        <f>"9780472902750"</f>
        <v>9780472902750</v>
      </c>
    </row>
    <row r="15953" spans="1:6" s="3" customFormat="1" ht="29.1" customHeight="1" x14ac:dyDescent="0.25">
      <c r="A15953" s="2" t="s">
        <v>31520</v>
      </c>
      <c r="B15953" s="2" t="s">
        <v>31521</v>
      </c>
      <c r="C15953" s="2" t="s">
        <v>195</v>
      </c>
      <c r="D15953" s="2" t="s">
        <v>3993</v>
      </c>
      <c r="E15953" s="2" t="str">
        <f>"9783110784428"</f>
        <v>9783110784428</v>
      </c>
      <c r="F15953" s="2" t="str">
        <f>"9783110784459"</f>
        <v>9783110784459</v>
      </c>
    </row>
    <row r="15954" spans="1:6" s="3" customFormat="1" ht="29.1" customHeight="1" x14ac:dyDescent="0.25">
      <c r="A15954" s="2" t="s">
        <v>31522</v>
      </c>
      <c r="B15954" s="2" t="s">
        <v>31523</v>
      </c>
      <c r="C15954" s="2" t="s">
        <v>195</v>
      </c>
      <c r="D15954" s="2" t="s">
        <v>3963</v>
      </c>
      <c r="E15954" s="2" t="str">
        <f>"9783110765472"</f>
        <v>9783110765472</v>
      </c>
      <c r="F15954" s="2" t="str">
        <f>"9783110765533"</f>
        <v>9783110765533</v>
      </c>
    </row>
    <row r="15955" spans="1:6" s="3" customFormat="1" ht="29.1" customHeight="1" x14ac:dyDescent="0.25">
      <c r="A15955" s="2" t="s">
        <v>31524</v>
      </c>
      <c r="B15955" s="2" t="s">
        <v>31525</v>
      </c>
      <c r="C15955" s="2" t="s">
        <v>195</v>
      </c>
      <c r="D15955" s="2" t="s">
        <v>1256</v>
      </c>
      <c r="E15955" s="2" t="str">
        <f>"9783110784633"</f>
        <v>9783110784633</v>
      </c>
      <c r="F15955" s="2" t="str">
        <f>"9783110784756"</f>
        <v>9783110784756</v>
      </c>
    </row>
    <row r="15956" spans="1:6" s="3" customFormat="1" ht="29.1" customHeight="1" x14ac:dyDescent="0.25">
      <c r="A15956" s="2" t="s">
        <v>31526</v>
      </c>
      <c r="B15956" s="2" t="s">
        <v>31527</v>
      </c>
      <c r="C15956" s="2" t="s">
        <v>195</v>
      </c>
      <c r="D15956" s="2" t="s">
        <v>8388</v>
      </c>
      <c r="E15956" s="2" t="str">
        <f>"9783110758894"</f>
        <v>9783110758894</v>
      </c>
      <c r="F15956" s="2" t="str">
        <f>"9783110758900"</f>
        <v>9783110758900</v>
      </c>
    </row>
    <row r="15957" spans="1:6" s="3" customFormat="1" ht="29.1" customHeight="1" x14ac:dyDescent="0.25">
      <c r="A15957" s="2" t="s">
        <v>31528</v>
      </c>
      <c r="B15957" s="2" t="s">
        <v>31529</v>
      </c>
      <c r="C15957" s="2" t="s">
        <v>27396</v>
      </c>
      <c r="D15957" s="2" t="s">
        <v>462</v>
      </c>
      <c r="E15957" s="2" t="str">
        <f>"9783161611575"</f>
        <v>9783161611575</v>
      </c>
      <c r="F15957" s="2" t="str">
        <f>"9783161611582"</f>
        <v>9783161611582</v>
      </c>
    </row>
    <row r="15958" spans="1:6" s="3" customFormat="1" ht="29.1" customHeight="1" x14ac:dyDescent="0.25">
      <c r="A15958" s="2" t="s">
        <v>31530</v>
      </c>
      <c r="B15958" s="2" t="s">
        <v>31531</v>
      </c>
      <c r="C15958" s="2" t="s">
        <v>595</v>
      </c>
      <c r="D15958" s="2" t="s">
        <v>221</v>
      </c>
      <c r="E15958" s="2" t="str">
        <f>"9783631866771"</f>
        <v>9783631866771</v>
      </c>
      <c r="F15958" s="2" t="str">
        <f>"9783631878972"</f>
        <v>9783631878972</v>
      </c>
    </row>
    <row r="15959" spans="1:6" s="3" customFormat="1" ht="29.1" customHeight="1" x14ac:dyDescent="0.25">
      <c r="A15959" s="2" t="s">
        <v>31532</v>
      </c>
      <c r="B15959" s="2" t="s">
        <v>31533</v>
      </c>
      <c r="C15959" s="2" t="s">
        <v>1070</v>
      </c>
      <c r="D15959" s="2" t="s">
        <v>1265</v>
      </c>
      <c r="E15959" s="2" t="str">
        <f>"9783318070835"</f>
        <v>9783318070835</v>
      </c>
      <c r="F15959" s="2" t="str">
        <f>"9783318070552"</f>
        <v>9783318070552</v>
      </c>
    </row>
    <row r="15960" spans="1:6" s="3" customFormat="1" ht="29.1" customHeight="1" x14ac:dyDescent="0.25">
      <c r="A15960" s="2" t="s">
        <v>1327</v>
      </c>
      <c r="B15960" s="2" t="s">
        <v>1266</v>
      </c>
      <c r="C15960" s="2" t="s">
        <v>1070</v>
      </c>
      <c r="D15960" s="2" t="s">
        <v>1265</v>
      </c>
      <c r="E15960" s="2" t="str">
        <f>"9783318070187"</f>
        <v>9783318070187</v>
      </c>
      <c r="F15960" s="2" t="str">
        <f>"9783318071443"</f>
        <v>9783318071443</v>
      </c>
    </row>
    <row r="15961" spans="1:6" s="3" customFormat="1" ht="29.1" customHeight="1" x14ac:dyDescent="0.25">
      <c r="A15961" s="2" t="s">
        <v>31534</v>
      </c>
      <c r="B15961" s="2" t="s">
        <v>31535</v>
      </c>
      <c r="C15961" s="2" t="s">
        <v>124</v>
      </c>
      <c r="D15961" s="2" t="s">
        <v>81</v>
      </c>
      <c r="E15961" s="2" t="str">
        <f>"9781032073699"</f>
        <v>9781032073699</v>
      </c>
      <c r="F15961" s="2" t="str">
        <f>"9781000603767"</f>
        <v>9781000603767</v>
      </c>
    </row>
    <row r="15962" spans="1:6" s="3" customFormat="1" ht="29.1" customHeight="1" x14ac:dyDescent="0.25">
      <c r="A15962" s="2" t="s">
        <v>31536</v>
      </c>
      <c r="B15962" s="2" t="s">
        <v>31537</v>
      </c>
      <c r="C15962" s="2" t="s">
        <v>8059</v>
      </c>
      <c r="D15962" s="2" t="s">
        <v>5799</v>
      </c>
      <c r="E15962" s="2" t="str">
        <f>"9781991223876"</f>
        <v>9781991223876</v>
      </c>
      <c r="F15962" s="2" t="str">
        <f>"9781776402304"</f>
        <v>9781776402304</v>
      </c>
    </row>
    <row r="15963" spans="1:6" s="3" customFormat="1" ht="29.1" customHeight="1" x14ac:dyDescent="0.25">
      <c r="A15963" s="2" t="s">
        <v>31538</v>
      </c>
      <c r="B15963" s="2" t="s">
        <v>31539</v>
      </c>
      <c r="C15963" s="2" t="s">
        <v>8059</v>
      </c>
      <c r="D15963" s="2" t="s">
        <v>8202</v>
      </c>
      <c r="E15963" s="2" t="str">
        <f>"9781991223784"</f>
        <v>9781991223784</v>
      </c>
      <c r="F15963" s="2" t="str">
        <f>"9781991223791"</f>
        <v>9781991223791</v>
      </c>
    </row>
    <row r="15964" spans="1:6" s="3" customFormat="1" ht="29.1" customHeight="1" x14ac:dyDescent="0.25">
      <c r="A15964" s="2" t="s">
        <v>31540</v>
      </c>
      <c r="B15964" s="2" t="s">
        <v>31542</v>
      </c>
      <c r="C15964" s="2" t="s">
        <v>746</v>
      </c>
      <c r="D15964" s="2" t="s">
        <v>31541</v>
      </c>
      <c r="E15964" s="2" t="str">
        <f>"9781789698299"</f>
        <v>9781789698299</v>
      </c>
      <c r="F15964" s="2" t="str">
        <f>"9781789698305"</f>
        <v>9781789698305</v>
      </c>
    </row>
    <row r="15965" spans="1:6" s="3" customFormat="1" ht="29.1" customHeight="1" x14ac:dyDescent="0.25">
      <c r="A15965" s="2" t="s">
        <v>31543</v>
      </c>
      <c r="B15965" s="2" t="s">
        <v>31544</v>
      </c>
      <c r="C15965" s="2" t="s">
        <v>746</v>
      </c>
      <c r="D15965" s="2" t="s">
        <v>606</v>
      </c>
      <c r="E15965" s="2" t="str">
        <f>"9781803271187"</f>
        <v>9781803271187</v>
      </c>
      <c r="F15965" s="2" t="str">
        <f>"9781803271194"</f>
        <v>9781803271194</v>
      </c>
    </row>
    <row r="15966" spans="1:6" s="3" customFormat="1" ht="29.1" customHeight="1" x14ac:dyDescent="0.25">
      <c r="A15966" s="2" t="s">
        <v>31545</v>
      </c>
      <c r="B15966" s="2" t="s">
        <v>31546</v>
      </c>
      <c r="C15966" s="2" t="s">
        <v>5</v>
      </c>
      <c r="D15966" s="2" t="s">
        <v>10447</v>
      </c>
      <c r="E15966" s="2" t="str">
        <f>"9783658348588"</f>
        <v>9783658348588</v>
      </c>
      <c r="F15966" s="2" t="str">
        <f>"9783658348595"</f>
        <v>9783658348595</v>
      </c>
    </row>
    <row r="15967" spans="1:6" s="3" customFormat="1" ht="29.1" customHeight="1" x14ac:dyDescent="0.25">
      <c r="A15967" s="2" t="s">
        <v>1493</v>
      </c>
      <c r="B15967" s="2" t="s">
        <v>31547</v>
      </c>
      <c r="C15967" s="2" t="s">
        <v>1070</v>
      </c>
      <c r="D15967" s="2" t="s">
        <v>1265</v>
      </c>
      <c r="E15967" s="2" t="str">
        <f>"9783318069778"</f>
        <v>9783318069778</v>
      </c>
      <c r="F15967" s="2" t="str">
        <f>"9783318069785"</f>
        <v>9783318069785</v>
      </c>
    </row>
    <row r="15968" spans="1:6" s="3" customFormat="1" ht="29.1" customHeight="1" x14ac:dyDescent="0.25">
      <c r="A15968" s="2" t="s">
        <v>31548</v>
      </c>
      <c r="B15968" s="2" t="s">
        <v>31549</v>
      </c>
      <c r="C15968" s="2" t="s">
        <v>124</v>
      </c>
      <c r="D15968" s="2" t="s">
        <v>4002</v>
      </c>
      <c r="E15968" s="2" t="str">
        <f>"9781032054995"</f>
        <v>9781032054995</v>
      </c>
      <c r="F15968" s="2" t="str">
        <f>"9781000636321"</f>
        <v>9781000636321</v>
      </c>
    </row>
    <row r="15969" spans="1:6" s="3" customFormat="1" ht="29.1" customHeight="1" x14ac:dyDescent="0.25">
      <c r="A15969" s="2" t="s">
        <v>31550</v>
      </c>
      <c r="B15969" s="2" t="s">
        <v>31551</v>
      </c>
      <c r="C15969" s="2" t="s">
        <v>124</v>
      </c>
      <c r="D15969" s="2" t="s">
        <v>334</v>
      </c>
      <c r="E15969" s="2" t="str">
        <f>"9781032193359"</f>
        <v>9781032193359</v>
      </c>
      <c r="F15969" s="2" t="str">
        <f>"9781000620184"</f>
        <v>9781000620184</v>
      </c>
    </row>
    <row r="15970" spans="1:6" s="3" customFormat="1" ht="29.1" customHeight="1" x14ac:dyDescent="0.25">
      <c r="A15970" s="2" t="s">
        <v>31552</v>
      </c>
      <c r="B15970" s="2" t="s">
        <v>31553</v>
      </c>
      <c r="C15970" s="2" t="s">
        <v>124</v>
      </c>
      <c r="D15970" s="2" t="s">
        <v>75</v>
      </c>
      <c r="E15970" s="2" t="str">
        <f>"9780367445546"</f>
        <v>9780367445546</v>
      </c>
      <c r="F15970" s="2" t="str">
        <f>"9781000591156"</f>
        <v>9781000591156</v>
      </c>
    </row>
    <row r="15971" spans="1:6" s="3" customFormat="1" ht="29.1" customHeight="1" x14ac:dyDescent="0.25">
      <c r="A15971" s="2" t="s">
        <v>31554</v>
      </c>
      <c r="B15971" s="2" t="s">
        <v>31555</v>
      </c>
      <c r="C15971" s="2" t="s">
        <v>124</v>
      </c>
      <c r="D15971" s="2" t="s">
        <v>210</v>
      </c>
      <c r="E15971" s="2" t="str">
        <f>"9781032149707"</f>
        <v>9781032149707</v>
      </c>
      <c r="F15971" s="2" t="str">
        <f>"9781000637106"</f>
        <v>9781000637106</v>
      </c>
    </row>
    <row r="15972" spans="1:6" s="3" customFormat="1" ht="29.1" customHeight="1" x14ac:dyDescent="0.25">
      <c r="A15972" s="2" t="s">
        <v>31556</v>
      </c>
      <c r="B15972" s="2" t="s">
        <v>31557</v>
      </c>
      <c r="C15972" s="2" t="s">
        <v>124</v>
      </c>
      <c r="D15972" s="2" t="s">
        <v>81</v>
      </c>
      <c r="E15972" s="2" t="str">
        <f>"9781032070575"</f>
        <v>9781032070575</v>
      </c>
      <c r="F15972" s="2" t="str">
        <f>"9781000608359"</f>
        <v>9781000608359</v>
      </c>
    </row>
    <row r="15973" spans="1:6" s="3" customFormat="1" ht="29.1" customHeight="1" x14ac:dyDescent="0.25">
      <c r="A15973" s="2" t="s">
        <v>31558</v>
      </c>
      <c r="B15973" s="2" t="s">
        <v>31559</v>
      </c>
      <c r="C15973" s="2" t="s">
        <v>124</v>
      </c>
      <c r="D15973" s="2" t="s">
        <v>689</v>
      </c>
      <c r="E15973" s="2" t="str">
        <f>"9781032030012"</f>
        <v>9781032030012</v>
      </c>
      <c r="F15973" s="2" t="str">
        <f>"9781000603583"</f>
        <v>9781000603583</v>
      </c>
    </row>
    <row r="15974" spans="1:6" s="3" customFormat="1" ht="29.1" customHeight="1" x14ac:dyDescent="0.25">
      <c r="A15974" s="2" t="s">
        <v>31560</v>
      </c>
      <c r="B15974" s="2" t="s">
        <v>31561</v>
      </c>
      <c r="C15974" s="2" t="s">
        <v>195</v>
      </c>
      <c r="D15974" s="2" t="s">
        <v>2175</v>
      </c>
      <c r="E15974" s="2" t="str">
        <f>"9783110692723"</f>
        <v>9783110692723</v>
      </c>
      <c r="F15974" s="2" t="str">
        <f>"9783110692754"</f>
        <v>9783110692754</v>
      </c>
    </row>
    <row r="15975" spans="1:6" s="3" customFormat="1" ht="29.1" customHeight="1" x14ac:dyDescent="0.25">
      <c r="A15975" s="2" t="s">
        <v>31562</v>
      </c>
      <c r="B15975" s="2" t="s">
        <v>31563</v>
      </c>
      <c r="C15975" s="2" t="s">
        <v>195</v>
      </c>
      <c r="D15975" s="2" t="s">
        <v>459</v>
      </c>
      <c r="E15975" s="2" t="str">
        <f>"9783110757774"</f>
        <v>9783110757774</v>
      </c>
      <c r="F15975" s="2" t="str">
        <f>"9783110757835"</f>
        <v>9783110757835</v>
      </c>
    </row>
    <row r="15976" spans="1:6" s="3" customFormat="1" ht="29.1" customHeight="1" x14ac:dyDescent="0.25">
      <c r="A15976" s="2" t="s">
        <v>31564</v>
      </c>
      <c r="B15976" s="2" t="s">
        <v>31565</v>
      </c>
      <c r="C15976" s="2" t="s">
        <v>195</v>
      </c>
      <c r="D15976" s="2" t="s">
        <v>33</v>
      </c>
      <c r="E15976" s="2" t="str">
        <f>"9783110725223"</f>
        <v>9783110725223</v>
      </c>
      <c r="F15976" s="2" t="str">
        <f>"9783110734478"</f>
        <v>9783110734478</v>
      </c>
    </row>
    <row r="15977" spans="1:6" s="3" customFormat="1" ht="29.1" customHeight="1" x14ac:dyDescent="0.25">
      <c r="A15977" s="2" t="s">
        <v>31566</v>
      </c>
      <c r="B15977" s="2" t="s">
        <v>31567</v>
      </c>
      <c r="C15977" s="2" t="s">
        <v>195</v>
      </c>
      <c r="D15977" s="2" t="s">
        <v>6440</v>
      </c>
      <c r="E15977" s="2" t="str">
        <f>"9783110785388"</f>
        <v>9783110785388</v>
      </c>
      <c r="F15977" s="2" t="str">
        <f>"9783110788075"</f>
        <v>9783110788075</v>
      </c>
    </row>
    <row r="15978" spans="1:6" s="3" customFormat="1" ht="29.1" customHeight="1" x14ac:dyDescent="0.25">
      <c r="A15978" s="2" t="s">
        <v>31568</v>
      </c>
      <c r="B15978" s="2" t="s">
        <v>31569</v>
      </c>
      <c r="C15978" s="2" t="s">
        <v>195</v>
      </c>
      <c r="D15978" s="2" t="s">
        <v>273</v>
      </c>
      <c r="E15978" s="2" t="str">
        <f>"9783110760866"</f>
        <v>9783110760866</v>
      </c>
      <c r="F15978" s="2" t="str">
        <f>"9783110761061"</f>
        <v>9783110761061</v>
      </c>
    </row>
    <row r="15979" spans="1:6" s="3" customFormat="1" ht="29.1" customHeight="1" x14ac:dyDescent="0.25">
      <c r="A15979" s="2" t="s">
        <v>31570</v>
      </c>
      <c r="B15979" s="2" t="s">
        <v>31571</v>
      </c>
      <c r="C15979" s="2" t="s">
        <v>195</v>
      </c>
      <c r="D15979" s="2" t="s">
        <v>465</v>
      </c>
      <c r="E15979" s="2" t="str">
        <f>"9783110765076"</f>
        <v>9783110765076</v>
      </c>
      <c r="F15979" s="2" t="str">
        <f>"9783110765090"</f>
        <v>9783110765090</v>
      </c>
    </row>
    <row r="15980" spans="1:6" s="3" customFormat="1" ht="29.1" customHeight="1" x14ac:dyDescent="0.25">
      <c r="A15980" s="2" t="s">
        <v>31572</v>
      </c>
      <c r="B15980" s="2" t="s">
        <v>31573</v>
      </c>
      <c r="C15980" s="2" t="s">
        <v>195</v>
      </c>
      <c r="D15980" s="2" t="s">
        <v>459</v>
      </c>
      <c r="E15980" s="2" t="str">
        <f>"9783110738476"</f>
        <v>9783110738476</v>
      </c>
      <c r="F15980" s="2" t="str">
        <f>"9783110733853"</f>
        <v>9783110733853</v>
      </c>
    </row>
    <row r="15981" spans="1:6" s="3" customFormat="1" ht="29.1" customHeight="1" x14ac:dyDescent="0.25">
      <c r="A15981" s="2" t="s">
        <v>31574</v>
      </c>
      <c r="B15981" s="2" t="s">
        <v>31575</v>
      </c>
      <c r="C15981" s="2" t="s">
        <v>195</v>
      </c>
      <c r="D15981" s="2" t="s">
        <v>459</v>
      </c>
      <c r="E15981" s="2" t="str">
        <f>"9783110755015"</f>
        <v>9783110755015</v>
      </c>
      <c r="F15981" s="2" t="str">
        <f>"9783110755107"</f>
        <v>9783110755107</v>
      </c>
    </row>
    <row r="15982" spans="1:6" s="3" customFormat="1" ht="29.1" customHeight="1" x14ac:dyDescent="0.25">
      <c r="A15982" s="2" t="s">
        <v>31576</v>
      </c>
      <c r="B15982" s="2" t="s">
        <v>31577</v>
      </c>
      <c r="C15982" s="2" t="s">
        <v>195</v>
      </c>
      <c r="D15982" s="2" t="s">
        <v>984</v>
      </c>
      <c r="E15982" s="2" t="str">
        <f>"9783110697599"</f>
        <v>9783110697599</v>
      </c>
      <c r="F15982" s="2" t="str">
        <f>"9783110752205"</f>
        <v>9783110752205</v>
      </c>
    </row>
    <row r="15983" spans="1:6" s="3" customFormat="1" ht="29.1" customHeight="1" x14ac:dyDescent="0.25">
      <c r="A15983" s="2" t="s">
        <v>31578</v>
      </c>
      <c r="B15983" s="2" t="s">
        <v>31579</v>
      </c>
      <c r="C15983" s="2" t="s">
        <v>195</v>
      </c>
      <c r="D15983" s="2" t="s">
        <v>210</v>
      </c>
      <c r="E15983" s="2" t="str">
        <f>"9783110723878"</f>
        <v>9783110723878</v>
      </c>
      <c r="F15983" s="2" t="str">
        <f>"9783110723991"</f>
        <v>9783110723991</v>
      </c>
    </row>
    <row r="15984" spans="1:6" s="3" customFormat="1" ht="29.1" customHeight="1" x14ac:dyDescent="0.25">
      <c r="A15984" s="2" t="s">
        <v>31580</v>
      </c>
      <c r="B15984" s="2" t="s">
        <v>31581</v>
      </c>
      <c r="C15984" s="2" t="s">
        <v>927</v>
      </c>
      <c r="D15984" s="2" t="s">
        <v>270</v>
      </c>
      <c r="E15984" s="2" t="str">
        <f>"9780472039029"</f>
        <v>9780472039029</v>
      </c>
      <c r="F15984" s="2" t="str">
        <f>"9780472902828"</f>
        <v>9780472902828</v>
      </c>
    </row>
    <row r="15985" spans="1:6" s="3" customFormat="1" ht="29.1" customHeight="1" x14ac:dyDescent="0.25">
      <c r="A15985" s="2" t="s">
        <v>31582</v>
      </c>
      <c r="B15985" s="2" t="s">
        <v>31583</v>
      </c>
      <c r="C15985" s="2" t="s">
        <v>927</v>
      </c>
      <c r="D15985" s="2" t="s">
        <v>270</v>
      </c>
      <c r="E15985" s="2" t="str">
        <f>"9780472038886"</f>
        <v>9780472038886</v>
      </c>
      <c r="F15985" s="2" t="str">
        <f>"9780472902729"</f>
        <v>9780472902729</v>
      </c>
    </row>
    <row r="15986" spans="1:6" s="3" customFormat="1" ht="29.1" customHeight="1" x14ac:dyDescent="0.25">
      <c r="A15986" s="2" t="s">
        <v>31584</v>
      </c>
      <c r="B15986" s="2" t="s">
        <v>31585</v>
      </c>
      <c r="C15986" s="2" t="s">
        <v>55</v>
      </c>
      <c r="D15986" s="2" t="s">
        <v>636</v>
      </c>
      <c r="E15986" s="2" t="str">
        <f>"9789198557763"</f>
        <v>9789198557763</v>
      </c>
      <c r="F15986" s="2" t="str">
        <f>"9789198557770"</f>
        <v>9789198557770</v>
      </c>
    </row>
    <row r="15987" spans="1:6" s="3" customFormat="1" ht="29.1" customHeight="1" x14ac:dyDescent="0.25">
      <c r="A15987" s="2" t="s">
        <v>31586</v>
      </c>
      <c r="B15987" s="2" t="s">
        <v>31587</v>
      </c>
      <c r="C15987" s="2" t="s">
        <v>248</v>
      </c>
      <c r="D15987" s="2" t="s">
        <v>210</v>
      </c>
      <c r="E15987" s="2" t="str">
        <f>"9783966650335"</f>
        <v>9783966650335</v>
      </c>
      <c r="F15987" s="2" t="str">
        <f>"9783966659673"</f>
        <v>9783966659673</v>
      </c>
    </row>
    <row r="15988" spans="1:6" s="3" customFormat="1" ht="29.1" customHeight="1" x14ac:dyDescent="0.25">
      <c r="A15988" s="2" t="s">
        <v>31588</v>
      </c>
      <c r="B15988" s="2" t="s">
        <v>31589</v>
      </c>
      <c r="C15988" s="2" t="s">
        <v>248</v>
      </c>
      <c r="D15988" s="2" t="s">
        <v>189</v>
      </c>
      <c r="E15988" s="2" t="str">
        <f>"9783847424741"</f>
        <v>9783847424741</v>
      </c>
      <c r="F15988" s="2" t="str">
        <f>"9783847418412"</f>
        <v>9783847418412</v>
      </c>
    </row>
    <row r="15989" spans="1:6" s="3" customFormat="1" ht="29.1" customHeight="1" x14ac:dyDescent="0.25">
      <c r="A15989" s="2" t="s">
        <v>31590</v>
      </c>
      <c r="B15989" s="2" t="s">
        <v>31591</v>
      </c>
      <c r="C15989" s="2" t="s">
        <v>4104</v>
      </c>
      <c r="D15989" s="2" t="s">
        <v>4447</v>
      </c>
      <c r="E15989" s="2" t="str">
        <f>"9781802070491"</f>
        <v>9781802070491</v>
      </c>
      <c r="F15989" s="2" t="str">
        <f>"9781802070927"</f>
        <v>9781802070927</v>
      </c>
    </row>
    <row r="15990" spans="1:6" s="3" customFormat="1" ht="29.1" customHeight="1" x14ac:dyDescent="0.25">
      <c r="A15990" s="2" t="s">
        <v>31592</v>
      </c>
      <c r="B15990" s="2" t="s">
        <v>31593</v>
      </c>
      <c r="C15990" s="2" t="s">
        <v>746</v>
      </c>
      <c r="D15990" s="2" t="s">
        <v>606</v>
      </c>
      <c r="E15990" s="2"/>
      <c r="F15990" s="2" t="str">
        <f>"9781803272320"</f>
        <v>9781803272320</v>
      </c>
    </row>
    <row r="15991" spans="1:6" s="3" customFormat="1" ht="29.1" customHeight="1" x14ac:dyDescent="0.25">
      <c r="A15991" s="2" t="s">
        <v>31594</v>
      </c>
      <c r="B15991" s="2" t="s">
        <v>31595</v>
      </c>
      <c r="C15991" s="2" t="s">
        <v>29</v>
      </c>
      <c r="D15991" s="2" t="s">
        <v>183</v>
      </c>
      <c r="E15991" s="2" t="str">
        <f>"9789004519381"</f>
        <v>9789004519381</v>
      </c>
      <c r="F15991" s="2" t="str">
        <f>"9789004519398"</f>
        <v>9789004519398</v>
      </c>
    </row>
    <row r="15992" spans="1:6" s="3" customFormat="1" ht="29.1" customHeight="1" x14ac:dyDescent="0.25">
      <c r="A15992" s="2" t="s">
        <v>31596</v>
      </c>
      <c r="B15992" s="2" t="s">
        <v>31597</v>
      </c>
      <c r="C15992" s="2" t="s">
        <v>29</v>
      </c>
      <c r="D15992" s="2" t="s">
        <v>19183</v>
      </c>
      <c r="E15992" s="2" t="str">
        <f>"9789004468306"</f>
        <v>9789004468306</v>
      </c>
      <c r="F15992" s="2" t="str">
        <f>"9789004468313"</f>
        <v>9789004468313</v>
      </c>
    </row>
    <row r="15993" spans="1:6" s="3" customFormat="1" ht="29.1" customHeight="1" x14ac:dyDescent="0.25">
      <c r="A15993" s="2" t="s">
        <v>31598</v>
      </c>
      <c r="B15993" s="2" t="s">
        <v>31599</v>
      </c>
      <c r="C15993" s="2" t="s">
        <v>29</v>
      </c>
      <c r="D15993" s="2" t="s">
        <v>2326</v>
      </c>
      <c r="E15993" s="2" t="str">
        <f>"9789004411159"</f>
        <v>9789004411159</v>
      </c>
      <c r="F15993" s="2" t="str">
        <f>"9789004194502"</f>
        <v>9789004194502</v>
      </c>
    </row>
    <row r="15994" spans="1:6" s="3" customFormat="1" ht="29.1" customHeight="1" x14ac:dyDescent="0.25">
      <c r="A15994" s="2" t="s">
        <v>31600</v>
      </c>
      <c r="B15994" s="2" t="s">
        <v>31601</v>
      </c>
      <c r="C15994" s="2" t="s">
        <v>316</v>
      </c>
      <c r="D15994" s="2" t="s">
        <v>2291</v>
      </c>
      <c r="E15994" s="2" t="str">
        <f>"9783035727609"</f>
        <v>9783035727609</v>
      </c>
      <c r="F15994" s="2" t="str">
        <f>"9783035738247"</f>
        <v>9783035738247</v>
      </c>
    </row>
    <row r="15995" spans="1:6" s="3" customFormat="1" ht="29.1" customHeight="1" x14ac:dyDescent="0.25">
      <c r="A15995" s="2" t="s">
        <v>31602</v>
      </c>
      <c r="B15995" s="2" t="s">
        <v>31603</v>
      </c>
      <c r="C15995" s="2" t="s">
        <v>264</v>
      </c>
      <c r="D15995" s="2" t="s">
        <v>44</v>
      </c>
      <c r="E15995" s="2" t="str">
        <f>"9781032120522"</f>
        <v>9781032120522</v>
      </c>
      <c r="F15995" s="2" t="str">
        <f>"9781000738698"</f>
        <v>9781000738698</v>
      </c>
    </row>
    <row r="15996" spans="1:6" s="3" customFormat="1" ht="29.1" customHeight="1" x14ac:dyDescent="0.25">
      <c r="A15996" s="2" t="s">
        <v>31602</v>
      </c>
      <c r="B15996" s="2" t="s">
        <v>31604</v>
      </c>
      <c r="C15996" s="2" t="s">
        <v>264</v>
      </c>
      <c r="D15996" s="2" t="s">
        <v>44</v>
      </c>
      <c r="E15996" s="2" t="str">
        <f>"9781032120492"</f>
        <v>9781032120492</v>
      </c>
      <c r="F15996" s="2" t="str">
        <f>"9781000738704"</f>
        <v>9781000738704</v>
      </c>
    </row>
    <row r="15997" spans="1:6" s="3" customFormat="1" ht="29.1" customHeight="1" x14ac:dyDescent="0.25">
      <c r="A15997" s="2" t="s">
        <v>31605</v>
      </c>
      <c r="B15997" s="2" t="s">
        <v>31606</v>
      </c>
      <c r="C15997" s="2" t="s">
        <v>264</v>
      </c>
      <c r="D15997" s="2" t="s">
        <v>297</v>
      </c>
      <c r="E15997" s="2" t="str">
        <f>"9780367279936"</f>
        <v>9780367279936</v>
      </c>
      <c r="F15997" s="2" t="str">
        <f>"9780429299070"</f>
        <v>9780429299070</v>
      </c>
    </row>
    <row r="15998" spans="1:6" s="3" customFormat="1" ht="29.1" customHeight="1" x14ac:dyDescent="0.25">
      <c r="A15998" s="2" t="s">
        <v>31607</v>
      </c>
      <c r="B15998" s="2" t="s">
        <v>31608</v>
      </c>
      <c r="C15998" s="2" t="s">
        <v>124</v>
      </c>
      <c r="D15998" s="2" t="s">
        <v>1256</v>
      </c>
      <c r="E15998" s="2" t="str">
        <f>"9781032308449"</f>
        <v>9781032308449</v>
      </c>
      <c r="F15998" s="2" t="str">
        <f>"9781000631913"</f>
        <v>9781000631913</v>
      </c>
    </row>
    <row r="15999" spans="1:6" s="3" customFormat="1" ht="29.1" customHeight="1" x14ac:dyDescent="0.25">
      <c r="A15999" s="2" t="s">
        <v>31609</v>
      </c>
      <c r="B15999" s="2" t="s">
        <v>31610</v>
      </c>
      <c r="C15999" s="2" t="s">
        <v>36</v>
      </c>
      <c r="D15999" s="2" t="s">
        <v>882</v>
      </c>
      <c r="E15999" s="2" t="str">
        <f>"9781447360759"</f>
        <v>9781447360759</v>
      </c>
      <c r="F15999" s="2" t="str">
        <f>"9781447360773"</f>
        <v>9781447360773</v>
      </c>
    </row>
    <row r="16000" spans="1:6" s="3" customFormat="1" ht="29.1" customHeight="1" x14ac:dyDescent="0.25">
      <c r="A16000" s="2" t="s">
        <v>31611</v>
      </c>
      <c r="B16000" s="2" t="s">
        <v>31612</v>
      </c>
      <c r="C16000" s="2" t="s">
        <v>36</v>
      </c>
      <c r="D16000" s="2" t="s">
        <v>3523</v>
      </c>
      <c r="E16000" s="2" t="str">
        <f>"9781529219470"</f>
        <v>9781529219470</v>
      </c>
      <c r="F16000" s="2" t="str">
        <f>"9781529219494"</f>
        <v>9781529219494</v>
      </c>
    </row>
    <row r="16001" spans="1:6" s="3" customFormat="1" ht="29.1" customHeight="1" x14ac:dyDescent="0.25">
      <c r="A16001" s="2" t="s">
        <v>1495</v>
      </c>
      <c r="B16001" s="2" t="s">
        <v>31613</v>
      </c>
      <c r="C16001" s="2" t="s">
        <v>1070</v>
      </c>
      <c r="D16001" s="2" t="s">
        <v>1071</v>
      </c>
      <c r="E16001" s="2" t="str">
        <f>"9783318070804"</f>
        <v>9783318070804</v>
      </c>
      <c r="F16001" s="2" t="str">
        <f>"9783318071092"</f>
        <v>9783318071092</v>
      </c>
    </row>
    <row r="16002" spans="1:6" s="3" customFormat="1" ht="29.1" customHeight="1" x14ac:dyDescent="0.25">
      <c r="A16002" s="2" t="s">
        <v>31614</v>
      </c>
      <c r="B16002" s="2" t="s">
        <v>31615</v>
      </c>
      <c r="C16002" s="2" t="s">
        <v>4788</v>
      </c>
      <c r="D16002" s="2" t="s">
        <v>4185</v>
      </c>
      <c r="E16002" s="2" t="str">
        <f>"9781474478144"</f>
        <v>9781474478144</v>
      </c>
      <c r="F16002" s="2" t="str">
        <f>"9781474478168"</f>
        <v>9781474478168</v>
      </c>
    </row>
    <row r="16003" spans="1:6" s="3" customFormat="1" ht="29.1" customHeight="1" x14ac:dyDescent="0.25">
      <c r="A16003" s="2" t="s">
        <v>31616</v>
      </c>
      <c r="B16003" s="2" t="s">
        <v>31617</v>
      </c>
      <c r="C16003" s="2" t="s">
        <v>8305</v>
      </c>
      <c r="D16003" s="2" t="s">
        <v>2329</v>
      </c>
      <c r="E16003" s="2" t="str">
        <f>"9781955055567"</f>
        <v>9781955055567</v>
      </c>
      <c r="F16003" s="2" t="str">
        <f>"9781955055581"</f>
        <v>9781955055581</v>
      </c>
    </row>
    <row r="16004" spans="1:6" s="3" customFormat="1" ht="29.1" customHeight="1" x14ac:dyDescent="0.25">
      <c r="A16004" s="2" t="s">
        <v>31618</v>
      </c>
      <c r="B16004" s="2" t="s">
        <v>31619</v>
      </c>
      <c r="C16004" s="2" t="s">
        <v>124</v>
      </c>
      <c r="D16004" s="2" t="s">
        <v>353</v>
      </c>
      <c r="E16004" s="2" t="str">
        <f>"9781032197111"</f>
        <v>9781032197111</v>
      </c>
      <c r="F16004" s="2" t="str">
        <f>"9781000728514"</f>
        <v>9781000728514</v>
      </c>
    </row>
    <row r="16005" spans="1:6" s="3" customFormat="1" ht="29.1" customHeight="1" x14ac:dyDescent="0.25">
      <c r="A16005" s="2" t="s">
        <v>31620</v>
      </c>
      <c r="B16005" s="2" t="s">
        <v>31621</v>
      </c>
      <c r="C16005" s="2" t="s">
        <v>327</v>
      </c>
      <c r="D16005" s="2" t="s">
        <v>2702</v>
      </c>
      <c r="E16005" s="2"/>
      <c r="F16005" s="2" t="str">
        <f>"9788382201406"</f>
        <v>9788382201406</v>
      </c>
    </row>
    <row r="16006" spans="1:6" s="3" customFormat="1" ht="29.1" customHeight="1" x14ac:dyDescent="0.25">
      <c r="A16006" s="2" t="s">
        <v>31622</v>
      </c>
      <c r="B16006" s="2" t="s">
        <v>31623</v>
      </c>
      <c r="C16006" s="2" t="s">
        <v>327</v>
      </c>
      <c r="D16006" s="2" t="s">
        <v>3105</v>
      </c>
      <c r="E16006" s="2" t="str">
        <f>"9788382205206"</f>
        <v>9788382205206</v>
      </c>
      <c r="F16006" s="2" t="str">
        <f>"9788382205213"</f>
        <v>9788382205213</v>
      </c>
    </row>
    <row r="16007" spans="1:6" s="3" customFormat="1" ht="29.1" customHeight="1" x14ac:dyDescent="0.25">
      <c r="A16007" s="2" t="s">
        <v>31624</v>
      </c>
      <c r="B16007" s="2" t="s">
        <v>31625</v>
      </c>
      <c r="C16007" s="2" t="s">
        <v>327</v>
      </c>
      <c r="D16007" s="2" t="s">
        <v>6714</v>
      </c>
      <c r="E16007" s="2"/>
      <c r="F16007" s="2" t="str">
        <f>"9788382208191"</f>
        <v>9788382208191</v>
      </c>
    </row>
    <row r="16008" spans="1:6" s="3" customFormat="1" ht="29.1" customHeight="1" x14ac:dyDescent="0.25">
      <c r="A16008" s="2" t="s">
        <v>31626</v>
      </c>
      <c r="B16008" s="2" t="s">
        <v>31627</v>
      </c>
      <c r="C16008" s="2" t="s">
        <v>327</v>
      </c>
      <c r="D16008" s="2" t="s">
        <v>25538</v>
      </c>
      <c r="E16008" s="2" t="str">
        <f>"9788382206517"</f>
        <v>9788382206517</v>
      </c>
      <c r="F16008" s="2" t="str">
        <f>"9788382206524"</f>
        <v>9788382206524</v>
      </c>
    </row>
    <row r="16009" spans="1:6" s="3" customFormat="1" ht="29.1" customHeight="1" x14ac:dyDescent="0.25">
      <c r="A16009" s="2" t="s">
        <v>31628</v>
      </c>
      <c r="B16009" s="2" t="s">
        <v>31630</v>
      </c>
      <c r="C16009" s="2" t="s">
        <v>327</v>
      </c>
      <c r="D16009" s="2" t="s">
        <v>31629</v>
      </c>
      <c r="E16009" s="2" t="str">
        <f>"9788382207972"</f>
        <v>9788382207972</v>
      </c>
      <c r="F16009" s="2" t="str">
        <f>"9788382207996"</f>
        <v>9788382207996</v>
      </c>
    </row>
    <row r="16010" spans="1:6" s="3" customFormat="1" ht="29.1" customHeight="1" x14ac:dyDescent="0.25">
      <c r="A16010" s="2" t="s">
        <v>31631</v>
      </c>
      <c r="B16010" s="2" t="s">
        <v>31632</v>
      </c>
      <c r="C16010" s="2" t="s">
        <v>327</v>
      </c>
      <c r="D16010" s="2" t="s">
        <v>11074</v>
      </c>
      <c r="E16010" s="2" t="str">
        <f>"9788382207774"</f>
        <v>9788382207774</v>
      </c>
      <c r="F16010" s="2" t="str">
        <f>"9788382207781"</f>
        <v>9788382207781</v>
      </c>
    </row>
    <row r="16011" spans="1:6" s="3" customFormat="1" ht="29.1" customHeight="1" x14ac:dyDescent="0.25">
      <c r="A16011" s="2" t="s">
        <v>31633</v>
      </c>
      <c r="B16011" s="2" t="s">
        <v>31634</v>
      </c>
      <c r="C16011" s="2" t="s">
        <v>327</v>
      </c>
      <c r="D16011" s="2" t="s">
        <v>3958</v>
      </c>
      <c r="E16011" s="2" t="str">
        <f>"9788382206302"</f>
        <v>9788382206302</v>
      </c>
      <c r="F16011" s="2" t="str">
        <f>"9788382206319"</f>
        <v>9788382206319</v>
      </c>
    </row>
    <row r="16012" spans="1:6" s="3" customFormat="1" ht="29.1" customHeight="1" x14ac:dyDescent="0.25">
      <c r="A16012" s="2" t="s">
        <v>31635</v>
      </c>
      <c r="B16012" s="2" t="s">
        <v>30985</v>
      </c>
      <c r="C16012" s="2" t="s">
        <v>327</v>
      </c>
      <c r="D16012" s="2" t="s">
        <v>278</v>
      </c>
      <c r="E16012" s="2" t="str">
        <f>"9788382207484"</f>
        <v>9788382207484</v>
      </c>
      <c r="F16012" s="2" t="str">
        <f>"9788382207491"</f>
        <v>9788382207491</v>
      </c>
    </row>
    <row r="16013" spans="1:6" s="3" customFormat="1" ht="29.1" customHeight="1" x14ac:dyDescent="0.25">
      <c r="A16013" s="2" t="s">
        <v>31636</v>
      </c>
      <c r="B16013" s="2" t="s">
        <v>31638</v>
      </c>
      <c r="C16013" s="2" t="s">
        <v>327</v>
      </c>
      <c r="D16013" s="2" t="s">
        <v>31637</v>
      </c>
      <c r="E16013" s="2" t="str">
        <f>"9788382206937"</f>
        <v>9788382206937</v>
      </c>
      <c r="F16013" s="2" t="str">
        <f>"9788382206944"</f>
        <v>9788382206944</v>
      </c>
    </row>
    <row r="16014" spans="1:6" s="3" customFormat="1" ht="29.1" customHeight="1" x14ac:dyDescent="0.25">
      <c r="A16014" s="2" t="s">
        <v>31639</v>
      </c>
      <c r="B16014" s="2" t="s">
        <v>31640</v>
      </c>
      <c r="C16014" s="2" t="s">
        <v>327</v>
      </c>
      <c r="D16014" s="2" t="s">
        <v>3598</v>
      </c>
      <c r="E16014" s="2" t="str">
        <f>"9788382208078"</f>
        <v>9788382208078</v>
      </c>
      <c r="F16014" s="2" t="str">
        <f>"9788382208085"</f>
        <v>9788382208085</v>
      </c>
    </row>
    <row r="16015" spans="1:6" s="3" customFormat="1" ht="29.1" customHeight="1" x14ac:dyDescent="0.25">
      <c r="A16015" s="2" t="s">
        <v>31641</v>
      </c>
      <c r="B16015" s="2" t="s">
        <v>31643</v>
      </c>
      <c r="C16015" s="2" t="s">
        <v>327</v>
      </c>
      <c r="D16015" s="2" t="s">
        <v>31642</v>
      </c>
      <c r="E16015" s="2" t="str">
        <f>"9788381428514"</f>
        <v>9788381428514</v>
      </c>
      <c r="F16015" s="2" t="str">
        <f>"9788381428521"</f>
        <v>9788381428521</v>
      </c>
    </row>
    <row r="16016" spans="1:6" s="3" customFormat="1" ht="29.1" customHeight="1" x14ac:dyDescent="0.25">
      <c r="A16016" s="2" t="s">
        <v>31644</v>
      </c>
      <c r="B16016" s="2" t="s">
        <v>31645</v>
      </c>
      <c r="C16016" s="2" t="s">
        <v>2133</v>
      </c>
      <c r="D16016" s="2" t="s">
        <v>2005</v>
      </c>
      <c r="E16016" s="2" t="str">
        <f>"9781760465124"</f>
        <v>9781760465124</v>
      </c>
      <c r="F16016" s="2" t="str">
        <f>"9781760465131"</f>
        <v>9781760465131</v>
      </c>
    </row>
    <row r="16017" spans="1:6" s="3" customFormat="1" ht="29.1" customHeight="1" x14ac:dyDescent="0.25">
      <c r="A16017" s="2" t="s">
        <v>31646</v>
      </c>
      <c r="B16017" s="2" t="s">
        <v>31647</v>
      </c>
      <c r="C16017" s="2" t="s">
        <v>62</v>
      </c>
      <c r="D16017" s="2" t="s">
        <v>3963</v>
      </c>
      <c r="E16017" s="2" t="str">
        <f>"9783428185788"</f>
        <v>9783428185788</v>
      </c>
      <c r="F16017" s="2" t="str">
        <f>"9783428585786"</f>
        <v>9783428585786</v>
      </c>
    </row>
    <row r="16018" spans="1:6" s="3" customFormat="1" ht="29.1" customHeight="1" x14ac:dyDescent="0.25">
      <c r="A16018" s="2" t="s">
        <v>31648</v>
      </c>
      <c r="B16018" s="2" t="s">
        <v>31649</v>
      </c>
      <c r="C16018" s="2" t="s">
        <v>4788</v>
      </c>
      <c r="D16018" s="2" t="s">
        <v>682</v>
      </c>
      <c r="E16018" s="2" t="str">
        <f>"9781474459310"</f>
        <v>9781474459310</v>
      </c>
      <c r="F16018" s="2" t="str">
        <f>"9781474459334"</f>
        <v>9781474459334</v>
      </c>
    </row>
    <row r="16019" spans="1:6" s="3" customFormat="1" ht="29.1" customHeight="1" x14ac:dyDescent="0.25">
      <c r="A16019" s="2" t="s">
        <v>31650</v>
      </c>
      <c r="B16019" s="2" t="s">
        <v>31651</v>
      </c>
      <c r="C16019" s="2" t="s">
        <v>124</v>
      </c>
      <c r="D16019" s="2" t="s">
        <v>69</v>
      </c>
      <c r="E16019" s="2" t="str">
        <f>"9781032259604"</f>
        <v>9781032259604</v>
      </c>
      <c r="F16019" s="2" t="str">
        <f>"9781000642063"</f>
        <v>9781000642063</v>
      </c>
    </row>
    <row r="16020" spans="1:6" s="3" customFormat="1" ht="29.1" customHeight="1" x14ac:dyDescent="0.25">
      <c r="A16020" s="2" t="s">
        <v>31652</v>
      </c>
      <c r="B16020" s="2" t="s">
        <v>31653</v>
      </c>
      <c r="C16020" s="2" t="s">
        <v>5</v>
      </c>
      <c r="D16020" s="2" t="s">
        <v>11063</v>
      </c>
      <c r="E16020" s="2" t="str">
        <f>"9781681734330"</f>
        <v>9781681734330</v>
      </c>
      <c r="F16020" s="2" t="str">
        <f>"9781681734347"</f>
        <v>9781681734347</v>
      </c>
    </row>
    <row r="16021" spans="1:6" s="3" customFormat="1" ht="29.1" customHeight="1" x14ac:dyDescent="0.25">
      <c r="A16021" s="2" t="s">
        <v>31654</v>
      </c>
      <c r="B16021" s="2" t="s">
        <v>31655</v>
      </c>
      <c r="C16021" s="2" t="s">
        <v>927</v>
      </c>
      <c r="D16021" s="2" t="s">
        <v>297</v>
      </c>
      <c r="E16021" s="2" t="str">
        <f>"9780472038527"</f>
        <v>9780472038527</v>
      </c>
      <c r="F16021" s="2" t="str">
        <f>"9780472902590"</f>
        <v>9780472902590</v>
      </c>
    </row>
    <row r="16022" spans="1:6" s="3" customFormat="1" ht="29.1" customHeight="1" x14ac:dyDescent="0.25">
      <c r="A16022" s="2" t="s">
        <v>31656</v>
      </c>
      <c r="B16022" s="2" t="s">
        <v>31657</v>
      </c>
      <c r="C16022" s="2" t="s">
        <v>927</v>
      </c>
      <c r="D16022" s="2" t="s">
        <v>2208</v>
      </c>
      <c r="E16022" s="2" t="str">
        <f>"9780472054794"</f>
        <v>9780472054794</v>
      </c>
      <c r="F16022" s="2" t="str">
        <f>"9780472128631"</f>
        <v>9780472128631</v>
      </c>
    </row>
    <row r="16023" spans="1:6" s="3" customFormat="1" ht="29.1" customHeight="1" x14ac:dyDescent="0.25">
      <c r="A16023" s="2" t="s">
        <v>31658</v>
      </c>
      <c r="B16023" s="2" t="s">
        <v>31659</v>
      </c>
      <c r="C16023" s="2" t="s">
        <v>927</v>
      </c>
      <c r="D16023" s="2" t="s">
        <v>297</v>
      </c>
      <c r="E16023" s="2" t="str">
        <f>"9780472054473"</f>
        <v>9780472054473</v>
      </c>
      <c r="F16023" s="2" t="str">
        <f>"9780472901241"</f>
        <v>9780472901241</v>
      </c>
    </row>
    <row r="16024" spans="1:6" s="3" customFormat="1" ht="29.1" customHeight="1" x14ac:dyDescent="0.25">
      <c r="A16024" s="2" t="s">
        <v>31660</v>
      </c>
      <c r="B16024" s="2" t="s">
        <v>31661</v>
      </c>
      <c r="C16024" s="2" t="s">
        <v>927</v>
      </c>
      <c r="D16024" s="2" t="s">
        <v>297</v>
      </c>
      <c r="E16024" s="2" t="str">
        <f>"9780472055388"</f>
        <v>9780472055388</v>
      </c>
      <c r="F16024" s="2" t="str">
        <f>"9780472902651"</f>
        <v>9780472902651</v>
      </c>
    </row>
    <row r="16025" spans="1:6" s="3" customFormat="1" ht="29.1" customHeight="1" x14ac:dyDescent="0.25">
      <c r="A16025" s="2" t="s">
        <v>31662</v>
      </c>
      <c r="B16025" s="2" t="s">
        <v>31663</v>
      </c>
      <c r="C16025" s="2" t="s">
        <v>927</v>
      </c>
      <c r="D16025" s="2" t="s">
        <v>270</v>
      </c>
      <c r="E16025" s="2" t="str">
        <f>"9780472055050"</f>
        <v>9780472055050</v>
      </c>
      <c r="F16025" s="2" t="str">
        <f>"9780472902491"</f>
        <v>9780472902491</v>
      </c>
    </row>
    <row r="16026" spans="1:6" s="3" customFormat="1" ht="29.1" customHeight="1" x14ac:dyDescent="0.25">
      <c r="A16026" s="2" t="s">
        <v>31664</v>
      </c>
      <c r="B16026" s="2" t="s">
        <v>31665</v>
      </c>
      <c r="C16026" s="2" t="s">
        <v>927</v>
      </c>
      <c r="D16026" s="2" t="s">
        <v>210</v>
      </c>
      <c r="E16026" s="2" t="str">
        <f>"9780472038916"</f>
        <v>9780472038916</v>
      </c>
      <c r="F16026" s="2" t="str">
        <f>"9780472902644"</f>
        <v>9780472902644</v>
      </c>
    </row>
    <row r="16027" spans="1:6" s="3" customFormat="1" ht="29.1" customHeight="1" x14ac:dyDescent="0.25">
      <c r="A16027" s="2" t="s">
        <v>31666</v>
      </c>
      <c r="B16027" s="2" t="s">
        <v>31667</v>
      </c>
      <c r="C16027" s="2" t="s">
        <v>927</v>
      </c>
      <c r="D16027" s="2" t="s">
        <v>33</v>
      </c>
      <c r="E16027" s="2" t="str">
        <f>"9780472038909"</f>
        <v>9780472038909</v>
      </c>
      <c r="F16027" s="2" t="str">
        <f>"9780472902637"</f>
        <v>9780472902637</v>
      </c>
    </row>
    <row r="16028" spans="1:6" s="3" customFormat="1" ht="29.1" customHeight="1" x14ac:dyDescent="0.25">
      <c r="A16028" s="2" t="s">
        <v>31668</v>
      </c>
      <c r="B16028" s="2" t="s">
        <v>31669</v>
      </c>
      <c r="C16028" s="2" t="s">
        <v>927</v>
      </c>
      <c r="D16028" s="2" t="s">
        <v>334</v>
      </c>
      <c r="E16028" s="2" t="str">
        <f>"9780472054855"</f>
        <v>9780472054855</v>
      </c>
      <c r="F16028" s="2" t="str">
        <f>"9780472902415"</f>
        <v>9780472902415</v>
      </c>
    </row>
    <row r="16029" spans="1:6" s="3" customFormat="1" ht="29.1" customHeight="1" x14ac:dyDescent="0.25">
      <c r="A16029" s="2" t="s">
        <v>31670</v>
      </c>
      <c r="B16029" s="2" t="s">
        <v>31671</v>
      </c>
      <c r="C16029" s="2" t="s">
        <v>927</v>
      </c>
      <c r="D16029" s="2" t="s">
        <v>297</v>
      </c>
      <c r="E16029" s="2" t="str">
        <f>"9780472038787"</f>
        <v>9780472038787</v>
      </c>
      <c r="F16029" s="2" t="str">
        <f>"9780472902507"</f>
        <v>9780472902507</v>
      </c>
    </row>
    <row r="16030" spans="1:6" s="3" customFormat="1" ht="29.1" customHeight="1" x14ac:dyDescent="0.25">
      <c r="A16030" s="2" t="s">
        <v>31672</v>
      </c>
      <c r="B16030" s="2" t="s">
        <v>31673</v>
      </c>
      <c r="C16030" s="2" t="s">
        <v>927</v>
      </c>
      <c r="D16030" s="2" t="s">
        <v>270</v>
      </c>
      <c r="E16030" s="2" t="str">
        <f>"9780472038848"</f>
        <v>9780472038848</v>
      </c>
      <c r="F16030" s="2" t="str">
        <f>"9780472902606"</f>
        <v>9780472902606</v>
      </c>
    </row>
    <row r="16031" spans="1:6" s="3" customFormat="1" ht="29.1" customHeight="1" x14ac:dyDescent="0.25">
      <c r="A16031" s="2" t="s">
        <v>31674</v>
      </c>
      <c r="B16031" s="2" t="s">
        <v>31675</v>
      </c>
      <c r="C16031" s="2" t="s">
        <v>746</v>
      </c>
      <c r="D16031" s="2" t="s">
        <v>606</v>
      </c>
      <c r="E16031" s="2" t="str">
        <f>"9781803272078"</f>
        <v>9781803272078</v>
      </c>
      <c r="F16031" s="2" t="str">
        <f>"9781803272085"</f>
        <v>9781803272085</v>
      </c>
    </row>
    <row r="16032" spans="1:6" s="3" customFormat="1" ht="29.1" customHeight="1" x14ac:dyDescent="0.25">
      <c r="A16032" s="2" t="s">
        <v>31676</v>
      </c>
      <c r="B16032" s="2" t="s">
        <v>31677</v>
      </c>
      <c r="C16032" s="2" t="s">
        <v>746</v>
      </c>
      <c r="D16032" s="2" t="s">
        <v>606</v>
      </c>
      <c r="E16032" s="2" t="str">
        <f>"9781803270883"</f>
        <v>9781803270883</v>
      </c>
      <c r="F16032" s="2" t="str">
        <f>"9781803270890"</f>
        <v>9781803270890</v>
      </c>
    </row>
    <row r="16033" spans="1:6" s="3" customFormat="1" ht="29.1" customHeight="1" x14ac:dyDescent="0.25">
      <c r="A16033" s="2" t="s">
        <v>31678</v>
      </c>
      <c r="B16033" s="2" t="s">
        <v>31679</v>
      </c>
      <c r="C16033" s="2" t="s">
        <v>124</v>
      </c>
      <c r="D16033" s="2" t="s">
        <v>871</v>
      </c>
      <c r="E16033" s="2" t="str">
        <f>"9781032013848"</f>
        <v>9781032013848</v>
      </c>
      <c r="F16033" s="2" t="str">
        <f>"9781000602005"</f>
        <v>9781000602005</v>
      </c>
    </row>
    <row r="16034" spans="1:6" s="3" customFormat="1" ht="29.1" customHeight="1" x14ac:dyDescent="0.25">
      <c r="A16034" s="2" t="s">
        <v>31680</v>
      </c>
      <c r="B16034" s="2" t="s">
        <v>31681</v>
      </c>
      <c r="C16034" s="2" t="s">
        <v>149</v>
      </c>
      <c r="D16034" s="2" t="s">
        <v>1056</v>
      </c>
      <c r="E16034" s="2"/>
      <c r="F16034" s="2" t="str">
        <f>"9781800646926"</f>
        <v>9781800646926</v>
      </c>
    </row>
    <row r="16035" spans="1:6" s="3" customFormat="1" ht="29.1" customHeight="1" x14ac:dyDescent="0.25">
      <c r="A16035" s="2" t="s">
        <v>31682</v>
      </c>
      <c r="B16035" s="2" t="s">
        <v>31683</v>
      </c>
      <c r="C16035" s="2" t="s">
        <v>264</v>
      </c>
      <c r="D16035" s="2" t="s">
        <v>3304</v>
      </c>
      <c r="E16035" s="2" t="str">
        <f>"9781032312590"</f>
        <v>9781032312590</v>
      </c>
      <c r="F16035" s="2" t="str">
        <f>"9781000780475"</f>
        <v>9781000780475</v>
      </c>
    </row>
    <row r="16036" spans="1:6" s="3" customFormat="1" ht="29.1" customHeight="1" x14ac:dyDescent="0.25">
      <c r="A16036" s="2" t="s">
        <v>31684</v>
      </c>
      <c r="B16036" s="2" t="s">
        <v>31685</v>
      </c>
      <c r="C16036" s="2" t="s">
        <v>124</v>
      </c>
      <c r="D16036" s="2" t="s">
        <v>694</v>
      </c>
      <c r="E16036" s="2" t="str">
        <f>"9781032230665"</f>
        <v>9781032230665</v>
      </c>
      <c r="F16036" s="2" t="str">
        <f>"9781000626483"</f>
        <v>9781000626483</v>
      </c>
    </row>
    <row r="16037" spans="1:6" s="3" customFormat="1" ht="29.1" customHeight="1" x14ac:dyDescent="0.25">
      <c r="A16037" s="2" t="s">
        <v>31686</v>
      </c>
      <c r="B16037" s="2" t="s">
        <v>31687</v>
      </c>
      <c r="C16037" s="2" t="s">
        <v>124</v>
      </c>
      <c r="D16037" s="2" t="s">
        <v>522</v>
      </c>
      <c r="E16037" s="2" t="str">
        <f>"9781032122342"</f>
        <v>9781032122342</v>
      </c>
      <c r="F16037" s="2" t="str">
        <f>"9781000635201"</f>
        <v>9781000635201</v>
      </c>
    </row>
    <row r="16038" spans="1:6" s="3" customFormat="1" ht="29.1" customHeight="1" x14ac:dyDescent="0.25">
      <c r="A16038" s="2" t="s">
        <v>31688</v>
      </c>
      <c r="B16038" s="2" t="s">
        <v>18715</v>
      </c>
      <c r="C16038" s="2" t="s">
        <v>195</v>
      </c>
      <c r="D16038" s="2" t="s">
        <v>10407</v>
      </c>
      <c r="E16038" s="2"/>
      <c r="F16038" s="2" t="str">
        <f>"9781463243586"</f>
        <v>9781463243586</v>
      </c>
    </row>
    <row r="16039" spans="1:6" s="3" customFormat="1" ht="29.1" customHeight="1" x14ac:dyDescent="0.25">
      <c r="A16039" s="2" t="s">
        <v>31689</v>
      </c>
      <c r="B16039" s="2" t="s">
        <v>30403</v>
      </c>
      <c r="C16039" s="2" t="s">
        <v>62</v>
      </c>
      <c r="D16039" s="2" t="s">
        <v>2005</v>
      </c>
      <c r="E16039" s="2" t="str">
        <f>"9783428069682"</f>
        <v>9783428069682</v>
      </c>
      <c r="F16039" s="2" t="str">
        <f>"9783428469680"</f>
        <v>9783428469680</v>
      </c>
    </row>
    <row r="16040" spans="1:6" s="3" customFormat="1" ht="29.1" customHeight="1" x14ac:dyDescent="0.25">
      <c r="A16040" s="2" t="s">
        <v>31690</v>
      </c>
      <c r="B16040" s="2" t="s">
        <v>31089</v>
      </c>
      <c r="C16040" s="2" t="s">
        <v>26676</v>
      </c>
      <c r="D16040" s="2" t="s">
        <v>12699</v>
      </c>
      <c r="E16040" s="2" t="str">
        <f>"9781644698228"</f>
        <v>9781644698228</v>
      </c>
      <c r="F16040" s="2" t="str">
        <f>"9781644698266"</f>
        <v>9781644698266</v>
      </c>
    </row>
    <row r="16041" spans="1:6" s="3" customFormat="1" ht="29.1" customHeight="1" x14ac:dyDescent="0.25">
      <c r="A16041" s="2" t="s">
        <v>31691</v>
      </c>
      <c r="B16041" s="2" t="s">
        <v>31692</v>
      </c>
      <c r="C16041" s="2" t="s">
        <v>36</v>
      </c>
      <c r="D16041" s="2" t="s">
        <v>6669</v>
      </c>
      <c r="E16041" s="2" t="str">
        <f>"9781529215489"</f>
        <v>9781529215489</v>
      </c>
      <c r="F16041" s="2" t="str">
        <f>"9781529215502"</f>
        <v>9781529215502</v>
      </c>
    </row>
    <row r="16042" spans="1:6" s="3" customFormat="1" ht="29.1" customHeight="1" x14ac:dyDescent="0.25">
      <c r="A16042" s="2" t="s">
        <v>31693</v>
      </c>
      <c r="B16042" s="2" t="s">
        <v>31694</v>
      </c>
      <c r="C16042" s="2" t="s">
        <v>36</v>
      </c>
      <c r="D16042" s="2" t="s">
        <v>553</v>
      </c>
      <c r="E16042" s="2" t="str">
        <f>"9781447359623"</f>
        <v>9781447359623</v>
      </c>
      <c r="F16042" s="2" t="str">
        <f>"9781447359630"</f>
        <v>9781447359630</v>
      </c>
    </row>
    <row r="16043" spans="1:6" s="3" customFormat="1" ht="29.1" customHeight="1" x14ac:dyDescent="0.25">
      <c r="A16043" s="2" t="s">
        <v>31695</v>
      </c>
      <c r="B16043" s="2" t="s">
        <v>31696</v>
      </c>
      <c r="C16043" s="2" t="s">
        <v>746</v>
      </c>
      <c r="D16043" s="2" t="s">
        <v>4185</v>
      </c>
      <c r="E16043" s="2" t="str">
        <f>"9781803272740"</f>
        <v>9781803272740</v>
      </c>
      <c r="F16043" s="2" t="str">
        <f>"9781803272757"</f>
        <v>9781803272757</v>
      </c>
    </row>
    <row r="16044" spans="1:6" s="3" customFormat="1" ht="29.1" customHeight="1" x14ac:dyDescent="0.25">
      <c r="A16044" s="2" t="s">
        <v>31697</v>
      </c>
      <c r="B16044" s="2" t="s">
        <v>31698</v>
      </c>
      <c r="C16044" s="2" t="s">
        <v>746</v>
      </c>
      <c r="D16044" s="2" t="s">
        <v>1654</v>
      </c>
      <c r="E16044" s="2" t="str">
        <f>"9781803270760"</f>
        <v>9781803270760</v>
      </c>
      <c r="F16044" s="2" t="str">
        <f>"9781803270777"</f>
        <v>9781803270777</v>
      </c>
    </row>
    <row r="16045" spans="1:6" s="3" customFormat="1" ht="29.1" customHeight="1" x14ac:dyDescent="0.25">
      <c r="A16045" s="2" t="s">
        <v>31699</v>
      </c>
      <c r="B16045" s="2" t="s">
        <v>31700</v>
      </c>
      <c r="C16045" s="2" t="s">
        <v>746</v>
      </c>
      <c r="D16045" s="2" t="s">
        <v>606</v>
      </c>
      <c r="E16045" s="2" t="str">
        <f>"9781803270647"</f>
        <v>9781803270647</v>
      </c>
      <c r="F16045" s="2" t="str">
        <f>"9781803270654"</f>
        <v>9781803270654</v>
      </c>
    </row>
    <row r="16046" spans="1:6" s="3" customFormat="1" ht="29.1" customHeight="1" x14ac:dyDescent="0.25">
      <c r="A16046" s="2" t="s">
        <v>31701</v>
      </c>
      <c r="B16046" s="2" t="s">
        <v>31702</v>
      </c>
      <c r="C16046" s="2" t="s">
        <v>327</v>
      </c>
      <c r="D16046" s="2" t="s">
        <v>8413</v>
      </c>
      <c r="E16046" s="2" t="str">
        <f>"9788381427197"</f>
        <v>9788381427197</v>
      </c>
      <c r="F16046" s="2" t="str">
        <f>"9788381427203"</f>
        <v>9788381427203</v>
      </c>
    </row>
    <row r="16047" spans="1:6" s="3" customFormat="1" ht="29.1" customHeight="1" x14ac:dyDescent="0.25">
      <c r="A16047" s="2" t="s">
        <v>31703</v>
      </c>
      <c r="B16047" s="2" t="s">
        <v>31702</v>
      </c>
      <c r="C16047" s="2" t="s">
        <v>327</v>
      </c>
      <c r="D16047" s="2" t="s">
        <v>8413</v>
      </c>
      <c r="E16047" s="2" t="str">
        <f>"9788381427173"</f>
        <v>9788381427173</v>
      </c>
      <c r="F16047" s="2" t="str">
        <f>"9788381427180"</f>
        <v>9788381427180</v>
      </c>
    </row>
    <row r="16048" spans="1:6" s="3" customFormat="1" ht="29.1" customHeight="1" x14ac:dyDescent="0.25">
      <c r="A16048" s="2" t="s">
        <v>31704</v>
      </c>
      <c r="B16048" s="2" t="s">
        <v>31705</v>
      </c>
      <c r="C16048" s="2" t="s">
        <v>327</v>
      </c>
      <c r="D16048" s="2" t="s">
        <v>8413</v>
      </c>
      <c r="E16048" s="2" t="str">
        <f>"9788381426701"</f>
        <v>9788381426701</v>
      </c>
      <c r="F16048" s="2" t="str">
        <f>"9788381426718"</f>
        <v>9788381426718</v>
      </c>
    </row>
    <row r="16049" spans="1:6" s="3" customFormat="1" ht="29.1" customHeight="1" x14ac:dyDescent="0.25">
      <c r="A16049" s="2" t="s">
        <v>31706</v>
      </c>
      <c r="B16049" s="2" t="s">
        <v>31707</v>
      </c>
      <c r="C16049" s="2" t="s">
        <v>327</v>
      </c>
      <c r="D16049" s="2" t="s">
        <v>9</v>
      </c>
      <c r="E16049" s="2" t="str">
        <f>"9788381426251"</f>
        <v>9788381426251</v>
      </c>
      <c r="F16049" s="2" t="str">
        <f>"9788381426268"</f>
        <v>9788381426268</v>
      </c>
    </row>
    <row r="16050" spans="1:6" s="3" customFormat="1" ht="29.1" customHeight="1" x14ac:dyDescent="0.25">
      <c r="A16050" s="2" t="s">
        <v>31708</v>
      </c>
      <c r="B16050" s="2" t="s">
        <v>31709</v>
      </c>
      <c r="C16050" s="2" t="s">
        <v>327</v>
      </c>
      <c r="D16050" s="2" t="s">
        <v>7970</v>
      </c>
      <c r="E16050" s="2" t="str">
        <f>"9788380885806"</f>
        <v>9788380885806</v>
      </c>
      <c r="F16050" s="2" t="str">
        <f>"9788380885813"</f>
        <v>9788380885813</v>
      </c>
    </row>
    <row r="16051" spans="1:6" s="3" customFormat="1" ht="29.1" customHeight="1" x14ac:dyDescent="0.25">
      <c r="A16051" s="2" t="s">
        <v>31710</v>
      </c>
      <c r="B16051" s="2" t="s">
        <v>31711</v>
      </c>
      <c r="C16051" s="2" t="s">
        <v>327</v>
      </c>
      <c r="D16051" s="2" t="s">
        <v>25097</v>
      </c>
      <c r="E16051" s="2" t="str">
        <f>"9788381426985"</f>
        <v>9788381426985</v>
      </c>
      <c r="F16051" s="2" t="str">
        <f>"9788381426992"</f>
        <v>9788381426992</v>
      </c>
    </row>
    <row r="16052" spans="1:6" s="3" customFormat="1" ht="29.1" customHeight="1" x14ac:dyDescent="0.25">
      <c r="A16052" s="2" t="s">
        <v>31712</v>
      </c>
      <c r="B16052" s="2" t="s">
        <v>31713</v>
      </c>
      <c r="C16052" s="2" t="s">
        <v>327</v>
      </c>
      <c r="D16052" s="2" t="s">
        <v>11489</v>
      </c>
      <c r="E16052" s="2" t="str">
        <f>"9788380881143"</f>
        <v>9788380881143</v>
      </c>
      <c r="F16052" s="2" t="str">
        <f>"9788380881150"</f>
        <v>9788380881150</v>
      </c>
    </row>
    <row r="16053" spans="1:6" s="3" customFormat="1" ht="29.1" customHeight="1" x14ac:dyDescent="0.25">
      <c r="A16053" s="2" t="s">
        <v>31714</v>
      </c>
      <c r="B16053" s="2" t="s">
        <v>31716</v>
      </c>
      <c r="C16053" s="2" t="s">
        <v>327</v>
      </c>
      <c r="D16053" s="2" t="s">
        <v>31715</v>
      </c>
      <c r="E16053" s="2"/>
      <c r="F16053" s="2" t="str">
        <f>"9788382202502"</f>
        <v>9788382202502</v>
      </c>
    </row>
    <row r="16054" spans="1:6" s="3" customFormat="1" ht="29.1" customHeight="1" x14ac:dyDescent="0.25">
      <c r="A16054" s="2" t="s">
        <v>31717</v>
      </c>
      <c r="B16054" s="2" t="s">
        <v>31718</v>
      </c>
      <c r="C16054" s="2" t="s">
        <v>327</v>
      </c>
      <c r="D16054" s="2" t="s">
        <v>186</v>
      </c>
      <c r="E16054" s="2" t="str">
        <f>"9788382202335"</f>
        <v>9788382202335</v>
      </c>
      <c r="F16054" s="2" t="str">
        <f>"9788382202342"</f>
        <v>9788382202342</v>
      </c>
    </row>
    <row r="16055" spans="1:6" s="3" customFormat="1" ht="29.1" customHeight="1" x14ac:dyDescent="0.25">
      <c r="A16055" s="2" t="s">
        <v>31719</v>
      </c>
      <c r="B16055" s="2" t="s">
        <v>31720</v>
      </c>
      <c r="C16055" s="2" t="s">
        <v>327</v>
      </c>
      <c r="D16055" s="2" t="s">
        <v>3214</v>
      </c>
      <c r="E16055" s="2" t="str">
        <f>"9788381424554"</f>
        <v>9788381424554</v>
      </c>
      <c r="F16055" s="2" t="str">
        <f>"9788381424561"</f>
        <v>9788381424561</v>
      </c>
    </row>
    <row r="16056" spans="1:6" s="3" customFormat="1" ht="29.1" customHeight="1" x14ac:dyDescent="0.25">
      <c r="A16056" s="2" t="s">
        <v>31721</v>
      </c>
      <c r="B16056" s="2" t="s">
        <v>31723</v>
      </c>
      <c r="C16056" s="2" t="s">
        <v>327</v>
      </c>
      <c r="D16056" s="2" t="s">
        <v>31722</v>
      </c>
      <c r="E16056" s="2" t="str">
        <f>"9788381423366"</f>
        <v>9788381423366</v>
      </c>
      <c r="F16056" s="2" t="str">
        <f>"9788381423373"</f>
        <v>9788381423373</v>
      </c>
    </row>
    <row r="16057" spans="1:6" s="3" customFormat="1" ht="29.1" customHeight="1" x14ac:dyDescent="0.25">
      <c r="A16057" s="2" t="s">
        <v>31724</v>
      </c>
      <c r="B16057" s="2" t="s">
        <v>31725</v>
      </c>
      <c r="C16057" s="2" t="s">
        <v>264</v>
      </c>
      <c r="D16057" s="2" t="s">
        <v>6200</v>
      </c>
      <c r="E16057" s="2" t="str">
        <f>"9781032312620"</f>
        <v>9781032312620</v>
      </c>
      <c r="F16057" s="2" t="str">
        <f>"9781000780499"</f>
        <v>9781000780499</v>
      </c>
    </row>
    <row r="16058" spans="1:6" s="3" customFormat="1" ht="29.1" customHeight="1" x14ac:dyDescent="0.25">
      <c r="A16058" s="2" t="s">
        <v>31726</v>
      </c>
      <c r="B16058" s="2" t="s">
        <v>31727</v>
      </c>
      <c r="C16058" s="2" t="s">
        <v>36</v>
      </c>
      <c r="D16058" s="2" t="s">
        <v>72</v>
      </c>
      <c r="E16058" s="2" t="str">
        <f>"9781447364481"</f>
        <v>9781447364481</v>
      </c>
      <c r="F16058" s="2" t="str">
        <f>"9781447364504"</f>
        <v>9781447364504</v>
      </c>
    </row>
    <row r="16059" spans="1:6" s="3" customFormat="1" ht="29.1" customHeight="1" x14ac:dyDescent="0.25">
      <c r="A16059" s="2" t="s">
        <v>31728</v>
      </c>
      <c r="B16059" s="2" t="s">
        <v>31729</v>
      </c>
      <c r="C16059" s="2" t="s">
        <v>36</v>
      </c>
      <c r="D16059" s="2" t="s">
        <v>75</v>
      </c>
      <c r="E16059" s="2" t="str">
        <f>"9781447365358"</f>
        <v>9781447365358</v>
      </c>
      <c r="F16059" s="2" t="str">
        <f>"9781447362395"</f>
        <v>9781447362395</v>
      </c>
    </row>
    <row r="16060" spans="1:6" s="3" customFormat="1" ht="29.1" customHeight="1" x14ac:dyDescent="0.25">
      <c r="A16060" s="2" t="s">
        <v>31730</v>
      </c>
      <c r="B16060" s="2" t="s">
        <v>31731</v>
      </c>
      <c r="C16060" s="2" t="s">
        <v>36</v>
      </c>
      <c r="D16060" s="2" t="s">
        <v>501</v>
      </c>
      <c r="E16060" s="2" t="str">
        <f>"9781529221497"</f>
        <v>9781529221497</v>
      </c>
      <c r="F16060" s="2" t="str">
        <f>"9781529221510"</f>
        <v>9781529221510</v>
      </c>
    </row>
    <row r="16061" spans="1:6" s="3" customFormat="1" ht="29.1" customHeight="1" x14ac:dyDescent="0.25">
      <c r="A16061" s="2" t="s">
        <v>31732</v>
      </c>
      <c r="B16061" s="2" t="s">
        <v>31733</v>
      </c>
      <c r="C16061" s="2" t="s">
        <v>124</v>
      </c>
      <c r="D16061" s="2" t="s">
        <v>3172</v>
      </c>
      <c r="E16061" s="2" t="str">
        <f>"9781032145815"</f>
        <v>9781032145815</v>
      </c>
      <c r="F16061" s="2" t="str">
        <f>"9781000614626"</f>
        <v>9781000614626</v>
      </c>
    </row>
    <row r="16062" spans="1:6" s="3" customFormat="1" ht="29.1" customHeight="1" x14ac:dyDescent="0.25">
      <c r="A16062" s="2" t="s">
        <v>31734</v>
      </c>
      <c r="B16062" s="2" t="s">
        <v>31735</v>
      </c>
      <c r="C16062" s="2" t="s">
        <v>124</v>
      </c>
      <c r="D16062" s="2" t="s">
        <v>1001</v>
      </c>
      <c r="E16062" s="2" t="str">
        <f>"9781032018843"</f>
        <v>9781032018843</v>
      </c>
      <c r="F16062" s="2" t="str">
        <f>"9781000618150"</f>
        <v>9781000618150</v>
      </c>
    </row>
    <row r="16063" spans="1:6" s="3" customFormat="1" ht="29.1" customHeight="1" x14ac:dyDescent="0.25">
      <c r="A16063" s="2" t="s">
        <v>31736</v>
      </c>
      <c r="B16063" s="2" t="s">
        <v>31737</v>
      </c>
      <c r="C16063" s="2" t="s">
        <v>124</v>
      </c>
      <c r="D16063" s="2" t="s">
        <v>186</v>
      </c>
      <c r="E16063" s="2" t="str">
        <f>"9781032189727"</f>
        <v>9781032189727</v>
      </c>
      <c r="F16063" s="2" t="str">
        <f>"9781000609547"</f>
        <v>9781000609547</v>
      </c>
    </row>
    <row r="16064" spans="1:6" s="3" customFormat="1" ht="29.1" customHeight="1" x14ac:dyDescent="0.25">
      <c r="A16064" s="2" t="s">
        <v>31738</v>
      </c>
      <c r="B16064" s="2" t="s">
        <v>31739</v>
      </c>
      <c r="C16064" s="2" t="s">
        <v>124</v>
      </c>
      <c r="D16064" s="2" t="s">
        <v>1253</v>
      </c>
      <c r="E16064" s="2" t="str">
        <f>"9780367681968"</f>
        <v>9780367681968</v>
      </c>
      <c r="F16064" s="2" t="str">
        <f>"9781000583762"</f>
        <v>9781000583762</v>
      </c>
    </row>
    <row r="16065" spans="1:6" s="3" customFormat="1" ht="29.1" customHeight="1" x14ac:dyDescent="0.25">
      <c r="A16065" s="2" t="s">
        <v>31740</v>
      </c>
      <c r="B16065" s="2" t="s">
        <v>31741</v>
      </c>
      <c r="C16065" s="2" t="s">
        <v>15181</v>
      </c>
      <c r="D16065" s="2" t="s">
        <v>15682</v>
      </c>
      <c r="E16065" s="2" t="str">
        <f>"9789633862896"</f>
        <v>9789633862896</v>
      </c>
      <c r="F16065" s="2" t="str">
        <f>"9789633862902"</f>
        <v>9789633862902</v>
      </c>
    </row>
    <row r="16066" spans="1:6" s="3" customFormat="1" ht="29.1" customHeight="1" x14ac:dyDescent="0.25">
      <c r="A16066" s="2" t="s">
        <v>31742</v>
      </c>
      <c r="B16066" s="2" t="s">
        <v>31743</v>
      </c>
      <c r="C16066" s="2" t="s">
        <v>62</v>
      </c>
      <c r="D16066" s="2" t="s">
        <v>2274</v>
      </c>
      <c r="E16066" s="2" t="str">
        <f>"9783428185665"</f>
        <v>9783428185665</v>
      </c>
      <c r="F16066" s="2" t="str">
        <f>"9783428585663"</f>
        <v>9783428585663</v>
      </c>
    </row>
    <row r="16067" spans="1:6" s="3" customFormat="1" ht="29.1" customHeight="1" x14ac:dyDescent="0.25">
      <c r="A16067" s="2" t="s">
        <v>31744</v>
      </c>
      <c r="B16067" s="2" t="s">
        <v>31745</v>
      </c>
      <c r="C16067" s="2" t="s">
        <v>264</v>
      </c>
      <c r="D16067" s="2" t="s">
        <v>297</v>
      </c>
      <c r="E16067" s="2" t="str">
        <f>"9781032198903"</f>
        <v>9781032198903</v>
      </c>
      <c r="F16067" s="2" t="str">
        <f>"9781000644173"</f>
        <v>9781000644173</v>
      </c>
    </row>
    <row r="16068" spans="1:6" s="3" customFormat="1" ht="29.1" customHeight="1" x14ac:dyDescent="0.25">
      <c r="A16068" s="2" t="s">
        <v>31746</v>
      </c>
      <c r="B16068" s="2" t="s">
        <v>31747</v>
      </c>
      <c r="C16068" s="2" t="s">
        <v>264</v>
      </c>
      <c r="D16068" s="2" t="s">
        <v>4720</v>
      </c>
      <c r="E16068" s="2" t="str">
        <f>"9781032209173"</f>
        <v>9781032209173</v>
      </c>
      <c r="F16068" s="2" t="str">
        <f>"9781000594652"</f>
        <v>9781000594652</v>
      </c>
    </row>
    <row r="16069" spans="1:6" s="3" customFormat="1" ht="29.1" customHeight="1" x14ac:dyDescent="0.25">
      <c r="A16069" s="2" t="s">
        <v>31748</v>
      </c>
      <c r="B16069" s="2" t="s">
        <v>31749</v>
      </c>
      <c r="C16069" s="2" t="s">
        <v>29</v>
      </c>
      <c r="D16069" s="2" t="s">
        <v>462</v>
      </c>
      <c r="E16069" s="2" t="str">
        <f>"9789004514980"</f>
        <v>9789004514980</v>
      </c>
      <c r="F16069" s="2" t="str">
        <f>"9789004515802"</f>
        <v>9789004515802</v>
      </c>
    </row>
    <row r="16070" spans="1:6" s="3" customFormat="1" ht="29.1" customHeight="1" x14ac:dyDescent="0.25">
      <c r="A16070" s="2" t="s">
        <v>31750</v>
      </c>
      <c r="B16070" s="2" t="s">
        <v>31751</v>
      </c>
      <c r="C16070" s="2" t="s">
        <v>556</v>
      </c>
      <c r="D16070" s="2" t="s">
        <v>446</v>
      </c>
      <c r="E16070" s="2" t="str">
        <f>"9783837662030"</f>
        <v>9783837662030</v>
      </c>
      <c r="F16070" s="2" t="str">
        <f>"9783839462034"</f>
        <v>9783839462034</v>
      </c>
    </row>
    <row r="16071" spans="1:6" s="3" customFormat="1" ht="29.1" customHeight="1" x14ac:dyDescent="0.25">
      <c r="A16071" s="2" t="s">
        <v>31752</v>
      </c>
      <c r="B16071" s="2" t="s">
        <v>31753</v>
      </c>
      <c r="C16071" s="2" t="s">
        <v>556</v>
      </c>
      <c r="D16071" s="2" t="s">
        <v>636</v>
      </c>
      <c r="E16071" s="2" t="str">
        <f>"9783837661668"</f>
        <v>9783837661668</v>
      </c>
      <c r="F16071" s="2" t="str">
        <f>"9783839461662"</f>
        <v>9783839461662</v>
      </c>
    </row>
    <row r="16072" spans="1:6" s="3" customFormat="1" ht="29.1" customHeight="1" x14ac:dyDescent="0.25">
      <c r="A16072" s="2" t="s">
        <v>31754</v>
      </c>
      <c r="B16072" s="2" t="s">
        <v>31755</v>
      </c>
      <c r="C16072" s="2" t="s">
        <v>556</v>
      </c>
      <c r="D16072" s="2" t="s">
        <v>712</v>
      </c>
      <c r="E16072" s="2" t="str">
        <f>"9783837660395"</f>
        <v>9783837660395</v>
      </c>
      <c r="F16072" s="2" t="str">
        <f>"9783839460399"</f>
        <v>9783839460399</v>
      </c>
    </row>
    <row r="16073" spans="1:6" s="3" customFormat="1" ht="29.1" customHeight="1" x14ac:dyDescent="0.25">
      <c r="A16073" s="2" t="s">
        <v>31756</v>
      </c>
      <c r="B16073" s="2" t="s">
        <v>31757</v>
      </c>
      <c r="C16073" s="2" t="s">
        <v>556</v>
      </c>
      <c r="D16073" s="2" t="s">
        <v>218</v>
      </c>
      <c r="E16073" s="2" t="str">
        <f>"9783837656527"</f>
        <v>9783837656527</v>
      </c>
      <c r="F16073" s="2" t="str">
        <f>"9783839456521"</f>
        <v>9783839456521</v>
      </c>
    </row>
    <row r="16074" spans="1:6" s="3" customFormat="1" ht="29.1" customHeight="1" x14ac:dyDescent="0.25">
      <c r="A16074" s="2" t="s">
        <v>31758</v>
      </c>
      <c r="B16074" s="2" t="s">
        <v>31759</v>
      </c>
      <c r="C16074" s="2" t="s">
        <v>556</v>
      </c>
      <c r="D16074" s="2" t="s">
        <v>484</v>
      </c>
      <c r="E16074" s="2" t="str">
        <f>"9783837655964"</f>
        <v>9783837655964</v>
      </c>
      <c r="F16074" s="2" t="str">
        <f>"9783839455968"</f>
        <v>9783839455968</v>
      </c>
    </row>
    <row r="16075" spans="1:6" s="3" customFormat="1" ht="29.1" customHeight="1" x14ac:dyDescent="0.25">
      <c r="A16075" s="2" t="s">
        <v>31760</v>
      </c>
      <c r="B16075" s="2" t="s">
        <v>31761</v>
      </c>
      <c r="C16075" s="2" t="s">
        <v>124</v>
      </c>
      <c r="D16075" s="2" t="s">
        <v>270</v>
      </c>
      <c r="E16075" s="2" t="str">
        <f>"9780367708870"</f>
        <v>9780367708870</v>
      </c>
      <c r="F16075" s="2" t="str">
        <f>"9781000601206"</f>
        <v>9781000601206</v>
      </c>
    </row>
    <row r="16076" spans="1:6" s="3" customFormat="1" ht="29.1" customHeight="1" x14ac:dyDescent="0.25">
      <c r="A16076" s="2" t="s">
        <v>31762</v>
      </c>
      <c r="B16076" s="2" t="s">
        <v>31763</v>
      </c>
      <c r="C16076" s="2" t="s">
        <v>124</v>
      </c>
      <c r="D16076" s="2" t="s">
        <v>7734</v>
      </c>
      <c r="E16076" s="2" t="str">
        <f>"9781032182377"</f>
        <v>9781032182377</v>
      </c>
      <c r="F16076" s="2" t="str">
        <f>"9781000614053"</f>
        <v>9781000614053</v>
      </c>
    </row>
    <row r="16077" spans="1:6" s="3" customFormat="1" ht="29.1" customHeight="1" x14ac:dyDescent="0.25">
      <c r="A16077" s="2" t="s">
        <v>31764</v>
      </c>
      <c r="B16077" s="2" t="s">
        <v>31765</v>
      </c>
      <c r="C16077" s="2" t="s">
        <v>327</v>
      </c>
      <c r="D16077" s="2" t="s">
        <v>75</v>
      </c>
      <c r="E16077" s="2" t="str">
        <f>"9788381429627"</f>
        <v>9788381429627</v>
      </c>
      <c r="F16077" s="2" t="str">
        <f>"9788381429634"</f>
        <v>9788381429634</v>
      </c>
    </row>
    <row r="16078" spans="1:6" s="3" customFormat="1" ht="29.1" customHeight="1" x14ac:dyDescent="0.25">
      <c r="A16078" s="2" t="s">
        <v>31766</v>
      </c>
      <c r="B16078" s="2" t="s">
        <v>31767</v>
      </c>
      <c r="C16078" s="2" t="s">
        <v>327</v>
      </c>
      <c r="D16078" s="2" t="s">
        <v>4048</v>
      </c>
      <c r="E16078" s="2" t="str">
        <f>"9788382203752"</f>
        <v>9788382203752</v>
      </c>
      <c r="F16078" s="2" t="str">
        <f>"9788382203769"</f>
        <v>9788382203769</v>
      </c>
    </row>
    <row r="16079" spans="1:6" s="3" customFormat="1" ht="29.1" customHeight="1" x14ac:dyDescent="0.25">
      <c r="A16079" s="2" t="s">
        <v>31768</v>
      </c>
      <c r="B16079" s="2" t="s">
        <v>31769</v>
      </c>
      <c r="C16079" s="2" t="s">
        <v>327</v>
      </c>
      <c r="D16079" s="2" t="s">
        <v>2567</v>
      </c>
      <c r="E16079" s="2" t="str">
        <f>"9788382203493"</f>
        <v>9788382203493</v>
      </c>
      <c r="F16079" s="2" t="str">
        <f>"9788382203509"</f>
        <v>9788382203509</v>
      </c>
    </row>
    <row r="16080" spans="1:6" s="3" customFormat="1" ht="29.1" customHeight="1" x14ac:dyDescent="0.25">
      <c r="A16080" s="2" t="s">
        <v>31770</v>
      </c>
      <c r="B16080" s="2" t="s">
        <v>31771</v>
      </c>
      <c r="C16080" s="2" t="s">
        <v>327</v>
      </c>
      <c r="D16080" s="2" t="s">
        <v>1127</v>
      </c>
      <c r="E16080" s="2"/>
      <c r="F16080" s="2" t="str">
        <f>"9788382203738"</f>
        <v>9788382203738</v>
      </c>
    </row>
    <row r="16081" spans="1:6" s="3" customFormat="1" ht="29.1" customHeight="1" x14ac:dyDescent="0.25">
      <c r="A16081" s="2" t="s">
        <v>31772</v>
      </c>
      <c r="B16081" s="2" t="s">
        <v>31773</v>
      </c>
      <c r="C16081" s="2" t="s">
        <v>327</v>
      </c>
      <c r="D16081" s="2" t="s">
        <v>2341</v>
      </c>
      <c r="E16081" s="2" t="str">
        <f>"9788382203998"</f>
        <v>9788382203998</v>
      </c>
      <c r="F16081" s="2" t="str">
        <f>"9788382204001"</f>
        <v>9788382204001</v>
      </c>
    </row>
    <row r="16082" spans="1:6" s="3" customFormat="1" ht="29.1" customHeight="1" x14ac:dyDescent="0.25">
      <c r="A16082" s="2" t="s">
        <v>31774</v>
      </c>
      <c r="B16082" s="2" t="s">
        <v>31775</v>
      </c>
      <c r="C16082" s="2" t="s">
        <v>327</v>
      </c>
      <c r="D16082" s="2" t="s">
        <v>1256</v>
      </c>
      <c r="E16082" s="2" t="str">
        <f>"9788381429887"</f>
        <v>9788381429887</v>
      </c>
      <c r="F16082" s="2" t="str">
        <f>"9788381429894"</f>
        <v>9788381429894</v>
      </c>
    </row>
    <row r="16083" spans="1:6" s="3" customFormat="1" ht="29.1" customHeight="1" x14ac:dyDescent="0.25">
      <c r="A16083" s="2" t="s">
        <v>31776</v>
      </c>
      <c r="B16083" s="2" t="s">
        <v>31777</v>
      </c>
      <c r="C16083" s="2" t="s">
        <v>327</v>
      </c>
      <c r="D16083" s="2" t="s">
        <v>1867</v>
      </c>
      <c r="E16083" s="2" t="str">
        <f>"9788381424714"</f>
        <v>9788381424714</v>
      </c>
      <c r="F16083" s="2" t="str">
        <f>"9788381424721"</f>
        <v>9788381424721</v>
      </c>
    </row>
    <row r="16084" spans="1:6" s="3" customFormat="1" ht="29.1" customHeight="1" x14ac:dyDescent="0.25">
      <c r="A16084" s="2" t="s">
        <v>31778</v>
      </c>
      <c r="B16084" s="2" t="s">
        <v>31779</v>
      </c>
      <c r="C16084" s="2" t="s">
        <v>2133</v>
      </c>
      <c r="D16084" s="2" t="s">
        <v>13300</v>
      </c>
      <c r="E16084" s="2" t="str">
        <f>"9781760465063"</f>
        <v>9781760465063</v>
      </c>
      <c r="F16084" s="2" t="str">
        <f>"9781760465070"</f>
        <v>9781760465070</v>
      </c>
    </row>
    <row r="16085" spans="1:6" s="3" customFormat="1" ht="29.1" customHeight="1" x14ac:dyDescent="0.25">
      <c r="A16085" s="2" t="s">
        <v>31780</v>
      </c>
      <c r="B16085" s="2" t="s">
        <v>31781</v>
      </c>
      <c r="C16085" s="2" t="s">
        <v>124</v>
      </c>
      <c r="D16085" s="2" t="s">
        <v>501</v>
      </c>
      <c r="E16085" s="2" t="str">
        <f>"9781032283128"</f>
        <v>9781032283128</v>
      </c>
      <c r="F16085" s="2" t="str">
        <f>"9781000613957"</f>
        <v>9781000613957</v>
      </c>
    </row>
    <row r="16086" spans="1:6" s="3" customFormat="1" ht="29.1" customHeight="1" x14ac:dyDescent="0.25">
      <c r="A16086" s="2" t="s">
        <v>31782</v>
      </c>
      <c r="B16086" s="2" t="s">
        <v>31783</v>
      </c>
      <c r="C16086" s="2" t="s">
        <v>124</v>
      </c>
      <c r="D16086" s="2" t="s">
        <v>413</v>
      </c>
      <c r="E16086" s="2" t="str">
        <f>"9780367629250"</f>
        <v>9780367629250</v>
      </c>
      <c r="F16086" s="2" t="str">
        <f>"9781000599121"</f>
        <v>9781000599121</v>
      </c>
    </row>
    <row r="16087" spans="1:6" s="3" customFormat="1" ht="29.1" customHeight="1" x14ac:dyDescent="0.25">
      <c r="A16087" s="2" t="s">
        <v>31784</v>
      </c>
      <c r="B16087" s="2" t="s">
        <v>31785</v>
      </c>
      <c r="C16087" s="2" t="s">
        <v>613</v>
      </c>
      <c r="D16087" s="2" t="s">
        <v>431</v>
      </c>
      <c r="E16087" s="2" t="str">
        <f>"9781799898054"</f>
        <v>9781799898054</v>
      </c>
      <c r="F16087" s="2" t="str">
        <f>"9781799898078"</f>
        <v>9781799898078</v>
      </c>
    </row>
    <row r="16088" spans="1:6" s="3" customFormat="1" ht="29.1" customHeight="1" x14ac:dyDescent="0.25">
      <c r="A16088" s="2" t="s">
        <v>31786</v>
      </c>
      <c r="B16088" s="2" t="s">
        <v>31787</v>
      </c>
      <c r="C16088" s="2" t="s">
        <v>195</v>
      </c>
      <c r="D16088" s="2" t="s">
        <v>1908</v>
      </c>
      <c r="E16088" s="2" t="str">
        <f>"9783110709438"</f>
        <v>9783110709438</v>
      </c>
      <c r="F16088" s="2" t="str">
        <f>"9783110709858"</f>
        <v>9783110709858</v>
      </c>
    </row>
    <row r="16089" spans="1:6" s="3" customFormat="1" ht="29.1" customHeight="1" x14ac:dyDescent="0.25">
      <c r="A16089" s="2" t="s">
        <v>31788</v>
      </c>
      <c r="B16089" s="2" t="s">
        <v>31789</v>
      </c>
      <c r="C16089" s="2" t="s">
        <v>327</v>
      </c>
      <c r="D16089" s="2" t="s">
        <v>5360</v>
      </c>
      <c r="E16089" s="2" t="str">
        <f>"9788382202403"</f>
        <v>9788382202403</v>
      </c>
      <c r="F16089" s="2" t="str">
        <f>"9788382202410"</f>
        <v>9788382202410</v>
      </c>
    </row>
    <row r="16090" spans="1:6" s="3" customFormat="1" ht="29.1" customHeight="1" x14ac:dyDescent="0.25">
      <c r="A16090" s="2" t="s">
        <v>31790</v>
      </c>
      <c r="B16090" s="2" t="s">
        <v>31791</v>
      </c>
      <c r="C16090" s="2" t="s">
        <v>327</v>
      </c>
      <c r="D16090" s="2" t="s">
        <v>2458</v>
      </c>
      <c r="E16090" s="2" t="str">
        <f>"9788382203851"</f>
        <v>9788382203851</v>
      </c>
      <c r="F16090" s="2" t="str">
        <f>"9788382203868"</f>
        <v>9788382203868</v>
      </c>
    </row>
    <row r="16091" spans="1:6" s="3" customFormat="1" ht="29.1" customHeight="1" x14ac:dyDescent="0.25">
      <c r="A16091" s="2" t="s">
        <v>31792</v>
      </c>
      <c r="B16091" s="2" t="s">
        <v>31793</v>
      </c>
      <c r="C16091" s="2" t="s">
        <v>327</v>
      </c>
      <c r="D16091" s="2" t="s">
        <v>2361</v>
      </c>
      <c r="E16091" s="2"/>
      <c r="F16091" s="2" t="str">
        <f>"9788382205534"</f>
        <v>9788382205534</v>
      </c>
    </row>
    <row r="16092" spans="1:6" s="3" customFormat="1" ht="29.1" customHeight="1" x14ac:dyDescent="0.25">
      <c r="A16092" s="2" t="s">
        <v>31794</v>
      </c>
      <c r="B16092" s="2" t="s">
        <v>31795</v>
      </c>
      <c r="C16092" s="2" t="s">
        <v>327</v>
      </c>
      <c r="D16092" s="2" t="s">
        <v>2045</v>
      </c>
      <c r="E16092" s="2" t="str">
        <f>"9788382205640"</f>
        <v>9788382205640</v>
      </c>
      <c r="F16092" s="2" t="str">
        <f>"9788382205657"</f>
        <v>9788382205657</v>
      </c>
    </row>
    <row r="16093" spans="1:6" s="3" customFormat="1" ht="29.1" customHeight="1" x14ac:dyDescent="0.25">
      <c r="A16093" s="2" t="s">
        <v>31796</v>
      </c>
      <c r="B16093" s="2" t="s">
        <v>31797</v>
      </c>
      <c r="C16093" s="2" t="s">
        <v>327</v>
      </c>
      <c r="D16093" s="2" t="s">
        <v>3105</v>
      </c>
      <c r="E16093" s="2" t="str">
        <f>"9788382206340"</f>
        <v>9788382206340</v>
      </c>
      <c r="F16093" s="2" t="str">
        <f>"9788382206357"</f>
        <v>9788382206357</v>
      </c>
    </row>
    <row r="16094" spans="1:6" s="3" customFormat="1" ht="29.1" customHeight="1" x14ac:dyDescent="0.25">
      <c r="A16094" s="2" t="s">
        <v>31798</v>
      </c>
      <c r="B16094" s="2" t="s">
        <v>31799</v>
      </c>
      <c r="C16094" s="2" t="s">
        <v>55</v>
      </c>
      <c r="D16094" s="2" t="s">
        <v>4241</v>
      </c>
      <c r="E16094" s="2" t="str">
        <f>"9781526163462"</f>
        <v>9781526163462</v>
      </c>
      <c r="F16094" s="2" t="str">
        <f>"9781526163479"</f>
        <v>9781526163479</v>
      </c>
    </row>
    <row r="16095" spans="1:6" s="3" customFormat="1" ht="29.1" customHeight="1" x14ac:dyDescent="0.25">
      <c r="A16095" s="2" t="s">
        <v>31800</v>
      </c>
      <c r="B16095" s="2" t="s">
        <v>31801</v>
      </c>
      <c r="C16095" s="2" t="s">
        <v>4104</v>
      </c>
      <c r="D16095" s="2" t="s">
        <v>1411</v>
      </c>
      <c r="E16095" s="2" t="str">
        <f>"9781802070118"</f>
        <v>9781802070118</v>
      </c>
      <c r="F16095" s="2" t="str">
        <f>"9781802070675"</f>
        <v>9781802070675</v>
      </c>
    </row>
    <row r="16096" spans="1:6" s="3" customFormat="1" ht="29.1" customHeight="1" x14ac:dyDescent="0.25">
      <c r="A16096" s="2" t="s">
        <v>31802</v>
      </c>
      <c r="B16096" s="2" t="s">
        <v>31803</v>
      </c>
      <c r="C16096" s="2" t="s">
        <v>927</v>
      </c>
      <c r="D16096" s="2" t="s">
        <v>270</v>
      </c>
      <c r="E16096" s="2" t="str">
        <f>"9780472039043"</f>
        <v>9780472039043</v>
      </c>
      <c r="F16096" s="2" t="str">
        <f>"9780472902712"</f>
        <v>9780472902712</v>
      </c>
    </row>
    <row r="16097" spans="1:6" s="3" customFormat="1" ht="29.1" customHeight="1" x14ac:dyDescent="0.25">
      <c r="A16097" s="2" t="s">
        <v>31804</v>
      </c>
      <c r="B16097" s="2" t="s">
        <v>31805</v>
      </c>
      <c r="C16097" s="2" t="s">
        <v>927</v>
      </c>
      <c r="D16097" s="2" t="s">
        <v>270</v>
      </c>
      <c r="E16097" s="2" t="str">
        <f>"9780472039012"</f>
        <v>9780472039012</v>
      </c>
      <c r="F16097" s="2" t="str">
        <f>"9780472902811"</f>
        <v>9780472902811</v>
      </c>
    </row>
    <row r="16098" spans="1:6" s="3" customFormat="1" ht="29.1" customHeight="1" x14ac:dyDescent="0.25">
      <c r="A16098" s="2" t="s">
        <v>31806</v>
      </c>
      <c r="B16098" s="2" t="s">
        <v>31807</v>
      </c>
      <c r="C16098" s="2" t="s">
        <v>927</v>
      </c>
      <c r="D16098" s="2" t="s">
        <v>270</v>
      </c>
      <c r="E16098" s="2" t="str">
        <f>"9780472055234"</f>
        <v>9780472055234</v>
      </c>
      <c r="F16098" s="2" t="str">
        <f>"9780472902743"</f>
        <v>9780472902743</v>
      </c>
    </row>
    <row r="16099" spans="1:6" s="3" customFormat="1" ht="29.1" customHeight="1" x14ac:dyDescent="0.25">
      <c r="A16099" s="2" t="s">
        <v>31808</v>
      </c>
      <c r="B16099" s="2" t="s">
        <v>31809</v>
      </c>
      <c r="C16099" s="2" t="s">
        <v>927</v>
      </c>
      <c r="D16099" s="2" t="s">
        <v>270</v>
      </c>
      <c r="E16099" s="2" t="str">
        <f>"9780472055180"</f>
        <v>9780472055180</v>
      </c>
      <c r="F16099" s="2" t="str">
        <f>"9780472902699"</f>
        <v>9780472902699</v>
      </c>
    </row>
    <row r="16100" spans="1:6" s="3" customFormat="1" ht="29.1" customHeight="1" x14ac:dyDescent="0.25">
      <c r="A16100" s="2" t="s">
        <v>31810</v>
      </c>
      <c r="B16100" s="2" t="s">
        <v>31811</v>
      </c>
      <c r="C16100" s="2" t="s">
        <v>927</v>
      </c>
      <c r="D16100" s="2" t="s">
        <v>270</v>
      </c>
      <c r="E16100" s="2" t="str">
        <f>"9780472039005"</f>
        <v>9780472039005</v>
      </c>
      <c r="F16100" s="2" t="str">
        <f>"9780472902804"</f>
        <v>9780472902804</v>
      </c>
    </row>
    <row r="16101" spans="1:6" s="3" customFormat="1" ht="29.1" customHeight="1" x14ac:dyDescent="0.25">
      <c r="A16101" s="2" t="s">
        <v>31812</v>
      </c>
      <c r="B16101" s="2" t="s">
        <v>31813</v>
      </c>
      <c r="C16101" s="2" t="s">
        <v>248</v>
      </c>
      <c r="D16101" s="2" t="s">
        <v>249</v>
      </c>
      <c r="E16101" s="2" t="str">
        <f>"9783847424093"</f>
        <v>9783847424093</v>
      </c>
      <c r="F16101" s="2" t="str">
        <f>"9783847418337"</f>
        <v>9783847418337</v>
      </c>
    </row>
    <row r="16102" spans="1:6" s="3" customFormat="1" ht="29.1" customHeight="1" x14ac:dyDescent="0.25">
      <c r="A16102" s="2" t="s">
        <v>31814</v>
      </c>
      <c r="B16102" s="2" t="s">
        <v>31815</v>
      </c>
      <c r="C16102" s="2" t="s">
        <v>248</v>
      </c>
      <c r="D16102" s="2" t="s">
        <v>1927</v>
      </c>
      <c r="E16102" s="2" t="str">
        <f>"9783847426295"</f>
        <v>9783847426295</v>
      </c>
      <c r="F16102" s="2" t="str">
        <f>"9783847417903"</f>
        <v>9783847417903</v>
      </c>
    </row>
    <row r="16103" spans="1:6" s="3" customFormat="1" ht="29.1" customHeight="1" x14ac:dyDescent="0.25">
      <c r="A16103" s="2" t="s">
        <v>31816</v>
      </c>
      <c r="B16103" s="2" t="s">
        <v>31817</v>
      </c>
      <c r="C16103" s="2" t="s">
        <v>124</v>
      </c>
      <c r="D16103" s="2" t="s">
        <v>4210</v>
      </c>
      <c r="E16103" s="2" t="str">
        <f>"9780367515782"</f>
        <v>9780367515782</v>
      </c>
      <c r="F16103" s="2" t="str">
        <f>"9781000613063"</f>
        <v>9781000613063</v>
      </c>
    </row>
    <row r="16104" spans="1:6" s="3" customFormat="1" ht="29.1" customHeight="1" x14ac:dyDescent="0.25">
      <c r="A16104" s="2" t="s">
        <v>31818</v>
      </c>
      <c r="B16104" s="2" t="s">
        <v>31819</v>
      </c>
      <c r="C16104" s="2" t="s">
        <v>124</v>
      </c>
      <c r="D16104" s="2" t="s">
        <v>7734</v>
      </c>
      <c r="E16104" s="2" t="str">
        <f>"9781032116969"</f>
        <v>9781032116969</v>
      </c>
      <c r="F16104" s="2" t="str">
        <f>"9781000610062"</f>
        <v>9781000610062</v>
      </c>
    </row>
    <row r="16105" spans="1:6" s="3" customFormat="1" ht="29.1" customHeight="1" x14ac:dyDescent="0.25">
      <c r="A16105" s="2" t="s">
        <v>31820</v>
      </c>
      <c r="B16105" s="2" t="s">
        <v>31821</v>
      </c>
      <c r="C16105" s="2" t="s">
        <v>124</v>
      </c>
      <c r="D16105" s="2" t="s">
        <v>606</v>
      </c>
      <c r="E16105" s="2" t="str">
        <f>"9780415691680"</f>
        <v>9780415691680</v>
      </c>
      <c r="F16105" s="2" t="str">
        <f>"9781000570908"</f>
        <v>9781000570908</v>
      </c>
    </row>
    <row r="16106" spans="1:6" s="3" customFormat="1" ht="29.1" customHeight="1" x14ac:dyDescent="0.25">
      <c r="A16106" s="2" t="s">
        <v>31822</v>
      </c>
      <c r="B16106" s="2" t="s">
        <v>31823</v>
      </c>
      <c r="C16106" s="2" t="s">
        <v>124</v>
      </c>
      <c r="D16106" s="2" t="s">
        <v>1147</v>
      </c>
      <c r="E16106" s="2" t="str">
        <f>"9780367713614"</f>
        <v>9780367713614</v>
      </c>
      <c r="F16106" s="2" t="str">
        <f>"9781000615715"</f>
        <v>9781000615715</v>
      </c>
    </row>
    <row r="16107" spans="1:6" s="3" customFormat="1" ht="29.1" customHeight="1" x14ac:dyDescent="0.25">
      <c r="A16107" s="2" t="s">
        <v>31824</v>
      </c>
      <c r="B16107" s="2" t="s">
        <v>31825</v>
      </c>
      <c r="C16107" s="2" t="s">
        <v>8104</v>
      </c>
      <c r="D16107" s="2" t="s">
        <v>509</v>
      </c>
      <c r="E16107" s="2" t="str">
        <f>"9781800735699"</f>
        <v>9781800735699</v>
      </c>
      <c r="F16107" s="2" t="str">
        <f>"9781800735705"</f>
        <v>9781800735705</v>
      </c>
    </row>
    <row r="16108" spans="1:6" s="3" customFormat="1" ht="29.1" customHeight="1" x14ac:dyDescent="0.25">
      <c r="A16108" s="2" t="s">
        <v>31826</v>
      </c>
      <c r="B16108" s="2" t="s">
        <v>31827</v>
      </c>
      <c r="C16108" s="2" t="s">
        <v>8104</v>
      </c>
      <c r="D16108" s="2" t="s">
        <v>636</v>
      </c>
      <c r="E16108" s="2" t="str">
        <f>"9781800736979"</f>
        <v>9781800736979</v>
      </c>
      <c r="F16108" s="2" t="str">
        <f>"9781800736986"</f>
        <v>9781800736986</v>
      </c>
    </row>
    <row r="16109" spans="1:6" s="3" customFormat="1" ht="29.1" customHeight="1" x14ac:dyDescent="0.25">
      <c r="A16109" s="2" t="s">
        <v>31828</v>
      </c>
      <c r="B16109" s="2" t="s">
        <v>31829</v>
      </c>
      <c r="C16109" s="2" t="s">
        <v>327</v>
      </c>
      <c r="D16109" s="2" t="s">
        <v>15915</v>
      </c>
      <c r="E16109" s="2" t="str">
        <f>"9788381425391"</f>
        <v>9788381425391</v>
      </c>
      <c r="F16109" s="2" t="str">
        <f>"9788381425407"</f>
        <v>9788381425407</v>
      </c>
    </row>
    <row r="16110" spans="1:6" s="3" customFormat="1" ht="29.1" customHeight="1" x14ac:dyDescent="0.25">
      <c r="A16110" s="2" t="s">
        <v>31830</v>
      </c>
      <c r="B16110" s="2" t="s">
        <v>31831</v>
      </c>
      <c r="C16110" s="2" t="s">
        <v>327</v>
      </c>
      <c r="D16110" s="2" t="s">
        <v>9656</v>
      </c>
      <c r="E16110" s="2" t="str">
        <f>"9788382207866"</f>
        <v>9788382207866</v>
      </c>
      <c r="F16110" s="2" t="str">
        <f>"9788382207873"</f>
        <v>9788382207873</v>
      </c>
    </row>
    <row r="16111" spans="1:6" s="3" customFormat="1" ht="29.1" customHeight="1" x14ac:dyDescent="0.25">
      <c r="A16111" s="2" t="s">
        <v>31832</v>
      </c>
      <c r="B16111" s="2" t="s">
        <v>31833</v>
      </c>
      <c r="C16111" s="2" t="s">
        <v>327</v>
      </c>
      <c r="D16111" s="2" t="s">
        <v>5758</v>
      </c>
      <c r="E16111" s="2" t="str">
        <f>"9788382207590"</f>
        <v>9788382207590</v>
      </c>
      <c r="F16111" s="2" t="str">
        <f>"9788382207606"</f>
        <v>9788382207606</v>
      </c>
    </row>
    <row r="16112" spans="1:6" s="3" customFormat="1" ht="29.1" customHeight="1" x14ac:dyDescent="0.25">
      <c r="A16112" s="2" t="s">
        <v>31834</v>
      </c>
      <c r="B16112" s="2" t="s">
        <v>31835</v>
      </c>
      <c r="C16112" s="2" t="s">
        <v>327</v>
      </c>
      <c r="D16112" s="2" t="s">
        <v>767</v>
      </c>
      <c r="E16112" s="2" t="str">
        <f>"9788382207897"</f>
        <v>9788382207897</v>
      </c>
      <c r="F16112" s="2" t="str">
        <f>"9788382207903"</f>
        <v>9788382207903</v>
      </c>
    </row>
    <row r="16113" spans="1:6" s="3" customFormat="1" ht="29.1" customHeight="1" x14ac:dyDescent="0.25">
      <c r="A16113" s="2" t="s">
        <v>31836</v>
      </c>
      <c r="B16113" s="2" t="s">
        <v>31837</v>
      </c>
      <c r="C16113" s="2" t="s">
        <v>124</v>
      </c>
      <c r="D16113" s="2" t="s">
        <v>75</v>
      </c>
      <c r="E16113" s="2" t="str">
        <f>"9781032046518"</f>
        <v>9781032046518</v>
      </c>
      <c r="F16113" s="2" t="str">
        <f>"9781000606997"</f>
        <v>9781000606997</v>
      </c>
    </row>
    <row r="16114" spans="1:6" s="3" customFormat="1" ht="29.1" customHeight="1" x14ac:dyDescent="0.25">
      <c r="A16114" s="2" t="s">
        <v>31838</v>
      </c>
      <c r="B16114" s="2" t="s">
        <v>31839</v>
      </c>
      <c r="C16114" s="2" t="s">
        <v>124</v>
      </c>
      <c r="D16114" s="2" t="s">
        <v>11897</v>
      </c>
      <c r="E16114" s="2" t="str">
        <f>"9780367860387"</f>
        <v>9780367860387</v>
      </c>
      <c r="F16114" s="2" t="str">
        <f>"9781000607154"</f>
        <v>9781000607154</v>
      </c>
    </row>
    <row r="16115" spans="1:6" s="3" customFormat="1" ht="29.1" customHeight="1" x14ac:dyDescent="0.25">
      <c r="A16115" s="2" t="s">
        <v>31840</v>
      </c>
      <c r="B16115" s="2" t="s">
        <v>31841</v>
      </c>
      <c r="C16115" s="2" t="s">
        <v>124</v>
      </c>
      <c r="D16115" s="2" t="s">
        <v>183</v>
      </c>
      <c r="E16115" s="2" t="str">
        <f>"9780367432454"</f>
        <v>9780367432454</v>
      </c>
      <c r="F16115" s="2" t="str">
        <f>"9781000594041"</f>
        <v>9781000594041</v>
      </c>
    </row>
    <row r="16116" spans="1:6" s="3" customFormat="1" ht="29.1" customHeight="1" x14ac:dyDescent="0.25">
      <c r="A16116" s="2" t="s">
        <v>31842</v>
      </c>
      <c r="B16116" s="2" t="s">
        <v>31843</v>
      </c>
      <c r="C16116" s="2" t="s">
        <v>264</v>
      </c>
      <c r="D16116" s="2" t="s">
        <v>12465</v>
      </c>
      <c r="E16116" s="2" t="str">
        <f>"9780367758974"</f>
        <v>9780367758974</v>
      </c>
      <c r="F16116" s="2" t="str">
        <f>"9781000597295"</f>
        <v>9781000597295</v>
      </c>
    </row>
    <row r="16117" spans="1:6" s="3" customFormat="1" ht="29.1" customHeight="1" x14ac:dyDescent="0.25">
      <c r="A16117" s="2" t="s">
        <v>31844</v>
      </c>
      <c r="B16117" s="2" t="s">
        <v>31845</v>
      </c>
      <c r="C16117" s="2" t="s">
        <v>124</v>
      </c>
      <c r="D16117" s="2" t="s">
        <v>9395</v>
      </c>
      <c r="E16117" s="2" t="str">
        <f>"9780367488697"</f>
        <v>9780367488697</v>
      </c>
      <c r="F16117" s="2" t="str">
        <f>"9780367488710"</f>
        <v>9780367488710</v>
      </c>
    </row>
    <row r="16118" spans="1:6" s="3" customFormat="1" ht="29.1" customHeight="1" x14ac:dyDescent="0.25">
      <c r="A16118" s="2" t="s">
        <v>31846</v>
      </c>
      <c r="B16118" s="2" t="s">
        <v>31847</v>
      </c>
      <c r="C16118" s="2" t="s">
        <v>124</v>
      </c>
      <c r="D16118" s="2" t="s">
        <v>10433</v>
      </c>
      <c r="E16118" s="2" t="str">
        <f>"9781032229812"</f>
        <v>9781032229812</v>
      </c>
      <c r="F16118" s="2" t="str">
        <f>"9781000610833"</f>
        <v>9781000610833</v>
      </c>
    </row>
    <row r="16119" spans="1:6" s="3" customFormat="1" ht="29.1" customHeight="1" x14ac:dyDescent="0.25">
      <c r="A16119" s="2" t="s">
        <v>31848</v>
      </c>
      <c r="B16119" s="2" t="s">
        <v>31849</v>
      </c>
      <c r="C16119" s="2" t="s">
        <v>2133</v>
      </c>
      <c r="D16119" s="2" t="s">
        <v>501</v>
      </c>
      <c r="E16119" s="2" t="str">
        <f>"9781921862915"</f>
        <v>9781921862915</v>
      </c>
      <c r="F16119" s="2" t="str">
        <f>"9781921862922"</f>
        <v>9781921862922</v>
      </c>
    </row>
    <row r="16120" spans="1:6" s="3" customFormat="1" ht="29.1" customHeight="1" x14ac:dyDescent="0.25">
      <c r="A16120" s="2" t="s">
        <v>31850</v>
      </c>
      <c r="B16120" s="2" t="s">
        <v>31851</v>
      </c>
      <c r="C16120" s="2" t="s">
        <v>2133</v>
      </c>
      <c r="D16120" s="2" t="s">
        <v>3523</v>
      </c>
      <c r="E16120" s="2" t="str">
        <f>"9781760465223"</f>
        <v>9781760465223</v>
      </c>
      <c r="F16120" s="2" t="str">
        <f>"9781760465230"</f>
        <v>9781760465230</v>
      </c>
    </row>
    <row r="16121" spans="1:6" s="3" customFormat="1" ht="29.1" customHeight="1" x14ac:dyDescent="0.25">
      <c r="A16121" s="2" t="s">
        <v>31852</v>
      </c>
      <c r="B16121" s="2" t="s">
        <v>31853</v>
      </c>
      <c r="C16121" s="2" t="s">
        <v>2133</v>
      </c>
      <c r="D16121" s="2" t="s">
        <v>297</v>
      </c>
      <c r="E16121" s="2" t="str">
        <f>"9781921862557"</f>
        <v>9781921862557</v>
      </c>
      <c r="F16121" s="2" t="str">
        <f>"9781921862564"</f>
        <v>9781921862564</v>
      </c>
    </row>
    <row r="16122" spans="1:6" s="3" customFormat="1" ht="29.1" customHeight="1" x14ac:dyDescent="0.25">
      <c r="A16122" s="2" t="s">
        <v>31854</v>
      </c>
      <c r="B16122" s="2" t="s">
        <v>31855</v>
      </c>
      <c r="C16122" s="2" t="s">
        <v>2133</v>
      </c>
      <c r="D16122" s="2" t="s">
        <v>186</v>
      </c>
      <c r="E16122" s="2" t="str">
        <f>"9781921862793"</f>
        <v>9781921862793</v>
      </c>
      <c r="F16122" s="2" t="str">
        <f>"9781921862809"</f>
        <v>9781921862809</v>
      </c>
    </row>
    <row r="16123" spans="1:6" s="3" customFormat="1" ht="29.1" customHeight="1" x14ac:dyDescent="0.25">
      <c r="A16123" s="2" t="s">
        <v>31856</v>
      </c>
      <c r="B16123" s="2" t="s">
        <v>31857</v>
      </c>
      <c r="C16123" s="2" t="s">
        <v>195</v>
      </c>
      <c r="D16123" s="2" t="s">
        <v>7645</v>
      </c>
      <c r="E16123" s="2" t="str">
        <f>"9783110758887"</f>
        <v>9783110758887</v>
      </c>
      <c r="F16123" s="2" t="str">
        <f>"9783110758948"</f>
        <v>9783110758948</v>
      </c>
    </row>
    <row r="16124" spans="1:6" s="3" customFormat="1" ht="29.1" customHeight="1" x14ac:dyDescent="0.25">
      <c r="A16124" s="2" t="s">
        <v>31858</v>
      </c>
      <c r="B16124" s="2" t="s">
        <v>31859</v>
      </c>
      <c r="C16124" s="2" t="s">
        <v>195</v>
      </c>
      <c r="D16124" s="2" t="s">
        <v>459</v>
      </c>
      <c r="E16124" s="2" t="str">
        <f>"9783110770124"</f>
        <v>9783110770124</v>
      </c>
      <c r="F16124" s="2" t="str">
        <f>"9783110770193"</f>
        <v>9783110770193</v>
      </c>
    </row>
    <row r="16125" spans="1:6" s="3" customFormat="1" ht="29.1" customHeight="1" x14ac:dyDescent="0.25">
      <c r="A16125" s="2" t="s">
        <v>31860</v>
      </c>
      <c r="B16125" s="2" t="s">
        <v>31861</v>
      </c>
      <c r="C16125" s="2" t="s">
        <v>195</v>
      </c>
      <c r="D16125" s="2" t="s">
        <v>459</v>
      </c>
      <c r="E16125" s="2" t="str">
        <f>"9783110770131"</f>
        <v>9783110770131</v>
      </c>
      <c r="F16125" s="2" t="str">
        <f>"9783110770209"</f>
        <v>9783110770209</v>
      </c>
    </row>
    <row r="16126" spans="1:6" s="3" customFormat="1" ht="29.1" customHeight="1" x14ac:dyDescent="0.25">
      <c r="A16126" s="2" t="s">
        <v>31862</v>
      </c>
      <c r="B16126" s="2" t="s">
        <v>31863</v>
      </c>
      <c r="C16126" s="2" t="s">
        <v>195</v>
      </c>
      <c r="D16126" s="2" t="s">
        <v>196</v>
      </c>
      <c r="E16126" s="2" t="str">
        <f>"9783110771237"</f>
        <v>9783110771237</v>
      </c>
      <c r="F16126" s="2" t="str">
        <f>"9783110771800"</f>
        <v>9783110771800</v>
      </c>
    </row>
    <row r="16127" spans="1:6" s="3" customFormat="1" ht="29.1" customHeight="1" x14ac:dyDescent="0.25">
      <c r="A16127" s="2" t="s">
        <v>31864</v>
      </c>
      <c r="B16127" s="2" t="s">
        <v>31865</v>
      </c>
      <c r="C16127" s="2" t="s">
        <v>195</v>
      </c>
      <c r="D16127" s="2" t="s">
        <v>7766</v>
      </c>
      <c r="E16127" s="2" t="str">
        <f>"9783110667929"</f>
        <v>9783110667929</v>
      </c>
      <c r="F16127" s="2" t="str">
        <f>"9783110706833"</f>
        <v>9783110706833</v>
      </c>
    </row>
    <row r="16128" spans="1:6" s="3" customFormat="1" ht="29.1" customHeight="1" x14ac:dyDescent="0.25">
      <c r="A16128" s="2" t="s">
        <v>31866</v>
      </c>
      <c r="B16128" s="2" t="s">
        <v>31867</v>
      </c>
      <c r="C16128" s="2" t="s">
        <v>195</v>
      </c>
      <c r="D16128" s="2" t="s">
        <v>324</v>
      </c>
      <c r="E16128" s="2" t="str">
        <f>"9783110769920"</f>
        <v>9783110769920</v>
      </c>
      <c r="F16128" s="2" t="str">
        <f>"9783110769975"</f>
        <v>9783110769975</v>
      </c>
    </row>
    <row r="16129" spans="1:6" s="3" customFormat="1" ht="29.1" customHeight="1" x14ac:dyDescent="0.25">
      <c r="A16129" s="2" t="s">
        <v>31868</v>
      </c>
      <c r="B16129" s="2" t="s">
        <v>31869</v>
      </c>
      <c r="C16129" s="2" t="s">
        <v>746</v>
      </c>
      <c r="D16129" s="2" t="s">
        <v>606</v>
      </c>
      <c r="E16129" s="2" t="str">
        <f>"9781803272474"</f>
        <v>9781803272474</v>
      </c>
      <c r="F16129" s="2" t="str">
        <f>"9781803272481"</f>
        <v>9781803272481</v>
      </c>
    </row>
    <row r="16130" spans="1:6" s="3" customFormat="1" ht="29.1" customHeight="1" x14ac:dyDescent="0.25">
      <c r="A16130" s="2" t="s">
        <v>31870</v>
      </c>
      <c r="B16130" s="2" t="s">
        <v>31871</v>
      </c>
      <c r="C16130" s="2" t="s">
        <v>62</v>
      </c>
      <c r="D16130" s="2" t="s">
        <v>6622</v>
      </c>
      <c r="E16130" s="2" t="str">
        <f>"9783428185535"</f>
        <v>9783428185535</v>
      </c>
      <c r="F16130" s="2" t="str">
        <f>"9783428585533"</f>
        <v>9783428585533</v>
      </c>
    </row>
    <row r="16131" spans="1:6" s="3" customFormat="1" ht="29.1" customHeight="1" x14ac:dyDescent="0.25">
      <c r="A16131" s="2" t="s">
        <v>31872</v>
      </c>
      <c r="B16131" s="2" t="s">
        <v>31873</v>
      </c>
      <c r="C16131" s="2" t="s">
        <v>36</v>
      </c>
      <c r="D16131" s="2" t="s">
        <v>501</v>
      </c>
      <c r="E16131" s="2" t="str">
        <f>"9781529220001"</f>
        <v>9781529220001</v>
      </c>
      <c r="F16131" s="2" t="str">
        <f>"9781529220025"</f>
        <v>9781529220025</v>
      </c>
    </row>
    <row r="16132" spans="1:6" s="3" customFormat="1" ht="29.1" customHeight="1" x14ac:dyDescent="0.25">
      <c r="A16132" s="2" t="s">
        <v>31874</v>
      </c>
      <c r="B16132" s="2" t="s">
        <v>31875</v>
      </c>
      <c r="C16132" s="2" t="s">
        <v>124</v>
      </c>
      <c r="D16132" s="2" t="s">
        <v>402</v>
      </c>
      <c r="E16132" s="2" t="str">
        <f>"9780367616076"</f>
        <v>9780367616076</v>
      </c>
      <c r="F16132" s="2" t="str">
        <f>"9781000587586"</f>
        <v>9781000587586</v>
      </c>
    </row>
    <row r="16133" spans="1:6" s="3" customFormat="1" ht="29.1" customHeight="1" x14ac:dyDescent="0.25">
      <c r="A16133" s="2" t="s">
        <v>31876</v>
      </c>
      <c r="B16133" s="2" t="s">
        <v>31877</v>
      </c>
      <c r="C16133" s="2" t="s">
        <v>149</v>
      </c>
      <c r="D16133" s="2" t="s">
        <v>2086</v>
      </c>
      <c r="E16133" s="2"/>
      <c r="F16133" s="2" t="str">
        <f>"9781800643161"</f>
        <v>9781800643161</v>
      </c>
    </row>
    <row r="16134" spans="1:6" s="3" customFormat="1" ht="29.1" customHeight="1" x14ac:dyDescent="0.25">
      <c r="A16134" s="2" t="s">
        <v>31878</v>
      </c>
      <c r="B16134" s="2" t="s">
        <v>31879</v>
      </c>
      <c r="C16134" s="2" t="s">
        <v>149</v>
      </c>
      <c r="D16134" s="2" t="s">
        <v>1141</v>
      </c>
      <c r="E16134" s="2"/>
      <c r="F16134" s="2" t="str">
        <f>"9781800644243"</f>
        <v>9781800644243</v>
      </c>
    </row>
    <row r="16135" spans="1:6" s="3" customFormat="1" ht="29.1" customHeight="1" x14ac:dyDescent="0.25">
      <c r="A16135" s="2" t="s">
        <v>31880</v>
      </c>
      <c r="B16135" s="2" t="s">
        <v>31881</v>
      </c>
      <c r="C16135" s="2" t="s">
        <v>264</v>
      </c>
      <c r="D16135" s="2" t="s">
        <v>44</v>
      </c>
      <c r="E16135" s="2" t="str">
        <f>"9781032327242"</f>
        <v>9781032327242</v>
      </c>
      <c r="F16135" s="2" t="str">
        <f>"9781000644715"</f>
        <v>9781000644715</v>
      </c>
    </row>
    <row r="16136" spans="1:6" s="3" customFormat="1" ht="29.1" customHeight="1" x14ac:dyDescent="0.25">
      <c r="A16136" s="2" t="s">
        <v>31882</v>
      </c>
      <c r="B16136" s="2" t="s">
        <v>31883</v>
      </c>
      <c r="C16136" s="2" t="s">
        <v>264</v>
      </c>
      <c r="D16136" s="2" t="s">
        <v>15880</v>
      </c>
      <c r="E16136" s="2" t="str">
        <f>"9781032269856"</f>
        <v>9781032269856</v>
      </c>
      <c r="F16136" s="2" t="str">
        <f>"9781000628852"</f>
        <v>9781000628852</v>
      </c>
    </row>
    <row r="16137" spans="1:6" s="3" customFormat="1" ht="29.1" customHeight="1" x14ac:dyDescent="0.25">
      <c r="A16137" s="2" t="s">
        <v>31884</v>
      </c>
      <c r="B16137" s="2" t="s">
        <v>31885</v>
      </c>
      <c r="C16137" s="2" t="s">
        <v>264</v>
      </c>
      <c r="D16137" s="2" t="s">
        <v>504</v>
      </c>
      <c r="E16137" s="2" t="str">
        <f>"9781032195551"</f>
        <v>9781032195551</v>
      </c>
      <c r="F16137" s="2" t="str">
        <f>"9781000594355"</f>
        <v>9781000594355</v>
      </c>
    </row>
    <row r="16138" spans="1:6" s="3" customFormat="1" ht="29.1" customHeight="1" x14ac:dyDescent="0.25">
      <c r="A16138" s="2" t="s">
        <v>31886</v>
      </c>
      <c r="B16138" s="2" t="s">
        <v>31887</v>
      </c>
      <c r="C16138" s="2" t="s">
        <v>264</v>
      </c>
      <c r="D16138" s="2" t="s">
        <v>2019</v>
      </c>
      <c r="E16138" s="2" t="str">
        <f>"9781032204444"</f>
        <v>9781032204444</v>
      </c>
      <c r="F16138" s="2" t="str">
        <f>"9781000594195"</f>
        <v>9781000594195</v>
      </c>
    </row>
    <row r="16139" spans="1:6" s="3" customFormat="1" ht="29.1" customHeight="1" x14ac:dyDescent="0.25">
      <c r="A16139" s="2" t="s">
        <v>31888</v>
      </c>
      <c r="B16139" s="2" t="s">
        <v>31889</v>
      </c>
      <c r="C16139" s="2" t="s">
        <v>29</v>
      </c>
      <c r="D16139" s="2" t="s">
        <v>4071</v>
      </c>
      <c r="E16139" s="2" t="str">
        <f>"9789004506473"</f>
        <v>9789004506473</v>
      </c>
      <c r="F16139" s="2" t="str">
        <f>"9789004506916"</f>
        <v>9789004506916</v>
      </c>
    </row>
    <row r="16140" spans="1:6" s="3" customFormat="1" ht="29.1" customHeight="1" x14ac:dyDescent="0.25">
      <c r="A16140" s="2" t="s">
        <v>31890</v>
      </c>
      <c r="B16140" s="2" t="s">
        <v>31891</v>
      </c>
      <c r="C16140" s="2" t="s">
        <v>2133</v>
      </c>
      <c r="D16140" s="2" t="s">
        <v>297</v>
      </c>
      <c r="E16140" s="2" t="str">
        <f>"9781921862830"</f>
        <v>9781921862830</v>
      </c>
      <c r="F16140" s="2" t="str">
        <f>"9781921862847"</f>
        <v>9781921862847</v>
      </c>
    </row>
    <row r="16141" spans="1:6" s="3" customFormat="1" ht="29.1" customHeight="1" x14ac:dyDescent="0.25">
      <c r="A16141" s="2" t="s">
        <v>31893</v>
      </c>
      <c r="B16141" s="2" t="s">
        <v>31894</v>
      </c>
      <c r="C16141" s="2" t="s">
        <v>2133</v>
      </c>
      <c r="D16141" s="2" t="s">
        <v>6837</v>
      </c>
      <c r="E16141" s="2" t="str">
        <f>"9781921862779"</f>
        <v>9781921862779</v>
      </c>
      <c r="F16141" s="2" t="str">
        <f>"9781921862786"</f>
        <v>9781921862786</v>
      </c>
    </row>
    <row r="16142" spans="1:6" s="3" customFormat="1" ht="29.1" customHeight="1" x14ac:dyDescent="0.25">
      <c r="A16142" s="2" t="s">
        <v>31895</v>
      </c>
      <c r="B16142" s="2" t="s">
        <v>31896</v>
      </c>
      <c r="C16142" s="2" t="s">
        <v>2133</v>
      </c>
      <c r="D16142" s="2" t="s">
        <v>6067</v>
      </c>
      <c r="E16142" s="2" t="str">
        <f>"9781760465087"</f>
        <v>9781760465087</v>
      </c>
      <c r="F16142" s="2" t="str">
        <f>"9781760465094"</f>
        <v>9781760465094</v>
      </c>
    </row>
    <row r="16143" spans="1:6" s="3" customFormat="1" ht="29.1" customHeight="1" x14ac:dyDescent="0.25">
      <c r="A16143" s="2" t="s">
        <v>31897</v>
      </c>
      <c r="B16143" s="2" t="s">
        <v>31898</v>
      </c>
      <c r="C16143" s="2" t="s">
        <v>595</v>
      </c>
      <c r="D16143" s="2" t="s">
        <v>8788</v>
      </c>
      <c r="E16143" s="2" t="str">
        <f>"9783034344524"</f>
        <v>9783034344524</v>
      </c>
      <c r="F16143" s="2" t="str">
        <f>"9783034344531"</f>
        <v>9783034344531</v>
      </c>
    </row>
    <row r="16144" spans="1:6" s="3" customFormat="1" ht="29.1" customHeight="1" x14ac:dyDescent="0.25">
      <c r="A16144" s="2" t="s">
        <v>31899</v>
      </c>
      <c r="B16144" s="2" t="s">
        <v>31900</v>
      </c>
      <c r="C16144" s="2" t="s">
        <v>248</v>
      </c>
      <c r="D16144" s="2" t="s">
        <v>183</v>
      </c>
      <c r="E16144" s="2" t="str">
        <f>"9783847426189"</f>
        <v>9783847426189</v>
      </c>
      <c r="F16144" s="2" t="str">
        <f>"9783847417804"</f>
        <v>9783847417804</v>
      </c>
    </row>
    <row r="16145" spans="1:6" s="3" customFormat="1" ht="29.1" customHeight="1" x14ac:dyDescent="0.25">
      <c r="A16145" s="2" t="s">
        <v>31901</v>
      </c>
      <c r="B16145" s="2" t="s">
        <v>31903</v>
      </c>
      <c r="C16145" s="2" t="s">
        <v>195</v>
      </c>
      <c r="D16145" s="2" t="s">
        <v>850</v>
      </c>
      <c r="E16145" s="2"/>
      <c r="F16145" s="2" t="str">
        <f>"9782759807369"</f>
        <v>9782759807369</v>
      </c>
    </row>
    <row r="16146" spans="1:6" s="3" customFormat="1" ht="29.1" customHeight="1" x14ac:dyDescent="0.25">
      <c r="A16146" s="2" t="s">
        <v>31904</v>
      </c>
      <c r="B16146" s="2" t="s">
        <v>31905</v>
      </c>
      <c r="C16146" s="2" t="s">
        <v>195</v>
      </c>
      <c r="D16146" s="2" t="s">
        <v>297</v>
      </c>
      <c r="E16146" s="2" t="str">
        <f>"9783110707724"</f>
        <v>9783110707724</v>
      </c>
      <c r="F16146" s="2" t="str">
        <f>"9783110707816"</f>
        <v>9783110707816</v>
      </c>
    </row>
    <row r="16147" spans="1:6" s="3" customFormat="1" ht="29.1" customHeight="1" x14ac:dyDescent="0.25">
      <c r="A16147" s="2" t="s">
        <v>31906</v>
      </c>
      <c r="B16147" s="2" t="s">
        <v>31907</v>
      </c>
      <c r="C16147" s="2" t="s">
        <v>195</v>
      </c>
      <c r="D16147" s="2" t="s">
        <v>297</v>
      </c>
      <c r="E16147" s="2" t="str">
        <f>"9783110738308"</f>
        <v>9783110738308</v>
      </c>
      <c r="F16147" s="2" t="str">
        <f>"9783110733501"</f>
        <v>9783110733501</v>
      </c>
    </row>
    <row r="16148" spans="1:6" s="3" customFormat="1" ht="29.1" customHeight="1" x14ac:dyDescent="0.25">
      <c r="A16148" s="2" t="s">
        <v>31908</v>
      </c>
      <c r="B16148" s="2" t="s">
        <v>31909</v>
      </c>
      <c r="C16148" s="2" t="s">
        <v>195</v>
      </c>
      <c r="D16148" s="2" t="s">
        <v>1432</v>
      </c>
      <c r="E16148" s="2" t="str">
        <f>"9783110764161"</f>
        <v>9783110764161</v>
      </c>
      <c r="F16148" s="2" t="str">
        <f>"9783110764420"</f>
        <v>9783110764420</v>
      </c>
    </row>
    <row r="16149" spans="1:6" s="3" customFormat="1" ht="29.1" customHeight="1" x14ac:dyDescent="0.25">
      <c r="A16149" s="2" t="s">
        <v>31910</v>
      </c>
      <c r="B16149" s="2" t="s">
        <v>31911</v>
      </c>
      <c r="C16149" s="2" t="s">
        <v>195</v>
      </c>
      <c r="D16149" s="2" t="s">
        <v>118</v>
      </c>
      <c r="E16149" s="2" t="str">
        <f>"9783110779905"</f>
        <v>9783110779905</v>
      </c>
      <c r="F16149" s="2" t="str">
        <f>"9783110784312"</f>
        <v>9783110784312</v>
      </c>
    </row>
    <row r="16150" spans="1:6" s="3" customFormat="1" ht="29.1" customHeight="1" x14ac:dyDescent="0.25">
      <c r="A16150" s="2" t="s">
        <v>31912</v>
      </c>
      <c r="B16150" s="2" t="s">
        <v>31913</v>
      </c>
      <c r="C16150" s="2" t="s">
        <v>195</v>
      </c>
      <c r="D16150" s="2" t="s">
        <v>118</v>
      </c>
      <c r="E16150" s="2" t="str">
        <f>"9783110750744"</f>
        <v>9783110750744</v>
      </c>
      <c r="F16150" s="2" t="str">
        <f>"9783110751963"</f>
        <v>9783110751963</v>
      </c>
    </row>
    <row r="16151" spans="1:6" s="3" customFormat="1" ht="29.1" customHeight="1" x14ac:dyDescent="0.25">
      <c r="A16151" s="2" t="s">
        <v>31914</v>
      </c>
      <c r="B16151" s="2" t="s">
        <v>31915</v>
      </c>
      <c r="C16151" s="2" t="s">
        <v>195</v>
      </c>
      <c r="D16151" s="2" t="s">
        <v>118</v>
      </c>
      <c r="E16151" s="2" t="str">
        <f>"9783110739480"</f>
        <v>9783110739480</v>
      </c>
      <c r="F16151" s="2" t="str">
        <f>"9783110736076"</f>
        <v>9783110736076</v>
      </c>
    </row>
    <row r="16152" spans="1:6" s="3" customFormat="1" ht="29.1" customHeight="1" x14ac:dyDescent="0.25">
      <c r="A16152" s="2" t="s">
        <v>31916</v>
      </c>
      <c r="B16152" s="2" t="s">
        <v>31917</v>
      </c>
      <c r="C16152" s="2" t="s">
        <v>195</v>
      </c>
      <c r="D16152" s="2" t="s">
        <v>221</v>
      </c>
      <c r="E16152" s="2" t="str">
        <f>"9783110701500"</f>
        <v>9783110701500</v>
      </c>
      <c r="F16152" s="2" t="str">
        <f>"9783110701869"</f>
        <v>9783110701869</v>
      </c>
    </row>
    <row r="16153" spans="1:6" s="3" customFormat="1" ht="29.1" customHeight="1" x14ac:dyDescent="0.25">
      <c r="A16153" s="2" t="s">
        <v>31918</v>
      </c>
      <c r="B16153" s="2" t="s">
        <v>31919</v>
      </c>
      <c r="C16153" s="2" t="s">
        <v>746</v>
      </c>
      <c r="D16153" s="2" t="s">
        <v>4307</v>
      </c>
      <c r="E16153" s="2" t="str">
        <f>"9781803270746"</f>
        <v>9781803270746</v>
      </c>
      <c r="F16153" s="2" t="str">
        <f>"9781803270753"</f>
        <v>9781803270753</v>
      </c>
    </row>
    <row r="16154" spans="1:6" s="3" customFormat="1" ht="29.1" customHeight="1" x14ac:dyDescent="0.25">
      <c r="A16154" s="2" t="s">
        <v>31920</v>
      </c>
      <c r="B16154" s="2" t="s">
        <v>31921</v>
      </c>
      <c r="C16154" s="2" t="s">
        <v>746</v>
      </c>
      <c r="D16154" s="2" t="s">
        <v>606</v>
      </c>
      <c r="E16154" s="2" t="str">
        <f>"9781803272351"</f>
        <v>9781803272351</v>
      </c>
      <c r="F16154" s="2" t="str">
        <f>"9781803272368"</f>
        <v>9781803272368</v>
      </c>
    </row>
    <row r="16155" spans="1:6" s="3" customFormat="1" ht="29.1" customHeight="1" x14ac:dyDescent="0.25">
      <c r="A16155" s="2" t="s">
        <v>31922</v>
      </c>
      <c r="B16155" s="2" t="s">
        <v>31923</v>
      </c>
      <c r="C16155" s="2" t="s">
        <v>746</v>
      </c>
      <c r="D16155" s="2" t="s">
        <v>7702</v>
      </c>
      <c r="E16155" s="2" t="str">
        <f>"9781803272290"</f>
        <v>9781803272290</v>
      </c>
      <c r="F16155" s="2" t="str">
        <f>"9781803272306"</f>
        <v>9781803272306</v>
      </c>
    </row>
    <row r="16156" spans="1:6" s="3" customFormat="1" ht="29.1" customHeight="1" x14ac:dyDescent="0.25">
      <c r="A16156" s="2" t="s">
        <v>31924</v>
      </c>
      <c r="B16156" s="2" t="s">
        <v>31925</v>
      </c>
      <c r="C16156" s="2" t="s">
        <v>11005</v>
      </c>
      <c r="D16156" s="2" t="s">
        <v>2593</v>
      </c>
      <c r="E16156" s="2" t="str">
        <f>"9783837930962"</f>
        <v>9783837930962</v>
      </c>
      <c r="F16156" s="2" t="str">
        <f>"9783837978254"</f>
        <v>9783837978254</v>
      </c>
    </row>
    <row r="16157" spans="1:6" s="3" customFormat="1" ht="29.1" customHeight="1" x14ac:dyDescent="0.25">
      <c r="A16157" s="2" t="s">
        <v>31926</v>
      </c>
      <c r="B16157" s="2" t="s">
        <v>31927</v>
      </c>
      <c r="C16157" s="2" t="s">
        <v>605</v>
      </c>
      <c r="D16157" s="2" t="s">
        <v>606</v>
      </c>
      <c r="E16157" s="2" t="str">
        <f>"9789654067553"</f>
        <v>9789654067553</v>
      </c>
      <c r="F16157" s="2" t="str">
        <f>"9789654067560"</f>
        <v>9789654067560</v>
      </c>
    </row>
    <row r="16158" spans="1:6" s="3" customFormat="1" ht="29.1" customHeight="1" x14ac:dyDescent="0.25">
      <c r="A16158" s="2" t="s">
        <v>31928</v>
      </c>
      <c r="B16158" s="2" t="s">
        <v>31929</v>
      </c>
      <c r="C16158" s="2" t="s">
        <v>124</v>
      </c>
      <c r="D16158" s="2" t="s">
        <v>537</v>
      </c>
      <c r="E16158" s="2" t="str">
        <f>"9781032126104"</f>
        <v>9781032126104</v>
      </c>
      <c r="F16158" s="2" t="str">
        <f>"9781000594942"</f>
        <v>9781000594942</v>
      </c>
    </row>
    <row r="16159" spans="1:6" s="3" customFormat="1" ht="29.1" customHeight="1" x14ac:dyDescent="0.25">
      <c r="A16159" s="2" t="s">
        <v>31930</v>
      </c>
      <c r="B16159" s="2" t="s">
        <v>31931</v>
      </c>
      <c r="C16159" s="2" t="s">
        <v>124</v>
      </c>
      <c r="D16159" s="2" t="s">
        <v>1676</v>
      </c>
      <c r="E16159" s="2" t="str">
        <f>"9780367649951"</f>
        <v>9780367649951</v>
      </c>
      <c r="F16159" s="2" t="str">
        <f>"9781000610031"</f>
        <v>9781000610031</v>
      </c>
    </row>
    <row r="16160" spans="1:6" s="3" customFormat="1" ht="29.1" customHeight="1" x14ac:dyDescent="0.25">
      <c r="A16160" s="2" t="s">
        <v>31932</v>
      </c>
      <c r="B16160" s="2" t="s">
        <v>31933</v>
      </c>
      <c r="C16160" s="2" t="s">
        <v>124</v>
      </c>
      <c r="D16160" s="2" t="s">
        <v>1189</v>
      </c>
      <c r="E16160" s="2" t="str">
        <f>"9781032059105"</f>
        <v>9781032059105</v>
      </c>
      <c r="F16160" s="2" t="str">
        <f>"9781000601350"</f>
        <v>9781000601350</v>
      </c>
    </row>
    <row r="16161" spans="1:6" s="3" customFormat="1" ht="29.1" customHeight="1" x14ac:dyDescent="0.25">
      <c r="A16161" s="2" t="s">
        <v>31934</v>
      </c>
      <c r="B16161" s="2" t="s">
        <v>31935</v>
      </c>
      <c r="C16161" s="2" t="s">
        <v>7395</v>
      </c>
      <c r="D16161" s="2" t="s">
        <v>49</v>
      </c>
      <c r="E16161" s="2" t="str">
        <f>"9780295749921"</f>
        <v>9780295749921</v>
      </c>
      <c r="F16161" s="2" t="str">
        <f>"9780295749945"</f>
        <v>9780295749945</v>
      </c>
    </row>
    <row r="16162" spans="1:6" s="3" customFormat="1" ht="29.1" customHeight="1" x14ac:dyDescent="0.25">
      <c r="A16162" s="2" t="s">
        <v>31936</v>
      </c>
      <c r="B16162" s="2" t="s">
        <v>31937</v>
      </c>
      <c r="C16162" s="2" t="s">
        <v>2133</v>
      </c>
      <c r="D16162" s="2" t="s">
        <v>484</v>
      </c>
      <c r="E16162" s="2" t="str">
        <f>"9781760465148"</f>
        <v>9781760465148</v>
      </c>
      <c r="F16162" s="2" t="str">
        <f>"9781760465155"</f>
        <v>9781760465155</v>
      </c>
    </row>
    <row r="16163" spans="1:6" s="3" customFormat="1" ht="29.1" customHeight="1" x14ac:dyDescent="0.25">
      <c r="A16163" s="2" t="s">
        <v>31938</v>
      </c>
      <c r="B16163" s="2" t="s">
        <v>31939</v>
      </c>
      <c r="C16163" s="2" t="s">
        <v>15381</v>
      </c>
      <c r="D16163" s="2" t="s">
        <v>9473</v>
      </c>
      <c r="E16163" s="2" t="str">
        <f>"9781469665856"</f>
        <v>9781469665856</v>
      </c>
      <c r="F16163" s="2" t="str">
        <f>"9781469665887"</f>
        <v>9781469665887</v>
      </c>
    </row>
    <row r="16164" spans="1:6" s="3" customFormat="1" ht="29.1" customHeight="1" x14ac:dyDescent="0.25">
      <c r="A16164" s="2" t="s">
        <v>31940</v>
      </c>
      <c r="B16164" s="2" t="s">
        <v>31941</v>
      </c>
      <c r="C16164" s="2" t="s">
        <v>195</v>
      </c>
      <c r="D16164" s="2" t="s">
        <v>465</v>
      </c>
      <c r="E16164" s="2" t="str">
        <f>"9783110770742"</f>
        <v>9783110770742</v>
      </c>
      <c r="F16164" s="2" t="str">
        <f>"9783110771008"</f>
        <v>9783110771008</v>
      </c>
    </row>
    <row r="16165" spans="1:6" s="3" customFormat="1" ht="29.1" customHeight="1" x14ac:dyDescent="0.25">
      <c r="A16165" s="2" t="s">
        <v>31942</v>
      </c>
      <c r="B16165" s="2" t="s">
        <v>31943</v>
      </c>
      <c r="C16165" s="2" t="s">
        <v>195</v>
      </c>
      <c r="D16165" s="2" t="s">
        <v>459</v>
      </c>
      <c r="E16165" s="2" t="str">
        <f>"9783110721324"</f>
        <v>9783110721324</v>
      </c>
      <c r="F16165" s="2" t="str">
        <f>"9783110721447"</f>
        <v>9783110721447</v>
      </c>
    </row>
    <row r="16166" spans="1:6" s="3" customFormat="1" ht="29.1" customHeight="1" x14ac:dyDescent="0.25">
      <c r="A16166" s="2" t="s">
        <v>31944</v>
      </c>
      <c r="B16166" s="2" t="s">
        <v>31945</v>
      </c>
      <c r="C16166" s="2" t="s">
        <v>195</v>
      </c>
      <c r="D16166" s="2" t="s">
        <v>9420</v>
      </c>
      <c r="E16166" s="2" t="str">
        <f>"9783110737721"</f>
        <v>9783110737721</v>
      </c>
      <c r="F16166" s="2" t="str">
        <f>"9783110732887"</f>
        <v>9783110732887</v>
      </c>
    </row>
    <row r="16167" spans="1:6" s="3" customFormat="1" ht="29.1" customHeight="1" x14ac:dyDescent="0.25">
      <c r="A16167" s="2" t="s">
        <v>31946</v>
      </c>
      <c r="B16167" s="2" t="s">
        <v>31947</v>
      </c>
      <c r="C16167" s="2" t="s">
        <v>195</v>
      </c>
      <c r="D16167" s="2" t="s">
        <v>107</v>
      </c>
      <c r="E16167" s="2" t="str">
        <f>"9781501523816"</f>
        <v>9781501523816</v>
      </c>
      <c r="F16167" s="2" t="str">
        <f>"9781501516016"</f>
        <v>9781501516016</v>
      </c>
    </row>
    <row r="16168" spans="1:6" s="3" customFormat="1" ht="29.1" customHeight="1" x14ac:dyDescent="0.25">
      <c r="A16168" s="2" t="s">
        <v>31948</v>
      </c>
      <c r="B16168" s="2" t="s">
        <v>31949</v>
      </c>
      <c r="C16168" s="2" t="s">
        <v>595</v>
      </c>
      <c r="D16168" s="2" t="s">
        <v>339</v>
      </c>
      <c r="E16168" s="2" t="str">
        <f>"9783631870327"</f>
        <v>9783631870327</v>
      </c>
      <c r="F16168" s="2" t="str">
        <f>"9783631878323"</f>
        <v>9783631878323</v>
      </c>
    </row>
    <row r="16169" spans="1:6" s="3" customFormat="1" ht="29.1" customHeight="1" x14ac:dyDescent="0.25">
      <c r="A16169" s="2" t="s">
        <v>31950</v>
      </c>
      <c r="B16169" s="2" t="s">
        <v>31951</v>
      </c>
      <c r="C16169" s="2" t="s">
        <v>595</v>
      </c>
      <c r="D16169" s="2" t="s">
        <v>10563</v>
      </c>
      <c r="E16169" s="2" t="str">
        <f>"9783631745618"</f>
        <v>9783631745618</v>
      </c>
      <c r="F16169" s="2" t="str">
        <f>"9783631875308"</f>
        <v>9783631875308</v>
      </c>
    </row>
    <row r="16170" spans="1:6" s="3" customFormat="1" ht="29.1" customHeight="1" x14ac:dyDescent="0.25">
      <c r="A16170" s="2" t="s">
        <v>31952</v>
      </c>
      <c r="B16170" s="2" t="s">
        <v>31953</v>
      </c>
      <c r="C16170" s="2" t="s">
        <v>124</v>
      </c>
      <c r="D16170" s="2" t="s">
        <v>353</v>
      </c>
      <c r="E16170" s="2" t="str">
        <f>"9780367743864"</f>
        <v>9780367743864</v>
      </c>
      <c r="F16170" s="2" t="str">
        <f>"9781000591682"</f>
        <v>9781000591682</v>
      </c>
    </row>
    <row r="16171" spans="1:6" s="3" customFormat="1" ht="29.1" customHeight="1" x14ac:dyDescent="0.25">
      <c r="A16171" s="2" t="s">
        <v>31954</v>
      </c>
      <c r="B16171" s="2" t="s">
        <v>31955</v>
      </c>
      <c r="C16171" s="2" t="s">
        <v>248</v>
      </c>
      <c r="D16171" s="2" t="s">
        <v>249</v>
      </c>
      <c r="E16171" s="2" t="str">
        <f>"9783847426011"</f>
        <v>9783847426011</v>
      </c>
      <c r="F16171" s="2" t="str">
        <f>"9783847417613"</f>
        <v>9783847417613</v>
      </c>
    </row>
    <row r="16172" spans="1:6" s="3" customFormat="1" ht="29.1" customHeight="1" x14ac:dyDescent="0.25">
      <c r="A16172" s="2" t="s">
        <v>31956</v>
      </c>
      <c r="B16172" s="2" t="s">
        <v>31957</v>
      </c>
      <c r="C16172" s="2" t="s">
        <v>248</v>
      </c>
      <c r="D16172" s="2" t="s">
        <v>9</v>
      </c>
      <c r="E16172" s="2" t="str">
        <f>"9783847425571"</f>
        <v>9783847425571</v>
      </c>
      <c r="F16172" s="2" t="str">
        <f>"9783847417040"</f>
        <v>9783847417040</v>
      </c>
    </row>
    <row r="16173" spans="1:6" s="3" customFormat="1" ht="29.1" customHeight="1" x14ac:dyDescent="0.25">
      <c r="A16173" s="2" t="s">
        <v>31958</v>
      </c>
      <c r="B16173" s="2" t="s">
        <v>31959</v>
      </c>
      <c r="C16173" s="2" t="s">
        <v>124</v>
      </c>
      <c r="D16173" s="2" t="s">
        <v>3086</v>
      </c>
      <c r="E16173" s="2" t="str">
        <f>"9780367685942"</f>
        <v>9780367685942</v>
      </c>
      <c r="F16173" s="2" t="str">
        <f>"9781000599237"</f>
        <v>9781000599237</v>
      </c>
    </row>
    <row r="16174" spans="1:6" s="3" customFormat="1" ht="29.1" customHeight="1" x14ac:dyDescent="0.25">
      <c r="A16174" s="2" t="s">
        <v>31960</v>
      </c>
      <c r="B16174" s="2" t="s">
        <v>31961</v>
      </c>
      <c r="C16174" s="2" t="s">
        <v>195</v>
      </c>
      <c r="D16174" s="2" t="s">
        <v>3345</v>
      </c>
      <c r="E16174" s="2" t="str">
        <f>"9783110293043"</f>
        <v>9783110293043</v>
      </c>
      <c r="F16174" s="2" t="str">
        <f>"9783110293296"</f>
        <v>9783110293296</v>
      </c>
    </row>
    <row r="16175" spans="1:6" s="3" customFormat="1" ht="29.1" customHeight="1" x14ac:dyDescent="0.25">
      <c r="A16175" s="2" t="s">
        <v>31962</v>
      </c>
      <c r="B16175" s="2" t="s">
        <v>31963</v>
      </c>
      <c r="C16175" s="2" t="s">
        <v>195</v>
      </c>
      <c r="D16175" s="2" t="s">
        <v>1466</v>
      </c>
      <c r="E16175" s="2" t="str">
        <f>"9783110643411"</f>
        <v>9783110643411</v>
      </c>
      <c r="F16175" s="2" t="str">
        <f>"9783110643510"</f>
        <v>9783110643510</v>
      </c>
    </row>
    <row r="16176" spans="1:6" s="3" customFormat="1" ht="29.1" customHeight="1" x14ac:dyDescent="0.25">
      <c r="A16176" s="2" t="s">
        <v>31964</v>
      </c>
      <c r="B16176" s="2" t="s">
        <v>31965</v>
      </c>
      <c r="C16176" s="2" t="s">
        <v>595</v>
      </c>
      <c r="D16176" s="2" t="s">
        <v>75</v>
      </c>
      <c r="E16176" s="2" t="str">
        <f>"9783034340038"</f>
        <v>9783034340038</v>
      </c>
      <c r="F16176" s="2" t="str">
        <f>"9783034341325"</f>
        <v>9783034341325</v>
      </c>
    </row>
    <row r="16177" spans="1:6" s="3" customFormat="1" ht="29.1" customHeight="1" x14ac:dyDescent="0.25">
      <c r="A16177" s="2" t="s">
        <v>31966</v>
      </c>
      <c r="B16177" s="2" t="s">
        <v>31967</v>
      </c>
      <c r="C16177" s="2" t="s">
        <v>556</v>
      </c>
      <c r="D16177" s="2" t="s">
        <v>75</v>
      </c>
      <c r="E16177" s="2" t="str">
        <f>"9783837660692"</f>
        <v>9783837660692</v>
      </c>
      <c r="F16177" s="2" t="str">
        <f>"9783839460696"</f>
        <v>9783839460696</v>
      </c>
    </row>
    <row r="16178" spans="1:6" s="3" customFormat="1" ht="29.1" customHeight="1" x14ac:dyDescent="0.25">
      <c r="A16178" s="2" t="s">
        <v>31968</v>
      </c>
      <c r="B16178" s="2" t="s">
        <v>31969</v>
      </c>
      <c r="C16178" s="2" t="s">
        <v>556</v>
      </c>
      <c r="D16178" s="2" t="s">
        <v>218</v>
      </c>
      <c r="E16178" s="2" t="str">
        <f>"9783837658873"</f>
        <v>9783837658873</v>
      </c>
      <c r="F16178" s="2" t="str">
        <f>"9783839458877"</f>
        <v>9783839458877</v>
      </c>
    </row>
    <row r="16179" spans="1:6" s="3" customFormat="1" ht="29.1" customHeight="1" x14ac:dyDescent="0.25">
      <c r="A16179" s="2" t="s">
        <v>31970</v>
      </c>
      <c r="B16179" s="2" t="s">
        <v>31971</v>
      </c>
      <c r="C16179" s="2" t="s">
        <v>556</v>
      </c>
      <c r="D16179" s="2" t="s">
        <v>490</v>
      </c>
      <c r="E16179" s="2" t="str">
        <f>"9783899422863"</f>
        <v>9783899422863</v>
      </c>
      <c r="F16179" s="2" t="str">
        <f>"9783839402863"</f>
        <v>9783839402863</v>
      </c>
    </row>
    <row r="16180" spans="1:6" s="3" customFormat="1" ht="29.1" customHeight="1" x14ac:dyDescent="0.25">
      <c r="A16180" s="2" t="s">
        <v>31972</v>
      </c>
      <c r="B16180" s="2" t="s">
        <v>31973</v>
      </c>
      <c r="C16180" s="2" t="s">
        <v>556</v>
      </c>
      <c r="D16180" s="2" t="s">
        <v>183</v>
      </c>
      <c r="E16180" s="2" t="str">
        <f>"9783899422917"</f>
        <v>9783899422917</v>
      </c>
      <c r="F16180" s="2" t="str">
        <f>"9783839402917"</f>
        <v>9783839402917</v>
      </c>
    </row>
    <row r="16181" spans="1:6" s="3" customFormat="1" ht="29.1" customHeight="1" x14ac:dyDescent="0.25">
      <c r="A16181" s="2" t="s">
        <v>31974</v>
      </c>
      <c r="B16181" s="2" t="s">
        <v>31975</v>
      </c>
      <c r="C16181" s="2" t="s">
        <v>556</v>
      </c>
      <c r="D16181" s="2" t="s">
        <v>1437</v>
      </c>
      <c r="E16181" s="2" t="str">
        <f>"9783899424249"</f>
        <v>9783899424249</v>
      </c>
      <c r="F16181" s="2" t="str">
        <f>"9783839404249"</f>
        <v>9783839404249</v>
      </c>
    </row>
    <row r="16182" spans="1:6" s="3" customFormat="1" ht="29.1" customHeight="1" x14ac:dyDescent="0.25">
      <c r="A16182" s="2" t="s">
        <v>31976</v>
      </c>
      <c r="B16182" s="2" t="s">
        <v>31977</v>
      </c>
      <c r="C16182" s="2" t="s">
        <v>556</v>
      </c>
      <c r="D16182" s="2" t="s">
        <v>324</v>
      </c>
      <c r="E16182" s="2" t="str">
        <f>"9783899425451"</f>
        <v>9783899425451</v>
      </c>
      <c r="F16182" s="2" t="str">
        <f>"9783839405451"</f>
        <v>9783839405451</v>
      </c>
    </row>
    <row r="16183" spans="1:6" s="3" customFormat="1" ht="29.1" customHeight="1" x14ac:dyDescent="0.25">
      <c r="A16183" s="2" t="s">
        <v>31978</v>
      </c>
      <c r="B16183" s="2" t="s">
        <v>31979</v>
      </c>
      <c r="C16183" s="2" t="s">
        <v>556</v>
      </c>
      <c r="D16183" s="2" t="s">
        <v>1557</v>
      </c>
      <c r="E16183" s="2" t="str">
        <f>"9783899422467"</f>
        <v>9783899422467</v>
      </c>
      <c r="F16183" s="2" t="str">
        <f>"9783839402467"</f>
        <v>9783839402467</v>
      </c>
    </row>
    <row r="16184" spans="1:6" s="3" customFormat="1" ht="29.1" customHeight="1" x14ac:dyDescent="0.25">
      <c r="A16184" s="2" t="s">
        <v>31980</v>
      </c>
      <c r="B16184" s="2" t="s">
        <v>31981</v>
      </c>
      <c r="C16184" s="2" t="s">
        <v>556</v>
      </c>
      <c r="D16184" s="2" t="s">
        <v>3889</v>
      </c>
      <c r="E16184" s="2" t="str">
        <f>"9783837662139"</f>
        <v>9783837662139</v>
      </c>
      <c r="F16184" s="2" t="str">
        <f>"9783839462133"</f>
        <v>9783839462133</v>
      </c>
    </row>
    <row r="16185" spans="1:6" s="3" customFormat="1" ht="29.1" customHeight="1" x14ac:dyDescent="0.25">
      <c r="A16185" s="2" t="s">
        <v>31982</v>
      </c>
      <c r="B16185" s="2" t="s">
        <v>31983</v>
      </c>
      <c r="C16185" s="2" t="s">
        <v>556</v>
      </c>
      <c r="D16185" s="2" t="s">
        <v>4030</v>
      </c>
      <c r="E16185" s="2" t="str">
        <f>"9783837661781"</f>
        <v>9783837661781</v>
      </c>
      <c r="F16185" s="2" t="str">
        <f>"9783839461785"</f>
        <v>9783839461785</v>
      </c>
    </row>
    <row r="16186" spans="1:6" s="3" customFormat="1" ht="29.1" customHeight="1" x14ac:dyDescent="0.25">
      <c r="A16186" s="2" t="s">
        <v>31984</v>
      </c>
      <c r="B16186" s="2" t="s">
        <v>31985</v>
      </c>
      <c r="C16186" s="2" t="s">
        <v>556</v>
      </c>
      <c r="D16186" s="2" t="s">
        <v>446</v>
      </c>
      <c r="E16186" s="2" t="str">
        <f>"9783837661569"</f>
        <v>9783837661569</v>
      </c>
      <c r="F16186" s="2" t="str">
        <f>"9783839461563"</f>
        <v>9783839461563</v>
      </c>
    </row>
    <row r="16187" spans="1:6" s="3" customFormat="1" ht="29.1" customHeight="1" x14ac:dyDescent="0.25">
      <c r="A16187" s="2" t="s">
        <v>31986</v>
      </c>
      <c r="B16187" s="2" t="s">
        <v>31987</v>
      </c>
      <c r="C16187" s="2" t="s">
        <v>556</v>
      </c>
      <c r="D16187" s="2" t="s">
        <v>183</v>
      </c>
      <c r="E16187" s="2" t="str">
        <f>"9783837661538"</f>
        <v>9783837661538</v>
      </c>
      <c r="F16187" s="2" t="str">
        <f>"9783839461532"</f>
        <v>9783839461532</v>
      </c>
    </row>
    <row r="16188" spans="1:6" s="3" customFormat="1" ht="29.1" customHeight="1" x14ac:dyDescent="0.25">
      <c r="A16188" s="2" t="s">
        <v>31988</v>
      </c>
      <c r="B16188" s="2" t="s">
        <v>31989</v>
      </c>
      <c r="C16188" s="2" t="s">
        <v>556</v>
      </c>
      <c r="D16188" s="2" t="s">
        <v>509</v>
      </c>
      <c r="E16188" s="2" t="str">
        <f>"9783837661446"</f>
        <v>9783837661446</v>
      </c>
      <c r="F16188" s="2" t="str">
        <f>"9783732861446"</f>
        <v>9783732861446</v>
      </c>
    </row>
    <row r="16189" spans="1:6" s="3" customFormat="1" ht="29.1" customHeight="1" x14ac:dyDescent="0.25">
      <c r="A16189" s="2" t="s">
        <v>31990</v>
      </c>
      <c r="B16189" s="2" t="s">
        <v>31991</v>
      </c>
      <c r="C16189" s="2" t="s">
        <v>556</v>
      </c>
      <c r="D16189" s="2" t="s">
        <v>75</v>
      </c>
      <c r="E16189" s="2" t="str">
        <f>"9783837661415"</f>
        <v>9783837661415</v>
      </c>
      <c r="F16189" s="2" t="str">
        <f>"9783839461419"</f>
        <v>9783839461419</v>
      </c>
    </row>
    <row r="16190" spans="1:6" s="3" customFormat="1" ht="29.1" customHeight="1" x14ac:dyDescent="0.25">
      <c r="A16190" s="2" t="s">
        <v>31992</v>
      </c>
      <c r="B16190" s="2" t="s">
        <v>31993</v>
      </c>
      <c r="C16190" s="2" t="s">
        <v>556</v>
      </c>
      <c r="D16190" s="2" t="s">
        <v>712</v>
      </c>
      <c r="E16190" s="2" t="str">
        <f>"9783837661248"</f>
        <v>9783837661248</v>
      </c>
      <c r="F16190" s="2" t="str">
        <f>"9783732861248"</f>
        <v>9783732861248</v>
      </c>
    </row>
    <row r="16191" spans="1:6" s="3" customFormat="1" ht="29.1" customHeight="1" x14ac:dyDescent="0.25">
      <c r="A16191" s="2" t="s">
        <v>31994</v>
      </c>
      <c r="B16191" s="2" t="s">
        <v>31995</v>
      </c>
      <c r="C16191" s="2" t="s">
        <v>556</v>
      </c>
      <c r="D16191" s="2" t="s">
        <v>78</v>
      </c>
      <c r="E16191" s="2" t="str">
        <f>"9783837660746"</f>
        <v>9783837660746</v>
      </c>
      <c r="F16191" s="2" t="str">
        <f>"9783839460740"</f>
        <v>9783839460740</v>
      </c>
    </row>
    <row r="16192" spans="1:6" s="3" customFormat="1" ht="29.1" customHeight="1" x14ac:dyDescent="0.25">
      <c r="A16192" s="2" t="s">
        <v>31996</v>
      </c>
      <c r="B16192" s="2" t="s">
        <v>31997</v>
      </c>
      <c r="C16192" s="2" t="s">
        <v>556</v>
      </c>
      <c r="D16192" s="2" t="s">
        <v>1262</v>
      </c>
      <c r="E16192" s="2" t="str">
        <f>"9783837659979"</f>
        <v>9783837659979</v>
      </c>
      <c r="F16192" s="2" t="str">
        <f>"9783839459973"</f>
        <v>9783839459973</v>
      </c>
    </row>
    <row r="16193" spans="1:6" s="3" customFormat="1" ht="29.1" customHeight="1" x14ac:dyDescent="0.25">
      <c r="A16193" s="2" t="s">
        <v>31998</v>
      </c>
      <c r="B16193" s="2" t="s">
        <v>31999</v>
      </c>
      <c r="C16193" s="2" t="s">
        <v>556</v>
      </c>
      <c r="D16193" s="2" t="s">
        <v>490</v>
      </c>
      <c r="E16193" s="2" t="str">
        <f>"9783837659771"</f>
        <v>9783837659771</v>
      </c>
      <c r="F16193" s="2" t="str">
        <f>"9783839459775"</f>
        <v>9783839459775</v>
      </c>
    </row>
    <row r="16194" spans="1:6" s="3" customFormat="1" ht="29.1" customHeight="1" x14ac:dyDescent="0.25">
      <c r="A16194" s="2" t="s">
        <v>32000</v>
      </c>
      <c r="B16194" s="2" t="s">
        <v>32001</v>
      </c>
      <c r="C16194" s="2" t="s">
        <v>556</v>
      </c>
      <c r="D16194" s="2" t="s">
        <v>636</v>
      </c>
      <c r="E16194" s="2" t="str">
        <f>"9783837659726"</f>
        <v>9783837659726</v>
      </c>
      <c r="F16194" s="2" t="str">
        <f>"9783839459720"</f>
        <v>9783839459720</v>
      </c>
    </row>
    <row r="16195" spans="1:6" s="3" customFormat="1" ht="29.1" customHeight="1" x14ac:dyDescent="0.25">
      <c r="A16195" s="2" t="s">
        <v>32002</v>
      </c>
      <c r="B16195" s="2" t="s">
        <v>32003</v>
      </c>
      <c r="C16195" s="2" t="s">
        <v>556</v>
      </c>
      <c r="D16195" s="2" t="s">
        <v>712</v>
      </c>
      <c r="E16195" s="2" t="str">
        <f>"9783837657630"</f>
        <v>9783837657630</v>
      </c>
      <c r="F16195" s="2" t="str">
        <f>"9783732857630"</f>
        <v>9783732857630</v>
      </c>
    </row>
    <row r="16196" spans="1:6" s="3" customFormat="1" ht="29.1" customHeight="1" x14ac:dyDescent="0.25">
      <c r="A16196" s="2" t="s">
        <v>32004</v>
      </c>
      <c r="B16196" s="2" t="s">
        <v>32005</v>
      </c>
      <c r="C16196" s="2" t="s">
        <v>556</v>
      </c>
      <c r="D16196" s="2" t="s">
        <v>9968</v>
      </c>
      <c r="E16196" s="2" t="str">
        <f>"9783837655889"</f>
        <v>9783837655889</v>
      </c>
      <c r="F16196" s="2" t="str">
        <f>"9783839455883"</f>
        <v>9783839455883</v>
      </c>
    </row>
    <row r="16197" spans="1:6" s="3" customFormat="1" ht="29.1" customHeight="1" x14ac:dyDescent="0.25">
      <c r="A16197" s="2" t="s">
        <v>32006</v>
      </c>
      <c r="B16197" s="2" t="s">
        <v>32007</v>
      </c>
      <c r="C16197" s="2" t="s">
        <v>556</v>
      </c>
      <c r="D16197" s="2" t="s">
        <v>1598</v>
      </c>
      <c r="E16197" s="2" t="str">
        <f>"9783837648553"</f>
        <v>9783837648553</v>
      </c>
      <c r="F16197" s="2" t="str">
        <f>"9783839448557"</f>
        <v>9783839448557</v>
      </c>
    </row>
    <row r="16198" spans="1:6" s="3" customFormat="1" ht="29.1" customHeight="1" x14ac:dyDescent="0.25">
      <c r="A16198" s="2" t="s">
        <v>32008</v>
      </c>
      <c r="B16198" s="2" t="s">
        <v>32009</v>
      </c>
      <c r="C16198" s="2" t="s">
        <v>556</v>
      </c>
      <c r="D16198" s="2" t="s">
        <v>636</v>
      </c>
      <c r="E16198" s="2" t="str">
        <f>"9783837610376"</f>
        <v>9783837610376</v>
      </c>
      <c r="F16198" s="2" t="str">
        <f>"9783839410370"</f>
        <v>9783839410370</v>
      </c>
    </row>
    <row r="16199" spans="1:6" s="3" customFormat="1" ht="29.1" customHeight="1" x14ac:dyDescent="0.25">
      <c r="A16199" s="2" t="s">
        <v>32010</v>
      </c>
      <c r="B16199" s="2" t="s">
        <v>32011</v>
      </c>
      <c r="C16199" s="2" t="s">
        <v>556</v>
      </c>
      <c r="D16199" s="2" t="s">
        <v>712</v>
      </c>
      <c r="E16199" s="2" t="str">
        <f>"9783837610338"</f>
        <v>9783837610338</v>
      </c>
      <c r="F16199" s="2" t="str">
        <f>"9783839410332"</f>
        <v>9783839410332</v>
      </c>
    </row>
    <row r="16200" spans="1:6" s="3" customFormat="1" ht="29.1" customHeight="1" x14ac:dyDescent="0.25">
      <c r="A16200" s="2" t="s">
        <v>32012</v>
      </c>
      <c r="B16200" s="2" t="s">
        <v>32013</v>
      </c>
      <c r="C16200" s="2" t="s">
        <v>556</v>
      </c>
      <c r="D16200" s="2" t="s">
        <v>712</v>
      </c>
      <c r="E16200" s="2" t="str">
        <f>"9783837610321"</f>
        <v>9783837610321</v>
      </c>
      <c r="F16200" s="2" t="str">
        <f>"9783839410325"</f>
        <v>9783839410325</v>
      </c>
    </row>
    <row r="16201" spans="1:6" s="3" customFormat="1" ht="29.1" customHeight="1" x14ac:dyDescent="0.25">
      <c r="A16201" s="2" t="s">
        <v>32014</v>
      </c>
      <c r="B16201" s="2" t="s">
        <v>32013</v>
      </c>
      <c r="C16201" s="2" t="s">
        <v>556</v>
      </c>
      <c r="D16201" s="2" t="s">
        <v>712</v>
      </c>
      <c r="E16201" s="2" t="str">
        <f>"9783837610277"</f>
        <v>9783837610277</v>
      </c>
      <c r="F16201" s="2" t="str">
        <f>"9783839410271"</f>
        <v>9783839410271</v>
      </c>
    </row>
    <row r="16202" spans="1:6" s="3" customFormat="1" ht="29.1" customHeight="1" x14ac:dyDescent="0.25">
      <c r="A16202" s="2" t="s">
        <v>32015</v>
      </c>
      <c r="B16202" s="2" t="s">
        <v>32016</v>
      </c>
      <c r="C16202" s="2" t="s">
        <v>556</v>
      </c>
      <c r="D16202" s="2" t="s">
        <v>712</v>
      </c>
      <c r="E16202" s="2" t="str">
        <f>"9783837610239"</f>
        <v>9783837610239</v>
      </c>
      <c r="F16202" s="2" t="str">
        <f>"9783839410233"</f>
        <v>9783839410233</v>
      </c>
    </row>
    <row r="16203" spans="1:6" s="3" customFormat="1" ht="29.1" customHeight="1" x14ac:dyDescent="0.25">
      <c r="A16203" s="2" t="s">
        <v>32017</v>
      </c>
      <c r="B16203" s="2" t="s">
        <v>32018</v>
      </c>
      <c r="C16203" s="2" t="s">
        <v>556</v>
      </c>
      <c r="D16203" s="2" t="s">
        <v>712</v>
      </c>
      <c r="E16203" s="2" t="str">
        <f>"9783837610161"</f>
        <v>9783837610161</v>
      </c>
      <c r="F16203" s="2" t="str">
        <f>"9783839410165"</f>
        <v>9783839410165</v>
      </c>
    </row>
    <row r="16204" spans="1:6" s="3" customFormat="1" ht="29.1" customHeight="1" x14ac:dyDescent="0.25">
      <c r="A16204" s="2" t="s">
        <v>32019</v>
      </c>
      <c r="B16204" s="2" t="s">
        <v>32020</v>
      </c>
      <c r="C16204" s="2" t="s">
        <v>556</v>
      </c>
      <c r="D16204" s="2" t="s">
        <v>30582</v>
      </c>
      <c r="E16204" s="2" t="str">
        <f>"9783837610147"</f>
        <v>9783837610147</v>
      </c>
      <c r="F16204" s="2" t="str">
        <f>"9783839410141"</f>
        <v>9783839410141</v>
      </c>
    </row>
    <row r="16205" spans="1:6" s="3" customFormat="1" ht="29.1" customHeight="1" x14ac:dyDescent="0.25">
      <c r="A16205" s="2" t="s">
        <v>32021</v>
      </c>
      <c r="B16205" s="2" t="s">
        <v>32022</v>
      </c>
      <c r="C16205" s="2" t="s">
        <v>556</v>
      </c>
      <c r="D16205" s="2" t="s">
        <v>378</v>
      </c>
      <c r="E16205" s="2" t="str">
        <f>"9783899429862"</f>
        <v>9783899429862</v>
      </c>
      <c r="F16205" s="2" t="str">
        <f>"9783839409862"</f>
        <v>9783839409862</v>
      </c>
    </row>
    <row r="16206" spans="1:6" s="3" customFormat="1" ht="29.1" customHeight="1" x14ac:dyDescent="0.25">
      <c r="A16206" s="2" t="s">
        <v>32023</v>
      </c>
      <c r="B16206" s="2" t="s">
        <v>32024</v>
      </c>
      <c r="C16206" s="2" t="s">
        <v>556</v>
      </c>
      <c r="D16206" s="2" t="s">
        <v>202</v>
      </c>
      <c r="E16206" s="2" t="str">
        <f>"9783899429435"</f>
        <v>9783899429435</v>
      </c>
      <c r="F16206" s="2" t="str">
        <f>"9783839409435"</f>
        <v>9783839409435</v>
      </c>
    </row>
    <row r="16207" spans="1:6" s="3" customFormat="1" ht="29.1" customHeight="1" x14ac:dyDescent="0.25">
      <c r="A16207" s="2" t="s">
        <v>32025</v>
      </c>
      <c r="B16207" s="2" t="s">
        <v>32026</v>
      </c>
      <c r="C16207" s="2" t="s">
        <v>556</v>
      </c>
      <c r="D16207" s="2" t="s">
        <v>998</v>
      </c>
      <c r="E16207" s="2" t="str">
        <f>"9783899429329"</f>
        <v>9783899429329</v>
      </c>
      <c r="F16207" s="2" t="str">
        <f>"9783839409329"</f>
        <v>9783839409329</v>
      </c>
    </row>
    <row r="16208" spans="1:6" s="3" customFormat="1" ht="29.1" customHeight="1" x14ac:dyDescent="0.25">
      <c r="A16208" s="2" t="s">
        <v>32027</v>
      </c>
      <c r="B16208" s="2" t="s">
        <v>32028</v>
      </c>
      <c r="C16208" s="2" t="s">
        <v>556</v>
      </c>
      <c r="D16208" s="2" t="s">
        <v>202</v>
      </c>
      <c r="E16208" s="2" t="str">
        <f>"9783899429183"</f>
        <v>9783899429183</v>
      </c>
      <c r="F16208" s="2" t="str">
        <f>"9783839409183"</f>
        <v>9783839409183</v>
      </c>
    </row>
    <row r="16209" spans="1:6" s="3" customFormat="1" ht="29.1" customHeight="1" x14ac:dyDescent="0.25">
      <c r="A16209" s="2" t="s">
        <v>32029</v>
      </c>
      <c r="B16209" s="2" t="s">
        <v>32030</v>
      </c>
      <c r="C16209" s="2" t="s">
        <v>556</v>
      </c>
      <c r="D16209" s="2" t="s">
        <v>712</v>
      </c>
      <c r="E16209" s="2" t="str">
        <f>"9783899428933"</f>
        <v>9783899428933</v>
      </c>
      <c r="F16209" s="2" t="str">
        <f>"9783839408933"</f>
        <v>9783839408933</v>
      </c>
    </row>
    <row r="16210" spans="1:6" s="3" customFormat="1" ht="29.1" customHeight="1" x14ac:dyDescent="0.25">
      <c r="A16210" s="2" t="s">
        <v>32031</v>
      </c>
      <c r="B16210" s="2" t="s">
        <v>32032</v>
      </c>
      <c r="C16210" s="2" t="s">
        <v>556</v>
      </c>
      <c r="D16210" s="2" t="s">
        <v>712</v>
      </c>
      <c r="E16210" s="2" t="str">
        <f>"9783899428834"</f>
        <v>9783899428834</v>
      </c>
      <c r="F16210" s="2" t="str">
        <f>"9783839408834"</f>
        <v>9783839408834</v>
      </c>
    </row>
    <row r="16211" spans="1:6" s="3" customFormat="1" ht="29.1" customHeight="1" x14ac:dyDescent="0.25">
      <c r="A16211" s="2" t="s">
        <v>32033</v>
      </c>
      <c r="B16211" s="2" t="s">
        <v>32034</v>
      </c>
      <c r="C16211" s="2" t="s">
        <v>556</v>
      </c>
      <c r="D16211" s="2" t="s">
        <v>9163</v>
      </c>
      <c r="E16211" s="2" t="str">
        <f>"9783899428445"</f>
        <v>9783899428445</v>
      </c>
      <c r="F16211" s="2" t="str">
        <f>"9783839408445"</f>
        <v>9783839408445</v>
      </c>
    </row>
    <row r="16212" spans="1:6" s="3" customFormat="1" ht="29.1" customHeight="1" x14ac:dyDescent="0.25">
      <c r="A16212" s="2" t="s">
        <v>32035</v>
      </c>
      <c r="B16212" s="2" t="s">
        <v>32036</v>
      </c>
      <c r="C16212" s="2" t="s">
        <v>556</v>
      </c>
      <c r="D16212" s="2" t="s">
        <v>636</v>
      </c>
      <c r="E16212" s="2" t="str">
        <f>"9783899428377"</f>
        <v>9783899428377</v>
      </c>
      <c r="F16212" s="2" t="str">
        <f>"9783839408377"</f>
        <v>9783839408377</v>
      </c>
    </row>
    <row r="16213" spans="1:6" s="3" customFormat="1" ht="29.1" customHeight="1" x14ac:dyDescent="0.25">
      <c r="A16213" s="2" t="s">
        <v>32037</v>
      </c>
      <c r="B16213" s="2" t="s">
        <v>32038</v>
      </c>
      <c r="C16213" s="2" t="s">
        <v>556</v>
      </c>
      <c r="D16213" s="2" t="s">
        <v>1046</v>
      </c>
      <c r="E16213" s="2" t="str">
        <f>"9783899428353"</f>
        <v>9783899428353</v>
      </c>
      <c r="F16213" s="2" t="str">
        <f>"9783839408353"</f>
        <v>9783839408353</v>
      </c>
    </row>
    <row r="16214" spans="1:6" s="3" customFormat="1" ht="29.1" customHeight="1" x14ac:dyDescent="0.25">
      <c r="A16214" s="2" t="s">
        <v>32039</v>
      </c>
      <c r="B16214" s="2" t="s">
        <v>32040</v>
      </c>
      <c r="C16214" s="2" t="s">
        <v>556</v>
      </c>
      <c r="D16214" s="2" t="s">
        <v>218</v>
      </c>
      <c r="E16214" s="2" t="str">
        <f>"9783899428032"</f>
        <v>9783899428032</v>
      </c>
      <c r="F16214" s="2" t="str">
        <f>"9783839408032"</f>
        <v>9783839408032</v>
      </c>
    </row>
    <row r="16215" spans="1:6" s="3" customFormat="1" ht="29.1" customHeight="1" x14ac:dyDescent="0.25">
      <c r="A16215" s="2" t="s">
        <v>32041</v>
      </c>
      <c r="B16215" s="2" t="s">
        <v>32042</v>
      </c>
      <c r="C16215" s="2" t="s">
        <v>556</v>
      </c>
      <c r="D16215" s="2" t="s">
        <v>490</v>
      </c>
      <c r="E16215" s="2" t="str">
        <f>"9783899427912"</f>
        <v>9783899427912</v>
      </c>
      <c r="F16215" s="2" t="str">
        <f>"9783839407912"</f>
        <v>9783839407912</v>
      </c>
    </row>
    <row r="16216" spans="1:6" s="3" customFormat="1" ht="29.1" customHeight="1" x14ac:dyDescent="0.25">
      <c r="A16216" s="2" t="s">
        <v>32043</v>
      </c>
      <c r="B16216" s="2" t="s">
        <v>32044</v>
      </c>
      <c r="C16216" s="2" t="s">
        <v>556</v>
      </c>
      <c r="D16216" s="2" t="s">
        <v>712</v>
      </c>
      <c r="E16216" s="2" t="str">
        <f>"9783899427806"</f>
        <v>9783899427806</v>
      </c>
      <c r="F16216" s="2" t="str">
        <f>"9783839407806"</f>
        <v>9783839407806</v>
      </c>
    </row>
    <row r="16217" spans="1:6" s="3" customFormat="1" ht="29.1" customHeight="1" x14ac:dyDescent="0.25">
      <c r="A16217" s="2" t="s">
        <v>32045</v>
      </c>
      <c r="B16217" s="2" t="s">
        <v>32046</v>
      </c>
      <c r="C16217" s="2" t="s">
        <v>556</v>
      </c>
      <c r="D16217" s="2" t="s">
        <v>1411</v>
      </c>
      <c r="E16217" s="2" t="str">
        <f>"9783899427745"</f>
        <v>9783899427745</v>
      </c>
      <c r="F16217" s="2" t="str">
        <f>"9783839407745"</f>
        <v>9783839407745</v>
      </c>
    </row>
    <row r="16218" spans="1:6" s="3" customFormat="1" ht="29.1" customHeight="1" x14ac:dyDescent="0.25">
      <c r="A16218" s="2" t="s">
        <v>32047</v>
      </c>
      <c r="B16218" s="2" t="s">
        <v>32048</v>
      </c>
      <c r="C16218" s="2" t="s">
        <v>556</v>
      </c>
      <c r="D16218" s="2" t="s">
        <v>1411</v>
      </c>
      <c r="E16218" s="2" t="str">
        <f>"9783899427578"</f>
        <v>9783899427578</v>
      </c>
      <c r="F16218" s="2" t="str">
        <f>"9783839407578"</f>
        <v>9783839407578</v>
      </c>
    </row>
    <row r="16219" spans="1:6" s="3" customFormat="1" ht="29.1" customHeight="1" x14ac:dyDescent="0.25">
      <c r="A16219" s="2" t="s">
        <v>32049</v>
      </c>
      <c r="B16219" s="2" t="s">
        <v>32050</v>
      </c>
      <c r="C16219" s="2" t="s">
        <v>556</v>
      </c>
      <c r="D16219" s="2" t="s">
        <v>484</v>
      </c>
      <c r="E16219" s="2" t="str">
        <f>"9783899425710"</f>
        <v>9783899425710</v>
      </c>
      <c r="F16219" s="2" t="str">
        <f>"9783839405710"</f>
        <v>9783839405710</v>
      </c>
    </row>
    <row r="16220" spans="1:6" s="3" customFormat="1" ht="29.1" customHeight="1" x14ac:dyDescent="0.25">
      <c r="A16220" s="2" t="s">
        <v>32051</v>
      </c>
      <c r="B16220" s="2" t="s">
        <v>32052</v>
      </c>
      <c r="C16220" s="2" t="s">
        <v>556</v>
      </c>
      <c r="D16220" s="2" t="s">
        <v>712</v>
      </c>
      <c r="E16220" s="2" t="str">
        <f>"9783899425642"</f>
        <v>9783899425642</v>
      </c>
      <c r="F16220" s="2" t="str">
        <f>"9783839405642"</f>
        <v>9783839405642</v>
      </c>
    </row>
    <row r="16221" spans="1:6" s="3" customFormat="1" ht="29.1" customHeight="1" x14ac:dyDescent="0.25">
      <c r="A16221" s="2" t="s">
        <v>32053</v>
      </c>
      <c r="B16221" s="2" t="s">
        <v>32054</v>
      </c>
      <c r="C16221" s="2" t="s">
        <v>556</v>
      </c>
      <c r="D16221" s="2" t="s">
        <v>712</v>
      </c>
      <c r="E16221" s="2" t="str">
        <f>"9783899425567"</f>
        <v>9783899425567</v>
      </c>
      <c r="F16221" s="2" t="str">
        <f>"9783839405567"</f>
        <v>9783839405567</v>
      </c>
    </row>
    <row r="16222" spans="1:6" s="3" customFormat="1" ht="29.1" customHeight="1" x14ac:dyDescent="0.25">
      <c r="A16222" s="2" t="s">
        <v>32055</v>
      </c>
      <c r="B16222" s="2" t="s">
        <v>32056</v>
      </c>
      <c r="C16222" s="2" t="s">
        <v>556</v>
      </c>
      <c r="D16222" s="2" t="s">
        <v>9968</v>
      </c>
      <c r="E16222" s="2" t="str">
        <f>"9783899425543"</f>
        <v>9783899425543</v>
      </c>
      <c r="F16222" s="2" t="str">
        <f>"9783839405543"</f>
        <v>9783839405543</v>
      </c>
    </row>
    <row r="16223" spans="1:6" s="3" customFormat="1" ht="29.1" customHeight="1" x14ac:dyDescent="0.25">
      <c r="A16223" s="2" t="s">
        <v>32057</v>
      </c>
      <c r="B16223" s="2" t="s">
        <v>32058</v>
      </c>
      <c r="C16223" s="2" t="s">
        <v>556</v>
      </c>
      <c r="D16223" s="2" t="s">
        <v>324</v>
      </c>
      <c r="E16223" s="2" t="str">
        <f>"9783899425505"</f>
        <v>9783899425505</v>
      </c>
      <c r="F16223" s="2" t="str">
        <f>"9783839405505"</f>
        <v>9783839405505</v>
      </c>
    </row>
    <row r="16224" spans="1:6" s="3" customFormat="1" ht="29.1" customHeight="1" x14ac:dyDescent="0.25">
      <c r="A16224" s="2" t="s">
        <v>32059</v>
      </c>
      <c r="B16224" s="2" t="s">
        <v>32060</v>
      </c>
      <c r="C16224" s="2" t="s">
        <v>556</v>
      </c>
      <c r="D16224" s="2" t="s">
        <v>484</v>
      </c>
      <c r="E16224" s="2" t="str">
        <f>"9783899425475"</f>
        <v>9783899425475</v>
      </c>
      <c r="F16224" s="2" t="str">
        <f>"9783839405475"</f>
        <v>9783839405475</v>
      </c>
    </row>
    <row r="16225" spans="1:6" s="3" customFormat="1" ht="29.1" customHeight="1" x14ac:dyDescent="0.25">
      <c r="A16225" s="2" t="s">
        <v>32061</v>
      </c>
      <c r="B16225" s="2" t="s">
        <v>32062</v>
      </c>
      <c r="C16225" s="2" t="s">
        <v>556</v>
      </c>
      <c r="D16225" s="2" t="s">
        <v>465</v>
      </c>
      <c r="E16225" s="2" t="str">
        <f>"9783899425352"</f>
        <v>9783899425352</v>
      </c>
      <c r="F16225" s="2" t="str">
        <f>"9783839405352"</f>
        <v>9783839405352</v>
      </c>
    </row>
    <row r="16226" spans="1:6" s="3" customFormat="1" ht="29.1" customHeight="1" x14ac:dyDescent="0.25">
      <c r="A16226" s="2" t="s">
        <v>32063</v>
      </c>
      <c r="B16226" s="2" t="s">
        <v>32064</v>
      </c>
      <c r="C16226" s="2" t="s">
        <v>556</v>
      </c>
      <c r="D16226" s="2" t="s">
        <v>712</v>
      </c>
      <c r="E16226" s="2" t="str">
        <f>"9783899425338"</f>
        <v>9783899425338</v>
      </c>
      <c r="F16226" s="2" t="str">
        <f>"9783839405338"</f>
        <v>9783839405338</v>
      </c>
    </row>
    <row r="16227" spans="1:6" s="3" customFormat="1" ht="29.1" customHeight="1" x14ac:dyDescent="0.25">
      <c r="A16227" s="2" t="s">
        <v>32065</v>
      </c>
      <c r="B16227" s="2" t="s">
        <v>32066</v>
      </c>
      <c r="C16227" s="2" t="s">
        <v>556</v>
      </c>
      <c r="D16227" s="2" t="s">
        <v>183</v>
      </c>
      <c r="E16227" s="2" t="str">
        <f>"9783899425284"</f>
        <v>9783899425284</v>
      </c>
      <c r="F16227" s="2" t="str">
        <f>"9783839405284"</f>
        <v>9783839405284</v>
      </c>
    </row>
    <row r="16228" spans="1:6" s="3" customFormat="1" ht="29.1" customHeight="1" x14ac:dyDescent="0.25">
      <c r="A16228" s="2" t="s">
        <v>32067</v>
      </c>
      <c r="B16228" s="2" t="s">
        <v>32068</v>
      </c>
      <c r="C16228" s="2" t="s">
        <v>556</v>
      </c>
      <c r="D16228" s="2" t="s">
        <v>712</v>
      </c>
      <c r="E16228" s="2" t="str">
        <f>"9783899425253"</f>
        <v>9783899425253</v>
      </c>
      <c r="F16228" s="2" t="str">
        <f>"9783839405253"</f>
        <v>9783839405253</v>
      </c>
    </row>
    <row r="16229" spans="1:6" s="3" customFormat="1" ht="29.1" customHeight="1" x14ac:dyDescent="0.25">
      <c r="A16229" s="2" t="s">
        <v>32069</v>
      </c>
      <c r="B16229" s="2" t="s">
        <v>32070</v>
      </c>
      <c r="C16229" s="2" t="s">
        <v>556</v>
      </c>
      <c r="D16229" s="2" t="s">
        <v>2336</v>
      </c>
      <c r="E16229" s="2" t="str">
        <f>"9783899425246"</f>
        <v>9783899425246</v>
      </c>
      <c r="F16229" s="2" t="str">
        <f>"9783839405246"</f>
        <v>9783839405246</v>
      </c>
    </row>
    <row r="16230" spans="1:6" s="3" customFormat="1" ht="29.1" customHeight="1" x14ac:dyDescent="0.25">
      <c r="A16230" s="2" t="s">
        <v>32071</v>
      </c>
      <c r="B16230" s="2" t="s">
        <v>32072</v>
      </c>
      <c r="C16230" s="2" t="s">
        <v>556</v>
      </c>
      <c r="D16230" s="2" t="s">
        <v>1560</v>
      </c>
      <c r="E16230" s="2" t="str">
        <f>"9783899425161"</f>
        <v>9783899425161</v>
      </c>
      <c r="F16230" s="2" t="str">
        <f>"9783839405161"</f>
        <v>9783839405161</v>
      </c>
    </row>
    <row r="16231" spans="1:6" s="3" customFormat="1" ht="29.1" customHeight="1" x14ac:dyDescent="0.25">
      <c r="A16231" s="2" t="s">
        <v>32073</v>
      </c>
      <c r="B16231" s="2" t="s">
        <v>32074</v>
      </c>
      <c r="C16231" s="2" t="s">
        <v>556</v>
      </c>
      <c r="D16231" s="2" t="s">
        <v>183</v>
      </c>
      <c r="E16231" s="2" t="str">
        <f>"9783899425130"</f>
        <v>9783899425130</v>
      </c>
      <c r="F16231" s="2" t="str">
        <f>"9783839405130"</f>
        <v>9783839405130</v>
      </c>
    </row>
    <row r="16232" spans="1:6" s="3" customFormat="1" ht="29.1" customHeight="1" x14ac:dyDescent="0.25">
      <c r="A16232" s="2" t="s">
        <v>32075</v>
      </c>
      <c r="B16232" s="2" t="s">
        <v>32076</v>
      </c>
      <c r="C16232" s="2" t="s">
        <v>556</v>
      </c>
      <c r="D16232" s="2" t="s">
        <v>78</v>
      </c>
      <c r="E16232" s="2" t="str">
        <f>"9783899425116"</f>
        <v>9783899425116</v>
      </c>
      <c r="F16232" s="2" t="str">
        <f>"9783839405116"</f>
        <v>9783839405116</v>
      </c>
    </row>
    <row r="16233" spans="1:6" s="3" customFormat="1" ht="29.1" customHeight="1" x14ac:dyDescent="0.25">
      <c r="A16233" s="2" t="s">
        <v>32077</v>
      </c>
      <c r="B16233" s="2" t="s">
        <v>32078</v>
      </c>
      <c r="C16233" s="2" t="s">
        <v>556</v>
      </c>
      <c r="D16233" s="2" t="s">
        <v>446</v>
      </c>
      <c r="E16233" s="2" t="str">
        <f>"9783899425086"</f>
        <v>9783899425086</v>
      </c>
      <c r="F16233" s="2" t="str">
        <f>"9783839405086"</f>
        <v>9783839405086</v>
      </c>
    </row>
    <row r="16234" spans="1:6" s="3" customFormat="1" ht="29.1" customHeight="1" x14ac:dyDescent="0.25">
      <c r="A16234" s="2" t="s">
        <v>32079</v>
      </c>
      <c r="B16234" s="2" t="s">
        <v>32080</v>
      </c>
      <c r="C16234" s="2" t="s">
        <v>556</v>
      </c>
      <c r="D16234" s="2" t="s">
        <v>3245</v>
      </c>
      <c r="E16234" s="2" t="str">
        <f>"9783899425062"</f>
        <v>9783899425062</v>
      </c>
      <c r="F16234" s="2" t="str">
        <f>"9783839405062"</f>
        <v>9783839405062</v>
      </c>
    </row>
    <row r="16235" spans="1:6" s="3" customFormat="1" ht="29.1" customHeight="1" x14ac:dyDescent="0.25">
      <c r="A16235" s="2" t="s">
        <v>32081</v>
      </c>
      <c r="B16235" s="2" t="s">
        <v>32082</v>
      </c>
      <c r="C16235" s="2" t="s">
        <v>556</v>
      </c>
      <c r="D16235" s="2" t="s">
        <v>1422</v>
      </c>
      <c r="E16235" s="2" t="str">
        <f>"9783899425055"</f>
        <v>9783899425055</v>
      </c>
      <c r="F16235" s="2" t="str">
        <f>"9783839405055"</f>
        <v>9783839405055</v>
      </c>
    </row>
    <row r="16236" spans="1:6" s="3" customFormat="1" ht="29.1" customHeight="1" x14ac:dyDescent="0.25">
      <c r="A16236" s="2" t="s">
        <v>32083</v>
      </c>
      <c r="B16236" s="2" t="s">
        <v>32084</v>
      </c>
      <c r="C16236" s="2" t="s">
        <v>556</v>
      </c>
      <c r="D16236" s="2" t="s">
        <v>1001</v>
      </c>
      <c r="E16236" s="2" t="str">
        <f>"9783899425048"</f>
        <v>9783899425048</v>
      </c>
      <c r="F16236" s="2" t="str">
        <f>"9783839405048"</f>
        <v>9783839405048</v>
      </c>
    </row>
    <row r="16237" spans="1:6" s="3" customFormat="1" ht="29.1" customHeight="1" x14ac:dyDescent="0.25">
      <c r="A16237" s="2" t="s">
        <v>32085</v>
      </c>
      <c r="B16237" s="2" t="s">
        <v>32013</v>
      </c>
      <c r="C16237" s="2" t="s">
        <v>556</v>
      </c>
      <c r="D16237" s="2" t="s">
        <v>712</v>
      </c>
      <c r="E16237" s="2" t="str">
        <f>"9783899425031"</f>
        <v>9783899425031</v>
      </c>
      <c r="F16237" s="2" t="str">
        <f>"9783839405031"</f>
        <v>9783839405031</v>
      </c>
    </row>
    <row r="16238" spans="1:6" s="3" customFormat="1" ht="29.1" customHeight="1" x14ac:dyDescent="0.25">
      <c r="A16238" s="2" t="s">
        <v>32086</v>
      </c>
      <c r="B16238" s="2" t="s">
        <v>32087</v>
      </c>
      <c r="C16238" s="2" t="s">
        <v>556</v>
      </c>
      <c r="D16238" s="2" t="s">
        <v>913</v>
      </c>
      <c r="E16238" s="2" t="str">
        <f>"9783899425017"</f>
        <v>9783899425017</v>
      </c>
      <c r="F16238" s="2" t="str">
        <f>"9783839405017"</f>
        <v>9783839405017</v>
      </c>
    </row>
    <row r="16239" spans="1:6" s="3" customFormat="1" ht="29.1" customHeight="1" x14ac:dyDescent="0.25">
      <c r="A16239" s="2" t="s">
        <v>32088</v>
      </c>
      <c r="B16239" s="2" t="s">
        <v>32089</v>
      </c>
      <c r="C16239" s="2" t="s">
        <v>556</v>
      </c>
      <c r="D16239" s="2" t="s">
        <v>1411</v>
      </c>
      <c r="E16239" s="2" t="str">
        <f>"9783899424980"</f>
        <v>9783899424980</v>
      </c>
      <c r="F16239" s="2" t="str">
        <f>"9783839404980"</f>
        <v>9783839404980</v>
      </c>
    </row>
    <row r="16240" spans="1:6" s="3" customFormat="1" ht="29.1" customHeight="1" x14ac:dyDescent="0.25">
      <c r="A16240" s="2" t="s">
        <v>32090</v>
      </c>
      <c r="B16240" s="2" t="s">
        <v>32091</v>
      </c>
      <c r="C16240" s="2" t="s">
        <v>556</v>
      </c>
      <c r="D16240" s="2" t="s">
        <v>78</v>
      </c>
      <c r="E16240" s="2" t="str">
        <f>"9783899424966"</f>
        <v>9783899424966</v>
      </c>
      <c r="F16240" s="2" t="str">
        <f>"9783839404966"</f>
        <v>9783839404966</v>
      </c>
    </row>
    <row r="16241" spans="1:6" s="3" customFormat="1" ht="29.1" customHeight="1" x14ac:dyDescent="0.25">
      <c r="A16241" s="2" t="s">
        <v>32092</v>
      </c>
      <c r="B16241" s="2" t="s">
        <v>32093</v>
      </c>
      <c r="C16241" s="2" t="s">
        <v>556</v>
      </c>
      <c r="D16241" s="2" t="s">
        <v>78</v>
      </c>
      <c r="E16241" s="2" t="str">
        <f>"9783899424959"</f>
        <v>9783899424959</v>
      </c>
      <c r="F16241" s="2" t="str">
        <f>"9783839404959"</f>
        <v>9783839404959</v>
      </c>
    </row>
    <row r="16242" spans="1:6" s="3" customFormat="1" ht="29.1" customHeight="1" x14ac:dyDescent="0.25">
      <c r="A16242" s="2" t="s">
        <v>32094</v>
      </c>
      <c r="B16242" s="2" t="s">
        <v>32095</v>
      </c>
      <c r="C16242" s="2" t="s">
        <v>556</v>
      </c>
      <c r="D16242" s="2" t="s">
        <v>3245</v>
      </c>
      <c r="E16242" s="2" t="str">
        <f>"9783899424911"</f>
        <v>9783899424911</v>
      </c>
      <c r="F16242" s="2" t="str">
        <f>"9783839404911"</f>
        <v>9783839404911</v>
      </c>
    </row>
    <row r="16243" spans="1:6" s="3" customFormat="1" ht="29.1" customHeight="1" x14ac:dyDescent="0.25">
      <c r="A16243" s="2" t="s">
        <v>32096</v>
      </c>
      <c r="B16243" s="2" t="s">
        <v>32097</v>
      </c>
      <c r="C16243" s="2" t="s">
        <v>556</v>
      </c>
      <c r="D16243" s="2" t="s">
        <v>689</v>
      </c>
      <c r="E16243" s="2" t="str">
        <f>"9783899424904"</f>
        <v>9783899424904</v>
      </c>
      <c r="F16243" s="2" t="str">
        <f>"9783839404904"</f>
        <v>9783839404904</v>
      </c>
    </row>
    <row r="16244" spans="1:6" s="3" customFormat="1" ht="29.1" customHeight="1" x14ac:dyDescent="0.25">
      <c r="A16244" s="2" t="s">
        <v>32098</v>
      </c>
      <c r="B16244" s="2" t="s">
        <v>32099</v>
      </c>
      <c r="C16244" s="2" t="s">
        <v>556</v>
      </c>
      <c r="D16244" s="2" t="s">
        <v>913</v>
      </c>
      <c r="E16244" s="2" t="str">
        <f>"9783899424874"</f>
        <v>9783899424874</v>
      </c>
      <c r="F16244" s="2" t="str">
        <f>"9783839404874"</f>
        <v>9783839404874</v>
      </c>
    </row>
    <row r="16245" spans="1:6" s="3" customFormat="1" ht="29.1" customHeight="1" x14ac:dyDescent="0.25">
      <c r="A16245" s="2" t="s">
        <v>32100</v>
      </c>
      <c r="B16245" s="2" t="s">
        <v>32101</v>
      </c>
      <c r="C16245" s="2" t="s">
        <v>556</v>
      </c>
      <c r="D16245" s="2" t="s">
        <v>2139</v>
      </c>
      <c r="E16245" s="2" t="str">
        <f>"9783899424768"</f>
        <v>9783899424768</v>
      </c>
      <c r="F16245" s="2" t="str">
        <f>"9783839404768"</f>
        <v>9783839404768</v>
      </c>
    </row>
    <row r="16246" spans="1:6" s="3" customFormat="1" ht="29.1" customHeight="1" x14ac:dyDescent="0.25">
      <c r="A16246" s="2" t="s">
        <v>32102</v>
      </c>
      <c r="B16246" s="2" t="s">
        <v>32103</v>
      </c>
      <c r="C16246" s="2" t="s">
        <v>556</v>
      </c>
      <c r="D16246" s="2" t="s">
        <v>712</v>
      </c>
      <c r="E16246" s="2" t="str">
        <f>"9783899424737"</f>
        <v>9783899424737</v>
      </c>
      <c r="F16246" s="2" t="str">
        <f>"9783839404737"</f>
        <v>9783839404737</v>
      </c>
    </row>
    <row r="16247" spans="1:6" s="3" customFormat="1" ht="29.1" customHeight="1" x14ac:dyDescent="0.25">
      <c r="A16247" s="2" t="s">
        <v>32104</v>
      </c>
      <c r="B16247" s="2" t="s">
        <v>32105</v>
      </c>
      <c r="C16247" s="2" t="s">
        <v>556</v>
      </c>
      <c r="D16247" s="2" t="s">
        <v>202</v>
      </c>
      <c r="E16247" s="2" t="str">
        <f>"9783899424713"</f>
        <v>9783899424713</v>
      </c>
      <c r="F16247" s="2" t="str">
        <f>"9783839404713"</f>
        <v>9783839404713</v>
      </c>
    </row>
    <row r="16248" spans="1:6" s="3" customFormat="1" ht="29.1" customHeight="1" x14ac:dyDescent="0.25">
      <c r="A16248" s="2" t="s">
        <v>32106</v>
      </c>
      <c r="B16248" s="2" t="s">
        <v>32107</v>
      </c>
      <c r="C16248" s="2" t="s">
        <v>556</v>
      </c>
      <c r="D16248" s="2" t="s">
        <v>998</v>
      </c>
      <c r="E16248" s="2" t="str">
        <f>"9783899424683"</f>
        <v>9783899424683</v>
      </c>
      <c r="F16248" s="2" t="str">
        <f>"9783839404683"</f>
        <v>9783839404683</v>
      </c>
    </row>
    <row r="16249" spans="1:6" s="3" customFormat="1" ht="29.1" customHeight="1" x14ac:dyDescent="0.25">
      <c r="A16249" s="2" t="s">
        <v>32108</v>
      </c>
      <c r="B16249" s="2" t="s">
        <v>32109</v>
      </c>
      <c r="C16249" s="2" t="s">
        <v>556</v>
      </c>
      <c r="D16249" s="2" t="s">
        <v>3839</v>
      </c>
      <c r="E16249" s="2" t="str">
        <f>"9783899424676"</f>
        <v>9783899424676</v>
      </c>
      <c r="F16249" s="2" t="str">
        <f>"9783839404676"</f>
        <v>9783839404676</v>
      </c>
    </row>
    <row r="16250" spans="1:6" s="3" customFormat="1" ht="29.1" customHeight="1" x14ac:dyDescent="0.25">
      <c r="A16250" s="2" t="s">
        <v>32110</v>
      </c>
      <c r="B16250" s="2" t="s">
        <v>32111</v>
      </c>
      <c r="C16250" s="2" t="s">
        <v>556</v>
      </c>
      <c r="D16250" s="2" t="s">
        <v>2237</v>
      </c>
      <c r="E16250" s="2" t="str">
        <f>"9783899424645"</f>
        <v>9783899424645</v>
      </c>
      <c r="F16250" s="2" t="str">
        <f>"9783839404645"</f>
        <v>9783839404645</v>
      </c>
    </row>
    <row r="16251" spans="1:6" s="3" customFormat="1" ht="29.1" customHeight="1" x14ac:dyDescent="0.25">
      <c r="A16251" s="2" t="s">
        <v>32112</v>
      </c>
      <c r="B16251" s="2" t="s">
        <v>32113</v>
      </c>
      <c r="C16251" s="2" t="s">
        <v>556</v>
      </c>
      <c r="D16251" s="2" t="s">
        <v>1189</v>
      </c>
      <c r="E16251" s="2" t="str">
        <f>"9783899424638"</f>
        <v>9783899424638</v>
      </c>
      <c r="F16251" s="2" t="str">
        <f>"9783839404638"</f>
        <v>9783839404638</v>
      </c>
    </row>
    <row r="16252" spans="1:6" s="3" customFormat="1" ht="29.1" customHeight="1" x14ac:dyDescent="0.25">
      <c r="A16252" s="2" t="s">
        <v>32114</v>
      </c>
      <c r="B16252" s="2" t="s">
        <v>32115</v>
      </c>
      <c r="C16252" s="2" t="s">
        <v>556</v>
      </c>
      <c r="D16252" s="2" t="s">
        <v>4030</v>
      </c>
      <c r="E16252" s="2" t="str">
        <f>"9783899424591"</f>
        <v>9783899424591</v>
      </c>
      <c r="F16252" s="2" t="str">
        <f>"9783839404591"</f>
        <v>9783839404591</v>
      </c>
    </row>
    <row r="16253" spans="1:6" s="3" customFormat="1" ht="29.1" customHeight="1" x14ac:dyDescent="0.25">
      <c r="A16253" s="2" t="s">
        <v>32116</v>
      </c>
      <c r="B16253" s="2" t="s">
        <v>32117</v>
      </c>
      <c r="C16253" s="2" t="s">
        <v>556</v>
      </c>
      <c r="D16253" s="2" t="s">
        <v>501</v>
      </c>
      <c r="E16253" s="2" t="str">
        <f>"9783899424577"</f>
        <v>9783899424577</v>
      </c>
      <c r="F16253" s="2" t="str">
        <f>"9783839404577"</f>
        <v>9783839404577</v>
      </c>
    </row>
    <row r="16254" spans="1:6" s="3" customFormat="1" ht="29.1" customHeight="1" x14ac:dyDescent="0.25">
      <c r="A16254" s="2" t="s">
        <v>32118</v>
      </c>
      <c r="B16254" s="2" t="s">
        <v>32119</v>
      </c>
      <c r="C16254" s="2" t="s">
        <v>556</v>
      </c>
      <c r="D16254" s="2" t="s">
        <v>674</v>
      </c>
      <c r="E16254" s="2" t="str">
        <f>"9783899424546"</f>
        <v>9783899424546</v>
      </c>
      <c r="F16254" s="2" t="str">
        <f>"9783839404546"</f>
        <v>9783839404546</v>
      </c>
    </row>
    <row r="16255" spans="1:6" s="3" customFormat="1" ht="29.1" customHeight="1" x14ac:dyDescent="0.25">
      <c r="A16255" s="2" t="s">
        <v>32120</v>
      </c>
      <c r="B16255" s="2" t="s">
        <v>32121</v>
      </c>
      <c r="C16255" s="2" t="s">
        <v>556</v>
      </c>
      <c r="D16255" s="2" t="s">
        <v>1121</v>
      </c>
      <c r="E16255" s="2" t="str">
        <f>"9783899424522"</f>
        <v>9783899424522</v>
      </c>
      <c r="F16255" s="2" t="str">
        <f>"9783839404522"</f>
        <v>9783839404522</v>
      </c>
    </row>
    <row r="16256" spans="1:6" s="3" customFormat="1" ht="29.1" customHeight="1" x14ac:dyDescent="0.25">
      <c r="A16256" s="2" t="s">
        <v>32122</v>
      </c>
      <c r="B16256" s="2" t="s">
        <v>32123</v>
      </c>
      <c r="C16256" s="2" t="s">
        <v>556</v>
      </c>
      <c r="D16256" s="2" t="s">
        <v>273</v>
      </c>
      <c r="E16256" s="2" t="str">
        <f>"9783899424508"</f>
        <v>9783899424508</v>
      </c>
      <c r="F16256" s="2" t="str">
        <f>"9783839404508"</f>
        <v>9783839404508</v>
      </c>
    </row>
    <row r="16257" spans="1:6" s="3" customFormat="1" ht="29.1" customHeight="1" x14ac:dyDescent="0.25">
      <c r="A16257" s="2" t="s">
        <v>32124</v>
      </c>
      <c r="B16257" s="2" t="s">
        <v>32125</v>
      </c>
      <c r="C16257" s="2" t="s">
        <v>556</v>
      </c>
      <c r="D16257" s="2" t="s">
        <v>1411</v>
      </c>
      <c r="E16257" s="2" t="str">
        <f>"9783899424478"</f>
        <v>9783899424478</v>
      </c>
      <c r="F16257" s="2" t="str">
        <f>"9783839404478"</f>
        <v>9783839404478</v>
      </c>
    </row>
    <row r="16258" spans="1:6" s="3" customFormat="1" ht="29.1" customHeight="1" x14ac:dyDescent="0.25">
      <c r="A16258" s="2" t="s">
        <v>32126</v>
      </c>
      <c r="B16258" s="2" t="s">
        <v>32127</v>
      </c>
      <c r="C16258" s="2" t="s">
        <v>556</v>
      </c>
      <c r="D16258" s="2" t="s">
        <v>1112</v>
      </c>
      <c r="E16258" s="2" t="str">
        <f>"9783899424461"</f>
        <v>9783899424461</v>
      </c>
      <c r="F16258" s="2" t="str">
        <f>"9783839404461"</f>
        <v>9783839404461</v>
      </c>
    </row>
    <row r="16259" spans="1:6" s="3" customFormat="1" ht="29.1" customHeight="1" x14ac:dyDescent="0.25">
      <c r="A16259" s="2" t="s">
        <v>32128</v>
      </c>
      <c r="B16259" s="2" t="s">
        <v>32129</v>
      </c>
      <c r="C16259" s="2" t="s">
        <v>556</v>
      </c>
      <c r="D16259" s="2" t="s">
        <v>636</v>
      </c>
      <c r="E16259" s="2" t="str">
        <f>"9783899424447"</f>
        <v>9783899424447</v>
      </c>
      <c r="F16259" s="2" t="str">
        <f>"9783839404447"</f>
        <v>9783839404447</v>
      </c>
    </row>
    <row r="16260" spans="1:6" s="3" customFormat="1" ht="29.1" customHeight="1" x14ac:dyDescent="0.25">
      <c r="A16260" s="2" t="s">
        <v>32130</v>
      </c>
      <c r="B16260" s="2" t="s">
        <v>32131</v>
      </c>
      <c r="C16260" s="2" t="s">
        <v>556</v>
      </c>
      <c r="D16260" s="2" t="s">
        <v>202</v>
      </c>
      <c r="E16260" s="2" t="str">
        <f>"9783899424379"</f>
        <v>9783899424379</v>
      </c>
      <c r="F16260" s="2" t="str">
        <f>"9783839404379"</f>
        <v>9783839404379</v>
      </c>
    </row>
    <row r="16261" spans="1:6" s="3" customFormat="1" ht="29.1" customHeight="1" x14ac:dyDescent="0.25">
      <c r="A16261" s="2" t="s">
        <v>32132</v>
      </c>
      <c r="B16261" s="2" t="s">
        <v>32133</v>
      </c>
      <c r="C16261" s="2" t="s">
        <v>556</v>
      </c>
      <c r="D16261" s="2" t="s">
        <v>712</v>
      </c>
      <c r="E16261" s="2" t="str">
        <f>"9783899424362"</f>
        <v>9783899424362</v>
      </c>
      <c r="F16261" s="2" t="str">
        <f>"9783839404362"</f>
        <v>9783839404362</v>
      </c>
    </row>
    <row r="16262" spans="1:6" s="3" customFormat="1" ht="29.1" customHeight="1" x14ac:dyDescent="0.25">
      <c r="A16262" s="2" t="s">
        <v>32134</v>
      </c>
      <c r="B16262" s="2" t="s">
        <v>32135</v>
      </c>
      <c r="C16262" s="2" t="s">
        <v>556</v>
      </c>
      <c r="D16262" s="2" t="s">
        <v>553</v>
      </c>
      <c r="E16262" s="2" t="str">
        <f>"9783899424348"</f>
        <v>9783899424348</v>
      </c>
      <c r="F16262" s="2" t="str">
        <f>"9783839404348"</f>
        <v>9783839404348</v>
      </c>
    </row>
    <row r="16263" spans="1:6" s="3" customFormat="1" ht="29.1" customHeight="1" x14ac:dyDescent="0.25">
      <c r="A16263" s="2" t="s">
        <v>32136</v>
      </c>
      <c r="B16263" s="2" t="s">
        <v>32137</v>
      </c>
      <c r="C16263" s="2" t="s">
        <v>556</v>
      </c>
      <c r="D16263" s="2" t="s">
        <v>5574</v>
      </c>
      <c r="E16263" s="2" t="str">
        <f>"9783899424331"</f>
        <v>9783899424331</v>
      </c>
      <c r="F16263" s="2" t="str">
        <f>"9783839404331"</f>
        <v>9783839404331</v>
      </c>
    </row>
    <row r="16264" spans="1:6" s="3" customFormat="1" ht="29.1" customHeight="1" x14ac:dyDescent="0.25">
      <c r="A16264" s="2" t="s">
        <v>32138</v>
      </c>
      <c r="B16264" s="2" t="s">
        <v>32139</v>
      </c>
      <c r="C16264" s="2" t="s">
        <v>556</v>
      </c>
      <c r="D16264" s="2" t="s">
        <v>446</v>
      </c>
      <c r="E16264" s="2" t="str">
        <f>"9783899424256"</f>
        <v>9783899424256</v>
      </c>
      <c r="F16264" s="2" t="str">
        <f>"9783839404256"</f>
        <v>9783839404256</v>
      </c>
    </row>
    <row r="16265" spans="1:6" s="3" customFormat="1" ht="29.1" customHeight="1" x14ac:dyDescent="0.25">
      <c r="A16265" s="2" t="s">
        <v>32140</v>
      </c>
      <c r="B16265" s="2" t="s">
        <v>32141</v>
      </c>
      <c r="C16265" s="2" t="s">
        <v>556</v>
      </c>
      <c r="D16265" s="2" t="s">
        <v>14256</v>
      </c>
      <c r="E16265" s="2" t="str">
        <f>"9783899424232"</f>
        <v>9783899424232</v>
      </c>
      <c r="F16265" s="2" t="str">
        <f>"9783839404232"</f>
        <v>9783839404232</v>
      </c>
    </row>
    <row r="16266" spans="1:6" s="3" customFormat="1" ht="29.1" customHeight="1" x14ac:dyDescent="0.25">
      <c r="A16266" s="2" t="s">
        <v>32142</v>
      </c>
      <c r="B16266" s="2" t="s">
        <v>32143</v>
      </c>
      <c r="C16266" s="2" t="s">
        <v>556</v>
      </c>
      <c r="D16266" s="2" t="s">
        <v>501</v>
      </c>
      <c r="E16266" s="2" t="str">
        <f>"9783899424140"</f>
        <v>9783899424140</v>
      </c>
      <c r="F16266" s="2" t="str">
        <f>"9783839404140"</f>
        <v>9783839404140</v>
      </c>
    </row>
    <row r="16267" spans="1:6" s="3" customFormat="1" ht="29.1" customHeight="1" x14ac:dyDescent="0.25">
      <c r="A16267" s="2" t="s">
        <v>32144</v>
      </c>
      <c r="B16267" s="2" t="s">
        <v>32145</v>
      </c>
      <c r="C16267" s="2" t="s">
        <v>556</v>
      </c>
      <c r="D16267" s="2" t="s">
        <v>1082</v>
      </c>
      <c r="E16267" s="2" t="str">
        <f>"9783899424133"</f>
        <v>9783899424133</v>
      </c>
      <c r="F16267" s="2" t="str">
        <f>"9783839404133"</f>
        <v>9783839404133</v>
      </c>
    </row>
    <row r="16268" spans="1:6" s="3" customFormat="1" ht="29.1" customHeight="1" x14ac:dyDescent="0.25">
      <c r="A16268" s="2" t="s">
        <v>32146</v>
      </c>
      <c r="B16268" s="2" t="s">
        <v>32147</v>
      </c>
      <c r="C16268" s="2" t="s">
        <v>556</v>
      </c>
      <c r="D16268" s="2" t="s">
        <v>1411</v>
      </c>
      <c r="E16268" s="2" t="str">
        <f>"9783899424096"</f>
        <v>9783899424096</v>
      </c>
      <c r="F16268" s="2" t="str">
        <f>"9783839404096"</f>
        <v>9783839404096</v>
      </c>
    </row>
    <row r="16269" spans="1:6" s="3" customFormat="1" ht="29.1" customHeight="1" x14ac:dyDescent="0.25">
      <c r="A16269" s="2" t="s">
        <v>32148</v>
      </c>
      <c r="B16269" s="2" t="s">
        <v>32149</v>
      </c>
      <c r="C16269" s="2" t="s">
        <v>556</v>
      </c>
      <c r="D16269" s="2" t="s">
        <v>1189</v>
      </c>
      <c r="E16269" s="2" t="str">
        <f>"9783899424089"</f>
        <v>9783899424089</v>
      </c>
      <c r="F16269" s="2" t="str">
        <f>"9783839404089"</f>
        <v>9783839404089</v>
      </c>
    </row>
    <row r="16270" spans="1:6" s="3" customFormat="1" ht="29.1" customHeight="1" x14ac:dyDescent="0.25">
      <c r="A16270" s="2" t="s">
        <v>32150</v>
      </c>
      <c r="B16270" s="2" t="s">
        <v>32151</v>
      </c>
      <c r="C16270" s="2" t="s">
        <v>556</v>
      </c>
      <c r="D16270" s="2" t="s">
        <v>1141</v>
      </c>
      <c r="E16270" s="2" t="str">
        <f>"9783899424065"</f>
        <v>9783899424065</v>
      </c>
      <c r="F16270" s="2" t="str">
        <f>"9783839404065"</f>
        <v>9783839404065</v>
      </c>
    </row>
    <row r="16271" spans="1:6" s="3" customFormat="1" ht="29.1" customHeight="1" x14ac:dyDescent="0.25">
      <c r="A16271" s="2" t="s">
        <v>32152</v>
      </c>
      <c r="B16271" s="2" t="s">
        <v>32103</v>
      </c>
      <c r="C16271" s="2" t="s">
        <v>556</v>
      </c>
      <c r="D16271" s="2" t="s">
        <v>712</v>
      </c>
      <c r="E16271" s="2" t="str">
        <f>"9783899424034"</f>
        <v>9783899424034</v>
      </c>
      <c r="F16271" s="2" t="str">
        <f>"9783839404034"</f>
        <v>9783839404034</v>
      </c>
    </row>
    <row r="16272" spans="1:6" s="3" customFormat="1" ht="29.1" customHeight="1" x14ac:dyDescent="0.25">
      <c r="A16272" s="2" t="s">
        <v>32153</v>
      </c>
      <c r="B16272" s="2" t="s">
        <v>32154</v>
      </c>
      <c r="C16272" s="2" t="s">
        <v>556</v>
      </c>
      <c r="D16272" s="2" t="s">
        <v>1411</v>
      </c>
      <c r="E16272" s="2" t="str">
        <f>"9783899423945"</f>
        <v>9783899423945</v>
      </c>
      <c r="F16272" s="2" t="str">
        <f>"9783839403945"</f>
        <v>9783839403945</v>
      </c>
    </row>
    <row r="16273" spans="1:6" s="3" customFormat="1" ht="29.1" customHeight="1" x14ac:dyDescent="0.25">
      <c r="A16273" s="2" t="s">
        <v>32155</v>
      </c>
      <c r="B16273" s="2" t="s">
        <v>32156</v>
      </c>
      <c r="C16273" s="2" t="s">
        <v>556</v>
      </c>
      <c r="D16273" s="2" t="s">
        <v>3839</v>
      </c>
      <c r="E16273" s="2" t="str">
        <f>"9783899423914"</f>
        <v>9783899423914</v>
      </c>
      <c r="F16273" s="2" t="str">
        <f>"9783839403914"</f>
        <v>9783839403914</v>
      </c>
    </row>
    <row r="16274" spans="1:6" s="3" customFormat="1" ht="29.1" customHeight="1" x14ac:dyDescent="0.25">
      <c r="A16274" s="2" t="s">
        <v>32157</v>
      </c>
      <c r="B16274" s="2" t="s">
        <v>32158</v>
      </c>
      <c r="C16274" s="2" t="s">
        <v>556</v>
      </c>
      <c r="D16274" s="2" t="s">
        <v>183</v>
      </c>
      <c r="E16274" s="2" t="str">
        <f>"9783899423884"</f>
        <v>9783899423884</v>
      </c>
      <c r="F16274" s="2" t="str">
        <f>"9783839403884"</f>
        <v>9783839403884</v>
      </c>
    </row>
    <row r="16275" spans="1:6" s="3" customFormat="1" ht="29.1" customHeight="1" x14ac:dyDescent="0.25">
      <c r="A16275" s="2" t="s">
        <v>32159</v>
      </c>
      <c r="B16275" s="2" t="s">
        <v>32160</v>
      </c>
      <c r="C16275" s="2" t="s">
        <v>556</v>
      </c>
      <c r="D16275" s="2" t="s">
        <v>78</v>
      </c>
      <c r="E16275" s="2" t="str">
        <f>"9783899423846"</f>
        <v>9783899423846</v>
      </c>
      <c r="F16275" s="2" t="str">
        <f>"9783839403846"</f>
        <v>9783839403846</v>
      </c>
    </row>
    <row r="16276" spans="1:6" s="3" customFormat="1" ht="29.1" customHeight="1" x14ac:dyDescent="0.25">
      <c r="A16276" s="2" t="s">
        <v>32161</v>
      </c>
      <c r="B16276" s="2" t="s">
        <v>32162</v>
      </c>
      <c r="C16276" s="2" t="s">
        <v>556</v>
      </c>
      <c r="D16276" s="2" t="s">
        <v>78</v>
      </c>
      <c r="E16276" s="2" t="str">
        <f>"9783899423716"</f>
        <v>9783899423716</v>
      </c>
      <c r="F16276" s="2" t="str">
        <f>"9783839403716"</f>
        <v>9783839403716</v>
      </c>
    </row>
    <row r="16277" spans="1:6" s="3" customFormat="1" ht="29.1" customHeight="1" x14ac:dyDescent="0.25">
      <c r="A16277" s="2" t="s">
        <v>32163</v>
      </c>
      <c r="B16277" s="2" t="s">
        <v>32164</v>
      </c>
      <c r="C16277" s="2" t="s">
        <v>556</v>
      </c>
      <c r="D16277" s="2" t="s">
        <v>1121</v>
      </c>
      <c r="E16277" s="2" t="str">
        <f>"9783899423600"</f>
        <v>9783899423600</v>
      </c>
      <c r="F16277" s="2" t="str">
        <f>"9783839403600"</f>
        <v>9783839403600</v>
      </c>
    </row>
    <row r="16278" spans="1:6" s="3" customFormat="1" ht="29.1" customHeight="1" x14ac:dyDescent="0.25">
      <c r="A16278" s="2" t="s">
        <v>32165</v>
      </c>
      <c r="B16278" s="2" t="s">
        <v>32166</v>
      </c>
      <c r="C16278" s="2" t="s">
        <v>556</v>
      </c>
      <c r="D16278" s="2" t="s">
        <v>183</v>
      </c>
      <c r="E16278" s="2" t="str">
        <f>"9783899423587"</f>
        <v>9783899423587</v>
      </c>
      <c r="F16278" s="2" t="str">
        <f>"9783839403587"</f>
        <v>9783839403587</v>
      </c>
    </row>
    <row r="16279" spans="1:6" s="3" customFormat="1" ht="29.1" customHeight="1" x14ac:dyDescent="0.25">
      <c r="A16279" s="2" t="s">
        <v>32167</v>
      </c>
      <c r="B16279" s="2" t="s">
        <v>32168</v>
      </c>
      <c r="C16279" s="2" t="s">
        <v>556</v>
      </c>
      <c r="D16279" s="2" t="s">
        <v>1411</v>
      </c>
      <c r="E16279" s="2" t="str">
        <f>"9783899423549"</f>
        <v>9783899423549</v>
      </c>
      <c r="F16279" s="2" t="str">
        <f>"9783839403549"</f>
        <v>9783839403549</v>
      </c>
    </row>
    <row r="16280" spans="1:6" s="3" customFormat="1" ht="29.1" customHeight="1" x14ac:dyDescent="0.25">
      <c r="A16280" s="2" t="s">
        <v>32169</v>
      </c>
      <c r="B16280" s="2" t="s">
        <v>32170</v>
      </c>
      <c r="C16280" s="2" t="s">
        <v>556</v>
      </c>
      <c r="D16280" s="2" t="s">
        <v>1056</v>
      </c>
      <c r="E16280" s="2" t="str">
        <f>"9783899423518"</f>
        <v>9783899423518</v>
      </c>
      <c r="F16280" s="2" t="str">
        <f>"9783839403518"</f>
        <v>9783839403518</v>
      </c>
    </row>
    <row r="16281" spans="1:6" s="3" customFormat="1" ht="29.1" customHeight="1" x14ac:dyDescent="0.25">
      <c r="A16281" s="2" t="s">
        <v>32171</v>
      </c>
      <c r="B16281" s="2" t="s">
        <v>32172</v>
      </c>
      <c r="C16281" s="2" t="s">
        <v>556</v>
      </c>
      <c r="D16281" s="2" t="s">
        <v>402</v>
      </c>
      <c r="E16281" s="2" t="str">
        <f>"9783899423501"</f>
        <v>9783899423501</v>
      </c>
      <c r="F16281" s="2" t="str">
        <f>"9783839403501"</f>
        <v>9783839403501</v>
      </c>
    </row>
    <row r="16282" spans="1:6" s="3" customFormat="1" ht="29.1" customHeight="1" x14ac:dyDescent="0.25">
      <c r="A16282" s="2" t="s">
        <v>32173</v>
      </c>
      <c r="B16282" s="2" t="s">
        <v>32156</v>
      </c>
      <c r="C16282" s="2" t="s">
        <v>556</v>
      </c>
      <c r="D16282" s="2" t="s">
        <v>3839</v>
      </c>
      <c r="E16282" s="2" t="str">
        <f>"9783899423488"</f>
        <v>9783899423488</v>
      </c>
      <c r="F16282" s="2" t="str">
        <f>"9783839403488"</f>
        <v>9783839403488</v>
      </c>
    </row>
    <row r="16283" spans="1:6" s="3" customFormat="1" ht="29.1" customHeight="1" x14ac:dyDescent="0.25">
      <c r="A16283" s="2" t="s">
        <v>32174</v>
      </c>
      <c r="B16283" s="2" t="s">
        <v>32064</v>
      </c>
      <c r="C16283" s="2" t="s">
        <v>556</v>
      </c>
      <c r="D16283" s="2" t="s">
        <v>712</v>
      </c>
      <c r="E16283" s="2" t="str">
        <f>"9783899423471"</f>
        <v>9783899423471</v>
      </c>
      <c r="F16283" s="2" t="str">
        <f>"9783839403471"</f>
        <v>9783839403471</v>
      </c>
    </row>
    <row r="16284" spans="1:6" s="3" customFormat="1" ht="29.1" customHeight="1" x14ac:dyDescent="0.25">
      <c r="A16284" s="2" t="s">
        <v>32175</v>
      </c>
      <c r="B16284" s="2" t="s">
        <v>32176</v>
      </c>
      <c r="C16284" s="2" t="s">
        <v>556</v>
      </c>
      <c r="D16284" s="2" t="s">
        <v>378</v>
      </c>
      <c r="E16284" s="2" t="str">
        <f>"9783899423365"</f>
        <v>9783899423365</v>
      </c>
      <c r="F16284" s="2" t="str">
        <f>"9783839403365"</f>
        <v>9783839403365</v>
      </c>
    </row>
    <row r="16285" spans="1:6" s="3" customFormat="1" ht="29.1" customHeight="1" x14ac:dyDescent="0.25">
      <c r="A16285" s="2" t="s">
        <v>32177</v>
      </c>
      <c r="B16285" s="2" t="s">
        <v>32178</v>
      </c>
      <c r="C16285" s="2" t="s">
        <v>556</v>
      </c>
      <c r="D16285" s="2" t="s">
        <v>324</v>
      </c>
      <c r="E16285" s="2" t="str">
        <f>"9783899423327"</f>
        <v>9783899423327</v>
      </c>
      <c r="F16285" s="2" t="str">
        <f>"9783839403327"</f>
        <v>9783839403327</v>
      </c>
    </row>
    <row r="16286" spans="1:6" s="3" customFormat="1" ht="29.1" customHeight="1" x14ac:dyDescent="0.25">
      <c r="A16286" s="2" t="s">
        <v>32179</v>
      </c>
      <c r="B16286" s="2" t="s">
        <v>32181</v>
      </c>
      <c r="C16286" s="2" t="s">
        <v>556</v>
      </c>
      <c r="D16286" s="2" t="s">
        <v>32180</v>
      </c>
      <c r="E16286" s="2" t="str">
        <f>"9783899423303"</f>
        <v>9783899423303</v>
      </c>
      <c r="F16286" s="2" t="str">
        <f>"9783839403303"</f>
        <v>9783839403303</v>
      </c>
    </row>
    <row r="16287" spans="1:6" s="3" customFormat="1" ht="29.1" customHeight="1" x14ac:dyDescent="0.25">
      <c r="A16287" s="2" t="s">
        <v>32182</v>
      </c>
      <c r="B16287" s="2" t="s">
        <v>6449</v>
      </c>
      <c r="C16287" s="2" t="s">
        <v>556</v>
      </c>
      <c r="D16287" s="2" t="s">
        <v>636</v>
      </c>
      <c r="E16287" s="2" t="str">
        <f>"9783899423297"</f>
        <v>9783899423297</v>
      </c>
      <c r="F16287" s="2" t="str">
        <f>"9783839403297"</f>
        <v>9783839403297</v>
      </c>
    </row>
    <row r="16288" spans="1:6" s="3" customFormat="1" ht="29.1" customHeight="1" x14ac:dyDescent="0.25">
      <c r="A16288" s="2" t="s">
        <v>32183</v>
      </c>
      <c r="B16288" s="2" t="s">
        <v>32184</v>
      </c>
      <c r="C16288" s="2" t="s">
        <v>556</v>
      </c>
      <c r="D16288" s="2" t="s">
        <v>998</v>
      </c>
      <c r="E16288" s="2" t="str">
        <f>"9783899423242"</f>
        <v>9783899423242</v>
      </c>
      <c r="F16288" s="2" t="str">
        <f>"9783839403242"</f>
        <v>9783839403242</v>
      </c>
    </row>
    <row r="16289" spans="1:6" s="3" customFormat="1" ht="29.1" customHeight="1" x14ac:dyDescent="0.25">
      <c r="A16289" s="2" t="s">
        <v>32185</v>
      </c>
      <c r="B16289" s="2" t="s">
        <v>32186</v>
      </c>
      <c r="C16289" s="2" t="s">
        <v>556</v>
      </c>
      <c r="D16289" s="2" t="s">
        <v>3839</v>
      </c>
      <c r="E16289" s="2" t="str">
        <f>"9783899423228"</f>
        <v>9783899423228</v>
      </c>
      <c r="F16289" s="2" t="str">
        <f>"9783839403228"</f>
        <v>9783839403228</v>
      </c>
    </row>
    <row r="16290" spans="1:6" s="3" customFormat="1" ht="29.1" customHeight="1" x14ac:dyDescent="0.25">
      <c r="A16290" s="2" t="s">
        <v>32187</v>
      </c>
      <c r="B16290" s="2" t="s">
        <v>32188</v>
      </c>
      <c r="C16290" s="2" t="s">
        <v>556</v>
      </c>
      <c r="D16290" s="2" t="s">
        <v>1411</v>
      </c>
      <c r="E16290" s="2" t="str">
        <f>"9783899423211"</f>
        <v>9783899423211</v>
      </c>
      <c r="F16290" s="2" t="str">
        <f>"9783839403211"</f>
        <v>9783839403211</v>
      </c>
    </row>
    <row r="16291" spans="1:6" s="3" customFormat="1" ht="29.1" customHeight="1" x14ac:dyDescent="0.25">
      <c r="A16291" s="2" t="s">
        <v>32189</v>
      </c>
      <c r="B16291" s="2" t="s">
        <v>32190</v>
      </c>
      <c r="C16291" s="2" t="s">
        <v>556</v>
      </c>
      <c r="D16291" s="2" t="s">
        <v>3345</v>
      </c>
      <c r="E16291" s="2" t="str">
        <f>"9783899423198"</f>
        <v>9783899423198</v>
      </c>
      <c r="F16291" s="2" t="str">
        <f>"9783839403198"</f>
        <v>9783839403198</v>
      </c>
    </row>
    <row r="16292" spans="1:6" s="3" customFormat="1" ht="29.1" customHeight="1" x14ac:dyDescent="0.25">
      <c r="A16292" s="2" t="s">
        <v>32191</v>
      </c>
      <c r="B16292" s="2" t="s">
        <v>32192</v>
      </c>
      <c r="C16292" s="2" t="s">
        <v>556</v>
      </c>
      <c r="D16292" s="2" t="s">
        <v>998</v>
      </c>
      <c r="E16292" s="2" t="str">
        <f>"9783899423167"</f>
        <v>9783899423167</v>
      </c>
      <c r="F16292" s="2" t="str">
        <f>"9783839403167"</f>
        <v>9783839403167</v>
      </c>
    </row>
    <row r="16293" spans="1:6" s="3" customFormat="1" ht="29.1" customHeight="1" x14ac:dyDescent="0.25">
      <c r="A16293" s="2" t="s">
        <v>32193</v>
      </c>
      <c r="B16293" s="2" t="s">
        <v>32194</v>
      </c>
      <c r="C16293" s="2" t="s">
        <v>556</v>
      </c>
      <c r="D16293" s="2" t="s">
        <v>647</v>
      </c>
      <c r="E16293" s="2" t="str">
        <f>"9783899423143"</f>
        <v>9783899423143</v>
      </c>
      <c r="F16293" s="2" t="str">
        <f>"9783839403143"</f>
        <v>9783839403143</v>
      </c>
    </row>
    <row r="16294" spans="1:6" s="3" customFormat="1" ht="29.1" customHeight="1" x14ac:dyDescent="0.25">
      <c r="A16294" s="2" t="s">
        <v>32195</v>
      </c>
      <c r="B16294" s="2" t="s">
        <v>32196</v>
      </c>
      <c r="C16294" s="2" t="s">
        <v>556</v>
      </c>
      <c r="D16294" s="2" t="s">
        <v>218</v>
      </c>
      <c r="E16294" s="2" t="str">
        <f>"9783899423129"</f>
        <v>9783899423129</v>
      </c>
      <c r="F16294" s="2" t="str">
        <f>"9783839403129"</f>
        <v>9783839403129</v>
      </c>
    </row>
    <row r="16295" spans="1:6" s="3" customFormat="1" ht="29.1" customHeight="1" x14ac:dyDescent="0.25">
      <c r="A16295" s="2" t="s">
        <v>32197</v>
      </c>
      <c r="B16295" s="2" t="s">
        <v>32198</v>
      </c>
      <c r="C16295" s="2" t="s">
        <v>556</v>
      </c>
      <c r="D16295" s="2" t="s">
        <v>378</v>
      </c>
      <c r="E16295" s="2" t="str">
        <f>"9783899423044"</f>
        <v>9783899423044</v>
      </c>
      <c r="F16295" s="2" t="str">
        <f>"9783839403044"</f>
        <v>9783839403044</v>
      </c>
    </row>
    <row r="16296" spans="1:6" s="3" customFormat="1" ht="29.1" customHeight="1" x14ac:dyDescent="0.25">
      <c r="A16296" s="2" t="s">
        <v>32199</v>
      </c>
      <c r="B16296" s="2" t="s">
        <v>32200</v>
      </c>
      <c r="C16296" s="2" t="s">
        <v>556</v>
      </c>
      <c r="D16296" s="2" t="s">
        <v>1411</v>
      </c>
      <c r="E16296" s="2" t="str">
        <f>"9783899422986"</f>
        <v>9783899422986</v>
      </c>
      <c r="F16296" s="2" t="str">
        <f>"9783839402986"</f>
        <v>9783839402986</v>
      </c>
    </row>
    <row r="16297" spans="1:6" s="3" customFormat="1" ht="29.1" customHeight="1" x14ac:dyDescent="0.25">
      <c r="A16297" s="2" t="s">
        <v>32201</v>
      </c>
      <c r="B16297" s="2" t="s">
        <v>32202</v>
      </c>
      <c r="C16297" s="2" t="s">
        <v>556</v>
      </c>
      <c r="D16297" s="2" t="s">
        <v>639</v>
      </c>
      <c r="E16297" s="2" t="str">
        <f>"9783899422979"</f>
        <v>9783899422979</v>
      </c>
      <c r="F16297" s="2" t="str">
        <f>"9783839402979"</f>
        <v>9783839402979</v>
      </c>
    </row>
    <row r="16298" spans="1:6" s="3" customFormat="1" ht="29.1" customHeight="1" x14ac:dyDescent="0.25">
      <c r="A16298" s="2" t="s">
        <v>32203</v>
      </c>
      <c r="B16298" s="2" t="s">
        <v>32204</v>
      </c>
      <c r="C16298" s="2" t="s">
        <v>556</v>
      </c>
      <c r="D16298" s="2" t="s">
        <v>2147</v>
      </c>
      <c r="E16298" s="2" t="str">
        <f>"9783899422962"</f>
        <v>9783899422962</v>
      </c>
      <c r="F16298" s="2" t="str">
        <f>"9783839402962"</f>
        <v>9783839402962</v>
      </c>
    </row>
    <row r="16299" spans="1:6" s="3" customFormat="1" ht="29.1" customHeight="1" x14ac:dyDescent="0.25">
      <c r="A16299" s="2" t="s">
        <v>32205</v>
      </c>
      <c r="B16299" s="2" t="s">
        <v>32206</v>
      </c>
      <c r="C16299" s="2" t="s">
        <v>556</v>
      </c>
      <c r="D16299" s="2" t="s">
        <v>490</v>
      </c>
      <c r="E16299" s="2" t="str">
        <f>"9783899422948"</f>
        <v>9783899422948</v>
      </c>
      <c r="F16299" s="2" t="str">
        <f>"9783839402948"</f>
        <v>9783839402948</v>
      </c>
    </row>
    <row r="16300" spans="1:6" s="3" customFormat="1" ht="29.1" customHeight="1" x14ac:dyDescent="0.25">
      <c r="A16300" s="2" t="s">
        <v>32207</v>
      </c>
      <c r="B16300" s="2" t="s">
        <v>32208</v>
      </c>
      <c r="C16300" s="2" t="s">
        <v>556</v>
      </c>
      <c r="D16300" s="2" t="s">
        <v>636</v>
      </c>
      <c r="E16300" s="2" t="str">
        <f>"9783899422900"</f>
        <v>9783899422900</v>
      </c>
      <c r="F16300" s="2" t="str">
        <f>"9783839402900"</f>
        <v>9783839402900</v>
      </c>
    </row>
    <row r="16301" spans="1:6" s="3" customFormat="1" ht="29.1" customHeight="1" x14ac:dyDescent="0.25">
      <c r="A16301" s="2" t="s">
        <v>32209</v>
      </c>
      <c r="B16301" s="2" t="s">
        <v>32210</v>
      </c>
      <c r="C16301" s="2" t="s">
        <v>556</v>
      </c>
      <c r="D16301" s="2" t="s">
        <v>1411</v>
      </c>
      <c r="E16301" s="2" t="str">
        <f>"9783899422894"</f>
        <v>9783899422894</v>
      </c>
      <c r="F16301" s="2" t="str">
        <f>"9783839402894"</f>
        <v>9783839402894</v>
      </c>
    </row>
    <row r="16302" spans="1:6" s="3" customFormat="1" ht="29.1" customHeight="1" x14ac:dyDescent="0.25">
      <c r="A16302" s="2" t="s">
        <v>32211</v>
      </c>
      <c r="B16302" s="2" t="s">
        <v>32212</v>
      </c>
      <c r="C16302" s="2" t="s">
        <v>556</v>
      </c>
      <c r="D16302" s="2" t="s">
        <v>218</v>
      </c>
      <c r="E16302" s="2" t="str">
        <f>"9783899422887"</f>
        <v>9783899422887</v>
      </c>
      <c r="F16302" s="2" t="str">
        <f>"9783839402887"</f>
        <v>9783839402887</v>
      </c>
    </row>
    <row r="16303" spans="1:6" s="3" customFormat="1" ht="29.1" customHeight="1" x14ac:dyDescent="0.25">
      <c r="A16303" s="2" t="s">
        <v>32213</v>
      </c>
      <c r="B16303" s="2" t="s">
        <v>32214</v>
      </c>
      <c r="C16303" s="2" t="s">
        <v>556</v>
      </c>
      <c r="D16303" s="2" t="s">
        <v>636</v>
      </c>
      <c r="E16303" s="2" t="str">
        <f>"9783899422825"</f>
        <v>9783899422825</v>
      </c>
      <c r="F16303" s="2" t="str">
        <f>"9783839402825"</f>
        <v>9783839402825</v>
      </c>
    </row>
    <row r="16304" spans="1:6" s="3" customFormat="1" ht="29.1" customHeight="1" x14ac:dyDescent="0.25">
      <c r="A16304" s="2" t="s">
        <v>32014</v>
      </c>
      <c r="B16304" s="2" t="s">
        <v>32013</v>
      </c>
      <c r="C16304" s="2" t="s">
        <v>556</v>
      </c>
      <c r="D16304" s="2" t="s">
        <v>712</v>
      </c>
      <c r="E16304" s="2" t="str">
        <f>"9783899422801"</f>
        <v>9783899422801</v>
      </c>
      <c r="F16304" s="2" t="str">
        <f>"9783839402801"</f>
        <v>9783839402801</v>
      </c>
    </row>
    <row r="16305" spans="1:6" s="3" customFormat="1" ht="29.1" customHeight="1" x14ac:dyDescent="0.25">
      <c r="A16305" s="2" t="s">
        <v>32215</v>
      </c>
      <c r="B16305" s="2" t="s">
        <v>32216</v>
      </c>
      <c r="C16305" s="2" t="s">
        <v>556</v>
      </c>
      <c r="D16305" s="2" t="s">
        <v>712</v>
      </c>
      <c r="E16305" s="2" t="str">
        <f>"9783899422757"</f>
        <v>9783899422757</v>
      </c>
      <c r="F16305" s="2" t="str">
        <f>"9783839402757"</f>
        <v>9783839402757</v>
      </c>
    </row>
    <row r="16306" spans="1:6" s="3" customFormat="1" ht="29.1" customHeight="1" x14ac:dyDescent="0.25">
      <c r="A16306" s="2" t="s">
        <v>32217</v>
      </c>
      <c r="B16306" s="2" t="s">
        <v>32218</v>
      </c>
      <c r="C16306" s="2" t="s">
        <v>556</v>
      </c>
      <c r="D16306" s="2" t="s">
        <v>636</v>
      </c>
      <c r="E16306" s="2" t="str">
        <f>"9783899422719"</f>
        <v>9783899422719</v>
      </c>
      <c r="F16306" s="2" t="str">
        <f>"9783839402719"</f>
        <v>9783839402719</v>
      </c>
    </row>
    <row r="16307" spans="1:6" s="3" customFormat="1" ht="29.1" customHeight="1" x14ac:dyDescent="0.25">
      <c r="A16307" s="2" t="s">
        <v>32219</v>
      </c>
      <c r="B16307" s="2" t="s">
        <v>32220</v>
      </c>
      <c r="C16307" s="2" t="s">
        <v>556</v>
      </c>
      <c r="D16307" s="2" t="s">
        <v>6578</v>
      </c>
      <c r="E16307" s="2" t="str">
        <f>"9783899422610"</f>
        <v>9783899422610</v>
      </c>
      <c r="F16307" s="2" t="str">
        <f>"9783839402610"</f>
        <v>9783839402610</v>
      </c>
    </row>
    <row r="16308" spans="1:6" s="3" customFormat="1" ht="29.1" customHeight="1" x14ac:dyDescent="0.25">
      <c r="A16308" s="2" t="s">
        <v>32221</v>
      </c>
      <c r="B16308" s="2" t="s">
        <v>32222</v>
      </c>
      <c r="C16308" s="2" t="s">
        <v>556</v>
      </c>
      <c r="D16308" s="2" t="s">
        <v>4133</v>
      </c>
      <c r="E16308" s="2" t="str">
        <f>"9783899422597"</f>
        <v>9783899422597</v>
      </c>
      <c r="F16308" s="2" t="str">
        <f>"9783839402597"</f>
        <v>9783839402597</v>
      </c>
    </row>
    <row r="16309" spans="1:6" s="3" customFormat="1" ht="29.1" customHeight="1" x14ac:dyDescent="0.25">
      <c r="A16309" s="2" t="s">
        <v>32223</v>
      </c>
      <c r="B16309" s="2" t="s">
        <v>32224</v>
      </c>
      <c r="C16309" s="2" t="s">
        <v>556</v>
      </c>
      <c r="D16309" s="2" t="s">
        <v>712</v>
      </c>
      <c r="E16309" s="2" t="str">
        <f>"9783899422542"</f>
        <v>9783899422542</v>
      </c>
      <c r="F16309" s="2" t="str">
        <f>"9783839402542"</f>
        <v>9783839402542</v>
      </c>
    </row>
    <row r="16310" spans="1:6" s="3" customFormat="1" ht="29.1" customHeight="1" x14ac:dyDescent="0.25">
      <c r="A16310" s="2" t="s">
        <v>32225</v>
      </c>
      <c r="B16310" s="2" t="s">
        <v>32226</v>
      </c>
      <c r="C16310" s="2" t="s">
        <v>556</v>
      </c>
      <c r="D16310" s="2" t="s">
        <v>647</v>
      </c>
      <c r="E16310" s="2" t="str">
        <f>"9783899422535"</f>
        <v>9783899422535</v>
      </c>
      <c r="F16310" s="2" t="str">
        <f>"9783839402535"</f>
        <v>9783839402535</v>
      </c>
    </row>
    <row r="16311" spans="1:6" s="3" customFormat="1" ht="29.1" customHeight="1" x14ac:dyDescent="0.25">
      <c r="A16311" s="2" t="s">
        <v>32227</v>
      </c>
      <c r="B16311" s="2" t="s">
        <v>32228</v>
      </c>
      <c r="C16311" s="2" t="s">
        <v>556</v>
      </c>
      <c r="D16311" s="2" t="s">
        <v>1411</v>
      </c>
      <c r="E16311" s="2" t="str">
        <f>"9783899422511"</f>
        <v>9783899422511</v>
      </c>
      <c r="F16311" s="2" t="str">
        <f>"9783839402511"</f>
        <v>9783839402511</v>
      </c>
    </row>
    <row r="16312" spans="1:6" s="3" customFormat="1" ht="29.1" customHeight="1" x14ac:dyDescent="0.25">
      <c r="A16312" s="2" t="s">
        <v>32229</v>
      </c>
      <c r="B16312" s="2" t="s">
        <v>32230</v>
      </c>
      <c r="C16312" s="2" t="s">
        <v>556</v>
      </c>
      <c r="D16312" s="2" t="s">
        <v>1411</v>
      </c>
      <c r="E16312" s="2" t="str">
        <f>"9783899422481"</f>
        <v>9783899422481</v>
      </c>
      <c r="F16312" s="2" t="str">
        <f>"9783839402481"</f>
        <v>9783839402481</v>
      </c>
    </row>
    <row r="16313" spans="1:6" s="3" customFormat="1" ht="29.1" customHeight="1" x14ac:dyDescent="0.25">
      <c r="A16313" s="2" t="s">
        <v>32231</v>
      </c>
      <c r="B16313" s="2" t="s">
        <v>32232</v>
      </c>
      <c r="C16313" s="2" t="s">
        <v>556</v>
      </c>
      <c r="D16313" s="2" t="s">
        <v>636</v>
      </c>
      <c r="E16313" s="2" t="str">
        <f>"9783899422474"</f>
        <v>9783899422474</v>
      </c>
      <c r="F16313" s="2" t="str">
        <f>"9783839402474"</f>
        <v>9783839402474</v>
      </c>
    </row>
    <row r="16314" spans="1:6" s="3" customFormat="1" ht="29.1" customHeight="1" x14ac:dyDescent="0.25">
      <c r="A16314" s="2" t="s">
        <v>32233</v>
      </c>
      <c r="B16314" s="2" t="s">
        <v>32234</v>
      </c>
      <c r="C16314" s="2" t="s">
        <v>556</v>
      </c>
      <c r="D16314" s="2" t="s">
        <v>712</v>
      </c>
      <c r="E16314" s="2" t="str">
        <f>"9783899422405"</f>
        <v>9783899422405</v>
      </c>
      <c r="F16314" s="2" t="str">
        <f>"9783839402405"</f>
        <v>9783839402405</v>
      </c>
    </row>
    <row r="16315" spans="1:6" s="3" customFormat="1" ht="29.1" customHeight="1" x14ac:dyDescent="0.25">
      <c r="A16315" s="2" t="s">
        <v>32235</v>
      </c>
      <c r="B16315" s="2" t="s">
        <v>28809</v>
      </c>
      <c r="C16315" s="2" t="s">
        <v>556</v>
      </c>
      <c r="D16315" s="2" t="s">
        <v>202</v>
      </c>
      <c r="E16315" s="2" t="str">
        <f>"9783899422399"</f>
        <v>9783899422399</v>
      </c>
      <c r="F16315" s="2" t="str">
        <f>"9783839402399"</f>
        <v>9783839402399</v>
      </c>
    </row>
    <row r="16316" spans="1:6" s="3" customFormat="1" ht="29.1" customHeight="1" x14ac:dyDescent="0.25">
      <c r="A16316" s="2" t="s">
        <v>32236</v>
      </c>
      <c r="B16316" s="2" t="s">
        <v>32237</v>
      </c>
      <c r="C16316" s="2" t="s">
        <v>556</v>
      </c>
      <c r="D16316" s="2" t="s">
        <v>378</v>
      </c>
      <c r="E16316" s="2" t="str">
        <f>"9783899421965"</f>
        <v>9783899421965</v>
      </c>
      <c r="F16316" s="2" t="str">
        <f>"9783839401965"</f>
        <v>9783839401965</v>
      </c>
    </row>
    <row r="16317" spans="1:6" s="3" customFormat="1" ht="29.1" customHeight="1" x14ac:dyDescent="0.25">
      <c r="A16317" s="2" t="s">
        <v>32238</v>
      </c>
      <c r="B16317" s="2" t="s">
        <v>32239</v>
      </c>
      <c r="C16317" s="2" t="s">
        <v>556</v>
      </c>
      <c r="D16317" s="2" t="s">
        <v>712</v>
      </c>
      <c r="E16317" s="2" t="str">
        <f>"9783899421361"</f>
        <v>9783899421361</v>
      </c>
      <c r="F16317" s="2" t="str">
        <f>"9783839401361"</f>
        <v>9783839401361</v>
      </c>
    </row>
    <row r="16318" spans="1:6" s="3" customFormat="1" ht="29.1" customHeight="1" x14ac:dyDescent="0.25">
      <c r="A16318" s="2" t="s">
        <v>32240</v>
      </c>
      <c r="B16318" s="2" t="s">
        <v>32241</v>
      </c>
      <c r="C16318" s="2" t="s">
        <v>556</v>
      </c>
      <c r="D16318" s="2" t="s">
        <v>490</v>
      </c>
      <c r="E16318" s="2" t="str">
        <f>"9783933127945"</f>
        <v>9783933127945</v>
      </c>
      <c r="F16318" s="2" t="str">
        <f>"9783839400944"</f>
        <v>9783839400944</v>
      </c>
    </row>
    <row r="16319" spans="1:6" s="3" customFormat="1" ht="29.1" customHeight="1" x14ac:dyDescent="0.25">
      <c r="A16319" s="2" t="s">
        <v>32242</v>
      </c>
      <c r="B16319" s="2" t="s">
        <v>29608</v>
      </c>
      <c r="C16319" s="2" t="s">
        <v>195</v>
      </c>
      <c r="D16319" s="2" t="s">
        <v>465</v>
      </c>
      <c r="E16319" s="2" t="str">
        <f>"9783110751307"</f>
        <v>9783110751307</v>
      </c>
      <c r="F16319" s="2" t="str">
        <f>"9783110751321"</f>
        <v>9783110751321</v>
      </c>
    </row>
    <row r="16320" spans="1:6" s="3" customFormat="1" ht="29.1" customHeight="1" x14ac:dyDescent="0.25">
      <c r="A16320" s="2" t="s">
        <v>31522</v>
      </c>
      <c r="B16320" s="2" t="s">
        <v>32243</v>
      </c>
      <c r="C16320" s="2" t="s">
        <v>195</v>
      </c>
      <c r="D16320" s="2" t="s">
        <v>3963</v>
      </c>
      <c r="E16320" s="2" t="str">
        <f>"9783110765489"</f>
        <v>9783110765489</v>
      </c>
      <c r="F16320" s="2" t="str">
        <f>"9783110765526"</f>
        <v>9783110765526</v>
      </c>
    </row>
    <row r="16321" spans="1:6" s="3" customFormat="1" ht="29.1" customHeight="1" x14ac:dyDescent="0.25">
      <c r="A16321" s="2" t="s">
        <v>32244</v>
      </c>
      <c r="B16321" s="2" t="s">
        <v>32245</v>
      </c>
      <c r="C16321" s="2" t="s">
        <v>124</v>
      </c>
      <c r="D16321" s="2" t="s">
        <v>9395</v>
      </c>
      <c r="E16321" s="2" t="str">
        <f>"9780367632670"</f>
        <v>9780367632670</v>
      </c>
      <c r="F16321" s="2" t="str">
        <f>"9781000593402"</f>
        <v>9781000593402</v>
      </c>
    </row>
    <row r="16322" spans="1:6" s="3" customFormat="1" ht="29.1" customHeight="1" x14ac:dyDescent="0.25">
      <c r="A16322" s="2" t="s">
        <v>32246</v>
      </c>
      <c r="B16322" s="2" t="s">
        <v>32247</v>
      </c>
      <c r="C16322" s="2" t="s">
        <v>4104</v>
      </c>
      <c r="D16322" s="2" t="s">
        <v>1112</v>
      </c>
      <c r="E16322" s="2" t="str">
        <f>"9781802070095"</f>
        <v>9781802070095</v>
      </c>
      <c r="F16322" s="2" t="str">
        <f>"9781802070651"</f>
        <v>9781802070651</v>
      </c>
    </row>
    <row r="16323" spans="1:6" s="3" customFormat="1" ht="29.1" customHeight="1" x14ac:dyDescent="0.25">
      <c r="A16323" s="2" t="s">
        <v>32248</v>
      </c>
      <c r="B16323" s="2" t="s">
        <v>32250</v>
      </c>
      <c r="C16323" s="2" t="s">
        <v>32249</v>
      </c>
      <c r="D16323" s="2" t="s">
        <v>107</v>
      </c>
      <c r="E16323" s="2" t="str">
        <f>"9786156405203"</f>
        <v>9786156405203</v>
      </c>
      <c r="F16323" s="2" t="str">
        <f>"9786156405210"</f>
        <v>9786156405210</v>
      </c>
    </row>
    <row r="16324" spans="1:6" s="3" customFormat="1" ht="29.1" customHeight="1" x14ac:dyDescent="0.25">
      <c r="A16324" s="2" t="s">
        <v>32251</v>
      </c>
      <c r="B16324" s="2" t="s">
        <v>32252</v>
      </c>
      <c r="C16324" s="2" t="s">
        <v>595</v>
      </c>
      <c r="D16324" s="2" t="s">
        <v>2307</v>
      </c>
      <c r="E16324" s="2" t="str">
        <f>"9783631866214"</f>
        <v>9783631866214</v>
      </c>
      <c r="F16324" s="2" t="str">
        <f>"9783631877340"</f>
        <v>9783631877340</v>
      </c>
    </row>
    <row r="16325" spans="1:6" s="3" customFormat="1" ht="29.1" customHeight="1" x14ac:dyDescent="0.25">
      <c r="A16325" s="2" t="s">
        <v>32253</v>
      </c>
      <c r="B16325" s="2" t="s">
        <v>32254</v>
      </c>
      <c r="C16325" s="2" t="s">
        <v>595</v>
      </c>
      <c r="D16325" s="2" t="s">
        <v>17099</v>
      </c>
      <c r="E16325" s="2" t="str">
        <f>"9783631856451"</f>
        <v>9783631856451</v>
      </c>
      <c r="F16325" s="2" t="str">
        <f>"9783631857328"</f>
        <v>9783631857328</v>
      </c>
    </row>
    <row r="16326" spans="1:6" s="3" customFormat="1" ht="29.1" customHeight="1" x14ac:dyDescent="0.25">
      <c r="A16326" s="2" t="s">
        <v>32255</v>
      </c>
      <c r="B16326" s="2" t="s">
        <v>32256</v>
      </c>
      <c r="C16326" s="2" t="s">
        <v>195</v>
      </c>
      <c r="D16326" s="2" t="s">
        <v>3993</v>
      </c>
      <c r="E16326" s="2" t="str">
        <f>"9783110760590"</f>
        <v>9783110760590</v>
      </c>
      <c r="F16326" s="2" t="str">
        <f>"9783110761030"</f>
        <v>9783110761030</v>
      </c>
    </row>
    <row r="16327" spans="1:6" s="3" customFormat="1" ht="29.1" customHeight="1" x14ac:dyDescent="0.25">
      <c r="A16327" s="2" t="s">
        <v>32257</v>
      </c>
      <c r="B16327" s="2" t="s">
        <v>32258</v>
      </c>
      <c r="C16327" s="2" t="s">
        <v>8104</v>
      </c>
      <c r="D16327" s="2" t="s">
        <v>2086</v>
      </c>
      <c r="E16327" s="2" t="str">
        <f>"9781800736627"</f>
        <v>9781800736627</v>
      </c>
      <c r="F16327" s="2" t="str">
        <f>"9781800736634"</f>
        <v>9781800736634</v>
      </c>
    </row>
    <row r="16328" spans="1:6" s="3" customFormat="1" ht="29.1" customHeight="1" x14ac:dyDescent="0.25">
      <c r="A16328" s="2" t="s">
        <v>1325</v>
      </c>
      <c r="B16328" s="2" t="s">
        <v>32259</v>
      </c>
      <c r="C16328" s="2" t="s">
        <v>1070</v>
      </c>
      <c r="D16328" s="2" t="s">
        <v>1272</v>
      </c>
      <c r="E16328" s="2" t="str">
        <f>"9783318023794"</f>
        <v>9783318023794</v>
      </c>
      <c r="F16328" s="2" t="str">
        <f>"9783318071320"</f>
        <v>9783318071320</v>
      </c>
    </row>
    <row r="16329" spans="1:6" s="3" customFormat="1" ht="29.1" customHeight="1" x14ac:dyDescent="0.25">
      <c r="A16329" s="2" t="s">
        <v>32260</v>
      </c>
      <c r="B16329" s="2" t="s">
        <v>32262</v>
      </c>
      <c r="C16329" s="2" t="s">
        <v>950</v>
      </c>
      <c r="D16329" s="2" t="s">
        <v>32261</v>
      </c>
      <c r="E16329" s="2"/>
      <c r="F16329" s="2" t="str">
        <f>"9788413779041"</f>
        <v>9788413779041</v>
      </c>
    </row>
    <row r="16330" spans="1:6" s="3" customFormat="1" ht="29.1" customHeight="1" x14ac:dyDescent="0.25">
      <c r="A16330" s="2" t="s">
        <v>32263</v>
      </c>
      <c r="B16330" s="2" t="s">
        <v>32264</v>
      </c>
      <c r="C16330" s="2" t="s">
        <v>950</v>
      </c>
      <c r="D16330" s="2" t="s">
        <v>2593</v>
      </c>
      <c r="E16330" s="2"/>
      <c r="F16330" s="2" t="str">
        <f>"9788413779362"</f>
        <v>9788413779362</v>
      </c>
    </row>
    <row r="16331" spans="1:6" s="3" customFormat="1" ht="29.1" customHeight="1" x14ac:dyDescent="0.25">
      <c r="A16331" s="2" t="s">
        <v>32265</v>
      </c>
      <c r="B16331" s="2" t="s">
        <v>32266</v>
      </c>
      <c r="C16331" s="2" t="s">
        <v>950</v>
      </c>
      <c r="D16331" s="2" t="s">
        <v>75</v>
      </c>
      <c r="E16331" s="2"/>
      <c r="F16331" s="2" t="str">
        <f>"9788413776477"</f>
        <v>9788413776477</v>
      </c>
    </row>
    <row r="16332" spans="1:6" s="3" customFormat="1" ht="29.1" customHeight="1" x14ac:dyDescent="0.25">
      <c r="A16332" s="2" t="s">
        <v>32267</v>
      </c>
      <c r="B16332" s="2" t="s">
        <v>32268</v>
      </c>
      <c r="C16332" s="2" t="s">
        <v>950</v>
      </c>
      <c r="D16332" s="2" t="s">
        <v>490</v>
      </c>
      <c r="E16332" s="2"/>
      <c r="F16332" s="2" t="str">
        <f>"9788413774091"</f>
        <v>9788413774091</v>
      </c>
    </row>
    <row r="16333" spans="1:6" s="3" customFormat="1" ht="29.1" customHeight="1" x14ac:dyDescent="0.25">
      <c r="A16333" s="2" t="s">
        <v>32269</v>
      </c>
      <c r="B16333" s="2" t="s">
        <v>32270</v>
      </c>
      <c r="C16333" s="2" t="s">
        <v>950</v>
      </c>
      <c r="D16333" s="2" t="s">
        <v>3963</v>
      </c>
      <c r="E16333" s="2" t="str">
        <f>"9788411221825"</f>
        <v>9788411221825</v>
      </c>
      <c r="F16333" s="2" t="str">
        <f>"9788411222143"</f>
        <v>9788411222143</v>
      </c>
    </row>
    <row r="16334" spans="1:6" s="3" customFormat="1" ht="29.1" customHeight="1" x14ac:dyDescent="0.25">
      <c r="A16334" s="2" t="s">
        <v>32271</v>
      </c>
      <c r="B16334" s="2" t="s">
        <v>32272</v>
      </c>
      <c r="C16334" s="2" t="s">
        <v>950</v>
      </c>
      <c r="D16334" s="2" t="s">
        <v>553</v>
      </c>
      <c r="E16334" s="2" t="str">
        <f>"9788411221917"</f>
        <v>9788411221917</v>
      </c>
      <c r="F16334" s="2" t="str">
        <f>"9788411222136"</f>
        <v>9788411222136</v>
      </c>
    </row>
    <row r="16335" spans="1:6" s="3" customFormat="1" ht="29.1" customHeight="1" x14ac:dyDescent="0.25">
      <c r="A16335" s="2" t="s">
        <v>32273</v>
      </c>
      <c r="B16335" s="2" t="s">
        <v>26817</v>
      </c>
      <c r="C16335" s="2" t="s">
        <v>950</v>
      </c>
      <c r="D16335" s="2" t="s">
        <v>2551</v>
      </c>
      <c r="E16335" s="2" t="str">
        <f>"9788413248479"</f>
        <v>9788413248479</v>
      </c>
      <c r="F16335" s="2" t="str">
        <f>"9788411222082"</f>
        <v>9788411222082</v>
      </c>
    </row>
    <row r="16336" spans="1:6" s="3" customFormat="1" ht="29.1" customHeight="1" x14ac:dyDescent="0.25">
      <c r="A16336" s="2" t="s">
        <v>32274</v>
      </c>
      <c r="B16336" s="2" t="s">
        <v>32275</v>
      </c>
      <c r="C16336" s="2" t="s">
        <v>950</v>
      </c>
      <c r="D16336" s="2" t="s">
        <v>855</v>
      </c>
      <c r="E16336" s="2" t="str">
        <f>"9788413778051"</f>
        <v>9788413778051</v>
      </c>
      <c r="F16336" s="2" t="str">
        <f>"9788411221351"</f>
        <v>9788411221351</v>
      </c>
    </row>
    <row r="16337" spans="1:6" s="3" customFormat="1" ht="29.1" customHeight="1" x14ac:dyDescent="0.25">
      <c r="A16337" s="2" t="s">
        <v>32276</v>
      </c>
      <c r="B16337" s="2" t="s">
        <v>32277</v>
      </c>
      <c r="C16337" s="2" t="s">
        <v>950</v>
      </c>
      <c r="D16337" s="2" t="s">
        <v>998</v>
      </c>
      <c r="E16337" s="2"/>
      <c r="F16337" s="2" t="str">
        <f>"9788411221290"</f>
        <v>9788411221290</v>
      </c>
    </row>
    <row r="16338" spans="1:6" s="3" customFormat="1" ht="29.1" customHeight="1" x14ac:dyDescent="0.25">
      <c r="A16338" s="2" t="s">
        <v>32278</v>
      </c>
      <c r="B16338" s="2" t="s">
        <v>32279</v>
      </c>
      <c r="C16338" s="2" t="s">
        <v>124</v>
      </c>
      <c r="D16338" s="2" t="s">
        <v>712</v>
      </c>
      <c r="E16338" s="2" t="str">
        <f>"9780367524333"</f>
        <v>9780367524333</v>
      </c>
      <c r="F16338" s="2" t="str">
        <f>"9781000597806"</f>
        <v>9781000597806</v>
      </c>
    </row>
    <row r="16339" spans="1:6" s="3" customFormat="1" ht="29.1" customHeight="1" x14ac:dyDescent="0.25">
      <c r="A16339" s="2" t="s">
        <v>32280</v>
      </c>
      <c r="B16339" s="2" t="s">
        <v>32281</v>
      </c>
      <c r="C16339" s="2" t="s">
        <v>2133</v>
      </c>
      <c r="D16339" s="2" t="s">
        <v>270</v>
      </c>
      <c r="E16339" s="2" t="str">
        <f>"9781921862816"</f>
        <v>9781921862816</v>
      </c>
      <c r="F16339" s="2" t="str">
        <f>"9781921862991"</f>
        <v>9781921862991</v>
      </c>
    </row>
    <row r="16340" spans="1:6" s="3" customFormat="1" ht="29.1" customHeight="1" x14ac:dyDescent="0.25">
      <c r="A16340" s="2" t="s">
        <v>32282</v>
      </c>
      <c r="B16340" s="2" t="s">
        <v>32283</v>
      </c>
      <c r="C16340" s="2" t="s">
        <v>2133</v>
      </c>
      <c r="D16340" s="2" t="s">
        <v>270</v>
      </c>
      <c r="E16340" s="2" t="str">
        <f>"9781922144003"</f>
        <v>9781922144003</v>
      </c>
      <c r="F16340" s="2" t="str">
        <f>"9781922144010"</f>
        <v>9781922144010</v>
      </c>
    </row>
    <row r="16341" spans="1:6" s="3" customFormat="1" ht="29.1" customHeight="1" x14ac:dyDescent="0.25">
      <c r="A16341" s="2" t="s">
        <v>32284</v>
      </c>
      <c r="B16341" s="2" t="s">
        <v>32285</v>
      </c>
      <c r="C16341" s="2" t="s">
        <v>2133</v>
      </c>
      <c r="D16341" s="2" t="s">
        <v>5695</v>
      </c>
      <c r="E16341" s="2" t="str">
        <f>"9781922144201"</f>
        <v>9781922144201</v>
      </c>
      <c r="F16341" s="2" t="str">
        <f>"9781922144218"</f>
        <v>9781922144218</v>
      </c>
    </row>
    <row r="16342" spans="1:6" s="3" customFormat="1" ht="29.1" customHeight="1" x14ac:dyDescent="0.25">
      <c r="A16342" s="2" t="s">
        <v>32286</v>
      </c>
      <c r="B16342" s="2" t="s">
        <v>32288</v>
      </c>
      <c r="C16342" s="2" t="s">
        <v>2133</v>
      </c>
      <c r="D16342" s="2" t="s">
        <v>32287</v>
      </c>
      <c r="E16342" s="2" t="str">
        <f>"9781922144126"</f>
        <v>9781922144126</v>
      </c>
      <c r="F16342" s="2" t="str">
        <f>"9781922144133"</f>
        <v>9781922144133</v>
      </c>
    </row>
    <row r="16343" spans="1:6" s="3" customFormat="1" ht="29.1" customHeight="1" x14ac:dyDescent="0.25">
      <c r="A16343" s="2" t="s">
        <v>32289</v>
      </c>
      <c r="B16343" s="2" t="s">
        <v>32290</v>
      </c>
      <c r="C16343" s="2" t="s">
        <v>2133</v>
      </c>
      <c r="D16343" s="2" t="s">
        <v>297</v>
      </c>
      <c r="E16343" s="2" t="str">
        <f>"9781922144065"</f>
        <v>9781922144065</v>
      </c>
      <c r="F16343" s="2" t="str">
        <f>"9781922144072"</f>
        <v>9781922144072</v>
      </c>
    </row>
    <row r="16344" spans="1:6" s="3" customFormat="1" ht="29.1" customHeight="1" x14ac:dyDescent="0.25">
      <c r="A16344" s="2" t="s">
        <v>32291</v>
      </c>
      <c r="B16344" s="2" t="s">
        <v>15547</v>
      </c>
      <c r="C16344" s="2" t="s">
        <v>2133</v>
      </c>
      <c r="D16344" s="2" t="s">
        <v>270</v>
      </c>
      <c r="E16344" s="2" t="str">
        <f>"9781922144621"</f>
        <v>9781922144621</v>
      </c>
      <c r="F16344" s="2" t="str">
        <f>"9781922144638"</f>
        <v>9781922144638</v>
      </c>
    </row>
    <row r="16345" spans="1:6" s="3" customFormat="1" ht="29.1" customHeight="1" x14ac:dyDescent="0.25">
      <c r="A16345" s="2" t="s">
        <v>32292</v>
      </c>
      <c r="B16345" s="2" t="s">
        <v>32293</v>
      </c>
      <c r="C16345" s="2" t="s">
        <v>2133</v>
      </c>
      <c r="D16345" s="2" t="s">
        <v>270</v>
      </c>
      <c r="E16345" s="2" t="str">
        <f>"9781922144508"</f>
        <v>9781922144508</v>
      </c>
      <c r="F16345" s="2" t="str">
        <f>"9781922144515"</f>
        <v>9781922144515</v>
      </c>
    </row>
    <row r="16346" spans="1:6" s="3" customFormat="1" ht="29.1" customHeight="1" x14ac:dyDescent="0.25">
      <c r="A16346" s="2" t="s">
        <v>32294</v>
      </c>
      <c r="B16346" s="2" t="s">
        <v>13910</v>
      </c>
      <c r="C16346" s="2" t="s">
        <v>2133</v>
      </c>
      <c r="D16346" s="2" t="s">
        <v>297</v>
      </c>
      <c r="E16346" s="2" t="str">
        <f>"9781922144416"</f>
        <v>9781922144416</v>
      </c>
      <c r="F16346" s="2" t="str">
        <f>"9781922144423"</f>
        <v>9781922144423</v>
      </c>
    </row>
    <row r="16347" spans="1:6" s="3" customFormat="1" ht="29.1" customHeight="1" x14ac:dyDescent="0.25">
      <c r="A16347" s="2" t="s">
        <v>32295</v>
      </c>
      <c r="B16347" s="2" t="s">
        <v>32296</v>
      </c>
      <c r="C16347" s="2" t="s">
        <v>2133</v>
      </c>
      <c r="D16347" s="2" t="s">
        <v>186</v>
      </c>
      <c r="E16347" s="2" t="str">
        <f>"9781922144478"</f>
        <v>9781922144478</v>
      </c>
      <c r="F16347" s="2" t="str">
        <f>"9781922144485"</f>
        <v>9781922144485</v>
      </c>
    </row>
    <row r="16348" spans="1:6" s="3" customFormat="1" ht="29.1" customHeight="1" x14ac:dyDescent="0.25">
      <c r="A16348" s="2" t="s">
        <v>32297</v>
      </c>
      <c r="B16348" s="2" t="s">
        <v>32298</v>
      </c>
      <c r="C16348" s="2" t="s">
        <v>195</v>
      </c>
      <c r="D16348" s="2" t="s">
        <v>405</v>
      </c>
      <c r="E16348" s="2" t="str">
        <f>"9783110496406"</f>
        <v>9783110496406</v>
      </c>
      <c r="F16348" s="2" t="str">
        <f>"9783110520521"</f>
        <v>9783110520521</v>
      </c>
    </row>
    <row r="16349" spans="1:6" s="3" customFormat="1" ht="29.1" customHeight="1" x14ac:dyDescent="0.25">
      <c r="A16349" s="2" t="s">
        <v>32299</v>
      </c>
      <c r="B16349" s="2" t="s">
        <v>32300</v>
      </c>
      <c r="C16349" s="2" t="s">
        <v>595</v>
      </c>
      <c r="D16349" s="2" t="s">
        <v>8425</v>
      </c>
      <c r="E16349" s="2" t="str">
        <f>"9783631874479"</f>
        <v>9783631874479</v>
      </c>
      <c r="F16349" s="2" t="str">
        <f>"9783631874943"</f>
        <v>9783631874943</v>
      </c>
    </row>
    <row r="16350" spans="1:6" s="3" customFormat="1" ht="29.1" customHeight="1" x14ac:dyDescent="0.25">
      <c r="A16350" s="2" t="s">
        <v>32301</v>
      </c>
      <c r="B16350" s="2" t="s">
        <v>32302</v>
      </c>
      <c r="C16350" s="2" t="s">
        <v>316</v>
      </c>
      <c r="D16350" s="2" t="s">
        <v>2697</v>
      </c>
      <c r="E16350" s="2" t="str">
        <f>"9783035718645"</f>
        <v>9783035718645</v>
      </c>
      <c r="F16350" s="2" t="str">
        <f>"9783035737684"</f>
        <v>9783035737684</v>
      </c>
    </row>
    <row r="16351" spans="1:6" s="3" customFormat="1" ht="29.1" customHeight="1" x14ac:dyDescent="0.25">
      <c r="A16351" s="2" t="s">
        <v>32303</v>
      </c>
      <c r="B16351" s="2" t="s">
        <v>32304</v>
      </c>
      <c r="C16351" s="2" t="s">
        <v>605</v>
      </c>
      <c r="D16351" s="2" t="s">
        <v>606</v>
      </c>
      <c r="E16351" s="2" t="str">
        <f>"9789654067539"</f>
        <v>9789654067539</v>
      </c>
      <c r="F16351" s="2" t="str">
        <f>"9789654067546"</f>
        <v>9789654067546</v>
      </c>
    </row>
    <row r="16352" spans="1:6" s="3" customFormat="1" ht="29.1" customHeight="1" x14ac:dyDescent="0.25">
      <c r="A16352" s="2" t="s">
        <v>32305</v>
      </c>
      <c r="B16352" s="2" t="s">
        <v>32306</v>
      </c>
      <c r="C16352" s="2" t="s">
        <v>327</v>
      </c>
      <c r="D16352" s="2" t="s">
        <v>1806</v>
      </c>
      <c r="E16352" s="2" t="str">
        <f>"9788382206838"</f>
        <v>9788382206838</v>
      </c>
      <c r="F16352" s="2" t="str">
        <f>"9788382206845"</f>
        <v>9788382206845</v>
      </c>
    </row>
    <row r="16353" spans="1:6" s="3" customFormat="1" ht="29.1" customHeight="1" x14ac:dyDescent="0.25">
      <c r="A16353" s="2" t="s">
        <v>32307</v>
      </c>
      <c r="B16353" s="2" t="s">
        <v>32308</v>
      </c>
      <c r="C16353" s="2" t="s">
        <v>327</v>
      </c>
      <c r="D16353" s="2" t="s">
        <v>7436</v>
      </c>
      <c r="E16353" s="2"/>
      <c r="F16353" s="2" t="str">
        <f>"9788382207453"</f>
        <v>9788382207453</v>
      </c>
    </row>
    <row r="16354" spans="1:6" s="3" customFormat="1" ht="29.1" customHeight="1" x14ac:dyDescent="0.25">
      <c r="A16354" s="2" t="s">
        <v>32309</v>
      </c>
      <c r="B16354" s="2" t="s">
        <v>32310</v>
      </c>
      <c r="C16354" s="2" t="s">
        <v>327</v>
      </c>
      <c r="D16354" s="2" t="s">
        <v>5758</v>
      </c>
      <c r="E16354" s="2" t="str">
        <f>"9788382207378"</f>
        <v>9788382207378</v>
      </c>
      <c r="F16354" s="2" t="str">
        <f>"9788382207385"</f>
        <v>9788382207385</v>
      </c>
    </row>
    <row r="16355" spans="1:6" s="3" customFormat="1" ht="29.1" customHeight="1" x14ac:dyDescent="0.25">
      <c r="A16355" s="2" t="s">
        <v>32311</v>
      </c>
      <c r="B16355" s="2" t="s">
        <v>32312</v>
      </c>
      <c r="C16355" s="2" t="s">
        <v>2242</v>
      </c>
      <c r="D16355" s="2" t="s">
        <v>4619</v>
      </c>
      <c r="E16355" s="2" t="str">
        <f>"9788024443652"</f>
        <v>9788024443652</v>
      </c>
      <c r="F16355" s="2" t="str">
        <f>"9788024460956"</f>
        <v>9788024460956</v>
      </c>
    </row>
    <row r="16356" spans="1:6" s="3" customFormat="1" ht="29.1" customHeight="1" x14ac:dyDescent="0.25">
      <c r="A16356" s="2" t="s">
        <v>32313</v>
      </c>
      <c r="B16356" s="2" t="s">
        <v>32314</v>
      </c>
      <c r="C16356" s="2" t="s">
        <v>2242</v>
      </c>
      <c r="D16356" s="2" t="s">
        <v>135</v>
      </c>
      <c r="E16356" s="2" t="str">
        <f>"9788024459516"</f>
        <v>9788024459516</v>
      </c>
      <c r="F16356" s="2" t="str">
        <f>"9788024459523"</f>
        <v>9788024459523</v>
      </c>
    </row>
    <row r="16357" spans="1:6" s="3" customFormat="1" ht="29.1" customHeight="1" x14ac:dyDescent="0.25">
      <c r="A16357" s="2" t="s">
        <v>32315</v>
      </c>
      <c r="B16357" s="2" t="s">
        <v>32316</v>
      </c>
      <c r="C16357" s="2" t="s">
        <v>2242</v>
      </c>
      <c r="D16357" s="2" t="s">
        <v>1585</v>
      </c>
      <c r="E16357" s="2"/>
      <c r="F16357" s="2" t="str">
        <f>"9788024460864"</f>
        <v>9788024460864</v>
      </c>
    </row>
    <row r="16358" spans="1:6" s="3" customFormat="1" ht="29.1" customHeight="1" x14ac:dyDescent="0.25">
      <c r="A16358" s="2" t="s">
        <v>32317</v>
      </c>
      <c r="B16358" s="2" t="s">
        <v>32318</v>
      </c>
      <c r="C16358" s="2" t="s">
        <v>2242</v>
      </c>
      <c r="D16358" s="2" t="s">
        <v>1253</v>
      </c>
      <c r="E16358" s="2" t="str">
        <f>"9788024460796"</f>
        <v>9788024460796</v>
      </c>
      <c r="F16358" s="2" t="str">
        <f>"9788024460802"</f>
        <v>9788024460802</v>
      </c>
    </row>
    <row r="16359" spans="1:6" s="3" customFormat="1" ht="29.1" customHeight="1" x14ac:dyDescent="0.25">
      <c r="A16359" s="2" t="s">
        <v>32319</v>
      </c>
      <c r="B16359" s="2" t="s">
        <v>32320</v>
      </c>
      <c r="C16359" s="2" t="s">
        <v>2242</v>
      </c>
      <c r="D16359" s="2" t="s">
        <v>1336</v>
      </c>
      <c r="E16359" s="2"/>
      <c r="F16359" s="2" t="str">
        <f>"9788024460499"</f>
        <v>9788024460499</v>
      </c>
    </row>
    <row r="16360" spans="1:6" s="3" customFormat="1" ht="29.1" customHeight="1" x14ac:dyDescent="0.25">
      <c r="A16360" s="2" t="s">
        <v>32321</v>
      </c>
      <c r="B16360" s="2" t="s">
        <v>874</v>
      </c>
      <c r="C16360" s="2" t="s">
        <v>124</v>
      </c>
      <c r="D16360" s="2" t="s">
        <v>402</v>
      </c>
      <c r="E16360" s="2" t="str">
        <f>"9780367857615"</f>
        <v>9780367857615</v>
      </c>
      <c r="F16360" s="2" t="str">
        <f>"9781000614596"</f>
        <v>9781000614596</v>
      </c>
    </row>
    <row r="16361" spans="1:6" s="3" customFormat="1" ht="29.1" customHeight="1" x14ac:dyDescent="0.25">
      <c r="A16361" s="2" t="s">
        <v>32322</v>
      </c>
      <c r="B16361" s="2" t="s">
        <v>15547</v>
      </c>
      <c r="C16361" s="2" t="s">
        <v>2133</v>
      </c>
      <c r="D16361" s="2" t="s">
        <v>66</v>
      </c>
      <c r="E16361" s="2" t="str">
        <f>"9781922144881"</f>
        <v>9781922144881</v>
      </c>
      <c r="F16361" s="2" t="str">
        <f>"9781922144898"</f>
        <v>9781922144898</v>
      </c>
    </row>
    <row r="16362" spans="1:6" s="3" customFormat="1" ht="29.1" customHeight="1" x14ac:dyDescent="0.25">
      <c r="A16362" s="2" t="s">
        <v>32323</v>
      </c>
      <c r="B16362" s="2" t="s">
        <v>32324</v>
      </c>
      <c r="C16362" s="2" t="s">
        <v>2133</v>
      </c>
      <c r="D16362" s="2" t="s">
        <v>4059</v>
      </c>
      <c r="E16362" s="2" t="str">
        <f>"9781760465100"</f>
        <v>9781760465100</v>
      </c>
      <c r="F16362" s="2" t="str">
        <f>"9781760465117"</f>
        <v>9781760465117</v>
      </c>
    </row>
    <row r="16363" spans="1:6" s="3" customFormat="1" ht="29.1" customHeight="1" x14ac:dyDescent="0.25">
      <c r="A16363" s="2" t="s">
        <v>32325</v>
      </c>
      <c r="B16363" s="2" t="s">
        <v>32326</v>
      </c>
      <c r="C16363" s="2" t="s">
        <v>2133</v>
      </c>
      <c r="D16363" s="2" t="s">
        <v>15324</v>
      </c>
      <c r="E16363" s="2" t="str">
        <f>"9781922144584"</f>
        <v>9781922144584</v>
      </c>
      <c r="F16363" s="2" t="str">
        <f>"9781922144591"</f>
        <v>9781922144591</v>
      </c>
    </row>
    <row r="16364" spans="1:6" s="3" customFormat="1" ht="29.1" customHeight="1" x14ac:dyDescent="0.25">
      <c r="A16364" s="2" t="s">
        <v>16284</v>
      </c>
      <c r="B16364" s="2" t="s">
        <v>32327</v>
      </c>
      <c r="C16364" s="2" t="s">
        <v>2133</v>
      </c>
      <c r="D16364" s="2" t="s">
        <v>1959</v>
      </c>
      <c r="E16364" s="2" t="str">
        <f>"9781921862939"</f>
        <v>9781921862939</v>
      </c>
      <c r="F16364" s="2" t="str">
        <f>"9781921862946"</f>
        <v>9781921862946</v>
      </c>
    </row>
    <row r="16365" spans="1:6" s="3" customFormat="1" ht="29.1" customHeight="1" x14ac:dyDescent="0.25">
      <c r="A16365" s="2" t="s">
        <v>32328</v>
      </c>
      <c r="B16365" s="2" t="s">
        <v>32329</v>
      </c>
      <c r="C16365" s="2" t="s">
        <v>2133</v>
      </c>
      <c r="D16365" s="2" t="s">
        <v>270</v>
      </c>
      <c r="E16365" s="2" t="str">
        <f>"9781925021479"</f>
        <v>9781925021479</v>
      </c>
      <c r="F16365" s="2" t="str">
        <f>"9781925021486"</f>
        <v>9781925021486</v>
      </c>
    </row>
    <row r="16366" spans="1:6" s="3" customFormat="1" ht="29.1" customHeight="1" x14ac:dyDescent="0.25">
      <c r="A16366" s="2" t="s">
        <v>32330</v>
      </c>
      <c r="B16366" s="2" t="s">
        <v>32331</v>
      </c>
      <c r="C16366" s="2" t="s">
        <v>2133</v>
      </c>
      <c r="D16366" s="2" t="s">
        <v>27260</v>
      </c>
      <c r="E16366" s="2" t="str">
        <f>"9781922144744"</f>
        <v>9781922144744</v>
      </c>
      <c r="F16366" s="2" t="str">
        <f>"9781922144751"</f>
        <v>9781922144751</v>
      </c>
    </row>
    <row r="16367" spans="1:6" s="3" customFormat="1" ht="29.1" customHeight="1" x14ac:dyDescent="0.25">
      <c r="A16367" s="2" t="s">
        <v>32332</v>
      </c>
      <c r="B16367" s="2" t="s">
        <v>32333</v>
      </c>
      <c r="C16367" s="2" t="s">
        <v>2133</v>
      </c>
      <c r="D16367" s="2" t="s">
        <v>294</v>
      </c>
      <c r="E16367" s="2" t="str">
        <f>"9781922144188"</f>
        <v>9781922144188</v>
      </c>
      <c r="F16367" s="2" t="str">
        <f>"9781922144195"</f>
        <v>9781922144195</v>
      </c>
    </row>
    <row r="16368" spans="1:6" s="3" customFormat="1" ht="29.1" customHeight="1" x14ac:dyDescent="0.25">
      <c r="A16368" s="2" t="s">
        <v>32334</v>
      </c>
      <c r="B16368" s="2" t="s">
        <v>32335</v>
      </c>
      <c r="C16368" s="2" t="s">
        <v>2133</v>
      </c>
      <c r="D16368" s="2" t="s">
        <v>3523</v>
      </c>
      <c r="E16368" s="2"/>
      <c r="F16368" s="2" t="str">
        <f>"9781922144287"</f>
        <v>9781922144287</v>
      </c>
    </row>
    <row r="16369" spans="1:6" s="3" customFormat="1" ht="29.1" customHeight="1" x14ac:dyDescent="0.25">
      <c r="A16369" s="2" t="s">
        <v>32336</v>
      </c>
      <c r="B16369" s="2" t="s">
        <v>32337</v>
      </c>
      <c r="C16369" s="2" t="s">
        <v>2133</v>
      </c>
      <c r="D16369" s="2" t="s">
        <v>8149</v>
      </c>
      <c r="E16369" s="2" t="str">
        <f>"9781922144782"</f>
        <v>9781922144782</v>
      </c>
      <c r="F16369" s="2" t="str">
        <f>"9781922144799"</f>
        <v>9781922144799</v>
      </c>
    </row>
    <row r="16370" spans="1:6" s="3" customFormat="1" ht="29.1" customHeight="1" x14ac:dyDescent="0.25">
      <c r="A16370" s="2" t="s">
        <v>32338</v>
      </c>
      <c r="B16370" s="2" t="s">
        <v>32339</v>
      </c>
      <c r="C16370" s="2" t="s">
        <v>2133</v>
      </c>
      <c r="D16370" s="2" t="s">
        <v>6837</v>
      </c>
      <c r="E16370" s="2" t="str">
        <f>"9781922144928"</f>
        <v>9781922144928</v>
      </c>
      <c r="F16370" s="2" t="str">
        <f>"9781922144935"</f>
        <v>9781922144935</v>
      </c>
    </row>
    <row r="16371" spans="1:6" s="3" customFormat="1" ht="29.1" customHeight="1" x14ac:dyDescent="0.25">
      <c r="A16371" s="2" t="s">
        <v>32340</v>
      </c>
      <c r="B16371" s="2" t="s">
        <v>32331</v>
      </c>
      <c r="C16371" s="2" t="s">
        <v>2133</v>
      </c>
      <c r="D16371" s="2" t="s">
        <v>7544</v>
      </c>
      <c r="E16371" s="2" t="str">
        <f>"9781922144768"</f>
        <v>9781922144768</v>
      </c>
      <c r="F16371" s="2" t="str">
        <f>"9781922144775"</f>
        <v>9781922144775</v>
      </c>
    </row>
    <row r="16372" spans="1:6" s="3" customFormat="1" ht="29.1" customHeight="1" x14ac:dyDescent="0.25">
      <c r="A16372" s="2" t="s">
        <v>32341</v>
      </c>
      <c r="B16372" s="2" t="s">
        <v>32342</v>
      </c>
      <c r="C16372" s="2" t="s">
        <v>2133</v>
      </c>
      <c r="D16372" s="2" t="s">
        <v>5695</v>
      </c>
      <c r="E16372" s="2"/>
      <c r="F16372" s="2" t="str">
        <f>"9781922144713"</f>
        <v>9781922144713</v>
      </c>
    </row>
    <row r="16373" spans="1:6" s="3" customFormat="1" ht="29.1" customHeight="1" x14ac:dyDescent="0.25">
      <c r="A16373" s="2" t="s">
        <v>32343</v>
      </c>
      <c r="B16373" s="2" t="s">
        <v>32344</v>
      </c>
      <c r="C16373" s="2" t="s">
        <v>2133</v>
      </c>
      <c r="D16373" s="2" t="s">
        <v>818</v>
      </c>
      <c r="E16373" s="2" t="str">
        <f>"9781922144829"</f>
        <v>9781922144829</v>
      </c>
      <c r="F16373" s="2" t="str">
        <f>"9781922144836"</f>
        <v>9781922144836</v>
      </c>
    </row>
    <row r="16374" spans="1:6" s="3" customFormat="1" ht="29.1" customHeight="1" x14ac:dyDescent="0.25">
      <c r="A16374" s="2" t="s">
        <v>32345</v>
      </c>
      <c r="B16374" s="2" t="s">
        <v>32347</v>
      </c>
      <c r="C16374" s="2" t="s">
        <v>2133</v>
      </c>
      <c r="D16374" s="2" t="s">
        <v>32346</v>
      </c>
      <c r="E16374" s="2" t="str">
        <f>"9781922144720"</f>
        <v>9781922144720</v>
      </c>
      <c r="F16374" s="2" t="str">
        <f>"9781922144737"</f>
        <v>9781922144737</v>
      </c>
    </row>
    <row r="16375" spans="1:6" s="3" customFormat="1" ht="29.1" customHeight="1" x14ac:dyDescent="0.25">
      <c r="A16375" s="2" t="s">
        <v>32348</v>
      </c>
      <c r="B16375" s="2" t="s">
        <v>32349</v>
      </c>
      <c r="C16375" s="2" t="s">
        <v>2133</v>
      </c>
      <c r="D16375" s="2" t="s">
        <v>13300</v>
      </c>
      <c r="E16375" s="2" t="str">
        <f>"9781922144942"</f>
        <v>9781922144942</v>
      </c>
      <c r="F16375" s="2" t="str">
        <f>"9781922144959"</f>
        <v>9781922144959</v>
      </c>
    </row>
    <row r="16376" spans="1:6" s="3" customFormat="1" ht="29.1" customHeight="1" x14ac:dyDescent="0.25">
      <c r="A16376" s="2" t="s">
        <v>32350</v>
      </c>
      <c r="B16376" s="2" t="s">
        <v>32351</v>
      </c>
      <c r="C16376" s="2" t="s">
        <v>2133</v>
      </c>
      <c r="D16376" s="2" t="s">
        <v>13300</v>
      </c>
      <c r="E16376" s="2" t="str">
        <f>"9781922144966"</f>
        <v>9781922144966</v>
      </c>
      <c r="F16376" s="2" t="str">
        <f>"9781922144973"</f>
        <v>9781922144973</v>
      </c>
    </row>
    <row r="16377" spans="1:6" s="3" customFormat="1" ht="29.1" customHeight="1" x14ac:dyDescent="0.25">
      <c r="A16377" s="2" t="s">
        <v>32352</v>
      </c>
      <c r="B16377" s="2" t="s">
        <v>32353</v>
      </c>
      <c r="C16377" s="2" t="s">
        <v>2133</v>
      </c>
      <c r="D16377" s="2" t="s">
        <v>270</v>
      </c>
      <c r="E16377" s="2" t="str">
        <f>"9781925021028"</f>
        <v>9781925021028</v>
      </c>
      <c r="F16377" s="2" t="str">
        <f>"9781925021035"</f>
        <v>9781925021035</v>
      </c>
    </row>
    <row r="16378" spans="1:6" s="3" customFormat="1" ht="29.1" customHeight="1" x14ac:dyDescent="0.25">
      <c r="A16378" s="2" t="s">
        <v>32354</v>
      </c>
      <c r="B16378" s="2" t="s">
        <v>32355</v>
      </c>
      <c r="C16378" s="2" t="s">
        <v>2133</v>
      </c>
      <c r="D16378" s="2" t="s">
        <v>270</v>
      </c>
      <c r="E16378" s="2" t="str">
        <f>"9781922144355"</f>
        <v>9781922144355</v>
      </c>
      <c r="F16378" s="2" t="str">
        <f>"9781922144362"</f>
        <v>9781922144362</v>
      </c>
    </row>
    <row r="16379" spans="1:6" s="3" customFormat="1" ht="29.1" customHeight="1" x14ac:dyDescent="0.25">
      <c r="A16379" s="2" t="s">
        <v>32356</v>
      </c>
      <c r="B16379" s="2" t="s">
        <v>32357</v>
      </c>
      <c r="C16379" s="2" t="s">
        <v>2133</v>
      </c>
      <c r="D16379" s="2" t="s">
        <v>294</v>
      </c>
      <c r="E16379" s="2" t="str">
        <f>"9781922144331"</f>
        <v>9781922144331</v>
      </c>
      <c r="F16379" s="2" t="str">
        <f>"9781922144348"</f>
        <v>9781922144348</v>
      </c>
    </row>
    <row r="16380" spans="1:6" s="3" customFormat="1" ht="29.1" customHeight="1" x14ac:dyDescent="0.25">
      <c r="A16380" s="2" t="s">
        <v>32358</v>
      </c>
      <c r="B16380" s="2" t="s">
        <v>32360</v>
      </c>
      <c r="C16380" s="2" t="s">
        <v>2133</v>
      </c>
      <c r="D16380" s="2" t="s">
        <v>32359</v>
      </c>
      <c r="E16380" s="2" t="str">
        <f>"9781922144317"</f>
        <v>9781922144317</v>
      </c>
      <c r="F16380" s="2" t="str">
        <f>"9781922144324"</f>
        <v>9781922144324</v>
      </c>
    </row>
    <row r="16381" spans="1:6" s="3" customFormat="1" ht="29.1" customHeight="1" x14ac:dyDescent="0.25">
      <c r="A16381" s="2" t="s">
        <v>32361</v>
      </c>
      <c r="B16381" s="2" t="s">
        <v>32362</v>
      </c>
      <c r="C16381" s="2" t="s">
        <v>2133</v>
      </c>
      <c r="D16381" s="2" t="s">
        <v>4059</v>
      </c>
      <c r="E16381" s="2" t="str">
        <f>"9781921666728"</f>
        <v>9781921666728</v>
      </c>
      <c r="F16381" s="2" t="str">
        <f>"9781921666742"</f>
        <v>9781921666742</v>
      </c>
    </row>
    <row r="16382" spans="1:6" s="3" customFormat="1" ht="29.1" customHeight="1" x14ac:dyDescent="0.25">
      <c r="A16382" s="2" t="s">
        <v>11219</v>
      </c>
      <c r="B16382" s="2" t="s">
        <v>32363</v>
      </c>
      <c r="C16382" s="2" t="s">
        <v>11220</v>
      </c>
      <c r="D16382" s="2" t="s">
        <v>436</v>
      </c>
      <c r="E16382" s="2" t="str">
        <f>"9781479819430"</f>
        <v>9781479819430</v>
      </c>
      <c r="F16382" s="2" t="str">
        <f>"9781479819454"</f>
        <v>9781479819454</v>
      </c>
    </row>
    <row r="16383" spans="1:6" s="3" customFormat="1" ht="29.1" customHeight="1" x14ac:dyDescent="0.25">
      <c r="A16383" s="2" t="s">
        <v>16578</v>
      </c>
      <c r="B16383" s="2" t="s">
        <v>16580</v>
      </c>
      <c r="C16383" s="2" t="s">
        <v>11220</v>
      </c>
      <c r="D16383" s="2" t="s">
        <v>16579</v>
      </c>
      <c r="E16383" s="2" t="str">
        <f>"9781479811144"</f>
        <v>9781479811144</v>
      </c>
      <c r="F16383" s="2" t="str">
        <f>"9781479811175"</f>
        <v>9781479811175</v>
      </c>
    </row>
    <row r="16384" spans="1:6" s="3" customFormat="1" ht="29.1" customHeight="1" x14ac:dyDescent="0.25">
      <c r="A16384" s="2" t="s">
        <v>32364</v>
      </c>
      <c r="B16384" s="2" t="s">
        <v>32365</v>
      </c>
      <c r="C16384" s="2" t="s">
        <v>62</v>
      </c>
      <c r="D16384" s="2" t="s">
        <v>1463</v>
      </c>
      <c r="E16384" s="2" t="str">
        <f>"9783428056033"</f>
        <v>9783428056033</v>
      </c>
      <c r="F16384" s="2" t="str">
        <f>"9783428456031"</f>
        <v>9783428456031</v>
      </c>
    </row>
    <row r="16385" spans="1:6" s="3" customFormat="1" ht="29.1" customHeight="1" x14ac:dyDescent="0.25">
      <c r="A16385" s="2" t="s">
        <v>32366</v>
      </c>
      <c r="B16385" s="2" t="s">
        <v>32367</v>
      </c>
      <c r="C16385" s="2" t="s">
        <v>124</v>
      </c>
      <c r="D16385" s="2" t="s">
        <v>7734</v>
      </c>
      <c r="E16385" s="2" t="str">
        <f>"9780367707620"</f>
        <v>9780367707620</v>
      </c>
      <c r="F16385" s="2" t="str">
        <f>"9781000597035"</f>
        <v>9781000597035</v>
      </c>
    </row>
    <row r="16386" spans="1:6" s="3" customFormat="1" ht="29.1" customHeight="1" x14ac:dyDescent="0.25">
      <c r="A16386" s="2" t="s">
        <v>32368</v>
      </c>
      <c r="B16386" s="2" t="s">
        <v>32369</v>
      </c>
      <c r="C16386" s="2" t="s">
        <v>124</v>
      </c>
      <c r="D16386" s="2" t="s">
        <v>712</v>
      </c>
      <c r="E16386" s="2" t="str">
        <f>"9780367756192"</f>
        <v>9780367756192</v>
      </c>
      <c r="F16386" s="2" t="str">
        <f>"9781000590265"</f>
        <v>9781000590265</v>
      </c>
    </row>
    <row r="16387" spans="1:6" s="3" customFormat="1" ht="29.1" customHeight="1" x14ac:dyDescent="0.25">
      <c r="A16387" s="2" t="s">
        <v>32370</v>
      </c>
      <c r="B16387" s="2" t="s">
        <v>32372</v>
      </c>
      <c r="C16387" s="2" t="s">
        <v>248</v>
      </c>
      <c r="D16387" s="2" t="s">
        <v>32371</v>
      </c>
      <c r="E16387" s="2" t="str">
        <f>"9783966650502"</f>
        <v>9783966650502</v>
      </c>
      <c r="F16387" s="2" t="str">
        <f>"9783966659482"</f>
        <v>9783966659482</v>
      </c>
    </row>
    <row r="16388" spans="1:6" s="3" customFormat="1" ht="29.1" customHeight="1" x14ac:dyDescent="0.25">
      <c r="A16388" s="2" t="s">
        <v>32373</v>
      </c>
      <c r="B16388" s="2" t="s">
        <v>32374</v>
      </c>
      <c r="C16388" s="2" t="s">
        <v>248</v>
      </c>
      <c r="D16388" s="2" t="s">
        <v>3062</v>
      </c>
      <c r="E16388" s="2" t="str">
        <f>"9783847425755"</f>
        <v>9783847425755</v>
      </c>
      <c r="F16388" s="2" t="str">
        <f>"9783847417323"</f>
        <v>9783847417323</v>
      </c>
    </row>
    <row r="16389" spans="1:6" s="3" customFormat="1" ht="29.1" customHeight="1" x14ac:dyDescent="0.25">
      <c r="A16389" s="2" t="s">
        <v>32375</v>
      </c>
      <c r="B16389" s="2" t="s">
        <v>32376</v>
      </c>
      <c r="C16389" s="2" t="s">
        <v>195</v>
      </c>
      <c r="D16389" s="2" t="s">
        <v>2713</v>
      </c>
      <c r="E16389" s="2" t="str">
        <f>"9783110753271"</f>
        <v>9783110753271</v>
      </c>
      <c r="F16389" s="2" t="str">
        <f>"9783110753578"</f>
        <v>9783110753578</v>
      </c>
    </row>
    <row r="16390" spans="1:6" s="3" customFormat="1" ht="29.1" customHeight="1" x14ac:dyDescent="0.25">
      <c r="A16390" s="2" t="s">
        <v>32377</v>
      </c>
      <c r="B16390" s="2" t="s">
        <v>32378</v>
      </c>
      <c r="C16390" s="2" t="s">
        <v>195</v>
      </c>
      <c r="D16390" s="2" t="s">
        <v>2713</v>
      </c>
      <c r="E16390" s="2" t="str">
        <f>"9783110746259"</f>
        <v>9783110746259</v>
      </c>
      <c r="F16390" s="2" t="str">
        <f>"9783110746396"</f>
        <v>9783110746396</v>
      </c>
    </row>
    <row r="16391" spans="1:6" s="3" customFormat="1" ht="29.1" customHeight="1" x14ac:dyDescent="0.25">
      <c r="A16391" s="2" t="s">
        <v>32379</v>
      </c>
      <c r="B16391" s="2" t="s">
        <v>32380</v>
      </c>
      <c r="C16391" s="2" t="s">
        <v>195</v>
      </c>
      <c r="D16391" s="2" t="s">
        <v>522</v>
      </c>
      <c r="E16391" s="2" t="str">
        <f>"9783110770926"</f>
        <v>9783110770926</v>
      </c>
      <c r="F16391" s="2" t="str">
        <f>"9783110770957"</f>
        <v>9783110770957</v>
      </c>
    </row>
    <row r="16392" spans="1:6" s="3" customFormat="1" ht="29.1" customHeight="1" x14ac:dyDescent="0.25">
      <c r="A16392" s="2" t="s">
        <v>32381</v>
      </c>
      <c r="B16392" s="2" t="s">
        <v>32382</v>
      </c>
      <c r="C16392" s="2" t="s">
        <v>195</v>
      </c>
      <c r="D16392" s="2" t="s">
        <v>1183</v>
      </c>
      <c r="E16392" s="2" t="str">
        <f>"9783110737301"</f>
        <v>9783110737301</v>
      </c>
      <c r="F16392" s="2" t="str">
        <f>"9783110732283"</f>
        <v>9783110732283</v>
      </c>
    </row>
    <row r="16393" spans="1:6" s="3" customFormat="1" ht="29.1" customHeight="1" x14ac:dyDescent="0.25">
      <c r="A16393" s="2" t="s">
        <v>32383</v>
      </c>
      <c r="B16393" s="2" t="s">
        <v>32384</v>
      </c>
      <c r="C16393" s="2" t="s">
        <v>195</v>
      </c>
      <c r="D16393" s="2" t="s">
        <v>210</v>
      </c>
      <c r="E16393" s="2" t="str">
        <f>"9783110750522"</f>
        <v>9783110750522</v>
      </c>
      <c r="F16393" s="2" t="str">
        <f>"9783110752908"</f>
        <v>9783110752908</v>
      </c>
    </row>
    <row r="16394" spans="1:6" s="3" customFormat="1" ht="29.1" customHeight="1" x14ac:dyDescent="0.25">
      <c r="A16394" s="2" t="s">
        <v>11219</v>
      </c>
      <c r="B16394" s="2" t="s">
        <v>32385</v>
      </c>
      <c r="C16394" s="2" t="s">
        <v>11220</v>
      </c>
      <c r="D16394" s="2" t="s">
        <v>436</v>
      </c>
      <c r="E16394" s="2" t="str">
        <f>"9781479819461"</f>
        <v>9781479819461</v>
      </c>
      <c r="F16394" s="2" t="str">
        <f>"9781479819492"</f>
        <v>9781479819492</v>
      </c>
    </row>
    <row r="16395" spans="1:6" s="3" customFormat="1" ht="29.1" customHeight="1" x14ac:dyDescent="0.25">
      <c r="A16395" s="2" t="s">
        <v>32386</v>
      </c>
      <c r="B16395" s="2" t="s">
        <v>32387</v>
      </c>
      <c r="C16395" s="2" t="s">
        <v>124</v>
      </c>
      <c r="D16395" s="2" t="s">
        <v>636</v>
      </c>
      <c r="E16395" s="2" t="str">
        <f>"9780367773380"</f>
        <v>9780367773380</v>
      </c>
      <c r="F16395" s="2" t="str">
        <f>"9781000583335"</f>
        <v>9781000583335</v>
      </c>
    </row>
    <row r="16396" spans="1:6" s="3" customFormat="1" ht="29.1" customHeight="1" x14ac:dyDescent="0.25">
      <c r="A16396" s="2" t="s">
        <v>32388</v>
      </c>
      <c r="B16396" s="2" t="s">
        <v>32389</v>
      </c>
      <c r="C16396" s="2" t="s">
        <v>62</v>
      </c>
      <c r="D16396" s="2" t="s">
        <v>1209</v>
      </c>
      <c r="E16396" s="2" t="str">
        <f>"9783428063277"</f>
        <v>9783428063277</v>
      </c>
      <c r="F16396" s="2" t="str">
        <f>"9783428463275"</f>
        <v>9783428463275</v>
      </c>
    </row>
    <row r="16397" spans="1:6" s="3" customFormat="1" ht="29.1" customHeight="1" x14ac:dyDescent="0.25">
      <c r="A16397" s="2" t="s">
        <v>32390</v>
      </c>
      <c r="B16397" s="2" t="s">
        <v>32391</v>
      </c>
      <c r="C16397" s="2" t="s">
        <v>62</v>
      </c>
      <c r="D16397" s="2" t="s">
        <v>81</v>
      </c>
      <c r="E16397" s="2" t="str">
        <f>"9783428185481"</f>
        <v>9783428185481</v>
      </c>
      <c r="F16397" s="2" t="str">
        <f>"9783428585489"</f>
        <v>9783428585489</v>
      </c>
    </row>
    <row r="16398" spans="1:6" s="3" customFormat="1" ht="29.1" customHeight="1" x14ac:dyDescent="0.25">
      <c r="A16398" s="2" t="s">
        <v>32392</v>
      </c>
      <c r="B16398" s="2" t="s">
        <v>32393</v>
      </c>
      <c r="C16398" s="2" t="s">
        <v>62</v>
      </c>
      <c r="D16398" s="2" t="s">
        <v>2005</v>
      </c>
      <c r="E16398" s="2" t="str">
        <f>"9783428068166"</f>
        <v>9783428068166</v>
      </c>
      <c r="F16398" s="2" t="str">
        <f>"9783428468164"</f>
        <v>9783428468164</v>
      </c>
    </row>
    <row r="16399" spans="1:6" s="3" customFormat="1" ht="29.1" customHeight="1" x14ac:dyDescent="0.25">
      <c r="A16399" s="2" t="s">
        <v>32394</v>
      </c>
      <c r="B16399" s="2" t="s">
        <v>32395</v>
      </c>
      <c r="C16399" s="2" t="s">
        <v>62</v>
      </c>
      <c r="D16399" s="2" t="s">
        <v>5758</v>
      </c>
      <c r="E16399" s="2" t="str">
        <f>"9783428067718"</f>
        <v>9783428067718</v>
      </c>
      <c r="F16399" s="2" t="str">
        <f>"9783428467716"</f>
        <v>9783428467716</v>
      </c>
    </row>
    <row r="16400" spans="1:6" s="3" customFormat="1" ht="29.1" customHeight="1" x14ac:dyDescent="0.25">
      <c r="A16400" s="2" t="s">
        <v>32396</v>
      </c>
      <c r="B16400" s="2" t="s">
        <v>26359</v>
      </c>
      <c r="C16400" s="2" t="s">
        <v>62</v>
      </c>
      <c r="D16400" s="2" t="s">
        <v>107</v>
      </c>
      <c r="E16400" s="2" t="str">
        <f>"9783428064564"</f>
        <v>9783428064564</v>
      </c>
      <c r="F16400" s="2" t="str">
        <f>"9783428464562"</f>
        <v>9783428464562</v>
      </c>
    </row>
    <row r="16401" spans="1:6" s="3" customFormat="1" ht="29.1" customHeight="1" x14ac:dyDescent="0.25">
      <c r="A16401" s="2" t="s">
        <v>32397</v>
      </c>
      <c r="B16401" s="2" t="s">
        <v>32398</v>
      </c>
      <c r="C16401" s="2" t="s">
        <v>2133</v>
      </c>
      <c r="D16401" s="2" t="s">
        <v>186</v>
      </c>
      <c r="E16401" s="2" t="str">
        <f>"9781925021769"</f>
        <v>9781925021769</v>
      </c>
      <c r="F16401" s="2" t="str">
        <f>"9781925021776"</f>
        <v>9781925021776</v>
      </c>
    </row>
    <row r="16402" spans="1:6" s="3" customFormat="1" ht="29.1" customHeight="1" x14ac:dyDescent="0.25">
      <c r="A16402" s="2" t="s">
        <v>32399</v>
      </c>
      <c r="B16402" s="2" t="s">
        <v>32400</v>
      </c>
      <c r="C16402" s="2" t="s">
        <v>2133</v>
      </c>
      <c r="D16402" s="2" t="s">
        <v>4059</v>
      </c>
      <c r="E16402" s="2" t="str">
        <f>"9781925021073"</f>
        <v>9781925021073</v>
      </c>
      <c r="F16402" s="2" t="str">
        <f>"9781925021080"</f>
        <v>9781925021080</v>
      </c>
    </row>
    <row r="16403" spans="1:6" s="3" customFormat="1" ht="29.1" customHeight="1" x14ac:dyDescent="0.25">
      <c r="A16403" s="2" t="s">
        <v>32401</v>
      </c>
      <c r="B16403" s="2" t="s">
        <v>32402</v>
      </c>
      <c r="C16403" s="2" t="s">
        <v>2133</v>
      </c>
      <c r="D16403" s="2" t="s">
        <v>606</v>
      </c>
      <c r="E16403" s="2" t="str">
        <f>"9781925021097"</f>
        <v>9781925021097</v>
      </c>
      <c r="F16403" s="2" t="str">
        <f>"9781925021103"</f>
        <v>9781925021103</v>
      </c>
    </row>
    <row r="16404" spans="1:6" s="3" customFormat="1" ht="29.1" customHeight="1" x14ac:dyDescent="0.25">
      <c r="A16404" s="2" t="s">
        <v>32403</v>
      </c>
      <c r="B16404" s="2" t="s">
        <v>32404</v>
      </c>
      <c r="C16404" s="2" t="s">
        <v>2133</v>
      </c>
      <c r="D16404" s="2" t="s">
        <v>606</v>
      </c>
      <c r="E16404" s="2" t="str">
        <f>"9781922144041"</f>
        <v>9781922144041</v>
      </c>
      <c r="F16404" s="2" t="str">
        <f>"9781922144058"</f>
        <v>9781922144058</v>
      </c>
    </row>
    <row r="16405" spans="1:6" s="3" customFormat="1" ht="29.1" customHeight="1" x14ac:dyDescent="0.25">
      <c r="A16405" s="2" t="s">
        <v>32405</v>
      </c>
      <c r="B16405" s="2" t="s">
        <v>32406</v>
      </c>
      <c r="C16405" s="2" t="s">
        <v>2133</v>
      </c>
      <c r="D16405" s="2" t="s">
        <v>606</v>
      </c>
      <c r="E16405" s="2" t="str">
        <f>"9781925021257"</f>
        <v>9781925021257</v>
      </c>
      <c r="F16405" s="2" t="str">
        <f>"9781925021264"</f>
        <v>9781925021264</v>
      </c>
    </row>
    <row r="16406" spans="1:6" s="3" customFormat="1" ht="29.1" customHeight="1" x14ac:dyDescent="0.25">
      <c r="A16406" s="2" t="s">
        <v>32407</v>
      </c>
      <c r="B16406" s="2" t="s">
        <v>32409</v>
      </c>
      <c r="C16406" s="2" t="s">
        <v>2133</v>
      </c>
      <c r="D16406" s="2" t="s">
        <v>32408</v>
      </c>
      <c r="E16406" s="2" t="str">
        <f>"9781922144225"</f>
        <v>9781922144225</v>
      </c>
      <c r="F16406" s="2" t="str">
        <f>"9781922144232"</f>
        <v>9781922144232</v>
      </c>
    </row>
    <row r="16407" spans="1:6" s="3" customFormat="1" ht="29.1" customHeight="1" x14ac:dyDescent="0.25">
      <c r="A16407" s="2" t="s">
        <v>32410</v>
      </c>
      <c r="B16407" s="2" t="s">
        <v>32411</v>
      </c>
      <c r="C16407" s="2" t="s">
        <v>2133</v>
      </c>
      <c r="D16407" s="2" t="s">
        <v>818</v>
      </c>
      <c r="E16407" s="2" t="str">
        <f>"9781925021813"</f>
        <v>9781925021813</v>
      </c>
      <c r="F16407" s="2" t="str">
        <f>"9781925021844"</f>
        <v>9781925021844</v>
      </c>
    </row>
    <row r="16408" spans="1:6" s="3" customFormat="1" ht="29.1" customHeight="1" x14ac:dyDescent="0.25">
      <c r="A16408" s="2" t="s">
        <v>32412</v>
      </c>
      <c r="B16408" s="2" t="s">
        <v>32413</v>
      </c>
      <c r="C16408" s="2" t="s">
        <v>124</v>
      </c>
      <c r="D16408" s="2" t="s">
        <v>694</v>
      </c>
      <c r="E16408" s="2" t="str">
        <f>"9781849713290"</f>
        <v>9781849713290</v>
      </c>
      <c r="F16408" s="2" t="str">
        <f>"9781000606591"</f>
        <v>9781000606591</v>
      </c>
    </row>
    <row r="16409" spans="1:6" s="3" customFormat="1" ht="29.1" customHeight="1" x14ac:dyDescent="0.25">
      <c r="A16409" s="2" t="s">
        <v>32414</v>
      </c>
      <c r="B16409" s="2" t="s">
        <v>32415</v>
      </c>
      <c r="C16409" s="2" t="s">
        <v>124</v>
      </c>
      <c r="D16409" s="2" t="s">
        <v>4002</v>
      </c>
      <c r="E16409" s="2" t="str">
        <f>"9781032000817"</f>
        <v>9781032000817</v>
      </c>
      <c r="F16409" s="2" t="str">
        <f>"9781000593624"</f>
        <v>9781000593624</v>
      </c>
    </row>
    <row r="16410" spans="1:6" s="3" customFormat="1" ht="29.1" customHeight="1" x14ac:dyDescent="0.25">
      <c r="A16410" s="2" t="s">
        <v>32416</v>
      </c>
      <c r="B16410" s="2" t="s">
        <v>32417</v>
      </c>
      <c r="C16410" s="2" t="s">
        <v>26676</v>
      </c>
      <c r="D16410" s="2" t="s">
        <v>3245</v>
      </c>
      <c r="E16410" s="2"/>
      <c r="F16410" s="2" t="str">
        <f>"9781644698846"</f>
        <v>9781644698846</v>
      </c>
    </row>
    <row r="16411" spans="1:6" s="3" customFormat="1" ht="29.1" customHeight="1" x14ac:dyDescent="0.25">
      <c r="A16411" s="2" t="s">
        <v>32418</v>
      </c>
      <c r="B16411" s="2" t="s">
        <v>32419</v>
      </c>
      <c r="C16411" s="2" t="s">
        <v>595</v>
      </c>
      <c r="D16411" s="2" t="s">
        <v>1256</v>
      </c>
      <c r="E16411" s="2" t="str">
        <f>"9783631860403"</f>
        <v>9783631860403</v>
      </c>
      <c r="F16411" s="2" t="str">
        <f>"9783631868911"</f>
        <v>9783631868911</v>
      </c>
    </row>
    <row r="16412" spans="1:6" s="3" customFormat="1" ht="29.1" customHeight="1" x14ac:dyDescent="0.25">
      <c r="A16412" s="2" t="s">
        <v>32420</v>
      </c>
      <c r="B16412" s="2" t="s">
        <v>32421</v>
      </c>
      <c r="C16412" s="2" t="s">
        <v>195</v>
      </c>
      <c r="D16412" s="2" t="s">
        <v>1049</v>
      </c>
      <c r="E16412" s="2" t="str">
        <f>"9783110747164"</f>
        <v>9783110747164</v>
      </c>
      <c r="F16412" s="2" t="str">
        <f>"9783110747171"</f>
        <v>9783110747171</v>
      </c>
    </row>
    <row r="16413" spans="1:6" s="3" customFormat="1" ht="29.1" customHeight="1" x14ac:dyDescent="0.25">
      <c r="A16413" s="2" t="s">
        <v>32422</v>
      </c>
      <c r="B16413" s="2" t="s">
        <v>32423</v>
      </c>
      <c r="C16413" s="2" t="s">
        <v>4104</v>
      </c>
      <c r="D16413" s="2" t="s">
        <v>334</v>
      </c>
      <c r="E16413" s="2" t="str">
        <f>"9781800348493"</f>
        <v>9781800348493</v>
      </c>
      <c r="F16413" s="2" t="str">
        <f>"9781800345560"</f>
        <v>9781800345560</v>
      </c>
    </row>
    <row r="16414" spans="1:6" s="3" customFormat="1" ht="29.1" customHeight="1" x14ac:dyDescent="0.25">
      <c r="A16414" s="2" t="s">
        <v>32424</v>
      </c>
      <c r="B16414" s="2" t="s">
        <v>32425</v>
      </c>
      <c r="C16414" s="2" t="s">
        <v>124</v>
      </c>
      <c r="D16414" s="2" t="s">
        <v>1141</v>
      </c>
      <c r="E16414" s="2" t="str">
        <f>"9781032194578"</f>
        <v>9781032194578</v>
      </c>
      <c r="F16414" s="2" t="str">
        <f>"9781000580631"</f>
        <v>9781000580631</v>
      </c>
    </row>
    <row r="16415" spans="1:6" s="3" customFormat="1" ht="29.1" customHeight="1" x14ac:dyDescent="0.25">
      <c r="A16415" s="2" t="s">
        <v>32426</v>
      </c>
      <c r="B16415" s="2" t="s">
        <v>32427</v>
      </c>
      <c r="C16415" s="2" t="s">
        <v>124</v>
      </c>
      <c r="D16415" s="2" t="s">
        <v>189</v>
      </c>
      <c r="E16415" s="2" t="str">
        <f>"9780367678739"</f>
        <v>9780367678739</v>
      </c>
      <c r="F16415" s="2" t="str">
        <f>"9781000612981"</f>
        <v>9781000612981</v>
      </c>
    </row>
    <row r="16416" spans="1:6" s="3" customFormat="1" ht="29.1" customHeight="1" x14ac:dyDescent="0.25">
      <c r="A16416" s="2" t="s">
        <v>32428</v>
      </c>
      <c r="B16416" s="2" t="s">
        <v>32429</v>
      </c>
      <c r="C16416" s="2" t="s">
        <v>124</v>
      </c>
      <c r="D16416" s="2" t="s">
        <v>75</v>
      </c>
      <c r="E16416" s="2" t="str">
        <f>"9781032044613"</f>
        <v>9781032044613</v>
      </c>
      <c r="F16416" s="2" t="str">
        <f>"9781000564358"</f>
        <v>9781000564358</v>
      </c>
    </row>
    <row r="16417" spans="1:6" s="3" customFormat="1" ht="29.1" customHeight="1" x14ac:dyDescent="0.25">
      <c r="A16417" s="2" t="s">
        <v>32430</v>
      </c>
      <c r="B16417" s="2" t="s">
        <v>32431</v>
      </c>
      <c r="C16417" s="2" t="s">
        <v>746</v>
      </c>
      <c r="D16417" s="2" t="s">
        <v>606</v>
      </c>
      <c r="E16417" s="2" t="str">
        <f>"9781803270524"</f>
        <v>9781803270524</v>
      </c>
      <c r="F16417" s="2" t="str">
        <f>"9781803270531"</f>
        <v>9781803270531</v>
      </c>
    </row>
    <row r="16418" spans="1:6" s="3" customFormat="1" ht="29.1" customHeight="1" x14ac:dyDescent="0.25">
      <c r="A16418" s="2" t="s">
        <v>32432</v>
      </c>
      <c r="B16418" s="2" t="s">
        <v>32433</v>
      </c>
      <c r="C16418" s="2" t="s">
        <v>746</v>
      </c>
      <c r="D16418" s="2" t="s">
        <v>606</v>
      </c>
      <c r="E16418" s="2" t="str">
        <f>"9781803270586"</f>
        <v>9781803270586</v>
      </c>
      <c r="F16418" s="2" t="str">
        <f>"9781803270593"</f>
        <v>9781803270593</v>
      </c>
    </row>
    <row r="16419" spans="1:6" s="3" customFormat="1" ht="29.1" customHeight="1" x14ac:dyDescent="0.25">
      <c r="A16419" s="2" t="s">
        <v>32434</v>
      </c>
      <c r="B16419" s="2" t="s">
        <v>25662</v>
      </c>
      <c r="C16419" s="2" t="s">
        <v>746</v>
      </c>
      <c r="D16419" s="2" t="s">
        <v>606</v>
      </c>
      <c r="E16419" s="2" t="str">
        <f>"9781789699951"</f>
        <v>9781789699951</v>
      </c>
      <c r="F16419" s="2" t="str">
        <f>"9781789699968"</f>
        <v>9781789699968</v>
      </c>
    </row>
    <row r="16420" spans="1:6" s="3" customFormat="1" ht="29.1" customHeight="1" x14ac:dyDescent="0.25">
      <c r="A16420" s="2" t="s">
        <v>32435</v>
      </c>
      <c r="B16420" s="2" t="s">
        <v>32436</v>
      </c>
      <c r="C16420" s="2" t="s">
        <v>124</v>
      </c>
      <c r="D16420" s="2" t="s">
        <v>210</v>
      </c>
      <c r="E16420" s="2" t="str">
        <f>"9781032198927"</f>
        <v>9781032198927</v>
      </c>
      <c r="F16420" s="2" t="str">
        <f>"9781000590272"</f>
        <v>9781000590272</v>
      </c>
    </row>
    <row r="16421" spans="1:6" s="3" customFormat="1" ht="29.1" customHeight="1" x14ac:dyDescent="0.25">
      <c r="A16421" s="2" t="s">
        <v>32437</v>
      </c>
      <c r="B16421" s="2" t="s">
        <v>32438</v>
      </c>
      <c r="C16421" s="2" t="s">
        <v>124</v>
      </c>
      <c r="D16421" s="2" t="s">
        <v>210</v>
      </c>
      <c r="E16421" s="2" t="str">
        <f>"9781032160504"</f>
        <v>9781032160504</v>
      </c>
      <c r="F16421" s="2" t="str">
        <f>"9781000578003"</f>
        <v>9781000578003</v>
      </c>
    </row>
    <row r="16422" spans="1:6" s="3" customFormat="1" ht="29.1" customHeight="1" x14ac:dyDescent="0.25">
      <c r="A16422" s="2" t="s">
        <v>32439</v>
      </c>
      <c r="B16422" s="2" t="s">
        <v>32440</v>
      </c>
      <c r="C16422" s="2" t="s">
        <v>124</v>
      </c>
      <c r="D16422" s="2" t="s">
        <v>509</v>
      </c>
      <c r="E16422" s="2" t="str">
        <f>"9781032232324"</f>
        <v>9781032232324</v>
      </c>
      <c r="F16422" s="2" t="str">
        <f>"9781000592375"</f>
        <v>9781000592375</v>
      </c>
    </row>
    <row r="16423" spans="1:6" s="3" customFormat="1" ht="29.1" customHeight="1" x14ac:dyDescent="0.25">
      <c r="A16423" s="2" t="s">
        <v>32441</v>
      </c>
      <c r="B16423" s="2" t="s">
        <v>32442</v>
      </c>
      <c r="C16423" s="2" t="s">
        <v>36</v>
      </c>
      <c r="D16423" s="2" t="s">
        <v>81</v>
      </c>
      <c r="E16423" s="2" t="str">
        <f>"9781529208382"</f>
        <v>9781529208382</v>
      </c>
      <c r="F16423" s="2" t="str">
        <f>"9781529212006"</f>
        <v>9781529212006</v>
      </c>
    </row>
    <row r="16424" spans="1:6" s="3" customFormat="1" ht="29.1" customHeight="1" x14ac:dyDescent="0.25">
      <c r="A16424" s="2" t="s">
        <v>1323</v>
      </c>
      <c r="B16424" s="2" t="s">
        <v>32443</v>
      </c>
      <c r="C16424" s="2" t="s">
        <v>1070</v>
      </c>
      <c r="D16424" s="2" t="s">
        <v>1299</v>
      </c>
      <c r="E16424" s="2" t="str">
        <f>"9783318070101"</f>
        <v>9783318070101</v>
      </c>
      <c r="F16424" s="2" t="str">
        <f>"9783318070880"</f>
        <v>9783318070880</v>
      </c>
    </row>
    <row r="16425" spans="1:6" s="3" customFormat="1" ht="29.1" customHeight="1" x14ac:dyDescent="0.25">
      <c r="A16425" s="2" t="s">
        <v>32444</v>
      </c>
      <c r="B16425" s="2" t="s">
        <v>32445</v>
      </c>
      <c r="C16425" s="2" t="s">
        <v>124</v>
      </c>
      <c r="D16425" s="2" t="s">
        <v>81</v>
      </c>
      <c r="E16425" s="2" t="str">
        <f>"9781032205847"</f>
        <v>9781032205847</v>
      </c>
      <c r="F16425" s="2" t="str">
        <f>"9781000589931"</f>
        <v>9781000589931</v>
      </c>
    </row>
    <row r="16426" spans="1:6" s="3" customFormat="1" ht="29.1" customHeight="1" x14ac:dyDescent="0.25">
      <c r="A16426" s="2" t="s">
        <v>32446</v>
      </c>
      <c r="B16426" s="2" t="s">
        <v>32447</v>
      </c>
      <c r="C16426" s="2" t="s">
        <v>124</v>
      </c>
      <c r="D16426" s="2" t="s">
        <v>4210</v>
      </c>
      <c r="E16426" s="2" t="str">
        <f>"9780367561567"</f>
        <v>9780367561567</v>
      </c>
      <c r="F16426" s="2" t="str">
        <f>"9781000589801"</f>
        <v>9781000589801</v>
      </c>
    </row>
    <row r="16427" spans="1:6" s="3" customFormat="1" ht="29.1" customHeight="1" x14ac:dyDescent="0.25">
      <c r="A16427" s="2" t="s">
        <v>32448</v>
      </c>
      <c r="B16427" s="2" t="s">
        <v>32449</v>
      </c>
      <c r="C16427" s="2" t="s">
        <v>149</v>
      </c>
      <c r="D16427" s="2" t="s">
        <v>5806</v>
      </c>
      <c r="E16427" s="2" t="str">
        <f>"9781800644045"</f>
        <v>9781800644045</v>
      </c>
      <c r="F16427" s="2" t="str">
        <f>"9781800644069"</f>
        <v>9781800644069</v>
      </c>
    </row>
    <row r="16428" spans="1:6" s="3" customFormat="1" ht="29.1" customHeight="1" x14ac:dyDescent="0.25">
      <c r="A16428" s="2" t="s">
        <v>32450</v>
      </c>
      <c r="B16428" s="2" t="s">
        <v>32451</v>
      </c>
      <c r="C16428" s="2" t="s">
        <v>149</v>
      </c>
      <c r="D16428" s="2" t="s">
        <v>10578</v>
      </c>
      <c r="E16428" s="2"/>
      <c r="F16428" s="2" t="str">
        <f>"9781800643581"</f>
        <v>9781800643581</v>
      </c>
    </row>
    <row r="16429" spans="1:6" s="3" customFormat="1" ht="29.1" customHeight="1" x14ac:dyDescent="0.25">
      <c r="A16429" s="2" t="s">
        <v>32452</v>
      </c>
      <c r="B16429" s="2" t="s">
        <v>32453</v>
      </c>
      <c r="C16429" s="2" t="s">
        <v>2133</v>
      </c>
      <c r="D16429" s="2" t="s">
        <v>501</v>
      </c>
      <c r="E16429" s="2" t="str">
        <f>"9781925021233"</f>
        <v>9781925021233</v>
      </c>
      <c r="F16429" s="2" t="str">
        <f>"9781925021240"</f>
        <v>9781925021240</v>
      </c>
    </row>
    <row r="16430" spans="1:6" s="3" customFormat="1" ht="29.1" customHeight="1" x14ac:dyDescent="0.25">
      <c r="A16430" s="2" t="s">
        <v>32454</v>
      </c>
      <c r="B16430" s="2" t="s">
        <v>32455</v>
      </c>
      <c r="C16430" s="2" t="s">
        <v>2133</v>
      </c>
      <c r="D16430" s="2" t="s">
        <v>606</v>
      </c>
      <c r="E16430" s="2" t="str">
        <f>"9781925021745"</f>
        <v>9781925021745</v>
      </c>
      <c r="F16430" s="2" t="str">
        <f>"9781925021752"</f>
        <v>9781925021752</v>
      </c>
    </row>
    <row r="16431" spans="1:6" s="3" customFormat="1" ht="29.1" customHeight="1" x14ac:dyDescent="0.25">
      <c r="A16431" s="2" t="s">
        <v>32456</v>
      </c>
      <c r="B16431" s="2" t="s">
        <v>32457</v>
      </c>
      <c r="C16431" s="2" t="s">
        <v>2133</v>
      </c>
      <c r="D16431" s="2" t="s">
        <v>4059</v>
      </c>
      <c r="E16431" s="2" t="str">
        <f>"9781925021721"</f>
        <v>9781925021721</v>
      </c>
      <c r="F16431" s="2" t="str">
        <f>"9781925021738"</f>
        <v>9781925021738</v>
      </c>
    </row>
    <row r="16432" spans="1:6" s="3" customFormat="1" ht="29.1" customHeight="1" x14ac:dyDescent="0.25">
      <c r="A16432" s="2" t="s">
        <v>32458</v>
      </c>
      <c r="B16432" s="2" t="s">
        <v>32459</v>
      </c>
      <c r="C16432" s="2" t="s">
        <v>2133</v>
      </c>
      <c r="D16432" s="2" t="s">
        <v>4059</v>
      </c>
      <c r="E16432" s="2" t="str">
        <f>"9781760460112"</f>
        <v>9781760460112</v>
      </c>
      <c r="F16432" s="2" t="str">
        <f>"9781760460129"</f>
        <v>9781760460129</v>
      </c>
    </row>
    <row r="16433" spans="1:6" s="3" customFormat="1" ht="29.1" customHeight="1" x14ac:dyDescent="0.25">
      <c r="A16433" s="2" t="s">
        <v>32460</v>
      </c>
      <c r="B16433" s="2" t="s">
        <v>32461</v>
      </c>
      <c r="C16433" s="2" t="s">
        <v>2133</v>
      </c>
      <c r="D16433" s="2" t="s">
        <v>818</v>
      </c>
      <c r="E16433" s="2" t="str">
        <f>"9781921934315"</f>
        <v>9781921934315</v>
      </c>
      <c r="F16433" s="2" t="str">
        <f>"9781921934322"</f>
        <v>9781921934322</v>
      </c>
    </row>
    <row r="16434" spans="1:6" s="3" customFormat="1" ht="29.1" customHeight="1" x14ac:dyDescent="0.25">
      <c r="A16434" s="2" t="s">
        <v>32462</v>
      </c>
      <c r="B16434" s="2" t="s">
        <v>32463</v>
      </c>
      <c r="C16434" s="2" t="s">
        <v>2133</v>
      </c>
      <c r="D16434" s="2" t="s">
        <v>98</v>
      </c>
      <c r="E16434" s="2" t="str">
        <f>"9781760460464"</f>
        <v>9781760460464</v>
      </c>
      <c r="F16434" s="2" t="str">
        <f>"9781760460471"</f>
        <v>9781760460471</v>
      </c>
    </row>
    <row r="16435" spans="1:6" s="3" customFormat="1" ht="29.1" customHeight="1" x14ac:dyDescent="0.25">
      <c r="A16435" s="2" t="s">
        <v>32464</v>
      </c>
      <c r="B16435" s="2" t="s">
        <v>32465</v>
      </c>
      <c r="C16435" s="2" t="s">
        <v>2133</v>
      </c>
      <c r="D16435" s="2" t="s">
        <v>297</v>
      </c>
      <c r="E16435" s="2" t="str">
        <f>"9781760460662"</f>
        <v>9781760460662</v>
      </c>
      <c r="F16435" s="2" t="str">
        <f>"9781760460679"</f>
        <v>9781760460679</v>
      </c>
    </row>
    <row r="16436" spans="1:6" s="3" customFormat="1" ht="29.1" customHeight="1" x14ac:dyDescent="0.25">
      <c r="A16436" s="2" t="s">
        <v>32466</v>
      </c>
      <c r="B16436" s="2" t="s">
        <v>32467</v>
      </c>
      <c r="C16436" s="2" t="s">
        <v>2133</v>
      </c>
      <c r="D16436" s="2" t="s">
        <v>606</v>
      </c>
      <c r="E16436" s="2" t="str">
        <f>"9781760460945"</f>
        <v>9781760460945</v>
      </c>
      <c r="F16436" s="2" t="str">
        <f>"9781760460952"</f>
        <v>9781760460952</v>
      </c>
    </row>
    <row r="16437" spans="1:6" s="3" customFormat="1" ht="29.1" customHeight="1" x14ac:dyDescent="0.25">
      <c r="A16437" s="2" t="s">
        <v>32468</v>
      </c>
      <c r="B16437" s="2" t="s">
        <v>32470</v>
      </c>
      <c r="C16437" s="2" t="s">
        <v>124</v>
      </c>
      <c r="D16437" s="2" t="s">
        <v>32469</v>
      </c>
      <c r="E16437" s="2" t="str">
        <f>"9781032145679"</f>
        <v>9781032145679</v>
      </c>
      <c r="F16437" s="2" t="str">
        <f>"9781000603590"</f>
        <v>9781000603590</v>
      </c>
    </row>
    <row r="16438" spans="1:6" s="3" customFormat="1" ht="29.1" customHeight="1" x14ac:dyDescent="0.25">
      <c r="A16438" s="2" t="s">
        <v>32471</v>
      </c>
      <c r="B16438" s="2" t="s">
        <v>32472</v>
      </c>
      <c r="C16438" s="2" t="s">
        <v>195</v>
      </c>
      <c r="D16438" s="2" t="s">
        <v>10336</v>
      </c>
      <c r="E16438" s="2" t="str">
        <f>"9783110571554"</f>
        <v>9783110571554</v>
      </c>
      <c r="F16438" s="2" t="str">
        <f>"9783110571561"</f>
        <v>9783110571561</v>
      </c>
    </row>
    <row r="16439" spans="1:6" s="3" customFormat="1" ht="29.1" customHeight="1" x14ac:dyDescent="0.25">
      <c r="A16439" s="2" t="s">
        <v>32473</v>
      </c>
      <c r="B16439" s="2" t="s">
        <v>32474</v>
      </c>
      <c r="C16439" s="2" t="s">
        <v>195</v>
      </c>
      <c r="D16439" s="2" t="s">
        <v>192</v>
      </c>
      <c r="E16439" s="2" t="str">
        <f>"9788376560618"</f>
        <v>9788376560618</v>
      </c>
      <c r="F16439" s="2" t="str">
        <f>"9788376560625"</f>
        <v>9788376560625</v>
      </c>
    </row>
    <row r="16440" spans="1:6" s="3" customFormat="1" ht="29.1" customHeight="1" x14ac:dyDescent="0.25">
      <c r="A16440" s="2" t="s">
        <v>32475</v>
      </c>
      <c r="B16440" s="2" t="s">
        <v>32476</v>
      </c>
      <c r="C16440" s="2" t="s">
        <v>195</v>
      </c>
      <c r="D16440" s="2" t="s">
        <v>29734</v>
      </c>
      <c r="E16440" s="2" t="str">
        <f>"9783110706543"</f>
        <v>9783110706543</v>
      </c>
      <c r="F16440" s="2" t="str">
        <f>"9783110706611"</f>
        <v>9783110706611</v>
      </c>
    </row>
    <row r="16441" spans="1:6" s="3" customFormat="1" ht="29.1" customHeight="1" x14ac:dyDescent="0.25">
      <c r="A16441" s="2" t="s">
        <v>32477</v>
      </c>
      <c r="B16441" s="2" t="s">
        <v>32478</v>
      </c>
      <c r="C16441" s="2" t="s">
        <v>195</v>
      </c>
      <c r="D16441" s="2" t="s">
        <v>2713</v>
      </c>
      <c r="E16441" s="2" t="str">
        <f>"9783110762334"</f>
        <v>9783110762334</v>
      </c>
      <c r="F16441" s="2" t="str">
        <f>"9783110762341"</f>
        <v>9783110762341</v>
      </c>
    </row>
    <row r="16442" spans="1:6" s="3" customFormat="1" ht="29.1" customHeight="1" x14ac:dyDescent="0.25">
      <c r="A16442" s="2" t="s">
        <v>32479</v>
      </c>
      <c r="B16442" s="2" t="s">
        <v>32480</v>
      </c>
      <c r="C16442" s="2" t="s">
        <v>195</v>
      </c>
      <c r="D16442" s="2" t="s">
        <v>5092</v>
      </c>
      <c r="E16442" s="2" t="str">
        <f>"9783486741797"</f>
        <v>9783486741797</v>
      </c>
      <c r="F16442" s="2" t="str">
        <f>"9783486741803"</f>
        <v>9783486741803</v>
      </c>
    </row>
    <row r="16443" spans="1:6" s="3" customFormat="1" ht="29.1" customHeight="1" x14ac:dyDescent="0.25">
      <c r="A16443" s="2" t="s">
        <v>32481</v>
      </c>
      <c r="B16443" s="2" t="s">
        <v>32482</v>
      </c>
      <c r="C16443" s="2" t="s">
        <v>195</v>
      </c>
      <c r="D16443" s="2" t="s">
        <v>297</v>
      </c>
      <c r="E16443" s="2" t="str">
        <f>"9788366675636"</f>
        <v>9788366675636</v>
      </c>
      <c r="F16443" s="2" t="str">
        <f>"9788366675643"</f>
        <v>9788366675643</v>
      </c>
    </row>
    <row r="16444" spans="1:6" s="3" customFormat="1" ht="29.1" customHeight="1" x14ac:dyDescent="0.25">
      <c r="A16444" s="2" t="s">
        <v>32483</v>
      </c>
      <c r="B16444" s="2" t="s">
        <v>32484</v>
      </c>
      <c r="C16444" s="2" t="s">
        <v>195</v>
      </c>
      <c r="D16444" s="2" t="s">
        <v>98</v>
      </c>
      <c r="E16444" s="2"/>
      <c r="F16444" s="2" t="str">
        <f>"9788366675377"</f>
        <v>9788366675377</v>
      </c>
    </row>
    <row r="16445" spans="1:6" s="3" customFormat="1" ht="29.1" customHeight="1" x14ac:dyDescent="0.25">
      <c r="A16445" s="2" t="s">
        <v>32485</v>
      </c>
      <c r="B16445" s="2"/>
      <c r="C16445" s="2" t="s">
        <v>195</v>
      </c>
      <c r="D16445" s="2" t="s">
        <v>4739</v>
      </c>
      <c r="E16445" s="2"/>
      <c r="F16445" s="2" t="str">
        <f>"9788366675360"</f>
        <v>9788366675360</v>
      </c>
    </row>
    <row r="16446" spans="1:6" s="3" customFormat="1" ht="29.1" customHeight="1" x14ac:dyDescent="0.25">
      <c r="A16446" s="2" t="s">
        <v>32486</v>
      </c>
      <c r="B16446" s="2" t="s">
        <v>32487</v>
      </c>
      <c r="C16446" s="2" t="s">
        <v>195</v>
      </c>
      <c r="D16446" s="2" t="s">
        <v>186</v>
      </c>
      <c r="E16446" s="2"/>
      <c r="F16446" s="2" t="str">
        <f>"9788395720406"</f>
        <v>9788395720406</v>
      </c>
    </row>
    <row r="16447" spans="1:6" s="3" customFormat="1" ht="29.1" customHeight="1" x14ac:dyDescent="0.25">
      <c r="A16447" s="2" t="s">
        <v>32488</v>
      </c>
      <c r="B16447" s="2" t="s">
        <v>32489</v>
      </c>
      <c r="C16447" s="2" t="s">
        <v>195</v>
      </c>
      <c r="D16447" s="2" t="s">
        <v>1816</v>
      </c>
      <c r="E16447" s="2" t="str">
        <f>"9788395793868"</f>
        <v>9788395793868</v>
      </c>
      <c r="F16447" s="2" t="str">
        <f>"9788395793875"</f>
        <v>9788395793875</v>
      </c>
    </row>
    <row r="16448" spans="1:6" s="3" customFormat="1" ht="29.1" customHeight="1" x14ac:dyDescent="0.25">
      <c r="A16448" s="2" t="s">
        <v>32490</v>
      </c>
      <c r="B16448" s="2" t="s">
        <v>32491</v>
      </c>
      <c r="C16448" s="2" t="s">
        <v>195</v>
      </c>
      <c r="D16448" s="2" t="s">
        <v>1959</v>
      </c>
      <c r="E16448" s="2"/>
      <c r="F16448" s="2" t="str">
        <f>"9788395720413"</f>
        <v>9788395720413</v>
      </c>
    </row>
    <row r="16449" spans="1:6" s="3" customFormat="1" ht="29.1" customHeight="1" x14ac:dyDescent="0.25">
      <c r="A16449" s="2" t="s">
        <v>32492</v>
      </c>
      <c r="B16449" s="2" t="s">
        <v>32493</v>
      </c>
      <c r="C16449" s="2" t="s">
        <v>195</v>
      </c>
      <c r="D16449" s="2" t="s">
        <v>487</v>
      </c>
      <c r="E16449" s="2" t="str">
        <f>"9788395609510"</f>
        <v>9788395609510</v>
      </c>
      <c r="F16449" s="2" t="str">
        <f>"9788395609527"</f>
        <v>9788395609527</v>
      </c>
    </row>
    <row r="16450" spans="1:6" s="3" customFormat="1" ht="29.1" customHeight="1" x14ac:dyDescent="0.25">
      <c r="A16450" s="2" t="s">
        <v>32494</v>
      </c>
      <c r="B16450" s="2" t="s">
        <v>32495</v>
      </c>
      <c r="C16450" s="2" t="s">
        <v>195</v>
      </c>
      <c r="D16450" s="2" t="s">
        <v>459</v>
      </c>
      <c r="E16450" s="2" t="str">
        <f>"9783110518238"</f>
        <v>9783110518238</v>
      </c>
      <c r="F16450" s="2" t="str">
        <f>"9783110518269"</f>
        <v>9783110518269</v>
      </c>
    </row>
    <row r="16451" spans="1:6" s="3" customFormat="1" ht="29.1" customHeight="1" x14ac:dyDescent="0.25">
      <c r="A16451" s="2" t="s">
        <v>32496</v>
      </c>
      <c r="B16451" s="2" t="s">
        <v>32497</v>
      </c>
      <c r="C16451" s="2" t="s">
        <v>195</v>
      </c>
      <c r="D16451" s="2" t="s">
        <v>3043</v>
      </c>
      <c r="E16451" s="2" t="str">
        <f>"9783110752670"</f>
        <v>9783110752670</v>
      </c>
      <c r="F16451" s="2" t="str">
        <f>"9783110752748"</f>
        <v>9783110752748</v>
      </c>
    </row>
    <row r="16452" spans="1:6" s="3" customFormat="1" ht="29.1" customHeight="1" x14ac:dyDescent="0.25">
      <c r="A16452" s="2" t="s">
        <v>32498</v>
      </c>
      <c r="B16452" s="2" t="s">
        <v>32499</v>
      </c>
      <c r="C16452" s="2" t="s">
        <v>195</v>
      </c>
      <c r="D16452" s="2" t="s">
        <v>937</v>
      </c>
      <c r="E16452" s="2" t="str">
        <f>"9783110602913"</f>
        <v>9783110602913</v>
      </c>
      <c r="F16452" s="2" t="str">
        <f>"9783110770506"</f>
        <v>9783110770506</v>
      </c>
    </row>
    <row r="16453" spans="1:6" s="3" customFormat="1" ht="29.1" customHeight="1" x14ac:dyDescent="0.25">
      <c r="A16453" s="2" t="s">
        <v>32500</v>
      </c>
      <c r="B16453" s="2" t="s">
        <v>32501</v>
      </c>
      <c r="C16453" s="2" t="s">
        <v>195</v>
      </c>
      <c r="D16453" s="2" t="s">
        <v>682</v>
      </c>
      <c r="E16453" s="2" t="str">
        <f>"9783110751031"</f>
        <v>9783110751031</v>
      </c>
      <c r="F16453" s="2" t="str">
        <f>"9783110751055"</f>
        <v>9783110751055</v>
      </c>
    </row>
    <row r="16454" spans="1:6" s="3" customFormat="1" ht="29.1" customHeight="1" x14ac:dyDescent="0.25">
      <c r="A16454" s="2" t="s">
        <v>32502</v>
      </c>
      <c r="B16454" s="2" t="s">
        <v>32503</v>
      </c>
      <c r="C16454" s="2" t="s">
        <v>195</v>
      </c>
      <c r="D16454" s="2" t="s">
        <v>210</v>
      </c>
      <c r="E16454" s="2" t="str">
        <f>"9783486777604"</f>
        <v>9783486777604</v>
      </c>
      <c r="F16454" s="2" t="str">
        <f>"9783486777611"</f>
        <v>9783486777611</v>
      </c>
    </row>
    <row r="16455" spans="1:6" s="3" customFormat="1" ht="29.1" customHeight="1" x14ac:dyDescent="0.25">
      <c r="A16455" s="2" t="s">
        <v>32504</v>
      </c>
      <c r="B16455" s="2" t="s">
        <v>32505</v>
      </c>
      <c r="C16455" s="2" t="s">
        <v>195</v>
      </c>
      <c r="D16455" s="2" t="s">
        <v>5092</v>
      </c>
      <c r="E16455" s="2" t="str">
        <f>"9783486754414"</f>
        <v>9783486754414</v>
      </c>
      <c r="F16455" s="2" t="str">
        <f>"9783486754407"</f>
        <v>9783486754407</v>
      </c>
    </row>
    <row r="16456" spans="1:6" s="3" customFormat="1" ht="29.1" customHeight="1" x14ac:dyDescent="0.25">
      <c r="A16456" s="2" t="s">
        <v>32506</v>
      </c>
      <c r="B16456" s="2" t="s">
        <v>32507</v>
      </c>
      <c r="C16456" s="2" t="s">
        <v>195</v>
      </c>
      <c r="D16456" s="2" t="s">
        <v>33</v>
      </c>
      <c r="E16456" s="2" t="str">
        <f>"9783486750829"</f>
        <v>9783486750829</v>
      </c>
      <c r="F16456" s="2" t="str">
        <f>"9783486750836"</f>
        <v>9783486750836</v>
      </c>
    </row>
    <row r="16457" spans="1:6" s="3" customFormat="1" ht="29.1" customHeight="1" x14ac:dyDescent="0.25">
      <c r="A16457" s="2" t="s">
        <v>32508</v>
      </c>
      <c r="B16457" s="2" t="s">
        <v>32509</v>
      </c>
      <c r="C16457" s="2" t="s">
        <v>195</v>
      </c>
      <c r="D16457" s="2" t="s">
        <v>210</v>
      </c>
      <c r="E16457" s="2" t="str">
        <f>"9783486746617"</f>
        <v>9783486746617</v>
      </c>
      <c r="F16457" s="2" t="str">
        <f>"9783486746624"</f>
        <v>9783486746624</v>
      </c>
    </row>
    <row r="16458" spans="1:6" s="3" customFormat="1" ht="29.1" customHeight="1" x14ac:dyDescent="0.25">
      <c r="A16458" s="2" t="s">
        <v>32510</v>
      </c>
      <c r="B16458" s="2" t="s">
        <v>32511</v>
      </c>
      <c r="C16458" s="2" t="s">
        <v>195</v>
      </c>
      <c r="D16458" s="2" t="s">
        <v>210</v>
      </c>
      <c r="E16458" s="2" t="str">
        <f>"9783486743746"</f>
        <v>9783486743746</v>
      </c>
      <c r="F16458" s="2" t="str">
        <f>"9783486743753"</f>
        <v>9783486743753</v>
      </c>
    </row>
    <row r="16459" spans="1:6" s="3" customFormat="1" ht="29.1" customHeight="1" x14ac:dyDescent="0.25">
      <c r="A16459" s="2" t="s">
        <v>32512</v>
      </c>
      <c r="B16459" s="2" t="s">
        <v>32513</v>
      </c>
      <c r="C16459" s="2" t="s">
        <v>195</v>
      </c>
      <c r="D16459" s="2" t="s">
        <v>210</v>
      </c>
      <c r="E16459" s="2" t="str">
        <f>"9783486741759"</f>
        <v>9783486741759</v>
      </c>
      <c r="F16459" s="2" t="str">
        <f>"9783486741766"</f>
        <v>9783486741766</v>
      </c>
    </row>
    <row r="16460" spans="1:6" s="3" customFormat="1" ht="29.1" customHeight="1" x14ac:dyDescent="0.25">
      <c r="A16460" s="2" t="s">
        <v>32514</v>
      </c>
      <c r="B16460" s="2" t="s">
        <v>32515</v>
      </c>
      <c r="C16460" s="2" t="s">
        <v>195</v>
      </c>
      <c r="D16460" s="2" t="s">
        <v>9</v>
      </c>
      <c r="E16460" s="2" t="str">
        <f>"9783486777260"</f>
        <v>9783486777260</v>
      </c>
      <c r="F16460" s="2" t="str">
        <f>"9783486777277"</f>
        <v>9783486777277</v>
      </c>
    </row>
    <row r="16461" spans="1:6" s="3" customFormat="1" ht="29.1" customHeight="1" x14ac:dyDescent="0.25">
      <c r="A16461" s="2" t="s">
        <v>32516</v>
      </c>
      <c r="B16461" s="2" t="s">
        <v>32517</v>
      </c>
      <c r="C16461" s="2" t="s">
        <v>195</v>
      </c>
      <c r="D16461" s="2" t="s">
        <v>339</v>
      </c>
      <c r="E16461" s="2" t="str">
        <f>"9783486769258"</f>
        <v>9783486769258</v>
      </c>
      <c r="F16461" s="2" t="str">
        <f>"9783486769265"</f>
        <v>9783486769265</v>
      </c>
    </row>
    <row r="16462" spans="1:6" s="3" customFormat="1" ht="29.1" customHeight="1" x14ac:dyDescent="0.25">
      <c r="A16462" s="2" t="s">
        <v>32518</v>
      </c>
      <c r="B16462" s="2" t="s">
        <v>32519</v>
      </c>
      <c r="C16462" s="2" t="s">
        <v>195</v>
      </c>
      <c r="D16462" s="2" t="s">
        <v>2307</v>
      </c>
      <c r="E16462" s="2" t="str">
        <f>"9783110663785"</f>
        <v>9783110663785</v>
      </c>
      <c r="F16462" s="2" t="str">
        <f>"9783110663792"</f>
        <v>9783110663792</v>
      </c>
    </row>
    <row r="16463" spans="1:6" s="3" customFormat="1" ht="29.1" customHeight="1" x14ac:dyDescent="0.25">
      <c r="A16463" s="2" t="s">
        <v>32520</v>
      </c>
      <c r="B16463" s="2" t="s">
        <v>32521</v>
      </c>
      <c r="C16463" s="2" t="s">
        <v>195</v>
      </c>
      <c r="D16463" s="2" t="s">
        <v>210</v>
      </c>
      <c r="E16463" s="2" t="str">
        <f>"9783486558449"</f>
        <v>9783486558449</v>
      </c>
      <c r="F16463" s="2" t="str">
        <f>"9783486595635"</f>
        <v>9783486595635</v>
      </c>
    </row>
    <row r="16464" spans="1:6" s="3" customFormat="1" ht="29.1" customHeight="1" x14ac:dyDescent="0.25">
      <c r="A16464" s="2" t="s">
        <v>32522</v>
      </c>
      <c r="B16464" s="2" t="s">
        <v>32523</v>
      </c>
      <c r="C16464" s="2" t="s">
        <v>195</v>
      </c>
      <c r="D16464" s="2" t="s">
        <v>210</v>
      </c>
      <c r="E16464" s="2" t="str">
        <f>"9783486543513"</f>
        <v>9783486543513</v>
      </c>
      <c r="F16464" s="2" t="str">
        <f>"9783486595536"</f>
        <v>9783486595536</v>
      </c>
    </row>
    <row r="16465" spans="1:6" s="3" customFormat="1" ht="29.1" customHeight="1" x14ac:dyDescent="0.25">
      <c r="A16465" s="2" t="s">
        <v>32524</v>
      </c>
      <c r="B16465" s="2" t="s">
        <v>32525</v>
      </c>
      <c r="C16465" s="2" t="s">
        <v>195</v>
      </c>
      <c r="D16465" s="2" t="s">
        <v>210</v>
      </c>
      <c r="E16465" s="2" t="str">
        <f>"9783486568172"</f>
        <v>9783486568172</v>
      </c>
      <c r="F16465" s="2" t="str">
        <f>"9783486594614"</f>
        <v>9783486594614</v>
      </c>
    </row>
    <row r="16466" spans="1:6" s="3" customFormat="1" ht="29.1" customHeight="1" x14ac:dyDescent="0.25">
      <c r="A16466" s="2" t="s">
        <v>32526</v>
      </c>
      <c r="B16466" s="2" t="s">
        <v>32527</v>
      </c>
      <c r="C16466" s="2" t="s">
        <v>195</v>
      </c>
      <c r="D16466" s="2" t="s">
        <v>210</v>
      </c>
      <c r="E16466" s="2" t="str">
        <f>"9783486565652"</f>
        <v>9783486565652</v>
      </c>
      <c r="F16466" s="2" t="str">
        <f>"9783486594478"</f>
        <v>9783486594478</v>
      </c>
    </row>
    <row r="16467" spans="1:6" s="3" customFormat="1" ht="29.1" customHeight="1" x14ac:dyDescent="0.25">
      <c r="A16467" s="2" t="s">
        <v>32528</v>
      </c>
      <c r="B16467" s="2" t="s">
        <v>32529</v>
      </c>
      <c r="C16467" s="2" t="s">
        <v>62</v>
      </c>
      <c r="D16467" s="2" t="s">
        <v>501</v>
      </c>
      <c r="E16467" s="2" t="str">
        <f>"9783428070022"</f>
        <v>9783428070022</v>
      </c>
      <c r="F16467" s="2" t="str">
        <f>"9783428470020"</f>
        <v>9783428470020</v>
      </c>
    </row>
    <row r="16468" spans="1:6" s="3" customFormat="1" ht="29.1" customHeight="1" x14ac:dyDescent="0.25">
      <c r="A16468" s="2" t="s">
        <v>32530</v>
      </c>
      <c r="B16468" s="2" t="s">
        <v>30408</v>
      </c>
      <c r="C16468" s="2" t="s">
        <v>62</v>
      </c>
      <c r="D16468" s="2" t="s">
        <v>1651</v>
      </c>
      <c r="E16468" s="2" t="str">
        <f>"9783428069989"</f>
        <v>9783428069989</v>
      </c>
      <c r="F16468" s="2" t="str">
        <f>"9783428469987"</f>
        <v>9783428469987</v>
      </c>
    </row>
    <row r="16469" spans="1:6" s="3" customFormat="1" ht="29.1" customHeight="1" x14ac:dyDescent="0.25">
      <c r="A16469" s="2" t="s">
        <v>32531</v>
      </c>
      <c r="B16469" s="2" t="s">
        <v>30410</v>
      </c>
      <c r="C16469" s="2" t="s">
        <v>62</v>
      </c>
      <c r="D16469" s="2" t="s">
        <v>1228</v>
      </c>
      <c r="E16469" s="2" t="str">
        <f>"9783428069606"</f>
        <v>9783428069606</v>
      </c>
      <c r="F16469" s="2" t="str">
        <f>"9783428469604"</f>
        <v>9783428469604</v>
      </c>
    </row>
    <row r="16470" spans="1:6" s="3" customFormat="1" ht="29.1" customHeight="1" x14ac:dyDescent="0.25">
      <c r="A16470" s="2" t="s">
        <v>32532</v>
      </c>
      <c r="B16470" s="2" t="s">
        <v>32533</v>
      </c>
      <c r="C16470" s="2" t="s">
        <v>62</v>
      </c>
      <c r="D16470" s="2" t="s">
        <v>1209</v>
      </c>
      <c r="E16470" s="2" t="str">
        <f>"9783428069286"</f>
        <v>9783428069286</v>
      </c>
      <c r="F16470" s="2" t="str">
        <f>"9783428469284"</f>
        <v>9783428469284</v>
      </c>
    </row>
    <row r="16471" spans="1:6" s="3" customFormat="1" ht="29.1" customHeight="1" x14ac:dyDescent="0.25">
      <c r="A16471" s="2" t="s">
        <v>32534</v>
      </c>
      <c r="B16471" s="2" t="s">
        <v>30421</v>
      </c>
      <c r="C16471" s="2" t="s">
        <v>62</v>
      </c>
      <c r="D16471" s="2" t="s">
        <v>1228</v>
      </c>
      <c r="E16471" s="2" t="str">
        <f>"9783428069279"</f>
        <v>9783428069279</v>
      </c>
      <c r="F16471" s="2" t="str">
        <f>"9783428469277"</f>
        <v>9783428469277</v>
      </c>
    </row>
    <row r="16472" spans="1:6" s="3" customFormat="1" ht="29.1" customHeight="1" x14ac:dyDescent="0.25">
      <c r="A16472" s="2" t="s">
        <v>32535</v>
      </c>
      <c r="B16472" s="2" t="s">
        <v>32529</v>
      </c>
      <c r="C16472" s="2" t="s">
        <v>62</v>
      </c>
      <c r="D16472" s="2" t="s">
        <v>1463</v>
      </c>
      <c r="E16472" s="2" t="str">
        <f>"9783428069927"</f>
        <v>9783428069927</v>
      </c>
      <c r="F16472" s="2" t="str">
        <f>"9783428469925"</f>
        <v>9783428469925</v>
      </c>
    </row>
    <row r="16473" spans="1:6" s="3" customFormat="1" ht="29.1" customHeight="1" x14ac:dyDescent="0.25">
      <c r="A16473" s="2" t="s">
        <v>32536</v>
      </c>
      <c r="B16473" s="2" t="s">
        <v>30403</v>
      </c>
      <c r="C16473" s="2" t="s">
        <v>62</v>
      </c>
      <c r="D16473" s="2" t="s">
        <v>2005</v>
      </c>
      <c r="E16473" s="2" t="str">
        <f>"9783428069798"</f>
        <v>9783428069798</v>
      </c>
      <c r="F16473" s="2" t="str">
        <f>"9783428469796"</f>
        <v>9783428469796</v>
      </c>
    </row>
    <row r="16474" spans="1:6" s="3" customFormat="1" ht="29.1" customHeight="1" x14ac:dyDescent="0.25">
      <c r="A16474" s="2" t="s">
        <v>32537</v>
      </c>
      <c r="B16474" s="2" t="s">
        <v>32538</v>
      </c>
      <c r="C16474" s="2" t="s">
        <v>62</v>
      </c>
      <c r="D16474" s="2" t="s">
        <v>501</v>
      </c>
      <c r="E16474" s="2" t="str">
        <f>"9783428069736"</f>
        <v>9783428069736</v>
      </c>
      <c r="F16474" s="2" t="str">
        <f>"9783428469734"</f>
        <v>9783428469734</v>
      </c>
    </row>
    <row r="16475" spans="1:6" s="3" customFormat="1" ht="29.1" customHeight="1" x14ac:dyDescent="0.25">
      <c r="A16475" s="2" t="s">
        <v>32539</v>
      </c>
      <c r="B16475" s="2" t="s">
        <v>32540</v>
      </c>
      <c r="C16475" s="2" t="s">
        <v>124</v>
      </c>
      <c r="D16475" s="2" t="s">
        <v>2587</v>
      </c>
      <c r="E16475" s="2" t="str">
        <f>"9781032153353"</f>
        <v>9781032153353</v>
      </c>
      <c r="F16475" s="2" t="str">
        <f>"9781000583670"</f>
        <v>9781000583670</v>
      </c>
    </row>
    <row r="16476" spans="1:6" s="3" customFormat="1" ht="29.1" customHeight="1" x14ac:dyDescent="0.25">
      <c r="A16476" s="2" t="s">
        <v>32541</v>
      </c>
      <c r="B16476" s="2" t="s">
        <v>32543</v>
      </c>
      <c r="C16476" s="2" t="s">
        <v>32542</v>
      </c>
      <c r="D16476" s="2" t="s">
        <v>3489</v>
      </c>
      <c r="E16476" s="2" t="str">
        <f>"9789949731688"</f>
        <v>9789949731688</v>
      </c>
      <c r="F16476" s="2" t="str">
        <f>"9789949731695"</f>
        <v>9789949731695</v>
      </c>
    </row>
    <row r="16477" spans="1:6" s="3" customFormat="1" ht="29.1" customHeight="1" x14ac:dyDescent="0.25">
      <c r="A16477" s="2" t="s">
        <v>32544</v>
      </c>
      <c r="B16477" s="2" t="s">
        <v>32545</v>
      </c>
      <c r="C16477" s="2" t="s">
        <v>32542</v>
      </c>
      <c r="D16477" s="2" t="s">
        <v>4048</v>
      </c>
      <c r="E16477" s="2" t="str">
        <f>"9789949731664"</f>
        <v>9789949731664</v>
      </c>
      <c r="F16477" s="2" t="str">
        <f>"9789949731671"</f>
        <v>9789949731671</v>
      </c>
    </row>
    <row r="16478" spans="1:6" s="3" customFormat="1" ht="29.1" customHeight="1" x14ac:dyDescent="0.25">
      <c r="A16478" s="2" t="s">
        <v>32546</v>
      </c>
      <c r="B16478" s="2" t="s">
        <v>32548</v>
      </c>
      <c r="C16478" s="2" t="s">
        <v>32542</v>
      </c>
      <c r="D16478" s="2" t="s">
        <v>32547</v>
      </c>
      <c r="E16478" s="2" t="str">
        <f>"9789949731640"</f>
        <v>9789949731640</v>
      </c>
      <c r="F16478" s="2" t="str">
        <f>"9789949731657"</f>
        <v>9789949731657</v>
      </c>
    </row>
    <row r="16479" spans="1:6" s="3" customFormat="1" ht="29.1" customHeight="1" x14ac:dyDescent="0.25">
      <c r="A16479" s="2" t="s">
        <v>32549</v>
      </c>
      <c r="B16479" s="2" t="s">
        <v>32550</v>
      </c>
      <c r="C16479" s="2" t="s">
        <v>32542</v>
      </c>
      <c r="D16479" s="2" t="s">
        <v>3407</v>
      </c>
      <c r="E16479" s="2" t="str">
        <f>"9789949731626"</f>
        <v>9789949731626</v>
      </c>
      <c r="F16479" s="2" t="str">
        <f>"9789949731633"</f>
        <v>9789949731633</v>
      </c>
    </row>
    <row r="16480" spans="1:6" s="3" customFormat="1" ht="29.1" customHeight="1" x14ac:dyDescent="0.25">
      <c r="A16480" s="2" t="s">
        <v>32551</v>
      </c>
      <c r="B16480" s="2" t="s">
        <v>32553</v>
      </c>
      <c r="C16480" s="2" t="s">
        <v>32542</v>
      </c>
      <c r="D16480" s="2" t="s">
        <v>32552</v>
      </c>
      <c r="E16480" s="2" t="str">
        <f>"9789949731602"</f>
        <v>9789949731602</v>
      </c>
      <c r="F16480" s="2" t="str">
        <f>"9789949731619"</f>
        <v>9789949731619</v>
      </c>
    </row>
    <row r="16481" spans="1:6" s="3" customFormat="1" ht="29.1" customHeight="1" x14ac:dyDescent="0.25">
      <c r="A16481" s="2" t="s">
        <v>32554</v>
      </c>
      <c r="B16481" s="2" t="s">
        <v>32555</v>
      </c>
      <c r="C16481" s="2" t="s">
        <v>32542</v>
      </c>
      <c r="D16481" s="2" t="s">
        <v>8338</v>
      </c>
      <c r="E16481" s="2" t="str">
        <f>"9789916951644"</f>
        <v>9789916951644</v>
      </c>
      <c r="F16481" s="2" t="str">
        <f>"9789916951651"</f>
        <v>9789916951651</v>
      </c>
    </row>
    <row r="16482" spans="1:6" s="3" customFormat="1" ht="29.1" customHeight="1" x14ac:dyDescent="0.25">
      <c r="A16482" s="2" t="s">
        <v>32556</v>
      </c>
      <c r="B16482" s="2" t="s">
        <v>32557</v>
      </c>
      <c r="C16482" s="2" t="s">
        <v>32542</v>
      </c>
      <c r="D16482" s="2" t="s">
        <v>3489</v>
      </c>
      <c r="E16482" s="2" t="str">
        <f>"9789916951620"</f>
        <v>9789916951620</v>
      </c>
      <c r="F16482" s="2" t="str">
        <f>"9789916951637"</f>
        <v>9789916951637</v>
      </c>
    </row>
    <row r="16483" spans="1:6" s="3" customFormat="1" ht="29.1" customHeight="1" x14ac:dyDescent="0.25">
      <c r="A16483" s="2" t="s">
        <v>32558</v>
      </c>
      <c r="B16483" s="2" t="s">
        <v>32559</v>
      </c>
      <c r="C16483" s="2" t="s">
        <v>32542</v>
      </c>
      <c r="D16483" s="2" t="s">
        <v>8338</v>
      </c>
      <c r="E16483" s="2" t="str">
        <f>"9789916951606"</f>
        <v>9789916951606</v>
      </c>
      <c r="F16483" s="2" t="str">
        <f>"9789916951613"</f>
        <v>9789916951613</v>
      </c>
    </row>
    <row r="16484" spans="1:6" s="3" customFormat="1" ht="29.1" customHeight="1" x14ac:dyDescent="0.25">
      <c r="A16484" s="2" t="s">
        <v>32560</v>
      </c>
      <c r="B16484" s="2" t="s">
        <v>32561</v>
      </c>
      <c r="C16484" s="2" t="s">
        <v>327</v>
      </c>
      <c r="D16484" s="2" t="s">
        <v>5671</v>
      </c>
      <c r="E16484" s="2" t="str">
        <f>"9788382205565"</f>
        <v>9788382205565</v>
      </c>
      <c r="F16484" s="2" t="str">
        <f>"9788382205572"</f>
        <v>9788382205572</v>
      </c>
    </row>
    <row r="16485" spans="1:6" s="3" customFormat="1" ht="29.1" customHeight="1" x14ac:dyDescent="0.25">
      <c r="A16485" s="2" t="s">
        <v>32562</v>
      </c>
      <c r="B16485" s="2" t="s">
        <v>32563</v>
      </c>
      <c r="C16485" s="2" t="s">
        <v>327</v>
      </c>
      <c r="D16485" s="2" t="s">
        <v>98</v>
      </c>
      <c r="E16485" s="2" t="str">
        <f>"9788382203356"</f>
        <v>9788382203356</v>
      </c>
      <c r="F16485" s="2" t="str">
        <f>"9788382203363"</f>
        <v>9788382203363</v>
      </c>
    </row>
    <row r="16486" spans="1:6" s="3" customFormat="1" ht="29.1" customHeight="1" x14ac:dyDescent="0.25">
      <c r="A16486" s="2" t="s">
        <v>32564</v>
      </c>
      <c r="B16486" s="2" t="s">
        <v>32565</v>
      </c>
      <c r="C16486" s="2" t="s">
        <v>327</v>
      </c>
      <c r="D16486" s="2" t="s">
        <v>639</v>
      </c>
      <c r="E16486" s="2"/>
      <c r="F16486" s="2" t="str">
        <f>"9788381427579"</f>
        <v>9788381427579</v>
      </c>
    </row>
    <row r="16487" spans="1:6" s="3" customFormat="1" ht="29.1" customHeight="1" x14ac:dyDescent="0.25">
      <c r="A16487" s="2" t="s">
        <v>32566</v>
      </c>
      <c r="B16487" s="2" t="s">
        <v>32567</v>
      </c>
      <c r="C16487" s="2" t="s">
        <v>327</v>
      </c>
      <c r="D16487" s="2" t="s">
        <v>639</v>
      </c>
      <c r="E16487" s="2"/>
      <c r="F16487" s="2" t="str">
        <f>"9788382207392"</f>
        <v>9788382207392</v>
      </c>
    </row>
    <row r="16488" spans="1:6" s="3" customFormat="1" ht="29.1" customHeight="1" x14ac:dyDescent="0.25">
      <c r="A16488" s="2" t="s">
        <v>32568</v>
      </c>
      <c r="B16488" s="2" t="s">
        <v>32569</v>
      </c>
      <c r="C16488" s="2" t="s">
        <v>8104</v>
      </c>
      <c r="D16488" s="2" t="s">
        <v>636</v>
      </c>
      <c r="E16488" s="2" t="str">
        <f>"9781800736566"</f>
        <v>9781800736566</v>
      </c>
      <c r="F16488" s="2" t="str">
        <f>"9781800736573"</f>
        <v>9781800736573</v>
      </c>
    </row>
    <row r="16489" spans="1:6" s="3" customFormat="1" ht="29.1" customHeight="1" x14ac:dyDescent="0.25">
      <c r="A16489" s="2" t="s">
        <v>32570</v>
      </c>
      <c r="B16489" s="2" t="s">
        <v>32571</v>
      </c>
      <c r="C16489" s="2" t="s">
        <v>8104</v>
      </c>
      <c r="D16489" s="2" t="s">
        <v>13400</v>
      </c>
      <c r="E16489" s="2" t="str">
        <f>"9781800732902"</f>
        <v>9781800732902</v>
      </c>
      <c r="F16489" s="2" t="str">
        <f>"9781800734579"</f>
        <v>9781800734579</v>
      </c>
    </row>
    <row r="16490" spans="1:6" s="3" customFormat="1" ht="29.1" customHeight="1" x14ac:dyDescent="0.25">
      <c r="A16490" s="2" t="s">
        <v>1321</v>
      </c>
      <c r="B16490" s="2" t="s">
        <v>32572</v>
      </c>
      <c r="C16490" s="2" t="s">
        <v>1070</v>
      </c>
      <c r="D16490" s="2" t="s">
        <v>1278</v>
      </c>
      <c r="E16490" s="2" t="str">
        <f>"9783318069884"</f>
        <v>9783318069884</v>
      </c>
      <c r="F16490" s="2" t="str">
        <f>"9783318069891"</f>
        <v>9783318069891</v>
      </c>
    </row>
    <row r="16491" spans="1:6" s="3" customFormat="1" ht="29.1" customHeight="1" x14ac:dyDescent="0.25">
      <c r="A16491" s="2" t="s">
        <v>1497</v>
      </c>
      <c r="B16491" s="2" t="s">
        <v>32573</v>
      </c>
      <c r="C16491" s="2" t="s">
        <v>1070</v>
      </c>
      <c r="D16491" s="2" t="s">
        <v>1498</v>
      </c>
      <c r="E16491" s="2" t="str">
        <f>"9783318070743"</f>
        <v>9783318070743</v>
      </c>
      <c r="F16491" s="2" t="str">
        <f>"9783318065138"</f>
        <v>9783318065138</v>
      </c>
    </row>
    <row r="16492" spans="1:6" s="3" customFormat="1" ht="29.1" customHeight="1" x14ac:dyDescent="0.25">
      <c r="A16492" s="2" t="s">
        <v>32574</v>
      </c>
      <c r="B16492" s="2" t="s">
        <v>32575</v>
      </c>
      <c r="C16492" s="2" t="s">
        <v>124</v>
      </c>
      <c r="D16492" s="2" t="s">
        <v>270</v>
      </c>
      <c r="E16492" s="2" t="str">
        <f>"9781032134536"</f>
        <v>9781032134536</v>
      </c>
      <c r="F16492" s="2" t="str">
        <f>"9781000587302"</f>
        <v>9781000587302</v>
      </c>
    </row>
    <row r="16493" spans="1:6" s="3" customFormat="1" ht="29.1" customHeight="1" x14ac:dyDescent="0.25">
      <c r="A16493" s="2" t="s">
        <v>32576</v>
      </c>
      <c r="B16493" s="2" t="s">
        <v>32577</v>
      </c>
      <c r="C16493" s="2" t="s">
        <v>644</v>
      </c>
      <c r="D16493" s="2" t="s">
        <v>1180</v>
      </c>
      <c r="E16493" s="2"/>
      <c r="F16493" s="2" t="str">
        <f>"9781478090083"</f>
        <v>9781478090083</v>
      </c>
    </row>
    <row r="16494" spans="1:6" s="3" customFormat="1" ht="29.1" customHeight="1" x14ac:dyDescent="0.25">
      <c r="A16494" s="2" t="s">
        <v>32578</v>
      </c>
      <c r="B16494" s="2" t="s">
        <v>32579</v>
      </c>
      <c r="C16494" s="2" t="s">
        <v>124</v>
      </c>
      <c r="D16494" s="2" t="s">
        <v>30954</v>
      </c>
      <c r="E16494" s="2" t="str">
        <f>"9781032138893"</f>
        <v>9781032138893</v>
      </c>
      <c r="F16494" s="2" t="str">
        <f>"9781000589856"</f>
        <v>9781000589856</v>
      </c>
    </row>
    <row r="16495" spans="1:6" s="3" customFormat="1" ht="29.1" customHeight="1" x14ac:dyDescent="0.25">
      <c r="A16495" s="2" t="s">
        <v>32580</v>
      </c>
      <c r="B16495" s="2" t="s">
        <v>32581</v>
      </c>
      <c r="C16495" s="2" t="s">
        <v>4788</v>
      </c>
      <c r="D16495" s="2" t="s">
        <v>5104</v>
      </c>
      <c r="E16495" s="2" t="str">
        <f>"9781399500005"</f>
        <v>9781399500005</v>
      </c>
      <c r="F16495" s="2" t="str">
        <f>"9781399500029"</f>
        <v>9781399500029</v>
      </c>
    </row>
    <row r="16496" spans="1:6" s="3" customFormat="1" ht="29.1" customHeight="1" x14ac:dyDescent="0.25">
      <c r="A16496" s="2" t="s">
        <v>32582</v>
      </c>
      <c r="B16496" s="2" t="s">
        <v>32583</v>
      </c>
      <c r="C16496" s="2" t="s">
        <v>4788</v>
      </c>
      <c r="D16496" s="2" t="s">
        <v>10407</v>
      </c>
      <c r="E16496" s="2" t="str">
        <f>"9781474491853"</f>
        <v>9781474491853</v>
      </c>
      <c r="F16496" s="2" t="str">
        <f>"9781474491877"</f>
        <v>9781474491877</v>
      </c>
    </row>
    <row r="16497" spans="1:6" s="3" customFormat="1" ht="29.1" customHeight="1" x14ac:dyDescent="0.25">
      <c r="A16497" s="2" t="s">
        <v>32584</v>
      </c>
      <c r="B16497" s="2" t="s">
        <v>32585</v>
      </c>
      <c r="C16497" s="2" t="s">
        <v>2133</v>
      </c>
      <c r="D16497" s="2" t="s">
        <v>619</v>
      </c>
      <c r="E16497" s="2" t="str">
        <f>"9781760465025"</f>
        <v>9781760465025</v>
      </c>
      <c r="F16497" s="2" t="str">
        <f>"9781760465032"</f>
        <v>9781760465032</v>
      </c>
    </row>
    <row r="16498" spans="1:6" s="3" customFormat="1" ht="29.1" customHeight="1" x14ac:dyDescent="0.25">
      <c r="A16498" s="2" t="s">
        <v>32586</v>
      </c>
      <c r="B16498" s="2" t="s">
        <v>32587</v>
      </c>
      <c r="C16498" s="2" t="s">
        <v>124</v>
      </c>
      <c r="D16498" s="2" t="s">
        <v>1162</v>
      </c>
      <c r="E16498" s="2" t="str">
        <f>"9781032108346"</f>
        <v>9781032108346</v>
      </c>
      <c r="F16498" s="2" t="str">
        <f>"9781000586602"</f>
        <v>9781000586602</v>
      </c>
    </row>
    <row r="16499" spans="1:6" s="3" customFormat="1" ht="29.1" customHeight="1" x14ac:dyDescent="0.25">
      <c r="A16499" s="2" t="s">
        <v>32588</v>
      </c>
      <c r="B16499" s="2" t="s">
        <v>32589</v>
      </c>
      <c r="C16499" s="2" t="s">
        <v>62</v>
      </c>
      <c r="D16499" s="2" t="s">
        <v>5758</v>
      </c>
      <c r="E16499" s="2" t="str">
        <f>"9783428072200"</f>
        <v>9783428072200</v>
      </c>
      <c r="F16499" s="2" t="str">
        <f>"9783428472208"</f>
        <v>9783428472208</v>
      </c>
    </row>
    <row r="16500" spans="1:6" s="3" customFormat="1" ht="29.1" customHeight="1" x14ac:dyDescent="0.25">
      <c r="A16500" s="2" t="s">
        <v>32590</v>
      </c>
      <c r="B16500" s="2" t="s">
        <v>32591</v>
      </c>
      <c r="C16500" s="2" t="s">
        <v>62</v>
      </c>
      <c r="D16500" s="2" t="s">
        <v>1228</v>
      </c>
      <c r="E16500" s="2" t="str">
        <f>"9783428071609"</f>
        <v>9783428071609</v>
      </c>
      <c r="F16500" s="2" t="str">
        <f>"9783428471607"</f>
        <v>9783428471607</v>
      </c>
    </row>
    <row r="16501" spans="1:6" s="3" customFormat="1" ht="29.1" customHeight="1" x14ac:dyDescent="0.25">
      <c r="A16501" s="2" t="s">
        <v>32592</v>
      </c>
      <c r="B16501" s="2" t="s">
        <v>30458</v>
      </c>
      <c r="C16501" s="2" t="s">
        <v>62</v>
      </c>
      <c r="D16501" s="2" t="s">
        <v>1228</v>
      </c>
      <c r="E16501" s="2" t="str">
        <f>"9783428071449"</f>
        <v>9783428071449</v>
      </c>
      <c r="F16501" s="2" t="str">
        <f>"9783428471447"</f>
        <v>9783428471447</v>
      </c>
    </row>
    <row r="16502" spans="1:6" s="3" customFormat="1" ht="29.1" customHeight="1" x14ac:dyDescent="0.25">
      <c r="A16502" s="2" t="s">
        <v>32593</v>
      </c>
      <c r="B16502" s="2" t="s">
        <v>32594</v>
      </c>
      <c r="C16502" s="2" t="s">
        <v>62</v>
      </c>
      <c r="D16502" s="2" t="s">
        <v>1228</v>
      </c>
      <c r="E16502" s="2" t="str">
        <f>"9783428070466"</f>
        <v>9783428070466</v>
      </c>
      <c r="F16502" s="2" t="str">
        <f>"9783428470464"</f>
        <v>9783428470464</v>
      </c>
    </row>
    <row r="16503" spans="1:6" s="3" customFormat="1" ht="29.1" customHeight="1" x14ac:dyDescent="0.25">
      <c r="A16503" s="2" t="s">
        <v>32595</v>
      </c>
      <c r="B16503" s="2" t="s">
        <v>30405</v>
      </c>
      <c r="C16503" s="2" t="s">
        <v>62</v>
      </c>
      <c r="D16503" s="2" t="s">
        <v>1228</v>
      </c>
      <c r="E16503" s="2" t="str">
        <f>"9783428070367"</f>
        <v>9783428070367</v>
      </c>
      <c r="F16503" s="2" t="str">
        <f>"9783428470365"</f>
        <v>9783428470365</v>
      </c>
    </row>
    <row r="16504" spans="1:6" s="3" customFormat="1" ht="29.1" customHeight="1" x14ac:dyDescent="0.25">
      <c r="A16504" s="2" t="s">
        <v>32596</v>
      </c>
      <c r="B16504" s="2" t="s">
        <v>32597</v>
      </c>
      <c r="C16504" s="2" t="s">
        <v>62</v>
      </c>
      <c r="D16504" s="2" t="s">
        <v>1463</v>
      </c>
      <c r="E16504" s="2" t="str">
        <f>"9783428072750"</f>
        <v>9783428072750</v>
      </c>
      <c r="F16504" s="2" t="str">
        <f>"9783428472758"</f>
        <v>9783428472758</v>
      </c>
    </row>
    <row r="16505" spans="1:6" s="3" customFormat="1" ht="29.1" customHeight="1" x14ac:dyDescent="0.25">
      <c r="A16505" s="2" t="s">
        <v>32598</v>
      </c>
      <c r="B16505" s="2" t="s">
        <v>32538</v>
      </c>
      <c r="C16505" s="2" t="s">
        <v>62</v>
      </c>
      <c r="D16505" s="2" t="s">
        <v>4783</v>
      </c>
      <c r="E16505" s="2" t="str">
        <f>"9783428072354"</f>
        <v>9783428072354</v>
      </c>
      <c r="F16505" s="2" t="str">
        <f>"9783428472352"</f>
        <v>9783428472352</v>
      </c>
    </row>
    <row r="16506" spans="1:6" s="3" customFormat="1" ht="29.1" customHeight="1" x14ac:dyDescent="0.25">
      <c r="A16506" s="2" t="s">
        <v>32599</v>
      </c>
      <c r="B16506" s="2" t="s">
        <v>30410</v>
      </c>
      <c r="C16506" s="2" t="s">
        <v>62</v>
      </c>
      <c r="D16506" s="2" t="s">
        <v>1228</v>
      </c>
      <c r="E16506" s="2" t="str">
        <f>"9783428072002"</f>
        <v>9783428072002</v>
      </c>
      <c r="F16506" s="2" t="str">
        <f>"9783428472000"</f>
        <v>9783428472000</v>
      </c>
    </row>
    <row r="16507" spans="1:6" s="3" customFormat="1" ht="29.1" customHeight="1" x14ac:dyDescent="0.25">
      <c r="A16507" s="2" t="s">
        <v>32600</v>
      </c>
      <c r="B16507" s="2" t="s">
        <v>32395</v>
      </c>
      <c r="C16507" s="2" t="s">
        <v>62</v>
      </c>
      <c r="D16507" s="2" t="s">
        <v>1209</v>
      </c>
      <c r="E16507" s="2" t="str">
        <f>"9783428071500"</f>
        <v>9783428071500</v>
      </c>
      <c r="F16507" s="2" t="str">
        <f>"9783428471508"</f>
        <v>9783428471508</v>
      </c>
    </row>
    <row r="16508" spans="1:6" s="3" customFormat="1" ht="29.1" customHeight="1" x14ac:dyDescent="0.25">
      <c r="A16508" s="2" t="s">
        <v>32601</v>
      </c>
      <c r="B16508" s="2"/>
      <c r="C16508" s="2" t="s">
        <v>62</v>
      </c>
      <c r="D16508" s="2" t="s">
        <v>1809</v>
      </c>
      <c r="E16508" s="2" t="str">
        <f>"9783428071401"</f>
        <v>9783428071401</v>
      </c>
      <c r="F16508" s="2" t="str">
        <f>"9783428471409"</f>
        <v>9783428471409</v>
      </c>
    </row>
    <row r="16509" spans="1:6" s="3" customFormat="1" ht="29.1" customHeight="1" x14ac:dyDescent="0.25">
      <c r="A16509" s="2" t="s">
        <v>32602</v>
      </c>
      <c r="B16509" s="2" t="s">
        <v>7834</v>
      </c>
      <c r="C16509" s="2" t="s">
        <v>195</v>
      </c>
      <c r="D16509" s="2" t="s">
        <v>186</v>
      </c>
      <c r="E16509" s="2"/>
      <c r="F16509" s="2" t="str">
        <f>"9788395815072"</f>
        <v>9788395815072</v>
      </c>
    </row>
    <row r="16510" spans="1:6" s="3" customFormat="1" ht="29.1" customHeight="1" x14ac:dyDescent="0.25">
      <c r="A16510" s="2" t="s">
        <v>32603</v>
      </c>
      <c r="B16510" s="2" t="s">
        <v>32604</v>
      </c>
      <c r="C16510" s="2" t="s">
        <v>195</v>
      </c>
      <c r="D16510" s="2" t="s">
        <v>33</v>
      </c>
      <c r="E16510" s="2" t="str">
        <f>"9783110775990"</f>
        <v>9783110775990</v>
      </c>
      <c r="F16510" s="2" t="str">
        <f>"9783110776492"</f>
        <v>9783110776492</v>
      </c>
    </row>
    <row r="16511" spans="1:6" s="3" customFormat="1" ht="29.1" customHeight="1" x14ac:dyDescent="0.25">
      <c r="A16511" s="2" t="s">
        <v>32605</v>
      </c>
      <c r="B16511" s="2" t="s">
        <v>32606</v>
      </c>
      <c r="C16511" s="2" t="s">
        <v>195</v>
      </c>
      <c r="D16511" s="2" t="s">
        <v>1944</v>
      </c>
      <c r="E16511" s="2" t="str">
        <f>"9783110761481"</f>
        <v>9783110761481</v>
      </c>
      <c r="F16511" s="2" t="str">
        <f>"9783110761658"</f>
        <v>9783110761658</v>
      </c>
    </row>
    <row r="16512" spans="1:6" s="3" customFormat="1" ht="29.1" customHeight="1" x14ac:dyDescent="0.25">
      <c r="A16512" s="2" t="s">
        <v>32607</v>
      </c>
      <c r="B16512" s="2" t="s">
        <v>32608</v>
      </c>
      <c r="C16512" s="2" t="s">
        <v>195</v>
      </c>
      <c r="D16512" s="2" t="s">
        <v>15932</v>
      </c>
      <c r="E16512" s="2" t="str">
        <f>"9783110725704"</f>
        <v>9783110725704</v>
      </c>
      <c r="F16512" s="2" t="str">
        <f>"9783110730210"</f>
        <v>9783110730210</v>
      </c>
    </row>
    <row r="16513" spans="1:6" s="3" customFormat="1" ht="29.1" customHeight="1" x14ac:dyDescent="0.25">
      <c r="A16513" s="2" t="s">
        <v>32609</v>
      </c>
      <c r="B16513" s="2" t="s">
        <v>32610</v>
      </c>
      <c r="C16513" s="2" t="s">
        <v>1953</v>
      </c>
      <c r="D16513" s="2" t="s">
        <v>981</v>
      </c>
      <c r="E16513" s="2" t="str">
        <f>"9781685076832"</f>
        <v>9781685076832</v>
      </c>
      <c r="F16513" s="2" t="str">
        <f>"9781685077785"</f>
        <v>9781685077785</v>
      </c>
    </row>
    <row r="16514" spans="1:6" s="3" customFormat="1" ht="29.1" customHeight="1" x14ac:dyDescent="0.25">
      <c r="A16514" s="2" t="s">
        <v>32611</v>
      </c>
      <c r="B16514" s="2" t="s">
        <v>32612</v>
      </c>
      <c r="C16514" s="2" t="s">
        <v>124</v>
      </c>
      <c r="D16514" s="2" t="s">
        <v>2005</v>
      </c>
      <c r="E16514" s="2" t="str">
        <f>"9781032127583"</f>
        <v>9781032127583</v>
      </c>
      <c r="F16514" s="2" t="str">
        <f>"9781000595048"</f>
        <v>9781000595048</v>
      </c>
    </row>
    <row r="16515" spans="1:6" s="3" customFormat="1" ht="29.1" customHeight="1" x14ac:dyDescent="0.25">
      <c r="A16515" s="2" t="s">
        <v>32613</v>
      </c>
      <c r="B16515" s="2" t="s">
        <v>27457</v>
      </c>
      <c r="C16515" s="2" t="s">
        <v>746</v>
      </c>
      <c r="D16515" s="2" t="s">
        <v>6440</v>
      </c>
      <c r="E16515" s="2" t="str">
        <f>"9781803272337"</f>
        <v>9781803272337</v>
      </c>
      <c r="F16515" s="2" t="str">
        <f>"9781803272344"</f>
        <v>9781803272344</v>
      </c>
    </row>
    <row r="16516" spans="1:6" s="3" customFormat="1" ht="29.1" customHeight="1" x14ac:dyDescent="0.25">
      <c r="A16516" s="2" t="s">
        <v>32614</v>
      </c>
      <c r="B16516" s="2" t="s">
        <v>32615</v>
      </c>
      <c r="C16516" s="2" t="s">
        <v>746</v>
      </c>
      <c r="D16516" s="2" t="s">
        <v>606</v>
      </c>
      <c r="E16516" s="2" t="str">
        <f>"9781803271842"</f>
        <v>9781803271842</v>
      </c>
      <c r="F16516" s="2" t="str">
        <f>"9781803271859"</f>
        <v>9781803271859</v>
      </c>
    </row>
    <row r="16517" spans="1:6" s="3" customFormat="1" ht="29.1" customHeight="1" x14ac:dyDescent="0.25">
      <c r="A16517" s="2" t="s">
        <v>32616</v>
      </c>
      <c r="B16517" s="2" t="s">
        <v>32617</v>
      </c>
      <c r="C16517" s="2" t="s">
        <v>595</v>
      </c>
      <c r="D16517" s="2" t="s">
        <v>1025</v>
      </c>
      <c r="E16517" s="2" t="str">
        <f>"9783631869413"</f>
        <v>9783631869413</v>
      </c>
      <c r="F16517" s="2" t="str">
        <f>"9783631869598"</f>
        <v>9783631869598</v>
      </c>
    </row>
    <row r="16518" spans="1:6" s="3" customFormat="1" ht="29.1" customHeight="1" x14ac:dyDescent="0.25">
      <c r="A16518" s="2" t="s">
        <v>32618</v>
      </c>
      <c r="B16518" s="2" t="s">
        <v>32619</v>
      </c>
      <c r="C16518" s="2" t="s">
        <v>885</v>
      </c>
      <c r="D16518" s="2" t="s">
        <v>1463</v>
      </c>
      <c r="E16518" s="2" t="str">
        <f>"9781487505219"</f>
        <v>9781487505219</v>
      </c>
      <c r="F16518" s="2" t="str">
        <f>"9781487531768"</f>
        <v>9781487531768</v>
      </c>
    </row>
    <row r="16519" spans="1:6" s="3" customFormat="1" ht="29.1" customHeight="1" x14ac:dyDescent="0.25">
      <c r="A16519" s="2" t="s">
        <v>32620</v>
      </c>
      <c r="B16519" s="2" t="s">
        <v>32621</v>
      </c>
      <c r="C16519" s="2" t="s">
        <v>885</v>
      </c>
      <c r="D16519" s="2" t="s">
        <v>7978</v>
      </c>
      <c r="E16519" s="2" t="str">
        <f>"9781487543044"</f>
        <v>9781487543044</v>
      </c>
      <c r="F16519" s="2" t="str">
        <f>"9781487543051"</f>
        <v>9781487543051</v>
      </c>
    </row>
    <row r="16520" spans="1:6" s="3" customFormat="1" ht="29.1" customHeight="1" x14ac:dyDescent="0.25">
      <c r="A16520" s="2" t="s">
        <v>32622</v>
      </c>
      <c r="B16520" s="2" t="s">
        <v>32623</v>
      </c>
      <c r="C16520" s="2" t="s">
        <v>26676</v>
      </c>
      <c r="D16520" s="2" t="s">
        <v>4238</v>
      </c>
      <c r="E16520" s="2" t="str">
        <f>"9781644694145"</f>
        <v>9781644694145</v>
      </c>
      <c r="F16520" s="2" t="str">
        <f>"9781644694169"</f>
        <v>9781644694169</v>
      </c>
    </row>
    <row r="16521" spans="1:6" s="3" customFormat="1" ht="29.1" customHeight="1" x14ac:dyDescent="0.25">
      <c r="A16521" s="2" t="s">
        <v>32624</v>
      </c>
      <c r="B16521" s="2" t="s">
        <v>19666</v>
      </c>
      <c r="C16521" s="2" t="s">
        <v>29</v>
      </c>
      <c r="D16521" s="2" t="s">
        <v>5428</v>
      </c>
      <c r="E16521" s="2" t="str">
        <f>"9783506703224"</f>
        <v>9783506703224</v>
      </c>
      <c r="F16521" s="2" t="str">
        <f>"9783657703227"</f>
        <v>9783657703227</v>
      </c>
    </row>
    <row r="16522" spans="1:6" s="3" customFormat="1" ht="29.1" customHeight="1" x14ac:dyDescent="0.25">
      <c r="A16522" s="2" t="s">
        <v>32625</v>
      </c>
      <c r="B16522" s="2" t="s">
        <v>32626</v>
      </c>
      <c r="C16522" s="2" t="s">
        <v>3169</v>
      </c>
      <c r="D16522" s="2" t="s">
        <v>202</v>
      </c>
      <c r="E16522" s="2"/>
      <c r="F16522" s="2" t="str">
        <f>"9781800103030"</f>
        <v>9781800103030</v>
      </c>
    </row>
    <row r="16523" spans="1:6" s="3" customFormat="1" ht="29.1" customHeight="1" x14ac:dyDescent="0.25">
      <c r="A16523" s="2" t="s">
        <v>32627</v>
      </c>
      <c r="B16523" s="2" t="s">
        <v>6966</v>
      </c>
      <c r="C16523" s="2" t="s">
        <v>3169</v>
      </c>
      <c r="D16523" s="2" t="s">
        <v>6347</v>
      </c>
      <c r="E16523" s="2" t="str">
        <f>"9781648250200"</f>
        <v>9781648250200</v>
      </c>
      <c r="F16523" s="2" t="str">
        <f>"9781800104532"</f>
        <v>9781800104532</v>
      </c>
    </row>
    <row r="16524" spans="1:6" s="3" customFormat="1" ht="29.1" customHeight="1" x14ac:dyDescent="0.25">
      <c r="A16524" s="2" t="s">
        <v>32628</v>
      </c>
      <c r="B16524" s="2" t="s">
        <v>32629</v>
      </c>
      <c r="C16524" s="2" t="s">
        <v>124</v>
      </c>
      <c r="D16524" s="2" t="s">
        <v>868</v>
      </c>
      <c r="E16524" s="2" t="str">
        <f>"9780367762919"</f>
        <v>9780367762919</v>
      </c>
      <c r="F16524" s="2" t="str">
        <f>"9781000584110"</f>
        <v>9781000584110</v>
      </c>
    </row>
    <row r="16525" spans="1:6" s="3" customFormat="1" ht="29.1" customHeight="1" x14ac:dyDescent="0.25">
      <c r="A16525" s="2" t="s">
        <v>32630</v>
      </c>
      <c r="B16525" s="2" t="s">
        <v>32631</v>
      </c>
      <c r="C16525" s="2" t="s">
        <v>124</v>
      </c>
      <c r="D16525" s="2" t="s">
        <v>81</v>
      </c>
      <c r="E16525" s="2" t="str">
        <f>"9781032006888"</f>
        <v>9781032006888</v>
      </c>
      <c r="F16525" s="2" t="str">
        <f>"9781000580518"</f>
        <v>9781000580518</v>
      </c>
    </row>
    <row r="16526" spans="1:6" s="3" customFormat="1" ht="29.1" customHeight="1" x14ac:dyDescent="0.25">
      <c r="A16526" s="2" t="s">
        <v>32632</v>
      </c>
      <c r="B16526" s="2" t="s">
        <v>32633</v>
      </c>
      <c r="C16526" s="2" t="s">
        <v>124</v>
      </c>
      <c r="D16526" s="2" t="s">
        <v>25467</v>
      </c>
      <c r="E16526" s="2" t="str">
        <f>"9781032128184"</f>
        <v>9781032128184</v>
      </c>
      <c r="F16526" s="2" t="str">
        <f>"9781000582697"</f>
        <v>9781000582697</v>
      </c>
    </row>
    <row r="16527" spans="1:6" s="3" customFormat="1" ht="29.1" customHeight="1" x14ac:dyDescent="0.25">
      <c r="A16527" s="2" t="s">
        <v>32634</v>
      </c>
      <c r="B16527" s="2" t="s">
        <v>32635</v>
      </c>
      <c r="C16527" s="2" t="s">
        <v>124</v>
      </c>
      <c r="D16527" s="2" t="s">
        <v>186</v>
      </c>
      <c r="E16527" s="2" t="str">
        <f>"9780367197681"</f>
        <v>9780367197681</v>
      </c>
      <c r="F16527" s="2" t="str">
        <f>"9780429243165"</f>
        <v>9780429243165</v>
      </c>
    </row>
    <row r="16528" spans="1:6" s="3" customFormat="1" ht="29.1" customHeight="1" x14ac:dyDescent="0.25">
      <c r="A16528" s="2" t="s">
        <v>32636</v>
      </c>
      <c r="B16528" s="2" t="s">
        <v>32638</v>
      </c>
      <c r="C16528" s="2" t="s">
        <v>15181</v>
      </c>
      <c r="D16528" s="2" t="s">
        <v>32637</v>
      </c>
      <c r="E16528" s="2" t="str">
        <f>"9789633865811"</f>
        <v>9789633865811</v>
      </c>
      <c r="F16528" s="2" t="str">
        <f>"9789633865828"</f>
        <v>9789633865828</v>
      </c>
    </row>
    <row r="16529" spans="1:6" s="3" customFormat="1" ht="29.1" customHeight="1" x14ac:dyDescent="0.25">
      <c r="A16529" s="2" t="s">
        <v>32639</v>
      </c>
      <c r="B16529" s="2" t="s">
        <v>32640</v>
      </c>
      <c r="C16529" s="2" t="s">
        <v>15181</v>
      </c>
      <c r="D16529" s="2" t="s">
        <v>1669</v>
      </c>
      <c r="E16529" s="2" t="str">
        <f>"9789633864531"</f>
        <v>9789633864531</v>
      </c>
      <c r="F16529" s="2" t="str">
        <f>"9789633864548"</f>
        <v>9789633864548</v>
      </c>
    </row>
    <row r="16530" spans="1:6" s="3" customFormat="1" ht="29.1" customHeight="1" x14ac:dyDescent="0.25">
      <c r="A16530" s="2" t="s">
        <v>32641</v>
      </c>
      <c r="B16530" s="2" t="s">
        <v>32642</v>
      </c>
      <c r="C16530" s="2" t="s">
        <v>15181</v>
      </c>
      <c r="D16530" s="2" t="s">
        <v>1162</v>
      </c>
      <c r="E16530" s="2" t="str">
        <f>"9789633864784"</f>
        <v>9789633864784</v>
      </c>
      <c r="F16530" s="2" t="str">
        <f>"9789633864791"</f>
        <v>9789633864791</v>
      </c>
    </row>
    <row r="16531" spans="1:6" s="3" customFormat="1" ht="29.1" customHeight="1" x14ac:dyDescent="0.25">
      <c r="A16531" s="2" t="s">
        <v>32643</v>
      </c>
      <c r="B16531" s="2" t="s">
        <v>32644</v>
      </c>
      <c r="C16531" s="2" t="s">
        <v>15181</v>
      </c>
      <c r="D16531" s="2" t="s">
        <v>4238</v>
      </c>
      <c r="E16531" s="2" t="str">
        <f>"9789633865750"</f>
        <v>9789633865750</v>
      </c>
      <c r="F16531" s="2" t="str">
        <f>"9789633865767"</f>
        <v>9789633865767</v>
      </c>
    </row>
    <row r="16532" spans="1:6" s="3" customFormat="1" ht="29.1" customHeight="1" x14ac:dyDescent="0.25">
      <c r="A16532" s="2" t="s">
        <v>32645</v>
      </c>
      <c r="B16532" s="2" t="s">
        <v>32646</v>
      </c>
      <c r="C16532" s="2" t="s">
        <v>15181</v>
      </c>
      <c r="D16532" s="2" t="s">
        <v>297</v>
      </c>
      <c r="E16532" s="2" t="str">
        <f>"9789633865897"</f>
        <v>9789633865897</v>
      </c>
      <c r="F16532" s="2" t="str">
        <f>"9789633865903"</f>
        <v>9789633865903</v>
      </c>
    </row>
    <row r="16533" spans="1:6" s="3" customFormat="1" ht="29.1" customHeight="1" x14ac:dyDescent="0.25">
      <c r="A16533" s="2" t="s">
        <v>32647</v>
      </c>
      <c r="B16533" s="2" t="s">
        <v>32648</v>
      </c>
      <c r="C16533" s="2" t="s">
        <v>15181</v>
      </c>
      <c r="D16533" s="2" t="s">
        <v>12</v>
      </c>
      <c r="E16533" s="2" t="str">
        <f>"9789633864319"</f>
        <v>9789633864319</v>
      </c>
      <c r="F16533" s="2" t="str">
        <f>"9789633864326"</f>
        <v>9789633864326</v>
      </c>
    </row>
    <row r="16534" spans="1:6" s="3" customFormat="1" ht="29.1" customHeight="1" x14ac:dyDescent="0.25">
      <c r="A16534" s="2" t="s">
        <v>32649</v>
      </c>
      <c r="B16534" s="2" t="s">
        <v>32650</v>
      </c>
      <c r="C16534" s="2" t="s">
        <v>20</v>
      </c>
      <c r="D16534" s="2" t="s">
        <v>183</v>
      </c>
      <c r="E16534" s="2" t="str">
        <f>"9783763962181"</f>
        <v>9783763962181</v>
      </c>
      <c r="F16534" s="2" t="str">
        <f>"9783763962198"</f>
        <v>9783763962198</v>
      </c>
    </row>
    <row r="16535" spans="1:6" s="3" customFormat="1" ht="29.1" customHeight="1" x14ac:dyDescent="0.25">
      <c r="A16535" s="2" t="s">
        <v>32651</v>
      </c>
      <c r="B16535" s="2" t="s">
        <v>14328</v>
      </c>
      <c r="C16535" s="2" t="s">
        <v>248</v>
      </c>
      <c r="D16535" s="2" t="s">
        <v>75</v>
      </c>
      <c r="E16535" s="2" t="str">
        <f>"9783847425410"</f>
        <v>9783847425410</v>
      </c>
      <c r="F16535" s="2" t="str">
        <f>"9783847416777"</f>
        <v>9783847416777</v>
      </c>
    </row>
    <row r="16536" spans="1:6" s="3" customFormat="1" ht="29.1" customHeight="1" x14ac:dyDescent="0.25">
      <c r="A16536" s="2" t="s">
        <v>32652</v>
      </c>
      <c r="B16536" s="2" t="s">
        <v>32653</v>
      </c>
      <c r="C16536" s="2" t="s">
        <v>2133</v>
      </c>
      <c r="D16536" s="2" t="s">
        <v>636</v>
      </c>
      <c r="E16536" s="2" t="str">
        <f>"9781922144805"</f>
        <v>9781922144805</v>
      </c>
      <c r="F16536" s="2" t="str">
        <f>"9781922144812"</f>
        <v>9781922144812</v>
      </c>
    </row>
    <row r="16537" spans="1:6" s="3" customFormat="1" ht="29.1" customHeight="1" x14ac:dyDescent="0.25">
      <c r="A16537" s="2" t="s">
        <v>32654</v>
      </c>
      <c r="B16537" s="2" t="s">
        <v>32655</v>
      </c>
      <c r="C16537" s="2" t="s">
        <v>2133</v>
      </c>
      <c r="D16537" s="2" t="s">
        <v>606</v>
      </c>
      <c r="E16537" s="2" t="str">
        <f>"9781760464882"</f>
        <v>9781760464882</v>
      </c>
      <c r="F16537" s="2" t="str">
        <f>"9781760464899"</f>
        <v>9781760464899</v>
      </c>
    </row>
    <row r="16538" spans="1:6" s="3" customFormat="1" ht="29.1" customHeight="1" x14ac:dyDescent="0.25">
      <c r="A16538" s="2" t="s">
        <v>32656</v>
      </c>
      <c r="B16538" s="2" t="s">
        <v>32657</v>
      </c>
      <c r="C16538" s="2" t="s">
        <v>2133</v>
      </c>
      <c r="D16538" s="2" t="s">
        <v>5695</v>
      </c>
      <c r="E16538" s="2" t="str">
        <f>"9781760460365"</f>
        <v>9781760460365</v>
      </c>
      <c r="F16538" s="2" t="str">
        <f>"9781760460372"</f>
        <v>9781760460372</v>
      </c>
    </row>
    <row r="16539" spans="1:6" s="3" customFormat="1" ht="29.1" customHeight="1" x14ac:dyDescent="0.25">
      <c r="A16539" s="2" t="s">
        <v>32658</v>
      </c>
      <c r="B16539" s="2" t="s">
        <v>32659</v>
      </c>
      <c r="C16539" s="2" t="s">
        <v>2133</v>
      </c>
      <c r="D16539" s="2" t="s">
        <v>818</v>
      </c>
      <c r="E16539" s="2" t="str">
        <f>"9781760461232"</f>
        <v>9781760461232</v>
      </c>
      <c r="F16539" s="2" t="str">
        <f>"9781760461249"</f>
        <v>9781760461249</v>
      </c>
    </row>
    <row r="16540" spans="1:6" s="3" customFormat="1" ht="29.1" customHeight="1" x14ac:dyDescent="0.25">
      <c r="A16540" s="2" t="s">
        <v>32660</v>
      </c>
      <c r="B16540" s="2" t="s">
        <v>32661</v>
      </c>
      <c r="C16540" s="2" t="s">
        <v>2133</v>
      </c>
      <c r="D16540" s="2" t="s">
        <v>4670</v>
      </c>
      <c r="E16540" s="2" t="str">
        <f>"9781760461133"</f>
        <v>9781760461133</v>
      </c>
      <c r="F16540" s="2" t="str">
        <f>"9781760461140"</f>
        <v>9781760461140</v>
      </c>
    </row>
    <row r="16541" spans="1:6" s="3" customFormat="1" ht="29.1" customHeight="1" x14ac:dyDescent="0.25">
      <c r="A16541" s="2" t="s">
        <v>32662</v>
      </c>
      <c r="B16541" s="2" t="s">
        <v>32663</v>
      </c>
      <c r="C16541" s="2" t="s">
        <v>124</v>
      </c>
      <c r="D16541" s="2" t="s">
        <v>353</v>
      </c>
      <c r="E16541" s="2" t="str">
        <f>"9780367674298"</f>
        <v>9780367674298</v>
      </c>
      <c r="F16541" s="2" t="str">
        <f>"9781000564563"</f>
        <v>9781000564563</v>
      </c>
    </row>
    <row r="16542" spans="1:6" s="3" customFormat="1" ht="29.1" customHeight="1" x14ac:dyDescent="0.25">
      <c r="A16542" s="2" t="s">
        <v>32664</v>
      </c>
      <c r="B16542" s="2" t="s">
        <v>32665</v>
      </c>
      <c r="C16542" s="2" t="s">
        <v>195</v>
      </c>
      <c r="D16542" s="2" t="s">
        <v>1049</v>
      </c>
      <c r="E16542" s="2" t="str">
        <f>"9783110756012"</f>
        <v>9783110756012</v>
      </c>
      <c r="F16542" s="2" t="str">
        <f>"9783110756029"</f>
        <v>9783110756029</v>
      </c>
    </row>
    <row r="16543" spans="1:6" s="3" customFormat="1" ht="29.1" customHeight="1" x14ac:dyDescent="0.25">
      <c r="A16543" s="2" t="s">
        <v>32666</v>
      </c>
      <c r="B16543" s="2" t="s">
        <v>31913</v>
      </c>
      <c r="C16543" s="2" t="s">
        <v>195</v>
      </c>
      <c r="D16543" s="2" t="s">
        <v>118</v>
      </c>
      <c r="E16543" s="2" t="str">
        <f>"9783110713954"</f>
        <v>9783110713954</v>
      </c>
      <c r="F16543" s="2" t="str">
        <f>"9783110751987"</f>
        <v>9783110751987</v>
      </c>
    </row>
    <row r="16544" spans="1:6" s="3" customFormat="1" ht="29.1" customHeight="1" x14ac:dyDescent="0.25">
      <c r="A16544" s="2" t="s">
        <v>32667</v>
      </c>
      <c r="B16544" s="2" t="s">
        <v>32668</v>
      </c>
      <c r="C16544" s="2" t="s">
        <v>62</v>
      </c>
      <c r="D16544" s="2" t="s">
        <v>297</v>
      </c>
      <c r="E16544" s="2" t="str">
        <f>"9783428074280"</f>
        <v>9783428074280</v>
      </c>
      <c r="F16544" s="2" t="str">
        <f>"9783428474288"</f>
        <v>9783428474288</v>
      </c>
    </row>
    <row r="16545" spans="1:6" s="3" customFormat="1" ht="29.1" customHeight="1" x14ac:dyDescent="0.25">
      <c r="A16545" s="2" t="s">
        <v>32669</v>
      </c>
      <c r="B16545" s="2" t="s">
        <v>32533</v>
      </c>
      <c r="C16545" s="2" t="s">
        <v>62</v>
      </c>
      <c r="D16545" s="2" t="s">
        <v>1209</v>
      </c>
      <c r="E16545" s="2" t="str">
        <f>"9783428074143"</f>
        <v>9783428074143</v>
      </c>
      <c r="F16545" s="2" t="str">
        <f>"9783428474141"</f>
        <v>9783428474141</v>
      </c>
    </row>
    <row r="16546" spans="1:6" s="3" customFormat="1" ht="29.1" customHeight="1" x14ac:dyDescent="0.25">
      <c r="A16546" s="2" t="s">
        <v>32670</v>
      </c>
      <c r="B16546" s="2" t="s">
        <v>30458</v>
      </c>
      <c r="C16546" s="2" t="s">
        <v>62</v>
      </c>
      <c r="D16546" s="2" t="s">
        <v>1864</v>
      </c>
      <c r="E16546" s="2" t="str">
        <f>"9783428073986"</f>
        <v>9783428073986</v>
      </c>
      <c r="F16546" s="2" t="str">
        <f>"9783428473984"</f>
        <v>9783428473984</v>
      </c>
    </row>
    <row r="16547" spans="1:6" s="3" customFormat="1" ht="29.1" customHeight="1" x14ac:dyDescent="0.25">
      <c r="A16547" s="2" t="s">
        <v>32671</v>
      </c>
      <c r="B16547" s="2" t="s">
        <v>30408</v>
      </c>
      <c r="C16547" s="2" t="s">
        <v>62</v>
      </c>
      <c r="D16547" s="2" t="s">
        <v>1651</v>
      </c>
      <c r="E16547" s="2" t="str">
        <f>"9783428073597"</f>
        <v>9783428073597</v>
      </c>
      <c r="F16547" s="2" t="str">
        <f>"9783428473595"</f>
        <v>9783428473595</v>
      </c>
    </row>
    <row r="16548" spans="1:6" s="3" customFormat="1" ht="29.1" customHeight="1" x14ac:dyDescent="0.25">
      <c r="A16548" s="2" t="s">
        <v>32672</v>
      </c>
      <c r="B16548" s="2" t="s">
        <v>32668</v>
      </c>
      <c r="C16548" s="2" t="s">
        <v>62</v>
      </c>
      <c r="D16548" s="2" t="s">
        <v>297</v>
      </c>
      <c r="E16548" s="2" t="str">
        <f>"9783428072903"</f>
        <v>9783428072903</v>
      </c>
      <c r="F16548" s="2" t="str">
        <f>"9783428472901"</f>
        <v>9783428472901</v>
      </c>
    </row>
    <row r="16549" spans="1:6" s="3" customFormat="1" ht="29.1" customHeight="1" x14ac:dyDescent="0.25">
      <c r="A16549" s="2" t="s">
        <v>32673</v>
      </c>
      <c r="B16549" s="2" t="s">
        <v>32561</v>
      </c>
      <c r="C16549" s="2" t="s">
        <v>327</v>
      </c>
      <c r="D16549" s="2" t="s">
        <v>5671</v>
      </c>
      <c r="E16549" s="2" t="str">
        <f>"9788382206999"</f>
        <v>9788382206999</v>
      </c>
      <c r="F16549" s="2" t="str">
        <f>"9788382207033"</f>
        <v>9788382207033</v>
      </c>
    </row>
    <row r="16550" spans="1:6" s="3" customFormat="1" ht="29.1" customHeight="1" x14ac:dyDescent="0.25">
      <c r="A16550" s="2" t="s">
        <v>32674</v>
      </c>
      <c r="B16550" s="2" t="s">
        <v>32675</v>
      </c>
      <c r="C16550" s="2" t="s">
        <v>327</v>
      </c>
      <c r="D16550" s="2" t="s">
        <v>1253</v>
      </c>
      <c r="E16550" s="2" t="str">
        <f>"9788382206791"</f>
        <v>9788382206791</v>
      </c>
      <c r="F16550" s="2" t="str">
        <f>"9788382206807"</f>
        <v>9788382206807</v>
      </c>
    </row>
    <row r="16551" spans="1:6" s="3" customFormat="1" ht="29.1" customHeight="1" x14ac:dyDescent="0.25">
      <c r="A16551" s="2" t="s">
        <v>32676</v>
      </c>
      <c r="B16551" s="2" t="s">
        <v>32677</v>
      </c>
      <c r="C16551" s="2" t="s">
        <v>327</v>
      </c>
      <c r="D16551" s="2" t="s">
        <v>413</v>
      </c>
      <c r="E16551" s="2"/>
      <c r="F16551" s="2" t="str">
        <f>"9788382207620"</f>
        <v>9788382207620</v>
      </c>
    </row>
    <row r="16552" spans="1:6" s="3" customFormat="1" ht="29.1" customHeight="1" x14ac:dyDescent="0.25">
      <c r="A16552" s="2" t="s">
        <v>32678</v>
      </c>
      <c r="B16552" s="2" t="s">
        <v>32679</v>
      </c>
      <c r="C16552" s="2" t="s">
        <v>327</v>
      </c>
      <c r="D16552" s="2" t="s">
        <v>497</v>
      </c>
      <c r="E16552" s="2" t="str">
        <f>"9788382204216"</f>
        <v>9788382204216</v>
      </c>
      <c r="F16552" s="2" t="str">
        <f>"9788382204223"</f>
        <v>9788382204223</v>
      </c>
    </row>
    <row r="16553" spans="1:6" s="3" customFormat="1" ht="29.1" customHeight="1" x14ac:dyDescent="0.25">
      <c r="A16553" s="2" t="s">
        <v>32680</v>
      </c>
      <c r="B16553" s="2" t="s">
        <v>32681</v>
      </c>
      <c r="C16553" s="2" t="s">
        <v>327</v>
      </c>
      <c r="D16553" s="2" t="s">
        <v>141</v>
      </c>
      <c r="E16553" s="2" t="str">
        <f>"9788382207552"</f>
        <v>9788382207552</v>
      </c>
      <c r="F16553" s="2" t="str">
        <f>"9788382207569"</f>
        <v>9788382207569</v>
      </c>
    </row>
    <row r="16554" spans="1:6" s="3" customFormat="1" ht="29.1" customHeight="1" x14ac:dyDescent="0.25">
      <c r="A16554" s="2" t="s">
        <v>32682</v>
      </c>
      <c r="B16554" s="2" t="s">
        <v>32683</v>
      </c>
      <c r="C16554" s="2" t="s">
        <v>327</v>
      </c>
      <c r="D16554" s="2" t="s">
        <v>334</v>
      </c>
      <c r="E16554" s="2" t="str">
        <f>"9788382207750"</f>
        <v>9788382207750</v>
      </c>
      <c r="F16554" s="2" t="str">
        <f>"9788382207767"</f>
        <v>9788382207767</v>
      </c>
    </row>
    <row r="16555" spans="1:6" s="3" customFormat="1" ht="29.1" customHeight="1" x14ac:dyDescent="0.25">
      <c r="A16555" s="2" t="s">
        <v>32684</v>
      </c>
      <c r="B16555" s="2" t="s">
        <v>32685</v>
      </c>
      <c r="C16555" s="2" t="s">
        <v>327</v>
      </c>
      <c r="D16555" s="2" t="s">
        <v>2271</v>
      </c>
      <c r="E16555" s="2" t="str">
        <f>"9788382207309"</f>
        <v>9788382207309</v>
      </c>
      <c r="F16555" s="2" t="str">
        <f>"9788382207316"</f>
        <v>9788382207316</v>
      </c>
    </row>
    <row r="16556" spans="1:6" s="3" customFormat="1" ht="29.1" customHeight="1" x14ac:dyDescent="0.25">
      <c r="A16556" s="2" t="s">
        <v>32686</v>
      </c>
      <c r="B16556" s="2" t="s">
        <v>32687</v>
      </c>
      <c r="C16556" s="2" t="s">
        <v>327</v>
      </c>
      <c r="D16556" s="2" t="s">
        <v>8413</v>
      </c>
      <c r="E16556" s="2" t="str">
        <f>"9788382206678"</f>
        <v>9788382206678</v>
      </c>
      <c r="F16556" s="2" t="str">
        <f>"9788382206685"</f>
        <v>9788382206685</v>
      </c>
    </row>
    <row r="16557" spans="1:6" s="3" customFormat="1" ht="29.1" customHeight="1" x14ac:dyDescent="0.25">
      <c r="A16557" s="2" t="s">
        <v>32688</v>
      </c>
      <c r="B16557" s="2" t="s">
        <v>32689</v>
      </c>
      <c r="C16557" s="2" t="s">
        <v>327</v>
      </c>
      <c r="D16557" s="2" t="s">
        <v>189</v>
      </c>
      <c r="E16557" s="2"/>
      <c r="F16557" s="2" t="str">
        <f>"9788382207002"</f>
        <v>9788382207002</v>
      </c>
    </row>
    <row r="16558" spans="1:6" s="3" customFormat="1" ht="29.1" customHeight="1" x14ac:dyDescent="0.25">
      <c r="A16558" s="2" t="s">
        <v>32690</v>
      </c>
      <c r="B16558" s="2" t="s">
        <v>32691</v>
      </c>
      <c r="C16558" s="2" t="s">
        <v>327</v>
      </c>
      <c r="D16558" s="2" t="s">
        <v>1809</v>
      </c>
      <c r="E16558" s="2" t="str">
        <f>"9788382205909"</f>
        <v>9788382205909</v>
      </c>
      <c r="F16558" s="2" t="str">
        <f>"9788382205916"</f>
        <v>9788382205916</v>
      </c>
    </row>
    <row r="16559" spans="1:6" s="3" customFormat="1" ht="29.1" customHeight="1" x14ac:dyDescent="0.25">
      <c r="A16559" s="2" t="s">
        <v>32692</v>
      </c>
      <c r="B16559" s="2" t="s">
        <v>32694</v>
      </c>
      <c r="C16559" s="2" t="s">
        <v>327</v>
      </c>
      <c r="D16559" s="2" t="s">
        <v>32693</v>
      </c>
      <c r="E16559" s="2" t="str">
        <f>"9788382206289"</f>
        <v>9788382206289</v>
      </c>
      <c r="F16559" s="2" t="str">
        <f>"9788382206296"</f>
        <v>9788382206296</v>
      </c>
    </row>
    <row r="16560" spans="1:6" s="3" customFormat="1" ht="29.1" customHeight="1" x14ac:dyDescent="0.25">
      <c r="A16560" s="2" t="s">
        <v>32695</v>
      </c>
      <c r="B16560" s="2" t="s">
        <v>18549</v>
      </c>
      <c r="C16560" s="2" t="s">
        <v>327</v>
      </c>
      <c r="D16560" s="2" t="s">
        <v>8413</v>
      </c>
      <c r="E16560" s="2" t="str">
        <f>"9788382206173"</f>
        <v>9788382206173</v>
      </c>
      <c r="F16560" s="2" t="str">
        <f>"9788382206180"</f>
        <v>9788382206180</v>
      </c>
    </row>
    <row r="16561" spans="1:6" s="3" customFormat="1" ht="29.1" customHeight="1" x14ac:dyDescent="0.25">
      <c r="A16561" s="2" t="s">
        <v>32696</v>
      </c>
      <c r="B16561" s="2" t="s">
        <v>32697</v>
      </c>
      <c r="C16561" s="2" t="s">
        <v>327</v>
      </c>
      <c r="D16561" s="2" t="s">
        <v>12131</v>
      </c>
      <c r="E16561" s="2" t="str">
        <f>"9788382206777"</f>
        <v>9788382206777</v>
      </c>
      <c r="F16561" s="2" t="str">
        <f>"9788382206784"</f>
        <v>9788382206784</v>
      </c>
    </row>
    <row r="16562" spans="1:6" s="3" customFormat="1" ht="29.1" customHeight="1" x14ac:dyDescent="0.25">
      <c r="A16562" s="2" t="s">
        <v>32698</v>
      </c>
      <c r="B16562" s="2" t="s">
        <v>32699</v>
      </c>
      <c r="C16562" s="2" t="s">
        <v>327</v>
      </c>
      <c r="D16562" s="2" t="s">
        <v>2208</v>
      </c>
      <c r="E16562" s="2" t="str">
        <f>"9788382206364"</f>
        <v>9788382206364</v>
      </c>
      <c r="F16562" s="2" t="str">
        <f>"9788382206371"</f>
        <v>9788382206371</v>
      </c>
    </row>
    <row r="16563" spans="1:6" s="3" customFormat="1" ht="29.1" customHeight="1" x14ac:dyDescent="0.25">
      <c r="A16563" s="2" t="s">
        <v>32700</v>
      </c>
      <c r="B16563" s="2" t="s">
        <v>32701</v>
      </c>
      <c r="C16563" s="2" t="s">
        <v>327</v>
      </c>
      <c r="D16563" s="2" t="s">
        <v>7975</v>
      </c>
      <c r="E16563" s="2" t="str">
        <f>"9788382206012"</f>
        <v>9788382206012</v>
      </c>
      <c r="F16563" s="2" t="str">
        <f>"9788382206029"</f>
        <v>9788382206029</v>
      </c>
    </row>
    <row r="16564" spans="1:6" s="3" customFormat="1" ht="29.1" customHeight="1" x14ac:dyDescent="0.25">
      <c r="A16564" s="2" t="s">
        <v>32702</v>
      </c>
      <c r="B16564" s="2" t="s">
        <v>32703</v>
      </c>
      <c r="C16564" s="2" t="s">
        <v>248</v>
      </c>
      <c r="D16564" s="2" t="s">
        <v>249</v>
      </c>
      <c r="E16564" s="2" t="str">
        <f>"9783847426110"</f>
        <v>9783847426110</v>
      </c>
      <c r="F16564" s="2" t="str">
        <f>"9783847417705"</f>
        <v>9783847417705</v>
      </c>
    </row>
    <row r="16565" spans="1:6" s="3" customFormat="1" ht="29.1" customHeight="1" x14ac:dyDescent="0.25">
      <c r="A16565" s="2" t="s">
        <v>32704</v>
      </c>
      <c r="B16565" s="2" t="s">
        <v>32705</v>
      </c>
      <c r="C16565" s="2" t="s">
        <v>264</v>
      </c>
      <c r="D16565" s="2" t="s">
        <v>2587</v>
      </c>
      <c r="E16565" s="2" t="str">
        <f>"9781032079509"</f>
        <v>9781032079509</v>
      </c>
      <c r="F16565" s="2" t="str">
        <f>"9781000562835"</f>
        <v>9781000562835</v>
      </c>
    </row>
    <row r="16566" spans="1:6" s="3" customFormat="1" ht="29.1" customHeight="1" x14ac:dyDescent="0.25">
      <c r="A16566" s="2" t="s">
        <v>32706</v>
      </c>
      <c r="B16566" s="2" t="s">
        <v>32707</v>
      </c>
      <c r="C16566" s="2" t="s">
        <v>595</v>
      </c>
      <c r="D16566" s="2" t="s">
        <v>459</v>
      </c>
      <c r="E16566" s="2" t="str">
        <f>"9783631866108"</f>
        <v>9783631866108</v>
      </c>
      <c r="F16566" s="2" t="str">
        <f>"9783631872895"</f>
        <v>9783631872895</v>
      </c>
    </row>
    <row r="16567" spans="1:6" s="3" customFormat="1" ht="29.1" customHeight="1" x14ac:dyDescent="0.25">
      <c r="A16567" s="2" t="s">
        <v>32708</v>
      </c>
      <c r="B16567" s="2" t="s">
        <v>32709</v>
      </c>
      <c r="C16567" s="2" t="s">
        <v>55</v>
      </c>
      <c r="D16567" s="2" t="s">
        <v>1654</v>
      </c>
      <c r="E16567" s="2" t="str">
        <f>"9781526159656"</f>
        <v>9781526159656</v>
      </c>
      <c r="F16567" s="2" t="str">
        <f>"9781526159649"</f>
        <v>9781526159649</v>
      </c>
    </row>
    <row r="16568" spans="1:6" s="3" customFormat="1" ht="29.1" customHeight="1" x14ac:dyDescent="0.25">
      <c r="A16568" s="2" t="s">
        <v>32710</v>
      </c>
      <c r="B16568" s="2" t="s">
        <v>32711</v>
      </c>
      <c r="C16568" s="2" t="s">
        <v>4104</v>
      </c>
      <c r="D16568" s="2" t="s">
        <v>78</v>
      </c>
      <c r="E16568" s="2" t="str">
        <f>"9781800856561"</f>
        <v>9781800856561</v>
      </c>
      <c r="F16568" s="2" t="str">
        <f>"9781800857520"</f>
        <v>9781800857520</v>
      </c>
    </row>
    <row r="16569" spans="1:6" s="3" customFormat="1" ht="29.1" customHeight="1" x14ac:dyDescent="0.25">
      <c r="A16569" s="2" t="s">
        <v>29884</v>
      </c>
      <c r="B16569" s="2" t="s">
        <v>29885</v>
      </c>
      <c r="C16569" s="2" t="s">
        <v>3169</v>
      </c>
      <c r="D16569" s="2" t="s">
        <v>1717</v>
      </c>
      <c r="E16569" s="2"/>
      <c r="F16569" s="2" t="str">
        <f>"9781800105638"</f>
        <v>9781800105638</v>
      </c>
    </row>
    <row r="16570" spans="1:6" s="3" customFormat="1" ht="29.1" customHeight="1" x14ac:dyDescent="0.25">
      <c r="A16570" s="2" t="s">
        <v>32712</v>
      </c>
      <c r="B16570" s="2" t="s">
        <v>32713</v>
      </c>
      <c r="C16570" s="2" t="s">
        <v>595</v>
      </c>
      <c r="D16570" s="2" t="s">
        <v>2810</v>
      </c>
      <c r="E16570" s="2" t="str">
        <f>"9783631852699"</f>
        <v>9783631852699</v>
      </c>
      <c r="F16570" s="2" t="str">
        <f>"9783631859247"</f>
        <v>9783631859247</v>
      </c>
    </row>
    <row r="16571" spans="1:6" s="3" customFormat="1" ht="29.1" customHeight="1" x14ac:dyDescent="0.25">
      <c r="A16571" s="2" t="s">
        <v>1319</v>
      </c>
      <c r="B16571" s="2" t="s">
        <v>32714</v>
      </c>
      <c r="C16571" s="2" t="s">
        <v>1070</v>
      </c>
      <c r="D16571" s="2" t="s">
        <v>1265</v>
      </c>
      <c r="E16571" s="2" t="str">
        <f>"9783318069969"</f>
        <v>9783318069969</v>
      </c>
      <c r="F16571" s="2" t="str">
        <f>"9783318069495"</f>
        <v>9783318069495</v>
      </c>
    </row>
    <row r="16572" spans="1:6" s="3" customFormat="1" ht="29.1" customHeight="1" x14ac:dyDescent="0.25">
      <c r="A16572" s="2" t="s">
        <v>32715</v>
      </c>
      <c r="B16572" s="2" t="s">
        <v>32716</v>
      </c>
      <c r="C16572" s="2" t="s">
        <v>8047</v>
      </c>
      <c r="D16572" s="2" t="s">
        <v>13400</v>
      </c>
      <c r="E16572" s="2" t="str">
        <f>"9780271092294"</f>
        <v>9780271092294</v>
      </c>
      <c r="F16572" s="2" t="str">
        <f>"9780271093062"</f>
        <v>9780271093062</v>
      </c>
    </row>
    <row r="16573" spans="1:6" s="3" customFormat="1" ht="29.1" customHeight="1" x14ac:dyDescent="0.25">
      <c r="A16573" s="2" t="s">
        <v>32717</v>
      </c>
      <c r="B16573" s="2" t="s">
        <v>32718</v>
      </c>
      <c r="C16573" s="2" t="s">
        <v>3169</v>
      </c>
      <c r="D16573" s="2" t="s">
        <v>1463</v>
      </c>
      <c r="E16573" s="2"/>
      <c r="F16573" s="2" t="str">
        <f>"9781800104761"</f>
        <v>9781800104761</v>
      </c>
    </row>
    <row r="16574" spans="1:6" s="3" customFormat="1" ht="29.1" customHeight="1" x14ac:dyDescent="0.25">
      <c r="A16574" s="2" t="s">
        <v>32719</v>
      </c>
      <c r="B16574" s="2" t="s">
        <v>32720</v>
      </c>
      <c r="C16574" s="2" t="s">
        <v>2129</v>
      </c>
      <c r="D16574" s="2" t="s">
        <v>256</v>
      </c>
      <c r="E16574" s="2" t="str">
        <f>"9781438490106"</f>
        <v>9781438490106</v>
      </c>
      <c r="F16574" s="2" t="str">
        <f>"9781438490120"</f>
        <v>9781438490120</v>
      </c>
    </row>
    <row r="16575" spans="1:6" s="3" customFormat="1" ht="29.1" customHeight="1" x14ac:dyDescent="0.25">
      <c r="A16575" s="2" t="s">
        <v>32721</v>
      </c>
      <c r="B16575" s="2" t="s">
        <v>32722</v>
      </c>
      <c r="C16575" s="2" t="s">
        <v>327</v>
      </c>
      <c r="D16575" s="2" t="s">
        <v>196</v>
      </c>
      <c r="E16575" s="2" t="str">
        <f>"9788382206456"</f>
        <v>9788382206456</v>
      </c>
      <c r="F16575" s="2" t="str">
        <f>"9788382206463"</f>
        <v>9788382206463</v>
      </c>
    </row>
    <row r="16576" spans="1:6" s="3" customFormat="1" ht="29.1" customHeight="1" x14ac:dyDescent="0.25">
      <c r="A16576" s="2" t="s">
        <v>32723</v>
      </c>
      <c r="B16576" s="2" t="s">
        <v>32724</v>
      </c>
      <c r="C16576" s="2" t="s">
        <v>327</v>
      </c>
      <c r="D16576" s="2" t="s">
        <v>1253</v>
      </c>
      <c r="E16576" s="2" t="str">
        <f>"9788382206753"</f>
        <v>9788382206753</v>
      </c>
      <c r="F16576" s="2" t="str">
        <f>"9788382206760"</f>
        <v>9788382206760</v>
      </c>
    </row>
    <row r="16577" spans="1:6" s="3" customFormat="1" ht="29.1" customHeight="1" x14ac:dyDescent="0.25">
      <c r="A16577" s="2" t="s">
        <v>32725</v>
      </c>
      <c r="B16577" s="2" t="s">
        <v>32726</v>
      </c>
      <c r="C16577" s="2" t="s">
        <v>327</v>
      </c>
      <c r="D16577" s="2" t="s">
        <v>8741</v>
      </c>
      <c r="E16577" s="2" t="str">
        <f>"9788382206890"</f>
        <v>9788382206890</v>
      </c>
      <c r="F16577" s="2" t="str">
        <f>"9788382206906"</f>
        <v>9788382206906</v>
      </c>
    </row>
    <row r="16578" spans="1:6" s="3" customFormat="1" ht="29.1" customHeight="1" x14ac:dyDescent="0.25">
      <c r="A16578" s="2" t="s">
        <v>32727</v>
      </c>
      <c r="B16578" s="2" t="s">
        <v>32728</v>
      </c>
      <c r="C16578" s="2" t="s">
        <v>2133</v>
      </c>
      <c r="D16578" s="2" t="s">
        <v>2019</v>
      </c>
      <c r="E16578" s="2" t="str">
        <f>"9781760461294"</f>
        <v>9781760461294</v>
      </c>
      <c r="F16578" s="2" t="str">
        <f>"9781760461300"</f>
        <v>9781760461300</v>
      </c>
    </row>
    <row r="16579" spans="1:6" s="3" customFormat="1" ht="29.1" customHeight="1" x14ac:dyDescent="0.25">
      <c r="A16579" s="2" t="s">
        <v>32729</v>
      </c>
      <c r="B16579" s="2" t="s">
        <v>32730</v>
      </c>
      <c r="C16579" s="2" t="s">
        <v>2133</v>
      </c>
      <c r="D16579" s="2" t="s">
        <v>3379</v>
      </c>
      <c r="E16579" s="2" t="str">
        <f>"9781760461171"</f>
        <v>9781760461171</v>
      </c>
      <c r="F16579" s="2" t="str">
        <f>"9781760461188"</f>
        <v>9781760461188</v>
      </c>
    </row>
    <row r="16580" spans="1:6" s="3" customFormat="1" ht="29.1" customHeight="1" x14ac:dyDescent="0.25">
      <c r="A16580" s="2" t="s">
        <v>32731</v>
      </c>
      <c r="B16580" s="2" t="s">
        <v>32732</v>
      </c>
      <c r="C16580" s="2" t="s">
        <v>2133</v>
      </c>
      <c r="D16580" s="2" t="s">
        <v>606</v>
      </c>
      <c r="E16580" s="2" t="str">
        <f>"9781760461157"</f>
        <v>9781760461157</v>
      </c>
      <c r="F16580" s="2" t="str">
        <f>"9781760461164"</f>
        <v>9781760461164</v>
      </c>
    </row>
    <row r="16581" spans="1:6" s="3" customFormat="1" ht="29.1" customHeight="1" x14ac:dyDescent="0.25">
      <c r="A16581" s="2" t="s">
        <v>21533</v>
      </c>
      <c r="B16581" s="2" t="s">
        <v>32733</v>
      </c>
      <c r="C16581" s="2" t="s">
        <v>2133</v>
      </c>
      <c r="D16581" s="2" t="s">
        <v>13300</v>
      </c>
      <c r="E16581" s="2" t="str">
        <f>"9781760461218"</f>
        <v>9781760461218</v>
      </c>
      <c r="F16581" s="2" t="str">
        <f>"9781760461225"</f>
        <v>9781760461225</v>
      </c>
    </row>
    <row r="16582" spans="1:6" s="3" customFormat="1" ht="29.1" customHeight="1" x14ac:dyDescent="0.25">
      <c r="A16582" s="2" t="s">
        <v>32734</v>
      </c>
      <c r="B16582" s="2" t="s">
        <v>32735</v>
      </c>
      <c r="C16582" s="2" t="s">
        <v>2133</v>
      </c>
      <c r="D16582" s="2" t="s">
        <v>1598</v>
      </c>
      <c r="E16582" s="2" t="str">
        <f>"9781760461119"</f>
        <v>9781760461119</v>
      </c>
      <c r="F16582" s="2" t="str">
        <f>"9781760461126"</f>
        <v>9781760461126</v>
      </c>
    </row>
    <row r="16583" spans="1:6" s="3" customFormat="1" ht="29.1" customHeight="1" x14ac:dyDescent="0.25">
      <c r="A16583" s="2" t="s">
        <v>32736</v>
      </c>
      <c r="B16583" s="2" t="s">
        <v>32737</v>
      </c>
      <c r="C16583" s="2" t="s">
        <v>2133</v>
      </c>
      <c r="D16583" s="2" t="s">
        <v>818</v>
      </c>
      <c r="E16583" s="2" t="str">
        <f>"9781760461331"</f>
        <v>9781760461331</v>
      </c>
      <c r="F16583" s="2" t="str">
        <f>"9781760461348"</f>
        <v>9781760461348</v>
      </c>
    </row>
    <row r="16584" spans="1:6" s="3" customFormat="1" ht="29.1" customHeight="1" x14ac:dyDescent="0.25">
      <c r="A16584" s="2" t="s">
        <v>32738</v>
      </c>
      <c r="B16584" s="2" t="s">
        <v>32739</v>
      </c>
      <c r="C16584" s="2" t="s">
        <v>149</v>
      </c>
      <c r="D16584" s="2" t="s">
        <v>18302</v>
      </c>
      <c r="E16584" s="2"/>
      <c r="F16584" s="2" t="str">
        <f>"9781800643048"</f>
        <v>9781800643048</v>
      </c>
    </row>
    <row r="16585" spans="1:6" s="3" customFormat="1" ht="29.1" customHeight="1" x14ac:dyDescent="0.25">
      <c r="A16585" s="2" t="s">
        <v>32740</v>
      </c>
      <c r="B16585" s="2" t="s">
        <v>32741</v>
      </c>
      <c r="C16585" s="2" t="s">
        <v>149</v>
      </c>
      <c r="D16585" s="2" t="s">
        <v>26044</v>
      </c>
      <c r="E16585" s="2"/>
      <c r="F16585" s="2" t="str">
        <f>"9781800641907"</f>
        <v>9781800641907</v>
      </c>
    </row>
    <row r="16586" spans="1:6" s="3" customFormat="1" ht="29.1" customHeight="1" x14ac:dyDescent="0.25">
      <c r="A16586" s="2" t="s">
        <v>32742</v>
      </c>
      <c r="B16586" s="2" t="s">
        <v>32743</v>
      </c>
      <c r="C16586" s="2" t="s">
        <v>195</v>
      </c>
      <c r="D16586" s="2" t="s">
        <v>712</v>
      </c>
      <c r="E16586" s="2" t="str">
        <f>"9788366675605"</f>
        <v>9788366675605</v>
      </c>
      <c r="F16586" s="2" t="str">
        <f>"9783110760408"</f>
        <v>9783110760408</v>
      </c>
    </row>
    <row r="16587" spans="1:6" s="3" customFormat="1" ht="29.1" customHeight="1" x14ac:dyDescent="0.25">
      <c r="A16587" s="2" t="s">
        <v>32744</v>
      </c>
      <c r="B16587" s="2" t="s">
        <v>32745</v>
      </c>
      <c r="C16587" s="2" t="s">
        <v>195</v>
      </c>
      <c r="D16587" s="2" t="s">
        <v>28202</v>
      </c>
      <c r="E16587" s="2" t="str">
        <f>"9783110745931"</f>
        <v>9783110745931</v>
      </c>
      <c r="F16587" s="2" t="str">
        <f>"9783110746877"</f>
        <v>9783110746877</v>
      </c>
    </row>
    <row r="16588" spans="1:6" s="3" customFormat="1" ht="29.1" customHeight="1" x14ac:dyDescent="0.25">
      <c r="A16588" s="2" t="s">
        <v>32746</v>
      </c>
      <c r="B16588" s="2" t="s">
        <v>32747</v>
      </c>
      <c r="C16588" s="2" t="s">
        <v>195</v>
      </c>
      <c r="D16588" s="2" t="s">
        <v>7460</v>
      </c>
      <c r="E16588" s="2" t="str">
        <f>"9783110760569"</f>
        <v>9783110760569</v>
      </c>
      <c r="F16588" s="2" t="str">
        <f>"9783110760828"</f>
        <v>9783110760828</v>
      </c>
    </row>
    <row r="16589" spans="1:6" s="3" customFormat="1" ht="29.1" customHeight="1" x14ac:dyDescent="0.25">
      <c r="A16589" s="2" t="s">
        <v>32748</v>
      </c>
      <c r="B16589" s="2" t="s">
        <v>32749</v>
      </c>
      <c r="C16589" s="2" t="s">
        <v>195</v>
      </c>
      <c r="D16589" s="2" t="s">
        <v>297</v>
      </c>
      <c r="E16589" s="2" t="str">
        <f>"9783110633672"</f>
        <v>9783110633672</v>
      </c>
      <c r="F16589" s="2" t="str">
        <f>"9783110745528"</f>
        <v>9783110745528</v>
      </c>
    </row>
    <row r="16590" spans="1:6" s="3" customFormat="1" ht="29.1" customHeight="1" x14ac:dyDescent="0.25">
      <c r="A16590" s="2" t="s">
        <v>32750</v>
      </c>
      <c r="B16590" s="2" t="s">
        <v>32751</v>
      </c>
      <c r="C16590" s="2" t="s">
        <v>195</v>
      </c>
      <c r="D16590" s="2" t="s">
        <v>2326</v>
      </c>
      <c r="E16590" s="2" t="str">
        <f>"9783486757231"</f>
        <v>9783486757231</v>
      </c>
      <c r="F16590" s="2" t="str">
        <f>"9783486757248"</f>
        <v>9783486757248</v>
      </c>
    </row>
    <row r="16591" spans="1:6" s="3" customFormat="1" ht="29.1" customHeight="1" x14ac:dyDescent="0.25">
      <c r="A16591" s="2" t="s">
        <v>32752</v>
      </c>
      <c r="B16591" s="2" t="s">
        <v>32753</v>
      </c>
      <c r="C16591" s="2" t="s">
        <v>746</v>
      </c>
      <c r="D16591" s="2" t="s">
        <v>606</v>
      </c>
      <c r="E16591" s="2" t="str">
        <f>"9781803270029"</f>
        <v>9781803270029</v>
      </c>
      <c r="F16591" s="2" t="str">
        <f>"9781803270036"</f>
        <v>9781803270036</v>
      </c>
    </row>
    <row r="16592" spans="1:6" s="3" customFormat="1" ht="29.1" customHeight="1" x14ac:dyDescent="0.25">
      <c r="A16592" s="2" t="s">
        <v>32754</v>
      </c>
      <c r="B16592" s="2" t="s">
        <v>32755</v>
      </c>
      <c r="C16592" s="2" t="s">
        <v>264</v>
      </c>
      <c r="D16592" s="2" t="s">
        <v>141</v>
      </c>
      <c r="E16592" s="2" t="str">
        <f>"9781032195964"</f>
        <v>9781032195964</v>
      </c>
      <c r="F16592" s="2" t="str">
        <f>"9781000597714"</f>
        <v>9781000597714</v>
      </c>
    </row>
    <row r="16593" spans="1:6" s="3" customFormat="1" ht="29.1" customHeight="1" x14ac:dyDescent="0.25">
      <c r="A16593" s="2" t="s">
        <v>32756</v>
      </c>
      <c r="B16593" s="2" t="s">
        <v>32757</v>
      </c>
      <c r="C16593" s="2" t="s">
        <v>124</v>
      </c>
      <c r="D16593" s="2" t="s">
        <v>78</v>
      </c>
      <c r="E16593" s="2"/>
      <c r="F16593" s="2" t="str">
        <f>"9781000585322"</f>
        <v>9781000585322</v>
      </c>
    </row>
    <row r="16594" spans="1:6" s="3" customFormat="1" ht="29.1" customHeight="1" x14ac:dyDescent="0.25">
      <c r="A16594" s="2" t="s">
        <v>32758</v>
      </c>
      <c r="B16594" s="2" t="s">
        <v>32759</v>
      </c>
      <c r="C16594" s="2" t="s">
        <v>327</v>
      </c>
      <c r="D16594" s="2" t="s">
        <v>3407</v>
      </c>
      <c r="E16594" s="2" t="str">
        <f>"9788382205725"</f>
        <v>9788382205725</v>
      </c>
      <c r="F16594" s="2" t="str">
        <f>"9788382205732"</f>
        <v>9788382205732</v>
      </c>
    </row>
    <row r="16595" spans="1:6" s="3" customFormat="1" ht="29.1" customHeight="1" x14ac:dyDescent="0.25">
      <c r="A16595" s="2" t="s">
        <v>32760</v>
      </c>
      <c r="B16595" s="2" t="s">
        <v>32761</v>
      </c>
      <c r="C16595" s="2" t="s">
        <v>327</v>
      </c>
      <c r="D16595" s="2" t="s">
        <v>2048</v>
      </c>
      <c r="E16595" s="2" t="str">
        <f>"9788382206531"</f>
        <v>9788382206531</v>
      </c>
      <c r="F16595" s="2" t="str">
        <f>"9788382206548"</f>
        <v>9788382206548</v>
      </c>
    </row>
    <row r="16596" spans="1:6" s="3" customFormat="1" ht="29.1" customHeight="1" x14ac:dyDescent="0.25">
      <c r="A16596" s="2" t="s">
        <v>32762</v>
      </c>
      <c r="B16596" s="2" t="s">
        <v>32761</v>
      </c>
      <c r="C16596" s="2" t="s">
        <v>327</v>
      </c>
      <c r="D16596" s="2" t="s">
        <v>2048</v>
      </c>
      <c r="E16596" s="2" t="str">
        <f>"9788382206470"</f>
        <v>9788382206470</v>
      </c>
      <c r="F16596" s="2" t="str">
        <f>"9788382206487"</f>
        <v>9788382206487</v>
      </c>
    </row>
    <row r="16597" spans="1:6" s="3" customFormat="1" ht="29.1" customHeight="1" x14ac:dyDescent="0.25">
      <c r="A16597" s="2" t="s">
        <v>32763</v>
      </c>
      <c r="B16597" s="2" t="s">
        <v>32764</v>
      </c>
      <c r="C16597" s="2" t="s">
        <v>327</v>
      </c>
      <c r="D16597" s="2" t="s">
        <v>4048</v>
      </c>
      <c r="E16597" s="2" t="str">
        <f>"9788382205985"</f>
        <v>9788382205985</v>
      </c>
      <c r="F16597" s="2" t="str">
        <f>"9788382206210"</f>
        <v>9788382206210</v>
      </c>
    </row>
    <row r="16598" spans="1:6" s="3" customFormat="1" ht="29.1" customHeight="1" x14ac:dyDescent="0.25">
      <c r="A16598" s="2" t="s">
        <v>32765</v>
      </c>
      <c r="B16598" s="2" t="s">
        <v>32766</v>
      </c>
      <c r="C16598" s="2" t="s">
        <v>327</v>
      </c>
      <c r="D16598" s="2" t="s">
        <v>7436</v>
      </c>
      <c r="E16598" s="2" t="str">
        <f>"9788382206159"</f>
        <v>9788382206159</v>
      </c>
      <c r="F16598" s="2" t="str">
        <f>"9788382206166"</f>
        <v>9788382206166</v>
      </c>
    </row>
    <row r="16599" spans="1:6" s="3" customFormat="1" ht="29.1" customHeight="1" x14ac:dyDescent="0.25">
      <c r="A16599" s="2" t="s">
        <v>32767</v>
      </c>
      <c r="B16599" s="2" t="s">
        <v>32768</v>
      </c>
      <c r="C16599" s="2" t="s">
        <v>327</v>
      </c>
      <c r="D16599" s="2" t="s">
        <v>4071</v>
      </c>
      <c r="E16599" s="2" t="str">
        <f>"9788382205503"</f>
        <v>9788382205503</v>
      </c>
      <c r="F16599" s="2" t="str">
        <f>"9788382205510"</f>
        <v>9788382205510</v>
      </c>
    </row>
    <row r="16600" spans="1:6" s="3" customFormat="1" ht="29.1" customHeight="1" x14ac:dyDescent="0.25">
      <c r="A16600" s="2" t="s">
        <v>32769</v>
      </c>
      <c r="B16600" s="2" t="s">
        <v>32770</v>
      </c>
      <c r="C16600" s="2" t="s">
        <v>327</v>
      </c>
      <c r="D16600" s="2" t="s">
        <v>10410</v>
      </c>
      <c r="E16600" s="2" t="str">
        <f>"9788382207262"</f>
        <v>9788382207262</v>
      </c>
      <c r="F16600" s="2" t="str">
        <f>"9788382207279"</f>
        <v>9788382207279</v>
      </c>
    </row>
    <row r="16601" spans="1:6" s="3" customFormat="1" ht="29.1" customHeight="1" x14ac:dyDescent="0.25">
      <c r="A16601" s="2" t="s">
        <v>32771</v>
      </c>
      <c r="B16601" s="2" t="s">
        <v>32772</v>
      </c>
      <c r="C16601" s="2" t="s">
        <v>327</v>
      </c>
      <c r="D16601" s="2" t="s">
        <v>2271</v>
      </c>
      <c r="E16601" s="2" t="str">
        <f>"9788382205336"</f>
        <v>9788382205336</v>
      </c>
      <c r="F16601" s="2" t="str">
        <f>"9788382205343"</f>
        <v>9788382205343</v>
      </c>
    </row>
    <row r="16602" spans="1:6" s="3" customFormat="1" ht="29.1" customHeight="1" x14ac:dyDescent="0.25">
      <c r="A16602" s="2" t="s">
        <v>32773</v>
      </c>
      <c r="B16602" s="2" t="s">
        <v>32761</v>
      </c>
      <c r="C16602" s="2" t="s">
        <v>327</v>
      </c>
      <c r="D16602" s="2" t="s">
        <v>25538</v>
      </c>
      <c r="E16602" s="2" t="str">
        <f>"9788382206494"</f>
        <v>9788382206494</v>
      </c>
      <c r="F16602" s="2" t="str">
        <f>"9788382206500"</f>
        <v>9788382206500</v>
      </c>
    </row>
    <row r="16603" spans="1:6" s="3" customFormat="1" ht="29.1" customHeight="1" x14ac:dyDescent="0.25">
      <c r="A16603" s="2" t="s">
        <v>32774</v>
      </c>
      <c r="B16603" s="2" t="s">
        <v>32775</v>
      </c>
      <c r="C16603" s="2" t="s">
        <v>327</v>
      </c>
      <c r="D16603" s="2" t="s">
        <v>378</v>
      </c>
      <c r="E16603" s="2" t="str">
        <f>"9788382205992"</f>
        <v>9788382205992</v>
      </c>
      <c r="F16603" s="2" t="str">
        <f>"9788382206005"</f>
        <v>9788382206005</v>
      </c>
    </row>
    <row r="16604" spans="1:6" s="3" customFormat="1" ht="29.1" customHeight="1" x14ac:dyDescent="0.25">
      <c r="A16604" s="2" t="s">
        <v>32776</v>
      </c>
      <c r="B16604" s="2" t="s">
        <v>32761</v>
      </c>
      <c r="C16604" s="2" t="s">
        <v>327</v>
      </c>
      <c r="D16604" s="2" t="s">
        <v>25538</v>
      </c>
      <c r="E16604" s="2" t="str">
        <f>"9788382206418"</f>
        <v>9788382206418</v>
      </c>
      <c r="F16604" s="2" t="str">
        <f>"9788382206425"</f>
        <v>9788382206425</v>
      </c>
    </row>
    <row r="16605" spans="1:6" s="3" customFormat="1" ht="29.1" customHeight="1" x14ac:dyDescent="0.25">
      <c r="A16605" s="2" t="s">
        <v>32777</v>
      </c>
      <c r="B16605" s="2" t="s">
        <v>32778</v>
      </c>
      <c r="C16605" s="2" t="s">
        <v>327</v>
      </c>
      <c r="D16605" s="2" t="s">
        <v>863</v>
      </c>
      <c r="E16605" s="2" t="str">
        <f>"9788382205589"</f>
        <v>9788382205589</v>
      </c>
      <c r="F16605" s="2" t="str">
        <f>"9788382205596"</f>
        <v>9788382205596</v>
      </c>
    </row>
    <row r="16606" spans="1:6" s="3" customFormat="1" ht="29.1" customHeight="1" x14ac:dyDescent="0.25">
      <c r="A16606" s="2" t="s">
        <v>32779</v>
      </c>
      <c r="B16606" s="2" t="s">
        <v>32780</v>
      </c>
      <c r="C16606" s="2" t="s">
        <v>327</v>
      </c>
      <c r="D16606" s="2" t="s">
        <v>2781</v>
      </c>
      <c r="E16606" s="2" t="str">
        <f>"9788382206593"</f>
        <v>9788382206593</v>
      </c>
      <c r="F16606" s="2" t="str">
        <f>"9788382206609"</f>
        <v>9788382206609</v>
      </c>
    </row>
    <row r="16607" spans="1:6" s="3" customFormat="1" ht="29.1" customHeight="1" x14ac:dyDescent="0.25">
      <c r="A16607" s="2" t="s">
        <v>32781</v>
      </c>
      <c r="B16607" s="2" t="s">
        <v>32782</v>
      </c>
      <c r="C16607" s="2" t="s">
        <v>327</v>
      </c>
      <c r="D16607" s="2" t="s">
        <v>6128</v>
      </c>
      <c r="E16607" s="2" t="str">
        <f>"9788382204735"</f>
        <v>9788382204735</v>
      </c>
      <c r="F16607" s="2" t="str">
        <f>"9788382204742"</f>
        <v>9788382204742</v>
      </c>
    </row>
    <row r="16608" spans="1:6" s="3" customFormat="1" ht="29.1" customHeight="1" x14ac:dyDescent="0.25">
      <c r="A16608" s="2" t="s">
        <v>32783</v>
      </c>
      <c r="B16608" s="2" t="s">
        <v>32784</v>
      </c>
      <c r="C16608" s="2" t="s">
        <v>327</v>
      </c>
      <c r="D16608" s="2" t="s">
        <v>334</v>
      </c>
      <c r="E16608" s="2" t="str">
        <f>"9788382203936"</f>
        <v>9788382203936</v>
      </c>
      <c r="F16608" s="2" t="str">
        <f>"9788382203943"</f>
        <v>9788382203943</v>
      </c>
    </row>
    <row r="16609" spans="1:6" s="3" customFormat="1" ht="29.1" customHeight="1" x14ac:dyDescent="0.25">
      <c r="A16609" s="2" t="s">
        <v>32785</v>
      </c>
      <c r="B16609" s="2" t="s">
        <v>32786</v>
      </c>
      <c r="C16609" s="2" t="s">
        <v>327</v>
      </c>
      <c r="D16609" s="2" t="s">
        <v>334</v>
      </c>
      <c r="E16609" s="2" t="str">
        <f>"9788382203394"</f>
        <v>9788382203394</v>
      </c>
      <c r="F16609" s="2" t="str">
        <f>"9788382203400"</f>
        <v>9788382203400</v>
      </c>
    </row>
    <row r="16610" spans="1:6" s="3" customFormat="1" ht="29.1" customHeight="1" x14ac:dyDescent="0.25">
      <c r="A16610" s="2" t="s">
        <v>32787</v>
      </c>
      <c r="B16610" s="2" t="s">
        <v>32788</v>
      </c>
      <c r="C16610" s="2" t="s">
        <v>327</v>
      </c>
      <c r="D16610" s="2" t="s">
        <v>7645</v>
      </c>
      <c r="E16610" s="2" t="str">
        <f>"9788382202700"</f>
        <v>9788382202700</v>
      </c>
      <c r="F16610" s="2" t="str">
        <f>"9788382202717"</f>
        <v>9788382202717</v>
      </c>
    </row>
    <row r="16611" spans="1:6" s="3" customFormat="1" ht="29.1" customHeight="1" x14ac:dyDescent="0.25">
      <c r="A16611" s="2" t="s">
        <v>32789</v>
      </c>
      <c r="B16611" s="2" t="s">
        <v>32790</v>
      </c>
      <c r="C16611" s="2" t="s">
        <v>327</v>
      </c>
      <c r="D16611" s="2" t="s">
        <v>1253</v>
      </c>
      <c r="E16611" s="2" t="str">
        <f>"9788382202014"</f>
        <v>9788382202014</v>
      </c>
      <c r="F16611" s="2" t="str">
        <f>"9788382202021"</f>
        <v>9788382202021</v>
      </c>
    </row>
    <row r="16612" spans="1:6" s="3" customFormat="1" ht="29.1" customHeight="1" x14ac:dyDescent="0.25">
      <c r="A16612" s="2" t="s">
        <v>32791</v>
      </c>
      <c r="B16612" s="2" t="s">
        <v>32792</v>
      </c>
      <c r="C16612" s="2" t="s">
        <v>327</v>
      </c>
      <c r="D16612" s="2" t="s">
        <v>1104</v>
      </c>
      <c r="E16612" s="2" t="str">
        <f>"9788381425179"</f>
        <v>9788381425179</v>
      </c>
      <c r="F16612" s="2" t="str">
        <f>"9788381425162"</f>
        <v>9788381425162</v>
      </c>
    </row>
    <row r="16613" spans="1:6" s="3" customFormat="1" ht="29.1" customHeight="1" x14ac:dyDescent="0.25">
      <c r="A16613" s="2" t="s">
        <v>32793</v>
      </c>
      <c r="B16613" s="2" t="s">
        <v>32761</v>
      </c>
      <c r="C16613" s="2" t="s">
        <v>327</v>
      </c>
      <c r="D16613" s="2" t="s">
        <v>2048</v>
      </c>
      <c r="E16613" s="2" t="str">
        <f>"9788382206432"</f>
        <v>9788382206432</v>
      </c>
      <c r="F16613" s="2" t="str">
        <f>"9788382206449"</f>
        <v>9788382206449</v>
      </c>
    </row>
    <row r="16614" spans="1:6" s="3" customFormat="1" ht="29.1" customHeight="1" x14ac:dyDescent="0.25">
      <c r="A16614" s="2" t="s">
        <v>32794</v>
      </c>
      <c r="B16614" s="2" t="s">
        <v>32796</v>
      </c>
      <c r="C16614" s="2" t="s">
        <v>327</v>
      </c>
      <c r="D16614" s="2" t="s">
        <v>32795</v>
      </c>
      <c r="E16614" s="2" t="str">
        <f>"9788382206555"</f>
        <v>9788382206555</v>
      </c>
      <c r="F16614" s="2" t="str">
        <f>"9788382206562"</f>
        <v>9788382206562</v>
      </c>
    </row>
    <row r="16615" spans="1:6" s="3" customFormat="1" ht="29.1" customHeight="1" x14ac:dyDescent="0.25">
      <c r="A16615" s="2" t="s">
        <v>32797</v>
      </c>
      <c r="B16615" s="2" t="s">
        <v>32798</v>
      </c>
      <c r="C16615" s="2" t="s">
        <v>327</v>
      </c>
      <c r="D16615" s="2" t="s">
        <v>5930</v>
      </c>
      <c r="E16615" s="2" t="str">
        <f>"9788382203912"</f>
        <v>9788382203912</v>
      </c>
      <c r="F16615" s="2" t="str">
        <f>"9788382204049"</f>
        <v>9788382204049</v>
      </c>
    </row>
    <row r="16616" spans="1:6" s="3" customFormat="1" ht="29.1" customHeight="1" x14ac:dyDescent="0.25">
      <c r="A16616" s="2" t="s">
        <v>32799</v>
      </c>
      <c r="B16616" s="2" t="s">
        <v>32800</v>
      </c>
      <c r="C16616" s="2" t="s">
        <v>327</v>
      </c>
      <c r="D16616" s="2" t="s">
        <v>15136</v>
      </c>
      <c r="E16616" s="2" t="str">
        <f>"9788382205848"</f>
        <v>9788382205848</v>
      </c>
      <c r="F16616" s="2" t="str">
        <f>"9788382205855"</f>
        <v>9788382205855</v>
      </c>
    </row>
    <row r="16617" spans="1:6" s="3" customFormat="1" ht="29.1" customHeight="1" x14ac:dyDescent="0.25">
      <c r="A16617" s="2" t="s">
        <v>32801</v>
      </c>
      <c r="B16617" s="2" t="s">
        <v>32802</v>
      </c>
      <c r="C16617" s="2" t="s">
        <v>327</v>
      </c>
      <c r="D16617" s="2" t="s">
        <v>619</v>
      </c>
      <c r="E16617" s="2" t="str">
        <f>"9788382206074"</f>
        <v>9788382206074</v>
      </c>
      <c r="F16617" s="2" t="str">
        <f>"9788382206081"</f>
        <v>9788382206081</v>
      </c>
    </row>
    <row r="16618" spans="1:6" s="3" customFormat="1" ht="29.1" customHeight="1" x14ac:dyDescent="0.25">
      <c r="A16618" s="2" t="s">
        <v>32803</v>
      </c>
      <c r="B16618" s="2" t="s">
        <v>32805</v>
      </c>
      <c r="C16618" s="2" t="s">
        <v>327</v>
      </c>
      <c r="D16618" s="2" t="s">
        <v>32804</v>
      </c>
      <c r="E16618" s="2" t="str">
        <f>"9788382205442"</f>
        <v>9788382205442</v>
      </c>
      <c r="F16618" s="2" t="str">
        <f>"9788382205459"</f>
        <v>9788382205459</v>
      </c>
    </row>
    <row r="16619" spans="1:6" s="3" customFormat="1" ht="29.1" customHeight="1" x14ac:dyDescent="0.25">
      <c r="A16619" s="2" t="s">
        <v>32806</v>
      </c>
      <c r="B16619" s="2" t="s">
        <v>32807</v>
      </c>
      <c r="C16619" s="2" t="s">
        <v>327</v>
      </c>
      <c r="D16619" s="2" t="s">
        <v>8413</v>
      </c>
      <c r="E16619" s="2" t="str">
        <f>"9788381428446"</f>
        <v>9788381428446</v>
      </c>
      <c r="F16619" s="2" t="str">
        <f>"9788381428453"</f>
        <v>9788381428453</v>
      </c>
    </row>
    <row r="16620" spans="1:6" s="3" customFormat="1" ht="29.1" customHeight="1" x14ac:dyDescent="0.25">
      <c r="A16620" s="2" t="s">
        <v>32808</v>
      </c>
      <c r="B16620" s="2" t="s">
        <v>32809</v>
      </c>
      <c r="C16620" s="2" t="s">
        <v>327</v>
      </c>
      <c r="D16620" s="2" t="s">
        <v>1809</v>
      </c>
      <c r="E16620" s="2" t="str">
        <f>"9788381427647"</f>
        <v>9788381427647</v>
      </c>
      <c r="F16620" s="2" t="str">
        <f>"9788381427654"</f>
        <v>9788381427654</v>
      </c>
    </row>
    <row r="16621" spans="1:6" s="3" customFormat="1" ht="29.1" customHeight="1" x14ac:dyDescent="0.25">
      <c r="A16621" s="2" t="s">
        <v>32810</v>
      </c>
      <c r="B16621" s="2" t="s">
        <v>7971</v>
      </c>
      <c r="C16621" s="2" t="s">
        <v>327</v>
      </c>
      <c r="D16621" s="2" t="s">
        <v>7970</v>
      </c>
      <c r="E16621" s="2" t="str">
        <f>"9788382205268"</f>
        <v>9788382205268</v>
      </c>
      <c r="F16621" s="2" t="str">
        <f>"9788382205275"</f>
        <v>9788382205275</v>
      </c>
    </row>
    <row r="16622" spans="1:6" s="3" customFormat="1" ht="29.1" customHeight="1" x14ac:dyDescent="0.25">
      <c r="A16622" s="2" t="s">
        <v>32811</v>
      </c>
      <c r="B16622" s="2" t="s">
        <v>32812</v>
      </c>
      <c r="C16622" s="2" t="s">
        <v>327</v>
      </c>
      <c r="D16622" s="2" t="s">
        <v>1854</v>
      </c>
      <c r="E16622" s="2" t="str">
        <f>"9788382204230"</f>
        <v>9788382204230</v>
      </c>
      <c r="F16622" s="2" t="str">
        <f>"9788382204247"</f>
        <v>9788382204247</v>
      </c>
    </row>
    <row r="16623" spans="1:6" s="3" customFormat="1" ht="29.1" customHeight="1" x14ac:dyDescent="0.25">
      <c r="A16623" s="2" t="s">
        <v>32813</v>
      </c>
      <c r="B16623" s="2" t="s">
        <v>32814</v>
      </c>
      <c r="C16623" s="2" t="s">
        <v>327</v>
      </c>
      <c r="D16623" s="2" t="s">
        <v>674</v>
      </c>
      <c r="E16623" s="2" t="str">
        <f>"9788382205282"</f>
        <v>9788382205282</v>
      </c>
      <c r="F16623" s="2" t="str">
        <f>"9788382205299"</f>
        <v>9788382205299</v>
      </c>
    </row>
    <row r="16624" spans="1:6" s="3" customFormat="1" ht="29.1" customHeight="1" x14ac:dyDescent="0.25">
      <c r="A16624" s="2" t="s">
        <v>32815</v>
      </c>
      <c r="B16624" s="2" t="s">
        <v>32816</v>
      </c>
      <c r="C16624" s="2" t="s">
        <v>327</v>
      </c>
      <c r="D16624" s="2" t="s">
        <v>210</v>
      </c>
      <c r="E16624" s="2" t="str">
        <f>"9788382205398"</f>
        <v>9788382205398</v>
      </c>
      <c r="F16624" s="2" t="str">
        <f>"9788382205404"</f>
        <v>9788382205404</v>
      </c>
    </row>
    <row r="16625" spans="1:6" s="3" customFormat="1" ht="29.1" customHeight="1" x14ac:dyDescent="0.25">
      <c r="A16625" s="2" t="s">
        <v>32817</v>
      </c>
      <c r="B16625" s="2" t="s">
        <v>32818</v>
      </c>
      <c r="C16625" s="2" t="s">
        <v>327</v>
      </c>
      <c r="D16625" s="2" t="s">
        <v>682</v>
      </c>
      <c r="E16625" s="2" t="str">
        <f>"9788382204698"</f>
        <v>9788382204698</v>
      </c>
      <c r="F16625" s="2" t="str">
        <f>"9788382204704"</f>
        <v>9788382204704</v>
      </c>
    </row>
    <row r="16626" spans="1:6" s="3" customFormat="1" ht="29.1" customHeight="1" x14ac:dyDescent="0.25">
      <c r="A16626" s="2" t="s">
        <v>32819</v>
      </c>
      <c r="B16626" s="2" t="s">
        <v>32820</v>
      </c>
      <c r="C16626" s="2" t="s">
        <v>327</v>
      </c>
      <c r="D16626" s="2" t="s">
        <v>98</v>
      </c>
      <c r="E16626" s="2" t="str">
        <f>"9788382205312"</f>
        <v>9788382205312</v>
      </c>
      <c r="F16626" s="2" t="str">
        <f>"9788382205329"</f>
        <v>9788382205329</v>
      </c>
    </row>
    <row r="16627" spans="1:6" s="3" customFormat="1" ht="29.1" customHeight="1" x14ac:dyDescent="0.25">
      <c r="A16627" s="2" t="s">
        <v>32821</v>
      </c>
      <c r="B16627" s="2" t="s">
        <v>32822</v>
      </c>
      <c r="C16627" s="2" t="s">
        <v>327</v>
      </c>
      <c r="D16627" s="2" t="s">
        <v>1127</v>
      </c>
      <c r="E16627" s="2" t="str">
        <f>"9788382204117"</f>
        <v>9788382204117</v>
      </c>
      <c r="F16627" s="2" t="str">
        <f>"9788382204124"</f>
        <v>9788382204124</v>
      </c>
    </row>
    <row r="16628" spans="1:6" s="3" customFormat="1" ht="29.1" customHeight="1" x14ac:dyDescent="0.25">
      <c r="A16628" s="2" t="s">
        <v>32823</v>
      </c>
      <c r="B16628" s="2" t="s">
        <v>32824</v>
      </c>
      <c r="C16628" s="2" t="s">
        <v>327</v>
      </c>
      <c r="D16628" s="2" t="s">
        <v>4742</v>
      </c>
      <c r="E16628" s="2" t="str">
        <f>"9788381429429"</f>
        <v>9788381429429</v>
      </c>
      <c r="F16628" s="2" t="str">
        <f>"9788382201116"</f>
        <v>9788382201116</v>
      </c>
    </row>
    <row r="16629" spans="1:6" s="3" customFormat="1" ht="29.1" customHeight="1" x14ac:dyDescent="0.25">
      <c r="A16629" s="2" t="s">
        <v>32825</v>
      </c>
      <c r="B16629" s="2" t="s">
        <v>5084</v>
      </c>
      <c r="C16629" s="2" t="s">
        <v>327</v>
      </c>
      <c r="D16629" s="2" t="s">
        <v>2019</v>
      </c>
      <c r="E16629" s="2" t="str">
        <f>"9788382204254"</f>
        <v>9788382204254</v>
      </c>
      <c r="F16629" s="2" t="str">
        <f>"9788382204261"</f>
        <v>9788382204261</v>
      </c>
    </row>
    <row r="16630" spans="1:6" s="3" customFormat="1" ht="29.1" customHeight="1" x14ac:dyDescent="0.25">
      <c r="A16630" s="2" t="s">
        <v>32826</v>
      </c>
      <c r="B16630" s="2" t="s">
        <v>32827</v>
      </c>
      <c r="C16630" s="2" t="s">
        <v>327</v>
      </c>
      <c r="D16630" s="2" t="s">
        <v>30</v>
      </c>
      <c r="E16630" s="2" t="str">
        <f>"9788382203431"</f>
        <v>9788382203431</v>
      </c>
      <c r="F16630" s="2" t="str">
        <f>"9788382203448"</f>
        <v>9788382203448</v>
      </c>
    </row>
    <row r="16631" spans="1:6" s="3" customFormat="1" ht="29.1" customHeight="1" x14ac:dyDescent="0.25">
      <c r="A16631" s="2" t="s">
        <v>32828</v>
      </c>
      <c r="B16631" s="2" t="s">
        <v>32829</v>
      </c>
      <c r="C16631" s="2" t="s">
        <v>327</v>
      </c>
      <c r="D16631" s="2" t="s">
        <v>339</v>
      </c>
      <c r="E16631" s="2" t="str">
        <f>"9788382203141"</f>
        <v>9788382203141</v>
      </c>
      <c r="F16631" s="2" t="str">
        <f>"9788382203158"</f>
        <v>9788382203158</v>
      </c>
    </row>
    <row r="16632" spans="1:6" s="3" customFormat="1" ht="29.1" customHeight="1" x14ac:dyDescent="0.25">
      <c r="A16632" s="2" t="s">
        <v>32830</v>
      </c>
      <c r="B16632" s="2" t="s">
        <v>32831</v>
      </c>
      <c r="C16632" s="2" t="s">
        <v>327</v>
      </c>
      <c r="D16632" s="2" t="s">
        <v>7970</v>
      </c>
      <c r="E16632" s="2" t="str">
        <f>"9788382202762"</f>
        <v>9788382202762</v>
      </c>
      <c r="F16632" s="2" t="str">
        <f>"9788382202779"</f>
        <v>9788382202779</v>
      </c>
    </row>
    <row r="16633" spans="1:6" s="3" customFormat="1" ht="29.1" customHeight="1" x14ac:dyDescent="0.25">
      <c r="A16633" s="2" t="s">
        <v>32832</v>
      </c>
      <c r="B16633" s="2" t="s">
        <v>32833</v>
      </c>
      <c r="C16633" s="2" t="s">
        <v>124</v>
      </c>
      <c r="D16633" s="2" t="s">
        <v>402</v>
      </c>
      <c r="E16633" s="2" t="str">
        <f>"9781032052854"</f>
        <v>9781032052854</v>
      </c>
      <c r="F16633" s="2" t="str">
        <f>"9781000570960"</f>
        <v>9781000570960</v>
      </c>
    </row>
    <row r="16634" spans="1:6" s="3" customFormat="1" ht="29.1" customHeight="1" x14ac:dyDescent="0.25">
      <c r="A16634" s="2" t="s">
        <v>32834</v>
      </c>
      <c r="B16634" s="2" t="s">
        <v>32835</v>
      </c>
      <c r="C16634" s="2" t="s">
        <v>2133</v>
      </c>
      <c r="D16634" s="2" t="s">
        <v>9312</v>
      </c>
      <c r="E16634" s="2" t="str">
        <f>"9781760461270"</f>
        <v>9781760461270</v>
      </c>
      <c r="F16634" s="2" t="str">
        <f>"9781760461287"</f>
        <v>9781760461287</v>
      </c>
    </row>
    <row r="16635" spans="1:6" s="3" customFormat="1" ht="29.1" customHeight="1" x14ac:dyDescent="0.25">
      <c r="A16635" s="2" t="s">
        <v>32836</v>
      </c>
      <c r="B16635" s="2" t="s">
        <v>32837</v>
      </c>
      <c r="C16635" s="2" t="s">
        <v>2133</v>
      </c>
      <c r="D16635" s="2" t="s">
        <v>6972</v>
      </c>
      <c r="E16635" s="2" t="str">
        <f>"9781760461355"</f>
        <v>9781760461355</v>
      </c>
      <c r="F16635" s="2" t="str">
        <f>"9781760461362"</f>
        <v>9781760461362</v>
      </c>
    </row>
    <row r="16636" spans="1:6" s="3" customFormat="1" ht="29.1" customHeight="1" x14ac:dyDescent="0.25">
      <c r="A16636" s="2" t="s">
        <v>32838</v>
      </c>
      <c r="B16636" s="2" t="s">
        <v>32839</v>
      </c>
      <c r="C16636" s="2" t="s">
        <v>2133</v>
      </c>
      <c r="D16636" s="2" t="s">
        <v>818</v>
      </c>
      <c r="E16636" s="2" t="str">
        <f>"9781760461317"</f>
        <v>9781760461317</v>
      </c>
      <c r="F16636" s="2" t="str">
        <f>"9781760461324"</f>
        <v>9781760461324</v>
      </c>
    </row>
    <row r="16637" spans="1:6" s="3" customFormat="1" ht="29.1" customHeight="1" x14ac:dyDescent="0.25">
      <c r="A16637" s="2" t="s">
        <v>32840</v>
      </c>
      <c r="B16637" s="2" t="s">
        <v>32842</v>
      </c>
      <c r="C16637" s="2" t="s">
        <v>2133</v>
      </c>
      <c r="D16637" s="2" t="s">
        <v>32841</v>
      </c>
      <c r="E16637" s="2" t="str">
        <f>"9781760461416"</f>
        <v>9781760461416</v>
      </c>
      <c r="F16637" s="2" t="str">
        <f>"9781760461423"</f>
        <v>9781760461423</v>
      </c>
    </row>
    <row r="16638" spans="1:6" s="3" customFormat="1" ht="29.1" customHeight="1" x14ac:dyDescent="0.25">
      <c r="A16638" s="2" t="s">
        <v>32843</v>
      </c>
      <c r="B16638" s="2" t="s">
        <v>32844</v>
      </c>
      <c r="C16638" s="2" t="s">
        <v>2133</v>
      </c>
      <c r="D16638" s="2" t="s">
        <v>6829</v>
      </c>
      <c r="E16638" s="2" t="str">
        <f>"9781760461393"</f>
        <v>9781760461393</v>
      </c>
      <c r="F16638" s="2" t="str">
        <f>"9781760461409"</f>
        <v>9781760461409</v>
      </c>
    </row>
    <row r="16639" spans="1:6" s="3" customFormat="1" ht="29.1" customHeight="1" x14ac:dyDescent="0.25">
      <c r="A16639" s="2" t="s">
        <v>32845</v>
      </c>
      <c r="B16639" s="2" t="s">
        <v>32847</v>
      </c>
      <c r="C16639" s="2" t="s">
        <v>2133</v>
      </c>
      <c r="D16639" s="2" t="s">
        <v>32846</v>
      </c>
      <c r="E16639" s="2" t="str">
        <f>"9781760465049"</f>
        <v>9781760465049</v>
      </c>
      <c r="F16639" s="2" t="str">
        <f>"9781760465056"</f>
        <v>9781760465056</v>
      </c>
    </row>
    <row r="16640" spans="1:6" s="3" customFormat="1" ht="29.1" customHeight="1" x14ac:dyDescent="0.25">
      <c r="A16640" s="2" t="s">
        <v>32848</v>
      </c>
      <c r="B16640" s="2" t="s">
        <v>32849</v>
      </c>
      <c r="C16640" s="2" t="s">
        <v>2133</v>
      </c>
      <c r="D16640" s="2" t="s">
        <v>5695</v>
      </c>
      <c r="E16640" s="2" t="str">
        <f>"9781760461430"</f>
        <v>9781760461430</v>
      </c>
      <c r="F16640" s="2" t="str">
        <f>"9781760461447"</f>
        <v>9781760461447</v>
      </c>
    </row>
    <row r="16641" spans="1:6" s="3" customFormat="1" ht="29.1" customHeight="1" x14ac:dyDescent="0.25">
      <c r="A16641" s="2" t="s">
        <v>32850</v>
      </c>
      <c r="B16641" s="2" t="s">
        <v>32851</v>
      </c>
      <c r="C16641" s="2" t="s">
        <v>2133</v>
      </c>
      <c r="D16641" s="2" t="s">
        <v>13300</v>
      </c>
      <c r="E16641" s="2" t="str">
        <f>"9781760461539"</f>
        <v>9781760461539</v>
      </c>
      <c r="F16641" s="2" t="str">
        <f>"9781760461546"</f>
        <v>9781760461546</v>
      </c>
    </row>
    <row r="16642" spans="1:6" s="3" customFormat="1" ht="29.1" customHeight="1" x14ac:dyDescent="0.25">
      <c r="A16642" s="2" t="s">
        <v>32852</v>
      </c>
      <c r="B16642" s="2" t="s">
        <v>32853</v>
      </c>
      <c r="C16642" s="2" t="s">
        <v>2133</v>
      </c>
      <c r="D16642" s="2" t="s">
        <v>858</v>
      </c>
      <c r="E16642" s="2" t="str">
        <f>"9781760461492"</f>
        <v>9781760461492</v>
      </c>
      <c r="F16642" s="2" t="str">
        <f>"9781760461508"</f>
        <v>9781760461508</v>
      </c>
    </row>
    <row r="16643" spans="1:6" s="3" customFormat="1" ht="29.1" customHeight="1" x14ac:dyDescent="0.25">
      <c r="A16643" s="2" t="s">
        <v>32854</v>
      </c>
      <c r="B16643" s="2" t="s">
        <v>32855</v>
      </c>
      <c r="C16643" s="2" t="s">
        <v>124</v>
      </c>
      <c r="D16643" s="2" t="s">
        <v>5480</v>
      </c>
      <c r="E16643" s="2" t="str">
        <f>"9780367713072"</f>
        <v>9780367713072</v>
      </c>
      <c r="F16643" s="2" t="str">
        <f>"9781000572995"</f>
        <v>9781000572995</v>
      </c>
    </row>
    <row r="16644" spans="1:6" s="3" customFormat="1" ht="29.1" customHeight="1" x14ac:dyDescent="0.25">
      <c r="A16644" s="2" t="s">
        <v>32856</v>
      </c>
      <c r="B16644" s="2" t="s">
        <v>32857</v>
      </c>
      <c r="C16644" s="2" t="s">
        <v>124</v>
      </c>
      <c r="D16644" s="2" t="s">
        <v>210</v>
      </c>
      <c r="E16644" s="2" t="str">
        <f>"9781032181325"</f>
        <v>9781032181325</v>
      </c>
      <c r="F16644" s="2" t="str">
        <f>"9781000568004"</f>
        <v>9781000568004</v>
      </c>
    </row>
    <row r="16645" spans="1:6" s="3" customFormat="1" ht="29.1" customHeight="1" x14ac:dyDescent="0.25">
      <c r="A16645" s="2" t="s">
        <v>32858</v>
      </c>
      <c r="B16645" s="2" t="s">
        <v>32860</v>
      </c>
      <c r="C16645" s="2" t="s">
        <v>4788</v>
      </c>
      <c r="D16645" s="2" t="s">
        <v>32859</v>
      </c>
      <c r="E16645" s="2" t="str">
        <f>"9781474490429"</f>
        <v>9781474490429</v>
      </c>
      <c r="F16645" s="2" t="str">
        <f>"9781474490443"</f>
        <v>9781474490443</v>
      </c>
    </row>
    <row r="16646" spans="1:6" s="3" customFormat="1" ht="29.1" customHeight="1" x14ac:dyDescent="0.25">
      <c r="A16646" s="2" t="s">
        <v>32861</v>
      </c>
      <c r="B16646" s="2" t="s">
        <v>32862</v>
      </c>
      <c r="C16646" s="2" t="s">
        <v>4788</v>
      </c>
      <c r="D16646" s="2" t="s">
        <v>3966</v>
      </c>
      <c r="E16646" s="2" t="str">
        <f>"9781474485333"</f>
        <v>9781474485333</v>
      </c>
      <c r="F16646" s="2" t="str">
        <f>"9781474485340"</f>
        <v>9781474485340</v>
      </c>
    </row>
    <row r="16647" spans="1:6" s="3" customFormat="1" ht="29.1" customHeight="1" x14ac:dyDescent="0.25">
      <c r="A16647" s="2" t="s">
        <v>32863</v>
      </c>
      <c r="B16647" s="2" t="s">
        <v>32864</v>
      </c>
      <c r="C16647" s="2" t="s">
        <v>4788</v>
      </c>
      <c r="D16647" s="2" t="s">
        <v>1717</v>
      </c>
      <c r="E16647" s="2" t="str">
        <f>"9781474487054"</f>
        <v>9781474487054</v>
      </c>
      <c r="F16647" s="2" t="str">
        <f>"9781474487078"</f>
        <v>9781474487078</v>
      </c>
    </row>
    <row r="16648" spans="1:6" s="3" customFormat="1" ht="29.1" customHeight="1" x14ac:dyDescent="0.25">
      <c r="A16648" s="2" t="s">
        <v>32865</v>
      </c>
      <c r="B16648" s="2" t="s">
        <v>32866</v>
      </c>
      <c r="C16648" s="2" t="s">
        <v>4788</v>
      </c>
      <c r="D16648" s="2" t="s">
        <v>1201</v>
      </c>
      <c r="E16648" s="2" t="str">
        <f>"9781474440554"</f>
        <v>9781474440554</v>
      </c>
      <c r="F16648" s="2" t="str">
        <f>"9781474425506"</f>
        <v>9781474425506</v>
      </c>
    </row>
    <row r="16649" spans="1:6" s="3" customFormat="1" ht="29.1" customHeight="1" x14ac:dyDescent="0.25">
      <c r="A16649" s="2" t="s">
        <v>32867</v>
      </c>
      <c r="B16649" s="2" t="s">
        <v>32868</v>
      </c>
      <c r="C16649" s="2" t="s">
        <v>195</v>
      </c>
      <c r="D16649" s="2" t="s">
        <v>2943</v>
      </c>
      <c r="E16649" s="2" t="str">
        <f>"9783110766813"</f>
        <v>9783110766813</v>
      </c>
      <c r="F16649" s="2" t="str">
        <f>"9783110766851"</f>
        <v>9783110766851</v>
      </c>
    </row>
    <row r="16650" spans="1:6" s="3" customFormat="1" ht="29.1" customHeight="1" x14ac:dyDescent="0.25">
      <c r="A16650" s="2" t="s">
        <v>32869</v>
      </c>
      <c r="B16650" s="2" t="s">
        <v>32870</v>
      </c>
      <c r="C16650" s="2" t="s">
        <v>605</v>
      </c>
      <c r="D16650" s="2" t="s">
        <v>606</v>
      </c>
      <c r="E16650" s="2" t="str">
        <f>"9789654067140"</f>
        <v>9789654067140</v>
      </c>
      <c r="F16650" s="2" t="str">
        <f>"9789654067522"</f>
        <v>9789654067522</v>
      </c>
    </row>
    <row r="16651" spans="1:6" s="3" customFormat="1" ht="29.1" customHeight="1" x14ac:dyDescent="0.25">
      <c r="A16651" s="2" t="s">
        <v>32871</v>
      </c>
      <c r="B16651" s="2" t="s">
        <v>32591</v>
      </c>
      <c r="C16651" s="2" t="s">
        <v>62</v>
      </c>
      <c r="D16651" s="2" t="s">
        <v>1228</v>
      </c>
      <c r="E16651" s="2" t="str">
        <f>"9783428074693"</f>
        <v>9783428074693</v>
      </c>
      <c r="F16651" s="2" t="str">
        <f>"9783428474691"</f>
        <v>9783428474691</v>
      </c>
    </row>
    <row r="16652" spans="1:6" s="3" customFormat="1" ht="29.1" customHeight="1" x14ac:dyDescent="0.25">
      <c r="A16652" s="2" t="s">
        <v>32872</v>
      </c>
      <c r="B16652" s="2" t="s">
        <v>32529</v>
      </c>
      <c r="C16652" s="2" t="s">
        <v>62</v>
      </c>
      <c r="D16652" s="2" t="s">
        <v>1228</v>
      </c>
      <c r="E16652" s="2" t="str">
        <f>"9783428074686"</f>
        <v>9783428074686</v>
      </c>
      <c r="F16652" s="2" t="str">
        <f>"9783428474684"</f>
        <v>9783428474684</v>
      </c>
    </row>
    <row r="16653" spans="1:6" s="3" customFormat="1" ht="29.1" customHeight="1" x14ac:dyDescent="0.25">
      <c r="A16653" s="2" t="s">
        <v>32873</v>
      </c>
      <c r="B16653" s="2" t="s">
        <v>26359</v>
      </c>
      <c r="C16653" s="2" t="s">
        <v>62</v>
      </c>
      <c r="D16653" s="2" t="s">
        <v>2005</v>
      </c>
      <c r="E16653" s="2" t="str">
        <f>"9783428074723"</f>
        <v>9783428074723</v>
      </c>
      <c r="F16653" s="2" t="str">
        <f>"9783428474721"</f>
        <v>9783428474721</v>
      </c>
    </row>
    <row r="16654" spans="1:6" s="3" customFormat="1" ht="29.1" customHeight="1" x14ac:dyDescent="0.25">
      <c r="A16654" s="2" t="s">
        <v>32874</v>
      </c>
      <c r="B16654" s="2" t="s">
        <v>32875</v>
      </c>
      <c r="C16654" s="2" t="s">
        <v>746</v>
      </c>
      <c r="D16654" s="2" t="s">
        <v>7702</v>
      </c>
      <c r="E16654" s="2"/>
      <c r="F16654" s="2" t="str">
        <f>"9781789699869"</f>
        <v>9781789699869</v>
      </c>
    </row>
    <row r="16655" spans="1:6" s="3" customFormat="1" ht="29.1" customHeight="1" x14ac:dyDescent="0.25">
      <c r="A16655" s="2" t="s">
        <v>32876</v>
      </c>
      <c r="B16655" s="2" t="s">
        <v>32877</v>
      </c>
      <c r="C16655" s="2" t="s">
        <v>556</v>
      </c>
      <c r="D16655" s="2" t="s">
        <v>490</v>
      </c>
      <c r="E16655" s="2" t="str">
        <f>"9783837659795"</f>
        <v>9783837659795</v>
      </c>
      <c r="F16655" s="2" t="str">
        <f>"9783839459799"</f>
        <v>9783839459799</v>
      </c>
    </row>
    <row r="16656" spans="1:6" s="3" customFormat="1" ht="29.1" customHeight="1" x14ac:dyDescent="0.25">
      <c r="A16656" s="2" t="s">
        <v>32878</v>
      </c>
      <c r="B16656" s="2" t="s">
        <v>32879</v>
      </c>
      <c r="C16656" s="2" t="s">
        <v>556</v>
      </c>
      <c r="D16656" s="2" t="s">
        <v>712</v>
      </c>
      <c r="E16656" s="2" t="str">
        <f>"9783837661217"</f>
        <v>9783837661217</v>
      </c>
      <c r="F16656" s="2" t="str">
        <f>"9783732861217"</f>
        <v>9783732861217</v>
      </c>
    </row>
    <row r="16657" spans="1:6" s="3" customFormat="1" ht="29.1" customHeight="1" x14ac:dyDescent="0.25">
      <c r="A16657" s="2" t="s">
        <v>32880</v>
      </c>
      <c r="B16657" s="2" t="s">
        <v>32881</v>
      </c>
      <c r="C16657" s="2" t="s">
        <v>556</v>
      </c>
      <c r="D16657" s="2" t="s">
        <v>7280</v>
      </c>
      <c r="E16657" s="2" t="str">
        <f>"9783837661040"</f>
        <v>9783837661040</v>
      </c>
      <c r="F16657" s="2" t="str">
        <f>"9783839461044"</f>
        <v>9783839461044</v>
      </c>
    </row>
    <row r="16658" spans="1:6" s="3" customFormat="1" ht="29.1" customHeight="1" x14ac:dyDescent="0.25">
      <c r="A16658" s="2" t="s">
        <v>32882</v>
      </c>
      <c r="B16658" s="2" t="s">
        <v>32883</v>
      </c>
      <c r="C16658" s="2" t="s">
        <v>556</v>
      </c>
      <c r="D16658" s="2" t="s">
        <v>9889</v>
      </c>
      <c r="E16658" s="2" t="str">
        <f>"9783837660852"</f>
        <v>9783837660852</v>
      </c>
      <c r="F16658" s="2" t="str">
        <f>"9783839460856"</f>
        <v>9783839460856</v>
      </c>
    </row>
    <row r="16659" spans="1:6" s="3" customFormat="1" ht="29.1" customHeight="1" x14ac:dyDescent="0.25">
      <c r="A16659" s="2" t="s">
        <v>32884</v>
      </c>
      <c r="B16659" s="2" t="s">
        <v>32885</v>
      </c>
      <c r="C16659" s="2" t="s">
        <v>556</v>
      </c>
      <c r="D16659" s="2" t="s">
        <v>75</v>
      </c>
      <c r="E16659" s="2" t="str">
        <f>"9783837660838"</f>
        <v>9783837660838</v>
      </c>
      <c r="F16659" s="2" t="str">
        <f>"9783732860838"</f>
        <v>9783732860838</v>
      </c>
    </row>
    <row r="16660" spans="1:6" s="3" customFormat="1" ht="29.1" customHeight="1" x14ac:dyDescent="0.25">
      <c r="A16660" s="2" t="s">
        <v>32886</v>
      </c>
      <c r="B16660" s="2" t="s">
        <v>32887</v>
      </c>
      <c r="C16660" s="2" t="s">
        <v>556</v>
      </c>
      <c r="D16660" s="2" t="s">
        <v>202</v>
      </c>
      <c r="E16660" s="2" t="str">
        <f>"9783837660630"</f>
        <v>9783837660630</v>
      </c>
      <c r="F16660" s="2" t="str">
        <f>"9783839460634"</f>
        <v>9783839460634</v>
      </c>
    </row>
    <row r="16661" spans="1:6" s="3" customFormat="1" ht="29.1" customHeight="1" x14ac:dyDescent="0.25">
      <c r="A16661" s="2" t="s">
        <v>32888</v>
      </c>
      <c r="B16661" s="2" t="s">
        <v>32889</v>
      </c>
      <c r="C16661" s="2" t="s">
        <v>556</v>
      </c>
      <c r="D16661" s="2" t="s">
        <v>202</v>
      </c>
      <c r="E16661" s="2" t="str">
        <f>"9783837660616"</f>
        <v>9783837660616</v>
      </c>
      <c r="F16661" s="2" t="str">
        <f>"9783839460610"</f>
        <v>9783839460610</v>
      </c>
    </row>
    <row r="16662" spans="1:6" s="3" customFormat="1" ht="29.1" customHeight="1" x14ac:dyDescent="0.25">
      <c r="A16662" s="2" t="s">
        <v>32890</v>
      </c>
      <c r="B16662" s="2" t="s">
        <v>32891</v>
      </c>
      <c r="C16662" s="2" t="s">
        <v>556</v>
      </c>
      <c r="D16662" s="2" t="s">
        <v>1466</v>
      </c>
      <c r="E16662" s="2" t="str">
        <f>"9783837659801"</f>
        <v>9783837659801</v>
      </c>
      <c r="F16662" s="2" t="str">
        <f>"9783839459805"</f>
        <v>9783839459805</v>
      </c>
    </row>
    <row r="16663" spans="1:6" s="3" customFormat="1" ht="29.1" customHeight="1" x14ac:dyDescent="0.25">
      <c r="A16663" s="2" t="s">
        <v>32892</v>
      </c>
      <c r="B16663" s="2" t="s">
        <v>32893</v>
      </c>
      <c r="C16663" s="2" t="s">
        <v>556</v>
      </c>
      <c r="D16663" s="2" t="s">
        <v>501</v>
      </c>
      <c r="E16663" s="2" t="str">
        <f>"9783837659481"</f>
        <v>9783837659481</v>
      </c>
      <c r="F16663" s="2" t="str">
        <f>"9783839459485"</f>
        <v>9783839459485</v>
      </c>
    </row>
    <row r="16664" spans="1:6" s="3" customFormat="1" ht="29.1" customHeight="1" x14ac:dyDescent="0.25">
      <c r="A16664" s="2" t="s">
        <v>32894</v>
      </c>
      <c r="B16664" s="2" t="s">
        <v>32896</v>
      </c>
      <c r="C16664" s="2" t="s">
        <v>556</v>
      </c>
      <c r="D16664" s="2" t="s">
        <v>32895</v>
      </c>
      <c r="E16664" s="2" t="str">
        <f>"9783837658606"</f>
        <v>9783837658606</v>
      </c>
      <c r="F16664" s="2" t="str">
        <f>"9783839458600"</f>
        <v>9783839458600</v>
      </c>
    </row>
    <row r="16665" spans="1:6" s="3" customFormat="1" ht="29.1" customHeight="1" x14ac:dyDescent="0.25">
      <c r="A16665" s="2" t="s">
        <v>32897</v>
      </c>
      <c r="B16665" s="2" t="s">
        <v>32898</v>
      </c>
      <c r="C16665" s="2" t="s">
        <v>556</v>
      </c>
      <c r="D16665" s="2" t="s">
        <v>2462</v>
      </c>
      <c r="E16665" s="2" t="str">
        <f>"9783837658255"</f>
        <v>9783837658255</v>
      </c>
      <c r="F16665" s="2" t="str">
        <f>"9783732858255"</f>
        <v>9783732858255</v>
      </c>
    </row>
    <row r="16666" spans="1:6" s="3" customFormat="1" ht="29.1" customHeight="1" x14ac:dyDescent="0.25">
      <c r="A16666" s="2" t="s">
        <v>32899</v>
      </c>
      <c r="B16666" s="2" t="s">
        <v>32900</v>
      </c>
      <c r="C16666" s="2" t="s">
        <v>556</v>
      </c>
      <c r="D16666" s="2" t="s">
        <v>1109</v>
      </c>
      <c r="E16666" s="2" t="str">
        <f>"9783837657319"</f>
        <v>9783837657319</v>
      </c>
      <c r="F16666" s="2" t="str">
        <f>"9783839457313"</f>
        <v>9783839457313</v>
      </c>
    </row>
    <row r="16667" spans="1:6" s="3" customFormat="1" ht="29.1" customHeight="1" x14ac:dyDescent="0.25">
      <c r="A16667" s="2" t="s">
        <v>32901</v>
      </c>
      <c r="B16667" s="2" t="s">
        <v>32902</v>
      </c>
      <c r="C16667" s="2" t="s">
        <v>556</v>
      </c>
      <c r="D16667" s="2" t="s">
        <v>1141</v>
      </c>
      <c r="E16667" s="2" t="str">
        <f>"9783837656817"</f>
        <v>9783837656817</v>
      </c>
      <c r="F16667" s="2" t="str">
        <f>"9783839456811"</f>
        <v>9783839456811</v>
      </c>
    </row>
    <row r="16668" spans="1:6" s="3" customFormat="1" ht="29.1" customHeight="1" x14ac:dyDescent="0.25">
      <c r="A16668" s="2" t="s">
        <v>32903</v>
      </c>
      <c r="B16668" s="2" t="s">
        <v>32904</v>
      </c>
      <c r="C16668" s="2" t="s">
        <v>556</v>
      </c>
      <c r="D16668" s="2" t="s">
        <v>9163</v>
      </c>
      <c r="E16668" s="2" t="str">
        <f>"9783837653403"</f>
        <v>9783837653403</v>
      </c>
      <c r="F16668" s="2" t="str">
        <f>"9783839453407"</f>
        <v>9783839453407</v>
      </c>
    </row>
    <row r="16669" spans="1:6" s="3" customFormat="1" ht="29.1" customHeight="1" x14ac:dyDescent="0.25">
      <c r="A16669" s="2" t="s">
        <v>32905</v>
      </c>
      <c r="B16669" s="2" t="s">
        <v>32906</v>
      </c>
      <c r="C16669" s="2" t="s">
        <v>556</v>
      </c>
      <c r="D16669" s="2" t="s">
        <v>509</v>
      </c>
      <c r="E16669" s="2" t="str">
        <f>"9783837652574"</f>
        <v>9783837652574</v>
      </c>
      <c r="F16669" s="2" t="str">
        <f>"9783839452578"</f>
        <v>9783839452578</v>
      </c>
    </row>
    <row r="16670" spans="1:6" s="3" customFormat="1" ht="29.1" customHeight="1" x14ac:dyDescent="0.25">
      <c r="A16670" s="2" t="s">
        <v>32907</v>
      </c>
      <c r="B16670" s="2" t="s">
        <v>32908</v>
      </c>
      <c r="C16670" s="2" t="s">
        <v>556</v>
      </c>
      <c r="D16670" s="2" t="s">
        <v>2587</v>
      </c>
      <c r="E16670" s="2" t="str">
        <f>"9783837648980"</f>
        <v>9783837648980</v>
      </c>
      <c r="F16670" s="2" t="str">
        <f>"9783839448984"</f>
        <v>9783839448984</v>
      </c>
    </row>
    <row r="16671" spans="1:6" s="3" customFormat="1" ht="29.1" customHeight="1" x14ac:dyDescent="0.25">
      <c r="A16671" s="2" t="s">
        <v>32909</v>
      </c>
      <c r="B16671" s="2" t="s">
        <v>32910</v>
      </c>
      <c r="C16671" s="2" t="s">
        <v>556</v>
      </c>
      <c r="D16671" s="2" t="s">
        <v>259</v>
      </c>
      <c r="E16671" s="2" t="str">
        <f>"9783837643916"</f>
        <v>9783837643916</v>
      </c>
      <c r="F16671" s="2" t="str">
        <f>"9783732843916"</f>
        <v>9783732843916</v>
      </c>
    </row>
    <row r="16672" spans="1:6" s="3" customFormat="1" ht="29.1" customHeight="1" x14ac:dyDescent="0.25">
      <c r="A16672" s="2" t="s">
        <v>32911</v>
      </c>
      <c r="B16672" s="2" t="s">
        <v>32912</v>
      </c>
      <c r="C16672" s="2" t="s">
        <v>124</v>
      </c>
      <c r="D16672" s="2" t="s">
        <v>334</v>
      </c>
      <c r="E16672" s="2" t="str">
        <f>"9781032025582"</f>
        <v>9781032025582</v>
      </c>
      <c r="F16672" s="2" t="str">
        <f>"9781000580280"</f>
        <v>9781000580280</v>
      </c>
    </row>
    <row r="16673" spans="1:6" s="3" customFormat="1" ht="29.1" customHeight="1" x14ac:dyDescent="0.25">
      <c r="A16673" s="2" t="s">
        <v>32913</v>
      </c>
      <c r="B16673" s="2" t="s">
        <v>32914</v>
      </c>
      <c r="C16673" s="2" t="s">
        <v>4788</v>
      </c>
      <c r="D16673" s="2" t="s">
        <v>5104</v>
      </c>
      <c r="E16673" s="2" t="str">
        <f>"9781474487962"</f>
        <v>9781474487962</v>
      </c>
      <c r="F16673" s="2" t="str">
        <f>"9781474487986"</f>
        <v>9781474487986</v>
      </c>
    </row>
    <row r="16674" spans="1:6" s="3" customFormat="1" ht="29.1" customHeight="1" x14ac:dyDescent="0.25">
      <c r="A16674" s="2" t="s">
        <v>32915</v>
      </c>
      <c r="B16674" s="2" t="s">
        <v>32916</v>
      </c>
      <c r="C16674" s="2" t="s">
        <v>131</v>
      </c>
      <c r="D16674" s="2" t="s">
        <v>459</v>
      </c>
      <c r="E16674" s="2" t="str">
        <f>"9789027210166"</f>
        <v>9789027210166</v>
      </c>
      <c r="F16674" s="2" t="str">
        <f>"9789027258267"</f>
        <v>9789027258267</v>
      </c>
    </row>
    <row r="16675" spans="1:6" s="3" customFormat="1" ht="29.1" customHeight="1" x14ac:dyDescent="0.25">
      <c r="A16675" s="2" t="s">
        <v>32917</v>
      </c>
      <c r="B16675" s="2" t="s">
        <v>17895</v>
      </c>
      <c r="C16675" s="2" t="s">
        <v>124</v>
      </c>
      <c r="D16675" s="2" t="s">
        <v>2587</v>
      </c>
      <c r="E16675" s="2" t="str">
        <f>"9781032195957"</f>
        <v>9781032195957</v>
      </c>
      <c r="F16675" s="2" t="str">
        <f>"9781000586046"</f>
        <v>9781000586046</v>
      </c>
    </row>
    <row r="16676" spans="1:6" s="3" customFormat="1" ht="29.1" customHeight="1" x14ac:dyDescent="0.25">
      <c r="A16676" s="2" t="s">
        <v>32918</v>
      </c>
      <c r="B16676" s="2" t="s">
        <v>32919</v>
      </c>
      <c r="C16676" s="2" t="s">
        <v>124</v>
      </c>
      <c r="D16676" s="2" t="s">
        <v>207</v>
      </c>
      <c r="E16676" s="2" t="str">
        <f>"9781032150185"</f>
        <v>9781032150185</v>
      </c>
      <c r="F16676" s="2" t="str">
        <f>"9781000565904"</f>
        <v>9781000565904</v>
      </c>
    </row>
    <row r="16677" spans="1:6" s="3" customFormat="1" ht="29.1" customHeight="1" x14ac:dyDescent="0.25">
      <c r="A16677" s="2" t="s">
        <v>32920</v>
      </c>
      <c r="B16677" s="2" t="s">
        <v>32921</v>
      </c>
      <c r="C16677" s="2" t="s">
        <v>124</v>
      </c>
      <c r="D16677" s="2" t="s">
        <v>81</v>
      </c>
      <c r="E16677" s="2" t="str">
        <f>"9781032168234"</f>
        <v>9781032168234</v>
      </c>
      <c r="F16677" s="2" t="str">
        <f>"9781000564273"</f>
        <v>9781000564273</v>
      </c>
    </row>
    <row r="16678" spans="1:6" s="3" customFormat="1" ht="29.1" customHeight="1" x14ac:dyDescent="0.25">
      <c r="A16678" s="2" t="s">
        <v>32922</v>
      </c>
      <c r="B16678" s="2" t="s">
        <v>32923</v>
      </c>
      <c r="C16678" s="2" t="s">
        <v>55</v>
      </c>
      <c r="D16678" s="2" t="s">
        <v>7199</v>
      </c>
      <c r="E16678" s="2" t="str">
        <f>"9780719083785"</f>
        <v>9780719083785</v>
      </c>
      <c r="F16678" s="2" t="str">
        <f>"9781526160713"</f>
        <v>9781526160713</v>
      </c>
    </row>
    <row r="16679" spans="1:6" s="3" customFormat="1" ht="29.1" customHeight="1" x14ac:dyDescent="0.25">
      <c r="A16679" s="2" t="s">
        <v>32924</v>
      </c>
      <c r="B16679" s="2" t="s">
        <v>32925</v>
      </c>
      <c r="C16679" s="2" t="s">
        <v>2242</v>
      </c>
      <c r="D16679" s="2" t="s">
        <v>2019</v>
      </c>
      <c r="E16679" s="2"/>
      <c r="F16679" s="2" t="str">
        <f>"9788024460321"</f>
        <v>9788024460321</v>
      </c>
    </row>
    <row r="16680" spans="1:6" s="3" customFormat="1" ht="29.1" customHeight="1" x14ac:dyDescent="0.25">
      <c r="A16680" s="2" t="s">
        <v>32926</v>
      </c>
      <c r="B16680" s="2" t="s">
        <v>32927</v>
      </c>
      <c r="C16680" s="2" t="s">
        <v>2242</v>
      </c>
      <c r="D16680" s="2" t="s">
        <v>3052</v>
      </c>
      <c r="E16680" s="2"/>
      <c r="F16680" s="2" t="str">
        <f>"9788024460277"</f>
        <v>9788024460277</v>
      </c>
    </row>
    <row r="16681" spans="1:6" s="3" customFormat="1" ht="29.1" customHeight="1" x14ac:dyDescent="0.25">
      <c r="A16681" s="2" t="s">
        <v>32928</v>
      </c>
      <c r="B16681" s="2" t="s">
        <v>32929</v>
      </c>
      <c r="C16681" s="2" t="s">
        <v>2242</v>
      </c>
      <c r="D16681" s="2" t="s">
        <v>9894</v>
      </c>
      <c r="E16681" s="2"/>
      <c r="F16681" s="2" t="str">
        <f>"9788024460130"</f>
        <v>9788024460130</v>
      </c>
    </row>
    <row r="16682" spans="1:6" s="3" customFormat="1" ht="29.1" customHeight="1" x14ac:dyDescent="0.25">
      <c r="A16682" s="2" t="s">
        <v>32930</v>
      </c>
      <c r="B16682" s="2" t="s">
        <v>32931</v>
      </c>
      <c r="C16682" s="2" t="s">
        <v>2242</v>
      </c>
      <c r="D16682" s="2" t="s">
        <v>9894</v>
      </c>
      <c r="E16682" s="2"/>
      <c r="F16682" s="2" t="str">
        <f>"9788024460123"</f>
        <v>9788024460123</v>
      </c>
    </row>
    <row r="16683" spans="1:6" s="3" customFormat="1" ht="29.1" customHeight="1" x14ac:dyDescent="0.25">
      <c r="A16683" s="2" t="s">
        <v>32932</v>
      </c>
      <c r="B16683" s="2" t="s">
        <v>32933</v>
      </c>
      <c r="C16683" s="2" t="s">
        <v>2242</v>
      </c>
      <c r="D16683" s="2" t="s">
        <v>3958</v>
      </c>
      <c r="E16683" s="2"/>
      <c r="F16683" s="2" t="str">
        <f>"9788024460116"</f>
        <v>9788024460116</v>
      </c>
    </row>
    <row r="16684" spans="1:6" s="3" customFormat="1" ht="29.1" customHeight="1" x14ac:dyDescent="0.25">
      <c r="A16684" s="2" t="s">
        <v>32934</v>
      </c>
      <c r="B16684" s="2" t="s">
        <v>32935</v>
      </c>
      <c r="C16684" s="2" t="s">
        <v>2242</v>
      </c>
      <c r="D16684" s="2" t="s">
        <v>2593</v>
      </c>
      <c r="E16684" s="2"/>
      <c r="F16684" s="2" t="str">
        <f>"9788024460024"</f>
        <v>9788024460024</v>
      </c>
    </row>
    <row r="16685" spans="1:6" s="3" customFormat="1" ht="29.1" customHeight="1" x14ac:dyDescent="0.25">
      <c r="A16685" s="2" t="s">
        <v>32936</v>
      </c>
      <c r="B16685" s="2" t="s">
        <v>32935</v>
      </c>
      <c r="C16685" s="2" t="s">
        <v>2242</v>
      </c>
      <c r="D16685" s="2" t="s">
        <v>2593</v>
      </c>
      <c r="E16685" s="2"/>
      <c r="F16685" s="2" t="str">
        <f>"9788024460000"</f>
        <v>9788024460000</v>
      </c>
    </row>
    <row r="16686" spans="1:6" s="3" customFormat="1" ht="29.1" customHeight="1" x14ac:dyDescent="0.25">
      <c r="A16686" s="2" t="s">
        <v>32937</v>
      </c>
      <c r="B16686" s="2" t="s">
        <v>32938</v>
      </c>
      <c r="C16686" s="2" t="s">
        <v>2242</v>
      </c>
      <c r="D16686" s="2" t="s">
        <v>7293</v>
      </c>
      <c r="E16686" s="2"/>
      <c r="F16686" s="2" t="str">
        <f>"9788024459776"</f>
        <v>9788024459776</v>
      </c>
    </row>
    <row r="16687" spans="1:6" s="3" customFormat="1" ht="29.1" customHeight="1" x14ac:dyDescent="0.25">
      <c r="A16687" s="2" t="s">
        <v>32939</v>
      </c>
      <c r="B16687" s="2" t="s">
        <v>32940</v>
      </c>
      <c r="C16687" s="2" t="s">
        <v>2242</v>
      </c>
      <c r="D16687" s="2" t="s">
        <v>25262</v>
      </c>
      <c r="E16687" s="2"/>
      <c r="F16687" s="2" t="str">
        <f>"9788024459479"</f>
        <v>9788024459479</v>
      </c>
    </row>
    <row r="16688" spans="1:6" s="3" customFormat="1" ht="29.1" customHeight="1" x14ac:dyDescent="0.25">
      <c r="A16688" s="2" t="s">
        <v>32941</v>
      </c>
      <c r="B16688" s="2" t="s">
        <v>32942</v>
      </c>
      <c r="C16688" s="2" t="s">
        <v>2242</v>
      </c>
      <c r="D16688" s="2" t="s">
        <v>11310</v>
      </c>
      <c r="E16688" s="2"/>
      <c r="F16688" s="2" t="str">
        <f>"9788024459387"</f>
        <v>9788024459387</v>
      </c>
    </row>
    <row r="16689" spans="1:6" s="3" customFormat="1" ht="29.1" customHeight="1" x14ac:dyDescent="0.25">
      <c r="A16689" s="2" t="s">
        <v>32943</v>
      </c>
      <c r="B16689" s="2" t="s">
        <v>32944</v>
      </c>
      <c r="C16689" s="2" t="s">
        <v>2242</v>
      </c>
      <c r="D16689" s="2" t="s">
        <v>606</v>
      </c>
      <c r="E16689" s="2"/>
      <c r="F16689" s="2" t="str">
        <f>"9788024459493"</f>
        <v>9788024459493</v>
      </c>
    </row>
    <row r="16690" spans="1:6" s="3" customFormat="1" ht="29.1" customHeight="1" x14ac:dyDescent="0.25">
      <c r="A16690" s="2" t="s">
        <v>32945</v>
      </c>
      <c r="B16690" s="2" t="s">
        <v>32947</v>
      </c>
      <c r="C16690" s="2" t="s">
        <v>2242</v>
      </c>
      <c r="D16690" s="2" t="s">
        <v>32946</v>
      </c>
      <c r="E16690" s="2"/>
      <c r="F16690" s="2" t="str">
        <f>"9788024459110"</f>
        <v>9788024459110</v>
      </c>
    </row>
    <row r="16691" spans="1:6" s="3" customFormat="1" ht="29.1" customHeight="1" x14ac:dyDescent="0.25">
      <c r="A16691" s="2" t="s">
        <v>32948</v>
      </c>
      <c r="B16691" s="2" t="s">
        <v>32949</v>
      </c>
      <c r="C16691" s="2" t="s">
        <v>2242</v>
      </c>
      <c r="D16691" s="2" t="s">
        <v>550</v>
      </c>
      <c r="E16691" s="2"/>
      <c r="F16691" s="2" t="str">
        <f>"9788024459158"</f>
        <v>9788024459158</v>
      </c>
    </row>
    <row r="16692" spans="1:6" s="3" customFormat="1" ht="29.1" customHeight="1" x14ac:dyDescent="0.25">
      <c r="A16692" s="2" t="s">
        <v>32950</v>
      </c>
      <c r="B16692" s="2" t="s">
        <v>32951</v>
      </c>
      <c r="C16692" s="2" t="s">
        <v>2242</v>
      </c>
      <c r="D16692" s="2" t="s">
        <v>550</v>
      </c>
      <c r="E16692" s="2"/>
      <c r="F16692" s="2" t="str">
        <f>"9788024459264"</f>
        <v>9788024459264</v>
      </c>
    </row>
    <row r="16693" spans="1:6" s="3" customFormat="1" ht="29.1" customHeight="1" x14ac:dyDescent="0.25">
      <c r="A16693" s="2" t="s">
        <v>32952</v>
      </c>
      <c r="B16693" s="2" t="s">
        <v>32953</v>
      </c>
      <c r="C16693" s="2" t="s">
        <v>2242</v>
      </c>
      <c r="D16693" s="2" t="s">
        <v>3958</v>
      </c>
      <c r="E16693" s="2"/>
      <c r="F16693" s="2" t="str">
        <f>"9788024458861"</f>
        <v>9788024458861</v>
      </c>
    </row>
    <row r="16694" spans="1:6" s="3" customFormat="1" ht="29.1" customHeight="1" x14ac:dyDescent="0.25">
      <c r="A16694" s="2" t="s">
        <v>32954</v>
      </c>
      <c r="B16694" s="2" t="s">
        <v>32938</v>
      </c>
      <c r="C16694" s="2" t="s">
        <v>2242</v>
      </c>
      <c r="D16694" s="2" t="s">
        <v>7293</v>
      </c>
      <c r="E16694" s="2"/>
      <c r="F16694" s="2" t="str">
        <f>"9788024458816"</f>
        <v>9788024458816</v>
      </c>
    </row>
    <row r="16695" spans="1:6" s="3" customFormat="1" ht="29.1" customHeight="1" x14ac:dyDescent="0.25">
      <c r="A16695" s="2" t="s">
        <v>32955</v>
      </c>
      <c r="B16695" s="2" t="s">
        <v>32957</v>
      </c>
      <c r="C16695" s="2" t="s">
        <v>2242</v>
      </c>
      <c r="D16695" s="2" t="s">
        <v>32956</v>
      </c>
      <c r="E16695" s="2"/>
      <c r="F16695" s="2" t="str">
        <f>"9788024458489"</f>
        <v>9788024458489</v>
      </c>
    </row>
    <row r="16696" spans="1:6" s="3" customFormat="1" ht="29.1" customHeight="1" x14ac:dyDescent="0.25">
      <c r="A16696" s="2" t="s">
        <v>32958</v>
      </c>
      <c r="B16696" s="2" t="s">
        <v>32959</v>
      </c>
      <c r="C16696" s="2" t="s">
        <v>2242</v>
      </c>
      <c r="D16696" s="2" t="s">
        <v>135</v>
      </c>
      <c r="E16696" s="2"/>
      <c r="F16696" s="2" t="str">
        <f>"9788024458984"</f>
        <v>9788024458984</v>
      </c>
    </row>
    <row r="16697" spans="1:6" s="3" customFormat="1" ht="29.1" customHeight="1" x14ac:dyDescent="0.25">
      <c r="A16697" s="2" t="s">
        <v>32960</v>
      </c>
      <c r="B16697" s="2" t="s">
        <v>32961</v>
      </c>
      <c r="C16697" s="2" t="s">
        <v>2242</v>
      </c>
      <c r="D16697" s="2" t="s">
        <v>7645</v>
      </c>
      <c r="E16697" s="2"/>
      <c r="F16697" s="2" t="str">
        <f>"9788024458724"</f>
        <v>9788024458724</v>
      </c>
    </row>
    <row r="16698" spans="1:6" s="3" customFormat="1" ht="29.1" customHeight="1" x14ac:dyDescent="0.25">
      <c r="A16698" s="2" t="s">
        <v>32962</v>
      </c>
      <c r="B16698" s="2" t="s">
        <v>32963</v>
      </c>
      <c r="C16698" s="2" t="s">
        <v>2242</v>
      </c>
      <c r="D16698" s="2" t="s">
        <v>1013</v>
      </c>
      <c r="E16698" s="2"/>
      <c r="F16698" s="2" t="str">
        <f>"9788024459011"</f>
        <v>9788024459011</v>
      </c>
    </row>
    <row r="16699" spans="1:6" s="3" customFormat="1" ht="29.1" customHeight="1" x14ac:dyDescent="0.25">
      <c r="A16699" s="2" t="s">
        <v>32964</v>
      </c>
      <c r="B16699" s="2" t="s">
        <v>32965</v>
      </c>
      <c r="C16699" s="2" t="s">
        <v>2242</v>
      </c>
      <c r="D16699" s="2" t="s">
        <v>2593</v>
      </c>
      <c r="E16699" s="2"/>
      <c r="F16699" s="2" t="str">
        <f>"9788024459202"</f>
        <v>9788024459202</v>
      </c>
    </row>
    <row r="16700" spans="1:6" s="3" customFormat="1" ht="29.1" customHeight="1" x14ac:dyDescent="0.25">
      <c r="A16700" s="2" t="s">
        <v>32966</v>
      </c>
      <c r="B16700" s="2" t="s">
        <v>32967</v>
      </c>
      <c r="C16700" s="2" t="s">
        <v>2242</v>
      </c>
      <c r="D16700" s="2" t="s">
        <v>135</v>
      </c>
      <c r="E16700" s="2"/>
      <c r="F16700" s="2" t="str">
        <f>"9788024458625"</f>
        <v>9788024458625</v>
      </c>
    </row>
    <row r="16701" spans="1:6" s="3" customFormat="1" ht="29.1" customHeight="1" x14ac:dyDescent="0.25">
      <c r="A16701" s="2" t="s">
        <v>32968</v>
      </c>
      <c r="B16701" s="2" t="s">
        <v>32969</v>
      </c>
      <c r="C16701" s="2" t="s">
        <v>2242</v>
      </c>
      <c r="D16701" s="2" t="s">
        <v>2517</v>
      </c>
      <c r="E16701" s="2"/>
      <c r="F16701" s="2" t="str">
        <f>"9788024458366"</f>
        <v>9788024458366</v>
      </c>
    </row>
    <row r="16702" spans="1:6" s="3" customFormat="1" ht="29.1" customHeight="1" x14ac:dyDescent="0.25">
      <c r="A16702" s="2" t="s">
        <v>32970</v>
      </c>
      <c r="B16702" s="2" t="s">
        <v>32971</v>
      </c>
      <c r="C16702" s="2" t="s">
        <v>2242</v>
      </c>
      <c r="D16702" s="2" t="s">
        <v>2517</v>
      </c>
      <c r="E16702" s="2"/>
      <c r="F16702" s="2" t="str">
        <f>"9788024458342"</f>
        <v>9788024458342</v>
      </c>
    </row>
    <row r="16703" spans="1:6" s="3" customFormat="1" ht="29.1" customHeight="1" x14ac:dyDescent="0.25">
      <c r="A16703" s="2" t="s">
        <v>32972</v>
      </c>
      <c r="B16703" s="2" t="s">
        <v>32973</v>
      </c>
      <c r="C16703" s="2" t="s">
        <v>2242</v>
      </c>
      <c r="D16703" s="2" t="s">
        <v>2517</v>
      </c>
      <c r="E16703" s="2"/>
      <c r="F16703" s="2" t="str">
        <f>"9788024457758"</f>
        <v>9788024457758</v>
      </c>
    </row>
    <row r="16704" spans="1:6" s="3" customFormat="1" ht="29.1" customHeight="1" x14ac:dyDescent="0.25">
      <c r="A16704" s="2" t="s">
        <v>32974</v>
      </c>
      <c r="B16704" s="2" t="s">
        <v>32975</v>
      </c>
      <c r="C16704" s="2" t="s">
        <v>8104</v>
      </c>
      <c r="D16704" s="2" t="s">
        <v>636</v>
      </c>
      <c r="E16704" s="2" t="str">
        <f>"9781800736078"</f>
        <v>9781800736078</v>
      </c>
      <c r="F16704" s="2" t="str">
        <f>"9781800736085"</f>
        <v>9781800736085</v>
      </c>
    </row>
    <row r="16705" spans="1:6" s="3" customFormat="1" ht="29.1" customHeight="1" x14ac:dyDescent="0.25">
      <c r="A16705" s="2" t="s">
        <v>32976</v>
      </c>
      <c r="B16705" s="2" t="s">
        <v>32977</v>
      </c>
      <c r="C16705" s="2" t="s">
        <v>2133</v>
      </c>
      <c r="D16705" s="2" t="s">
        <v>868</v>
      </c>
      <c r="E16705" s="2" t="str">
        <f>"9781921934377"</f>
        <v>9781921934377</v>
      </c>
      <c r="F16705" s="2" t="str">
        <f>"9781921934384"</f>
        <v>9781921934384</v>
      </c>
    </row>
    <row r="16706" spans="1:6" s="3" customFormat="1" ht="29.1" customHeight="1" x14ac:dyDescent="0.25">
      <c r="A16706" s="2" t="s">
        <v>32978</v>
      </c>
      <c r="B16706" s="2" t="s">
        <v>32979</v>
      </c>
      <c r="C16706" s="2" t="s">
        <v>2133</v>
      </c>
      <c r="D16706" s="2" t="s">
        <v>6</v>
      </c>
      <c r="E16706" s="2" t="str">
        <f>"9781760461454"</f>
        <v>9781760461454</v>
      </c>
      <c r="F16706" s="2" t="str">
        <f>"9781760461461"</f>
        <v>9781760461461</v>
      </c>
    </row>
    <row r="16707" spans="1:6" s="3" customFormat="1" ht="29.1" customHeight="1" x14ac:dyDescent="0.25">
      <c r="A16707" s="2" t="s">
        <v>32980</v>
      </c>
      <c r="B16707" s="2" t="s">
        <v>32981</v>
      </c>
      <c r="C16707" s="2" t="s">
        <v>2133</v>
      </c>
      <c r="D16707" s="2" t="s">
        <v>1663</v>
      </c>
      <c r="E16707" s="2" t="str">
        <f>"9781760461690"</f>
        <v>9781760461690</v>
      </c>
      <c r="F16707" s="2" t="str">
        <f>"9781760461706"</f>
        <v>9781760461706</v>
      </c>
    </row>
    <row r="16708" spans="1:6" s="3" customFormat="1" ht="29.1" customHeight="1" x14ac:dyDescent="0.25">
      <c r="A16708" s="2" t="s">
        <v>32982</v>
      </c>
      <c r="B16708" s="2" t="s">
        <v>32983</v>
      </c>
      <c r="C16708" s="2" t="s">
        <v>2133</v>
      </c>
      <c r="D16708" s="2" t="s">
        <v>72</v>
      </c>
      <c r="E16708" s="2" t="str">
        <f>"9781760461478"</f>
        <v>9781760461478</v>
      </c>
      <c r="F16708" s="2" t="str">
        <f>"9781760461485"</f>
        <v>9781760461485</v>
      </c>
    </row>
    <row r="16709" spans="1:6" s="3" customFormat="1" ht="29.1" customHeight="1" x14ac:dyDescent="0.25">
      <c r="A16709" s="2" t="s">
        <v>32984</v>
      </c>
      <c r="B16709" s="2" t="s">
        <v>32986</v>
      </c>
      <c r="C16709" s="2" t="s">
        <v>2133</v>
      </c>
      <c r="D16709" s="2" t="s">
        <v>32985</v>
      </c>
      <c r="E16709" s="2" t="str">
        <f>"9781760461553"</f>
        <v>9781760461553</v>
      </c>
      <c r="F16709" s="2" t="str">
        <f>"9781760461560"</f>
        <v>9781760461560</v>
      </c>
    </row>
    <row r="16710" spans="1:6" s="3" customFormat="1" ht="29.1" customHeight="1" x14ac:dyDescent="0.25">
      <c r="A16710" s="2" t="s">
        <v>32987</v>
      </c>
      <c r="B16710" s="2" t="s">
        <v>16100</v>
      </c>
      <c r="C16710" s="2" t="s">
        <v>2133</v>
      </c>
      <c r="D16710" s="2" t="s">
        <v>15</v>
      </c>
      <c r="E16710" s="2" t="str">
        <f>"9781760464806"</f>
        <v>9781760464806</v>
      </c>
      <c r="F16710" s="2" t="str">
        <f>"9781760464813"</f>
        <v>9781760464813</v>
      </c>
    </row>
    <row r="16711" spans="1:6" s="3" customFormat="1" ht="29.1" customHeight="1" x14ac:dyDescent="0.25">
      <c r="A16711" s="2" t="s">
        <v>32988</v>
      </c>
      <c r="B16711" s="2" t="s">
        <v>32989</v>
      </c>
      <c r="C16711" s="2" t="s">
        <v>2133</v>
      </c>
      <c r="D16711" s="2" t="s">
        <v>547</v>
      </c>
      <c r="E16711" s="2" t="str">
        <f>"9781921934391"</f>
        <v>9781921934391</v>
      </c>
      <c r="F16711" s="2" t="str">
        <f>"9781921934407"</f>
        <v>9781921934407</v>
      </c>
    </row>
    <row r="16712" spans="1:6" s="3" customFormat="1" ht="29.1" customHeight="1" x14ac:dyDescent="0.25">
      <c r="A16712" s="2" t="s">
        <v>32990</v>
      </c>
      <c r="B16712" s="2" t="s">
        <v>32991</v>
      </c>
      <c r="C16712" s="2" t="s">
        <v>2133</v>
      </c>
      <c r="D16712" s="2" t="s">
        <v>92</v>
      </c>
      <c r="E16712" s="2" t="str">
        <f>"9781760461591"</f>
        <v>9781760461591</v>
      </c>
      <c r="F16712" s="2" t="str">
        <f>"9781760461607"</f>
        <v>9781760461607</v>
      </c>
    </row>
    <row r="16713" spans="1:6" s="3" customFormat="1" ht="29.1" customHeight="1" x14ac:dyDescent="0.25">
      <c r="A16713" s="2" t="s">
        <v>32992</v>
      </c>
      <c r="B16713" s="2" t="s">
        <v>32993</v>
      </c>
      <c r="C16713" s="2" t="s">
        <v>124</v>
      </c>
      <c r="D16713" s="2" t="s">
        <v>10471</v>
      </c>
      <c r="E16713" s="2" t="str">
        <f>"9780367553982"</f>
        <v>9780367553982</v>
      </c>
      <c r="F16713" s="2" t="str">
        <f>"9781000570731"</f>
        <v>9781000570731</v>
      </c>
    </row>
    <row r="16714" spans="1:6" s="3" customFormat="1" ht="29.1" customHeight="1" x14ac:dyDescent="0.25">
      <c r="A16714" s="2" t="s">
        <v>32994</v>
      </c>
      <c r="B16714" s="2" t="s">
        <v>32668</v>
      </c>
      <c r="C16714" s="2" t="s">
        <v>62</v>
      </c>
      <c r="D16714" s="2" t="s">
        <v>297</v>
      </c>
      <c r="E16714" s="2" t="str">
        <f>"9783428078820"</f>
        <v>9783428078820</v>
      </c>
      <c r="F16714" s="2" t="str">
        <f>"9783428478828"</f>
        <v>9783428478828</v>
      </c>
    </row>
    <row r="16715" spans="1:6" s="3" customFormat="1" ht="29.1" customHeight="1" x14ac:dyDescent="0.25">
      <c r="A16715" s="2" t="s">
        <v>32995</v>
      </c>
      <c r="B16715" s="2" t="s">
        <v>30458</v>
      </c>
      <c r="C16715" s="2" t="s">
        <v>62</v>
      </c>
      <c r="D16715" s="2" t="s">
        <v>1864</v>
      </c>
      <c r="E16715" s="2" t="str">
        <f>"9783428078806"</f>
        <v>9783428078806</v>
      </c>
      <c r="F16715" s="2" t="str">
        <f>"9783428478804"</f>
        <v>9783428478804</v>
      </c>
    </row>
    <row r="16716" spans="1:6" s="3" customFormat="1" ht="29.1" customHeight="1" x14ac:dyDescent="0.25">
      <c r="A16716" s="2" t="s">
        <v>32996</v>
      </c>
      <c r="B16716" s="2" t="s">
        <v>30458</v>
      </c>
      <c r="C16716" s="2" t="s">
        <v>62</v>
      </c>
      <c r="D16716" s="2" t="s">
        <v>1864</v>
      </c>
      <c r="E16716" s="2" t="str">
        <f>"9783428078790"</f>
        <v>9783428078790</v>
      </c>
      <c r="F16716" s="2" t="str">
        <f>"9783428478798"</f>
        <v>9783428478798</v>
      </c>
    </row>
    <row r="16717" spans="1:6" s="3" customFormat="1" ht="29.1" customHeight="1" x14ac:dyDescent="0.25">
      <c r="A16717" s="2" t="s">
        <v>32997</v>
      </c>
      <c r="B16717" s="2" t="s">
        <v>32538</v>
      </c>
      <c r="C16717" s="2" t="s">
        <v>62</v>
      </c>
      <c r="D16717" s="2" t="s">
        <v>1463</v>
      </c>
      <c r="E16717" s="2" t="str">
        <f>"9783428078684"</f>
        <v>9783428078684</v>
      </c>
      <c r="F16717" s="2" t="str">
        <f>"9783428478682"</f>
        <v>9783428478682</v>
      </c>
    </row>
    <row r="16718" spans="1:6" s="3" customFormat="1" ht="29.1" customHeight="1" x14ac:dyDescent="0.25">
      <c r="A16718" s="2" t="s">
        <v>32998</v>
      </c>
      <c r="B16718" s="2" t="s">
        <v>30228</v>
      </c>
      <c r="C16718" s="2" t="s">
        <v>62</v>
      </c>
      <c r="D16718" s="2" t="s">
        <v>1463</v>
      </c>
      <c r="E16718" s="2" t="str">
        <f>"9783428077717"</f>
        <v>9783428077717</v>
      </c>
      <c r="F16718" s="2" t="str">
        <f>"9783428477715"</f>
        <v>9783428477715</v>
      </c>
    </row>
    <row r="16719" spans="1:6" s="3" customFormat="1" ht="29.1" customHeight="1" x14ac:dyDescent="0.25">
      <c r="A16719" s="2" t="s">
        <v>32999</v>
      </c>
      <c r="B16719" s="2" t="s">
        <v>32591</v>
      </c>
      <c r="C16719" s="2" t="s">
        <v>62</v>
      </c>
      <c r="D16719" s="2" t="s">
        <v>1228</v>
      </c>
      <c r="E16719" s="2" t="str">
        <f>"9783428077397"</f>
        <v>9783428077397</v>
      </c>
      <c r="F16719" s="2" t="str">
        <f>"9783428477395"</f>
        <v>9783428477395</v>
      </c>
    </row>
    <row r="16720" spans="1:6" s="3" customFormat="1" ht="29.1" customHeight="1" x14ac:dyDescent="0.25">
      <c r="A16720" s="2" t="s">
        <v>33000</v>
      </c>
      <c r="B16720" s="2" t="s">
        <v>33001</v>
      </c>
      <c r="C16720" s="2" t="s">
        <v>62</v>
      </c>
      <c r="D16720" s="2" t="s">
        <v>1228</v>
      </c>
      <c r="E16720" s="2" t="str">
        <f>"9783428076000"</f>
        <v>9783428076000</v>
      </c>
      <c r="F16720" s="2" t="str">
        <f>"9783428476008"</f>
        <v>9783428476008</v>
      </c>
    </row>
    <row r="16721" spans="1:6" s="3" customFormat="1" ht="29.1" customHeight="1" x14ac:dyDescent="0.25">
      <c r="A16721" s="2" t="s">
        <v>33002</v>
      </c>
      <c r="B16721" s="2" t="s">
        <v>33003</v>
      </c>
      <c r="C16721" s="2" t="s">
        <v>62</v>
      </c>
      <c r="D16721" s="2" t="s">
        <v>1228</v>
      </c>
      <c r="E16721" s="2" t="str">
        <f>"9783428080793"</f>
        <v>9783428080793</v>
      </c>
      <c r="F16721" s="2" t="str">
        <f>"9783428480791"</f>
        <v>9783428480791</v>
      </c>
    </row>
    <row r="16722" spans="1:6" s="3" customFormat="1" ht="29.1" customHeight="1" x14ac:dyDescent="0.25">
      <c r="A16722" s="2" t="s">
        <v>33004</v>
      </c>
      <c r="B16722" s="2" t="s">
        <v>33005</v>
      </c>
      <c r="C16722" s="2" t="s">
        <v>62</v>
      </c>
      <c r="D16722" s="2" t="s">
        <v>270</v>
      </c>
      <c r="E16722" s="2" t="str">
        <f>"9783428080786"</f>
        <v>9783428080786</v>
      </c>
      <c r="F16722" s="2" t="str">
        <f>"9783428480784"</f>
        <v>9783428480784</v>
      </c>
    </row>
    <row r="16723" spans="1:6" s="3" customFormat="1" ht="29.1" customHeight="1" x14ac:dyDescent="0.25">
      <c r="A16723" s="2" t="s">
        <v>33006</v>
      </c>
      <c r="B16723" s="2" t="s">
        <v>32365</v>
      </c>
      <c r="C16723" s="2" t="s">
        <v>62</v>
      </c>
      <c r="D16723" s="2" t="s">
        <v>1651</v>
      </c>
      <c r="E16723" s="2" t="str">
        <f>"9783428080397"</f>
        <v>9783428080397</v>
      </c>
      <c r="F16723" s="2" t="str">
        <f>"9783428480395"</f>
        <v>9783428480395</v>
      </c>
    </row>
    <row r="16724" spans="1:6" s="3" customFormat="1" ht="29.1" customHeight="1" x14ac:dyDescent="0.25">
      <c r="A16724" s="2" t="s">
        <v>33007</v>
      </c>
      <c r="B16724" s="2" t="s">
        <v>33008</v>
      </c>
      <c r="C16724" s="2" t="s">
        <v>62</v>
      </c>
      <c r="D16724" s="2" t="s">
        <v>1651</v>
      </c>
      <c r="E16724" s="2" t="str">
        <f>"9783428078837"</f>
        <v>9783428078837</v>
      </c>
      <c r="F16724" s="2" t="str">
        <f>"9783428478835"</f>
        <v>9783428478835</v>
      </c>
    </row>
    <row r="16725" spans="1:6" s="3" customFormat="1" ht="29.1" customHeight="1" x14ac:dyDescent="0.25">
      <c r="A16725" s="2" t="s">
        <v>33009</v>
      </c>
      <c r="B16725" s="2" t="s">
        <v>30423</v>
      </c>
      <c r="C16725" s="2" t="s">
        <v>62</v>
      </c>
      <c r="D16725" s="2" t="s">
        <v>297</v>
      </c>
      <c r="E16725" s="2" t="str">
        <f>"9783428078813"</f>
        <v>9783428078813</v>
      </c>
      <c r="F16725" s="2" t="str">
        <f>"9783428478811"</f>
        <v>9783428478811</v>
      </c>
    </row>
    <row r="16726" spans="1:6" s="3" customFormat="1" ht="29.1" customHeight="1" x14ac:dyDescent="0.25">
      <c r="A16726" s="2" t="s">
        <v>33010</v>
      </c>
      <c r="B16726" s="2" t="s">
        <v>33011</v>
      </c>
      <c r="C16726" s="2" t="s">
        <v>62</v>
      </c>
      <c r="D16726" s="2" t="s">
        <v>5758</v>
      </c>
      <c r="E16726" s="2" t="str">
        <f>"9783428078783"</f>
        <v>9783428078783</v>
      </c>
      <c r="F16726" s="2" t="str">
        <f>"9783428478781"</f>
        <v>9783428478781</v>
      </c>
    </row>
    <row r="16727" spans="1:6" s="3" customFormat="1" ht="29.1" customHeight="1" x14ac:dyDescent="0.25">
      <c r="A16727" s="2" t="s">
        <v>33012</v>
      </c>
      <c r="B16727" s="2" t="s">
        <v>33013</v>
      </c>
      <c r="C16727" s="2" t="s">
        <v>62</v>
      </c>
      <c r="D16727" s="2" t="s">
        <v>1463</v>
      </c>
      <c r="E16727" s="2" t="str">
        <f>"9783428078608"</f>
        <v>9783428078608</v>
      </c>
      <c r="F16727" s="2" t="str">
        <f>"9783428478606"</f>
        <v>9783428478606</v>
      </c>
    </row>
    <row r="16728" spans="1:6" s="3" customFormat="1" ht="29.1" customHeight="1" x14ac:dyDescent="0.25">
      <c r="A16728" s="2" t="s">
        <v>33014</v>
      </c>
      <c r="B16728" s="2" t="s">
        <v>33015</v>
      </c>
      <c r="C16728" s="2" t="s">
        <v>62</v>
      </c>
      <c r="D16728" s="2" t="s">
        <v>1463</v>
      </c>
      <c r="E16728" s="2" t="str">
        <f>"9783428077755"</f>
        <v>9783428077755</v>
      </c>
      <c r="F16728" s="2" t="str">
        <f>"9783428477753"</f>
        <v>9783428477753</v>
      </c>
    </row>
    <row r="16729" spans="1:6" s="3" customFormat="1" ht="29.1" customHeight="1" x14ac:dyDescent="0.25">
      <c r="A16729" s="2" t="s">
        <v>33016</v>
      </c>
      <c r="B16729" s="2" t="s">
        <v>33017</v>
      </c>
      <c r="C16729" s="2" t="s">
        <v>62</v>
      </c>
      <c r="D16729" s="2" t="s">
        <v>1463</v>
      </c>
      <c r="E16729" s="2" t="str">
        <f>"9783428077731"</f>
        <v>9783428077731</v>
      </c>
      <c r="F16729" s="2" t="str">
        <f>"9783428477739"</f>
        <v>9783428477739</v>
      </c>
    </row>
    <row r="16730" spans="1:6" s="3" customFormat="1" ht="29.1" customHeight="1" x14ac:dyDescent="0.25">
      <c r="A16730" s="2" t="s">
        <v>33018</v>
      </c>
      <c r="B16730" s="2" t="s">
        <v>33019</v>
      </c>
      <c r="C16730" s="2" t="s">
        <v>62</v>
      </c>
      <c r="D16730" s="2" t="s">
        <v>1228</v>
      </c>
      <c r="E16730" s="2" t="str">
        <f>"9783428075782"</f>
        <v>9783428075782</v>
      </c>
      <c r="F16730" s="2" t="str">
        <f>"9783428475780"</f>
        <v>9783428475780</v>
      </c>
    </row>
    <row r="16731" spans="1:6" s="3" customFormat="1" ht="29.1" customHeight="1" x14ac:dyDescent="0.25">
      <c r="A16731" s="2" t="s">
        <v>33020</v>
      </c>
      <c r="B16731" s="2" t="s">
        <v>33021</v>
      </c>
      <c r="C16731" s="2" t="s">
        <v>62</v>
      </c>
      <c r="D16731" s="2" t="s">
        <v>501</v>
      </c>
      <c r="E16731" s="2" t="str">
        <f>"9783428075775"</f>
        <v>9783428075775</v>
      </c>
      <c r="F16731" s="2" t="str">
        <f>"9783428475773"</f>
        <v>9783428475773</v>
      </c>
    </row>
    <row r="16732" spans="1:6" s="3" customFormat="1" ht="29.1" customHeight="1" x14ac:dyDescent="0.25">
      <c r="A16732" s="2" t="s">
        <v>33022</v>
      </c>
      <c r="B16732" s="2" t="s">
        <v>33023</v>
      </c>
      <c r="C16732" s="2" t="s">
        <v>149</v>
      </c>
      <c r="D16732" s="2" t="s">
        <v>5832</v>
      </c>
      <c r="E16732" s="2"/>
      <c r="F16732" s="2" t="str">
        <f>"9781800643284"</f>
        <v>9781800643284</v>
      </c>
    </row>
    <row r="16733" spans="1:6" s="3" customFormat="1" ht="29.1" customHeight="1" x14ac:dyDescent="0.25">
      <c r="A16733" s="2" t="s">
        <v>33024</v>
      </c>
      <c r="B16733" s="2" t="s">
        <v>33025</v>
      </c>
      <c r="C16733" s="2" t="s">
        <v>248</v>
      </c>
      <c r="D16733" s="2" t="s">
        <v>553</v>
      </c>
      <c r="E16733" s="2" t="str">
        <f>"9783966650403"</f>
        <v>9783966650403</v>
      </c>
      <c r="F16733" s="2" t="str">
        <f>"9783966659581"</f>
        <v>9783966659581</v>
      </c>
    </row>
    <row r="16734" spans="1:6" s="3" customFormat="1" ht="29.1" customHeight="1" x14ac:dyDescent="0.25">
      <c r="A16734" s="2" t="s">
        <v>33026</v>
      </c>
      <c r="B16734" s="2" t="s">
        <v>33027</v>
      </c>
      <c r="C16734" s="2" t="s">
        <v>248</v>
      </c>
      <c r="D16734" s="2" t="s">
        <v>183</v>
      </c>
      <c r="E16734" s="2" t="str">
        <f>"9783847426035"</f>
        <v>9783847426035</v>
      </c>
      <c r="F16734" s="2" t="str">
        <f>"9783847417644"</f>
        <v>9783847417644</v>
      </c>
    </row>
    <row r="16735" spans="1:6" s="3" customFormat="1" ht="29.1" customHeight="1" x14ac:dyDescent="0.25">
      <c r="A16735" s="2" t="s">
        <v>33028</v>
      </c>
      <c r="B16735" s="2" t="s">
        <v>33029</v>
      </c>
      <c r="C16735" s="2" t="s">
        <v>248</v>
      </c>
      <c r="D16735" s="2" t="s">
        <v>249</v>
      </c>
      <c r="E16735" s="2" t="str">
        <f>"9783847426165"</f>
        <v>9783847426165</v>
      </c>
      <c r="F16735" s="2" t="str">
        <f>"9783847417750"</f>
        <v>9783847417750</v>
      </c>
    </row>
    <row r="16736" spans="1:6" s="3" customFormat="1" ht="29.1" customHeight="1" x14ac:dyDescent="0.25">
      <c r="A16736" s="2" t="s">
        <v>33030</v>
      </c>
      <c r="B16736" s="2" t="s">
        <v>33031</v>
      </c>
      <c r="C16736" s="2" t="s">
        <v>248</v>
      </c>
      <c r="D16736" s="2" t="s">
        <v>490</v>
      </c>
      <c r="E16736" s="2" t="str">
        <f>"9783847426219"</f>
        <v>9783847426219</v>
      </c>
      <c r="F16736" s="2" t="str">
        <f>"9783847417835"</f>
        <v>9783847417835</v>
      </c>
    </row>
    <row r="16737" spans="1:6" s="3" customFormat="1" ht="29.1" customHeight="1" x14ac:dyDescent="0.25">
      <c r="A16737" s="2" t="s">
        <v>33032</v>
      </c>
      <c r="B16737" s="2" t="s">
        <v>17814</v>
      </c>
      <c r="C16737" s="2" t="s">
        <v>149</v>
      </c>
      <c r="D16737" s="2" t="s">
        <v>6628</v>
      </c>
      <c r="E16737" s="2"/>
      <c r="F16737" s="2" t="str">
        <f>"9781800643529"</f>
        <v>9781800643529</v>
      </c>
    </row>
    <row r="16738" spans="1:6" s="3" customFormat="1" ht="29.1" customHeight="1" x14ac:dyDescent="0.25">
      <c r="A16738" s="2" t="s">
        <v>33033</v>
      </c>
      <c r="B16738" s="2" t="s">
        <v>33034</v>
      </c>
      <c r="C16738" s="2" t="s">
        <v>149</v>
      </c>
      <c r="D16738" s="2" t="s">
        <v>11426</v>
      </c>
      <c r="E16738" s="2"/>
      <c r="F16738" s="2" t="str">
        <f>"9781800642447"</f>
        <v>9781800642447</v>
      </c>
    </row>
    <row r="16739" spans="1:6" s="3" customFormat="1" ht="29.1" customHeight="1" x14ac:dyDescent="0.25">
      <c r="A16739" s="2" t="s">
        <v>33035</v>
      </c>
      <c r="B16739" s="2" t="s">
        <v>33036</v>
      </c>
      <c r="C16739" s="2" t="s">
        <v>149</v>
      </c>
      <c r="D16739" s="2" t="s">
        <v>18302</v>
      </c>
      <c r="E16739" s="2"/>
      <c r="F16739" s="2" t="str">
        <f>"9781800642980"</f>
        <v>9781800642980</v>
      </c>
    </row>
    <row r="16740" spans="1:6" s="3" customFormat="1" ht="29.1" customHeight="1" x14ac:dyDescent="0.25">
      <c r="A16740" s="2" t="s">
        <v>33037</v>
      </c>
      <c r="B16740" s="2" t="s">
        <v>27555</v>
      </c>
      <c r="C16740" s="2" t="s">
        <v>149</v>
      </c>
      <c r="D16740" s="2" t="s">
        <v>66</v>
      </c>
      <c r="E16740" s="2"/>
      <c r="F16740" s="2" t="str">
        <f>"9781800643406"</f>
        <v>9781800643406</v>
      </c>
    </row>
    <row r="16741" spans="1:6" s="3" customFormat="1" ht="29.1" customHeight="1" x14ac:dyDescent="0.25">
      <c r="A16741" s="2" t="s">
        <v>33038</v>
      </c>
      <c r="B16741" s="2" t="s">
        <v>33039</v>
      </c>
      <c r="C16741" s="2" t="s">
        <v>149</v>
      </c>
      <c r="D16741" s="2" t="s">
        <v>33</v>
      </c>
      <c r="E16741" s="2"/>
      <c r="F16741" s="2" t="str">
        <f>"9781800643222"</f>
        <v>9781800643222</v>
      </c>
    </row>
    <row r="16742" spans="1:6" s="3" customFormat="1" ht="29.1" customHeight="1" x14ac:dyDescent="0.25">
      <c r="A16742" s="2" t="s">
        <v>33040</v>
      </c>
      <c r="B16742" s="2" t="s">
        <v>33041</v>
      </c>
      <c r="C16742" s="2" t="s">
        <v>149</v>
      </c>
      <c r="D16742" s="2" t="s">
        <v>7079</v>
      </c>
      <c r="E16742" s="2"/>
      <c r="F16742" s="2" t="str">
        <f>"9781800642027"</f>
        <v>9781800642027</v>
      </c>
    </row>
    <row r="16743" spans="1:6" s="3" customFormat="1" ht="29.1" customHeight="1" x14ac:dyDescent="0.25">
      <c r="A16743" s="2" t="s">
        <v>33042</v>
      </c>
      <c r="B16743" s="2" t="s">
        <v>33043</v>
      </c>
      <c r="C16743" s="2" t="s">
        <v>149</v>
      </c>
      <c r="D16743" s="2" t="s">
        <v>29734</v>
      </c>
      <c r="E16743" s="2"/>
      <c r="F16743" s="2" t="str">
        <f>"9781800642683"</f>
        <v>9781800642683</v>
      </c>
    </row>
    <row r="16744" spans="1:6" s="3" customFormat="1" ht="29.1" customHeight="1" x14ac:dyDescent="0.25">
      <c r="A16744" s="2" t="s">
        <v>33044</v>
      </c>
      <c r="B16744" s="2" t="s">
        <v>33045</v>
      </c>
      <c r="C16744" s="2" t="s">
        <v>149</v>
      </c>
      <c r="D16744" s="2" t="s">
        <v>118</v>
      </c>
      <c r="E16744" s="2"/>
      <c r="F16744" s="2" t="str">
        <f>"9781800642867"</f>
        <v>9781800642867</v>
      </c>
    </row>
    <row r="16745" spans="1:6" s="3" customFormat="1" ht="29.1" customHeight="1" x14ac:dyDescent="0.25">
      <c r="A16745" s="2" t="s">
        <v>33046</v>
      </c>
      <c r="B16745" s="2" t="s">
        <v>33047</v>
      </c>
      <c r="C16745" s="2" t="s">
        <v>149</v>
      </c>
      <c r="D16745" s="2" t="s">
        <v>5806</v>
      </c>
      <c r="E16745" s="2"/>
      <c r="F16745" s="2" t="str">
        <f>"9781800643109"</f>
        <v>9781800643109</v>
      </c>
    </row>
    <row r="16746" spans="1:6" s="3" customFormat="1" ht="29.1" customHeight="1" x14ac:dyDescent="0.25">
      <c r="A16746" s="2" t="s">
        <v>33048</v>
      </c>
      <c r="B16746" s="2" t="s">
        <v>33049</v>
      </c>
      <c r="C16746" s="2" t="s">
        <v>149</v>
      </c>
      <c r="D16746" s="2" t="s">
        <v>689</v>
      </c>
      <c r="E16746" s="2"/>
      <c r="F16746" s="2" t="str">
        <f>"9781800642805"</f>
        <v>9781800642805</v>
      </c>
    </row>
    <row r="16747" spans="1:6" s="3" customFormat="1" ht="29.1" customHeight="1" x14ac:dyDescent="0.25">
      <c r="A16747" s="2" t="s">
        <v>33050</v>
      </c>
      <c r="B16747" s="2" t="s">
        <v>33052</v>
      </c>
      <c r="C16747" s="2" t="s">
        <v>746</v>
      </c>
      <c r="D16747" s="2" t="s">
        <v>33051</v>
      </c>
      <c r="E16747" s="2" t="str">
        <f>"9781803270265"</f>
        <v>9781803270265</v>
      </c>
      <c r="F16747" s="2" t="str">
        <f>"9781803270272"</f>
        <v>9781803270272</v>
      </c>
    </row>
    <row r="16748" spans="1:6" s="3" customFormat="1" ht="29.1" customHeight="1" x14ac:dyDescent="0.25">
      <c r="A16748" s="2" t="s">
        <v>33053</v>
      </c>
      <c r="B16748" s="2" t="s">
        <v>33054</v>
      </c>
      <c r="C16748" s="2" t="s">
        <v>746</v>
      </c>
      <c r="D16748" s="2" t="s">
        <v>4185</v>
      </c>
      <c r="E16748" s="2" t="str">
        <f>"9781789692181"</f>
        <v>9781789692181</v>
      </c>
      <c r="F16748" s="2" t="str">
        <f>"9781789692198"</f>
        <v>9781789692198</v>
      </c>
    </row>
    <row r="16749" spans="1:6" s="3" customFormat="1" ht="29.1" customHeight="1" x14ac:dyDescent="0.25">
      <c r="A16749" s="2" t="s">
        <v>33055</v>
      </c>
      <c r="B16749" s="2" t="s">
        <v>33056</v>
      </c>
      <c r="C16749" s="2" t="s">
        <v>746</v>
      </c>
      <c r="D16749" s="2" t="s">
        <v>16057</v>
      </c>
      <c r="E16749" s="2" t="str">
        <f>"9781803270500"</f>
        <v>9781803270500</v>
      </c>
      <c r="F16749" s="2" t="str">
        <f>"9781803270517"</f>
        <v>9781803270517</v>
      </c>
    </row>
    <row r="16750" spans="1:6" s="3" customFormat="1" ht="29.1" customHeight="1" x14ac:dyDescent="0.25">
      <c r="A16750" s="2" t="s">
        <v>33057</v>
      </c>
      <c r="B16750" s="2" t="s">
        <v>33058</v>
      </c>
      <c r="C16750" s="2" t="s">
        <v>746</v>
      </c>
      <c r="D16750" s="2" t="s">
        <v>606</v>
      </c>
      <c r="E16750" s="2" t="str">
        <f>"9781803270920"</f>
        <v>9781803270920</v>
      </c>
      <c r="F16750" s="2" t="str">
        <f>"9781803270937"</f>
        <v>9781803270937</v>
      </c>
    </row>
    <row r="16751" spans="1:6" s="3" customFormat="1" ht="29.1" customHeight="1" x14ac:dyDescent="0.25">
      <c r="A16751" s="2" t="s">
        <v>33059</v>
      </c>
      <c r="B16751" s="2" t="s">
        <v>33060</v>
      </c>
      <c r="C16751" s="2" t="s">
        <v>746</v>
      </c>
      <c r="D16751" s="2" t="s">
        <v>606</v>
      </c>
      <c r="E16751" s="2" t="str">
        <f>"9781803271408"</f>
        <v>9781803271408</v>
      </c>
      <c r="F16751" s="2" t="str">
        <f>"9781803271415"</f>
        <v>9781803271415</v>
      </c>
    </row>
    <row r="16752" spans="1:6" s="3" customFormat="1" ht="29.1" customHeight="1" x14ac:dyDescent="0.25">
      <c r="A16752" s="2" t="s">
        <v>33061</v>
      </c>
      <c r="B16752" s="2" t="s">
        <v>33062</v>
      </c>
      <c r="C16752" s="2" t="s">
        <v>746</v>
      </c>
      <c r="D16752" s="2" t="s">
        <v>606</v>
      </c>
      <c r="E16752" s="2"/>
      <c r="F16752" s="2" t="str">
        <f>"9781803271804"</f>
        <v>9781803271804</v>
      </c>
    </row>
    <row r="16753" spans="1:6" s="3" customFormat="1" ht="29.1" customHeight="1" x14ac:dyDescent="0.25">
      <c r="A16753" s="2" t="s">
        <v>33063</v>
      </c>
      <c r="B16753" s="2" t="s">
        <v>33064</v>
      </c>
      <c r="C16753" s="2" t="s">
        <v>195</v>
      </c>
      <c r="D16753" s="2" t="s">
        <v>118</v>
      </c>
      <c r="E16753" s="2" t="str">
        <f>"9783110775365"</f>
        <v>9783110775365</v>
      </c>
      <c r="F16753" s="2" t="str">
        <f>"9783110775730"</f>
        <v>9783110775730</v>
      </c>
    </row>
    <row r="16754" spans="1:6" s="3" customFormat="1" ht="29.1" customHeight="1" x14ac:dyDescent="0.25">
      <c r="A16754" s="2" t="s">
        <v>1479</v>
      </c>
      <c r="B16754" s="2" t="s">
        <v>33065</v>
      </c>
      <c r="C16754" s="2" t="s">
        <v>1070</v>
      </c>
      <c r="D16754" s="2" t="s">
        <v>1265</v>
      </c>
      <c r="E16754" s="2" t="str">
        <f>"9783318069730"</f>
        <v>9783318069730</v>
      </c>
      <c r="F16754" s="2" t="str">
        <f>"9783318069747"</f>
        <v>9783318069747</v>
      </c>
    </row>
    <row r="16755" spans="1:6" s="3" customFormat="1" ht="29.1" customHeight="1" x14ac:dyDescent="0.25">
      <c r="A16755" s="2" t="s">
        <v>33066</v>
      </c>
      <c r="B16755" s="2" t="s">
        <v>33067</v>
      </c>
      <c r="C16755" s="2" t="s">
        <v>124</v>
      </c>
      <c r="D16755" s="2" t="s">
        <v>15</v>
      </c>
      <c r="E16755" s="2" t="str">
        <f>"9780367722463"</f>
        <v>9780367722463</v>
      </c>
      <c r="F16755" s="2" t="str">
        <f>"9781000564549"</f>
        <v>9781000564549</v>
      </c>
    </row>
    <row r="16756" spans="1:6" s="3" customFormat="1" ht="29.1" customHeight="1" x14ac:dyDescent="0.25">
      <c r="A16756" s="2" t="s">
        <v>33068</v>
      </c>
      <c r="B16756" s="2" t="s">
        <v>33069</v>
      </c>
      <c r="C16756" s="2" t="s">
        <v>8104</v>
      </c>
      <c r="D16756" s="2" t="s">
        <v>636</v>
      </c>
      <c r="E16756" s="2" t="str">
        <f>"9781800735675"</f>
        <v>9781800735675</v>
      </c>
      <c r="F16756" s="2" t="str">
        <f>"9781800735682"</f>
        <v>9781800735682</v>
      </c>
    </row>
    <row r="16757" spans="1:6" s="3" customFormat="1" ht="29.1" customHeight="1" x14ac:dyDescent="0.25">
      <c r="A16757" s="2" t="s">
        <v>33070</v>
      </c>
      <c r="B16757" s="2" t="s">
        <v>33071</v>
      </c>
      <c r="C16757" s="2" t="s">
        <v>8104</v>
      </c>
      <c r="D16757" s="2" t="s">
        <v>196</v>
      </c>
      <c r="E16757" s="2" t="str">
        <f>"9781800733237"</f>
        <v>9781800733237</v>
      </c>
      <c r="F16757" s="2" t="str">
        <f>"9781800733244"</f>
        <v>9781800733244</v>
      </c>
    </row>
    <row r="16758" spans="1:6" s="3" customFormat="1" ht="29.1" customHeight="1" x14ac:dyDescent="0.25">
      <c r="A16758" s="2" t="s">
        <v>33072</v>
      </c>
      <c r="B16758" s="2" t="s">
        <v>33073</v>
      </c>
      <c r="C16758" s="2" t="s">
        <v>264</v>
      </c>
      <c r="D16758" s="2" t="s">
        <v>297</v>
      </c>
      <c r="E16758" s="2" t="str">
        <f>"9781032207520"</f>
        <v>9781032207520</v>
      </c>
      <c r="F16758" s="2" t="str">
        <f>"9781000581607"</f>
        <v>9781000581607</v>
      </c>
    </row>
    <row r="16759" spans="1:6" s="3" customFormat="1" ht="29.1" customHeight="1" x14ac:dyDescent="0.25">
      <c r="A16759" s="2" t="s">
        <v>33074</v>
      </c>
      <c r="B16759" s="2" t="s">
        <v>33075</v>
      </c>
      <c r="C16759" s="2" t="s">
        <v>124</v>
      </c>
      <c r="D16759" s="2" t="s">
        <v>7734</v>
      </c>
      <c r="E16759" s="2" t="str">
        <f>"9781032011431"</f>
        <v>9781032011431</v>
      </c>
      <c r="F16759" s="2" t="str">
        <f>"9781000569070"</f>
        <v>9781000569070</v>
      </c>
    </row>
    <row r="16760" spans="1:6" s="3" customFormat="1" ht="29.1" customHeight="1" x14ac:dyDescent="0.25">
      <c r="A16760" s="2" t="s">
        <v>32616</v>
      </c>
      <c r="B16760" s="2" t="s">
        <v>33076</v>
      </c>
      <c r="C16760" s="2" t="s">
        <v>595</v>
      </c>
      <c r="D16760" s="2" t="s">
        <v>9</v>
      </c>
      <c r="E16760" s="2" t="str">
        <f>"9783631864777"</f>
        <v>9783631864777</v>
      </c>
      <c r="F16760" s="2" t="str">
        <f>"9783631869581"</f>
        <v>9783631869581</v>
      </c>
    </row>
    <row r="16761" spans="1:6" s="3" customFormat="1" ht="29.1" customHeight="1" x14ac:dyDescent="0.25">
      <c r="A16761" s="2" t="s">
        <v>33077</v>
      </c>
      <c r="B16761" s="2" t="s">
        <v>33078</v>
      </c>
      <c r="C16761" s="2" t="s">
        <v>595</v>
      </c>
      <c r="D16761" s="2" t="s">
        <v>596</v>
      </c>
      <c r="E16761" s="2" t="str">
        <f>"9783631867556"</f>
        <v>9783631867556</v>
      </c>
      <c r="F16761" s="2" t="str">
        <f>"9783631868065"</f>
        <v>9783631868065</v>
      </c>
    </row>
    <row r="16762" spans="1:6" s="3" customFormat="1" ht="29.1" customHeight="1" x14ac:dyDescent="0.25">
      <c r="A16762" s="2" t="s">
        <v>33079</v>
      </c>
      <c r="B16762" s="2" t="s">
        <v>33080</v>
      </c>
      <c r="C16762" s="2" t="s">
        <v>2133</v>
      </c>
      <c r="D16762" s="2" t="s">
        <v>606</v>
      </c>
      <c r="E16762" s="2" t="str">
        <f>"9781760461614"</f>
        <v>9781760461614</v>
      </c>
      <c r="F16762" s="2" t="str">
        <f>"9781760461621"</f>
        <v>9781760461621</v>
      </c>
    </row>
    <row r="16763" spans="1:6" s="3" customFormat="1" ht="29.1" customHeight="1" x14ac:dyDescent="0.25">
      <c r="A16763" s="2" t="s">
        <v>33081</v>
      </c>
      <c r="B16763" s="2" t="s">
        <v>33082</v>
      </c>
      <c r="C16763" s="2" t="s">
        <v>2133</v>
      </c>
      <c r="D16763" s="2" t="s">
        <v>78</v>
      </c>
      <c r="E16763" s="2" t="str">
        <f>"9781760461775"</f>
        <v>9781760461775</v>
      </c>
      <c r="F16763" s="2" t="str">
        <f>"9781760461782"</f>
        <v>9781760461782</v>
      </c>
    </row>
    <row r="16764" spans="1:6" s="3" customFormat="1" ht="29.1" customHeight="1" x14ac:dyDescent="0.25">
      <c r="A16764" s="2" t="s">
        <v>33083</v>
      </c>
      <c r="B16764" s="2" t="s">
        <v>33084</v>
      </c>
      <c r="C16764" s="2" t="s">
        <v>2133</v>
      </c>
      <c r="D16764" s="2" t="s">
        <v>3536</v>
      </c>
      <c r="E16764" s="2" t="str">
        <f>"9781760461577"</f>
        <v>9781760461577</v>
      </c>
      <c r="F16764" s="2" t="str">
        <f>"9781760461584"</f>
        <v>9781760461584</v>
      </c>
    </row>
    <row r="16765" spans="1:6" s="3" customFormat="1" ht="29.1" customHeight="1" x14ac:dyDescent="0.25">
      <c r="A16765" s="2" t="s">
        <v>33085</v>
      </c>
      <c r="B16765" s="2" t="s">
        <v>33086</v>
      </c>
      <c r="C16765" s="2" t="s">
        <v>2133</v>
      </c>
      <c r="D16765" s="2" t="s">
        <v>78</v>
      </c>
      <c r="E16765" s="2" t="str">
        <f>"9781760461676"</f>
        <v>9781760461676</v>
      </c>
      <c r="F16765" s="2" t="str">
        <f>"9781760461683"</f>
        <v>9781760461683</v>
      </c>
    </row>
    <row r="16766" spans="1:6" s="3" customFormat="1" ht="29.1" customHeight="1" x14ac:dyDescent="0.25">
      <c r="A16766" s="2" t="s">
        <v>33087</v>
      </c>
      <c r="B16766" s="2" t="s">
        <v>33088</v>
      </c>
      <c r="C16766" s="2" t="s">
        <v>2133</v>
      </c>
      <c r="D16766" s="2" t="s">
        <v>1565</v>
      </c>
      <c r="E16766" s="2" t="str">
        <f>"9781760461652"</f>
        <v>9781760461652</v>
      </c>
      <c r="F16766" s="2" t="str">
        <f>"9781760461669"</f>
        <v>9781760461669</v>
      </c>
    </row>
    <row r="16767" spans="1:6" s="3" customFormat="1" ht="29.1" customHeight="1" x14ac:dyDescent="0.25">
      <c r="A16767" s="2" t="s">
        <v>33089</v>
      </c>
      <c r="B16767" s="2" t="s">
        <v>33090</v>
      </c>
      <c r="C16767" s="2" t="s">
        <v>2133</v>
      </c>
      <c r="D16767" s="2" t="s">
        <v>2019</v>
      </c>
      <c r="E16767" s="2" t="str">
        <f>"9781760461751"</f>
        <v>9781760461751</v>
      </c>
      <c r="F16767" s="2" t="str">
        <f>"9781760461768"</f>
        <v>9781760461768</v>
      </c>
    </row>
    <row r="16768" spans="1:6" s="3" customFormat="1" ht="29.1" customHeight="1" x14ac:dyDescent="0.25">
      <c r="A16768" s="2" t="s">
        <v>33091</v>
      </c>
      <c r="B16768" s="2" t="s">
        <v>33092</v>
      </c>
      <c r="C16768" s="2" t="s">
        <v>2133</v>
      </c>
      <c r="D16768" s="2" t="s">
        <v>92</v>
      </c>
      <c r="E16768" s="2" t="str">
        <f>"9781760461799"</f>
        <v>9781760461799</v>
      </c>
      <c r="F16768" s="2" t="str">
        <f>"9781760461805"</f>
        <v>9781760461805</v>
      </c>
    </row>
    <row r="16769" spans="1:6" s="3" customFormat="1" ht="29.1" customHeight="1" x14ac:dyDescent="0.25">
      <c r="A16769" s="2" t="s">
        <v>33093</v>
      </c>
      <c r="B16769" s="2" t="s">
        <v>33094</v>
      </c>
      <c r="C16769" s="2" t="s">
        <v>2133</v>
      </c>
      <c r="D16769" s="2" t="s">
        <v>15</v>
      </c>
      <c r="E16769" s="2" t="str">
        <f>"9781760461898"</f>
        <v>9781760461898</v>
      </c>
      <c r="F16769" s="2" t="str">
        <f>"9781760461904"</f>
        <v>9781760461904</v>
      </c>
    </row>
    <row r="16770" spans="1:6" s="3" customFormat="1" ht="29.1" customHeight="1" x14ac:dyDescent="0.25">
      <c r="A16770" s="2" t="s">
        <v>33095</v>
      </c>
      <c r="B16770" s="2" t="s">
        <v>33096</v>
      </c>
      <c r="C16770" s="2" t="s">
        <v>2133</v>
      </c>
      <c r="D16770" s="2" t="s">
        <v>791</v>
      </c>
      <c r="E16770" s="2" t="str">
        <f>"9781921934414"</f>
        <v>9781921934414</v>
      </c>
      <c r="F16770" s="2" t="str">
        <f>"9781921934421"</f>
        <v>9781921934421</v>
      </c>
    </row>
    <row r="16771" spans="1:6" s="3" customFormat="1" ht="29.1" customHeight="1" x14ac:dyDescent="0.25">
      <c r="A16771" s="2" t="s">
        <v>33097</v>
      </c>
      <c r="B16771" s="2" t="s">
        <v>16324</v>
      </c>
      <c r="C16771" s="2" t="s">
        <v>2133</v>
      </c>
      <c r="D16771" s="2" t="s">
        <v>858</v>
      </c>
      <c r="E16771" s="2" t="str">
        <f>"9781760461713"</f>
        <v>9781760461713</v>
      </c>
      <c r="F16771" s="2" t="str">
        <f>"9781760461720"</f>
        <v>9781760461720</v>
      </c>
    </row>
    <row r="16772" spans="1:6" s="3" customFormat="1" ht="29.1" customHeight="1" x14ac:dyDescent="0.25">
      <c r="A16772" s="2" t="s">
        <v>33098</v>
      </c>
      <c r="B16772" s="2" t="s">
        <v>33099</v>
      </c>
      <c r="C16772" s="2" t="s">
        <v>2133</v>
      </c>
      <c r="D16772" s="2" t="s">
        <v>1895</v>
      </c>
      <c r="E16772" s="2" t="str">
        <f>"9781760461836"</f>
        <v>9781760461836</v>
      </c>
      <c r="F16772" s="2" t="str">
        <f>"9781760461843"</f>
        <v>9781760461843</v>
      </c>
    </row>
    <row r="16773" spans="1:6" s="3" customFormat="1" ht="29.1" customHeight="1" x14ac:dyDescent="0.25">
      <c r="A16773" s="2" t="s">
        <v>33100</v>
      </c>
      <c r="B16773" s="2" t="s">
        <v>33101</v>
      </c>
      <c r="C16773" s="2" t="s">
        <v>2133</v>
      </c>
      <c r="D16773" s="2" t="s">
        <v>818</v>
      </c>
      <c r="E16773" s="2" t="str">
        <f>"9781760462000"</f>
        <v>9781760462000</v>
      </c>
      <c r="F16773" s="2" t="str">
        <f>"9781760462017"</f>
        <v>9781760462017</v>
      </c>
    </row>
    <row r="16774" spans="1:6" s="3" customFormat="1" ht="29.1" customHeight="1" x14ac:dyDescent="0.25">
      <c r="A16774" s="2" t="s">
        <v>33102</v>
      </c>
      <c r="B16774" s="2" t="s">
        <v>33103</v>
      </c>
      <c r="C16774" s="2" t="s">
        <v>2133</v>
      </c>
      <c r="D16774" s="2" t="s">
        <v>818</v>
      </c>
      <c r="E16774" s="2" t="str">
        <f>"9781760461638"</f>
        <v>9781760461638</v>
      </c>
      <c r="F16774" s="2" t="str">
        <f>"9781760461645"</f>
        <v>9781760461645</v>
      </c>
    </row>
    <row r="16775" spans="1:6" s="3" customFormat="1" ht="29.1" customHeight="1" x14ac:dyDescent="0.25">
      <c r="A16775" s="2" t="s">
        <v>33104</v>
      </c>
      <c r="B16775" s="2" t="s">
        <v>33105</v>
      </c>
      <c r="C16775" s="2" t="s">
        <v>2133</v>
      </c>
      <c r="D16775" s="2" t="s">
        <v>29897</v>
      </c>
      <c r="E16775" s="2" t="str">
        <f>"9781760461980"</f>
        <v>9781760461980</v>
      </c>
      <c r="F16775" s="2" t="str">
        <f>"9781760461997"</f>
        <v>9781760461997</v>
      </c>
    </row>
    <row r="16776" spans="1:6" s="3" customFormat="1" ht="29.1" customHeight="1" x14ac:dyDescent="0.25">
      <c r="A16776" s="2" t="s">
        <v>33106</v>
      </c>
      <c r="B16776" s="2" t="s">
        <v>33107</v>
      </c>
      <c r="C16776" s="2" t="s">
        <v>2133</v>
      </c>
      <c r="D16776" s="2" t="s">
        <v>9312</v>
      </c>
      <c r="E16776" s="2" t="str">
        <f>"9781760461850"</f>
        <v>9781760461850</v>
      </c>
      <c r="F16776" s="2" t="str">
        <f>"9781760461867"</f>
        <v>9781760461867</v>
      </c>
    </row>
    <row r="16777" spans="1:6" s="3" customFormat="1" ht="29.1" customHeight="1" x14ac:dyDescent="0.25">
      <c r="A16777" s="2" t="s">
        <v>33108</v>
      </c>
      <c r="B16777" s="2" t="s">
        <v>33109</v>
      </c>
      <c r="C16777" s="2" t="s">
        <v>2133</v>
      </c>
      <c r="D16777" s="2" t="s">
        <v>294</v>
      </c>
      <c r="E16777" s="2" t="str">
        <f>"9781760461959"</f>
        <v>9781760461959</v>
      </c>
      <c r="F16777" s="2" t="str">
        <f>"9781760461966"</f>
        <v>9781760461966</v>
      </c>
    </row>
    <row r="16778" spans="1:6" s="3" customFormat="1" ht="29.1" customHeight="1" x14ac:dyDescent="0.25">
      <c r="A16778" s="2" t="s">
        <v>33110</v>
      </c>
      <c r="B16778" s="2" t="s">
        <v>33111</v>
      </c>
      <c r="C16778" s="2" t="s">
        <v>2133</v>
      </c>
      <c r="D16778" s="2" t="s">
        <v>818</v>
      </c>
      <c r="E16778" s="2" t="str">
        <f>"9781760461911"</f>
        <v>9781760461911</v>
      </c>
      <c r="F16778" s="2" t="str">
        <f>"9781760461928"</f>
        <v>9781760461928</v>
      </c>
    </row>
    <row r="16779" spans="1:6" s="3" customFormat="1" ht="29.1" customHeight="1" x14ac:dyDescent="0.25">
      <c r="A16779" s="2" t="s">
        <v>33112</v>
      </c>
      <c r="B16779" s="2" t="s">
        <v>33113</v>
      </c>
      <c r="C16779" s="2" t="s">
        <v>2133</v>
      </c>
      <c r="D16779" s="2" t="s">
        <v>818</v>
      </c>
      <c r="E16779" s="2" t="str">
        <f>"9781760461812"</f>
        <v>9781760461812</v>
      </c>
      <c r="F16779" s="2" t="str">
        <f>"9781760461829"</f>
        <v>9781760461829</v>
      </c>
    </row>
    <row r="16780" spans="1:6" s="3" customFormat="1" ht="29.1" customHeight="1" x14ac:dyDescent="0.25">
      <c r="A16780" s="2" t="s">
        <v>33114</v>
      </c>
      <c r="B16780" s="2" t="s">
        <v>33115</v>
      </c>
      <c r="C16780" s="2" t="s">
        <v>2133</v>
      </c>
      <c r="D16780" s="2" t="s">
        <v>758</v>
      </c>
      <c r="E16780" s="2" t="str">
        <f>"9781760464622"</f>
        <v>9781760464622</v>
      </c>
      <c r="F16780" s="2" t="str">
        <f>"9781760464639"</f>
        <v>9781760464639</v>
      </c>
    </row>
    <row r="16781" spans="1:6" s="3" customFormat="1" ht="29.1" customHeight="1" x14ac:dyDescent="0.25">
      <c r="A16781" s="2" t="s">
        <v>33116</v>
      </c>
      <c r="B16781" s="2" t="s">
        <v>33117</v>
      </c>
      <c r="C16781" s="2" t="s">
        <v>124</v>
      </c>
      <c r="D16781" s="2" t="s">
        <v>297</v>
      </c>
      <c r="E16781" s="2" t="str">
        <f>"9780367552060"</f>
        <v>9780367552060</v>
      </c>
      <c r="F16781" s="2" t="str">
        <f>"9781000568325"</f>
        <v>9781000568325</v>
      </c>
    </row>
    <row r="16782" spans="1:6" s="3" customFormat="1" ht="29.1" customHeight="1" x14ac:dyDescent="0.25">
      <c r="A16782" s="2" t="s">
        <v>33118</v>
      </c>
      <c r="B16782" s="2" t="s">
        <v>33119</v>
      </c>
      <c r="C16782" s="2" t="s">
        <v>11005</v>
      </c>
      <c r="D16782" s="2" t="s">
        <v>11213</v>
      </c>
      <c r="E16782" s="2" t="str">
        <f>"9783837927160"</f>
        <v>9783837927160</v>
      </c>
      <c r="F16782" s="2" t="str">
        <f>"9783837977301"</f>
        <v>9783837977301</v>
      </c>
    </row>
    <row r="16783" spans="1:6" s="3" customFormat="1" ht="29.1" customHeight="1" x14ac:dyDescent="0.25">
      <c r="A16783" s="2" t="s">
        <v>33120</v>
      </c>
      <c r="B16783" s="2" t="s">
        <v>33121</v>
      </c>
      <c r="C16783" s="2" t="s">
        <v>11005</v>
      </c>
      <c r="D16783" s="2" t="s">
        <v>3553</v>
      </c>
      <c r="E16783" s="2" t="str">
        <f>"9783837930092"</f>
        <v>9783837930092</v>
      </c>
      <c r="F16783" s="2" t="str">
        <f>"9783837977189"</f>
        <v>9783837977189</v>
      </c>
    </row>
    <row r="16784" spans="1:6" s="3" customFormat="1" ht="29.1" customHeight="1" x14ac:dyDescent="0.25">
      <c r="A16784" s="2" t="s">
        <v>33122</v>
      </c>
      <c r="B16784" s="2" t="s">
        <v>33123</v>
      </c>
      <c r="C16784" s="2" t="s">
        <v>11005</v>
      </c>
      <c r="D16784" s="2" t="s">
        <v>11213</v>
      </c>
      <c r="E16784" s="2" t="str">
        <f>"9783837930085"</f>
        <v>9783837930085</v>
      </c>
      <c r="F16784" s="2" t="str">
        <f>"9783837977073"</f>
        <v>9783837977073</v>
      </c>
    </row>
    <row r="16785" spans="1:6" s="3" customFormat="1" ht="29.1" customHeight="1" x14ac:dyDescent="0.25">
      <c r="A16785" s="2" t="s">
        <v>33124</v>
      </c>
      <c r="B16785" s="2" t="s">
        <v>33125</v>
      </c>
      <c r="C16785" s="2" t="s">
        <v>11005</v>
      </c>
      <c r="D16785" s="2" t="s">
        <v>11213</v>
      </c>
      <c r="E16785" s="2" t="str">
        <f>"9783837930122"</f>
        <v>9783837930122</v>
      </c>
      <c r="F16785" s="2" t="str">
        <f>"9783837977066"</f>
        <v>9783837977066</v>
      </c>
    </row>
    <row r="16786" spans="1:6" s="3" customFormat="1" ht="29.1" customHeight="1" x14ac:dyDescent="0.25">
      <c r="A16786" s="2" t="s">
        <v>33126</v>
      </c>
      <c r="B16786" s="2" t="s">
        <v>33128</v>
      </c>
      <c r="C16786" s="2" t="s">
        <v>11005</v>
      </c>
      <c r="D16786" s="2" t="s">
        <v>33127</v>
      </c>
      <c r="E16786" s="2" t="str">
        <f>"9783837928587"</f>
        <v>9783837928587</v>
      </c>
      <c r="F16786" s="2" t="str">
        <f>"9783837974560"</f>
        <v>9783837974560</v>
      </c>
    </row>
    <row r="16787" spans="1:6" s="3" customFormat="1" ht="29.1" customHeight="1" x14ac:dyDescent="0.25">
      <c r="A16787" s="2" t="s">
        <v>33129</v>
      </c>
      <c r="B16787" s="2" t="s">
        <v>33131</v>
      </c>
      <c r="C16787" s="2" t="s">
        <v>11005</v>
      </c>
      <c r="D16787" s="2" t="s">
        <v>33130</v>
      </c>
      <c r="E16787" s="2" t="str">
        <f>"9783837926415"</f>
        <v>9783837926415</v>
      </c>
      <c r="F16787" s="2" t="str">
        <f>"9783837974553"</f>
        <v>9783837974553</v>
      </c>
    </row>
    <row r="16788" spans="1:6" s="3" customFormat="1" ht="29.1" customHeight="1" x14ac:dyDescent="0.25">
      <c r="A16788" s="2" t="s">
        <v>33132</v>
      </c>
      <c r="B16788" s="2" t="s">
        <v>33133</v>
      </c>
      <c r="C16788" s="2" t="s">
        <v>11005</v>
      </c>
      <c r="D16788" s="2" t="s">
        <v>4654</v>
      </c>
      <c r="E16788" s="2" t="str">
        <f>"9783898067041"</f>
        <v>9783898067041</v>
      </c>
      <c r="F16788" s="2" t="str">
        <f>"9783837968873"</f>
        <v>9783837968873</v>
      </c>
    </row>
    <row r="16789" spans="1:6" s="3" customFormat="1" ht="29.1" customHeight="1" x14ac:dyDescent="0.25">
      <c r="A16789" s="2" t="s">
        <v>33132</v>
      </c>
      <c r="B16789" s="2" t="s">
        <v>33133</v>
      </c>
      <c r="C16789" s="2" t="s">
        <v>11005</v>
      </c>
      <c r="D16789" s="2" t="s">
        <v>4654</v>
      </c>
      <c r="E16789" s="2" t="str">
        <f>"9783898065177"</f>
        <v>9783898065177</v>
      </c>
      <c r="F16789" s="2" t="str">
        <f>"9783837968798"</f>
        <v>9783837968798</v>
      </c>
    </row>
    <row r="16790" spans="1:6" s="3" customFormat="1" ht="29.1" customHeight="1" x14ac:dyDescent="0.25">
      <c r="A16790" s="2" t="s">
        <v>33134</v>
      </c>
      <c r="B16790" s="2" t="s">
        <v>33135</v>
      </c>
      <c r="C16790" s="2" t="s">
        <v>11005</v>
      </c>
      <c r="D16790" s="2" t="s">
        <v>4654</v>
      </c>
      <c r="E16790" s="2" t="str">
        <f>"9783898067805"</f>
        <v>9783898067805</v>
      </c>
      <c r="F16790" s="2" t="str">
        <f>"9783837968705"</f>
        <v>9783837968705</v>
      </c>
    </row>
    <row r="16791" spans="1:6" s="3" customFormat="1" ht="29.1" customHeight="1" x14ac:dyDescent="0.25">
      <c r="A16791" s="2" t="s">
        <v>33132</v>
      </c>
      <c r="B16791" s="2" t="s">
        <v>33136</v>
      </c>
      <c r="C16791" s="2" t="s">
        <v>11005</v>
      </c>
      <c r="D16791" s="2" t="s">
        <v>4654</v>
      </c>
      <c r="E16791" s="2" t="str">
        <f>"9783898063951"</f>
        <v>9783898063951</v>
      </c>
      <c r="F16791" s="2" t="str">
        <f>"9783837968675"</f>
        <v>9783837968675</v>
      </c>
    </row>
    <row r="16792" spans="1:6" s="3" customFormat="1" ht="29.1" customHeight="1" x14ac:dyDescent="0.25">
      <c r="A16792" s="2" t="s">
        <v>33137</v>
      </c>
      <c r="B16792" s="2" t="s">
        <v>33138</v>
      </c>
      <c r="C16792" s="2" t="s">
        <v>11005</v>
      </c>
      <c r="D16792" s="2" t="s">
        <v>3814</v>
      </c>
      <c r="E16792" s="2" t="str">
        <f>"9783837930160"</f>
        <v>9783837930160</v>
      </c>
      <c r="F16792" s="2" t="str">
        <f>"9783837976977"</f>
        <v>9783837976977</v>
      </c>
    </row>
    <row r="16793" spans="1:6" s="3" customFormat="1" ht="29.1" customHeight="1" x14ac:dyDescent="0.25">
      <c r="A16793" s="2" t="s">
        <v>33139</v>
      </c>
      <c r="B16793" s="2" t="s">
        <v>33140</v>
      </c>
      <c r="C16793" s="2" t="s">
        <v>11005</v>
      </c>
      <c r="D16793" s="2" t="s">
        <v>249</v>
      </c>
      <c r="E16793" s="2" t="str">
        <f>"9783837930054"</f>
        <v>9783837930054</v>
      </c>
      <c r="F16793" s="2" t="str">
        <f>"9783837976946"</f>
        <v>9783837976946</v>
      </c>
    </row>
    <row r="16794" spans="1:6" s="3" customFormat="1" ht="29.1" customHeight="1" x14ac:dyDescent="0.25">
      <c r="A16794" s="2" t="s">
        <v>33141</v>
      </c>
      <c r="B16794" s="2" t="s">
        <v>33142</v>
      </c>
      <c r="C16794" s="2" t="s">
        <v>11005</v>
      </c>
      <c r="D16794" s="2" t="s">
        <v>11213</v>
      </c>
      <c r="E16794" s="2" t="str">
        <f>"9783837929454"</f>
        <v>9783837929454</v>
      </c>
      <c r="F16794" s="2" t="str">
        <f>"9783837976823"</f>
        <v>9783837976823</v>
      </c>
    </row>
    <row r="16795" spans="1:6" s="3" customFormat="1" ht="29.1" customHeight="1" x14ac:dyDescent="0.25">
      <c r="A16795" s="2" t="s">
        <v>33143</v>
      </c>
      <c r="B16795" s="2" t="s">
        <v>33144</v>
      </c>
      <c r="C16795" s="2" t="s">
        <v>11005</v>
      </c>
      <c r="D16795" s="2" t="s">
        <v>2593</v>
      </c>
      <c r="E16795" s="2" t="str">
        <f>"9783837929447"</f>
        <v>9783837929447</v>
      </c>
      <c r="F16795" s="2" t="str">
        <f>"9783837976816"</f>
        <v>9783837976816</v>
      </c>
    </row>
    <row r="16796" spans="1:6" s="3" customFormat="1" ht="29.1" customHeight="1" x14ac:dyDescent="0.25">
      <c r="A16796" s="2" t="s">
        <v>33145</v>
      </c>
      <c r="B16796" s="2" t="s">
        <v>33146</v>
      </c>
      <c r="C16796" s="2" t="s">
        <v>11005</v>
      </c>
      <c r="D16796" s="2" t="s">
        <v>9003</v>
      </c>
      <c r="E16796" s="2" t="str">
        <f>"9783837929089"</f>
        <v>9783837929089</v>
      </c>
      <c r="F16796" s="2" t="str">
        <f>"9783837976380"</f>
        <v>9783837976380</v>
      </c>
    </row>
    <row r="16797" spans="1:6" s="3" customFormat="1" ht="29.1" customHeight="1" x14ac:dyDescent="0.25">
      <c r="A16797" s="2" t="s">
        <v>33147</v>
      </c>
      <c r="B16797" s="2" t="s">
        <v>33148</v>
      </c>
      <c r="C16797" s="2" t="s">
        <v>11005</v>
      </c>
      <c r="D16797" s="2" t="s">
        <v>11897</v>
      </c>
      <c r="E16797" s="2" t="str">
        <f>"9783837929300"</f>
        <v>9783837929300</v>
      </c>
      <c r="F16797" s="2" t="str">
        <f>"9783837976205"</f>
        <v>9783837976205</v>
      </c>
    </row>
    <row r="16798" spans="1:6" s="3" customFormat="1" ht="29.1" customHeight="1" x14ac:dyDescent="0.25">
      <c r="A16798" s="2" t="s">
        <v>33132</v>
      </c>
      <c r="B16798" s="2" t="s">
        <v>33149</v>
      </c>
      <c r="C16798" s="2" t="s">
        <v>11005</v>
      </c>
      <c r="D16798" s="2" t="s">
        <v>2404</v>
      </c>
      <c r="E16798" s="2" t="str">
        <f>"9783837925043"</f>
        <v>9783837925043</v>
      </c>
      <c r="F16798" s="2" t="str">
        <f>"9783837972573"</f>
        <v>9783837972573</v>
      </c>
    </row>
    <row r="16799" spans="1:6" s="3" customFormat="1" ht="29.1" customHeight="1" x14ac:dyDescent="0.25">
      <c r="A16799" s="2" t="s">
        <v>33132</v>
      </c>
      <c r="B16799" s="2" t="s">
        <v>33135</v>
      </c>
      <c r="C16799" s="2" t="s">
        <v>11005</v>
      </c>
      <c r="D16799" s="2" t="s">
        <v>2404</v>
      </c>
      <c r="E16799" s="2" t="str">
        <f>"9783837924817"</f>
        <v>9783837924817</v>
      </c>
      <c r="F16799" s="2" t="str">
        <f>"9783837972566"</f>
        <v>9783837972566</v>
      </c>
    </row>
    <row r="16800" spans="1:6" s="3" customFormat="1" ht="29.1" customHeight="1" x14ac:dyDescent="0.25">
      <c r="A16800" s="2" t="s">
        <v>33150</v>
      </c>
      <c r="B16800" s="2" t="s">
        <v>33151</v>
      </c>
      <c r="C16800" s="2" t="s">
        <v>644</v>
      </c>
      <c r="D16800" s="2" t="s">
        <v>636</v>
      </c>
      <c r="E16800" s="2"/>
      <c r="F16800" s="2" t="str">
        <f>"9781478092339"</f>
        <v>9781478092339</v>
      </c>
    </row>
    <row r="16801" spans="1:6" s="3" customFormat="1" ht="29.1" customHeight="1" x14ac:dyDescent="0.25">
      <c r="A16801" s="2" t="s">
        <v>33152</v>
      </c>
      <c r="B16801" s="2" t="s">
        <v>33153</v>
      </c>
      <c r="C16801" s="2" t="s">
        <v>644</v>
      </c>
      <c r="D16801" s="2" t="s">
        <v>9015</v>
      </c>
      <c r="E16801" s="2"/>
      <c r="F16801" s="2" t="str">
        <f>"9781478092209"</f>
        <v>9781478092209</v>
      </c>
    </row>
    <row r="16802" spans="1:6" s="3" customFormat="1" ht="29.1" customHeight="1" x14ac:dyDescent="0.25">
      <c r="A16802" s="2" t="s">
        <v>33154</v>
      </c>
      <c r="B16802" s="2" t="s">
        <v>33155</v>
      </c>
      <c r="C16802" s="2" t="s">
        <v>644</v>
      </c>
      <c r="D16802" s="2" t="s">
        <v>1189</v>
      </c>
      <c r="E16802" s="2"/>
      <c r="F16802" s="2" t="str">
        <f>"9781478092049"</f>
        <v>9781478092049</v>
      </c>
    </row>
    <row r="16803" spans="1:6" s="3" customFormat="1" ht="29.1" customHeight="1" x14ac:dyDescent="0.25">
      <c r="A16803" s="2" t="s">
        <v>33156</v>
      </c>
      <c r="B16803" s="2" t="s">
        <v>33157</v>
      </c>
      <c r="C16803" s="2" t="s">
        <v>644</v>
      </c>
      <c r="D16803" s="2" t="s">
        <v>5574</v>
      </c>
      <c r="E16803" s="2"/>
      <c r="F16803" s="2" t="str">
        <f>"9781478092100"</f>
        <v>9781478092100</v>
      </c>
    </row>
    <row r="16804" spans="1:6" s="3" customFormat="1" ht="29.1" customHeight="1" x14ac:dyDescent="0.25">
      <c r="A16804" s="2" t="s">
        <v>33158</v>
      </c>
      <c r="B16804" s="2" t="s">
        <v>33159</v>
      </c>
      <c r="C16804" s="2" t="s">
        <v>644</v>
      </c>
      <c r="D16804" s="2" t="s">
        <v>12</v>
      </c>
      <c r="E16804" s="2"/>
      <c r="F16804" s="2" t="str">
        <f>"9781478091981"</f>
        <v>9781478091981</v>
      </c>
    </row>
    <row r="16805" spans="1:6" s="3" customFormat="1" ht="29.1" customHeight="1" x14ac:dyDescent="0.25">
      <c r="A16805" s="2" t="s">
        <v>33160</v>
      </c>
      <c r="B16805" s="2" t="s">
        <v>33161</v>
      </c>
      <c r="C16805" s="2" t="s">
        <v>644</v>
      </c>
      <c r="D16805" s="2" t="s">
        <v>636</v>
      </c>
      <c r="E16805" s="2"/>
      <c r="F16805" s="2" t="str">
        <f>"9781478092117"</f>
        <v>9781478092117</v>
      </c>
    </row>
    <row r="16806" spans="1:6" s="3" customFormat="1" ht="29.1" customHeight="1" x14ac:dyDescent="0.25">
      <c r="A16806" s="2" t="s">
        <v>33162</v>
      </c>
      <c r="B16806" s="2" t="s">
        <v>33163</v>
      </c>
      <c r="C16806" s="2" t="s">
        <v>644</v>
      </c>
      <c r="D16806" s="2" t="s">
        <v>150</v>
      </c>
      <c r="E16806" s="2"/>
      <c r="F16806" s="2" t="str">
        <f>"9781478092346"</f>
        <v>9781478092346</v>
      </c>
    </row>
    <row r="16807" spans="1:6" s="3" customFormat="1" ht="29.1" customHeight="1" x14ac:dyDescent="0.25">
      <c r="A16807" s="2" t="s">
        <v>33164</v>
      </c>
      <c r="B16807" s="2" t="s">
        <v>33165</v>
      </c>
      <c r="C16807" s="2" t="s">
        <v>644</v>
      </c>
      <c r="D16807" s="2" t="s">
        <v>9015</v>
      </c>
      <c r="E16807" s="2"/>
      <c r="F16807" s="2" t="str">
        <f>"9781478092148"</f>
        <v>9781478092148</v>
      </c>
    </row>
    <row r="16808" spans="1:6" s="3" customFormat="1" ht="29.1" customHeight="1" x14ac:dyDescent="0.25">
      <c r="A16808" s="2" t="s">
        <v>33166</v>
      </c>
      <c r="B16808" s="2" t="s">
        <v>33167</v>
      </c>
      <c r="C16808" s="2" t="s">
        <v>644</v>
      </c>
      <c r="D16808" s="2" t="s">
        <v>636</v>
      </c>
      <c r="E16808" s="2"/>
      <c r="F16808" s="2" t="str">
        <f>"9781478092322"</f>
        <v>9781478092322</v>
      </c>
    </row>
    <row r="16809" spans="1:6" s="3" customFormat="1" ht="29.1" customHeight="1" x14ac:dyDescent="0.25">
      <c r="A16809" s="2" t="s">
        <v>33168</v>
      </c>
      <c r="B16809" s="2" t="s">
        <v>33169</v>
      </c>
      <c r="C16809" s="2" t="s">
        <v>644</v>
      </c>
      <c r="D16809" s="2" t="s">
        <v>5635</v>
      </c>
      <c r="E16809" s="2"/>
      <c r="F16809" s="2" t="str">
        <f>"9781478092018"</f>
        <v>9781478092018</v>
      </c>
    </row>
    <row r="16810" spans="1:6" s="3" customFormat="1" ht="29.1" customHeight="1" x14ac:dyDescent="0.25">
      <c r="A16810" s="2" t="s">
        <v>33170</v>
      </c>
      <c r="B16810" s="2" t="s">
        <v>7323</v>
      </c>
      <c r="C16810" s="2" t="s">
        <v>644</v>
      </c>
      <c r="D16810" s="2" t="s">
        <v>202</v>
      </c>
      <c r="E16810" s="2"/>
      <c r="F16810" s="2" t="str">
        <f>"9781478091950"</f>
        <v>9781478091950</v>
      </c>
    </row>
    <row r="16811" spans="1:6" s="3" customFormat="1" ht="29.1" customHeight="1" x14ac:dyDescent="0.25">
      <c r="A16811" s="2" t="s">
        <v>33171</v>
      </c>
      <c r="B16811" s="2" t="s">
        <v>33172</v>
      </c>
      <c r="C16811" s="2" t="s">
        <v>11005</v>
      </c>
      <c r="D16811" s="2" t="s">
        <v>11213</v>
      </c>
      <c r="E16811" s="2" t="str">
        <f>"9783837926408"</f>
        <v>9783837926408</v>
      </c>
      <c r="F16811" s="2" t="str">
        <f>"9783837973006"</f>
        <v>9783837973006</v>
      </c>
    </row>
    <row r="16812" spans="1:6" s="3" customFormat="1" ht="29.1" customHeight="1" x14ac:dyDescent="0.25">
      <c r="A16812" s="2" t="s">
        <v>33173</v>
      </c>
      <c r="B16812" s="2"/>
      <c r="C16812" s="2" t="s">
        <v>11005</v>
      </c>
      <c r="D16812" s="2" t="s">
        <v>2404</v>
      </c>
      <c r="E16812" s="2" t="str">
        <f>"9783837924718"</f>
        <v>9783837924718</v>
      </c>
      <c r="F16812" s="2" t="str">
        <f>"9783837972696"</f>
        <v>9783837972696</v>
      </c>
    </row>
    <row r="16813" spans="1:6" s="3" customFormat="1" ht="29.1" customHeight="1" x14ac:dyDescent="0.25">
      <c r="A16813" s="2" t="s">
        <v>33132</v>
      </c>
      <c r="B16813" s="2" t="s">
        <v>33174</v>
      </c>
      <c r="C16813" s="2" t="s">
        <v>11005</v>
      </c>
      <c r="D16813" s="2" t="s">
        <v>3839</v>
      </c>
      <c r="E16813" s="2" t="str">
        <f>"9783837922653"</f>
        <v>9783837922653</v>
      </c>
      <c r="F16813" s="2" t="str">
        <f>"9783837968941"</f>
        <v>9783837968941</v>
      </c>
    </row>
    <row r="16814" spans="1:6" s="3" customFormat="1" ht="29.1" customHeight="1" x14ac:dyDescent="0.25">
      <c r="A16814" s="2" t="s">
        <v>33132</v>
      </c>
      <c r="B16814" s="2" t="s">
        <v>33174</v>
      </c>
      <c r="C16814" s="2" t="s">
        <v>11005</v>
      </c>
      <c r="D16814" s="2" t="s">
        <v>4654</v>
      </c>
      <c r="E16814" s="2" t="str">
        <f>"9783837921076"</f>
        <v>9783837921076</v>
      </c>
      <c r="F16814" s="2" t="str">
        <f>"9783837968897"</f>
        <v>9783837968897</v>
      </c>
    </row>
    <row r="16815" spans="1:6" s="3" customFormat="1" ht="29.1" customHeight="1" x14ac:dyDescent="0.25">
      <c r="A16815" s="2" t="s">
        <v>33175</v>
      </c>
      <c r="B16815" s="2" t="s">
        <v>33176</v>
      </c>
      <c r="C16815" s="2" t="s">
        <v>195</v>
      </c>
      <c r="D16815" s="2" t="s">
        <v>855</v>
      </c>
      <c r="E16815" s="2" t="str">
        <f>"9783110759532"</f>
        <v>9783110759532</v>
      </c>
      <c r="F16815" s="2" t="str">
        <f>"9783110760361"</f>
        <v>9783110760361</v>
      </c>
    </row>
    <row r="16816" spans="1:6" s="3" customFormat="1" ht="29.1" customHeight="1" x14ac:dyDescent="0.25">
      <c r="A16816" s="2" t="s">
        <v>33177</v>
      </c>
      <c r="B16816" s="2" t="s">
        <v>33178</v>
      </c>
      <c r="C16816" s="2" t="s">
        <v>195</v>
      </c>
      <c r="D16816" s="2" t="s">
        <v>3105</v>
      </c>
      <c r="E16816" s="2" t="str">
        <f>"9783110751574"</f>
        <v>9783110751574</v>
      </c>
      <c r="F16816" s="2" t="str">
        <f>"9783110751734"</f>
        <v>9783110751734</v>
      </c>
    </row>
    <row r="16817" spans="1:6" s="3" customFormat="1" ht="29.1" customHeight="1" x14ac:dyDescent="0.25">
      <c r="A16817" s="2" t="s">
        <v>33179</v>
      </c>
      <c r="B16817" s="2" t="s">
        <v>33180</v>
      </c>
      <c r="C16817" s="2" t="s">
        <v>195</v>
      </c>
      <c r="D16817" s="2" t="s">
        <v>1432</v>
      </c>
      <c r="E16817" s="2" t="str">
        <f>"9783110749656"</f>
        <v>9783110749656</v>
      </c>
      <c r="F16817" s="2" t="str">
        <f>"9783110749823"</f>
        <v>9783110749823</v>
      </c>
    </row>
    <row r="16818" spans="1:6" s="3" customFormat="1" ht="29.1" customHeight="1" x14ac:dyDescent="0.25">
      <c r="A16818" s="2" t="s">
        <v>33181</v>
      </c>
      <c r="B16818" s="2" t="s">
        <v>33182</v>
      </c>
      <c r="C16818" s="2" t="s">
        <v>195</v>
      </c>
      <c r="D16818" s="2" t="s">
        <v>1630</v>
      </c>
      <c r="E16818" s="2" t="str">
        <f>"9783110714623"</f>
        <v>9783110714623</v>
      </c>
      <c r="F16818" s="2" t="str">
        <f>"9783110714692"</f>
        <v>9783110714692</v>
      </c>
    </row>
    <row r="16819" spans="1:6" s="3" customFormat="1" ht="29.1" customHeight="1" x14ac:dyDescent="0.25">
      <c r="A16819" s="2" t="s">
        <v>33183</v>
      </c>
      <c r="B16819" s="2" t="s">
        <v>33185</v>
      </c>
      <c r="C16819" s="2" t="s">
        <v>11005</v>
      </c>
      <c r="D16819" s="2" t="s">
        <v>33184</v>
      </c>
      <c r="E16819" s="2" t="str">
        <f>"9783837928600"</f>
        <v>9783837928600</v>
      </c>
      <c r="F16819" s="2" t="str">
        <f>"9783837974591"</f>
        <v>9783837974591</v>
      </c>
    </row>
    <row r="16820" spans="1:6" s="3" customFormat="1" ht="29.1" customHeight="1" x14ac:dyDescent="0.25">
      <c r="A16820" s="2" t="s">
        <v>33186</v>
      </c>
      <c r="B16820" s="2" t="s">
        <v>33187</v>
      </c>
      <c r="C16820" s="2" t="s">
        <v>11005</v>
      </c>
      <c r="D16820" s="2" t="s">
        <v>4612</v>
      </c>
      <c r="E16820" s="2" t="str">
        <f>"9783837928594"</f>
        <v>9783837928594</v>
      </c>
      <c r="F16820" s="2" t="str">
        <f>"9783837974584"</f>
        <v>9783837974584</v>
      </c>
    </row>
    <row r="16821" spans="1:6" s="3" customFormat="1" ht="29.1" customHeight="1" x14ac:dyDescent="0.25">
      <c r="A16821" s="2" t="s">
        <v>33188</v>
      </c>
      <c r="B16821" s="2" t="s">
        <v>33189</v>
      </c>
      <c r="C16821" s="2" t="s">
        <v>11005</v>
      </c>
      <c r="D16821" s="2" t="s">
        <v>3814</v>
      </c>
      <c r="E16821" s="2" t="str">
        <f>"9783837928266"</f>
        <v>9783837928266</v>
      </c>
      <c r="F16821" s="2" t="str">
        <f>"9783837974577"</f>
        <v>9783837974577</v>
      </c>
    </row>
    <row r="16822" spans="1:6" s="3" customFormat="1" ht="29.1" customHeight="1" x14ac:dyDescent="0.25">
      <c r="A16822" s="2" t="s">
        <v>33190</v>
      </c>
      <c r="B16822" s="2" t="s">
        <v>33191</v>
      </c>
      <c r="C16822" s="2" t="s">
        <v>11005</v>
      </c>
      <c r="D16822" s="2" t="s">
        <v>11213</v>
      </c>
      <c r="E16822" s="2" t="str">
        <f>"9783837928402"</f>
        <v>9783837928402</v>
      </c>
      <c r="F16822" s="2" t="str">
        <f>"9783837974447"</f>
        <v>9783837974447</v>
      </c>
    </row>
    <row r="16823" spans="1:6" s="3" customFormat="1" ht="29.1" customHeight="1" x14ac:dyDescent="0.25">
      <c r="A16823" s="2" t="s">
        <v>33192</v>
      </c>
      <c r="B16823" s="2" t="s">
        <v>33193</v>
      </c>
      <c r="C16823" s="2" t="s">
        <v>11005</v>
      </c>
      <c r="D16823" s="2" t="s">
        <v>11213</v>
      </c>
      <c r="E16823" s="2" t="str">
        <f>"9783837928129"</f>
        <v>9783837928129</v>
      </c>
      <c r="F16823" s="2" t="str">
        <f>"9783837974201"</f>
        <v>9783837974201</v>
      </c>
    </row>
    <row r="16824" spans="1:6" s="3" customFormat="1" ht="29.1" customHeight="1" x14ac:dyDescent="0.25">
      <c r="A16824" s="2" t="s">
        <v>33194</v>
      </c>
      <c r="B16824" s="2" t="s">
        <v>33195</v>
      </c>
      <c r="C16824" s="2" t="s">
        <v>11005</v>
      </c>
      <c r="D16824" s="2" t="s">
        <v>2752</v>
      </c>
      <c r="E16824" s="2" t="str">
        <f>"9783837927726"</f>
        <v>9783837927726</v>
      </c>
      <c r="F16824" s="2" t="str">
        <f>"9783837973976"</f>
        <v>9783837973976</v>
      </c>
    </row>
    <row r="16825" spans="1:6" s="3" customFormat="1" ht="29.1" customHeight="1" x14ac:dyDescent="0.25">
      <c r="A16825" s="2" t="s">
        <v>33196</v>
      </c>
      <c r="B16825" s="2" t="s">
        <v>33197</v>
      </c>
      <c r="C16825" s="2" t="s">
        <v>11005</v>
      </c>
      <c r="D16825" s="2" t="s">
        <v>3553</v>
      </c>
      <c r="E16825" s="2" t="str">
        <f>"9783837927368"</f>
        <v>9783837927368</v>
      </c>
      <c r="F16825" s="2" t="str">
        <f>"9783837973914"</f>
        <v>9783837973914</v>
      </c>
    </row>
    <row r="16826" spans="1:6" s="3" customFormat="1" ht="29.1" customHeight="1" x14ac:dyDescent="0.25">
      <c r="A16826" s="2" t="s">
        <v>33198</v>
      </c>
      <c r="B16826" s="2" t="s">
        <v>33199</v>
      </c>
      <c r="C16826" s="2" t="s">
        <v>62</v>
      </c>
      <c r="D16826" s="2" t="s">
        <v>1228</v>
      </c>
      <c r="E16826" s="2" t="str">
        <f>"9783428091027"</f>
        <v>9783428091027</v>
      </c>
      <c r="F16826" s="2" t="str">
        <f>"9783428491025"</f>
        <v>9783428491025</v>
      </c>
    </row>
    <row r="16827" spans="1:6" s="3" customFormat="1" ht="29.1" customHeight="1" x14ac:dyDescent="0.25">
      <c r="A16827" s="2" t="s">
        <v>33200</v>
      </c>
      <c r="B16827" s="2" t="s">
        <v>33201</v>
      </c>
      <c r="C16827" s="2" t="s">
        <v>62</v>
      </c>
      <c r="D16827" s="2" t="s">
        <v>1864</v>
      </c>
      <c r="E16827" s="2" t="str">
        <f>"9783428088140"</f>
        <v>9783428088140</v>
      </c>
      <c r="F16827" s="2" t="str">
        <f>"9783428488148"</f>
        <v>9783428488148</v>
      </c>
    </row>
    <row r="16828" spans="1:6" s="3" customFormat="1" ht="29.1" customHeight="1" x14ac:dyDescent="0.25">
      <c r="A16828" s="2" t="s">
        <v>33202</v>
      </c>
      <c r="B16828" s="2" t="s">
        <v>33203</v>
      </c>
      <c r="C16828" s="2" t="s">
        <v>62</v>
      </c>
      <c r="D16828" s="2" t="s">
        <v>297</v>
      </c>
      <c r="E16828" s="2" t="str">
        <f>"9783428086160"</f>
        <v>9783428086160</v>
      </c>
      <c r="F16828" s="2" t="str">
        <f>"9783428486168"</f>
        <v>9783428486168</v>
      </c>
    </row>
    <row r="16829" spans="1:6" s="3" customFormat="1" ht="29.1" customHeight="1" x14ac:dyDescent="0.25">
      <c r="A16829" s="2" t="s">
        <v>33204</v>
      </c>
      <c r="B16829" s="2" t="s">
        <v>33205</v>
      </c>
      <c r="C16829" s="2" t="s">
        <v>62</v>
      </c>
      <c r="D16829" s="2" t="s">
        <v>4783</v>
      </c>
      <c r="E16829" s="2" t="str">
        <f>"9783428086146"</f>
        <v>9783428086146</v>
      </c>
      <c r="F16829" s="2" t="str">
        <f>"9783428486144"</f>
        <v>9783428486144</v>
      </c>
    </row>
    <row r="16830" spans="1:6" s="3" customFormat="1" ht="29.1" customHeight="1" x14ac:dyDescent="0.25">
      <c r="A16830" s="2" t="s">
        <v>33206</v>
      </c>
      <c r="B16830" s="2" t="s">
        <v>33207</v>
      </c>
      <c r="C16830" s="2" t="s">
        <v>62</v>
      </c>
      <c r="D16830" s="2" t="s">
        <v>1209</v>
      </c>
      <c r="E16830" s="2" t="str">
        <f>"9783428084944"</f>
        <v>9783428084944</v>
      </c>
      <c r="F16830" s="2" t="str">
        <f>"9783428484942"</f>
        <v>9783428484942</v>
      </c>
    </row>
    <row r="16831" spans="1:6" s="3" customFormat="1" ht="29.1" customHeight="1" x14ac:dyDescent="0.25">
      <c r="A16831" s="2" t="s">
        <v>33208</v>
      </c>
      <c r="B16831" s="2" t="s">
        <v>33011</v>
      </c>
      <c r="C16831" s="2" t="s">
        <v>62</v>
      </c>
      <c r="D16831" s="2" t="s">
        <v>5758</v>
      </c>
      <c r="E16831" s="2" t="str">
        <f>"9783428084906"</f>
        <v>9783428084906</v>
      </c>
      <c r="F16831" s="2" t="str">
        <f>"9783428484904"</f>
        <v>9783428484904</v>
      </c>
    </row>
    <row r="16832" spans="1:6" s="3" customFormat="1" ht="29.1" customHeight="1" x14ac:dyDescent="0.25">
      <c r="A16832" s="2" t="s">
        <v>33209</v>
      </c>
      <c r="B16832" s="2" t="s">
        <v>33203</v>
      </c>
      <c r="C16832" s="2" t="s">
        <v>62</v>
      </c>
      <c r="D16832" s="2" t="s">
        <v>297</v>
      </c>
      <c r="E16832" s="2" t="str">
        <f>"9783428081707"</f>
        <v>9783428081707</v>
      </c>
      <c r="F16832" s="2" t="str">
        <f>"9783428481705"</f>
        <v>9783428481705</v>
      </c>
    </row>
    <row r="16833" spans="1:6" s="3" customFormat="1" ht="29.1" customHeight="1" x14ac:dyDescent="0.25">
      <c r="A16833" s="2" t="s">
        <v>33210</v>
      </c>
      <c r="B16833" s="2" t="s">
        <v>33001</v>
      </c>
      <c r="C16833" s="2" t="s">
        <v>62</v>
      </c>
      <c r="D16833" s="2" t="s">
        <v>1228</v>
      </c>
      <c r="E16833" s="2" t="str">
        <f>"9783428081691"</f>
        <v>9783428081691</v>
      </c>
      <c r="F16833" s="2" t="str">
        <f>"9783428481699"</f>
        <v>9783428481699</v>
      </c>
    </row>
    <row r="16834" spans="1:6" s="3" customFormat="1" ht="29.1" customHeight="1" x14ac:dyDescent="0.25">
      <c r="A16834" s="2" t="s">
        <v>33211</v>
      </c>
      <c r="B16834" s="2" t="s">
        <v>33212</v>
      </c>
      <c r="C16834" s="2" t="s">
        <v>62</v>
      </c>
      <c r="D16834" s="2" t="s">
        <v>125</v>
      </c>
      <c r="E16834" s="2" t="str">
        <f>"9783428184354"</f>
        <v>9783428184354</v>
      </c>
      <c r="F16834" s="2" t="str">
        <f>"9783428584352"</f>
        <v>9783428584352</v>
      </c>
    </row>
    <row r="16835" spans="1:6" s="3" customFormat="1" ht="29.1" customHeight="1" x14ac:dyDescent="0.25">
      <c r="A16835" s="2" t="s">
        <v>33213</v>
      </c>
      <c r="B16835" s="2" t="s">
        <v>33214</v>
      </c>
      <c r="C16835" s="2" t="s">
        <v>62</v>
      </c>
      <c r="D16835" s="2" t="s">
        <v>3963</v>
      </c>
      <c r="E16835" s="2" t="str">
        <f>"9783428183968"</f>
        <v>9783428183968</v>
      </c>
      <c r="F16835" s="2" t="str">
        <f>"9783428583966"</f>
        <v>9783428583966</v>
      </c>
    </row>
    <row r="16836" spans="1:6" s="3" customFormat="1" ht="29.1" customHeight="1" x14ac:dyDescent="0.25">
      <c r="A16836" s="2" t="s">
        <v>33215</v>
      </c>
      <c r="B16836" s="2" t="s">
        <v>33216</v>
      </c>
      <c r="C16836" s="2" t="s">
        <v>62</v>
      </c>
      <c r="D16836" s="2" t="s">
        <v>501</v>
      </c>
      <c r="E16836" s="2" t="str">
        <f>"9783428119042"</f>
        <v>9783428119042</v>
      </c>
      <c r="F16836" s="2" t="str">
        <f>"9783428519040"</f>
        <v>9783428519040</v>
      </c>
    </row>
    <row r="16837" spans="1:6" s="3" customFormat="1" ht="29.1" customHeight="1" x14ac:dyDescent="0.25">
      <c r="A16837" s="2" t="s">
        <v>33217</v>
      </c>
      <c r="B16837" s="2" t="s">
        <v>33218</v>
      </c>
      <c r="C16837" s="2" t="s">
        <v>62</v>
      </c>
      <c r="D16837" s="2" t="s">
        <v>4064</v>
      </c>
      <c r="E16837" s="2" t="str">
        <f>"9783428107445"</f>
        <v>9783428107445</v>
      </c>
      <c r="F16837" s="2" t="str">
        <f>"9783428507443"</f>
        <v>9783428507443</v>
      </c>
    </row>
    <row r="16838" spans="1:6" s="3" customFormat="1" ht="29.1" customHeight="1" x14ac:dyDescent="0.25">
      <c r="A16838" s="2" t="s">
        <v>33219</v>
      </c>
      <c r="B16838" s="2" t="s">
        <v>33220</v>
      </c>
      <c r="C16838" s="2" t="s">
        <v>62</v>
      </c>
      <c r="D16838" s="2" t="s">
        <v>63</v>
      </c>
      <c r="E16838" s="2" t="str">
        <f>"9783428106295"</f>
        <v>9783428106295</v>
      </c>
      <c r="F16838" s="2" t="str">
        <f>"9783428506293"</f>
        <v>9783428506293</v>
      </c>
    </row>
    <row r="16839" spans="1:6" s="3" customFormat="1" ht="29.1" customHeight="1" x14ac:dyDescent="0.25">
      <c r="A16839" s="2" t="s">
        <v>33221</v>
      </c>
      <c r="B16839" s="2" t="s">
        <v>33222</v>
      </c>
      <c r="C16839" s="2" t="s">
        <v>62</v>
      </c>
      <c r="D16839" s="2" t="s">
        <v>1228</v>
      </c>
      <c r="E16839" s="2" t="str">
        <f>"9783428092635"</f>
        <v>9783428092635</v>
      </c>
      <c r="F16839" s="2" t="str">
        <f>"9783428492633"</f>
        <v>9783428492633</v>
      </c>
    </row>
    <row r="16840" spans="1:6" s="3" customFormat="1" ht="29.1" customHeight="1" x14ac:dyDescent="0.25">
      <c r="A16840" s="2" t="s">
        <v>33223</v>
      </c>
      <c r="B16840" s="2" t="s">
        <v>33201</v>
      </c>
      <c r="C16840" s="2" t="s">
        <v>62</v>
      </c>
      <c r="D16840" s="2" t="s">
        <v>1864</v>
      </c>
      <c r="E16840" s="2" t="str">
        <f>"9783428092543"</f>
        <v>9783428092543</v>
      </c>
      <c r="F16840" s="2" t="str">
        <f>"9783428492541"</f>
        <v>9783428492541</v>
      </c>
    </row>
    <row r="16841" spans="1:6" s="3" customFormat="1" ht="29.1" customHeight="1" x14ac:dyDescent="0.25">
      <c r="A16841" s="2" t="s">
        <v>33224</v>
      </c>
      <c r="B16841" s="2" t="s">
        <v>33008</v>
      </c>
      <c r="C16841" s="2" t="s">
        <v>62</v>
      </c>
      <c r="D16841" s="2" t="s">
        <v>1651</v>
      </c>
      <c r="E16841" s="2" t="str">
        <f>"9783428091041"</f>
        <v>9783428091041</v>
      </c>
      <c r="F16841" s="2" t="str">
        <f>"9783428491049"</f>
        <v>9783428491049</v>
      </c>
    </row>
    <row r="16842" spans="1:6" s="3" customFormat="1" ht="29.1" customHeight="1" x14ac:dyDescent="0.25">
      <c r="A16842" s="2" t="s">
        <v>26336</v>
      </c>
      <c r="B16842" s="2" t="s">
        <v>26337</v>
      </c>
      <c r="C16842" s="2" t="s">
        <v>62</v>
      </c>
      <c r="D16842" s="2" t="s">
        <v>63</v>
      </c>
      <c r="E16842" s="2" t="str">
        <f>"9783428090969"</f>
        <v>9783428090969</v>
      </c>
      <c r="F16842" s="2" t="str">
        <f>"9783428490967"</f>
        <v>9783428490967</v>
      </c>
    </row>
    <row r="16843" spans="1:6" s="3" customFormat="1" ht="29.1" customHeight="1" x14ac:dyDescent="0.25">
      <c r="A16843" s="2" t="s">
        <v>33225</v>
      </c>
      <c r="B16843" s="2" t="s">
        <v>33011</v>
      </c>
      <c r="C16843" s="2" t="s">
        <v>62</v>
      </c>
      <c r="D16843" s="2" t="s">
        <v>5758</v>
      </c>
      <c r="E16843" s="2" t="str">
        <f>"9783428089604"</f>
        <v>9783428089604</v>
      </c>
      <c r="F16843" s="2" t="str">
        <f>"9783428489602"</f>
        <v>9783428489602</v>
      </c>
    </row>
    <row r="16844" spans="1:6" s="3" customFormat="1" ht="29.1" customHeight="1" x14ac:dyDescent="0.25">
      <c r="A16844" s="2" t="s">
        <v>33226</v>
      </c>
      <c r="B16844" s="2" t="s">
        <v>33227</v>
      </c>
      <c r="C16844" s="2" t="s">
        <v>62</v>
      </c>
      <c r="D16844" s="2" t="s">
        <v>1228</v>
      </c>
      <c r="E16844" s="2" t="str">
        <f>"9783428089550"</f>
        <v>9783428089550</v>
      </c>
      <c r="F16844" s="2" t="str">
        <f>"9783428489558"</f>
        <v>9783428489558</v>
      </c>
    </row>
    <row r="16845" spans="1:6" s="3" customFormat="1" ht="29.1" customHeight="1" x14ac:dyDescent="0.25">
      <c r="A16845" s="2" t="s">
        <v>33228</v>
      </c>
      <c r="B16845" s="2" t="s">
        <v>33205</v>
      </c>
      <c r="C16845" s="2" t="s">
        <v>62</v>
      </c>
      <c r="D16845" s="2" t="s">
        <v>1463</v>
      </c>
      <c r="E16845" s="2" t="str">
        <f>"9783428088669"</f>
        <v>9783428088669</v>
      </c>
      <c r="F16845" s="2" t="str">
        <f>"9783428488667"</f>
        <v>9783428488667</v>
      </c>
    </row>
    <row r="16846" spans="1:6" s="3" customFormat="1" ht="29.1" customHeight="1" x14ac:dyDescent="0.25">
      <c r="A16846" s="2" t="s">
        <v>33229</v>
      </c>
      <c r="B16846" s="2" t="s">
        <v>33222</v>
      </c>
      <c r="C16846" s="2" t="s">
        <v>62</v>
      </c>
      <c r="D16846" s="2" t="s">
        <v>1463</v>
      </c>
      <c r="E16846" s="2" t="str">
        <f>"9783428088638"</f>
        <v>9783428088638</v>
      </c>
      <c r="F16846" s="2" t="str">
        <f>"9783428488636"</f>
        <v>9783428488636</v>
      </c>
    </row>
    <row r="16847" spans="1:6" s="3" customFormat="1" ht="29.1" customHeight="1" x14ac:dyDescent="0.25">
      <c r="A16847" s="2" t="s">
        <v>33230</v>
      </c>
      <c r="B16847" s="2" t="s">
        <v>33003</v>
      </c>
      <c r="C16847" s="2" t="s">
        <v>62</v>
      </c>
      <c r="D16847" s="2" t="s">
        <v>4783</v>
      </c>
      <c r="E16847" s="2" t="str">
        <f>"9783428088157"</f>
        <v>9783428088157</v>
      </c>
      <c r="F16847" s="2" t="str">
        <f>"9783428488155"</f>
        <v>9783428488155</v>
      </c>
    </row>
    <row r="16848" spans="1:6" s="3" customFormat="1" ht="29.1" customHeight="1" x14ac:dyDescent="0.25">
      <c r="A16848" s="2" t="s">
        <v>33231</v>
      </c>
      <c r="B16848" s="2" t="s">
        <v>33199</v>
      </c>
      <c r="C16848" s="2" t="s">
        <v>62</v>
      </c>
      <c r="D16848" s="2" t="s">
        <v>1228</v>
      </c>
      <c r="E16848" s="2" t="str">
        <f>"9783428085507"</f>
        <v>9783428085507</v>
      </c>
      <c r="F16848" s="2" t="str">
        <f>"9783428485505"</f>
        <v>9783428485505</v>
      </c>
    </row>
    <row r="16849" spans="1:6" s="3" customFormat="1" ht="29.1" customHeight="1" x14ac:dyDescent="0.25">
      <c r="A16849" s="2" t="s">
        <v>33232</v>
      </c>
      <c r="B16849" s="2" t="s">
        <v>33015</v>
      </c>
      <c r="C16849" s="2" t="s">
        <v>62</v>
      </c>
      <c r="D16849" s="2" t="s">
        <v>2005</v>
      </c>
      <c r="E16849" s="2" t="str">
        <f>"9783428084296"</f>
        <v>9783428084296</v>
      </c>
      <c r="F16849" s="2" t="str">
        <f>"9783428484294"</f>
        <v>9783428484294</v>
      </c>
    </row>
    <row r="16850" spans="1:6" s="3" customFormat="1" ht="29.1" customHeight="1" x14ac:dyDescent="0.25">
      <c r="A16850" s="2" t="s">
        <v>33233</v>
      </c>
      <c r="B16850" s="2" t="s">
        <v>33234</v>
      </c>
      <c r="C16850" s="2" t="s">
        <v>62</v>
      </c>
      <c r="D16850" s="2" t="s">
        <v>1209</v>
      </c>
      <c r="E16850" s="2" t="str">
        <f>"9783428084135"</f>
        <v>9783428084135</v>
      </c>
      <c r="F16850" s="2" t="str">
        <f>"9783428484133"</f>
        <v>9783428484133</v>
      </c>
    </row>
    <row r="16851" spans="1:6" s="3" customFormat="1" ht="29.1" customHeight="1" x14ac:dyDescent="0.25">
      <c r="A16851" s="2" t="s">
        <v>33235</v>
      </c>
      <c r="B16851" s="2" t="s">
        <v>33003</v>
      </c>
      <c r="C16851" s="2" t="s">
        <v>62</v>
      </c>
      <c r="D16851" s="2" t="s">
        <v>4783</v>
      </c>
      <c r="E16851" s="2" t="str">
        <f>"9783428084128"</f>
        <v>9783428084128</v>
      </c>
      <c r="F16851" s="2" t="str">
        <f>"9783428484126"</f>
        <v>9783428484126</v>
      </c>
    </row>
    <row r="16852" spans="1:6" s="3" customFormat="1" ht="29.1" customHeight="1" x14ac:dyDescent="0.25">
      <c r="A16852" s="2" t="s">
        <v>33236</v>
      </c>
      <c r="B16852" s="2" t="s">
        <v>33008</v>
      </c>
      <c r="C16852" s="2" t="s">
        <v>62</v>
      </c>
      <c r="D16852" s="2" t="s">
        <v>1651</v>
      </c>
      <c r="E16852" s="2" t="str">
        <f>"9783428082230"</f>
        <v>9783428082230</v>
      </c>
      <c r="F16852" s="2" t="str">
        <f>"9783428482238"</f>
        <v>9783428482238</v>
      </c>
    </row>
    <row r="16853" spans="1:6" s="3" customFormat="1" ht="29.1" customHeight="1" x14ac:dyDescent="0.25">
      <c r="A16853" s="2" t="s">
        <v>33237</v>
      </c>
      <c r="B16853" s="2" t="s">
        <v>33017</v>
      </c>
      <c r="C16853" s="2" t="s">
        <v>62</v>
      </c>
      <c r="D16853" s="2" t="s">
        <v>5758</v>
      </c>
      <c r="E16853" s="2" t="str">
        <f>"9783428081950"</f>
        <v>9783428081950</v>
      </c>
      <c r="F16853" s="2" t="str">
        <f>"9783428481958"</f>
        <v>9783428481958</v>
      </c>
    </row>
    <row r="16854" spans="1:6" s="3" customFormat="1" ht="29.1" customHeight="1" x14ac:dyDescent="0.25">
      <c r="A16854" s="2" t="s">
        <v>33238</v>
      </c>
      <c r="B16854" s="2" t="s">
        <v>32591</v>
      </c>
      <c r="C16854" s="2" t="s">
        <v>62</v>
      </c>
      <c r="D16854" s="2" t="s">
        <v>1228</v>
      </c>
      <c r="E16854" s="2" t="str">
        <f>"9783428081929"</f>
        <v>9783428081929</v>
      </c>
      <c r="F16854" s="2" t="str">
        <f>"9783428481927"</f>
        <v>9783428481927</v>
      </c>
    </row>
    <row r="16855" spans="1:6" s="3" customFormat="1" ht="29.1" customHeight="1" x14ac:dyDescent="0.25">
      <c r="A16855" s="2" t="s">
        <v>33239</v>
      </c>
      <c r="B16855" s="2" t="s">
        <v>33011</v>
      </c>
      <c r="C16855" s="2" t="s">
        <v>62</v>
      </c>
      <c r="D16855" s="2" t="s">
        <v>5758</v>
      </c>
      <c r="E16855" s="2" t="str">
        <f>"9783428081660"</f>
        <v>9783428081660</v>
      </c>
      <c r="F16855" s="2" t="str">
        <f>"9783428481668"</f>
        <v>9783428481668</v>
      </c>
    </row>
    <row r="16856" spans="1:6" s="3" customFormat="1" ht="29.1" customHeight="1" x14ac:dyDescent="0.25">
      <c r="A16856" s="2" t="s">
        <v>33240</v>
      </c>
      <c r="B16856" s="2" t="s">
        <v>30423</v>
      </c>
      <c r="C16856" s="2" t="s">
        <v>62</v>
      </c>
      <c r="D16856" s="2" t="s">
        <v>1463</v>
      </c>
      <c r="E16856" s="2" t="str">
        <f>"9783428081035"</f>
        <v>9783428081035</v>
      </c>
      <c r="F16856" s="2" t="str">
        <f>"9783428481033"</f>
        <v>9783428481033</v>
      </c>
    </row>
    <row r="16857" spans="1:6" s="3" customFormat="1" ht="29.1" customHeight="1" x14ac:dyDescent="0.25">
      <c r="A16857" s="2" t="s">
        <v>33241</v>
      </c>
      <c r="B16857" s="2" t="s">
        <v>33242</v>
      </c>
      <c r="C16857" s="2" t="s">
        <v>4104</v>
      </c>
      <c r="D16857" s="2" t="s">
        <v>2781</v>
      </c>
      <c r="E16857" s="2" t="str">
        <f>"9781800856202"</f>
        <v>9781800856202</v>
      </c>
      <c r="F16857" s="2" t="str">
        <f>"9781800855472"</f>
        <v>9781800855472</v>
      </c>
    </row>
    <row r="16858" spans="1:6" s="3" customFormat="1" ht="29.1" customHeight="1" x14ac:dyDescent="0.25">
      <c r="A16858" s="2" t="s">
        <v>33243</v>
      </c>
      <c r="B16858" s="2" t="s">
        <v>33244</v>
      </c>
      <c r="C16858" s="2" t="s">
        <v>124</v>
      </c>
      <c r="D16858" s="2" t="s">
        <v>270</v>
      </c>
      <c r="E16858" s="2" t="str">
        <f>"9781032212524"</f>
        <v>9781032212524</v>
      </c>
      <c r="F16858" s="2" t="str">
        <f>"9781000580464"</f>
        <v>9781000580464</v>
      </c>
    </row>
    <row r="16859" spans="1:6" s="3" customFormat="1" ht="29.1" customHeight="1" x14ac:dyDescent="0.25">
      <c r="A16859" s="2" t="s">
        <v>16612</v>
      </c>
      <c r="B16859" s="2" t="s">
        <v>16613</v>
      </c>
      <c r="C16859" s="2" t="s">
        <v>11220</v>
      </c>
      <c r="D16859" s="2" t="s">
        <v>639</v>
      </c>
      <c r="E16859" s="2" t="str">
        <f>"9780814719497"</f>
        <v>9780814719497</v>
      </c>
      <c r="F16859" s="2" t="str">
        <f>"9781479820108"</f>
        <v>9781479820108</v>
      </c>
    </row>
    <row r="16860" spans="1:6" s="3" customFormat="1" ht="29.1" customHeight="1" x14ac:dyDescent="0.25">
      <c r="A16860" s="2" t="s">
        <v>33245</v>
      </c>
      <c r="B16860" s="2" t="s">
        <v>27457</v>
      </c>
      <c r="C16860" s="2" t="s">
        <v>746</v>
      </c>
      <c r="D16860" s="2" t="s">
        <v>606</v>
      </c>
      <c r="E16860" s="2" t="str">
        <f>"9781784918552"</f>
        <v>9781784918552</v>
      </c>
      <c r="F16860" s="2" t="str">
        <f>"9781784918569"</f>
        <v>9781784918569</v>
      </c>
    </row>
    <row r="16861" spans="1:6" s="3" customFormat="1" ht="29.1" customHeight="1" x14ac:dyDescent="0.25">
      <c r="A16861" s="2" t="s">
        <v>33246</v>
      </c>
      <c r="B16861" s="2" t="s">
        <v>27457</v>
      </c>
      <c r="C16861" s="2" t="s">
        <v>746</v>
      </c>
      <c r="D16861" s="2" t="s">
        <v>6440</v>
      </c>
      <c r="E16861" s="2" t="str">
        <f>"9781789696950"</f>
        <v>9781789696950</v>
      </c>
      <c r="F16861" s="2" t="str">
        <f>"9781789696967"</f>
        <v>9781789696967</v>
      </c>
    </row>
    <row r="16862" spans="1:6" s="3" customFormat="1" ht="29.1" customHeight="1" x14ac:dyDescent="0.25">
      <c r="A16862" s="2" t="s">
        <v>33247</v>
      </c>
      <c r="B16862" s="2" t="s">
        <v>33248</v>
      </c>
      <c r="C16862" s="2" t="s">
        <v>746</v>
      </c>
      <c r="D16862" s="2" t="s">
        <v>606</v>
      </c>
      <c r="E16862" s="2" t="str">
        <f>"9781784911003"</f>
        <v>9781784911003</v>
      </c>
      <c r="F16862" s="2" t="str">
        <f>"9781784911010"</f>
        <v>9781784911010</v>
      </c>
    </row>
    <row r="16863" spans="1:6" s="3" customFormat="1" ht="29.1" customHeight="1" x14ac:dyDescent="0.25">
      <c r="A16863" s="2" t="s">
        <v>33249</v>
      </c>
      <c r="B16863" s="2" t="s">
        <v>33250</v>
      </c>
      <c r="C16863" s="2" t="s">
        <v>746</v>
      </c>
      <c r="D16863" s="2" t="s">
        <v>606</v>
      </c>
      <c r="E16863" s="2" t="str">
        <f>"9781789697506"</f>
        <v>9781789697506</v>
      </c>
      <c r="F16863" s="2" t="str">
        <f>"9781789697513"</f>
        <v>9781789697513</v>
      </c>
    </row>
    <row r="16864" spans="1:6" s="3" customFormat="1" ht="29.1" customHeight="1" x14ac:dyDescent="0.25">
      <c r="A16864" s="2" t="s">
        <v>33251</v>
      </c>
      <c r="B16864" s="2" t="s">
        <v>33252</v>
      </c>
      <c r="C16864" s="2" t="s">
        <v>746</v>
      </c>
      <c r="D16864" s="2" t="s">
        <v>606</v>
      </c>
      <c r="E16864" s="2" t="str">
        <f>"9781784912871"</f>
        <v>9781784912871</v>
      </c>
      <c r="F16864" s="2" t="str">
        <f>"9781784912888"</f>
        <v>9781784912888</v>
      </c>
    </row>
    <row r="16865" spans="1:6" s="3" customFormat="1" ht="29.1" customHeight="1" x14ac:dyDescent="0.25">
      <c r="A16865" s="2" t="s">
        <v>33253</v>
      </c>
      <c r="B16865" s="2" t="s">
        <v>33254</v>
      </c>
      <c r="C16865" s="2" t="s">
        <v>746</v>
      </c>
      <c r="D16865" s="2" t="s">
        <v>606</v>
      </c>
      <c r="E16865" s="2" t="str">
        <f>"9781789696615"</f>
        <v>9781789696615</v>
      </c>
      <c r="F16865" s="2" t="str">
        <f>"9781789696622"</f>
        <v>9781789696622</v>
      </c>
    </row>
    <row r="16866" spans="1:6" s="3" customFormat="1" ht="29.1" customHeight="1" x14ac:dyDescent="0.25">
      <c r="A16866" s="2" t="s">
        <v>33255</v>
      </c>
      <c r="B16866" s="2" t="s">
        <v>33256</v>
      </c>
      <c r="C16866" s="2" t="s">
        <v>746</v>
      </c>
      <c r="D16866" s="2" t="s">
        <v>606</v>
      </c>
      <c r="E16866" s="2" t="str">
        <f>"9781803271361"</f>
        <v>9781803271361</v>
      </c>
      <c r="F16866" s="2" t="str">
        <f>"9781803271378"</f>
        <v>9781803271378</v>
      </c>
    </row>
    <row r="16867" spans="1:6" s="3" customFormat="1" ht="29.1" customHeight="1" x14ac:dyDescent="0.25">
      <c r="A16867" s="2" t="s">
        <v>33257</v>
      </c>
      <c r="B16867" s="2" t="s">
        <v>33258</v>
      </c>
      <c r="C16867" s="2" t="s">
        <v>746</v>
      </c>
      <c r="D16867" s="2" t="s">
        <v>606</v>
      </c>
      <c r="E16867" s="2" t="str">
        <f>"9781784919726"</f>
        <v>9781784919726</v>
      </c>
      <c r="F16867" s="2" t="str">
        <f>"9781784919733"</f>
        <v>9781784919733</v>
      </c>
    </row>
    <row r="16868" spans="1:6" s="3" customFormat="1" ht="29.1" customHeight="1" x14ac:dyDescent="0.25">
      <c r="A16868" s="2" t="s">
        <v>33259</v>
      </c>
      <c r="B16868" s="2" t="s">
        <v>33260</v>
      </c>
      <c r="C16868" s="2" t="s">
        <v>746</v>
      </c>
      <c r="D16868" s="2" t="s">
        <v>606</v>
      </c>
      <c r="E16868" s="2" t="str">
        <f>"9781803270784"</f>
        <v>9781803270784</v>
      </c>
      <c r="F16868" s="2" t="str">
        <f>"9781803270791"</f>
        <v>9781803270791</v>
      </c>
    </row>
    <row r="16869" spans="1:6" s="3" customFormat="1" ht="29.1" customHeight="1" x14ac:dyDescent="0.25">
      <c r="A16869" s="2" t="s">
        <v>33261</v>
      </c>
      <c r="B16869" s="2" t="s">
        <v>33262</v>
      </c>
      <c r="C16869" s="2" t="s">
        <v>746</v>
      </c>
      <c r="D16869" s="2" t="s">
        <v>606</v>
      </c>
      <c r="E16869" s="2"/>
      <c r="F16869" s="2" t="str">
        <f>"9781784911249"</f>
        <v>9781784911249</v>
      </c>
    </row>
    <row r="16870" spans="1:6" s="3" customFormat="1" ht="29.1" customHeight="1" x14ac:dyDescent="0.25">
      <c r="A16870" s="2" t="s">
        <v>33263</v>
      </c>
      <c r="B16870" s="2" t="s">
        <v>33264</v>
      </c>
      <c r="C16870" s="2" t="s">
        <v>746</v>
      </c>
      <c r="D16870" s="2" t="s">
        <v>606</v>
      </c>
      <c r="E16870" s="2" t="str">
        <f>"9781789699760"</f>
        <v>9781789699760</v>
      </c>
      <c r="F16870" s="2" t="str">
        <f>"9781789699777"</f>
        <v>9781789699777</v>
      </c>
    </row>
    <row r="16871" spans="1:6" s="3" customFormat="1" ht="29.1" customHeight="1" x14ac:dyDescent="0.25">
      <c r="A16871" s="2" t="s">
        <v>33265</v>
      </c>
      <c r="B16871" s="2" t="s">
        <v>33266</v>
      </c>
      <c r="C16871" s="2" t="s">
        <v>746</v>
      </c>
      <c r="D16871" s="2" t="s">
        <v>606</v>
      </c>
      <c r="E16871" s="2" t="str">
        <f>"9781784912932"</f>
        <v>9781784912932</v>
      </c>
      <c r="F16871" s="2" t="str">
        <f>"9781784912949"</f>
        <v>9781784912949</v>
      </c>
    </row>
    <row r="16872" spans="1:6" s="3" customFormat="1" ht="29.1" customHeight="1" x14ac:dyDescent="0.25">
      <c r="A16872" s="2" t="s">
        <v>33267</v>
      </c>
      <c r="B16872" s="2" t="s">
        <v>33268</v>
      </c>
      <c r="C16872" s="2" t="s">
        <v>746</v>
      </c>
      <c r="D16872" s="2" t="s">
        <v>606</v>
      </c>
      <c r="E16872" s="2" t="str">
        <f>"9781784919788"</f>
        <v>9781784919788</v>
      </c>
      <c r="F16872" s="2" t="str">
        <f>"9781784919795"</f>
        <v>9781784919795</v>
      </c>
    </row>
    <row r="16873" spans="1:6" s="3" customFormat="1" ht="29.1" customHeight="1" x14ac:dyDescent="0.25">
      <c r="A16873" s="2" t="s">
        <v>33269</v>
      </c>
      <c r="B16873" s="2" t="s">
        <v>33270</v>
      </c>
      <c r="C16873" s="2" t="s">
        <v>746</v>
      </c>
      <c r="D16873" s="2" t="s">
        <v>606</v>
      </c>
      <c r="E16873" s="2" t="str">
        <f>"9781784919290"</f>
        <v>9781784919290</v>
      </c>
      <c r="F16873" s="2" t="str">
        <f>"9781784919306"</f>
        <v>9781784919306</v>
      </c>
    </row>
    <row r="16874" spans="1:6" s="3" customFormat="1" ht="29.1" customHeight="1" x14ac:dyDescent="0.25">
      <c r="A16874" s="2" t="s">
        <v>33271</v>
      </c>
      <c r="B16874" s="2" t="s">
        <v>33272</v>
      </c>
      <c r="C16874" s="2" t="s">
        <v>746</v>
      </c>
      <c r="D16874" s="2" t="s">
        <v>606</v>
      </c>
      <c r="E16874" s="2" t="str">
        <f>"9781789698763"</f>
        <v>9781789698763</v>
      </c>
      <c r="F16874" s="2" t="str">
        <f>"9781789698770"</f>
        <v>9781789698770</v>
      </c>
    </row>
    <row r="16875" spans="1:6" s="3" customFormat="1" ht="29.1" customHeight="1" x14ac:dyDescent="0.25">
      <c r="A16875" s="2" t="s">
        <v>33273</v>
      </c>
      <c r="B16875" s="2" t="s">
        <v>33274</v>
      </c>
      <c r="C16875" s="2" t="s">
        <v>746</v>
      </c>
      <c r="D16875" s="2" t="s">
        <v>606</v>
      </c>
      <c r="E16875" s="2" t="str">
        <f>"9781789697179"</f>
        <v>9781789697179</v>
      </c>
      <c r="F16875" s="2" t="str">
        <f>"9781789697186"</f>
        <v>9781789697186</v>
      </c>
    </row>
    <row r="16876" spans="1:6" s="3" customFormat="1" ht="29.1" customHeight="1" x14ac:dyDescent="0.25">
      <c r="A16876" s="2" t="s">
        <v>33275</v>
      </c>
      <c r="B16876" s="2" t="s">
        <v>33276</v>
      </c>
      <c r="C16876" s="2" t="s">
        <v>746</v>
      </c>
      <c r="D16876" s="2" t="s">
        <v>606</v>
      </c>
      <c r="E16876" s="2" t="str">
        <f>"9781789696677"</f>
        <v>9781789696677</v>
      </c>
      <c r="F16876" s="2" t="str">
        <f>"9781789696684"</f>
        <v>9781789696684</v>
      </c>
    </row>
    <row r="16877" spans="1:6" s="3" customFormat="1" ht="29.1" customHeight="1" x14ac:dyDescent="0.25">
      <c r="A16877" s="2" t="s">
        <v>33277</v>
      </c>
      <c r="B16877" s="2" t="s">
        <v>33278</v>
      </c>
      <c r="C16877" s="2" t="s">
        <v>746</v>
      </c>
      <c r="D16877" s="2" t="s">
        <v>606</v>
      </c>
      <c r="E16877" s="2" t="str">
        <f>"9781784914981"</f>
        <v>9781784914981</v>
      </c>
      <c r="F16877" s="2" t="str">
        <f>"9781784914998"</f>
        <v>9781784914998</v>
      </c>
    </row>
    <row r="16878" spans="1:6" s="3" customFormat="1" ht="29.1" customHeight="1" x14ac:dyDescent="0.25">
      <c r="A16878" s="2" t="s">
        <v>33279</v>
      </c>
      <c r="B16878" s="2" t="s">
        <v>33280</v>
      </c>
      <c r="C16878" s="2" t="s">
        <v>746</v>
      </c>
      <c r="D16878" s="2" t="s">
        <v>606</v>
      </c>
      <c r="E16878" s="2" t="str">
        <f>"9781784918491"</f>
        <v>9781784918491</v>
      </c>
      <c r="F16878" s="2" t="str">
        <f>"9781784918507"</f>
        <v>9781784918507</v>
      </c>
    </row>
    <row r="16879" spans="1:6" s="3" customFormat="1" ht="29.1" customHeight="1" x14ac:dyDescent="0.25">
      <c r="A16879" s="2" t="s">
        <v>33281</v>
      </c>
      <c r="B16879" s="2" t="s">
        <v>33282</v>
      </c>
      <c r="C16879" s="2" t="s">
        <v>746</v>
      </c>
      <c r="D16879" s="2" t="s">
        <v>606</v>
      </c>
      <c r="E16879" s="2" t="str">
        <f>"9781803270609"</f>
        <v>9781803270609</v>
      </c>
      <c r="F16879" s="2" t="str">
        <f>"9781803270616"</f>
        <v>9781803270616</v>
      </c>
    </row>
    <row r="16880" spans="1:6" s="3" customFormat="1" ht="29.1" customHeight="1" x14ac:dyDescent="0.25">
      <c r="A16880" s="2" t="s">
        <v>33283</v>
      </c>
      <c r="B16880" s="2" t="s">
        <v>33284</v>
      </c>
      <c r="C16880" s="2" t="s">
        <v>746</v>
      </c>
      <c r="D16880" s="2" t="s">
        <v>7702</v>
      </c>
      <c r="E16880" s="2"/>
      <c r="F16880" s="2" t="str">
        <f>"9781784911171"</f>
        <v>9781784911171</v>
      </c>
    </row>
    <row r="16881" spans="1:6" s="3" customFormat="1" ht="29.1" customHeight="1" x14ac:dyDescent="0.25">
      <c r="A16881" s="2" t="s">
        <v>33285</v>
      </c>
      <c r="B16881" s="2" t="s">
        <v>33286</v>
      </c>
      <c r="C16881" s="2" t="s">
        <v>746</v>
      </c>
      <c r="D16881" s="2" t="s">
        <v>606</v>
      </c>
      <c r="E16881" s="2" t="str">
        <f>"9781789698862"</f>
        <v>9781789698862</v>
      </c>
      <c r="F16881" s="2" t="str">
        <f>"9781789698879"</f>
        <v>9781789698879</v>
      </c>
    </row>
    <row r="16882" spans="1:6" s="3" customFormat="1" ht="29.1" customHeight="1" x14ac:dyDescent="0.25">
      <c r="A16882" s="2" t="s">
        <v>33287</v>
      </c>
      <c r="B16882" s="2" t="s">
        <v>33288</v>
      </c>
      <c r="C16882" s="2" t="s">
        <v>746</v>
      </c>
      <c r="D16882" s="2" t="s">
        <v>606</v>
      </c>
      <c r="E16882" s="2" t="str">
        <f>"9781789698251"</f>
        <v>9781789698251</v>
      </c>
      <c r="F16882" s="2" t="str">
        <f>"9781789698268"</f>
        <v>9781789698268</v>
      </c>
    </row>
    <row r="16883" spans="1:6" s="3" customFormat="1" ht="29.1" customHeight="1" x14ac:dyDescent="0.25">
      <c r="A16883" s="2" t="s">
        <v>33289</v>
      </c>
      <c r="B16883" s="2" t="s">
        <v>33290</v>
      </c>
      <c r="C16883" s="2" t="s">
        <v>746</v>
      </c>
      <c r="D16883" s="2" t="s">
        <v>4185</v>
      </c>
      <c r="E16883" s="2" t="str">
        <f>"9781803270081"</f>
        <v>9781803270081</v>
      </c>
      <c r="F16883" s="2" t="str">
        <f>"9781803270098"</f>
        <v>9781803270098</v>
      </c>
    </row>
    <row r="16884" spans="1:6" s="3" customFormat="1" ht="29.1" customHeight="1" x14ac:dyDescent="0.25">
      <c r="A16884" s="2" t="s">
        <v>33291</v>
      </c>
      <c r="B16884" s="2" t="s">
        <v>33292</v>
      </c>
      <c r="C16884" s="2" t="s">
        <v>746</v>
      </c>
      <c r="D16884" s="2" t="s">
        <v>606</v>
      </c>
      <c r="E16884" s="2" t="str">
        <f>"9781784919764"</f>
        <v>9781784919764</v>
      </c>
      <c r="F16884" s="2" t="str">
        <f>"9781784919771"</f>
        <v>9781784919771</v>
      </c>
    </row>
    <row r="16885" spans="1:6" s="3" customFormat="1" ht="29.1" customHeight="1" x14ac:dyDescent="0.25">
      <c r="A16885" s="2" t="s">
        <v>33293</v>
      </c>
      <c r="B16885" s="2" t="s">
        <v>33294</v>
      </c>
      <c r="C16885" s="2" t="s">
        <v>746</v>
      </c>
      <c r="D16885" s="2" t="s">
        <v>606</v>
      </c>
      <c r="E16885" s="2" t="str">
        <f>"9781784911584"</f>
        <v>9781784911584</v>
      </c>
      <c r="F16885" s="2" t="str">
        <f>"9781784911591"</f>
        <v>9781784911591</v>
      </c>
    </row>
    <row r="16886" spans="1:6" s="3" customFormat="1" ht="29.1" customHeight="1" x14ac:dyDescent="0.25">
      <c r="A16886" s="2" t="s">
        <v>33295</v>
      </c>
      <c r="B16886" s="2" t="s">
        <v>33296</v>
      </c>
      <c r="C16886" s="2" t="s">
        <v>746</v>
      </c>
      <c r="D16886" s="2" t="s">
        <v>606</v>
      </c>
      <c r="E16886" s="2" t="str">
        <f>"9781803270425"</f>
        <v>9781803270425</v>
      </c>
      <c r="F16886" s="2" t="str">
        <f>"9781803270432"</f>
        <v>9781803270432</v>
      </c>
    </row>
    <row r="16887" spans="1:6" s="3" customFormat="1" ht="29.1" customHeight="1" x14ac:dyDescent="0.25">
      <c r="A16887" s="2" t="s">
        <v>33297</v>
      </c>
      <c r="B16887" s="2" t="s">
        <v>33298</v>
      </c>
      <c r="C16887" s="2" t="s">
        <v>746</v>
      </c>
      <c r="D16887" s="2" t="s">
        <v>606</v>
      </c>
      <c r="E16887" s="2" t="str">
        <f>"9781784919016"</f>
        <v>9781784919016</v>
      </c>
      <c r="F16887" s="2" t="str">
        <f>"9781784919023"</f>
        <v>9781784919023</v>
      </c>
    </row>
    <row r="16888" spans="1:6" s="3" customFormat="1" ht="29.1" customHeight="1" x14ac:dyDescent="0.25">
      <c r="A16888" s="2" t="s">
        <v>33299</v>
      </c>
      <c r="B16888" s="2" t="s">
        <v>33300</v>
      </c>
      <c r="C16888" s="2" t="s">
        <v>746</v>
      </c>
      <c r="D16888" s="2" t="s">
        <v>606</v>
      </c>
      <c r="E16888" s="2" t="str">
        <f>"9781784912956"</f>
        <v>9781784912956</v>
      </c>
      <c r="F16888" s="2" t="str">
        <f>"9781784912963"</f>
        <v>9781784912963</v>
      </c>
    </row>
    <row r="16889" spans="1:6" s="3" customFormat="1" ht="29.1" customHeight="1" x14ac:dyDescent="0.25">
      <c r="A16889" s="2" t="s">
        <v>33301</v>
      </c>
      <c r="B16889" s="2" t="s">
        <v>33302</v>
      </c>
      <c r="C16889" s="2" t="s">
        <v>746</v>
      </c>
      <c r="D16889" s="2" t="s">
        <v>606</v>
      </c>
      <c r="E16889" s="2" t="str">
        <f>"9781784912895"</f>
        <v>9781784912895</v>
      </c>
      <c r="F16889" s="2" t="str">
        <f>"9781784912901"</f>
        <v>9781784912901</v>
      </c>
    </row>
    <row r="16890" spans="1:6" s="3" customFormat="1" ht="29.1" customHeight="1" x14ac:dyDescent="0.25">
      <c r="A16890" s="2" t="s">
        <v>33303</v>
      </c>
      <c r="B16890" s="2" t="s">
        <v>33304</v>
      </c>
      <c r="C16890" s="2" t="s">
        <v>746</v>
      </c>
      <c r="D16890" s="2" t="s">
        <v>606</v>
      </c>
      <c r="E16890" s="2" t="str">
        <f>"9781784912598"</f>
        <v>9781784912598</v>
      </c>
      <c r="F16890" s="2" t="str">
        <f>"9781784912604"</f>
        <v>9781784912604</v>
      </c>
    </row>
    <row r="16891" spans="1:6" s="3" customFormat="1" ht="29.1" customHeight="1" x14ac:dyDescent="0.25">
      <c r="A16891" s="2" t="s">
        <v>33305</v>
      </c>
      <c r="B16891" s="2" t="s">
        <v>33306</v>
      </c>
      <c r="C16891" s="2" t="s">
        <v>746</v>
      </c>
      <c r="D16891" s="2" t="s">
        <v>606</v>
      </c>
      <c r="E16891" s="2" t="str">
        <f>"9781789695458"</f>
        <v>9781789695458</v>
      </c>
      <c r="F16891" s="2" t="str">
        <f>"9781789695465"</f>
        <v>9781789695465</v>
      </c>
    </row>
    <row r="16892" spans="1:6" s="3" customFormat="1" ht="29.1" customHeight="1" x14ac:dyDescent="0.25">
      <c r="A16892" s="2" t="s">
        <v>33307</v>
      </c>
      <c r="B16892" s="2" t="s">
        <v>33308</v>
      </c>
      <c r="C16892" s="2" t="s">
        <v>746</v>
      </c>
      <c r="D16892" s="2" t="s">
        <v>606</v>
      </c>
      <c r="E16892" s="2" t="str">
        <f>"9781784913670"</f>
        <v>9781784913670</v>
      </c>
      <c r="F16892" s="2" t="str">
        <f>"9781784913687"</f>
        <v>9781784913687</v>
      </c>
    </row>
    <row r="16893" spans="1:6" s="3" customFormat="1" ht="29.1" customHeight="1" x14ac:dyDescent="0.25">
      <c r="A16893" s="2" t="s">
        <v>33309</v>
      </c>
      <c r="B16893" s="2" t="s">
        <v>33310</v>
      </c>
      <c r="C16893" s="2" t="s">
        <v>746</v>
      </c>
      <c r="D16893" s="2" t="s">
        <v>606</v>
      </c>
      <c r="E16893" s="2" t="str">
        <f>"9781789694871"</f>
        <v>9781789694871</v>
      </c>
      <c r="F16893" s="2" t="str">
        <f>"9781789694888"</f>
        <v>9781789694888</v>
      </c>
    </row>
    <row r="16894" spans="1:6" s="3" customFormat="1" ht="29.1" customHeight="1" x14ac:dyDescent="0.25">
      <c r="A16894" s="2" t="s">
        <v>33311</v>
      </c>
      <c r="B16894" s="2" t="s">
        <v>33312</v>
      </c>
      <c r="C16894" s="2" t="s">
        <v>746</v>
      </c>
      <c r="D16894" s="2" t="s">
        <v>7858</v>
      </c>
      <c r="E16894" s="2" t="str">
        <f>"9781789696332"</f>
        <v>9781789696332</v>
      </c>
      <c r="F16894" s="2" t="str">
        <f>"9781789696349"</f>
        <v>9781789696349</v>
      </c>
    </row>
    <row r="16895" spans="1:6" s="3" customFormat="1" ht="29.1" customHeight="1" x14ac:dyDescent="0.25">
      <c r="A16895" s="2" t="s">
        <v>33313</v>
      </c>
      <c r="B16895" s="2" t="s">
        <v>33314</v>
      </c>
      <c r="C16895" s="2" t="s">
        <v>746</v>
      </c>
      <c r="D16895" s="2" t="s">
        <v>606</v>
      </c>
      <c r="E16895" s="2" t="str">
        <f>"9781784913229"</f>
        <v>9781784913229</v>
      </c>
      <c r="F16895" s="2" t="str">
        <f>"9781784913236"</f>
        <v>9781784913236</v>
      </c>
    </row>
    <row r="16896" spans="1:6" s="3" customFormat="1" ht="29.1" customHeight="1" x14ac:dyDescent="0.25">
      <c r="A16896" s="2" t="s">
        <v>33315</v>
      </c>
      <c r="B16896" s="2" t="s">
        <v>33316</v>
      </c>
      <c r="C16896" s="2" t="s">
        <v>746</v>
      </c>
      <c r="D16896" s="2" t="s">
        <v>606</v>
      </c>
      <c r="E16896" s="2" t="str">
        <f>"9781789695731"</f>
        <v>9781789695731</v>
      </c>
      <c r="F16896" s="2" t="str">
        <f>"9781789695748"</f>
        <v>9781789695748</v>
      </c>
    </row>
    <row r="16897" spans="1:6" s="3" customFormat="1" ht="29.1" customHeight="1" x14ac:dyDescent="0.25">
      <c r="A16897" s="2" t="s">
        <v>33317</v>
      </c>
      <c r="B16897" s="2" t="s">
        <v>33318</v>
      </c>
      <c r="C16897" s="2" t="s">
        <v>746</v>
      </c>
      <c r="D16897" s="2" t="s">
        <v>606</v>
      </c>
      <c r="E16897" s="2" t="str">
        <f>"9781803270722"</f>
        <v>9781803270722</v>
      </c>
      <c r="F16897" s="2" t="str">
        <f>"9781803270739"</f>
        <v>9781803270739</v>
      </c>
    </row>
    <row r="16898" spans="1:6" s="3" customFormat="1" ht="29.1" customHeight="1" x14ac:dyDescent="0.25">
      <c r="A16898" s="2" t="s">
        <v>33319</v>
      </c>
      <c r="B16898" s="2" t="s">
        <v>33320</v>
      </c>
      <c r="C16898" s="2" t="s">
        <v>746</v>
      </c>
      <c r="D16898" s="2" t="s">
        <v>606</v>
      </c>
      <c r="E16898" s="2" t="str">
        <f>"9781784914233"</f>
        <v>9781784914233</v>
      </c>
      <c r="F16898" s="2" t="str">
        <f>"9781784914240"</f>
        <v>9781784914240</v>
      </c>
    </row>
    <row r="16899" spans="1:6" s="3" customFormat="1" ht="29.1" customHeight="1" x14ac:dyDescent="0.25">
      <c r="A16899" s="2" t="s">
        <v>33321</v>
      </c>
      <c r="B16899" s="2" t="s">
        <v>33322</v>
      </c>
      <c r="C16899" s="2" t="s">
        <v>746</v>
      </c>
      <c r="D16899" s="2" t="s">
        <v>606</v>
      </c>
      <c r="E16899" s="2" t="str">
        <f>"9781789697155"</f>
        <v>9781789697155</v>
      </c>
      <c r="F16899" s="2" t="str">
        <f>"9781789697162"</f>
        <v>9781789697162</v>
      </c>
    </row>
    <row r="16900" spans="1:6" s="3" customFormat="1" ht="29.1" customHeight="1" x14ac:dyDescent="0.25">
      <c r="A16900" s="2" t="s">
        <v>33323</v>
      </c>
      <c r="B16900" s="2" t="s">
        <v>33324</v>
      </c>
      <c r="C16900" s="2" t="s">
        <v>746</v>
      </c>
      <c r="D16900" s="2" t="s">
        <v>606</v>
      </c>
      <c r="E16900" s="2" t="str">
        <f>"9781789697193"</f>
        <v>9781789697193</v>
      </c>
      <c r="F16900" s="2" t="str">
        <f>"9781789697209"</f>
        <v>9781789697209</v>
      </c>
    </row>
    <row r="16901" spans="1:6" s="3" customFormat="1" ht="29.1" customHeight="1" x14ac:dyDescent="0.25">
      <c r="A16901" s="2" t="s">
        <v>33325</v>
      </c>
      <c r="B16901" s="2" t="s">
        <v>33326</v>
      </c>
      <c r="C16901" s="2" t="s">
        <v>746</v>
      </c>
      <c r="D16901" s="2" t="s">
        <v>3130</v>
      </c>
      <c r="E16901" s="2" t="str">
        <f>"9781789694369"</f>
        <v>9781789694369</v>
      </c>
      <c r="F16901" s="2" t="str">
        <f>"9781789694376"</f>
        <v>9781789694376</v>
      </c>
    </row>
    <row r="16902" spans="1:6" s="3" customFormat="1" ht="29.1" customHeight="1" x14ac:dyDescent="0.25">
      <c r="A16902" s="2" t="s">
        <v>33327</v>
      </c>
      <c r="B16902" s="2" t="s">
        <v>33328</v>
      </c>
      <c r="C16902" s="2" t="s">
        <v>746</v>
      </c>
      <c r="D16902" s="2" t="s">
        <v>606</v>
      </c>
      <c r="E16902" s="2" t="str">
        <f>"9781784912833"</f>
        <v>9781784912833</v>
      </c>
      <c r="F16902" s="2" t="str">
        <f>"9781784912840"</f>
        <v>9781784912840</v>
      </c>
    </row>
    <row r="16903" spans="1:6" s="3" customFormat="1" ht="29.1" customHeight="1" x14ac:dyDescent="0.25">
      <c r="A16903" s="2" t="s">
        <v>33329</v>
      </c>
      <c r="B16903" s="2" t="s">
        <v>33330</v>
      </c>
      <c r="C16903" s="2" t="s">
        <v>746</v>
      </c>
      <c r="D16903" s="2" t="s">
        <v>606</v>
      </c>
      <c r="E16903" s="2" t="str">
        <f>"9781789697292"</f>
        <v>9781789697292</v>
      </c>
      <c r="F16903" s="2" t="str">
        <f>"9781789697308"</f>
        <v>9781789697308</v>
      </c>
    </row>
    <row r="16904" spans="1:6" s="3" customFormat="1" ht="29.1" customHeight="1" x14ac:dyDescent="0.25">
      <c r="A16904" s="2" t="s">
        <v>33331</v>
      </c>
      <c r="B16904" s="2" t="s">
        <v>33332</v>
      </c>
      <c r="C16904" s="2" t="s">
        <v>746</v>
      </c>
      <c r="D16904" s="2" t="s">
        <v>606</v>
      </c>
      <c r="E16904" s="2" t="str">
        <f>"9781784913137"</f>
        <v>9781784913137</v>
      </c>
      <c r="F16904" s="2" t="str">
        <f>"9781784913144"</f>
        <v>9781784913144</v>
      </c>
    </row>
    <row r="16905" spans="1:6" s="3" customFormat="1" ht="29.1" customHeight="1" x14ac:dyDescent="0.25">
      <c r="A16905" s="2" t="s">
        <v>33333</v>
      </c>
      <c r="B16905" s="2" t="s">
        <v>33334</v>
      </c>
      <c r="C16905" s="2" t="s">
        <v>746</v>
      </c>
      <c r="D16905" s="2" t="s">
        <v>606</v>
      </c>
      <c r="E16905" s="2" t="str">
        <f>"9781784915247"</f>
        <v>9781784915247</v>
      </c>
      <c r="F16905" s="2" t="str">
        <f>"9781784915254"</f>
        <v>9781784915254</v>
      </c>
    </row>
    <row r="16906" spans="1:6" s="3" customFormat="1" ht="29.1" customHeight="1" x14ac:dyDescent="0.25">
      <c r="A16906" s="2" t="s">
        <v>33335</v>
      </c>
      <c r="B16906" s="2" t="s">
        <v>33336</v>
      </c>
      <c r="C16906" s="2" t="s">
        <v>746</v>
      </c>
      <c r="D16906" s="2" t="s">
        <v>606</v>
      </c>
      <c r="E16906" s="2" t="str">
        <f>"9781789697131"</f>
        <v>9781789697131</v>
      </c>
      <c r="F16906" s="2" t="str">
        <f>"9781789697148"</f>
        <v>9781789697148</v>
      </c>
    </row>
    <row r="16907" spans="1:6" s="3" customFormat="1" ht="29.1" customHeight="1" x14ac:dyDescent="0.25">
      <c r="A16907" s="2" t="s">
        <v>33337</v>
      </c>
      <c r="B16907" s="2" t="s">
        <v>33338</v>
      </c>
      <c r="C16907" s="2" t="s">
        <v>746</v>
      </c>
      <c r="D16907" s="2" t="s">
        <v>606</v>
      </c>
      <c r="E16907" s="2" t="str">
        <f>"9781789699647"</f>
        <v>9781789699647</v>
      </c>
      <c r="F16907" s="2" t="str">
        <f>"9781789699654"</f>
        <v>9781789699654</v>
      </c>
    </row>
    <row r="16908" spans="1:6" s="3" customFormat="1" ht="29.1" customHeight="1" x14ac:dyDescent="0.25">
      <c r="A16908" s="2" t="s">
        <v>33339</v>
      </c>
      <c r="B16908" s="2" t="s">
        <v>33340</v>
      </c>
      <c r="C16908" s="2" t="s">
        <v>746</v>
      </c>
      <c r="D16908" s="2" t="s">
        <v>4185</v>
      </c>
      <c r="E16908" s="2" t="str">
        <f>"9781803270463"</f>
        <v>9781803270463</v>
      </c>
      <c r="F16908" s="2" t="str">
        <f>"9781803270470"</f>
        <v>9781803270470</v>
      </c>
    </row>
    <row r="16909" spans="1:6" s="3" customFormat="1" ht="29.1" customHeight="1" x14ac:dyDescent="0.25">
      <c r="A16909" s="2" t="s">
        <v>33341</v>
      </c>
      <c r="B16909" s="2" t="s">
        <v>33342</v>
      </c>
      <c r="C16909" s="2" t="s">
        <v>746</v>
      </c>
      <c r="D16909" s="2" t="s">
        <v>606</v>
      </c>
      <c r="E16909" s="2" t="str">
        <f>"9781784918378"</f>
        <v>9781784918378</v>
      </c>
      <c r="F16909" s="2" t="str">
        <f>"9781784918385"</f>
        <v>9781784918385</v>
      </c>
    </row>
    <row r="16910" spans="1:6" s="3" customFormat="1" ht="29.1" customHeight="1" x14ac:dyDescent="0.25">
      <c r="A16910" s="2" t="s">
        <v>33343</v>
      </c>
      <c r="B16910" s="2" t="s">
        <v>33344</v>
      </c>
      <c r="C16910" s="2" t="s">
        <v>746</v>
      </c>
      <c r="D16910" s="2" t="s">
        <v>606</v>
      </c>
      <c r="E16910" s="2" t="str">
        <f>"9781784917708"</f>
        <v>9781784917708</v>
      </c>
      <c r="F16910" s="2" t="str">
        <f>"9781784917715"</f>
        <v>9781784917715</v>
      </c>
    </row>
    <row r="16911" spans="1:6" s="3" customFormat="1" ht="29.1" customHeight="1" x14ac:dyDescent="0.25">
      <c r="A16911" s="2" t="s">
        <v>33345</v>
      </c>
      <c r="B16911" s="2" t="s">
        <v>33346</v>
      </c>
      <c r="C16911" s="2" t="s">
        <v>746</v>
      </c>
      <c r="D16911" s="2" t="s">
        <v>606</v>
      </c>
      <c r="E16911" s="2" t="str">
        <f>"9781784912970"</f>
        <v>9781784912970</v>
      </c>
      <c r="F16911" s="2" t="str">
        <f>"9781784912987"</f>
        <v>9781784912987</v>
      </c>
    </row>
    <row r="16912" spans="1:6" s="3" customFormat="1" ht="29.1" customHeight="1" x14ac:dyDescent="0.25">
      <c r="A16912" s="2" t="s">
        <v>33347</v>
      </c>
      <c r="B16912" s="2" t="s">
        <v>33348</v>
      </c>
      <c r="C16912" s="2" t="s">
        <v>746</v>
      </c>
      <c r="D16912" s="2" t="s">
        <v>606</v>
      </c>
      <c r="E16912" s="2" t="str">
        <f>"9781789692549"</f>
        <v>9781789692549</v>
      </c>
      <c r="F16912" s="2" t="str">
        <f>"9781789692556"</f>
        <v>9781789692556</v>
      </c>
    </row>
    <row r="16913" spans="1:6" s="3" customFormat="1" ht="29.1" customHeight="1" x14ac:dyDescent="0.25">
      <c r="A16913" s="2" t="s">
        <v>33349</v>
      </c>
      <c r="B16913" s="2" t="s">
        <v>33350</v>
      </c>
      <c r="C16913" s="2" t="s">
        <v>746</v>
      </c>
      <c r="D16913" s="2" t="s">
        <v>606</v>
      </c>
      <c r="E16913" s="2" t="str">
        <f>"9781784912819"</f>
        <v>9781784912819</v>
      </c>
      <c r="F16913" s="2" t="str">
        <f>"9781784912826"</f>
        <v>9781784912826</v>
      </c>
    </row>
    <row r="16914" spans="1:6" s="3" customFormat="1" ht="29.1" customHeight="1" x14ac:dyDescent="0.25">
      <c r="A16914" s="2" t="s">
        <v>33351</v>
      </c>
      <c r="B16914" s="2" t="s">
        <v>33352</v>
      </c>
      <c r="C16914" s="2" t="s">
        <v>746</v>
      </c>
      <c r="D16914" s="2" t="s">
        <v>606</v>
      </c>
      <c r="E16914" s="2" t="str">
        <f>"9781784916428"</f>
        <v>9781784916428</v>
      </c>
      <c r="F16914" s="2" t="str">
        <f>"9781784916435"</f>
        <v>9781784916435</v>
      </c>
    </row>
    <row r="16915" spans="1:6" s="3" customFormat="1" ht="29.1" customHeight="1" x14ac:dyDescent="0.25">
      <c r="A16915" s="2" t="s">
        <v>33353</v>
      </c>
      <c r="B16915" s="2" t="s">
        <v>33354</v>
      </c>
      <c r="C16915" s="2" t="s">
        <v>746</v>
      </c>
      <c r="D16915" s="2" t="s">
        <v>606</v>
      </c>
      <c r="E16915" s="2" t="str">
        <f>"9781784913977"</f>
        <v>9781784913977</v>
      </c>
      <c r="F16915" s="2" t="str">
        <f>"9781784913984"</f>
        <v>9781784913984</v>
      </c>
    </row>
    <row r="16916" spans="1:6" s="3" customFormat="1" ht="29.1" customHeight="1" x14ac:dyDescent="0.25">
      <c r="A16916" s="2" t="s">
        <v>33355</v>
      </c>
      <c r="B16916" s="2" t="s">
        <v>29749</v>
      </c>
      <c r="C16916" s="2" t="s">
        <v>746</v>
      </c>
      <c r="D16916" s="2" t="s">
        <v>606</v>
      </c>
      <c r="E16916" s="2" t="str">
        <f>"9781803271385"</f>
        <v>9781803271385</v>
      </c>
      <c r="F16916" s="2" t="str">
        <f>"9781803271392"</f>
        <v>9781803271392</v>
      </c>
    </row>
    <row r="16917" spans="1:6" s="3" customFormat="1" ht="29.1" customHeight="1" x14ac:dyDescent="0.25">
      <c r="A16917" s="2" t="s">
        <v>33356</v>
      </c>
      <c r="B16917" s="2" t="s">
        <v>33357</v>
      </c>
      <c r="C16917" s="2" t="s">
        <v>746</v>
      </c>
      <c r="D16917" s="2" t="s">
        <v>606</v>
      </c>
      <c r="E16917" s="2" t="str">
        <f>"9781789698787"</f>
        <v>9781789698787</v>
      </c>
      <c r="F16917" s="2" t="str">
        <f>"9781789698794"</f>
        <v>9781789698794</v>
      </c>
    </row>
    <row r="16918" spans="1:6" s="3" customFormat="1" ht="29.1" customHeight="1" x14ac:dyDescent="0.25">
      <c r="A16918" s="2" t="s">
        <v>33358</v>
      </c>
      <c r="B16918" s="2" t="s">
        <v>33359</v>
      </c>
      <c r="C16918" s="2" t="s">
        <v>746</v>
      </c>
      <c r="D16918" s="2" t="s">
        <v>606</v>
      </c>
      <c r="E16918" s="2" t="str">
        <f>"9781789696059"</f>
        <v>9781789696059</v>
      </c>
      <c r="F16918" s="2" t="str">
        <f>"9781789696066"</f>
        <v>9781789696066</v>
      </c>
    </row>
    <row r="16919" spans="1:6" s="3" customFormat="1" ht="29.1" customHeight="1" x14ac:dyDescent="0.25">
      <c r="A16919" s="2" t="s">
        <v>33360</v>
      </c>
      <c r="B16919" s="2" t="s">
        <v>33361</v>
      </c>
      <c r="C16919" s="2" t="s">
        <v>746</v>
      </c>
      <c r="D16919" s="2" t="s">
        <v>606</v>
      </c>
      <c r="E16919" s="2" t="str">
        <f>"9781784918354"</f>
        <v>9781784918354</v>
      </c>
      <c r="F16919" s="2" t="str">
        <f>"9781784918361"</f>
        <v>9781784918361</v>
      </c>
    </row>
    <row r="16920" spans="1:6" s="3" customFormat="1" ht="29.1" customHeight="1" x14ac:dyDescent="0.25">
      <c r="A16920" s="2" t="s">
        <v>33362</v>
      </c>
      <c r="B16920" s="2" t="s">
        <v>33363</v>
      </c>
      <c r="C16920" s="2" t="s">
        <v>746</v>
      </c>
      <c r="D16920" s="2" t="s">
        <v>606</v>
      </c>
      <c r="E16920" s="2" t="str">
        <f>"9781784912857"</f>
        <v>9781784912857</v>
      </c>
      <c r="F16920" s="2" t="str">
        <f>"9781784912864"</f>
        <v>9781784912864</v>
      </c>
    </row>
    <row r="16921" spans="1:6" s="3" customFormat="1" ht="29.1" customHeight="1" x14ac:dyDescent="0.25">
      <c r="A16921" s="2" t="s">
        <v>33364</v>
      </c>
      <c r="B16921" s="2" t="s">
        <v>33365</v>
      </c>
      <c r="C16921" s="2" t="s">
        <v>746</v>
      </c>
      <c r="D16921" s="2" t="s">
        <v>606</v>
      </c>
      <c r="E16921" s="2" t="str">
        <f>"9781789699197"</f>
        <v>9781789699197</v>
      </c>
      <c r="F16921" s="2" t="str">
        <f>"9781789699203"</f>
        <v>9781789699203</v>
      </c>
    </row>
    <row r="16922" spans="1:6" s="3" customFormat="1" ht="29.1" customHeight="1" x14ac:dyDescent="0.25">
      <c r="A16922" s="2" t="s">
        <v>33366</v>
      </c>
      <c r="B16922" s="2" t="s">
        <v>33367</v>
      </c>
      <c r="C16922" s="2" t="s">
        <v>746</v>
      </c>
      <c r="D16922" s="2" t="s">
        <v>4185</v>
      </c>
      <c r="E16922" s="2" t="str">
        <f>"9781789699456"</f>
        <v>9781789699456</v>
      </c>
      <c r="F16922" s="2" t="str">
        <f>"9781789699463"</f>
        <v>9781789699463</v>
      </c>
    </row>
    <row r="16923" spans="1:6" s="3" customFormat="1" ht="29.1" customHeight="1" x14ac:dyDescent="0.25">
      <c r="A16923" s="2" t="s">
        <v>33368</v>
      </c>
      <c r="B16923" s="2" t="s">
        <v>33369</v>
      </c>
      <c r="C16923" s="2" t="s">
        <v>746</v>
      </c>
      <c r="D16923" s="2" t="s">
        <v>606</v>
      </c>
      <c r="E16923" s="2" t="str">
        <f>"9781789697117"</f>
        <v>9781789697117</v>
      </c>
      <c r="F16923" s="2" t="str">
        <f>"9781789697124"</f>
        <v>9781789697124</v>
      </c>
    </row>
    <row r="16924" spans="1:6" s="3" customFormat="1" ht="29.1" customHeight="1" x14ac:dyDescent="0.25">
      <c r="A16924" s="2" t="s">
        <v>33370</v>
      </c>
      <c r="B16924" s="2" t="s">
        <v>33371</v>
      </c>
      <c r="C16924" s="2" t="s">
        <v>746</v>
      </c>
      <c r="D16924" s="2" t="s">
        <v>606</v>
      </c>
      <c r="E16924" s="2" t="str">
        <f>"9781789698619"</f>
        <v>9781789698619</v>
      </c>
      <c r="F16924" s="2" t="str">
        <f>"9781789698626"</f>
        <v>9781789698626</v>
      </c>
    </row>
    <row r="16925" spans="1:6" s="3" customFormat="1" ht="29.1" customHeight="1" x14ac:dyDescent="0.25">
      <c r="A16925" s="2" t="s">
        <v>33372</v>
      </c>
      <c r="B16925" s="2" t="s">
        <v>33373</v>
      </c>
      <c r="C16925" s="2" t="s">
        <v>746</v>
      </c>
      <c r="D16925" s="2" t="s">
        <v>606</v>
      </c>
      <c r="E16925" s="2" t="str">
        <f>"9781784917050"</f>
        <v>9781784917050</v>
      </c>
      <c r="F16925" s="2" t="str">
        <f>"9781784917067"</f>
        <v>9781784917067</v>
      </c>
    </row>
    <row r="16926" spans="1:6" s="3" customFormat="1" ht="29.1" customHeight="1" x14ac:dyDescent="0.25">
      <c r="A16926" s="2" t="s">
        <v>33374</v>
      </c>
      <c r="B16926" s="2" t="s">
        <v>33375</v>
      </c>
      <c r="C16926" s="2" t="s">
        <v>746</v>
      </c>
      <c r="D16926" s="2" t="s">
        <v>606</v>
      </c>
      <c r="E16926" s="2" t="str">
        <f>"9781789692600"</f>
        <v>9781789692600</v>
      </c>
      <c r="F16926" s="2" t="str">
        <f>"9781789692617"</f>
        <v>9781789692617</v>
      </c>
    </row>
    <row r="16927" spans="1:6" s="3" customFormat="1" ht="29.1" customHeight="1" x14ac:dyDescent="0.25">
      <c r="A16927" s="2" t="s">
        <v>33376</v>
      </c>
      <c r="B16927" s="2" t="s">
        <v>33377</v>
      </c>
      <c r="C16927" s="2" t="s">
        <v>746</v>
      </c>
      <c r="D16927" s="2" t="s">
        <v>606</v>
      </c>
      <c r="E16927" s="2" t="str">
        <f>"9781784919375"</f>
        <v>9781784919375</v>
      </c>
      <c r="F16927" s="2" t="str">
        <f>"9781784919382"</f>
        <v>9781784919382</v>
      </c>
    </row>
    <row r="16928" spans="1:6" s="3" customFormat="1" ht="29.1" customHeight="1" x14ac:dyDescent="0.25">
      <c r="A16928" s="2" t="s">
        <v>33378</v>
      </c>
      <c r="B16928" s="2" t="s">
        <v>33379</v>
      </c>
      <c r="C16928" s="2" t="s">
        <v>746</v>
      </c>
      <c r="D16928" s="2" t="s">
        <v>4185</v>
      </c>
      <c r="E16928" s="2" t="str">
        <f>"9781789695397"</f>
        <v>9781789695397</v>
      </c>
      <c r="F16928" s="2" t="str">
        <f>"9781789695403"</f>
        <v>9781789695403</v>
      </c>
    </row>
    <row r="16929" spans="1:6" s="3" customFormat="1" ht="29.1" customHeight="1" x14ac:dyDescent="0.25">
      <c r="A16929" s="2" t="s">
        <v>33380</v>
      </c>
      <c r="B16929" s="2" t="s">
        <v>33381</v>
      </c>
      <c r="C16929" s="2" t="s">
        <v>746</v>
      </c>
      <c r="D16929" s="2" t="s">
        <v>606</v>
      </c>
      <c r="E16929" s="2" t="str">
        <f>"9781789696912"</f>
        <v>9781789696912</v>
      </c>
      <c r="F16929" s="2" t="str">
        <f>"9781789696929"</f>
        <v>9781789696929</v>
      </c>
    </row>
    <row r="16930" spans="1:6" s="3" customFormat="1" ht="29.1" customHeight="1" x14ac:dyDescent="0.25">
      <c r="A16930" s="2" t="s">
        <v>33382</v>
      </c>
      <c r="B16930" s="2" t="s">
        <v>33383</v>
      </c>
      <c r="C16930" s="2" t="s">
        <v>746</v>
      </c>
      <c r="D16930" s="2" t="s">
        <v>1013</v>
      </c>
      <c r="E16930" s="2" t="str">
        <f>"9781789697605"</f>
        <v>9781789697605</v>
      </c>
      <c r="F16930" s="2" t="str">
        <f>"9781789697612"</f>
        <v>9781789697612</v>
      </c>
    </row>
    <row r="16931" spans="1:6" s="3" customFormat="1" ht="29.1" customHeight="1" x14ac:dyDescent="0.25">
      <c r="A16931" s="2" t="s">
        <v>33384</v>
      </c>
      <c r="B16931" s="2" t="s">
        <v>33385</v>
      </c>
      <c r="C16931" s="2" t="s">
        <v>746</v>
      </c>
      <c r="D16931" s="2" t="s">
        <v>606</v>
      </c>
      <c r="E16931" s="2" t="str">
        <f>"9781789697230"</f>
        <v>9781789697230</v>
      </c>
      <c r="F16931" s="2" t="str">
        <f>"9781789697247"</f>
        <v>9781789697247</v>
      </c>
    </row>
    <row r="16932" spans="1:6" s="3" customFormat="1" ht="29.1" customHeight="1" x14ac:dyDescent="0.25">
      <c r="A16932" s="2" t="s">
        <v>33386</v>
      </c>
      <c r="B16932" s="2" t="s">
        <v>33387</v>
      </c>
      <c r="C16932" s="2" t="s">
        <v>746</v>
      </c>
      <c r="D16932" s="2" t="s">
        <v>606</v>
      </c>
      <c r="E16932" s="2" t="str">
        <f>"9781789696516"</f>
        <v>9781789696516</v>
      </c>
      <c r="F16932" s="2" t="str">
        <f>"9781789696523"</f>
        <v>9781789696523</v>
      </c>
    </row>
    <row r="16933" spans="1:6" s="3" customFormat="1" ht="29.1" customHeight="1" x14ac:dyDescent="0.25">
      <c r="A16933" s="2" t="s">
        <v>33388</v>
      </c>
      <c r="B16933" s="2" t="s">
        <v>13803</v>
      </c>
      <c r="C16933" s="2" t="s">
        <v>746</v>
      </c>
      <c r="D16933" s="2" t="s">
        <v>606</v>
      </c>
      <c r="E16933" s="2" t="str">
        <f>"9781789699494"</f>
        <v>9781789699494</v>
      </c>
      <c r="F16933" s="2" t="str">
        <f>"9781789699500"</f>
        <v>9781789699500</v>
      </c>
    </row>
    <row r="16934" spans="1:6" s="3" customFormat="1" ht="29.1" customHeight="1" x14ac:dyDescent="0.25">
      <c r="A16934" s="2" t="s">
        <v>33389</v>
      </c>
      <c r="B16934" s="2" t="s">
        <v>33390</v>
      </c>
      <c r="C16934" s="2" t="s">
        <v>746</v>
      </c>
      <c r="D16934" s="2" t="s">
        <v>606</v>
      </c>
      <c r="E16934" s="2" t="str">
        <f>"9781803271002"</f>
        <v>9781803271002</v>
      </c>
      <c r="F16934" s="2" t="str">
        <f>"9781803271019"</f>
        <v>9781803271019</v>
      </c>
    </row>
    <row r="16935" spans="1:6" s="3" customFormat="1" ht="29.1" customHeight="1" x14ac:dyDescent="0.25">
      <c r="A16935" s="2" t="s">
        <v>33391</v>
      </c>
      <c r="B16935" s="2" t="s">
        <v>33392</v>
      </c>
      <c r="C16935" s="2" t="s">
        <v>746</v>
      </c>
      <c r="D16935" s="2" t="s">
        <v>606</v>
      </c>
      <c r="E16935" s="2" t="str">
        <f>"9781789697391"</f>
        <v>9781789697391</v>
      </c>
      <c r="F16935" s="2" t="str">
        <f>"9781789697858"</f>
        <v>9781789697858</v>
      </c>
    </row>
    <row r="16936" spans="1:6" s="3" customFormat="1" ht="29.1" customHeight="1" x14ac:dyDescent="0.25">
      <c r="A16936" s="2" t="s">
        <v>33393</v>
      </c>
      <c r="B16936" s="2" t="s">
        <v>33394</v>
      </c>
      <c r="C16936" s="2" t="s">
        <v>746</v>
      </c>
      <c r="D16936" s="2" t="s">
        <v>606</v>
      </c>
      <c r="E16936" s="2" t="str">
        <f>"9781789696653"</f>
        <v>9781789696653</v>
      </c>
      <c r="F16936" s="2" t="str">
        <f>"9781789696660"</f>
        <v>9781789696660</v>
      </c>
    </row>
    <row r="16937" spans="1:6" s="3" customFormat="1" ht="29.1" customHeight="1" x14ac:dyDescent="0.25">
      <c r="A16937" s="2" t="s">
        <v>33395</v>
      </c>
      <c r="B16937" s="2" t="s">
        <v>33396</v>
      </c>
      <c r="C16937" s="2" t="s">
        <v>746</v>
      </c>
      <c r="D16937" s="2" t="s">
        <v>606</v>
      </c>
      <c r="E16937" s="2" t="str">
        <f>"9781789697728"</f>
        <v>9781789697728</v>
      </c>
      <c r="F16937" s="2" t="str">
        <f>"9781789697735"</f>
        <v>9781789697735</v>
      </c>
    </row>
    <row r="16938" spans="1:6" s="3" customFormat="1" ht="29.1" customHeight="1" x14ac:dyDescent="0.25">
      <c r="A16938" s="2" t="s">
        <v>33397</v>
      </c>
      <c r="B16938" s="2" t="s">
        <v>33398</v>
      </c>
      <c r="C16938" s="2" t="s">
        <v>746</v>
      </c>
      <c r="D16938" s="2" t="s">
        <v>606</v>
      </c>
      <c r="E16938" s="2" t="str">
        <f>"9781784917210"</f>
        <v>9781784917210</v>
      </c>
      <c r="F16938" s="2" t="str">
        <f>"9781784917227"</f>
        <v>9781784917227</v>
      </c>
    </row>
    <row r="16939" spans="1:6" s="3" customFormat="1" ht="29.1" customHeight="1" x14ac:dyDescent="0.25">
      <c r="A16939" s="2" t="s">
        <v>33399</v>
      </c>
      <c r="B16939" s="2" t="s">
        <v>33400</v>
      </c>
      <c r="C16939" s="2" t="s">
        <v>746</v>
      </c>
      <c r="D16939" s="2" t="s">
        <v>606</v>
      </c>
      <c r="E16939" s="2" t="str">
        <f>"9781789697094"</f>
        <v>9781789697094</v>
      </c>
      <c r="F16939" s="2" t="str">
        <f>"9781789697100"</f>
        <v>9781789697100</v>
      </c>
    </row>
    <row r="16940" spans="1:6" s="3" customFormat="1" ht="29.1" customHeight="1" x14ac:dyDescent="0.25">
      <c r="A16940" s="2" t="s">
        <v>33401</v>
      </c>
      <c r="B16940" s="2" t="s">
        <v>33298</v>
      </c>
      <c r="C16940" s="2" t="s">
        <v>746</v>
      </c>
      <c r="D16940" s="2" t="s">
        <v>606</v>
      </c>
      <c r="E16940" s="2" t="str">
        <f>"9781789698695"</f>
        <v>9781789698695</v>
      </c>
      <c r="F16940" s="2" t="str">
        <f>"9781789698701"</f>
        <v>9781789698701</v>
      </c>
    </row>
    <row r="16941" spans="1:6" s="3" customFormat="1" ht="29.1" customHeight="1" x14ac:dyDescent="0.25">
      <c r="A16941" s="2" t="s">
        <v>33402</v>
      </c>
      <c r="B16941" s="2" t="s">
        <v>33403</v>
      </c>
      <c r="C16941" s="2" t="s">
        <v>746</v>
      </c>
      <c r="D16941" s="2" t="s">
        <v>4185</v>
      </c>
      <c r="E16941" s="2" t="str">
        <f>"9781789696158"</f>
        <v>9781789696158</v>
      </c>
      <c r="F16941" s="2" t="str">
        <f>"9781789696165"</f>
        <v>9781789696165</v>
      </c>
    </row>
    <row r="16942" spans="1:6" s="3" customFormat="1" ht="29.1" customHeight="1" x14ac:dyDescent="0.25">
      <c r="A16942" s="2" t="s">
        <v>33404</v>
      </c>
      <c r="B16942" s="2" t="s">
        <v>33405</v>
      </c>
      <c r="C16942" s="2" t="s">
        <v>746</v>
      </c>
      <c r="D16942" s="2" t="s">
        <v>606</v>
      </c>
      <c r="E16942" s="2" t="str">
        <f>"9781784914769"</f>
        <v>9781784914769</v>
      </c>
      <c r="F16942" s="2" t="str">
        <f>"9781784914776"</f>
        <v>9781784914776</v>
      </c>
    </row>
    <row r="16943" spans="1:6" s="3" customFormat="1" ht="29.1" customHeight="1" x14ac:dyDescent="0.25">
      <c r="A16943" s="2" t="s">
        <v>33406</v>
      </c>
      <c r="B16943" s="2" t="s">
        <v>33407</v>
      </c>
      <c r="C16943" s="2" t="s">
        <v>746</v>
      </c>
      <c r="D16943" s="2" t="s">
        <v>606</v>
      </c>
      <c r="E16943" s="2" t="str">
        <f>"9781784914127"</f>
        <v>9781784914127</v>
      </c>
      <c r="F16943" s="2" t="str">
        <f>"9781784914141"</f>
        <v>9781784914141</v>
      </c>
    </row>
    <row r="16944" spans="1:6" s="3" customFormat="1" ht="29.1" customHeight="1" x14ac:dyDescent="0.25">
      <c r="A16944" s="2" t="s">
        <v>33408</v>
      </c>
      <c r="B16944" s="2" t="s">
        <v>33409</v>
      </c>
      <c r="C16944" s="2" t="s">
        <v>746</v>
      </c>
      <c r="D16944" s="2" t="s">
        <v>606</v>
      </c>
      <c r="E16944" s="2" t="str">
        <f>"9781784913373"</f>
        <v>9781784913373</v>
      </c>
      <c r="F16944" s="2" t="str">
        <f>"9781784913380"</f>
        <v>9781784913380</v>
      </c>
    </row>
    <row r="16945" spans="1:6" s="3" customFormat="1" ht="29.1" customHeight="1" x14ac:dyDescent="0.25">
      <c r="A16945" s="2" t="s">
        <v>33410</v>
      </c>
      <c r="B16945" s="2" t="s">
        <v>33411</v>
      </c>
      <c r="C16945" s="2" t="s">
        <v>746</v>
      </c>
      <c r="D16945" s="2" t="s">
        <v>606</v>
      </c>
      <c r="E16945" s="2" t="str">
        <f>"9781789695342"</f>
        <v>9781789695342</v>
      </c>
      <c r="F16945" s="2" t="str">
        <f>"9781789695359"</f>
        <v>9781789695359</v>
      </c>
    </row>
    <row r="16946" spans="1:6" s="3" customFormat="1" ht="29.1" customHeight="1" x14ac:dyDescent="0.25">
      <c r="A16946" s="2" t="s">
        <v>33412</v>
      </c>
      <c r="B16946" s="2" t="s">
        <v>33413</v>
      </c>
      <c r="C16946" s="2" t="s">
        <v>746</v>
      </c>
      <c r="D16946" s="2" t="s">
        <v>606</v>
      </c>
      <c r="E16946" s="2" t="str">
        <f>"9781789697216"</f>
        <v>9781789697216</v>
      </c>
      <c r="F16946" s="2" t="str">
        <f>"9781789697223"</f>
        <v>9781789697223</v>
      </c>
    </row>
    <row r="16947" spans="1:6" s="3" customFormat="1" ht="29.1" customHeight="1" x14ac:dyDescent="0.25">
      <c r="A16947" s="2" t="s">
        <v>33414</v>
      </c>
      <c r="B16947" s="2" t="s">
        <v>33415</v>
      </c>
      <c r="C16947" s="2" t="s">
        <v>746</v>
      </c>
      <c r="D16947" s="2" t="s">
        <v>606</v>
      </c>
      <c r="E16947" s="2" t="str">
        <f>"9781789699227"</f>
        <v>9781789699227</v>
      </c>
      <c r="F16947" s="2" t="str">
        <f>"9781789699234"</f>
        <v>9781789699234</v>
      </c>
    </row>
    <row r="16948" spans="1:6" s="3" customFormat="1" ht="29.1" customHeight="1" x14ac:dyDescent="0.25">
      <c r="A16948" s="2" t="s">
        <v>33416</v>
      </c>
      <c r="B16948" s="2" t="s">
        <v>33417</v>
      </c>
      <c r="C16948" s="2" t="s">
        <v>746</v>
      </c>
      <c r="D16948" s="2" t="s">
        <v>606</v>
      </c>
      <c r="E16948" s="2" t="str">
        <f>"9781784911621"</f>
        <v>9781784911621</v>
      </c>
      <c r="F16948" s="2" t="str">
        <f>"9781784911638"</f>
        <v>9781784911638</v>
      </c>
    </row>
    <row r="16949" spans="1:6" s="3" customFormat="1" ht="29.1" customHeight="1" x14ac:dyDescent="0.25">
      <c r="A16949" s="2" t="s">
        <v>33418</v>
      </c>
      <c r="B16949" s="2" t="s">
        <v>33419</v>
      </c>
      <c r="C16949" s="2" t="s">
        <v>746</v>
      </c>
      <c r="D16949" s="2" t="s">
        <v>512</v>
      </c>
      <c r="E16949" s="2" t="str">
        <f>"9781789696370"</f>
        <v>9781789696370</v>
      </c>
      <c r="F16949" s="2" t="str">
        <f>"9781789696387"</f>
        <v>9781789696387</v>
      </c>
    </row>
    <row r="16950" spans="1:6" s="3" customFormat="1" ht="29.1" customHeight="1" x14ac:dyDescent="0.25">
      <c r="A16950" s="2" t="s">
        <v>33420</v>
      </c>
      <c r="B16950" s="2" t="s">
        <v>33421</v>
      </c>
      <c r="C16950" s="2" t="s">
        <v>746</v>
      </c>
      <c r="D16950" s="2" t="s">
        <v>606</v>
      </c>
      <c r="E16950" s="2" t="str">
        <f>"9781803271248"</f>
        <v>9781803271248</v>
      </c>
      <c r="F16950" s="2" t="str">
        <f>"9781803271255"</f>
        <v>9781803271255</v>
      </c>
    </row>
    <row r="16951" spans="1:6" s="3" customFormat="1" ht="29.1" customHeight="1" x14ac:dyDescent="0.25">
      <c r="A16951" s="2" t="s">
        <v>33422</v>
      </c>
      <c r="B16951" s="2" t="s">
        <v>33423</v>
      </c>
      <c r="C16951" s="2" t="s">
        <v>746</v>
      </c>
      <c r="D16951" s="2" t="s">
        <v>606</v>
      </c>
      <c r="E16951" s="2" t="str">
        <f>"9781784915001"</f>
        <v>9781784915001</v>
      </c>
      <c r="F16951" s="2" t="str">
        <f>"9781784915018"</f>
        <v>9781784915018</v>
      </c>
    </row>
    <row r="16952" spans="1:6" s="3" customFormat="1" ht="29.1" customHeight="1" x14ac:dyDescent="0.25">
      <c r="A16952" s="2" t="s">
        <v>33424</v>
      </c>
      <c r="B16952" s="2" t="s">
        <v>33425</v>
      </c>
      <c r="C16952" s="2" t="s">
        <v>746</v>
      </c>
      <c r="D16952" s="2" t="s">
        <v>606</v>
      </c>
      <c r="E16952" s="2" t="str">
        <f>"9781789696493"</f>
        <v>9781789696493</v>
      </c>
      <c r="F16952" s="2" t="str">
        <f>"9781789696509"</f>
        <v>9781789696509</v>
      </c>
    </row>
    <row r="16953" spans="1:6" s="3" customFormat="1" ht="29.1" customHeight="1" x14ac:dyDescent="0.25">
      <c r="A16953" s="2" t="s">
        <v>33426</v>
      </c>
      <c r="B16953" s="2" t="s">
        <v>33427</v>
      </c>
      <c r="C16953" s="2" t="s">
        <v>746</v>
      </c>
      <c r="D16953" s="2" t="s">
        <v>606</v>
      </c>
      <c r="E16953" s="2" t="str">
        <f>"9781784915049"</f>
        <v>9781784915049</v>
      </c>
      <c r="F16953" s="2" t="str">
        <f>"9781784915056"</f>
        <v>9781784915056</v>
      </c>
    </row>
    <row r="16954" spans="1:6" s="3" customFormat="1" ht="29.1" customHeight="1" x14ac:dyDescent="0.25">
      <c r="A16954" s="2" t="s">
        <v>33428</v>
      </c>
      <c r="B16954" s="2" t="s">
        <v>33429</v>
      </c>
      <c r="C16954" s="2" t="s">
        <v>746</v>
      </c>
      <c r="D16954" s="2" t="s">
        <v>606</v>
      </c>
      <c r="E16954" s="2" t="str">
        <f>"9781784917388"</f>
        <v>9781784917388</v>
      </c>
      <c r="F16954" s="2" t="str">
        <f>"9781784917395"</f>
        <v>9781784917395</v>
      </c>
    </row>
    <row r="16955" spans="1:6" s="3" customFormat="1" ht="29.1" customHeight="1" x14ac:dyDescent="0.25">
      <c r="A16955" s="2" t="s">
        <v>33430</v>
      </c>
      <c r="B16955" s="2" t="s">
        <v>33431</v>
      </c>
      <c r="C16955" s="2" t="s">
        <v>746</v>
      </c>
      <c r="D16955" s="2" t="s">
        <v>606</v>
      </c>
      <c r="E16955" s="2" t="str">
        <f>"9781784919474"</f>
        <v>9781784919474</v>
      </c>
      <c r="F16955" s="2" t="str">
        <f>"9781784919481"</f>
        <v>9781784919481</v>
      </c>
    </row>
    <row r="16956" spans="1:6" s="3" customFormat="1" ht="29.1" customHeight="1" x14ac:dyDescent="0.25">
      <c r="A16956" s="2" t="s">
        <v>33432</v>
      </c>
      <c r="B16956" s="2" t="s">
        <v>33433</v>
      </c>
      <c r="C16956" s="2" t="s">
        <v>746</v>
      </c>
      <c r="D16956" s="2" t="s">
        <v>606</v>
      </c>
      <c r="E16956" s="2" t="str">
        <f>"9781789695571"</f>
        <v>9781789695571</v>
      </c>
      <c r="F16956" s="2" t="str">
        <f>"9781789695588"</f>
        <v>9781789695588</v>
      </c>
    </row>
    <row r="16957" spans="1:6" s="3" customFormat="1" ht="29.1" customHeight="1" x14ac:dyDescent="0.25">
      <c r="A16957" s="2" t="s">
        <v>33434</v>
      </c>
      <c r="B16957" s="2" t="s">
        <v>33435</v>
      </c>
      <c r="C16957" s="2" t="s">
        <v>746</v>
      </c>
      <c r="D16957" s="2" t="s">
        <v>606</v>
      </c>
      <c r="E16957" s="2" t="str">
        <f>"9781789694505"</f>
        <v>9781789694505</v>
      </c>
      <c r="F16957" s="2" t="str">
        <f>"9781789694512"</f>
        <v>9781789694512</v>
      </c>
    </row>
    <row r="16958" spans="1:6" s="3" customFormat="1" ht="29.1" customHeight="1" x14ac:dyDescent="0.25">
      <c r="A16958" s="2" t="s">
        <v>33436</v>
      </c>
      <c r="B16958" s="2" t="s">
        <v>33437</v>
      </c>
      <c r="C16958" s="2" t="s">
        <v>746</v>
      </c>
      <c r="D16958" s="2" t="s">
        <v>606</v>
      </c>
      <c r="E16958" s="2" t="str">
        <f>"9781784913076"</f>
        <v>9781784913076</v>
      </c>
      <c r="F16958" s="2" t="str">
        <f>"9781784913083"</f>
        <v>9781784913083</v>
      </c>
    </row>
    <row r="16959" spans="1:6" s="3" customFormat="1" ht="29.1" customHeight="1" x14ac:dyDescent="0.25">
      <c r="A16959" s="2" t="s">
        <v>33438</v>
      </c>
      <c r="B16959" s="2" t="s">
        <v>33439</v>
      </c>
      <c r="C16959" s="2" t="s">
        <v>746</v>
      </c>
      <c r="D16959" s="2" t="s">
        <v>128</v>
      </c>
      <c r="E16959" s="2" t="str">
        <f>"9781789697681"</f>
        <v>9781789697681</v>
      </c>
      <c r="F16959" s="2" t="str">
        <f>"9781789697698"</f>
        <v>9781789697698</v>
      </c>
    </row>
    <row r="16960" spans="1:6" s="3" customFormat="1" ht="29.1" customHeight="1" x14ac:dyDescent="0.25">
      <c r="A16960" s="2" t="s">
        <v>33440</v>
      </c>
      <c r="B16960" s="2" t="s">
        <v>33441</v>
      </c>
      <c r="C16960" s="2" t="s">
        <v>746</v>
      </c>
      <c r="D16960" s="2" t="s">
        <v>606</v>
      </c>
      <c r="E16960" s="2" t="str">
        <f>"9781803271286"</f>
        <v>9781803271286</v>
      </c>
      <c r="F16960" s="2" t="str">
        <f>"9781803271293"</f>
        <v>9781803271293</v>
      </c>
    </row>
    <row r="16961" spans="1:6" s="3" customFormat="1" ht="29.1" customHeight="1" x14ac:dyDescent="0.25">
      <c r="A16961" s="2" t="s">
        <v>33442</v>
      </c>
      <c r="B16961" s="2" t="s">
        <v>33443</v>
      </c>
      <c r="C16961" s="2" t="s">
        <v>746</v>
      </c>
      <c r="D16961" s="2" t="s">
        <v>606</v>
      </c>
      <c r="E16961" s="2" t="str">
        <f>"9781803271323"</f>
        <v>9781803271323</v>
      </c>
      <c r="F16961" s="2" t="str">
        <f>"9781803271330"</f>
        <v>9781803271330</v>
      </c>
    </row>
    <row r="16962" spans="1:6" s="3" customFormat="1" ht="29.1" customHeight="1" x14ac:dyDescent="0.25">
      <c r="A16962" s="2" t="s">
        <v>33444</v>
      </c>
      <c r="B16962" s="2" t="s">
        <v>33445</v>
      </c>
      <c r="C16962" s="2" t="s">
        <v>746</v>
      </c>
      <c r="D16962" s="2" t="s">
        <v>606</v>
      </c>
      <c r="E16962" s="2" t="str">
        <f>"9781789693836"</f>
        <v>9781789693836</v>
      </c>
      <c r="F16962" s="2" t="str">
        <f>"9781789693843"</f>
        <v>9781789693843</v>
      </c>
    </row>
    <row r="16963" spans="1:6" s="3" customFormat="1" ht="29.1" customHeight="1" x14ac:dyDescent="0.25">
      <c r="A16963" s="2" t="s">
        <v>33446</v>
      </c>
      <c r="B16963" s="2" t="s">
        <v>33447</v>
      </c>
      <c r="C16963" s="2" t="s">
        <v>746</v>
      </c>
      <c r="D16963" s="2" t="s">
        <v>7702</v>
      </c>
      <c r="E16963" s="2" t="str">
        <f>"9781789695137"</f>
        <v>9781789695137</v>
      </c>
      <c r="F16963" s="2" t="str">
        <f>"9781789695144"</f>
        <v>9781789695144</v>
      </c>
    </row>
    <row r="16964" spans="1:6" s="3" customFormat="1" ht="29.1" customHeight="1" x14ac:dyDescent="0.25">
      <c r="A16964" s="2" t="s">
        <v>33448</v>
      </c>
      <c r="B16964" s="2" t="s">
        <v>33449</v>
      </c>
      <c r="C16964" s="2" t="s">
        <v>746</v>
      </c>
      <c r="D16964" s="2" t="s">
        <v>4307</v>
      </c>
      <c r="E16964" s="2" t="str">
        <f>"9781803270708"</f>
        <v>9781803270708</v>
      </c>
      <c r="F16964" s="2" t="str">
        <f>"9781803270715"</f>
        <v>9781803270715</v>
      </c>
    </row>
    <row r="16965" spans="1:6" s="3" customFormat="1" ht="29.1" customHeight="1" x14ac:dyDescent="0.25">
      <c r="A16965" s="2" t="s">
        <v>33450</v>
      </c>
      <c r="B16965" s="2" t="s">
        <v>33451</v>
      </c>
      <c r="C16965" s="2" t="s">
        <v>746</v>
      </c>
      <c r="D16965" s="2" t="s">
        <v>606</v>
      </c>
      <c r="E16965" s="2" t="str">
        <f>"9781789694895"</f>
        <v>9781789694895</v>
      </c>
      <c r="F16965" s="2" t="str">
        <f>"9781789694901"</f>
        <v>9781789694901</v>
      </c>
    </row>
    <row r="16966" spans="1:6" s="3" customFormat="1" ht="29.1" customHeight="1" x14ac:dyDescent="0.25">
      <c r="A16966" s="2" t="s">
        <v>33452</v>
      </c>
      <c r="B16966" s="2" t="s">
        <v>33453</v>
      </c>
      <c r="C16966" s="2" t="s">
        <v>746</v>
      </c>
      <c r="D16966" s="2" t="s">
        <v>5104</v>
      </c>
      <c r="E16966" s="2" t="str">
        <f>"9781803270944"</f>
        <v>9781803270944</v>
      </c>
      <c r="F16966" s="2" t="str">
        <f>"9781803270951"</f>
        <v>9781803270951</v>
      </c>
    </row>
    <row r="16967" spans="1:6" s="3" customFormat="1" ht="29.1" customHeight="1" x14ac:dyDescent="0.25">
      <c r="A16967" s="2" t="s">
        <v>33454</v>
      </c>
      <c r="B16967" s="2" t="s">
        <v>33455</v>
      </c>
      <c r="C16967" s="2" t="s">
        <v>746</v>
      </c>
      <c r="D16967" s="2" t="s">
        <v>606</v>
      </c>
      <c r="E16967" s="2" t="str">
        <f>"9781803271088"</f>
        <v>9781803271088</v>
      </c>
      <c r="F16967" s="2" t="str">
        <f>"9781803271095"</f>
        <v>9781803271095</v>
      </c>
    </row>
    <row r="16968" spans="1:6" s="3" customFormat="1" ht="29.1" customHeight="1" x14ac:dyDescent="0.25">
      <c r="A16968" s="2" t="s">
        <v>33456</v>
      </c>
      <c r="B16968" s="2" t="s">
        <v>33457</v>
      </c>
      <c r="C16968" s="2" t="s">
        <v>746</v>
      </c>
      <c r="D16968" s="2" t="s">
        <v>606</v>
      </c>
      <c r="E16968" s="2" t="str">
        <f>"9781789699890"</f>
        <v>9781789699890</v>
      </c>
      <c r="F16968" s="2" t="str">
        <f>"9781789699906"</f>
        <v>9781789699906</v>
      </c>
    </row>
    <row r="16969" spans="1:6" s="3" customFormat="1" ht="29.1" customHeight="1" x14ac:dyDescent="0.25">
      <c r="A16969" s="2" t="s">
        <v>33458</v>
      </c>
      <c r="B16969" s="2" t="s">
        <v>33459</v>
      </c>
      <c r="C16969" s="2" t="s">
        <v>29</v>
      </c>
      <c r="D16969" s="2" t="s">
        <v>63</v>
      </c>
      <c r="E16969" s="2" t="str">
        <f>"9789004506695"</f>
        <v>9789004506695</v>
      </c>
      <c r="F16969" s="2" t="str">
        <f>"9789004507319"</f>
        <v>9789004507319</v>
      </c>
    </row>
    <row r="16970" spans="1:6" s="3" customFormat="1" ht="29.1" customHeight="1" x14ac:dyDescent="0.25">
      <c r="A16970" s="2" t="s">
        <v>33460</v>
      </c>
      <c r="B16970" s="2" t="s">
        <v>33461</v>
      </c>
      <c r="C16970" s="2" t="s">
        <v>927</v>
      </c>
      <c r="D16970" s="2" t="s">
        <v>270</v>
      </c>
      <c r="E16970" s="2" t="str">
        <f>"9780472055135"</f>
        <v>9780472055135</v>
      </c>
      <c r="F16970" s="2" t="str">
        <f>"9780472902736"</f>
        <v>9780472902736</v>
      </c>
    </row>
    <row r="16971" spans="1:6" s="3" customFormat="1" ht="29.1" customHeight="1" x14ac:dyDescent="0.25">
      <c r="A16971" s="2" t="s">
        <v>33462</v>
      </c>
      <c r="B16971" s="2" t="s">
        <v>33463</v>
      </c>
      <c r="C16971" s="2" t="s">
        <v>927</v>
      </c>
      <c r="D16971" s="2" t="s">
        <v>270</v>
      </c>
      <c r="E16971" s="2" t="str">
        <f>"9780472038992"</f>
        <v>9780472038992</v>
      </c>
      <c r="F16971" s="2" t="str">
        <f>"9780472902798"</f>
        <v>9780472902798</v>
      </c>
    </row>
    <row r="16972" spans="1:6" s="3" customFormat="1" ht="29.1" customHeight="1" x14ac:dyDescent="0.25">
      <c r="A16972" s="2" t="s">
        <v>33464</v>
      </c>
      <c r="B16972" s="2" t="s">
        <v>33465</v>
      </c>
      <c r="C16972" s="2" t="s">
        <v>124</v>
      </c>
      <c r="D16972" s="2" t="s">
        <v>334</v>
      </c>
      <c r="E16972" s="2" t="str">
        <f>"9781032125893"</f>
        <v>9781032125893</v>
      </c>
      <c r="F16972" s="2" t="str">
        <f>"9781000575231"</f>
        <v>9781000575231</v>
      </c>
    </row>
    <row r="16973" spans="1:6" s="3" customFormat="1" ht="29.1" customHeight="1" x14ac:dyDescent="0.25">
      <c r="A16973" s="2" t="s">
        <v>33466</v>
      </c>
      <c r="B16973" s="2" t="s">
        <v>33467</v>
      </c>
      <c r="C16973" s="2" t="s">
        <v>124</v>
      </c>
      <c r="D16973" s="2" t="s">
        <v>256</v>
      </c>
      <c r="E16973" s="2" t="str">
        <f>"9781032110202"</f>
        <v>9781032110202</v>
      </c>
      <c r="F16973" s="2" t="str">
        <f>"9781000571653"</f>
        <v>9781000571653</v>
      </c>
    </row>
    <row r="16974" spans="1:6" s="3" customFormat="1" ht="29.1" customHeight="1" x14ac:dyDescent="0.25">
      <c r="A16974" s="2" t="s">
        <v>33468</v>
      </c>
      <c r="B16974" s="2" t="s">
        <v>33469</v>
      </c>
      <c r="C16974" s="2" t="s">
        <v>3248</v>
      </c>
      <c r="D16974" s="2" t="s">
        <v>297</v>
      </c>
      <c r="E16974" s="2" t="str">
        <f>"9781978831209"</f>
        <v>9781978831209</v>
      </c>
      <c r="F16974" s="2" t="str">
        <f>"9781978831230"</f>
        <v>9781978831230</v>
      </c>
    </row>
    <row r="16975" spans="1:6" s="3" customFormat="1" ht="29.1" customHeight="1" x14ac:dyDescent="0.25">
      <c r="A16975" s="2" t="s">
        <v>33470</v>
      </c>
      <c r="B16975" s="2" t="s">
        <v>33471</v>
      </c>
      <c r="C16975" s="2" t="s">
        <v>62</v>
      </c>
      <c r="D16975" s="2" t="s">
        <v>6939</v>
      </c>
      <c r="E16975" s="2" t="str">
        <f>"9783428184491"</f>
        <v>9783428184491</v>
      </c>
      <c r="F16975" s="2" t="str">
        <f>"9783428584499"</f>
        <v>9783428584499</v>
      </c>
    </row>
    <row r="16976" spans="1:6" s="3" customFormat="1" ht="29.1" customHeight="1" x14ac:dyDescent="0.25">
      <c r="A16976" s="2" t="s">
        <v>33472</v>
      </c>
      <c r="B16976" s="2" t="s">
        <v>33473</v>
      </c>
      <c r="C16976" s="2" t="s">
        <v>2133</v>
      </c>
      <c r="D16976" s="2" t="s">
        <v>2019</v>
      </c>
      <c r="E16976" s="2" t="str">
        <f>"9781760462246"</f>
        <v>9781760462246</v>
      </c>
      <c r="F16976" s="2" t="str">
        <f>"9781760462253"</f>
        <v>9781760462253</v>
      </c>
    </row>
    <row r="16977" spans="1:6" s="3" customFormat="1" ht="29.1" customHeight="1" x14ac:dyDescent="0.25">
      <c r="A16977" s="2" t="s">
        <v>33474</v>
      </c>
      <c r="B16977" s="2" t="s">
        <v>33475</v>
      </c>
      <c r="C16977" s="2" t="s">
        <v>2133</v>
      </c>
      <c r="D16977" s="2" t="s">
        <v>9312</v>
      </c>
      <c r="E16977" s="2" t="str">
        <f>"9781760461935"</f>
        <v>9781760461935</v>
      </c>
      <c r="F16977" s="2" t="str">
        <f>"9781760461942"</f>
        <v>9781760461942</v>
      </c>
    </row>
    <row r="16978" spans="1:6" s="3" customFormat="1" ht="29.1" customHeight="1" x14ac:dyDescent="0.25">
      <c r="A16978" s="2" t="s">
        <v>33476</v>
      </c>
      <c r="B16978" s="2" t="s">
        <v>33477</v>
      </c>
      <c r="C16978" s="2" t="s">
        <v>2133</v>
      </c>
      <c r="D16978" s="2" t="s">
        <v>818</v>
      </c>
      <c r="E16978" s="2" t="str">
        <f>"9781760461874"</f>
        <v>9781760461874</v>
      </c>
      <c r="F16978" s="2" t="str">
        <f>"9781760461881"</f>
        <v>9781760461881</v>
      </c>
    </row>
    <row r="16979" spans="1:6" s="3" customFormat="1" ht="29.1" customHeight="1" x14ac:dyDescent="0.25">
      <c r="A16979" s="2" t="s">
        <v>33478</v>
      </c>
      <c r="B16979" s="2" t="s">
        <v>33479</v>
      </c>
      <c r="C16979" s="2" t="s">
        <v>2133</v>
      </c>
      <c r="D16979" s="2" t="s">
        <v>636</v>
      </c>
      <c r="E16979" s="2" t="str">
        <f>"9781760462086"</f>
        <v>9781760462086</v>
      </c>
      <c r="F16979" s="2" t="str">
        <f>"9781760462093"</f>
        <v>9781760462093</v>
      </c>
    </row>
    <row r="16980" spans="1:6" s="3" customFormat="1" ht="29.1" customHeight="1" x14ac:dyDescent="0.25">
      <c r="A16980" s="2" t="s">
        <v>33480</v>
      </c>
      <c r="B16980" s="2" t="s">
        <v>33481</v>
      </c>
      <c r="C16980" s="2" t="s">
        <v>2133</v>
      </c>
      <c r="D16980" s="2" t="s">
        <v>4059</v>
      </c>
      <c r="E16980" s="2" t="str">
        <f>"9781760462048"</f>
        <v>9781760462048</v>
      </c>
      <c r="F16980" s="2" t="str">
        <f>"9781760462055"</f>
        <v>9781760462055</v>
      </c>
    </row>
    <row r="16981" spans="1:6" s="3" customFormat="1" ht="29.1" customHeight="1" x14ac:dyDescent="0.25">
      <c r="A16981" s="2" t="s">
        <v>33482</v>
      </c>
      <c r="B16981" s="2" t="s">
        <v>33483</v>
      </c>
      <c r="C16981" s="2" t="s">
        <v>2133</v>
      </c>
      <c r="D16981" s="2" t="s">
        <v>13300</v>
      </c>
      <c r="E16981" s="2" t="str">
        <f>"9781760461737"</f>
        <v>9781760461737</v>
      </c>
      <c r="F16981" s="2" t="str">
        <f>"9781760461744"</f>
        <v>9781760461744</v>
      </c>
    </row>
    <row r="16982" spans="1:6" s="3" customFormat="1" ht="29.1" customHeight="1" x14ac:dyDescent="0.25">
      <c r="A16982" s="2" t="s">
        <v>33484</v>
      </c>
      <c r="B16982" s="2" t="s">
        <v>33485</v>
      </c>
      <c r="C16982" s="2" t="s">
        <v>2133</v>
      </c>
      <c r="D16982" s="2" t="s">
        <v>3536</v>
      </c>
      <c r="E16982" s="2" t="str">
        <f>"9781760462147"</f>
        <v>9781760462147</v>
      </c>
      <c r="F16982" s="2" t="str">
        <f>"9781760462154"</f>
        <v>9781760462154</v>
      </c>
    </row>
    <row r="16983" spans="1:6" s="3" customFormat="1" ht="29.1" customHeight="1" x14ac:dyDescent="0.25">
      <c r="A16983" s="2" t="s">
        <v>33486</v>
      </c>
      <c r="B16983" s="2" t="s">
        <v>33487</v>
      </c>
      <c r="C16983" s="2" t="s">
        <v>2133</v>
      </c>
      <c r="D16983" s="2" t="s">
        <v>1598</v>
      </c>
      <c r="E16983" s="2" t="str">
        <f>"9781760462123"</f>
        <v>9781760462123</v>
      </c>
      <c r="F16983" s="2" t="str">
        <f>"9781760462130"</f>
        <v>9781760462130</v>
      </c>
    </row>
    <row r="16984" spans="1:6" s="3" customFormat="1" ht="29.1" customHeight="1" x14ac:dyDescent="0.25">
      <c r="A16984" s="2" t="s">
        <v>33488</v>
      </c>
      <c r="B16984" s="2" t="s">
        <v>33489</v>
      </c>
      <c r="C16984" s="2" t="s">
        <v>2133</v>
      </c>
      <c r="D16984" s="2" t="s">
        <v>818</v>
      </c>
      <c r="E16984" s="2" t="str">
        <f>"9781760462161"</f>
        <v>9781760462161</v>
      </c>
      <c r="F16984" s="2" t="str">
        <f>"9781760462178"</f>
        <v>9781760462178</v>
      </c>
    </row>
    <row r="16985" spans="1:6" s="3" customFormat="1" ht="29.1" customHeight="1" x14ac:dyDescent="0.25">
      <c r="A16985" s="2" t="s">
        <v>33490</v>
      </c>
      <c r="B16985" s="2" t="s">
        <v>28156</v>
      </c>
      <c r="C16985" s="2" t="s">
        <v>2133</v>
      </c>
      <c r="D16985" s="2" t="s">
        <v>501</v>
      </c>
      <c r="E16985" s="2" t="str">
        <f>"9781760462222"</f>
        <v>9781760462222</v>
      </c>
      <c r="F16985" s="2" t="str">
        <f>"9781760462239"</f>
        <v>9781760462239</v>
      </c>
    </row>
    <row r="16986" spans="1:6" s="3" customFormat="1" ht="29.1" customHeight="1" x14ac:dyDescent="0.25">
      <c r="A16986" s="2" t="s">
        <v>33491</v>
      </c>
      <c r="B16986" s="2" t="s">
        <v>33492</v>
      </c>
      <c r="C16986" s="2" t="s">
        <v>195</v>
      </c>
      <c r="D16986" s="2" t="s">
        <v>2307</v>
      </c>
      <c r="E16986" s="2" t="str">
        <f>"9783110703153"</f>
        <v>9783110703153</v>
      </c>
      <c r="F16986" s="2" t="str">
        <f>"9783110703245"</f>
        <v>9783110703245</v>
      </c>
    </row>
    <row r="16987" spans="1:6" s="3" customFormat="1" ht="29.1" customHeight="1" x14ac:dyDescent="0.25">
      <c r="A16987" s="2" t="s">
        <v>33493</v>
      </c>
      <c r="B16987" s="2" t="s">
        <v>33494</v>
      </c>
      <c r="C16987" s="2" t="s">
        <v>195</v>
      </c>
      <c r="D16987" s="2" t="s">
        <v>9441</v>
      </c>
      <c r="E16987" s="2" t="str">
        <f>"9783868596632"</f>
        <v>9783868596632</v>
      </c>
      <c r="F16987" s="2" t="str">
        <f>"9783868599633"</f>
        <v>9783868599633</v>
      </c>
    </row>
    <row r="16988" spans="1:6" s="3" customFormat="1" ht="29.1" customHeight="1" x14ac:dyDescent="0.25">
      <c r="A16988" s="2" t="s">
        <v>33495</v>
      </c>
      <c r="B16988" s="2" t="s">
        <v>33496</v>
      </c>
      <c r="C16988" s="2" t="s">
        <v>195</v>
      </c>
      <c r="D16988" s="2" t="s">
        <v>1189</v>
      </c>
      <c r="E16988" s="2"/>
      <c r="F16988" s="2" t="str">
        <f>"9783868599923"</f>
        <v>9783868599923</v>
      </c>
    </row>
    <row r="16989" spans="1:6" s="3" customFormat="1" ht="29.1" customHeight="1" x14ac:dyDescent="0.25">
      <c r="A16989" s="2" t="s">
        <v>33497</v>
      </c>
      <c r="B16989" s="2" t="s">
        <v>33499</v>
      </c>
      <c r="C16989" s="2" t="s">
        <v>195</v>
      </c>
      <c r="D16989" s="2" t="s">
        <v>33498</v>
      </c>
      <c r="E16989" s="2" t="str">
        <f>"9783868598568"</f>
        <v>9783868598568</v>
      </c>
      <c r="F16989" s="2" t="str">
        <f>"9783868599480"</f>
        <v>9783868599480</v>
      </c>
    </row>
    <row r="16990" spans="1:6" s="3" customFormat="1" ht="29.1" customHeight="1" x14ac:dyDescent="0.25">
      <c r="A16990" s="2" t="s">
        <v>33500</v>
      </c>
      <c r="B16990" s="2" t="s">
        <v>33501</v>
      </c>
      <c r="C16990" s="2" t="s">
        <v>195</v>
      </c>
      <c r="D16990" s="2" t="s">
        <v>9441</v>
      </c>
      <c r="E16990" s="2" t="str">
        <f>"9783868596571"</f>
        <v>9783868596571</v>
      </c>
      <c r="F16990" s="2" t="str">
        <f>"9783868599589"</f>
        <v>9783868599589</v>
      </c>
    </row>
    <row r="16991" spans="1:6" s="3" customFormat="1" ht="29.1" customHeight="1" x14ac:dyDescent="0.25">
      <c r="A16991" s="2" t="s">
        <v>33502</v>
      </c>
      <c r="B16991" s="2" t="s">
        <v>33503</v>
      </c>
      <c r="C16991" s="2" t="s">
        <v>195</v>
      </c>
      <c r="D16991" s="2" t="s">
        <v>2880</v>
      </c>
      <c r="E16991" s="2"/>
      <c r="F16991" s="2" t="str">
        <f>"9782759822553"</f>
        <v>9782759822553</v>
      </c>
    </row>
    <row r="16992" spans="1:6" s="3" customFormat="1" ht="29.1" customHeight="1" x14ac:dyDescent="0.25">
      <c r="A16992" s="2" t="s">
        <v>33504</v>
      </c>
      <c r="B16992" s="2" t="s">
        <v>33505</v>
      </c>
      <c r="C16992" s="2" t="s">
        <v>195</v>
      </c>
      <c r="D16992" s="2" t="s">
        <v>12465</v>
      </c>
      <c r="E16992" s="2"/>
      <c r="F16992" s="2" t="str">
        <f>"9782759825592"</f>
        <v>9782759825592</v>
      </c>
    </row>
    <row r="16993" spans="1:6" s="3" customFormat="1" ht="29.1" customHeight="1" x14ac:dyDescent="0.25">
      <c r="A16993" s="2" t="s">
        <v>33506</v>
      </c>
      <c r="B16993" s="2" t="s">
        <v>33507</v>
      </c>
      <c r="C16993" s="2" t="s">
        <v>195</v>
      </c>
      <c r="D16993" s="2" t="s">
        <v>12</v>
      </c>
      <c r="E16993" s="2"/>
      <c r="F16993" s="2" t="str">
        <f>"9782759825455"</f>
        <v>9782759825455</v>
      </c>
    </row>
    <row r="16994" spans="1:6" s="3" customFormat="1" ht="29.1" customHeight="1" x14ac:dyDescent="0.25">
      <c r="A16994" s="2" t="s">
        <v>33508</v>
      </c>
      <c r="B16994" s="2" t="s">
        <v>33509</v>
      </c>
      <c r="C16994" s="2" t="s">
        <v>595</v>
      </c>
      <c r="D16994" s="2" t="s">
        <v>1256</v>
      </c>
      <c r="E16994" s="2" t="str">
        <f>"9782807619340"</f>
        <v>9782807619340</v>
      </c>
      <c r="F16994" s="2" t="str">
        <f>"9782807619357"</f>
        <v>9782807619357</v>
      </c>
    </row>
    <row r="16995" spans="1:6" s="3" customFormat="1" ht="29.1" customHeight="1" x14ac:dyDescent="0.25">
      <c r="A16995" s="2" t="s">
        <v>33510</v>
      </c>
      <c r="B16995" s="2" t="s">
        <v>33511</v>
      </c>
      <c r="C16995" s="2" t="s">
        <v>26676</v>
      </c>
      <c r="D16995" s="2" t="s">
        <v>4238</v>
      </c>
      <c r="E16995" s="2" t="str">
        <f>"9781644690642"</f>
        <v>9781644690642</v>
      </c>
      <c r="F16995" s="2" t="str">
        <f>"9781644690659"</f>
        <v>9781644690659</v>
      </c>
    </row>
    <row r="16996" spans="1:6" s="3" customFormat="1" ht="29.1" customHeight="1" x14ac:dyDescent="0.25">
      <c r="A16996" s="2" t="s">
        <v>33512</v>
      </c>
      <c r="B16996" s="2" t="s">
        <v>33513</v>
      </c>
      <c r="C16996" s="2" t="s">
        <v>26676</v>
      </c>
      <c r="D16996" s="2" t="s">
        <v>202</v>
      </c>
      <c r="E16996" s="2" t="str">
        <f>"9781618118363"</f>
        <v>9781618118363</v>
      </c>
      <c r="F16996" s="2" t="str">
        <f>"9781644691137"</f>
        <v>9781644691137</v>
      </c>
    </row>
    <row r="16997" spans="1:6" s="3" customFormat="1" ht="29.1" customHeight="1" x14ac:dyDescent="0.25">
      <c r="A16997" s="2" t="s">
        <v>33514</v>
      </c>
      <c r="B16997" s="2" t="s">
        <v>33515</v>
      </c>
      <c r="C16997" s="2" t="s">
        <v>644</v>
      </c>
      <c r="D16997" s="2" t="s">
        <v>879</v>
      </c>
      <c r="E16997" s="2"/>
      <c r="F16997" s="2" t="str">
        <f>"9781478091820"</f>
        <v>9781478091820</v>
      </c>
    </row>
    <row r="16998" spans="1:6" s="3" customFormat="1" ht="29.1" customHeight="1" x14ac:dyDescent="0.25">
      <c r="A16998" s="2" t="s">
        <v>33516</v>
      </c>
      <c r="B16998" s="2" t="s">
        <v>33517</v>
      </c>
      <c r="C16998" s="2" t="s">
        <v>15181</v>
      </c>
      <c r="D16998" s="2" t="s">
        <v>15682</v>
      </c>
      <c r="E16998" s="2" t="str">
        <f>"9786155225277"</f>
        <v>9786155225277</v>
      </c>
      <c r="F16998" s="2" t="str">
        <f>"9789633864753"</f>
        <v>9789633864753</v>
      </c>
    </row>
    <row r="16999" spans="1:6" s="3" customFormat="1" ht="29.1" customHeight="1" x14ac:dyDescent="0.25">
      <c r="A16999" s="2" t="s">
        <v>33518</v>
      </c>
      <c r="B16999" s="2" t="s">
        <v>33519</v>
      </c>
      <c r="C16999" s="2" t="s">
        <v>2133</v>
      </c>
      <c r="D16999" s="2" t="s">
        <v>1422</v>
      </c>
      <c r="E16999" s="2" t="str">
        <f>"9781760464943"</f>
        <v>9781760464943</v>
      </c>
      <c r="F16999" s="2" t="str">
        <f>"9781760464950"</f>
        <v>9781760464950</v>
      </c>
    </row>
    <row r="17000" spans="1:6" s="3" customFormat="1" ht="29.1" customHeight="1" x14ac:dyDescent="0.25">
      <c r="A17000" s="2" t="s">
        <v>33520</v>
      </c>
      <c r="B17000" s="2" t="s">
        <v>33521</v>
      </c>
      <c r="C17000" s="2" t="s">
        <v>2133</v>
      </c>
      <c r="D17000" s="2" t="s">
        <v>4059</v>
      </c>
      <c r="E17000" s="2" t="str">
        <f>"9781760465001"</f>
        <v>9781760465001</v>
      </c>
      <c r="F17000" s="2" t="str">
        <f>"9781760465018"</f>
        <v>9781760465018</v>
      </c>
    </row>
    <row r="17001" spans="1:6" s="3" customFormat="1" ht="29.1" customHeight="1" x14ac:dyDescent="0.25">
      <c r="A17001" s="2" t="s">
        <v>33522</v>
      </c>
      <c r="B17001" s="2" t="s">
        <v>33523</v>
      </c>
      <c r="C17001" s="2" t="s">
        <v>2133</v>
      </c>
      <c r="D17001" s="2" t="s">
        <v>72</v>
      </c>
      <c r="E17001" s="2" t="str">
        <f>"9781760462208"</f>
        <v>9781760462208</v>
      </c>
      <c r="F17001" s="2" t="str">
        <f>"9781760462215"</f>
        <v>9781760462215</v>
      </c>
    </row>
    <row r="17002" spans="1:6" s="3" customFormat="1" ht="29.1" customHeight="1" x14ac:dyDescent="0.25">
      <c r="A17002" s="2" t="s">
        <v>33524</v>
      </c>
      <c r="B17002" s="2" t="s">
        <v>33525</v>
      </c>
      <c r="C17002" s="2" t="s">
        <v>2133</v>
      </c>
      <c r="D17002" s="2" t="s">
        <v>1717</v>
      </c>
      <c r="E17002" s="2" t="str">
        <f>"9781760462307"</f>
        <v>9781760462307</v>
      </c>
      <c r="F17002" s="2" t="str">
        <f>"9781760462314"</f>
        <v>9781760462314</v>
      </c>
    </row>
    <row r="17003" spans="1:6" s="3" customFormat="1" ht="29.1" customHeight="1" x14ac:dyDescent="0.25">
      <c r="A17003" s="2" t="s">
        <v>33526</v>
      </c>
      <c r="B17003" s="2" t="s">
        <v>33527</v>
      </c>
      <c r="C17003" s="2" t="s">
        <v>2133</v>
      </c>
      <c r="D17003" s="2" t="s">
        <v>9575</v>
      </c>
      <c r="E17003" s="2" t="str">
        <f>"9781760462062"</f>
        <v>9781760462062</v>
      </c>
      <c r="F17003" s="2" t="str">
        <f>"9781760462079"</f>
        <v>9781760462079</v>
      </c>
    </row>
    <row r="17004" spans="1:6" s="3" customFormat="1" ht="29.1" customHeight="1" x14ac:dyDescent="0.25">
      <c r="A17004" s="2" t="s">
        <v>33528</v>
      </c>
      <c r="B17004" s="2" t="s">
        <v>33529</v>
      </c>
      <c r="C17004" s="2" t="s">
        <v>62</v>
      </c>
      <c r="D17004" s="2" t="s">
        <v>6609</v>
      </c>
      <c r="E17004" s="2" t="str">
        <f>"9783428184514"</f>
        <v>9783428184514</v>
      </c>
      <c r="F17004" s="2" t="str">
        <f>"9783428584512"</f>
        <v>9783428584512</v>
      </c>
    </row>
    <row r="17005" spans="1:6" s="3" customFormat="1" ht="29.1" customHeight="1" x14ac:dyDescent="0.25">
      <c r="A17005" s="2" t="s">
        <v>33530</v>
      </c>
      <c r="B17005" s="2" t="s">
        <v>33531</v>
      </c>
      <c r="C17005" s="2" t="s">
        <v>195</v>
      </c>
      <c r="D17005" s="2" t="s">
        <v>210</v>
      </c>
      <c r="E17005" s="2" t="str">
        <f>"9783110749373"</f>
        <v>9783110749373</v>
      </c>
      <c r="F17005" s="2" t="str">
        <f>"9783110749496"</f>
        <v>9783110749496</v>
      </c>
    </row>
    <row r="17006" spans="1:6" s="3" customFormat="1" ht="29.1" customHeight="1" x14ac:dyDescent="0.25">
      <c r="A17006" s="2" t="s">
        <v>33532</v>
      </c>
      <c r="B17006" s="2" t="s">
        <v>33533</v>
      </c>
      <c r="C17006" s="2" t="s">
        <v>927</v>
      </c>
      <c r="D17006" s="2" t="s">
        <v>270</v>
      </c>
      <c r="E17006" s="2" t="str">
        <f>"9780472038978"</f>
        <v>9780472038978</v>
      </c>
      <c r="F17006" s="2" t="str">
        <f>"9780472902774"</f>
        <v>9780472902774</v>
      </c>
    </row>
    <row r="17007" spans="1:6" s="3" customFormat="1" ht="29.1" customHeight="1" x14ac:dyDescent="0.25">
      <c r="A17007" s="2" t="s">
        <v>33534</v>
      </c>
      <c r="B17007" s="2" t="s">
        <v>33537</v>
      </c>
      <c r="C17007" s="2" t="s">
        <v>33535</v>
      </c>
      <c r="D17007" s="2" t="s">
        <v>33536</v>
      </c>
      <c r="E17007" s="2" t="str">
        <f>"9798765411773"</f>
        <v>9798765411773</v>
      </c>
      <c r="F17007" s="2" t="str">
        <f>"9781649964847"</f>
        <v>9781649964847</v>
      </c>
    </row>
    <row r="17008" spans="1:6" s="3" customFormat="1" ht="29.1" customHeight="1" x14ac:dyDescent="0.25">
      <c r="A17008" s="2" t="s">
        <v>33538</v>
      </c>
      <c r="B17008" s="2" t="s">
        <v>33540</v>
      </c>
      <c r="C17008" s="2" t="s">
        <v>33535</v>
      </c>
      <c r="D17008" s="2" t="s">
        <v>33539</v>
      </c>
      <c r="E17008" s="2" t="str">
        <f>"9781649962027"</f>
        <v>9781649962027</v>
      </c>
      <c r="F17008" s="2" t="str">
        <f>"9781649962911"</f>
        <v>9781649962911</v>
      </c>
    </row>
    <row r="17009" spans="1:6" s="3" customFormat="1" ht="29.1" customHeight="1" x14ac:dyDescent="0.25">
      <c r="A17009" s="2" t="s">
        <v>33541</v>
      </c>
      <c r="B17009" s="2" t="s">
        <v>33542</v>
      </c>
      <c r="C17009" s="2" t="s">
        <v>33535</v>
      </c>
      <c r="D17009" s="2" t="s">
        <v>33536</v>
      </c>
      <c r="E17009" s="2"/>
      <c r="F17009" s="2" t="str">
        <f>"9781649964694"</f>
        <v>9781649964694</v>
      </c>
    </row>
    <row r="17010" spans="1:6" s="3" customFormat="1" ht="29.1" customHeight="1" x14ac:dyDescent="0.25">
      <c r="A17010" s="2" t="s">
        <v>33543</v>
      </c>
      <c r="B17010" s="2" t="s">
        <v>33544</v>
      </c>
      <c r="C17010" s="2" t="s">
        <v>3169</v>
      </c>
      <c r="D17010" s="2" t="s">
        <v>636</v>
      </c>
      <c r="E17010" s="2" t="str">
        <f>"9781847012869"</f>
        <v>9781847012869</v>
      </c>
      <c r="F17010" s="2" t="str">
        <f>"9781800103184"</f>
        <v>9781800103184</v>
      </c>
    </row>
    <row r="17011" spans="1:6" s="3" customFormat="1" ht="29.1" customHeight="1" x14ac:dyDescent="0.25">
      <c r="A17011" s="2" t="s">
        <v>33545</v>
      </c>
      <c r="B17011" s="2" t="s">
        <v>33546</v>
      </c>
      <c r="C17011" s="2" t="s">
        <v>556</v>
      </c>
      <c r="D17011" s="2" t="s">
        <v>18194</v>
      </c>
      <c r="E17011" s="2" t="str">
        <f>"9783837661293"</f>
        <v>9783837661293</v>
      </c>
      <c r="F17011" s="2" t="str">
        <f>"9783839461297"</f>
        <v>9783839461297</v>
      </c>
    </row>
    <row r="17012" spans="1:6" s="3" customFormat="1" ht="29.1" customHeight="1" x14ac:dyDescent="0.25">
      <c r="A17012" s="2" t="s">
        <v>33547</v>
      </c>
      <c r="B17012" s="2" t="s">
        <v>33548</v>
      </c>
      <c r="C17012" s="2" t="s">
        <v>556</v>
      </c>
      <c r="D17012" s="2" t="s">
        <v>1262</v>
      </c>
      <c r="E17012" s="2" t="str">
        <f>"9783837661125"</f>
        <v>9783837661125</v>
      </c>
      <c r="F17012" s="2" t="str">
        <f>"9783839461129"</f>
        <v>9783839461129</v>
      </c>
    </row>
    <row r="17013" spans="1:6" s="3" customFormat="1" ht="29.1" customHeight="1" x14ac:dyDescent="0.25">
      <c r="A17013" s="2" t="s">
        <v>33549</v>
      </c>
      <c r="B17013" s="2" t="s">
        <v>33550</v>
      </c>
      <c r="C17013" s="2" t="s">
        <v>556</v>
      </c>
      <c r="D17013" s="2" t="s">
        <v>75</v>
      </c>
      <c r="E17013" s="2" t="str">
        <f>"9783837661033"</f>
        <v>9783837661033</v>
      </c>
      <c r="F17013" s="2" t="str">
        <f>"9783839461037"</f>
        <v>9783839461037</v>
      </c>
    </row>
    <row r="17014" spans="1:6" s="3" customFormat="1" ht="29.1" customHeight="1" x14ac:dyDescent="0.25">
      <c r="A17014" s="2" t="s">
        <v>33551</v>
      </c>
      <c r="B17014" s="2" t="s">
        <v>33552</v>
      </c>
      <c r="C17014" s="2" t="s">
        <v>556</v>
      </c>
      <c r="D17014" s="2" t="s">
        <v>636</v>
      </c>
      <c r="E17014" s="2" t="str">
        <f>"9783837660982"</f>
        <v>9783837660982</v>
      </c>
      <c r="F17014" s="2" t="str">
        <f>"9783839460986"</f>
        <v>9783839460986</v>
      </c>
    </row>
    <row r="17015" spans="1:6" s="3" customFormat="1" ht="29.1" customHeight="1" x14ac:dyDescent="0.25">
      <c r="A17015" s="2" t="s">
        <v>33553</v>
      </c>
      <c r="B17015" s="2" t="s">
        <v>33554</v>
      </c>
      <c r="C17015" s="2" t="s">
        <v>556</v>
      </c>
      <c r="D17015" s="2" t="s">
        <v>1411</v>
      </c>
      <c r="E17015" s="2" t="str">
        <f>"9783837660760"</f>
        <v>9783837660760</v>
      </c>
      <c r="F17015" s="2" t="str">
        <f>"9783839460764"</f>
        <v>9783839460764</v>
      </c>
    </row>
    <row r="17016" spans="1:6" s="3" customFormat="1" ht="29.1" customHeight="1" x14ac:dyDescent="0.25">
      <c r="A17016" s="2" t="s">
        <v>33555</v>
      </c>
      <c r="B17016" s="2" t="s">
        <v>33556</v>
      </c>
      <c r="C17016" s="2" t="s">
        <v>556</v>
      </c>
      <c r="D17016" s="2" t="s">
        <v>1189</v>
      </c>
      <c r="E17016" s="2" t="str">
        <f>"9783837660487"</f>
        <v>9783837660487</v>
      </c>
      <c r="F17016" s="2" t="str">
        <f>"9783839460481"</f>
        <v>9783839460481</v>
      </c>
    </row>
    <row r="17017" spans="1:6" s="3" customFormat="1" ht="29.1" customHeight="1" x14ac:dyDescent="0.25">
      <c r="A17017" s="2" t="s">
        <v>33557</v>
      </c>
      <c r="B17017" s="2" t="s">
        <v>33558</v>
      </c>
      <c r="C17017" s="2" t="s">
        <v>556</v>
      </c>
      <c r="D17017" s="2" t="s">
        <v>446</v>
      </c>
      <c r="E17017" s="2" t="str">
        <f>"9783837660364"</f>
        <v>9783837660364</v>
      </c>
      <c r="F17017" s="2" t="str">
        <f>"9783839460368"</f>
        <v>9783839460368</v>
      </c>
    </row>
    <row r="17018" spans="1:6" s="3" customFormat="1" ht="29.1" customHeight="1" x14ac:dyDescent="0.25">
      <c r="A17018" s="2" t="s">
        <v>33559</v>
      </c>
      <c r="B17018" s="2" t="s">
        <v>33560</v>
      </c>
      <c r="C17018" s="2" t="s">
        <v>556</v>
      </c>
      <c r="D17018" s="2" t="s">
        <v>1422</v>
      </c>
      <c r="E17018" s="2" t="str">
        <f>"9783837660173"</f>
        <v>9783837660173</v>
      </c>
      <c r="F17018" s="2" t="str">
        <f>"9783839460177"</f>
        <v>9783839460177</v>
      </c>
    </row>
    <row r="17019" spans="1:6" s="3" customFormat="1" ht="29.1" customHeight="1" x14ac:dyDescent="0.25">
      <c r="A17019" s="2" t="s">
        <v>33561</v>
      </c>
      <c r="B17019" s="2" t="s">
        <v>33562</v>
      </c>
      <c r="C17019" s="2" t="s">
        <v>556</v>
      </c>
      <c r="D17019" s="2" t="s">
        <v>446</v>
      </c>
      <c r="E17019" s="2" t="str">
        <f>"9783837659948"</f>
        <v>9783837659948</v>
      </c>
      <c r="F17019" s="2" t="str">
        <f>"9783839459942"</f>
        <v>9783839459942</v>
      </c>
    </row>
    <row r="17020" spans="1:6" s="3" customFormat="1" ht="29.1" customHeight="1" x14ac:dyDescent="0.25">
      <c r="A17020" s="2" t="s">
        <v>33563</v>
      </c>
      <c r="B17020" s="2" t="s">
        <v>33564</v>
      </c>
      <c r="C17020" s="2" t="s">
        <v>556</v>
      </c>
      <c r="D17020" s="2" t="s">
        <v>378</v>
      </c>
      <c r="E17020" s="2" t="str">
        <f>"9783837659702"</f>
        <v>9783837659702</v>
      </c>
      <c r="F17020" s="2" t="str">
        <f>"9783839459706"</f>
        <v>9783839459706</v>
      </c>
    </row>
    <row r="17021" spans="1:6" s="3" customFormat="1" ht="29.1" customHeight="1" x14ac:dyDescent="0.25">
      <c r="A17021" s="2" t="s">
        <v>33565</v>
      </c>
      <c r="B17021" s="2" t="s">
        <v>33566</v>
      </c>
      <c r="C17021" s="2" t="s">
        <v>556</v>
      </c>
      <c r="D17021" s="2" t="s">
        <v>6559</v>
      </c>
      <c r="E17021" s="2" t="str">
        <f>"9783837659566"</f>
        <v>9783837659566</v>
      </c>
      <c r="F17021" s="2" t="str">
        <f>"9783839459560"</f>
        <v>9783839459560</v>
      </c>
    </row>
    <row r="17022" spans="1:6" s="3" customFormat="1" ht="29.1" customHeight="1" x14ac:dyDescent="0.25">
      <c r="A17022" s="2" t="s">
        <v>33567</v>
      </c>
      <c r="B17022" s="2" t="s">
        <v>33568</v>
      </c>
      <c r="C17022" s="2" t="s">
        <v>556</v>
      </c>
      <c r="D17022" s="2" t="s">
        <v>1411</v>
      </c>
      <c r="E17022" s="2" t="str">
        <f>"9783837659320"</f>
        <v>9783837659320</v>
      </c>
      <c r="F17022" s="2" t="str">
        <f>"9783839459324"</f>
        <v>9783839459324</v>
      </c>
    </row>
    <row r="17023" spans="1:6" s="3" customFormat="1" ht="29.1" customHeight="1" x14ac:dyDescent="0.25">
      <c r="A17023" s="2" t="s">
        <v>33569</v>
      </c>
      <c r="B17023" s="2" t="s">
        <v>33570</v>
      </c>
      <c r="C17023" s="2" t="s">
        <v>556</v>
      </c>
      <c r="D17023" s="2" t="s">
        <v>183</v>
      </c>
      <c r="E17023" s="2" t="str">
        <f>"9783837658934"</f>
        <v>9783837658934</v>
      </c>
      <c r="F17023" s="2" t="str">
        <f>"9783732858934"</f>
        <v>9783732858934</v>
      </c>
    </row>
    <row r="17024" spans="1:6" s="3" customFormat="1" ht="29.1" customHeight="1" x14ac:dyDescent="0.25">
      <c r="A17024" s="2" t="s">
        <v>33571</v>
      </c>
      <c r="B17024" s="2" t="s">
        <v>33572</v>
      </c>
      <c r="C17024" s="2" t="s">
        <v>556</v>
      </c>
      <c r="D17024" s="2" t="s">
        <v>75</v>
      </c>
      <c r="E17024" s="2" t="str">
        <f>"9783837658613"</f>
        <v>9783837658613</v>
      </c>
      <c r="F17024" s="2" t="str">
        <f>"9783839458617"</f>
        <v>9783839458617</v>
      </c>
    </row>
    <row r="17025" spans="1:6" s="3" customFormat="1" ht="29.1" customHeight="1" x14ac:dyDescent="0.25">
      <c r="A17025" s="2" t="s">
        <v>33573</v>
      </c>
      <c r="B17025" s="2" t="s">
        <v>33574</v>
      </c>
      <c r="C17025" s="2" t="s">
        <v>556</v>
      </c>
      <c r="D17025" s="2" t="s">
        <v>162</v>
      </c>
      <c r="E17025" s="2" t="str">
        <f>"9783837657999"</f>
        <v>9783837657999</v>
      </c>
      <c r="F17025" s="2" t="str">
        <f>"9783839457993"</f>
        <v>9783839457993</v>
      </c>
    </row>
    <row r="17026" spans="1:6" s="3" customFormat="1" ht="29.1" customHeight="1" x14ac:dyDescent="0.25">
      <c r="A17026" s="2" t="s">
        <v>33575</v>
      </c>
      <c r="B17026" s="2" t="s">
        <v>33576</v>
      </c>
      <c r="C17026" s="2" t="s">
        <v>556</v>
      </c>
      <c r="D17026" s="2" t="s">
        <v>712</v>
      </c>
      <c r="E17026" s="2" t="str">
        <f>"9783837657494"</f>
        <v>9783837657494</v>
      </c>
      <c r="F17026" s="2" t="str">
        <f>"9783839457498"</f>
        <v>9783839457498</v>
      </c>
    </row>
    <row r="17027" spans="1:6" s="3" customFormat="1" ht="29.1" customHeight="1" x14ac:dyDescent="0.25">
      <c r="A17027" s="2" t="s">
        <v>33577</v>
      </c>
      <c r="B17027" s="2" t="s">
        <v>33578</v>
      </c>
      <c r="C17027" s="2" t="s">
        <v>556</v>
      </c>
      <c r="D17027" s="2" t="s">
        <v>636</v>
      </c>
      <c r="E17027" s="2" t="str">
        <f>"9783837656916"</f>
        <v>9783837656916</v>
      </c>
      <c r="F17027" s="2" t="str">
        <f>"9783732856916"</f>
        <v>9783732856916</v>
      </c>
    </row>
    <row r="17028" spans="1:6" s="3" customFormat="1" ht="29.1" customHeight="1" x14ac:dyDescent="0.25">
      <c r="A17028" s="2" t="s">
        <v>33579</v>
      </c>
      <c r="B17028" s="2" t="s">
        <v>33580</v>
      </c>
      <c r="C17028" s="2" t="s">
        <v>556</v>
      </c>
      <c r="D17028" s="2" t="s">
        <v>3224</v>
      </c>
      <c r="E17028" s="2" t="str">
        <f>"9783837656626"</f>
        <v>9783837656626</v>
      </c>
      <c r="F17028" s="2" t="str">
        <f>"9783732856626"</f>
        <v>9783732856626</v>
      </c>
    </row>
    <row r="17029" spans="1:6" s="3" customFormat="1" ht="29.1" customHeight="1" x14ac:dyDescent="0.25">
      <c r="A17029" s="2" t="s">
        <v>33581</v>
      </c>
      <c r="B17029" s="2" t="s">
        <v>33582</v>
      </c>
      <c r="C17029" s="2" t="s">
        <v>556</v>
      </c>
      <c r="D17029" s="2" t="s">
        <v>1557</v>
      </c>
      <c r="E17029" s="2" t="str">
        <f>"9783837654318"</f>
        <v>9783837654318</v>
      </c>
      <c r="F17029" s="2" t="str">
        <f>"9783839454312"</f>
        <v>9783839454312</v>
      </c>
    </row>
    <row r="17030" spans="1:6" s="3" customFormat="1" ht="29.1" customHeight="1" x14ac:dyDescent="0.25">
      <c r="A17030" s="2" t="s">
        <v>33583</v>
      </c>
      <c r="B17030" s="2" t="s">
        <v>33584</v>
      </c>
      <c r="C17030" s="2" t="s">
        <v>556</v>
      </c>
      <c r="D17030" s="2" t="s">
        <v>1262</v>
      </c>
      <c r="E17030" s="2" t="str">
        <f>"9783837652536"</f>
        <v>9783837652536</v>
      </c>
      <c r="F17030" s="2" t="str">
        <f>"9783839452530"</f>
        <v>9783839452530</v>
      </c>
    </row>
    <row r="17031" spans="1:6" s="3" customFormat="1" ht="29.1" customHeight="1" x14ac:dyDescent="0.25">
      <c r="A17031" s="2" t="s">
        <v>33585</v>
      </c>
      <c r="B17031" s="2" t="s">
        <v>33586</v>
      </c>
      <c r="C17031" s="2" t="s">
        <v>556</v>
      </c>
      <c r="D17031" s="2" t="s">
        <v>446</v>
      </c>
      <c r="E17031" s="2" t="str">
        <f>"9783837651980"</f>
        <v>9783837651980</v>
      </c>
      <c r="F17031" s="2" t="str">
        <f>"9783839451984"</f>
        <v>9783839451984</v>
      </c>
    </row>
    <row r="17032" spans="1:6" s="3" customFormat="1" ht="29.1" customHeight="1" x14ac:dyDescent="0.25">
      <c r="A17032" s="2" t="s">
        <v>33587</v>
      </c>
      <c r="B17032" s="2" t="s">
        <v>33588</v>
      </c>
      <c r="C17032" s="2" t="s">
        <v>124</v>
      </c>
      <c r="D17032" s="2" t="s">
        <v>189</v>
      </c>
      <c r="E17032" s="2" t="str">
        <f>"9780367626648"</f>
        <v>9780367626648</v>
      </c>
      <c r="F17032" s="2" t="str">
        <f>"9781000567113"</f>
        <v>9781000567113</v>
      </c>
    </row>
    <row r="17033" spans="1:6" s="3" customFormat="1" ht="29.1" customHeight="1" x14ac:dyDescent="0.25">
      <c r="A17033" s="2" t="s">
        <v>33589</v>
      </c>
      <c r="B17033" s="2" t="s">
        <v>33590</v>
      </c>
      <c r="C17033" s="2" t="s">
        <v>15181</v>
      </c>
      <c r="D17033" s="2" t="s">
        <v>1466</v>
      </c>
      <c r="E17033" s="2" t="str">
        <f>"9789633867624"</f>
        <v>9789633867624</v>
      </c>
      <c r="F17033" s="2" t="str">
        <f>"9789633864562"</f>
        <v>9789633864562</v>
      </c>
    </row>
    <row r="17034" spans="1:6" s="3" customFormat="1" ht="29.1" customHeight="1" x14ac:dyDescent="0.25">
      <c r="A17034" s="2" t="s">
        <v>33591</v>
      </c>
      <c r="B17034" s="2" t="s">
        <v>33592</v>
      </c>
      <c r="C17034" s="2" t="s">
        <v>15181</v>
      </c>
      <c r="D17034" s="2" t="s">
        <v>7589</v>
      </c>
      <c r="E17034" s="2" t="str">
        <f>"9789633864517"</f>
        <v>9789633864517</v>
      </c>
      <c r="F17034" s="2" t="str">
        <f>"9789633864524"</f>
        <v>9789633864524</v>
      </c>
    </row>
    <row r="17035" spans="1:6" s="3" customFormat="1" ht="29.1" customHeight="1" x14ac:dyDescent="0.25">
      <c r="A17035" s="2" t="s">
        <v>33593</v>
      </c>
      <c r="B17035" s="2" t="s">
        <v>33594</v>
      </c>
      <c r="C17035" s="2" t="s">
        <v>15181</v>
      </c>
      <c r="D17035" s="2" t="s">
        <v>4552</v>
      </c>
      <c r="E17035" s="2" t="str">
        <f>"9789633864579"</f>
        <v>9789633864579</v>
      </c>
      <c r="F17035" s="2" t="str">
        <f>"9789633864586"</f>
        <v>9789633864586</v>
      </c>
    </row>
    <row r="17036" spans="1:6" s="3" customFormat="1" ht="29.1" customHeight="1" x14ac:dyDescent="0.25">
      <c r="A17036" s="2" t="s">
        <v>33595</v>
      </c>
      <c r="B17036" s="2" t="s">
        <v>33596</v>
      </c>
      <c r="C17036" s="2" t="s">
        <v>15181</v>
      </c>
      <c r="D17036" s="2" t="s">
        <v>4429</v>
      </c>
      <c r="E17036" s="2" t="str">
        <f>"9789633864357"</f>
        <v>9789633864357</v>
      </c>
      <c r="F17036" s="2" t="str">
        <f>"9789633864364"</f>
        <v>9789633864364</v>
      </c>
    </row>
    <row r="17037" spans="1:6" s="3" customFormat="1" ht="29.1" customHeight="1" x14ac:dyDescent="0.25">
      <c r="A17037" s="2" t="s">
        <v>33597</v>
      </c>
      <c r="B17037" s="2" t="s">
        <v>33598</v>
      </c>
      <c r="C17037" s="2" t="s">
        <v>15181</v>
      </c>
      <c r="D17037" s="2" t="s">
        <v>66</v>
      </c>
      <c r="E17037" s="2" t="str">
        <f>"9789633864470"</f>
        <v>9789633864470</v>
      </c>
      <c r="F17037" s="2" t="str">
        <f>"9789633864487"</f>
        <v>9789633864487</v>
      </c>
    </row>
    <row r="17038" spans="1:6" s="3" customFormat="1" ht="29.1" customHeight="1" x14ac:dyDescent="0.25">
      <c r="A17038" s="2" t="s">
        <v>33599</v>
      </c>
      <c r="B17038" s="2" t="s">
        <v>33600</v>
      </c>
      <c r="C17038" s="2" t="s">
        <v>2133</v>
      </c>
      <c r="D17038" s="2" t="s">
        <v>636</v>
      </c>
      <c r="E17038" s="2" t="str">
        <f>"9781760464707"</f>
        <v>9781760464707</v>
      </c>
      <c r="F17038" s="2" t="str">
        <f>"9781760464714"</f>
        <v>9781760464714</v>
      </c>
    </row>
    <row r="17039" spans="1:6" s="3" customFormat="1" ht="29.1" customHeight="1" x14ac:dyDescent="0.25">
      <c r="A17039" s="2" t="s">
        <v>33601</v>
      </c>
      <c r="B17039" s="2" t="s">
        <v>33602</v>
      </c>
      <c r="C17039" s="2" t="s">
        <v>2133</v>
      </c>
      <c r="D17039" s="2" t="s">
        <v>9600</v>
      </c>
      <c r="E17039" s="2" t="str">
        <f>"9781760462260"</f>
        <v>9781760462260</v>
      </c>
      <c r="F17039" s="2" t="str">
        <f>"9781760462277"</f>
        <v>9781760462277</v>
      </c>
    </row>
    <row r="17040" spans="1:6" s="3" customFormat="1" ht="29.1" customHeight="1" x14ac:dyDescent="0.25">
      <c r="A17040" s="2" t="s">
        <v>33603</v>
      </c>
      <c r="B17040" s="2" t="s">
        <v>33604</v>
      </c>
      <c r="C17040" s="2" t="s">
        <v>2133</v>
      </c>
      <c r="D17040" s="2" t="s">
        <v>1867</v>
      </c>
      <c r="E17040" s="2" t="str">
        <f>"9781760462468"</f>
        <v>9781760462468</v>
      </c>
      <c r="F17040" s="2" t="str">
        <f>"9781760462475"</f>
        <v>9781760462475</v>
      </c>
    </row>
    <row r="17041" spans="1:6" s="3" customFormat="1" ht="29.1" customHeight="1" x14ac:dyDescent="0.25">
      <c r="A17041" s="2" t="s">
        <v>33605</v>
      </c>
      <c r="B17041" s="2" t="s">
        <v>33606</v>
      </c>
      <c r="C17041" s="2" t="s">
        <v>20</v>
      </c>
      <c r="D17041" s="2" t="s">
        <v>24</v>
      </c>
      <c r="E17041" s="2" t="str">
        <f>"9783763912056"</f>
        <v>9783763912056</v>
      </c>
      <c r="F17041" s="2" t="str">
        <f>"9783763912063"</f>
        <v>9783763912063</v>
      </c>
    </row>
    <row r="17042" spans="1:6" s="3" customFormat="1" ht="29.1" customHeight="1" x14ac:dyDescent="0.25">
      <c r="A17042" s="2" t="s">
        <v>33607</v>
      </c>
      <c r="B17042" s="2" t="s">
        <v>33608</v>
      </c>
      <c r="C17042" s="2" t="s">
        <v>248</v>
      </c>
      <c r="D17042" s="2" t="s">
        <v>1155</v>
      </c>
      <c r="E17042" s="2" t="str">
        <f>"9783847425380"</f>
        <v>9783847425380</v>
      </c>
      <c r="F17042" s="2" t="str">
        <f>"9783847416937"</f>
        <v>9783847416937</v>
      </c>
    </row>
    <row r="17043" spans="1:6" s="3" customFormat="1" ht="29.1" customHeight="1" x14ac:dyDescent="0.25">
      <c r="A17043" s="2" t="s">
        <v>33609</v>
      </c>
      <c r="B17043" s="2" t="s">
        <v>33610</v>
      </c>
      <c r="C17043" s="2" t="s">
        <v>4788</v>
      </c>
      <c r="D17043" s="2" t="s">
        <v>14428</v>
      </c>
      <c r="E17043" s="2" t="str">
        <f>"9781474493079"</f>
        <v>9781474493079</v>
      </c>
      <c r="F17043" s="2" t="str">
        <f>"9781474493093"</f>
        <v>9781474493093</v>
      </c>
    </row>
    <row r="17044" spans="1:6" s="3" customFormat="1" ht="29.1" customHeight="1" x14ac:dyDescent="0.25">
      <c r="A17044" s="2" t="s">
        <v>33611</v>
      </c>
      <c r="B17044" s="2" t="s">
        <v>33612</v>
      </c>
      <c r="C17044" s="2" t="s">
        <v>4788</v>
      </c>
      <c r="D17044" s="2" t="s">
        <v>5104</v>
      </c>
      <c r="E17044" s="2" t="str">
        <f>"9781474426602"</f>
        <v>9781474426602</v>
      </c>
      <c r="F17044" s="2" t="str">
        <f>"9781474426626"</f>
        <v>9781474426626</v>
      </c>
    </row>
    <row r="17045" spans="1:6" s="3" customFormat="1" ht="29.1" customHeight="1" x14ac:dyDescent="0.25">
      <c r="A17045" s="2" t="s">
        <v>33613</v>
      </c>
      <c r="B17045" s="2" t="s">
        <v>33614</v>
      </c>
      <c r="C17045" s="2" t="s">
        <v>595</v>
      </c>
      <c r="D17045" s="2" t="s">
        <v>1999</v>
      </c>
      <c r="E17045" s="2" t="str">
        <f>"9783631844380"</f>
        <v>9783631844380</v>
      </c>
      <c r="F17045" s="2" t="str">
        <f>"9783631856499"</f>
        <v>9783631856499</v>
      </c>
    </row>
    <row r="17046" spans="1:6" s="3" customFormat="1" ht="29.1" customHeight="1" x14ac:dyDescent="0.25">
      <c r="A17046" s="2" t="s">
        <v>33615</v>
      </c>
      <c r="B17046" s="2" t="s">
        <v>33616</v>
      </c>
      <c r="C17046" s="2" t="s">
        <v>595</v>
      </c>
      <c r="D17046" s="2" t="s">
        <v>1463</v>
      </c>
      <c r="E17046" s="2" t="str">
        <f>"9783631817001"</f>
        <v>9783631817001</v>
      </c>
      <c r="F17046" s="2" t="str">
        <f>"9783631871546"</f>
        <v>9783631871546</v>
      </c>
    </row>
    <row r="17047" spans="1:6" s="3" customFormat="1" ht="29.1" customHeight="1" x14ac:dyDescent="0.25">
      <c r="A17047" s="2" t="s">
        <v>33617</v>
      </c>
      <c r="B17047" s="2" t="s">
        <v>33618</v>
      </c>
      <c r="C17047" s="2" t="s">
        <v>131</v>
      </c>
      <c r="D17047" s="2" t="s">
        <v>2307</v>
      </c>
      <c r="E17047" s="2" t="str">
        <f>"9789027210784"</f>
        <v>9789027210784</v>
      </c>
      <c r="F17047" s="2" t="str">
        <f>"9789027258168"</f>
        <v>9789027258168</v>
      </c>
    </row>
    <row r="17048" spans="1:6" s="3" customFormat="1" ht="29.1" customHeight="1" x14ac:dyDescent="0.25">
      <c r="A17048" s="2" t="s">
        <v>33619</v>
      </c>
      <c r="B17048" s="2" t="s">
        <v>29608</v>
      </c>
      <c r="C17048" s="2" t="s">
        <v>195</v>
      </c>
      <c r="D17048" s="2" t="s">
        <v>465</v>
      </c>
      <c r="E17048" s="2" t="str">
        <f>"9783110703351"</f>
        <v>9783110703351</v>
      </c>
      <c r="F17048" s="2" t="str">
        <f>"9783110703467"</f>
        <v>9783110703467</v>
      </c>
    </row>
    <row r="17049" spans="1:6" s="3" customFormat="1" ht="29.1" customHeight="1" x14ac:dyDescent="0.25">
      <c r="A17049" s="2" t="s">
        <v>33620</v>
      </c>
      <c r="B17049" s="2" t="s">
        <v>33621</v>
      </c>
      <c r="C17049" s="2" t="s">
        <v>195</v>
      </c>
      <c r="D17049" s="2" t="s">
        <v>7460</v>
      </c>
      <c r="E17049" s="2" t="str">
        <f>"9783110766233"</f>
        <v>9783110766233</v>
      </c>
      <c r="F17049" s="2" t="str">
        <f>"9783110767711"</f>
        <v>9783110767711</v>
      </c>
    </row>
    <row r="17050" spans="1:6" s="3" customFormat="1" ht="29.1" customHeight="1" x14ac:dyDescent="0.25">
      <c r="A17050" s="2" t="s">
        <v>33622</v>
      </c>
      <c r="B17050" s="2" t="s">
        <v>33623</v>
      </c>
      <c r="C17050" s="2" t="s">
        <v>195</v>
      </c>
      <c r="D17050" s="2" t="s">
        <v>6678</v>
      </c>
      <c r="E17050" s="2" t="str">
        <f>"9783110762969"</f>
        <v>9783110762969</v>
      </c>
      <c r="F17050" s="2" t="str">
        <f>"9783110763119"</f>
        <v>9783110763119</v>
      </c>
    </row>
    <row r="17051" spans="1:6" s="3" customFormat="1" ht="29.1" customHeight="1" x14ac:dyDescent="0.25">
      <c r="A17051" s="2" t="s">
        <v>33624</v>
      </c>
      <c r="B17051" s="2" t="s">
        <v>33625</v>
      </c>
      <c r="C17051" s="2" t="s">
        <v>4788</v>
      </c>
      <c r="D17051" s="2" t="s">
        <v>1155</v>
      </c>
      <c r="E17051" s="2" t="str">
        <f>"9781474485784"</f>
        <v>9781474485784</v>
      </c>
      <c r="F17051" s="2" t="str">
        <f>"9781474485807"</f>
        <v>9781474485807</v>
      </c>
    </row>
    <row r="17052" spans="1:6" s="3" customFormat="1" ht="29.1" customHeight="1" x14ac:dyDescent="0.25">
      <c r="A17052" s="2" t="s">
        <v>33626</v>
      </c>
      <c r="B17052" s="2" t="s">
        <v>33627</v>
      </c>
      <c r="C17052" s="2" t="s">
        <v>4788</v>
      </c>
      <c r="D17052" s="2" t="s">
        <v>4868</v>
      </c>
      <c r="E17052" s="2" t="str">
        <f>"9781474483018"</f>
        <v>9781474483018</v>
      </c>
      <c r="F17052" s="2" t="str">
        <f>"9781474483032"</f>
        <v>9781474483032</v>
      </c>
    </row>
    <row r="17053" spans="1:6" s="3" customFormat="1" ht="29.1" customHeight="1" x14ac:dyDescent="0.25">
      <c r="A17053" s="2" t="s">
        <v>33628</v>
      </c>
      <c r="B17053" s="2" t="s">
        <v>33629</v>
      </c>
      <c r="C17053" s="2" t="s">
        <v>4788</v>
      </c>
      <c r="D17053" s="2" t="s">
        <v>5574</v>
      </c>
      <c r="E17053" s="2" t="str">
        <f>"9781474461986"</f>
        <v>9781474461986</v>
      </c>
      <c r="F17053" s="2" t="str">
        <f>"9781474462006"</f>
        <v>9781474462006</v>
      </c>
    </row>
    <row r="17054" spans="1:6" s="3" customFormat="1" ht="29.1" customHeight="1" x14ac:dyDescent="0.25">
      <c r="A17054" s="2" t="s">
        <v>33630</v>
      </c>
      <c r="B17054" s="2" t="s">
        <v>17452</v>
      </c>
      <c r="C17054" s="2" t="s">
        <v>124</v>
      </c>
      <c r="D17054" s="2" t="s">
        <v>2086</v>
      </c>
      <c r="E17054" s="2" t="str">
        <f>"9781032055060"</f>
        <v>9781032055060</v>
      </c>
      <c r="F17054" s="2" t="str">
        <f>"9781000567595"</f>
        <v>9781000567595</v>
      </c>
    </row>
    <row r="17055" spans="1:6" s="3" customFormat="1" ht="29.1" customHeight="1" x14ac:dyDescent="0.25">
      <c r="A17055" s="2" t="s">
        <v>33631</v>
      </c>
      <c r="B17055" s="2" t="s">
        <v>28239</v>
      </c>
      <c r="C17055" s="2" t="s">
        <v>950</v>
      </c>
      <c r="D17055" s="2" t="s">
        <v>1013</v>
      </c>
      <c r="E17055" s="2"/>
      <c r="F17055" s="2" t="str">
        <f>"9788413776460"</f>
        <v>9788413776460</v>
      </c>
    </row>
    <row r="17056" spans="1:6" s="3" customFormat="1" ht="29.1" customHeight="1" x14ac:dyDescent="0.25">
      <c r="A17056" s="2" t="s">
        <v>33632</v>
      </c>
      <c r="B17056" s="2" t="s">
        <v>33633</v>
      </c>
      <c r="C17056" s="2" t="s">
        <v>950</v>
      </c>
      <c r="D17056" s="2" t="s">
        <v>3958</v>
      </c>
      <c r="E17056" s="2"/>
      <c r="F17056" s="2" t="str">
        <f>"9788413775937"</f>
        <v>9788413775937</v>
      </c>
    </row>
    <row r="17057" spans="1:6" s="3" customFormat="1" ht="29.1" customHeight="1" x14ac:dyDescent="0.25">
      <c r="A17057" s="2" t="s">
        <v>33634</v>
      </c>
      <c r="B17057" s="2" t="s">
        <v>33635</v>
      </c>
      <c r="C17057" s="2" t="s">
        <v>950</v>
      </c>
      <c r="D17057" s="2" t="s">
        <v>1013</v>
      </c>
      <c r="E17057" s="2"/>
      <c r="F17057" s="2" t="str">
        <f>"9788413775906"</f>
        <v>9788413775906</v>
      </c>
    </row>
    <row r="17058" spans="1:6" s="3" customFormat="1" ht="29.1" customHeight="1" x14ac:dyDescent="0.25">
      <c r="A17058" s="2" t="s">
        <v>33636</v>
      </c>
      <c r="B17058" s="2" t="s">
        <v>33637</v>
      </c>
      <c r="C17058" s="2" t="s">
        <v>950</v>
      </c>
      <c r="D17058" s="2" t="s">
        <v>490</v>
      </c>
      <c r="E17058" s="2"/>
      <c r="F17058" s="2" t="str">
        <f>"9788413775685"</f>
        <v>9788413775685</v>
      </c>
    </row>
    <row r="17059" spans="1:6" s="3" customFormat="1" ht="29.1" customHeight="1" x14ac:dyDescent="0.25">
      <c r="A17059" s="2" t="s">
        <v>33638</v>
      </c>
      <c r="B17059" s="2" t="s">
        <v>33639</v>
      </c>
      <c r="C17059" s="2" t="s">
        <v>950</v>
      </c>
      <c r="D17059" s="2" t="s">
        <v>1155</v>
      </c>
      <c r="E17059" s="2"/>
      <c r="F17059" s="2" t="str">
        <f>"9788413776446"</f>
        <v>9788413776446</v>
      </c>
    </row>
    <row r="17060" spans="1:6" s="3" customFormat="1" ht="29.1" customHeight="1" x14ac:dyDescent="0.25">
      <c r="A17060" s="2" t="s">
        <v>33640</v>
      </c>
      <c r="B17060" s="2" t="s">
        <v>33641</v>
      </c>
      <c r="C17060" s="2" t="s">
        <v>950</v>
      </c>
      <c r="D17060" s="2" t="s">
        <v>553</v>
      </c>
      <c r="E17060" s="2"/>
      <c r="F17060" s="2" t="str">
        <f>"9788413776415"</f>
        <v>9788413776415</v>
      </c>
    </row>
    <row r="17061" spans="1:6" s="3" customFormat="1" ht="29.1" customHeight="1" x14ac:dyDescent="0.25">
      <c r="A17061" s="2" t="s">
        <v>33642</v>
      </c>
      <c r="B17061" s="2" t="s">
        <v>33643</v>
      </c>
      <c r="C17061" s="2" t="s">
        <v>950</v>
      </c>
      <c r="D17061" s="2" t="s">
        <v>550</v>
      </c>
      <c r="E17061" s="2"/>
      <c r="F17061" s="2" t="str">
        <f>"9788413776408"</f>
        <v>9788413776408</v>
      </c>
    </row>
    <row r="17062" spans="1:6" s="3" customFormat="1" ht="29.1" customHeight="1" x14ac:dyDescent="0.25">
      <c r="A17062" s="2" t="s">
        <v>33644</v>
      </c>
      <c r="B17062" s="2" t="s">
        <v>33645</v>
      </c>
      <c r="C17062" s="2" t="s">
        <v>950</v>
      </c>
      <c r="D17062" s="2" t="s">
        <v>37</v>
      </c>
      <c r="E17062" s="2"/>
      <c r="F17062" s="2" t="str">
        <f>"9788413776392"</f>
        <v>9788413776392</v>
      </c>
    </row>
    <row r="17063" spans="1:6" s="3" customFormat="1" ht="29.1" customHeight="1" x14ac:dyDescent="0.25">
      <c r="A17063" s="2" t="s">
        <v>33646</v>
      </c>
      <c r="B17063" s="2" t="s">
        <v>33647</v>
      </c>
      <c r="C17063" s="2" t="s">
        <v>950</v>
      </c>
      <c r="D17063" s="2" t="s">
        <v>550</v>
      </c>
      <c r="E17063" s="2"/>
      <c r="F17063" s="2" t="str">
        <f>"9788413775944"</f>
        <v>9788413775944</v>
      </c>
    </row>
    <row r="17064" spans="1:6" s="3" customFormat="1" ht="29.1" customHeight="1" x14ac:dyDescent="0.25">
      <c r="A17064" s="2" t="s">
        <v>33648</v>
      </c>
      <c r="B17064" s="2" t="s">
        <v>33633</v>
      </c>
      <c r="C17064" s="2" t="s">
        <v>950</v>
      </c>
      <c r="D17064" s="2" t="s">
        <v>550</v>
      </c>
      <c r="E17064" s="2"/>
      <c r="F17064" s="2" t="str">
        <f>"9788413775920"</f>
        <v>9788413775920</v>
      </c>
    </row>
    <row r="17065" spans="1:6" s="3" customFormat="1" ht="29.1" customHeight="1" x14ac:dyDescent="0.25">
      <c r="A17065" s="2" t="s">
        <v>33649</v>
      </c>
      <c r="B17065" s="2" t="s">
        <v>33650</v>
      </c>
      <c r="C17065" s="2" t="s">
        <v>950</v>
      </c>
      <c r="D17065" s="2" t="s">
        <v>1013</v>
      </c>
      <c r="E17065" s="2"/>
      <c r="F17065" s="2" t="str">
        <f>"9788413775913"</f>
        <v>9788413775913</v>
      </c>
    </row>
    <row r="17066" spans="1:6" s="3" customFormat="1" ht="29.1" customHeight="1" x14ac:dyDescent="0.25">
      <c r="A17066" s="2" t="s">
        <v>33651</v>
      </c>
      <c r="B17066" s="2" t="s">
        <v>27376</v>
      </c>
      <c r="C17066" s="2" t="s">
        <v>950</v>
      </c>
      <c r="D17066" s="2" t="s">
        <v>1043</v>
      </c>
      <c r="E17066" s="2"/>
      <c r="F17066" s="2" t="str">
        <f>"9788413775890"</f>
        <v>9788413775890</v>
      </c>
    </row>
    <row r="17067" spans="1:6" s="3" customFormat="1" ht="29.1" customHeight="1" x14ac:dyDescent="0.25">
      <c r="A17067" s="2" t="s">
        <v>33652</v>
      </c>
      <c r="B17067" s="2" t="s">
        <v>33653</v>
      </c>
      <c r="C17067" s="2" t="s">
        <v>950</v>
      </c>
      <c r="D17067" s="2" t="s">
        <v>183</v>
      </c>
      <c r="E17067" s="2"/>
      <c r="F17067" s="2" t="str">
        <f>"9788413775661"</f>
        <v>9788413775661</v>
      </c>
    </row>
    <row r="17068" spans="1:6" s="3" customFormat="1" ht="29.1" customHeight="1" x14ac:dyDescent="0.25">
      <c r="A17068" s="2" t="s">
        <v>33654</v>
      </c>
      <c r="B17068" s="2" t="s">
        <v>28255</v>
      </c>
      <c r="C17068" s="2" t="s">
        <v>950</v>
      </c>
      <c r="D17068" s="2" t="s">
        <v>183</v>
      </c>
      <c r="E17068" s="2"/>
      <c r="F17068" s="2" t="str">
        <f>"9788413775654"</f>
        <v>9788413775654</v>
      </c>
    </row>
    <row r="17069" spans="1:6" s="3" customFormat="1" ht="29.1" customHeight="1" x14ac:dyDescent="0.25">
      <c r="A17069" s="2" t="s">
        <v>33655</v>
      </c>
      <c r="B17069" s="2" t="s">
        <v>33656</v>
      </c>
      <c r="C17069" s="2" t="s">
        <v>950</v>
      </c>
      <c r="D17069" s="2" t="s">
        <v>1228</v>
      </c>
      <c r="E17069" s="2"/>
      <c r="F17069" s="2" t="str">
        <f>"9788413775647"</f>
        <v>9788413775647</v>
      </c>
    </row>
    <row r="17070" spans="1:6" s="3" customFormat="1" ht="29.1" customHeight="1" x14ac:dyDescent="0.25">
      <c r="A17070" s="2" t="s">
        <v>33657</v>
      </c>
      <c r="B17070" s="2" t="s">
        <v>33658</v>
      </c>
      <c r="C17070" s="2" t="s">
        <v>950</v>
      </c>
      <c r="D17070" s="2" t="s">
        <v>550</v>
      </c>
      <c r="E17070" s="2"/>
      <c r="F17070" s="2" t="str">
        <f>"9788413775630"</f>
        <v>9788413775630</v>
      </c>
    </row>
    <row r="17071" spans="1:6" s="3" customFormat="1" ht="29.1" customHeight="1" x14ac:dyDescent="0.25">
      <c r="A17071" s="2" t="s">
        <v>33659</v>
      </c>
      <c r="B17071" s="2" t="s">
        <v>28267</v>
      </c>
      <c r="C17071" s="2" t="s">
        <v>950</v>
      </c>
      <c r="D17071" s="2" t="s">
        <v>1013</v>
      </c>
      <c r="E17071" s="2"/>
      <c r="F17071" s="2" t="str">
        <f>"9788413775609"</f>
        <v>9788413775609</v>
      </c>
    </row>
    <row r="17072" spans="1:6" s="3" customFormat="1" ht="29.1" customHeight="1" x14ac:dyDescent="0.25">
      <c r="A17072" s="2" t="s">
        <v>33660</v>
      </c>
      <c r="B17072" s="2" t="s">
        <v>33661</v>
      </c>
      <c r="C17072" s="2" t="s">
        <v>950</v>
      </c>
      <c r="D17072" s="2" t="s">
        <v>14127</v>
      </c>
      <c r="E17072" s="2"/>
      <c r="F17072" s="2" t="str">
        <f>"9788413774596"</f>
        <v>9788413774596</v>
      </c>
    </row>
    <row r="17073" spans="1:6" s="3" customFormat="1" ht="29.1" customHeight="1" x14ac:dyDescent="0.25">
      <c r="A17073" s="2" t="s">
        <v>33662</v>
      </c>
      <c r="B17073" s="2" t="s">
        <v>33663</v>
      </c>
      <c r="C17073" s="2" t="s">
        <v>2133</v>
      </c>
      <c r="D17073" s="2" t="s">
        <v>1449</v>
      </c>
      <c r="E17073" s="2" t="str">
        <f>"9781760464981"</f>
        <v>9781760464981</v>
      </c>
      <c r="F17073" s="2" t="str">
        <f>"9781760464998"</f>
        <v>9781760464998</v>
      </c>
    </row>
    <row r="17074" spans="1:6" s="3" customFormat="1" ht="29.1" customHeight="1" x14ac:dyDescent="0.25">
      <c r="A17074" s="2" t="s">
        <v>33664</v>
      </c>
      <c r="B17074" s="2" t="s">
        <v>33665</v>
      </c>
      <c r="C17074" s="2" t="s">
        <v>4104</v>
      </c>
      <c r="D17074" s="2" t="s">
        <v>5903</v>
      </c>
      <c r="E17074" s="2" t="str">
        <f>"9781800348455"</f>
        <v>9781800348455</v>
      </c>
      <c r="F17074" s="2" t="str">
        <f>"9781800345515"</f>
        <v>9781800345515</v>
      </c>
    </row>
    <row r="17075" spans="1:6" s="3" customFormat="1" ht="29.1" customHeight="1" x14ac:dyDescent="0.25">
      <c r="A17075" s="2" t="s">
        <v>33666</v>
      </c>
      <c r="B17075" s="2" t="s">
        <v>33667</v>
      </c>
      <c r="C17075" s="2" t="s">
        <v>20</v>
      </c>
      <c r="D17075" s="2" t="s">
        <v>553</v>
      </c>
      <c r="E17075" s="2" t="str">
        <f>"9783763960347"</f>
        <v>9783763960347</v>
      </c>
      <c r="F17075" s="2" t="str">
        <f>"9783763960354"</f>
        <v>9783763960354</v>
      </c>
    </row>
    <row r="17076" spans="1:6" s="3" customFormat="1" ht="29.1" customHeight="1" x14ac:dyDescent="0.25">
      <c r="A17076" s="2" t="s">
        <v>33668</v>
      </c>
      <c r="B17076" s="2" t="s">
        <v>33669</v>
      </c>
      <c r="C17076" s="2" t="s">
        <v>195</v>
      </c>
      <c r="D17076" s="2" t="s">
        <v>402</v>
      </c>
      <c r="E17076" s="2" t="str">
        <f>"9783110534320"</f>
        <v>9783110534320</v>
      </c>
      <c r="F17076" s="2" t="str">
        <f>"9783110534375"</f>
        <v>9783110534375</v>
      </c>
    </row>
    <row r="17077" spans="1:6" s="3" customFormat="1" ht="29.1" customHeight="1" x14ac:dyDescent="0.25">
      <c r="A17077" s="2" t="s">
        <v>33670</v>
      </c>
      <c r="B17077" s="2" t="s">
        <v>33671</v>
      </c>
      <c r="C17077" s="2" t="s">
        <v>195</v>
      </c>
      <c r="D17077" s="2" t="s">
        <v>636</v>
      </c>
      <c r="E17077" s="2" t="str">
        <f>"9788366675292"</f>
        <v>9788366675292</v>
      </c>
      <c r="F17077" s="2" t="str">
        <f>"9788366675308"</f>
        <v>9788366675308</v>
      </c>
    </row>
    <row r="17078" spans="1:6" s="3" customFormat="1" ht="29.1" customHeight="1" x14ac:dyDescent="0.25">
      <c r="A17078" s="2" t="s">
        <v>33672</v>
      </c>
      <c r="B17078" s="2" t="s">
        <v>33673</v>
      </c>
      <c r="C17078" s="2" t="s">
        <v>195</v>
      </c>
      <c r="D17078" s="2" t="s">
        <v>33</v>
      </c>
      <c r="E17078" s="2" t="str">
        <f>"9783110745450"</f>
        <v>9783110745450</v>
      </c>
      <c r="F17078" s="2" t="str">
        <f>"9783110753301"</f>
        <v>9783110753301</v>
      </c>
    </row>
    <row r="17079" spans="1:6" s="3" customFormat="1" ht="29.1" customHeight="1" x14ac:dyDescent="0.25">
      <c r="A17079" s="2" t="s">
        <v>33674</v>
      </c>
      <c r="B17079" s="2" t="s">
        <v>33675</v>
      </c>
      <c r="C17079" s="2" t="s">
        <v>195</v>
      </c>
      <c r="D17079" s="2" t="s">
        <v>2307</v>
      </c>
      <c r="E17079" s="2" t="str">
        <f>"9783110681611"</f>
        <v>9783110681611</v>
      </c>
      <c r="F17079" s="2" t="str">
        <f>"9783110681710"</f>
        <v>9783110681710</v>
      </c>
    </row>
    <row r="17080" spans="1:6" s="3" customFormat="1" ht="29.1" customHeight="1" x14ac:dyDescent="0.25">
      <c r="A17080" s="2" t="s">
        <v>33676</v>
      </c>
      <c r="B17080" s="2" t="s">
        <v>33677</v>
      </c>
      <c r="C17080" s="2" t="s">
        <v>195</v>
      </c>
      <c r="D17080" s="2" t="s">
        <v>210</v>
      </c>
      <c r="E17080" s="2" t="str">
        <f>"9783110746068"</f>
        <v>9783110746068</v>
      </c>
      <c r="F17080" s="2" t="str">
        <f>"9783110759891"</f>
        <v>9783110759891</v>
      </c>
    </row>
    <row r="17081" spans="1:6" s="3" customFormat="1" ht="29.1" customHeight="1" x14ac:dyDescent="0.25">
      <c r="A17081" s="2" t="s">
        <v>33678</v>
      </c>
      <c r="B17081" s="2" t="s">
        <v>33679</v>
      </c>
      <c r="C17081" s="2" t="s">
        <v>195</v>
      </c>
      <c r="D17081" s="2" t="s">
        <v>1630</v>
      </c>
      <c r="E17081" s="2" t="str">
        <f>"9783110696813"</f>
        <v>9783110696813</v>
      </c>
      <c r="F17081" s="2" t="str">
        <f>"9783110696905"</f>
        <v>9783110696905</v>
      </c>
    </row>
    <row r="17082" spans="1:6" s="3" customFormat="1" ht="29.1" customHeight="1" x14ac:dyDescent="0.25">
      <c r="A17082" s="2" t="s">
        <v>33680</v>
      </c>
      <c r="B17082" s="2" t="s">
        <v>33681</v>
      </c>
      <c r="C17082" s="2" t="s">
        <v>195</v>
      </c>
      <c r="D17082" s="2" t="s">
        <v>459</v>
      </c>
      <c r="E17082" s="2" t="str">
        <f>"9783110745757"</f>
        <v>9783110745757</v>
      </c>
      <c r="F17082" s="2" t="str">
        <f>"9783110745832"</f>
        <v>9783110745832</v>
      </c>
    </row>
    <row r="17083" spans="1:6" s="3" customFormat="1" ht="29.1" customHeight="1" x14ac:dyDescent="0.25">
      <c r="A17083" s="2" t="s">
        <v>33682</v>
      </c>
      <c r="B17083" s="2" t="s">
        <v>33683</v>
      </c>
      <c r="C17083" s="2" t="s">
        <v>195</v>
      </c>
      <c r="D17083" s="2" t="s">
        <v>118</v>
      </c>
      <c r="E17083" s="2" t="str">
        <f>"9783110637410"</f>
        <v>9783110637410</v>
      </c>
      <c r="F17083" s="2" t="str">
        <f>"9783110716559"</f>
        <v>9783110716559</v>
      </c>
    </row>
    <row r="17084" spans="1:6" s="3" customFormat="1" ht="29.1" customHeight="1" x14ac:dyDescent="0.25">
      <c r="A17084" s="2" t="s">
        <v>33684</v>
      </c>
      <c r="B17084" s="2" t="s">
        <v>33685</v>
      </c>
      <c r="C17084" s="2" t="s">
        <v>195</v>
      </c>
      <c r="D17084" s="2" t="s">
        <v>196</v>
      </c>
      <c r="E17084" s="2" t="str">
        <f>"9783110740332"</f>
        <v>9783110740332</v>
      </c>
      <c r="F17084" s="2" t="str">
        <f>"9783110740516"</f>
        <v>9783110740516</v>
      </c>
    </row>
    <row r="17085" spans="1:6" s="3" customFormat="1" ht="29.1" customHeight="1" x14ac:dyDescent="0.25">
      <c r="A17085" s="2" t="s">
        <v>33686</v>
      </c>
      <c r="B17085" s="2" t="s">
        <v>33687</v>
      </c>
      <c r="C17085" s="2" t="s">
        <v>195</v>
      </c>
      <c r="D17085" s="2" t="s">
        <v>339</v>
      </c>
      <c r="E17085" s="2" t="str">
        <f>"9783110713190"</f>
        <v>9783110713190</v>
      </c>
      <c r="F17085" s="2" t="str">
        <f>"9783110713336"</f>
        <v>9783110713336</v>
      </c>
    </row>
    <row r="17086" spans="1:6" s="3" customFormat="1" ht="29.1" customHeight="1" x14ac:dyDescent="0.25">
      <c r="A17086" s="2" t="s">
        <v>33688</v>
      </c>
      <c r="B17086" s="2" t="s">
        <v>33689</v>
      </c>
      <c r="C17086" s="2" t="s">
        <v>195</v>
      </c>
      <c r="D17086" s="2" t="s">
        <v>8388</v>
      </c>
      <c r="E17086" s="2" t="str">
        <f>"9783110749649"</f>
        <v>9783110749649</v>
      </c>
      <c r="F17086" s="2" t="str">
        <f>"9783110749984"</f>
        <v>9783110749984</v>
      </c>
    </row>
    <row r="17087" spans="1:6" s="3" customFormat="1" ht="29.1" customHeight="1" x14ac:dyDescent="0.25">
      <c r="A17087" s="2" t="s">
        <v>33690</v>
      </c>
      <c r="B17087" s="2" t="s">
        <v>33691</v>
      </c>
      <c r="C17087" s="2" t="s">
        <v>195</v>
      </c>
      <c r="D17087" s="2" t="s">
        <v>446</v>
      </c>
      <c r="E17087" s="2" t="str">
        <f>"9783110736588"</f>
        <v>9783110736588</v>
      </c>
      <c r="F17087" s="2" t="str">
        <f>"9783110731347"</f>
        <v>9783110731347</v>
      </c>
    </row>
    <row r="17088" spans="1:6" s="3" customFormat="1" ht="29.1" customHeight="1" x14ac:dyDescent="0.25">
      <c r="A17088" s="2" t="s">
        <v>33692</v>
      </c>
      <c r="B17088" s="2" t="s">
        <v>33693</v>
      </c>
      <c r="C17088" s="2" t="s">
        <v>195</v>
      </c>
      <c r="D17088" s="2" t="s">
        <v>1183</v>
      </c>
      <c r="E17088" s="2" t="str">
        <f>"9783110724103"</f>
        <v>9783110724103</v>
      </c>
      <c r="F17088" s="2" t="str">
        <f>"9783110724127"</f>
        <v>9783110724127</v>
      </c>
    </row>
    <row r="17089" spans="1:6" s="3" customFormat="1" ht="29.1" customHeight="1" x14ac:dyDescent="0.25">
      <c r="A17089" s="2" t="s">
        <v>33694</v>
      </c>
      <c r="B17089" s="2" t="s">
        <v>33695</v>
      </c>
      <c r="C17089" s="2" t="s">
        <v>195</v>
      </c>
      <c r="D17089" s="2" t="s">
        <v>33</v>
      </c>
      <c r="E17089" s="2" t="str">
        <f>"9783110711424"</f>
        <v>9783110711424</v>
      </c>
      <c r="F17089" s="2" t="str">
        <f>"9783110743838"</f>
        <v>9783110743838</v>
      </c>
    </row>
    <row r="17090" spans="1:6" s="3" customFormat="1" ht="29.1" customHeight="1" x14ac:dyDescent="0.25">
      <c r="A17090" s="2" t="s">
        <v>33696</v>
      </c>
      <c r="B17090" s="2" t="s">
        <v>33697</v>
      </c>
      <c r="C17090" s="2" t="s">
        <v>195</v>
      </c>
      <c r="D17090" s="2" t="s">
        <v>903</v>
      </c>
      <c r="E17090" s="2" t="str">
        <f>"9783110724936"</f>
        <v>9783110724936</v>
      </c>
      <c r="F17090" s="2" t="str">
        <f>"9783110725018"</f>
        <v>9783110725018</v>
      </c>
    </row>
    <row r="17091" spans="1:6" s="3" customFormat="1" ht="29.1" customHeight="1" x14ac:dyDescent="0.25">
      <c r="A17091" s="2" t="s">
        <v>33698</v>
      </c>
      <c r="B17091" s="2" t="s">
        <v>33699</v>
      </c>
      <c r="C17091" s="2" t="s">
        <v>195</v>
      </c>
      <c r="D17091" s="2" t="s">
        <v>3345</v>
      </c>
      <c r="E17091" s="2" t="str">
        <f>"9783110722284"</f>
        <v>9783110722284</v>
      </c>
      <c r="F17091" s="2" t="str">
        <f>"9783110722291"</f>
        <v>9783110722291</v>
      </c>
    </row>
    <row r="17092" spans="1:6" s="3" customFormat="1" ht="29.1" customHeight="1" x14ac:dyDescent="0.25">
      <c r="A17092" s="2" t="s">
        <v>33700</v>
      </c>
      <c r="B17092" s="2" t="s">
        <v>33701</v>
      </c>
      <c r="C17092" s="2" t="s">
        <v>195</v>
      </c>
      <c r="D17092" s="2" t="s">
        <v>459</v>
      </c>
      <c r="E17092" s="2" t="str">
        <f>"9783110727562"</f>
        <v>9783110727562</v>
      </c>
      <c r="F17092" s="2" t="str">
        <f>"9783110727838"</f>
        <v>9783110727838</v>
      </c>
    </row>
    <row r="17093" spans="1:6" s="3" customFormat="1" ht="29.1" customHeight="1" x14ac:dyDescent="0.25">
      <c r="A17093" s="2" t="s">
        <v>33702</v>
      </c>
      <c r="B17093" s="2" t="s">
        <v>33703</v>
      </c>
      <c r="C17093" s="2" t="s">
        <v>195</v>
      </c>
      <c r="D17093" s="2" t="s">
        <v>2943</v>
      </c>
      <c r="E17093" s="2" t="str">
        <f>"9783110646566"</f>
        <v>9783110646566</v>
      </c>
      <c r="F17093" s="2" t="str">
        <f>"9783110716207"</f>
        <v>9783110716207</v>
      </c>
    </row>
    <row r="17094" spans="1:6" s="3" customFormat="1" ht="29.1" customHeight="1" x14ac:dyDescent="0.25">
      <c r="A17094" s="2" t="s">
        <v>33704</v>
      </c>
      <c r="B17094" s="2" t="s">
        <v>33705</v>
      </c>
      <c r="C17094" s="2" t="s">
        <v>195</v>
      </c>
      <c r="D17094" s="2" t="s">
        <v>196</v>
      </c>
      <c r="E17094" s="2" t="str">
        <f>"9783110729924"</f>
        <v>9783110729924</v>
      </c>
      <c r="F17094" s="2" t="str">
        <f>"9783110729290"</f>
        <v>9783110729290</v>
      </c>
    </row>
    <row r="17095" spans="1:6" s="3" customFormat="1" ht="29.1" customHeight="1" x14ac:dyDescent="0.25">
      <c r="A17095" s="2" t="s">
        <v>33706</v>
      </c>
      <c r="B17095" s="2" t="s">
        <v>33707</v>
      </c>
      <c r="C17095" s="2" t="s">
        <v>195</v>
      </c>
      <c r="D17095" s="2" t="s">
        <v>682</v>
      </c>
      <c r="E17095" s="2" t="str">
        <f>"9783110701838"</f>
        <v>9783110701838</v>
      </c>
      <c r="F17095" s="2" t="str">
        <f>"9783110701876"</f>
        <v>9783110701876</v>
      </c>
    </row>
    <row r="17096" spans="1:6" s="3" customFormat="1" ht="29.1" customHeight="1" x14ac:dyDescent="0.25">
      <c r="A17096" s="2" t="s">
        <v>33708</v>
      </c>
      <c r="B17096" s="2" t="s">
        <v>33709</v>
      </c>
      <c r="C17096" s="2" t="s">
        <v>195</v>
      </c>
      <c r="D17096" s="2" t="s">
        <v>215</v>
      </c>
      <c r="E17096" s="2" t="str">
        <f>"9783110692983"</f>
        <v>9783110692983</v>
      </c>
      <c r="F17096" s="2" t="str">
        <f>"9783110692990"</f>
        <v>9783110692990</v>
      </c>
    </row>
    <row r="17097" spans="1:6" s="3" customFormat="1" ht="29.1" customHeight="1" x14ac:dyDescent="0.25">
      <c r="A17097" s="2" t="s">
        <v>33710</v>
      </c>
      <c r="B17097" s="2" t="s">
        <v>33711</v>
      </c>
      <c r="C17097" s="2" t="s">
        <v>195</v>
      </c>
      <c r="D17097" s="2" t="s">
        <v>2713</v>
      </c>
      <c r="E17097" s="2" t="str">
        <f>"9783110572902"</f>
        <v>9783110572902</v>
      </c>
      <c r="F17097" s="2" t="str">
        <f>"9783110572933"</f>
        <v>9783110572933</v>
      </c>
    </row>
    <row r="17098" spans="1:6" s="3" customFormat="1" ht="29.1" customHeight="1" x14ac:dyDescent="0.25">
      <c r="A17098" s="2" t="s">
        <v>33712</v>
      </c>
      <c r="B17098" s="2" t="s">
        <v>33713</v>
      </c>
      <c r="C17098" s="2" t="s">
        <v>195</v>
      </c>
      <c r="D17098" s="2" t="s">
        <v>3430</v>
      </c>
      <c r="E17098" s="2" t="str">
        <f>"9783035623796"</f>
        <v>9783035623796</v>
      </c>
      <c r="F17098" s="2" t="str">
        <f>"9783035623802"</f>
        <v>9783035623802</v>
      </c>
    </row>
    <row r="17099" spans="1:6" s="3" customFormat="1" ht="29.1" customHeight="1" x14ac:dyDescent="0.25">
      <c r="A17099" s="2" t="s">
        <v>33714</v>
      </c>
      <c r="B17099" s="2" t="s">
        <v>33715</v>
      </c>
      <c r="C17099" s="2" t="s">
        <v>195</v>
      </c>
      <c r="D17099" s="2" t="s">
        <v>960</v>
      </c>
      <c r="E17099" s="2" t="str">
        <f>"9783035624359"</f>
        <v>9783035624359</v>
      </c>
      <c r="F17099" s="2" t="str">
        <f>"9783035624373"</f>
        <v>9783035624373</v>
      </c>
    </row>
    <row r="17100" spans="1:6" s="3" customFormat="1" ht="29.1" customHeight="1" x14ac:dyDescent="0.25">
      <c r="A17100" s="2" t="s">
        <v>33716</v>
      </c>
      <c r="B17100" s="2" t="s">
        <v>33717</v>
      </c>
      <c r="C17100" s="2" t="s">
        <v>264</v>
      </c>
      <c r="D17100" s="2" t="s">
        <v>342</v>
      </c>
      <c r="E17100" s="2" t="str">
        <f>"9781032226323"</f>
        <v>9781032226323</v>
      </c>
      <c r="F17100" s="2" t="str">
        <f>"9781000568134"</f>
        <v>9781000568134</v>
      </c>
    </row>
    <row r="17101" spans="1:6" s="3" customFormat="1" ht="29.1" customHeight="1" x14ac:dyDescent="0.25">
      <c r="A17101" s="2" t="s">
        <v>33718</v>
      </c>
      <c r="B17101" s="2" t="s">
        <v>33719</v>
      </c>
      <c r="C17101" s="2" t="s">
        <v>124</v>
      </c>
      <c r="D17101" s="2" t="s">
        <v>95</v>
      </c>
      <c r="E17101" s="2" t="str">
        <f>"9780367486747"</f>
        <v>9780367486747</v>
      </c>
      <c r="F17101" s="2" t="str">
        <f>"9781000486605"</f>
        <v>9781000486605</v>
      </c>
    </row>
    <row r="17102" spans="1:6" s="3" customFormat="1" ht="29.1" customHeight="1" x14ac:dyDescent="0.25">
      <c r="A17102" s="2" t="s">
        <v>33720</v>
      </c>
      <c r="B17102" s="2" t="s">
        <v>33721</v>
      </c>
      <c r="C17102" s="2" t="s">
        <v>927</v>
      </c>
      <c r="D17102" s="2" t="s">
        <v>270</v>
      </c>
      <c r="E17102" s="2" t="str">
        <f>"9780472039050"</f>
        <v>9780472039050</v>
      </c>
      <c r="F17102" s="2" t="str">
        <f>"9780472902934"</f>
        <v>9780472902934</v>
      </c>
    </row>
    <row r="17103" spans="1:6" s="3" customFormat="1" ht="29.1" customHeight="1" x14ac:dyDescent="0.25">
      <c r="A17103" s="2" t="s">
        <v>33722</v>
      </c>
      <c r="B17103" s="2" t="s">
        <v>33723</v>
      </c>
      <c r="C17103" s="2" t="s">
        <v>195</v>
      </c>
      <c r="D17103" s="2" t="s">
        <v>413</v>
      </c>
      <c r="E17103" s="2" t="str">
        <f>"9783110768992"</f>
        <v>9783110768992</v>
      </c>
      <c r="F17103" s="2" t="str">
        <f>"9783110769029"</f>
        <v>9783110769029</v>
      </c>
    </row>
    <row r="17104" spans="1:6" s="3" customFormat="1" ht="29.1" customHeight="1" x14ac:dyDescent="0.25">
      <c r="A17104" s="2" t="s">
        <v>33724</v>
      </c>
      <c r="B17104" s="2" t="s">
        <v>33725</v>
      </c>
      <c r="C17104" s="2" t="s">
        <v>29</v>
      </c>
      <c r="D17104" s="2" t="s">
        <v>192</v>
      </c>
      <c r="E17104" s="2" t="str">
        <f>"9789041115041"</f>
        <v>9789041115041</v>
      </c>
      <c r="F17104" s="2" t="str">
        <f>"9789004482678"</f>
        <v>9789004482678</v>
      </c>
    </row>
    <row r="17105" spans="1:6" s="3" customFormat="1" ht="29.1" customHeight="1" x14ac:dyDescent="0.25">
      <c r="A17105" s="2" t="s">
        <v>33726</v>
      </c>
      <c r="B17105" s="2" t="s">
        <v>33727</v>
      </c>
      <c r="C17105" s="2" t="s">
        <v>2133</v>
      </c>
      <c r="D17105" s="2" t="s">
        <v>858</v>
      </c>
      <c r="E17105" s="2" t="str">
        <f>"9781760462505"</f>
        <v>9781760462505</v>
      </c>
      <c r="F17105" s="2" t="str">
        <f>"9781760462512"</f>
        <v>9781760462512</v>
      </c>
    </row>
    <row r="17106" spans="1:6" s="3" customFormat="1" ht="29.1" customHeight="1" x14ac:dyDescent="0.25">
      <c r="A17106" s="2" t="s">
        <v>33728</v>
      </c>
      <c r="B17106" s="2" t="s">
        <v>33729</v>
      </c>
      <c r="C17106" s="2" t="s">
        <v>195</v>
      </c>
      <c r="D17106" s="2" t="s">
        <v>1432</v>
      </c>
      <c r="E17106" s="2" t="str">
        <f>"9783110763843"</f>
        <v>9783110763843</v>
      </c>
      <c r="F17106" s="2" t="str">
        <f>"9783110763942"</f>
        <v>9783110763942</v>
      </c>
    </row>
    <row r="17107" spans="1:6" s="3" customFormat="1" ht="29.1" customHeight="1" x14ac:dyDescent="0.25">
      <c r="A17107" s="2" t="s">
        <v>33730</v>
      </c>
      <c r="B17107" s="2" t="s">
        <v>33731</v>
      </c>
      <c r="C17107" s="2" t="s">
        <v>195</v>
      </c>
      <c r="D17107" s="2" t="s">
        <v>465</v>
      </c>
      <c r="E17107" s="2" t="str">
        <f>"9783110761412"</f>
        <v>9783110761412</v>
      </c>
      <c r="F17107" s="2" t="str">
        <f>"9783110767858"</f>
        <v>9783110767858</v>
      </c>
    </row>
    <row r="17108" spans="1:6" s="3" customFormat="1" ht="29.1" customHeight="1" x14ac:dyDescent="0.25">
      <c r="A17108" s="2" t="s">
        <v>33732</v>
      </c>
      <c r="B17108" s="2" t="s">
        <v>33733</v>
      </c>
      <c r="C17108" s="2" t="s">
        <v>195</v>
      </c>
      <c r="D17108" s="2" t="s">
        <v>2175</v>
      </c>
      <c r="E17108" s="2" t="str">
        <f>"9783110751925"</f>
        <v>9783110751925</v>
      </c>
      <c r="F17108" s="2" t="str">
        <f>"9783110752397"</f>
        <v>9783110752397</v>
      </c>
    </row>
    <row r="17109" spans="1:6" s="3" customFormat="1" ht="29.1" customHeight="1" x14ac:dyDescent="0.25">
      <c r="A17109" s="2" t="s">
        <v>33734</v>
      </c>
      <c r="B17109" s="2" t="s">
        <v>33735</v>
      </c>
      <c r="C17109" s="2" t="s">
        <v>195</v>
      </c>
      <c r="D17109" s="2" t="s">
        <v>9392</v>
      </c>
      <c r="E17109" s="2" t="str">
        <f>"9783110561814"</f>
        <v>9783110561814</v>
      </c>
      <c r="F17109" s="2" t="str">
        <f>"9783110562064"</f>
        <v>9783110562064</v>
      </c>
    </row>
    <row r="17110" spans="1:6" s="3" customFormat="1" ht="29.1" customHeight="1" x14ac:dyDescent="0.25">
      <c r="A17110" s="2" t="s">
        <v>33736</v>
      </c>
      <c r="B17110" s="2" t="s">
        <v>33737</v>
      </c>
      <c r="C17110" s="2" t="s">
        <v>36</v>
      </c>
      <c r="D17110" s="2" t="s">
        <v>501</v>
      </c>
      <c r="E17110" s="2" t="str">
        <f>"9781529219630"</f>
        <v>9781529219630</v>
      </c>
      <c r="F17110" s="2" t="str">
        <f>"9781529219654"</f>
        <v>9781529219654</v>
      </c>
    </row>
    <row r="17111" spans="1:6" s="3" customFormat="1" ht="29.1" customHeight="1" x14ac:dyDescent="0.25">
      <c r="A17111" s="2" t="s">
        <v>33738</v>
      </c>
      <c r="B17111" s="2" t="s">
        <v>33739</v>
      </c>
      <c r="C17111" s="2" t="s">
        <v>29</v>
      </c>
      <c r="D17111" s="2" t="s">
        <v>1432</v>
      </c>
      <c r="E17111" s="2" t="str">
        <f>"9789004501515"</f>
        <v>9789004501515</v>
      </c>
      <c r="F17111" s="2" t="str">
        <f>"9789004501546"</f>
        <v>9789004501546</v>
      </c>
    </row>
    <row r="17112" spans="1:6" s="3" customFormat="1" ht="29.1" customHeight="1" x14ac:dyDescent="0.25">
      <c r="A17112" s="2" t="s">
        <v>33740</v>
      </c>
      <c r="B17112" s="2" t="s">
        <v>33741</v>
      </c>
      <c r="C17112" s="2" t="s">
        <v>595</v>
      </c>
      <c r="D17112" s="2" t="s">
        <v>596</v>
      </c>
      <c r="E17112" s="2" t="str">
        <f>"9783631861196"</f>
        <v>9783631861196</v>
      </c>
      <c r="F17112" s="2" t="str">
        <f>"9783631868614"</f>
        <v>9783631868614</v>
      </c>
    </row>
    <row r="17113" spans="1:6" s="3" customFormat="1" ht="29.1" customHeight="1" x14ac:dyDescent="0.25">
      <c r="A17113" s="2" t="s">
        <v>33742</v>
      </c>
      <c r="B17113" s="2" t="s">
        <v>33743</v>
      </c>
      <c r="C17113" s="2" t="s">
        <v>195</v>
      </c>
      <c r="D17113" s="2" t="s">
        <v>446</v>
      </c>
      <c r="E17113" s="2" t="str">
        <f>"9783110718997"</f>
        <v>9783110718997</v>
      </c>
      <c r="F17113" s="2" t="str">
        <f>"9783110719055"</f>
        <v>9783110719055</v>
      </c>
    </row>
    <row r="17114" spans="1:6" s="3" customFormat="1" ht="29.1" customHeight="1" x14ac:dyDescent="0.25">
      <c r="A17114" s="2" t="s">
        <v>33744</v>
      </c>
      <c r="B17114" s="2" t="s">
        <v>33743</v>
      </c>
      <c r="C17114" s="2" t="s">
        <v>195</v>
      </c>
      <c r="D17114" s="2" t="s">
        <v>446</v>
      </c>
      <c r="E17114" s="2" t="str">
        <f>"9783110718980"</f>
        <v>9783110718980</v>
      </c>
      <c r="F17114" s="2" t="str">
        <f>"9783110719062"</f>
        <v>9783110719062</v>
      </c>
    </row>
    <row r="17115" spans="1:6" s="3" customFormat="1" ht="29.1" customHeight="1" x14ac:dyDescent="0.25">
      <c r="A17115" s="2" t="s">
        <v>33745</v>
      </c>
      <c r="B17115" s="2" t="s">
        <v>33743</v>
      </c>
      <c r="C17115" s="2" t="s">
        <v>195</v>
      </c>
      <c r="D17115" s="2" t="s">
        <v>446</v>
      </c>
      <c r="E17115" s="2" t="str">
        <f>"9783110718966"</f>
        <v>9783110718966</v>
      </c>
      <c r="F17115" s="2" t="str">
        <f>"9783110719086"</f>
        <v>9783110719086</v>
      </c>
    </row>
    <row r="17116" spans="1:6" s="3" customFormat="1" ht="29.1" customHeight="1" x14ac:dyDescent="0.25">
      <c r="A17116" s="2" t="s">
        <v>33746</v>
      </c>
      <c r="B17116" s="2" t="s">
        <v>33743</v>
      </c>
      <c r="C17116" s="2" t="s">
        <v>195</v>
      </c>
      <c r="D17116" s="2" t="s">
        <v>446</v>
      </c>
      <c r="E17116" s="2" t="str">
        <f>"9783110718959"</f>
        <v>9783110718959</v>
      </c>
      <c r="F17116" s="2" t="str">
        <f>"9783110719093"</f>
        <v>9783110719093</v>
      </c>
    </row>
    <row r="17117" spans="1:6" s="3" customFormat="1" ht="29.1" customHeight="1" x14ac:dyDescent="0.25">
      <c r="A17117" s="2" t="s">
        <v>33747</v>
      </c>
      <c r="B17117" s="2" t="s">
        <v>33743</v>
      </c>
      <c r="C17117" s="2" t="s">
        <v>195</v>
      </c>
      <c r="D17117" s="2" t="s">
        <v>446</v>
      </c>
      <c r="E17117" s="2" t="str">
        <f>"9783110718942"</f>
        <v>9783110718942</v>
      </c>
      <c r="F17117" s="2" t="str">
        <f>"9783110719109"</f>
        <v>9783110719109</v>
      </c>
    </row>
    <row r="17118" spans="1:6" s="3" customFormat="1" ht="29.1" customHeight="1" x14ac:dyDescent="0.25">
      <c r="A17118" s="2" t="s">
        <v>33748</v>
      </c>
      <c r="B17118" s="2" t="s">
        <v>33743</v>
      </c>
      <c r="C17118" s="2" t="s">
        <v>195</v>
      </c>
      <c r="D17118" s="2" t="s">
        <v>446</v>
      </c>
      <c r="E17118" s="2" t="str">
        <f>"9783110718935"</f>
        <v>9783110718935</v>
      </c>
      <c r="F17118" s="2" t="str">
        <f>"9783110719116"</f>
        <v>9783110719116</v>
      </c>
    </row>
    <row r="17119" spans="1:6" s="3" customFormat="1" ht="29.1" customHeight="1" x14ac:dyDescent="0.25">
      <c r="A17119" s="2" t="s">
        <v>33749</v>
      </c>
      <c r="B17119" s="2" t="s">
        <v>33743</v>
      </c>
      <c r="C17119" s="2" t="s">
        <v>195</v>
      </c>
      <c r="D17119" s="2" t="s">
        <v>446</v>
      </c>
      <c r="E17119" s="2" t="str">
        <f>"9783110718928"</f>
        <v>9783110718928</v>
      </c>
      <c r="F17119" s="2" t="str">
        <f>"9783110719123"</f>
        <v>9783110719123</v>
      </c>
    </row>
    <row r="17120" spans="1:6" s="3" customFormat="1" ht="29.1" customHeight="1" x14ac:dyDescent="0.25">
      <c r="A17120" s="2" t="s">
        <v>33750</v>
      </c>
      <c r="B17120" s="2" t="s">
        <v>33751</v>
      </c>
      <c r="C17120" s="2" t="s">
        <v>195</v>
      </c>
      <c r="D17120" s="2" t="s">
        <v>2336</v>
      </c>
      <c r="E17120" s="2" t="str">
        <f>"9783110761719"</f>
        <v>9783110761719</v>
      </c>
      <c r="F17120" s="2" t="str">
        <f>"9783110762877"</f>
        <v>9783110762877</v>
      </c>
    </row>
    <row r="17121" spans="1:6" s="3" customFormat="1" ht="29.1" customHeight="1" x14ac:dyDescent="0.25">
      <c r="A17121" s="2" t="s">
        <v>33752</v>
      </c>
      <c r="B17121" s="2" t="s">
        <v>33753</v>
      </c>
      <c r="C17121" s="2" t="s">
        <v>195</v>
      </c>
      <c r="D17121" s="2" t="s">
        <v>1082</v>
      </c>
      <c r="E17121" s="2" t="str">
        <f>"9783110714661"</f>
        <v>9783110714661</v>
      </c>
      <c r="F17121" s="2" t="str">
        <f>"9783110714739"</f>
        <v>9783110714739</v>
      </c>
    </row>
    <row r="17122" spans="1:6" s="3" customFormat="1" ht="29.1" customHeight="1" x14ac:dyDescent="0.25">
      <c r="A17122" s="2" t="s">
        <v>33754</v>
      </c>
      <c r="B17122" s="2" t="s">
        <v>33755</v>
      </c>
      <c r="C17122" s="2" t="s">
        <v>195</v>
      </c>
      <c r="D17122" s="2" t="s">
        <v>14843</v>
      </c>
      <c r="E17122" s="2" t="str">
        <f>"9783110656640"</f>
        <v>9783110656640</v>
      </c>
      <c r="F17122" s="2" t="str">
        <f>"9783110757668"</f>
        <v>9783110757668</v>
      </c>
    </row>
    <row r="17123" spans="1:6" s="3" customFormat="1" ht="29.1" customHeight="1" x14ac:dyDescent="0.25">
      <c r="A17123" s="2" t="s">
        <v>33756</v>
      </c>
      <c r="B17123" s="2" t="s">
        <v>33757</v>
      </c>
      <c r="C17123" s="2" t="s">
        <v>195</v>
      </c>
      <c r="D17123" s="2" t="s">
        <v>2713</v>
      </c>
      <c r="E17123" s="2" t="str">
        <f>"9783110765083"</f>
        <v>9783110765083</v>
      </c>
      <c r="F17123" s="2" t="str">
        <f>"9783110765113"</f>
        <v>9783110765113</v>
      </c>
    </row>
    <row r="17124" spans="1:6" s="3" customFormat="1" ht="29.1" customHeight="1" x14ac:dyDescent="0.25">
      <c r="A17124" s="2" t="s">
        <v>33758</v>
      </c>
      <c r="B17124" s="2" t="s">
        <v>33759</v>
      </c>
      <c r="C17124" s="2" t="s">
        <v>195</v>
      </c>
      <c r="D17124" s="2" t="s">
        <v>459</v>
      </c>
      <c r="E17124" s="2" t="str">
        <f>"9783110688641"</f>
        <v>9783110688641</v>
      </c>
      <c r="F17124" s="2" t="str">
        <f>"9783110688696"</f>
        <v>9783110688696</v>
      </c>
    </row>
    <row r="17125" spans="1:6" s="3" customFormat="1" ht="29.1" customHeight="1" x14ac:dyDescent="0.25">
      <c r="A17125" s="2" t="s">
        <v>33760</v>
      </c>
      <c r="B17125" s="2" t="s">
        <v>33761</v>
      </c>
      <c r="C17125" s="2" t="s">
        <v>195</v>
      </c>
      <c r="D17125" s="2" t="s">
        <v>118</v>
      </c>
      <c r="E17125" s="2" t="str">
        <f>"9783110748420"</f>
        <v>9783110748420</v>
      </c>
      <c r="F17125" s="2" t="str">
        <f>"9783110748703"</f>
        <v>9783110748703</v>
      </c>
    </row>
    <row r="17126" spans="1:6" s="3" customFormat="1" ht="29.1" customHeight="1" x14ac:dyDescent="0.25">
      <c r="A17126" s="2" t="s">
        <v>33762</v>
      </c>
      <c r="B17126" s="2" t="s">
        <v>33763</v>
      </c>
      <c r="C17126" s="2" t="s">
        <v>195</v>
      </c>
      <c r="D17126" s="2" t="s">
        <v>436</v>
      </c>
      <c r="E17126" s="2" t="str">
        <f>"9783110673531"</f>
        <v>9783110673531</v>
      </c>
      <c r="F17126" s="2" t="str">
        <f>"9783110758825"</f>
        <v>9783110758825</v>
      </c>
    </row>
    <row r="17127" spans="1:6" s="3" customFormat="1" ht="29.1" customHeight="1" x14ac:dyDescent="0.25">
      <c r="A17127" s="2" t="s">
        <v>33764</v>
      </c>
      <c r="B17127" s="2" t="s">
        <v>33765</v>
      </c>
      <c r="C17127" s="2" t="s">
        <v>195</v>
      </c>
      <c r="D17127" s="2" t="s">
        <v>218</v>
      </c>
      <c r="E17127" s="2" t="str">
        <f>"9783110759204"</f>
        <v>9783110759204</v>
      </c>
      <c r="F17127" s="2" t="str">
        <f>"9783110759303"</f>
        <v>9783110759303</v>
      </c>
    </row>
    <row r="17128" spans="1:6" s="3" customFormat="1" ht="29.1" customHeight="1" x14ac:dyDescent="0.25">
      <c r="A17128" s="2" t="s">
        <v>33766</v>
      </c>
      <c r="B17128" s="2" t="s">
        <v>33767</v>
      </c>
      <c r="C17128" s="2" t="s">
        <v>195</v>
      </c>
      <c r="D17128" s="2" t="s">
        <v>682</v>
      </c>
      <c r="E17128" s="2" t="str">
        <f>"9783110746952"</f>
        <v>9783110746952</v>
      </c>
      <c r="F17128" s="2" t="str">
        <f>"9783110747614"</f>
        <v>9783110747614</v>
      </c>
    </row>
    <row r="17129" spans="1:6" s="3" customFormat="1" ht="29.1" customHeight="1" x14ac:dyDescent="0.25">
      <c r="A17129" s="2" t="s">
        <v>33768</v>
      </c>
      <c r="B17129" s="2" t="s">
        <v>33769</v>
      </c>
      <c r="C17129" s="2" t="s">
        <v>195</v>
      </c>
      <c r="D17129" s="2" t="s">
        <v>436</v>
      </c>
      <c r="E17129" s="2" t="str">
        <f>"9783110726923"</f>
        <v>9783110726923</v>
      </c>
      <c r="F17129" s="2" t="str">
        <f>"9783110726435"</f>
        <v>9783110726435</v>
      </c>
    </row>
    <row r="17130" spans="1:6" s="3" customFormat="1" ht="29.1" customHeight="1" x14ac:dyDescent="0.25">
      <c r="A17130" s="2" t="s">
        <v>33770</v>
      </c>
      <c r="B17130" s="2" t="s">
        <v>33743</v>
      </c>
      <c r="C17130" s="2" t="s">
        <v>195</v>
      </c>
      <c r="D17130" s="2" t="s">
        <v>446</v>
      </c>
      <c r="E17130" s="2" t="str">
        <f>"9783110718973"</f>
        <v>9783110718973</v>
      </c>
      <c r="F17130" s="2" t="str">
        <f>"9783110719079"</f>
        <v>9783110719079</v>
      </c>
    </row>
    <row r="17131" spans="1:6" s="3" customFormat="1" ht="29.1" customHeight="1" x14ac:dyDescent="0.25">
      <c r="A17131" s="2" t="s">
        <v>33771</v>
      </c>
      <c r="B17131" s="2" t="s">
        <v>33743</v>
      </c>
      <c r="C17131" s="2" t="s">
        <v>195</v>
      </c>
      <c r="D17131" s="2" t="s">
        <v>446</v>
      </c>
      <c r="E17131" s="2" t="str">
        <f>"9783110718911"</f>
        <v>9783110718911</v>
      </c>
      <c r="F17131" s="2" t="str">
        <f>"9783110719130"</f>
        <v>9783110719130</v>
      </c>
    </row>
    <row r="17132" spans="1:6" s="3" customFormat="1" ht="29.1" customHeight="1" x14ac:dyDescent="0.25">
      <c r="A17132" s="2" t="s">
        <v>33772</v>
      </c>
      <c r="B17132" s="2" t="s">
        <v>33743</v>
      </c>
      <c r="C17132" s="2" t="s">
        <v>195</v>
      </c>
      <c r="D17132" s="2" t="s">
        <v>446</v>
      </c>
      <c r="E17132" s="2" t="str">
        <f>"9783110718904"</f>
        <v>9783110718904</v>
      </c>
      <c r="F17132" s="2" t="str">
        <f>"9783110719147"</f>
        <v>9783110719147</v>
      </c>
    </row>
    <row r="17133" spans="1:6" s="3" customFormat="1" ht="29.1" customHeight="1" x14ac:dyDescent="0.25">
      <c r="A17133" s="2" t="s">
        <v>33773</v>
      </c>
      <c r="B17133" s="2" t="s">
        <v>33743</v>
      </c>
      <c r="C17133" s="2" t="s">
        <v>195</v>
      </c>
      <c r="D17133" s="2" t="s">
        <v>446</v>
      </c>
      <c r="E17133" s="2" t="str">
        <f>"9783110635058"</f>
        <v>9783110635058</v>
      </c>
      <c r="F17133" s="2" t="str">
        <f>"9783110719017"</f>
        <v>9783110719017</v>
      </c>
    </row>
    <row r="17134" spans="1:6" s="3" customFormat="1" ht="29.1" customHeight="1" x14ac:dyDescent="0.25">
      <c r="A17134" s="2" t="s">
        <v>33774</v>
      </c>
      <c r="B17134" s="2" t="s">
        <v>33775</v>
      </c>
      <c r="C17134" s="2" t="s">
        <v>195</v>
      </c>
      <c r="D17134" s="2" t="s">
        <v>7167</v>
      </c>
      <c r="E17134" s="2" t="str">
        <f>"9783110677232"</f>
        <v>9783110677232</v>
      </c>
      <c r="F17134" s="2" t="str">
        <f>"9783110680942"</f>
        <v>9783110680942</v>
      </c>
    </row>
    <row r="17135" spans="1:6" s="3" customFormat="1" ht="29.1" customHeight="1" x14ac:dyDescent="0.25">
      <c r="A17135" s="2" t="s">
        <v>33776</v>
      </c>
      <c r="B17135" s="2" t="s">
        <v>33777</v>
      </c>
      <c r="C17135" s="2" t="s">
        <v>195</v>
      </c>
      <c r="D17135" s="2" t="s">
        <v>98</v>
      </c>
      <c r="E17135" s="2" t="str">
        <f>"9783110711295"</f>
        <v>9783110711295</v>
      </c>
      <c r="F17135" s="2" t="str">
        <f>"9783110711349"</f>
        <v>9783110711349</v>
      </c>
    </row>
    <row r="17136" spans="1:6" s="3" customFormat="1" ht="29.1" customHeight="1" x14ac:dyDescent="0.25">
      <c r="A17136" s="2" t="s">
        <v>33778</v>
      </c>
      <c r="B17136" s="2" t="s">
        <v>33779</v>
      </c>
      <c r="C17136" s="2" t="s">
        <v>195</v>
      </c>
      <c r="D17136" s="2" t="s">
        <v>196</v>
      </c>
      <c r="E17136" s="2" t="str">
        <f>"9783110657715"</f>
        <v>9783110657715</v>
      </c>
      <c r="F17136" s="2" t="str">
        <f>"9783110658088"</f>
        <v>9783110658088</v>
      </c>
    </row>
    <row r="17137" spans="1:6" s="3" customFormat="1" ht="29.1" customHeight="1" x14ac:dyDescent="0.25">
      <c r="A17137" s="2" t="s">
        <v>33780</v>
      </c>
      <c r="B17137" s="2" t="s">
        <v>33781</v>
      </c>
      <c r="C17137" s="2" t="s">
        <v>195</v>
      </c>
      <c r="D17137" s="2" t="s">
        <v>9420</v>
      </c>
      <c r="E17137" s="2" t="str">
        <f>"9783035624014"</f>
        <v>9783035624014</v>
      </c>
      <c r="F17137" s="2" t="str">
        <f>"9783035624052"</f>
        <v>9783035624052</v>
      </c>
    </row>
    <row r="17138" spans="1:6" s="3" customFormat="1" ht="29.1" customHeight="1" x14ac:dyDescent="0.25">
      <c r="A17138" s="2" t="s">
        <v>33782</v>
      </c>
      <c r="B17138" s="2" t="s">
        <v>33783</v>
      </c>
      <c r="C17138" s="2" t="s">
        <v>29</v>
      </c>
      <c r="D17138" s="2" t="s">
        <v>1411</v>
      </c>
      <c r="E17138" s="2" t="str">
        <f>"9789004152915"</f>
        <v>9789004152915</v>
      </c>
      <c r="F17138" s="2" t="str">
        <f>"9789004153073"</f>
        <v>9789004153073</v>
      </c>
    </row>
    <row r="17139" spans="1:6" s="3" customFormat="1" ht="29.1" customHeight="1" x14ac:dyDescent="0.25">
      <c r="A17139" s="2" t="s">
        <v>33784</v>
      </c>
      <c r="B17139" s="2" t="s">
        <v>33785</v>
      </c>
      <c r="C17139" s="2" t="s">
        <v>20</v>
      </c>
      <c r="D17139" s="2" t="s">
        <v>1133</v>
      </c>
      <c r="E17139" s="2" t="str">
        <f>"9783763970063"</f>
        <v>9783763970063</v>
      </c>
      <c r="F17139" s="2" t="str">
        <f>"9783763970070"</f>
        <v>9783763970070</v>
      </c>
    </row>
    <row r="17140" spans="1:6" s="3" customFormat="1" ht="29.1" customHeight="1" x14ac:dyDescent="0.25">
      <c r="A17140" s="2" t="s">
        <v>33786</v>
      </c>
      <c r="B17140" s="2" t="s">
        <v>33787</v>
      </c>
      <c r="C17140" s="2" t="s">
        <v>29</v>
      </c>
      <c r="D17140" s="2" t="s">
        <v>6829</v>
      </c>
      <c r="E17140" s="2" t="str">
        <f>"9789086863730"</f>
        <v>9789086863730</v>
      </c>
      <c r="F17140" s="2" t="str">
        <f>"9789086869251"</f>
        <v>9789086869251</v>
      </c>
    </row>
    <row r="17141" spans="1:6" s="3" customFormat="1" ht="29.1" customHeight="1" x14ac:dyDescent="0.25">
      <c r="A17141" s="2" t="s">
        <v>33788</v>
      </c>
      <c r="B17141" s="2" t="s">
        <v>33789</v>
      </c>
      <c r="C17141" s="2" t="s">
        <v>29</v>
      </c>
      <c r="D17141" s="2" t="s">
        <v>841</v>
      </c>
      <c r="E17141" s="2" t="str">
        <f>"9789086863686"</f>
        <v>9789086863686</v>
      </c>
      <c r="F17141" s="2" t="str">
        <f>"9789086869206"</f>
        <v>9789086869206</v>
      </c>
    </row>
    <row r="17142" spans="1:6" s="3" customFormat="1" ht="29.1" customHeight="1" x14ac:dyDescent="0.25">
      <c r="A17142" s="2" t="s">
        <v>33790</v>
      </c>
      <c r="B17142" s="2" t="s">
        <v>33791</v>
      </c>
      <c r="C17142" s="2" t="s">
        <v>29</v>
      </c>
      <c r="D17142" s="2" t="s">
        <v>2411</v>
      </c>
      <c r="E17142" s="2" t="str">
        <f>"9789086863761"</f>
        <v>9789086863761</v>
      </c>
      <c r="F17142" s="2" t="str">
        <f>"9789086869282"</f>
        <v>9789086869282</v>
      </c>
    </row>
    <row r="17143" spans="1:6" s="3" customFormat="1" ht="29.1" customHeight="1" x14ac:dyDescent="0.25">
      <c r="A17143" s="2" t="s">
        <v>33792</v>
      </c>
      <c r="B17143" s="2" t="s">
        <v>33793</v>
      </c>
      <c r="C17143" s="2" t="s">
        <v>27396</v>
      </c>
      <c r="D17143" s="2" t="s">
        <v>428</v>
      </c>
      <c r="E17143" s="2" t="str">
        <f>"9783161610639"</f>
        <v>9783161610639</v>
      </c>
      <c r="F17143" s="2" t="str">
        <f>"9783161610646"</f>
        <v>9783161610646</v>
      </c>
    </row>
    <row r="17144" spans="1:6" s="3" customFormat="1" ht="29.1" customHeight="1" x14ac:dyDescent="0.25">
      <c r="A17144" s="2" t="s">
        <v>33794</v>
      </c>
      <c r="B17144" s="2" t="s">
        <v>33795</v>
      </c>
      <c r="C17144" s="2" t="s">
        <v>15181</v>
      </c>
      <c r="D17144" s="2" t="s">
        <v>21362</v>
      </c>
      <c r="E17144" s="2" t="str">
        <f>"9789633864159"</f>
        <v>9789633864159</v>
      </c>
      <c r="F17144" s="2" t="str">
        <f>"9789633864166"</f>
        <v>9789633864166</v>
      </c>
    </row>
    <row r="17145" spans="1:6" s="3" customFormat="1" ht="29.1" customHeight="1" x14ac:dyDescent="0.25">
      <c r="A17145" s="2" t="s">
        <v>33796</v>
      </c>
      <c r="B17145" s="2" t="s">
        <v>33797</v>
      </c>
      <c r="C17145" s="2" t="s">
        <v>248</v>
      </c>
      <c r="D17145" s="2" t="s">
        <v>1155</v>
      </c>
      <c r="E17145" s="2" t="str">
        <f>"9783847424888"</f>
        <v>9783847424888</v>
      </c>
      <c r="F17145" s="2" t="str">
        <f>"9783847416326"</f>
        <v>9783847416326</v>
      </c>
    </row>
    <row r="17146" spans="1:6" s="3" customFormat="1" ht="29.1" customHeight="1" x14ac:dyDescent="0.25">
      <c r="A17146" s="2" t="s">
        <v>33798</v>
      </c>
      <c r="B17146" s="2" t="s">
        <v>14788</v>
      </c>
      <c r="C17146" s="2" t="s">
        <v>556</v>
      </c>
      <c r="D17146" s="2" t="s">
        <v>11897</v>
      </c>
      <c r="E17146" s="2" t="str">
        <f>"9783837661279"</f>
        <v>9783837661279</v>
      </c>
      <c r="F17146" s="2" t="str">
        <f>"9783839461273"</f>
        <v>9783839461273</v>
      </c>
    </row>
    <row r="17147" spans="1:6" s="3" customFormat="1" ht="29.1" customHeight="1" x14ac:dyDescent="0.25">
      <c r="A17147" s="2" t="s">
        <v>33799</v>
      </c>
      <c r="B17147" s="2" t="s">
        <v>33800</v>
      </c>
      <c r="C17147" s="2" t="s">
        <v>556</v>
      </c>
      <c r="D17147" s="2" t="s">
        <v>4030</v>
      </c>
      <c r="E17147" s="2" t="str">
        <f>"9783837661064"</f>
        <v>9783837661064</v>
      </c>
      <c r="F17147" s="2" t="str">
        <f>"9783839461068"</f>
        <v>9783839461068</v>
      </c>
    </row>
    <row r="17148" spans="1:6" s="3" customFormat="1" ht="29.1" customHeight="1" x14ac:dyDescent="0.25">
      <c r="A17148" s="2" t="s">
        <v>33801</v>
      </c>
      <c r="B17148" s="2" t="s">
        <v>33802</v>
      </c>
      <c r="C17148" s="2" t="s">
        <v>556</v>
      </c>
      <c r="D17148" s="2" t="s">
        <v>2361</v>
      </c>
      <c r="E17148" s="2" t="str">
        <f>"9783837660708"</f>
        <v>9783837660708</v>
      </c>
      <c r="F17148" s="2" t="str">
        <f>"9783839460702"</f>
        <v>9783839460702</v>
      </c>
    </row>
    <row r="17149" spans="1:6" s="3" customFormat="1" ht="29.1" customHeight="1" x14ac:dyDescent="0.25">
      <c r="A17149" s="2" t="s">
        <v>33803</v>
      </c>
      <c r="B17149" s="2" t="s">
        <v>33804</v>
      </c>
      <c r="C17149" s="2" t="s">
        <v>556</v>
      </c>
      <c r="D17149" s="2" t="s">
        <v>490</v>
      </c>
      <c r="E17149" s="2" t="str">
        <f>"9783837660517"</f>
        <v>9783837660517</v>
      </c>
      <c r="F17149" s="2" t="str">
        <f>"9783839460511"</f>
        <v>9783839460511</v>
      </c>
    </row>
    <row r="17150" spans="1:6" s="3" customFormat="1" ht="29.1" customHeight="1" x14ac:dyDescent="0.25">
      <c r="A17150" s="2" t="s">
        <v>33805</v>
      </c>
      <c r="B17150" s="2" t="s">
        <v>33806</v>
      </c>
      <c r="C17150" s="2" t="s">
        <v>556</v>
      </c>
      <c r="D17150" s="2" t="s">
        <v>639</v>
      </c>
      <c r="E17150" s="2" t="str">
        <f>"9783837660494"</f>
        <v>9783837660494</v>
      </c>
      <c r="F17150" s="2" t="str">
        <f>"9783839460498"</f>
        <v>9783839460498</v>
      </c>
    </row>
    <row r="17151" spans="1:6" s="3" customFormat="1" ht="29.1" customHeight="1" x14ac:dyDescent="0.25">
      <c r="A17151" s="2" t="s">
        <v>33807</v>
      </c>
      <c r="B17151" s="2" t="s">
        <v>33808</v>
      </c>
      <c r="C17151" s="2" t="s">
        <v>556</v>
      </c>
      <c r="D17151" s="2" t="s">
        <v>446</v>
      </c>
      <c r="E17151" s="2" t="str">
        <f>"9783837660241"</f>
        <v>9783837660241</v>
      </c>
      <c r="F17151" s="2" t="str">
        <f>"9783732860241"</f>
        <v>9783732860241</v>
      </c>
    </row>
    <row r="17152" spans="1:6" s="3" customFormat="1" ht="29.1" customHeight="1" x14ac:dyDescent="0.25">
      <c r="A17152" s="2" t="s">
        <v>33809</v>
      </c>
      <c r="B17152" s="2" t="s">
        <v>33810</v>
      </c>
      <c r="C17152" s="2" t="s">
        <v>556</v>
      </c>
      <c r="D17152" s="2" t="s">
        <v>712</v>
      </c>
      <c r="E17152" s="2" t="str">
        <f>"9783837659603"</f>
        <v>9783837659603</v>
      </c>
      <c r="F17152" s="2" t="str">
        <f>"9783732859603"</f>
        <v>9783732859603</v>
      </c>
    </row>
    <row r="17153" spans="1:6" s="3" customFormat="1" ht="29.1" customHeight="1" x14ac:dyDescent="0.25">
      <c r="A17153" s="2" t="s">
        <v>33811</v>
      </c>
      <c r="B17153" s="2" t="s">
        <v>33812</v>
      </c>
      <c r="C17153" s="2" t="s">
        <v>556</v>
      </c>
      <c r="D17153" s="2" t="s">
        <v>484</v>
      </c>
      <c r="E17153" s="2" t="str">
        <f>"9783837659412"</f>
        <v>9783837659412</v>
      </c>
      <c r="F17153" s="2" t="str">
        <f>"9783839459416"</f>
        <v>9783839459416</v>
      </c>
    </row>
    <row r="17154" spans="1:6" s="3" customFormat="1" ht="29.1" customHeight="1" x14ac:dyDescent="0.25">
      <c r="A17154" s="2" t="s">
        <v>33813</v>
      </c>
      <c r="B17154" s="2" t="s">
        <v>33814</v>
      </c>
      <c r="C17154" s="2" t="s">
        <v>556</v>
      </c>
      <c r="D17154" s="2" t="s">
        <v>1112</v>
      </c>
      <c r="E17154" s="2" t="str">
        <f>"9783837659405"</f>
        <v>9783837659405</v>
      </c>
      <c r="F17154" s="2" t="str">
        <f>"9783839459409"</f>
        <v>9783839459409</v>
      </c>
    </row>
    <row r="17155" spans="1:6" s="3" customFormat="1" ht="29.1" customHeight="1" x14ac:dyDescent="0.25">
      <c r="A17155" s="2" t="s">
        <v>33815</v>
      </c>
      <c r="B17155" s="2" t="s">
        <v>33816</v>
      </c>
      <c r="C17155" s="2" t="s">
        <v>556</v>
      </c>
      <c r="D17155" s="2" t="s">
        <v>490</v>
      </c>
      <c r="E17155" s="2" t="str">
        <f>"9783837658545"</f>
        <v>9783837658545</v>
      </c>
      <c r="F17155" s="2" t="str">
        <f>"9783839458549"</f>
        <v>9783839458549</v>
      </c>
    </row>
    <row r="17156" spans="1:6" s="3" customFormat="1" ht="29.1" customHeight="1" x14ac:dyDescent="0.25">
      <c r="A17156" s="2" t="s">
        <v>33817</v>
      </c>
      <c r="B17156" s="2" t="s">
        <v>33818</v>
      </c>
      <c r="C17156" s="2" t="s">
        <v>556</v>
      </c>
      <c r="D17156" s="2" t="s">
        <v>484</v>
      </c>
      <c r="E17156" s="2" t="str">
        <f>"9783837658347"</f>
        <v>9783837658347</v>
      </c>
      <c r="F17156" s="2" t="str">
        <f>"9783839458341"</f>
        <v>9783839458341</v>
      </c>
    </row>
    <row r="17157" spans="1:6" s="3" customFormat="1" ht="29.1" customHeight="1" x14ac:dyDescent="0.25">
      <c r="A17157" s="2" t="s">
        <v>33819</v>
      </c>
      <c r="B17157" s="2" t="s">
        <v>33820</v>
      </c>
      <c r="C17157" s="2" t="s">
        <v>556</v>
      </c>
      <c r="D17157" s="2" t="s">
        <v>1183</v>
      </c>
      <c r="E17157" s="2" t="str">
        <f>"9783837657791"</f>
        <v>9783837657791</v>
      </c>
      <c r="F17157" s="2" t="str">
        <f>"9783839457795"</f>
        <v>9783839457795</v>
      </c>
    </row>
    <row r="17158" spans="1:6" s="3" customFormat="1" ht="29.1" customHeight="1" x14ac:dyDescent="0.25">
      <c r="A17158" s="2" t="s">
        <v>33821</v>
      </c>
      <c r="B17158" s="2" t="s">
        <v>33822</v>
      </c>
      <c r="C17158" s="2" t="s">
        <v>556</v>
      </c>
      <c r="D17158" s="2" t="s">
        <v>4205</v>
      </c>
      <c r="E17158" s="2" t="str">
        <f>"9783837655940"</f>
        <v>9783837655940</v>
      </c>
      <c r="F17158" s="2" t="str">
        <f>"9783839455944"</f>
        <v>9783839455944</v>
      </c>
    </row>
    <row r="17159" spans="1:6" s="3" customFormat="1" ht="29.1" customHeight="1" x14ac:dyDescent="0.25">
      <c r="A17159" s="2" t="s">
        <v>33823</v>
      </c>
      <c r="B17159" s="2" t="s">
        <v>33824</v>
      </c>
      <c r="C17159" s="2" t="s">
        <v>556</v>
      </c>
      <c r="D17159" s="2" t="s">
        <v>5319</v>
      </c>
      <c r="E17159" s="2" t="str">
        <f>"9783837654738"</f>
        <v>9783837654738</v>
      </c>
      <c r="F17159" s="2" t="str">
        <f>"9783839454732"</f>
        <v>9783839454732</v>
      </c>
    </row>
    <row r="17160" spans="1:6" s="3" customFormat="1" ht="29.1" customHeight="1" x14ac:dyDescent="0.25">
      <c r="A17160" s="2" t="s">
        <v>33825</v>
      </c>
      <c r="B17160" s="2" t="s">
        <v>33826</v>
      </c>
      <c r="C17160" s="2" t="s">
        <v>556</v>
      </c>
      <c r="D17160" s="2" t="s">
        <v>998</v>
      </c>
      <c r="E17160" s="2" t="str">
        <f>"9783837654431"</f>
        <v>9783837654431</v>
      </c>
      <c r="F17160" s="2" t="str">
        <f>"9783839454435"</f>
        <v>9783839454435</v>
      </c>
    </row>
    <row r="17161" spans="1:6" s="3" customFormat="1" ht="29.1" customHeight="1" x14ac:dyDescent="0.25">
      <c r="A17161" s="2" t="s">
        <v>33827</v>
      </c>
      <c r="B17161" s="2" t="s">
        <v>33828</v>
      </c>
      <c r="C17161" s="2" t="s">
        <v>556</v>
      </c>
      <c r="D17161" s="2" t="s">
        <v>712</v>
      </c>
      <c r="E17161" s="2" t="str">
        <f>"9783837653038"</f>
        <v>9783837653038</v>
      </c>
      <c r="F17161" s="2" t="str">
        <f>"9783732853038"</f>
        <v>9783732853038</v>
      </c>
    </row>
    <row r="17162" spans="1:6" s="3" customFormat="1" ht="29.1" customHeight="1" x14ac:dyDescent="0.25">
      <c r="A17162" s="2" t="s">
        <v>33829</v>
      </c>
      <c r="B17162" s="2" t="s">
        <v>33830</v>
      </c>
      <c r="C17162" s="2" t="s">
        <v>556</v>
      </c>
      <c r="D17162" s="2" t="s">
        <v>1046</v>
      </c>
      <c r="E17162" s="2" t="str">
        <f>"9783837651591"</f>
        <v>9783837651591</v>
      </c>
      <c r="F17162" s="2" t="str">
        <f>"9783732851591"</f>
        <v>9783732851591</v>
      </c>
    </row>
    <row r="17163" spans="1:6" s="3" customFormat="1" ht="29.1" customHeight="1" x14ac:dyDescent="0.25">
      <c r="A17163" s="2" t="s">
        <v>33831</v>
      </c>
      <c r="B17163" s="2" t="s">
        <v>33832</v>
      </c>
      <c r="C17163" s="2" t="s">
        <v>556</v>
      </c>
      <c r="D17163" s="2" t="s">
        <v>712</v>
      </c>
      <c r="E17163" s="2" t="str">
        <f>"9783837648805"</f>
        <v>9783837648805</v>
      </c>
      <c r="F17163" s="2" t="str">
        <f>"9783839448809"</f>
        <v>9783839448809</v>
      </c>
    </row>
    <row r="17164" spans="1:6" s="3" customFormat="1" ht="29.1" customHeight="1" x14ac:dyDescent="0.25">
      <c r="A17164" s="2" t="s">
        <v>33833</v>
      </c>
      <c r="B17164" s="2" t="s">
        <v>33834</v>
      </c>
      <c r="C17164" s="2" t="s">
        <v>124</v>
      </c>
      <c r="D17164" s="2" t="s">
        <v>8936</v>
      </c>
      <c r="E17164" s="2" t="str">
        <f>"9781032138626"</f>
        <v>9781032138626</v>
      </c>
      <c r="F17164" s="2" t="str">
        <f>"9781000528411"</f>
        <v>9781000528411</v>
      </c>
    </row>
    <row r="17165" spans="1:6" s="3" customFormat="1" ht="29.1" customHeight="1" x14ac:dyDescent="0.25">
      <c r="A17165" s="2" t="s">
        <v>33835</v>
      </c>
      <c r="B17165" s="2" t="s">
        <v>33836</v>
      </c>
      <c r="C17165" s="2" t="s">
        <v>2133</v>
      </c>
      <c r="D17165" s="2" t="s">
        <v>5724</v>
      </c>
      <c r="E17165" s="2" t="str">
        <f>"9781760464905"</f>
        <v>9781760464905</v>
      </c>
      <c r="F17165" s="2" t="str">
        <f>"9781760464912"</f>
        <v>9781760464912</v>
      </c>
    </row>
    <row r="17166" spans="1:6" s="3" customFormat="1" ht="29.1" customHeight="1" x14ac:dyDescent="0.25">
      <c r="A17166" s="2" t="s">
        <v>33837</v>
      </c>
      <c r="B17166" s="2" t="s">
        <v>33838</v>
      </c>
      <c r="C17166" s="2" t="s">
        <v>2133</v>
      </c>
      <c r="D17166" s="2" t="s">
        <v>9575</v>
      </c>
      <c r="E17166" s="2" t="str">
        <f>"9781760464783"</f>
        <v>9781760464783</v>
      </c>
      <c r="F17166" s="2" t="str">
        <f>"9781760464790"</f>
        <v>9781760464790</v>
      </c>
    </row>
    <row r="17167" spans="1:6" s="3" customFormat="1" ht="29.1" customHeight="1" x14ac:dyDescent="0.25">
      <c r="A17167" s="2" t="s">
        <v>33839</v>
      </c>
      <c r="B17167" s="2" t="s">
        <v>33840</v>
      </c>
      <c r="C17167" s="2" t="s">
        <v>2133</v>
      </c>
      <c r="D17167" s="2" t="s">
        <v>636</v>
      </c>
      <c r="E17167" s="2" t="str">
        <f>"9781760462369"</f>
        <v>9781760462369</v>
      </c>
      <c r="F17167" s="2" t="str">
        <f>"9781760462376"</f>
        <v>9781760462376</v>
      </c>
    </row>
    <row r="17168" spans="1:6" s="3" customFormat="1" ht="29.1" customHeight="1" x14ac:dyDescent="0.25">
      <c r="A17168" s="2" t="s">
        <v>33841</v>
      </c>
      <c r="B17168" s="2" t="s">
        <v>33842</v>
      </c>
      <c r="C17168" s="2" t="s">
        <v>2133</v>
      </c>
      <c r="D17168" s="2" t="s">
        <v>4059</v>
      </c>
      <c r="E17168" s="2" t="str">
        <f>"9781760462284"</f>
        <v>9781760462284</v>
      </c>
      <c r="F17168" s="2" t="str">
        <f>"9781760462291"</f>
        <v>9781760462291</v>
      </c>
    </row>
    <row r="17169" spans="1:6" s="3" customFormat="1" ht="29.1" customHeight="1" x14ac:dyDescent="0.25">
      <c r="A17169" s="2" t="s">
        <v>33843</v>
      </c>
      <c r="B17169" s="2" t="s">
        <v>17565</v>
      </c>
      <c r="C17169" s="2" t="s">
        <v>2133</v>
      </c>
      <c r="D17169" s="2" t="s">
        <v>1259</v>
      </c>
      <c r="E17169" s="2" t="str">
        <f>"9781760464967"</f>
        <v>9781760464967</v>
      </c>
      <c r="F17169" s="2" t="str">
        <f>"9781760464974"</f>
        <v>9781760464974</v>
      </c>
    </row>
    <row r="17170" spans="1:6" s="3" customFormat="1" ht="29.1" customHeight="1" x14ac:dyDescent="0.25">
      <c r="A17170" s="2" t="s">
        <v>33844</v>
      </c>
      <c r="B17170" s="2" t="s">
        <v>33845</v>
      </c>
      <c r="C17170" s="2" t="s">
        <v>195</v>
      </c>
      <c r="D17170" s="2" t="s">
        <v>2005</v>
      </c>
      <c r="E17170" s="2" t="str">
        <f>"9783110604528"</f>
        <v>9783110604528</v>
      </c>
      <c r="F17170" s="2" t="str">
        <f>"9783110604931"</f>
        <v>9783110604931</v>
      </c>
    </row>
    <row r="17171" spans="1:6" s="3" customFormat="1" ht="29.1" customHeight="1" x14ac:dyDescent="0.25">
      <c r="A17171" s="2" t="s">
        <v>33846</v>
      </c>
      <c r="B17171" s="2" t="s">
        <v>33847</v>
      </c>
      <c r="C17171" s="2" t="s">
        <v>195</v>
      </c>
      <c r="D17171" s="2" t="s">
        <v>215</v>
      </c>
      <c r="E17171" s="2" t="str">
        <f>"9788395669637"</f>
        <v>9788395669637</v>
      </c>
      <c r="F17171" s="2" t="str">
        <f>"9783110696141"</f>
        <v>9783110696141</v>
      </c>
    </row>
    <row r="17172" spans="1:6" s="3" customFormat="1" ht="29.1" customHeight="1" x14ac:dyDescent="0.25">
      <c r="A17172" s="2" t="s">
        <v>33848</v>
      </c>
      <c r="B17172" s="2" t="s">
        <v>33849</v>
      </c>
      <c r="C17172" s="2" t="s">
        <v>195</v>
      </c>
      <c r="D17172" s="2" t="s">
        <v>682</v>
      </c>
      <c r="E17172" s="2" t="str">
        <f>"9783110779530"</f>
        <v>9783110779530</v>
      </c>
      <c r="F17172" s="2" t="str">
        <f>"9783110779837"</f>
        <v>9783110779837</v>
      </c>
    </row>
    <row r="17173" spans="1:6" s="3" customFormat="1" ht="29.1" customHeight="1" x14ac:dyDescent="0.25">
      <c r="A17173" s="2" t="s">
        <v>33850</v>
      </c>
      <c r="B17173" s="2" t="s">
        <v>33851</v>
      </c>
      <c r="C17173" s="2" t="s">
        <v>195</v>
      </c>
      <c r="D17173" s="2" t="s">
        <v>1999</v>
      </c>
      <c r="E17173" s="2" t="str">
        <f>"9783110757651"</f>
        <v>9783110757651</v>
      </c>
      <c r="F17173" s="2" t="str">
        <f>"9783110758009"</f>
        <v>9783110758009</v>
      </c>
    </row>
    <row r="17174" spans="1:6" s="3" customFormat="1" ht="29.1" customHeight="1" x14ac:dyDescent="0.25">
      <c r="A17174" s="2" t="s">
        <v>33852</v>
      </c>
      <c r="B17174" s="2" t="s">
        <v>33853</v>
      </c>
      <c r="C17174" s="2" t="s">
        <v>195</v>
      </c>
      <c r="D17174" s="2" t="s">
        <v>3345</v>
      </c>
      <c r="E17174" s="2" t="str">
        <f>"9783110756388"</f>
        <v>9783110756388</v>
      </c>
      <c r="F17174" s="2" t="str">
        <f>"9783110756432"</f>
        <v>9783110756432</v>
      </c>
    </row>
    <row r="17175" spans="1:6" s="3" customFormat="1" ht="29.1" customHeight="1" x14ac:dyDescent="0.25">
      <c r="A17175" s="2" t="s">
        <v>33854</v>
      </c>
      <c r="B17175" s="2" t="s">
        <v>33855</v>
      </c>
      <c r="C17175" s="2" t="s">
        <v>195</v>
      </c>
      <c r="D17175" s="2" t="s">
        <v>3130</v>
      </c>
      <c r="E17175" s="2" t="str">
        <f>"9783110762907"</f>
        <v>9783110762907</v>
      </c>
      <c r="F17175" s="2" t="str">
        <f>"9783110764734"</f>
        <v>9783110764734</v>
      </c>
    </row>
    <row r="17176" spans="1:6" s="3" customFormat="1" ht="29.1" customHeight="1" x14ac:dyDescent="0.25">
      <c r="A17176" s="2" t="s">
        <v>33856</v>
      </c>
      <c r="B17176" s="2" t="s">
        <v>33857</v>
      </c>
      <c r="C17176" s="2" t="s">
        <v>195</v>
      </c>
      <c r="D17176" s="2" t="s">
        <v>446</v>
      </c>
      <c r="E17176" s="2" t="str">
        <f>"9783110729665"</f>
        <v>9783110729665</v>
      </c>
      <c r="F17176" s="2" t="str">
        <f>"9783110552621"</f>
        <v>9783110552621</v>
      </c>
    </row>
    <row r="17177" spans="1:6" s="3" customFormat="1" ht="29.1" customHeight="1" x14ac:dyDescent="0.25">
      <c r="A17177" s="2" t="s">
        <v>33858</v>
      </c>
      <c r="B17177" s="2" t="s">
        <v>33859</v>
      </c>
      <c r="C17177" s="2" t="s">
        <v>195</v>
      </c>
      <c r="D17177" s="2" t="s">
        <v>1809</v>
      </c>
      <c r="E17177" s="2" t="str">
        <f>"9783110728118"</f>
        <v>9783110728118</v>
      </c>
      <c r="F17177" s="2" t="str">
        <f>"9783110728279"</f>
        <v>9783110728279</v>
      </c>
    </row>
    <row r="17178" spans="1:6" s="3" customFormat="1" ht="29.1" customHeight="1" x14ac:dyDescent="0.25">
      <c r="A17178" s="2" t="s">
        <v>33860</v>
      </c>
      <c r="B17178" s="2" t="s">
        <v>33861</v>
      </c>
      <c r="C17178" s="2" t="s">
        <v>195</v>
      </c>
      <c r="D17178" s="2" t="s">
        <v>196</v>
      </c>
      <c r="E17178" s="2" t="str">
        <f>"9783110655056"</f>
        <v>9783110655056</v>
      </c>
      <c r="F17178" s="2" t="str">
        <f>"9783110655315"</f>
        <v>9783110655315</v>
      </c>
    </row>
    <row r="17179" spans="1:6" s="3" customFormat="1" ht="29.1" customHeight="1" x14ac:dyDescent="0.25">
      <c r="A17179" s="2" t="s">
        <v>33862</v>
      </c>
      <c r="B17179" s="2" t="s">
        <v>33863</v>
      </c>
      <c r="C17179" s="2" t="s">
        <v>195</v>
      </c>
      <c r="D17179" s="2" t="s">
        <v>218</v>
      </c>
      <c r="E17179" s="2" t="str">
        <f>"9783110737745"</f>
        <v>9783110737745</v>
      </c>
      <c r="F17179" s="2" t="str">
        <f>"9783110732917"</f>
        <v>9783110732917</v>
      </c>
    </row>
    <row r="17180" spans="1:6" s="3" customFormat="1" ht="29.1" customHeight="1" x14ac:dyDescent="0.25">
      <c r="A17180" s="2" t="s">
        <v>33864</v>
      </c>
      <c r="B17180" s="2" t="s">
        <v>33865</v>
      </c>
      <c r="C17180" s="2" t="s">
        <v>195</v>
      </c>
      <c r="D17180" s="2" t="s">
        <v>431</v>
      </c>
      <c r="E17180" s="2" t="str">
        <f>"9783110726657"</f>
        <v>9783110726657</v>
      </c>
      <c r="F17180" s="2" t="str">
        <f>"9783110726213"</f>
        <v>9783110726213</v>
      </c>
    </row>
    <row r="17181" spans="1:6" s="3" customFormat="1" ht="29.1" customHeight="1" x14ac:dyDescent="0.25">
      <c r="A17181" s="2" t="s">
        <v>33866</v>
      </c>
      <c r="B17181" s="2" t="s">
        <v>17248</v>
      </c>
      <c r="C17181" s="2" t="s">
        <v>195</v>
      </c>
      <c r="D17181" s="2" t="s">
        <v>465</v>
      </c>
      <c r="E17181" s="2" t="str">
        <f>"9783110739640"</f>
        <v>9783110739640</v>
      </c>
      <c r="F17181" s="2" t="str">
        <f>"9783110741117"</f>
        <v>9783110741117</v>
      </c>
    </row>
    <row r="17182" spans="1:6" s="3" customFormat="1" ht="29.1" customHeight="1" x14ac:dyDescent="0.25">
      <c r="A17182" s="2" t="s">
        <v>33867</v>
      </c>
      <c r="B17182" s="2" t="s">
        <v>33868</v>
      </c>
      <c r="C17182" s="2" t="s">
        <v>195</v>
      </c>
      <c r="D17182" s="2" t="s">
        <v>33</v>
      </c>
      <c r="E17182" s="2" t="str">
        <f>"9783110656510"</f>
        <v>9783110656510</v>
      </c>
      <c r="F17182" s="2" t="str">
        <f>"9783110667004"</f>
        <v>9783110667004</v>
      </c>
    </row>
    <row r="17183" spans="1:6" s="3" customFormat="1" ht="29.1" customHeight="1" x14ac:dyDescent="0.25">
      <c r="A17183" s="2" t="s">
        <v>33869</v>
      </c>
      <c r="B17183" s="2" t="s">
        <v>33870</v>
      </c>
      <c r="C17183" s="2" t="s">
        <v>644</v>
      </c>
      <c r="D17183" s="2" t="s">
        <v>1104</v>
      </c>
      <c r="E17183" s="2"/>
      <c r="F17183" s="2" t="str">
        <f>"9781478090953"</f>
        <v>9781478090953</v>
      </c>
    </row>
    <row r="17184" spans="1:6" s="3" customFormat="1" ht="29.1" customHeight="1" x14ac:dyDescent="0.25">
      <c r="A17184" s="2" t="s">
        <v>33871</v>
      </c>
      <c r="B17184" s="2" t="s">
        <v>33872</v>
      </c>
      <c r="C17184" s="2" t="s">
        <v>644</v>
      </c>
      <c r="D17184" s="2" t="s">
        <v>202</v>
      </c>
      <c r="E17184" s="2"/>
      <c r="F17184" s="2" t="str">
        <f>"9781478091448"</f>
        <v>9781478091448</v>
      </c>
    </row>
    <row r="17185" spans="1:6" s="3" customFormat="1" ht="29.1" customHeight="1" x14ac:dyDescent="0.25">
      <c r="A17185" s="2" t="s">
        <v>33873</v>
      </c>
      <c r="B17185" s="2" t="s">
        <v>33874</v>
      </c>
      <c r="C17185" s="2" t="s">
        <v>644</v>
      </c>
      <c r="D17185" s="2" t="s">
        <v>6669</v>
      </c>
      <c r="E17185" s="2"/>
      <c r="F17185" s="2" t="str">
        <f>"9781478091523"</f>
        <v>9781478091523</v>
      </c>
    </row>
    <row r="17186" spans="1:6" s="3" customFormat="1" ht="29.1" customHeight="1" x14ac:dyDescent="0.25">
      <c r="A17186" s="2" t="s">
        <v>33875</v>
      </c>
      <c r="B17186" s="2" t="s">
        <v>33877</v>
      </c>
      <c r="C17186" s="2" t="s">
        <v>644</v>
      </c>
      <c r="D17186" s="2" t="s">
        <v>33876</v>
      </c>
      <c r="E17186" s="2"/>
      <c r="F17186" s="2" t="str">
        <f>"9781478091158"</f>
        <v>9781478091158</v>
      </c>
    </row>
    <row r="17187" spans="1:6" s="3" customFormat="1" ht="29.1" customHeight="1" x14ac:dyDescent="0.25">
      <c r="A17187" s="2" t="s">
        <v>33878</v>
      </c>
      <c r="B17187" s="2" t="s">
        <v>33879</v>
      </c>
      <c r="C17187" s="2" t="s">
        <v>644</v>
      </c>
      <c r="D17187" s="2" t="s">
        <v>1466</v>
      </c>
      <c r="E17187" s="2"/>
      <c r="F17187" s="2" t="str">
        <f>"9781478090069"</f>
        <v>9781478090069</v>
      </c>
    </row>
    <row r="17188" spans="1:6" s="3" customFormat="1" ht="29.1" customHeight="1" x14ac:dyDescent="0.25">
      <c r="A17188" s="2" t="s">
        <v>33880</v>
      </c>
      <c r="B17188" s="2" t="s">
        <v>33881</v>
      </c>
      <c r="C17188" s="2" t="s">
        <v>644</v>
      </c>
      <c r="D17188" s="2" t="s">
        <v>162</v>
      </c>
      <c r="E17188" s="2"/>
      <c r="F17188" s="2" t="str">
        <f>"9781478091042"</f>
        <v>9781478091042</v>
      </c>
    </row>
    <row r="17189" spans="1:6" s="3" customFormat="1" ht="29.1" customHeight="1" x14ac:dyDescent="0.25">
      <c r="A17189" s="2" t="s">
        <v>33882</v>
      </c>
      <c r="B17189" s="2" t="s">
        <v>33883</v>
      </c>
      <c r="C17189" s="2" t="s">
        <v>644</v>
      </c>
      <c r="D17189" s="2" t="s">
        <v>10410</v>
      </c>
      <c r="E17189" s="2"/>
      <c r="F17189" s="2" t="str">
        <f>"9781478091547"</f>
        <v>9781478091547</v>
      </c>
    </row>
    <row r="17190" spans="1:6" s="3" customFormat="1" ht="29.1" customHeight="1" x14ac:dyDescent="0.25">
      <c r="A17190" s="2" t="s">
        <v>33884</v>
      </c>
      <c r="B17190" s="2" t="s">
        <v>33870</v>
      </c>
      <c r="C17190" s="2" t="s">
        <v>644</v>
      </c>
      <c r="D17190" s="2" t="s">
        <v>509</v>
      </c>
      <c r="E17190" s="2"/>
      <c r="F17190" s="2" t="str">
        <f>"9781478090960"</f>
        <v>9781478090960</v>
      </c>
    </row>
    <row r="17191" spans="1:6" s="3" customFormat="1" ht="29.1" customHeight="1" x14ac:dyDescent="0.25">
      <c r="A17191" s="2" t="s">
        <v>33885</v>
      </c>
      <c r="B17191" s="2" t="s">
        <v>33886</v>
      </c>
      <c r="C17191" s="2" t="s">
        <v>644</v>
      </c>
      <c r="D17191" s="2" t="s">
        <v>215</v>
      </c>
      <c r="E17191" s="2"/>
      <c r="F17191" s="2" t="str">
        <f>"9781478091127"</f>
        <v>9781478091127</v>
      </c>
    </row>
    <row r="17192" spans="1:6" s="3" customFormat="1" ht="29.1" customHeight="1" x14ac:dyDescent="0.25">
      <c r="A17192" s="2" t="s">
        <v>33887</v>
      </c>
      <c r="B17192" s="2" t="s">
        <v>33888</v>
      </c>
      <c r="C17192" s="2" t="s">
        <v>644</v>
      </c>
      <c r="D17192" s="2" t="s">
        <v>215</v>
      </c>
      <c r="E17192" s="2"/>
      <c r="F17192" s="2" t="str">
        <f>"9781478090151"</f>
        <v>9781478090151</v>
      </c>
    </row>
    <row r="17193" spans="1:6" s="3" customFormat="1" ht="29.1" customHeight="1" x14ac:dyDescent="0.25">
      <c r="A17193" s="2" t="s">
        <v>33889</v>
      </c>
      <c r="B17193" s="2" t="s">
        <v>33890</v>
      </c>
      <c r="C17193" s="2" t="s">
        <v>644</v>
      </c>
      <c r="D17193" s="2" t="s">
        <v>5574</v>
      </c>
      <c r="E17193" s="2"/>
      <c r="F17193" s="2" t="str">
        <f>"9781478090168"</f>
        <v>9781478090168</v>
      </c>
    </row>
    <row r="17194" spans="1:6" s="3" customFormat="1" ht="29.1" customHeight="1" x14ac:dyDescent="0.25">
      <c r="A17194" s="2" t="s">
        <v>33891</v>
      </c>
      <c r="B17194" s="2" t="s">
        <v>33892</v>
      </c>
      <c r="C17194" s="2" t="s">
        <v>644</v>
      </c>
      <c r="D17194" s="2" t="s">
        <v>2005</v>
      </c>
      <c r="E17194" s="2"/>
      <c r="F17194" s="2" t="str">
        <f>"9781478090175"</f>
        <v>9781478090175</v>
      </c>
    </row>
    <row r="17195" spans="1:6" s="3" customFormat="1" ht="29.1" customHeight="1" x14ac:dyDescent="0.25">
      <c r="A17195" s="2" t="s">
        <v>33893</v>
      </c>
      <c r="B17195" s="2" t="s">
        <v>33894</v>
      </c>
      <c r="C17195" s="2" t="s">
        <v>644</v>
      </c>
      <c r="D17195" s="2" t="s">
        <v>525</v>
      </c>
      <c r="E17195" s="2"/>
      <c r="F17195" s="2" t="str">
        <f>"9781478091660"</f>
        <v>9781478091660</v>
      </c>
    </row>
    <row r="17196" spans="1:6" s="3" customFormat="1" ht="29.1" customHeight="1" x14ac:dyDescent="0.25">
      <c r="A17196" s="2" t="s">
        <v>33895</v>
      </c>
      <c r="B17196" s="2" t="s">
        <v>33896</v>
      </c>
      <c r="C17196" s="2" t="s">
        <v>644</v>
      </c>
      <c r="D17196" s="2" t="s">
        <v>1712</v>
      </c>
      <c r="E17196" s="2"/>
      <c r="F17196" s="2" t="str">
        <f>"9781478091561"</f>
        <v>9781478091561</v>
      </c>
    </row>
    <row r="17197" spans="1:6" s="3" customFormat="1" ht="29.1" customHeight="1" x14ac:dyDescent="0.25">
      <c r="A17197" s="2" t="s">
        <v>33897</v>
      </c>
      <c r="B17197" s="2" t="s">
        <v>33898</v>
      </c>
      <c r="C17197" s="2" t="s">
        <v>644</v>
      </c>
      <c r="D17197" s="2" t="s">
        <v>636</v>
      </c>
      <c r="E17197" s="2"/>
      <c r="F17197" s="2" t="str">
        <f>"9781478090243"</f>
        <v>9781478090243</v>
      </c>
    </row>
    <row r="17198" spans="1:6" s="3" customFormat="1" ht="29.1" customHeight="1" x14ac:dyDescent="0.25">
      <c r="A17198" s="2" t="s">
        <v>33899</v>
      </c>
      <c r="B17198" s="2" t="s">
        <v>33900</v>
      </c>
      <c r="C17198" s="2" t="s">
        <v>644</v>
      </c>
      <c r="D17198" s="2" t="s">
        <v>215</v>
      </c>
      <c r="E17198" s="2"/>
      <c r="F17198" s="2" t="str">
        <f>"9781478090182"</f>
        <v>9781478090182</v>
      </c>
    </row>
    <row r="17199" spans="1:6" s="3" customFormat="1" ht="29.1" customHeight="1" x14ac:dyDescent="0.25">
      <c r="A17199" s="2" t="s">
        <v>33901</v>
      </c>
      <c r="B17199" s="2" t="s">
        <v>33902</v>
      </c>
      <c r="C17199" s="2" t="s">
        <v>644</v>
      </c>
      <c r="D17199" s="2" t="s">
        <v>202</v>
      </c>
      <c r="E17199" s="2"/>
      <c r="F17199" s="2" t="str">
        <f>"9781478090144"</f>
        <v>9781478090144</v>
      </c>
    </row>
    <row r="17200" spans="1:6" s="3" customFormat="1" ht="29.1" customHeight="1" x14ac:dyDescent="0.25">
      <c r="A17200" s="2" t="s">
        <v>33903</v>
      </c>
      <c r="B17200" s="2" t="s">
        <v>33904</v>
      </c>
      <c r="C17200" s="2" t="s">
        <v>644</v>
      </c>
      <c r="D17200" s="2" t="s">
        <v>4030</v>
      </c>
      <c r="E17200" s="2"/>
      <c r="F17200" s="2" t="str">
        <f>"9781478090052"</f>
        <v>9781478090052</v>
      </c>
    </row>
    <row r="17201" spans="1:6" s="3" customFormat="1" ht="29.1" customHeight="1" x14ac:dyDescent="0.25">
      <c r="A17201" s="2" t="s">
        <v>33905</v>
      </c>
      <c r="B17201" s="2" t="s">
        <v>33906</v>
      </c>
      <c r="C17201" s="2" t="s">
        <v>644</v>
      </c>
      <c r="D17201" s="2" t="s">
        <v>9968</v>
      </c>
      <c r="E17201" s="2"/>
      <c r="F17201" s="2" t="str">
        <f>"9781478091332"</f>
        <v>9781478091332</v>
      </c>
    </row>
    <row r="17202" spans="1:6" s="3" customFormat="1" ht="29.1" customHeight="1" x14ac:dyDescent="0.25">
      <c r="A17202" s="2" t="s">
        <v>33907</v>
      </c>
      <c r="B17202" s="2" t="s">
        <v>33909</v>
      </c>
      <c r="C17202" s="2" t="s">
        <v>644</v>
      </c>
      <c r="D17202" s="2" t="s">
        <v>33908</v>
      </c>
      <c r="E17202" s="2"/>
      <c r="F17202" s="2" t="str">
        <f>"9781478091301"</f>
        <v>9781478091301</v>
      </c>
    </row>
    <row r="17203" spans="1:6" s="3" customFormat="1" ht="29.1" customHeight="1" x14ac:dyDescent="0.25">
      <c r="A17203" s="2" t="s">
        <v>33910</v>
      </c>
      <c r="B17203" s="2" t="s">
        <v>33911</v>
      </c>
      <c r="C17203" s="2" t="s">
        <v>644</v>
      </c>
      <c r="D17203" s="2" t="s">
        <v>324</v>
      </c>
      <c r="E17203" s="2"/>
      <c r="F17203" s="2" t="str">
        <f>"9781478091066"</f>
        <v>9781478091066</v>
      </c>
    </row>
    <row r="17204" spans="1:6" s="3" customFormat="1" ht="29.1" customHeight="1" x14ac:dyDescent="0.25">
      <c r="A17204" s="2" t="s">
        <v>33912</v>
      </c>
      <c r="B17204" s="2" t="s">
        <v>33913</v>
      </c>
      <c r="C17204" s="2" t="s">
        <v>644</v>
      </c>
      <c r="D17204" s="2" t="s">
        <v>5574</v>
      </c>
      <c r="E17204" s="2"/>
      <c r="F17204" s="2" t="str">
        <f>"9781478091479"</f>
        <v>9781478091479</v>
      </c>
    </row>
    <row r="17205" spans="1:6" s="3" customFormat="1" ht="29.1" customHeight="1" x14ac:dyDescent="0.25">
      <c r="A17205" s="2" t="s">
        <v>33914</v>
      </c>
      <c r="B17205" s="2" t="s">
        <v>33915</v>
      </c>
      <c r="C17205" s="2" t="s">
        <v>644</v>
      </c>
      <c r="D17205" s="2" t="s">
        <v>14118</v>
      </c>
      <c r="E17205" s="2"/>
      <c r="F17205" s="2" t="str">
        <f>"9781478090120"</f>
        <v>9781478090120</v>
      </c>
    </row>
    <row r="17206" spans="1:6" s="3" customFormat="1" ht="29.1" customHeight="1" x14ac:dyDescent="0.25">
      <c r="A17206" s="2" t="s">
        <v>33916</v>
      </c>
      <c r="B17206" s="2" t="s">
        <v>33917</v>
      </c>
      <c r="C17206" s="2" t="s">
        <v>644</v>
      </c>
      <c r="D17206" s="2" t="s">
        <v>1162</v>
      </c>
      <c r="E17206" s="2"/>
      <c r="F17206" s="2" t="str">
        <f>"9781478091257"</f>
        <v>9781478091257</v>
      </c>
    </row>
    <row r="17207" spans="1:6" s="3" customFormat="1" ht="29.1" customHeight="1" x14ac:dyDescent="0.25">
      <c r="A17207" s="2" t="s">
        <v>33918</v>
      </c>
      <c r="B17207" s="2" t="s">
        <v>33919</v>
      </c>
      <c r="C17207" s="2" t="s">
        <v>644</v>
      </c>
      <c r="D17207" s="2" t="s">
        <v>202</v>
      </c>
      <c r="E17207" s="2"/>
      <c r="F17207" s="2" t="str">
        <f>"9781478090090"</f>
        <v>9781478090090</v>
      </c>
    </row>
    <row r="17208" spans="1:6" s="3" customFormat="1" ht="29.1" customHeight="1" x14ac:dyDescent="0.25">
      <c r="A17208" s="2" t="s">
        <v>33920</v>
      </c>
      <c r="B17208" s="2" t="s">
        <v>33921</v>
      </c>
      <c r="C17208" s="2" t="s">
        <v>644</v>
      </c>
      <c r="D17208" s="2" t="s">
        <v>1466</v>
      </c>
      <c r="E17208" s="2"/>
      <c r="F17208" s="2" t="str">
        <f>"9781478090236"</f>
        <v>9781478090236</v>
      </c>
    </row>
    <row r="17209" spans="1:6" s="3" customFormat="1" ht="29.1" customHeight="1" x14ac:dyDescent="0.25">
      <c r="A17209" s="2" t="s">
        <v>33922</v>
      </c>
      <c r="B17209" s="2" t="s">
        <v>33923</v>
      </c>
      <c r="C17209" s="2" t="s">
        <v>644</v>
      </c>
      <c r="D17209" s="2" t="s">
        <v>1432</v>
      </c>
      <c r="E17209" s="2"/>
      <c r="F17209" s="2" t="str">
        <f>"9781478090984"</f>
        <v>9781478090984</v>
      </c>
    </row>
    <row r="17210" spans="1:6" s="3" customFormat="1" ht="29.1" customHeight="1" x14ac:dyDescent="0.25">
      <c r="A17210" s="2" t="s">
        <v>33924</v>
      </c>
      <c r="B17210" s="2" t="s">
        <v>33925</v>
      </c>
      <c r="C17210" s="2" t="s">
        <v>644</v>
      </c>
      <c r="D17210" s="2" t="s">
        <v>13400</v>
      </c>
      <c r="E17210" s="2"/>
      <c r="F17210" s="2" t="str">
        <f>"9781478091172"</f>
        <v>9781478091172</v>
      </c>
    </row>
    <row r="17211" spans="1:6" s="3" customFormat="1" ht="29.1" customHeight="1" x14ac:dyDescent="0.25">
      <c r="A17211" s="2" t="s">
        <v>33926</v>
      </c>
      <c r="B17211" s="2" t="s">
        <v>33927</v>
      </c>
      <c r="C17211" s="2" t="s">
        <v>644</v>
      </c>
      <c r="D17211" s="2" t="s">
        <v>1598</v>
      </c>
      <c r="E17211" s="2"/>
      <c r="F17211" s="2" t="str">
        <f>"9781478091813"</f>
        <v>9781478091813</v>
      </c>
    </row>
    <row r="17212" spans="1:6" s="3" customFormat="1" ht="29.1" customHeight="1" x14ac:dyDescent="0.25">
      <c r="A17212" s="2" t="s">
        <v>33928</v>
      </c>
      <c r="B17212" s="2" t="s">
        <v>33929</v>
      </c>
      <c r="C17212" s="2" t="s">
        <v>644</v>
      </c>
      <c r="D17212" s="2" t="s">
        <v>27218</v>
      </c>
      <c r="E17212" s="2"/>
      <c r="F17212" s="2" t="str">
        <f>"9781478091295"</f>
        <v>9781478091295</v>
      </c>
    </row>
    <row r="17213" spans="1:6" s="3" customFormat="1" ht="29.1" customHeight="1" x14ac:dyDescent="0.25">
      <c r="A17213" s="2" t="s">
        <v>33930</v>
      </c>
      <c r="B17213" s="2" t="s">
        <v>33931</v>
      </c>
      <c r="C17213" s="2" t="s">
        <v>644</v>
      </c>
      <c r="D17213" s="2" t="s">
        <v>183</v>
      </c>
      <c r="E17213" s="2"/>
      <c r="F17213" s="2" t="str">
        <f>"9781478091585"</f>
        <v>9781478091585</v>
      </c>
    </row>
    <row r="17214" spans="1:6" s="3" customFormat="1" ht="29.1" customHeight="1" x14ac:dyDescent="0.25">
      <c r="A17214" s="2" t="s">
        <v>33932</v>
      </c>
      <c r="B17214" s="2" t="s">
        <v>33933</v>
      </c>
      <c r="C17214" s="2" t="s">
        <v>644</v>
      </c>
      <c r="D17214" s="2" t="s">
        <v>1663</v>
      </c>
      <c r="E17214" s="2"/>
      <c r="F17214" s="2" t="str">
        <f>"9781478091141"</f>
        <v>9781478091141</v>
      </c>
    </row>
    <row r="17215" spans="1:6" s="3" customFormat="1" ht="29.1" customHeight="1" x14ac:dyDescent="0.25">
      <c r="A17215" s="2" t="s">
        <v>33934</v>
      </c>
      <c r="B17215" s="2" t="s">
        <v>33935</v>
      </c>
      <c r="C17215" s="2" t="s">
        <v>644</v>
      </c>
      <c r="D17215" s="2" t="s">
        <v>9015</v>
      </c>
      <c r="E17215" s="2"/>
      <c r="F17215" s="2" t="str">
        <f>"9781478091189"</f>
        <v>9781478091189</v>
      </c>
    </row>
    <row r="17216" spans="1:6" s="3" customFormat="1" ht="29.1" customHeight="1" x14ac:dyDescent="0.25">
      <c r="A17216" s="2" t="s">
        <v>33936</v>
      </c>
      <c r="B17216" s="2" t="s">
        <v>33937</v>
      </c>
      <c r="C17216" s="2" t="s">
        <v>644</v>
      </c>
      <c r="D17216" s="2" t="s">
        <v>636</v>
      </c>
      <c r="E17216" s="2"/>
      <c r="F17216" s="2" t="str">
        <f>"9781478091288"</f>
        <v>9781478091288</v>
      </c>
    </row>
    <row r="17217" spans="1:6" s="3" customFormat="1" ht="29.1" customHeight="1" x14ac:dyDescent="0.25">
      <c r="A17217" s="2" t="s">
        <v>33938</v>
      </c>
      <c r="B17217" s="2" t="s">
        <v>33939</v>
      </c>
      <c r="C17217" s="2" t="s">
        <v>644</v>
      </c>
      <c r="D17217" s="2" t="s">
        <v>15382</v>
      </c>
      <c r="E17217" s="2"/>
      <c r="F17217" s="2" t="str">
        <f>"9781478090199"</f>
        <v>9781478090199</v>
      </c>
    </row>
    <row r="17218" spans="1:6" s="3" customFormat="1" ht="29.1" customHeight="1" x14ac:dyDescent="0.25">
      <c r="A17218" s="2" t="s">
        <v>33940</v>
      </c>
      <c r="B17218" s="2" t="s">
        <v>31076</v>
      </c>
      <c r="C17218" s="2" t="s">
        <v>644</v>
      </c>
      <c r="D17218" s="2" t="s">
        <v>1598</v>
      </c>
      <c r="E17218" s="2"/>
      <c r="F17218" s="2" t="str">
        <f>"9781478091370"</f>
        <v>9781478091370</v>
      </c>
    </row>
    <row r="17219" spans="1:6" s="3" customFormat="1" ht="29.1" customHeight="1" x14ac:dyDescent="0.25">
      <c r="A17219" s="2" t="s">
        <v>33941</v>
      </c>
      <c r="B17219" s="2" t="s">
        <v>33942</v>
      </c>
      <c r="C17219" s="2" t="s">
        <v>644</v>
      </c>
      <c r="D17219" s="2" t="s">
        <v>1663</v>
      </c>
      <c r="E17219" s="2"/>
      <c r="F17219" s="2" t="str">
        <f>"9781478091165"</f>
        <v>9781478091165</v>
      </c>
    </row>
    <row r="17220" spans="1:6" s="3" customFormat="1" ht="29.1" customHeight="1" x14ac:dyDescent="0.25">
      <c r="A17220" s="2" t="s">
        <v>33943</v>
      </c>
      <c r="B17220" s="2" t="s">
        <v>33944</v>
      </c>
      <c r="C17220" s="2" t="s">
        <v>644</v>
      </c>
      <c r="D17220" s="2" t="s">
        <v>13400</v>
      </c>
      <c r="E17220" s="2"/>
      <c r="F17220" s="2" t="str">
        <f>"9781478091226"</f>
        <v>9781478091226</v>
      </c>
    </row>
    <row r="17221" spans="1:6" s="3" customFormat="1" ht="29.1" customHeight="1" x14ac:dyDescent="0.25">
      <c r="A17221" s="2" t="s">
        <v>33945</v>
      </c>
      <c r="B17221" s="2" t="s">
        <v>33946</v>
      </c>
      <c r="C17221" s="2" t="s">
        <v>644</v>
      </c>
      <c r="D17221" s="2" t="s">
        <v>10410</v>
      </c>
      <c r="E17221" s="2"/>
      <c r="F17221" s="2" t="str">
        <f>"9781478091493"</f>
        <v>9781478091493</v>
      </c>
    </row>
    <row r="17222" spans="1:6" s="3" customFormat="1" ht="29.1" customHeight="1" x14ac:dyDescent="0.25">
      <c r="A17222" s="2" t="s">
        <v>33947</v>
      </c>
      <c r="B17222" s="2" t="s">
        <v>33948</v>
      </c>
      <c r="C17222" s="2" t="s">
        <v>644</v>
      </c>
      <c r="D17222" s="2" t="s">
        <v>28602</v>
      </c>
      <c r="E17222" s="2"/>
      <c r="F17222" s="2" t="str">
        <f>"9781478091516"</f>
        <v>9781478091516</v>
      </c>
    </row>
    <row r="17223" spans="1:6" s="3" customFormat="1" ht="29.1" customHeight="1" x14ac:dyDescent="0.25">
      <c r="A17223" s="2" t="s">
        <v>33949</v>
      </c>
      <c r="B17223" s="2" t="s">
        <v>33950</v>
      </c>
      <c r="C17223" s="2" t="s">
        <v>644</v>
      </c>
      <c r="D17223" s="2" t="s">
        <v>636</v>
      </c>
      <c r="E17223" s="2"/>
      <c r="F17223" s="2" t="str">
        <f>"9781478091028"</f>
        <v>9781478091028</v>
      </c>
    </row>
    <row r="17224" spans="1:6" s="3" customFormat="1" ht="29.1" customHeight="1" x14ac:dyDescent="0.25">
      <c r="A17224" s="2" t="s">
        <v>33951</v>
      </c>
      <c r="B17224" s="2" t="s">
        <v>33952</v>
      </c>
      <c r="C17224" s="2" t="s">
        <v>644</v>
      </c>
      <c r="D17224" s="2" t="s">
        <v>1449</v>
      </c>
      <c r="E17224" s="2"/>
      <c r="F17224" s="2" t="str">
        <f>"9781478091271"</f>
        <v>9781478091271</v>
      </c>
    </row>
    <row r="17225" spans="1:6" s="3" customFormat="1" ht="29.1" customHeight="1" x14ac:dyDescent="0.25">
      <c r="A17225" s="2" t="s">
        <v>33953</v>
      </c>
      <c r="B17225" s="2" t="s">
        <v>33954</v>
      </c>
      <c r="C17225" s="2" t="s">
        <v>644</v>
      </c>
      <c r="D17225" s="2" t="s">
        <v>636</v>
      </c>
      <c r="E17225" s="2"/>
      <c r="F17225" s="2" t="str">
        <f>"9781478091431"</f>
        <v>9781478091431</v>
      </c>
    </row>
    <row r="17226" spans="1:6" s="3" customFormat="1" ht="29.1" customHeight="1" x14ac:dyDescent="0.25">
      <c r="A17226" s="2" t="s">
        <v>33955</v>
      </c>
      <c r="B17226" s="2" t="s">
        <v>33956</v>
      </c>
      <c r="C17226" s="2" t="s">
        <v>644</v>
      </c>
      <c r="D17226" s="2" t="s">
        <v>636</v>
      </c>
      <c r="E17226" s="2"/>
      <c r="F17226" s="2" t="str">
        <f>"9781478091103"</f>
        <v>9781478091103</v>
      </c>
    </row>
    <row r="17227" spans="1:6" s="3" customFormat="1" ht="29.1" customHeight="1" x14ac:dyDescent="0.25">
      <c r="A17227" s="2" t="s">
        <v>33957</v>
      </c>
      <c r="B17227" s="2" t="s">
        <v>33958</v>
      </c>
      <c r="C17227" s="2" t="s">
        <v>644</v>
      </c>
      <c r="D17227" s="2" t="s">
        <v>294</v>
      </c>
      <c r="E17227" s="2"/>
      <c r="F17227" s="2" t="str">
        <f>"9781478091615"</f>
        <v>9781478091615</v>
      </c>
    </row>
    <row r="17228" spans="1:6" s="3" customFormat="1" ht="29.1" customHeight="1" x14ac:dyDescent="0.25">
      <c r="A17228" s="2" t="s">
        <v>33959</v>
      </c>
      <c r="B17228" s="2" t="s">
        <v>33960</v>
      </c>
      <c r="C17228" s="2" t="s">
        <v>644</v>
      </c>
      <c r="D17228" s="2" t="s">
        <v>636</v>
      </c>
      <c r="E17228" s="2"/>
      <c r="F17228" s="2" t="str">
        <f>"9781478091240"</f>
        <v>9781478091240</v>
      </c>
    </row>
    <row r="17229" spans="1:6" s="3" customFormat="1" ht="29.1" customHeight="1" x14ac:dyDescent="0.25">
      <c r="A17229" s="2" t="s">
        <v>33961</v>
      </c>
      <c r="B17229" s="2" t="s">
        <v>33962</v>
      </c>
      <c r="C17229" s="2" t="s">
        <v>644</v>
      </c>
      <c r="D17229" s="2" t="s">
        <v>215</v>
      </c>
      <c r="E17229" s="2"/>
      <c r="F17229" s="2" t="str">
        <f>"9781478091400"</f>
        <v>9781478091400</v>
      </c>
    </row>
    <row r="17230" spans="1:6" s="3" customFormat="1" ht="29.1" customHeight="1" x14ac:dyDescent="0.25">
      <c r="A17230" s="2" t="s">
        <v>33963</v>
      </c>
      <c r="B17230" s="2" t="s">
        <v>33964</v>
      </c>
      <c r="C17230" s="2" t="s">
        <v>644</v>
      </c>
      <c r="D17230" s="2" t="s">
        <v>3345</v>
      </c>
      <c r="E17230" s="2"/>
      <c r="F17230" s="2" t="str">
        <f>"9781478090977"</f>
        <v>9781478090977</v>
      </c>
    </row>
    <row r="17231" spans="1:6" s="3" customFormat="1" ht="29.1" customHeight="1" x14ac:dyDescent="0.25">
      <c r="A17231" s="2" t="s">
        <v>33965</v>
      </c>
      <c r="B17231" s="2" t="s">
        <v>33966</v>
      </c>
      <c r="C17231" s="2" t="s">
        <v>644</v>
      </c>
      <c r="D17231" s="2" t="s">
        <v>10493</v>
      </c>
      <c r="E17231" s="2"/>
      <c r="F17231" s="2" t="str">
        <f>"9781478091769"</f>
        <v>9781478091769</v>
      </c>
    </row>
    <row r="17232" spans="1:6" s="3" customFormat="1" ht="29.1" customHeight="1" x14ac:dyDescent="0.25">
      <c r="A17232" s="2" t="s">
        <v>33967</v>
      </c>
      <c r="B17232" s="2" t="s">
        <v>33968</v>
      </c>
      <c r="C17232" s="2" t="s">
        <v>644</v>
      </c>
      <c r="D17232" s="2" t="s">
        <v>12</v>
      </c>
      <c r="E17232" s="2"/>
      <c r="F17232" s="2" t="str">
        <f>"9781478091325"</f>
        <v>9781478091325</v>
      </c>
    </row>
    <row r="17233" spans="1:6" s="3" customFormat="1" ht="29.1" customHeight="1" x14ac:dyDescent="0.25">
      <c r="A17233" s="2" t="s">
        <v>33969</v>
      </c>
      <c r="B17233" s="2" t="s">
        <v>33970</v>
      </c>
      <c r="C17233" s="2" t="s">
        <v>644</v>
      </c>
      <c r="D17233" s="2" t="s">
        <v>636</v>
      </c>
      <c r="E17233" s="2"/>
      <c r="F17233" s="2" t="str">
        <f>"9781478091110"</f>
        <v>9781478091110</v>
      </c>
    </row>
    <row r="17234" spans="1:6" s="3" customFormat="1" ht="29.1" customHeight="1" x14ac:dyDescent="0.25">
      <c r="A17234" s="2" t="s">
        <v>33971</v>
      </c>
      <c r="B17234" s="2" t="s">
        <v>33972</v>
      </c>
      <c r="C17234" s="2" t="s">
        <v>644</v>
      </c>
      <c r="D17234" s="2" t="s">
        <v>2899</v>
      </c>
      <c r="E17234" s="2"/>
      <c r="F17234" s="2" t="str">
        <f>"9781478091936"</f>
        <v>9781478091936</v>
      </c>
    </row>
    <row r="17235" spans="1:6" s="3" customFormat="1" ht="29.1" customHeight="1" x14ac:dyDescent="0.25">
      <c r="A17235" s="2" t="s">
        <v>33973</v>
      </c>
      <c r="B17235" s="2" t="s">
        <v>33974</v>
      </c>
      <c r="C17235" s="2" t="s">
        <v>644</v>
      </c>
      <c r="D17235" s="2" t="s">
        <v>636</v>
      </c>
      <c r="E17235" s="2"/>
      <c r="F17235" s="2" t="str">
        <f>"9781478091394"</f>
        <v>9781478091394</v>
      </c>
    </row>
    <row r="17236" spans="1:6" s="3" customFormat="1" ht="29.1" customHeight="1" x14ac:dyDescent="0.25">
      <c r="A17236" s="2" t="s">
        <v>33975</v>
      </c>
      <c r="B17236" s="2" t="s">
        <v>33976</v>
      </c>
      <c r="C17236" s="2" t="s">
        <v>644</v>
      </c>
      <c r="D17236" s="2" t="s">
        <v>636</v>
      </c>
      <c r="E17236" s="2"/>
      <c r="F17236" s="2" t="str">
        <f>"9781478091264"</f>
        <v>9781478091264</v>
      </c>
    </row>
    <row r="17237" spans="1:6" s="3" customFormat="1" ht="29.1" customHeight="1" x14ac:dyDescent="0.25">
      <c r="A17237" s="2" t="s">
        <v>33977</v>
      </c>
      <c r="B17237" s="2" t="s">
        <v>33978</v>
      </c>
      <c r="C17237" s="2" t="s">
        <v>644</v>
      </c>
      <c r="D17237" s="2" t="s">
        <v>1189</v>
      </c>
      <c r="E17237" s="2"/>
      <c r="F17237" s="2" t="str">
        <f>"9781478091622"</f>
        <v>9781478091622</v>
      </c>
    </row>
    <row r="17238" spans="1:6" s="3" customFormat="1" ht="29.1" customHeight="1" x14ac:dyDescent="0.25">
      <c r="A17238" s="2" t="s">
        <v>33979</v>
      </c>
      <c r="B17238" s="2" t="s">
        <v>33980</v>
      </c>
      <c r="C17238" s="2" t="s">
        <v>644</v>
      </c>
      <c r="D17238" s="2" t="s">
        <v>4754</v>
      </c>
      <c r="E17238" s="2"/>
      <c r="F17238" s="2" t="str">
        <f>"9781478090212"</f>
        <v>9781478090212</v>
      </c>
    </row>
    <row r="17239" spans="1:6" s="3" customFormat="1" ht="29.1" customHeight="1" x14ac:dyDescent="0.25">
      <c r="A17239" s="2" t="s">
        <v>33981</v>
      </c>
      <c r="B17239" s="2" t="s">
        <v>33982</v>
      </c>
      <c r="C17239" s="2" t="s">
        <v>644</v>
      </c>
      <c r="D17239" s="2" t="s">
        <v>33908</v>
      </c>
      <c r="E17239" s="2"/>
      <c r="F17239" s="2" t="str">
        <f>"9781478091318"</f>
        <v>9781478091318</v>
      </c>
    </row>
    <row r="17240" spans="1:6" s="3" customFormat="1" ht="29.1" customHeight="1" x14ac:dyDescent="0.25">
      <c r="A17240" s="2" t="s">
        <v>33983</v>
      </c>
      <c r="B17240" s="2" t="s">
        <v>33984</v>
      </c>
      <c r="C17240" s="2" t="s">
        <v>644</v>
      </c>
      <c r="D17240" s="2" t="s">
        <v>215</v>
      </c>
      <c r="E17240" s="2"/>
      <c r="F17240" s="2" t="str">
        <f>"9781478091417"</f>
        <v>9781478091417</v>
      </c>
    </row>
    <row r="17241" spans="1:6" s="3" customFormat="1" ht="29.1" customHeight="1" x14ac:dyDescent="0.25">
      <c r="A17241" s="2" t="s">
        <v>33985</v>
      </c>
      <c r="B17241" s="2" t="s">
        <v>33986</v>
      </c>
      <c r="C17241" s="2" t="s">
        <v>644</v>
      </c>
      <c r="D17241" s="2" t="s">
        <v>218</v>
      </c>
      <c r="E17241" s="2"/>
      <c r="F17241" s="2" t="str">
        <f>"9781478090076"</f>
        <v>9781478090076</v>
      </c>
    </row>
    <row r="17242" spans="1:6" s="3" customFormat="1" ht="29.1" customHeight="1" x14ac:dyDescent="0.25">
      <c r="A17242" s="2" t="s">
        <v>33987</v>
      </c>
      <c r="B17242" s="2" t="s">
        <v>33988</v>
      </c>
      <c r="C17242" s="2" t="s">
        <v>644</v>
      </c>
      <c r="D17242" s="2" t="s">
        <v>636</v>
      </c>
      <c r="E17242" s="2"/>
      <c r="F17242" s="2" t="str">
        <f>"9781478090113"</f>
        <v>9781478090113</v>
      </c>
    </row>
    <row r="17243" spans="1:6" s="3" customFormat="1" ht="29.1" customHeight="1" x14ac:dyDescent="0.25">
      <c r="A17243" s="2" t="s">
        <v>33989</v>
      </c>
      <c r="B17243" s="2" t="s">
        <v>33990</v>
      </c>
      <c r="C17243" s="2" t="s">
        <v>644</v>
      </c>
      <c r="D17243" s="2" t="s">
        <v>636</v>
      </c>
      <c r="E17243" s="2"/>
      <c r="F17243" s="2" t="str">
        <f>"9781478091059"</f>
        <v>9781478091059</v>
      </c>
    </row>
    <row r="17244" spans="1:6" s="3" customFormat="1" ht="29.1" customHeight="1" x14ac:dyDescent="0.25">
      <c r="A17244" s="2" t="s">
        <v>33991</v>
      </c>
      <c r="B17244" s="2" t="s">
        <v>33992</v>
      </c>
      <c r="C17244" s="2" t="s">
        <v>644</v>
      </c>
      <c r="D17244" s="2" t="s">
        <v>10410</v>
      </c>
      <c r="E17244" s="2"/>
      <c r="F17244" s="2" t="str">
        <f>"9781478091509"</f>
        <v>9781478091509</v>
      </c>
    </row>
    <row r="17245" spans="1:6" s="3" customFormat="1" ht="29.1" customHeight="1" x14ac:dyDescent="0.25">
      <c r="A17245" s="2" t="s">
        <v>33993</v>
      </c>
      <c r="B17245" s="2" t="s">
        <v>33994</v>
      </c>
      <c r="C17245" s="2" t="s">
        <v>644</v>
      </c>
      <c r="D17245" s="2" t="s">
        <v>202</v>
      </c>
      <c r="E17245" s="2"/>
      <c r="F17245" s="2" t="str">
        <f>"9781478091080"</f>
        <v>9781478091080</v>
      </c>
    </row>
    <row r="17246" spans="1:6" s="3" customFormat="1" ht="29.1" customHeight="1" x14ac:dyDescent="0.25">
      <c r="A17246" s="2" t="s">
        <v>33995</v>
      </c>
      <c r="B17246" s="2" t="s">
        <v>33996</v>
      </c>
      <c r="C17246" s="2" t="s">
        <v>644</v>
      </c>
      <c r="D17246" s="2" t="s">
        <v>636</v>
      </c>
      <c r="E17246" s="2"/>
      <c r="F17246" s="2" t="str">
        <f>"9781478091073"</f>
        <v>9781478091073</v>
      </c>
    </row>
    <row r="17247" spans="1:6" s="3" customFormat="1" ht="29.1" customHeight="1" x14ac:dyDescent="0.25">
      <c r="A17247" s="2" t="s">
        <v>33997</v>
      </c>
      <c r="B17247" s="2" t="s">
        <v>33998</v>
      </c>
      <c r="C17247" s="2" t="s">
        <v>644</v>
      </c>
      <c r="D17247" s="2" t="s">
        <v>913</v>
      </c>
      <c r="E17247" s="2"/>
      <c r="F17247" s="2" t="str">
        <f>"9781478090298"</f>
        <v>9781478090298</v>
      </c>
    </row>
    <row r="17248" spans="1:6" s="3" customFormat="1" ht="29.1" customHeight="1" x14ac:dyDescent="0.25">
      <c r="A17248" s="2" t="s">
        <v>33999</v>
      </c>
      <c r="B17248" s="2" t="s">
        <v>34000</v>
      </c>
      <c r="C17248" s="2" t="s">
        <v>644</v>
      </c>
      <c r="D17248" s="2" t="s">
        <v>9015</v>
      </c>
      <c r="E17248" s="2"/>
      <c r="F17248" s="2" t="str">
        <f>"9781478091219"</f>
        <v>9781478091219</v>
      </c>
    </row>
    <row r="17249" spans="1:6" s="3" customFormat="1" ht="29.1" customHeight="1" x14ac:dyDescent="0.25">
      <c r="A17249" s="2" t="s">
        <v>34001</v>
      </c>
      <c r="B17249" s="2" t="s">
        <v>34002</v>
      </c>
      <c r="C17249" s="2" t="s">
        <v>644</v>
      </c>
      <c r="D17249" s="2" t="s">
        <v>8788</v>
      </c>
      <c r="E17249" s="2"/>
      <c r="F17249" s="2" t="str">
        <f>"9781478091011"</f>
        <v>9781478091011</v>
      </c>
    </row>
    <row r="17250" spans="1:6" s="3" customFormat="1" ht="29.1" customHeight="1" x14ac:dyDescent="0.25">
      <c r="A17250" s="2" t="s">
        <v>34003</v>
      </c>
      <c r="B17250" s="2" t="s">
        <v>34004</v>
      </c>
      <c r="C17250" s="2" t="s">
        <v>644</v>
      </c>
      <c r="D17250" s="2" t="s">
        <v>501</v>
      </c>
      <c r="E17250" s="2"/>
      <c r="F17250" s="2" t="str">
        <f>"9781478091233"</f>
        <v>9781478091233</v>
      </c>
    </row>
    <row r="17251" spans="1:6" s="3" customFormat="1" ht="29.1" customHeight="1" x14ac:dyDescent="0.25">
      <c r="A17251" s="2" t="s">
        <v>34005</v>
      </c>
      <c r="B17251" s="2" t="s">
        <v>34006</v>
      </c>
      <c r="C17251" s="2" t="s">
        <v>644</v>
      </c>
      <c r="D17251" s="2" t="s">
        <v>10410</v>
      </c>
      <c r="E17251" s="2"/>
      <c r="F17251" s="2" t="str">
        <f>"9781478091196"</f>
        <v>9781478091196</v>
      </c>
    </row>
    <row r="17252" spans="1:6" s="3" customFormat="1" ht="29.1" customHeight="1" x14ac:dyDescent="0.25">
      <c r="A17252" s="2" t="s">
        <v>34007</v>
      </c>
      <c r="B17252" s="2" t="s">
        <v>33942</v>
      </c>
      <c r="C17252" s="2" t="s">
        <v>644</v>
      </c>
      <c r="D17252" s="2" t="s">
        <v>1663</v>
      </c>
      <c r="E17252" s="2"/>
      <c r="F17252" s="2" t="str">
        <f>"9781478091592"</f>
        <v>9781478091592</v>
      </c>
    </row>
    <row r="17253" spans="1:6" s="3" customFormat="1" ht="29.1" customHeight="1" x14ac:dyDescent="0.25">
      <c r="A17253" s="2" t="s">
        <v>34008</v>
      </c>
      <c r="B17253" s="2" t="s">
        <v>34009</v>
      </c>
      <c r="C17253" s="2" t="s">
        <v>644</v>
      </c>
      <c r="D17253" s="2" t="s">
        <v>8553</v>
      </c>
      <c r="E17253" s="2"/>
      <c r="F17253" s="2" t="str">
        <f>"9781478091530"</f>
        <v>9781478091530</v>
      </c>
    </row>
    <row r="17254" spans="1:6" s="3" customFormat="1" ht="29.1" customHeight="1" x14ac:dyDescent="0.25">
      <c r="A17254" s="2" t="s">
        <v>34010</v>
      </c>
      <c r="B17254" s="2" t="s">
        <v>7323</v>
      </c>
      <c r="C17254" s="2" t="s">
        <v>644</v>
      </c>
      <c r="D17254" s="2" t="s">
        <v>202</v>
      </c>
      <c r="E17254" s="2"/>
      <c r="F17254" s="2" t="str">
        <f>"9781478090137"</f>
        <v>9781478090137</v>
      </c>
    </row>
    <row r="17255" spans="1:6" s="3" customFormat="1" ht="29.1" customHeight="1" x14ac:dyDescent="0.25">
      <c r="A17255" s="2" t="s">
        <v>34011</v>
      </c>
      <c r="B17255" s="2" t="s">
        <v>34012</v>
      </c>
      <c r="C17255" s="2" t="s">
        <v>644</v>
      </c>
      <c r="D17255" s="2" t="s">
        <v>606</v>
      </c>
      <c r="E17255" s="2"/>
      <c r="F17255" s="2" t="str">
        <f>"9781478091455"</f>
        <v>9781478091455</v>
      </c>
    </row>
    <row r="17256" spans="1:6" s="3" customFormat="1" ht="29.1" customHeight="1" x14ac:dyDescent="0.25">
      <c r="A17256" s="2" t="s">
        <v>34013</v>
      </c>
      <c r="B17256" s="2" t="s">
        <v>34014</v>
      </c>
      <c r="C17256" s="2" t="s">
        <v>644</v>
      </c>
      <c r="D17256" s="2" t="s">
        <v>636</v>
      </c>
      <c r="E17256" s="2"/>
      <c r="F17256" s="2" t="str">
        <f>"9781478090991"</f>
        <v>9781478090991</v>
      </c>
    </row>
    <row r="17257" spans="1:6" s="3" customFormat="1" ht="29.1" customHeight="1" x14ac:dyDescent="0.25">
      <c r="A17257" s="2" t="s">
        <v>34015</v>
      </c>
      <c r="B17257" s="2" t="s">
        <v>34017</v>
      </c>
      <c r="C17257" s="2" t="s">
        <v>644</v>
      </c>
      <c r="D17257" s="2" t="s">
        <v>34016</v>
      </c>
      <c r="E17257" s="2"/>
      <c r="F17257" s="2" t="str">
        <f>"9781478091554"</f>
        <v>9781478091554</v>
      </c>
    </row>
    <row r="17258" spans="1:6" s="3" customFormat="1" ht="29.1" customHeight="1" x14ac:dyDescent="0.25">
      <c r="A17258" s="2" t="s">
        <v>34018</v>
      </c>
      <c r="B17258" s="2" t="s">
        <v>34019</v>
      </c>
      <c r="C17258" s="2" t="s">
        <v>644</v>
      </c>
      <c r="D17258" s="2" t="s">
        <v>7702</v>
      </c>
      <c r="E17258" s="2"/>
      <c r="F17258" s="2" t="str">
        <f>"9781478091424"</f>
        <v>9781478091424</v>
      </c>
    </row>
    <row r="17259" spans="1:6" s="3" customFormat="1" ht="29.1" customHeight="1" x14ac:dyDescent="0.25">
      <c r="A17259" s="2" t="s">
        <v>34020</v>
      </c>
      <c r="B17259" s="2" t="s">
        <v>34021</v>
      </c>
      <c r="C17259" s="2" t="s">
        <v>644</v>
      </c>
      <c r="D17259" s="2" t="s">
        <v>636</v>
      </c>
      <c r="E17259" s="2"/>
      <c r="F17259" s="2" t="str">
        <f>"9781478091202"</f>
        <v>9781478091202</v>
      </c>
    </row>
    <row r="17260" spans="1:6" s="3" customFormat="1" ht="29.1" customHeight="1" x14ac:dyDescent="0.25">
      <c r="A17260" s="2" t="s">
        <v>34022</v>
      </c>
      <c r="B17260" s="2" t="s">
        <v>34023</v>
      </c>
      <c r="C17260" s="2" t="s">
        <v>644</v>
      </c>
      <c r="D17260" s="2" t="s">
        <v>6692</v>
      </c>
      <c r="E17260" s="2"/>
      <c r="F17260" s="2" t="str">
        <f>"9781478091097"</f>
        <v>9781478091097</v>
      </c>
    </row>
    <row r="17261" spans="1:6" s="3" customFormat="1" ht="29.1" customHeight="1" x14ac:dyDescent="0.25">
      <c r="A17261" s="2" t="s">
        <v>34024</v>
      </c>
      <c r="B17261" s="2" t="s">
        <v>34025</v>
      </c>
      <c r="C17261" s="2" t="s">
        <v>644</v>
      </c>
      <c r="D17261" s="2" t="s">
        <v>202</v>
      </c>
      <c r="E17261" s="2"/>
      <c r="F17261" s="2" t="str">
        <f>"9781478091387"</f>
        <v>9781478091387</v>
      </c>
    </row>
    <row r="17262" spans="1:6" s="3" customFormat="1" ht="29.1" customHeight="1" x14ac:dyDescent="0.25">
      <c r="A17262" s="2" t="s">
        <v>34026</v>
      </c>
      <c r="B17262" s="2" t="s">
        <v>34027</v>
      </c>
      <c r="C17262" s="2" t="s">
        <v>644</v>
      </c>
      <c r="D17262" s="2" t="s">
        <v>378</v>
      </c>
      <c r="E17262" s="2"/>
      <c r="F17262" s="2" t="str">
        <f>"9781478091035"</f>
        <v>9781478091035</v>
      </c>
    </row>
    <row r="17263" spans="1:6" s="3" customFormat="1" ht="29.1" customHeight="1" x14ac:dyDescent="0.25">
      <c r="A17263" s="2" t="s">
        <v>34028</v>
      </c>
      <c r="B17263" s="2" t="s">
        <v>34029</v>
      </c>
      <c r="C17263" s="2" t="s">
        <v>644</v>
      </c>
      <c r="D17263" s="2" t="s">
        <v>49</v>
      </c>
      <c r="E17263" s="2"/>
      <c r="F17263" s="2" t="str">
        <f>"9781478091486"</f>
        <v>9781478091486</v>
      </c>
    </row>
    <row r="17264" spans="1:6" s="3" customFormat="1" ht="29.1" customHeight="1" x14ac:dyDescent="0.25">
      <c r="A17264" s="2" t="s">
        <v>34030</v>
      </c>
      <c r="B17264" s="2" t="s">
        <v>34031</v>
      </c>
      <c r="C17264" s="2" t="s">
        <v>644</v>
      </c>
      <c r="D17264" s="2" t="s">
        <v>636</v>
      </c>
      <c r="E17264" s="2"/>
      <c r="F17264" s="2" t="str">
        <f>"9781478091349"</f>
        <v>9781478091349</v>
      </c>
    </row>
    <row r="17265" spans="1:6" s="3" customFormat="1" ht="29.1" customHeight="1" x14ac:dyDescent="0.25">
      <c r="A17265" s="2" t="s">
        <v>34032</v>
      </c>
      <c r="B17265" s="2" t="s">
        <v>34033</v>
      </c>
      <c r="C17265" s="2" t="s">
        <v>644</v>
      </c>
      <c r="D17265" s="2" t="s">
        <v>636</v>
      </c>
      <c r="E17265" s="2"/>
      <c r="F17265" s="2" t="str">
        <f>"9781478091646"</f>
        <v>9781478091646</v>
      </c>
    </row>
    <row r="17266" spans="1:6" s="3" customFormat="1" ht="29.1" customHeight="1" x14ac:dyDescent="0.25">
      <c r="A17266" s="2" t="s">
        <v>34034</v>
      </c>
      <c r="B17266" s="2" t="s">
        <v>34035</v>
      </c>
      <c r="C17266" s="2" t="s">
        <v>644</v>
      </c>
      <c r="D17266" s="2" t="s">
        <v>636</v>
      </c>
      <c r="E17266" s="2"/>
      <c r="F17266" s="2" t="str">
        <f>"9781478091363"</f>
        <v>9781478091363</v>
      </c>
    </row>
    <row r="17267" spans="1:6" s="3" customFormat="1" ht="29.1" customHeight="1" x14ac:dyDescent="0.25">
      <c r="A17267" s="2" t="s">
        <v>34036</v>
      </c>
      <c r="B17267" s="2" t="s">
        <v>34037</v>
      </c>
      <c r="C17267" s="2" t="s">
        <v>644</v>
      </c>
      <c r="D17267" s="2" t="s">
        <v>636</v>
      </c>
      <c r="E17267" s="2"/>
      <c r="F17267" s="2" t="str">
        <f>"9781478091776"</f>
        <v>9781478091776</v>
      </c>
    </row>
    <row r="17268" spans="1:6" s="3" customFormat="1" ht="29.1" customHeight="1" x14ac:dyDescent="0.25">
      <c r="A17268" s="2" t="s">
        <v>34038</v>
      </c>
      <c r="B17268" s="2" t="s">
        <v>34039</v>
      </c>
      <c r="C17268" s="2" t="s">
        <v>644</v>
      </c>
      <c r="D17268" s="2" t="s">
        <v>1663</v>
      </c>
      <c r="E17268" s="2"/>
      <c r="F17268" s="2" t="str">
        <f>"9781478091356"</f>
        <v>9781478091356</v>
      </c>
    </row>
    <row r="17269" spans="1:6" s="3" customFormat="1" ht="29.1" customHeight="1" x14ac:dyDescent="0.25">
      <c r="A17269" s="2" t="s">
        <v>34040</v>
      </c>
      <c r="B17269" s="2" t="s">
        <v>34041</v>
      </c>
      <c r="C17269" s="2" t="s">
        <v>644</v>
      </c>
      <c r="D17269" s="2" t="s">
        <v>15589</v>
      </c>
      <c r="E17269" s="2"/>
      <c r="F17269" s="2" t="str">
        <f>"9781478091639"</f>
        <v>9781478091639</v>
      </c>
    </row>
    <row r="17270" spans="1:6" s="3" customFormat="1" ht="29.1" customHeight="1" x14ac:dyDescent="0.25">
      <c r="A17270" s="2" t="s">
        <v>34042</v>
      </c>
      <c r="B17270" s="2" t="s">
        <v>34043</v>
      </c>
      <c r="C17270" s="2" t="s">
        <v>644</v>
      </c>
      <c r="D17270" s="2" t="s">
        <v>33876</v>
      </c>
      <c r="E17270" s="2"/>
      <c r="F17270" s="2" t="str">
        <f>"9781478091608"</f>
        <v>9781478091608</v>
      </c>
    </row>
    <row r="17271" spans="1:6" s="3" customFormat="1" ht="29.1" customHeight="1" x14ac:dyDescent="0.25">
      <c r="A17271" s="2" t="s">
        <v>34044</v>
      </c>
      <c r="B17271" s="2" t="s">
        <v>34045</v>
      </c>
      <c r="C17271" s="2" t="s">
        <v>644</v>
      </c>
      <c r="D17271" s="2" t="s">
        <v>9015</v>
      </c>
      <c r="E17271" s="2"/>
      <c r="F17271" s="2" t="str">
        <f>"9781478091134"</f>
        <v>9781478091134</v>
      </c>
    </row>
    <row r="17272" spans="1:6" s="3" customFormat="1" ht="29.1" customHeight="1" x14ac:dyDescent="0.25">
      <c r="A17272" s="2" t="s">
        <v>3858</v>
      </c>
      <c r="B17272" s="2" t="s">
        <v>34046</v>
      </c>
      <c r="C17272" s="2" t="s">
        <v>644</v>
      </c>
      <c r="D17272" s="2" t="s">
        <v>1162</v>
      </c>
      <c r="E17272" s="2"/>
      <c r="F17272" s="2" t="str">
        <f>"9781478091578"</f>
        <v>9781478091578</v>
      </c>
    </row>
    <row r="17273" spans="1:6" s="3" customFormat="1" ht="29.1" customHeight="1" x14ac:dyDescent="0.25">
      <c r="A17273" s="2" t="s">
        <v>34047</v>
      </c>
      <c r="B17273" s="2" t="s">
        <v>34048</v>
      </c>
      <c r="C17273" s="2" t="s">
        <v>644</v>
      </c>
      <c r="D17273" s="2" t="s">
        <v>402</v>
      </c>
      <c r="E17273" s="2"/>
      <c r="F17273" s="2" t="str">
        <f>"9781478090106"</f>
        <v>9781478090106</v>
      </c>
    </row>
    <row r="17274" spans="1:6" s="3" customFormat="1" ht="29.1" customHeight="1" x14ac:dyDescent="0.25">
      <c r="A17274" s="2" t="s">
        <v>34049</v>
      </c>
      <c r="B17274" s="2" t="s">
        <v>34050</v>
      </c>
      <c r="C17274" s="2" t="s">
        <v>644</v>
      </c>
      <c r="D17274" s="2" t="s">
        <v>636</v>
      </c>
      <c r="E17274" s="2"/>
      <c r="F17274" s="2" t="str">
        <f>"9781478091004"</f>
        <v>9781478091004</v>
      </c>
    </row>
    <row r="17275" spans="1:6" s="3" customFormat="1" ht="29.1" customHeight="1" x14ac:dyDescent="0.25">
      <c r="A17275" s="2" t="s">
        <v>34051</v>
      </c>
      <c r="B17275" s="2" t="s">
        <v>34052</v>
      </c>
      <c r="C17275" s="2" t="s">
        <v>644</v>
      </c>
      <c r="D17275" s="2" t="s">
        <v>1432</v>
      </c>
      <c r="E17275" s="2"/>
      <c r="F17275" s="2" t="str">
        <f>"9781478091462"</f>
        <v>9781478091462</v>
      </c>
    </row>
    <row r="17276" spans="1:6" s="3" customFormat="1" ht="29.1" customHeight="1" x14ac:dyDescent="0.25">
      <c r="A17276" s="2" t="s">
        <v>34053</v>
      </c>
      <c r="B17276" s="2" t="s">
        <v>34054</v>
      </c>
      <c r="C17276" s="2" t="s">
        <v>644</v>
      </c>
      <c r="D17276" s="2" t="s">
        <v>1663</v>
      </c>
      <c r="E17276" s="2"/>
      <c r="F17276" s="2" t="str">
        <f>"9781478090779"</f>
        <v>9781478090779</v>
      </c>
    </row>
    <row r="17277" spans="1:6" s="3" customFormat="1" ht="29.1" customHeight="1" x14ac:dyDescent="0.25">
      <c r="A17277" s="2" t="s">
        <v>34055</v>
      </c>
      <c r="B17277" s="2" t="s">
        <v>34056</v>
      </c>
      <c r="C17277" s="2" t="s">
        <v>644</v>
      </c>
      <c r="D17277" s="2" t="s">
        <v>636</v>
      </c>
      <c r="E17277" s="2"/>
      <c r="F17277" s="2" t="str">
        <f>"9781478090502"</f>
        <v>9781478090502</v>
      </c>
    </row>
    <row r="17278" spans="1:6" s="3" customFormat="1" ht="29.1" customHeight="1" x14ac:dyDescent="0.25">
      <c r="A17278" s="2" t="s">
        <v>34057</v>
      </c>
      <c r="B17278" s="2" t="s">
        <v>34058</v>
      </c>
      <c r="C17278" s="2" t="s">
        <v>644</v>
      </c>
      <c r="D17278" s="2" t="s">
        <v>4754</v>
      </c>
      <c r="E17278" s="2"/>
      <c r="F17278" s="2" t="str">
        <f>"9781478091745"</f>
        <v>9781478091745</v>
      </c>
    </row>
    <row r="17279" spans="1:6" s="3" customFormat="1" ht="29.1" customHeight="1" x14ac:dyDescent="0.25">
      <c r="A17279" s="2" t="s">
        <v>34059</v>
      </c>
      <c r="B17279" s="2" t="s">
        <v>34060</v>
      </c>
      <c r="C17279" s="2" t="s">
        <v>644</v>
      </c>
      <c r="D17279" s="2" t="s">
        <v>636</v>
      </c>
      <c r="E17279" s="2"/>
      <c r="F17279" s="2" t="str">
        <f>"9781478090571"</f>
        <v>9781478090571</v>
      </c>
    </row>
    <row r="17280" spans="1:6" s="3" customFormat="1" ht="29.1" customHeight="1" x14ac:dyDescent="0.25">
      <c r="A17280" s="2" t="s">
        <v>34061</v>
      </c>
      <c r="B17280" s="2" t="s">
        <v>34062</v>
      </c>
      <c r="C17280" s="2" t="s">
        <v>644</v>
      </c>
      <c r="D17280" s="2" t="s">
        <v>15382</v>
      </c>
      <c r="E17280" s="2"/>
      <c r="F17280" s="2" t="str">
        <f>"9781478090250"</f>
        <v>9781478090250</v>
      </c>
    </row>
    <row r="17281" spans="1:6" s="3" customFormat="1" ht="29.1" customHeight="1" x14ac:dyDescent="0.25">
      <c r="A17281" s="2" t="s">
        <v>34063</v>
      </c>
      <c r="B17281" s="2" t="s">
        <v>34064</v>
      </c>
      <c r="C17281" s="2" t="s">
        <v>644</v>
      </c>
      <c r="D17281" s="2" t="s">
        <v>215</v>
      </c>
      <c r="E17281" s="2"/>
      <c r="F17281" s="2" t="str">
        <f>"9781478090748"</f>
        <v>9781478090748</v>
      </c>
    </row>
    <row r="17282" spans="1:6" s="3" customFormat="1" ht="29.1" customHeight="1" x14ac:dyDescent="0.25">
      <c r="A17282" s="2" t="s">
        <v>34065</v>
      </c>
      <c r="B17282" s="2" t="s">
        <v>34066</v>
      </c>
      <c r="C17282" s="2" t="s">
        <v>644</v>
      </c>
      <c r="D17282" s="2" t="s">
        <v>1598</v>
      </c>
      <c r="E17282" s="2"/>
      <c r="F17282" s="2" t="str">
        <f>"9781478090359"</f>
        <v>9781478090359</v>
      </c>
    </row>
    <row r="17283" spans="1:6" s="3" customFormat="1" ht="29.1" customHeight="1" x14ac:dyDescent="0.25">
      <c r="A17283" s="2" t="s">
        <v>34067</v>
      </c>
      <c r="B17283" s="2" t="s">
        <v>34068</v>
      </c>
      <c r="C17283" s="2" t="s">
        <v>644</v>
      </c>
      <c r="D17283" s="2" t="s">
        <v>712</v>
      </c>
      <c r="E17283" s="2"/>
      <c r="F17283" s="2" t="str">
        <f>"9781478090267"</f>
        <v>9781478090267</v>
      </c>
    </row>
    <row r="17284" spans="1:6" s="3" customFormat="1" ht="29.1" customHeight="1" x14ac:dyDescent="0.25">
      <c r="A17284" s="2" t="s">
        <v>34069</v>
      </c>
      <c r="B17284" s="2" t="s">
        <v>34071</v>
      </c>
      <c r="C17284" s="2" t="s">
        <v>644</v>
      </c>
      <c r="D17284" s="2" t="s">
        <v>34070</v>
      </c>
      <c r="E17284" s="2"/>
      <c r="F17284" s="2" t="str">
        <f>"9781478090786"</f>
        <v>9781478090786</v>
      </c>
    </row>
    <row r="17285" spans="1:6" s="3" customFormat="1" ht="29.1" customHeight="1" x14ac:dyDescent="0.25">
      <c r="A17285" s="2" t="s">
        <v>34072</v>
      </c>
      <c r="B17285" s="2" t="s">
        <v>34073</v>
      </c>
      <c r="C17285" s="2" t="s">
        <v>644</v>
      </c>
      <c r="D17285" s="2" t="s">
        <v>636</v>
      </c>
      <c r="E17285" s="2"/>
      <c r="F17285" s="2" t="str">
        <f>"9781478090038"</f>
        <v>9781478090038</v>
      </c>
    </row>
    <row r="17286" spans="1:6" s="3" customFormat="1" ht="29.1" customHeight="1" x14ac:dyDescent="0.25">
      <c r="A17286" s="2" t="s">
        <v>34074</v>
      </c>
      <c r="B17286" s="2" t="s">
        <v>34075</v>
      </c>
      <c r="C17286" s="2" t="s">
        <v>644</v>
      </c>
      <c r="D17286" s="2" t="s">
        <v>33876</v>
      </c>
      <c r="E17286" s="2"/>
      <c r="F17286" s="2" t="str">
        <f>"9781478090724"</f>
        <v>9781478090724</v>
      </c>
    </row>
    <row r="17287" spans="1:6" s="3" customFormat="1" ht="29.1" customHeight="1" x14ac:dyDescent="0.25">
      <c r="A17287" s="2" t="s">
        <v>34076</v>
      </c>
      <c r="B17287" s="2" t="s">
        <v>34077</v>
      </c>
      <c r="C17287" s="2" t="s">
        <v>644</v>
      </c>
      <c r="D17287" s="2" t="s">
        <v>791</v>
      </c>
      <c r="E17287" s="2"/>
      <c r="F17287" s="2" t="str">
        <f>"9781478090007"</f>
        <v>9781478090007</v>
      </c>
    </row>
    <row r="17288" spans="1:6" s="3" customFormat="1" ht="29.1" customHeight="1" x14ac:dyDescent="0.25">
      <c r="A17288" s="2" t="s">
        <v>34078</v>
      </c>
      <c r="B17288" s="2" t="s">
        <v>34079</v>
      </c>
      <c r="C17288" s="2" t="s">
        <v>644</v>
      </c>
      <c r="D17288" s="2" t="s">
        <v>4754</v>
      </c>
      <c r="E17288" s="2"/>
      <c r="F17288" s="2" t="str">
        <f>"9781478090731"</f>
        <v>9781478090731</v>
      </c>
    </row>
    <row r="17289" spans="1:6" s="3" customFormat="1" ht="29.1" customHeight="1" x14ac:dyDescent="0.25">
      <c r="A17289" s="2" t="s">
        <v>34080</v>
      </c>
      <c r="B17289" s="2" t="s">
        <v>34081</v>
      </c>
      <c r="C17289" s="2" t="s">
        <v>644</v>
      </c>
      <c r="D17289" s="2" t="s">
        <v>636</v>
      </c>
      <c r="E17289" s="2"/>
      <c r="F17289" s="2" t="str">
        <f>"9781478090274"</f>
        <v>9781478090274</v>
      </c>
    </row>
    <row r="17290" spans="1:6" s="3" customFormat="1" ht="29.1" customHeight="1" x14ac:dyDescent="0.25">
      <c r="A17290" s="2" t="s">
        <v>34082</v>
      </c>
      <c r="B17290" s="2" t="s">
        <v>34083</v>
      </c>
      <c r="C17290" s="2" t="s">
        <v>644</v>
      </c>
      <c r="D17290" s="2" t="s">
        <v>712</v>
      </c>
      <c r="E17290" s="2"/>
      <c r="F17290" s="2" t="str">
        <f>"9781478090366"</f>
        <v>9781478090366</v>
      </c>
    </row>
    <row r="17291" spans="1:6" s="3" customFormat="1" ht="29.1" customHeight="1" x14ac:dyDescent="0.25">
      <c r="A17291" s="2" t="s">
        <v>34084</v>
      </c>
      <c r="B17291" s="2" t="s">
        <v>34085</v>
      </c>
      <c r="C17291" s="2" t="s">
        <v>644</v>
      </c>
      <c r="D17291" s="2" t="s">
        <v>1411</v>
      </c>
      <c r="E17291" s="2"/>
      <c r="F17291" s="2" t="str">
        <f>"9781478090861"</f>
        <v>9781478090861</v>
      </c>
    </row>
    <row r="17292" spans="1:6" s="3" customFormat="1" ht="29.1" customHeight="1" x14ac:dyDescent="0.25">
      <c r="A17292" s="2" t="s">
        <v>34086</v>
      </c>
      <c r="B17292" s="2" t="s">
        <v>34087</v>
      </c>
      <c r="C17292" s="2" t="s">
        <v>644</v>
      </c>
      <c r="D17292" s="2" t="s">
        <v>339</v>
      </c>
      <c r="E17292" s="2"/>
      <c r="F17292" s="2" t="str">
        <f>"9781478090328"</f>
        <v>9781478090328</v>
      </c>
    </row>
    <row r="17293" spans="1:6" s="3" customFormat="1" ht="29.1" customHeight="1" x14ac:dyDescent="0.25">
      <c r="A17293" s="2" t="s">
        <v>34088</v>
      </c>
      <c r="B17293" s="2" t="s">
        <v>34089</v>
      </c>
      <c r="C17293" s="2" t="s">
        <v>644</v>
      </c>
      <c r="D17293" s="2" t="s">
        <v>202</v>
      </c>
      <c r="E17293" s="2"/>
      <c r="F17293" s="2" t="str">
        <f>"9781478090281"</f>
        <v>9781478090281</v>
      </c>
    </row>
    <row r="17294" spans="1:6" s="3" customFormat="1" ht="29.1" customHeight="1" x14ac:dyDescent="0.25">
      <c r="A17294" s="2" t="s">
        <v>34090</v>
      </c>
      <c r="B17294" s="2" t="s">
        <v>34092</v>
      </c>
      <c r="C17294" s="2" t="s">
        <v>644</v>
      </c>
      <c r="D17294" s="2" t="s">
        <v>34091</v>
      </c>
      <c r="E17294" s="2"/>
      <c r="F17294" s="2" t="str">
        <f>"9781478090434"</f>
        <v>9781478090434</v>
      </c>
    </row>
    <row r="17295" spans="1:6" s="3" customFormat="1" ht="29.1" customHeight="1" x14ac:dyDescent="0.25">
      <c r="A17295" s="2" t="s">
        <v>34093</v>
      </c>
      <c r="B17295" s="2" t="s">
        <v>34094</v>
      </c>
      <c r="C17295" s="2" t="s">
        <v>644</v>
      </c>
      <c r="D17295" s="2" t="s">
        <v>11426</v>
      </c>
      <c r="E17295" s="2"/>
      <c r="F17295" s="2" t="str">
        <f>"9781478090342"</f>
        <v>9781478090342</v>
      </c>
    </row>
    <row r="17296" spans="1:6" s="3" customFormat="1" ht="29.1" customHeight="1" x14ac:dyDescent="0.25">
      <c r="A17296" s="2" t="s">
        <v>34095</v>
      </c>
      <c r="B17296" s="2" t="s">
        <v>34096</v>
      </c>
      <c r="C17296" s="2" t="s">
        <v>644</v>
      </c>
      <c r="D17296" s="2" t="s">
        <v>202</v>
      </c>
      <c r="E17296" s="2"/>
      <c r="F17296" s="2" t="str">
        <f>"9781478090229"</f>
        <v>9781478090229</v>
      </c>
    </row>
    <row r="17297" spans="1:6" s="3" customFormat="1" ht="29.1" customHeight="1" x14ac:dyDescent="0.25">
      <c r="A17297" s="2" t="s">
        <v>34097</v>
      </c>
      <c r="B17297" s="2" t="s">
        <v>34098</v>
      </c>
      <c r="C17297" s="2" t="s">
        <v>644</v>
      </c>
      <c r="D17297" s="2" t="s">
        <v>27218</v>
      </c>
      <c r="E17297" s="2"/>
      <c r="F17297" s="2" t="str">
        <f>"9781478090823"</f>
        <v>9781478090823</v>
      </c>
    </row>
    <row r="17298" spans="1:6" s="3" customFormat="1" ht="29.1" customHeight="1" x14ac:dyDescent="0.25">
      <c r="A17298" s="2" t="s">
        <v>34099</v>
      </c>
      <c r="B17298" s="2" t="s">
        <v>34100</v>
      </c>
      <c r="C17298" s="2" t="s">
        <v>644</v>
      </c>
      <c r="D17298" s="2" t="s">
        <v>636</v>
      </c>
      <c r="E17298" s="2"/>
      <c r="F17298" s="2" t="str">
        <f>"9781478090205"</f>
        <v>9781478090205</v>
      </c>
    </row>
    <row r="17299" spans="1:6" s="3" customFormat="1" ht="29.1" customHeight="1" x14ac:dyDescent="0.25">
      <c r="A17299" s="2" t="s">
        <v>34101</v>
      </c>
      <c r="B17299" s="2" t="s">
        <v>34102</v>
      </c>
      <c r="C17299" s="2" t="s">
        <v>644</v>
      </c>
      <c r="D17299" s="2" t="s">
        <v>636</v>
      </c>
      <c r="E17299" s="2"/>
      <c r="F17299" s="2" t="str">
        <f>"9781478090939"</f>
        <v>9781478090939</v>
      </c>
    </row>
    <row r="17300" spans="1:6" s="3" customFormat="1" ht="29.1" customHeight="1" x14ac:dyDescent="0.25">
      <c r="A17300" s="2" t="s">
        <v>34103</v>
      </c>
      <c r="B17300" s="2" t="s">
        <v>34104</v>
      </c>
      <c r="C17300" s="2" t="s">
        <v>644</v>
      </c>
      <c r="D17300" s="2" t="s">
        <v>5888</v>
      </c>
      <c r="E17300" s="2"/>
      <c r="F17300" s="2" t="str">
        <f>"9781478090915"</f>
        <v>9781478090915</v>
      </c>
    </row>
    <row r="17301" spans="1:6" s="3" customFormat="1" ht="29.1" customHeight="1" x14ac:dyDescent="0.25">
      <c r="A17301" s="2" t="s">
        <v>34105</v>
      </c>
      <c r="B17301" s="2" t="s">
        <v>34106</v>
      </c>
      <c r="C17301" s="2" t="s">
        <v>644</v>
      </c>
      <c r="D17301" s="2" t="s">
        <v>636</v>
      </c>
      <c r="E17301" s="2"/>
      <c r="F17301" s="2" t="str">
        <f>"9781478090922"</f>
        <v>9781478090922</v>
      </c>
    </row>
    <row r="17302" spans="1:6" s="3" customFormat="1" ht="29.1" customHeight="1" x14ac:dyDescent="0.25">
      <c r="A17302" s="2" t="s">
        <v>34107</v>
      </c>
      <c r="B17302" s="2" t="s">
        <v>34108</v>
      </c>
      <c r="C17302" s="2" t="s">
        <v>644</v>
      </c>
      <c r="D17302" s="2" t="s">
        <v>33876</v>
      </c>
      <c r="E17302" s="2"/>
      <c r="F17302" s="2" t="str">
        <f>"9781478091714"</f>
        <v>9781478091714</v>
      </c>
    </row>
    <row r="17303" spans="1:6" s="3" customFormat="1" ht="29.1" customHeight="1" x14ac:dyDescent="0.25">
      <c r="A17303" s="2" t="s">
        <v>34109</v>
      </c>
      <c r="B17303" s="2" t="s">
        <v>34110</v>
      </c>
      <c r="C17303" s="2" t="s">
        <v>644</v>
      </c>
      <c r="D17303" s="2" t="s">
        <v>16597</v>
      </c>
      <c r="E17303" s="2"/>
      <c r="F17303" s="2" t="str">
        <f>"9781478090403"</f>
        <v>9781478090403</v>
      </c>
    </row>
    <row r="17304" spans="1:6" s="3" customFormat="1" ht="29.1" customHeight="1" x14ac:dyDescent="0.25">
      <c r="A17304" s="2" t="s">
        <v>34111</v>
      </c>
      <c r="B17304" s="2" t="s">
        <v>34112</v>
      </c>
      <c r="C17304" s="2" t="s">
        <v>644</v>
      </c>
      <c r="D17304" s="2" t="s">
        <v>15932</v>
      </c>
      <c r="E17304" s="2"/>
      <c r="F17304" s="2" t="str">
        <f>"9781478091707"</f>
        <v>9781478091707</v>
      </c>
    </row>
    <row r="17305" spans="1:6" s="3" customFormat="1" ht="29.1" customHeight="1" x14ac:dyDescent="0.25">
      <c r="A17305" s="2" t="s">
        <v>34113</v>
      </c>
      <c r="B17305" s="2" t="s">
        <v>34114</v>
      </c>
      <c r="C17305" s="2" t="s">
        <v>644</v>
      </c>
      <c r="D17305" s="2" t="s">
        <v>215</v>
      </c>
      <c r="E17305" s="2"/>
      <c r="F17305" s="2" t="str">
        <f>"9781478090045"</f>
        <v>9781478090045</v>
      </c>
    </row>
    <row r="17306" spans="1:6" s="3" customFormat="1" ht="29.1" customHeight="1" x14ac:dyDescent="0.25">
      <c r="A17306" s="2" t="s">
        <v>34115</v>
      </c>
      <c r="B17306" s="2" t="s">
        <v>34116</v>
      </c>
      <c r="C17306" s="2" t="s">
        <v>644</v>
      </c>
      <c r="D17306" s="2" t="s">
        <v>1259</v>
      </c>
      <c r="E17306" s="2"/>
      <c r="F17306" s="2" t="str">
        <f>"9781478090014"</f>
        <v>9781478090014</v>
      </c>
    </row>
    <row r="17307" spans="1:6" s="3" customFormat="1" ht="29.1" customHeight="1" x14ac:dyDescent="0.25">
      <c r="A17307" s="2" t="s">
        <v>34117</v>
      </c>
      <c r="B17307" s="2" t="s">
        <v>34118</v>
      </c>
      <c r="C17307" s="2" t="s">
        <v>644</v>
      </c>
      <c r="D17307" s="2" t="s">
        <v>636</v>
      </c>
      <c r="E17307" s="2"/>
      <c r="F17307" s="2" t="str">
        <f>"9781478090700"</f>
        <v>9781478090700</v>
      </c>
    </row>
    <row r="17308" spans="1:6" s="3" customFormat="1" ht="29.1" customHeight="1" x14ac:dyDescent="0.25">
      <c r="A17308" s="2" t="s">
        <v>34119</v>
      </c>
      <c r="B17308" s="2" t="s">
        <v>34120</v>
      </c>
      <c r="C17308" s="2" t="s">
        <v>644</v>
      </c>
      <c r="D17308" s="2" t="s">
        <v>215</v>
      </c>
      <c r="E17308" s="2"/>
      <c r="F17308" s="2" t="str">
        <f>"9781478090021"</f>
        <v>9781478090021</v>
      </c>
    </row>
    <row r="17309" spans="1:6" s="3" customFormat="1" ht="29.1" customHeight="1" x14ac:dyDescent="0.25">
      <c r="A17309" s="2" t="s">
        <v>34121</v>
      </c>
      <c r="B17309" s="2" t="s">
        <v>34122</v>
      </c>
      <c r="C17309" s="2" t="s">
        <v>644</v>
      </c>
      <c r="D17309" s="2" t="s">
        <v>636</v>
      </c>
      <c r="E17309" s="2"/>
      <c r="F17309" s="2" t="str">
        <f>"9781478090854"</f>
        <v>9781478090854</v>
      </c>
    </row>
    <row r="17310" spans="1:6" s="3" customFormat="1" ht="29.1" customHeight="1" x14ac:dyDescent="0.25">
      <c r="A17310" s="2" t="s">
        <v>34123</v>
      </c>
      <c r="B17310" s="2" t="s">
        <v>34124</v>
      </c>
      <c r="C17310" s="2" t="s">
        <v>644</v>
      </c>
      <c r="D17310" s="2" t="s">
        <v>879</v>
      </c>
      <c r="E17310" s="2"/>
      <c r="F17310" s="2" t="str">
        <f>"9781478090304"</f>
        <v>9781478090304</v>
      </c>
    </row>
    <row r="17311" spans="1:6" s="3" customFormat="1" ht="29.1" customHeight="1" x14ac:dyDescent="0.25">
      <c r="A17311" s="2" t="s">
        <v>34125</v>
      </c>
      <c r="B17311" s="2" t="s">
        <v>34126</v>
      </c>
      <c r="C17311" s="2" t="s">
        <v>644</v>
      </c>
      <c r="D17311" s="2" t="s">
        <v>26301</v>
      </c>
      <c r="E17311" s="2"/>
      <c r="F17311" s="2" t="str">
        <f>"9781478090717"</f>
        <v>9781478090717</v>
      </c>
    </row>
    <row r="17312" spans="1:6" s="3" customFormat="1" ht="29.1" customHeight="1" x14ac:dyDescent="0.25">
      <c r="A17312" s="2" t="s">
        <v>34127</v>
      </c>
      <c r="B17312" s="2" t="s">
        <v>34128</v>
      </c>
      <c r="C17312" s="2" t="s">
        <v>644</v>
      </c>
      <c r="D17312" s="2" t="s">
        <v>636</v>
      </c>
      <c r="E17312" s="2"/>
      <c r="F17312" s="2" t="str">
        <f>"9781478090946"</f>
        <v>9781478090946</v>
      </c>
    </row>
    <row r="17313" spans="1:6" s="3" customFormat="1" ht="29.1" customHeight="1" x14ac:dyDescent="0.25">
      <c r="A17313" s="2" t="s">
        <v>34129</v>
      </c>
      <c r="B17313" s="2" t="s">
        <v>34130</v>
      </c>
      <c r="C17313" s="2" t="s">
        <v>644</v>
      </c>
      <c r="D17313" s="2" t="s">
        <v>1617</v>
      </c>
      <c r="E17313" s="2"/>
      <c r="F17313" s="2" t="str">
        <f>"9781478090311"</f>
        <v>9781478090311</v>
      </c>
    </row>
    <row r="17314" spans="1:6" s="3" customFormat="1" ht="29.1" customHeight="1" x14ac:dyDescent="0.25">
      <c r="A17314" s="2" t="s">
        <v>34131</v>
      </c>
      <c r="B17314" s="2" t="s">
        <v>34132</v>
      </c>
      <c r="C17314" s="2" t="s">
        <v>644</v>
      </c>
      <c r="D17314" s="2" t="s">
        <v>636</v>
      </c>
      <c r="E17314" s="2"/>
      <c r="F17314" s="2" t="str">
        <f>"9781478090755"</f>
        <v>9781478090755</v>
      </c>
    </row>
    <row r="17315" spans="1:6" s="3" customFormat="1" ht="29.1" customHeight="1" x14ac:dyDescent="0.25">
      <c r="A17315" s="2" t="s">
        <v>34133</v>
      </c>
      <c r="B17315" s="2" t="s">
        <v>34134</v>
      </c>
      <c r="C17315" s="2" t="s">
        <v>248</v>
      </c>
      <c r="D17315" s="2" t="s">
        <v>249</v>
      </c>
      <c r="E17315" s="2" t="str">
        <f>"9783847426097"</f>
        <v>9783847426097</v>
      </c>
      <c r="F17315" s="2" t="str">
        <f>"9783847417682"</f>
        <v>9783847417682</v>
      </c>
    </row>
    <row r="17316" spans="1:6" s="3" customFormat="1" ht="29.1" customHeight="1" x14ac:dyDescent="0.25">
      <c r="A17316" s="2" t="s">
        <v>34135</v>
      </c>
      <c r="B17316" s="2"/>
      <c r="C17316" s="2" t="s">
        <v>59</v>
      </c>
      <c r="D17316" s="2" t="s">
        <v>34136</v>
      </c>
      <c r="E17316" s="2"/>
      <c r="F17316" s="2" t="str">
        <f>"9782759234332"</f>
        <v>9782759234332</v>
      </c>
    </row>
    <row r="17317" spans="1:6" s="3" customFormat="1" ht="29.1" customHeight="1" x14ac:dyDescent="0.25">
      <c r="A17317" s="2" t="s">
        <v>34137</v>
      </c>
      <c r="B17317" s="2" t="s">
        <v>34138</v>
      </c>
      <c r="C17317" s="2" t="s">
        <v>8104</v>
      </c>
      <c r="D17317" s="2" t="s">
        <v>758</v>
      </c>
      <c r="E17317" s="2" t="str">
        <f>"9781800735934"</f>
        <v>9781800735934</v>
      </c>
      <c r="F17317" s="2" t="str">
        <f>"9781800735941"</f>
        <v>9781800735941</v>
      </c>
    </row>
    <row r="17318" spans="1:6" s="3" customFormat="1" ht="29.1" customHeight="1" x14ac:dyDescent="0.25">
      <c r="A17318" s="2" t="s">
        <v>34139</v>
      </c>
      <c r="B17318" s="2" t="s">
        <v>34140</v>
      </c>
      <c r="C17318" s="2" t="s">
        <v>8104</v>
      </c>
      <c r="D17318" s="2" t="s">
        <v>56</v>
      </c>
      <c r="E17318" s="2" t="str">
        <f>"9781800735613"</f>
        <v>9781800735613</v>
      </c>
      <c r="F17318" s="2" t="str">
        <f>"9781800735620"</f>
        <v>9781800735620</v>
      </c>
    </row>
    <row r="17319" spans="1:6" s="3" customFormat="1" ht="29.1" customHeight="1" x14ac:dyDescent="0.25">
      <c r="A17319" s="2" t="s">
        <v>34135</v>
      </c>
      <c r="B17319" s="2"/>
      <c r="C17319" s="2" t="s">
        <v>59</v>
      </c>
      <c r="D17319" s="2" t="s">
        <v>34136</v>
      </c>
      <c r="E17319" s="2"/>
      <c r="F17319" s="2" t="str">
        <f>"9782759234349"</f>
        <v>9782759234349</v>
      </c>
    </row>
    <row r="17320" spans="1:6" s="3" customFormat="1" ht="29.1" customHeight="1" x14ac:dyDescent="0.25">
      <c r="A17320" s="2" t="s">
        <v>34141</v>
      </c>
      <c r="B17320" s="2" t="s">
        <v>34142</v>
      </c>
      <c r="C17320" s="2" t="s">
        <v>62</v>
      </c>
      <c r="D17320" s="2" t="s">
        <v>6464</v>
      </c>
      <c r="E17320" s="2" t="str">
        <f>"9783428184255"</f>
        <v>9783428184255</v>
      </c>
      <c r="F17320" s="2" t="str">
        <f>"9783428584253"</f>
        <v>9783428584253</v>
      </c>
    </row>
    <row r="17321" spans="1:6" s="3" customFormat="1" ht="29.1" customHeight="1" x14ac:dyDescent="0.25">
      <c r="A17321" s="2" t="s">
        <v>34143</v>
      </c>
      <c r="B17321" s="2" t="s">
        <v>34144</v>
      </c>
      <c r="C17321" s="2" t="s">
        <v>62</v>
      </c>
      <c r="D17321" s="2" t="s">
        <v>1228</v>
      </c>
      <c r="E17321" s="2" t="str">
        <f>"9783428174508"</f>
        <v>9783428174508</v>
      </c>
      <c r="F17321" s="2" t="str">
        <f>"9783428574506"</f>
        <v>9783428574506</v>
      </c>
    </row>
    <row r="17322" spans="1:6" s="3" customFormat="1" ht="29.1" customHeight="1" x14ac:dyDescent="0.25">
      <c r="A17322" s="2" t="s">
        <v>34145</v>
      </c>
      <c r="B17322" s="2" t="s">
        <v>34146</v>
      </c>
      <c r="C17322" s="2" t="s">
        <v>62</v>
      </c>
      <c r="D17322" s="2" t="s">
        <v>1228</v>
      </c>
      <c r="E17322" s="2" t="str">
        <f>"9783428173624"</f>
        <v>9783428173624</v>
      </c>
      <c r="F17322" s="2" t="str">
        <f>"9783428573622"</f>
        <v>9783428573622</v>
      </c>
    </row>
    <row r="17323" spans="1:6" s="3" customFormat="1" ht="29.1" customHeight="1" x14ac:dyDescent="0.25">
      <c r="A17323" s="2" t="s">
        <v>34147</v>
      </c>
      <c r="B17323" s="2" t="s">
        <v>34148</v>
      </c>
      <c r="C17323" s="2" t="s">
        <v>644</v>
      </c>
      <c r="D17323" s="2" t="s">
        <v>5888</v>
      </c>
      <c r="E17323" s="2"/>
      <c r="F17323" s="2" t="str">
        <f>"9781478090335"</f>
        <v>9781478090335</v>
      </c>
    </row>
    <row r="17324" spans="1:6" s="3" customFormat="1" ht="29.1" customHeight="1" x14ac:dyDescent="0.25">
      <c r="A17324" s="2" t="s">
        <v>34149</v>
      </c>
      <c r="B17324" s="2" t="s">
        <v>34150</v>
      </c>
      <c r="C17324" s="2" t="s">
        <v>644</v>
      </c>
      <c r="D17324" s="2" t="s">
        <v>5560</v>
      </c>
      <c r="E17324" s="2"/>
      <c r="F17324" s="2" t="str">
        <f>"9781478091790"</f>
        <v>9781478091790</v>
      </c>
    </row>
    <row r="17325" spans="1:6" s="3" customFormat="1" ht="29.1" customHeight="1" x14ac:dyDescent="0.25">
      <c r="A17325" s="2" t="s">
        <v>34151</v>
      </c>
      <c r="B17325" s="2" t="s">
        <v>34152</v>
      </c>
      <c r="C17325" s="2" t="s">
        <v>2133</v>
      </c>
      <c r="D17325" s="2" t="s">
        <v>8553</v>
      </c>
      <c r="E17325" s="2" t="str">
        <f>"9781760462383"</f>
        <v>9781760462383</v>
      </c>
      <c r="F17325" s="2" t="str">
        <f>"9781760462390"</f>
        <v>9781760462390</v>
      </c>
    </row>
    <row r="17326" spans="1:6" s="3" customFormat="1" ht="29.1" customHeight="1" x14ac:dyDescent="0.25">
      <c r="A17326" s="2" t="s">
        <v>34153</v>
      </c>
      <c r="B17326" s="2" t="s">
        <v>34154</v>
      </c>
      <c r="C17326" s="2" t="s">
        <v>2133</v>
      </c>
      <c r="D17326" s="2" t="s">
        <v>13300</v>
      </c>
      <c r="E17326" s="2" t="str">
        <f>"9781760462444"</f>
        <v>9781760462444</v>
      </c>
      <c r="F17326" s="2" t="str">
        <f>"9781760462451"</f>
        <v>9781760462451</v>
      </c>
    </row>
    <row r="17327" spans="1:6" s="3" customFormat="1" ht="29.1" customHeight="1" x14ac:dyDescent="0.25">
      <c r="A17327" s="2" t="s">
        <v>34155</v>
      </c>
      <c r="B17327" s="2" t="s">
        <v>34156</v>
      </c>
      <c r="C17327" s="2" t="s">
        <v>2133</v>
      </c>
      <c r="D17327" s="2" t="s">
        <v>606</v>
      </c>
      <c r="E17327" s="2" t="str">
        <f>"9781760462567"</f>
        <v>9781760462567</v>
      </c>
      <c r="F17327" s="2" t="str">
        <f>"9781760462574"</f>
        <v>9781760462574</v>
      </c>
    </row>
    <row r="17328" spans="1:6" s="3" customFormat="1" ht="29.1" customHeight="1" x14ac:dyDescent="0.25">
      <c r="A17328" s="2" t="s">
        <v>34157</v>
      </c>
      <c r="B17328" s="2" t="s">
        <v>34158</v>
      </c>
      <c r="C17328" s="2" t="s">
        <v>2133</v>
      </c>
      <c r="D17328" s="2" t="s">
        <v>4059</v>
      </c>
      <c r="E17328" s="2" t="str">
        <f>"9781760462406"</f>
        <v>9781760462406</v>
      </c>
      <c r="F17328" s="2" t="str">
        <f>"9781760462413"</f>
        <v>9781760462413</v>
      </c>
    </row>
    <row r="17329" spans="1:6" s="3" customFormat="1" ht="29.1" customHeight="1" x14ac:dyDescent="0.25">
      <c r="A17329" s="2" t="s">
        <v>34159</v>
      </c>
      <c r="B17329" s="2" t="s">
        <v>34160</v>
      </c>
      <c r="C17329" s="2" t="s">
        <v>2133</v>
      </c>
      <c r="D17329" s="2" t="s">
        <v>3536</v>
      </c>
      <c r="E17329" s="2" t="str">
        <f>"9781760462628"</f>
        <v>9781760462628</v>
      </c>
      <c r="F17329" s="2" t="str">
        <f>"9781760462635"</f>
        <v>9781760462635</v>
      </c>
    </row>
    <row r="17330" spans="1:6" s="3" customFormat="1" ht="29.1" customHeight="1" x14ac:dyDescent="0.25">
      <c r="A17330" s="2" t="s">
        <v>34161</v>
      </c>
      <c r="B17330" s="2" t="s">
        <v>34162</v>
      </c>
      <c r="C17330" s="2" t="s">
        <v>195</v>
      </c>
      <c r="D17330" s="2" t="s">
        <v>7737</v>
      </c>
      <c r="E17330" s="2" t="str">
        <f>"9783110752267"</f>
        <v>9783110752267</v>
      </c>
      <c r="F17330" s="2" t="str">
        <f>"9783110752410"</f>
        <v>9783110752410</v>
      </c>
    </row>
    <row r="17331" spans="1:6" s="3" customFormat="1" ht="29.1" customHeight="1" x14ac:dyDescent="0.25">
      <c r="A17331" s="2" t="s">
        <v>34163</v>
      </c>
      <c r="B17331" s="2" t="s">
        <v>34164</v>
      </c>
      <c r="C17331" s="2" t="s">
        <v>195</v>
      </c>
      <c r="D17331" s="2" t="s">
        <v>33</v>
      </c>
      <c r="E17331" s="2" t="str">
        <f>"9783110707731"</f>
        <v>9783110707731</v>
      </c>
      <c r="F17331" s="2" t="str">
        <f>"9783110707847"</f>
        <v>9783110707847</v>
      </c>
    </row>
    <row r="17332" spans="1:6" s="3" customFormat="1" ht="29.1" customHeight="1" x14ac:dyDescent="0.25">
      <c r="A17332" s="2" t="s">
        <v>34165</v>
      </c>
      <c r="B17332" s="2" t="s">
        <v>34166</v>
      </c>
      <c r="C17332" s="2" t="s">
        <v>195</v>
      </c>
      <c r="D17332" s="2" t="s">
        <v>1669</v>
      </c>
      <c r="E17332" s="2" t="str">
        <f>"9783110658767"</f>
        <v>9783110658767</v>
      </c>
      <c r="F17332" s="2" t="str">
        <f>"9783110777611"</f>
        <v>9783110777611</v>
      </c>
    </row>
    <row r="17333" spans="1:6" s="3" customFormat="1" ht="29.1" customHeight="1" x14ac:dyDescent="0.25">
      <c r="A17333" s="2" t="s">
        <v>34167</v>
      </c>
      <c r="B17333" s="2" t="s">
        <v>34168</v>
      </c>
      <c r="C17333" s="2" t="s">
        <v>29</v>
      </c>
      <c r="D17333" s="2" t="s">
        <v>29546</v>
      </c>
      <c r="E17333" s="2" t="str">
        <f>"9789004503311"</f>
        <v>9789004503311</v>
      </c>
      <c r="F17333" s="2" t="str">
        <f>"9789004503328"</f>
        <v>9789004503328</v>
      </c>
    </row>
    <row r="17334" spans="1:6" s="3" customFormat="1" ht="29.1" customHeight="1" x14ac:dyDescent="0.25">
      <c r="A17334" s="2" t="s">
        <v>34169</v>
      </c>
      <c r="B17334" s="2" t="s">
        <v>34170</v>
      </c>
      <c r="C17334" s="2" t="s">
        <v>4104</v>
      </c>
      <c r="D17334" s="2" t="s">
        <v>2488</v>
      </c>
      <c r="E17334" s="2" t="str">
        <f>"9781786941619"</f>
        <v>9781786941619</v>
      </c>
      <c r="F17334" s="2" t="str">
        <f>"9781786949547"</f>
        <v>9781786949547</v>
      </c>
    </row>
    <row r="17335" spans="1:6" s="3" customFormat="1" ht="29.1" customHeight="1" x14ac:dyDescent="0.25">
      <c r="A17335" s="2" t="s">
        <v>34171</v>
      </c>
      <c r="B17335" s="2" t="s">
        <v>34172</v>
      </c>
      <c r="C17335" s="2" t="s">
        <v>4104</v>
      </c>
      <c r="D17335" s="2" t="s">
        <v>3993</v>
      </c>
      <c r="E17335" s="2" t="str">
        <f>"9781789621839"</f>
        <v>9781789621839</v>
      </c>
      <c r="F17335" s="2" t="str">
        <f>"9781789627633"</f>
        <v>9781789627633</v>
      </c>
    </row>
    <row r="17336" spans="1:6" s="3" customFormat="1" ht="29.1" customHeight="1" x14ac:dyDescent="0.25">
      <c r="A17336" s="2" t="s">
        <v>34173</v>
      </c>
      <c r="B17336" s="2" t="s">
        <v>34174</v>
      </c>
      <c r="C17336" s="2" t="s">
        <v>595</v>
      </c>
      <c r="D17336" s="2" t="s">
        <v>465</v>
      </c>
      <c r="E17336" s="2" t="str">
        <f>"9783631846773"</f>
        <v>9783631846773</v>
      </c>
      <c r="F17336" s="2" t="str">
        <f>"9783631863121"</f>
        <v>9783631863121</v>
      </c>
    </row>
    <row r="17337" spans="1:6" s="3" customFormat="1" ht="29.1" customHeight="1" x14ac:dyDescent="0.25">
      <c r="A17337" s="2" t="s">
        <v>34175</v>
      </c>
      <c r="B17337" s="2" t="s">
        <v>34176</v>
      </c>
      <c r="C17337" s="2" t="s">
        <v>950</v>
      </c>
      <c r="D17337" s="2" t="s">
        <v>339</v>
      </c>
      <c r="E17337" s="2"/>
      <c r="F17337" s="2" t="str">
        <f>"9788413778150"</f>
        <v>9788413778150</v>
      </c>
    </row>
    <row r="17338" spans="1:6" s="3" customFormat="1" ht="29.1" customHeight="1" x14ac:dyDescent="0.25">
      <c r="A17338" s="2" t="s">
        <v>34177</v>
      </c>
      <c r="B17338" s="2" t="s">
        <v>34179</v>
      </c>
      <c r="C17338" s="2" t="s">
        <v>950</v>
      </c>
      <c r="D17338" s="2" t="s">
        <v>34178</v>
      </c>
      <c r="E17338" s="2"/>
      <c r="F17338" s="2" t="str">
        <f>"9788413776439"</f>
        <v>9788413776439</v>
      </c>
    </row>
    <row r="17339" spans="1:6" s="3" customFormat="1" ht="29.1" customHeight="1" x14ac:dyDescent="0.25">
      <c r="A17339" s="2" t="s">
        <v>34180</v>
      </c>
      <c r="B17339" s="2" t="s">
        <v>34181</v>
      </c>
      <c r="C17339" s="2" t="s">
        <v>950</v>
      </c>
      <c r="D17339" s="2" t="s">
        <v>339</v>
      </c>
      <c r="E17339" s="2"/>
      <c r="F17339" s="2" t="str">
        <f>"9788413775883"</f>
        <v>9788413775883</v>
      </c>
    </row>
    <row r="17340" spans="1:6" s="3" customFormat="1" ht="29.1" customHeight="1" x14ac:dyDescent="0.25">
      <c r="A17340" s="2" t="s">
        <v>34182</v>
      </c>
      <c r="B17340" s="2" t="s">
        <v>34183</v>
      </c>
      <c r="C17340" s="2" t="s">
        <v>950</v>
      </c>
      <c r="D17340" s="2" t="s">
        <v>339</v>
      </c>
      <c r="E17340" s="2"/>
      <c r="F17340" s="2" t="str">
        <f>"9788413775876"</f>
        <v>9788413775876</v>
      </c>
    </row>
    <row r="17341" spans="1:6" s="3" customFormat="1" ht="29.1" customHeight="1" x14ac:dyDescent="0.25">
      <c r="A17341" s="2" t="s">
        <v>34184</v>
      </c>
      <c r="B17341" s="2" t="s">
        <v>34185</v>
      </c>
      <c r="C17341" s="2" t="s">
        <v>950</v>
      </c>
      <c r="D17341" s="2" t="s">
        <v>339</v>
      </c>
      <c r="E17341" s="2"/>
      <c r="F17341" s="2" t="str">
        <f>"9788413775869"</f>
        <v>9788413775869</v>
      </c>
    </row>
    <row r="17342" spans="1:6" s="3" customFormat="1" ht="29.1" customHeight="1" x14ac:dyDescent="0.25">
      <c r="A17342" s="2" t="s">
        <v>34186</v>
      </c>
      <c r="B17342" s="2" t="s">
        <v>34187</v>
      </c>
      <c r="C17342" s="2" t="s">
        <v>950</v>
      </c>
      <c r="D17342" s="2" t="s">
        <v>34178</v>
      </c>
      <c r="E17342" s="2"/>
      <c r="F17342" s="2" t="str">
        <f>"9788413775852"</f>
        <v>9788413775852</v>
      </c>
    </row>
    <row r="17343" spans="1:6" s="3" customFormat="1" ht="29.1" customHeight="1" x14ac:dyDescent="0.25">
      <c r="A17343" s="2" t="s">
        <v>34188</v>
      </c>
      <c r="B17343" s="2" t="s">
        <v>34189</v>
      </c>
      <c r="C17343" s="2" t="s">
        <v>950</v>
      </c>
      <c r="D17343" s="2" t="s">
        <v>339</v>
      </c>
      <c r="E17343" s="2"/>
      <c r="F17343" s="2" t="str">
        <f>"9788413775623"</f>
        <v>9788413775623</v>
      </c>
    </row>
    <row r="17344" spans="1:6" s="3" customFormat="1" ht="29.1" customHeight="1" x14ac:dyDescent="0.25">
      <c r="A17344" s="2" t="s">
        <v>34190</v>
      </c>
      <c r="B17344" s="2" t="s">
        <v>34191</v>
      </c>
      <c r="C17344" s="2" t="s">
        <v>950</v>
      </c>
      <c r="D17344" s="2" t="s">
        <v>339</v>
      </c>
      <c r="E17344" s="2"/>
      <c r="F17344" s="2" t="str">
        <f>"9788413775616"</f>
        <v>9788413775616</v>
      </c>
    </row>
    <row r="17345" spans="1:6" s="3" customFormat="1" ht="29.1" customHeight="1" x14ac:dyDescent="0.25">
      <c r="A17345" s="2" t="s">
        <v>34192</v>
      </c>
      <c r="B17345" s="2" t="s">
        <v>34193</v>
      </c>
      <c r="C17345" s="2" t="s">
        <v>950</v>
      </c>
      <c r="D17345" s="2" t="s">
        <v>34178</v>
      </c>
      <c r="E17345" s="2"/>
      <c r="F17345" s="2" t="str">
        <f>"9788413773810"</f>
        <v>9788413773810</v>
      </c>
    </row>
    <row r="17346" spans="1:6" s="3" customFormat="1" ht="29.1" customHeight="1" x14ac:dyDescent="0.25">
      <c r="A17346" s="2" t="s">
        <v>34194</v>
      </c>
      <c r="B17346" s="2" t="s">
        <v>34195</v>
      </c>
      <c r="C17346" s="2" t="s">
        <v>950</v>
      </c>
      <c r="D17346" s="2" t="s">
        <v>339</v>
      </c>
      <c r="E17346" s="2"/>
      <c r="F17346" s="2" t="str">
        <f>"9788413773803"</f>
        <v>9788413773803</v>
      </c>
    </row>
    <row r="17347" spans="1:6" s="3" customFormat="1" ht="29.1" customHeight="1" x14ac:dyDescent="0.25">
      <c r="A17347" s="2" t="s">
        <v>34196</v>
      </c>
      <c r="B17347" s="2" t="s">
        <v>34197</v>
      </c>
      <c r="C17347" s="2" t="s">
        <v>950</v>
      </c>
      <c r="D17347" s="2" t="s">
        <v>34178</v>
      </c>
      <c r="E17347" s="2"/>
      <c r="F17347" s="2" t="str">
        <f>"9788413773285"</f>
        <v>9788413773285</v>
      </c>
    </row>
    <row r="17348" spans="1:6" s="3" customFormat="1" ht="29.1" customHeight="1" x14ac:dyDescent="0.25">
      <c r="A17348" s="2" t="s">
        <v>34198</v>
      </c>
      <c r="B17348" s="2" t="s">
        <v>34199</v>
      </c>
      <c r="C17348" s="2" t="s">
        <v>950</v>
      </c>
      <c r="D17348" s="2" t="s">
        <v>339</v>
      </c>
      <c r="E17348" s="2"/>
      <c r="F17348" s="2" t="str">
        <f>"9788413773278"</f>
        <v>9788413773278</v>
      </c>
    </row>
    <row r="17349" spans="1:6" s="3" customFormat="1" ht="29.1" customHeight="1" x14ac:dyDescent="0.25">
      <c r="A17349" s="2" t="s">
        <v>34200</v>
      </c>
      <c r="B17349" s="2" t="s">
        <v>34201</v>
      </c>
      <c r="C17349" s="2" t="s">
        <v>950</v>
      </c>
      <c r="D17349" s="2" t="s">
        <v>15324</v>
      </c>
      <c r="E17349" s="2"/>
      <c r="F17349" s="2" t="str">
        <f>"9788413773261"</f>
        <v>9788413773261</v>
      </c>
    </row>
    <row r="17350" spans="1:6" s="3" customFormat="1" ht="29.1" customHeight="1" x14ac:dyDescent="0.25">
      <c r="A17350" s="2" t="s">
        <v>34202</v>
      </c>
      <c r="B17350" s="2" t="s">
        <v>34203</v>
      </c>
      <c r="C17350" s="2" t="s">
        <v>950</v>
      </c>
      <c r="D17350" s="2" t="s">
        <v>339</v>
      </c>
      <c r="E17350" s="2"/>
      <c r="F17350" s="2" t="str">
        <f>"9788413773254"</f>
        <v>9788413773254</v>
      </c>
    </row>
    <row r="17351" spans="1:6" s="3" customFormat="1" ht="29.1" customHeight="1" x14ac:dyDescent="0.25">
      <c r="A17351" s="2" t="s">
        <v>34204</v>
      </c>
      <c r="B17351" s="2" t="s">
        <v>27394</v>
      </c>
      <c r="C17351" s="2" t="s">
        <v>950</v>
      </c>
      <c r="D17351" s="2" t="s">
        <v>339</v>
      </c>
      <c r="E17351" s="2"/>
      <c r="F17351" s="2" t="str">
        <f>"9788413773247"</f>
        <v>9788413773247</v>
      </c>
    </row>
    <row r="17352" spans="1:6" s="3" customFormat="1" ht="29.1" customHeight="1" x14ac:dyDescent="0.25">
      <c r="A17352" s="2" t="s">
        <v>34205</v>
      </c>
      <c r="B17352" s="2" t="s">
        <v>34206</v>
      </c>
      <c r="C17352" s="2" t="s">
        <v>950</v>
      </c>
      <c r="D17352" s="2" t="s">
        <v>339</v>
      </c>
      <c r="E17352" s="2"/>
      <c r="F17352" s="2" t="str">
        <f>"9788413773230"</f>
        <v>9788413773230</v>
      </c>
    </row>
    <row r="17353" spans="1:6" s="3" customFormat="1" ht="29.1" customHeight="1" x14ac:dyDescent="0.25">
      <c r="A17353" s="2" t="s">
        <v>34207</v>
      </c>
      <c r="B17353" s="2" t="s">
        <v>27372</v>
      </c>
      <c r="C17353" s="2" t="s">
        <v>950</v>
      </c>
      <c r="D17353" s="2" t="s">
        <v>339</v>
      </c>
      <c r="E17353" s="2"/>
      <c r="F17353" s="2" t="str">
        <f>"9788413773223"</f>
        <v>9788413773223</v>
      </c>
    </row>
    <row r="17354" spans="1:6" s="3" customFormat="1" ht="29.1" customHeight="1" x14ac:dyDescent="0.25">
      <c r="A17354" s="2" t="s">
        <v>34208</v>
      </c>
      <c r="B17354" s="2" t="s">
        <v>34209</v>
      </c>
      <c r="C17354" s="2" t="s">
        <v>950</v>
      </c>
      <c r="D17354" s="2" t="s">
        <v>9</v>
      </c>
      <c r="E17354" s="2"/>
      <c r="F17354" s="2" t="str">
        <f>"9788413773216"</f>
        <v>9788413773216</v>
      </c>
    </row>
    <row r="17355" spans="1:6" s="3" customFormat="1" ht="29.1" customHeight="1" x14ac:dyDescent="0.25">
      <c r="A17355" s="2" t="s">
        <v>34210</v>
      </c>
      <c r="B17355" s="2" t="s">
        <v>34211</v>
      </c>
      <c r="C17355" s="2" t="s">
        <v>950</v>
      </c>
      <c r="D17355" s="2" t="s">
        <v>9</v>
      </c>
      <c r="E17355" s="2"/>
      <c r="F17355" s="2" t="str">
        <f>"9788413773209"</f>
        <v>9788413773209</v>
      </c>
    </row>
    <row r="17356" spans="1:6" s="3" customFormat="1" ht="29.1" customHeight="1" x14ac:dyDescent="0.25">
      <c r="A17356" s="2" t="s">
        <v>34212</v>
      </c>
      <c r="B17356" s="2" t="s">
        <v>34213</v>
      </c>
      <c r="C17356" s="2" t="s">
        <v>950</v>
      </c>
      <c r="D17356" s="2" t="s">
        <v>9</v>
      </c>
      <c r="E17356" s="2"/>
      <c r="F17356" s="2" t="str">
        <f>"9788413773193"</f>
        <v>9788413773193</v>
      </c>
    </row>
    <row r="17357" spans="1:6" s="3" customFormat="1" ht="29.1" customHeight="1" x14ac:dyDescent="0.25">
      <c r="A17357" s="2" t="s">
        <v>34214</v>
      </c>
      <c r="B17357" s="2" t="s">
        <v>34215</v>
      </c>
      <c r="C17357" s="2" t="s">
        <v>950</v>
      </c>
      <c r="D17357" s="2" t="s">
        <v>4172</v>
      </c>
      <c r="E17357" s="2"/>
      <c r="F17357" s="2" t="str">
        <f>"9788413773186"</f>
        <v>9788413773186</v>
      </c>
    </row>
    <row r="17358" spans="1:6" s="3" customFormat="1" ht="29.1" customHeight="1" x14ac:dyDescent="0.25">
      <c r="A17358" s="2" t="s">
        <v>34216</v>
      </c>
      <c r="B17358" s="2" t="s">
        <v>4206</v>
      </c>
      <c r="C17358" s="2" t="s">
        <v>950</v>
      </c>
      <c r="D17358" s="2" t="s">
        <v>34178</v>
      </c>
      <c r="E17358" s="2"/>
      <c r="F17358" s="2" t="str">
        <f>"9788413771885"</f>
        <v>9788413771885</v>
      </c>
    </row>
    <row r="17359" spans="1:6" s="3" customFormat="1" ht="29.1" customHeight="1" x14ac:dyDescent="0.25">
      <c r="A17359" s="2" t="s">
        <v>34217</v>
      </c>
      <c r="B17359" s="2" t="s">
        <v>34218</v>
      </c>
      <c r="C17359" s="2" t="s">
        <v>950</v>
      </c>
      <c r="D17359" s="2" t="s">
        <v>9</v>
      </c>
      <c r="E17359" s="2"/>
      <c r="F17359" s="2" t="str">
        <f>"9788413771687"</f>
        <v>9788413771687</v>
      </c>
    </row>
    <row r="17360" spans="1:6" s="3" customFormat="1" ht="29.1" customHeight="1" x14ac:dyDescent="0.25">
      <c r="A17360" s="2" t="s">
        <v>34219</v>
      </c>
      <c r="B17360" s="2" t="s">
        <v>34220</v>
      </c>
      <c r="C17360" s="2" t="s">
        <v>950</v>
      </c>
      <c r="D17360" s="2" t="s">
        <v>9</v>
      </c>
      <c r="E17360" s="2"/>
      <c r="F17360" s="2" t="str">
        <f>"9788413771670"</f>
        <v>9788413771670</v>
      </c>
    </row>
    <row r="17361" spans="1:6" s="3" customFormat="1" ht="29.1" customHeight="1" x14ac:dyDescent="0.25">
      <c r="A17361" s="2" t="s">
        <v>34221</v>
      </c>
      <c r="B17361" s="2" t="s">
        <v>34222</v>
      </c>
      <c r="C17361" s="2" t="s">
        <v>950</v>
      </c>
      <c r="D17361" s="2" t="s">
        <v>3943</v>
      </c>
      <c r="E17361" s="2"/>
      <c r="F17361" s="2" t="str">
        <f>"9788413770994"</f>
        <v>9788413770994</v>
      </c>
    </row>
    <row r="17362" spans="1:6" s="3" customFormat="1" ht="29.1" customHeight="1" x14ac:dyDescent="0.25">
      <c r="A17362" s="2" t="s">
        <v>34223</v>
      </c>
      <c r="B17362" s="2" t="s">
        <v>34224</v>
      </c>
      <c r="C17362" s="2" t="s">
        <v>950</v>
      </c>
      <c r="D17362" s="2" t="s">
        <v>3969</v>
      </c>
      <c r="E17362" s="2"/>
      <c r="F17362" s="2" t="str">
        <f>"9788413770321"</f>
        <v>9788413770321</v>
      </c>
    </row>
    <row r="17363" spans="1:6" s="3" customFormat="1" ht="29.1" customHeight="1" x14ac:dyDescent="0.25">
      <c r="A17363" s="2" t="s">
        <v>34225</v>
      </c>
      <c r="B17363" s="2" t="s">
        <v>34226</v>
      </c>
      <c r="C17363" s="2" t="s">
        <v>950</v>
      </c>
      <c r="D17363" s="2" t="s">
        <v>15324</v>
      </c>
      <c r="E17363" s="2"/>
      <c r="F17363" s="2" t="str">
        <f>"9788413249896"</f>
        <v>9788413249896</v>
      </c>
    </row>
    <row r="17364" spans="1:6" s="3" customFormat="1" ht="29.1" customHeight="1" x14ac:dyDescent="0.25">
      <c r="A17364" s="2" t="s">
        <v>34227</v>
      </c>
      <c r="B17364" s="2" t="s">
        <v>34228</v>
      </c>
      <c r="C17364" s="2" t="s">
        <v>950</v>
      </c>
      <c r="D17364" s="2" t="s">
        <v>4172</v>
      </c>
      <c r="E17364" s="2"/>
      <c r="F17364" s="2" t="str">
        <f>"9788413248387"</f>
        <v>9788413248387</v>
      </c>
    </row>
    <row r="17365" spans="1:6" s="3" customFormat="1" ht="29.1" customHeight="1" x14ac:dyDescent="0.25">
      <c r="A17365" s="2" t="s">
        <v>34229</v>
      </c>
      <c r="B17365" s="2" t="s">
        <v>34230</v>
      </c>
      <c r="C17365" s="2" t="s">
        <v>950</v>
      </c>
      <c r="D17365" s="2" t="s">
        <v>63</v>
      </c>
      <c r="E17365" s="2"/>
      <c r="F17365" s="2" t="str">
        <f>"9788413248097"</f>
        <v>9788413248097</v>
      </c>
    </row>
    <row r="17366" spans="1:6" s="3" customFormat="1" ht="29.1" customHeight="1" x14ac:dyDescent="0.25">
      <c r="A17366" s="2" t="s">
        <v>34231</v>
      </c>
      <c r="B17366" s="2" t="s">
        <v>34232</v>
      </c>
      <c r="C17366" s="2" t="s">
        <v>950</v>
      </c>
      <c r="D17366" s="2" t="s">
        <v>9</v>
      </c>
      <c r="E17366" s="2"/>
      <c r="F17366" s="2" t="str">
        <f>"9788413247243"</f>
        <v>9788413247243</v>
      </c>
    </row>
    <row r="17367" spans="1:6" s="3" customFormat="1" ht="29.1" customHeight="1" x14ac:dyDescent="0.25">
      <c r="A17367" s="2" t="s">
        <v>34233</v>
      </c>
      <c r="B17367" s="2" t="s">
        <v>34234</v>
      </c>
      <c r="C17367" s="2" t="s">
        <v>950</v>
      </c>
      <c r="D17367" s="2" t="s">
        <v>712</v>
      </c>
      <c r="E17367" s="2"/>
      <c r="F17367" s="2" t="str">
        <f>"9788413247236"</f>
        <v>9788413247236</v>
      </c>
    </row>
    <row r="17368" spans="1:6" s="3" customFormat="1" ht="29.1" customHeight="1" x14ac:dyDescent="0.25">
      <c r="A17368" s="2" t="s">
        <v>34235</v>
      </c>
      <c r="B17368" s="2" t="s">
        <v>34236</v>
      </c>
      <c r="C17368" s="2" t="s">
        <v>950</v>
      </c>
      <c r="D17368" s="2" t="s">
        <v>3969</v>
      </c>
      <c r="E17368" s="2"/>
      <c r="F17368" s="2" t="str">
        <f>"9788413247052"</f>
        <v>9788413247052</v>
      </c>
    </row>
    <row r="17369" spans="1:6" s="3" customFormat="1" ht="29.1" customHeight="1" x14ac:dyDescent="0.25">
      <c r="A17369" s="2" t="s">
        <v>34237</v>
      </c>
      <c r="B17369" s="2" t="s">
        <v>34238</v>
      </c>
      <c r="C17369" s="2" t="s">
        <v>195</v>
      </c>
      <c r="D17369" s="2" t="s">
        <v>33</v>
      </c>
      <c r="E17369" s="2" t="str">
        <f>"9783486754353"</f>
        <v>9783486754353</v>
      </c>
      <c r="F17369" s="2" t="str">
        <f>"9783486754360"</f>
        <v>9783486754360</v>
      </c>
    </row>
    <row r="17370" spans="1:6" s="3" customFormat="1" ht="29.1" customHeight="1" x14ac:dyDescent="0.25">
      <c r="A17370" s="2" t="s">
        <v>34239</v>
      </c>
      <c r="B17370" s="2" t="s">
        <v>34240</v>
      </c>
      <c r="C17370" s="2" t="s">
        <v>195</v>
      </c>
      <c r="D17370" s="2" t="s">
        <v>462</v>
      </c>
      <c r="E17370" s="2" t="str">
        <f>"9783110763782"</f>
        <v>9783110763782</v>
      </c>
      <c r="F17370" s="2" t="str">
        <f>"9783110764062"</f>
        <v>9783110764062</v>
      </c>
    </row>
    <row r="17371" spans="1:6" s="3" customFormat="1" ht="29.1" customHeight="1" x14ac:dyDescent="0.25">
      <c r="A17371" s="2" t="s">
        <v>34241</v>
      </c>
      <c r="B17371" s="2" t="s">
        <v>34242</v>
      </c>
      <c r="C17371" s="2" t="s">
        <v>195</v>
      </c>
      <c r="D17371" s="2" t="s">
        <v>6939</v>
      </c>
      <c r="E17371" s="2" t="str">
        <f>"9783110749410"</f>
        <v>9783110749410</v>
      </c>
      <c r="F17371" s="2" t="str">
        <f>"9783110749472"</f>
        <v>9783110749472</v>
      </c>
    </row>
    <row r="17372" spans="1:6" s="3" customFormat="1" ht="29.1" customHeight="1" x14ac:dyDescent="0.25">
      <c r="A17372" s="2" t="s">
        <v>34243</v>
      </c>
      <c r="B17372" s="2" t="s">
        <v>34244</v>
      </c>
      <c r="C17372" s="2" t="s">
        <v>195</v>
      </c>
      <c r="D17372" s="2" t="s">
        <v>210</v>
      </c>
      <c r="E17372" s="2" t="str">
        <f>"9783110735017"</f>
        <v>9783110735017</v>
      </c>
      <c r="F17372" s="2" t="str">
        <f>"9783110730104"</f>
        <v>9783110730104</v>
      </c>
    </row>
    <row r="17373" spans="1:6" s="3" customFormat="1" ht="29.1" customHeight="1" x14ac:dyDescent="0.25">
      <c r="A17373" s="2" t="s">
        <v>34245</v>
      </c>
      <c r="B17373" s="2" t="s">
        <v>34246</v>
      </c>
      <c r="C17373" s="2" t="s">
        <v>2133</v>
      </c>
      <c r="D17373" s="2" t="s">
        <v>1259</v>
      </c>
      <c r="E17373" s="2" t="str">
        <f>"9781760462543"</f>
        <v>9781760462543</v>
      </c>
      <c r="F17373" s="2" t="str">
        <f>"9781760462550"</f>
        <v>9781760462550</v>
      </c>
    </row>
    <row r="17374" spans="1:6" s="3" customFormat="1" ht="29.1" customHeight="1" x14ac:dyDescent="0.25">
      <c r="A17374" s="2" t="s">
        <v>34247</v>
      </c>
      <c r="B17374" s="2" t="s">
        <v>34248</v>
      </c>
      <c r="C17374" s="2" t="s">
        <v>2133</v>
      </c>
      <c r="D17374" s="2" t="s">
        <v>694</v>
      </c>
      <c r="E17374" s="2" t="str">
        <f>"9781760462529"</f>
        <v>9781760462529</v>
      </c>
      <c r="F17374" s="2" t="str">
        <f>"9781760462536"</f>
        <v>9781760462536</v>
      </c>
    </row>
    <row r="17375" spans="1:6" s="3" customFormat="1" ht="29.1" customHeight="1" x14ac:dyDescent="0.25">
      <c r="A17375" s="2" t="s">
        <v>34249</v>
      </c>
      <c r="B17375" s="2" t="s">
        <v>34250</v>
      </c>
      <c r="C17375" s="2" t="s">
        <v>2133</v>
      </c>
      <c r="D17375" s="2" t="s">
        <v>4742</v>
      </c>
      <c r="E17375" s="2" t="str">
        <f>"9781760464820"</f>
        <v>9781760464820</v>
      </c>
      <c r="F17375" s="2" t="str">
        <f>"9781760464837"</f>
        <v>9781760464837</v>
      </c>
    </row>
    <row r="17376" spans="1:6" s="3" customFormat="1" ht="29.1" customHeight="1" x14ac:dyDescent="0.25">
      <c r="A17376" s="2" t="s">
        <v>34251</v>
      </c>
      <c r="B17376" s="2" t="s">
        <v>34253</v>
      </c>
      <c r="C17376" s="2" t="s">
        <v>2133</v>
      </c>
      <c r="D17376" s="2" t="s">
        <v>34252</v>
      </c>
      <c r="E17376" s="2" t="str">
        <f>"9781760464561"</f>
        <v>9781760464561</v>
      </c>
      <c r="F17376" s="2" t="str">
        <f>"9781760464578"</f>
        <v>9781760464578</v>
      </c>
    </row>
    <row r="17377" spans="1:6" s="3" customFormat="1" ht="29.1" customHeight="1" x14ac:dyDescent="0.25">
      <c r="A17377" s="2" t="s">
        <v>34254</v>
      </c>
      <c r="B17377" s="2" t="s">
        <v>34255</v>
      </c>
      <c r="C17377" s="2" t="s">
        <v>595</v>
      </c>
      <c r="D17377" s="2" t="s">
        <v>2307</v>
      </c>
      <c r="E17377" s="2" t="str">
        <f>"9783631855553"</f>
        <v>9783631855553</v>
      </c>
      <c r="F17377" s="2" t="str">
        <f>"9783631860649"</f>
        <v>9783631860649</v>
      </c>
    </row>
    <row r="17378" spans="1:6" s="3" customFormat="1" ht="29.1" customHeight="1" x14ac:dyDescent="0.25">
      <c r="A17378" s="2" t="s">
        <v>34256</v>
      </c>
      <c r="B17378" s="2" t="s">
        <v>34258</v>
      </c>
      <c r="C17378" s="2" t="s">
        <v>34257</v>
      </c>
      <c r="D17378" s="2" t="s">
        <v>4016</v>
      </c>
      <c r="E17378" s="2" t="str">
        <f>"9780745340517"</f>
        <v>9780745340517</v>
      </c>
      <c r="F17378" s="2" t="str">
        <f>"9781786807953"</f>
        <v>9781786807953</v>
      </c>
    </row>
    <row r="17379" spans="1:6" s="3" customFormat="1" ht="29.1" customHeight="1" x14ac:dyDescent="0.25">
      <c r="A17379" s="2" t="s">
        <v>34259</v>
      </c>
      <c r="B17379" s="2" t="s">
        <v>34260</v>
      </c>
      <c r="C17379" s="2" t="s">
        <v>29</v>
      </c>
      <c r="D17379" s="2" t="s">
        <v>14574</v>
      </c>
      <c r="E17379" s="2" t="str">
        <f>"9789004117051"</f>
        <v>9789004117051</v>
      </c>
      <c r="F17379" s="2" t="str">
        <f>"9789004498044"</f>
        <v>9789004498044</v>
      </c>
    </row>
    <row r="17380" spans="1:6" s="3" customFormat="1" ht="29.1" customHeight="1" x14ac:dyDescent="0.25">
      <c r="A17380" s="2" t="s">
        <v>34261</v>
      </c>
      <c r="B17380" s="2" t="s">
        <v>34263</v>
      </c>
      <c r="C17380" s="2" t="s">
        <v>124</v>
      </c>
      <c r="D17380" s="2" t="s">
        <v>34262</v>
      </c>
      <c r="E17380" s="2" t="str">
        <f>"9781041176008"</f>
        <v>9781041176008</v>
      </c>
      <c r="F17380" s="2" t="str">
        <f>"9781040785577"</f>
        <v>9781040785577</v>
      </c>
    </row>
    <row r="17381" spans="1:6" s="3" customFormat="1" ht="29.1" customHeight="1" x14ac:dyDescent="0.25">
      <c r="A17381" s="2" t="s">
        <v>34264</v>
      </c>
      <c r="B17381" s="2" t="s">
        <v>34265</v>
      </c>
      <c r="C17381" s="2" t="s">
        <v>27396</v>
      </c>
      <c r="D17381" s="2" t="s">
        <v>428</v>
      </c>
      <c r="E17381" s="2" t="str">
        <f>"9783161609947"</f>
        <v>9783161609947</v>
      </c>
      <c r="F17381" s="2" t="str">
        <f>"9783161609954"</f>
        <v>9783161609954</v>
      </c>
    </row>
    <row r="17382" spans="1:6" s="3" customFormat="1" ht="29.1" customHeight="1" x14ac:dyDescent="0.25">
      <c r="A17382" s="2" t="s">
        <v>34266</v>
      </c>
      <c r="B17382" s="2" t="s">
        <v>34267</v>
      </c>
      <c r="C17382" s="2" t="s">
        <v>595</v>
      </c>
      <c r="D17382" s="2" t="s">
        <v>175</v>
      </c>
      <c r="E17382" s="2" t="str">
        <f>"9782807616806"</f>
        <v>9782807616806</v>
      </c>
      <c r="F17382" s="2" t="str">
        <f>"9782807616813"</f>
        <v>9782807616813</v>
      </c>
    </row>
    <row r="17383" spans="1:6" s="3" customFormat="1" ht="29.1" customHeight="1" x14ac:dyDescent="0.25">
      <c r="A17383" s="2" t="s">
        <v>34268</v>
      </c>
      <c r="B17383" s="2" t="s">
        <v>34269</v>
      </c>
      <c r="C17383" s="2" t="s">
        <v>124</v>
      </c>
      <c r="D17383" s="2" t="s">
        <v>334</v>
      </c>
      <c r="E17383" s="2" t="str">
        <f>"9780367646899"</f>
        <v>9780367646899</v>
      </c>
      <c r="F17383" s="2" t="str">
        <f>"9781000472585"</f>
        <v>9781000472585</v>
      </c>
    </row>
    <row r="17384" spans="1:6" s="3" customFormat="1" ht="29.1" customHeight="1" x14ac:dyDescent="0.25">
      <c r="A17384" s="2" t="s">
        <v>34270</v>
      </c>
      <c r="B17384" s="2" t="s">
        <v>34271</v>
      </c>
      <c r="C17384" s="2" t="s">
        <v>264</v>
      </c>
      <c r="D17384" s="2" t="s">
        <v>17398</v>
      </c>
      <c r="E17384" s="2" t="str">
        <f>"9781032229461"</f>
        <v>9781032229461</v>
      </c>
      <c r="F17384" s="2" t="str">
        <f>"9781000562620"</f>
        <v>9781000562620</v>
      </c>
    </row>
    <row r="17385" spans="1:6" s="3" customFormat="1" ht="29.1" customHeight="1" x14ac:dyDescent="0.25">
      <c r="A17385" s="2" t="s">
        <v>34272</v>
      </c>
      <c r="B17385" s="2" t="s">
        <v>34273</v>
      </c>
      <c r="C17385" s="2" t="s">
        <v>885</v>
      </c>
      <c r="D17385" s="2" t="s">
        <v>553</v>
      </c>
      <c r="E17385" s="2" t="str">
        <f>"9781487528942"</f>
        <v>9781487528942</v>
      </c>
      <c r="F17385" s="2" t="str">
        <f>"9781487546700"</f>
        <v>9781487546700</v>
      </c>
    </row>
    <row r="17386" spans="1:6" s="3" customFormat="1" ht="29.1" customHeight="1" x14ac:dyDescent="0.25">
      <c r="A17386" s="2" t="s">
        <v>34274</v>
      </c>
      <c r="B17386" s="2" t="s">
        <v>34275</v>
      </c>
      <c r="C17386" s="2" t="s">
        <v>124</v>
      </c>
      <c r="D17386" s="2" t="s">
        <v>2513</v>
      </c>
      <c r="E17386" s="2" t="str">
        <f>"9780367680114"</f>
        <v>9780367680114</v>
      </c>
      <c r="F17386" s="2" t="str">
        <f>"9781000540420"</f>
        <v>9781000540420</v>
      </c>
    </row>
    <row r="17387" spans="1:6" s="3" customFormat="1" ht="29.1" customHeight="1" x14ac:dyDescent="0.25">
      <c r="A17387" s="2" t="s">
        <v>34276</v>
      </c>
      <c r="B17387" s="2" t="s">
        <v>33138</v>
      </c>
      <c r="C17387" s="2" t="s">
        <v>11005</v>
      </c>
      <c r="D17387" s="2" t="s">
        <v>3814</v>
      </c>
      <c r="E17387" s="2" t="str">
        <f>"9783837931211"</f>
        <v>9783837931211</v>
      </c>
      <c r="F17387" s="2" t="str">
        <f>"9783837978063"</f>
        <v>9783837978063</v>
      </c>
    </row>
    <row r="17388" spans="1:6" s="3" customFormat="1" ht="29.1" customHeight="1" x14ac:dyDescent="0.25">
      <c r="A17388" s="2" t="s">
        <v>34277</v>
      </c>
      <c r="B17388" s="2" t="s">
        <v>34278</v>
      </c>
      <c r="C17388" s="2" t="s">
        <v>595</v>
      </c>
      <c r="D17388" s="2" t="s">
        <v>5832</v>
      </c>
      <c r="E17388" s="2" t="str">
        <f>"9783631846490"</f>
        <v>9783631846490</v>
      </c>
      <c r="F17388" s="2" t="str">
        <f>"9783631850961"</f>
        <v>9783631850961</v>
      </c>
    </row>
    <row r="17389" spans="1:6" s="3" customFormat="1" ht="29.1" customHeight="1" x14ac:dyDescent="0.25">
      <c r="A17389" s="2" t="s">
        <v>34279</v>
      </c>
      <c r="B17389" s="2" t="s">
        <v>34280</v>
      </c>
      <c r="C17389" s="2" t="s">
        <v>31902</v>
      </c>
      <c r="D17389" s="2" t="s">
        <v>850</v>
      </c>
      <c r="E17389" s="2"/>
      <c r="F17389" s="2" t="str">
        <f>"9782759818464"</f>
        <v>9782759818464</v>
      </c>
    </row>
    <row r="17390" spans="1:6" s="3" customFormat="1" ht="29.1" customHeight="1" x14ac:dyDescent="0.25">
      <c r="A17390" s="2" t="s">
        <v>34281</v>
      </c>
      <c r="B17390" s="2" t="s">
        <v>34282</v>
      </c>
      <c r="C17390" s="2" t="s">
        <v>31902</v>
      </c>
      <c r="D17390" s="2" t="s">
        <v>12465</v>
      </c>
      <c r="E17390" s="2"/>
      <c r="F17390" s="2" t="str">
        <f>"9782759821266"</f>
        <v>9782759821266</v>
      </c>
    </row>
    <row r="17391" spans="1:6" s="3" customFormat="1" ht="29.1" customHeight="1" x14ac:dyDescent="0.25">
      <c r="A17391" s="2" t="s">
        <v>34283</v>
      </c>
      <c r="B17391" s="2" t="s">
        <v>34284</v>
      </c>
      <c r="C17391" s="2" t="s">
        <v>31902</v>
      </c>
      <c r="D17391" s="2" t="s">
        <v>1932</v>
      </c>
      <c r="E17391" s="2" t="str">
        <f>"9782759809585"</f>
        <v>9782759809585</v>
      </c>
      <c r="F17391" s="2" t="str">
        <f>"9782759824878"</f>
        <v>9782759824878</v>
      </c>
    </row>
    <row r="17392" spans="1:6" s="3" customFormat="1" ht="29.1" customHeight="1" x14ac:dyDescent="0.25">
      <c r="A17392" s="2" t="s">
        <v>34285</v>
      </c>
      <c r="B17392" s="2" t="s">
        <v>34286</v>
      </c>
      <c r="C17392" s="2" t="s">
        <v>31902</v>
      </c>
      <c r="D17392" s="2" t="s">
        <v>12465</v>
      </c>
      <c r="E17392" s="2"/>
      <c r="F17392" s="2" t="str">
        <f>"9782759808267"</f>
        <v>9782759808267</v>
      </c>
    </row>
    <row r="17393" spans="1:6" s="3" customFormat="1" ht="29.1" customHeight="1" x14ac:dyDescent="0.25">
      <c r="A17393" s="2" t="s">
        <v>34287</v>
      </c>
      <c r="B17393" s="2" t="s">
        <v>34288</v>
      </c>
      <c r="C17393" s="2" t="s">
        <v>195</v>
      </c>
      <c r="D17393" s="2" t="s">
        <v>12465</v>
      </c>
      <c r="E17393" s="2"/>
      <c r="F17393" s="2" t="str">
        <f>"9782759823512"</f>
        <v>9782759823512</v>
      </c>
    </row>
    <row r="17394" spans="1:6" s="3" customFormat="1" ht="29.1" customHeight="1" x14ac:dyDescent="0.25">
      <c r="A17394" s="2" t="s">
        <v>34289</v>
      </c>
      <c r="B17394" s="2" t="s">
        <v>34290</v>
      </c>
      <c r="C17394" s="2" t="s">
        <v>195</v>
      </c>
      <c r="D17394" s="2" t="s">
        <v>1932</v>
      </c>
      <c r="E17394" s="2"/>
      <c r="F17394" s="2" t="str">
        <f>"9782759810024"</f>
        <v>9782759810024</v>
      </c>
    </row>
    <row r="17395" spans="1:6" s="3" customFormat="1" ht="29.1" customHeight="1" x14ac:dyDescent="0.25">
      <c r="A17395" s="2" t="s">
        <v>34291</v>
      </c>
      <c r="B17395" s="2" t="s">
        <v>34292</v>
      </c>
      <c r="C17395" s="2" t="s">
        <v>195</v>
      </c>
      <c r="D17395" s="2" t="s">
        <v>12465</v>
      </c>
      <c r="E17395" s="2"/>
      <c r="F17395" s="2" t="str">
        <f>"9782759821273"</f>
        <v>9782759821273</v>
      </c>
    </row>
    <row r="17396" spans="1:6" s="3" customFormat="1" ht="29.1" customHeight="1" x14ac:dyDescent="0.25">
      <c r="A17396" s="2" t="s">
        <v>34293</v>
      </c>
      <c r="B17396" s="2" t="s">
        <v>34294</v>
      </c>
      <c r="C17396" s="2" t="s">
        <v>31902</v>
      </c>
      <c r="D17396" s="2" t="s">
        <v>1932</v>
      </c>
      <c r="E17396" s="2"/>
      <c r="F17396" s="2" t="str">
        <f>"9782759824854"</f>
        <v>9782759824854</v>
      </c>
    </row>
    <row r="17397" spans="1:6" s="3" customFormat="1" ht="29.1" customHeight="1" x14ac:dyDescent="0.25">
      <c r="A17397" s="2" t="s">
        <v>34295</v>
      </c>
      <c r="B17397" s="2" t="s">
        <v>34296</v>
      </c>
      <c r="C17397" s="2" t="s">
        <v>31902</v>
      </c>
      <c r="D17397" s="2" t="s">
        <v>12</v>
      </c>
      <c r="E17397" s="2"/>
      <c r="F17397" s="2" t="str">
        <f>"9782759805082"</f>
        <v>9782759805082</v>
      </c>
    </row>
    <row r="17398" spans="1:6" s="3" customFormat="1" ht="29.1" customHeight="1" x14ac:dyDescent="0.25">
      <c r="A17398" s="2" t="s">
        <v>33504</v>
      </c>
      <c r="B17398" s="2" t="s">
        <v>34297</v>
      </c>
      <c r="C17398" s="2" t="s">
        <v>31902</v>
      </c>
      <c r="D17398" s="2" t="s">
        <v>12465</v>
      </c>
      <c r="E17398" s="2"/>
      <c r="F17398" s="2" t="str">
        <f>"9782759809134"</f>
        <v>9782759809134</v>
      </c>
    </row>
    <row r="17399" spans="1:6" s="3" customFormat="1" ht="29.1" customHeight="1" x14ac:dyDescent="0.25">
      <c r="A17399" s="2" t="s">
        <v>34298</v>
      </c>
      <c r="B17399" s="2" t="s">
        <v>34299</v>
      </c>
      <c r="C17399" s="2" t="s">
        <v>31902</v>
      </c>
      <c r="D17399" s="2" t="s">
        <v>1932</v>
      </c>
      <c r="E17399" s="2"/>
      <c r="F17399" s="2" t="str">
        <f>"9782759824502"</f>
        <v>9782759824502</v>
      </c>
    </row>
    <row r="17400" spans="1:6" s="3" customFormat="1" ht="29.1" customHeight="1" x14ac:dyDescent="0.25">
      <c r="A17400" s="2" t="s">
        <v>34300</v>
      </c>
      <c r="B17400" s="2" t="s">
        <v>34301</v>
      </c>
      <c r="C17400" s="2" t="s">
        <v>31902</v>
      </c>
      <c r="D17400" s="2" t="s">
        <v>1336</v>
      </c>
      <c r="E17400" s="2"/>
      <c r="F17400" s="2" t="str">
        <f>"9782759820757"</f>
        <v>9782759820757</v>
      </c>
    </row>
    <row r="17401" spans="1:6" s="3" customFormat="1" ht="29.1" customHeight="1" x14ac:dyDescent="0.25">
      <c r="A17401" s="2" t="s">
        <v>34302</v>
      </c>
      <c r="B17401" s="2" t="s">
        <v>34303</v>
      </c>
      <c r="C17401" s="2" t="s">
        <v>31902</v>
      </c>
      <c r="D17401" s="2" t="s">
        <v>2880</v>
      </c>
      <c r="E17401" s="2"/>
      <c r="F17401" s="2" t="str">
        <f>"9782759822652"</f>
        <v>9782759822652</v>
      </c>
    </row>
    <row r="17402" spans="1:6" s="3" customFormat="1" ht="29.1" customHeight="1" x14ac:dyDescent="0.25">
      <c r="A17402" s="2" t="s">
        <v>34304</v>
      </c>
      <c r="B17402" s="2" t="s">
        <v>34305</v>
      </c>
      <c r="C17402" s="2" t="s">
        <v>31902</v>
      </c>
      <c r="D17402" s="2" t="s">
        <v>1959</v>
      </c>
      <c r="E17402" s="2"/>
      <c r="F17402" s="2" t="str">
        <f>"9782759817757"</f>
        <v>9782759817757</v>
      </c>
    </row>
    <row r="17403" spans="1:6" s="3" customFormat="1" ht="29.1" customHeight="1" x14ac:dyDescent="0.25">
      <c r="A17403" s="2" t="s">
        <v>34306</v>
      </c>
      <c r="B17403" s="2" t="s">
        <v>34307</v>
      </c>
      <c r="C17403" s="2" t="s">
        <v>195</v>
      </c>
      <c r="D17403" s="2" t="s">
        <v>1390</v>
      </c>
      <c r="E17403" s="2"/>
      <c r="F17403" s="2" t="str">
        <f>"9782759824748"</f>
        <v>9782759824748</v>
      </c>
    </row>
    <row r="17404" spans="1:6" s="3" customFormat="1" ht="29.1" customHeight="1" x14ac:dyDescent="0.25">
      <c r="A17404" s="2" t="s">
        <v>34308</v>
      </c>
      <c r="B17404" s="2" t="s">
        <v>34307</v>
      </c>
      <c r="C17404" s="2" t="s">
        <v>31902</v>
      </c>
      <c r="D17404" s="2" t="s">
        <v>1390</v>
      </c>
      <c r="E17404" s="2"/>
      <c r="F17404" s="2" t="str">
        <f>"9782759824526"</f>
        <v>9782759824526</v>
      </c>
    </row>
    <row r="17405" spans="1:6" s="3" customFormat="1" ht="29.1" customHeight="1" x14ac:dyDescent="0.25">
      <c r="A17405" s="2" t="s">
        <v>34309</v>
      </c>
      <c r="B17405" s="2" t="s">
        <v>34310</v>
      </c>
      <c r="C17405" s="2" t="s">
        <v>195</v>
      </c>
      <c r="D17405" s="2" t="s">
        <v>1932</v>
      </c>
      <c r="E17405" s="2"/>
      <c r="F17405" s="2" t="str">
        <f>"9782759801558"</f>
        <v>9782759801558</v>
      </c>
    </row>
    <row r="17406" spans="1:6" s="3" customFormat="1" ht="29.1" customHeight="1" x14ac:dyDescent="0.25">
      <c r="A17406" s="2" t="s">
        <v>34311</v>
      </c>
      <c r="B17406" s="2" t="s">
        <v>34310</v>
      </c>
      <c r="C17406" s="2" t="s">
        <v>195</v>
      </c>
      <c r="D17406" s="2" t="s">
        <v>850</v>
      </c>
      <c r="E17406" s="2"/>
      <c r="F17406" s="2" t="str">
        <f>"9782759801978"</f>
        <v>9782759801978</v>
      </c>
    </row>
    <row r="17407" spans="1:6" s="3" customFormat="1" ht="29.1" customHeight="1" x14ac:dyDescent="0.25">
      <c r="A17407" s="2" t="s">
        <v>31901</v>
      </c>
      <c r="B17407" s="2" t="s">
        <v>31903</v>
      </c>
      <c r="C17407" s="2" t="s">
        <v>31902</v>
      </c>
      <c r="D17407" s="2" t="s">
        <v>850</v>
      </c>
      <c r="E17407" s="2"/>
      <c r="F17407" s="2" t="str">
        <f>"9782759808670"</f>
        <v>9782759808670</v>
      </c>
    </row>
    <row r="17408" spans="1:6" s="3" customFormat="1" ht="29.1" customHeight="1" x14ac:dyDescent="0.25">
      <c r="A17408" s="2" t="s">
        <v>34312</v>
      </c>
      <c r="B17408" s="2" t="s">
        <v>34296</v>
      </c>
      <c r="C17408" s="2" t="s">
        <v>31902</v>
      </c>
      <c r="D17408" s="2" t="s">
        <v>317</v>
      </c>
      <c r="E17408" s="2"/>
      <c r="F17408" s="2" t="str">
        <f>"9782759809066"</f>
        <v>9782759809066</v>
      </c>
    </row>
    <row r="17409" spans="1:6" s="3" customFormat="1" ht="29.1" customHeight="1" x14ac:dyDescent="0.25">
      <c r="A17409" s="2" t="s">
        <v>34313</v>
      </c>
      <c r="B17409" s="2" t="s">
        <v>34314</v>
      </c>
      <c r="C17409" s="2" t="s">
        <v>31902</v>
      </c>
      <c r="D17409" s="2" t="s">
        <v>764</v>
      </c>
      <c r="E17409" s="2"/>
      <c r="F17409" s="2" t="str">
        <f>"9782868834768"</f>
        <v>9782868834768</v>
      </c>
    </row>
    <row r="17410" spans="1:6" s="3" customFormat="1" ht="29.1" customHeight="1" x14ac:dyDescent="0.25">
      <c r="A17410" s="2" t="s">
        <v>34315</v>
      </c>
      <c r="B17410" s="2" t="s">
        <v>34316</v>
      </c>
      <c r="C17410" s="2" t="s">
        <v>31902</v>
      </c>
      <c r="D17410" s="2" t="s">
        <v>12</v>
      </c>
      <c r="E17410" s="2"/>
      <c r="F17410" s="2" t="str">
        <f>"9782759817658"</f>
        <v>9782759817658</v>
      </c>
    </row>
    <row r="17411" spans="1:6" s="3" customFormat="1" ht="29.1" customHeight="1" x14ac:dyDescent="0.25">
      <c r="A17411" s="2" t="s">
        <v>34317</v>
      </c>
      <c r="B17411" s="2" t="s">
        <v>34296</v>
      </c>
      <c r="C17411" s="2" t="s">
        <v>31902</v>
      </c>
      <c r="D17411" s="2" t="s">
        <v>6</v>
      </c>
      <c r="E17411" s="2"/>
      <c r="F17411" s="2" t="str">
        <f>"9782759808861"</f>
        <v>9782759808861</v>
      </c>
    </row>
    <row r="17412" spans="1:6" s="3" customFormat="1" ht="29.1" customHeight="1" x14ac:dyDescent="0.25">
      <c r="A17412" s="2" t="s">
        <v>34318</v>
      </c>
      <c r="B17412" s="2" t="s">
        <v>34319</v>
      </c>
      <c r="C17412" s="2" t="s">
        <v>31902</v>
      </c>
      <c r="D17412" s="2" t="s">
        <v>850</v>
      </c>
      <c r="E17412" s="2"/>
      <c r="F17412" s="2" t="str">
        <f>"9782759819300"</f>
        <v>9782759819300</v>
      </c>
    </row>
    <row r="17413" spans="1:6" s="3" customFormat="1" ht="29.1" customHeight="1" x14ac:dyDescent="0.25">
      <c r="A17413" s="2" t="s">
        <v>34320</v>
      </c>
      <c r="B17413" s="2" t="s">
        <v>34321</v>
      </c>
      <c r="C17413" s="2" t="s">
        <v>31902</v>
      </c>
      <c r="D17413" s="2" t="s">
        <v>12641</v>
      </c>
      <c r="E17413" s="2"/>
      <c r="F17413" s="2" t="str">
        <f>"9782759824267"</f>
        <v>9782759824267</v>
      </c>
    </row>
    <row r="17414" spans="1:6" s="3" customFormat="1" ht="29.1" customHeight="1" x14ac:dyDescent="0.25">
      <c r="A17414" s="2" t="s">
        <v>34322</v>
      </c>
      <c r="B17414" s="2" t="s">
        <v>34310</v>
      </c>
      <c r="C17414" s="2" t="s">
        <v>31902</v>
      </c>
      <c r="D17414" s="2" t="s">
        <v>6</v>
      </c>
      <c r="E17414" s="2"/>
      <c r="F17414" s="2" t="str">
        <f>"9782759801510"</f>
        <v>9782759801510</v>
      </c>
    </row>
    <row r="17415" spans="1:6" s="3" customFormat="1" ht="29.1" customHeight="1" x14ac:dyDescent="0.25">
      <c r="A17415" s="2" t="s">
        <v>34323</v>
      </c>
      <c r="B17415" s="2" t="s">
        <v>34324</v>
      </c>
      <c r="C17415" s="2" t="s">
        <v>31902</v>
      </c>
      <c r="D17415" s="2" t="s">
        <v>12465</v>
      </c>
      <c r="E17415" s="2"/>
      <c r="F17415" s="2" t="str">
        <f>"9782759822638"</f>
        <v>9782759822638</v>
      </c>
    </row>
    <row r="17416" spans="1:6" s="3" customFormat="1" ht="29.1" customHeight="1" x14ac:dyDescent="0.25">
      <c r="A17416" s="2" t="s">
        <v>34325</v>
      </c>
      <c r="B17416" s="2" t="s">
        <v>34296</v>
      </c>
      <c r="C17416" s="2" t="s">
        <v>195</v>
      </c>
      <c r="D17416" s="2" t="s">
        <v>101</v>
      </c>
      <c r="E17416" s="2"/>
      <c r="F17416" s="2" t="str">
        <f>"9782868838957"</f>
        <v>9782868838957</v>
      </c>
    </row>
    <row r="17417" spans="1:6" s="3" customFormat="1" ht="29.1" customHeight="1" x14ac:dyDescent="0.25">
      <c r="A17417" s="2" t="s">
        <v>34326</v>
      </c>
      <c r="B17417" s="2" t="s">
        <v>34327</v>
      </c>
      <c r="C17417" s="2" t="s">
        <v>31902</v>
      </c>
      <c r="D17417" s="2" t="s">
        <v>850</v>
      </c>
      <c r="E17417" s="2"/>
      <c r="F17417" s="2" t="str">
        <f>"9782759820726"</f>
        <v>9782759820726</v>
      </c>
    </row>
    <row r="17418" spans="1:6" s="3" customFormat="1" ht="29.1" customHeight="1" x14ac:dyDescent="0.25">
      <c r="A17418" s="2" t="s">
        <v>34328</v>
      </c>
      <c r="B17418" s="2" t="s">
        <v>34296</v>
      </c>
      <c r="C17418" s="2" t="s">
        <v>31902</v>
      </c>
      <c r="D17418" s="2" t="s">
        <v>1932</v>
      </c>
      <c r="E17418" s="2"/>
      <c r="F17418" s="2" t="str">
        <f>"9782759808625"</f>
        <v>9782759808625</v>
      </c>
    </row>
    <row r="17419" spans="1:6" s="3" customFormat="1" ht="29.1" customHeight="1" x14ac:dyDescent="0.25">
      <c r="A17419" s="2" t="s">
        <v>34329</v>
      </c>
      <c r="B17419" s="2" t="s">
        <v>34330</v>
      </c>
      <c r="C17419" s="2" t="s">
        <v>31902</v>
      </c>
      <c r="D17419" s="2" t="s">
        <v>850</v>
      </c>
      <c r="E17419" s="2"/>
      <c r="F17419" s="2" t="str">
        <f>"9782759820740"</f>
        <v>9782759820740</v>
      </c>
    </row>
    <row r="17420" spans="1:6" s="3" customFormat="1" ht="29.1" customHeight="1" x14ac:dyDescent="0.25">
      <c r="A17420" s="2" t="s">
        <v>34331</v>
      </c>
      <c r="B17420" s="2" t="s">
        <v>34332</v>
      </c>
      <c r="C17420" s="2" t="s">
        <v>31902</v>
      </c>
      <c r="D17420" s="2" t="s">
        <v>1932</v>
      </c>
      <c r="E17420" s="2"/>
      <c r="F17420" s="2" t="str">
        <f>"9782868834676"</f>
        <v>9782868834676</v>
      </c>
    </row>
    <row r="17421" spans="1:6" s="3" customFormat="1" ht="29.1" customHeight="1" x14ac:dyDescent="0.25">
      <c r="A17421" s="2" t="s">
        <v>34333</v>
      </c>
      <c r="B17421" s="2" t="s">
        <v>34324</v>
      </c>
      <c r="C17421" s="2" t="s">
        <v>31902</v>
      </c>
      <c r="D17421" s="2" t="s">
        <v>12465</v>
      </c>
      <c r="E17421" s="2"/>
      <c r="F17421" s="2" t="str">
        <f>"9782759822621"</f>
        <v>9782759822621</v>
      </c>
    </row>
    <row r="17422" spans="1:6" s="3" customFormat="1" ht="29.1" customHeight="1" x14ac:dyDescent="0.25">
      <c r="A17422" s="2" t="s">
        <v>34334</v>
      </c>
      <c r="B17422" s="2" t="s">
        <v>34327</v>
      </c>
      <c r="C17422" s="2" t="s">
        <v>31902</v>
      </c>
      <c r="D17422" s="2" t="s">
        <v>850</v>
      </c>
      <c r="E17422" s="2"/>
      <c r="F17422" s="2" t="str">
        <f>"9782759819683"</f>
        <v>9782759819683</v>
      </c>
    </row>
    <row r="17423" spans="1:6" s="3" customFormat="1" ht="29.1" customHeight="1" x14ac:dyDescent="0.25">
      <c r="A17423" s="2" t="s">
        <v>34335</v>
      </c>
      <c r="B17423" s="2" t="s">
        <v>34310</v>
      </c>
      <c r="C17423" s="2" t="s">
        <v>31902</v>
      </c>
      <c r="D17423" s="2" t="s">
        <v>101</v>
      </c>
      <c r="E17423" s="2"/>
      <c r="F17423" s="2" t="str">
        <f>"9782759801527"</f>
        <v>9782759801527</v>
      </c>
    </row>
    <row r="17424" spans="1:6" s="3" customFormat="1" ht="29.1" customHeight="1" x14ac:dyDescent="0.25">
      <c r="A17424" s="2" t="s">
        <v>34336</v>
      </c>
      <c r="B17424" s="2" t="s">
        <v>34310</v>
      </c>
      <c r="C17424" s="2" t="s">
        <v>195</v>
      </c>
      <c r="D17424" s="2" t="s">
        <v>101</v>
      </c>
      <c r="E17424" s="2"/>
      <c r="F17424" s="2" t="str">
        <f>"9782759801541"</f>
        <v>9782759801541</v>
      </c>
    </row>
    <row r="17425" spans="1:6" s="3" customFormat="1" ht="29.1" customHeight="1" x14ac:dyDescent="0.25">
      <c r="A17425" s="2" t="s">
        <v>34337</v>
      </c>
      <c r="B17425" s="2" t="s">
        <v>34338</v>
      </c>
      <c r="C17425" s="2" t="s">
        <v>31902</v>
      </c>
      <c r="D17425" s="2" t="s">
        <v>12</v>
      </c>
      <c r="E17425" s="2"/>
      <c r="F17425" s="2" t="str">
        <f>"9782759821150"</f>
        <v>9782759821150</v>
      </c>
    </row>
    <row r="17426" spans="1:6" s="3" customFormat="1" ht="29.1" customHeight="1" x14ac:dyDescent="0.25">
      <c r="A17426" s="2" t="s">
        <v>34339</v>
      </c>
      <c r="B17426" s="2" t="s">
        <v>34310</v>
      </c>
      <c r="C17426" s="2" t="s">
        <v>195</v>
      </c>
      <c r="D17426" s="2" t="s">
        <v>764</v>
      </c>
      <c r="E17426" s="2"/>
      <c r="F17426" s="2" t="str">
        <f>"9782759801565"</f>
        <v>9782759801565</v>
      </c>
    </row>
    <row r="17427" spans="1:6" s="3" customFormat="1" ht="29.1" customHeight="1" x14ac:dyDescent="0.25">
      <c r="A17427" s="2" t="s">
        <v>34340</v>
      </c>
      <c r="B17427" s="2" t="s">
        <v>34341</v>
      </c>
      <c r="C17427" s="2" t="s">
        <v>31902</v>
      </c>
      <c r="D17427" s="2" t="s">
        <v>850</v>
      </c>
      <c r="E17427" s="2"/>
      <c r="F17427" s="2" t="str">
        <f>"9782759820917"</f>
        <v>9782759820917</v>
      </c>
    </row>
    <row r="17428" spans="1:6" s="3" customFormat="1" ht="29.1" customHeight="1" x14ac:dyDescent="0.25">
      <c r="A17428" s="2" t="s">
        <v>34342</v>
      </c>
      <c r="B17428" s="2" t="s">
        <v>34343</v>
      </c>
      <c r="C17428" s="2" t="s">
        <v>31902</v>
      </c>
      <c r="D17428" s="2" t="s">
        <v>12</v>
      </c>
      <c r="E17428" s="2"/>
      <c r="F17428" s="2" t="str">
        <f>"9782759811533"</f>
        <v>9782759811533</v>
      </c>
    </row>
    <row r="17429" spans="1:6" s="3" customFormat="1" ht="29.1" customHeight="1" x14ac:dyDescent="0.25">
      <c r="A17429" s="2" t="s">
        <v>34344</v>
      </c>
      <c r="B17429" s="2" t="s">
        <v>34345</v>
      </c>
      <c r="C17429" s="2" t="s">
        <v>31902</v>
      </c>
      <c r="D17429" s="2" t="s">
        <v>22070</v>
      </c>
      <c r="E17429" s="2"/>
      <c r="F17429" s="2" t="str">
        <f>"9782759819492"</f>
        <v>9782759819492</v>
      </c>
    </row>
    <row r="17430" spans="1:6" s="3" customFormat="1" ht="29.1" customHeight="1" x14ac:dyDescent="0.25">
      <c r="A17430" s="2" t="s">
        <v>34346</v>
      </c>
      <c r="B17430" s="2" t="s">
        <v>34347</v>
      </c>
      <c r="C17430" s="2" t="s">
        <v>746</v>
      </c>
      <c r="D17430" s="2" t="s">
        <v>606</v>
      </c>
      <c r="E17430" s="2" t="str">
        <f>"9781789695878"</f>
        <v>9781789695878</v>
      </c>
      <c r="F17430" s="2" t="str">
        <f>"9781789695885"</f>
        <v>9781789695885</v>
      </c>
    </row>
    <row r="17431" spans="1:6" s="3" customFormat="1" ht="29.1" customHeight="1" x14ac:dyDescent="0.25">
      <c r="A17431" s="2" t="s">
        <v>34348</v>
      </c>
      <c r="B17431" s="2" t="s">
        <v>34349</v>
      </c>
      <c r="C17431" s="2" t="s">
        <v>195</v>
      </c>
      <c r="D17431" s="2" t="s">
        <v>6678</v>
      </c>
      <c r="E17431" s="2" t="str">
        <f>"9783110758436"</f>
        <v>9783110758436</v>
      </c>
      <c r="F17431" s="2" t="str">
        <f>"9783110758603"</f>
        <v>9783110758603</v>
      </c>
    </row>
    <row r="17432" spans="1:6" s="3" customFormat="1" ht="29.1" customHeight="1" x14ac:dyDescent="0.25">
      <c r="A17432" s="2" t="s">
        <v>34350</v>
      </c>
      <c r="B17432" s="2" t="s">
        <v>34351</v>
      </c>
      <c r="C17432" s="2" t="s">
        <v>195</v>
      </c>
      <c r="D17432" s="2" t="s">
        <v>192</v>
      </c>
      <c r="E17432" s="2" t="str">
        <f>"9783110760972"</f>
        <v>9783110760972</v>
      </c>
      <c r="F17432" s="2" t="str">
        <f>"9783110761108"</f>
        <v>9783110761108</v>
      </c>
    </row>
    <row r="17433" spans="1:6" s="3" customFormat="1" ht="29.1" customHeight="1" x14ac:dyDescent="0.25">
      <c r="A17433" s="2" t="s">
        <v>34352</v>
      </c>
      <c r="B17433" s="2" t="s">
        <v>34353</v>
      </c>
      <c r="C17433" s="2" t="s">
        <v>195</v>
      </c>
      <c r="D17433" s="2" t="s">
        <v>465</v>
      </c>
      <c r="E17433" s="2" t="str">
        <f>"9783110692679"</f>
        <v>9783110692679</v>
      </c>
      <c r="F17433" s="2" t="str">
        <f>"9783110725339"</f>
        <v>9783110725339</v>
      </c>
    </row>
    <row r="17434" spans="1:6" s="3" customFormat="1" ht="29.1" customHeight="1" x14ac:dyDescent="0.25">
      <c r="A17434" s="2" t="s">
        <v>34354</v>
      </c>
      <c r="B17434" s="2" t="s">
        <v>34355</v>
      </c>
      <c r="C17434" s="2" t="s">
        <v>195</v>
      </c>
      <c r="D17434" s="2" t="s">
        <v>8388</v>
      </c>
      <c r="E17434" s="2" t="str">
        <f>"9783110748376"</f>
        <v>9783110748376</v>
      </c>
      <c r="F17434" s="2" t="str">
        <f>"9783110748383"</f>
        <v>9783110748383</v>
      </c>
    </row>
    <row r="17435" spans="1:6" s="3" customFormat="1" ht="29.1" customHeight="1" x14ac:dyDescent="0.25">
      <c r="A17435" s="2" t="s">
        <v>34356</v>
      </c>
      <c r="B17435" s="2" t="s">
        <v>34357</v>
      </c>
      <c r="C17435" s="2" t="s">
        <v>195</v>
      </c>
      <c r="D17435" s="2" t="s">
        <v>7608</v>
      </c>
      <c r="E17435" s="2" t="str">
        <f>"9783110742749"</f>
        <v>9783110742749</v>
      </c>
      <c r="F17435" s="2" t="str">
        <f>"9783110742787"</f>
        <v>9783110742787</v>
      </c>
    </row>
    <row r="17436" spans="1:6" s="3" customFormat="1" ht="29.1" customHeight="1" x14ac:dyDescent="0.25">
      <c r="A17436" s="2" t="s">
        <v>34358</v>
      </c>
      <c r="B17436" s="2" t="s">
        <v>34359</v>
      </c>
      <c r="C17436" s="2" t="s">
        <v>195</v>
      </c>
      <c r="D17436" s="2" t="s">
        <v>7460</v>
      </c>
      <c r="E17436" s="2" t="str">
        <f>"9783110760125"</f>
        <v>9783110760125</v>
      </c>
      <c r="F17436" s="2" t="str">
        <f>"9783110760200"</f>
        <v>9783110760200</v>
      </c>
    </row>
    <row r="17437" spans="1:6" s="3" customFormat="1" ht="29.1" customHeight="1" x14ac:dyDescent="0.25">
      <c r="A17437" s="2" t="s">
        <v>34360</v>
      </c>
      <c r="B17437" s="2" t="s">
        <v>34361</v>
      </c>
      <c r="C17437" s="2" t="s">
        <v>195</v>
      </c>
      <c r="D17437" s="2" t="s">
        <v>2713</v>
      </c>
      <c r="E17437" s="2" t="str">
        <f>"9783110737295"</f>
        <v>9783110737295</v>
      </c>
      <c r="F17437" s="2" t="str">
        <f>"9783110732221"</f>
        <v>9783110732221</v>
      </c>
    </row>
    <row r="17438" spans="1:6" s="3" customFormat="1" ht="29.1" customHeight="1" x14ac:dyDescent="0.25">
      <c r="A17438" s="2" t="s">
        <v>34362</v>
      </c>
      <c r="B17438" s="2" t="s">
        <v>31555</v>
      </c>
      <c r="C17438" s="2" t="s">
        <v>195</v>
      </c>
      <c r="D17438" s="2" t="s">
        <v>441</v>
      </c>
      <c r="E17438" s="2" t="str">
        <f>"9783110738353"</f>
        <v>9783110738353</v>
      </c>
      <c r="F17438" s="2" t="str">
        <f>"9783110733549"</f>
        <v>9783110733549</v>
      </c>
    </row>
    <row r="17439" spans="1:6" s="3" customFormat="1" ht="29.1" customHeight="1" x14ac:dyDescent="0.25">
      <c r="A17439" s="2" t="s">
        <v>34363</v>
      </c>
      <c r="B17439" s="2" t="s">
        <v>34364</v>
      </c>
      <c r="C17439" s="2" t="s">
        <v>195</v>
      </c>
      <c r="D17439" s="2" t="s">
        <v>297</v>
      </c>
      <c r="E17439" s="2" t="str">
        <f>"9783110713572"</f>
        <v>9783110713572</v>
      </c>
      <c r="F17439" s="2" t="str">
        <f>"9783110713626"</f>
        <v>9783110713626</v>
      </c>
    </row>
    <row r="17440" spans="1:6" s="3" customFormat="1" ht="29.1" customHeight="1" x14ac:dyDescent="0.25">
      <c r="A17440" s="2" t="s">
        <v>34365</v>
      </c>
      <c r="B17440" s="2" t="s">
        <v>34366</v>
      </c>
      <c r="C17440" s="2" t="s">
        <v>195</v>
      </c>
      <c r="D17440" s="2" t="s">
        <v>446</v>
      </c>
      <c r="E17440" s="2" t="str">
        <f>"9783110738735"</f>
        <v>9783110738735</v>
      </c>
      <c r="F17440" s="2" t="str">
        <f>"9783110734362"</f>
        <v>9783110734362</v>
      </c>
    </row>
    <row r="17441" spans="1:6" s="3" customFormat="1" ht="29.1" customHeight="1" x14ac:dyDescent="0.25">
      <c r="A17441" s="2" t="s">
        <v>34367</v>
      </c>
      <c r="B17441" s="2" t="s">
        <v>34368</v>
      </c>
      <c r="C17441" s="2" t="s">
        <v>195</v>
      </c>
      <c r="D17441" s="2" t="s">
        <v>1565</v>
      </c>
      <c r="E17441" s="2" t="str">
        <f>"9783422986404"</f>
        <v>9783422986404</v>
      </c>
      <c r="F17441" s="2" t="str">
        <f>"9783422986480"</f>
        <v>9783422986480</v>
      </c>
    </row>
    <row r="17442" spans="1:6" s="3" customFormat="1" ht="29.1" customHeight="1" x14ac:dyDescent="0.25">
      <c r="A17442" s="2" t="s">
        <v>34369</v>
      </c>
      <c r="B17442" s="2" t="s">
        <v>34370</v>
      </c>
      <c r="C17442" s="2" t="s">
        <v>195</v>
      </c>
      <c r="D17442" s="2" t="s">
        <v>132</v>
      </c>
      <c r="E17442" s="2" t="str">
        <f>"9783110629583"</f>
        <v>9783110629583</v>
      </c>
      <c r="F17442" s="2" t="str">
        <f>"9783110629675"</f>
        <v>9783110629675</v>
      </c>
    </row>
    <row r="17443" spans="1:6" s="3" customFormat="1" ht="29.1" customHeight="1" x14ac:dyDescent="0.25">
      <c r="A17443" s="2" t="s">
        <v>34371</v>
      </c>
      <c r="B17443" s="2" t="s">
        <v>34372</v>
      </c>
      <c r="C17443" s="2" t="s">
        <v>195</v>
      </c>
      <c r="D17443" s="2" t="s">
        <v>509</v>
      </c>
      <c r="E17443" s="2" t="str">
        <f>"9783110675672"</f>
        <v>9783110675672</v>
      </c>
      <c r="F17443" s="2" t="str">
        <f>"9783110675788"</f>
        <v>9783110675788</v>
      </c>
    </row>
    <row r="17444" spans="1:6" s="3" customFormat="1" ht="29.1" customHeight="1" x14ac:dyDescent="0.25">
      <c r="A17444" s="2" t="s">
        <v>34373</v>
      </c>
      <c r="B17444" s="2" t="s">
        <v>34374</v>
      </c>
      <c r="C17444" s="2" t="s">
        <v>195</v>
      </c>
      <c r="D17444" s="2" t="s">
        <v>118</v>
      </c>
      <c r="E17444" s="2" t="str">
        <f>"9783110682977"</f>
        <v>9783110682977</v>
      </c>
      <c r="F17444" s="2" t="str">
        <f>"9783110683042"</f>
        <v>9783110683042</v>
      </c>
    </row>
    <row r="17445" spans="1:6" s="3" customFormat="1" ht="29.1" customHeight="1" x14ac:dyDescent="0.25">
      <c r="A17445" s="2" t="s">
        <v>34375</v>
      </c>
      <c r="B17445" s="2" t="s">
        <v>34376</v>
      </c>
      <c r="C17445" s="2" t="s">
        <v>195</v>
      </c>
      <c r="D17445" s="2" t="s">
        <v>402</v>
      </c>
      <c r="E17445" s="2" t="str">
        <f>"9783110683769"</f>
        <v>9783110683769</v>
      </c>
      <c r="F17445" s="2" t="str">
        <f>"9783110683868"</f>
        <v>9783110683868</v>
      </c>
    </row>
    <row r="17446" spans="1:6" s="3" customFormat="1" ht="29.1" customHeight="1" x14ac:dyDescent="0.25">
      <c r="A17446" s="2" t="s">
        <v>34377</v>
      </c>
      <c r="B17446" s="2" t="s">
        <v>34378</v>
      </c>
      <c r="C17446" s="2" t="s">
        <v>34257</v>
      </c>
      <c r="D17446" s="2" t="s">
        <v>1043</v>
      </c>
      <c r="E17446" s="2" t="str">
        <f>"9780745342863"</f>
        <v>9780745342863</v>
      </c>
      <c r="F17446" s="2" t="str">
        <f>"9780745342900"</f>
        <v>9780745342900</v>
      </c>
    </row>
    <row r="17447" spans="1:6" s="3" customFormat="1" ht="29.1" customHeight="1" x14ac:dyDescent="0.25">
      <c r="A17447" s="2" t="s">
        <v>34379</v>
      </c>
      <c r="B17447" s="2" t="s">
        <v>34380</v>
      </c>
      <c r="C17447" s="2" t="s">
        <v>248</v>
      </c>
      <c r="D17447" s="2" t="s">
        <v>490</v>
      </c>
      <c r="E17447" s="2" t="str">
        <f>"9783847424215"</f>
        <v>9783847424215</v>
      </c>
      <c r="F17447" s="2" t="str">
        <f>"9783847415565"</f>
        <v>9783847415565</v>
      </c>
    </row>
    <row r="17448" spans="1:6" s="3" customFormat="1" ht="29.1" customHeight="1" x14ac:dyDescent="0.25">
      <c r="A17448" s="2" t="s">
        <v>34381</v>
      </c>
      <c r="B17448" s="2" t="s">
        <v>34382</v>
      </c>
      <c r="C17448" s="2" t="s">
        <v>248</v>
      </c>
      <c r="D17448" s="2" t="s">
        <v>249</v>
      </c>
      <c r="E17448" s="2" t="str">
        <f>"9783847423546"</f>
        <v>9783847423546</v>
      </c>
      <c r="F17448" s="2" t="str">
        <f>"9783847417491"</f>
        <v>9783847417491</v>
      </c>
    </row>
    <row r="17449" spans="1:6" s="3" customFormat="1" ht="29.1" customHeight="1" x14ac:dyDescent="0.25">
      <c r="A17449" s="2" t="s">
        <v>34383</v>
      </c>
      <c r="B17449" s="2" t="s">
        <v>34384</v>
      </c>
      <c r="C17449" s="2" t="s">
        <v>248</v>
      </c>
      <c r="D17449" s="2" t="s">
        <v>249</v>
      </c>
      <c r="E17449" s="2" t="str">
        <f>"9783847425397"</f>
        <v>9783847425397</v>
      </c>
      <c r="F17449" s="2" t="str">
        <f>"9783847417095"</f>
        <v>9783847417095</v>
      </c>
    </row>
    <row r="17450" spans="1:6" s="3" customFormat="1" ht="29.1" customHeight="1" x14ac:dyDescent="0.25">
      <c r="A17450" s="2" t="s">
        <v>34385</v>
      </c>
      <c r="B17450" s="2" t="s">
        <v>34386</v>
      </c>
      <c r="C17450" s="2" t="s">
        <v>131</v>
      </c>
      <c r="D17450" s="2" t="s">
        <v>1245</v>
      </c>
      <c r="E17450" s="2" t="str">
        <f>"9789027210135"</f>
        <v>9789027210135</v>
      </c>
      <c r="F17450" s="2" t="str">
        <f>"9789027258281"</f>
        <v>9789027258281</v>
      </c>
    </row>
    <row r="17451" spans="1:6" s="3" customFormat="1" ht="29.1" customHeight="1" x14ac:dyDescent="0.25">
      <c r="A17451" s="2" t="s">
        <v>34387</v>
      </c>
      <c r="B17451" s="2" t="s">
        <v>34388</v>
      </c>
      <c r="C17451" s="2" t="s">
        <v>124</v>
      </c>
      <c r="D17451" s="2" t="s">
        <v>5686</v>
      </c>
      <c r="E17451" s="2" t="str">
        <f>"9789463726047"</f>
        <v>9789463726047</v>
      </c>
      <c r="F17451" s="2" t="str">
        <f>"9781040780701"</f>
        <v>9781040780701</v>
      </c>
    </row>
    <row r="17452" spans="1:6" s="3" customFormat="1" ht="29.1" customHeight="1" x14ac:dyDescent="0.25">
      <c r="A17452" s="2" t="s">
        <v>34389</v>
      </c>
      <c r="B17452" s="2" t="s">
        <v>34390</v>
      </c>
      <c r="C17452" s="2" t="s">
        <v>15181</v>
      </c>
      <c r="D17452" s="2" t="s">
        <v>7436</v>
      </c>
      <c r="E17452" s="2" t="str">
        <f>"9789633864111"</f>
        <v>9789633864111</v>
      </c>
      <c r="F17452" s="2" t="str">
        <f>"9789633864128"</f>
        <v>9789633864128</v>
      </c>
    </row>
    <row r="17453" spans="1:6" s="3" customFormat="1" ht="29.1" customHeight="1" x14ac:dyDescent="0.25">
      <c r="A17453" s="2" t="s">
        <v>34391</v>
      </c>
      <c r="B17453" s="2" t="s">
        <v>34392</v>
      </c>
      <c r="C17453" s="2" t="s">
        <v>556</v>
      </c>
      <c r="D17453" s="2" t="s">
        <v>712</v>
      </c>
      <c r="E17453" s="2" t="str">
        <f>"9783837659054"</f>
        <v>9783837659054</v>
      </c>
      <c r="F17453" s="2" t="str">
        <f>"9783839459058"</f>
        <v>9783839459058</v>
      </c>
    </row>
    <row r="17454" spans="1:6" s="3" customFormat="1" ht="29.1" customHeight="1" x14ac:dyDescent="0.25">
      <c r="A17454" s="2" t="s">
        <v>34393</v>
      </c>
      <c r="B17454" s="2" t="s">
        <v>34394</v>
      </c>
      <c r="C17454" s="2" t="s">
        <v>556</v>
      </c>
      <c r="D17454" s="2" t="s">
        <v>1141</v>
      </c>
      <c r="E17454" s="2" t="str">
        <f>"9783837656572"</f>
        <v>9783837656572</v>
      </c>
      <c r="F17454" s="2" t="str">
        <f>"9783732856572"</f>
        <v>9783732856572</v>
      </c>
    </row>
    <row r="17455" spans="1:6" s="3" customFormat="1" ht="29.1" customHeight="1" x14ac:dyDescent="0.25">
      <c r="A17455" s="2" t="s">
        <v>34395</v>
      </c>
      <c r="B17455" s="2" t="s">
        <v>34396</v>
      </c>
      <c r="C17455" s="2" t="s">
        <v>556</v>
      </c>
      <c r="D17455" s="2" t="s">
        <v>4030</v>
      </c>
      <c r="E17455" s="2" t="str">
        <f>"9783899429213"</f>
        <v>9783899429213</v>
      </c>
      <c r="F17455" s="2" t="str">
        <f>"9783839409213"</f>
        <v>9783839409213</v>
      </c>
    </row>
    <row r="17456" spans="1:6" s="3" customFormat="1" ht="29.1" customHeight="1" x14ac:dyDescent="0.25">
      <c r="A17456" s="2" t="s">
        <v>34397</v>
      </c>
      <c r="B17456" s="2" t="s">
        <v>34398</v>
      </c>
      <c r="C17456" s="2" t="s">
        <v>556</v>
      </c>
      <c r="D17456" s="2" t="s">
        <v>712</v>
      </c>
      <c r="E17456" s="2" t="str">
        <f>"9783837660661"</f>
        <v>9783837660661</v>
      </c>
      <c r="F17456" s="2" t="str">
        <f>"9783839460665"</f>
        <v>9783839460665</v>
      </c>
    </row>
    <row r="17457" spans="1:6" s="3" customFormat="1" ht="29.1" customHeight="1" x14ac:dyDescent="0.25">
      <c r="A17457" s="2" t="s">
        <v>34399</v>
      </c>
      <c r="B17457" s="2" t="s">
        <v>23794</v>
      </c>
      <c r="C17457" s="2" t="s">
        <v>556</v>
      </c>
      <c r="D17457" s="2" t="s">
        <v>1046</v>
      </c>
      <c r="E17457" s="2" t="str">
        <f>"9783837660463"</f>
        <v>9783837660463</v>
      </c>
      <c r="F17457" s="2" t="str">
        <f>"9783839460467"</f>
        <v>9783839460467</v>
      </c>
    </row>
    <row r="17458" spans="1:6" s="3" customFormat="1" ht="29.1" customHeight="1" x14ac:dyDescent="0.25">
      <c r="A17458" s="2" t="s">
        <v>34400</v>
      </c>
      <c r="B17458" s="2" t="s">
        <v>34401</v>
      </c>
      <c r="C17458" s="2" t="s">
        <v>556</v>
      </c>
      <c r="D17458" s="2" t="s">
        <v>3224</v>
      </c>
      <c r="E17458" s="2" t="str">
        <f>"9783837660456"</f>
        <v>9783837660456</v>
      </c>
      <c r="F17458" s="2" t="str">
        <f>"9783839460450"</f>
        <v>9783839460450</v>
      </c>
    </row>
    <row r="17459" spans="1:6" s="3" customFormat="1" ht="29.1" customHeight="1" x14ac:dyDescent="0.25">
      <c r="A17459" s="2" t="s">
        <v>34402</v>
      </c>
      <c r="B17459" s="2" t="s">
        <v>34403</v>
      </c>
      <c r="C17459" s="2" t="s">
        <v>556</v>
      </c>
      <c r="D17459" s="2" t="s">
        <v>674</v>
      </c>
      <c r="E17459" s="2" t="str">
        <f>"9783837660418"</f>
        <v>9783837660418</v>
      </c>
      <c r="F17459" s="2" t="str">
        <f>"9783839460412"</f>
        <v>9783839460412</v>
      </c>
    </row>
    <row r="17460" spans="1:6" s="3" customFormat="1" ht="29.1" customHeight="1" x14ac:dyDescent="0.25">
      <c r="A17460" s="2" t="s">
        <v>34404</v>
      </c>
      <c r="B17460" s="2" t="s">
        <v>34405</v>
      </c>
      <c r="C17460" s="2" t="s">
        <v>556</v>
      </c>
      <c r="D17460" s="2" t="s">
        <v>2147</v>
      </c>
      <c r="E17460" s="2" t="str">
        <f>"9783837660326"</f>
        <v>9783837660326</v>
      </c>
      <c r="F17460" s="2" t="str">
        <f>"9783839460320"</f>
        <v>9783839460320</v>
      </c>
    </row>
    <row r="17461" spans="1:6" s="3" customFormat="1" ht="29.1" customHeight="1" x14ac:dyDescent="0.25">
      <c r="A17461" s="2" t="s">
        <v>34406</v>
      </c>
      <c r="B17461" s="2" t="s">
        <v>34407</v>
      </c>
      <c r="C17461" s="2" t="s">
        <v>556</v>
      </c>
      <c r="D17461" s="2" t="s">
        <v>3214</v>
      </c>
      <c r="E17461" s="2" t="str">
        <f>"9783837660081"</f>
        <v>9783837660081</v>
      </c>
      <c r="F17461" s="2" t="str">
        <f>"9783839460085"</f>
        <v>9783839460085</v>
      </c>
    </row>
    <row r="17462" spans="1:6" s="3" customFormat="1" ht="29.1" customHeight="1" x14ac:dyDescent="0.25">
      <c r="A17462" s="2" t="s">
        <v>34408</v>
      </c>
      <c r="B17462" s="2" t="s">
        <v>34409</v>
      </c>
      <c r="C17462" s="2" t="s">
        <v>556</v>
      </c>
      <c r="D17462" s="2" t="s">
        <v>3993</v>
      </c>
      <c r="E17462" s="2" t="str">
        <f>"9783837660043"</f>
        <v>9783837660043</v>
      </c>
      <c r="F17462" s="2" t="str">
        <f>"9783839460047"</f>
        <v>9783839460047</v>
      </c>
    </row>
    <row r="17463" spans="1:6" s="3" customFormat="1" ht="29.1" customHeight="1" x14ac:dyDescent="0.25">
      <c r="A17463" s="2" t="s">
        <v>34410</v>
      </c>
      <c r="B17463" s="2" t="s">
        <v>34411</v>
      </c>
      <c r="C17463" s="2" t="s">
        <v>556</v>
      </c>
      <c r="D17463" s="2" t="s">
        <v>712</v>
      </c>
      <c r="E17463" s="2" t="str">
        <f>"9783837659788"</f>
        <v>9783837659788</v>
      </c>
      <c r="F17463" s="2" t="str">
        <f>"9783732859788"</f>
        <v>9783732859788</v>
      </c>
    </row>
    <row r="17464" spans="1:6" s="3" customFormat="1" ht="29.1" customHeight="1" x14ac:dyDescent="0.25">
      <c r="A17464" s="2" t="s">
        <v>34412</v>
      </c>
      <c r="B17464" s="2" t="s">
        <v>34413</v>
      </c>
      <c r="C17464" s="2" t="s">
        <v>556</v>
      </c>
      <c r="D17464" s="2" t="s">
        <v>647</v>
      </c>
      <c r="E17464" s="2" t="str">
        <f>"9783837659672"</f>
        <v>9783837659672</v>
      </c>
      <c r="F17464" s="2" t="str">
        <f>"9783839459676"</f>
        <v>9783839459676</v>
      </c>
    </row>
    <row r="17465" spans="1:6" s="3" customFormat="1" ht="29.1" customHeight="1" x14ac:dyDescent="0.25">
      <c r="A17465" s="2" t="s">
        <v>34414</v>
      </c>
      <c r="B17465" s="2" t="s">
        <v>34415</v>
      </c>
      <c r="C17465" s="2" t="s">
        <v>556</v>
      </c>
      <c r="D17465" s="2" t="s">
        <v>712</v>
      </c>
      <c r="E17465" s="2" t="str">
        <f>"9783837659597"</f>
        <v>9783837659597</v>
      </c>
      <c r="F17465" s="2" t="str">
        <f>"9783732859597"</f>
        <v>9783732859597</v>
      </c>
    </row>
    <row r="17466" spans="1:6" s="3" customFormat="1" ht="29.1" customHeight="1" x14ac:dyDescent="0.25">
      <c r="A17466" s="2" t="s">
        <v>34416</v>
      </c>
      <c r="B17466" s="2" t="s">
        <v>34417</v>
      </c>
      <c r="C17466" s="2" t="s">
        <v>556</v>
      </c>
      <c r="D17466" s="2" t="s">
        <v>11200</v>
      </c>
      <c r="E17466" s="2" t="str">
        <f>"9783837659535"</f>
        <v>9783837659535</v>
      </c>
      <c r="F17466" s="2" t="str">
        <f>"9783839459539"</f>
        <v>9783839459539</v>
      </c>
    </row>
    <row r="17467" spans="1:6" s="3" customFormat="1" ht="29.1" customHeight="1" x14ac:dyDescent="0.25">
      <c r="A17467" s="2" t="s">
        <v>34418</v>
      </c>
      <c r="B17467" s="2" t="s">
        <v>34419</v>
      </c>
      <c r="C17467" s="2" t="s">
        <v>556</v>
      </c>
      <c r="D17467" s="2" t="s">
        <v>868</v>
      </c>
      <c r="E17467" s="2" t="str">
        <f>"9783837658675"</f>
        <v>9783837658675</v>
      </c>
      <c r="F17467" s="2" t="str">
        <f>"9783839458679"</f>
        <v>9783839458679</v>
      </c>
    </row>
    <row r="17468" spans="1:6" s="3" customFormat="1" ht="29.1" customHeight="1" x14ac:dyDescent="0.25">
      <c r="A17468" s="2" t="s">
        <v>34420</v>
      </c>
      <c r="B17468" s="2" t="s">
        <v>34421</v>
      </c>
      <c r="C17468" s="2" t="s">
        <v>556</v>
      </c>
      <c r="D17468" s="2" t="s">
        <v>490</v>
      </c>
      <c r="E17468" s="2" t="str">
        <f>"9783837658408"</f>
        <v>9783837658408</v>
      </c>
      <c r="F17468" s="2" t="str">
        <f>"9783839458402"</f>
        <v>9783839458402</v>
      </c>
    </row>
    <row r="17469" spans="1:6" s="3" customFormat="1" ht="29.1" customHeight="1" x14ac:dyDescent="0.25">
      <c r="A17469" s="2" t="s">
        <v>34422</v>
      </c>
      <c r="B17469" s="2" t="s">
        <v>34423</v>
      </c>
      <c r="C17469" s="2" t="s">
        <v>556</v>
      </c>
      <c r="D17469" s="2" t="s">
        <v>3536</v>
      </c>
      <c r="E17469" s="2" t="str">
        <f>"9783837657982"</f>
        <v>9783837657982</v>
      </c>
      <c r="F17469" s="2" t="str">
        <f>"9783839457986"</f>
        <v>9783839457986</v>
      </c>
    </row>
    <row r="17470" spans="1:6" s="3" customFormat="1" ht="29.1" customHeight="1" x14ac:dyDescent="0.25">
      <c r="A17470" s="2" t="s">
        <v>34424</v>
      </c>
      <c r="B17470" s="2" t="s">
        <v>34425</v>
      </c>
      <c r="C17470" s="2" t="s">
        <v>556</v>
      </c>
      <c r="D17470" s="2" t="s">
        <v>712</v>
      </c>
      <c r="E17470" s="2" t="str">
        <f>"9783837657968"</f>
        <v>9783837657968</v>
      </c>
      <c r="F17470" s="2" t="str">
        <f>"9783839457962"</f>
        <v>9783839457962</v>
      </c>
    </row>
    <row r="17471" spans="1:6" s="3" customFormat="1" ht="29.1" customHeight="1" x14ac:dyDescent="0.25">
      <c r="A17471" s="2" t="s">
        <v>34426</v>
      </c>
      <c r="B17471" s="2" t="s">
        <v>34427</v>
      </c>
      <c r="C17471" s="2" t="s">
        <v>556</v>
      </c>
      <c r="D17471" s="2" t="s">
        <v>4133</v>
      </c>
      <c r="E17471" s="2" t="str">
        <f>"9783837657937"</f>
        <v>9783837657937</v>
      </c>
      <c r="F17471" s="2" t="str">
        <f>"9783732857937"</f>
        <v>9783732857937</v>
      </c>
    </row>
    <row r="17472" spans="1:6" s="3" customFormat="1" ht="29.1" customHeight="1" x14ac:dyDescent="0.25">
      <c r="A17472" s="2" t="s">
        <v>34428</v>
      </c>
      <c r="B17472" s="2" t="s">
        <v>34429</v>
      </c>
      <c r="C17472" s="2" t="s">
        <v>556</v>
      </c>
      <c r="D17472" s="2" t="s">
        <v>1013</v>
      </c>
      <c r="E17472" s="2" t="str">
        <f>"9783837657890"</f>
        <v>9783837657890</v>
      </c>
      <c r="F17472" s="2" t="str">
        <f>"9783839457894"</f>
        <v>9783839457894</v>
      </c>
    </row>
    <row r="17473" spans="1:6" s="3" customFormat="1" ht="29.1" customHeight="1" x14ac:dyDescent="0.25">
      <c r="A17473" s="2" t="s">
        <v>34430</v>
      </c>
      <c r="B17473" s="2" t="s">
        <v>34431</v>
      </c>
      <c r="C17473" s="2" t="s">
        <v>556</v>
      </c>
      <c r="D17473" s="2" t="s">
        <v>7280</v>
      </c>
      <c r="E17473" s="2" t="str">
        <f>"9783837657609"</f>
        <v>9783837657609</v>
      </c>
      <c r="F17473" s="2" t="str">
        <f>"9783839457603"</f>
        <v>9783839457603</v>
      </c>
    </row>
    <row r="17474" spans="1:6" s="3" customFormat="1" ht="29.1" customHeight="1" x14ac:dyDescent="0.25">
      <c r="A17474" s="2" t="s">
        <v>34432</v>
      </c>
      <c r="B17474" s="2" t="s">
        <v>12330</v>
      </c>
      <c r="C17474" s="2" t="s">
        <v>556</v>
      </c>
      <c r="D17474" s="2" t="s">
        <v>183</v>
      </c>
      <c r="E17474" s="2" t="str">
        <f>"9783837657333"</f>
        <v>9783837657333</v>
      </c>
      <c r="F17474" s="2" t="str">
        <f>"9783839457337"</f>
        <v>9783839457337</v>
      </c>
    </row>
    <row r="17475" spans="1:6" s="3" customFormat="1" ht="29.1" customHeight="1" x14ac:dyDescent="0.25">
      <c r="A17475" s="2" t="s">
        <v>34433</v>
      </c>
      <c r="B17475" s="2" t="s">
        <v>34434</v>
      </c>
      <c r="C17475" s="2" t="s">
        <v>556</v>
      </c>
      <c r="D17475" s="2" t="s">
        <v>1183</v>
      </c>
      <c r="E17475" s="2" t="str">
        <f>"9783837657180"</f>
        <v>9783837657180</v>
      </c>
      <c r="F17475" s="2" t="str">
        <f>"9783839457184"</f>
        <v>9783839457184</v>
      </c>
    </row>
    <row r="17476" spans="1:6" s="3" customFormat="1" ht="29.1" customHeight="1" x14ac:dyDescent="0.25">
      <c r="A17476" s="2" t="s">
        <v>34435</v>
      </c>
      <c r="B17476" s="2" t="s">
        <v>34436</v>
      </c>
      <c r="C17476" s="2" t="s">
        <v>556</v>
      </c>
      <c r="D17476" s="2" t="s">
        <v>712</v>
      </c>
      <c r="E17476" s="2" t="str">
        <f>"9783837656794"</f>
        <v>9783837656794</v>
      </c>
      <c r="F17476" s="2" t="str">
        <f>"9783839456798"</f>
        <v>9783839456798</v>
      </c>
    </row>
    <row r="17477" spans="1:6" s="3" customFormat="1" ht="29.1" customHeight="1" x14ac:dyDescent="0.25">
      <c r="A17477" s="2" t="s">
        <v>34437</v>
      </c>
      <c r="B17477" s="2" t="s">
        <v>34438</v>
      </c>
      <c r="C17477" s="2" t="s">
        <v>556</v>
      </c>
      <c r="D17477" s="2" t="s">
        <v>1162</v>
      </c>
      <c r="E17477" s="2" t="str">
        <f>"9783837656633"</f>
        <v>9783837656633</v>
      </c>
      <c r="F17477" s="2" t="str">
        <f>"9783732856633"</f>
        <v>9783732856633</v>
      </c>
    </row>
    <row r="17478" spans="1:6" s="3" customFormat="1" ht="29.1" customHeight="1" x14ac:dyDescent="0.25">
      <c r="A17478" s="2" t="s">
        <v>34439</v>
      </c>
      <c r="B17478" s="2" t="s">
        <v>34440</v>
      </c>
      <c r="C17478" s="2" t="s">
        <v>556</v>
      </c>
      <c r="D17478" s="2" t="s">
        <v>855</v>
      </c>
      <c r="E17478" s="2" t="str">
        <f>"9783837655773"</f>
        <v>9783837655773</v>
      </c>
      <c r="F17478" s="2" t="str">
        <f>"9783839455777"</f>
        <v>9783839455777</v>
      </c>
    </row>
    <row r="17479" spans="1:6" s="3" customFormat="1" ht="29.1" customHeight="1" x14ac:dyDescent="0.25">
      <c r="A17479" s="2" t="s">
        <v>34441</v>
      </c>
      <c r="B17479" s="2" t="s">
        <v>34442</v>
      </c>
      <c r="C17479" s="2" t="s">
        <v>556</v>
      </c>
      <c r="D17479" s="2" t="s">
        <v>7000</v>
      </c>
      <c r="E17479" s="2" t="str">
        <f>"9783837655728"</f>
        <v>9783837655728</v>
      </c>
      <c r="F17479" s="2" t="str">
        <f>"9783732855728"</f>
        <v>9783732855728</v>
      </c>
    </row>
    <row r="17480" spans="1:6" s="3" customFormat="1" ht="29.1" customHeight="1" x14ac:dyDescent="0.25">
      <c r="A17480" s="2" t="s">
        <v>34443</v>
      </c>
      <c r="B17480" s="2" t="s">
        <v>34444</v>
      </c>
      <c r="C17480" s="2" t="s">
        <v>556</v>
      </c>
      <c r="D17480" s="2" t="s">
        <v>27598</v>
      </c>
      <c r="E17480" s="2" t="str">
        <f>"9783837655087"</f>
        <v>9783837655087</v>
      </c>
      <c r="F17480" s="2" t="str">
        <f>"9783839455081"</f>
        <v>9783839455081</v>
      </c>
    </row>
    <row r="17481" spans="1:6" s="3" customFormat="1" ht="29.1" customHeight="1" x14ac:dyDescent="0.25">
      <c r="A17481" s="2" t="s">
        <v>34445</v>
      </c>
      <c r="B17481" s="2" t="s">
        <v>34446</v>
      </c>
      <c r="C17481" s="2" t="s">
        <v>556</v>
      </c>
      <c r="D17481" s="2" t="s">
        <v>1466</v>
      </c>
      <c r="E17481" s="2" t="str">
        <f>"9783837654233"</f>
        <v>9783837654233</v>
      </c>
      <c r="F17481" s="2" t="str">
        <f>"9783839454237"</f>
        <v>9783839454237</v>
      </c>
    </row>
    <row r="17482" spans="1:6" s="3" customFormat="1" ht="29.1" customHeight="1" x14ac:dyDescent="0.25">
      <c r="A17482" s="2" t="s">
        <v>34447</v>
      </c>
      <c r="B17482" s="2" t="s">
        <v>34448</v>
      </c>
      <c r="C17482" s="2" t="s">
        <v>556</v>
      </c>
      <c r="D17482" s="2" t="s">
        <v>712</v>
      </c>
      <c r="E17482" s="2" t="str">
        <f>"9783837654219"</f>
        <v>9783837654219</v>
      </c>
      <c r="F17482" s="2" t="str">
        <f>"9783732854219"</f>
        <v>9783732854219</v>
      </c>
    </row>
    <row r="17483" spans="1:6" s="3" customFormat="1" ht="29.1" customHeight="1" x14ac:dyDescent="0.25">
      <c r="A17483" s="2" t="s">
        <v>34449</v>
      </c>
      <c r="B17483" s="2" t="s">
        <v>34450</v>
      </c>
      <c r="C17483" s="2" t="s">
        <v>556</v>
      </c>
      <c r="D17483" s="2" t="s">
        <v>215</v>
      </c>
      <c r="E17483" s="2" t="str">
        <f>"9783837653137"</f>
        <v>9783837653137</v>
      </c>
      <c r="F17483" s="2" t="str">
        <f>"9783839453131"</f>
        <v>9783839453131</v>
      </c>
    </row>
    <row r="17484" spans="1:6" s="3" customFormat="1" ht="29.1" customHeight="1" x14ac:dyDescent="0.25">
      <c r="A17484" s="2" t="s">
        <v>34451</v>
      </c>
      <c r="B17484" s="2" t="s">
        <v>34452</v>
      </c>
      <c r="C17484" s="2" t="s">
        <v>556</v>
      </c>
      <c r="D17484" s="2" t="s">
        <v>1262</v>
      </c>
      <c r="E17484" s="2" t="str">
        <f>"9783837652765"</f>
        <v>9783837652765</v>
      </c>
      <c r="F17484" s="2" t="str">
        <f>"9783839452769"</f>
        <v>9783839452769</v>
      </c>
    </row>
    <row r="17485" spans="1:6" s="3" customFormat="1" ht="29.1" customHeight="1" x14ac:dyDescent="0.25">
      <c r="A17485" s="2" t="s">
        <v>34453</v>
      </c>
      <c r="B17485" s="2" t="s">
        <v>34454</v>
      </c>
      <c r="C17485" s="2" t="s">
        <v>556</v>
      </c>
      <c r="D17485" s="2" t="s">
        <v>446</v>
      </c>
      <c r="E17485" s="2" t="str">
        <f>"9783837651003"</f>
        <v>9783837651003</v>
      </c>
      <c r="F17485" s="2" t="str">
        <f>"9783839451007"</f>
        <v>9783839451007</v>
      </c>
    </row>
    <row r="17486" spans="1:6" s="3" customFormat="1" ht="29.1" customHeight="1" x14ac:dyDescent="0.25">
      <c r="A17486" s="2" t="s">
        <v>34455</v>
      </c>
      <c r="B17486" s="2" t="s">
        <v>34456</v>
      </c>
      <c r="C17486" s="2" t="s">
        <v>556</v>
      </c>
      <c r="D17486" s="2" t="s">
        <v>1988</v>
      </c>
      <c r="E17486" s="2" t="str">
        <f>"9783837648447"</f>
        <v>9783837648447</v>
      </c>
      <c r="F17486" s="2" t="str">
        <f>"9783839448441"</f>
        <v>9783839448441</v>
      </c>
    </row>
    <row r="17487" spans="1:6" s="3" customFormat="1" ht="29.1" customHeight="1" x14ac:dyDescent="0.25">
      <c r="A17487" s="2" t="s">
        <v>34457</v>
      </c>
      <c r="B17487" s="2" t="s">
        <v>34458</v>
      </c>
      <c r="C17487" s="2" t="s">
        <v>556</v>
      </c>
      <c r="D17487" s="2" t="s">
        <v>528</v>
      </c>
      <c r="E17487" s="2" t="str">
        <f>"9783837643114"</f>
        <v>9783837643114</v>
      </c>
      <c r="F17487" s="2" t="str">
        <f>"9783732843114"</f>
        <v>9783732843114</v>
      </c>
    </row>
    <row r="17488" spans="1:6" s="3" customFormat="1" ht="29.1" customHeight="1" x14ac:dyDescent="0.25">
      <c r="A17488" s="2" t="s">
        <v>34459</v>
      </c>
      <c r="B17488" s="2" t="s">
        <v>34461</v>
      </c>
      <c r="C17488" s="2" t="s">
        <v>2133</v>
      </c>
      <c r="D17488" s="2" t="s">
        <v>34460</v>
      </c>
      <c r="E17488" s="2" t="str">
        <f>"9781760462420"</f>
        <v>9781760462420</v>
      </c>
      <c r="F17488" s="2" t="str">
        <f>"9781760462437"</f>
        <v>9781760462437</v>
      </c>
    </row>
    <row r="17489" spans="1:6" s="3" customFormat="1" ht="29.1" customHeight="1" x14ac:dyDescent="0.25">
      <c r="A17489" s="2" t="s">
        <v>34462</v>
      </c>
      <c r="B17489" s="2" t="s">
        <v>34463</v>
      </c>
      <c r="C17489" s="2" t="s">
        <v>2133</v>
      </c>
      <c r="D17489" s="2" t="s">
        <v>606</v>
      </c>
      <c r="E17489" s="2" t="str">
        <f>"9781760462581"</f>
        <v>9781760462581</v>
      </c>
      <c r="F17489" s="2" t="str">
        <f>"9781760462598"</f>
        <v>9781760462598</v>
      </c>
    </row>
    <row r="17490" spans="1:6" s="3" customFormat="1" ht="29.1" customHeight="1" x14ac:dyDescent="0.25">
      <c r="A17490" s="2" t="s">
        <v>34464</v>
      </c>
      <c r="B17490" s="2" t="s">
        <v>34466</v>
      </c>
      <c r="C17490" s="2" t="s">
        <v>2133</v>
      </c>
      <c r="D17490" s="2" t="s">
        <v>34465</v>
      </c>
      <c r="E17490" s="2" t="str">
        <f>"9781760462703"</f>
        <v>9781760462703</v>
      </c>
      <c r="F17490" s="2" t="str">
        <f>"9781760462710"</f>
        <v>9781760462710</v>
      </c>
    </row>
    <row r="17491" spans="1:6" s="3" customFormat="1" ht="29.1" customHeight="1" x14ac:dyDescent="0.25">
      <c r="A17491" s="2" t="s">
        <v>34467</v>
      </c>
      <c r="B17491" s="2" t="s">
        <v>34468</v>
      </c>
      <c r="C17491" s="2" t="s">
        <v>2133</v>
      </c>
      <c r="D17491" s="2" t="s">
        <v>297</v>
      </c>
      <c r="E17491" s="2" t="str">
        <f>"9781760462642"</f>
        <v>9781760462642</v>
      </c>
      <c r="F17491" s="2" t="str">
        <f>"9781760462659"</f>
        <v>9781760462659</v>
      </c>
    </row>
    <row r="17492" spans="1:6" s="3" customFormat="1" ht="29.1" customHeight="1" x14ac:dyDescent="0.25">
      <c r="A17492" s="2" t="s">
        <v>34469</v>
      </c>
      <c r="B17492" s="2" t="s">
        <v>34470</v>
      </c>
      <c r="C17492" s="2" t="s">
        <v>2133</v>
      </c>
      <c r="D17492" s="2" t="s">
        <v>95</v>
      </c>
      <c r="E17492" s="2" t="str">
        <f>"9781760462925"</f>
        <v>9781760462925</v>
      </c>
      <c r="F17492" s="2" t="str">
        <f>"9781760462932"</f>
        <v>9781760462932</v>
      </c>
    </row>
    <row r="17493" spans="1:6" s="3" customFormat="1" ht="29.1" customHeight="1" x14ac:dyDescent="0.25">
      <c r="A17493" s="2" t="s">
        <v>34471</v>
      </c>
      <c r="B17493" s="2" t="s">
        <v>34472</v>
      </c>
      <c r="C17493" s="2" t="s">
        <v>2133</v>
      </c>
      <c r="D17493" s="2" t="s">
        <v>4059</v>
      </c>
      <c r="E17493" s="2" t="str">
        <f>"9781760462680"</f>
        <v>9781760462680</v>
      </c>
      <c r="F17493" s="2" t="str">
        <f>"9781760462697"</f>
        <v>9781760462697</v>
      </c>
    </row>
    <row r="17494" spans="1:6" s="3" customFormat="1" ht="29.1" customHeight="1" x14ac:dyDescent="0.25">
      <c r="A17494" s="2" t="s">
        <v>34473</v>
      </c>
      <c r="B17494" s="2" t="s">
        <v>33521</v>
      </c>
      <c r="C17494" s="2" t="s">
        <v>2133</v>
      </c>
      <c r="D17494" s="2" t="s">
        <v>34474</v>
      </c>
      <c r="E17494" s="2" t="str">
        <f>"9781760462741"</f>
        <v>9781760462741</v>
      </c>
      <c r="F17494" s="2" t="str">
        <f>"9781760462758"</f>
        <v>9781760462758</v>
      </c>
    </row>
    <row r="17495" spans="1:6" s="3" customFormat="1" ht="29.1" customHeight="1" x14ac:dyDescent="0.25">
      <c r="A17495" s="2" t="s">
        <v>34475</v>
      </c>
      <c r="B17495" s="2" t="s">
        <v>34476</v>
      </c>
      <c r="C17495" s="2" t="s">
        <v>2133</v>
      </c>
      <c r="D17495" s="2" t="s">
        <v>294</v>
      </c>
      <c r="E17495" s="2" t="str">
        <f>"9781760462789"</f>
        <v>9781760462789</v>
      </c>
      <c r="F17495" s="2" t="str">
        <f>"9781760462796"</f>
        <v>9781760462796</v>
      </c>
    </row>
    <row r="17496" spans="1:6" s="3" customFormat="1" ht="29.1" customHeight="1" x14ac:dyDescent="0.25">
      <c r="A17496" s="2" t="s">
        <v>34477</v>
      </c>
      <c r="B17496" s="2" t="s">
        <v>34478</v>
      </c>
      <c r="C17496" s="2" t="s">
        <v>2133</v>
      </c>
      <c r="D17496" s="2" t="s">
        <v>606</v>
      </c>
      <c r="E17496" s="2" t="str">
        <f>"9781760462901"</f>
        <v>9781760462901</v>
      </c>
      <c r="F17496" s="2" t="str">
        <f>"9781760462918"</f>
        <v>9781760462918</v>
      </c>
    </row>
    <row r="17497" spans="1:6" s="3" customFormat="1" ht="29.1" customHeight="1" x14ac:dyDescent="0.25">
      <c r="A17497" s="2" t="s">
        <v>34479</v>
      </c>
      <c r="B17497" s="2" t="s">
        <v>34480</v>
      </c>
      <c r="C17497" s="2" t="s">
        <v>2133</v>
      </c>
      <c r="D17497" s="2" t="s">
        <v>4059</v>
      </c>
      <c r="E17497" s="2" t="str">
        <f>"9781760464684"</f>
        <v>9781760464684</v>
      </c>
      <c r="F17497" s="2" t="str">
        <f>"9781760464691"</f>
        <v>9781760464691</v>
      </c>
    </row>
    <row r="17498" spans="1:6" s="3" customFormat="1" ht="29.1" customHeight="1" x14ac:dyDescent="0.25">
      <c r="A17498" s="2" t="s">
        <v>34481</v>
      </c>
      <c r="B17498" s="2" t="s">
        <v>34482</v>
      </c>
      <c r="C17498" s="2" t="s">
        <v>2133</v>
      </c>
      <c r="D17498" s="2" t="s">
        <v>2019</v>
      </c>
      <c r="E17498" s="2" t="str">
        <f>"9781760463120"</f>
        <v>9781760463120</v>
      </c>
      <c r="F17498" s="2" t="str">
        <f>"9781760463137"</f>
        <v>9781760463137</v>
      </c>
    </row>
    <row r="17499" spans="1:6" s="3" customFormat="1" ht="29.1" customHeight="1" x14ac:dyDescent="0.25">
      <c r="A17499" s="2" t="s">
        <v>34483</v>
      </c>
      <c r="B17499" s="2" t="s">
        <v>34484</v>
      </c>
      <c r="C17499" s="2" t="s">
        <v>2133</v>
      </c>
      <c r="D17499" s="2" t="s">
        <v>92</v>
      </c>
      <c r="E17499" s="2" t="str">
        <f>"9781760462765"</f>
        <v>9781760462765</v>
      </c>
      <c r="F17499" s="2" t="str">
        <f>"9781760462772"</f>
        <v>9781760462772</v>
      </c>
    </row>
    <row r="17500" spans="1:6" s="3" customFormat="1" ht="29.1" customHeight="1" x14ac:dyDescent="0.25">
      <c r="A17500" s="2" t="s">
        <v>34485</v>
      </c>
      <c r="B17500" s="2" t="s">
        <v>34486</v>
      </c>
      <c r="C17500" s="2" t="s">
        <v>2133</v>
      </c>
      <c r="D17500" s="2" t="s">
        <v>9</v>
      </c>
      <c r="E17500" s="2" t="str">
        <f>"9781760463007"</f>
        <v>9781760463007</v>
      </c>
      <c r="F17500" s="2" t="str">
        <f>"9781760463014"</f>
        <v>9781760463014</v>
      </c>
    </row>
    <row r="17501" spans="1:6" s="3" customFormat="1" ht="29.1" customHeight="1" x14ac:dyDescent="0.25">
      <c r="A17501" s="2" t="s">
        <v>34487</v>
      </c>
      <c r="B17501" s="2" t="s">
        <v>34488</v>
      </c>
      <c r="C17501" s="2" t="s">
        <v>2133</v>
      </c>
      <c r="D17501" s="2" t="s">
        <v>25962</v>
      </c>
      <c r="E17501" s="2" t="str">
        <f>"9781760462949"</f>
        <v>9781760462949</v>
      </c>
      <c r="F17501" s="2" t="str">
        <f>"9781760462956"</f>
        <v>9781760462956</v>
      </c>
    </row>
    <row r="17502" spans="1:6" s="3" customFormat="1" ht="29.1" customHeight="1" x14ac:dyDescent="0.25">
      <c r="A17502" s="2" t="s">
        <v>34489</v>
      </c>
      <c r="B17502" s="2" t="s">
        <v>34490</v>
      </c>
      <c r="C17502" s="2" t="s">
        <v>2133</v>
      </c>
      <c r="D17502" s="2" t="s">
        <v>4670</v>
      </c>
      <c r="E17502" s="2" t="str">
        <f>"9781760464745"</f>
        <v>9781760464745</v>
      </c>
      <c r="F17502" s="2" t="str">
        <f>"9781760464752"</f>
        <v>9781760464752</v>
      </c>
    </row>
    <row r="17503" spans="1:6" s="3" customFormat="1" ht="29.1" customHeight="1" x14ac:dyDescent="0.25">
      <c r="A17503" s="2" t="s">
        <v>34491</v>
      </c>
      <c r="B17503" s="2" t="s">
        <v>29503</v>
      </c>
      <c r="C17503" s="2" t="s">
        <v>29</v>
      </c>
      <c r="D17503" s="2" t="s">
        <v>402</v>
      </c>
      <c r="E17503" s="2" t="str">
        <f>"9780391041486"</f>
        <v>9780391041486</v>
      </c>
      <c r="F17503" s="2" t="str">
        <f>"9789004496460"</f>
        <v>9789004496460</v>
      </c>
    </row>
    <row r="17504" spans="1:6" s="3" customFormat="1" ht="29.1" customHeight="1" x14ac:dyDescent="0.25">
      <c r="A17504" s="2" t="s">
        <v>34492</v>
      </c>
      <c r="B17504" s="2" t="s">
        <v>34493</v>
      </c>
      <c r="C17504" s="2" t="s">
        <v>62</v>
      </c>
      <c r="D17504" s="2" t="s">
        <v>125</v>
      </c>
      <c r="E17504" s="2" t="str">
        <f>"9783428183746"</f>
        <v>9783428183746</v>
      </c>
      <c r="F17504" s="2" t="str">
        <f>"9783428583744"</f>
        <v>9783428583744</v>
      </c>
    </row>
    <row r="17505" spans="1:6" s="3" customFormat="1" ht="29.1" customHeight="1" x14ac:dyDescent="0.25">
      <c r="A17505" s="2" t="s">
        <v>34494</v>
      </c>
      <c r="B17505" s="2" t="s">
        <v>34495</v>
      </c>
      <c r="C17505" s="2" t="s">
        <v>195</v>
      </c>
      <c r="D17505" s="2" t="s">
        <v>1402</v>
      </c>
      <c r="E17505" s="2" t="str">
        <f>"9783110751338"</f>
        <v>9783110751338</v>
      </c>
      <c r="F17505" s="2" t="str">
        <f>"9783110751451"</f>
        <v>9783110751451</v>
      </c>
    </row>
    <row r="17506" spans="1:6" s="3" customFormat="1" ht="29.1" customHeight="1" x14ac:dyDescent="0.25">
      <c r="A17506" s="2" t="s">
        <v>34496</v>
      </c>
      <c r="B17506" s="2" t="s">
        <v>34497</v>
      </c>
      <c r="C17506" s="2" t="s">
        <v>195</v>
      </c>
      <c r="D17506" s="2" t="s">
        <v>1630</v>
      </c>
      <c r="E17506" s="2" t="str">
        <f>"9783110736649"</f>
        <v>9783110736649</v>
      </c>
      <c r="F17506" s="2" t="str">
        <f>"9783110731378"</f>
        <v>9783110731378</v>
      </c>
    </row>
    <row r="17507" spans="1:6" s="3" customFormat="1" ht="29.1" customHeight="1" x14ac:dyDescent="0.25">
      <c r="A17507" s="2" t="s">
        <v>34498</v>
      </c>
      <c r="B17507" s="2" t="s">
        <v>34499</v>
      </c>
      <c r="C17507" s="2" t="s">
        <v>195</v>
      </c>
      <c r="D17507" s="2" t="s">
        <v>29734</v>
      </c>
      <c r="E17507" s="2" t="str">
        <f>"9783110753509"</f>
        <v>9783110753509</v>
      </c>
      <c r="F17507" s="2" t="str">
        <f>"9783110753707"</f>
        <v>9783110753707</v>
      </c>
    </row>
    <row r="17508" spans="1:6" s="3" customFormat="1" ht="29.1" customHeight="1" x14ac:dyDescent="0.25">
      <c r="A17508" s="2" t="s">
        <v>34500</v>
      </c>
      <c r="B17508" s="2" t="s">
        <v>34501</v>
      </c>
      <c r="C17508" s="2" t="s">
        <v>195</v>
      </c>
      <c r="D17508" s="2" t="s">
        <v>4678</v>
      </c>
      <c r="E17508" s="2" t="str">
        <f>"9783110750539"</f>
        <v>9783110750539</v>
      </c>
      <c r="F17508" s="2" t="str">
        <f>"9783110750560"</f>
        <v>9783110750560</v>
      </c>
    </row>
    <row r="17509" spans="1:6" s="3" customFormat="1" ht="29.1" customHeight="1" x14ac:dyDescent="0.25">
      <c r="A17509" s="2" t="s">
        <v>34502</v>
      </c>
      <c r="B17509" s="2" t="s">
        <v>8365</v>
      </c>
      <c r="C17509" s="2" t="s">
        <v>195</v>
      </c>
      <c r="D17509" s="2" t="s">
        <v>2332</v>
      </c>
      <c r="E17509" s="2" t="str">
        <f>"9783110673432"</f>
        <v>9783110673432</v>
      </c>
      <c r="F17509" s="2" t="str">
        <f>"9783110757408"</f>
        <v>9783110757408</v>
      </c>
    </row>
    <row r="17510" spans="1:6" s="3" customFormat="1" ht="29.1" customHeight="1" x14ac:dyDescent="0.25">
      <c r="A17510" s="2" t="s">
        <v>34503</v>
      </c>
      <c r="B17510" s="2" t="s">
        <v>34504</v>
      </c>
      <c r="C17510" s="2" t="s">
        <v>195</v>
      </c>
      <c r="D17510" s="2" t="s">
        <v>33</v>
      </c>
      <c r="E17510" s="2" t="str">
        <f>"9783110479577"</f>
        <v>9783110479577</v>
      </c>
      <c r="F17510" s="2" t="str">
        <f>"9783110481112"</f>
        <v>9783110481112</v>
      </c>
    </row>
    <row r="17511" spans="1:6" s="3" customFormat="1" ht="29.1" customHeight="1" x14ac:dyDescent="0.25">
      <c r="A17511" s="2" t="s">
        <v>34505</v>
      </c>
      <c r="B17511" s="2" t="s">
        <v>34506</v>
      </c>
      <c r="C17511" s="2" t="s">
        <v>124</v>
      </c>
      <c r="D17511" s="2" t="s">
        <v>29820</v>
      </c>
      <c r="E17511" s="2" t="str">
        <f>"9781041188834"</f>
        <v>9781041188834</v>
      </c>
      <c r="F17511" s="2" t="str">
        <f>"9781040782682"</f>
        <v>9781040782682</v>
      </c>
    </row>
    <row r="17512" spans="1:6" s="3" customFormat="1" ht="29.1" customHeight="1" x14ac:dyDescent="0.25">
      <c r="A17512" s="2" t="s">
        <v>34507</v>
      </c>
      <c r="B17512" s="2" t="s">
        <v>34508</v>
      </c>
      <c r="C17512" s="2" t="s">
        <v>124</v>
      </c>
      <c r="D17512" s="2" t="s">
        <v>1198</v>
      </c>
      <c r="E17512" s="2" t="str">
        <f>"9781041181897"</f>
        <v>9781041181897</v>
      </c>
      <c r="F17512" s="2" t="str">
        <f>"9781040777596"</f>
        <v>9781040777596</v>
      </c>
    </row>
    <row r="17513" spans="1:6" s="3" customFormat="1" ht="29.1" customHeight="1" x14ac:dyDescent="0.25">
      <c r="A17513" s="2" t="s">
        <v>34509</v>
      </c>
      <c r="B17513" s="2" t="s">
        <v>34510</v>
      </c>
      <c r="C17513" s="2" t="s">
        <v>55</v>
      </c>
      <c r="D17513" s="2" t="s">
        <v>916</v>
      </c>
      <c r="E17513" s="2" t="str">
        <f>"9781526151087"</f>
        <v>9781526151087</v>
      </c>
      <c r="F17513" s="2" t="str">
        <f>"9781526151070"</f>
        <v>9781526151070</v>
      </c>
    </row>
    <row r="17514" spans="1:6" s="3" customFormat="1" ht="29.1" customHeight="1" x14ac:dyDescent="0.25">
      <c r="A17514" s="2" t="s">
        <v>34511</v>
      </c>
      <c r="B17514" s="2" t="s">
        <v>19106</v>
      </c>
      <c r="C17514" s="2" t="s">
        <v>29</v>
      </c>
      <c r="D17514" s="2" t="s">
        <v>501</v>
      </c>
      <c r="E17514" s="2" t="str">
        <f>"9789004498907"</f>
        <v>9789004498907</v>
      </c>
      <c r="F17514" s="2" t="str">
        <f>"9789004498914"</f>
        <v>9789004498914</v>
      </c>
    </row>
    <row r="17515" spans="1:6" s="3" customFormat="1" ht="29.1" customHeight="1" x14ac:dyDescent="0.25">
      <c r="A17515" s="2" t="s">
        <v>16258</v>
      </c>
      <c r="B17515" s="2" t="s">
        <v>34512</v>
      </c>
      <c r="C17515" s="2" t="s">
        <v>29</v>
      </c>
      <c r="D17515" s="2" t="s">
        <v>509</v>
      </c>
      <c r="E17515" s="2" t="str">
        <f>"9784930921062"</f>
        <v>9784930921062</v>
      </c>
      <c r="F17515" s="2" t="str">
        <f>"9789004473591"</f>
        <v>9789004473591</v>
      </c>
    </row>
    <row r="17516" spans="1:6" s="3" customFormat="1" ht="29.1" customHeight="1" x14ac:dyDescent="0.25">
      <c r="A17516" s="2" t="s">
        <v>34513</v>
      </c>
      <c r="B17516" s="2" t="s">
        <v>34514</v>
      </c>
      <c r="C17516" s="2" t="s">
        <v>29</v>
      </c>
      <c r="D17516" s="2" t="s">
        <v>4155</v>
      </c>
      <c r="E17516" s="2" t="str">
        <f>"9789004439016"</f>
        <v>9789004439016</v>
      </c>
      <c r="F17516" s="2" t="str">
        <f>"9789004461222"</f>
        <v>9789004461222</v>
      </c>
    </row>
    <row r="17517" spans="1:6" s="3" customFormat="1" ht="29.1" customHeight="1" x14ac:dyDescent="0.25">
      <c r="A17517" s="2" t="s">
        <v>34515</v>
      </c>
      <c r="B17517" s="2" t="s">
        <v>30886</v>
      </c>
      <c r="C17517" s="2" t="s">
        <v>264</v>
      </c>
      <c r="D17517" s="2" t="s">
        <v>44</v>
      </c>
      <c r="E17517" s="2" t="str">
        <f>"9781032050973"</f>
        <v>9781032050973</v>
      </c>
      <c r="F17517" s="2" t="str">
        <f>"9781000473230"</f>
        <v>9781000473230</v>
      </c>
    </row>
    <row r="17518" spans="1:6" s="3" customFormat="1" ht="29.1" customHeight="1" x14ac:dyDescent="0.25">
      <c r="A17518" s="2" t="s">
        <v>34516</v>
      </c>
      <c r="B17518" s="2" t="s">
        <v>34517</v>
      </c>
      <c r="C17518" s="2" t="s">
        <v>264</v>
      </c>
      <c r="D17518" s="2" t="s">
        <v>5915</v>
      </c>
      <c r="E17518" s="2" t="str">
        <f>"9780367755089"</f>
        <v>9780367755089</v>
      </c>
      <c r="F17518" s="2" t="str">
        <f>"9781000431148"</f>
        <v>9781000431148</v>
      </c>
    </row>
    <row r="17519" spans="1:6" s="3" customFormat="1" ht="29.1" customHeight="1" x14ac:dyDescent="0.25">
      <c r="A17519" s="2" t="s">
        <v>34518</v>
      </c>
      <c r="B17519" s="2"/>
      <c r="C17519" s="2" t="s">
        <v>149</v>
      </c>
      <c r="D17519" s="2" t="s">
        <v>18302</v>
      </c>
      <c r="E17519" s="2"/>
      <c r="F17519" s="2" t="str">
        <f>"9781800640344"</f>
        <v>9781800640344</v>
      </c>
    </row>
    <row r="17520" spans="1:6" s="3" customFormat="1" ht="29.1" customHeight="1" x14ac:dyDescent="0.25">
      <c r="A17520" s="2" t="s">
        <v>34519</v>
      </c>
      <c r="B17520" s="2" t="s">
        <v>34520</v>
      </c>
      <c r="C17520" s="2" t="s">
        <v>149</v>
      </c>
      <c r="D17520" s="2" t="s">
        <v>2237</v>
      </c>
      <c r="E17520" s="2" t="str">
        <f>"9781783748631"</f>
        <v>9781783748631</v>
      </c>
      <c r="F17520" s="2" t="str">
        <f>"9781783748655"</f>
        <v>9781783748655</v>
      </c>
    </row>
    <row r="17521" spans="1:6" s="3" customFormat="1" ht="29.1" customHeight="1" x14ac:dyDescent="0.25">
      <c r="A17521" s="2" t="s">
        <v>34521</v>
      </c>
      <c r="B17521" s="2" t="s">
        <v>34522</v>
      </c>
      <c r="C17521" s="2" t="s">
        <v>149</v>
      </c>
      <c r="D17521" s="2" t="s">
        <v>6</v>
      </c>
      <c r="E17521" s="2"/>
      <c r="F17521" s="2" t="str">
        <f>"9781800642621"</f>
        <v>9781800642621</v>
      </c>
    </row>
    <row r="17522" spans="1:6" s="3" customFormat="1" ht="29.1" customHeight="1" x14ac:dyDescent="0.25">
      <c r="A17522" s="2" t="s">
        <v>34523</v>
      </c>
      <c r="B17522" s="2" t="s">
        <v>34524</v>
      </c>
      <c r="C17522" s="2" t="s">
        <v>149</v>
      </c>
      <c r="D17522" s="2" t="s">
        <v>11048</v>
      </c>
      <c r="E17522" s="2"/>
      <c r="F17522" s="2" t="str">
        <f>"9781800642201"</f>
        <v>9781800642201</v>
      </c>
    </row>
    <row r="17523" spans="1:6" s="3" customFormat="1" ht="29.1" customHeight="1" x14ac:dyDescent="0.25">
      <c r="A17523" s="2" t="s">
        <v>34525</v>
      </c>
      <c r="B17523" s="2" t="s">
        <v>34526</v>
      </c>
      <c r="C17523" s="2" t="s">
        <v>149</v>
      </c>
      <c r="D17523" s="2" t="s">
        <v>18194</v>
      </c>
      <c r="E17523" s="2"/>
      <c r="F17523" s="2" t="str">
        <f>"9781800641969"</f>
        <v>9781800641969</v>
      </c>
    </row>
    <row r="17524" spans="1:6" s="3" customFormat="1" ht="29.1" customHeight="1" x14ac:dyDescent="0.25">
      <c r="A17524" s="2" t="s">
        <v>34527</v>
      </c>
      <c r="B17524" s="2" t="s">
        <v>34528</v>
      </c>
      <c r="C17524" s="2" t="s">
        <v>149</v>
      </c>
      <c r="D17524" s="2" t="s">
        <v>1141</v>
      </c>
      <c r="E17524" s="2"/>
      <c r="F17524" s="2" t="str">
        <f>"9781800640672"</f>
        <v>9781800640672</v>
      </c>
    </row>
    <row r="17525" spans="1:6" s="3" customFormat="1" ht="29.1" customHeight="1" x14ac:dyDescent="0.25">
      <c r="A17525" s="2" t="s">
        <v>1317</v>
      </c>
      <c r="B17525" s="2" t="s">
        <v>34529</v>
      </c>
      <c r="C17525" s="2" t="s">
        <v>1070</v>
      </c>
      <c r="D17525" s="2" t="s">
        <v>1310</v>
      </c>
      <c r="E17525" s="2" t="str">
        <f>"9783318070231"</f>
        <v>9783318070231</v>
      </c>
      <c r="F17525" s="2" t="str">
        <f>"9783318069723"</f>
        <v>9783318069723</v>
      </c>
    </row>
    <row r="17526" spans="1:6" s="3" customFormat="1" ht="29.1" customHeight="1" x14ac:dyDescent="0.25">
      <c r="A17526" s="2" t="s">
        <v>34530</v>
      </c>
      <c r="B17526" s="2" t="s">
        <v>34532</v>
      </c>
      <c r="C17526" s="2" t="s">
        <v>2133</v>
      </c>
      <c r="D17526" s="2" t="s">
        <v>34531</v>
      </c>
      <c r="E17526" s="2"/>
      <c r="F17526" s="2" t="str">
        <f>"9781760463175"</f>
        <v>9781760463175</v>
      </c>
    </row>
    <row r="17527" spans="1:6" s="3" customFormat="1" ht="29.1" customHeight="1" x14ac:dyDescent="0.25">
      <c r="A17527" s="2" t="s">
        <v>34533</v>
      </c>
      <c r="B17527" s="2" t="s">
        <v>34534</v>
      </c>
      <c r="C17527" s="2" t="s">
        <v>124</v>
      </c>
      <c r="D17527" s="2" t="s">
        <v>297</v>
      </c>
      <c r="E17527" s="2" t="str">
        <f>"9781138606456"</f>
        <v>9781138606456</v>
      </c>
      <c r="F17527" s="2" t="str">
        <f>"9780429467646"</f>
        <v>9780429467646</v>
      </c>
    </row>
    <row r="17528" spans="1:6" s="3" customFormat="1" ht="29.1" customHeight="1" x14ac:dyDescent="0.25">
      <c r="A17528" s="2" t="s">
        <v>34535</v>
      </c>
      <c r="B17528" s="2" t="s">
        <v>34536</v>
      </c>
      <c r="C17528" s="2" t="s">
        <v>124</v>
      </c>
      <c r="D17528" s="2" t="s">
        <v>8788</v>
      </c>
      <c r="E17528" s="2" t="str">
        <f>"9780367243203"</f>
        <v>9780367243203</v>
      </c>
      <c r="F17528" s="2" t="str">
        <f>"9780429281709"</f>
        <v>9780429281709</v>
      </c>
    </row>
    <row r="17529" spans="1:6" s="3" customFormat="1" ht="29.1" customHeight="1" x14ac:dyDescent="0.25">
      <c r="A17529" s="2" t="s">
        <v>34537</v>
      </c>
      <c r="B17529" s="2" t="s">
        <v>34538</v>
      </c>
      <c r="C17529" s="2" t="s">
        <v>264</v>
      </c>
      <c r="D17529" s="2" t="s">
        <v>3653</v>
      </c>
      <c r="E17529" s="2" t="str">
        <f>"9788770226646"</f>
        <v>9788770226646</v>
      </c>
      <c r="F17529" s="2" t="str">
        <f>"9788770226639"</f>
        <v>9788770226639</v>
      </c>
    </row>
    <row r="17530" spans="1:6" s="3" customFormat="1" ht="29.1" customHeight="1" x14ac:dyDescent="0.25">
      <c r="A17530" s="2" t="s">
        <v>34539</v>
      </c>
      <c r="B17530" s="2" t="s">
        <v>34540</v>
      </c>
      <c r="C17530" s="2" t="s">
        <v>149</v>
      </c>
      <c r="D17530" s="2" t="s">
        <v>30364</v>
      </c>
      <c r="E17530" s="2"/>
      <c r="F17530" s="2" t="str">
        <f>"9781783744633"</f>
        <v>9781783744633</v>
      </c>
    </row>
    <row r="17531" spans="1:6" s="3" customFormat="1" ht="29.1" customHeight="1" x14ac:dyDescent="0.25">
      <c r="A17531" s="2" t="s">
        <v>34541</v>
      </c>
      <c r="B17531" s="2" t="s">
        <v>34542</v>
      </c>
      <c r="C17531" s="2" t="s">
        <v>149</v>
      </c>
      <c r="D17531" s="2" t="s">
        <v>8553</v>
      </c>
      <c r="E17531" s="2"/>
      <c r="F17531" s="2" t="str">
        <f>"9781800641488"</f>
        <v>9781800641488</v>
      </c>
    </row>
    <row r="17532" spans="1:6" s="3" customFormat="1" ht="29.1" customHeight="1" x14ac:dyDescent="0.25">
      <c r="A17532" s="2" t="s">
        <v>34543</v>
      </c>
      <c r="B17532" s="2" t="s">
        <v>7362</v>
      </c>
      <c r="C17532" s="2" t="s">
        <v>149</v>
      </c>
      <c r="D17532" s="2" t="s">
        <v>34544</v>
      </c>
      <c r="E17532" s="2"/>
      <c r="F17532" s="2" t="str">
        <f>"9781800642560"</f>
        <v>9781800642560</v>
      </c>
    </row>
    <row r="17533" spans="1:6" s="3" customFormat="1" ht="29.1" customHeight="1" x14ac:dyDescent="0.25">
      <c r="A17533" s="2" t="s">
        <v>34545</v>
      </c>
      <c r="B17533" s="2" t="s">
        <v>34546</v>
      </c>
      <c r="C17533" s="2" t="s">
        <v>149</v>
      </c>
      <c r="D17533" s="2" t="s">
        <v>18302</v>
      </c>
      <c r="E17533" s="2"/>
      <c r="F17533" s="2" t="str">
        <f>"9781783749430"</f>
        <v>9781783749430</v>
      </c>
    </row>
    <row r="17534" spans="1:6" s="3" customFormat="1" ht="29.1" customHeight="1" x14ac:dyDescent="0.25">
      <c r="A17534" s="2" t="s">
        <v>34547</v>
      </c>
      <c r="B17534" s="2" t="s">
        <v>34548</v>
      </c>
      <c r="C17534" s="2" t="s">
        <v>131</v>
      </c>
      <c r="D17534" s="2" t="s">
        <v>459</v>
      </c>
      <c r="E17534" s="2" t="str">
        <f>"9789027209900"</f>
        <v>9789027209900</v>
      </c>
      <c r="F17534" s="2" t="str">
        <f>"9789027258489"</f>
        <v>9789027258489</v>
      </c>
    </row>
    <row r="17535" spans="1:6" s="3" customFormat="1" ht="29.1" customHeight="1" x14ac:dyDescent="0.25">
      <c r="A17535" s="2" t="s">
        <v>34549</v>
      </c>
      <c r="B17535" s="2" t="s">
        <v>34550</v>
      </c>
      <c r="C17535" s="2" t="s">
        <v>2133</v>
      </c>
      <c r="D17535" s="2" t="s">
        <v>5930</v>
      </c>
      <c r="E17535" s="2"/>
      <c r="F17535" s="2" t="str">
        <f>"9781925022551"</f>
        <v>9781925022551</v>
      </c>
    </row>
    <row r="17536" spans="1:6" s="3" customFormat="1" ht="29.1" customHeight="1" x14ac:dyDescent="0.25">
      <c r="A17536" s="2" t="s">
        <v>34551</v>
      </c>
      <c r="B17536" s="2" t="s">
        <v>34552</v>
      </c>
      <c r="C17536" s="2" t="s">
        <v>2133</v>
      </c>
      <c r="D17536" s="2" t="s">
        <v>636</v>
      </c>
      <c r="E17536" s="2"/>
      <c r="F17536" s="2" t="str">
        <f>"9781920942878"</f>
        <v>9781920942878</v>
      </c>
    </row>
    <row r="17537" spans="1:6" s="3" customFormat="1" ht="29.1" customHeight="1" x14ac:dyDescent="0.25">
      <c r="A17537" s="2" t="s">
        <v>34553</v>
      </c>
      <c r="B17537" s="2" t="s">
        <v>34554</v>
      </c>
      <c r="C17537" s="2" t="s">
        <v>2133</v>
      </c>
      <c r="D17537" s="2" t="s">
        <v>12</v>
      </c>
      <c r="E17537" s="2"/>
      <c r="F17537" s="2" t="str">
        <f>"9781921862250"</f>
        <v>9781921862250</v>
      </c>
    </row>
    <row r="17538" spans="1:6" s="3" customFormat="1" ht="29.1" customHeight="1" x14ac:dyDescent="0.25">
      <c r="A17538" s="2" t="s">
        <v>34555</v>
      </c>
      <c r="B17538" s="2" t="s">
        <v>34556</v>
      </c>
      <c r="C17538" s="2" t="s">
        <v>2133</v>
      </c>
      <c r="D17538" s="2" t="s">
        <v>13300</v>
      </c>
      <c r="E17538" s="2"/>
      <c r="F17538" s="2" t="str">
        <f>"9781921934247"</f>
        <v>9781921934247</v>
      </c>
    </row>
    <row r="17539" spans="1:6" s="3" customFormat="1" ht="29.1" customHeight="1" x14ac:dyDescent="0.25">
      <c r="A17539" s="2" t="s">
        <v>34557</v>
      </c>
      <c r="B17539" s="2" t="s">
        <v>34558</v>
      </c>
      <c r="C17539" s="2" t="s">
        <v>2133</v>
      </c>
      <c r="D17539" s="2" t="s">
        <v>6067</v>
      </c>
      <c r="E17539" s="2"/>
      <c r="F17539" s="2" t="str">
        <f>"9781921862526"</f>
        <v>9781921862526</v>
      </c>
    </row>
    <row r="17540" spans="1:6" s="3" customFormat="1" ht="29.1" customHeight="1" x14ac:dyDescent="0.25">
      <c r="A17540" s="2" t="s">
        <v>34559</v>
      </c>
      <c r="B17540" s="2" t="s">
        <v>34560</v>
      </c>
      <c r="C17540" s="2" t="s">
        <v>2133</v>
      </c>
      <c r="D17540" s="2" t="s">
        <v>818</v>
      </c>
      <c r="E17540" s="2"/>
      <c r="F17540" s="2" t="str">
        <f>"9781921536397"</f>
        <v>9781921536397</v>
      </c>
    </row>
    <row r="17541" spans="1:6" s="3" customFormat="1" ht="29.1" customHeight="1" x14ac:dyDescent="0.25">
      <c r="A17541" s="2" t="s">
        <v>34561</v>
      </c>
      <c r="B17541" s="2" t="s">
        <v>34562</v>
      </c>
      <c r="C17541" s="2" t="s">
        <v>2133</v>
      </c>
      <c r="D17541" s="2" t="s">
        <v>13300</v>
      </c>
      <c r="E17541" s="2"/>
      <c r="F17541" s="2" t="str">
        <f>"9781921536373"</f>
        <v>9781921536373</v>
      </c>
    </row>
    <row r="17542" spans="1:6" s="3" customFormat="1" ht="29.1" customHeight="1" x14ac:dyDescent="0.25">
      <c r="A17542" s="2" t="s">
        <v>34563</v>
      </c>
      <c r="B17542" s="2" t="s">
        <v>34564</v>
      </c>
      <c r="C17542" s="2" t="s">
        <v>2133</v>
      </c>
      <c r="D17542" s="2" t="s">
        <v>294</v>
      </c>
      <c r="E17542" s="2"/>
      <c r="F17542" s="2" t="str">
        <f>"9781921666896"</f>
        <v>9781921666896</v>
      </c>
    </row>
    <row r="17543" spans="1:6" s="3" customFormat="1" ht="29.1" customHeight="1" x14ac:dyDescent="0.25">
      <c r="A17543" s="2" t="s">
        <v>34565</v>
      </c>
      <c r="B17543" s="2" t="s">
        <v>34566</v>
      </c>
      <c r="C17543" s="2" t="s">
        <v>2133</v>
      </c>
      <c r="D17543" s="2" t="s">
        <v>5719</v>
      </c>
      <c r="E17543" s="2"/>
      <c r="F17543" s="2" t="str">
        <f>"9781921666834"</f>
        <v>9781921666834</v>
      </c>
    </row>
    <row r="17544" spans="1:6" s="3" customFormat="1" ht="29.1" customHeight="1" x14ac:dyDescent="0.25">
      <c r="A17544" s="2" t="s">
        <v>34567</v>
      </c>
      <c r="B17544" s="2" t="s">
        <v>34568</v>
      </c>
      <c r="C17544" s="2" t="s">
        <v>2133</v>
      </c>
      <c r="D17544" s="2" t="s">
        <v>818</v>
      </c>
      <c r="E17544" s="2"/>
      <c r="F17544" s="2" t="str">
        <f>"9781921666957"</f>
        <v>9781921666957</v>
      </c>
    </row>
    <row r="17545" spans="1:6" s="3" customFormat="1" ht="29.1" customHeight="1" x14ac:dyDescent="0.25">
      <c r="A17545" s="2" t="s">
        <v>34569</v>
      </c>
      <c r="B17545" s="2" t="s">
        <v>34570</v>
      </c>
      <c r="C17545" s="2" t="s">
        <v>2133</v>
      </c>
      <c r="D17545" s="2" t="s">
        <v>5832</v>
      </c>
      <c r="E17545" s="2"/>
      <c r="F17545" s="2" t="str">
        <f>"9781921666919"</f>
        <v>9781921666919</v>
      </c>
    </row>
    <row r="17546" spans="1:6" s="3" customFormat="1" ht="29.1" customHeight="1" x14ac:dyDescent="0.25">
      <c r="A17546" s="2" t="s">
        <v>34571</v>
      </c>
      <c r="B17546" s="2" t="s">
        <v>34572</v>
      </c>
      <c r="C17546" s="2" t="s">
        <v>2133</v>
      </c>
      <c r="D17546" s="2" t="s">
        <v>4059</v>
      </c>
      <c r="E17546" s="2"/>
      <c r="F17546" s="2" t="str">
        <f>"9781921666995"</f>
        <v>9781921666995</v>
      </c>
    </row>
    <row r="17547" spans="1:6" s="3" customFormat="1" ht="29.1" customHeight="1" x14ac:dyDescent="0.25">
      <c r="A17547" s="2" t="s">
        <v>34573</v>
      </c>
      <c r="B17547" s="2" t="s">
        <v>34574</v>
      </c>
      <c r="C17547" s="2" t="s">
        <v>2133</v>
      </c>
      <c r="D17547" s="2" t="s">
        <v>758</v>
      </c>
      <c r="E17547" s="2"/>
      <c r="F17547" s="2" t="str">
        <f>"9789587391336"</f>
        <v>9789587391336</v>
      </c>
    </row>
    <row r="17548" spans="1:6" s="3" customFormat="1" ht="29.1" customHeight="1" x14ac:dyDescent="0.25">
      <c r="A17548" s="2" t="s">
        <v>34575</v>
      </c>
      <c r="B17548" s="2" t="s">
        <v>34576</v>
      </c>
      <c r="C17548" s="2" t="s">
        <v>2133</v>
      </c>
      <c r="D17548" s="2" t="s">
        <v>606</v>
      </c>
      <c r="E17548" s="2"/>
      <c r="F17548" s="2" t="str">
        <f>"9781760463038"</f>
        <v>9781760463038</v>
      </c>
    </row>
    <row r="17549" spans="1:6" s="3" customFormat="1" ht="29.1" customHeight="1" x14ac:dyDescent="0.25">
      <c r="A17549" s="2" t="s">
        <v>34577</v>
      </c>
      <c r="B17549" s="2" t="s">
        <v>34578</v>
      </c>
      <c r="C17549" s="2" t="s">
        <v>2133</v>
      </c>
      <c r="D17549" s="2" t="s">
        <v>4059</v>
      </c>
      <c r="E17549" s="2"/>
      <c r="F17549" s="2" t="str">
        <f>"9781760463076"</f>
        <v>9781760463076</v>
      </c>
    </row>
    <row r="17550" spans="1:6" s="3" customFormat="1" ht="29.1" customHeight="1" x14ac:dyDescent="0.25">
      <c r="A17550" s="2" t="s">
        <v>34579</v>
      </c>
      <c r="B17550" s="2" t="s">
        <v>34580</v>
      </c>
      <c r="C17550" s="2" t="s">
        <v>2133</v>
      </c>
      <c r="D17550" s="2" t="s">
        <v>26677</v>
      </c>
      <c r="E17550" s="2"/>
      <c r="F17550" s="2" t="str">
        <f>"9781760463052"</f>
        <v>9781760463052</v>
      </c>
    </row>
    <row r="17551" spans="1:6" s="3" customFormat="1" ht="29.1" customHeight="1" x14ac:dyDescent="0.25">
      <c r="A17551" s="2" t="s">
        <v>34581</v>
      </c>
      <c r="B17551" s="2" t="s">
        <v>32353</v>
      </c>
      <c r="C17551" s="2" t="s">
        <v>2133</v>
      </c>
      <c r="D17551" s="2" t="s">
        <v>501</v>
      </c>
      <c r="E17551" s="2"/>
      <c r="F17551" s="2" t="str">
        <f>"9781760463205"</f>
        <v>9781760463205</v>
      </c>
    </row>
    <row r="17552" spans="1:6" s="3" customFormat="1" ht="29.1" customHeight="1" x14ac:dyDescent="0.25">
      <c r="A17552" s="2" t="s">
        <v>34582</v>
      </c>
      <c r="B17552" s="2" t="s">
        <v>31779</v>
      </c>
      <c r="C17552" s="2" t="s">
        <v>2133</v>
      </c>
      <c r="D17552" s="2" t="s">
        <v>13300</v>
      </c>
      <c r="E17552" s="2" t="str">
        <f>"9781760463083"</f>
        <v>9781760463083</v>
      </c>
      <c r="F17552" s="2" t="str">
        <f>"9781760463090"</f>
        <v>9781760463090</v>
      </c>
    </row>
    <row r="17553" spans="1:6" s="3" customFormat="1" ht="29.1" customHeight="1" x14ac:dyDescent="0.25">
      <c r="A17553" s="2" t="s">
        <v>34583</v>
      </c>
      <c r="B17553" s="2" t="s">
        <v>34584</v>
      </c>
      <c r="C17553" s="2" t="s">
        <v>2133</v>
      </c>
      <c r="D17553" s="2" t="s">
        <v>1028</v>
      </c>
      <c r="E17553" s="2" t="str">
        <f>"9781760463106"</f>
        <v>9781760463106</v>
      </c>
      <c r="F17553" s="2" t="str">
        <f>"9781760463113"</f>
        <v>9781760463113</v>
      </c>
    </row>
    <row r="17554" spans="1:6" s="3" customFormat="1" ht="29.1" customHeight="1" x14ac:dyDescent="0.25">
      <c r="A17554" s="2" t="s">
        <v>34585</v>
      </c>
      <c r="B17554" s="2" t="s">
        <v>15547</v>
      </c>
      <c r="C17554" s="2" t="s">
        <v>2133</v>
      </c>
      <c r="D17554" s="2" t="s">
        <v>13300</v>
      </c>
      <c r="E17554" s="2" t="str">
        <f>"9781760462666"</f>
        <v>9781760462666</v>
      </c>
      <c r="F17554" s="2" t="str">
        <f>"9781760462673"</f>
        <v>9781760462673</v>
      </c>
    </row>
    <row r="17555" spans="1:6" s="3" customFormat="1" ht="29.1" customHeight="1" x14ac:dyDescent="0.25">
      <c r="A17555" s="2" t="s">
        <v>34586</v>
      </c>
      <c r="B17555" s="2" t="s">
        <v>34587</v>
      </c>
      <c r="C17555" s="2" t="s">
        <v>2133</v>
      </c>
      <c r="D17555" s="2" t="s">
        <v>4059</v>
      </c>
      <c r="E17555" s="2"/>
      <c r="F17555" s="2" t="str">
        <f>"9781760462857"</f>
        <v>9781760462857</v>
      </c>
    </row>
    <row r="17556" spans="1:6" s="3" customFormat="1" ht="29.1" customHeight="1" x14ac:dyDescent="0.25">
      <c r="A17556" s="2" t="s">
        <v>34588</v>
      </c>
      <c r="B17556" s="2" t="s">
        <v>34589</v>
      </c>
      <c r="C17556" s="2" t="s">
        <v>2133</v>
      </c>
      <c r="D17556" s="2" t="s">
        <v>1806</v>
      </c>
      <c r="E17556" s="2"/>
      <c r="F17556" s="2" t="str">
        <f>"9781760463151"</f>
        <v>9781760463151</v>
      </c>
    </row>
    <row r="17557" spans="1:6" s="3" customFormat="1" ht="29.1" customHeight="1" x14ac:dyDescent="0.25">
      <c r="A17557" s="2" t="s">
        <v>34590</v>
      </c>
      <c r="B17557" s="2" t="s">
        <v>34591</v>
      </c>
      <c r="C17557" s="2" t="s">
        <v>2133</v>
      </c>
      <c r="D17557" s="2" t="s">
        <v>818</v>
      </c>
      <c r="E17557" s="2"/>
      <c r="F17557" s="2" t="str">
        <f>"9781760463229"</f>
        <v>9781760463229</v>
      </c>
    </row>
    <row r="17558" spans="1:6" s="3" customFormat="1" ht="29.1" customHeight="1" x14ac:dyDescent="0.25">
      <c r="A17558" s="2" t="s">
        <v>34592</v>
      </c>
      <c r="B17558" s="2" t="s">
        <v>34593</v>
      </c>
      <c r="C17558" s="2" t="s">
        <v>2133</v>
      </c>
      <c r="D17558" s="2" t="s">
        <v>1806</v>
      </c>
      <c r="E17558" s="2"/>
      <c r="F17558" s="2" t="str">
        <f>"9781760462895"</f>
        <v>9781760462895</v>
      </c>
    </row>
    <row r="17559" spans="1:6" s="3" customFormat="1" ht="29.1" customHeight="1" x14ac:dyDescent="0.25">
      <c r="A17559" s="2" t="s">
        <v>34594</v>
      </c>
      <c r="B17559" s="2" t="s">
        <v>34595</v>
      </c>
      <c r="C17559" s="2" t="s">
        <v>2133</v>
      </c>
      <c r="D17559" s="2" t="s">
        <v>4059</v>
      </c>
      <c r="E17559" s="2"/>
      <c r="F17559" s="2" t="str">
        <f>"9781921862960"</f>
        <v>9781921862960</v>
      </c>
    </row>
    <row r="17560" spans="1:6" s="3" customFormat="1" ht="29.1" customHeight="1" x14ac:dyDescent="0.25">
      <c r="A17560" s="2" t="s">
        <v>34596</v>
      </c>
      <c r="B17560" s="2" t="s">
        <v>34597</v>
      </c>
      <c r="C17560" s="2" t="s">
        <v>2133</v>
      </c>
      <c r="D17560" s="2" t="s">
        <v>818</v>
      </c>
      <c r="E17560" s="2"/>
      <c r="F17560" s="2" t="str">
        <f>"9781760460938"</f>
        <v>9781760460938</v>
      </c>
    </row>
    <row r="17561" spans="1:6" s="3" customFormat="1" ht="29.1" customHeight="1" x14ac:dyDescent="0.25">
      <c r="A17561" s="2" t="s">
        <v>34598</v>
      </c>
      <c r="B17561" s="2" t="s">
        <v>31779</v>
      </c>
      <c r="C17561" s="2" t="s">
        <v>2133</v>
      </c>
      <c r="D17561" s="2" t="s">
        <v>13300</v>
      </c>
      <c r="E17561" s="2"/>
      <c r="F17561" s="2" t="str">
        <f>"9781760460983"</f>
        <v>9781760460983</v>
      </c>
    </row>
    <row r="17562" spans="1:6" s="3" customFormat="1" ht="29.1" customHeight="1" x14ac:dyDescent="0.25">
      <c r="A17562" s="2" t="s">
        <v>34599</v>
      </c>
      <c r="B17562" s="2" t="s">
        <v>34600</v>
      </c>
      <c r="C17562" s="2" t="s">
        <v>2133</v>
      </c>
      <c r="D17562" s="2" t="s">
        <v>4059</v>
      </c>
      <c r="E17562" s="2"/>
      <c r="F17562" s="2" t="str">
        <f>"9781760461003"</f>
        <v>9781760461003</v>
      </c>
    </row>
    <row r="17563" spans="1:6" s="3" customFormat="1" ht="29.1" customHeight="1" x14ac:dyDescent="0.25">
      <c r="A17563" s="2" t="s">
        <v>34601</v>
      </c>
      <c r="B17563" s="2" t="s">
        <v>34602</v>
      </c>
      <c r="C17563" s="2" t="s">
        <v>2133</v>
      </c>
      <c r="D17563" s="2" t="s">
        <v>1806</v>
      </c>
      <c r="E17563" s="2"/>
      <c r="F17563" s="2" t="str">
        <f>"9781760461065"</f>
        <v>9781760461065</v>
      </c>
    </row>
    <row r="17564" spans="1:6" s="3" customFormat="1" ht="29.1" customHeight="1" x14ac:dyDescent="0.25">
      <c r="A17564" s="2" t="s">
        <v>34603</v>
      </c>
      <c r="B17564" s="2" t="s">
        <v>34604</v>
      </c>
      <c r="C17564" s="2" t="s">
        <v>2133</v>
      </c>
      <c r="D17564" s="2" t="s">
        <v>95</v>
      </c>
      <c r="E17564" s="2"/>
      <c r="F17564" s="2" t="str">
        <f>"9781760460914"</f>
        <v>9781760460914</v>
      </c>
    </row>
    <row r="17565" spans="1:6" s="3" customFormat="1" ht="29.1" customHeight="1" x14ac:dyDescent="0.25">
      <c r="A17565" s="2" t="s">
        <v>34605</v>
      </c>
      <c r="B17565" s="2" t="s">
        <v>34606</v>
      </c>
      <c r="C17565" s="2" t="s">
        <v>2133</v>
      </c>
      <c r="D17565" s="2" t="s">
        <v>3943</v>
      </c>
      <c r="E17565" s="2"/>
      <c r="F17565" s="2" t="str">
        <f>"9781760461027"</f>
        <v>9781760461027</v>
      </c>
    </row>
    <row r="17566" spans="1:6" s="3" customFormat="1" ht="29.1" customHeight="1" x14ac:dyDescent="0.25">
      <c r="A17566" s="2" t="s">
        <v>34607</v>
      </c>
      <c r="B17566" s="2" t="s">
        <v>34608</v>
      </c>
      <c r="C17566" s="2" t="s">
        <v>2133</v>
      </c>
      <c r="D17566" s="2" t="s">
        <v>1806</v>
      </c>
      <c r="E17566" s="2"/>
      <c r="F17566" s="2" t="str">
        <f>"9781921313462"</f>
        <v>9781921313462</v>
      </c>
    </row>
    <row r="17567" spans="1:6" s="3" customFormat="1" ht="29.1" customHeight="1" x14ac:dyDescent="0.25">
      <c r="A17567" s="2" t="s">
        <v>34609</v>
      </c>
      <c r="B17567" s="2" t="s">
        <v>34610</v>
      </c>
      <c r="C17567" s="2" t="s">
        <v>2133</v>
      </c>
      <c r="D17567" s="2" t="s">
        <v>596</v>
      </c>
      <c r="E17567" s="2"/>
      <c r="F17567" s="2" t="str">
        <f>"9781760461041"</f>
        <v>9781760461041</v>
      </c>
    </row>
    <row r="17568" spans="1:6" s="3" customFormat="1" ht="29.1" customHeight="1" x14ac:dyDescent="0.25">
      <c r="A17568" s="2" t="s">
        <v>34611</v>
      </c>
      <c r="B17568" s="2" t="s">
        <v>33105</v>
      </c>
      <c r="C17568" s="2" t="s">
        <v>2133</v>
      </c>
      <c r="D17568" s="2" t="s">
        <v>183</v>
      </c>
      <c r="E17568" s="2"/>
      <c r="F17568" s="2" t="str">
        <f>"9781760461089"</f>
        <v>9781760461089</v>
      </c>
    </row>
    <row r="17569" spans="1:6" s="3" customFormat="1" ht="29.1" customHeight="1" x14ac:dyDescent="0.25">
      <c r="A17569" s="2" t="s">
        <v>34612</v>
      </c>
      <c r="B17569" s="2" t="s">
        <v>34613</v>
      </c>
      <c r="C17569" s="2" t="s">
        <v>2133</v>
      </c>
      <c r="D17569" s="2" t="s">
        <v>497</v>
      </c>
      <c r="E17569" s="2"/>
      <c r="F17569" s="2" t="str">
        <f>"9781760460839"</f>
        <v>9781760460839</v>
      </c>
    </row>
    <row r="17570" spans="1:6" s="3" customFormat="1" ht="29.1" customHeight="1" x14ac:dyDescent="0.25">
      <c r="A17570" s="2" t="s">
        <v>34614</v>
      </c>
      <c r="B17570" s="2" t="s">
        <v>34615</v>
      </c>
      <c r="C17570" s="2" t="s">
        <v>2133</v>
      </c>
      <c r="D17570" s="2" t="s">
        <v>75</v>
      </c>
      <c r="E17570" s="2"/>
      <c r="F17570" s="2" t="str">
        <f>"9781760460891"</f>
        <v>9781760460891</v>
      </c>
    </row>
    <row r="17571" spans="1:6" s="3" customFormat="1" ht="29.1" customHeight="1" x14ac:dyDescent="0.25">
      <c r="A17571" s="2" t="s">
        <v>34616</v>
      </c>
      <c r="B17571" s="2" t="s">
        <v>34617</v>
      </c>
      <c r="C17571" s="2" t="s">
        <v>2133</v>
      </c>
      <c r="D17571" s="2" t="s">
        <v>4059</v>
      </c>
      <c r="E17571" s="2"/>
      <c r="F17571" s="2" t="str">
        <f>"9781760464776"</f>
        <v>9781760464776</v>
      </c>
    </row>
    <row r="17572" spans="1:6" s="3" customFormat="1" ht="29.1" customHeight="1" x14ac:dyDescent="0.25">
      <c r="A17572" s="2" t="s">
        <v>34618</v>
      </c>
      <c r="B17572" s="2" t="s">
        <v>34619</v>
      </c>
      <c r="C17572" s="2" t="s">
        <v>2133</v>
      </c>
      <c r="D17572" s="2" t="s">
        <v>501</v>
      </c>
      <c r="E17572" s="2"/>
      <c r="F17572" s="2" t="str">
        <f>"9781760460792"</f>
        <v>9781760460792</v>
      </c>
    </row>
    <row r="17573" spans="1:6" s="3" customFormat="1" ht="29.1" customHeight="1" x14ac:dyDescent="0.25">
      <c r="A17573" s="2" t="s">
        <v>34620</v>
      </c>
      <c r="B17573" s="2" t="s">
        <v>34621</v>
      </c>
      <c r="C17573" s="2" t="s">
        <v>2133</v>
      </c>
      <c r="D17573" s="2" t="s">
        <v>8553</v>
      </c>
      <c r="E17573" s="2"/>
      <c r="F17573" s="2" t="str">
        <f>"9781760460815"</f>
        <v>9781760460815</v>
      </c>
    </row>
    <row r="17574" spans="1:6" s="3" customFormat="1" ht="29.1" customHeight="1" x14ac:dyDescent="0.25">
      <c r="A17574" s="2" t="s">
        <v>34622</v>
      </c>
      <c r="B17574" s="2" t="s">
        <v>34623</v>
      </c>
      <c r="C17574" s="2" t="s">
        <v>2133</v>
      </c>
      <c r="D17574" s="2" t="s">
        <v>606</v>
      </c>
      <c r="E17574" s="2"/>
      <c r="F17574" s="2" t="str">
        <f>"9781760460754"</f>
        <v>9781760460754</v>
      </c>
    </row>
    <row r="17575" spans="1:6" s="3" customFormat="1" ht="29.1" customHeight="1" x14ac:dyDescent="0.25">
      <c r="A17575" s="2" t="s">
        <v>34624</v>
      </c>
      <c r="B17575" s="2" t="s">
        <v>34625</v>
      </c>
      <c r="C17575" s="2" t="s">
        <v>2133</v>
      </c>
      <c r="D17575" s="2" t="s">
        <v>6113</v>
      </c>
      <c r="E17575" s="2"/>
      <c r="F17575" s="2" t="str">
        <f>"9781760460716"</f>
        <v>9781760460716</v>
      </c>
    </row>
    <row r="17576" spans="1:6" s="3" customFormat="1" ht="29.1" customHeight="1" x14ac:dyDescent="0.25">
      <c r="A17576" s="2" t="s">
        <v>34626</v>
      </c>
      <c r="B17576" s="2" t="s">
        <v>34628</v>
      </c>
      <c r="C17576" s="2" t="s">
        <v>2133</v>
      </c>
      <c r="D17576" s="2" t="s">
        <v>34627</v>
      </c>
      <c r="E17576" s="2"/>
      <c r="F17576" s="2" t="str">
        <f>"9781760460631"</f>
        <v>9781760460631</v>
      </c>
    </row>
    <row r="17577" spans="1:6" s="3" customFormat="1" ht="29.1" customHeight="1" x14ac:dyDescent="0.25">
      <c r="A17577" s="2" t="s">
        <v>34629</v>
      </c>
      <c r="B17577" s="2" t="s">
        <v>34630</v>
      </c>
      <c r="C17577" s="2" t="s">
        <v>2133</v>
      </c>
      <c r="D17577" s="2" t="s">
        <v>818</v>
      </c>
      <c r="E17577" s="2"/>
      <c r="F17577" s="2" t="str">
        <f>"9781922144263"</f>
        <v>9781922144263</v>
      </c>
    </row>
    <row r="17578" spans="1:6" s="3" customFormat="1" ht="29.1" customHeight="1" x14ac:dyDescent="0.25">
      <c r="A17578" s="2" t="s">
        <v>9706</v>
      </c>
      <c r="B17578" s="2" t="s">
        <v>34631</v>
      </c>
      <c r="C17578" s="2" t="s">
        <v>2133</v>
      </c>
      <c r="D17578" s="2" t="s">
        <v>2019</v>
      </c>
      <c r="E17578" s="2"/>
      <c r="F17578" s="2" t="str">
        <f>"9781922144461"</f>
        <v>9781922144461</v>
      </c>
    </row>
    <row r="17579" spans="1:6" s="3" customFormat="1" ht="29.1" customHeight="1" x14ac:dyDescent="0.25">
      <c r="A17579" s="2" t="s">
        <v>34632</v>
      </c>
      <c r="B17579" s="2" t="s">
        <v>34633</v>
      </c>
      <c r="C17579" s="2" t="s">
        <v>2133</v>
      </c>
      <c r="D17579" s="2" t="s">
        <v>12157</v>
      </c>
      <c r="E17579" s="2"/>
      <c r="F17579" s="2" t="str">
        <f>"9781760460532"</f>
        <v>9781760460532</v>
      </c>
    </row>
    <row r="17580" spans="1:6" s="3" customFormat="1" ht="29.1" customHeight="1" x14ac:dyDescent="0.25">
      <c r="A17580" s="2" t="s">
        <v>34634</v>
      </c>
      <c r="B17580" s="2" t="s">
        <v>34635</v>
      </c>
      <c r="C17580" s="2" t="s">
        <v>2133</v>
      </c>
      <c r="D17580" s="2" t="s">
        <v>3536</v>
      </c>
      <c r="E17580" s="2"/>
      <c r="F17580" s="2" t="str">
        <f>"9781760460334"</f>
        <v>9781760460334</v>
      </c>
    </row>
    <row r="17581" spans="1:6" s="3" customFormat="1" ht="29.1" customHeight="1" x14ac:dyDescent="0.25">
      <c r="A17581" s="2" t="s">
        <v>34636</v>
      </c>
      <c r="B17581" s="2" t="s">
        <v>34637</v>
      </c>
      <c r="C17581" s="2" t="s">
        <v>2133</v>
      </c>
      <c r="D17581" s="2" t="s">
        <v>501</v>
      </c>
      <c r="E17581" s="2"/>
      <c r="F17581" s="2" t="str">
        <f>"9781760460877"</f>
        <v>9781760460877</v>
      </c>
    </row>
    <row r="17582" spans="1:6" s="3" customFormat="1" ht="29.1" customHeight="1" x14ac:dyDescent="0.25">
      <c r="A17582" s="2" t="s">
        <v>34638</v>
      </c>
      <c r="B17582" s="2" t="s">
        <v>34639</v>
      </c>
      <c r="C17582" s="2" t="s">
        <v>2133</v>
      </c>
      <c r="D17582" s="2" t="s">
        <v>4059</v>
      </c>
      <c r="E17582" s="2"/>
      <c r="F17582" s="2" t="str">
        <f>"9781760460594"</f>
        <v>9781760460594</v>
      </c>
    </row>
    <row r="17583" spans="1:6" s="3" customFormat="1" ht="29.1" customHeight="1" x14ac:dyDescent="0.25">
      <c r="A17583" s="2" t="s">
        <v>34640</v>
      </c>
      <c r="B17583" s="2" t="s">
        <v>34641</v>
      </c>
      <c r="C17583" s="2" t="s">
        <v>2133</v>
      </c>
      <c r="D17583" s="2" t="s">
        <v>72</v>
      </c>
      <c r="E17583" s="2"/>
      <c r="F17583" s="2" t="str">
        <f>"9781760460310"</f>
        <v>9781760460310</v>
      </c>
    </row>
    <row r="17584" spans="1:6" s="3" customFormat="1" ht="29.1" customHeight="1" x14ac:dyDescent="0.25">
      <c r="A17584" s="2" t="s">
        <v>34642</v>
      </c>
      <c r="B17584" s="2" t="s">
        <v>34643</v>
      </c>
      <c r="C17584" s="2" t="s">
        <v>2133</v>
      </c>
      <c r="D17584" s="2" t="s">
        <v>92</v>
      </c>
      <c r="E17584" s="2"/>
      <c r="F17584" s="2" t="str">
        <f>"9781760460730"</f>
        <v>9781760460730</v>
      </c>
    </row>
    <row r="17585" spans="1:6" s="3" customFormat="1" ht="29.1" customHeight="1" x14ac:dyDescent="0.25">
      <c r="A17585" s="2" t="s">
        <v>34644</v>
      </c>
      <c r="B17585" s="2" t="s">
        <v>34645</v>
      </c>
      <c r="C17585" s="2" t="s">
        <v>2133</v>
      </c>
      <c r="D17585" s="2" t="s">
        <v>15557</v>
      </c>
      <c r="E17585" s="2" t="str">
        <f>"9781760462987"</f>
        <v>9781760462987</v>
      </c>
      <c r="F17585" s="2" t="str">
        <f>"9781760462994"</f>
        <v>9781760462994</v>
      </c>
    </row>
    <row r="17586" spans="1:6" s="3" customFormat="1" ht="29.1" customHeight="1" x14ac:dyDescent="0.25">
      <c r="A17586" s="2" t="s">
        <v>34646</v>
      </c>
      <c r="B17586" s="2" t="s">
        <v>34647</v>
      </c>
      <c r="C17586" s="2" t="s">
        <v>2133</v>
      </c>
      <c r="D17586" s="2" t="s">
        <v>12131</v>
      </c>
      <c r="E17586" s="2"/>
      <c r="F17586" s="2" t="str">
        <f>"9781760460617"</f>
        <v>9781760460617</v>
      </c>
    </row>
    <row r="17587" spans="1:6" s="3" customFormat="1" ht="29.1" customHeight="1" x14ac:dyDescent="0.25">
      <c r="A17587" s="2" t="s">
        <v>34648</v>
      </c>
      <c r="B17587" s="2" t="s">
        <v>34649</v>
      </c>
      <c r="C17587" s="2" t="s">
        <v>2133</v>
      </c>
      <c r="D17587" s="2" t="s">
        <v>98</v>
      </c>
      <c r="E17587" s="2"/>
      <c r="F17587" s="2" t="str">
        <f>"9781920942793"</f>
        <v>9781920942793</v>
      </c>
    </row>
    <row r="17588" spans="1:6" s="3" customFormat="1" ht="29.1" customHeight="1" x14ac:dyDescent="0.25">
      <c r="A17588" s="2" t="s">
        <v>34650</v>
      </c>
      <c r="B17588" s="2" t="s">
        <v>34651</v>
      </c>
      <c r="C17588" s="2" t="s">
        <v>2133</v>
      </c>
      <c r="D17588" s="2" t="s">
        <v>4016</v>
      </c>
      <c r="E17588" s="2"/>
      <c r="F17588" s="2" t="str">
        <f>"9781760460778"</f>
        <v>9781760460778</v>
      </c>
    </row>
    <row r="17589" spans="1:6" s="3" customFormat="1" ht="29.1" customHeight="1" x14ac:dyDescent="0.25">
      <c r="A17589" s="2" t="s">
        <v>34652</v>
      </c>
      <c r="B17589" s="2" t="s">
        <v>34653</v>
      </c>
      <c r="C17589" s="2" t="s">
        <v>2133</v>
      </c>
      <c r="D17589" s="2" t="s">
        <v>858</v>
      </c>
      <c r="E17589" s="2"/>
      <c r="F17589" s="2" t="str">
        <f>"9781760460266"</f>
        <v>9781760460266</v>
      </c>
    </row>
    <row r="17590" spans="1:6" s="3" customFormat="1" ht="29.1" customHeight="1" x14ac:dyDescent="0.25">
      <c r="A17590" s="2" t="s">
        <v>34654</v>
      </c>
      <c r="B17590" s="2" t="s">
        <v>34655</v>
      </c>
      <c r="C17590" s="2" t="s">
        <v>2133</v>
      </c>
      <c r="D17590" s="2" t="s">
        <v>1228</v>
      </c>
      <c r="E17590" s="2"/>
      <c r="F17590" s="2" t="str">
        <f>"9781760460280"</f>
        <v>9781760460280</v>
      </c>
    </row>
    <row r="17591" spans="1:6" s="3" customFormat="1" ht="29.1" customHeight="1" x14ac:dyDescent="0.25">
      <c r="A17591" s="2" t="s">
        <v>34656</v>
      </c>
      <c r="B17591" s="2" t="s">
        <v>34657</v>
      </c>
      <c r="C17591" s="2" t="s">
        <v>2133</v>
      </c>
      <c r="D17591" s="2" t="s">
        <v>501</v>
      </c>
      <c r="E17591" s="2"/>
      <c r="F17591" s="2" t="str">
        <f>"9781760460570"</f>
        <v>9781760460570</v>
      </c>
    </row>
    <row r="17592" spans="1:6" s="3" customFormat="1" ht="29.1" customHeight="1" x14ac:dyDescent="0.25">
      <c r="A17592" s="2" t="s">
        <v>34658</v>
      </c>
      <c r="B17592" s="2" t="s">
        <v>34659</v>
      </c>
      <c r="C17592" s="2" t="s">
        <v>2133</v>
      </c>
      <c r="D17592" s="2" t="s">
        <v>78</v>
      </c>
      <c r="E17592" s="2"/>
      <c r="F17592" s="2" t="str">
        <f>"9781925022452"</f>
        <v>9781925022452</v>
      </c>
    </row>
    <row r="17593" spans="1:6" s="3" customFormat="1" ht="29.1" customHeight="1" x14ac:dyDescent="0.25">
      <c r="A17593" s="2" t="s">
        <v>34660</v>
      </c>
      <c r="B17593" s="2" t="s">
        <v>34661</v>
      </c>
      <c r="C17593" s="2" t="s">
        <v>2133</v>
      </c>
      <c r="D17593" s="2" t="s">
        <v>12</v>
      </c>
      <c r="E17593" s="2"/>
      <c r="F17593" s="2" t="str">
        <f>"9781760460518"</f>
        <v>9781760460518</v>
      </c>
    </row>
    <row r="17594" spans="1:6" s="3" customFormat="1" ht="29.1" customHeight="1" x14ac:dyDescent="0.25">
      <c r="A17594" s="2" t="s">
        <v>34662</v>
      </c>
      <c r="B17594" s="2" t="s">
        <v>34664</v>
      </c>
      <c r="C17594" s="2" t="s">
        <v>2133</v>
      </c>
      <c r="D17594" s="2" t="s">
        <v>34663</v>
      </c>
      <c r="E17594" s="2"/>
      <c r="F17594" s="2" t="str">
        <f>"9781760460419"</f>
        <v>9781760460419</v>
      </c>
    </row>
    <row r="17595" spans="1:6" s="3" customFormat="1" ht="29.1" customHeight="1" x14ac:dyDescent="0.25">
      <c r="A17595" s="2" t="s">
        <v>34665</v>
      </c>
      <c r="B17595" s="2" t="s">
        <v>34666</v>
      </c>
      <c r="C17595" s="2" t="s">
        <v>2133</v>
      </c>
      <c r="D17595" s="2" t="s">
        <v>3536</v>
      </c>
      <c r="E17595" s="2"/>
      <c r="F17595" s="2" t="str">
        <f>"9781760464738"</f>
        <v>9781760464738</v>
      </c>
    </row>
    <row r="17596" spans="1:6" s="3" customFormat="1" ht="29.1" customHeight="1" x14ac:dyDescent="0.25">
      <c r="A17596" s="2" t="s">
        <v>34667</v>
      </c>
      <c r="B17596" s="2" t="s">
        <v>34668</v>
      </c>
      <c r="C17596" s="2" t="s">
        <v>2133</v>
      </c>
      <c r="D17596" s="2" t="s">
        <v>3958</v>
      </c>
      <c r="E17596" s="2"/>
      <c r="F17596" s="2" t="str">
        <f>"9781760460457"</f>
        <v>9781760460457</v>
      </c>
    </row>
    <row r="17597" spans="1:6" s="3" customFormat="1" ht="29.1" customHeight="1" x14ac:dyDescent="0.25">
      <c r="A17597" s="2" t="s">
        <v>34669</v>
      </c>
      <c r="B17597" s="2" t="s">
        <v>34670</v>
      </c>
      <c r="C17597" s="2" t="s">
        <v>2133</v>
      </c>
      <c r="D17597" s="2" t="s">
        <v>13300</v>
      </c>
      <c r="E17597" s="2"/>
      <c r="F17597" s="2" t="str">
        <f>"9781921934346"</f>
        <v>9781921934346</v>
      </c>
    </row>
    <row r="17598" spans="1:6" s="3" customFormat="1" ht="29.1" customHeight="1" x14ac:dyDescent="0.25">
      <c r="A17598" s="2" t="s">
        <v>34671</v>
      </c>
      <c r="B17598" s="2" t="s">
        <v>34672</v>
      </c>
      <c r="C17598" s="2" t="s">
        <v>2133</v>
      </c>
      <c r="D17598" s="2" t="s">
        <v>294</v>
      </c>
      <c r="E17598" s="2"/>
      <c r="F17598" s="2" t="str">
        <f>"9781760460396"</f>
        <v>9781760460396</v>
      </c>
    </row>
    <row r="17599" spans="1:6" s="3" customFormat="1" ht="29.1" customHeight="1" x14ac:dyDescent="0.25">
      <c r="A17599" s="2" t="s">
        <v>34673</v>
      </c>
      <c r="B17599" s="2" t="s">
        <v>34674</v>
      </c>
      <c r="C17599" s="2" t="s">
        <v>2133</v>
      </c>
      <c r="D17599" s="2" t="s">
        <v>12830</v>
      </c>
      <c r="E17599" s="2"/>
      <c r="F17599" s="2" t="str">
        <f>"9781921536731"</f>
        <v>9781921536731</v>
      </c>
    </row>
    <row r="17600" spans="1:6" s="3" customFormat="1" ht="29.1" customHeight="1" x14ac:dyDescent="0.25">
      <c r="A17600" s="2" t="s">
        <v>9706</v>
      </c>
      <c r="B17600" s="2" t="s">
        <v>34631</v>
      </c>
      <c r="C17600" s="2" t="s">
        <v>2133</v>
      </c>
      <c r="D17600" s="2" t="s">
        <v>2019</v>
      </c>
      <c r="E17600" s="2"/>
      <c r="F17600" s="2" t="str">
        <f>"9781922144553"</f>
        <v>9781922144553</v>
      </c>
    </row>
    <row r="17601" spans="1:6" s="3" customFormat="1" ht="29.1" customHeight="1" x14ac:dyDescent="0.25">
      <c r="A17601" s="2" t="s">
        <v>34675</v>
      </c>
      <c r="B17601" s="2" t="s">
        <v>34676</v>
      </c>
      <c r="C17601" s="2" t="s">
        <v>2133</v>
      </c>
      <c r="D17601" s="2" t="s">
        <v>4059</v>
      </c>
      <c r="E17601" s="2"/>
      <c r="F17601" s="2" t="str">
        <f>"9781921934032"</f>
        <v>9781921934032</v>
      </c>
    </row>
    <row r="17602" spans="1:6" s="3" customFormat="1" ht="29.1" customHeight="1" x14ac:dyDescent="0.25">
      <c r="A17602" s="2" t="s">
        <v>34677</v>
      </c>
      <c r="B17602" s="2" t="s">
        <v>34678</v>
      </c>
      <c r="C17602" s="2" t="s">
        <v>2133</v>
      </c>
      <c r="D17602" s="2" t="s">
        <v>501</v>
      </c>
      <c r="E17602" s="2"/>
      <c r="F17602" s="2" t="str">
        <f>"9781760460181"</f>
        <v>9781760460181</v>
      </c>
    </row>
    <row r="17603" spans="1:6" s="3" customFormat="1" ht="29.1" customHeight="1" x14ac:dyDescent="0.25">
      <c r="A17603" s="2" t="s">
        <v>34679</v>
      </c>
      <c r="B17603" s="2" t="s">
        <v>34631</v>
      </c>
      <c r="C17603" s="2" t="s">
        <v>2133</v>
      </c>
      <c r="D17603" s="2" t="s">
        <v>4670</v>
      </c>
      <c r="E17603" s="2"/>
      <c r="F17603" s="2" t="str">
        <f>"9781922144539"</f>
        <v>9781922144539</v>
      </c>
    </row>
    <row r="17604" spans="1:6" s="3" customFormat="1" ht="29.1" customHeight="1" x14ac:dyDescent="0.25">
      <c r="A17604" s="2" t="s">
        <v>34680</v>
      </c>
      <c r="B17604" s="2" t="s">
        <v>34681</v>
      </c>
      <c r="C17604" s="2" t="s">
        <v>2133</v>
      </c>
      <c r="D17604" s="2" t="s">
        <v>297</v>
      </c>
      <c r="E17604" s="2"/>
      <c r="F17604" s="2" t="str">
        <f>"9781925022025"</f>
        <v>9781925022025</v>
      </c>
    </row>
    <row r="17605" spans="1:6" s="3" customFormat="1" ht="29.1" customHeight="1" x14ac:dyDescent="0.25">
      <c r="A17605" s="2" t="s">
        <v>34682</v>
      </c>
      <c r="B17605" s="2" t="s">
        <v>32728</v>
      </c>
      <c r="C17605" s="2" t="s">
        <v>2133</v>
      </c>
      <c r="D17605" s="2" t="s">
        <v>2019</v>
      </c>
      <c r="E17605" s="2"/>
      <c r="F17605" s="2" t="str">
        <f>"9781760460358"</f>
        <v>9781760460358</v>
      </c>
    </row>
    <row r="17606" spans="1:6" s="3" customFormat="1" ht="29.1" customHeight="1" x14ac:dyDescent="0.25">
      <c r="A17606" s="2" t="s">
        <v>34683</v>
      </c>
      <c r="B17606" s="2" t="s">
        <v>32981</v>
      </c>
      <c r="C17606" s="2" t="s">
        <v>2133</v>
      </c>
      <c r="D17606" s="2" t="s">
        <v>1663</v>
      </c>
      <c r="E17606" s="2"/>
      <c r="F17606" s="2" t="str">
        <f>"9781760460228"</f>
        <v>9781760460228</v>
      </c>
    </row>
    <row r="17607" spans="1:6" s="3" customFormat="1" ht="29.1" customHeight="1" x14ac:dyDescent="0.25">
      <c r="A17607" s="2" t="s">
        <v>34684</v>
      </c>
      <c r="B17607" s="2" t="s">
        <v>34685</v>
      </c>
      <c r="C17607" s="2" t="s">
        <v>2133</v>
      </c>
      <c r="D17607" s="2" t="s">
        <v>1416</v>
      </c>
      <c r="E17607" s="2" t="str">
        <f>"9781921536625"</f>
        <v>9781921536625</v>
      </c>
      <c r="F17607" s="2" t="str">
        <f>"9781921536632"</f>
        <v>9781921536632</v>
      </c>
    </row>
    <row r="17608" spans="1:6" s="3" customFormat="1" ht="29.1" customHeight="1" x14ac:dyDescent="0.25">
      <c r="A17608" s="2" t="s">
        <v>34686</v>
      </c>
      <c r="B17608" s="2" t="s">
        <v>34687</v>
      </c>
      <c r="C17608" s="2" t="s">
        <v>2133</v>
      </c>
      <c r="D17608" s="2" t="s">
        <v>30819</v>
      </c>
      <c r="E17608" s="2"/>
      <c r="F17608" s="2" t="str">
        <f>"9781921934186"</f>
        <v>9781921934186</v>
      </c>
    </row>
    <row r="17609" spans="1:6" s="3" customFormat="1" ht="29.1" customHeight="1" x14ac:dyDescent="0.25">
      <c r="A17609" s="2" t="s">
        <v>34688</v>
      </c>
      <c r="B17609" s="2" t="s">
        <v>34689</v>
      </c>
      <c r="C17609" s="2" t="s">
        <v>2133</v>
      </c>
      <c r="D17609" s="2" t="s">
        <v>14262</v>
      </c>
      <c r="E17609" s="2"/>
      <c r="F17609" s="2" t="str">
        <f>"9781760460242"</f>
        <v>9781760460242</v>
      </c>
    </row>
    <row r="17610" spans="1:6" s="3" customFormat="1" ht="29.1" customHeight="1" x14ac:dyDescent="0.25">
      <c r="A17610" s="2" t="s">
        <v>34690</v>
      </c>
      <c r="B17610" s="2" t="s">
        <v>34691</v>
      </c>
      <c r="C17610" s="2" t="s">
        <v>2133</v>
      </c>
      <c r="D17610" s="2" t="s">
        <v>981</v>
      </c>
      <c r="E17610" s="2" t="str">
        <f>"9781921934049"</f>
        <v>9781921934049</v>
      </c>
      <c r="F17610" s="2" t="str">
        <f>"9781921934056"</f>
        <v>9781921934056</v>
      </c>
    </row>
    <row r="17611" spans="1:6" s="3" customFormat="1" ht="29.1" customHeight="1" x14ac:dyDescent="0.25">
      <c r="A17611" s="2" t="s">
        <v>34692</v>
      </c>
      <c r="B17611" s="2" t="s">
        <v>34693</v>
      </c>
      <c r="C17611" s="2" t="s">
        <v>2133</v>
      </c>
      <c r="D17611" s="2" t="s">
        <v>150</v>
      </c>
      <c r="E17611" s="2" t="str">
        <f>"9780980728408"</f>
        <v>9780980728408</v>
      </c>
      <c r="F17611" s="2" t="str">
        <f>"9780980728415"</f>
        <v>9780980728415</v>
      </c>
    </row>
    <row r="17612" spans="1:6" s="3" customFormat="1" ht="29.1" customHeight="1" x14ac:dyDescent="0.25">
      <c r="A17612" s="2" t="s">
        <v>34694</v>
      </c>
      <c r="B17612" s="2" t="s">
        <v>34695</v>
      </c>
      <c r="C17612" s="2" t="s">
        <v>2133</v>
      </c>
      <c r="D17612" s="2" t="s">
        <v>761</v>
      </c>
      <c r="E17612" s="2" t="str">
        <f>"9781921934070"</f>
        <v>9781921934070</v>
      </c>
      <c r="F17612" s="2" t="str">
        <f>"9781921934087"</f>
        <v>9781921934087</v>
      </c>
    </row>
    <row r="17613" spans="1:6" s="3" customFormat="1" ht="29.1" customHeight="1" x14ac:dyDescent="0.25">
      <c r="A17613" s="2" t="s">
        <v>34696</v>
      </c>
      <c r="B17613" s="2" t="s">
        <v>34697</v>
      </c>
      <c r="C17613" s="2" t="s">
        <v>2133</v>
      </c>
      <c r="D17613" s="2" t="s">
        <v>9575</v>
      </c>
      <c r="E17613" s="2"/>
      <c r="F17613" s="2" t="str">
        <f>"9781921934223"</f>
        <v>9781921934223</v>
      </c>
    </row>
    <row r="17614" spans="1:6" s="3" customFormat="1" ht="29.1" customHeight="1" x14ac:dyDescent="0.25">
      <c r="A17614" s="2" t="s">
        <v>34698</v>
      </c>
      <c r="B17614" s="2" t="s">
        <v>34697</v>
      </c>
      <c r="C17614" s="2" t="s">
        <v>2133</v>
      </c>
      <c r="D17614" s="2" t="s">
        <v>459</v>
      </c>
      <c r="E17614" s="2"/>
      <c r="F17614" s="2" t="str">
        <f>"9781921934209"</f>
        <v>9781921934209</v>
      </c>
    </row>
    <row r="17615" spans="1:6" s="3" customFormat="1" ht="29.1" customHeight="1" x14ac:dyDescent="0.25">
      <c r="A17615" s="2" t="s">
        <v>9706</v>
      </c>
      <c r="B17615" s="2" t="s">
        <v>34699</v>
      </c>
      <c r="C17615" s="2" t="s">
        <v>2133</v>
      </c>
      <c r="D17615" s="2" t="s">
        <v>2019</v>
      </c>
      <c r="E17615" s="2"/>
      <c r="F17615" s="2" t="str">
        <f>"9781921666490"</f>
        <v>9781921666490</v>
      </c>
    </row>
    <row r="17616" spans="1:6" s="3" customFormat="1" ht="29.1" customHeight="1" x14ac:dyDescent="0.25">
      <c r="A17616" s="2" t="s">
        <v>34700</v>
      </c>
      <c r="B17616" s="2" t="s">
        <v>34701</v>
      </c>
      <c r="C17616" s="2" t="s">
        <v>2133</v>
      </c>
      <c r="D17616" s="2" t="s">
        <v>9575</v>
      </c>
      <c r="E17616" s="2" t="str">
        <f>"9781760464608"</f>
        <v>9781760464608</v>
      </c>
      <c r="F17616" s="2" t="str">
        <f>"9781760464615"</f>
        <v>9781760464615</v>
      </c>
    </row>
    <row r="17617" spans="1:6" s="3" customFormat="1" ht="29.1" customHeight="1" x14ac:dyDescent="0.25">
      <c r="A17617" s="2" t="s">
        <v>34702</v>
      </c>
      <c r="B17617" s="2" t="s">
        <v>34703</v>
      </c>
      <c r="C17617" s="2" t="s">
        <v>2133</v>
      </c>
      <c r="D17617" s="2" t="s">
        <v>965</v>
      </c>
      <c r="E17617" s="2"/>
      <c r="F17617" s="2" t="str">
        <f>"9781920942571"</f>
        <v>9781920942571</v>
      </c>
    </row>
    <row r="17618" spans="1:6" s="3" customFormat="1" ht="29.1" customHeight="1" x14ac:dyDescent="0.25">
      <c r="A17618" s="2" t="s">
        <v>34704</v>
      </c>
      <c r="B17618" s="2" t="s">
        <v>34705</v>
      </c>
      <c r="C17618" s="2" t="s">
        <v>2133</v>
      </c>
      <c r="D17618" s="2" t="s">
        <v>501</v>
      </c>
      <c r="E17618" s="2"/>
      <c r="F17618" s="2" t="str">
        <f>"9781760460143"</f>
        <v>9781760460143</v>
      </c>
    </row>
    <row r="17619" spans="1:6" s="3" customFormat="1" ht="29.1" customHeight="1" x14ac:dyDescent="0.25">
      <c r="A17619" s="2" t="s">
        <v>34706</v>
      </c>
      <c r="B17619" s="2" t="s">
        <v>34708</v>
      </c>
      <c r="C17619" s="2" t="s">
        <v>2133</v>
      </c>
      <c r="D17619" s="2" t="s">
        <v>34707</v>
      </c>
      <c r="E17619" s="2" t="str">
        <f>"9780980728460"</f>
        <v>9780980728460</v>
      </c>
      <c r="F17619" s="2" t="str">
        <f>"9780980728477"</f>
        <v>9780980728477</v>
      </c>
    </row>
    <row r="17620" spans="1:6" s="3" customFormat="1" ht="29.1" customHeight="1" x14ac:dyDescent="0.25">
      <c r="A17620" s="2" t="s">
        <v>34709</v>
      </c>
      <c r="B17620" s="2" t="s">
        <v>34710</v>
      </c>
      <c r="C17620" s="2" t="s">
        <v>2133</v>
      </c>
      <c r="D17620" s="2" t="s">
        <v>791</v>
      </c>
      <c r="E17620" s="2"/>
      <c r="F17620" s="2" t="str">
        <f>"9781760460167"</f>
        <v>9781760460167</v>
      </c>
    </row>
    <row r="17621" spans="1:6" s="3" customFormat="1" ht="29.1" customHeight="1" x14ac:dyDescent="0.25">
      <c r="A17621" s="2" t="s">
        <v>34711</v>
      </c>
      <c r="B17621" s="2" t="s">
        <v>34712</v>
      </c>
      <c r="C17621" s="2" t="s">
        <v>2133</v>
      </c>
      <c r="D17621" s="2" t="s">
        <v>4670</v>
      </c>
      <c r="E17621" s="2"/>
      <c r="F17621" s="2" t="str">
        <f>"9781922144577"</f>
        <v>9781922144577</v>
      </c>
    </row>
    <row r="17622" spans="1:6" s="3" customFormat="1" ht="29.1" customHeight="1" x14ac:dyDescent="0.25">
      <c r="A17622" s="2" t="s">
        <v>34713</v>
      </c>
      <c r="B17622" s="2" t="s">
        <v>34714</v>
      </c>
      <c r="C17622" s="2" t="s">
        <v>2133</v>
      </c>
      <c r="D17622" s="2" t="s">
        <v>13300</v>
      </c>
      <c r="E17622" s="2"/>
      <c r="F17622" s="2" t="str">
        <f>"9781760464653"</f>
        <v>9781760464653</v>
      </c>
    </row>
    <row r="17623" spans="1:6" s="3" customFormat="1" ht="29.1" customHeight="1" x14ac:dyDescent="0.25">
      <c r="A17623" s="2" t="s">
        <v>34715</v>
      </c>
      <c r="B17623" s="2" t="s">
        <v>34716</v>
      </c>
      <c r="C17623" s="2" t="s">
        <v>2133</v>
      </c>
      <c r="D17623" s="2" t="s">
        <v>606</v>
      </c>
      <c r="E17623" s="2"/>
      <c r="F17623" s="2" t="str">
        <f>"9781921536854"</f>
        <v>9781921536854</v>
      </c>
    </row>
    <row r="17624" spans="1:6" s="3" customFormat="1" ht="29.1" customHeight="1" x14ac:dyDescent="0.25">
      <c r="A17624" s="2" t="s">
        <v>34717</v>
      </c>
      <c r="B17624" s="2" t="s">
        <v>34718</v>
      </c>
      <c r="C17624" s="2" t="s">
        <v>2133</v>
      </c>
      <c r="D17624" s="2" t="s">
        <v>34707</v>
      </c>
      <c r="E17624" s="2" t="str">
        <f>"9780980728484"</f>
        <v>9780980728484</v>
      </c>
      <c r="F17624" s="2" t="str">
        <f>"9780980728491"</f>
        <v>9780980728491</v>
      </c>
    </row>
    <row r="17625" spans="1:6" s="3" customFormat="1" ht="29.1" customHeight="1" x14ac:dyDescent="0.25">
      <c r="A17625" s="2" t="s">
        <v>34719</v>
      </c>
      <c r="B17625" s="2" t="s">
        <v>34720</v>
      </c>
      <c r="C17625" s="2" t="s">
        <v>2133</v>
      </c>
      <c r="D17625" s="2" t="s">
        <v>249</v>
      </c>
      <c r="E17625" s="2"/>
      <c r="F17625" s="2" t="str">
        <f>"9781921934285"</f>
        <v>9781921934285</v>
      </c>
    </row>
    <row r="17626" spans="1:6" s="3" customFormat="1" ht="29.1" customHeight="1" x14ac:dyDescent="0.25">
      <c r="A17626" s="2" t="s">
        <v>34721</v>
      </c>
      <c r="B17626" s="2" t="s">
        <v>34722</v>
      </c>
      <c r="C17626" s="2" t="s">
        <v>2133</v>
      </c>
      <c r="D17626" s="2" t="s">
        <v>9312</v>
      </c>
      <c r="E17626" s="2"/>
      <c r="F17626" s="2" t="str">
        <f>"9781921934308"</f>
        <v>9781921934308</v>
      </c>
    </row>
    <row r="17627" spans="1:6" s="3" customFormat="1" ht="29.1" customHeight="1" x14ac:dyDescent="0.25">
      <c r="A17627" s="2" t="s">
        <v>34723</v>
      </c>
      <c r="B17627" s="2" t="s">
        <v>34724</v>
      </c>
      <c r="C17627" s="2" t="s">
        <v>2133</v>
      </c>
      <c r="D17627" s="2" t="s">
        <v>92</v>
      </c>
      <c r="E17627" s="2"/>
      <c r="F17627" s="2" t="str">
        <f>"9781760460204"</f>
        <v>9781760460204</v>
      </c>
    </row>
    <row r="17628" spans="1:6" s="3" customFormat="1" ht="29.1" customHeight="1" x14ac:dyDescent="0.25">
      <c r="A17628" s="2" t="s">
        <v>34725</v>
      </c>
      <c r="B17628" s="2" t="s">
        <v>34726</v>
      </c>
      <c r="C17628" s="2" t="s">
        <v>2133</v>
      </c>
      <c r="D17628" s="2" t="s">
        <v>818</v>
      </c>
      <c r="E17628" s="2"/>
      <c r="F17628" s="2" t="str">
        <f>"9781760460082"</f>
        <v>9781760460082</v>
      </c>
    </row>
    <row r="17629" spans="1:6" s="3" customFormat="1" ht="29.1" customHeight="1" x14ac:dyDescent="0.25">
      <c r="A17629" s="2" t="s">
        <v>34727</v>
      </c>
      <c r="B17629" s="2" t="s">
        <v>34728</v>
      </c>
      <c r="C17629" s="2" t="s">
        <v>2133</v>
      </c>
      <c r="D17629" s="2" t="s">
        <v>3536</v>
      </c>
      <c r="E17629" s="2"/>
      <c r="F17629" s="2" t="str">
        <f>"9781760460044"</f>
        <v>9781760460044</v>
      </c>
    </row>
    <row r="17630" spans="1:6" s="3" customFormat="1" ht="29.1" customHeight="1" x14ac:dyDescent="0.25">
      <c r="A17630" s="2" t="s">
        <v>34729</v>
      </c>
      <c r="B17630" s="2" t="s">
        <v>34730</v>
      </c>
      <c r="C17630" s="2" t="s">
        <v>2133</v>
      </c>
      <c r="D17630" s="2" t="s">
        <v>606</v>
      </c>
      <c r="E17630" s="2"/>
      <c r="F17630" s="2" t="str">
        <f>"9781921313332"</f>
        <v>9781921313332</v>
      </c>
    </row>
    <row r="17631" spans="1:6" s="3" customFormat="1" ht="29.1" customHeight="1" x14ac:dyDescent="0.25">
      <c r="A17631" s="2" t="s">
        <v>34731</v>
      </c>
      <c r="B17631" s="2" t="s">
        <v>34732</v>
      </c>
      <c r="C17631" s="2" t="s">
        <v>2133</v>
      </c>
      <c r="D17631" s="2" t="s">
        <v>2130</v>
      </c>
      <c r="E17631" s="2"/>
      <c r="F17631" s="2" t="str">
        <f>"9780975122907"</f>
        <v>9780975122907</v>
      </c>
    </row>
    <row r="17632" spans="1:6" s="3" customFormat="1" ht="29.1" customHeight="1" x14ac:dyDescent="0.25">
      <c r="A17632" s="2" t="s">
        <v>34733</v>
      </c>
      <c r="B17632" s="2" t="s">
        <v>10228</v>
      </c>
      <c r="C17632" s="2" t="s">
        <v>2133</v>
      </c>
      <c r="D17632" s="2" t="s">
        <v>1074</v>
      </c>
      <c r="E17632" s="2"/>
      <c r="F17632" s="2" t="str">
        <f>"9781760460068"</f>
        <v>9781760460068</v>
      </c>
    </row>
    <row r="17633" spans="1:6" s="3" customFormat="1" ht="29.1" customHeight="1" x14ac:dyDescent="0.25">
      <c r="A17633" s="2" t="s">
        <v>34734</v>
      </c>
      <c r="B17633" s="2" t="s">
        <v>34735</v>
      </c>
      <c r="C17633" s="2" t="s">
        <v>2133</v>
      </c>
      <c r="D17633" s="2" t="s">
        <v>27055</v>
      </c>
      <c r="E17633" s="2"/>
      <c r="F17633" s="2" t="str">
        <f>"9781925021547"</f>
        <v>9781925021547</v>
      </c>
    </row>
    <row r="17634" spans="1:6" s="3" customFormat="1" ht="29.1" customHeight="1" x14ac:dyDescent="0.25">
      <c r="A17634" s="2" t="s">
        <v>34736</v>
      </c>
      <c r="B17634" s="2" t="s">
        <v>34737</v>
      </c>
      <c r="C17634" s="2" t="s">
        <v>2133</v>
      </c>
      <c r="D17634" s="2" t="s">
        <v>2899</v>
      </c>
      <c r="E17634" s="2"/>
      <c r="F17634" s="2" t="str">
        <f>"9781925022476"</f>
        <v>9781925022476</v>
      </c>
    </row>
    <row r="17635" spans="1:6" s="3" customFormat="1" ht="29.1" customHeight="1" x14ac:dyDescent="0.25">
      <c r="A17635" s="2" t="s">
        <v>34738</v>
      </c>
      <c r="B17635" s="2" t="s">
        <v>34739</v>
      </c>
      <c r="C17635" s="2" t="s">
        <v>2133</v>
      </c>
      <c r="D17635" s="2" t="s">
        <v>294</v>
      </c>
      <c r="E17635" s="2"/>
      <c r="F17635" s="2" t="str">
        <f>"9781925022087"</f>
        <v>9781925022087</v>
      </c>
    </row>
    <row r="17636" spans="1:6" s="3" customFormat="1" ht="29.1" customHeight="1" x14ac:dyDescent="0.25">
      <c r="A17636" s="2" t="s">
        <v>34740</v>
      </c>
      <c r="B17636" s="2" t="s">
        <v>34741</v>
      </c>
      <c r="C17636" s="2" t="s">
        <v>2133</v>
      </c>
      <c r="D17636" s="2" t="s">
        <v>125</v>
      </c>
      <c r="E17636" s="2"/>
      <c r="F17636" s="2" t="str">
        <f>"9781925021226"</f>
        <v>9781925021226</v>
      </c>
    </row>
    <row r="17637" spans="1:6" s="3" customFormat="1" ht="29.1" customHeight="1" x14ac:dyDescent="0.25">
      <c r="A17637" s="2" t="s">
        <v>34742</v>
      </c>
      <c r="B17637" s="2" t="s">
        <v>34743</v>
      </c>
      <c r="C17637" s="2" t="s">
        <v>2133</v>
      </c>
      <c r="D17637" s="2" t="s">
        <v>92</v>
      </c>
      <c r="E17637" s="2"/>
      <c r="F17637" s="2" t="str">
        <f>"9781921862908"</f>
        <v>9781921862908</v>
      </c>
    </row>
    <row r="17638" spans="1:6" s="3" customFormat="1" ht="29.1" customHeight="1" x14ac:dyDescent="0.25">
      <c r="A17638" s="2" t="s">
        <v>34744</v>
      </c>
      <c r="B17638" s="2" t="s">
        <v>34745</v>
      </c>
      <c r="C17638" s="2" t="s">
        <v>2133</v>
      </c>
      <c r="D17638" s="2" t="s">
        <v>2019</v>
      </c>
      <c r="E17638" s="2"/>
      <c r="F17638" s="2" t="str">
        <f>"9781925021325"</f>
        <v>9781925021325</v>
      </c>
    </row>
    <row r="17639" spans="1:6" s="3" customFormat="1" ht="29.1" customHeight="1" x14ac:dyDescent="0.25">
      <c r="A17639" s="2" t="s">
        <v>34746</v>
      </c>
      <c r="B17639" s="2" t="s">
        <v>34747</v>
      </c>
      <c r="C17639" s="2" t="s">
        <v>2133</v>
      </c>
      <c r="D17639" s="2" t="s">
        <v>2336</v>
      </c>
      <c r="E17639" s="2"/>
      <c r="F17639" s="2" t="str">
        <f>"9781925022711"</f>
        <v>9781925022711</v>
      </c>
    </row>
    <row r="17640" spans="1:6" s="3" customFormat="1" ht="29.1" customHeight="1" x14ac:dyDescent="0.25">
      <c r="A17640" s="2" t="s">
        <v>34748</v>
      </c>
      <c r="B17640" s="2" t="s">
        <v>34749</v>
      </c>
      <c r="C17640" s="2" t="s">
        <v>2133</v>
      </c>
      <c r="D17640" s="2" t="s">
        <v>92</v>
      </c>
      <c r="E17640" s="2"/>
      <c r="F17640" s="2" t="str">
        <f>"9781925022674"</f>
        <v>9781925022674</v>
      </c>
    </row>
    <row r="17641" spans="1:6" s="3" customFormat="1" ht="29.1" customHeight="1" x14ac:dyDescent="0.25">
      <c r="A17641" s="2" t="s">
        <v>34750</v>
      </c>
      <c r="B17641" s="2" t="s">
        <v>34751</v>
      </c>
      <c r="C17641" s="2" t="s">
        <v>2133</v>
      </c>
      <c r="D17641" s="2" t="s">
        <v>13300</v>
      </c>
      <c r="E17641" s="2"/>
      <c r="F17641" s="2" t="str">
        <f>"9781925021189"</f>
        <v>9781925021189</v>
      </c>
    </row>
    <row r="17642" spans="1:6" s="3" customFormat="1" ht="29.1" customHeight="1" x14ac:dyDescent="0.25">
      <c r="A17642" s="2" t="s">
        <v>34752</v>
      </c>
      <c r="B17642" s="2" t="s">
        <v>34753</v>
      </c>
      <c r="C17642" s="2" t="s">
        <v>2133</v>
      </c>
      <c r="D17642" s="2" t="s">
        <v>712</v>
      </c>
      <c r="E17642" s="2"/>
      <c r="F17642" s="2" t="str">
        <f>"9781925021448"</f>
        <v>9781925021448</v>
      </c>
    </row>
    <row r="17643" spans="1:6" s="3" customFormat="1" ht="29.1" customHeight="1" x14ac:dyDescent="0.25">
      <c r="A17643" s="2" t="s">
        <v>34754</v>
      </c>
      <c r="B17643" s="2" t="s">
        <v>34755</v>
      </c>
      <c r="C17643" s="2" t="s">
        <v>2133</v>
      </c>
      <c r="D17643" s="2" t="s">
        <v>1806</v>
      </c>
      <c r="E17643" s="2"/>
      <c r="F17643" s="2" t="str">
        <f>"9781760464431"</f>
        <v>9781760464431</v>
      </c>
    </row>
    <row r="17644" spans="1:6" s="3" customFormat="1" ht="29.1" customHeight="1" x14ac:dyDescent="0.25">
      <c r="A17644" s="2" t="s">
        <v>9448</v>
      </c>
      <c r="B17644" s="2" t="s">
        <v>9449</v>
      </c>
      <c r="C17644" s="2" t="s">
        <v>2133</v>
      </c>
      <c r="D17644" s="2" t="s">
        <v>66</v>
      </c>
      <c r="E17644" s="2"/>
      <c r="F17644" s="2" t="str">
        <f>"9781760464677"</f>
        <v>9781760464677</v>
      </c>
    </row>
    <row r="17645" spans="1:6" s="3" customFormat="1" ht="29.1" customHeight="1" x14ac:dyDescent="0.25">
      <c r="A17645" s="2" t="s">
        <v>34756</v>
      </c>
      <c r="B17645" s="2" t="s">
        <v>34757</v>
      </c>
      <c r="C17645" s="2" t="s">
        <v>2133</v>
      </c>
      <c r="D17645" s="2" t="s">
        <v>14355</v>
      </c>
      <c r="E17645" s="2"/>
      <c r="F17645" s="2" t="str">
        <f>"9781925021820"</f>
        <v>9781925021820</v>
      </c>
    </row>
    <row r="17646" spans="1:6" s="3" customFormat="1" ht="29.1" customHeight="1" x14ac:dyDescent="0.25">
      <c r="A17646" s="2" t="s">
        <v>34758</v>
      </c>
      <c r="B17646" s="2" t="s">
        <v>34759</v>
      </c>
      <c r="C17646" s="2" t="s">
        <v>2133</v>
      </c>
      <c r="D17646" s="2" t="s">
        <v>6113</v>
      </c>
      <c r="E17646" s="2"/>
      <c r="F17646" s="2" t="str">
        <f>"9781760464554"</f>
        <v>9781760464554</v>
      </c>
    </row>
    <row r="17647" spans="1:6" s="3" customFormat="1" ht="29.1" customHeight="1" x14ac:dyDescent="0.25">
      <c r="A17647" s="2" t="s">
        <v>34760</v>
      </c>
      <c r="B17647" s="2" t="s">
        <v>34761</v>
      </c>
      <c r="C17647" s="2" t="s">
        <v>2133</v>
      </c>
      <c r="D17647" s="2" t="s">
        <v>175</v>
      </c>
      <c r="E17647" s="2"/>
      <c r="F17647" s="2" t="str">
        <f>"9781760464479"</f>
        <v>9781760464479</v>
      </c>
    </row>
    <row r="17648" spans="1:6" s="3" customFormat="1" ht="29.1" customHeight="1" x14ac:dyDescent="0.25">
      <c r="A17648" s="2" t="s">
        <v>34762</v>
      </c>
      <c r="B17648" s="2" t="s">
        <v>34763</v>
      </c>
      <c r="C17648" s="2" t="s">
        <v>2133</v>
      </c>
      <c r="D17648" s="2" t="s">
        <v>4059</v>
      </c>
      <c r="E17648" s="2"/>
      <c r="F17648" s="2" t="str">
        <f>"9781925022537"</f>
        <v>9781925022537</v>
      </c>
    </row>
    <row r="17649" spans="1:6" s="3" customFormat="1" ht="29.1" customHeight="1" x14ac:dyDescent="0.25">
      <c r="A17649" s="2" t="s">
        <v>34764</v>
      </c>
      <c r="B17649" s="2" t="s">
        <v>9707</v>
      </c>
      <c r="C17649" s="2" t="s">
        <v>2133</v>
      </c>
      <c r="D17649" s="2" t="s">
        <v>2019</v>
      </c>
      <c r="E17649" s="2"/>
      <c r="F17649" s="2" t="str">
        <f>"9781760464530"</f>
        <v>9781760464530</v>
      </c>
    </row>
    <row r="17650" spans="1:6" s="3" customFormat="1" ht="29.1" customHeight="1" x14ac:dyDescent="0.25">
      <c r="A17650" s="2" t="s">
        <v>34765</v>
      </c>
      <c r="B17650" s="2" t="s">
        <v>34766</v>
      </c>
      <c r="C17650" s="2" t="s">
        <v>2133</v>
      </c>
      <c r="D17650" s="2" t="s">
        <v>758</v>
      </c>
      <c r="E17650" s="2"/>
      <c r="F17650" s="2" t="str">
        <f>"9781921862663"</f>
        <v>9781921862663</v>
      </c>
    </row>
    <row r="17651" spans="1:6" s="3" customFormat="1" ht="29.1" customHeight="1" x14ac:dyDescent="0.25">
      <c r="A17651" s="2" t="s">
        <v>34767</v>
      </c>
      <c r="B17651" s="2" t="s">
        <v>34768</v>
      </c>
      <c r="C17651" s="2" t="s">
        <v>2133</v>
      </c>
      <c r="D17651" s="2" t="s">
        <v>75</v>
      </c>
      <c r="E17651" s="2"/>
      <c r="F17651" s="2" t="str">
        <f>"9781921862861"</f>
        <v>9781921862861</v>
      </c>
    </row>
    <row r="17652" spans="1:6" s="3" customFormat="1" ht="29.1" customHeight="1" x14ac:dyDescent="0.25">
      <c r="A17652" s="2" t="s">
        <v>34769</v>
      </c>
      <c r="B17652" s="2" t="s">
        <v>34770</v>
      </c>
      <c r="C17652" s="2" t="s">
        <v>2133</v>
      </c>
      <c r="D17652" s="2" t="s">
        <v>6972</v>
      </c>
      <c r="E17652" s="2"/>
      <c r="F17652" s="2" t="str">
        <f>"9781921862885"</f>
        <v>9781921862885</v>
      </c>
    </row>
    <row r="17653" spans="1:6" s="3" customFormat="1" ht="29.1" customHeight="1" x14ac:dyDescent="0.25">
      <c r="A17653" s="2" t="s">
        <v>34771</v>
      </c>
      <c r="B17653" s="2" t="s">
        <v>34772</v>
      </c>
      <c r="C17653" s="2" t="s">
        <v>2133</v>
      </c>
      <c r="D17653" s="2" t="s">
        <v>11489</v>
      </c>
      <c r="E17653" s="2" t="str">
        <f>"9781925022018"</f>
        <v>9781925022018</v>
      </c>
      <c r="F17653" s="2" t="str">
        <f>"9781925022063"</f>
        <v>9781925022063</v>
      </c>
    </row>
    <row r="17654" spans="1:6" s="3" customFormat="1" ht="29.1" customHeight="1" x14ac:dyDescent="0.25">
      <c r="A17654" s="2" t="s">
        <v>34773</v>
      </c>
      <c r="B17654" s="2" t="s">
        <v>34774</v>
      </c>
      <c r="C17654" s="2" t="s">
        <v>2133</v>
      </c>
      <c r="D17654" s="2" t="s">
        <v>606</v>
      </c>
      <c r="E17654" s="2"/>
      <c r="F17654" s="2" t="str">
        <f>"9781925022889"</f>
        <v>9781925022889</v>
      </c>
    </row>
    <row r="17655" spans="1:6" s="3" customFormat="1" ht="29.1" customHeight="1" x14ac:dyDescent="0.25">
      <c r="A17655" s="2" t="s">
        <v>34775</v>
      </c>
      <c r="B17655" s="2" t="s">
        <v>15552</v>
      </c>
      <c r="C17655" s="2" t="s">
        <v>2133</v>
      </c>
      <c r="D17655" s="2" t="s">
        <v>1463</v>
      </c>
      <c r="E17655" s="2"/>
      <c r="F17655" s="2" t="str">
        <f>"9781925021059"</f>
        <v>9781925021059</v>
      </c>
    </row>
    <row r="17656" spans="1:6" s="3" customFormat="1" ht="29.1" customHeight="1" x14ac:dyDescent="0.25">
      <c r="A17656" s="2" t="s">
        <v>34776</v>
      </c>
      <c r="B17656" s="2" t="s">
        <v>34777</v>
      </c>
      <c r="C17656" s="2" t="s">
        <v>2133</v>
      </c>
      <c r="D17656" s="2" t="s">
        <v>4059</v>
      </c>
      <c r="E17656" s="2"/>
      <c r="F17656" s="2" t="str">
        <f>"9781920942502"</f>
        <v>9781920942502</v>
      </c>
    </row>
    <row r="17657" spans="1:6" s="3" customFormat="1" ht="29.1" customHeight="1" x14ac:dyDescent="0.25">
      <c r="A17657" s="2" t="s">
        <v>34778</v>
      </c>
      <c r="B17657" s="2" t="s">
        <v>34779</v>
      </c>
      <c r="C17657" s="2" t="s">
        <v>2133</v>
      </c>
      <c r="D17657" s="2" t="s">
        <v>17901</v>
      </c>
      <c r="E17657" s="2"/>
      <c r="F17657" s="2" t="str">
        <f>"9781925022773"</f>
        <v>9781925022773</v>
      </c>
    </row>
    <row r="17658" spans="1:6" s="3" customFormat="1" ht="29.1" customHeight="1" x14ac:dyDescent="0.25">
      <c r="A17658" s="2" t="s">
        <v>34780</v>
      </c>
      <c r="B17658" s="2" t="s">
        <v>34781</v>
      </c>
      <c r="C17658" s="2" t="s">
        <v>2133</v>
      </c>
      <c r="D17658" s="2" t="s">
        <v>294</v>
      </c>
      <c r="E17658" s="2"/>
      <c r="F17658" s="2" t="str">
        <f>"9781925021899"</f>
        <v>9781925021899</v>
      </c>
    </row>
    <row r="17659" spans="1:6" s="3" customFormat="1" ht="29.1" customHeight="1" x14ac:dyDescent="0.25">
      <c r="A17659" s="2" t="s">
        <v>34782</v>
      </c>
      <c r="B17659" s="2" t="s">
        <v>34784</v>
      </c>
      <c r="C17659" s="2" t="s">
        <v>2133</v>
      </c>
      <c r="D17659" s="2" t="s">
        <v>34783</v>
      </c>
      <c r="E17659" s="2"/>
      <c r="F17659" s="2" t="str">
        <f>"9781760464592"</f>
        <v>9781760464592</v>
      </c>
    </row>
    <row r="17660" spans="1:6" s="3" customFormat="1" ht="29.1" customHeight="1" x14ac:dyDescent="0.25">
      <c r="A17660" s="2" t="s">
        <v>34785</v>
      </c>
      <c r="B17660" s="2" t="s">
        <v>34786</v>
      </c>
      <c r="C17660" s="2" t="s">
        <v>2133</v>
      </c>
      <c r="D17660" s="2" t="s">
        <v>4059</v>
      </c>
      <c r="E17660" s="2"/>
      <c r="F17660" s="2" t="str">
        <f>"9781925021639"</f>
        <v>9781925021639</v>
      </c>
    </row>
    <row r="17661" spans="1:6" s="3" customFormat="1" ht="29.1" customHeight="1" x14ac:dyDescent="0.25">
      <c r="A17661" s="2" t="s">
        <v>34787</v>
      </c>
      <c r="B17661" s="2" t="s">
        <v>15512</v>
      </c>
      <c r="C17661" s="2" t="s">
        <v>2133</v>
      </c>
      <c r="D17661" s="2" t="s">
        <v>4059</v>
      </c>
      <c r="E17661" s="2"/>
      <c r="F17661" s="2" t="str">
        <f>"9781920942298"</f>
        <v>9781920942298</v>
      </c>
    </row>
    <row r="17662" spans="1:6" s="3" customFormat="1" ht="29.1" customHeight="1" x14ac:dyDescent="0.25">
      <c r="A17662" s="2" t="s">
        <v>34788</v>
      </c>
      <c r="B17662" s="2" t="s">
        <v>34789</v>
      </c>
      <c r="C17662" s="2" t="s">
        <v>2133</v>
      </c>
      <c r="D17662" s="2" t="s">
        <v>4059</v>
      </c>
      <c r="E17662" s="2"/>
      <c r="F17662" s="2" t="str">
        <f>"9781925021974"</f>
        <v>9781925021974</v>
      </c>
    </row>
    <row r="17663" spans="1:6" s="3" customFormat="1" ht="29.1" customHeight="1" x14ac:dyDescent="0.25">
      <c r="A17663" s="2" t="s">
        <v>34790</v>
      </c>
      <c r="B17663" s="2" t="s">
        <v>34791</v>
      </c>
      <c r="C17663" s="2" t="s">
        <v>2133</v>
      </c>
      <c r="D17663" s="2" t="s">
        <v>92</v>
      </c>
      <c r="E17663" s="2"/>
      <c r="F17663" s="2" t="str">
        <f>"9781921313028"</f>
        <v>9781921313028</v>
      </c>
    </row>
    <row r="17664" spans="1:6" s="3" customFormat="1" ht="29.1" customHeight="1" x14ac:dyDescent="0.25">
      <c r="A17664" s="2" t="s">
        <v>34792</v>
      </c>
      <c r="B17664" s="2" t="s">
        <v>34793</v>
      </c>
      <c r="C17664" s="2" t="s">
        <v>2133</v>
      </c>
      <c r="D17664" s="2" t="s">
        <v>9265</v>
      </c>
      <c r="E17664" s="2"/>
      <c r="F17664" s="2" t="str">
        <f>"9781925021851"</f>
        <v>9781925021851</v>
      </c>
    </row>
    <row r="17665" spans="1:6" s="3" customFormat="1" ht="29.1" customHeight="1" x14ac:dyDescent="0.25">
      <c r="A17665" s="2" t="s">
        <v>34794</v>
      </c>
      <c r="B17665" s="2" t="s">
        <v>34795</v>
      </c>
      <c r="C17665" s="2" t="s">
        <v>2133</v>
      </c>
      <c r="D17665" s="2" t="s">
        <v>101</v>
      </c>
      <c r="E17665" s="2"/>
      <c r="F17665" s="2" t="str">
        <f>"9781925022414"</f>
        <v>9781925022414</v>
      </c>
    </row>
    <row r="17666" spans="1:6" s="3" customFormat="1" ht="29.1" customHeight="1" x14ac:dyDescent="0.25">
      <c r="A17666" s="2" t="s">
        <v>34796</v>
      </c>
      <c r="B17666" s="2" t="s">
        <v>34797</v>
      </c>
      <c r="C17666" s="2" t="s">
        <v>2133</v>
      </c>
      <c r="D17666" s="2" t="s">
        <v>9312</v>
      </c>
      <c r="E17666" s="2"/>
      <c r="F17666" s="2" t="str">
        <f>"9781920942984"</f>
        <v>9781920942984</v>
      </c>
    </row>
    <row r="17667" spans="1:6" s="3" customFormat="1" ht="29.1" customHeight="1" x14ac:dyDescent="0.25">
      <c r="A17667" s="2" t="s">
        <v>34798</v>
      </c>
      <c r="B17667" s="2" t="s">
        <v>34799</v>
      </c>
      <c r="C17667" s="2" t="s">
        <v>2133</v>
      </c>
      <c r="D17667" s="2" t="s">
        <v>4059</v>
      </c>
      <c r="E17667" s="2"/>
      <c r="F17667" s="2" t="str">
        <f>"9781925021912"</f>
        <v>9781925021912</v>
      </c>
    </row>
    <row r="17668" spans="1:6" s="3" customFormat="1" ht="29.1" customHeight="1" x14ac:dyDescent="0.25">
      <c r="A17668" s="2" t="s">
        <v>34800</v>
      </c>
      <c r="B17668" s="2" t="s">
        <v>34801</v>
      </c>
      <c r="C17668" s="2" t="s">
        <v>2133</v>
      </c>
      <c r="D17668" s="2" t="s">
        <v>294</v>
      </c>
      <c r="E17668" s="2"/>
      <c r="F17668" s="2" t="str">
        <f>"9781925021523"</f>
        <v>9781925021523</v>
      </c>
    </row>
    <row r="17669" spans="1:6" s="3" customFormat="1" ht="29.1" customHeight="1" x14ac:dyDescent="0.25">
      <c r="A17669" s="2" t="s">
        <v>34802</v>
      </c>
      <c r="B17669" s="2" t="s">
        <v>34803</v>
      </c>
      <c r="C17669" s="2" t="s">
        <v>2133</v>
      </c>
      <c r="D17669" s="2" t="s">
        <v>636</v>
      </c>
      <c r="E17669" s="2"/>
      <c r="F17669" s="2" t="str">
        <f>"9781925022438"</f>
        <v>9781925022438</v>
      </c>
    </row>
    <row r="17670" spans="1:6" s="3" customFormat="1" ht="29.1" customHeight="1" x14ac:dyDescent="0.25">
      <c r="A17670" s="2" t="s">
        <v>34804</v>
      </c>
      <c r="B17670" s="2" t="s">
        <v>34805</v>
      </c>
      <c r="C17670" s="2" t="s">
        <v>2133</v>
      </c>
      <c r="D17670" s="2" t="s">
        <v>791</v>
      </c>
      <c r="E17670" s="2"/>
      <c r="F17670" s="2" t="str">
        <f>"9781925022841"</f>
        <v>9781925022841</v>
      </c>
    </row>
    <row r="17671" spans="1:6" s="3" customFormat="1" ht="29.1" customHeight="1" x14ac:dyDescent="0.25">
      <c r="A17671" s="2" t="s">
        <v>34806</v>
      </c>
      <c r="B17671" s="2" t="s">
        <v>34807</v>
      </c>
      <c r="C17671" s="2" t="s">
        <v>2133</v>
      </c>
      <c r="D17671" s="2" t="s">
        <v>13300</v>
      </c>
      <c r="E17671" s="2"/>
      <c r="F17671" s="2" t="str">
        <f>"9781925022056"</f>
        <v>9781925022056</v>
      </c>
    </row>
    <row r="17672" spans="1:6" s="3" customFormat="1" ht="29.1" customHeight="1" x14ac:dyDescent="0.25">
      <c r="A17672" s="2" t="s">
        <v>34808</v>
      </c>
      <c r="B17672" s="2" t="s">
        <v>10228</v>
      </c>
      <c r="C17672" s="2" t="s">
        <v>2133</v>
      </c>
      <c r="D17672" s="2" t="s">
        <v>215</v>
      </c>
      <c r="E17672" s="2"/>
      <c r="F17672" s="2" t="str">
        <f>"9781925021066"</f>
        <v>9781925021066</v>
      </c>
    </row>
    <row r="17673" spans="1:6" s="3" customFormat="1" ht="29.1" customHeight="1" x14ac:dyDescent="0.25">
      <c r="A17673" s="2" t="s">
        <v>34809</v>
      </c>
      <c r="B17673" s="2" t="s">
        <v>34810</v>
      </c>
      <c r="C17673" s="2" t="s">
        <v>2133</v>
      </c>
      <c r="D17673" s="2" t="s">
        <v>6972</v>
      </c>
      <c r="E17673" s="2"/>
      <c r="F17673" s="2" t="str">
        <f>"9781922144300"</f>
        <v>9781922144300</v>
      </c>
    </row>
    <row r="17674" spans="1:6" s="3" customFormat="1" ht="29.1" customHeight="1" x14ac:dyDescent="0.25">
      <c r="A17674" s="2" t="s">
        <v>34811</v>
      </c>
      <c r="B17674" s="2" t="s">
        <v>34812</v>
      </c>
      <c r="C17674" s="2" t="s">
        <v>2133</v>
      </c>
      <c r="D17674" s="2" t="s">
        <v>1888</v>
      </c>
      <c r="E17674" s="2"/>
      <c r="F17674" s="2" t="str">
        <f>"9781925021349"</f>
        <v>9781925021349</v>
      </c>
    </row>
    <row r="17675" spans="1:6" s="3" customFormat="1" ht="29.1" customHeight="1" x14ac:dyDescent="0.25">
      <c r="A17675" s="2" t="s">
        <v>34813</v>
      </c>
      <c r="B17675" s="2" t="s">
        <v>34814</v>
      </c>
      <c r="C17675" s="2" t="s">
        <v>2133</v>
      </c>
      <c r="D17675" s="2" t="s">
        <v>4064</v>
      </c>
      <c r="E17675" s="2"/>
      <c r="F17675" s="2" t="str">
        <f>"9781925021950"</f>
        <v>9781925021950</v>
      </c>
    </row>
    <row r="17676" spans="1:6" s="3" customFormat="1" ht="29.1" customHeight="1" x14ac:dyDescent="0.25">
      <c r="A17676" s="2" t="s">
        <v>34815</v>
      </c>
      <c r="B17676" s="2" t="s">
        <v>34816</v>
      </c>
      <c r="C17676" s="2" t="s">
        <v>2133</v>
      </c>
      <c r="D17676" s="2" t="s">
        <v>1104</v>
      </c>
      <c r="E17676" s="2"/>
      <c r="F17676" s="2" t="str">
        <f>"9781925022827"</f>
        <v>9781925022827</v>
      </c>
    </row>
    <row r="17677" spans="1:6" s="3" customFormat="1" ht="29.1" customHeight="1" x14ac:dyDescent="0.25">
      <c r="A17677" s="2" t="s">
        <v>34817</v>
      </c>
      <c r="B17677" s="2" t="s">
        <v>34818</v>
      </c>
      <c r="C17677" s="2" t="s">
        <v>2133</v>
      </c>
      <c r="D17677" s="2" t="s">
        <v>66</v>
      </c>
      <c r="E17677" s="2"/>
      <c r="F17677" s="2" t="str">
        <f>"9781921934018"</f>
        <v>9781921934018</v>
      </c>
    </row>
    <row r="17678" spans="1:6" s="3" customFormat="1" ht="29.1" customHeight="1" x14ac:dyDescent="0.25">
      <c r="A17678" s="2" t="s">
        <v>33599</v>
      </c>
      <c r="B17678" s="2" t="s">
        <v>33600</v>
      </c>
      <c r="C17678" s="2" t="s">
        <v>2133</v>
      </c>
      <c r="D17678" s="2" t="s">
        <v>636</v>
      </c>
      <c r="E17678" s="2"/>
      <c r="F17678" s="2" t="str">
        <f>"9781925022162"</f>
        <v>9781925022162</v>
      </c>
    </row>
    <row r="17679" spans="1:6" s="3" customFormat="1" ht="29.1" customHeight="1" x14ac:dyDescent="0.25">
      <c r="A17679" s="2" t="s">
        <v>34819</v>
      </c>
      <c r="B17679" s="2" t="s">
        <v>34820</v>
      </c>
      <c r="C17679" s="2" t="s">
        <v>2133</v>
      </c>
      <c r="D17679" s="2" t="s">
        <v>183</v>
      </c>
      <c r="E17679" s="2"/>
      <c r="F17679" s="2" t="str">
        <f>"9781925022315"</f>
        <v>9781925022315</v>
      </c>
    </row>
    <row r="17680" spans="1:6" s="3" customFormat="1" ht="29.1" customHeight="1" x14ac:dyDescent="0.25">
      <c r="A17680" s="2" t="s">
        <v>34821</v>
      </c>
      <c r="B17680" s="2" t="s">
        <v>34822</v>
      </c>
      <c r="C17680" s="2" t="s">
        <v>2133</v>
      </c>
      <c r="D17680" s="2" t="s">
        <v>818</v>
      </c>
      <c r="E17680" s="2"/>
      <c r="F17680" s="2" t="str">
        <f>"9781925022735"</f>
        <v>9781925022735</v>
      </c>
    </row>
    <row r="17681" spans="1:6" s="3" customFormat="1" ht="29.1" customHeight="1" x14ac:dyDescent="0.25">
      <c r="A17681" s="2" t="s">
        <v>34823</v>
      </c>
      <c r="B17681" s="2" t="s">
        <v>34824</v>
      </c>
      <c r="C17681" s="2" t="s">
        <v>2133</v>
      </c>
      <c r="D17681" s="2" t="s">
        <v>3224</v>
      </c>
      <c r="E17681" s="2"/>
      <c r="F17681" s="2" t="str">
        <f>"9781925022391"</f>
        <v>9781925022391</v>
      </c>
    </row>
    <row r="17682" spans="1:6" s="3" customFormat="1" ht="29.1" customHeight="1" x14ac:dyDescent="0.25">
      <c r="A17682" s="2" t="s">
        <v>34825</v>
      </c>
      <c r="B17682" s="2" t="s">
        <v>27223</v>
      </c>
      <c r="C17682" s="2" t="s">
        <v>2133</v>
      </c>
      <c r="D17682" s="2" t="s">
        <v>8874</v>
      </c>
      <c r="E17682" s="2"/>
      <c r="F17682" s="2" t="str">
        <f>"9781925022148"</f>
        <v>9781925022148</v>
      </c>
    </row>
    <row r="17683" spans="1:6" s="3" customFormat="1" ht="29.1" customHeight="1" x14ac:dyDescent="0.25">
      <c r="A17683" s="2" t="s">
        <v>34826</v>
      </c>
      <c r="B17683" s="2" t="s">
        <v>34827</v>
      </c>
      <c r="C17683" s="2" t="s">
        <v>2133</v>
      </c>
      <c r="D17683" s="2" t="s">
        <v>4059</v>
      </c>
      <c r="E17683" s="2"/>
      <c r="F17683" s="2" t="str">
        <f>"9781925022759"</f>
        <v>9781925022759</v>
      </c>
    </row>
    <row r="17684" spans="1:6" s="3" customFormat="1" ht="29.1" customHeight="1" x14ac:dyDescent="0.25">
      <c r="A17684" s="2" t="s">
        <v>34828</v>
      </c>
      <c r="B17684" s="2" t="s">
        <v>34829</v>
      </c>
      <c r="C17684" s="2" t="s">
        <v>2133</v>
      </c>
      <c r="D17684" s="2" t="s">
        <v>8591</v>
      </c>
      <c r="E17684" s="2"/>
      <c r="F17684" s="2" t="str">
        <f>"9781925022278"</f>
        <v>9781925022278</v>
      </c>
    </row>
    <row r="17685" spans="1:6" s="3" customFormat="1" ht="29.1" customHeight="1" x14ac:dyDescent="0.25">
      <c r="A17685" s="2" t="s">
        <v>34830</v>
      </c>
      <c r="B17685" s="2" t="s">
        <v>34703</v>
      </c>
      <c r="C17685" s="2" t="s">
        <v>2133</v>
      </c>
      <c r="D17685" s="2" t="s">
        <v>13300</v>
      </c>
      <c r="E17685" s="2"/>
      <c r="F17685" s="2" t="str">
        <f>"9781920942168"</f>
        <v>9781920942168</v>
      </c>
    </row>
    <row r="17686" spans="1:6" s="3" customFormat="1" ht="29.1" customHeight="1" x14ac:dyDescent="0.25">
      <c r="A17686" s="2" t="s">
        <v>34831</v>
      </c>
      <c r="B17686" s="2" t="s">
        <v>34832</v>
      </c>
      <c r="C17686" s="2" t="s">
        <v>2133</v>
      </c>
      <c r="D17686" s="2" t="s">
        <v>32346</v>
      </c>
      <c r="E17686" s="2"/>
      <c r="F17686" s="2" t="str">
        <f>"9781760464493"</f>
        <v>9781760464493</v>
      </c>
    </row>
    <row r="17687" spans="1:6" s="3" customFormat="1" ht="29.1" customHeight="1" x14ac:dyDescent="0.25">
      <c r="A17687" s="2" t="s">
        <v>34833</v>
      </c>
      <c r="B17687" s="2" t="s">
        <v>34834</v>
      </c>
      <c r="C17687" s="2" t="s">
        <v>2133</v>
      </c>
      <c r="D17687" s="2" t="s">
        <v>4160</v>
      </c>
      <c r="E17687" s="2"/>
      <c r="F17687" s="2" t="str">
        <f>"9781925021301"</f>
        <v>9781925021301</v>
      </c>
    </row>
    <row r="17688" spans="1:6" s="3" customFormat="1" ht="29.1" customHeight="1" x14ac:dyDescent="0.25">
      <c r="A17688" s="2" t="s">
        <v>34835</v>
      </c>
      <c r="B17688" s="2" t="s">
        <v>34836</v>
      </c>
      <c r="C17688" s="2" t="s">
        <v>2133</v>
      </c>
      <c r="D17688" s="2" t="s">
        <v>297</v>
      </c>
      <c r="E17688" s="2"/>
      <c r="F17688" s="2" t="str">
        <f>"9781925022599"</f>
        <v>9781925022599</v>
      </c>
    </row>
    <row r="17689" spans="1:6" s="3" customFormat="1" ht="29.1" customHeight="1" x14ac:dyDescent="0.25">
      <c r="A17689" s="2" t="s">
        <v>34837</v>
      </c>
      <c r="B17689" s="2" t="s">
        <v>32342</v>
      </c>
      <c r="C17689" s="2" t="s">
        <v>2133</v>
      </c>
      <c r="D17689" s="2" t="s">
        <v>92</v>
      </c>
      <c r="E17689" s="2"/>
      <c r="F17689" s="2" t="str">
        <f>"9781925022339"</f>
        <v>9781925022339</v>
      </c>
    </row>
    <row r="17690" spans="1:6" s="3" customFormat="1" ht="29.1" customHeight="1" x14ac:dyDescent="0.25">
      <c r="A17690" s="2" t="s">
        <v>34838</v>
      </c>
      <c r="B17690" s="2" t="s">
        <v>34839</v>
      </c>
      <c r="C17690" s="2" t="s">
        <v>2133</v>
      </c>
      <c r="D17690" s="2" t="s">
        <v>3567</v>
      </c>
      <c r="E17690" s="2" t="str">
        <f>"9781925022179"</f>
        <v>9781925022179</v>
      </c>
      <c r="F17690" s="2" t="str">
        <f>"9781925022186"</f>
        <v>9781925022186</v>
      </c>
    </row>
    <row r="17691" spans="1:6" s="3" customFormat="1" ht="29.1" customHeight="1" x14ac:dyDescent="0.25">
      <c r="A17691" s="2" t="s">
        <v>34840</v>
      </c>
      <c r="B17691" s="2" t="s">
        <v>34841</v>
      </c>
      <c r="C17691" s="2" t="s">
        <v>2133</v>
      </c>
      <c r="D17691" s="2" t="s">
        <v>636</v>
      </c>
      <c r="E17691" s="2"/>
      <c r="F17691" s="2" t="str">
        <f>"9781760464516"</f>
        <v>9781760464516</v>
      </c>
    </row>
    <row r="17692" spans="1:6" s="3" customFormat="1" ht="29.1" customHeight="1" x14ac:dyDescent="0.25">
      <c r="A17692" s="2" t="s">
        <v>34842</v>
      </c>
      <c r="B17692" s="2" t="s">
        <v>34843</v>
      </c>
      <c r="C17692" s="2" t="s">
        <v>2133</v>
      </c>
      <c r="D17692" s="2" t="s">
        <v>10950</v>
      </c>
      <c r="E17692" s="2" t="str">
        <f>"9781921934155"</f>
        <v>9781921934155</v>
      </c>
      <c r="F17692" s="2" t="str">
        <f>"9781921934162"</f>
        <v>9781921934162</v>
      </c>
    </row>
    <row r="17693" spans="1:6" s="3" customFormat="1" ht="29.1" customHeight="1" x14ac:dyDescent="0.25">
      <c r="A17693" s="2" t="s">
        <v>34844</v>
      </c>
      <c r="B17693" s="2" t="s">
        <v>34845</v>
      </c>
      <c r="C17693" s="2" t="s">
        <v>2133</v>
      </c>
      <c r="D17693" s="2" t="s">
        <v>4160</v>
      </c>
      <c r="E17693" s="2"/>
      <c r="F17693" s="2" t="str">
        <f>"9781920942311"</f>
        <v>9781920942311</v>
      </c>
    </row>
    <row r="17694" spans="1:6" s="3" customFormat="1" ht="29.1" customHeight="1" x14ac:dyDescent="0.25">
      <c r="A17694" s="2" t="s">
        <v>34846</v>
      </c>
      <c r="B17694" s="2" t="s">
        <v>34847</v>
      </c>
      <c r="C17694" s="2" t="s">
        <v>2133</v>
      </c>
      <c r="D17694" s="2" t="s">
        <v>2083</v>
      </c>
      <c r="E17694" s="2"/>
      <c r="F17694" s="2" t="str">
        <f>"9781925021363"</f>
        <v>9781925021363</v>
      </c>
    </row>
    <row r="17695" spans="1:6" s="3" customFormat="1" ht="29.1" customHeight="1" x14ac:dyDescent="0.25">
      <c r="A17695" s="2" t="s">
        <v>34848</v>
      </c>
      <c r="B17695" s="2" t="s">
        <v>34849</v>
      </c>
      <c r="C17695" s="2" t="s">
        <v>2133</v>
      </c>
      <c r="D17695" s="2" t="s">
        <v>10685</v>
      </c>
      <c r="E17695" s="2"/>
      <c r="F17695" s="2" t="str">
        <f>"9781925021653"</f>
        <v>9781925021653</v>
      </c>
    </row>
    <row r="17696" spans="1:6" s="3" customFormat="1" ht="29.1" customHeight="1" x14ac:dyDescent="0.25">
      <c r="A17696" s="2" t="s">
        <v>34850</v>
      </c>
      <c r="B17696" s="2" t="s">
        <v>34851</v>
      </c>
      <c r="C17696" s="2" t="s">
        <v>2133</v>
      </c>
      <c r="D17696" s="2" t="s">
        <v>13300</v>
      </c>
      <c r="E17696" s="2"/>
      <c r="F17696" s="2" t="str">
        <f>"9781921536007"</f>
        <v>9781921536007</v>
      </c>
    </row>
    <row r="17697" spans="1:6" s="3" customFormat="1" ht="29.1" customHeight="1" x14ac:dyDescent="0.25">
      <c r="A17697" s="2" t="s">
        <v>34852</v>
      </c>
      <c r="B17697" s="2" t="s">
        <v>34853</v>
      </c>
      <c r="C17697" s="2" t="s">
        <v>2133</v>
      </c>
      <c r="D17697" s="2" t="s">
        <v>4059</v>
      </c>
      <c r="E17697" s="2"/>
      <c r="F17697" s="2" t="str">
        <f>"9781925021011"</f>
        <v>9781925021011</v>
      </c>
    </row>
    <row r="17698" spans="1:6" s="3" customFormat="1" ht="29.1" customHeight="1" x14ac:dyDescent="0.25">
      <c r="A17698" s="2" t="s">
        <v>34854</v>
      </c>
      <c r="B17698" s="2" t="s">
        <v>34855</v>
      </c>
      <c r="C17698" s="2" t="s">
        <v>2133</v>
      </c>
      <c r="D17698" s="2" t="s">
        <v>3536</v>
      </c>
      <c r="E17698" s="2"/>
      <c r="F17698" s="2" t="str">
        <f>"9781760464455"</f>
        <v>9781760464455</v>
      </c>
    </row>
    <row r="17699" spans="1:6" s="3" customFormat="1" ht="29.1" customHeight="1" x14ac:dyDescent="0.25">
      <c r="A17699" s="2" t="s">
        <v>34856</v>
      </c>
      <c r="B17699" s="2" t="s">
        <v>34857</v>
      </c>
      <c r="C17699" s="2" t="s">
        <v>2133</v>
      </c>
      <c r="D17699" s="2" t="s">
        <v>636</v>
      </c>
      <c r="E17699" s="2"/>
      <c r="F17699" s="2" t="str">
        <f>"9781760464257"</f>
        <v>9781760464257</v>
      </c>
    </row>
    <row r="17700" spans="1:6" s="3" customFormat="1" ht="29.1" customHeight="1" x14ac:dyDescent="0.25">
      <c r="A17700" s="2" t="s">
        <v>34858</v>
      </c>
      <c r="B17700" s="2" t="s">
        <v>34859</v>
      </c>
      <c r="C17700" s="2" t="s">
        <v>2133</v>
      </c>
      <c r="D17700" s="2" t="s">
        <v>764</v>
      </c>
      <c r="E17700" s="2"/>
      <c r="F17700" s="2" t="str">
        <f>"9781925022377"</f>
        <v>9781925022377</v>
      </c>
    </row>
    <row r="17701" spans="1:6" s="3" customFormat="1" ht="29.1" customHeight="1" x14ac:dyDescent="0.25">
      <c r="A17701" s="2" t="s">
        <v>34860</v>
      </c>
      <c r="B17701" s="2" t="s">
        <v>34861</v>
      </c>
      <c r="C17701" s="2" t="s">
        <v>2133</v>
      </c>
      <c r="D17701" s="2" t="s">
        <v>15589</v>
      </c>
      <c r="E17701" s="2"/>
      <c r="F17701" s="2" t="str">
        <f>"9781925021578"</f>
        <v>9781925021578</v>
      </c>
    </row>
    <row r="17702" spans="1:6" s="3" customFormat="1" ht="29.1" customHeight="1" x14ac:dyDescent="0.25">
      <c r="A17702" s="2" t="s">
        <v>34862</v>
      </c>
      <c r="B17702" s="2" t="s">
        <v>34863</v>
      </c>
      <c r="C17702" s="2" t="s">
        <v>2133</v>
      </c>
      <c r="D17702" s="2" t="s">
        <v>7744</v>
      </c>
      <c r="E17702" s="2"/>
      <c r="F17702" s="2" t="str">
        <f>"9781921313820"</f>
        <v>9781921313820</v>
      </c>
    </row>
    <row r="17703" spans="1:6" s="3" customFormat="1" ht="29.1" customHeight="1" x14ac:dyDescent="0.25">
      <c r="A17703" s="2" t="s">
        <v>34864</v>
      </c>
      <c r="B17703" s="2" t="s">
        <v>34865</v>
      </c>
      <c r="C17703" s="2" t="s">
        <v>2133</v>
      </c>
      <c r="D17703" s="2" t="s">
        <v>2505</v>
      </c>
      <c r="E17703" s="2"/>
      <c r="F17703" s="2" t="str">
        <f>"9781925021165"</f>
        <v>9781925021165</v>
      </c>
    </row>
    <row r="17704" spans="1:6" s="3" customFormat="1" ht="29.1" customHeight="1" x14ac:dyDescent="0.25">
      <c r="A17704" s="2" t="s">
        <v>34866</v>
      </c>
      <c r="B17704" s="2" t="s">
        <v>34867</v>
      </c>
      <c r="C17704" s="2" t="s">
        <v>2133</v>
      </c>
      <c r="D17704" s="2" t="s">
        <v>9312</v>
      </c>
      <c r="E17704" s="2"/>
      <c r="F17704" s="2" t="str">
        <f>"9781925021875"</f>
        <v>9781925021875</v>
      </c>
    </row>
    <row r="17705" spans="1:6" s="3" customFormat="1" ht="29.1" customHeight="1" x14ac:dyDescent="0.25">
      <c r="A17705" s="2" t="s">
        <v>34868</v>
      </c>
      <c r="B17705" s="2" t="s">
        <v>34869</v>
      </c>
      <c r="C17705" s="2" t="s">
        <v>2133</v>
      </c>
      <c r="D17705" s="2" t="s">
        <v>818</v>
      </c>
      <c r="E17705" s="2"/>
      <c r="F17705" s="2" t="str">
        <f>"9781925022636"</f>
        <v>9781925022636</v>
      </c>
    </row>
    <row r="17706" spans="1:6" s="3" customFormat="1" ht="29.1" customHeight="1" x14ac:dyDescent="0.25">
      <c r="A17706" s="2" t="s">
        <v>34870</v>
      </c>
      <c r="B17706" s="2" t="s">
        <v>34871</v>
      </c>
      <c r="C17706" s="2" t="s">
        <v>2133</v>
      </c>
      <c r="D17706" s="2" t="s">
        <v>1598</v>
      </c>
      <c r="E17706" s="2"/>
      <c r="F17706" s="2" t="str">
        <f>"9781925022230"</f>
        <v>9781925022230</v>
      </c>
    </row>
    <row r="17707" spans="1:6" s="3" customFormat="1" ht="29.1" customHeight="1" x14ac:dyDescent="0.25">
      <c r="A17707" s="2" t="s">
        <v>34872</v>
      </c>
      <c r="B17707" s="2" t="s">
        <v>34873</v>
      </c>
      <c r="C17707" s="2" t="s">
        <v>2133</v>
      </c>
      <c r="D17707" s="2" t="s">
        <v>4059</v>
      </c>
      <c r="E17707" s="2"/>
      <c r="F17707" s="2" t="str">
        <f>"9781925022353"</f>
        <v>9781925022353</v>
      </c>
    </row>
    <row r="17708" spans="1:6" s="3" customFormat="1" ht="29.1" customHeight="1" x14ac:dyDescent="0.25">
      <c r="A17708" s="2" t="s">
        <v>34874</v>
      </c>
      <c r="B17708" s="2" t="s">
        <v>34875</v>
      </c>
      <c r="C17708" s="2" t="s">
        <v>2133</v>
      </c>
      <c r="D17708" s="2" t="s">
        <v>5032</v>
      </c>
      <c r="E17708" s="2"/>
      <c r="F17708" s="2" t="str">
        <f>"9781925021806"</f>
        <v>9781925021806</v>
      </c>
    </row>
    <row r="17709" spans="1:6" s="3" customFormat="1" ht="29.1" customHeight="1" x14ac:dyDescent="0.25">
      <c r="A17709" s="2" t="s">
        <v>34876</v>
      </c>
      <c r="B17709" s="2" t="s">
        <v>34877</v>
      </c>
      <c r="C17709" s="2" t="s">
        <v>2133</v>
      </c>
      <c r="D17709" s="2" t="s">
        <v>7199</v>
      </c>
      <c r="E17709" s="2"/>
      <c r="F17709" s="2" t="str">
        <f>"9781922144447"</f>
        <v>9781922144447</v>
      </c>
    </row>
    <row r="17710" spans="1:6" s="3" customFormat="1" ht="29.1" customHeight="1" x14ac:dyDescent="0.25">
      <c r="A17710" s="2" t="s">
        <v>34878</v>
      </c>
      <c r="B17710" s="2" t="s">
        <v>34879</v>
      </c>
      <c r="C17710" s="2" t="s">
        <v>2133</v>
      </c>
      <c r="D17710" s="2" t="s">
        <v>6120</v>
      </c>
      <c r="E17710" s="2"/>
      <c r="F17710" s="2" t="str">
        <f>"9781760464417"</f>
        <v>9781760464417</v>
      </c>
    </row>
    <row r="17711" spans="1:6" s="3" customFormat="1" ht="29.1" customHeight="1" x14ac:dyDescent="0.25">
      <c r="A17711" s="2" t="s">
        <v>34880</v>
      </c>
      <c r="B17711" s="2" t="s">
        <v>34881</v>
      </c>
      <c r="C17711" s="2" t="s">
        <v>2133</v>
      </c>
      <c r="D17711" s="2" t="s">
        <v>501</v>
      </c>
      <c r="E17711" s="2"/>
      <c r="F17711" s="2" t="str">
        <f>"9781925021424"</f>
        <v>9781925021424</v>
      </c>
    </row>
    <row r="17712" spans="1:6" s="3" customFormat="1" ht="29.1" customHeight="1" x14ac:dyDescent="0.25">
      <c r="A17712" s="2" t="s">
        <v>34882</v>
      </c>
      <c r="B17712" s="2" t="s">
        <v>34705</v>
      </c>
      <c r="C17712" s="2" t="s">
        <v>2133</v>
      </c>
      <c r="D17712" s="2" t="s">
        <v>501</v>
      </c>
      <c r="E17712" s="2"/>
      <c r="F17712" s="2" t="str">
        <f>"9781925022124"</f>
        <v>9781925022124</v>
      </c>
    </row>
    <row r="17713" spans="1:6" s="3" customFormat="1" ht="29.1" customHeight="1" x14ac:dyDescent="0.25">
      <c r="A17713" s="2" t="s">
        <v>34883</v>
      </c>
      <c r="B17713" s="2" t="s">
        <v>34884</v>
      </c>
      <c r="C17713" s="2" t="s">
        <v>2133</v>
      </c>
      <c r="D17713" s="2" t="s">
        <v>9312</v>
      </c>
      <c r="E17713" s="2"/>
      <c r="F17713" s="2" t="str">
        <f>"9781921313769"</f>
        <v>9781921313769</v>
      </c>
    </row>
    <row r="17714" spans="1:6" s="3" customFormat="1" ht="29.1" customHeight="1" x14ac:dyDescent="0.25">
      <c r="A17714" s="2" t="s">
        <v>34885</v>
      </c>
      <c r="B17714" s="2" t="s">
        <v>34886</v>
      </c>
      <c r="C17714" s="2" t="s">
        <v>2133</v>
      </c>
      <c r="D17714" s="2" t="s">
        <v>5930</v>
      </c>
      <c r="E17714" s="2"/>
      <c r="F17714" s="2" t="str">
        <f>"9781925022612"</f>
        <v>9781925022612</v>
      </c>
    </row>
    <row r="17715" spans="1:6" s="3" customFormat="1" ht="29.1" customHeight="1" x14ac:dyDescent="0.25">
      <c r="A17715" s="2" t="s">
        <v>34887</v>
      </c>
      <c r="B17715" s="2" t="s">
        <v>34888</v>
      </c>
      <c r="C17715" s="2" t="s">
        <v>2133</v>
      </c>
      <c r="D17715" s="2" t="s">
        <v>1895</v>
      </c>
      <c r="E17715" s="2"/>
      <c r="F17715" s="2" t="str">
        <f>"9781921666797"</f>
        <v>9781921666797</v>
      </c>
    </row>
    <row r="17716" spans="1:6" s="3" customFormat="1" ht="29.1" customHeight="1" x14ac:dyDescent="0.25">
      <c r="A17716" s="2" t="s">
        <v>34889</v>
      </c>
      <c r="B17716" s="2" t="s">
        <v>34674</v>
      </c>
      <c r="C17716" s="2" t="s">
        <v>2133</v>
      </c>
      <c r="D17716" s="2" t="s">
        <v>1768</v>
      </c>
      <c r="E17716" s="2"/>
      <c r="F17716" s="2" t="str">
        <f>"9781925021592"</f>
        <v>9781925021592</v>
      </c>
    </row>
    <row r="17717" spans="1:6" s="3" customFormat="1" ht="29.1" customHeight="1" x14ac:dyDescent="0.25">
      <c r="A17717" s="2" t="s">
        <v>34890</v>
      </c>
      <c r="B17717" s="2" t="s">
        <v>34891</v>
      </c>
      <c r="C17717" s="2" t="s">
        <v>2133</v>
      </c>
      <c r="D17717" s="2" t="s">
        <v>1806</v>
      </c>
      <c r="E17717" s="2"/>
      <c r="F17717" s="2" t="str">
        <f>"9781920942465"</f>
        <v>9781920942465</v>
      </c>
    </row>
    <row r="17718" spans="1:6" s="3" customFormat="1" ht="29.1" customHeight="1" x14ac:dyDescent="0.25">
      <c r="A17718" s="2" t="s">
        <v>34892</v>
      </c>
      <c r="B17718" s="2" t="s">
        <v>34893</v>
      </c>
      <c r="C17718" s="2" t="s">
        <v>2133</v>
      </c>
      <c r="D17718" s="2" t="s">
        <v>1988</v>
      </c>
      <c r="E17718" s="2"/>
      <c r="F17718" s="2" t="str">
        <f>"9781760460006"</f>
        <v>9781760460006</v>
      </c>
    </row>
    <row r="17719" spans="1:6" s="3" customFormat="1" ht="29.1" customHeight="1" x14ac:dyDescent="0.25">
      <c r="A17719" s="2" t="s">
        <v>34894</v>
      </c>
      <c r="B17719" s="2" t="s">
        <v>34895</v>
      </c>
      <c r="C17719" s="2" t="s">
        <v>2133</v>
      </c>
      <c r="D17719" s="2" t="s">
        <v>6972</v>
      </c>
      <c r="E17719" s="2"/>
      <c r="F17719" s="2" t="str">
        <f>"9781760460020"</f>
        <v>9781760460020</v>
      </c>
    </row>
    <row r="17720" spans="1:6" s="3" customFormat="1" ht="29.1" customHeight="1" x14ac:dyDescent="0.25">
      <c r="A17720" s="2" t="s">
        <v>34896</v>
      </c>
      <c r="B17720" s="2" t="s">
        <v>34897</v>
      </c>
      <c r="C17720" s="2" t="s">
        <v>2133</v>
      </c>
      <c r="D17720" s="2" t="s">
        <v>95</v>
      </c>
      <c r="E17720" s="2"/>
      <c r="F17720" s="2" t="str">
        <f>"9781925022995"</f>
        <v>9781925022995</v>
      </c>
    </row>
    <row r="17721" spans="1:6" s="3" customFormat="1" ht="29.1" customHeight="1" x14ac:dyDescent="0.25">
      <c r="A17721" s="2" t="s">
        <v>34898</v>
      </c>
      <c r="B17721" s="2" t="s">
        <v>34899</v>
      </c>
      <c r="C17721" s="2" t="s">
        <v>2133</v>
      </c>
      <c r="D17721" s="2" t="s">
        <v>81</v>
      </c>
      <c r="E17721" s="2"/>
      <c r="F17721" s="2" t="str">
        <f>"9781925022919"</f>
        <v>9781925022919</v>
      </c>
    </row>
    <row r="17722" spans="1:6" s="3" customFormat="1" ht="29.1" customHeight="1" x14ac:dyDescent="0.25">
      <c r="A17722" s="2" t="s">
        <v>34900</v>
      </c>
      <c r="B17722" s="2" t="s">
        <v>34901</v>
      </c>
      <c r="C17722" s="2" t="s">
        <v>2133</v>
      </c>
      <c r="D17722" s="2" t="s">
        <v>818</v>
      </c>
      <c r="E17722" s="2"/>
      <c r="F17722" s="2" t="str">
        <f>"9781925022902"</f>
        <v>9781925022902</v>
      </c>
    </row>
    <row r="17723" spans="1:6" s="3" customFormat="1" ht="29.1" customHeight="1" x14ac:dyDescent="0.25">
      <c r="A17723" s="2" t="s">
        <v>34902</v>
      </c>
      <c r="B17723" s="2" t="s">
        <v>34903</v>
      </c>
      <c r="C17723" s="2" t="s">
        <v>2133</v>
      </c>
      <c r="D17723" s="2" t="s">
        <v>4059</v>
      </c>
      <c r="E17723" s="2"/>
      <c r="F17723" s="2" t="str">
        <f>"9781925022803"</f>
        <v>9781925022803</v>
      </c>
    </row>
    <row r="17724" spans="1:6" s="3" customFormat="1" ht="29.1" customHeight="1" x14ac:dyDescent="0.25">
      <c r="A17724" s="2" t="s">
        <v>34904</v>
      </c>
      <c r="B17724" s="2" t="s">
        <v>34905</v>
      </c>
      <c r="C17724" s="2" t="s">
        <v>2133</v>
      </c>
      <c r="D17724" s="2" t="s">
        <v>1141</v>
      </c>
      <c r="E17724" s="2" t="str">
        <f>"9781922144645"</f>
        <v>9781922144645</v>
      </c>
      <c r="F17724" s="2" t="str">
        <f>"9781922144652"</f>
        <v>9781922144652</v>
      </c>
    </row>
    <row r="17725" spans="1:6" s="3" customFormat="1" ht="29.1" customHeight="1" x14ac:dyDescent="0.25">
      <c r="A17725" s="2" t="s">
        <v>34906</v>
      </c>
      <c r="B17725" s="2" t="s">
        <v>34907</v>
      </c>
      <c r="C17725" s="2" t="s">
        <v>2133</v>
      </c>
      <c r="D17725" s="2" t="s">
        <v>479</v>
      </c>
      <c r="E17725" s="2"/>
      <c r="F17725" s="2" t="str">
        <f>"9781921536618"</f>
        <v>9781921536618</v>
      </c>
    </row>
    <row r="17726" spans="1:6" s="3" customFormat="1" ht="29.1" customHeight="1" x14ac:dyDescent="0.25">
      <c r="A17726" s="2" t="s">
        <v>34908</v>
      </c>
      <c r="B17726" s="2" t="s">
        <v>34909</v>
      </c>
      <c r="C17726" s="2" t="s">
        <v>2133</v>
      </c>
      <c r="D17726" s="2" t="s">
        <v>501</v>
      </c>
      <c r="E17726" s="2"/>
      <c r="F17726" s="2" t="str">
        <f>"9781921536458"</f>
        <v>9781921536458</v>
      </c>
    </row>
    <row r="17727" spans="1:6" s="3" customFormat="1" ht="29.1" customHeight="1" x14ac:dyDescent="0.25">
      <c r="A17727" s="2" t="s">
        <v>34910</v>
      </c>
      <c r="B17727" s="2" t="s">
        <v>34911</v>
      </c>
      <c r="C17727" s="2" t="s">
        <v>2133</v>
      </c>
      <c r="D17727" s="2" t="s">
        <v>4059</v>
      </c>
      <c r="E17727" s="2"/>
      <c r="F17727" s="2" t="str">
        <f>"9781921666179"</f>
        <v>9781921666179</v>
      </c>
    </row>
    <row r="17728" spans="1:6" s="3" customFormat="1" ht="29.1" customHeight="1" x14ac:dyDescent="0.25">
      <c r="A17728" s="2" t="s">
        <v>34912</v>
      </c>
      <c r="B17728" s="2" t="s">
        <v>34913</v>
      </c>
      <c r="C17728" s="2" t="s">
        <v>2133</v>
      </c>
      <c r="D17728" s="2" t="s">
        <v>1867</v>
      </c>
      <c r="E17728" s="2"/>
      <c r="F17728" s="2" t="str">
        <f>"9781921666674"</f>
        <v>9781921666674</v>
      </c>
    </row>
    <row r="17729" spans="1:6" s="3" customFormat="1" ht="29.1" customHeight="1" x14ac:dyDescent="0.25">
      <c r="A17729" s="2" t="s">
        <v>34914</v>
      </c>
      <c r="B17729" s="2" t="s">
        <v>34915</v>
      </c>
      <c r="C17729" s="2" t="s">
        <v>2133</v>
      </c>
      <c r="D17729" s="2" t="s">
        <v>2019</v>
      </c>
      <c r="E17729" s="2"/>
      <c r="F17729" s="2" t="str">
        <f>"9781921313547"</f>
        <v>9781921313547</v>
      </c>
    </row>
    <row r="17730" spans="1:6" s="3" customFormat="1" ht="29.1" customHeight="1" x14ac:dyDescent="0.25">
      <c r="A17730" s="2" t="s">
        <v>34916</v>
      </c>
      <c r="B17730" s="2" t="s">
        <v>34917</v>
      </c>
      <c r="C17730" s="2" t="s">
        <v>2133</v>
      </c>
      <c r="D17730" s="2" t="s">
        <v>636</v>
      </c>
      <c r="E17730" s="2"/>
      <c r="F17730" s="2" t="str">
        <f>"9781921666438"</f>
        <v>9781921666438</v>
      </c>
    </row>
    <row r="17731" spans="1:6" s="3" customFormat="1" ht="29.1" customHeight="1" x14ac:dyDescent="0.25">
      <c r="A17731" s="2" t="s">
        <v>34918</v>
      </c>
      <c r="B17731" s="2" t="s">
        <v>34919</v>
      </c>
      <c r="C17731" s="2" t="s">
        <v>2133</v>
      </c>
      <c r="D17731" s="2" t="s">
        <v>4059</v>
      </c>
      <c r="E17731" s="2"/>
      <c r="F17731" s="2" t="str">
        <f>"9781921666650"</f>
        <v>9781921666650</v>
      </c>
    </row>
    <row r="17732" spans="1:6" s="3" customFormat="1" ht="29.1" customHeight="1" x14ac:dyDescent="0.25">
      <c r="A17732" s="2" t="s">
        <v>34920</v>
      </c>
      <c r="B17732" s="2" t="s">
        <v>34921</v>
      </c>
      <c r="C17732" s="2" t="s">
        <v>2133</v>
      </c>
      <c r="D17732" s="2" t="s">
        <v>5695</v>
      </c>
      <c r="E17732" s="2"/>
      <c r="F17732" s="2" t="str">
        <f>"9781925021615"</f>
        <v>9781925021615</v>
      </c>
    </row>
    <row r="17733" spans="1:6" s="3" customFormat="1" ht="29.1" customHeight="1" x14ac:dyDescent="0.25">
      <c r="A17733" s="2" t="s">
        <v>34922</v>
      </c>
      <c r="B17733" s="2" t="s">
        <v>32357</v>
      </c>
      <c r="C17733" s="2" t="s">
        <v>2133</v>
      </c>
      <c r="D17733" s="2" t="s">
        <v>294</v>
      </c>
      <c r="E17733" s="2"/>
      <c r="F17733" s="2" t="str">
        <f>"9781921862199"</f>
        <v>9781921862199</v>
      </c>
    </row>
    <row r="17734" spans="1:6" s="3" customFormat="1" ht="29.1" customHeight="1" x14ac:dyDescent="0.25">
      <c r="A17734" s="2" t="s">
        <v>34923</v>
      </c>
      <c r="B17734" s="2" t="s">
        <v>34924</v>
      </c>
      <c r="C17734" s="2" t="s">
        <v>2133</v>
      </c>
      <c r="D17734" s="2" t="s">
        <v>9265</v>
      </c>
      <c r="E17734" s="2"/>
      <c r="F17734" s="2" t="str">
        <f>"9781921536274"</f>
        <v>9781921536274</v>
      </c>
    </row>
    <row r="17735" spans="1:6" s="3" customFormat="1" ht="29.1" customHeight="1" x14ac:dyDescent="0.25">
      <c r="A17735" s="2" t="s">
        <v>34925</v>
      </c>
      <c r="B17735" s="2" t="s">
        <v>34926</v>
      </c>
      <c r="C17735" s="2" t="s">
        <v>2133</v>
      </c>
      <c r="D17735" s="2" t="s">
        <v>4059</v>
      </c>
      <c r="E17735" s="2"/>
      <c r="F17735" s="2" t="str">
        <f>"9780975122983"</f>
        <v>9780975122983</v>
      </c>
    </row>
    <row r="17736" spans="1:6" s="3" customFormat="1" ht="29.1" customHeight="1" x14ac:dyDescent="0.25">
      <c r="A17736" s="2" t="s">
        <v>34927</v>
      </c>
      <c r="B17736" s="2" t="s">
        <v>34928</v>
      </c>
      <c r="C17736" s="2" t="s">
        <v>2133</v>
      </c>
      <c r="D17736" s="2" t="s">
        <v>3214</v>
      </c>
      <c r="E17736" s="2"/>
      <c r="F17736" s="2" t="str">
        <f>"9781925021714"</f>
        <v>9781925021714</v>
      </c>
    </row>
    <row r="17737" spans="1:6" s="3" customFormat="1" ht="29.1" customHeight="1" x14ac:dyDescent="0.25">
      <c r="A17737" s="2" t="s">
        <v>34929</v>
      </c>
      <c r="B17737" s="2" t="s">
        <v>34931</v>
      </c>
      <c r="C17737" s="2" t="s">
        <v>2133</v>
      </c>
      <c r="D17737" s="2" t="s">
        <v>34930</v>
      </c>
      <c r="E17737" s="2"/>
      <c r="F17737" s="2" t="str">
        <f>"9781925021509"</f>
        <v>9781925021509</v>
      </c>
    </row>
    <row r="17738" spans="1:6" s="3" customFormat="1" ht="29.1" customHeight="1" x14ac:dyDescent="0.25">
      <c r="A17738" s="2" t="s">
        <v>34932</v>
      </c>
      <c r="B17738" s="2" t="s">
        <v>34933</v>
      </c>
      <c r="C17738" s="2" t="s">
        <v>2133</v>
      </c>
      <c r="D17738" s="2" t="s">
        <v>2168</v>
      </c>
      <c r="E17738" s="2"/>
      <c r="F17738" s="2" t="str">
        <f>"9781925021400"</f>
        <v>9781925021400</v>
      </c>
    </row>
    <row r="17739" spans="1:6" s="3" customFormat="1" ht="29.1" customHeight="1" x14ac:dyDescent="0.25">
      <c r="A17739" s="2" t="s">
        <v>34934</v>
      </c>
      <c r="B17739" s="2" t="s">
        <v>34935</v>
      </c>
      <c r="C17739" s="2" t="s">
        <v>2133</v>
      </c>
      <c r="D17739" s="2" t="s">
        <v>294</v>
      </c>
      <c r="E17739" s="2"/>
      <c r="F17739" s="2" t="str">
        <f>"9781760464370"</f>
        <v>9781760464370</v>
      </c>
    </row>
    <row r="17740" spans="1:6" s="3" customFormat="1" ht="29.1" customHeight="1" x14ac:dyDescent="0.25">
      <c r="A17740" s="2" t="s">
        <v>34936</v>
      </c>
      <c r="B17740" s="2" t="s">
        <v>34937</v>
      </c>
      <c r="C17740" s="2" t="s">
        <v>2133</v>
      </c>
      <c r="D17740" s="2" t="s">
        <v>5930</v>
      </c>
      <c r="E17740" s="2"/>
      <c r="F17740" s="2" t="str">
        <f>"9781921313868"</f>
        <v>9781921313868</v>
      </c>
    </row>
    <row r="17741" spans="1:6" s="3" customFormat="1" ht="29.1" customHeight="1" x14ac:dyDescent="0.25">
      <c r="A17741" s="2" t="s">
        <v>34938</v>
      </c>
      <c r="B17741" s="2" t="s">
        <v>34939</v>
      </c>
      <c r="C17741" s="2" t="s">
        <v>2133</v>
      </c>
      <c r="D17741" s="2" t="s">
        <v>1867</v>
      </c>
      <c r="E17741" s="2" t="str">
        <f>"9781760460846"</f>
        <v>9781760460846</v>
      </c>
      <c r="F17741" s="2" t="str">
        <f>"9781760460853"</f>
        <v>9781760460853</v>
      </c>
    </row>
    <row r="17742" spans="1:6" s="3" customFormat="1" ht="29.1" customHeight="1" x14ac:dyDescent="0.25">
      <c r="A17742" s="2" t="s">
        <v>34940</v>
      </c>
      <c r="B17742" s="2" t="s">
        <v>34941</v>
      </c>
      <c r="C17742" s="2" t="s">
        <v>2133</v>
      </c>
      <c r="D17742" s="2" t="s">
        <v>156</v>
      </c>
      <c r="E17742" s="2"/>
      <c r="F17742" s="2" t="str">
        <f>"9781760464318"</f>
        <v>9781760464318</v>
      </c>
    </row>
    <row r="17743" spans="1:6" s="3" customFormat="1" ht="29.1" customHeight="1" x14ac:dyDescent="0.25">
      <c r="A17743" s="2" t="s">
        <v>34942</v>
      </c>
      <c r="B17743" s="2" t="s">
        <v>34943</v>
      </c>
      <c r="C17743" s="2" t="s">
        <v>2133</v>
      </c>
      <c r="D17743" s="2" t="s">
        <v>818</v>
      </c>
      <c r="E17743" s="2"/>
      <c r="F17743" s="2" t="str">
        <f>"9781921313271"</f>
        <v>9781921313271</v>
      </c>
    </row>
    <row r="17744" spans="1:6" s="3" customFormat="1" ht="29.1" customHeight="1" x14ac:dyDescent="0.25">
      <c r="A17744" s="2" t="s">
        <v>34944</v>
      </c>
      <c r="B17744" s="2" t="s">
        <v>34945</v>
      </c>
      <c r="C17744" s="2" t="s">
        <v>2133</v>
      </c>
      <c r="D17744" s="2" t="s">
        <v>2542</v>
      </c>
      <c r="E17744" s="2" t="str">
        <f>"9781760462321"</f>
        <v>9781760462321</v>
      </c>
      <c r="F17744" s="2" t="str">
        <f>"9781760462338"</f>
        <v>9781760462338</v>
      </c>
    </row>
    <row r="17745" spans="1:6" s="3" customFormat="1" ht="29.1" customHeight="1" x14ac:dyDescent="0.25">
      <c r="A17745" s="2" t="s">
        <v>34946</v>
      </c>
      <c r="B17745" s="2" t="s">
        <v>34947</v>
      </c>
      <c r="C17745" s="2" t="s">
        <v>2133</v>
      </c>
      <c r="D17745" s="2" t="s">
        <v>8275</v>
      </c>
      <c r="E17745" s="2"/>
      <c r="F17745" s="2" t="str">
        <f>"9781760463397"</f>
        <v>9781760463397</v>
      </c>
    </row>
    <row r="17746" spans="1:6" s="3" customFormat="1" ht="29.1" customHeight="1" x14ac:dyDescent="0.25">
      <c r="A17746" s="2" t="s">
        <v>34948</v>
      </c>
      <c r="B17746" s="2" t="s">
        <v>34949</v>
      </c>
      <c r="C17746" s="2" t="s">
        <v>2133</v>
      </c>
      <c r="D17746" s="2" t="s">
        <v>189</v>
      </c>
      <c r="E17746" s="2"/>
      <c r="F17746" s="2" t="str">
        <f>"9781922144874"</f>
        <v>9781922144874</v>
      </c>
    </row>
    <row r="17747" spans="1:6" s="3" customFormat="1" ht="29.1" customHeight="1" x14ac:dyDescent="0.25">
      <c r="A17747" s="2" t="s">
        <v>34950</v>
      </c>
      <c r="B17747" s="2" t="s">
        <v>34951</v>
      </c>
      <c r="C17747" s="2" t="s">
        <v>2133</v>
      </c>
      <c r="D17747" s="2" t="s">
        <v>1617</v>
      </c>
      <c r="E17747" s="2"/>
      <c r="F17747" s="2" t="str">
        <f>"9781925022001"</f>
        <v>9781925022001</v>
      </c>
    </row>
    <row r="17748" spans="1:6" s="3" customFormat="1" ht="29.1" customHeight="1" x14ac:dyDescent="0.25">
      <c r="A17748" s="2" t="s">
        <v>34952</v>
      </c>
      <c r="B17748" s="2" t="s">
        <v>34953</v>
      </c>
      <c r="C17748" s="2" t="s">
        <v>2133</v>
      </c>
      <c r="D17748" s="2" t="s">
        <v>34783</v>
      </c>
      <c r="E17748" s="2"/>
      <c r="F17748" s="2" t="str">
        <f>"9781925022216"</f>
        <v>9781925022216</v>
      </c>
    </row>
    <row r="17749" spans="1:6" s="3" customFormat="1" ht="29.1" customHeight="1" x14ac:dyDescent="0.25">
      <c r="A17749" s="2" t="s">
        <v>34954</v>
      </c>
      <c r="B17749" s="2" t="s">
        <v>32728</v>
      </c>
      <c r="C17749" s="2" t="s">
        <v>2133</v>
      </c>
      <c r="D17749" s="2" t="s">
        <v>4670</v>
      </c>
      <c r="E17749" s="2"/>
      <c r="F17749" s="2" t="str">
        <f>"9781925022698"</f>
        <v>9781925022698</v>
      </c>
    </row>
    <row r="17750" spans="1:6" s="3" customFormat="1" ht="29.1" customHeight="1" x14ac:dyDescent="0.25">
      <c r="A17750" s="2" t="s">
        <v>34955</v>
      </c>
      <c r="B17750" s="2" t="s">
        <v>32335</v>
      </c>
      <c r="C17750" s="2" t="s">
        <v>2133</v>
      </c>
      <c r="D17750" s="2" t="s">
        <v>8874</v>
      </c>
      <c r="E17750" s="2"/>
      <c r="F17750" s="2" t="str">
        <f>"9781925022650"</f>
        <v>9781925022650</v>
      </c>
    </row>
    <row r="17751" spans="1:6" s="3" customFormat="1" ht="29.1" customHeight="1" x14ac:dyDescent="0.25">
      <c r="A17751" s="2" t="s">
        <v>34956</v>
      </c>
      <c r="B17751" s="2" t="s">
        <v>10228</v>
      </c>
      <c r="C17751" s="2" t="s">
        <v>2133</v>
      </c>
      <c r="D17751" s="2" t="s">
        <v>636</v>
      </c>
      <c r="E17751" s="2"/>
      <c r="F17751" s="2" t="str">
        <f>"9781760464332"</f>
        <v>9781760464332</v>
      </c>
    </row>
    <row r="17752" spans="1:6" s="3" customFormat="1" ht="29.1" customHeight="1" x14ac:dyDescent="0.25">
      <c r="A17752" s="2" t="s">
        <v>34957</v>
      </c>
      <c r="B17752" s="2" t="s">
        <v>15547</v>
      </c>
      <c r="C17752" s="2" t="s">
        <v>2133</v>
      </c>
      <c r="D17752" s="2" t="s">
        <v>218</v>
      </c>
      <c r="E17752" s="2"/>
      <c r="F17752" s="2" t="str">
        <f>"9781922144614"</f>
        <v>9781922144614</v>
      </c>
    </row>
    <row r="17753" spans="1:6" s="3" customFormat="1" ht="29.1" customHeight="1" x14ac:dyDescent="0.25">
      <c r="A17753" s="2" t="s">
        <v>34958</v>
      </c>
      <c r="B17753" s="2" t="s">
        <v>34959</v>
      </c>
      <c r="C17753" s="2" t="s">
        <v>2133</v>
      </c>
      <c r="D17753" s="2" t="s">
        <v>13096</v>
      </c>
      <c r="E17753" s="2"/>
      <c r="F17753" s="2" t="str">
        <f>"9781921313639"</f>
        <v>9781921313639</v>
      </c>
    </row>
    <row r="17754" spans="1:6" s="3" customFormat="1" ht="29.1" customHeight="1" x14ac:dyDescent="0.25">
      <c r="A17754" s="2" t="s">
        <v>34960</v>
      </c>
      <c r="B17754" s="2" t="s">
        <v>34961</v>
      </c>
      <c r="C17754" s="2" t="s">
        <v>2133</v>
      </c>
      <c r="D17754" s="2" t="s">
        <v>8199</v>
      </c>
      <c r="E17754" s="2"/>
      <c r="F17754" s="2" t="str">
        <f>"9781921862984"</f>
        <v>9781921862984</v>
      </c>
    </row>
    <row r="17755" spans="1:6" s="3" customFormat="1" ht="29.1" customHeight="1" x14ac:dyDescent="0.25">
      <c r="A17755" s="2" t="s">
        <v>34962</v>
      </c>
      <c r="B17755" s="2" t="s">
        <v>34963</v>
      </c>
      <c r="C17755" s="2" t="s">
        <v>2133</v>
      </c>
      <c r="D17755" s="2" t="s">
        <v>2587</v>
      </c>
      <c r="E17755" s="2"/>
      <c r="F17755" s="2" t="str">
        <f>"9781921862052"</f>
        <v>9781921862052</v>
      </c>
    </row>
    <row r="17756" spans="1:6" s="3" customFormat="1" ht="29.1" customHeight="1" x14ac:dyDescent="0.25">
      <c r="A17756" s="2" t="s">
        <v>34964</v>
      </c>
      <c r="B17756" s="2" t="s">
        <v>34966</v>
      </c>
      <c r="C17756" s="2" t="s">
        <v>2133</v>
      </c>
      <c r="D17756" s="2" t="s">
        <v>34965</v>
      </c>
      <c r="E17756" s="2"/>
      <c r="F17756" s="2" t="str">
        <f>"9781921934261"</f>
        <v>9781921934261</v>
      </c>
    </row>
    <row r="17757" spans="1:6" s="3" customFormat="1" ht="29.1" customHeight="1" x14ac:dyDescent="0.25">
      <c r="A17757" s="2" t="s">
        <v>34967</v>
      </c>
      <c r="B17757" s="2" t="s">
        <v>34968</v>
      </c>
      <c r="C17757" s="2" t="s">
        <v>2133</v>
      </c>
      <c r="D17757" s="2" t="s">
        <v>186</v>
      </c>
      <c r="E17757" s="2"/>
      <c r="F17757" s="2" t="str">
        <f>"9781760464356"</f>
        <v>9781760464356</v>
      </c>
    </row>
    <row r="17758" spans="1:6" s="3" customFormat="1" ht="29.1" customHeight="1" x14ac:dyDescent="0.25">
      <c r="A17758" s="2" t="s">
        <v>34969</v>
      </c>
      <c r="B17758" s="2" t="s">
        <v>34970</v>
      </c>
      <c r="C17758" s="2" t="s">
        <v>2133</v>
      </c>
      <c r="D17758" s="2" t="s">
        <v>6669</v>
      </c>
      <c r="E17758" s="2"/>
      <c r="F17758" s="2" t="str">
        <f>"9781920942274"</f>
        <v>9781920942274</v>
      </c>
    </row>
    <row r="17759" spans="1:6" s="3" customFormat="1" ht="29.1" customHeight="1" x14ac:dyDescent="0.25">
      <c r="A17759" s="2" t="s">
        <v>34971</v>
      </c>
      <c r="B17759" s="2" t="s">
        <v>34972</v>
      </c>
      <c r="C17759" s="2" t="s">
        <v>2133</v>
      </c>
      <c r="D17759" s="2" t="s">
        <v>3523</v>
      </c>
      <c r="E17759" s="2"/>
      <c r="F17759" s="2" t="str">
        <f>"9781760464394"</f>
        <v>9781760464394</v>
      </c>
    </row>
    <row r="17760" spans="1:6" s="3" customFormat="1" ht="29.1" customHeight="1" x14ac:dyDescent="0.25">
      <c r="A17760" s="2" t="s">
        <v>34973</v>
      </c>
      <c r="B17760" s="2" t="s">
        <v>34974</v>
      </c>
      <c r="C17760" s="2" t="s">
        <v>2133</v>
      </c>
      <c r="D17760" s="2" t="s">
        <v>189</v>
      </c>
      <c r="E17760" s="2"/>
      <c r="F17760" s="2" t="str">
        <f>"9781921666032"</f>
        <v>9781921666032</v>
      </c>
    </row>
    <row r="17761" spans="1:6" s="3" customFormat="1" ht="29.1" customHeight="1" x14ac:dyDescent="0.25">
      <c r="A17761" s="2" t="s">
        <v>34975</v>
      </c>
      <c r="B17761" s="2" t="s">
        <v>34976</v>
      </c>
      <c r="C17761" s="2" t="s">
        <v>2133</v>
      </c>
      <c r="D17761" s="2" t="s">
        <v>6113</v>
      </c>
      <c r="E17761" s="2"/>
      <c r="F17761" s="2" t="str">
        <f>"9781921666230"</f>
        <v>9781921666230</v>
      </c>
    </row>
    <row r="17762" spans="1:6" s="3" customFormat="1" ht="29.1" customHeight="1" x14ac:dyDescent="0.25">
      <c r="A17762" s="2" t="s">
        <v>34977</v>
      </c>
      <c r="B17762" s="2" t="s">
        <v>34978</v>
      </c>
      <c r="C17762" s="2" t="s">
        <v>2133</v>
      </c>
      <c r="D17762" s="2" t="s">
        <v>1141</v>
      </c>
      <c r="E17762" s="2"/>
      <c r="F17762" s="2" t="str">
        <f>"9781925022292"</f>
        <v>9781925022292</v>
      </c>
    </row>
    <row r="17763" spans="1:6" s="3" customFormat="1" ht="29.1" customHeight="1" x14ac:dyDescent="0.25">
      <c r="A17763" s="2" t="s">
        <v>34979</v>
      </c>
      <c r="B17763" s="2" t="s">
        <v>34980</v>
      </c>
      <c r="C17763" s="2" t="s">
        <v>2133</v>
      </c>
      <c r="D17763" s="2" t="s">
        <v>11489</v>
      </c>
      <c r="E17763" s="2" t="str">
        <f>"9781925022568"</f>
        <v>9781925022568</v>
      </c>
      <c r="F17763" s="2" t="str">
        <f>"9781925022575"</f>
        <v>9781925022575</v>
      </c>
    </row>
    <row r="17764" spans="1:6" s="3" customFormat="1" ht="29.1" customHeight="1" x14ac:dyDescent="0.25">
      <c r="A17764" s="2" t="s">
        <v>34981</v>
      </c>
      <c r="B17764" s="2" t="s">
        <v>34982</v>
      </c>
      <c r="C17764" s="2" t="s">
        <v>2133</v>
      </c>
      <c r="D17764" s="2" t="s">
        <v>5794</v>
      </c>
      <c r="E17764" s="2"/>
      <c r="F17764" s="2" t="str">
        <f>"9781922144850"</f>
        <v>9781922144850</v>
      </c>
    </row>
    <row r="17765" spans="1:6" s="3" customFormat="1" ht="29.1" customHeight="1" x14ac:dyDescent="0.25">
      <c r="A17765" s="2" t="s">
        <v>34983</v>
      </c>
      <c r="B17765" s="2" t="s">
        <v>34984</v>
      </c>
      <c r="C17765" s="2" t="s">
        <v>2133</v>
      </c>
      <c r="D17765" s="2" t="s">
        <v>4059</v>
      </c>
      <c r="E17765" s="2"/>
      <c r="F17765" s="2" t="str">
        <f>"9781925021202"</f>
        <v>9781925021202</v>
      </c>
    </row>
    <row r="17766" spans="1:6" s="3" customFormat="1" ht="29.1" customHeight="1" x14ac:dyDescent="0.25">
      <c r="A17766" s="2" t="s">
        <v>34985</v>
      </c>
      <c r="B17766" s="2" t="s">
        <v>34986</v>
      </c>
      <c r="C17766" s="2" t="s">
        <v>2133</v>
      </c>
      <c r="D17766" s="2" t="s">
        <v>6548</v>
      </c>
      <c r="E17766" s="2"/>
      <c r="F17766" s="2" t="str">
        <f>"9781921313080"</f>
        <v>9781921313080</v>
      </c>
    </row>
    <row r="17767" spans="1:6" s="3" customFormat="1" ht="29.1" customHeight="1" x14ac:dyDescent="0.25">
      <c r="A17767" s="2" t="s">
        <v>34987</v>
      </c>
      <c r="B17767" s="2" t="s">
        <v>34988</v>
      </c>
      <c r="C17767" s="2" t="s">
        <v>2133</v>
      </c>
      <c r="D17767" s="2" t="s">
        <v>5930</v>
      </c>
      <c r="E17767" s="2"/>
      <c r="F17767" s="2" t="str">
        <f>"9781925022209"</f>
        <v>9781925022209</v>
      </c>
    </row>
    <row r="17768" spans="1:6" s="3" customFormat="1" ht="29.1" customHeight="1" x14ac:dyDescent="0.25">
      <c r="A17768" s="2" t="s">
        <v>34989</v>
      </c>
      <c r="B17768" s="2" t="s">
        <v>34990</v>
      </c>
      <c r="C17768" s="2" t="s">
        <v>2133</v>
      </c>
      <c r="D17768" s="2" t="s">
        <v>1722</v>
      </c>
      <c r="E17768" s="2"/>
      <c r="F17768" s="2" t="str">
        <f>"9781925022513"</f>
        <v>9781925022513</v>
      </c>
    </row>
    <row r="17769" spans="1:6" s="3" customFormat="1" ht="29.1" customHeight="1" x14ac:dyDescent="0.25">
      <c r="A17769" s="2" t="s">
        <v>34991</v>
      </c>
      <c r="B17769" s="2" t="s">
        <v>34992</v>
      </c>
      <c r="C17769" s="2" t="s">
        <v>2133</v>
      </c>
      <c r="D17769" s="2" t="s">
        <v>13300</v>
      </c>
      <c r="E17769" s="2"/>
      <c r="F17769" s="2" t="str">
        <f>"9781925022865"</f>
        <v>9781925022865</v>
      </c>
    </row>
    <row r="17770" spans="1:6" s="3" customFormat="1" ht="29.1" customHeight="1" x14ac:dyDescent="0.25">
      <c r="A17770" s="2" t="s">
        <v>34993</v>
      </c>
      <c r="B17770" s="2" t="s">
        <v>34994</v>
      </c>
      <c r="C17770" s="2" t="s">
        <v>2133</v>
      </c>
      <c r="D17770" s="2" t="s">
        <v>459</v>
      </c>
      <c r="E17770" s="2"/>
      <c r="F17770" s="2" t="str">
        <f>"9781760463434"</f>
        <v>9781760463434</v>
      </c>
    </row>
    <row r="17771" spans="1:6" s="3" customFormat="1" ht="29.1" customHeight="1" x14ac:dyDescent="0.25">
      <c r="A17771" s="2" t="s">
        <v>34995</v>
      </c>
      <c r="B17771" s="2" t="s">
        <v>34996</v>
      </c>
      <c r="C17771" s="2" t="s">
        <v>2133</v>
      </c>
      <c r="D17771" s="2" t="s">
        <v>6972</v>
      </c>
      <c r="E17771" s="2"/>
      <c r="F17771" s="2" t="str">
        <f>"9781925022094"</f>
        <v>9781925022094</v>
      </c>
    </row>
    <row r="17772" spans="1:6" s="3" customFormat="1" ht="29.1" customHeight="1" x14ac:dyDescent="0.25">
      <c r="A17772" s="2" t="s">
        <v>34997</v>
      </c>
      <c r="B17772" s="2" t="s">
        <v>34998</v>
      </c>
      <c r="C17772" s="2" t="s">
        <v>2133</v>
      </c>
      <c r="D17772" s="2" t="s">
        <v>4160</v>
      </c>
      <c r="E17772" s="2"/>
      <c r="F17772" s="2" t="str">
        <f>"9781920942359"</f>
        <v>9781920942359</v>
      </c>
    </row>
    <row r="17773" spans="1:6" s="3" customFormat="1" ht="29.1" customHeight="1" x14ac:dyDescent="0.25">
      <c r="A17773" s="2" t="s">
        <v>34999</v>
      </c>
      <c r="B17773" s="2" t="s">
        <v>35000</v>
      </c>
      <c r="C17773" s="2" t="s">
        <v>2133</v>
      </c>
      <c r="D17773" s="2" t="s">
        <v>636</v>
      </c>
      <c r="E17773" s="2"/>
      <c r="F17773" s="2" t="str">
        <f>"9781920942854"</f>
        <v>9781920942854</v>
      </c>
    </row>
    <row r="17774" spans="1:6" s="3" customFormat="1" ht="29.1" customHeight="1" x14ac:dyDescent="0.25">
      <c r="A17774" s="2" t="s">
        <v>35001</v>
      </c>
      <c r="B17774" s="2" t="s">
        <v>35002</v>
      </c>
      <c r="C17774" s="2" t="s">
        <v>2133</v>
      </c>
      <c r="D17774" s="2" t="s">
        <v>3043</v>
      </c>
      <c r="E17774" s="2"/>
      <c r="F17774" s="2" t="str">
        <f>"9781920942687"</f>
        <v>9781920942687</v>
      </c>
    </row>
    <row r="17775" spans="1:6" s="3" customFormat="1" ht="29.1" customHeight="1" x14ac:dyDescent="0.25">
      <c r="A17775" s="2" t="s">
        <v>35003</v>
      </c>
      <c r="B17775" s="2" t="s">
        <v>35004</v>
      </c>
      <c r="C17775" s="2" t="s">
        <v>2133</v>
      </c>
      <c r="D17775" s="2" t="s">
        <v>294</v>
      </c>
      <c r="E17775" s="2"/>
      <c r="F17775" s="2" t="str">
        <f>"9781760464219"</f>
        <v>9781760464219</v>
      </c>
    </row>
    <row r="17776" spans="1:6" s="3" customFormat="1" ht="29.1" customHeight="1" x14ac:dyDescent="0.25">
      <c r="A17776" s="2" t="s">
        <v>35005</v>
      </c>
      <c r="B17776" s="2" t="s">
        <v>10228</v>
      </c>
      <c r="C17776" s="2" t="s">
        <v>2133</v>
      </c>
      <c r="D17776" s="2" t="s">
        <v>636</v>
      </c>
      <c r="E17776" s="2"/>
      <c r="F17776" s="2" t="str">
        <f>"9781920942861"</f>
        <v>9781920942861</v>
      </c>
    </row>
    <row r="17777" spans="1:6" s="3" customFormat="1" ht="29.1" customHeight="1" x14ac:dyDescent="0.25">
      <c r="A17777" s="2" t="s">
        <v>35006</v>
      </c>
      <c r="B17777" s="2" t="s">
        <v>35007</v>
      </c>
      <c r="C17777" s="2" t="s">
        <v>2133</v>
      </c>
      <c r="D17777" s="2" t="s">
        <v>12</v>
      </c>
      <c r="E17777" s="2"/>
      <c r="F17777" s="2" t="str">
        <f>"9781920942397"</f>
        <v>9781920942397</v>
      </c>
    </row>
    <row r="17778" spans="1:6" s="3" customFormat="1" ht="29.1" customHeight="1" x14ac:dyDescent="0.25">
      <c r="A17778" s="2" t="s">
        <v>35008</v>
      </c>
      <c r="B17778" s="2" t="s">
        <v>35009</v>
      </c>
      <c r="C17778" s="2" t="s">
        <v>2133</v>
      </c>
      <c r="D17778" s="2" t="s">
        <v>5915</v>
      </c>
      <c r="E17778" s="2"/>
      <c r="F17778" s="2" t="str">
        <f>"9781760464295"</f>
        <v>9781760464295</v>
      </c>
    </row>
    <row r="17779" spans="1:6" s="3" customFormat="1" ht="29.1" customHeight="1" x14ac:dyDescent="0.25">
      <c r="A17779" s="2" t="s">
        <v>35010</v>
      </c>
      <c r="B17779" s="2" t="s">
        <v>35012</v>
      </c>
      <c r="C17779" s="2" t="s">
        <v>2133</v>
      </c>
      <c r="D17779" s="2" t="s">
        <v>35011</v>
      </c>
      <c r="E17779" s="2"/>
      <c r="F17779" s="2" t="str">
        <f>"9780975122969"</f>
        <v>9780975122969</v>
      </c>
    </row>
    <row r="17780" spans="1:6" s="3" customFormat="1" ht="29.1" customHeight="1" x14ac:dyDescent="0.25">
      <c r="A17780" s="2" t="s">
        <v>35013</v>
      </c>
      <c r="B17780" s="2" t="s">
        <v>35014</v>
      </c>
      <c r="C17780" s="2" t="s">
        <v>2133</v>
      </c>
      <c r="D17780" s="2" t="s">
        <v>4160</v>
      </c>
      <c r="E17780" s="2"/>
      <c r="F17780" s="2" t="str">
        <f>"9781920942434"</f>
        <v>9781920942434</v>
      </c>
    </row>
    <row r="17781" spans="1:6" s="3" customFormat="1" ht="29.1" customHeight="1" x14ac:dyDescent="0.25">
      <c r="A17781" s="2" t="s">
        <v>35015</v>
      </c>
      <c r="B17781" s="2" t="s">
        <v>35016</v>
      </c>
      <c r="C17781" s="2" t="s">
        <v>2133</v>
      </c>
      <c r="D17781" s="2" t="s">
        <v>9575</v>
      </c>
      <c r="E17781" s="2" t="str">
        <f>"9781760464127"</f>
        <v>9781760464127</v>
      </c>
      <c r="F17781" s="2" t="str">
        <f>"9781760464134"</f>
        <v>9781760464134</v>
      </c>
    </row>
    <row r="17782" spans="1:6" s="3" customFormat="1" ht="29.1" customHeight="1" x14ac:dyDescent="0.25">
      <c r="A17782" s="2" t="s">
        <v>35017</v>
      </c>
      <c r="B17782" s="2" t="s">
        <v>35018</v>
      </c>
      <c r="C17782" s="2" t="s">
        <v>2133</v>
      </c>
      <c r="D17782" s="2" t="s">
        <v>192</v>
      </c>
      <c r="E17782" s="2"/>
      <c r="F17782" s="2" t="str">
        <f>"9781760464233"</f>
        <v>9781760464233</v>
      </c>
    </row>
    <row r="17783" spans="1:6" s="3" customFormat="1" ht="29.1" customHeight="1" x14ac:dyDescent="0.25">
      <c r="A17783" s="2" t="s">
        <v>35019</v>
      </c>
      <c r="B17783" s="2" t="s">
        <v>35020</v>
      </c>
      <c r="C17783" s="2" t="s">
        <v>2133</v>
      </c>
      <c r="D17783" s="2" t="s">
        <v>501</v>
      </c>
      <c r="E17783" s="2"/>
      <c r="F17783" s="2" t="str">
        <f>"9781760464172"</f>
        <v>9781760464172</v>
      </c>
    </row>
    <row r="17784" spans="1:6" s="3" customFormat="1" ht="29.1" customHeight="1" x14ac:dyDescent="0.25">
      <c r="A17784" s="2" t="s">
        <v>35021</v>
      </c>
      <c r="B17784" s="2" t="s">
        <v>35022</v>
      </c>
      <c r="C17784" s="2" t="s">
        <v>2133</v>
      </c>
      <c r="D17784" s="2" t="s">
        <v>3536</v>
      </c>
      <c r="E17784" s="2"/>
      <c r="F17784" s="2" t="str">
        <f>"9781920942144"</f>
        <v>9781920942144</v>
      </c>
    </row>
    <row r="17785" spans="1:6" s="3" customFormat="1" ht="29.1" customHeight="1" x14ac:dyDescent="0.25">
      <c r="A17785" s="2" t="s">
        <v>35023</v>
      </c>
      <c r="B17785" s="2" t="s">
        <v>34478</v>
      </c>
      <c r="C17785" s="2" t="s">
        <v>2133</v>
      </c>
      <c r="D17785" s="2" t="s">
        <v>606</v>
      </c>
      <c r="E17785" s="2"/>
      <c r="F17785" s="2" t="str">
        <f>"9781921313127"</f>
        <v>9781921313127</v>
      </c>
    </row>
    <row r="17786" spans="1:6" s="3" customFormat="1" ht="29.1" customHeight="1" x14ac:dyDescent="0.25">
      <c r="A17786" s="2" t="s">
        <v>35024</v>
      </c>
      <c r="B17786" s="2" t="s">
        <v>35025</v>
      </c>
      <c r="C17786" s="2" t="s">
        <v>2133</v>
      </c>
      <c r="D17786" s="2" t="s">
        <v>4059</v>
      </c>
      <c r="E17786" s="2"/>
      <c r="F17786" s="2" t="str">
        <f>"9781920942373"</f>
        <v>9781920942373</v>
      </c>
    </row>
    <row r="17787" spans="1:6" s="3" customFormat="1" ht="29.1" customHeight="1" x14ac:dyDescent="0.25">
      <c r="A17787" s="2" t="s">
        <v>35026</v>
      </c>
      <c r="B17787" s="2" t="s">
        <v>35027</v>
      </c>
      <c r="C17787" s="2" t="s">
        <v>2133</v>
      </c>
      <c r="D17787" s="2" t="s">
        <v>606</v>
      </c>
      <c r="E17787" s="2"/>
      <c r="F17787" s="2" t="str">
        <f>"9781921313295"</f>
        <v>9781921313295</v>
      </c>
    </row>
    <row r="17788" spans="1:6" s="3" customFormat="1" ht="29.1" customHeight="1" x14ac:dyDescent="0.25">
      <c r="A17788" s="2" t="s">
        <v>35028</v>
      </c>
      <c r="B17788" s="2" t="s">
        <v>35029</v>
      </c>
      <c r="C17788" s="2" t="s">
        <v>2133</v>
      </c>
      <c r="D17788" s="2" t="s">
        <v>636</v>
      </c>
      <c r="E17788" s="2"/>
      <c r="F17788" s="2" t="str">
        <f>"9781920942229"</f>
        <v>9781920942229</v>
      </c>
    </row>
    <row r="17789" spans="1:6" s="3" customFormat="1" ht="29.1" customHeight="1" x14ac:dyDescent="0.25">
      <c r="A17789" s="2" t="s">
        <v>35030</v>
      </c>
      <c r="B17789" s="2" t="s">
        <v>34791</v>
      </c>
      <c r="C17789" s="2" t="s">
        <v>2133</v>
      </c>
      <c r="D17789" s="2" t="s">
        <v>294</v>
      </c>
      <c r="E17789" s="2"/>
      <c r="F17789" s="2" t="str">
        <f>"9781921313356"</f>
        <v>9781921313356</v>
      </c>
    </row>
    <row r="17790" spans="1:6" s="3" customFormat="1" ht="29.1" customHeight="1" x14ac:dyDescent="0.25">
      <c r="A17790" s="2" t="s">
        <v>35031</v>
      </c>
      <c r="B17790" s="2" t="s">
        <v>35032</v>
      </c>
      <c r="C17790" s="2" t="s">
        <v>2133</v>
      </c>
      <c r="D17790" s="2" t="s">
        <v>2130</v>
      </c>
      <c r="E17790" s="2"/>
      <c r="F17790" s="2" t="str">
        <f>"9781920942458"</f>
        <v>9781920942458</v>
      </c>
    </row>
    <row r="17791" spans="1:6" s="3" customFormat="1" ht="29.1" customHeight="1" x14ac:dyDescent="0.25">
      <c r="A17791" s="2" t="s">
        <v>35033</v>
      </c>
      <c r="B17791" s="2" t="s">
        <v>35034</v>
      </c>
      <c r="C17791" s="2" t="s">
        <v>2133</v>
      </c>
      <c r="D17791" s="2" t="s">
        <v>7121</v>
      </c>
      <c r="E17791" s="2"/>
      <c r="F17791" s="2" t="str">
        <f>"9781921313073"</f>
        <v>9781921313073</v>
      </c>
    </row>
    <row r="17792" spans="1:6" s="3" customFormat="1" ht="29.1" customHeight="1" x14ac:dyDescent="0.25">
      <c r="A17792" s="2" t="s">
        <v>35035</v>
      </c>
      <c r="B17792" s="2" t="s">
        <v>35036</v>
      </c>
      <c r="C17792" s="2" t="s">
        <v>2133</v>
      </c>
      <c r="D17792" s="2" t="s">
        <v>15</v>
      </c>
      <c r="E17792" s="2"/>
      <c r="F17792" s="2" t="str">
        <f>"9781921862540"</f>
        <v>9781921862540</v>
      </c>
    </row>
    <row r="17793" spans="1:6" s="3" customFormat="1" ht="29.1" customHeight="1" x14ac:dyDescent="0.25">
      <c r="A17793" s="2" t="s">
        <v>35037</v>
      </c>
      <c r="B17793" s="2" t="s">
        <v>35038</v>
      </c>
      <c r="C17793" s="2" t="s">
        <v>2133</v>
      </c>
      <c r="D17793" s="2" t="s">
        <v>5671</v>
      </c>
      <c r="E17793" s="2"/>
      <c r="F17793" s="2" t="str">
        <f>"9781921313561"</f>
        <v>9781921313561</v>
      </c>
    </row>
    <row r="17794" spans="1:6" s="3" customFormat="1" ht="29.1" customHeight="1" x14ac:dyDescent="0.25">
      <c r="A17794" s="2" t="s">
        <v>35039</v>
      </c>
      <c r="B17794" s="2" t="s">
        <v>35040</v>
      </c>
      <c r="C17794" s="2" t="s">
        <v>2133</v>
      </c>
      <c r="D17794" s="2" t="s">
        <v>9312</v>
      </c>
      <c r="E17794" s="2"/>
      <c r="F17794" s="2" t="str">
        <f>"9781921313424"</f>
        <v>9781921313424</v>
      </c>
    </row>
    <row r="17795" spans="1:6" s="3" customFormat="1" ht="29.1" customHeight="1" x14ac:dyDescent="0.25">
      <c r="A17795" s="2" t="s">
        <v>35041</v>
      </c>
      <c r="B17795" s="2" t="s">
        <v>35042</v>
      </c>
      <c r="C17795" s="2" t="s">
        <v>2133</v>
      </c>
      <c r="D17795" s="2" t="s">
        <v>9312</v>
      </c>
      <c r="E17795" s="2" t="str">
        <f>"9781925021929"</f>
        <v>9781925021929</v>
      </c>
      <c r="F17795" s="2" t="str">
        <f>"9781925021936"</f>
        <v>9781925021936</v>
      </c>
    </row>
    <row r="17796" spans="1:6" s="3" customFormat="1" ht="29.1" customHeight="1" x14ac:dyDescent="0.25">
      <c r="A17796" s="2" t="s">
        <v>35043</v>
      </c>
      <c r="B17796" s="2" t="s">
        <v>35044</v>
      </c>
      <c r="C17796" s="2" t="s">
        <v>2133</v>
      </c>
      <c r="D17796" s="2" t="s">
        <v>501</v>
      </c>
      <c r="E17796" s="2"/>
      <c r="F17796" s="2" t="str">
        <f>"9781920942953"</f>
        <v>9781920942953</v>
      </c>
    </row>
    <row r="17797" spans="1:6" s="3" customFormat="1" ht="29.1" customHeight="1" x14ac:dyDescent="0.25">
      <c r="A17797" s="2" t="s">
        <v>35045</v>
      </c>
      <c r="B17797" s="2" t="s">
        <v>35046</v>
      </c>
      <c r="C17797" s="2" t="s">
        <v>2133</v>
      </c>
      <c r="D17797" s="2" t="s">
        <v>3536</v>
      </c>
      <c r="E17797" s="2"/>
      <c r="F17797" s="2" t="str">
        <f>"9781921313592"</f>
        <v>9781921313592</v>
      </c>
    </row>
    <row r="17798" spans="1:6" s="3" customFormat="1" ht="29.1" customHeight="1" x14ac:dyDescent="0.25">
      <c r="A17798" s="2" t="s">
        <v>35047</v>
      </c>
      <c r="B17798" s="2" t="s">
        <v>35048</v>
      </c>
      <c r="C17798" s="2" t="s">
        <v>2133</v>
      </c>
      <c r="D17798" s="2" t="s">
        <v>4582</v>
      </c>
      <c r="E17798" s="2"/>
      <c r="F17798" s="2" t="str">
        <f>"9781760464271"</f>
        <v>9781760464271</v>
      </c>
    </row>
    <row r="17799" spans="1:6" s="3" customFormat="1" ht="29.1" customHeight="1" x14ac:dyDescent="0.25">
      <c r="A17799" s="2" t="s">
        <v>35049</v>
      </c>
      <c r="B17799" s="2" t="s">
        <v>35050</v>
      </c>
      <c r="C17799" s="2" t="s">
        <v>2133</v>
      </c>
      <c r="D17799" s="2" t="s">
        <v>12157</v>
      </c>
      <c r="E17799" s="2"/>
      <c r="F17799" s="2" t="str">
        <f>"9781921313721"</f>
        <v>9781921313721</v>
      </c>
    </row>
    <row r="17800" spans="1:6" s="3" customFormat="1" ht="29.1" customHeight="1" x14ac:dyDescent="0.25">
      <c r="A17800" s="2" t="s">
        <v>35051</v>
      </c>
      <c r="B17800" s="2" t="s">
        <v>35052</v>
      </c>
      <c r="C17800" s="2" t="s">
        <v>2133</v>
      </c>
      <c r="D17800" s="2" t="s">
        <v>3878</v>
      </c>
      <c r="E17800" s="2"/>
      <c r="F17800" s="2" t="str">
        <f>"9781921313806"</f>
        <v>9781921313806</v>
      </c>
    </row>
    <row r="17801" spans="1:6" s="3" customFormat="1" ht="29.1" customHeight="1" x14ac:dyDescent="0.25">
      <c r="A17801" s="2" t="s">
        <v>35053</v>
      </c>
      <c r="B17801" s="2" t="s">
        <v>30122</v>
      </c>
      <c r="C17801" s="2" t="s">
        <v>2133</v>
      </c>
      <c r="D17801" s="2" t="s">
        <v>4059</v>
      </c>
      <c r="E17801" s="2"/>
      <c r="F17801" s="2" t="str">
        <f>"9781760464158"</f>
        <v>9781760464158</v>
      </c>
    </row>
    <row r="17802" spans="1:6" s="3" customFormat="1" ht="29.1" customHeight="1" x14ac:dyDescent="0.25">
      <c r="A17802" s="2" t="s">
        <v>35054</v>
      </c>
      <c r="B17802" s="2" t="s">
        <v>35055</v>
      </c>
      <c r="C17802" s="2" t="s">
        <v>2133</v>
      </c>
      <c r="D17802" s="2" t="s">
        <v>2142</v>
      </c>
      <c r="E17802" s="2"/>
      <c r="F17802" s="2" t="str">
        <f>"9781760464196"</f>
        <v>9781760464196</v>
      </c>
    </row>
    <row r="17803" spans="1:6" s="3" customFormat="1" ht="29.1" customHeight="1" x14ac:dyDescent="0.25">
      <c r="A17803" s="2" t="s">
        <v>35056</v>
      </c>
      <c r="B17803" s="2" t="s">
        <v>15547</v>
      </c>
      <c r="C17803" s="2" t="s">
        <v>2133</v>
      </c>
      <c r="D17803" s="2" t="s">
        <v>13300</v>
      </c>
      <c r="E17803" s="2"/>
      <c r="F17803" s="2" t="str">
        <f>"9781921313615"</f>
        <v>9781921313615</v>
      </c>
    </row>
    <row r="17804" spans="1:6" s="3" customFormat="1" ht="29.1" customHeight="1" x14ac:dyDescent="0.25">
      <c r="A17804" s="2" t="s">
        <v>35057</v>
      </c>
      <c r="B17804" s="2" t="s">
        <v>35058</v>
      </c>
      <c r="C17804" s="2" t="s">
        <v>2133</v>
      </c>
      <c r="D17804" s="2" t="s">
        <v>49</v>
      </c>
      <c r="E17804" s="2"/>
      <c r="F17804" s="2" t="str">
        <f>"9781760464097"</f>
        <v>9781760464097</v>
      </c>
    </row>
    <row r="17805" spans="1:6" s="3" customFormat="1" ht="29.1" customHeight="1" x14ac:dyDescent="0.25">
      <c r="A17805" s="2" t="s">
        <v>35059</v>
      </c>
      <c r="B17805" s="2" t="s">
        <v>35060</v>
      </c>
      <c r="C17805" s="2" t="s">
        <v>2133</v>
      </c>
      <c r="D17805" s="2" t="s">
        <v>818</v>
      </c>
      <c r="E17805" s="2" t="str">
        <f>"9781760464103"</f>
        <v>9781760464103</v>
      </c>
      <c r="F17805" s="2" t="str">
        <f>"9781760464110"</f>
        <v>9781760464110</v>
      </c>
    </row>
    <row r="17806" spans="1:6" s="3" customFormat="1" ht="29.1" customHeight="1" x14ac:dyDescent="0.25">
      <c r="A17806" s="2" t="s">
        <v>35061</v>
      </c>
      <c r="B17806" s="2" t="s">
        <v>35062</v>
      </c>
      <c r="C17806" s="2" t="s">
        <v>2133</v>
      </c>
      <c r="D17806" s="2" t="s">
        <v>13300</v>
      </c>
      <c r="E17806" s="2"/>
      <c r="F17806" s="2" t="str">
        <f>"9781921536021"</f>
        <v>9781921536021</v>
      </c>
    </row>
    <row r="17807" spans="1:6" s="3" customFormat="1" ht="29.1" customHeight="1" x14ac:dyDescent="0.25">
      <c r="A17807" s="2" t="s">
        <v>35063</v>
      </c>
      <c r="B17807" s="2" t="s">
        <v>35064</v>
      </c>
      <c r="C17807" s="2" t="s">
        <v>2133</v>
      </c>
      <c r="D17807" s="2" t="s">
        <v>92</v>
      </c>
      <c r="E17807" s="2"/>
      <c r="F17807" s="2" t="str">
        <f>"9781921536052"</f>
        <v>9781921536052</v>
      </c>
    </row>
    <row r="17808" spans="1:6" s="3" customFormat="1" ht="29.1" customHeight="1" x14ac:dyDescent="0.25">
      <c r="A17808" s="2" t="s">
        <v>35065</v>
      </c>
      <c r="B17808" s="2" t="s">
        <v>35066</v>
      </c>
      <c r="C17808" s="2" t="s">
        <v>2133</v>
      </c>
      <c r="D17808" s="2" t="s">
        <v>758</v>
      </c>
      <c r="E17808" s="2"/>
      <c r="F17808" s="2" t="str">
        <f>"9781921313882"</f>
        <v>9781921313882</v>
      </c>
    </row>
    <row r="17809" spans="1:6" s="3" customFormat="1" ht="29.1" customHeight="1" x14ac:dyDescent="0.25">
      <c r="A17809" s="2" t="s">
        <v>35067</v>
      </c>
      <c r="B17809" s="2" t="s">
        <v>1551</v>
      </c>
      <c r="C17809" s="2" t="s">
        <v>2133</v>
      </c>
      <c r="D17809" s="2" t="s">
        <v>6292</v>
      </c>
      <c r="E17809" s="2"/>
      <c r="F17809" s="2" t="str">
        <f>"9781921313981"</f>
        <v>9781921313981</v>
      </c>
    </row>
    <row r="17810" spans="1:6" s="3" customFormat="1" ht="29.1" customHeight="1" x14ac:dyDescent="0.25">
      <c r="A17810" s="2" t="s">
        <v>35068</v>
      </c>
      <c r="B17810" s="2" t="s">
        <v>35069</v>
      </c>
      <c r="C17810" s="2" t="s">
        <v>2133</v>
      </c>
      <c r="D17810" s="2" t="s">
        <v>92</v>
      </c>
      <c r="E17810" s="2"/>
      <c r="F17810" s="2" t="str">
        <f>"9781921313929"</f>
        <v>9781921313929</v>
      </c>
    </row>
    <row r="17811" spans="1:6" s="3" customFormat="1" ht="29.1" customHeight="1" x14ac:dyDescent="0.25">
      <c r="A17811" s="2" t="s">
        <v>35070</v>
      </c>
      <c r="B17811" s="2" t="s">
        <v>35071</v>
      </c>
      <c r="C17811" s="2" t="s">
        <v>2133</v>
      </c>
      <c r="D17811" s="2" t="s">
        <v>92</v>
      </c>
      <c r="E17811" s="2"/>
      <c r="F17811" s="2" t="str">
        <f>"9781921313783"</f>
        <v>9781921313783</v>
      </c>
    </row>
    <row r="17812" spans="1:6" s="3" customFormat="1" ht="29.1" customHeight="1" x14ac:dyDescent="0.25">
      <c r="A17812" s="2" t="s">
        <v>35072</v>
      </c>
      <c r="B17812" s="2" t="s">
        <v>35073</v>
      </c>
      <c r="C17812" s="2" t="s">
        <v>2133</v>
      </c>
      <c r="D17812" s="2" t="s">
        <v>636</v>
      </c>
      <c r="E17812" s="2"/>
      <c r="F17812" s="2" t="str">
        <f>"9781921536113"</f>
        <v>9781921536113</v>
      </c>
    </row>
    <row r="17813" spans="1:6" s="3" customFormat="1" ht="29.1" customHeight="1" x14ac:dyDescent="0.25">
      <c r="A17813" s="2" t="s">
        <v>35074</v>
      </c>
      <c r="B17813" s="2" t="s">
        <v>35075</v>
      </c>
      <c r="C17813" s="2" t="s">
        <v>2133</v>
      </c>
      <c r="D17813" s="2" t="s">
        <v>15544</v>
      </c>
      <c r="E17813" s="2"/>
      <c r="F17813" s="2" t="str">
        <f>"9781921536311"</f>
        <v>9781921536311</v>
      </c>
    </row>
    <row r="17814" spans="1:6" s="3" customFormat="1" ht="29.1" customHeight="1" x14ac:dyDescent="0.25">
      <c r="A17814" s="2" t="s">
        <v>35076</v>
      </c>
      <c r="B17814" s="2" t="s">
        <v>35077</v>
      </c>
      <c r="C17814" s="2" t="s">
        <v>2133</v>
      </c>
      <c r="D17814" s="2" t="s">
        <v>636</v>
      </c>
      <c r="E17814" s="2"/>
      <c r="F17814" s="2" t="str">
        <f>"9781921536236"</f>
        <v>9781921536236</v>
      </c>
    </row>
    <row r="17815" spans="1:6" s="3" customFormat="1" ht="29.1" customHeight="1" x14ac:dyDescent="0.25">
      <c r="A17815" s="2" t="s">
        <v>35078</v>
      </c>
      <c r="B17815" s="2" t="s">
        <v>35079</v>
      </c>
      <c r="C17815" s="2" t="s">
        <v>2133</v>
      </c>
      <c r="D17815" s="2" t="s">
        <v>4059</v>
      </c>
      <c r="E17815" s="2"/>
      <c r="F17815" s="2" t="str">
        <f>"9781921313967"</f>
        <v>9781921313967</v>
      </c>
    </row>
    <row r="17816" spans="1:6" s="3" customFormat="1" ht="29.1" customHeight="1" x14ac:dyDescent="0.25">
      <c r="A17816" s="2" t="s">
        <v>35080</v>
      </c>
      <c r="B17816" s="2" t="s">
        <v>35081</v>
      </c>
      <c r="C17816" s="2" t="s">
        <v>2133</v>
      </c>
      <c r="D17816" s="2" t="s">
        <v>294</v>
      </c>
      <c r="E17816" s="2"/>
      <c r="F17816" s="2" t="str">
        <f>"9781921313165"</f>
        <v>9781921313165</v>
      </c>
    </row>
    <row r="17817" spans="1:6" s="3" customFormat="1" ht="29.1" customHeight="1" x14ac:dyDescent="0.25">
      <c r="A17817" s="2" t="s">
        <v>35082</v>
      </c>
      <c r="B17817" s="2" t="s">
        <v>35083</v>
      </c>
      <c r="C17817" s="2" t="s">
        <v>2133</v>
      </c>
      <c r="D17817" s="2" t="s">
        <v>431</v>
      </c>
      <c r="E17817" s="2"/>
      <c r="F17817" s="2" t="str">
        <f>"9781921313943"</f>
        <v>9781921313943</v>
      </c>
    </row>
    <row r="17818" spans="1:6" s="3" customFormat="1" ht="29.1" customHeight="1" x14ac:dyDescent="0.25">
      <c r="A17818" s="2" t="s">
        <v>35084</v>
      </c>
      <c r="B17818" s="2" t="s">
        <v>35085</v>
      </c>
      <c r="C17818" s="2" t="s">
        <v>2133</v>
      </c>
      <c r="D17818" s="2" t="s">
        <v>3536</v>
      </c>
      <c r="E17818" s="2"/>
      <c r="F17818" s="2" t="str">
        <f>"9781921536359"</f>
        <v>9781921536359</v>
      </c>
    </row>
    <row r="17819" spans="1:6" s="3" customFormat="1" ht="29.1" customHeight="1" x14ac:dyDescent="0.25">
      <c r="A17819" s="2" t="s">
        <v>35086</v>
      </c>
      <c r="B17819" s="2" t="s">
        <v>35087</v>
      </c>
      <c r="C17819" s="2" t="s">
        <v>2133</v>
      </c>
      <c r="D17819" s="2" t="s">
        <v>606</v>
      </c>
      <c r="E17819" s="2"/>
      <c r="F17819" s="2" t="str">
        <f>"9781921536175"</f>
        <v>9781921536175</v>
      </c>
    </row>
    <row r="17820" spans="1:6" s="3" customFormat="1" ht="29.1" customHeight="1" x14ac:dyDescent="0.25">
      <c r="A17820" s="2" t="s">
        <v>35088</v>
      </c>
      <c r="B17820" s="2" t="s">
        <v>35089</v>
      </c>
      <c r="C17820" s="2" t="s">
        <v>2133</v>
      </c>
      <c r="D17820" s="2" t="s">
        <v>4133</v>
      </c>
      <c r="E17820" s="2"/>
      <c r="F17820" s="2" t="str">
        <f>"9781921536335"</f>
        <v>9781921536335</v>
      </c>
    </row>
    <row r="17821" spans="1:6" s="3" customFormat="1" ht="29.1" customHeight="1" x14ac:dyDescent="0.25">
      <c r="A17821" s="2" t="s">
        <v>35090</v>
      </c>
      <c r="B17821" s="2" t="s">
        <v>35091</v>
      </c>
      <c r="C17821" s="2" t="s">
        <v>2133</v>
      </c>
      <c r="D17821" s="2" t="s">
        <v>92</v>
      </c>
      <c r="E17821" s="2"/>
      <c r="F17821" s="2" t="str">
        <f>"9781921536410"</f>
        <v>9781921536410</v>
      </c>
    </row>
    <row r="17822" spans="1:6" s="3" customFormat="1" ht="29.1" customHeight="1" x14ac:dyDescent="0.25">
      <c r="A17822" s="2" t="s">
        <v>35092</v>
      </c>
      <c r="B17822" s="2" t="s">
        <v>35093</v>
      </c>
      <c r="C17822" s="2" t="s">
        <v>2133</v>
      </c>
      <c r="D17822" s="2" t="s">
        <v>818</v>
      </c>
      <c r="E17822" s="2"/>
      <c r="F17822" s="2" t="str">
        <f>"9781921666018"</f>
        <v>9781921666018</v>
      </c>
    </row>
    <row r="17823" spans="1:6" s="3" customFormat="1" ht="29.1" customHeight="1" x14ac:dyDescent="0.25">
      <c r="A17823" s="2" t="s">
        <v>35094</v>
      </c>
      <c r="B17823" s="2" t="s">
        <v>35095</v>
      </c>
      <c r="C17823" s="2" t="s">
        <v>2133</v>
      </c>
      <c r="D17823" s="2" t="s">
        <v>606</v>
      </c>
      <c r="E17823" s="2"/>
      <c r="F17823" s="2" t="str">
        <f>"9781921536496"</f>
        <v>9781921536496</v>
      </c>
    </row>
    <row r="17824" spans="1:6" s="3" customFormat="1" ht="29.1" customHeight="1" x14ac:dyDescent="0.25">
      <c r="A17824" s="2" t="s">
        <v>35096</v>
      </c>
      <c r="B17824" s="2" t="s">
        <v>35097</v>
      </c>
      <c r="C17824" s="2" t="s">
        <v>2133</v>
      </c>
      <c r="D17824" s="2" t="s">
        <v>1694</v>
      </c>
      <c r="E17824" s="2"/>
      <c r="F17824" s="2" t="str">
        <f>"9781920942618"</f>
        <v>9781920942618</v>
      </c>
    </row>
    <row r="17825" spans="1:6" s="3" customFormat="1" ht="29.1" customHeight="1" x14ac:dyDescent="0.25">
      <c r="A17825" s="2" t="s">
        <v>35098</v>
      </c>
      <c r="B17825" s="2" t="s">
        <v>35100</v>
      </c>
      <c r="C17825" s="2" t="s">
        <v>2133</v>
      </c>
      <c r="D17825" s="2" t="s">
        <v>35099</v>
      </c>
      <c r="E17825" s="2"/>
      <c r="F17825" s="2" t="str">
        <f>"9781921666117"</f>
        <v>9781921666117</v>
      </c>
    </row>
    <row r="17826" spans="1:6" s="3" customFormat="1" ht="29.1" customHeight="1" x14ac:dyDescent="0.25">
      <c r="A17826" s="2" t="s">
        <v>35101</v>
      </c>
      <c r="B17826" s="2" t="s">
        <v>35102</v>
      </c>
      <c r="C17826" s="2" t="s">
        <v>2133</v>
      </c>
      <c r="D17826" s="2" t="s">
        <v>15544</v>
      </c>
      <c r="E17826" s="2"/>
      <c r="F17826" s="2" t="str">
        <f>"9781921666056"</f>
        <v>9781921666056</v>
      </c>
    </row>
    <row r="17827" spans="1:6" s="3" customFormat="1" ht="29.1" customHeight="1" x14ac:dyDescent="0.25">
      <c r="A17827" s="2" t="s">
        <v>35103</v>
      </c>
      <c r="B17827" s="2" t="s">
        <v>35104</v>
      </c>
      <c r="C17827" s="2" t="s">
        <v>2133</v>
      </c>
      <c r="D17827" s="2" t="s">
        <v>32985</v>
      </c>
      <c r="E17827" s="2"/>
      <c r="F17827" s="2" t="str">
        <f>"9781921313745"</f>
        <v>9781921313745</v>
      </c>
    </row>
    <row r="17828" spans="1:6" s="3" customFormat="1" ht="29.1" customHeight="1" x14ac:dyDescent="0.25">
      <c r="A17828" s="2" t="s">
        <v>35105</v>
      </c>
      <c r="B17828" s="2" t="s">
        <v>35106</v>
      </c>
      <c r="C17828" s="2" t="s">
        <v>2133</v>
      </c>
      <c r="D17828" s="2" t="s">
        <v>92</v>
      </c>
      <c r="E17828" s="2"/>
      <c r="F17828" s="2" t="str">
        <f>"9781921536199"</f>
        <v>9781921536199</v>
      </c>
    </row>
    <row r="17829" spans="1:6" s="3" customFormat="1" ht="29.1" customHeight="1" x14ac:dyDescent="0.25">
      <c r="A17829" s="2" t="s">
        <v>35107</v>
      </c>
      <c r="B17829" s="2" t="s">
        <v>35108</v>
      </c>
      <c r="C17829" s="2" t="s">
        <v>2133</v>
      </c>
      <c r="D17829" s="2" t="s">
        <v>3966</v>
      </c>
      <c r="E17829" s="2"/>
      <c r="F17829" s="2" t="str">
        <f>"9781921536793"</f>
        <v>9781921536793</v>
      </c>
    </row>
    <row r="17830" spans="1:6" s="3" customFormat="1" ht="29.1" customHeight="1" x14ac:dyDescent="0.25">
      <c r="A17830" s="2" t="s">
        <v>35109</v>
      </c>
      <c r="B17830" s="2" t="s">
        <v>35110</v>
      </c>
      <c r="C17830" s="2" t="s">
        <v>2133</v>
      </c>
      <c r="D17830" s="2" t="s">
        <v>2435</v>
      </c>
      <c r="E17830" s="2"/>
      <c r="F17830" s="2" t="str">
        <f>"9781921536892"</f>
        <v>9781921536892</v>
      </c>
    </row>
    <row r="17831" spans="1:6" s="3" customFormat="1" ht="29.1" customHeight="1" x14ac:dyDescent="0.25">
      <c r="A17831" s="2" t="s">
        <v>35111</v>
      </c>
      <c r="B17831" s="2" t="s">
        <v>30374</v>
      </c>
      <c r="C17831" s="2" t="s">
        <v>2133</v>
      </c>
      <c r="D17831" s="2" t="s">
        <v>92</v>
      </c>
      <c r="E17831" s="2"/>
      <c r="F17831" s="2" t="str">
        <f>"9781921536694"</f>
        <v>9781921536694</v>
      </c>
    </row>
    <row r="17832" spans="1:6" s="3" customFormat="1" ht="29.1" customHeight="1" x14ac:dyDescent="0.25">
      <c r="A17832" s="2" t="s">
        <v>35112</v>
      </c>
      <c r="B17832" s="2" t="s">
        <v>35113</v>
      </c>
      <c r="C17832" s="2" t="s">
        <v>2133</v>
      </c>
      <c r="D17832" s="2" t="s">
        <v>13300</v>
      </c>
      <c r="E17832" s="2"/>
      <c r="F17832" s="2" t="str">
        <f>"9781921536298"</f>
        <v>9781921536298</v>
      </c>
    </row>
    <row r="17833" spans="1:6" s="3" customFormat="1" ht="29.1" customHeight="1" x14ac:dyDescent="0.25">
      <c r="A17833" s="2" t="s">
        <v>35114</v>
      </c>
      <c r="B17833" s="2" t="s">
        <v>35115</v>
      </c>
      <c r="C17833" s="2" t="s">
        <v>2133</v>
      </c>
      <c r="D17833" s="2" t="s">
        <v>78</v>
      </c>
      <c r="E17833" s="2"/>
      <c r="F17833" s="2" t="str">
        <f>"9781921536915"</f>
        <v>9781921536915</v>
      </c>
    </row>
    <row r="17834" spans="1:6" s="3" customFormat="1" ht="29.1" customHeight="1" x14ac:dyDescent="0.25">
      <c r="A17834" s="2" t="s">
        <v>35116</v>
      </c>
      <c r="B17834" s="2" t="s">
        <v>35117</v>
      </c>
      <c r="C17834" s="2" t="s">
        <v>2133</v>
      </c>
      <c r="D17834" s="2" t="s">
        <v>3536</v>
      </c>
      <c r="E17834" s="2"/>
      <c r="F17834" s="2" t="str">
        <f>"9781920942021"</f>
        <v>9781920942021</v>
      </c>
    </row>
    <row r="17835" spans="1:6" s="3" customFormat="1" ht="29.1" customHeight="1" x14ac:dyDescent="0.25">
      <c r="A17835" s="2" t="s">
        <v>35118</v>
      </c>
      <c r="B17835" s="2" t="s">
        <v>35119</v>
      </c>
      <c r="C17835" s="2" t="s">
        <v>2133</v>
      </c>
      <c r="D17835" s="2" t="s">
        <v>32637</v>
      </c>
      <c r="E17835" s="2"/>
      <c r="F17835" s="2" t="str">
        <f>"9781921666131"</f>
        <v>9781921666131</v>
      </c>
    </row>
    <row r="17836" spans="1:6" s="3" customFormat="1" ht="29.1" customHeight="1" x14ac:dyDescent="0.25">
      <c r="A17836" s="2" t="s">
        <v>35120</v>
      </c>
      <c r="B17836" s="2" t="s">
        <v>35121</v>
      </c>
      <c r="C17836" s="2" t="s">
        <v>2133</v>
      </c>
      <c r="D17836" s="2" t="s">
        <v>5794</v>
      </c>
      <c r="E17836" s="2"/>
      <c r="F17836" s="2" t="str">
        <f>"9781921666155"</f>
        <v>9781921666155</v>
      </c>
    </row>
    <row r="17837" spans="1:6" s="3" customFormat="1" ht="29.1" customHeight="1" x14ac:dyDescent="0.25">
      <c r="A17837" s="2" t="s">
        <v>27793</v>
      </c>
      <c r="B17837" s="2" t="s">
        <v>15547</v>
      </c>
      <c r="C17837" s="2" t="s">
        <v>2133</v>
      </c>
      <c r="D17837" s="2" t="s">
        <v>5930</v>
      </c>
      <c r="E17837" s="2"/>
      <c r="F17837" s="2" t="str">
        <f>"9781921666599"</f>
        <v>9781921666599</v>
      </c>
    </row>
    <row r="17838" spans="1:6" s="3" customFormat="1" ht="29.1" customHeight="1" x14ac:dyDescent="0.25">
      <c r="A17838" s="2" t="s">
        <v>35122</v>
      </c>
      <c r="B17838" s="2" t="s">
        <v>35123</v>
      </c>
      <c r="C17838" s="2" t="s">
        <v>2133</v>
      </c>
      <c r="D17838" s="2" t="s">
        <v>5758</v>
      </c>
      <c r="E17838" s="2"/>
      <c r="F17838" s="2" t="str">
        <f>"9781921666278"</f>
        <v>9781921666278</v>
      </c>
    </row>
    <row r="17839" spans="1:6" s="3" customFormat="1" ht="29.1" customHeight="1" x14ac:dyDescent="0.25">
      <c r="A17839" s="2" t="s">
        <v>35124</v>
      </c>
      <c r="B17839" s="2" t="s">
        <v>32335</v>
      </c>
      <c r="C17839" s="2" t="s">
        <v>2133</v>
      </c>
      <c r="D17839" s="2" t="s">
        <v>2274</v>
      </c>
      <c r="E17839" s="2"/>
      <c r="F17839" s="2" t="str">
        <f>"9781921666377"</f>
        <v>9781921666377</v>
      </c>
    </row>
    <row r="17840" spans="1:6" s="3" customFormat="1" ht="29.1" customHeight="1" x14ac:dyDescent="0.25">
      <c r="A17840" s="2" t="s">
        <v>9706</v>
      </c>
      <c r="B17840" s="2" t="s">
        <v>35125</v>
      </c>
      <c r="C17840" s="2" t="s">
        <v>2133</v>
      </c>
      <c r="D17840" s="2" t="s">
        <v>2019</v>
      </c>
      <c r="E17840" s="2"/>
      <c r="F17840" s="2" t="str">
        <f>"9781921666292"</f>
        <v>9781921666292</v>
      </c>
    </row>
    <row r="17841" spans="1:6" s="3" customFormat="1" ht="29.1" customHeight="1" x14ac:dyDescent="0.25">
      <c r="A17841" s="2" t="s">
        <v>35126</v>
      </c>
      <c r="B17841" s="2" t="s">
        <v>34791</v>
      </c>
      <c r="C17841" s="2" t="s">
        <v>2133</v>
      </c>
      <c r="D17841" s="2" t="s">
        <v>294</v>
      </c>
      <c r="E17841" s="2"/>
      <c r="F17841" s="2" t="str">
        <f>"9781921536717"</f>
        <v>9781921536717</v>
      </c>
    </row>
    <row r="17842" spans="1:6" s="3" customFormat="1" ht="29.1" customHeight="1" x14ac:dyDescent="0.25">
      <c r="A17842" s="2" t="s">
        <v>35127</v>
      </c>
      <c r="B17842" s="2" t="s">
        <v>32335</v>
      </c>
      <c r="C17842" s="2" t="s">
        <v>2133</v>
      </c>
      <c r="D17842" s="2" t="s">
        <v>1422</v>
      </c>
      <c r="E17842" s="2"/>
      <c r="F17842" s="2" t="str">
        <f>"9781921666414"</f>
        <v>9781921666414</v>
      </c>
    </row>
    <row r="17843" spans="1:6" s="3" customFormat="1" ht="29.1" customHeight="1" x14ac:dyDescent="0.25">
      <c r="A17843" s="2" t="s">
        <v>35128</v>
      </c>
      <c r="B17843" s="2" t="s">
        <v>16100</v>
      </c>
      <c r="C17843" s="2" t="s">
        <v>2133</v>
      </c>
      <c r="D17843" s="2" t="s">
        <v>1895</v>
      </c>
      <c r="E17843" s="2"/>
      <c r="F17843" s="2" t="str">
        <f>"9781921666698"</f>
        <v>9781921666698</v>
      </c>
    </row>
    <row r="17844" spans="1:6" s="3" customFormat="1" ht="29.1" customHeight="1" x14ac:dyDescent="0.25">
      <c r="A17844" s="2" t="s">
        <v>35129</v>
      </c>
      <c r="B17844" s="2" t="s">
        <v>35130</v>
      </c>
      <c r="C17844" s="2" t="s">
        <v>2133</v>
      </c>
      <c r="D17844" s="2" t="s">
        <v>92</v>
      </c>
      <c r="E17844" s="2"/>
      <c r="F17844" s="2" t="str">
        <f>"9781921666759"</f>
        <v>9781921666759</v>
      </c>
    </row>
    <row r="17845" spans="1:6" s="3" customFormat="1" ht="29.1" customHeight="1" x14ac:dyDescent="0.25">
      <c r="A17845" s="2" t="s">
        <v>35131</v>
      </c>
      <c r="B17845" s="2" t="s">
        <v>35132</v>
      </c>
      <c r="C17845" s="2" t="s">
        <v>2133</v>
      </c>
      <c r="D17845" s="2" t="s">
        <v>818</v>
      </c>
      <c r="E17845" s="2"/>
      <c r="F17845" s="2" t="str">
        <f>"9781921666858"</f>
        <v>9781921666858</v>
      </c>
    </row>
    <row r="17846" spans="1:6" s="3" customFormat="1" ht="29.1" customHeight="1" x14ac:dyDescent="0.25">
      <c r="A17846" s="2" t="s">
        <v>35133</v>
      </c>
      <c r="B17846" s="2" t="s">
        <v>15547</v>
      </c>
      <c r="C17846" s="2" t="s">
        <v>2133</v>
      </c>
      <c r="D17846" s="2" t="s">
        <v>13300</v>
      </c>
      <c r="E17846" s="2"/>
      <c r="F17846" s="2" t="str">
        <f>"9781922144911"</f>
        <v>9781922144911</v>
      </c>
    </row>
    <row r="17847" spans="1:6" s="3" customFormat="1" ht="29.1" customHeight="1" x14ac:dyDescent="0.25">
      <c r="A17847" s="2" t="s">
        <v>35134</v>
      </c>
      <c r="B17847" s="2" t="s">
        <v>35135</v>
      </c>
      <c r="C17847" s="2" t="s">
        <v>2133</v>
      </c>
      <c r="D17847" s="2" t="s">
        <v>818</v>
      </c>
      <c r="E17847" s="2"/>
      <c r="F17847" s="2" t="str">
        <f>"9781921536472"</f>
        <v>9781921536472</v>
      </c>
    </row>
    <row r="17848" spans="1:6" s="3" customFormat="1" ht="29.1" customHeight="1" x14ac:dyDescent="0.25">
      <c r="A17848" s="2" t="s">
        <v>35136</v>
      </c>
      <c r="B17848" s="2" t="s">
        <v>35066</v>
      </c>
      <c r="C17848" s="2" t="s">
        <v>2133</v>
      </c>
      <c r="D17848" s="2" t="s">
        <v>2086</v>
      </c>
      <c r="E17848" s="2"/>
      <c r="F17848" s="2" t="str">
        <f>"9781921666711"</f>
        <v>9781921666711</v>
      </c>
    </row>
    <row r="17849" spans="1:6" s="3" customFormat="1" ht="29.1" customHeight="1" x14ac:dyDescent="0.25">
      <c r="A17849" s="2" t="s">
        <v>35137</v>
      </c>
      <c r="B17849" s="2" t="s">
        <v>35138</v>
      </c>
      <c r="C17849" s="2" t="s">
        <v>2133</v>
      </c>
      <c r="D17849" s="2" t="s">
        <v>459</v>
      </c>
      <c r="E17849" s="2"/>
      <c r="F17849" s="2" t="str">
        <f>"9781760463939"</f>
        <v>9781760463939</v>
      </c>
    </row>
    <row r="17850" spans="1:6" s="3" customFormat="1" ht="29.1" customHeight="1" x14ac:dyDescent="0.25">
      <c r="A17850" s="2" t="s">
        <v>35139</v>
      </c>
      <c r="B17850" s="2" t="s">
        <v>35140</v>
      </c>
      <c r="C17850" s="2" t="s">
        <v>2133</v>
      </c>
      <c r="D17850" s="2" t="s">
        <v>26888</v>
      </c>
      <c r="E17850" s="2"/>
      <c r="F17850" s="2" t="str">
        <f>"9781760464035"</f>
        <v>9781760464035</v>
      </c>
    </row>
    <row r="17851" spans="1:6" s="3" customFormat="1" ht="29.1" customHeight="1" x14ac:dyDescent="0.25">
      <c r="A17851" s="2" t="s">
        <v>35141</v>
      </c>
      <c r="B17851" s="2" t="s">
        <v>35142</v>
      </c>
      <c r="C17851" s="2" t="s">
        <v>2133</v>
      </c>
      <c r="D17851" s="2" t="s">
        <v>186</v>
      </c>
      <c r="E17851" s="2"/>
      <c r="F17851" s="2" t="str">
        <f>"9781760464059"</f>
        <v>9781760464059</v>
      </c>
    </row>
    <row r="17852" spans="1:6" s="3" customFormat="1" ht="29.1" customHeight="1" x14ac:dyDescent="0.25">
      <c r="A17852" s="2" t="s">
        <v>35143</v>
      </c>
      <c r="B17852" s="2" t="s">
        <v>35144</v>
      </c>
      <c r="C17852" s="2" t="s">
        <v>2133</v>
      </c>
      <c r="D17852" s="2" t="s">
        <v>606</v>
      </c>
      <c r="E17852" s="2" t="str">
        <f>"9781925021271"</f>
        <v>9781925021271</v>
      </c>
      <c r="F17852" s="2" t="str">
        <f>"9781925021288"</f>
        <v>9781925021288</v>
      </c>
    </row>
    <row r="17853" spans="1:6" s="3" customFormat="1" ht="29.1" customHeight="1" x14ac:dyDescent="0.25">
      <c r="A17853" s="2" t="s">
        <v>35145</v>
      </c>
      <c r="B17853" s="2" t="s">
        <v>35146</v>
      </c>
      <c r="C17853" s="2" t="s">
        <v>2133</v>
      </c>
      <c r="D17853" s="2" t="s">
        <v>4059</v>
      </c>
      <c r="E17853" s="2"/>
      <c r="F17853" s="2" t="str">
        <f>"9781760464073"</f>
        <v>9781760464073</v>
      </c>
    </row>
    <row r="17854" spans="1:6" s="3" customFormat="1" ht="29.1" customHeight="1" x14ac:dyDescent="0.25">
      <c r="A17854" s="2" t="s">
        <v>35147</v>
      </c>
      <c r="B17854" s="2" t="s">
        <v>35148</v>
      </c>
      <c r="C17854" s="2" t="s">
        <v>2133</v>
      </c>
      <c r="D17854" s="2" t="s">
        <v>1867</v>
      </c>
      <c r="E17854" s="2"/>
      <c r="F17854" s="2" t="str">
        <f>"9781921862823"</f>
        <v>9781921862823</v>
      </c>
    </row>
    <row r="17855" spans="1:6" s="3" customFormat="1" ht="29.1" customHeight="1" x14ac:dyDescent="0.25">
      <c r="A17855" s="2" t="s">
        <v>35149</v>
      </c>
      <c r="B17855" s="2" t="s">
        <v>35150</v>
      </c>
      <c r="C17855" s="2" t="s">
        <v>2133</v>
      </c>
      <c r="D17855" s="2" t="s">
        <v>758</v>
      </c>
      <c r="E17855" s="2"/>
      <c r="F17855" s="2" t="str">
        <f>"9781925021691"</f>
        <v>9781925021691</v>
      </c>
    </row>
    <row r="17856" spans="1:6" s="3" customFormat="1" ht="29.1" customHeight="1" x14ac:dyDescent="0.25">
      <c r="A17856" s="2" t="s">
        <v>35151</v>
      </c>
      <c r="B17856" s="2" t="s">
        <v>35152</v>
      </c>
      <c r="C17856" s="2" t="s">
        <v>2133</v>
      </c>
      <c r="D17856" s="2" t="s">
        <v>8149</v>
      </c>
      <c r="E17856" s="2"/>
      <c r="F17856" s="2" t="str">
        <f>"9781925021677"</f>
        <v>9781925021677</v>
      </c>
    </row>
    <row r="17857" spans="1:6" s="3" customFormat="1" ht="29.1" customHeight="1" x14ac:dyDescent="0.25">
      <c r="A17857" s="2" t="s">
        <v>35153</v>
      </c>
      <c r="B17857" s="2" t="s">
        <v>35154</v>
      </c>
      <c r="C17857" s="2" t="s">
        <v>2133</v>
      </c>
      <c r="D17857" s="2" t="s">
        <v>125</v>
      </c>
      <c r="E17857" s="2"/>
      <c r="F17857" s="2" t="str">
        <f>"9781760464011"</f>
        <v>9781760464011</v>
      </c>
    </row>
    <row r="17858" spans="1:6" s="3" customFormat="1" ht="29.1" customHeight="1" x14ac:dyDescent="0.25">
      <c r="A17858" s="2" t="s">
        <v>35155</v>
      </c>
      <c r="B17858" s="2" t="s">
        <v>35156</v>
      </c>
      <c r="C17858" s="2" t="s">
        <v>2133</v>
      </c>
      <c r="D17858" s="2" t="s">
        <v>5695</v>
      </c>
      <c r="E17858" s="2"/>
      <c r="F17858" s="2" t="str">
        <f>"9781760463526"</f>
        <v>9781760463526</v>
      </c>
    </row>
    <row r="17859" spans="1:6" s="3" customFormat="1" ht="29.1" customHeight="1" x14ac:dyDescent="0.25">
      <c r="A17859" s="2" t="s">
        <v>35157</v>
      </c>
      <c r="B17859" s="2" t="s">
        <v>35158</v>
      </c>
      <c r="C17859" s="2" t="s">
        <v>2133</v>
      </c>
      <c r="D17859" s="2" t="s">
        <v>1449</v>
      </c>
      <c r="E17859" s="2"/>
      <c r="F17859" s="2" t="str">
        <f>"9781920942007"</f>
        <v>9781920942007</v>
      </c>
    </row>
    <row r="17860" spans="1:6" s="3" customFormat="1" ht="29.1" customHeight="1" x14ac:dyDescent="0.25">
      <c r="A17860" s="2" t="s">
        <v>35159</v>
      </c>
      <c r="B17860" s="2" t="s">
        <v>27068</v>
      </c>
      <c r="C17860" s="2" t="s">
        <v>2133</v>
      </c>
      <c r="D17860" s="2" t="s">
        <v>5695</v>
      </c>
      <c r="E17860" s="2"/>
      <c r="F17860" s="2" t="str">
        <f>"9781760463687"</f>
        <v>9781760463687</v>
      </c>
    </row>
    <row r="17861" spans="1:6" s="3" customFormat="1" ht="29.1" customHeight="1" x14ac:dyDescent="0.25">
      <c r="A17861" s="2" t="s">
        <v>35160</v>
      </c>
      <c r="B17861" s="2" t="s">
        <v>35161</v>
      </c>
      <c r="C17861" s="2" t="s">
        <v>2133</v>
      </c>
      <c r="D17861" s="2" t="s">
        <v>4059</v>
      </c>
      <c r="E17861" s="2"/>
      <c r="F17861" s="2" t="str">
        <f>"9781760463991"</f>
        <v>9781760463991</v>
      </c>
    </row>
    <row r="17862" spans="1:6" s="3" customFormat="1" ht="29.1" customHeight="1" x14ac:dyDescent="0.25">
      <c r="A17862" s="2" t="s">
        <v>35162</v>
      </c>
      <c r="B17862" s="2" t="s">
        <v>35163</v>
      </c>
      <c r="C17862" s="2" t="s">
        <v>2133</v>
      </c>
      <c r="D17862" s="2" t="s">
        <v>9395</v>
      </c>
      <c r="E17862" s="2" t="str">
        <f>"9781760461096"</f>
        <v>9781760461096</v>
      </c>
      <c r="F17862" s="2" t="str">
        <f>"9781760461102"</f>
        <v>9781760461102</v>
      </c>
    </row>
    <row r="17863" spans="1:6" s="3" customFormat="1" ht="29.1" customHeight="1" x14ac:dyDescent="0.25">
      <c r="A17863" s="2" t="s">
        <v>35164</v>
      </c>
      <c r="B17863" s="2" t="s">
        <v>34672</v>
      </c>
      <c r="C17863" s="2" t="s">
        <v>2133</v>
      </c>
      <c r="D17863" s="2" t="s">
        <v>92</v>
      </c>
      <c r="E17863" s="2"/>
      <c r="F17863" s="2" t="str">
        <f>"9781760463977"</f>
        <v>9781760463977</v>
      </c>
    </row>
    <row r="17864" spans="1:6" s="3" customFormat="1" ht="29.1" customHeight="1" x14ac:dyDescent="0.25">
      <c r="A17864" s="2" t="s">
        <v>35165</v>
      </c>
      <c r="B17864" s="2" t="s">
        <v>35166</v>
      </c>
      <c r="C17864" s="2" t="s">
        <v>2133</v>
      </c>
      <c r="D17864" s="2" t="s">
        <v>1541</v>
      </c>
      <c r="E17864" s="2"/>
      <c r="F17864" s="2" t="str">
        <f>"9781760463953"</f>
        <v>9781760463953</v>
      </c>
    </row>
    <row r="17865" spans="1:6" s="3" customFormat="1" ht="29.1" customHeight="1" x14ac:dyDescent="0.25">
      <c r="A17865" s="2" t="s">
        <v>35167</v>
      </c>
      <c r="B17865" s="2" t="s">
        <v>35168</v>
      </c>
      <c r="C17865" s="2" t="s">
        <v>2133</v>
      </c>
      <c r="D17865" s="2" t="s">
        <v>10177</v>
      </c>
      <c r="E17865" s="2" t="str">
        <f>"9781760463656"</f>
        <v>9781760463656</v>
      </c>
      <c r="F17865" s="2" t="str">
        <f>"9781760463663"</f>
        <v>9781760463663</v>
      </c>
    </row>
    <row r="17866" spans="1:6" s="3" customFormat="1" ht="29.1" customHeight="1" x14ac:dyDescent="0.25">
      <c r="A17866" s="2" t="s">
        <v>35169</v>
      </c>
      <c r="B17866" s="2" t="s">
        <v>35170</v>
      </c>
      <c r="C17866" s="2" t="s">
        <v>2133</v>
      </c>
      <c r="D17866" s="2" t="s">
        <v>1432</v>
      </c>
      <c r="E17866" s="2" t="str">
        <f>"9781760463694"</f>
        <v>9781760463694</v>
      </c>
      <c r="F17866" s="2" t="str">
        <f>"9781760463700"</f>
        <v>9781760463700</v>
      </c>
    </row>
    <row r="17867" spans="1:6" s="3" customFormat="1" ht="29.1" customHeight="1" x14ac:dyDescent="0.25">
      <c r="A17867" s="2" t="s">
        <v>35171</v>
      </c>
      <c r="B17867" s="2" t="s">
        <v>35172</v>
      </c>
      <c r="C17867" s="2" t="s">
        <v>2133</v>
      </c>
      <c r="D17867" s="2" t="s">
        <v>3536</v>
      </c>
      <c r="E17867" s="2" t="str">
        <f>"9781760463779"</f>
        <v>9781760463779</v>
      </c>
      <c r="F17867" s="2" t="str">
        <f>"9781760463786"</f>
        <v>9781760463786</v>
      </c>
    </row>
    <row r="17868" spans="1:6" s="3" customFormat="1" ht="29.1" customHeight="1" x14ac:dyDescent="0.25">
      <c r="A17868" s="2" t="s">
        <v>35173</v>
      </c>
      <c r="B17868" s="2" t="s">
        <v>35174</v>
      </c>
      <c r="C17868" s="2" t="s">
        <v>2133</v>
      </c>
      <c r="D17868" s="2" t="s">
        <v>606</v>
      </c>
      <c r="E17868" s="2" t="str">
        <f>"9781760463885"</f>
        <v>9781760463885</v>
      </c>
      <c r="F17868" s="2" t="str">
        <f>"9781760463892"</f>
        <v>9781760463892</v>
      </c>
    </row>
    <row r="17869" spans="1:6" s="3" customFormat="1" ht="29.1" customHeight="1" x14ac:dyDescent="0.25">
      <c r="A17869" s="2" t="s">
        <v>35175</v>
      </c>
      <c r="B17869" s="2" t="s">
        <v>35176</v>
      </c>
      <c r="C17869" s="2" t="s">
        <v>2133</v>
      </c>
      <c r="D17869" s="2" t="s">
        <v>4059</v>
      </c>
      <c r="E17869" s="2" t="str">
        <f>"9781760463908"</f>
        <v>9781760463908</v>
      </c>
      <c r="F17869" s="2" t="str">
        <f>"9781760463915"</f>
        <v>9781760463915</v>
      </c>
    </row>
    <row r="17870" spans="1:6" s="3" customFormat="1" ht="29.1" customHeight="1" x14ac:dyDescent="0.25">
      <c r="A17870" s="2" t="s">
        <v>35177</v>
      </c>
      <c r="B17870" s="2" t="s">
        <v>35178</v>
      </c>
      <c r="C17870" s="2" t="s">
        <v>2133</v>
      </c>
      <c r="D17870" s="2" t="s">
        <v>913</v>
      </c>
      <c r="E17870" s="2" t="str">
        <f>"9781760463403"</f>
        <v>9781760463403</v>
      </c>
      <c r="F17870" s="2" t="str">
        <f>"9781760463410"</f>
        <v>9781760463410</v>
      </c>
    </row>
    <row r="17871" spans="1:6" s="3" customFormat="1" ht="29.1" customHeight="1" x14ac:dyDescent="0.25">
      <c r="A17871" s="2" t="s">
        <v>35179</v>
      </c>
      <c r="B17871" s="2" t="s">
        <v>34637</v>
      </c>
      <c r="C17871" s="2" t="s">
        <v>2133</v>
      </c>
      <c r="D17871" s="2" t="s">
        <v>4059</v>
      </c>
      <c r="E17871" s="2" t="str">
        <f>"9781760463755"</f>
        <v>9781760463755</v>
      </c>
      <c r="F17871" s="2" t="str">
        <f>"9781760463762"</f>
        <v>9781760463762</v>
      </c>
    </row>
    <row r="17872" spans="1:6" s="3" customFormat="1" ht="29.1" customHeight="1" x14ac:dyDescent="0.25">
      <c r="A17872" s="2" t="s">
        <v>35180</v>
      </c>
      <c r="B17872" s="2" t="s">
        <v>35181</v>
      </c>
      <c r="C17872" s="2" t="s">
        <v>2133</v>
      </c>
      <c r="D17872" s="2" t="s">
        <v>2019</v>
      </c>
      <c r="E17872" s="2" t="str">
        <f>"9781760463816"</f>
        <v>9781760463816</v>
      </c>
      <c r="F17872" s="2" t="str">
        <f>"9781760463823"</f>
        <v>9781760463823</v>
      </c>
    </row>
    <row r="17873" spans="1:6" s="3" customFormat="1" ht="29.1" customHeight="1" x14ac:dyDescent="0.25">
      <c r="A17873" s="2" t="s">
        <v>35182</v>
      </c>
      <c r="B17873" s="2" t="s">
        <v>35183</v>
      </c>
      <c r="C17873" s="2" t="s">
        <v>2133</v>
      </c>
      <c r="D17873" s="2" t="s">
        <v>6972</v>
      </c>
      <c r="E17873" s="2" t="str">
        <f>"9781760463854"</f>
        <v>9781760463854</v>
      </c>
      <c r="F17873" s="2" t="str">
        <f>"9781760463861"</f>
        <v>9781760463861</v>
      </c>
    </row>
    <row r="17874" spans="1:6" s="3" customFormat="1" ht="29.1" customHeight="1" x14ac:dyDescent="0.25">
      <c r="A17874" s="2" t="s">
        <v>35184</v>
      </c>
      <c r="B17874" s="2" t="s">
        <v>35185</v>
      </c>
      <c r="C17874" s="2" t="s">
        <v>2133</v>
      </c>
      <c r="D17874" s="2" t="s">
        <v>5832</v>
      </c>
      <c r="E17874" s="2" t="str">
        <f>"9781760463632"</f>
        <v>9781760463632</v>
      </c>
      <c r="F17874" s="2" t="str">
        <f>"9781760463649"</f>
        <v>9781760463649</v>
      </c>
    </row>
    <row r="17875" spans="1:6" s="3" customFormat="1" ht="29.1" customHeight="1" x14ac:dyDescent="0.25">
      <c r="A17875" s="2" t="s">
        <v>35186</v>
      </c>
      <c r="B17875" s="2" t="s">
        <v>35188</v>
      </c>
      <c r="C17875" s="2" t="s">
        <v>2133</v>
      </c>
      <c r="D17875" s="2" t="s">
        <v>35187</v>
      </c>
      <c r="E17875" s="2" t="str">
        <f>"9781760463830"</f>
        <v>9781760463830</v>
      </c>
      <c r="F17875" s="2" t="str">
        <f>"9781760463847"</f>
        <v>9781760463847</v>
      </c>
    </row>
    <row r="17876" spans="1:6" s="3" customFormat="1" ht="29.1" customHeight="1" x14ac:dyDescent="0.25">
      <c r="A17876" s="2" t="s">
        <v>35189</v>
      </c>
      <c r="B17876" s="2" t="s">
        <v>35190</v>
      </c>
      <c r="C17876" s="2" t="s">
        <v>2133</v>
      </c>
      <c r="D17876" s="2" t="s">
        <v>328</v>
      </c>
      <c r="E17876" s="2"/>
      <c r="F17876" s="2" t="str">
        <f>"9781922144171"</f>
        <v>9781922144171</v>
      </c>
    </row>
    <row r="17877" spans="1:6" s="3" customFormat="1" ht="29.1" customHeight="1" x14ac:dyDescent="0.25">
      <c r="A17877" s="2" t="s">
        <v>35191</v>
      </c>
      <c r="B17877" s="2" t="s">
        <v>35192</v>
      </c>
      <c r="C17877" s="2" t="s">
        <v>2133</v>
      </c>
      <c r="D17877" s="2" t="s">
        <v>1466</v>
      </c>
      <c r="E17877" s="2"/>
      <c r="F17877" s="2" t="str">
        <f>"9781760461386"</f>
        <v>9781760461386</v>
      </c>
    </row>
    <row r="17878" spans="1:6" s="3" customFormat="1" ht="29.1" customHeight="1" x14ac:dyDescent="0.25">
      <c r="A17878" s="2" t="s">
        <v>35193</v>
      </c>
      <c r="B17878" s="2" t="s">
        <v>35194</v>
      </c>
      <c r="C17878" s="2" t="s">
        <v>2133</v>
      </c>
      <c r="D17878" s="2" t="s">
        <v>186</v>
      </c>
      <c r="E17878" s="2" t="str">
        <f>"9781760463595"</f>
        <v>9781760463595</v>
      </c>
      <c r="F17878" s="2" t="str">
        <f>"9781760463601"</f>
        <v>9781760463601</v>
      </c>
    </row>
    <row r="17879" spans="1:6" s="3" customFormat="1" ht="29.1" customHeight="1" x14ac:dyDescent="0.25">
      <c r="A17879" s="2" t="s">
        <v>35195</v>
      </c>
      <c r="B17879" s="2" t="s">
        <v>35196</v>
      </c>
      <c r="C17879" s="2" t="s">
        <v>2133</v>
      </c>
      <c r="D17879" s="2" t="s">
        <v>5983</v>
      </c>
      <c r="E17879" s="2" t="str">
        <f>"9781760463618"</f>
        <v>9781760463618</v>
      </c>
      <c r="F17879" s="2" t="str">
        <f>"9781760463625"</f>
        <v>9781760463625</v>
      </c>
    </row>
    <row r="17880" spans="1:6" s="3" customFormat="1" ht="29.1" customHeight="1" x14ac:dyDescent="0.25">
      <c r="A17880" s="2" t="s">
        <v>9448</v>
      </c>
      <c r="B17880" s="2" t="s">
        <v>9449</v>
      </c>
      <c r="C17880" s="2" t="s">
        <v>2133</v>
      </c>
      <c r="D17880" s="2" t="s">
        <v>66</v>
      </c>
      <c r="E17880" s="2"/>
      <c r="F17880" s="2" t="str">
        <f>"9781760463809"</f>
        <v>9781760463809</v>
      </c>
    </row>
    <row r="17881" spans="1:6" s="3" customFormat="1" ht="29.1" customHeight="1" x14ac:dyDescent="0.25">
      <c r="A17881" s="2" t="s">
        <v>35197</v>
      </c>
      <c r="B17881" s="2" t="s">
        <v>34606</v>
      </c>
      <c r="C17881" s="2" t="s">
        <v>2133</v>
      </c>
      <c r="D17881" s="2" t="s">
        <v>6837</v>
      </c>
      <c r="E17881" s="2"/>
      <c r="F17881" s="2" t="str">
        <f>"9781925022957"</f>
        <v>9781925022957</v>
      </c>
    </row>
    <row r="17882" spans="1:6" s="3" customFormat="1" ht="29.1" customHeight="1" x14ac:dyDescent="0.25">
      <c r="A17882" s="2" t="s">
        <v>35198</v>
      </c>
      <c r="B17882" s="2" t="s">
        <v>35199</v>
      </c>
      <c r="C17882" s="2" t="s">
        <v>2133</v>
      </c>
      <c r="D17882" s="2" t="s">
        <v>818</v>
      </c>
      <c r="E17882" s="2" t="str">
        <f>"9789532227505"</f>
        <v>9789532227505</v>
      </c>
      <c r="F17882" s="2" t="str">
        <f>"9781760460488"</f>
        <v>9781760460488</v>
      </c>
    </row>
    <row r="17883" spans="1:6" s="3" customFormat="1" ht="29.1" customHeight="1" x14ac:dyDescent="0.25">
      <c r="A17883" s="2" t="s">
        <v>35200</v>
      </c>
      <c r="B17883" s="2" t="s">
        <v>35201</v>
      </c>
      <c r="C17883" s="2" t="s">
        <v>2133</v>
      </c>
      <c r="D17883" s="2" t="s">
        <v>501</v>
      </c>
      <c r="E17883" s="2"/>
      <c r="F17883" s="2" t="str">
        <f>"9781925022971"</f>
        <v>9781925022971</v>
      </c>
    </row>
    <row r="17884" spans="1:6" s="3" customFormat="1" ht="29.1" customHeight="1" x14ac:dyDescent="0.25">
      <c r="A17884" s="2" t="s">
        <v>35202</v>
      </c>
      <c r="B17884" s="2" t="s">
        <v>35203</v>
      </c>
      <c r="C17884" s="2" t="s">
        <v>2133</v>
      </c>
      <c r="D17884" s="2" t="s">
        <v>49</v>
      </c>
      <c r="E17884" s="2"/>
      <c r="F17884" s="2" t="str">
        <f>"9781925022940"</f>
        <v>9781925022940</v>
      </c>
    </row>
    <row r="17885" spans="1:6" s="3" customFormat="1" ht="29.1" customHeight="1" x14ac:dyDescent="0.25">
      <c r="A17885" s="2" t="s">
        <v>14837</v>
      </c>
      <c r="B17885" s="2" t="s">
        <v>15547</v>
      </c>
      <c r="C17885" s="2" t="s">
        <v>2133</v>
      </c>
      <c r="D17885" s="2" t="s">
        <v>13300</v>
      </c>
      <c r="E17885" s="2"/>
      <c r="F17885" s="2" t="str">
        <f>"9781922144386"</f>
        <v>9781922144386</v>
      </c>
    </row>
    <row r="17886" spans="1:6" s="3" customFormat="1" ht="29.1" customHeight="1" x14ac:dyDescent="0.25">
      <c r="A17886" s="2" t="s">
        <v>35204</v>
      </c>
      <c r="B17886" s="2" t="s">
        <v>35205</v>
      </c>
      <c r="C17886" s="2" t="s">
        <v>2133</v>
      </c>
      <c r="D17886" s="2" t="s">
        <v>11751</v>
      </c>
      <c r="E17886" s="2"/>
      <c r="F17886" s="2" t="str">
        <f>"9781922144034"</f>
        <v>9781922144034</v>
      </c>
    </row>
    <row r="17887" spans="1:6" s="3" customFormat="1" ht="29.1" customHeight="1" x14ac:dyDescent="0.25">
      <c r="A17887" s="2" t="s">
        <v>35206</v>
      </c>
      <c r="B17887" s="2" t="s">
        <v>35207</v>
      </c>
      <c r="C17887" s="2" t="s">
        <v>2133</v>
      </c>
      <c r="D17887" s="2" t="s">
        <v>92</v>
      </c>
      <c r="E17887" s="2"/>
      <c r="F17887" s="2" t="str">
        <f>"9781921862748"</f>
        <v>9781921862748</v>
      </c>
    </row>
    <row r="17888" spans="1:6" s="3" customFormat="1" ht="29.1" customHeight="1" x14ac:dyDescent="0.25">
      <c r="A17888" s="2" t="s">
        <v>35208</v>
      </c>
      <c r="B17888" s="2" t="s">
        <v>35209</v>
      </c>
      <c r="C17888" s="2" t="s">
        <v>2133</v>
      </c>
      <c r="D17888" s="2" t="s">
        <v>4059</v>
      </c>
      <c r="E17888" s="2" t="str">
        <f>"9781921862694"</f>
        <v>9781921862694</v>
      </c>
      <c r="F17888" s="2" t="str">
        <f>"9781921862700"</f>
        <v>9781921862700</v>
      </c>
    </row>
    <row r="17889" spans="1:6" s="3" customFormat="1" ht="29.1" customHeight="1" x14ac:dyDescent="0.25">
      <c r="A17889" s="2" t="s">
        <v>35210</v>
      </c>
      <c r="B17889" s="2" t="s">
        <v>35211</v>
      </c>
      <c r="C17889" s="2" t="s">
        <v>2133</v>
      </c>
      <c r="D17889" s="2" t="s">
        <v>30819</v>
      </c>
      <c r="E17889" s="2" t="str">
        <f>"9781921862496"</f>
        <v>9781921862496</v>
      </c>
      <c r="F17889" s="2" t="str">
        <f>"9781921862502"</f>
        <v>9781921862502</v>
      </c>
    </row>
    <row r="17890" spans="1:6" s="3" customFormat="1" ht="29.1" customHeight="1" x14ac:dyDescent="0.25">
      <c r="A17890" s="2" t="s">
        <v>35212</v>
      </c>
      <c r="B17890" s="2" t="s">
        <v>35213</v>
      </c>
      <c r="C17890" s="2" t="s">
        <v>2133</v>
      </c>
      <c r="D17890" s="2" t="s">
        <v>1001</v>
      </c>
      <c r="E17890" s="2"/>
      <c r="F17890" s="2" t="str">
        <f>"9781921862397"</f>
        <v>9781921862397</v>
      </c>
    </row>
    <row r="17891" spans="1:6" s="3" customFormat="1" ht="29.1" customHeight="1" x14ac:dyDescent="0.25">
      <c r="A17891" s="2" t="s">
        <v>35214</v>
      </c>
      <c r="B17891" s="2" t="s">
        <v>35215</v>
      </c>
      <c r="C17891" s="2" t="s">
        <v>2133</v>
      </c>
      <c r="D17891" s="2" t="s">
        <v>98</v>
      </c>
      <c r="E17891" s="2"/>
      <c r="F17891" s="2" t="str">
        <f>"9781921862311"</f>
        <v>9781921862311</v>
      </c>
    </row>
    <row r="17892" spans="1:6" s="3" customFormat="1" ht="29.1" customHeight="1" x14ac:dyDescent="0.25">
      <c r="A17892" s="2" t="s">
        <v>35216</v>
      </c>
      <c r="B17892" s="2" t="s">
        <v>35217</v>
      </c>
      <c r="C17892" s="2" t="s">
        <v>2133</v>
      </c>
      <c r="D17892" s="2" t="s">
        <v>2019</v>
      </c>
      <c r="E17892" s="2"/>
      <c r="F17892" s="2" t="str">
        <f>"9781921862298"</f>
        <v>9781921862298</v>
      </c>
    </row>
    <row r="17893" spans="1:6" s="3" customFormat="1" ht="29.1" customHeight="1" x14ac:dyDescent="0.25">
      <c r="A17893" s="2" t="s">
        <v>35218</v>
      </c>
      <c r="B17893" s="2" t="s">
        <v>35219</v>
      </c>
      <c r="C17893" s="2" t="s">
        <v>2133</v>
      </c>
      <c r="D17893" s="2" t="s">
        <v>501</v>
      </c>
      <c r="E17893" s="2"/>
      <c r="F17893" s="2" t="str">
        <f>"9781921862090"</f>
        <v>9781921862090</v>
      </c>
    </row>
    <row r="17894" spans="1:6" s="3" customFormat="1" ht="29.1" customHeight="1" x14ac:dyDescent="0.25">
      <c r="A17894" s="2" t="s">
        <v>35220</v>
      </c>
      <c r="B17894" s="2" t="s">
        <v>27223</v>
      </c>
      <c r="C17894" s="2" t="s">
        <v>2133</v>
      </c>
      <c r="D17894" s="2" t="s">
        <v>207</v>
      </c>
      <c r="E17894" s="2"/>
      <c r="F17894" s="2" t="str">
        <f>"9781921666773"</f>
        <v>9781921666773</v>
      </c>
    </row>
    <row r="17895" spans="1:6" s="3" customFormat="1" ht="29.1" customHeight="1" x14ac:dyDescent="0.25">
      <c r="A17895" s="2" t="s">
        <v>35221</v>
      </c>
      <c r="B17895" s="2" t="s">
        <v>35222</v>
      </c>
      <c r="C17895" s="2" t="s">
        <v>2133</v>
      </c>
      <c r="D17895" s="2" t="s">
        <v>32693</v>
      </c>
      <c r="E17895" s="2"/>
      <c r="F17895" s="2" t="str">
        <f>"9781921666513"</f>
        <v>9781921666513</v>
      </c>
    </row>
    <row r="17896" spans="1:6" s="3" customFormat="1" ht="29.1" customHeight="1" x14ac:dyDescent="0.25">
      <c r="A17896" s="2" t="s">
        <v>35223</v>
      </c>
      <c r="B17896" s="2" t="s">
        <v>35224</v>
      </c>
      <c r="C17896" s="2" t="s">
        <v>2133</v>
      </c>
      <c r="D17896" s="2" t="s">
        <v>1162</v>
      </c>
      <c r="E17896" s="2"/>
      <c r="F17896" s="2" t="str">
        <f>"9781921666476"</f>
        <v>9781921666476</v>
      </c>
    </row>
    <row r="17897" spans="1:6" s="3" customFormat="1" ht="29.1" customHeight="1" x14ac:dyDescent="0.25">
      <c r="A17897" s="2" t="s">
        <v>35225</v>
      </c>
      <c r="B17897" s="2" t="s">
        <v>11699</v>
      </c>
      <c r="C17897" s="2" t="s">
        <v>2133</v>
      </c>
      <c r="D17897" s="2" t="s">
        <v>1888</v>
      </c>
      <c r="E17897" s="2"/>
      <c r="F17897" s="2" t="str">
        <f>"9781921666391"</f>
        <v>9781921666391</v>
      </c>
    </row>
    <row r="17898" spans="1:6" s="3" customFormat="1" ht="29.1" customHeight="1" x14ac:dyDescent="0.25">
      <c r="A17898" s="2" t="s">
        <v>35226</v>
      </c>
      <c r="B17898" s="2" t="s">
        <v>35227</v>
      </c>
      <c r="C17898" s="2" t="s">
        <v>2133</v>
      </c>
      <c r="D17898" s="2" t="s">
        <v>13300</v>
      </c>
      <c r="E17898" s="2"/>
      <c r="F17898" s="2" t="str">
        <f>"9781921666339"</f>
        <v>9781921666339</v>
      </c>
    </row>
    <row r="17899" spans="1:6" s="3" customFormat="1" ht="29.1" customHeight="1" x14ac:dyDescent="0.25">
      <c r="A17899" s="2" t="s">
        <v>35228</v>
      </c>
      <c r="B17899" s="2" t="s">
        <v>34974</v>
      </c>
      <c r="C17899" s="2" t="s">
        <v>2133</v>
      </c>
      <c r="D17899" s="2" t="s">
        <v>49</v>
      </c>
      <c r="E17899" s="2"/>
      <c r="F17899" s="2" t="str">
        <f>"9781921666193"</f>
        <v>9781921666193</v>
      </c>
    </row>
    <row r="17900" spans="1:6" s="3" customFormat="1" ht="29.1" customHeight="1" x14ac:dyDescent="0.25">
      <c r="A17900" s="2" t="s">
        <v>35229</v>
      </c>
      <c r="B17900" s="2" t="s">
        <v>35230</v>
      </c>
      <c r="C17900" s="2" t="s">
        <v>2133</v>
      </c>
      <c r="D17900" s="2" t="s">
        <v>764</v>
      </c>
      <c r="E17900" s="2"/>
      <c r="F17900" s="2" t="str">
        <f>"9781921536991"</f>
        <v>9781921536991</v>
      </c>
    </row>
    <row r="17901" spans="1:6" s="3" customFormat="1" ht="29.1" customHeight="1" x14ac:dyDescent="0.25">
      <c r="A17901" s="2" t="s">
        <v>35231</v>
      </c>
      <c r="B17901" s="2" t="s">
        <v>35232</v>
      </c>
      <c r="C17901" s="2" t="s">
        <v>2133</v>
      </c>
      <c r="D17901" s="2" t="s">
        <v>2462</v>
      </c>
      <c r="E17901" s="2"/>
      <c r="F17901" s="2" t="str">
        <f>"9781921536953"</f>
        <v>9781921536953</v>
      </c>
    </row>
    <row r="17902" spans="1:6" s="3" customFormat="1" ht="29.1" customHeight="1" x14ac:dyDescent="0.25">
      <c r="A17902" s="2" t="s">
        <v>35233</v>
      </c>
      <c r="B17902" s="2" t="s">
        <v>35234</v>
      </c>
      <c r="C17902" s="2" t="s">
        <v>2133</v>
      </c>
      <c r="D17902" s="2" t="s">
        <v>4059</v>
      </c>
      <c r="E17902" s="2"/>
      <c r="F17902" s="2" t="str">
        <f>"9781760463458"</f>
        <v>9781760463458</v>
      </c>
    </row>
    <row r="17903" spans="1:6" s="3" customFormat="1" ht="29.1" customHeight="1" x14ac:dyDescent="0.25">
      <c r="A17903" s="2" t="s">
        <v>35235</v>
      </c>
      <c r="B17903" s="2" t="s">
        <v>35236</v>
      </c>
      <c r="C17903" s="2" t="s">
        <v>2133</v>
      </c>
      <c r="D17903" s="2" t="s">
        <v>92</v>
      </c>
      <c r="E17903" s="2"/>
      <c r="F17903" s="2" t="str">
        <f>"9781921536830"</f>
        <v>9781921536830</v>
      </c>
    </row>
    <row r="17904" spans="1:6" s="3" customFormat="1" ht="29.1" customHeight="1" x14ac:dyDescent="0.25">
      <c r="A17904" s="2" t="s">
        <v>35237</v>
      </c>
      <c r="B17904" s="2" t="s">
        <v>33527</v>
      </c>
      <c r="C17904" s="2" t="s">
        <v>2133</v>
      </c>
      <c r="D17904" s="2" t="s">
        <v>818</v>
      </c>
      <c r="E17904" s="2"/>
      <c r="F17904" s="2" t="str">
        <f>"9781921536779"</f>
        <v>9781921536779</v>
      </c>
    </row>
    <row r="17905" spans="1:6" s="3" customFormat="1" ht="29.1" customHeight="1" x14ac:dyDescent="0.25">
      <c r="A17905" s="2" t="s">
        <v>35238</v>
      </c>
      <c r="B17905" s="2" t="s">
        <v>35239</v>
      </c>
      <c r="C17905" s="2" t="s">
        <v>2133</v>
      </c>
      <c r="D17905" s="2" t="s">
        <v>1768</v>
      </c>
      <c r="E17905" s="2"/>
      <c r="F17905" s="2" t="str">
        <f>"9781921536755"</f>
        <v>9781921536755</v>
      </c>
    </row>
    <row r="17906" spans="1:6" s="3" customFormat="1" ht="29.1" customHeight="1" x14ac:dyDescent="0.25">
      <c r="A17906" s="2" t="s">
        <v>35240</v>
      </c>
      <c r="B17906" s="2" t="s">
        <v>35241</v>
      </c>
      <c r="C17906" s="2" t="s">
        <v>2133</v>
      </c>
      <c r="D17906" s="2" t="s">
        <v>1259</v>
      </c>
      <c r="E17906" s="2"/>
      <c r="F17906" s="2" t="str">
        <f>"9781921536670"</f>
        <v>9781921536670</v>
      </c>
    </row>
    <row r="17907" spans="1:6" s="3" customFormat="1" ht="29.1" customHeight="1" x14ac:dyDescent="0.25">
      <c r="A17907" s="2" t="s">
        <v>35242</v>
      </c>
      <c r="B17907" s="2" t="s">
        <v>34974</v>
      </c>
      <c r="C17907" s="2" t="s">
        <v>2133</v>
      </c>
      <c r="D17907" s="2" t="s">
        <v>501</v>
      </c>
      <c r="E17907" s="2"/>
      <c r="F17907" s="2" t="str">
        <f>"9781921536595"</f>
        <v>9781921536595</v>
      </c>
    </row>
    <row r="17908" spans="1:6" s="3" customFormat="1" ht="29.1" customHeight="1" x14ac:dyDescent="0.25">
      <c r="A17908" s="2" t="s">
        <v>35243</v>
      </c>
      <c r="B17908" s="2" t="s">
        <v>35244</v>
      </c>
      <c r="C17908" s="2" t="s">
        <v>2133</v>
      </c>
      <c r="D17908" s="2" t="s">
        <v>6798</v>
      </c>
      <c r="E17908" s="2"/>
      <c r="F17908" s="2" t="str">
        <f>"9781921536557"</f>
        <v>9781921536557</v>
      </c>
    </row>
    <row r="17909" spans="1:6" s="3" customFormat="1" ht="29.1" customHeight="1" x14ac:dyDescent="0.25">
      <c r="A17909" s="2" t="s">
        <v>35245</v>
      </c>
      <c r="B17909" s="2" t="s">
        <v>35246</v>
      </c>
      <c r="C17909" s="2" t="s">
        <v>2133</v>
      </c>
      <c r="D17909" s="2" t="s">
        <v>13300</v>
      </c>
      <c r="E17909" s="2"/>
      <c r="F17909" s="2" t="str">
        <f>"9781921536519"</f>
        <v>9781921536519</v>
      </c>
    </row>
    <row r="17910" spans="1:6" s="3" customFormat="1" ht="29.1" customHeight="1" x14ac:dyDescent="0.25">
      <c r="A17910" s="2" t="s">
        <v>35247</v>
      </c>
      <c r="B17910" s="2" t="s">
        <v>35248</v>
      </c>
      <c r="C17910" s="2" t="s">
        <v>2133</v>
      </c>
      <c r="D17910" s="2" t="s">
        <v>4059</v>
      </c>
      <c r="E17910" s="2"/>
      <c r="F17910" s="2" t="str">
        <f>"9781760463502"</f>
        <v>9781760463502</v>
      </c>
    </row>
    <row r="17911" spans="1:6" s="3" customFormat="1" ht="29.1" customHeight="1" x14ac:dyDescent="0.25">
      <c r="A17911" s="2" t="s">
        <v>35249</v>
      </c>
      <c r="B17911" s="2" t="s">
        <v>35250</v>
      </c>
      <c r="C17911" s="2" t="s">
        <v>2133</v>
      </c>
      <c r="D17911" s="2" t="s">
        <v>1228</v>
      </c>
      <c r="E17911" s="2"/>
      <c r="F17911" s="2" t="str">
        <f>"9781921536434"</f>
        <v>9781921536434</v>
      </c>
    </row>
    <row r="17912" spans="1:6" s="3" customFormat="1" ht="29.1" customHeight="1" x14ac:dyDescent="0.25">
      <c r="A17912" s="2" t="s">
        <v>35251</v>
      </c>
      <c r="B17912" s="2" t="s">
        <v>35252</v>
      </c>
      <c r="C17912" s="2" t="s">
        <v>2133</v>
      </c>
      <c r="D17912" s="2" t="s">
        <v>6548</v>
      </c>
      <c r="E17912" s="2"/>
      <c r="F17912" s="2" t="str">
        <f>"9781921536250"</f>
        <v>9781921536250</v>
      </c>
    </row>
    <row r="17913" spans="1:6" s="3" customFormat="1" ht="29.1" customHeight="1" x14ac:dyDescent="0.25">
      <c r="A17913" s="2" t="s">
        <v>35253</v>
      </c>
      <c r="B17913" s="2" t="s">
        <v>35254</v>
      </c>
      <c r="C17913" s="2" t="s">
        <v>2133</v>
      </c>
      <c r="D17913" s="2" t="s">
        <v>5695</v>
      </c>
      <c r="E17913" s="2"/>
      <c r="F17913" s="2" t="str">
        <f>"9781921536212"</f>
        <v>9781921536212</v>
      </c>
    </row>
    <row r="17914" spans="1:6" s="3" customFormat="1" ht="29.1" customHeight="1" x14ac:dyDescent="0.25">
      <c r="A17914" s="2" t="s">
        <v>35255</v>
      </c>
      <c r="B17914" s="2" t="s">
        <v>35256</v>
      </c>
      <c r="C17914" s="2" t="s">
        <v>2133</v>
      </c>
      <c r="D17914" s="2" t="s">
        <v>4059</v>
      </c>
      <c r="E17914" s="2"/>
      <c r="F17914" s="2" t="str">
        <f>"9781921536137"</f>
        <v>9781921536137</v>
      </c>
    </row>
    <row r="17915" spans="1:6" s="3" customFormat="1" ht="29.1" customHeight="1" x14ac:dyDescent="0.25">
      <c r="A17915" s="2" t="s">
        <v>35257</v>
      </c>
      <c r="B17915" s="2" t="s">
        <v>35258</v>
      </c>
      <c r="C17915" s="2" t="s">
        <v>2133</v>
      </c>
      <c r="D17915" s="2" t="s">
        <v>4059</v>
      </c>
      <c r="E17915" s="2"/>
      <c r="F17915" s="2" t="str">
        <f>"9781921536090"</f>
        <v>9781921536090</v>
      </c>
    </row>
    <row r="17916" spans="1:6" s="3" customFormat="1" ht="29.1" customHeight="1" x14ac:dyDescent="0.25">
      <c r="A17916" s="2" t="s">
        <v>35259</v>
      </c>
      <c r="B17916" s="2" t="s">
        <v>35260</v>
      </c>
      <c r="C17916" s="2" t="s">
        <v>2133</v>
      </c>
      <c r="D17916" s="2" t="s">
        <v>501</v>
      </c>
      <c r="E17916" s="2"/>
      <c r="F17916" s="2" t="str">
        <f>"9781921536076"</f>
        <v>9781921536076</v>
      </c>
    </row>
    <row r="17917" spans="1:6" s="3" customFormat="1" ht="29.1" customHeight="1" x14ac:dyDescent="0.25">
      <c r="A17917" s="2" t="s">
        <v>35261</v>
      </c>
      <c r="B17917" s="2" t="s">
        <v>35262</v>
      </c>
      <c r="C17917" s="2" t="s">
        <v>2133</v>
      </c>
      <c r="D17917" s="2" t="s">
        <v>606</v>
      </c>
      <c r="E17917" s="2"/>
      <c r="F17917" s="2" t="str">
        <f>"9781921313905"</f>
        <v>9781921313905</v>
      </c>
    </row>
    <row r="17918" spans="1:6" s="3" customFormat="1" ht="29.1" customHeight="1" x14ac:dyDescent="0.25">
      <c r="A17918" s="2" t="s">
        <v>35263</v>
      </c>
      <c r="B17918" s="2" t="s">
        <v>35264</v>
      </c>
      <c r="C17918" s="2" t="s">
        <v>2133</v>
      </c>
      <c r="D17918" s="2" t="s">
        <v>1449</v>
      </c>
      <c r="E17918" s="2"/>
      <c r="F17918" s="2" t="str">
        <f>"9781921313707"</f>
        <v>9781921313707</v>
      </c>
    </row>
    <row r="17919" spans="1:6" s="3" customFormat="1" ht="29.1" customHeight="1" x14ac:dyDescent="0.25">
      <c r="A17919" s="2" t="s">
        <v>35265</v>
      </c>
      <c r="B17919" s="2" t="s">
        <v>35266</v>
      </c>
      <c r="C17919" s="2" t="s">
        <v>2133</v>
      </c>
      <c r="D17919" s="2" t="s">
        <v>4160</v>
      </c>
      <c r="E17919" s="2"/>
      <c r="F17919" s="2" t="str">
        <f>"9781921313684"</f>
        <v>9781921313684</v>
      </c>
    </row>
    <row r="17920" spans="1:6" s="3" customFormat="1" ht="29.1" customHeight="1" x14ac:dyDescent="0.25">
      <c r="A17920" s="2" t="s">
        <v>35267</v>
      </c>
      <c r="B17920" s="2" t="s">
        <v>35268</v>
      </c>
      <c r="C17920" s="2" t="s">
        <v>2133</v>
      </c>
      <c r="D17920" s="2" t="s">
        <v>4059</v>
      </c>
      <c r="E17920" s="2"/>
      <c r="F17920" s="2" t="str">
        <f>"9781921313523"</f>
        <v>9781921313523</v>
      </c>
    </row>
    <row r="17921" spans="1:6" s="3" customFormat="1" ht="29.1" customHeight="1" x14ac:dyDescent="0.25">
      <c r="A17921" s="2" t="s">
        <v>35269</v>
      </c>
      <c r="B17921" s="2" t="s">
        <v>35270</v>
      </c>
      <c r="C17921" s="2" t="s">
        <v>2133</v>
      </c>
      <c r="D17921" s="2" t="s">
        <v>4059</v>
      </c>
      <c r="E17921" s="2"/>
      <c r="F17921" s="2" t="str">
        <f>"9781921313486"</f>
        <v>9781921313486</v>
      </c>
    </row>
    <row r="17922" spans="1:6" s="3" customFormat="1" ht="29.1" customHeight="1" x14ac:dyDescent="0.25">
      <c r="A17922" s="2" t="s">
        <v>35271</v>
      </c>
      <c r="B17922" s="2" t="s">
        <v>35272</v>
      </c>
      <c r="C17922" s="2" t="s">
        <v>2133</v>
      </c>
      <c r="D17922" s="2" t="s">
        <v>501</v>
      </c>
      <c r="E17922" s="2"/>
      <c r="F17922" s="2" t="str">
        <f>"9781760463748"</f>
        <v>9781760463748</v>
      </c>
    </row>
    <row r="17923" spans="1:6" s="3" customFormat="1" ht="29.1" customHeight="1" x14ac:dyDescent="0.25">
      <c r="A17923" s="2" t="s">
        <v>35273</v>
      </c>
      <c r="B17923" s="2" t="s">
        <v>35274</v>
      </c>
      <c r="C17923" s="2" t="s">
        <v>2133</v>
      </c>
      <c r="D17923" s="2" t="s">
        <v>4059</v>
      </c>
      <c r="E17923" s="2"/>
      <c r="F17923" s="2" t="str">
        <f>"9781760462970"</f>
        <v>9781760462970</v>
      </c>
    </row>
    <row r="17924" spans="1:6" s="3" customFormat="1" ht="29.1" customHeight="1" x14ac:dyDescent="0.25">
      <c r="A17924" s="2" t="s">
        <v>35275</v>
      </c>
      <c r="B17924" s="2" t="s">
        <v>35276</v>
      </c>
      <c r="C17924" s="2" t="s">
        <v>2133</v>
      </c>
      <c r="D17924" s="2" t="s">
        <v>3536</v>
      </c>
      <c r="E17924" s="2"/>
      <c r="F17924" s="2" t="str">
        <f>"9781921313431"</f>
        <v>9781921313431</v>
      </c>
    </row>
    <row r="17925" spans="1:6" s="3" customFormat="1" ht="29.1" customHeight="1" x14ac:dyDescent="0.25">
      <c r="A17925" s="2" t="s">
        <v>35277</v>
      </c>
      <c r="B17925" s="2" t="s">
        <v>35278</v>
      </c>
      <c r="C17925" s="2" t="s">
        <v>2133</v>
      </c>
      <c r="D17925" s="2" t="s">
        <v>1422</v>
      </c>
      <c r="E17925" s="2"/>
      <c r="F17925" s="2" t="str">
        <f>"9781921313394"</f>
        <v>9781921313394</v>
      </c>
    </row>
    <row r="17926" spans="1:6" s="3" customFormat="1" ht="29.1" customHeight="1" x14ac:dyDescent="0.25">
      <c r="A17926" s="2" t="s">
        <v>35279</v>
      </c>
      <c r="B17926" s="2" t="s">
        <v>35280</v>
      </c>
      <c r="C17926" s="2" t="s">
        <v>2133</v>
      </c>
      <c r="D17926" s="2" t="s">
        <v>92</v>
      </c>
      <c r="E17926" s="2"/>
      <c r="F17926" s="2" t="str">
        <f>"9781921313103"</f>
        <v>9781921313103</v>
      </c>
    </row>
    <row r="17927" spans="1:6" s="3" customFormat="1" ht="29.1" customHeight="1" x14ac:dyDescent="0.25">
      <c r="A17927" s="2" t="s">
        <v>35281</v>
      </c>
      <c r="B17927" s="2" t="s">
        <v>34968</v>
      </c>
      <c r="C17927" s="2" t="s">
        <v>2133</v>
      </c>
      <c r="D17927" s="2" t="s">
        <v>186</v>
      </c>
      <c r="E17927" s="2"/>
      <c r="F17927" s="2" t="str">
        <f>"9781920942724"</f>
        <v>9781920942724</v>
      </c>
    </row>
    <row r="17928" spans="1:6" s="3" customFormat="1" ht="29.1" customHeight="1" x14ac:dyDescent="0.25">
      <c r="A17928" s="2" t="s">
        <v>35282</v>
      </c>
      <c r="B17928" s="2" t="s">
        <v>35283</v>
      </c>
      <c r="C17928" s="2" t="s">
        <v>2133</v>
      </c>
      <c r="D17928" s="2" t="s">
        <v>10433</v>
      </c>
      <c r="E17928" s="2"/>
      <c r="F17928" s="2" t="str">
        <f>"9781920942267"</f>
        <v>9781920942267</v>
      </c>
    </row>
    <row r="17929" spans="1:6" s="3" customFormat="1" ht="29.1" customHeight="1" x14ac:dyDescent="0.25">
      <c r="A17929" s="2" t="s">
        <v>35284</v>
      </c>
      <c r="B17929" s="2" t="s">
        <v>15524</v>
      </c>
      <c r="C17929" s="2" t="s">
        <v>2133</v>
      </c>
      <c r="D17929" s="2" t="s">
        <v>294</v>
      </c>
      <c r="E17929" s="2"/>
      <c r="F17929" s="2" t="str">
        <f>"9781920942120"</f>
        <v>9781920942120</v>
      </c>
    </row>
    <row r="17930" spans="1:6" s="3" customFormat="1" ht="29.1" customHeight="1" x14ac:dyDescent="0.25">
      <c r="A17930" s="2" t="s">
        <v>35285</v>
      </c>
      <c r="B17930" s="2" t="s">
        <v>35286</v>
      </c>
      <c r="C17930" s="2" t="s">
        <v>2133</v>
      </c>
      <c r="D17930" s="2" t="s">
        <v>9312</v>
      </c>
      <c r="E17930" s="2"/>
      <c r="F17930" s="2" t="str">
        <f>"9780975122938"</f>
        <v>9780975122938</v>
      </c>
    </row>
    <row r="17931" spans="1:6" s="3" customFormat="1" ht="29.1" customHeight="1" x14ac:dyDescent="0.25">
      <c r="A17931" s="2" t="s">
        <v>35287</v>
      </c>
      <c r="B17931" s="2" t="s">
        <v>35288</v>
      </c>
      <c r="C17931" s="2" t="s">
        <v>2133</v>
      </c>
      <c r="D17931" s="2" t="s">
        <v>95</v>
      </c>
      <c r="E17931" s="2"/>
      <c r="F17931" s="2" t="str">
        <f>"9781760462499"</f>
        <v>9781760462499</v>
      </c>
    </row>
    <row r="17932" spans="1:6" s="3" customFormat="1" ht="29.1" customHeight="1" x14ac:dyDescent="0.25">
      <c r="A17932" s="2" t="s">
        <v>35289</v>
      </c>
      <c r="B17932" s="2" t="s">
        <v>35290</v>
      </c>
      <c r="C17932" s="2" t="s">
        <v>2133</v>
      </c>
      <c r="D17932" s="2" t="s">
        <v>1442</v>
      </c>
      <c r="E17932" s="2"/>
      <c r="F17932" s="2" t="str">
        <f>"9781760462833"</f>
        <v>9781760462833</v>
      </c>
    </row>
    <row r="17933" spans="1:6" s="3" customFormat="1" ht="29.1" customHeight="1" x14ac:dyDescent="0.25">
      <c r="A17933" s="2" t="s">
        <v>35291</v>
      </c>
      <c r="B17933" s="2" t="s">
        <v>35292</v>
      </c>
      <c r="C17933" s="2" t="s">
        <v>2133</v>
      </c>
      <c r="D17933" s="2" t="s">
        <v>2005</v>
      </c>
      <c r="E17933" s="2" t="str">
        <f>"9781760462802"</f>
        <v>9781760462802</v>
      </c>
      <c r="F17933" s="2" t="str">
        <f>"9781760462819"</f>
        <v>9781760462819</v>
      </c>
    </row>
    <row r="17934" spans="1:6" s="3" customFormat="1" ht="29.1" customHeight="1" x14ac:dyDescent="0.25">
      <c r="A17934" s="2" t="s">
        <v>35293</v>
      </c>
      <c r="B17934" s="2" t="s">
        <v>35294</v>
      </c>
      <c r="C17934" s="2" t="s">
        <v>2133</v>
      </c>
      <c r="D17934" s="2" t="s">
        <v>2781</v>
      </c>
      <c r="E17934" s="2"/>
      <c r="F17934" s="2" t="str">
        <f>"9781760462352"</f>
        <v>9781760462352</v>
      </c>
    </row>
    <row r="17935" spans="1:6" s="3" customFormat="1" ht="29.1" customHeight="1" x14ac:dyDescent="0.25">
      <c r="A17935" s="2" t="s">
        <v>35295</v>
      </c>
      <c r="B17935" s="2" t="s">
        <v>35296</v>
      </c>
      <c r="C17935" s="2" t="s">
        <v>2133</v>
      </c>
      <c r="D17935" s="2" t="s">
        <v>297</v>
      </c>
      <c r="E17935" s="2" t="str">
        <f>"9781760462024"</f>
        <v>9781760462024</v>
      </c>
      <c r="F17935" s="2" t="str">
        <f>"9781760462031"</f>
        <v>9781760462031</v>
      </c>
    </row>
    <row r="17936" spans="1:6" s="3" customFormat="1" ht="29.1" customHeight="1" x14ac:dyDescent="0.25">
      <c r="A17936" s="2" t="s">
        <v>16605</v>
      </c>
      <c r="B17936" s="2" t="s">
        <v>35297</v>
      </c>
      <c r="C17936" s="2" t="s">
        <v>2133</v>
      </c>
      <c r="D17936" s="2" t="s">
        <v>297</v>
      </c>
      <c r="E17936" s="2"/>
      <c r="F17936" s="2" t="str">
        <f>"9781760461201"</f>
        <v>9781760461201</v>
      </c>
    </row>
    <row r="17937" spans="1:6" s="3" customFormat="1" ht="29.1" customHeight="1" x14ac:dyDescent="0.25">
      <c r="A17937" s="2" t="s">
        <v>35298</v>
      </c>
      <c r="B17937" s="2" t="s">
        <v>32409</v>
      </c>
      <c r="C17937" s="2" t="s">
        <v>2133</v>
      </c>
      <c r="D17937" s="2" t="s">
        <v>32408</v>
      </c>
      <c r="E17937" s="2"/>
      <c r="F17937" s="2" t="str">
        <f>"9781760463564"</f>
        <v>9781760463564</v>
      </c>
    </row>
    <row r="17938" spans="1:6" s="3" customFormat="1" ht="29.1" customHeight="1" x14ac:dyDescent="0.25">
      <c r="A17938" s="2" t="s">
        <v>35299</v>
      </c>
      <c r="B17938" s="2" t="s">
        <v>35300</v>
      </c>
      <c r="C17938" s="2" t="s">
        <v>2133</v>
      </c>
      <c r="D17938" s="2" t="s">
        <v>270</v>
      </c>
      <c r="E17938" s="2" t="str">
        <f>"9781760460686"</f>
        <v>9781760460686</v>
      </c>
      <c r="F17938" s="2" t="str">
        <f>"9781760460693"</f>
        <v>9781760460693</v>
      </c>
    </row>
    <row r="17939" spans="1:6" s="3" customFormat="1" ht="29.1" customHeight="1" x14ac:dyDescent="0.25">
      <c r="A17939" s="2" t="s">
        <v>35301</v>
      </c>
      <c r="B17939" s="2" t="s">
        <v>35302</v>
      </c>
      <c r="C17939" s="2" t="s">
        <v>2133</v>
      </c>
      <c r="D17939" s="2" t="s">
        <v>1449</v>
      </c>
      <c r="E17939" s="2"/>
      <c r="F17939" s="2" t="str">
        <f>"9781760463588"</f>
        <v>9781760463588</v>
      </c>
    </row>
    <row r="17940" spans="1:6" s="3" customFormat="1" ht="29.1" customHeight="1" x14ac:dyDescent="0.25">
      <c r="A17940" s="2" t="s">
        <v>35303</v>
      </c>
      <c r="B17940" s="2" t="s">
        <v>35304</v>
      </c>
      <c r="C17940" s="2" t="s">
        <v>2133</v>
      </c>
      <c r="D17940" s="2" t="s">
        <v>10433</v>
      </c>
      <c r="E17940" s="2" t="str">
        <f>"9781760460648"</f>
        <v>9781760460648</v>
      </c>
      <c r="F17940" s="2" t="str">
        <f>"9781760460655"</f>
        <v>9781760460655</v>
      </c>
    </row>
    <row r="17941" spans="1:6" s="3" customFormat="1" ht="29.1" customHeight="1" x14ac:dyDescent="0.25">
      <c r="A17941" s="2" t="s">
        <v>35305</v>
      </c>
      <c r="B17941" s="2" t="s">
        <v>11617</v>
      </c>
      <c r="C17941" s="2" t="s">
        <v>2133</v>
      </c>
      <c r="D17941" s="2" t="s">
        <v>682</v>
      </c>
      <c r="E17941" s="2"/>
      <c r="F17941" s="2" t="str">
        <f>"9781921313578"</f>
        <v>9781921313578</v>
      </c>
    </row>
    <row r="17942" spans="1:6" s="3" customFormat="1" ht="29.1" customHeight="1" x14ac:dyDescent="0.25">
      <c r="A17942" s="2" t="s">
        <v>35306</v>
      </c>
      <c r="B17942" s="2" t="s">
        <v>35307</v>
      </c>
      <c r="C17942" s="2" t="s">
        <v>2133</v>
      </c>
      <c r="D17942" s="2" t="s">
        <v>297</v>
      </c>
      <c r="E17942" s="2"/>
      <c r="F17942" s="2" t="str">
        <f>"9781760463489"</f>
        <v>9781760463489</v>
      </c>
    </row>
    <row r="17943" spans="1:6" s="3" customFormat="1" ht="29.1" customHeight="1" x14ac:dyDescent="0.25">
      <c r="A17943" s="2" t="s">
        <v>35308</v>
      </c>
      <c r="B17943" s="2" t="s">
        <v>15530</v>
      </c>
      <c r="C17943" s="2" t="s">
        <v>2133</v>
      </c>
      <c r="D17943" s="2" t="s">
        <v>186</v>
      </c>
      <c r="E17943" s="2"/>
      <c r="F17943" s="2" t="str">
        <f>"9781920942762"</f>
        <v>9781920942762</v>
      </c>
    </row>
    <row r="17944" spans="1:6" s="3" customFormat="1" ht="29.1" customHeight="1" x14ac:dyDescent="0.25">
      <c r="A17944" s="2" t="s">
        <v>35309</v>
      </c>
      <c r="B17944" s="2" t="s">
        <v>35310</v>
      </c>
      <c r="C17944" s="2" t="s">
        <v>2133</v>
      </c>
      <c r="D17944" s="2" t="s">
        <v>75</v>
      </c>
      <c r="E17944" s="2"/>
      <c r="F17944" s="2" t="str">
        <f>"9781922144157"</f>
        <v>9781922144157</v>
      </c>
    </row>
    <row r="17945" spans="1:6" s="3" customFormat="1" ht="29.1" customHeight="1" x14ac:dyDescent="0.25">
      <c r="A17945" s="2" t="s">
        <v>35311</v>
      </c>
      <c r="B17945" s="2" t="s">
        <v>35312</v>
      </c>
      <c r="C17945" s="2" t="s">
        <v>2133</v>
      </c>
      <c r="D17945" s="2" t="s">
        <v>501</v>
      </c>
      <c r="E17945" s="2"/>
      <c r="F17945" s="2" t="str">
        <f>"9781760463243"</f>
        <v>9781760463243</v>
      </c>
    </row>
    <row r="17946" spans="1:6" s="3" customFormat="1" ht="29.1" customHeight="1" x14ac:dyDescent="0.25">
      <c r="A17946" s="2" t="s">
        <v>35313</v>
      </c>
      <c r="B17946" s="2" t="s">
        <v>35314</v>
      </c>
      <c r="C17946" s="2" t="s">
        <v>2133</v>
      </c>
      <c r="D17946" s="2" t="s">
        <v>294</v>
      </c>
      <c r="E17946" s="2" t="str">
        <f>"9781760463281"</f>
        <v>9781760463281</v>
      </c>
      <c r="F17946" s="2" t="str">
        <f>"9781760463298"</f>
        <v>9781760463298</v>
      </c>
    </row>
    <row r="17947" spans="1:6" s="3" customFormat="1" ht="29.1" customHeight="1" x14ac:dyDescent="0.25">
      <c r="A17947" s="2" t="s">
        <v>35315</v>
      </c>
      <c r="B17947" s="2" t="s">
        <v>35316</v>
      </c>
      <c r="C17947" s="2" t="s">
        <v>2133</v>
      </c>
      <c r="D17947" s="2" t="s">
        <v>606</v>
      </c>
      <c r="E17947" s="2" t="str">
        <f>"9781760463304"</f>
        <v>9781760463304</v>
      </c>
      <c r="F17947" s="2" t="str">
        <f>"9781760463311"</f>
        <v>9781760463311</v>
      </c>
    </row>
    <row r="17948" spans="1:6" s="3" customFormat="1" ht="29.1" customHeight="1" x14ac:dyDescent="0.25">
      <c r="A17948" s="2" t="s">
        <v>35317</v>
      </c>
      <c r="B17948" s="2" t="s">
        <v>35318</v>
      </c>
      <c r="C17948" s="2" t="s">
        <v>2133</v>
      </c>
      <c r="D17948" s="2" t="s">
        <v>186</v>
      </c>
      <c r="E17948" s="2"/>
      <c r="F17948" s="2" t="str">
        <f>"9781760463359"</f>
        <v>9781760463359</v>
      </c>
    </row>
    <row r="17949" spans="1:6" s="3" customFormat="1" ht="29.1" customHeight="1" x14ac:dyDescent="0.25">
      <c r="A17949" s="2" t="s">
        <v>35319</v>
      </c>
      <c r="B17949" s="2" t="s">
        <v>35320</v>
      </c>
      <c r="C17949" s="2" t="s">
        <v>2133</v>
      </c>
      <c r="D17949" s="2" t="s">
        <v>606</v>
      </c>
      <c r="E17949" s="2"/>
      <c r="F17949" s="2" t="str">
        <f>"9781921666810"</f>
        <v>9781921666810</v>
      </c>
    </row>
    <row r="17950" spans="1:6" s="3" customFormat="1" ht="29.1" customHeight="1" x14ac:dyDescent="0.25">
      <c r="A17950" s="2" t="s">
        <v>35321</v>
      </c>
      <c r="B17950" s="2" t="s">
        <v>35322</v>
      </c>
      <c r="C17950" s="2" t="s">
        <v>2133</v>
      </c>
      <c r="D17950" s="2" t="s">
        <v>17741</v>
      </c>
      <c r="E17950" s="2"/>
      <c r="F17950" s="2" t="str">
        <f>"9781921862014"</f>
        <v>9781921862014</v>
      </c>
    </row>
    <row r="17951" spans="1:6" s="3" customFormat="1" ht="29.1" customHeight="1" x14ac:dyDescent="0.25">
      <c r="A17951" s="2" t="s">
        <v>31892</v>
      </c>
      <c r="B17951" s="2" t="s">
        <v>35323</v>
      </c>
      <c r="C17951" s="2" t="s">
        <v>2133</v>
      </c>
      <c r="D17951" s="2" t="s">
        <v>4059</v>
      </c>
      <c r="E17951" s="2"/>
      <c r="F17951" s="2" t="str">
        <f>"9781921666872"</f>
        <v>9781921666872</v>
      </c>
    </row>
    <row r="17952" spans="1:6" s="3" customFormat="1" ht="29.1" customHeight="1" x14ac:dyDescent="0.25">
      <c r="A17952" s="2" t="s">
        <v>35324</v>
      </c>
      <c r="B17952" s="2" t="s">
        <v>15547</v>
      </c>
      <c r="C17952" s="2" t="s">
        <v>2133</v>
      </c>
      <c r="D17952" s="2" t="s">
        <v>13300</v>
      </c>
      <c r="E17952" s="2"/>
      <c r="F17952" s="2" t="str">
        <f>"9781921666537"</f>
        <v>9781921666537</v>
      </c>
    </row>
    <row r="17953" spans="1:6" s="3" customFormat="1" ht="29.1" customHeight="1" x14ac:dyDescent="0.25">
      <c r="A17953" s="2" t="s">
        <v>35325</v>
      </c>
      <c r="B17953" s="2" t="s">
        <v>35326</v>
      </c>
      <c r="C17953" s="2" t="s">
        <v>2133</v>
      </c>
      <c r="D17953" s="2" t="s">
        <v>1259</v>
      </c>
      <c r="E17953" s="2" t="str">
        <f>"9781760463533"</f>
        <v>9781760463533</v>
      </c>
      <c r="F17953" s="2" t="str">
        <f>"9781760463540"</f>
        <v>9781760463540</v>
      </c>
    </row>
    <row r="17954" spans="1:6" s="3" customFormat="1" ht="29.1" customHeight="1" x14ac:dyDescent="0.25">
      <c r="A17954" s="2" t="s">
        <v>35327</v>
      </c>
      <c r="B17954" s="2" t="s">
        <v>35328</v>
      </c>
      <c r="C17954" s="2" t="s">
        <v>2133</v>
      </c>
      <c r="D17954" s="2" t="s">
        <v>1162</v>
      </c>
      <c r="E17954" s="2"/>
      <c r="F17954" s="2" t="str">
        <f>"9781921666551"</f>
        <v>9781921666551</v>
      </c>
    </row>
    <row r="17955" spans="1:6" s="3" customFormat="1" ht="29.1" customHeight="1" x14ac:dyDescent="0.25">
      <c r="A17955" s="2" t="s">
        <v>35329</v>
      </c>
      <c r="B17955" s="2" t="s">
        <v>35330</v>
      </c>
      <c r="C17955" s="2" t="s">
        <v>2133</v>
      </c>
      <c r="D17955" s="2" t="s">
        <v>189</v>
      </c>
      <c r="E17955" s="2"/>
      <c r="F17955" s="2" t="str">
        <f>"9781921666575"</f>
        <v>9781921666575</v>
      </c>
    </row>
    <row r="17956" spans="1:6" s="3" customFormat="1" ht="29.1" customHeight="1" x14ac:dyDescent="0.25">
      <c r="A17956" s="2" t="s">
        <v>35331</v>
      </c>
      <c r="B17956" s="2" t="s">
        <v>35332</v>
      </c>
      <c r="C17956" s="2" t="s">
        <v>2133</v>
      </c>
      <c r="D17956" s="2" t="s">
        <v>2361</v>
      </c>
      <c r="E17956" s="2"/>
      <c r="F17956" s="2" t="str">
        <f>"9781921666612"</f>
        <v>9781921666612</v>
      </c>
    </row>
    <row r="17957" spans="1:6" s="3" customFormat="1" ht="29.1" customHeight="1" x14ac:dyDescent="0.25">
      <c r="A17957" s="2" t="s">
        <v>35333</v>
      </c>
      <c r="B17957" s="2" t="s">
        <v>35334</v>
      </c>
      <c r="C17957" s="2" t="s">
        <v>2133</v>
      </c>
      <c r="D17957" s="2" t="s">
        <v>3536</v>
      </c>
      <c r="E17957" s="2"/>
      <c r="F17957" s="2" t="str">
        <f>"9781921666094"</f>
        <v>9781921666094</v>
      </c>
    </row>
    <row r="17958" spans="1:6" s="3" customFormat="1" ht="29.1" customHeight="1" x14ac:dyDescent="0.25">
      <c r="A17958" s="2" t="s">
        <v>35335</v>
      </c>
      <c r="B17958" s="2" t="s">
        <v>35336</v>
      </c>
      <c r="C17958" s="2" t="s">
        <v>2133</v>
      </c>
      <c r="D17958" s="2" t="s">
        <v>3536</v>
      </c>
      <c r="E17958" s="2"/>
      <c r="F17958" s="2" t="str">
        <f>"9781921862038"</f>
        <v>9781921862038</v>
      </c>
    </row>
    <row r="17959" spans="1:6" s="3" customFormat="1" ht="29.1" customHeight="1" x14ac:dyDescent="0.25">
      <c r="A17959" s="2" t="s">
        <v>35337</v>
      </c>
      <c r="B17959" s="2" t="s">
        <v>35338</v>
      </c>
      <c r="C17959" s="2" t="s">
        <v>2133</v>
      </c>
      <c r="D17959" s="2" t="s">
        <v>72</v>
      </c>
      <c r="E17959" s="2"/>
      <c r="F17959" s="2" t="str">
        <f>"9781921862151"</f>
        <v>9781921862151</v>
      </c>
    </row>
    <row r="17960" spans="1:6" s="3" customFormat="1" ht="29.1" customHeight="1" x14ac:dyDescent="0.25">
      <c r="A17960" s="2" t="s">
        <v>35339</v>
      </c>
      <c r="B17960" s="2" t="s">
        <v>35340</v>
      </c>
      <c r="C17960" s="2" t="s">
        <v>2133</v>
      </c>
      <c r="D17960" s="2" t="s">
        <v>4059</v>
      </c>
      <c r="E17960" s="2"/>
      <c r="F17960" s="2" t="str">
        <f>"9781921862113"</f>
        <v>9781921862113</v>
      </c>
    </row>
    <row r="17961" spans="1:6" s="3" customFormat="1" ht="29.1" customHeight="1" x14ac:dyDescent="0.25">
      <c r="A17961" s="2" t="s">
        <v>35341</v>
      </c>
      <c r="B17961" s="2" t="s">
        <v>35342</v>
      </c>
      <c r="C17961" s="2" t="s">
        <v>2133</v>
      </c>
      <c r="D17961" s="2" t="s">
        <v>818</v>
      </c>
      <c r="E17961" s="2"/>
      <c r="F17961" s="2" t="str">
        <f>"9781921862465"</f>
        <v>9781921862465</v>
      </c>
    </row>
    <row r="17962" spans="1:6" s="3" customFormat="1" ht="29.1" customHeight="1" x14ac:dyDescent="0.25">
      <c r="A17962" s="2" t="s">
        <v>35343</v>
      </c>
      <c r="B17962" s="2" t="s">
        <v>35344</v>
      </c>
      <c r="C17962" s="2" t="s">
        <v>2133</v>
      </c>
      <c r="D17962" s="2" t="s">
        <v>66</v>
      </c>
      <c r="E17962" s="2"/>
      <c r="F17962" s="2" t="str">
        <f>"9781760462734"</f>
        <v>9781760462734</v>
      </c>
    </row>
    <row r="17963" spans="1:6" s="3" customFormat="1" ht="29.1" customHeight="1" x14ac:dyDescent="0.25">
      <c r="A17963" s="2" t="s">
        <v>35345</v>
      </c>
      <c r="B17963" s="2" t="s">
        <v>35346</v>
      </c>
      <c r="C17963" s="2" t="s">
        <v>2133</v>
      </c>
      <c r="D17963" s="2" t="s">
        <v>297</v>
      </c>
      <c r="E17963" s="2"/>
      <c r="F17963" s="2" t="str">
        <f>"9781760463717"</f>
        <v>9781760463717</v>
      </c>
    </row>
    <row r="17964" spans="1:6" s="3" customFormat="1" ht="29.1" customHeight="1" x14ac:dyDescent="0.25">
      <c r="A17964" s="2" t="s">
        <v>35347</v>
      </c>
      <c r="B17964" s="2" t="s">
        <v>35348</v>
      </c>
      <c r="C17964" s="2" t="s">
        <v>2133</v>
      </c>
      <c r="D17964" s="2" t="s">
        <v>210</v>
      </c>
      <c r="E17964" s="2"/>
      <c r="F17964" s="2" t="str">
        <f>"9781760463335"</f>
        <v>9781760463335</v>
      </c>
    </row>
    <row r="17965" spans="1:6" s="3" customFormat="1" ht="29.1" customHeight="1" x14ac:dyDescent="0.25">
      <c r="A17965" s="2" t="s">
        <v>35349</v>
      </c>
      <c r="B17965" s="2" t="s">
        <v>35350</v>
      </c>
      <c r="C17965" s="2" t="s">
        <v>2133</v>
      </c>
      <c r="D17965" s="2" t="s">
        <v>210</v>
      </c>
      <c r="E17965" s="2"/>
      <c r="F17965" s="2" t="str">
        <f>"9781760463373"</f>
        <v>9781760463373</v>
      </c>
    </row>
    <row r="17966" spans="1:6" s="3" customFormat="1" ht="29.1" customHeight="1" x14ac:dyDescent="0.25">
      <c r="A17966" s="2" t="s">
        <v>35351</v>
      </c>
      <c r="B17966" s="2" t="s">
        <v>35352</v>
      </c>
      <c r="C17966" s="2" t="s">
        <v>131</v>
      </c>
      <c r="D17966" s="2" t="s">
        <v>459</v>
      </c>
      <c r="E17966" s="2" t="str">
        <f>"9789027200693"</f>
        <v>9789027200693</v>
      </c>
      <c r="F17966" s="2" t="str">
        <f>"9789027264107"</f>
        <v>9789027264107</v>
      </c>
    </row>
    <row r="17967" spans="1:6" s="3" customFormat="1" ht="29.1" customHeight="1" x14ac:dyDescent="0.25">
      <c r="A17967" s="2" t="s">
        <v>35353</v>
      </c>
      <c r="B17967" s="2" t="s">
        <v>35354</v>
      </c>
      <c r="C17967" s="2" t="s">
        <v>131</v>
      </c>
      <c r="D17967" s="2" t="s">
        <v>175</v>
      </c>
      <c r="E17967" s="2" t="str">
        <f>"9789027263124"</f>
        <v>9789027263124</v>
      </c>
      <c r="F17967" s="2" t="str">
        <f>"9789027263131"</f>
        <v>9789027263131</v>
      </c>
    </row>
    <row r="17968" spans="1:6" s="3" customFormat="1" ht="29.1" customHeight="1" x14ac:dyDescent="0.25">
      <c r="A17968" s="2" t="s">
        <v>35355</v>
      </c>
      <c r="B17968" s="2" t="s">
        <v>35356</v>
      </c>
      <c r="C17968" s="2" t="s">
        <v>131</v>
      </c>
      <c r="D17968" s="2" t="s">
        <v>459</v>
      </c>
      <c r="E17968" s="2" t="str">
        <f>"9789027204905"</f>
        <v>9789027204905</v>
      </c>
      <c r="F17968" s="2" t="str">
        <f>"9789027261601"</f>
        <v>9789027261601</v>
      </c>
    </row>
    <row r="17969" spans="1:6" s="3" customFormat="1" ht="29.1" customHeight="1" x14ac:dyDescent="0.25">
      <c r="A17969" s="2" t="s">
        <v>35357</v>
      </c>
      <c r="B17969" s="2" t="s">
        <v>35358</v>
      </c>
      <c r="C17969" s="2" t="s">
        <v>131</v>
      </c>
      <c r="D17969" s="2" t="s">
        <v>132</v>
      </c>
      <c r="E17969" s="2" t="str">
        <f>"9789027209276"</f>
        <v>9789027209276</v>
      </c>
      <c r="F17969" s="2" t="str">
        <f>"9789027259585"</f>
        <v>9789027259585</v>
      </c>
    </row>
    <row r="17970" spans="1:6" s="3" customFormat="1" ht="29.1" customHeight="1" x14ac:dyDescent="0.25">
      <c r="A17970" s="2" t="s">
        <v>35359</v>
      </c>
      <c r="B17970" s="2" t="s">
        <v>35360</v>
      </c>
      <c r="C17970" s="2" t="s">
        <v>131</v>
      </c>
      <c r="D17970" s="2" t="s">
        <v>459</v>
      </c>
      <c r="E17970" s="2" t="str">
        <f>"9789027200815"</f>
        <v>9789027200815</v>
      </c>
      <c r="F17970" s="2" t="str">
        <f>"9789027269577"</f>
        <v>9789027269577</v>
      </c>
    </row>
    <row r="17971" spans="1:6" s="3" customFormat="1" ht="29.1" customHeight="1" x14ac:dyDescent="0.25">
      <c r="A17971" s="2" t="s">
        <v>35361</v>
      </c>
      <c r="B17971" s="2" t="s">
        <v>35362</v>
      </c>
      <c r="C17971" s="2" t="s">
        <v>131</v>
      </c>
      <c r="D17971" s="2" t="s">
        <v>459</v>
      </c>
      <c r="E17971" s="2" t="str">
        <f>"9789027257048"</f>
        <v>9789027257048</v>
      </c>
      <c r="F17971" s="2" t="str">
        <f>"9789027269133"</f>
        <v>9789027269133</v>
      </c>
    </row>
    <row r="17972" spans="1:6" s="3" customFormat="1" ht="29.1" customHeight="1" x14ac:dyDescent="0.25">
      <c r="A17972" s="2" t="s">
        <v>35363</v>
      </c>
      <c r="B17972" s="2" t="s">
        <v>35364</v>
      </c>
      <c r="C17972" s="2" t="s">
        <v>131</v>
      </c>
      <c r="D17972" s="2" t="s">
        <v>459</v>
      </c>
      <c r="E17972" s="2" t="str">
        <f>"9789027234988"</f>
        <v>9789027234988</v>
      </c>
      <c r="F17972" s="2" t="str">
        <f>"9789027268198"</f>
        <v>9789027268198</v>
      </c>
    </row>
    <row r="17973" spans="1:6" s="3" customFormat="1" ht="29.1" customHeight="1" x14ac:dyDescent="0.25">
      <c r="A17973" s="2" t="s">
        <v>35365</v>
      </c>
      <c r="B17973" s="2" t="s">
        <v>35366</v>
      </c>
      <c r="C17973" s="2" t="s">
        <v>131</v>
      </c>
      <c r="D17973" s="2" t="s">
        <v>459</v>
      </c>
      <c r="E17973" s="2" t="str">
        <f>"9789027244567"</f>
        <v>9789027244567</v>
      </c>
      <c r="F17973" s="2" t="str">
        <f>"9789027265890"</f>
        <v>9789027265890</v>
      </c>
    </row>
    <row r="17974" spans="1:6" s="3" customFormat="1" ht="29.1" customHeight="1" x14ac:dyDescent="0.25">
      <c r="A17974" s="2" t="s">
        <v>35367</v>
      </c>
      <c r="B17974" s="2" t="s">
        <v>35368</v>
      </c>
      <c r="C17974" s="2" t="s">
        <v>131</v>
      </c>
      <c r="D17974" s="2" t="s">
        <v>175</v>
      </c>
      <c r="E17974" s="2" t="str">
        <f>"9789027212498"</f>
        <v>9789027212498</v>
      </c>
      <c r="F17974" s="2" t="str">
        <f>"9789027265739"</f>
        <v>9789027265739</v>
      </c>
    </row>
    <row r="17975" spans="1:6" s="3" customFormat="1" ht="29.1" customHeight="1" x14ac:dyDescent="0.25">
      <c r="A17975" s="2" t="s">
        <v>35369</v>
      </c>
      <c r="B17975" s="2" t="s">
        <v>35370</v>
      </c>
      <c r="C17975" s="2" t="s">
        <v>131</v>
      </c>
      <c r="D17975" s="2" t="s">
        <v>132</v>
      </c>
      <c r="E17975" s="2" t="str">
        <f>"9789027257253"</f>
        <v>9789027257253</v>
      </c>
      <c r="F17975" s="2" t="str">
        <f>"9789027264879"</f>
        <v>9789027264879</v>
      </c>
    </row>
    <row r="17976" spans="1:6" s="3" customFormat="1" ht="29.1" customHeight="1" x14ac:dyDescent="0.25">
      <c r="A17976" s="2" t="s">
        <v>35371</v>
      </c>
      <c r="B17976" s="2" t="s">
        <v>35372</v>
      </c>
      <c r="C17976" s="2" t="s">
        <v>131</v>
      </c>
      <c r="D17976" s="2" t="s">
        <v>175</v>
      </c>
      <c r="E17976" s="2" t="str">
        <f>"9789027212559"</f>
        <v>9789027212559</v>
      </c>
      <c r="F17976" s="2" t="str">
        <f>"9789027264640"</f>
        <v>9789027264640</v>
      </c>
    </row>
    <row r="17977" spans="1:6" s="3" customFormat="1" ht="29.1" customHeight="1" x14ac:dyDescent="0.25">
      <c r="A17977" s="2" t="s">
        <v>35373</v>
      </c>
      <c r="B17977" s="2" t="s">
        <v>35374</v>
      </c>
      <c r="C17977" s="2" t="s">
        <v>131</v>
      </c>
      <c r="D17977" s="2" t="s">
        <v>175</v>
      </c>
      <c r="E17977" s="2" t="str">
        <f>"9789027200204"</f>
        <v>9789027200204</v>
      </c>
      <c r="F17977" s="2" t="str">
        <f>"9789027264503"</f>
        <v>9789027264503</v>
      </c>
    </row>
    <row r="17978" spans="1:6" s="3" customFormat="1" ht="29.1" customHeight="1" x14ac:dyDescent="0.25">
      <c r="A17978" s="2" t="s">
        <v>35375</v>
      </c>
      <c r="B17978" s="2" t="s">
        <v>35376</v>
      </c>
      <c r="C17978" s="2" t="s">
        <v>131</v>
      </c>
      <c r="D17978" s="2" t="s">
        <v>3105</v>
      </c>
      <c r="E17978" s="2" t="str">
        <f>"9789027201003"</f>
        <v>9789027201003</v>
      </c>
      <c r="F17978" s="2" t="str">
        <f>"9789027263865"</f>
        <v>9789027263865</v>
      </c>
    </row>
    <row r="17979" spans="1:6" s="3" customFormat="1" ht="29.1" customHeight="1" x14ac:dyDescent="0.25">
      <c r="A17979" s="2" t="s">
        <v>35377</v>
      </c>
      <c r="B17979" s="2" t="s">
        <v>35378</v>
      </c>
      <c r="C17979" s="2" t="s">
        <v>131</v>
      </c>
      <c r="D17979" s="2" t="s">
        <v>175</v>
      </c>
      <c r="E17979" s="2" t="str">
        <f>"9789027201034"</f>
        <v>9789027201034</v>
      </c>
      <c r="F17979" s="2" t="str">
        <f>"9789027263834"</f>
        <v>9789027263834</v>
      </c>
    </row>
    <row r="17980" spans="1:6" s="3" customFormat="1" ht="29.1" customHeight="1" x14ac:dyDescent="0.25">
      <c r="A17980" s="2" t="s">
        <v>35379</v>
      </c>
      <c r="B17980" s="2" t="s">
        <v>35380</v>
      </c>
      <c r="C17980" s="2" t="s">
        <v>131</v>
      </c>
      <c r="D17980" s="2" t="s">
        <v>175</v>
      </c>
      <c r="E17980" s="2" t="str">
        <f>"9789027202406"</f>
        <v>9789027202406</v>
      </c>
      <c r="F17980" s="2" t="str">
        <f>"9789027262769"</f>
        <v>9789027262769</v>
      </c>
    </row>
    <row r="17981" spans="1:6" s="3" customFormat="1" ht="29.1" customHeight="1" x14ac:dyDescent="0.25">
      <c r="A17981" s="2" t="s">
        <v>35381</v>
      </c>
      <c r="B17981" s="2" t="s">
        <v>35382</v>
      </c>
      <c r="C17981" s="2" t="s">
        <v>131</v>
      </c>
      <c r="D17981" s="2" t="s">
        <v>459</v>
      </c>
      <c r="E17981" s="2" t="str">
        <f>"9789027203212"</f>
        <v>9789027203212</v>
      </c>
      <c r="F17981" s="2" t="str">
        <f>"9789027262493"</f>
        <v>9789027262493</v>
      </c>
    </row>
    <row r="17982" spans="1:6" s="3" customFormat="1" ht="29.1" customHeight="1" x14ac:dyDescent="0.25">
      <c r="A17982" s="2" t="s">
        <v>35383</v>
      </c>
      <c r="B17982" s="2" t="s">
        <v>35384</v>
      </c>
      <c r="C17982" s="2" t="s">
        <v>131</v>
      </c>
      <c r="D17982" s="2" t="s">
        <v>1248</v>
      </c>
      <c r="E17982" s="2" t="str">
        <f>"9789027203496"</f>
        <v>9789027203496</v>
      </c>
      <c r="F17982" s="2" t="str">
        <f>"9789027262240"</f>
        <v>9789027262240</v>
      </c>
    </row>
    <row r="17983" spans="1:6" s="3" customFormat="1" ht="29.1" customHeight="1" x14ac:dyDescent="0.25">
      <c r="A17983" s="2" t="s">
        <v>35385</v>
      </c>
      <c r="B17983" s="2" t="s">
        <v>35386</v>
      </c>
      <c r="C17983" s="2" t="s">
        <v>131</v>
      </c>
      <c r="D17983" s="2" t="s">
        <v>1245</v>
      </c>
      <c r="E17983" s="2" t="str">
        <f>"9789027208330"</f>
        <v>9789027208330</v>
      </c>
      <c r="F17983" s="2" t="str">
        <f>"9789027260246"</f>
        <v>9789027260246</v>
      </c>
    </row>
    <row r="17984" spans="1:6" s="3" customFormat="1" ht="29.1" customHeight="1" x14ac:dyDescent="0.25">
      <c r="A17984" s="2" t="s">
        <v>35387</v>
      </c>
      <c r="B17984" s="2" t="s">
        <v>35388</v>
      </c>
      <c r="C17984" s="2" t="s">
        <v>131</v>
      </c>
      <c r="D17984" s="2" t="s">
        <v>339</v>
      </c>
      <c r="E17984" s="2" t="str">
        <f>"9789027208514"</f>
        <v>9789027208514</v>
      </c>
      <c r="F17984" s="2" t="str">
        <f>"9789027260079"</f>
        <v>9789027260079</v>
      </c>
    </row>
    <row r="17985" spans="1:6" s="3" customFormat="1" ht="29.1" customHeight="1" x14ac:dyDescent="0.25">
      <c r="A17985" s="2" t="s">
        <v>35389</v>
      </c>
      <c r="B17985" s="2" t="s">
        <v>35390</v>
      </c>
      <c r="C17985" s="2" t="s">
        <v>131</v>
      </c>
      <c r="D17985" s="2" t="s">
        <v>132</v>
      </c>
      <c r="E17985" s="2" t="str">
        <f>"9789027208675"</f>
        <v>9789027208675</v>
      </c>
      <c r="F17985" s="2" t="str">
        <f>"9789027259929"</f>
        <v>9789027259929</v>
      </c>
    </row>
    <row r="17986" spans="1:6" s="3" customFormat="1" ht="29.1" customHeight="1" x14ac:dyDescent="0.25">
      <c r="A17986" s="2" t="s">
        <v>35391</v>
      </c>
      <c r="B17986" s="2" t="s">
        <v>35393</v>
      </c>
      <c r="C17986" s="2" t="s">
        <v>131</v>
      </c>
      <c r="D17986" s="2" t="s">
        <v>35392</v>
      </c>
      <c r="E17986" s="2"/>
      <c r="F17986" s="2" t="str">
        <f>"9789027212030"</f>
        <v>9789027212030</v>
      </c>
    </row>
    <row r="17987" spans="1:6" s="3" customFormat="1" ht="29.1" customHeight="1" x14ac:dyDescent="0.25">
      <c r="A17987" s="2" t="s">
        <v>35394</v>
      </c>
      <c r="B17987" s="2" t="s">
        <v>35395</v>
      </c>
      <c r="C17987" s="2" t="s">
        <v>124</v>
      </c>
      <c r="D17987" s="2" t="s">
        <v>350</v>
      </c>
      <c r="E17987" s="2" t="str">
        <f>"9780367516208"</f>
        <v>9780367516208</v>
      </c>
      <c r="F17987" s="2" t="str">
        <f>"9781000435627"</f>
        <v>9781000435627</v>
      </c>
    </row>
    <row r="17988" spans="1:6" s="3" customFormat="1" ht="29.1" customHeight="1" x14ac:dyDescent="0.25">
      <c r="A17988" s="2" t="s">
        <v>1500</v>
      </c>
      <c r="B17988" s="2" t="s">
        <v>35396</v>
      </c>
      <c r="C17988" s="2" t="s">
        <v>1070</v>
      </c>
      <c r="D17988" s="2" t="s">
        <v>813</v>
      </c>
      <c r="E17988" s="2" t="str">
        <f>"9783318069921"</f>
        <v>9783318069921</v>
      </c>
      <c r="F17988" s="2" t="str">
        <f>"9783318069938"</f>
        <v>9783318069938</v>
      </c>
    </row>
    <row r="17989" spans="1:6" s="3" customFormat="1" ht="29.1" customHeight="1" x14ac:dyDescent="0.25">
      <c r="A17989" s="2" t="s">
        <v>1315</v>
      </c>
      <c r="B17989" s="2" t="s">
        <v>35397</v>
      </c>
      <c r="C17989" s="2" t="s">
        <v>1070</v>
      </c>
      <c r="D17989" s="2" t="s">
        <v>1275</v>
      </c>
      <c r="E17989" s="2" t="str">
        <f>"9783318069846"</f>
        <v>9783318069846</v>
      </c>
      <c r="F17989" s="2" t="str">
        <f>"9783318069853"</f>
        <v>9783318069853</v>
      </c>
    </row>
    <row r="17990" spans="1:6" s="3" customFormat="1" ht="29.1" customHeight="1" x14ac:dyDescent="0.25">
      <c r="A17990" s="2" t="s">
        <v>35398</v>
      </c>
      <c r="B17990" s="2" t="s">
        <v>35399</v>
      </c>
      <c r="C17990" s="2" t="s">
        <v>248</v>
      </c>
      <c r="D17990" s="2" t="s">
        <v>836</v>
      </c>
      <c r="E17990" s="2" t="str">
        <f>"9783847422419"</f>
        <v>9783847422419</v>
      </c>
      <c r="F17990" s="2" t="str">
        <f>"9783847412571"</f>
        <v>9783847412571</v>
      </c>
    </row>
    <row r="17991" spans="1:6" s="3" customFormat="1" ht="29.1" customHeight="1" x14ac:dyDescent="0.25">
      <c r="A17991" s="2" t="s">
        <v>35400</v>
      </c>
      <c r="B17991" s="2" t="s">
        <v>35401</v>
      </c>
      <c r="C17991" s="2" t="s">
        <v>2129</v>
      </c>
      <c r="D17991" s="2" t="s">
        <v>202</v>
      </c>
      <c r="E17991" s="2" t="str">
        <f>"9781438488035"</f>
        <v>9781438488035</v>
      </c>
      <c r="F17991" s="2" t="str">
        <f>"9781438488059"</f>
        <v>9781438488059</v>
      </c>
    </row>
    <row r="17992" spans="1:6" s="3" customFormat="1" ht="29.1" customHeight="1" x14ac:dyDescent="0.25">
      <c r="A17992" s="2" t="s">
        <v>35402</v>
      </c>
      <c r="B17992" s="2" t="s">
        <v>35403</v>
      </c>
      <c r="C17992" s="2" t="s">
        <v>124</v>
      </c>
      <c r="D17992" s="2" t="s">
        <v>334</v>
      </c>
      <c r="E17992" s="2" t="str">
        <f>"9780367646820"</f>
        <v>9780367646820</v>
      </c>
      <c r="F17992" s="2" t="str">
        <f>"9781000472578"</f>
        <v>9781000472578</v>
      </c>
    </row>
    <row r="17993" spans="1:6" s="3" customFormat="1" ht="29.1" customHeight="1" x14ac:dyDescent="0.25">
      <c r="A17993" s="2" t="s">
        <v>29843</v>
      </c>
      <c r="B17993" s="2" t="s">
        <v>35404</v>
      </c>
      <c r="C17993" s="2" t="s">
        <v>927</v>
      </c>
      <c r="D17993" s="2" t="s">
        <v>8788</v>
      </c>
      <c r="E17993" s="2" t="str">
        <f>"9780472130313"</f>
        <v>9780472130313</v>
      </c>
      <c r="F17993" s="2" t="str">
        <f>"9780472900756"</f>
        <v>9780472900756</v>
      </c>
    </row>
    <row r="17994" spans="1:6" s="3" customFormat="1" ht="29.1" customHeight="1" x14ac:dyDescent="0.25">
      <c r="A17994" s="2" t="s">
        <v>35405</v>
      </c>
      <c r="B17994" s="2" t="s">
        <v>35406</v>
      </c>
      <c r="C17994" s="2" t="s">
        <v>62</v>
      </c>
      <c r="D17994" s="2" t="s">
        <v>3963</v>
      </c>
      <c r="E17994" s="2" t="str">
        <f>"9783428183678"</f>
        <v>9783428183678</v>
      </c>
      <c r="F17994" s="2" t="str">
        <f>"9783428583676"</f>
        <v>9783428583676</v>
      </c>
    </row>
    <row r="17995" spans="1:6" s="3" customFormat="1" ht="29.1" customHeight="1" x14ac:dyDescent="0.25">
      <c r="A17995" s="2" t="s">
        <v>35407</v>
      </c>
      <c r="B17995" s="2" t="s">
        <v>35408</v>
      </c>
      <c r="C17995" s="2" t="s">
        <v>55</v>
      </c>
      <c r="D17995" s="2" t="s">
        <v>501</v>
      </c>
      <c r="E17995" s="2" t="str">
        <f>"9781526148353"</f>
        <v>9781526148353</v>
      </c>
      <c r="F17995" s="2" t="str">
        <f>"9781526148346"</f>
        <v>9781526148346</v>
      </c>
    </row>
    <row r="17996" spans="1:6" s="3" customFormat="1" ht="29.1" customHeight="1" x14ac:dyDescent="0.25">
      <c r="A17996" s="2" t="s">
        <v>32625</v>
      </c>
      <c r="B17996" s="2" t="s">
        <v>32626</v>
      </c>
      <c r="C17996" s="2" t="s">
        <v>3169</v>
      </c>
      <c r="D17996" s="2" t="s">
        <v>202</v>
      </c>
      <c r="E17996" s="2"/>
      <c r="F17996" s="2"/>
    </row>
    <row r="17997" spans="1:6" s="3" customFormat="1" ht="29.1" customHeight="1" x14ac:dyDescent="0.25">
      <c r="A17997" s="2" t="s">
        <v>35409</v>
      </c>
      <c r="B17997" s="2" t="s">
        <v>35410</v>
      </c>
      <c r="C17997" s="2" t="s">
        <v>124</v>
      </c>
      <c r="D17997" s="2" t="s">
        <v>818</v>
      </c>
      <c r="E17997" s="2" t="str">
        <f>"9781032028408"</f>
        <v>9781032028408</v>
      </c>
      <c r="F17997" s="2" t="str">
        <f>"9781000556506"</f>
        <v>9781000556506</v>
      </c>
    </row>
    <row r="17998" spans="1:6" s="3" customFormat="1" ht="29.1" customHeight="1" x14ac:dyDescent="0.25">
      <c r="A17998" s="2" t="s">
        <v>35411</v>
      </c>
      <c r="B17998" s="2" t="s">
        <v>35412</v>
      </c>
      <c r="C17998" s="2" t="s">
        <v>62</v>
      </c>
      <c r="D17998" s="2" t="s">
        <v>81</v>
      </c>
      <c r="E17998" s="2" t="str">
        <f>"9783428184637"</f>
        <v>9783428184637</v>
      </c>
      <c r="F17998" s="2" t="str">
        <f>"9783428584635"</f>
        <v>9783428584635</v>
      </c>
    </row>
    <row r="17999" spans="1:6" s="3" customFormat="1" ht="29.1" customHeight="1" x14ac:dyDescent="0.25">
      <c r="A17999" s="2" t="s">
        <v>35413</v>
      </c>
      <c r="B17999" s="2" t="s">
        <v>35414</v>
      </c>
      <c r="C17999" s="2" t="s">
        <v>62</v>
      </c>
      <c r="D17999" s="2" t="s">
        <v>5021</v>
      </c>
      <c r="E17999" s="2" t="str">
        <f>"9783428184361"</f>
        <v>9783428184361</v>
      </c>
      <c r="F17999" s="2" t="str">
        <f>"9783428584369"</f>
        <v>9783428584369</v>
      </c>
    </row>
    <row r="18000" spans="1:6" s="3" customFormat="1" ht="29.1" customHeight="1" x14ac:dyDescent="0.25">
      <c r="A18000" s="2" t="s">
        <v>35415</v>
      </c>
      <c r="B18000" s="2" t="s">
        <v>35416</v>
      </c>
      <c r="C18000" s="2" t="s">
        <v>62</v>
      </c>
      <c r="D18000" s="2" t="s">
        <v>210</v>
      </c>
      <c r="E18000" s="2" t="str">
        <f>"9783428103133"</f>
        <v>9783428103133</v>
      </c>
      <c r="F18000" s="2" t="str">
        <f>"9783428503131"</f>
        <v>9783428503131</v>
      </c>
    </row>
    <row r="18001" spans="1:6" s="3" customFormat="1" ht="29.1" customHeight="1" x14ac:dyDescent="0.25">
      <c r="A18001" s="2" t="s">
        <v>35417</v>
      </c>
      <c r="B18001" s="2" t="s">
        <v>35418</v>
      </c>
      <c r="C18001" s="2" t="s">
        <v>62</v>
      </c>
      <c r="D18001" s="2" t="s">
        <v>210</v>
      </c>
      <c r="E18001" s="2" t="str">
        <f>"9783428099610"</f>
        <v>9783428099610</v>
      </c>
      <c r="F18001" s="2" t="str">
        <f>"9783428499618"</f>
        <v>9783428499618</v>
      </c>
    </row>
    <row r="18002" spans="1:6" s="3" customFormat="1" ht="29.1" customHeight="1" x14ac:dyDescent="0.25">
      <c r="A18002" s="2" t="s">
        <v>35419</v>
      </c>
      <c r="B18002" s="2" t="s">
        <v>35420</v>
      </c>
      <c r="C18002" s="2" t="s">
        <v>595</v>
      </c>
      <c r="D18002" s="2" t="s">
        <v>81</v>
      </c>
      <c r="E18002" s="2" t="str">
        <f>"9783631861356"</f>
        <v>9783631861356</v>
      </c>
      <c r="F18002" s="2" t="str">
        <f>"9783631868102"</f>
        <v>9783631868102</v>
      </c>
    </row>
    <row r="18003" spans="1:6" s="3" customFormat="1" ht="29.1" customHeight="1" x14ac:dyDescent="0.25">
      <c r="A18003" s="2" t="s">
        <v>35421</v>
      </c>
      <c r="B18003" s="2" t="s">
        <v>35422</v>
      </c>
      <c r="C18003" s="2" t="s">
        <v>927</v>
      </c>
      <c r="D18003" s="2" t="s">
        <v>8788</v>
      </c>
      <c r="E18003" s="2" t="str">
        <f>"9780472038558"</f>
        <v>9780472038558</v>
      </c>
      <c r="F18003" s="2" t="str">
        <f>"9780472902446"</f>
        <v>9780472902446</v>
      </c>
    </row>
    <row r="18004" spans="1:6" s="3" customFormat="1" ht="29.1" customHeight="1" x14ac:dyDescent="0.25">
      <c r="A18004" s="2" t="s">
        <v>35423</v>
      </c>
      <c r="B18004" s="2" t="s">
        <v>35424</v>
      </c>
      <c r="C18004" s="2" t="s">
        <v>124</v>
      </c>
      <c r="D18004" s="2" t="s">
        <v>196</v>
      </c>
      <c r="E18004" s="2" t="str">
        <f>"9781041184195"</f>
        <v>9781041184195</v>
      </c>
      <c r="F18004" s="2" t="str">
        <f>"9781040775318"</f>
        <v>9781040775318</v>
      </c>
    </row>
    <row r="18005" spans="1:6" s="3" customFormat="1" ht="29.1" customHeight="1" x14ac:dyDescent="0.25">
      <c r="A18005" s="2" t="s">
        <v>1312</v>
      </c>
      <c r="B18005" s="2" t="s">
        <v>35425</v>
      </c>
      <c r="C18005" s="2" t="s">
        <v>1070</v>
      </c>
      <c r="D18005" s="2" t="s">
        <v>1313</v>
      </c>
      <c r="E18005" s="2" t="str">
        <f>"9783318070002"</f>
        <v>9783318070002</v>
      </c>
      <c r="F18005" s="2" t="str">
        <f>"9783318069167"</f>
        <v>9783318069167</v>
      </c>
    </row>
    <row r="18006" spans="1:6" s="3" customFormat="1" ht="29.1" customHeight="1" x14ac:dyDescent="0.25">
      <c r="A18006" s="2" t="s">
        <v>1502</v>
      </c>
      <c r="B18006" s="2" t="s">
        <v>35426</v>
      </c>
      <c r="C18006" s="2" t="s">
        <v>1070</v>
      </c>
      <c r="D18006" s="2" t="s">
        <v>1265</v>
      </c>
      <c r="E18006" s="2" t="str">
        <f>"9783318070248"</f>
        <v>9783318070248</v>
      </c>
      <c r="F18006" s="2" t="str">
        <f>"9783318069358"</f>
        <v>9783318069358</v>
      </c>
    </row>
    <row r="18007" spans="1:6" s="3" customFormat="1" ht="29.1" customHeight="1" x14ac:dyDescent="0.25">
      <c r="A18007" s="2" t="s">
        <v>35427</v>
      </c>
      <c r="B18007" s="2" t="s">
        <v>35428</v>
      </c>
      <c r="C18007" s="2" t="s">
        <v>4788</v>
      </c>
      <c r="D18007" s="2" t="s">
        <v>1245</v>
      </c>
      <c r="E18007" s="2" t="str">
        <f>"9781474463799"</f>
        <v>9781474463799</v>
      </c>
      <c r="F18007" s="2" t="str">
        <f>"9781474463812"</f>
        <v>9781474463812</v>
      </c>
    </row>
    <row r="18008" spans="1:6" s="3" customFormat="1" ht="29.1" customHeight="1" x14ac:dyDescent="0.25">
      <c r="A18008" s="2" t="s">
        <v>35429</v>
      </c>
      <c r="B18008" s="2" t="s">
        <v>35430</v>
      </c>
      <c r="C18008" s="2" t="s">
        <v>8104</v>
      </c>
      <c r="D18008" s="2" t="s">
        <v>636</v>
      </c>
      <c r="E18008" s="2" t="str">
        <f>"9781800733459"</f>
        <v>9781800733459</v>
      </c>
      <c r="F18008" s="2" t="str">
        <f>"9781800733466"</f>
        <v>9781800733466</v>
      </c>
    </row>
    <row r="18009" spans="1:6" s="3" customFormat="1" ht="29.1" customHeight="1" x14ac:dyDescent="0.25">
      <c r="A18009" s="2" t="s">
        <v>35431</v>
      </c>
      <c r="B18009" s="2" t="s">
        <v>35432</v>
      </c>
      <c r="C18009" s="2" t="s">
        <v>62</v>
      </c>
      <c r="D18009" s="2" t="s">
        <v>107</v>
      </c>
      <c r="E18009" s="2" t="str">
        <f>"9783428183265"</f>
        <v>9783428183265</v>
      </c>
      <c r="F18009" s="2" t="str">
        <f>"9783428583263"</f>
        <v>9783428583263</v>
      </c>
    </row>
    <row r="18010" spans="1:6" s="3" customFormat="1" ht="29.1" customHeight="1" x14ac:dyDescent="0.25">
      <c r="A18010" s="2" t="s">
        <v>35433</v>
      </c>
      <c r="B18010" s="2" t="s">
        <v>35434</v>
      </c>
      <c r="C18010" s="2" t="s">
        <v>124</v>
      </c>
      <c r="D18010" s="2" t="s">
        <v>3523</v>
      </c>
      <c r="E18010" s="2" t="str">
        <f>"9781032000749"</f>
        <v>9781032000749</v>
      </c>
      <c r="F18010" s="2" t="str">
        <f>"9781000557091"</f>
        <v>9781000557091</v>
      </c>
    </row>
    <row r="18011" spans="1:6" s="3" customFormat="1" ht="29.1" customHeight="1" x14ac:dyDescent="0.25">
      <c r="A18011" s="2" t="s">
        <v>35435</v>
      </c>
      <c r="B18011" s="2" t="s">
        <v>35436</v>
      </c>
      <c r="C18011" s="2" t="s">
        <v>62</v>
      </c>
      <c r="D18011" s="2" t="s">
        <v>1104</v>
      </c>
      <c r="E18011" s="2" t="str">
        <f>"9783428153329"</f>
        <v>9783428153329</v>
      </c>
      <c r="F18011" s="2" t="str">
        <f>"9783428553327"</f>
        <v>9783428553327</v>
      </c>
    </row>
    <row r="18012" spans="1:6" s="3" customFormat="1" ht="29.1" customHeight="1" x14ac:dyDescent="0.25">
      <c r="A18012" s="2" t="s">
        <v>35437</v>
      </c>
      <c r="B18012" s="2" t="s">
        <v>35438</v>
      </c>
      <c r="C18012" s="2" t="s">
        <v>62</v>
      </c>
      <c r="D18012" s="2" t="s">
        <v>1651</v>
      </c>
      <c r="E18012" s="2" t="str">
        <f>"9783428047581"</f>
        <v>9783428047581</v>
      </c>
      <c r="F18012" s="2" t="str">
        <f>"9783428447589"</f>
        <v>9783428447589</v>
      </c>
    </row>
    <row r="18013" spans="1:6" s="3" customFormat="1" ht="29.1" customHeight="1" x14ac:dyDescent="0.25">
      <c r="A18013" s="2" t="s">
        <v>35439</v>
      </c>
      <c r="B18013" s="2" t="s">
        <v>35440</v>
      </c>
      <c r="C18013" s="2" t="s">
        <v>62</v>
      </c>
      <c r="D18013" s="2" t="s">
        <v>1651</v>
      </c>
      <c r="E18013" s="2" t="str">
        <f>"9783428024575"</f>
        <v>9783428024575</v>
      </c>
      <c r="F18013" s="2" t="str">
        <f>"9783428424573"</f>
        <v>9783428424573</v>
      </c>
    </row>
    <row r="18014" spans="1:6" s="3" customFormat="1" ht="29.1" customHeight="1" x14ac:dyDescent="0.25">
      <c r="A18014" s="2" t="s">
        <v>35441</v>
      </c>
      <c r="B18014" s="2" t="s">
        <v>35443</v>
      </c>
      <c r="C18014" s="2" t="s">
        <v>62</v>
      </c>
      <c r="D18014" s="2" t="s">
        <v>35442</v>
      </c>
      <c r="E18014" s="2" t="str">
        <f>"9783428182602"</f>
        <v>9783428182602</v>
      </c>
      <c r="F18014" s="2" t="str">
        <f>"9783428582600"</f>
        <v>9783428582600</v>
      </c>
    </row>
    <row r="18015" spans="1:6" s="3" customFormat="1" ht="29.1" customHeight="1" x14ac:dyDescent="0.25">
      <c r="A18015" s="2" t="s">
        <v>35444</v>
      </c>
      <c r="B18015" s="2" t="s">
        <v>35445</v>
      </c>
      <c r="C18015" s="2" t="s">
        <v>62</v>
      </c>
      <c r="D18015" s="2" t="s">
        <v>4415</v>
      </c>
      <c r="E18015" s="2" t="str">
        <f>"9783428181971"</f>
        <v>9783428181971</v>
      </c>
      <c r="F18015" s="2" t="str">
        <f>"9783428581979"</f>
        <v>9783428581979</v>
      </c>
    </row>
    <row r="18016" spans="1:6" s="3" customFormat="1" ht="29.1" customHeight="1" x14ac:dyDescent="0.25">
      <c r="A18016" s="2" t="s">
        <v>35446</v>
      </c>
      <c r="B18016" s="2" t="s">
        <v>35447</v>
      </c>
      <c r="C18016" s="2" t="s">
        <v>62</v>
      </c>
      <c r="D18016" s="2" t="s">
        <v>2255</v>
      </c>
      <c r="E18016" s="2" t="str">
        <f>"9783428181070"</f>
        <v>9783428181070</v>
      </c>
      <c r="F18016" s="2" t="str">
        <f>"9783428581078"</f>
        <v>9783428581078</v>
      </c>
    </row>
    <row r="18017" spans="1:6" s="3" customFormat="1" ht="29.1" customHeight="1" x14ac:dyDescent="0.25">
      <c r="A18017" s="2" t="s">
        <v>35448</v>
      </c>
      <c r="B18017" s="2" t="s">
        <v>35449</v>
      </c>
      <c r="C18017" s="2" t="s">
        <v>62</v>
      </c>
      <c r="D18017" s="2" t="s">
        <v>930</v>
      </c>
      <c r="E18017" s="2" t="str">
        <f>"9783428159314"</f>
        <v>9783428159314</v>
      </c>
      <c r="F18017" s="2" t="str">
        <f>"9783428559312"</f>
        <v>9783428559312</v>
      </c>
    </row>
    <row r="18018" spans="1:6" s="3" customFormat="1" ht="29.1" customHeight="1" x14ac:dyDescent="0.25">
      <c r="A18018" s="2" t="s">
        <v>35450</v>
      </c>
      <c r="B18018" s="2" t="s">
        <v>35451</v>
      </c>
      <c r="C18018" s="2" t="s">
        <v>62</v>
      </c>
      <c r="D18018" s="2" t="s">
        <v>1809</v>
      </c>
      <c r="E18018" s="2" t="str">
        <f>"9783428157310"</f>
        <v>9783428157310</v>
      </c>
      <c r="F18018" s="2" t="str">
        <f>"9783428557318"</f>
        <v>9783428557318</v>
      </c>
    </row>
    <row r="18019" spans="1:6" s="3" customFormat="1" ht="29.1" customHeight="1" x14ac:dyDescent="0.25">
      <c r="A18019" s="2" t="s">
        <v>35452</v>
      </c>
      <c r="B18019" s="2" t="s">
        <v>35453</v>
      </c>
      <c r="C18019" s="2" t="s">
        <v>62</v>
      </c>
      <c r="D18019" s="2" t="s">
        <v>66</v>
      </c>
      <c r="E18019" s="2" t="str">
        <f>"9783428157167"</f>
        <v>9783428157167</v>
      </c>
      <c r="F18019" s="2" t="str">
        <f>"9783428557165"</f>
        <v>9783428557165</v>
      </c>
    </row>
    <row r="18020" spans="1:6" s="3" customFormat="1" ht="29.1" customHeight="1" x14ac:dyDescent="0.25">
      <c r="A18020" s="2" t="s">
        <v>35454</v>
      </c>
      <c r="B18020" s="2" t="s">
        <v>35455</v>
      </c>
      <c r="C18020" s="2" t="s">
        <v>62</v>
      </c>
      <c r="D18020" s="2" t="s">
        <v>66</v>
      </c>
      <c r="E18020" s="2" t="str">
        <f>"9783428155415"</f>
        <v>9783428155415</v>
      </c>
      <c r="F18020" s="2" t="str">
        <f>"9783428555413"</f>
        <v>9783428555413</v>
      </c>
    </row>
    <row r="18021" spans="1:6" s="3" customFormat="1" ht="29.1" customHeight="1" x14ac:dyDescent="0.25">
      <c r="A18021" s="2" t="s">
        <v>35456</v>
      </c>
      <c r="B18021" s="2" t="s">
        <v>35445</v>
      </c>
      <c r="C18021" s="2" t="s">
        <v>62</v>
      </c>
      <c r="D18021" s="2" t="s">
        <v>66</v>
      </c>
      <c r="E18021" s="2" t="str">
        <f>"9783428154449"</f>
        <v>9783428154449</v>
      </c>
      <c r="F18021" s="2" t="str">
        <f>"9783428554447"</f>
        <v>9783428554447</v>
      </c>
    </row>
    <row r="18022" spans="1:6" s="3" customFormat="1" ht="29.1" customHeight="1" x14ac:dyDescent="0.25">
      <c r="A18022" s="2" t="s">
        <v>35457</v>
      </c>
      <c r="B18022" s="2" t="s">
        <v>35445</v>
      </c>
      <c r="C18022" s="2" t="s">
        <v>62</v>
      </c>
      <c r="D18022" s="2" t="s">
        <v>66</v>
      </c>
      <c r="E18022" s="2" t="str">
        <f>"9783428150441"</f>
        <v>9783428150441</v>
      </c>
      <c r="F18022" s="2" t="str">
        <f>"9783428550449"</f>
        <v>9783428550449</v>
      </c>
    </row>
    <row r="18023" spans="1:6" s="3" customFormat="1" ht="29.1" customHeight="1" x14ac:dyDescent="0.25">
      <c r="A18023" s="2" t="s">
        <v>35458</v>
      </c>
      <c r="B18023" s="2" t="s">
        <v>35459</v>
      </c>
      <c r="C18023" s="2" t="s">
        <v>62</v>
      </c>
      <c r="D18023" s="2" t="s">
        <v>339</v>
      </c>
      <c r="E18023" s="2" t="str">
        <f>"9783428102600"</f>
        <v>9783428102600</v>
      </c>
      <c r="F18023" s="2" t="str">
        <f>"9783428502608"</f>
        <v>9783428502608</v>
      </c>
    </row>
    <row r="18024" spans="1:6" s="3" customFormat="1" ht="29.1" customHeight="1" x14ac:dyDescent="0.25">
      <c r="A18024" s="2" t="s">
        <v>35460</v>
      </c>
      <c r="B18024" s="2" t="s">
        <v>35461</v>
      </c>
      <c r="C18024" s="2" t="s">
        <v>62</v>
      </c>
      <c r="D18024" s="2" t="s">
        <v>1463</v>
      </c>
      <c r="E18024" s="2" t="str">
        <f>"9783428092505"</f>
        <v>9783428092505</v>
      </c>
      <c r="F18024" s="2" t="str">
        <f>"9783428492503"</f>
        <v>9783428492503</v>
      </c>
    </row>
    <row r="18025" spans="1:6" s="3" customFormat="1" ht="29.1" customHeight="1" x14ac:dyDescent="0.25">
      <c r="A18025" s="2" t="s">
        <v>35462</v>
      </c>
      <c r="B18025" s="2" t="s">
        <v>35463</v>
      </c>
      <c r="C18025" s="2" t="s">
        <v>62</v>
      </c>
      <c r="D18025" s="2" t="s">
        <v>1463</v>
      </c>
      <c r="E18025" s="2" t="str">
        <f>"9783428086054"</f>
        <v>9783428086054</v>
      </c>
      <c r="F18025" s="2" t="str">
        <f>"9783428486052"</f>
        <v>9783428486052</v>
      </c>
    </row>
    <row r="18026" spans="1:6" s="3" customFormat="1" ht="29.1" customHeight="1" x14ac:dyDescent="0.25">
      <c r="A18026" s="2" t="s">
        <v>35464</v>
      </c>
      <c r="B18026" s="2" t="s">
        <v>35465</v>
      </c>
      <c r="C18026" s="2" t="s">
        <v>62</v>
      </c>
      <c r="D18026" s="2" t="s">
        <v>13886</v>
      </c>
      <c r="E18026" s="2" t="str">
        <f>"9783428084159"</f>
        <v>9783428084159</v>
      </c>
      <c r="F18026" s="2" t="str">
        <f>"9783428484157"</f>
        <v>9783428484157</v>
      </c>
    </row>
    <row r="18027" spans="1:6" s="3" customFormat="1" ht="29.1" customHeight="1" x14ac:dyDescent="0.25">
      <c r="A18027" s="2" t="s">
        <v>35466</v>
      </c>
      <c r="B18027" s="2" t="s">
        <v>35467</v>
      </c>
      <c r="C18027" s="2" t="s">
        <v>62</v>
      </c>
      <c r="D18027" s="2" t="s">
        <v>89</v>
      </c>
      <c r="E18027" s="2" t="str">
        <f>"9783428082919"</f>
        <v>9783428082919</v>
      </c>
      <c r="F18027" s="2" t="str">
        <f>"9783428482917"</f>
        <v>9783428482917</v>
      </c>
    </row>
    <row r="18028" spans="1:6" s="3" customFormat="1" ht="29.1" customHeight="1" x14ac:dyDescent="0.25">
      <c r="A18028" s="2" t="s">
        <v>35468</v>
      </c>
      <c r="B18028" s="2" t="s">
        <v>35469</v>
      </c>
      <c r="C18028" s="2" t="s">
        <v>62</v>
      </c>
      <c r="D18028" s="2" t="s">
        <v>5758</v>
      </c>
      <c r="E18028" s="2" t="str">
        <f>"9783428082315"</f>
        <v>9783428082315</v>
      </c>
      <c r="F18028" s="2" t="str">
        <f>"9783428482313"</f>
        <v>9783428482313</v>
      </c>
    </row>
    <row r="18029" spans="1:6" s="3" customFormat="1" ht="29.1" customHeight="1" x14ac:dyDescent="0.25">
      <c r="A18029" s="2" t="s">
        <v>35470</v>
      </c>
      <c r="B18029" s="2" t="s">
        <v>35471</v>
      </c>
      <c r="C18029" s="2" t="s">
        <v>62</v>
      </c>
      <c r="D18029" s="2" t="s">
        <v>1463</v>
      </c>
      <c r="E18029" s="2" t="str">
        <f>"9783428079551"</f>
        <v>9783428079551</v>
      </c>
      <c r="F18029" s="2" t="str">
        <f>"9783428479559"</f>
        <v>9783428479559</v>
      </c>
    </row>
    <row r="18030" spans="1:6" s="3" customFormat="1" ht="29.1" customHeight="1" x14ac:dyDescent="0.25">
      <c r="A18030" s="2" t="s">
        <v>35472</v>
      </c>
      <c r="B18030" s="2" t="s">
        <v>35473</v>
      </c>
      <c r="C18030" s="2" t="s">
        <v>62</v>
      </c>
      <c r="D18030" s="2" t="s">
        <v>1651</v>
      </c>
      <c r="E18030" s="2" t="str">
        <f>"9783428078202"</f>
        <v>9783428078202</v>
      </c>
      <c r="F18030" s="2" t="str">
        <f>"9783428478200"</f>
        <v>9783428478200</v>
      </c>
    </row>
    <row r="18031" spans="1:6" s="3" customFormat="1" ht="29.1" customHeight="1" x14ac:dyDescent="0.25">
      <c r="A18031" s="2" t="s">
        <v>35474</v>
      </c>
      <c r="B18031" s="2" t="s">
        <v>35475</v>
      </c>
      <c r="C18031" s="2" t="s">
        <v>62</v>
      </c>
      <c r="D18031" s="2" t="s">
        <v>1463</v>
      </c>
      <c r="E18031" s="2" t="str">
        <f>"9783428076628"</f>
        <v>9783428076628</v>
      </c>
      <c r="F18031" s="2" t="str">
        <f>"9783428476626"</f>
        <v>9783428476626</v>
      </c>
    </row>
    <row r="18032" spans="1:6" s="3" customFormat="1" ht="29.1" customHeight="1" x14ac:dyDescent="0.25">
      <c r="A18032" s="2" t="s">
        <v>35476</v>
      </c>
      <c r="B18032" s="2" t="s">
        <v>35477</v>
      </c>
      <c r="C18032" s="2" t="s">
        <v>62</v>
      </c>
      <c r="D18032" s="2" t="s">
        <v>13886</v>
      </c>
      <c r="E18032" s="2" t="str">
        <f>"9783428073412"</f>
        <v>9783428073412</v>
      </c>
      <c r="F18032" s="2" t="str">
        <f>"9783428473410"</f>
        <v>9783428473410</v>
      </c>
    </row>
    <row r="18033" spans="1:6" s="3" customFormat="1" ht="29.1" customHeight="1" x14ac:dyDescent="0.25">
      <c r="A18033" s="2" t="s">
        <v>35478</v>
      </c>
      <c r="B18033" s="2" t="s">
        <v>35479</v>
      </c>
      <c r="C18033" s="2" t="s">
        <v>62</v>
      </c>
      <c r="D18033" s="2" t="s">
        <v>1463</v>
      </c>
      <c r="E18033" s="2" t="str">
        <f>"9783428071258"</f>
        <v>9783428071258</v>
      </c>
      <c r="F18033" s="2" t="str">
        <f>"9783428471256"</f>
        <v>9783428471256</v>
      </c>
    </row>
    <row r="18034" spans="1:6" s="3" customFormat="1" ht="29.1" customHeight="1" x14ac:dyDescent="0.25">
      <c r="A18034" s="2" t="s">
        <v>35480</v>
      </c>
      <c r="B18034" s="2" t="s">
        <v>35481</v>
      </c>
      <c r="C18034" s="2" t="s">
        <v>62</v>
      </c>
      <c r="D18034" s="2" t="s">
        <v>1463</v>
      </c>
      <c r="E18034" s="2" t="str">
        <f>"9783428069408"</f>
        <v>9783428069408</v>
      </c>
      <c r="F18034" s="2" t="str">
        <f>"9783428469406"</f>
        <v>9783428469406</v>
      </c>
    </row>
    <row r="18035" spans="1:6" s="3" customFormat="1" ht="29.1" customHeight="1" x14ac:dyDescent="0.25">
      <c r="A18035" s="2" t="s">
        <v>35482</v>
      </c>
      <c r="B18035" s="2" t="s">
        <v>35483</v>
      </c>
      <c r="C18035" s="2" t="s">
        <v>62</v>
      </c>
      <c r="D18035" s="2" t="s">
        <v>5758</v>
      </c>
      <c r="E18035" s="2" t="str">
        <f>"9783428069323"</f>
        <v>9783428069323</v>
      </c>
      <c r="F18035" s="2" t="str">
        <f>"9783428469321"</f>
        <v>9783428469321</v>
      </c>
    </row>
    <row r="18036" spans="1:6" s="3" customFormat="1" ht="29.1" customHeight="1" x14ac:dyDescent="0.25">
      <c r="A18036" s="2" t="s">
        <v>35484</v>
      </c>
      <c r="B18036" s="2" t="s">
        <v>35485</v>
      </c>
      <c r="C18036" s="2" t="s">
        <v>62</v>
      </c>
      <c r="D18036" s="2" t="s">
        <v>5758</v>
      </c>
      <c r="E18036" s="2" t="str">
        <f>"9783428068616"</f>
        <v>9783428068616</v>
      </c>
      <c r="F18036" s="2" t="str">
        <f>"9783428468614"</f>
        <v>9783428468614</v>
      </c>
    </row>
    <row r="18037" spans="1:6" s="3" customFormat="1" ht="29.1" customHeight="1" x14ac:dyDescent="0.25">
      <c r="A18037" s="2" t="s">
        <v>35486</v>
      </c>
      <c r="B18037" s="2" t="s">
        <v>35487</v>
      </c>
      <c r="C18037" s="2" t="s">
        <v>62</v>
      </c>
      <c r="D18037" s="2" t="s">
        <v>1463</v>
      </c>
      <c r="E18037" s="2" t="str">
        <f>"9783428059904"</f>
        <v>9783428059904</v>
      </c>
      <c r="F18037" s="2" t="str">
        <f>"9783428459902"</f>
        <v>9783428459902</v>
      </c>
    </row>
    <row r="18038" spans="1:6" s="3" customFormat="1" ht="29.1" customHeight="1" x14ac:dyDescent="0.25">
      <c r="A18038" s="2" t="s">
        <v>35488</v>
      </c>
      <c r="B18038" s="2" t="s">
        <v>35489</v>
      </c>
      <c r="C18038" s="2" t="s">
        <v>62</v>
      </c>
      <c r="D18038" s="2" t="s">
        <v>1463</v>
      </c>
      <c r="E18038" s="2" t="str">
        <f>"9783428058433"</f>
        <v>9783428058433</v>
      </c>
      <c r="F18038" s="2" t="str">
        <f>"9783428458431"</f>
        <v>9783428458431</v>
      </c>
    </row>
    <row r="18039" spans="1:6" s="3" customFormat="1" ht="29.1" customHeight="1" x14ac:dyDescent="0.25">
      <c r="A18039" s="2" t="s">
        <v>35490</v>
      </c>
      <c r="B18039" s="2" t="s">
        <v>35491</v>
      </c>
      <c r="C18039" s="2" t="s">
        <v>62</v>
      </c>
      <c r="D18039" s="2" t="s">
        <v>1463</v>
      </c>
      <c r="E18039" s="2" t="str">
        <f>"9783428057726"</f>
        <v>9783428057726</v>
      </c>
      <c r="F18039" s="2" t="str">
        <f>"9783428457724"</f>
        <v>9783428457724</v>
      </c>
    </row>
    <row r="18040" spans="1:6" s="3" customFormat="1" ht="29.1" customHeight="1" x14ac:dyDescent="0.25">
      <c r="A18040" s="2" t="s">
        <v>35492</v>
      </c>
      <c r="B18040" s="2" t="s">
        <v>35493</v>
      </c>
      <c r="C18040" s="2" t="s">
        <v>62</v>
      </c>
      <c r="D18040" s="2" t="s">
        <v>5758</v>
      </c>
      <c r="E18040" s="2" t="str">
        <f>"9783428048472"</f>
        <v>9783428048472</v>
      </c>
      <c r="F18040" s="2" t="str">
        <f>"9783428448470"</f>
        <v>9783428448470</v>
      </c>
    </row>
    <row r="18041" spans="1:6" s="3" customFormat="1" ht="29.1" customHeight="1" x14ac:dyDescent="0.25">
      <c r="A18041" s="2" t="s">
        <v>35494</v>
      </c>
      <c r="B18041" s="2" t="s">
        <v>35495</v>
      </c>
      <c r="C18041" s="2" t="s">
        <v>62</v>
      </c>
      <c r="D18041" s="2" t="s">
        <v>1651</v>
      </c>
      <c r="E18041" s="2" t="str">
        <f>"9783428047932"</f>
        <v>9783428047932</v>
      </c>
      <c r="F18041" s="2" t="str">
        <f>"9783428447930"</f>
        <v>9783428447930</v>
      </c>
    </row>
    <row r="18042" spans="1:6" s="3" customFormat="1" ht="29.1" customHeight="1" x14ac:dyDescent="0.25">
      <c r="A18042" s="2" t="s">
        <v>35496</v>
      </c>
      <c r="B18042" s="2" t="s">
        <v>35497</v>
      </c>
      <c r="C18042" s="2" t="s">
        <v>62</v>
      </c>
      <c r="D18042" s="2" t="s">
        <v>2883</v>
      </c>
      <c r="E18042" s="2" t="str">
        <f>"9783428045082"</f>
        <v>9783428045082</v>
      </c>
      <c r="F18042" s="2" t="str">
        <f>"9783428445080"</f>
        <v>9783428445080</v>
      </c>
    </row>
    <row r="18043" spans="1:6" s="3" customFormat="1" ht="29.1" customHeight="1" x14ac:dyDescent="0.25">
      <c r="A18043" s="2" t="s">
        <v>35498</v>
      </c>
      <c r="B18043" s="2" t="s">
        <v>35499</v>
      </c>
      <c r="C18043" s="2" t="s">
        <v>62</v>
      </c>
      <c r="D18043" s="2" t="s">
        <v>3963</v>
      </c>
      <c r="E18043" s="2" t="str">
        <f>"9783428044931"</f>
        <v>9783428044931</v>
      </c>
      <c r="F18043" s="2" t="str">
        <f>"9783428444939"</f>
        <v>9783428444939</v>
      </c>
    </row>
    <row r="18044" spans="1:6" s="3" customFormat="1" ht="29.1" customHeight="1" x14ac:dyDescent="0.25">
      <c r="A18044" s="2" t="s">
        <v>35500</v>
      </c>
      <c r="B18044" s="2" t="s">
        <v>35501</v>
      </c>
      <c r="C18044" s="2" t="s">
        <v>62</v>
      </c>
      <c r="D18044" s="2" t="s">
        <v>5758</v>
      </c>
      <c r="E18044" s="2" t="str">
        <f>"9783428040483"</f>
        <v>9783428040483</v>
      </c>
      <c r="F18044" s="2" t="str">
        <f>"9783428440481"</f>
        <v>9783428440481</v>
      </c>
    </row>
    <row r="18045" spans="1:6" s="3" customFormat="1" ht="29.1" customHeight="1" x14ac:dyDescent="0.25">
      <c r="A18045" s="2" t="s">
        <v>35502</v>
      </c>
      <c r="B18045" s="2" t="s">
        <v>35503</v>
      </c>
      <c r="C18045" s="2" t="s">
        <v>62</v>
      </c>
      <c r="D18045" s="2" t="s">
        <v>1651</v>
      </c>
      <c r="E18045" s="2" t="str">
        <f>"9783428038985"</f>
        <v>9783428038985</v>
      </c>
      <c r="F18045" s="2" t="str">
        <f>"9783428438983"</f>
        <v>9783428438983</v>
      </c>
    </row>
    <row r="18046" spans="1:6" s="3" customFormat="1" ht="29.1" customHeight="1" x14ac:dyDescent="0.25">
      <c r="A18046" s="2" t="s">
        <v>35504</v>
      </c>
      <c r="B18046" s="2" t="s">
        <v>35505</v>
      </c>
      <c r="C18046" s="2" t="s">
        <v>62</v>
      </c>
      <c r="D18046" s="2" t="s">
        <v>5758</v>
      </c>
      <c r="E18046" s="2" t="str">
        <f>"9783428037933"</f>
        <v>9783428037933</v>
      </c>
      <c r="F18046" s="2" t="str">
        <f>"9783428437931"</f>
        <v>9783428437931</v>
      </c>
    </row>
    <row r="18047" spans="1:6" s="3" customFormat="1" ht="29.1" customHeight="1" x14ac:dyDescent="0.25">
      <c r="A18047" s="2" t="s">
        <v>35506</v>
      </c>
      <c r="B18047" s="2" t="s">
        <v>35507</v>
      </c>
      <c r="C18047" s="2" t="s">
        <v>62</v>
      </c>
      <c r="D18047" s="2" t="s">
        <v>5758</v>
      </c>
      <c r="E18047" s="2" t="str">
        <f>"9783428035809"</f>
        <v>9783428035809</v>
      </c>
      <c r="F18047" s="2" t="str">
        <f>"9783428435807"</f>
        <v>9783428435807</v>
      </c>
    </row>
    <row r="18048" spans="1:6" s="3" customFormat="1" ht="29.1" customHeight="1" x14ac:dyDescent="0.25">
      <c r="A18048" s="2" t="s">
        <v>35508</v>
      </c>
      <c r="B18048" s="2" t="s">
        <v>35438</v>
      </c>
      <c r="C18048" s="2" t="s">
        <v>62</v>
      </c>
      <c r="D18048" s="2" t="s">
        <v>1651</v>
      </c>
      <c r="E18048" s="2" t="str">
        <f>"9783428035748"</f>
        <v>9783428035748</v>
      </c>
      <c r="F18048" s="2" t="str">
        <f>"9783428435746"</f>
        <v>9783428435746</v>
      </c>
    </row>
    <row r="18049" spans="1:6" s="3" customFormat="1" ht="29.1" customHeight="1" x14ac:dyDescent="0.25">
      <c r="A18049" s="2" t="s">
        <v>35509</v>
      </c>
      <c r="B18049" s="2" t="s">
        <v>35440</v>
      </c>
      <c r="C18049" s="2" t="s">
        <v>62</v>
      </c>
      <c r="D18049" s="2" t="s">
        <v>1651</v>
      </c>
      <c r="E18049" s="2" t="str">
        <f>"9783428034406"</f>
        <v>9783428034406</v>
      </c>
      <c r="F18049" s="2" t="str">
        <f>"9783428434404"</f>
        <v>9783428434404</v>
      </c>
    </row>
    <row r="18050" spans="1:6" s="3" customFormat="1" ht="29.1" customHeight="1" x14ac:dyDescent="0.25">
      <c r="A18050" s="2" t="s">
        <v>35510</v>
      </c>
      <c r="B18050" s="2" t="s">
        <v>35438</v>
      </c>
      <c r="C18050" s="2" t="s">
        <v>62</v>
      </c>
      <c r="D18050" s="2" t="s">
        <v>1651</v>
      </c>
      <c r="E18050" s="2" t="str">
        <f>"9783428030996"</f>
        <v>9783428030996</v>
      </c>
      <c r="F18050" s="2" t="str">
        <f>"9783428430994"</f>
        <v>9783428430994</v>
      </c>
    </row>
    <row r="18051" spans="1:6" s="3" customFormat="1" ht="29.1" customHeight="1" x14ac:dyDescent="0.25">
      <c r="A18051" s="2" t="s">
        <v>35511</v>
      </c>
      <c r="B18051" s="2" t="s">
        <v>35512</v>
      </c>
      <c r="C18051" s="2" t="s">
        <v>62</v>
      </c>
      <c r="D18051" s="2" t="s">
        <v>1651</v>
      </c>
      <c r="E18051" s="2" t="str">
        <f>"9783428027583"</f>
        <v>9783428027583</v>
      </c>
      <c r="F18051" s="2" t="str">
        <f>"9783428427581"</f>
        <v>9783428427581</v>
      </c>
    </row>
    <row r="18052" spans="1:6" s="3" customFormat="1" ht="29.1" customHeight="1" x14ac:dyDescent="0.25">
      <c r="A18052" s="2" t="s">
        <v>35513</v>
      </c>
      <c r="B18052" s="2" t="s">
        <v>35514</v>
      </c>
      <c r="C18052" s="2" t="s">
        <v>62</v>
      </c>
      <c r="D18052" s="2" t="s">
        <v>5758</v>
      </c>
      <c r="E18052" s="2" t="str">
        <f>"9783428026524"</f>
        <v>9783428026524</v>
      </c>
      <c r="F18052" s="2" t="str">
        <f>"9783428426522"</f>
        <v>9783428426522</v>
      </c>
    </row>
    <row r="18053" spans="1:6" s="3" customFormat="1" ht="29.1" customHeight="1" x14ac:dyDescent="0.25">
      <c r="A18053" s="2" t="s">
        <v>35515</v>
      </c>
      <c r="B18053" s="2" t="s">
        <v>35516</v>
      </c>
      <c r="C18053" s="2" t="s">
        <v>62</v>
      </c>
      <c r="D18053" s="2" t="s">
        <v>1864</v>
      </c>
      <c r="E18053" s="2" t="str">
        <f>"9783428024247"</f>
        <v>9783428024247</v>
      </c>
      <c r="F18053" s="2" t="str">
        <f>"9783428424245"</f>
        <v>9783428424245</v>
      </c>
    </row>
    <row r="18054" spans="1:6" s="3" customFormat="1" ht="29.1" customHeight="1" x14ac:dyDescent="0.25">
      <c r="A18054" s="2" t="s">
        <v>35517</v>
      </c>
      <c r="B18054" s="2" t="s">
        <v>35518</v>
      </c>
      <c r="C18054" s="2" t="s">
        <v>62</v>
      </c>
      <c r="D18054" s="2" t="s">
        <v>5758</v>
      </c>
      <c r="E18054" s="2" t="str">
        <f>"9783428022052"</f>
        <v>9783428022052</v>
      </c>
      <c r="F18054" s="2" t="str">
        <f>"9783428422050"</f>
        <v>9783428422050</v>
      </c>
    </row>
    <row r="18055" spans="1:6" s="3" customFormat="1" ht="29.1" customHeight="1" x14ac:dyDescent="0.25">
      <c r="A18055" s="2" t="s">
        <v>35519</v>
      </c>
      <c r="B18055" s="2" t="s">
        <v>35520</v>
      </c>
      <c r="C18055" s="2" t="s">
        <v>62</v>
      </c>
      <c r="D18055" s="2" t="s">
        <v>1651</v>
      </c>
      <c r="E18055" s="2" t="str">
        <f>"9783428021482"</f>
        <v>9783428021482</v>
      </c>
      <c r="F18055" s="2" t="str">
        <f>"9783428421480"</f>
        <v>9783428421480</v>
      </c>
    </row>
    <row r="18056" spans="1:6" s="3" customFormat="1" ht="29.1" customHeight="1" x14ac:dyDescent="0.25">
      <c r="A18056" s="2" t="s">
        <v>35521</v>
      </c>
      <c r="B18056" s="2" t="s">
        <v>35522</v>
      </c>
      <c r="C18056" s="2" t="s">
        <v>62</v>
      </c>
      <c r="D18056" s="2" t="s">
        <v>7978</v>
      </c>
      <c r="E18056" s="2" t="str">
        <f>"9783428019458"</f>
        <v>9783428019458</v>
      </c>
      <c r="F18056" s="2" t="str">
        <f>"9783428419456"</f>
        <v>9783428419456</v>
      </c>
    </row>
    <row r="18057" spans="1:6" s="3" customFormat="1" ht="29.1" customHeight="1" x14ac:dyDescent="0.25">
      <c r="A18057" s="2" t="s">
        <v>35523</v>
      </c>
      <c r="B18057" s="2" t="s">
        <v>35524</v>
      </c>
      <c r="C18057" s="2" t="s">
        <v>62</v>
      </c>
      <c r="D18057" s="2" t="s">
        <v>1651</v>
      </c>
      <c r="E18057" s="2" t="str">
        <f>"9783428017850"</f>
        <v>9783428017850</v>
      </c>
      <c r="F18057" s="2" t="str">
        <f>"9783428417858"</f>
        <v>9783428417858</v>
      </c>
    </row>
    <row r="18058" spans="1:6" s="3" customFormat="1" ht="29.1" customHeight="1" x14ac:dyDescent="0.25">
      <c r="A18058" s="2" t="s">
        <v>35525</v>
      </c>
      <c r="B18058" s="2" t="s">
        <v>35526</v>
      </c>
      <c r="C18058" s="2" t="s">
        <v>248</v>
      </c>
      <c r="D18058" s="2" t="s">
        <v>1025</v>
      </c>
      <c r="E18058" s="2" t="str">
        <f>"9783863887742"</f>
        <v>9783863887742</v>
      </c>
      <c r="F18058" s="2" t="str">
        <f>"9783863883287"</f>
        <v>9783863883287</v>
      </c>
    </row>
    <row r="18059" spans="1:6" s="3" customFormat="1" ht="29.1" customHeight="1" x14ac:dyDescent="0.25">
      <c r="A18059" s="2" t="s">
        <v>35527</v>
      </c>
      <c r="B18059" s="2" t="s">
        <v>35528</v>
      </c>
      <c r="C18059" s="2" t="s">
        <v>248</v>
      </c>
      <c r="D18059" s="2" t="s">
        <v>2142</v>
      </c>
      <c r="E18059" s="2" t="str">
        <f>"9783847422327"</f>
        <v>9783847422327</v>
      </c>
      <c r="F18059" s="2" t="str">
        <f>"9783847412625"</f>
        <v>9783847412625</v>
      </c>
    </row>
    <row r="18060" spans="1:6" s="3" customFormat="1" ht="29.1" customHeight="1" x14ac:dyDescent="0.25">
      <c r="A18060" s="2" t="s">
        <v>35529</v>
      </c>
      <c r="B18060" s="2" t="s">
        <v>35530</v>
      </c>
      <c r="C18060" s="2" t="s">
        <v>248</v>
      </c>
      <c r="D18060" s="2" t="s">
        <v>9003</v>
      </c>
      <c r="E18060" s="2" t="str">
        <f>"9783847420439"</f>
        <v>9783847420439</v>
      </c>
      <c r="F18060" s="2" t="str">
        <f>"9783847410256"</f>
        <v>9783847410256</v>
      </c>
    </row>
    <row r="18061" spans="1:6" s="3" customFormat="1" ht="29.1" customHeight="1" x14ac:dyDescent="0.25">
      <c r="A18061" s="2" t="s">
        <v>35531</v>
      </c>
      <c r="B18061" s="2" t="s">
        <v>35532</v>
      </c>
      <c r="C18061" s="2" t="s">
        <v>248</v>
      </c>
      <c r="D18061" s="2" t="s">
        <v>75</v>
      </c>
      <c r="E18061" s="2" t="str">
        <f>"9783847425281"</f>
        <v>9783847425281</v>
      </c>
      <c r="F18061" s="2" t="str">
        <f>"9783847417293"</f>
        <v>9783847417293</v>
      </c>
    </row>
    <row r="18062" spans="1:6" s="3" customFormat="1" ht="29.1" customHeight="1" x14ac:dyDescent="0.25">
      <c r="A18062" s="2" t="s">
        <v>35533</v>
      </c>
      <c r="B18062" s="2" t="s">
        <v>35534</v>
      </c>
      <c r="C18062" s="2" t="s">
        <v>248</v>
      </c>
      <c r="D18062" s="2" t="s">
        <v>639</v>
      </c>
      <c r="E18062" s="2" t="str">
        <f>"9783863880842"</f>
        <v>9783863880842</v>
      </c>
      <c r="F18062" s="2" t="str">
        <f>"9783863882495"</f>
        <v>9783863882495</v>
      </c>
    </row>
    <row r="18063" spans="1:6" s="3" customFormat="1" ht="29.1" customHeight="1" x14ac:dyDescent="0.25">
      <c r="A18063" s="2" t="s">
        <v>35535</v>
      </c>
      <c r="B18063" s="2" t="s">
        <v>35536</v>
      </c>
      <c r="C18063" s="2" t="s">
        <v>248</v>
      </c>
      <c r="D18063" s="2" t="s">
        <v>1189</v>
      </c>
      <c r="E18063" s="2" t="str">
        <f>"9783847422518"</f>
        <v>9783847422518</v>
      </c>
      <c r="F18063" s="2" t="str">
        <f>"9783847413066"</f>
        <v>9783847413066</v>
      </c>
    </row>
    <row r="18064" spans="1:6" s="3" customFormat="1" ht="29.1" customHeight="1" x14ac:dyDescent="0.25">
      <c r="A18064" s="2" t="s">
        <v>35537</v>
      </c>
      <c r="B18064" s="2" t="s">
        <v>35538</v>
      </c>
      <c r="C18064" s="2" t="s">
        <v>248</v>
      </c>
      <c r="D18064" s="2" t="s">
        <v>24</v>
      </c>
      <c r="E18064" s="2" t="str">
        <f>"9783847422235"</f>
        <v>9783847422235</v>
      </c>
      <c r="F18064" s="2" t="str">
        <f>"9783847412519"</f>
        <v>9783847412519</v>
      </c>
    </row>
    <row r="18065" spans="1:6" s="3" customFormat="1" ht="29.1" customHeight="1" x14ac:dyDescent="0.25">
      <c r="A18065" s="2" t="s">
        <v>35539</v>
      </c>
      <c r="B18065" s="2" t="s">
        <v>35540</v>
      </c>
      <c r="C18065" s="2" t="s">
        <v>248</v>
      </c>
      <c r="D18065" s="2" t="s">
        <v>1927</v>
      </c>
      <c r="E18065" s="2" t="str">
        <f>"9783847421078"</f>
        <v>9783847421078</v>
      </c>
      <c r="F18065" s="2" t="str">
        <f>"9783847410898"</f>
        <v>9783847410898</v>
      </c>
    </row>
    <row r="18066" spans="1:6" s="3" customFormat="1" ht="29.1" customHeight="1" x14ac:dyDescent="0.25">
      <c r="A18066" s="2" t="s">
        <v>35541</v>
      </c>
      <c r="B18066" s="2" t="s">
        <v>35542</v>
      </c>
      <c r="C18066" s="2" t="s">
        <v>248</v>
      </c>
      <c r="D18066" s="2" t="s">
        <v>3523</v>
      </c>
      <c r="E18066" s="2" t="str">
        <f>"9783847420743"</f>
        <v>9783847420743</v>
      </c>
      <c r="F18066" s="2" t="str">
        <f>"9783847410461"</f>
        <v>9783847410461</v>
      </c>
    </row>
    <row r="18067" spans="1:6" s="3" customFormat="1" ht="29.1" customHeight="1" x14ac:dyDescent="0.25">
      <c r="A18067" s="2" t="s">
        <v>35543</v>
      </c>
      <c r="B18067" s="2" t="s">
        <v>35544</v>
      </c>
      <c r="C18067" s="2" t="s">
        <v>248</v>
      </c>
      <c r="D18067" s="2" t="s">
        <v>836</v>
      </c>
      <c r="E18067" s="2" t="str">
        <f>"9783847420293"</f>
        <v>9783847420293</v>
      </c>
      <c r="F18067" s="2" t="str">
        <f>"9783847410140"</f>
        <v>9783847410140</v>
      </c>
    </row>
    <row r="18068" spans="1:6" s="3" customFormat="1" ht="29.1" customHeight="1" x14ac:dyDescent="0.25">
      <c r="A18068" s="2" t="s">
        <v>35545</v>
      </c>
      <c r="B18068" s="2" t="s">
        <v>35546</v>
      </c>
      <c r="C18068" s="2" t="s">
        <v>248</v>
      </c>
      <c r="D18068" s="2" t="s">
        <v>24</v>
      </c>
      <c r="E18068" s="2" t="str">
        <f>"9783847407225"</f>
        <v>9783847407225</v>
      </c>
      <c r="F18068" s="2" t="str">
        <f>"9783847408710"</f>
        <v>9783847408710</v>
      </c>
    </row>
    <row r="18069" spans="1:6" s="3" customFormat="1" ht="29.1" customHeight="1" x14ac:dyDescent="0.25">
      <c r="A18069" s="2" t="s">
        <v>35547</v>
      </c>
      <c r="B18069" s="2" t="s">
        <v>35548</v>
      </c>
      <c r="C18069" s="2" t="s">
        <v>248</v>
      </c>
      <c r="D18069" s="2" t="s">
        <v>75</v>
      </c>
      <c r="E18069" s="2" t="str">
        <f>"9783847406686"</f>
        <v>9783847406686</v>
      </c>
      <c r="F18069" s="2" t="str">
        <f>"9783847408543"</f>
        <v>9783847408543</v>
      </c>
    </row>
    <row r="18070" spans="1:6" s="3" customFormat="1" ht="29.1" customHeight="1" x14ac:dyDescent="0.25">
      <c r="A18070" s="2" t="s">
        <v>35549</v>
      </c>
      <c r="B18070" s="2" t="s">
        <v>35550</v>
      </c>
      <c r="C18070" s="2" t="s">
        <v>248</v>
      </c>
      <c r="D18070" s="2" t="s">
        <v>24</v>
      </c>
      <c r="E18070" s="2" t="str">
        <f>"9783847401278"</f>
        <v>9783847401278</v>
      </c>
      <c r="F18070" s="2" t="str">
        <f>"9783847404507"</f>
        <v>9783847404507</v>
      </c>
    </row>
    <row r="18071" spans="1:6" s="3" customFormat="1" ht="29.1" customHeight="1" x14ac:dyDescent="0.25">
      <c r="A18071" s="2" t="s">
        <v>35551</v>
      </c>
      <c r="B18071" s="2" t="s">
        <v>35552</v>
      </c>
      <c r="C18071" s="2" t="s">
        <v>248</v>
      </c>
      <c r="D18071" s="2" t="s">
        <v>24</v>
      </c>
      <c r="E18071" s="2" t="str">
        <f>"9783847401643"</f>
        <v>9783847401643</v>
      </c>
      <c r="F18071" s="2" t="str">
        <f>"9783847404415"</f>
        <v>9783847404415</v>
      </c>
    </row>
    <row r="18072" spans="1:6" s="3" customFormat="1" ht="29.1" customHeight="1" x14ac:dyDescent="0.25">
      <c r="A18072" s="2" t="s">
        <v>35553</v>
      </c>
      <c r="B18072" s="2" t="s">
        <v>35546</v>
      </c>
      <c r="C18072" s="2" t="s">
        <v>248</v>
      </c>
      <c r="D18072" s="2" t="s">
        <v>24</v>
      </c>
      <c r="E18072" s="2" t="str">
        <f>"9783847405887"</f>
        <v>9783847405887</v>
      </c>
      <c r="F18072" s="2" t="str">
        <f>"9783847404033"</f>
        <v>9783847404033</v>
      </c>
    </row>
    <row r="18073" spans="1:6" s="3" customFormat="1" ht="29.1" customHeight="1" x14ac:dyDescent="0.25">
      <c r="A18073" s="2" t="s">
        <v>35554</v>
      </c>
      <c r="B18073" s="2" t="s">
        <v>35555</v>
      </c>
      <c r="C18073" s="2" t="s">
        <v>248</v>
      </c>
      <c r="D18073" s="2" t="s">
        <v>21</v>
      </c>
      <c r="E18073" s="2" t="str">
        <f>"9783847425601"</f>
        <v>9783847425601</v>
      </c>
      <c r="F18073" s="2" t="str">
        <f>"9783847417071"</f>
        <v>9783847417071</v>
      </c>
    </row>
    <row r="18074" spans="1:6" s="3" customFormat="1" ht="29.1" customHeight="1" x14ac:dyDescent="0.25">
      <c r="A18074" s="2" t="s">
        <v>35556</v>
      </c>
      <c r="B18074" s="2" t="s">
        <v>35555</v>
      </c>
      <c r="C18074" s="2" t="s">
        <v>248</v>
      </c>
      <c r="D18074" s="2" t="s">
        <v>21</v>
      </c>
      <c r="E18074" s="2" t="str">
        <f>"9783847424376"</f>
        <v>9783847424376</v>
      </c>
      <c r="F18074" s="2" t="str">
        <f>"9783847415725"</f>
        <v>9783847415725</v>
      </c>
    </row>
    <row r="18075" spans="1:6" s="3" customFormat="1" ht="29.1" customHeight="1" x14ac:dyDescent="0.25">
      <c r="A18075" s="2" t="s">
        <v>35557</v>
      </c>
      <c r="B18075" s="2" t="s">
        <v>35558</v>
      </c>
      <c r="C18075" s="2" t="s">
        <v>248</v>
      </c>
      <c r="D18075" s="2" t="s">
        <v>1416</v>
      </c>
      <c r="E18075" s="2" t="str">
        <f>"9783847423850"</f>
        <v>9783847423850</v>
      </c>
      <c r="F18075" s="2" t="str">
        <f>"9783847415534"</f>
        <v>9783847415534</v>
      </c>
    </row>
    <row r="18076" spans="1:6" s="3" customFormat="1" ht="29.1" customHeight="1" x14ac:dyDescent="0.25">
      <c r="A18076" s="2" t="s">
        <v>35559</v>
      </c>
      <c r="B18076" s="2" t="s">
        <v>35555</v>
      </c>
      <c r="C18076" s="2" t="s">
        <v>248</v>
      </c>
      <c r="D18076" s="2" t="s">
        <v>21</v>
      </c>
      <c r="E18076" s="2" t="str">
        <f>"9783847423300"</f>
        <v>9783847423300</v>
      </c>
      <c r="F18076" s="2" t="str">
        <f>"9783847413516"</f>
        <v>9783847413516</v>
      </c>
    </row>
    <row r="18077" spans="1:6" s="3" customFormat="1" ht="29.1" customHeight="1" x14ac:dyDescent="0.25">
      <c r="A18077" s="2" t="s">
        <v>35560</v>
      </c>
      <c r="B18077" s="2" t="s">
        <v>35561</v>
      </c>
      <c r="C18077" s="2" t="s">
        <v>248</v>
      </c>
      <c r="D18077" s="2" t="s">
        <v>9003</v>
      </c>
      <c r="E18077" s="2"/>
      <c r="F18077" s="2" t="str">
        <f>"9783938094365"</f>
        <v>9783938094365</v>
      </c>
    </row>
    <row r="18078" spans="1:6" s="3" customFormat="1" ht="29.1" customHeight="1" x14ac:dyDescent="0.25">
      <c r="A18078" s="2" t="s">
        <v>35562</v>
      </c>
      <c r="B18078" s="2" t="s">
        <v>35563</v>
      </c>
      <c r="C18078" s="2" t="s">
        <v>248</v>
      </c>
      <c r="D18078" s="2" t="s">
        <v>75</v>
      </c>
      <c r="E18078" s="2" t="str">
        <f>"9783866490888"</f>
        <v>9783866490888</v>
      </c>
      <c r="F18078" s="2" t="str">
        <f>"9783866498914"</f>
        <v>9783866498914</v>
      </c>
    </row>
    <row r="18079" spans="1:6" s="3" customFormat="1" ht="29.1" customHeight="1" x14ac:dyDescent="0.25">
      <c r="A18079" s="2" t="s">
        <v>35564</v>
      </c>
      <c r="B18079" s="2" t="s">
        <v>35565</v>
      </c>
      <c r="C18079" s="2" t="s">
        <v>248</v>
      </c>
      <c r="D18079" s="2" t="s">
        <v>2752</v>
      </c>
      <c r="E18079" s="2" t="str">
        <f>"9783938094075"</f>
        <v>9783938094075</v>
      </c>
      <c r="F18079" s="2" t="str">
        <f>"9783866498266"</f>
        <v>9783866498266</v>
      </c>
    </row>
    <row r="18080" spans="1:6" s="3" customFormat="1" ht="29.1" customHeight="1" x14ac:dyDescent="0.25">
      <c r="A18080" s="2" t="s">
        <v>35566</v>
      </c>
      <c r="B18080" s="2" t="s">
        <v>35567</v>
      </c>
      <c r="C18080" s="2" t="s">
        <v>248</v>
      </c>
      <c r="D18080" s="2" t="s">
        <v>75</v>
      </c>
      <c r="E18080" s="2" t="str">
        <f>"9783866490321"</f>
        <v>9783866490321</v>
      </c>
      <c r="F18080" s="2" t="str">
        <f>"9783866498204"</f>
        <v>9783866498204</v>
      </c>
    </row>
    <row r="18081" spans="1:6" s="3" customFormat="1" ht="29.1" customHeight="1" x14ac:dyDescent="0.25">
      <c r="A18081" s="2" t="s">
        <v>35568</v>
      </c>
      <c r="B18081" s="2" t="s">
        <v>35569</v>
      </c>
      <c r="C18081" s="2" t="s">
        <v>248</v>
      </c>
      <c r="D18081" s="2" t="s">
        <v>75</v>
      </c>
      <c r="E18081" s="2" t="str">
        <f>"9783866492691"</f>
        <v>9783866492691</v>
      </c>
      <c r="F18081" s="2" t="str">
        <f>"9783866497641"</f>
        <v>9783866497641</v>
      </c>
    </row>
    <row r="18082" spans="1:6" s="3" customFormat="1" ht="29.1" customHeight="1" x14ac:dyDescent="0.25">
      <c r="A18082" s="2" t="s">
        <v>35570</v>
      </c>
      <c r="B18082" s="2" t="s">
        <v>35571</v>
      </c>
      <c r="C18082" s="2" t="s">
        <v>248</v>
      </c>
      <c r="D18082" s="2" t="s">
        <v>882</v>
      </c>
      <c r="E18082" s="2" t="str">
        <f>"9783866492363"</f>
        <v>9783866492363</v>
      </c>
      <c r="F18082" s="2" t="str">
        <f>"9783866497351"</f>
        <v>9783866497351</v>
      </c>
    </row>
    <row r="18083" spans="1:6" s="3" customFormat="1" ht="29.1" customHeight="1" x14ac:dyDescent="0.25">
      <c r="A18083" s="2" t="s">
        <v>35572</v>
      </c>
      <c r="B18083" s="2" t="s">
        <v>35573</v>
      </c>
      <c r="C18083" s="2" t="s">
        <v>248</v>
      </c>
      <c r="D18083" s="2" t="s">
        <v>24</v>
      </c>
      <c r="E18083" s="2" t="str">
        <f>"9783866493049"</f>
        <v>9783866493049</v>
      </c>
      <c r="F18083" s="2" t="str">
        <f>"9783866497191"</f>
        <v>9783866497191</v>
      </c>
    </row>
    <row r="18084" spans="1:6" s="3" customFormat="1" ht="29.1" customHeight="1" x14ac:dyDescent="0.25">
      <c r="A18084" s="2" t="s">
        <v>35574</v>
      </c>
      <c r="B18084" s="2" t="s">
        <v>35575</v>
      </c>
      <c r="C18084" s="2" t="s">
        <v>248</v>
      </c>
      <c r="D18084" s="2" t="s">
        <v>75</v>
      </c>
      <c r="E18084" s="2" t="str">
        <f>"9783866491816"</f>
        <v>9783866491816</v>
      </c>
      <c r="F18084" s="2" t="str">
        <f>"9783866497139"</f>
        <v>9783866497139</v>
      </c>
    </row>
    <row r="18085" spans="1:6" s="3" customFormat="1" ht="29.1" customHeight="1" x14ac:dyDescent="0.25">
      <c r="A18085" s="2" t="s">
        <v>35576</v>
      </c>
      <c r="B18085" s="2" t="s">
        <v>35577</v>
      </c>
      <c r="C18085" s="2" t="s">
        <v>248</v>
      </c>
      <c r="D18085" s="2" t="s">
        <v>32371</v>
      </c>
      <c r="E18085" s="2" t="str">
        <f>"9783866493230"</f>
        <v>9783866493230</v>
      </c>
      <c r="F18085" s="2" t="str">
        <f>"9783866496927"</f>
        <v>9783866496927</v>
      </c>
    </row>
    <row r="18086" spans="1:6" s="3" customFormat="1" ht="29.1" customHeight="1" x14ac:dyDescent="0.25">
      <c r="A18086" s="2" t="s">
        <v>35578</v>
      </c>
      <c r="B18086" s="2" t="s">
        <v>35579</v>
      </c>
      <c r="C18086" s="2" t="s">
        <v>248</v>
      </c>
      <c r="D18086" s="2" t="s">
        <v>636</v>
      </c>
      <c r="E18086" s="2" t="str">
        <f>"9783938094853"</f>
        <v>9783938094853</v>
      </c>
      <c r="F18086" s="2" t="str">
        <f>"9783866496880"</f>
        <v>9783866496880</v>
      </c>
    </row>
    <row r="18087" spans="1:6" s="3" customFormat="1" ht="29.1" customHeight="1" x14ac:dyDescent="0.25">
      <c r="A18087" s="2" t="s">
        <v>35580</v>
      </c>
      <c r="B18087" s="2" t="s">
        <v>35581</v>
      </c>
      <c r="C18087" s="2" t="s">
        <v>248</v>
      </c>
      <c r="D18087" s="2" t="s">
        <v>75</v>
      </c>
      <c r="E18087" s="2" t="str">
        <f>"9783866493599"</f>
        <v>9783866493599</v>
      </c>
      <c r="F18087" s="2" t="str">
        <f>"9783866496866"</f>
        <v>9783866496866</v>
      </c>
    </row>
    <row r="18088" spans="1:6" s="3" customFormat="1" ht="29.1" customHeight="1" x14ac:dyDescent="0.25">
      <c r="A18088" s="2" t="s">
        <v>35582</v>
      </c>
      <c r="B18088" s="2" t="s">
        <v>35583</v>
      </c>
      <c r="C18088" s="2" t="s">
        <v>248</v>
      </c>
      <c r="D18088" s="2" t="s">
        <v>24</v>
      </c>
      <c r="E18088" s="2" t="str">
        <f>"9783866493629"</f>
        <v>9783866493629</v>
      </c>
      <c r="F18088" s="2" t="str">
        <f>"9783866496828"</f>
        <v>9783866496828</v>
      </c>
    </row>
    <row r="18089" spans="1:6" s="3" customFormat="1" ht="29.1" customHeight="1" x14ac:dyDescent="0.25">
      <c r="A18089" s="2" t="s">
        <v>35584</v>
      </c>
      <c r="B18089" s="2" t="s">
        <v>35585</v>
      </c>
      <c r="C18089" s="2" t="s">
        <v>248</v>
      </c>
      <c r="D18089" s="2" t="s">
        <v>75</v>
      </c>
      <c r="E18089" s="2" t="str">
        <f>"9783938094198"</f>
        <v>9783938094198</v>
      </c>
      <c r="F18089" s="2" t="str">
        <f>"9783866496514"</f>
        <v>9783866496514</v>
      </c>
    </row>
    <row r="18090" spans="1:6" s="3" customFormat="1" ht="29.1" customHeight="1" x14ac:dyDescent="0.25">
      <c r="A18090" s="2" t="s">
        <v>35586</v>
      </c>
      <c r="B18090" s="2" t="s">
        <v>35587</v>
      </c>
      <c r="C18090" s="2" t="s">
        <v>248</v>
      </c>
      <c r="D18090" s="2" t="s">
        <v>596</v>
      </c>
      <c r="E18090" s="2" t="str">
        <f>"9783866494435"</f>
        <v>9783866494435</v>
      </c>
      <c r="F18090" s="2" t="str">
        <f>"9783866496354"</f>
        <v>9783866496354</v>
      </c>
    </row>
    <row r="18091" spans="1:6" s="3" customFormat="1" ht="29.1" customHeight="1" x14ac:dyDescent="0.25">
      <c r="A18091" s="2" t="s">
        <v>35588</v>
      </c>
      <c r="B18091" s="2" t="s">
        <v>35589</v>
      </c>
      <c r="C18091" s="2" t="s">
        <v>248</v>
      </c>
      <c r="D18091" s="2" t="s">
        <v>24</v>
      </c>
      <c r="E18091" s="2" t="str">
        <f>"9783866494442"</f>
        <v>9783866494442</v>
      </c>
      <c r="F18091" s="2" t="str">
        <f>"9783866496323"</f>
        <v>9783866496323</v>
      </c>
    </row>
    <row r="18092" spans="1:6" s="3" customFormat="1" ht="29.1" customHeight="1" x14ac:dyDescent="0.25">
      <c r="A18092" s="2" t="s">
        <v>35590</v>
      </c>
      <c r="B18092" s="2" t="s">
        <v>35591</v>
      </c>
      <c r="C18092" s="2" t="s">
        <v>248</v>
      </c>
      <c r="D18092" s="2" t="s">
        <v>2752</v>
      </c>
      <c r="E18092" s="2" t="str">
        <f>"9783866493674"</f>
        <v>9783866493674</v>
      </c>
      <c r="F18092" s="2" t="str">
        <f>"9783866496248"</f>
        <v>9783866496248</v>
      </c>
    </row>
    <row r="18093" spans="1:6" s="3" customFormat="1" ht="29.1" customHeight="1" x14ac:dyDescent="0.25">
      <c r="A18093" s="2" t="s">
        <v>35592</v>
      </c>
      <c r="B18093" s="2" t="s">
        <v>35593</v>
      </c>
      <c r="C18093" s="2" t="s">
        <v>248</v>
      </c>
      <c r="D18093" s="2" t="s">
        <v>7544</v>
      </c>
      <c r="E18093" s="2" t="str">
        <f>"9783866492639"</f>
        <v>9783866492639</v>
      </c>
      <c r="F18093" s="2" t="str">
        <f>"9783866496026"</f>
        <v>9783866496026</v>
      </c>
    </row>
    <row r="18094" spans="1:6" s="3" customFormat="1" ht="29.1" customHeight="1" x14ac:dyDescent="0.25">
      <c r="A18094" s="2" t="s">
        <v>35594</v>
      </c>
      <c r="B18094" s="2" t="s">
        <v>35550</v>
      </c>
      <c r="C18094" s="2" t="s">
        <v>248</v>
      </c>
      <c r="D18094" s="2" t="s">
        <v>24</v>
      </c>
      <c r="E18094" s="2" t="str">
        <f>"9783866494619"</f>
        <v>9783866494619</v>
      </c>
      <c r="F18094" s="2" t="str">
        <f>"9783866495821"</f>
        <v>9783866495821</v>
      </c>
    </row>
    <row r="18095" spans="1:6" s="3" customFormat="1" ht="29.1" customHeight="1" x14ac:dyDescent="0.25">
      <c r="A18095" s="2" t="s">
        <v>35595</v>
      </c>
      <c r="B18095" s="2" t="s">
        <v>35596</v>
      </c>
      <c r="C18095" s="2" t="s">
        <v>248</v>
      </c>
      <c r="D18095" s="2" t="s">
        <v>75</v>
      </c>
      <c r="E18095" s="2" t="str">
        <f>"9783866494688"</f>
        <v>9783866494688</v>
      </c>
      <c r="F18095" s="2" t="str">
        <f>"9783866495678"</f>
        <v>9783866495678</v>
      </c>
    </row>
    <row r="18096" spans="1:6" s="3" customFormat="1" ht="29.1" customHeight="1" x14ac:dyDescent="0.25">
      <c r="A18096" s="2" t="s">
        <v>35597</v>
      </c>
      <c r="B18096" s="2" t="s">
        <v>35598</v>
      </c>
      <c r="C18096" s="2" t="s">
        <v>248</v>
      </c>
      <c r="D18096" s="2" t="s">
        <v>24</v>
      </c>
      <c r="E18096" s="2" t="str">
        <f>"9783847400073"</f>
        <v>9783847400073</v>
      </c>
      <c r="F18096" s="2" t="str">
        <f>"9783866495494"</f>
        <v>9783866495494</v>
      </c>
    </row>
    <row r="18097" spans="1:6" s="3" customFormat="1" ht="29.1" customHeight="1" x14ac:dyDescent="0.25">
      <c r="A18097" s="2" t="s">
        <v>35599</v>
      </c>
      <c r="B18097" s="2" t="s">
        <v>35600</v>
      </c>
      <c r="C18097" s="2" t="s">
        <v>248</v>
      </c>
      <c r="D18097" s="2" t="s">
        <v>2752</v>
      </c>
      <c r="E18097" s="2" t="str">
        <f>"9783866494626"</f>
        <v>9783866494626</v>
      </c>
      <c r="F18097" s="2" t="str">
        <f>"9783866495142"</f>
        <v>9783866495142</v>
      </c>
    </row>
    <row r="18098" spans="1:6" s="3" customFormat="1" ht="29.1" customHeight="1" x14ac:dyDescent="0.25">
      <c r="A18098" s="2" t="s">
        <v>35601</v>
      </c>
      <c r="B18098" s="2" t="s">
        <v>35602</v>
      </c>
      <c r="C18098" s="2" t="s">
        <v>248</v>
      </c>
      <c r="D18098" s="2" t="s">
        <v>836</v>
      </c>
      <c r="E18098" s="2" t="str">
        <f>"9783866494862"</f>
        <v>9783866494862</v>
      </c>
      <c r="F18098" s="2" t="str">
        <f>"9783866495043"</f>
        <v>9783866495043</v>
      </c>
    </row>
    <row r="18099" spans="1:6" s="3" customFormat="1" ht="29.1" customHeight="1" x14ac:dyDescent="0.25">
      <c r="A18099" s="2" t="s">
        <v>35603</v>
      </c>
      <c r="B18099" s="2" t="s">
        <v>35604</v>
      </c>
      <c r="C18099" s="2" t="s">
        <v>248</v>
      </c>
      <c r="D18099" s="2" t="s">
        <v>501</v>
      </c>
      <c r="E18099" s="2" t="str">
        <f>"9783863888077"</f>
        <v>9783863888077</v>
      </c>
      <c r="F18099" s="2" t="str">
        <f>"9783863884000"</f>
        <v>9783863884000</v>
      </c>
    </row>
    <row r="18100" spans="1:6" s="3" customFormat="1" ht="29.1" customHeight="1" x14ac:dyDescent="0.25">
      <c r="A18100" s="2" t="s">
        <v>35605</v>
      </c>
      <c r="B18100" s="2" t="s">
        <v>35606</v>
      </c>
      <c r="C18100" s="2" t="s">
        <v>248</v>
      </c>
      <c r="D18100" s="2" t="s">
        <v>21</v>
      </c>
      <c r="E18100" s="2" t="str">
        <f>"9783863888015"</f>
        <v>9783863888015</v>
      </c>
      <c r="F18100" s="2" t="str">
        <f>"9783863883751"</f>
        <v>9783863883751</v>
      </c>
    </row>
    <row r="18101" spans="1:6" s="3" customFormat="1" ht="29.1" customHeight="1" x14ac:dyDescent="0.25">
      <c r="A18101" s="2" t="s">
        <v>35607</v>
      </c>
      <c r="B18101" s="2" t="s">
        <v>35608</v>
      </c>
      <c r="C18101" s="2" t="s">
        <v>248</v>
      </c>
      <c r="D18101" s="2" t="s">
        <v>14352</v>
      </c>
      <c r="E18101" s="2" t="str">
        <f>"9783863887995"</f>
        <v>9783863887995</v>
      </c>
      <c r="F18101" s="2" t="str">
        <f>"9783863883713"</f>
        <v>9783863883713</v>
      </c>
    </row>
    <row r="18102" spans="1:6" s="3" customFormat="1" ht="29.1" customHeight="1" x14ac:dyDescent="0.25">
      <c r="A18102" s="2" t="s">
        <v>35609</v>
      </c>
      <c r="B18102" s="2" t="s">
        <v>35610</v>
      </c>
      <c r="C18102" s="2" t="s">
        <v>248</v>
      </c>
      <c r="D18102" s="2" t="s">
        <v>270</v>
      </c>
      <c r="E18102" s="2" t="str">
        <f>"9783863887940"</f>
        <v>9783863887940</v>
      </c>
      <c r="F18102" s="2" t="str">
        <f>"9783863883652"</f>
        <v>9783863883652</v>
      </c>
    </row>
    <row r="18103" spans="1:6" s="3" customFormat="1" ht="29.1" customHeight="1" x14ac:dyDescent="0.25">
      <c r="A18103" s="2" t="s">
        <v>35611</v>
      </c>
      <c r="B18103" s="2" t="s">
        <v>35612</v>
      </c>
      <c r="C18103" s="2" t="s">
        <v>248</v>
      </c>
      <c r="D18103" s="2" t="s">
        <v>78</v>
      </c>
      <c r="E18103" s="2" t="str">
        <f>"9783863887902"</f>
        <v>9783863887902</v>
      </c>
      <c r="F18103" s="2" t="str">
        <f>"9783863883607"</f>
        <v>9783863883607</v>
      </c>
    </row>
    <row r="18104" spans="1:6" s="3" customFormat="1" ht="29.1" customHeight="1" x14ac:dyDescent="0.25">
      <c r="A18104" s="2" t="s">
        <v>35613</v>
      </c>
      <c r="B18104" s="2" t="s">
        <v>35614</v>
      </c>
      <c r="C18104" s="2" t="s">
        <v>248</v>
      </c>
      <c r="D18104" s="2" t="s">
        <v>1162</v>
      </c>
      <c r="E18104" s="2" t="str">
        <f>"9783863887209"</f>
        <v>9783863887209</v>
      </c>
      <c r="F18104" s="2" t="str">
        <f>"9783863883126"</f>
        <v>9783863883126</v>
      </c>
    </row>
    <row r="18105" spans="1:6" s="3" customFormat="1" ht="29.1" customHeight="1" x14ac:dyDescent="0.25">
      <c r="A18105" s="2" t="s">
        <v>35615</v>
      </c>
      <c r="B18105" s="2" t="s">
        <v>35616</v>
      </c>
      <c r="C18105" s="2" t="s">
        <v>248</v>
      </c>
      <c r="D18105" s="2" t="s">
        <v>10725</v>
      </c>
      <c r="E18105" s="2" t="str">
        <f>"9783863887438"</f>
        <v>9783863887438</v>
      </c>
      <c r="F18105" s="2" t="str">
        <f>"9783863883034"</f>
        <v>9783863883034</v>
      </c>
    </row>
    <row r="18106" spans="1:6" s="3" customFormat="1" ht="29.1" customHeight="1" x14ac:dyDescent="0.25">
      <c r="A18106" s="2" t="s">
        <v>35617</v>
      </c>
      <c r="B18106" s="2" t="s">
        <v>35618</v>
      </c>
      <c r="C18106" s="2" t="s">
        <v>248</v>
      </c>
      <c r="D18106" s="2" t="s">
        <v>75</v>
      </c>
      <c r="E18106" s="2" t="str">
        <f>"9783863887353"</f>
        <v>9783863887353</v>
      </c>
      <c r="F18106" s="2" t="str">
        <f>"9783863882983"</f>
        <v>9783863882983</v>
      </c>
    </row>
    <row r="18107" spans="1:6" s="3" customFormat="1" ht="29.1" customHeight="1" x14ac:dyDescent="0.25">
      <c r="A18107" s="2" t="s">
        <v>35619</v>
      </c>
      <c r="B18107" s="2" t="s">
        <v>35620</v>
      </c>
      <c r="C18107" s="2" t="s">
        <v>248</v>
      </c>
      <c r="D18107" s="2" t="s">
        <v>1133</v>
      </c>
      <c r="E18107" s="2" t="str">
        <f>"9783940755131"</f>
        <v>9783940755131</v>
      </c>
      <c r="F18107" s="2" t="str">
        <f>"9783863882884"</f>
        <v>9783863882884</v>
      </c>
    </row>
    <row r="18108" spans="1:6" s="3" customFormat="1" ht="29.1" customHeight="1" x14ac:dyDescent="0.25">
      <c r="A18108" s="2" t="s">
        <v>35621</v>
      </c>
      <c r="B18108" s="2" t="s">
        <v>35622</v>
      </c>
      <c r="C18108" s="2" t="s">
        <v>248</v>
      </c>
      <c r="D18108" s="2" t="s">
        <v>2671</v>
      </c>
      <c r="E18108" s="2" t="str">
        <f>"9783940755063"</f>
        <v>9783940755063</v>
      </c>
      <c r="F18108" s="2" t="str">
        <f>"9783863882877"</f>
        <v>9783863882877</v>
      </c>
    </row>
    <row r="18109" spans="1:6" s="3" customFormat="1" ht="29.1" customHeight="1" x14ac:dyDescent="0.25">
      <c r="A18109" s="2" t="s">
        <v>35623</v>
      </c>
      <c r="B18109" s="2" t="s">
        <v>35624</v>
      </c>
      <c r="C18109" s="2" t="s">
        <v>248</v>
      </c>
      <c r="D18109" s="2" t="s">
        <v>1162</v>
      </c>
      <c r="E18109" s="2" t="str">
        <f>"9783940755209"</f>
        <v>9783940755209</v>
      </c>
      <c r="F18109" s="2" t="str">
        <f>"9783863882860"</f>
        <v>9783863882860</v>
      </c>
    </row>
    <row r="18110" spans="1:6" s="3" customFormat="1" ht="29.1" customHeight="1" x14ac:dyDescent="0.25">
      <c r="A18110" s="2" t="s">
        <v>35625</v>
      </c>
      <c r="B18110" s="2" t="s">
        <v>35626</v>
      </c>
      <c r="C18110" s="2" t="s">
        <v>248</v>
      </c>
      <c r="D18110" s="2" t="s">
        <v>183</v>
      </c>
      <c r="E18110" s="2" t="str">
        <f>"9783940755124"</f>
        <v>9783940755124</v>
      </c>
      <c r="F18110" s="2" t="str">
        <f>"9783863882853"</f>
        <v>9783863882853</v>
      </c>
    </row>
    <row r="18111" spans="1:6" s="3" customFormat="1" ht="29.1" customHeight="1" x14ac:dyDescent="0.25">
      <c r="A18111" s="2" t="s">
        <v>35627</v>
      </c>
      <c r="B18111" s="2" t="s">
        <v>35628</v>
      </c>
      <c r="C18111" s="2" t="s">
        <v>248</v>
      </c>
      <c r="D18111" s="2" t="s">
        <v>15336</v>
      </c>
      <c r="E18111" s="2" t="str">
        <f>"9783940755780"</f>
        <v>9783940755780</v>
      </c>
      <c r="F18111" s="2" t="str">
        <f>"9783863882839"</f>
        <v>9783863882839</v>
      </c>
    </row>
    <row r="18112" spans="1:6" s="3" customFormat="1" ht="29.1" customHeight="1" x14ac:dyDescent="0.25">
      <c r="A18112" s="2" t="s">
        <v>35629</v>
      </c>
      <c r="B18112" s="2" t="s">
        <v>35630</v>
      </c>
      <c r="C18112" s="2" t="s">
        <v>248</v>
      </c>
      <c r="D18112" s="2" t="s">
        <v>490</v>
      </c>
      <c r="E18112" s="2" t="str">
        <f>"9783940755858"</f>
        <v>9783940755858</v>
      </c>
      <c r="F18112" s="2" t="str">
        <f>"9783863882822"</f>
        <v>9783863882822</v>
      </c>
    </row>
    <row r="18113" spans="1:6" s="3" customFormat="1" ht="29.1" customHeight="1" x14ac:dyDescent="0.25">
      <c r="A18113" s="2" t="s">
        <v>35631</v>
      </c>
      <c r="B18113" s="2" t="s">
        <v>35632</v>
      </c>
      <c r="C18113" s="2" t="s">
        <v>248</v>
      </c>
      <c r="D18113" s="2" t="s">
        <v>15336</v>
      </c>
      <c r="E18113" s="2" t="str">
        <f>"9783940755582"</f>
        <v>9783940755582</v>
      </c>
      <c r="F18113" s="2" t="str">
        <f>"9783863882815"</f>
        <v>9783863882815</v>
      </c>
    </row>
    <row r="18114" spans="1:6" s="3" customFormat="1" ht="29.1" customHeight="1" x14ac:dyDescent="0.25">
      <c r="A18114" s="2" t="s">
        <v>35631</v>
      </c>
      <c r="B18114" s="2" t="s">
        <v>35632</v>
      </c>
      <c r="C18114" s="2" t="s">
        <v>248</v>
      </c>
      <c r="D18114" s="2" t="s">
        <v>15336</v>
      </c>
      <c r="E18114" s="2" t="str">
        <f>"9783940755865"</f>
        <v>9783940755865</v>
      </c>
      <c r="F18114" s="2" t="str">
        <f>"9783863882808"</f>
        <v>9783863882808</v>
      </c>
    </row>
    <row r="18115" spans="1:6" s="3" customFormat="1" ht="29.1" customHeight="1" x14ac:dyDescent="0.25">
      <c r="A18115" s="2" t="s">
        <v>35633</v>
      </c>
      <c r="B18115" s="2" t="s">
        <v>35634</v>
      </c>
      <c r="C18115" s="2" t="s">
        <v>248</v>
      </c>
      <c r="D18115" s="2" t="s">
        <v>553</v>
      </c>
      <c r="E18115" s="2" t="str">
        <f>"9783863887148"</f>
        <v>9783863887148</v>
      </c>
      <c r="F18115" s="2" t="str">
        <f>"9783863882747"</f>
        <v>9783863882747</v>
      </c>
    </row>
    <row r="18116" spans="1:6" s="3" customFormat="1" ht="29.1" customHeight="1" x14ac:dyDescent="0.25">
      <c r="A18116" s="2" t="s">
        <v>35635</v>
      </c>
      <c r="B18116" s="2" t="s">
        <v>35636</v>
      </c>
      <c r="C18116" s="2" t="s">
        <v>248</v>
      </c>
      <c r="D18116" s="2" t="s">
        <v>998</v>
      </c>
      <c r="E18116" s="2" t="str">
        <f>"9783863887018"</f>
        <v>9783863887018</v>
      </c>
      <c r="F18116" s="2" t="str">
        <f>"9783863882679"</f>
        <v>9783863882679</v>
      </c>
    </row>
    <row r="18117" spans="1:6" s="3" customFormat="1" ht="29.1" customHeight="1" x14ac:dyDescent="0.25">
      <c r="A18117" s="2" t="s">
        <v>35637</v>
      </c>
      <c r="B18117" s="2" t="s">
        <v>35638</v>
      </c>
      <c r="C18117" s="2" t="s">
        <v>248</v>
      </c>
      <c r="D18117" s="2" t="s">
        <v>3214</v>
      </c>
      <c r="E18117" s="2" t="str">
        <f>"9783863887070"</f>
        <v>9783863887070</v>
      </c>
      <c r="F18117" s="2" t="str">
        <f>"9783863882648"</f>
        <v>9783863882648</v>
      </c>
    </row>
    <row r="18118" spans="1:6" s="3" customFormat="1" ht="29.1" customHeight="1" x14ac:dyDescent="0.25">
      <c r="A18118" s="2" t="s">
        <v>35639</v>
      </c>
      <c r="B18118" s="2" t="s">
        <v>35640</v>
      </c>
      <c r="C18118" s="2" t="s">
        <v>248</v>
      </c>
      <c r="D18118" s="2" t="s">
        <v>249</v>
      </c>
      <c r="E18118" s="2" t="str">
        <f>"9783863880866"</f>
        <v>9783863880866</v>
      </c>
      <c r="F18118" s="2" t="str">
        <f>"9783863882518"</f>
        <v>9783863882518</v>
      </c>
    </row>
    <row r="18119" spans="1:6" s="3" customFormat="1" ht="29.1" customHeight="1" x14ac:dyDescent="0.25">
      <c r="A18119" s="2" t="s">
        <v>35641</v>
      </c>
      <c r="B18119" s="2" t="s">
        <v>35642</v>
      </c>
      <c r="C18119" s="2" t="s">
        <v>248</v>
      </c>
      <c r="D18119" s="2" t="s">
        <v>2752</v>
      </c>
      <c r="E18119" s="2" t="str">
        <f>"9783863880736"</f>
        <v>9783863880736</v>
      </c>
      <c r="F18119" s="2" t="str">
        <f>"9783863882433"</f>
        <v>9783863882433</v>
      </c>
    </row>
    <row r="18120" spans="1:6" s="3" customFormat="1" ht="29.1" customHeight="1" x14ac:dyDescent="0.25">
      <c r="A18120" s="2" t="s">
        <v>35643</v>
      </c>
      <c r="B18120" s="2" t="s">
        <v>35644</v>
      </c>
      <c r="C18120" s="2" t="s">
        <v>248</v>
      </c>
      <c r="D18120" s="2" t="s">
        <v>249</v>
      </c>
      <c r="E18120" s="2" t="str">
        <f>"9783863880705"</f>
        <v>9783863880705</v>
      </c>
      <c r="F18120" s="2" t="str">
        <f>"9783863882426"</f>
        <v>9783863882426</v>
      </c>
    </row>
    <row r="18121" spans="1:6" s="3" customFormat="1" ht="29.1" customHeight="1" x14ac:dyDescent="0.25">
      <c r="A18121" s="2" t="s">
        <v>35645</v>
      </c>
      <c r="B18121" s="2" t="s">
        <v>35646</v>
      </c>
      <c r="C18121" s="2" t="s">
        <v>248</v>
      </c>
      <c r="D18121" s="2" t="s">
        <v>75</v>
      </c>
      <c r="E18121" s="2" t="str">
        <f>"9783863880576"</f>
        <v>9783863880576</v>
      </c>
      <c r="F18121" s="2" t="str">
        <f>"9783863882389"</f>
        <v>9783863882389</v>
      </c>
    </row>
    <row r="18122" spans="1:6" s="3" customFormat="1" ht="29.1" customHeight="1" x14ac:dyDescent="0.25">
      <c r="A18122" s="2" t="s">
        <v>35647</v>
      </c>
      <c r="B18122" s="2" t="s">
        <v>35648</v>
      </c>
      <c r="C18122" s="2" t="s">
        <v>248</v>
      </c>
      <c r="D18122" s="2" t="s">
        <v>183</v>
      </c>
      <c r="E18122" s="2" t="str">
        <f>"9783863880712"</f>
        <v>9783863880712</v>
      </c>
      <c r="F18122" s="2" t="str">
        <f>"9783863882365"</f>
        <v>9783863882365</v>
      </c>
    </row>
    <row r="18123" spans="1:6" s="3" customFormat="1" ht="29.1" customHeight="1" x14ac:dyDescent="0.25">
      <c r="A18123" s="2" t="s">
        <v>35649</v>
      </c>
      <c r="B18123" s="2" t="s">
        <v>35650</v>
      </c>
      <c r="C18123" s="2" t="s">
        <v>248</v>
      </c>
      <c r="D18123" s="2" t="s">
        <v>10725</v>
      </c>
      <c r="E18123" s="2" t="str">
        <f>"9783863880507"</f>
        <v>9783863880507</v>
      </c>
      <c r="F18123" s="2" t="str">
        <f>"9783863882297"</f>
        <v>9783863882297</v>
      </c>
    </row>
    <row r="18124" spans="1:6" s="3" customFormat="1" ht="29.1" customHeight="1" x14ac:dyDescent="0.25">
      <c r="A18124" s="2" t="s">
        <v>35651</v>
      </c>
      <c r="B18124" s="2" t="s">
        <v>35652</v>
      </c>
      <c r="C18124" s="2" t="s">
        <v>248</v>
      </c>
      <c r="D18124" s="2" t="s">
        <v>183</v>
      </c>
      <c r="E18124" s="2" t="str">
        <f>"9783863880545"</f>
        <v>9783863880545</v>
      </c>
      <c r="F18124" s="2" t="str">
        <f>"9783863882204"</f>
        <v>9783863882204</v>
      </c>
    </row>
    <row r="18125" spans="1:6" s="3" customFormat="1" ht="29.1" customHeight="1" x14ac:dyDescent="0.25">
      <c r="A18125" s="2" t="s">
        <v>35653</v>
      </c>
      <c r="B18125" s="2" t="s">
        <v>35654</v>
      </c>
      <c r="C18125" s="2" t="s">
        <v>248</v>
      </c>
      <c r="D18125" s="2" t="s">
        <v>3214</v>
      </c>
      <c r="E18125" s="2" t="str">
        <f>"9783863880552"</f>
        <v>9783863880552</v>
      </c>
      <c r="F18125" s="2" t="str">
        <f>"9783863882112"</f>
        <v>9783863882112</v>
      </c>
    </row>
    <row r="18126" spans="1:6" s="3" customFormat="1" ht="29.1" customHeight="1" x14ac:dyDescent="0.25">
      <c r="A18126" s="2" t="s">
        <v>35655</v>
      </c>
      <c r="B18126" s="2" t="s">
        <v>35656</v>
      </c>
      <c r="C18126" s="2" t="s">
        <v>248</v>
      </c>
      <c r="D18126" s="2" t="s">
        <v>21</v>
      </c>
      <c r="E18126" s="2" t="str">
        <f>"9783863880439"</f>
        <v>9783863880439</v>
      </c>
      <c r="F18126" s="2" t="str">
        <f>"9783863882105"</f>
        <v>9783863882105</v>
      </c>
    </row>
    <row r="18127" spans="1:6" s="3" customFormat="1" ht="29.1" customHeight="1" x14ac:dyDescent="0.25">
      <c r="A18127" s="2" t="s">
        <v>35657</v>
      </c>
      <c r="B18127" s="2" t="s">
        <v>35658</v>
      </c>
      <c r="C18127" s="2" t="s">
        <v>248</v>
      </c>
      <c r="D18127" s="2" t="s">
        <v>490</v>
      </c>
      <c r="E18127" s="2" t="str">
        <f>"9783863880071"</f>
        <v>9783863880071</v>
      </c>
      <c r="F18127" s="2" t="str">
        <f>"9783863881771"</f>
        <v>9783863881771</v>
      </c>
    </row>
    <row r="18128" spans="1:6" s="3" customFormat="1" ht="29.1" customHeight="1" x14ac:dyDescent="0.25">
      <c r="A18128" s="2" t="s">
        <v>35659</v>
      </c>
      <c r="B18128" s="2" t="s">
        <v>35660</v>
      </c>
      <c r="C18128" s="2" t="s">
        <v>248</v>
      </c>
      <c r="D18128" s="2" t="s">
        <v>490</v>
      </c>
      <c r="E18128" s="2" t="str">
        <f>"9783863880057"</f>
        <v>9783863880057</v>
      </c>
      <c r="F18128" s="2" t="str">
        <f>"9783863881719"</f>
        <v>9783863881719</v>
      </c>
    </row>
    <row r="18129" spans="1:6" s="3" customFormat="1" ht="29.1" customHeight="1" x14ac:dyDescent="0.25">
      <c r="A18129" s="2" t="s">
        <v>35661</v>
      </c>
      <c r="B18129" s="2" t="s">
        <v>35662</v>
      </c>
      <c r="C18129" s="2" t="s">
        <v>248</v>
      </c>
      <c r="D18129" s="2" t="s">
        <v>490</v>
      </c>
      <c r="E18129" s="2" t="str">
        <f>"9783863880064"</f>
        <v>9783863880064</v>
      </c>
      <c r="F18129" s="2" t="str">
        <f>"9783863881658"</f>
        <v>9783863881658</v>
      </c>
    </row>
    <row r="18130" spans="1:6" s="3" customFormat="1" ht="29.1" customHeight="1" x14ac:dyDescent="0.25">
      <c r="A18130" s="2" t="s">
        <v>35663</v>
      </c>
      <c r="B18130" s="2" t="s">
        <v>35664</v>
      </c>
      <c r="C18130" s="2" t="s">
        <v>248</v>
      </c>
      <c r="D18130" s="2" t="s">
        <v>183</v>
      </c>
      <c r="E18130" s="2" t="str">
        <f>"9783863880026"</f>
        <v>9783863880026</v>
      </c>
      <c r="F18130" s="2" t="str">
        <f>"9783863881597"</f>
        <v>9783863881597</v>
      </c>
    </row>
    <row r="18131" spans="1:6" s="3" customFormat="1" ht="29.1" customHeight="1" x14ac:dyDescent="0.25">
      <c r="A18131" s="2" t="s">
        <v>35665</v>
      </c>
      <c r="B18131" s="2" t="s">
        <v>35666</v>
      </c>
      <c r="C18131" s="2" t="s">
        <v>248</v>
      </c>
      <c r="D18131" s="2" t="s">
        <v>249</v>
      </c>
      <c r="E18131" s="2" t="str">
        <f>"9783940755438"</f>
        <v>9783940755438</v>
      </c>
      <c r="F18131" s="2" t="str">
        <f>"9783863881184"</f>
        <v>9783863881184</v>
      </c>
    </row>
    <row r="18132" spans="1:6" s="3" customFormat="1" ht="29.1" customHeight="1" x14ac:dyDescent="0.25">
      <c r="A18132" s="2" t="s">
        <v>35667</v>
      </c>
      <c r="B18132" s="2" t="s">
        <v>35668</v>
      </c>
      <c r="C18132" s="2" t="s">
        <v>248</v>
      </c>
      <c r="D18132" s="2" t="s">
        <v>249</v>
      </c>
      <c r="E18132" s="2" t="str">
        <f>"9783847422402"</f>
        <v>9783847422402</v>
      </c>
      <c r="F18132" s="2" t="str">
        <f>"9783847413400"</f>
        <v>9783847413400</v>
      </c>
    </row>
    <row r="18133" spans="1:6" s="3" customFormat="1" ht="29.1" customHeight="1" x14ac:dyDescent="0.25">
      <c r="A18133" s="2" t="s">
        <v>35669</v>
      </c>
      <c r="B18133" s="2" t="s">
        <v>35670</v>
      </c>
      <c r="C18133" s="2" t="s">
        <v>248</v>
      </c>
      <c r="D18133" s="2" t="s">
        <v>78</v>
      </c>
      <c r="E18133" s="2" t="str">
        <f>"9783847422228"</f>
        <v>9783847422228</v>
      </c>
      <c r="F18133" s="2" t="str">
        <f>"9783847412502"</f>
        <v>9783847412502</v>
      </c>
    </row>
    <row r="18134" spans="1:6" s="3" customFormat="1" ht="29.1" customHeight="1" x14ac:dyDescent="0.25">
      <c r="A18134" s="2" t="s">
        <v>35671</v>
      </c>
      <c r="B18134" s="2" t="s">
        <v>35672</v>
      </c>
      <c r="C18134" s="2" t="s">
        <v>248</v>
      </c>
      <c r="D18134" s="2" t="s">
        <v>2260</v>
      </c>
      <c r="E18134" s="2" t="str">
        <f>"9783847421993"</f>
        <v>9783847421993</v>
      </c>
      <c r="F18134" s="2" t="str">
        <f>"9783847412243"</f>
        <v>9783847412243</v>
      </c>
    </row>
    <row r="18135" spans="1:6" s="3" customFormat="1" ht="29.1" customHeight="1" x14ac:dyDescent="0.25">
      <c r="A18135" s="2" t="s">
        <v>35673</v>
      </c>
      <c r="B18135" s="2" t="s">
        <v>35674</v>
      </c>
      <c r="C18135" s="2" t="s">
        <v>248</v>
      </c>
      <c r="D18135" s="2" t="s">
        <v>9003</v>
      </c>
      <c r="E18135" s="2" t="str">
        <f>"9783847420477"</f>
        <v>9783847420477</v>
      </c>
      <c r="F18135" s="2" t="str">
        <f>"9783847410294"</f>
        <v>9783847410294</v>
      </c>
    </row>
    <row r="18136" spans="1:6" s="3" customFormat="1" ht="29.1" customHeight="1" x14ac:dyDescent="0.25">
      <c r="A18136" s="2" t="s">
        <v>35675</v>
      </c>
      <c r="B18136" s="2" t="s">
        <v>35676</v>
      </c>
      <c r="C18136" s="2" t="s">
        <v>248</v>
      </c>
      <c r="D18136" s="2" t="s">
        <v>1927</v>
      </c>
      <c r="E18136" s="2" t="str">
        <f>"9783866494886"</f>
        <v>9783866494886</v>
      </c>
      <c r="F18136" s="2" t="str">
        <f>"9783847409359"</f>
        <v>9783847409359</v>
      </c>
    </row>
    <row r="18137" spans="1:6" s="3" customFormat="1" ht="29.1" customHeight="1" x14ac:dyDescent="0.25">
      <c r="A18137" s="2" t="s">
        <v>35677</v>
      </c>
      <c r="B18137" s="2" t="s">
        <v>35678</v>
      </c>
      <c r="C18137" s="2" t="s">
        <v>248</v>
      </c>
      <c r="D18137" s="2" t="s">
        <v>855</v>
      </c>
      <c r="E18137" s="2" t="str">
        <f>"9783866493650"</f>
        <v>9783866493650</v>
      </c>
      <c r="F18137" s="2" t="str">
        <f>"9783847409342"</f>
        <v>9783847409342</v>
      </c>
    </row>
    <row r="18138" spans="1:6" s="3" customFormat="1" ht="29.1" customHeight="1" x14ac:dyDescent="0.25">
      <c r="A18138" s="2" t="s">
        <v>35679</v>
      </c>
      <c r="B18138" s="2" t="s">
        <v>35680</v>
      </c>
      <c r="C18138" s="2" t="s">
        <v>248</v>
      </c>
      <c r="D18138" s="2" t="s">
        <v>24</v>
      </c>
      <c r="E18138" s="2" t="str">
        <f>"9783847407539"</f>
        <v>9783847407539</v>
      </c>
      <c r="F18138" s="2" t="str">
        <f>"9783847409151"</f>
        <v>9783847409151</v>
      </c>
    </row>
    <row r="18139" spans="1:6" s="3" customFormat="1" ht="29.1" customHeight="1" x14ac:dyDescent="0.25">
      <c r="A18139" s="2" t="s">
        <v>35681</v>
      </c>
      <c r="B18139" s="2" t="s">
        <v>35682</v>
      </c>
      <c r="C18139" s="2" t="s">
        <v>248</v>
      </c>
      <c r="D18139" s="2" t="s">
        <v>3221</v>
      </c>
      <c r="E18139" s="2" t="str">
        <f>"9783847407898"</f>
        <v>9783847407898</v>
      </c>
      <c r="F18139" s="2" t="str">
        <f>"9783847409120"</f>
        <v>9783847409120</v>
      </c>
    </row>
    <row r="18140" spans="1:6" s="3" customFormat="1" ht="29.1" customHeight="1" x14ac:dyDescent="0.25">
      <c r="A18140" s="2" t="s">
        <v>35683</v>
      </c>
      <c r="B18140" s="2" t="s">
        <v>35684</v>
      </c>
      <c r="C18140" s="2" t="s">
        <v>248</v>
      </c>
      <c r="D18140" s="2" t="s">
        <v>490</v>
      </c>
      <c r="E18140" s="2" t="str">
        <f>"9783847407881"</f>
        <v>9783847407881</v>
      </c>
      <c r="F18140" s="2" t="str">
        <f>"9783847409113"</f>
        <v>9783847409113</v>
      </c>
    </row>
    <row r="18141" spans="1:6" s="3" customFormat="1" ht="29.1" customHeight="1" x14ac:dyDescent="0.25">
      <c r="A18141" s="2" t="s">
        <v>35685</v>
      </c>
      <c r="B18141" s="2" t="s">
        <v>35686</v>
      </c>
      <c r="C18141" s="2" t="s">
        <v>248</v>
      </c>
      <c r="D18141" s="2" t="s">
        <v>855</v>
      </c>
      <c r="E18141" s="2" t="str">
        <f>"9783847406631"</f>
        <v>9783847406631</v>
      </c>
      <c r="F18141" s="2" t="str">
        <f>"9783847408093"</f>
        <v>9783847408093</v>
      </c>
    </row>
    <row r="18142" spans="1:6" s="3" customFormat="1" ht="29.1" customHeight="1" x14ac:dyDescent="0.25">
      <c r="A18142" s="2" t="s">
        <v>35687</v>
      </c>
      <c r="B18142" s="2" t="s">
        <v>35688</v>
      </c>
      <c r="C18142" s="2" t="s">
        <v>248</v>
      </c>
      <c r="D18142" s="2" t="s">
        <v>249</v>
      </c>
      <c r="E18142" s="2" t="str">
        <f>"9783847401544"</f>
        <v>9783847401544</v>
      </c>
      <c r="F18142" s="2" t="str">
        <f>"9783847404699"</f>
        <v>9783847404699</v>
      </c>
    </row>
    <row r="18143" spans="1:6" s="3" customFormat="1" ht="29.1" customHeight="1" x14ac:dyDescent="0.25">
      <c r="A18143" s="2" t="s">
        <v>35689</v>
      </c>
      <c r="B18143" s="2" t="s">
        <v>35690</v>
      </c>
      <c r="C18143" s="2" t="s">
        <v>248</v>
      </c>
      <c r="D18143" s="2" t="s">
        <v>75</v>
      </c>
      <c r="E18143" s="2" t="str">
        <f>"9783847401681"</f>
        <v>9783847401681</v>
      </c>
      <c r="F18143" s="2" t="str">
        <f>"9783847404408"</f>
        <v>9783847404408</v>
      </c>
    </row>
    <row r="18144" spans="1:6" s="3" customFormat="1" ht="29.1" customHeight="1" x14ac:dyDescent="0.25">
      <c r="A18144" s="2" t="s">
        <v>35691</v>
      </c>
      <c r="B18144" s="2" t="s">
        <v>35692</v>
      </c>
      <c r="C18144" s="2" t="s">
        <v>248</v>
      </c>
      <c r="D18144" s="2" t="s">
        <v>1895</v>
      </c>
      <c r="E18144" s="2" t="str">
        <f>"9783847401902"</f>
        <v>9783847401902</v>
      </c>
      <c r="F18144" s="2" t="str">
        <f>"9783847404156"</f>
        <v>9783847404156</v>
      </c>
    </row>
    <row r="18145" spans="1:6" s="3" customFormat="1" ht="29.1" customHeight="1" x14ac:dyDescent="0.25">
      <c r="A18145" s="2" t="s">
        <v>35693</v>
      </c>
      <c r="B18145" s="2" t="s">
        <v>35694</v>
      </c>
      <c r="C18145" s="2" t="s">
        <v>248</v>
      </c>
      <c r="D18145" s="2" t="s">
        <v>78</v>
      </c>
      <c r="E18145" s="2" t="str">
        <f>"9783847401124"</f>
        <v>9783847401124</v>
      </c>
      <c r="F18145" s="2" t="str">
        <f>"9783847403692"</f>
        <v>9783847403692</v>
      </c>
    </row>
    <row r="18146" spans="1:6" s="3" customFormat="1" ht="29.1" customHeight="1" x14ac:dyDescent="0.25">
      <c r="A18146" s="2" t="s">
        <v>35695</v>
      </c>
      <c r="B18146" s="2" t="s">
        <v>35696</v>
      </c>
      <c r="C18146" s="2" t="s">
        <v>248</v>
      </c>
      <c r="D18146" s="2" t="s">
        <v>24</v>
      </c>
      <c r="E18146" s="2" t="str">
        <f>"9783866494817"</f>
        <v>9783866494817</v>
      </c>
      <c r="F18146" s="2" t="str">
        <f>"9783847403562"</f>
        <v>9783847403562</v>
      </c>
    </row>
    <row r="18147" spans="1:6" s="3" customFormat="1" ht="29.1" customHeight="1" x14ac:dyDescent="0.25">
      <c r="A18147" s="2" t="s">
        <v>35697</v>
      </c>
      <c r="B18147" s="2" t="s">
        <v>35698</v>
      </c>
      <c r="C18147" s="2" t="s">
        <v>248</v>
      </c>
      <c r="D18147" s="2" t="s">
        <v>249</v>
      </c>
      <c r="E18147" s="2" t="str">
        <f>"9783938094686"</f>
        <v>9783938094686</v>
      </c>
      <c r="F18147" s="2" t="str">
        <f>"9783847403371"</f>
        <v>9783847403371</v>
      </c>
    </row>
    <row r="18148" spans="1:6" s="3" customFormat="1" ht="29.1" customHeight="1" x14ac:dyDescent="0.25">
      <c r="A18148" s="2" t="s">
        <v>35699</v>
      </c>
      <c r="B18148" s="2" t="s">
        <v>35700</v>
      </c>
      <c r="C18148" s="2" t="s">
        <v>248</v>
      </c>
      <c r="D18148" s="2" t="s">
        <v>75</v>
      </c>
      <c r="E18148" s="2" t="str">
        <f>"9783866494640"</f>
        <v>9783866494640</v>
      </c>
      <c r="F18148" s="2" t="str">
        <f>"9783847403333"</f>
        <v>9783847403333</v>
      </c>
    </row>
    <row r="18149" spans="1:6" s="3" customFormat="1" ht="29.1" customHeight="1" x14ac:dyDescent="0.25">
      <c r="A18149" s="2" t="s">
        <v>35701</v>
      </c>
      <c r="B18149" s="2" t="s">
        <v>35702</v>
      </c>
      <c r="C18149" s="2" t="s">
        <v>248</v>
      </c>
      <c r="D18149" s="2" t="s">
        <v>596</v>
      </c>
      <c r="E18149" s="2" t="str">
        <f>"9783847400530"</f>
        <v>9783847400530</v>
      </c>
      <c r="F18149" s="2" t="str">
        <f>"9783847403098"</f>
        <v>9783847403098</v>
      </c>
    </row>
    <row r="18150" spans="1:6" s="3" customFormat="1" ht="29.1" customHeight="1" x14ac:dyDescent="0.25">
      <c r="A18150" s="2" t="s">
        <v>35703</v>
      </c>
      <c r="B18150" s="2" t="s">
        <v>35704</v>
      </c>
      <c r="C18150" s="2" t="s">
        <v>248</v>
      </c>
      <c r="D18150" s="2" t="s">
        <v>32371</v>
      </c>
      <c r="E18150" s="2" t="str">
        <f>"9783847400509"</f>
        <v>9783847400509</v>
      </c>
      <c r="F18150" s="2" t="str">
        <f>"9783847403036"</f>
        <v>9783847403036</v>
      </c>
    </row>
    <row r="18151" spans="1:6" s="3" customFormat="1" ht="29.1" customHeight="1" x14ac:dyDescent="0.25">
      <c r="A18151" s="2" t="s">
        <v>35705</v>
      </c>
      <c r="B18151" s="2" t="s">
        <v>35706</v>
      </c>
      <c r="C18151" s="2" t="s">
        <v>248</v>
      </c>
      <c r="D18151" s="2" t="s">
        <v>2139</v>
      </c>
      <c r="E18151" s="2" t="str">
        <f>"9783847406068"</f>
        <v>9783847406068</v>
      </c>
      <c r="F18151" s="2" t="str">
        <f>"9783847402886"</f>
        <v>9783847402886</v>
      </c>
    </row>
    <row r="18152" spans="1:6" s="3" customFormat="1" ht="29.1" customHeight="1" x14ac:dyDescent="0.25">
      <c r="A18152" s="2" t="s">
        <v>35707</v>
      </c>
      <c r="B18152" s="2" t="s">
        <v>35708</v>
      </c>
      <c r="C18152" s="2" t="s">
        <v>248</v>
      </c>
      <c r="D18152" s="2" t="s">
        <v>32371</v>
      </c>
      <c r="E18152" s="2" t="str">
        <f>"9783847401827"</f>
        <v>9783847401827</v>
      </c>
      <c r="F18152" s="2" t="str">
        <f>"9783847402879"</f>
        <v>9783847402879</v>
      </c>
    </row>
    <row r="18153" spans="1:6" s="3" customFormat="1" ht="29.1" customHeight="1" x14ac:dyDescent="0.25">
      <c r="A18153" s="2" t="s">
        <v>35709</v>
      </c>
      <c r="B18153" s="2" t="s">
        <v>35710</v>
      </c>
      <c r="C18153" s="2" t="s">
        <v>248</v>
      </c>
      <c r="D18153" s="2" t="s">
        <v>553</v>
      </c>
      <c r="E18153" s="2" t="str">
        <f>"9783847406020"</f>
        <v>9783847406020</v>
      </c>
      <c r="F18153" s="2" t="str">
        <f>"9783847402831"</f>
        <v>9783847402831</v>
      </c>
    </row>
    <row r="18154" spans="1:6" s="3" customFormat="1" ht="29.1" customHeight="1" x14ac:dyDescent="0.25">
      <c r="A18154" s="2" t="s">
        <v>35711</v>
      </c>
      <c r="B18154" s="2" t="s">
        <v>35712</v>
      </c>
      <c r="C18154" s="2" t="s">
        <v>248</v>
      </c>
      <c r="D18154" s="2" t="s">
        <v>26483</v>
      </c>
      <c r="E18154" s="2" t="str">
        <f>"9783847406235"</f>
        <v>9783847406235</v>
      </c>
      <c r="F18154" s="2" t="str">
        <f>"9783847402718"</f>
        <v>9783847402718</v>
      </c>
    </row>
    <row r="18155" spans="1:6" s="3" customFormat="1" ht="29.1" customHeight="1" x14ac:dyDescent="0.25">
      <c r="A18155" s="2" t="s">
        <v>35713</v>
      </c>
      <c r="B18155" s="2" t="s">
        <v>35714</v>
      </c>
      <c r="C18155" s="2" t="s">
        <v>248</v>
      </c>
      <c r="D18155" s="2" t="s">
        <v>4214</v>
      </c>
      <c r="E18155" s="2" t="str">
        <f>"9783847406327"</f>
        <v>9783847406327</v>
      </c>
      <c r="F18155" s="2" t="str">
        <f>"9783847402589"</f>
        <v>9783847402589</v>
      </c>
    </row>
    <row r="18156" spans="1:6" s="3" customFormat="1" ht="29.1" customHeight="1" x14ac:dyDescent="0.25">
      <c r="A18156" s="2" t="s">
        <v>35715</v>
      </c>
      <c r="B18156" s="2" t="s">
        <v>35717</v>
      </c>
      <c r="C18156" s="2" t="s">
        <v>248</v>
      </c>
      <c r="D18156" s="2" t="s">
        <v>35716</v>
      </c>
      <c r="E18156" s="2" t="str">
        <f>"9783847406365"</f>
        <v>9783847406365</v>
      </c>
      <c r="F18156" s="2" t="str">
        <f>"9783847402572"</f>
        <v>9783847402572</v>
      </c>
    </row>
    <row r="18157" spans="1:6" s="3" customFormat="1" ht="29.1" customHeight="1" x14ac:dyDescent="0.25">
      <c r="A18157" s="2" t="s">
        <v>35718</v>
      </c>
      <c r="B18157" s="2" t="s">
        <v>35719</v>
      </c>
      <c r="C18157" s="2" t="s">
        <v>248</v>
      </c>
      <c r="D18157" s="2" t="s">
        <v>490</v>
      </c>
      <c r="E18157" s="2" t="str">
        <f>"9783847425526"</f>
        <v>9783847425526</v>
      </c>
      <c r="F18157" s="2" t="str">
        <f>"9783847416999"</f>
        <v>9783847416999</v>
      </c>
    </row>
    <row r="18158" spans="1:6" s="3" customFormat="1" ht="29.1" customHeight="1" x14ac:dyDescent="0.25">
      <c r="A18158" s="2" t="s">
        <v>35720</v>
      </c>
      <c r="B18158" s="2" t="s">
        <v>35721</v>
      </c>
      <c r="C18158" s="2" t="s">
        <v>248</v>
      </c>
      <c r="D18158" s="2" t="s">
        <v>249</v>
      </c>
      <c r="E18158" s="2" t="str">
        <f>"9783847424796"</f>
        <v>9783847424796</v>
      </c>
      <c r="F18158" s="2" t="str">
        <f>"9783847416234"</f>
        <v>9783847416234</v>
      </c>
    </row>
    <row r="18159" spans="1:6" s="3" customFormat="1" ht="29.1" customHeight="1" x14ac:dyDescent="0.25">
      <c r="A18159" s="2" t="s">
        <v>35722</v>
      </c>
      <c r="B18159" s="2" t="s">
        <v>35723</v>
      </c>
      <c r="C18159" s="2" t="s">
        <v>248</v>
      </c>
      <c r="D18159" s="2" t="s">
        <v>6669</v>
      </c>
      <c r="E18159" s="2" t="str">
        <f>"9783847425465"</f>
        <v>9783847425465</v>
      </c>
      <c r="F18159" s="2" t="str">
        <f>"9783847416920"</f>
        <v>9783847416920</v>
      </c>
    </row>
    <row r="18160" spans="1:6" s="3" customFormat="1" ht="29.1" customHeight="1" x14ac:dyDescent="0.25">
      <c r="A18160" s="2" t="s">
        <v>35724</v>
      </c>
      <c r="B18160" s="2" t="s">
        <v>35725</v>
      </c>
      <c r="C18160" s="2" t="s">
        <v>248</v>
      </c>
      <c r="D18160" s="2" t="s">
        <v>490</v>
      </c>
      <c r="E18160" s="2" t="str">
        <f>"9783847424857"</f>
        <v>9783847424857</v>
      </c>
      <c r="F18160" s="2" t="str">
        <f>"9783847416296"</f>
        <v>9783847416296</v>
      </c>
    </row>
    <row r="18161" spans="1:6" s="3" customFormat="1" ht="29.1" customHeight="1" x14ac:dyDescent="0.25">
      <c r="A18161" s="2" t="s">
        <v>35726</v>
      </c>
      <c r="B18161" s="2" t="s">
        <v>35727</v>
      </c>
      <c r="C18161" s="2" t="s">
        <v>248</v>
      </c>
      <c r="D18161" s="2" t="s">
        <v>92</v>
      </c>
      <c r="E18161" s="2" t="str">
        <f>"9783847424543"</f>
        <v>9783847424543</v>
      </c>
      <c r="F18161" s="2" t="str">
        <f>"9783847417330"</f>
        <v>9783847417330</v>
      </c>
    </row>
    <row r="18162" spans="1:6" s="3" customFormat="1" ht="29.1" customHeight="1" x14ac:dyDescent="0.25">
      <c r="A18162" s="2" t="s">
        <v>35728</v>
      </c>
      <c r="B18162" s="2" t="s">
        <v>35729</v>
      </c>
      <c r="C18162" s="2" t="s">
        <v>248</v>
      </c>
      <c r="D18162" s="2" t="s">
        <v>9</v>
      </c>
      <c r="E18162" s="2" t="str">
        <f>"9783847425298"</f>
        <v>9783847425298</v>
      </c>
      <c r="F18162" s="2" t="str">
        <f>"9783847416760"</f>
        <v>9783847416760</v>
      </c>
    </row>
    <row r="18163" spans="1:6" s="3" customFormat="1" ht="29.1" customHeight="1" x14ac:dyDescent="0.25">
      <c r="A18163" s="2" t="s">
        <v>35730</v>
      </c>
      <c r="B18163" s="2" t="s">
        <v>35731</v>
      </c>
      <c r="C18163" s="2" t="s">
        <v>248</v>
      </c>
      <c r="D18163" s="2" t="s">
        <v>1025</v>
      </c>
      <c r="E18163" s="2" t="str">
        <f>"9783966650298"</f>
        <v>9783966650298</v>
      </c>
      <c r="F18163" s="2" t="str">
        <f>"9783966659994"</f>
        <v>9783966659994</v>
      </c>
    </row>
    <row r="18164" spans="1:6" s="3" customFormat="1" ht="29.1" customHeight="1" x14ac:dyDescent="0.25">
      <c r="A18164" s="2" t="s">
        <v>35732</v>
      </c>
      <c r="B18164" s="2" t="s">
        <v>35733</v>
      </c>
      <c r="C18164" s="2" t="s">
        <v>248</v>
      </c>
      <c r="D18164" s="2" t="s">
        <v>490</v>
      </c>
      <c r="E18164" s="2" t="str">
        <f>"9783966650359"</f>
        <v>9783966650359</v>
      </c>
      <c r="F18164" s="2" t="str">
        <f>"9783966659659"</f>
        <v>9783966659659</v>
      </c>
    </row>
    <row r="18165" spans="1:6" s="3" customFormat="1" ht="29.1" customHeight="1" x14ac:dyDescent="0.25">
      <c r="A18165" s="2" t="s">
        <v>35734</v>
      </c>
      <c r="B18165" s="2" t="s">
        <v>35735</v>
      </c>
      <c r="C18165" s="2" t="s">
        <v>248</v>
      </c>
      <c r="D18165" s="2" t="s">
        <v>5806</v>
      </c>
      <c r="E18165" s="2" t="str">
        <f>"9783966650342"</f>
        <v>9783966650342</v>
      </c>
      <c r="F18165" s="2" t="str">
        <f>"9783966659666"</f>
        <v>9783966659666</v>
      </c>
    </row>
    <row r="18166" spans="1:6" s="3" customFormat="1" ht="29.1" customHeight="1" x14ac:dyDescent="0.25">
      <c r="A18166" s="2" t="s">
        <v>35736</v>
      </c>
      <c r="B18166" s="2" t="s">
        <v>35737</v>
      </c>
      <c r="C18166" s="2" t="s">
        <v>248</v>
      </c>
      <c r="D18166" s="2" t="s">
        <v>72</v>
      </c>
      <c r="E18166" s="2" t="str">
        <f>"9783966650281"</f>
        <v>9783966650281</v>
      </c>
      <c r="F18166" s="2" t="str">
        <f>"9783966659987"</f>
        <v>9783966659987</v>
      </c>
    </row>
    <row r="18167" spans="1:6" s="3" customFormat="1" ht="29.1" customHeight="1" x14ac:dyDescent="0.25">
      <c r="A18167" s="2" t="s">
        <v>35738</v>
      </c>
      <c r="B18167" s="2" t="s">
        <v>35739</v>
      </c>
      <c r="C18167" s="2" t="s">
        <v>248</v>
      </c>
      <c r="D18167" s="2" t="s">
        <v>1927</v>
      </c>
      <c r="E18167" s="2" t="str">
        <f>"9783847423911"</f>
        <v>9783847423911</v>
      </c>
      <c r="F18167" s="2" t="str">
        <f>"9783847415787"</f>
        <v>9783847415787</v>
      </c>
    </row>
    <row r="18168" spans="1:6" s="3" customFormat="1" ht="29.1" customHeight="1" x14ac:dyDescent="0.25">
      <c r="A18168" s="2" t="s">
        <v>35740</v>
      </c>
      <c r="B18168" s="2" t="s">
        <v>35741</v>
      </c>
      <c r="C18168" s="2" t="s">
        <v>248</v>
      </c>
      <c r="D18168" s="2" t="s">
        <v>37</v>
      </c>
      <c r="E18168" s="2" t="str">
        <f>"9783847422990"</f>
        <v>9783847422990</v>
      </c>
      <c r="F18168" s="2" t="str">
        <f>"9783847416609"</f>
        <v>9783847416609</v>
      </c>
    </row>
    <row r="18169" spans="1:6" s="3" customFormat="1" ht="29.1" customHeight="1" x14ac:dyDescent="0.25">
      <c r="A18169" s="2" t="s">
        <v>35742</v>
      </c>
      <c r="B18169" s="2" t="s">
        <v>35743</v>
      </c>
      <c r="C18169" s="2" t="s">
        <v>248</v>
      </c>
      <c r="D18169" s="2" t="s">
        <v>2752</v>
      </c>
      <c r="E18169" s="2" t="str">
        <f>"9783847424468"</f>
        <v>9783847424468</v>
      </c>
      <c r="F18169" s="2" t="str">
        <f>"9783847415770"</f>
        <v>9783847415770</v>
      </c>
    </row>
    <row r="18170" spans="1:6" s="3" customFormat="1" ht="29.1" customHeight="1" x14ac:dyDescent="0.25">
      <c r="A18170" s="2" t="s">
        <v>35744</v>
      </c>
      <c r="B18170" s="2" t="s">
        <v>35723</v>
      </c>
      <c r="C18170" s="2" t="s">
        <v>248</v>
      </c>
      <c r="D18170" s="2" t="s">
        <v>6669</v>
      </c>
      <c r="E18170" s="2"/>
      <c r="F18170" s="2" t="str">
        <f>"9783847416951"</f>
        <v>9783847416951</v>
      </c>
    </row>
    <row r="18171" spans="1:6" s="3" customFormat="1" ht="29.1" customHeight="1" x14ac:dyDescent="0.25">
      <c r="A18171" s="2" t="s">
        <v>35745</v>
      </c>
      <c r="B18171" s="2" t="s">
        <v>35746</v>
      </c>
      <c r="C18171" s="2" t="s">
        <v>248</v>
      </c>
      <c r="D18171" s="2" t="s">
        <v>5794</v>
      </c>
      <c r="E18171" s="2" t="str">
        <f>"9783847424550"</f>
        <v>9783847424550</v>
      </c>
      <c r="F18171" s="2" t="str">
        <f>"9783847416623"</f>
        <v>9783847416623</v>
      </c>
    </row>
    <row r="18172" spans="1:6" s="3" customFormat="1" ht="29.1" customHeight="1" x14ac:dyDescent="0.25">
      <c r="A18172" s="2" t="s">
        <v>35747</v>
      </c>
      <c r="B18172" s="2" t="s">
        <v>35748</v>
      </c>
      <c r="C18172" s="2" t="s">
        <v>248</v>
      </c>
      <c r="D18172" s="2" t="s">
        <v>4016</v>
      </c>
      <c r="E18172" s="2" t="str">
        <f>"9783847424956"</f>
        <v>9783847424956</v>
      </c>
      <c r="F18172" s="2" t="str">
        <f>"9783847416395"</f>
        <v>9783847416395</v>
      </c>
    </row>
    <row r="18173" spans="1:6" s="3" customFormat="1" ht="29.1" customHeight="1" x14ac:dyDescent="0.25">
      <c r="A18173" s="2" t="s">
        <v>35749</v>
      </c>
      <c r="B18173" s="2" t="s">
        <v>35750</v>
      </c>
      <c r="C18173" s="2" t="s">
        <v>248</v>
      </c>
      <c r="D18173" s="2" t="s">
        <v>5724</v>
      </c>
      <c r="E18173" s="2" t="str">
        <f>"9783966650243"</f>
        <v>9783966650243</v>
      </c>
      <c r="F18173" s="2" t="str">
        <f>"9783966659949"</f>
        <v>9783966659949</v>
      </c>
    </row>
    <row r="18174" spans="1:6" s="3" customFormat="1" ht="29.1" customHeight="1" x14ac:dyDescent="0.25">
      <c r="A18174" s="2" t="s">
        <v>35751</v>
      </c>
      <c r="B18174" s="2" t="s">
        <v>35752</v>
      </c>
      <c r="C18174" s="2" t="s">
        <v>248</v>
      </c>
      <c r="D18174" s="2" t="s">
        <v>183</v>
      </c>
      <c r="E18174" s="2" t="str">
        <f>"9783966650199"</f>
        <v>9783966650199</v>
      </c>
      <c r="F18174" s="2" t="str">
        <f>"9783966659710"</f>
        <v>9783966659710</v>
      </c>
    </row>
    <row r="18175" spans="1:6" s="3" customFormat="1" ht="29.1" customHeight="1" x14ac:dyDescent="0.25">
      <c r="A18175" s="2" t="s">
        <v>35753</v>
      </c>
      <c r="B18175" s="2" t="s">
        <v>35754</v>
      </c>
      <c r="C18175" s="2" t="s">
        <v>248</v>
      </c>
      <c r="D18175" s="2" t="s">
        <v>21</v>
      </c>
      <c r="E18175" s="2" t="str">
        <f>"9783847424321"</f>
        <v>9783847424321</v>
      </c>
      <c r="F18175" s="2" t="str">
        <f>"9783847413356"</f>
        <v>9783847413356</v>
      </c>
    </row>
    <row r="18176" spans="1:6" s="3" customFormat="1" ht="29.1" customHeight="1" x14ac:dyDescent="0.25">
      <c r="A18176" s="2" t="s">
        <v>35755</v>
      </c>
      <c r="B18176" s="2" t="s">
        <v>35756</v>
      </c>
      <c r="C18176" s="2" t="s">
        <v>248</v>
      </c>
      <c r="D18176" s="2" t="s">
        <v>2045</v>
      </c>
      <c r="E18176" s="2" t="str">
        <f>"9783847424697"</f>
        <v>9783847424697</v>
      </c>
      <c r="F18176" s="2" t="str">
        <f>"9783847416166"</f>
        <v>9783847416166</v>
      </c>
    </row>
    <row r="18177" spans="1:6" s="3" customFormat="1" ht="29.1" customHeight="1" x14ac:dyDescent="0.25">
      <c r="A18177" s="2" t="s">
        <v>35757</v>
      </c>
      <c r="B18177" s="2" t="s">
        <v>35758</v>
      </c>
      <c r="C18177" s="2" t="s">
        <v>248</v>
      </c>
      <c r="D18177" s="2" t="s">
        <v>24</v>
      </c>
      <c r="E18177" s="2" t="str">
        <f>"9783847424239"</f>
        <v>9783847424239</v>
      </c>
      <c r="F18177" s="2" t="str">
        <f>"9783847415596"</f>
        <v>9783847415596</v>
      </c>
    </row>
    <row r="18178" spans="1:6" s="3" customFormat="1" ht="29.1" customHeight="1" x14ac:dyDescent="0.25">
      <c r="A18178" s="2" t="s">
        <v>35759</v>
      </c>
      <c r="B18178" s="2" t="s">
        <v>35760</v>
      </c>
      <c r="C18178" s="2" t="s">
        <v>248</v>
      </c>
      <c r="D18178" s="2" t="s">
        <v>855</v>
      </c>
      <c r="E18178" s="2" t="str">
        <f>"9783966650083"</f>
        <v>9783966650083</v>
      </c>
      <c r="F18178" s="2" t="str">
        <f>"9783966659826"</f>
        <v>9783966659826</v>
      </c>
    </row>
    <row r="18179" spans="1:6" s="3" customFormat="1" ht="29.1" customHeight="1" x14ac:dyDescent="0.25">
      <c r="A18179" s="2" t="s">
        <v>35761</v>
      </c>
      <c r="B18179" s="2" t="s">
        <v>35763</v>
      </c>
      <c r="C18179" s="2" t="s">
        <v>248</v>
      </c>
      <c r="D18179" s="2" t="s">
        <v>35762</v>
      </c>
      <c r="E18179" s="2" t="str">
        <f>"9783847424314"</f>
        <v>9783847424314</v>
      </c>
      <c r="F18179" s="2" t="str">
        <f>"9783847415695"</f>
        <v>9783847415695</v>
      </c>
    </row>
    <row r="18180" spans="1:6" s="3" customFormat="1" ht="29.1" customHeight="1" x14ac:dyDescent="0.25">
      <c r="A18180" s="2" t="s">
        <v>35764</v>
      </c>
      <c r="B18180" s="2" t="s">
        <v>35765</v>
      </c>
      <c r="C18180" s="2" t="s">
        <v>248</v>
      </c>
      <c r="D18180" s="2" t="s">
        <v>7079</v>
      </c>
      <c r="E18180" s="2" t="str">
        <f>"9783847423973"</f>
        <v>9783847423973</v>
      </c>
      <c r="F18180" s="2" t="str">
        <f>"9783847415206"</f>
        <v>9783847415206</v>
      </c>
    </row>
    <row r="18181" spans="1:6" s="3" customFormat="1" ht="29.1" customHeight="1" x14ac:dyDescent="0.25">
      <c r="A18181" s="2" t="s">
        <v>35766</v>
      </c>
      <c r="B18181" s="2" t="s">
        <v>35767</v>
      </c>
      <c r="C18181" s="2" t="s">
        <v>248</v>
      </c>
      <c r="D18181" s="2" t="s">
        <v>2361</v>
      </c>
      <c r="E18181" s="2" t="str">
        <f>"9783966650120"</f>
        <v>9783966650120</v>
      </c>
      <c r="F18181" s="2" t="str">
        <f>"9783966659871"</f>
        <v>9783966659871</v>
      </c>
    </row>
    <row r="18182" spans="1:6" s="3" customFormat="1" ht="29.1" customHeight="1" x14ac:dyDescent="0.25">
      <c r="A18182" s="2" t="s">
        <v>35768</v>
      </c>
      <c r="B18182" s="2" t="s">
        <v>35769</v>
      </c>
      <c r="C18182" s="2" t="s">
        <v>248</v>
      </c>
      <c r="D18182" s="2" t="s">
        <v>4045</v>
      </c>
      <c r="E18182" s="2"/>
      <c r="F18182" s="2" t="str">
        <f>"9783966659895"</f>
        <v>9783966659895</v>
      </c>
    </row>
    <row r="18183" spans="1:6" s="3" customFormat="1" ht="29.1" customHeight="1" x14ac:dyDescent="0.25">
      <c r="A18183" s="2" t="s">
        <v>35770</v>
      </c>
      <c r="B18183" s="2" t="s">
        <v>35771</v>
      </c>
      <c r="C18183" s="2" t="s">
        <v>248</v>
      </c>
      <c r="D18183" s="2" t="s">
        <v>1237</v>
      </c>
      <c r="E18183" s="2" t="str">
        <f>"9783847423782"</f>
        <v>9783847423782</v>
      </c>
      <c r="F18183" s="2" t="str">
        <f>"9783847415213"</f>
        <v>9783847415213</v>
      </c>
    </row>
    <row r="18184" spans="1:6" s="3" customFormat="1" ht="29.1" customHeight="1" x14ac:dyDescent="0.25">
      <c r="A18184" s="2" t="s">
        <v>35772</v>
      </c>
      <c r="B18184" s="2" t="s">
        <v>35773</v>
      </c>
      <c r="C18184" s="2" t="s">
        <v>248</v>
      </c>
      <c r="D18184" s="2" t="s">
        <v>855</v>
      </c>
      <c r="E18184" s="2" t="str">
        <f>"9783863888183"</f>
        <v>9783863888183</v>
      </c>
      <c r="F18184" s="2" t="str">
        <f>"9783863884482"</f>
        <v>9783863884482</v>
      </c>
    </row>
    <row r="18185" spans="1:6" s="3" customFormat="1" ht="29.1" customHeight="1" x14ac:dyDescent="0.25">
      <c r="A18185" s="2" t="s">
        <v>35774</v>
      </c>
      <c r="B18185" s="2" t="s">
        <v>35775</v>
      </c>
      <c r="C18185" s="2" t="s">
        <v>248</v>
      </c>
      <c r="D18185" s="2" t="s">
        <v>72</v>
      </c>
      <c r="E18185" s="2" t="str">
        <f>"9783847423003"</f>
        <v>9783847423003</v>
      </c>
      <c r="F18185" s="2" t="str">
        <f>"9783847415336"</f>
        <v>9783847415336</v>
      </c>
    </row>
    <row r="18186" spans="1:6" s="3" customFormat="1" ht="29.1" customHeight="1" x14ac:dyDescent="0.25">
      <c r="A18186" s="2" t="s">
        <v>35776</v>
      </c>
      <c r="B18186" s="2" t="s">
        <v>35777</v>
      </c>
      <c r="C18186" s="2" t="s">
        <v>248</v>
      </c>
      <c r="D18186" s="2" t="s">
        <v>1560</v>
      </c>
      <c r="E18186" s="2" t="str">
        <f>"9783847423621"</f>
        <v>9783847423621</v>
      </c>
      <c r="F18186" s="2" t="str">
        <f>"9783847414902"</f>
        <v>9783847414902</v>
      </c>
    </row>
    <row r="18187" spans="1:6" s="3" customFormat="1" ht="29.1" customHeight="1" x14ac:dyDescent="0.25">
      <c r="A18187" s="2" t="s">
        <v>35778</v>
      </c>
      <c r="B18187" s="2" t="s">
        <v>35779</v>
      </c>
      <c r="C18187" s="2" t="s">
        <v>248</v>
      </c>
      <c r="D18187" s="2" t="s">
        <v>490</v>
      </c>
      <c r="E18187" s="2" t="str">
        <f>"9783847423256"</f>
        <v>9783847423256</v>
      </c>
      <c r="F18187" s="2" t="str">
        <f>"9783847414674"</f>
        <v>9783847414674</v>
      </c>
    </row>
    <row r="18188" spans="1:6" s="3" customFormat="1" ht="29.1" customHeight="1" x14ac:dyDescent="0.25">
      <c r="A18188" s="2" t="s">
        <v>35780</v>
      </c>
      <c r="B18188" s="2" t="s">
        <v>35781</v>
      </c>
      <c r="C18188" s="2" t="s">
        <v>248</v>
      </c>
      <c r="D18188" s="2" t="s">
        <v>5983</v>
      </c>
      <c r="E18188" s="2" t="str">
        <f>"9783863888138"</f>
        <v>9783863888138</v>
      </c>
      <c r="F18188" s="2" t="str">
        <f>"9783863884543"</f>
        <v>9783863884543</v>
      </c>
    </row>
    <row r="18189" spans="1:6" s="3" customFormat="1" ht="29.1" customHeight="1" x14ac:dyDescent="0.25">
      <c r="A18189" s="2" t="s">
        <v>35782</v>
      </c>
      <c r="B18189" s="2" t="s">
        <v>35783</v>
      </c>
      <c r="C18189" s="2" t="s">
        <v>248</v>
      </c>
      <c r="D18189" s="2" t="s">
        <v>1927</v>
      </c>
      <c r="E18189" s="2" t="str">
        <f>"9783847423201"</f>
        <v>9783847423201</v>
      </c>
      <c r="F18189" s="2" t="str">
        <f>"9783847413523"</f>
        <v>9783847413523</v>
      </c>
    </row>
    <row r="18190" spans="1:6" s="3" customFormat="1" ht="29.1" customHeight="1" x14ac:dyDescent="0.25">
      <c r="A18190" s="2" t="s">
        <v>35784</v>
      </c>
      <c r="B18190" s="2" t="s">
        <v>35785</v>
      </c>
      <c r="C18190" s="2" t="s">
        <v>124</v>
      </c>
      <c r="D18190" s="2" t="s">
        <v>15</v>
      </c>
      <c r="E18190" s="2" t="str">
        <f>"9780367433871"</f>
        <v>9780367433871</v>
      </c>
      <c r="F18190" s="2" t="str">
        <f>"9781000480443"</f>
        <v>9781000480443</v>
      </c>
    </row>
    <row r="18191" spans="1:6" s="3" customFormat="1" ht="29.1" customHeight="1" x14ac:dyDescent="0.25">
      <c r="A18191" s="2" t="s">
        <v>35786</v>
      </c>
      <c r="B18191" s="2" t="s">
        <v>35787</v>
      </c>
      <c r="C18191" s="2" t="s">
        <v>195</v>
      </c>
      <c r="D18191" s="2" t="s">
        <v>2713</v>
      </c>
      <c r="E18191" s="2" t="str">
        <f>"9783110737219"</f>
        <v>9783110737219</v>
      </c>
      <c r="F18191" s="2" t="str">
        <f>"9783110731958"</f>
        <v>9783110731958</v>
      </c>
    </row>
    <row r="18192" spans="1:6" s="3" customFormat="1" ht="29.1" customHeight="1" x14ac:dyDescent="0.25">
      <c r="A18192" s="2" t="s">
        <v>35788</v>
      </c>
      <c r="B18192" s="2" t="s">
        <v>35789</v>
      </c>
      <c r="C18192" s="2" t="s">
        <v>195</v>
      </c>
      <c r="D18192" s="2" t="s">
        <v>1127</v>
      </c>
      <c r="E18192" s="2" t="str">
        <f>"9783868596434"</f>
        <v>9783868596434</v>
      </c>
      <c r="F18192" s="2" t="str">
        <f>"9783868599404"</f>
        <v>9783868599404</v>
      </c>
    </row>
    <row r="18193" spans="1:6" s="3" customFormat="1" ht="29.1" customHeight="1" x14ac:dyDescent="0.25">
      <c r="A18193" s="2" t="s">
        <v>35790</v>
      </c>
      <c r="B18193" s="2" t="s">
        <v>35791</v>
      </c>
      <c r="C18193" s="2" t="s">
        <v>195</v>
      </c>
      <c r="D18193" s="2" t="s">
        <v>107</v>
      </c>
      <c r="E18193" s="2" t="str">
        <f>"9783110756609"</f>
        <v>9783110756609</v>
      </c>
      <c r="F18193" s="2" t="str">
        <f>"9783110757279"</f>
        <v>9783110757279</v>
      </c>
    </row>
    <row r="18194" spans="1:6" s="3" customFormat="1" ht="29.1" customHeight="1" x14ac:dyDescent="0.25">
      <c r="A18194" s="2" t="s">
        <v>35792</v>
      </c>
      <c r="B18194" s="2" t="s">
        <v>35793</v>
      </c>
      <c r="C18194" s="2" t="s">
        <v>195</v>
      </c>
      <c r="D18194" s="2" t="s">
        <v>436</v>
      </c>
      <c r="E18194" s="2" t="str">
        <f>"9783110582338"</f>
        <v>9783110582338</v>
      </c>
      <c r="F18194" s="2" t="str">
        <f>"9783110671971"</f>
        <v>9783110671971</v>
      </c>
    </row>
    <row r="18195" spans="1:6" s="3" customFormat="1" ht="29.1" customHeight="1" x14ac:dyDescent="0.25">
      <c r="A18195" s="2" t="s">
        <v>35794</v>
      </c>
      <c r="B18195" s="2" t="s">
        <v>35795</v>
      </c>
      <c r="C18195" s="2" t="s">
        <v>195</v>
      </c>
      <c r="D18195" s="2" t="s">
        <v>459</v>
      </c>
      <c r="E18195" s="2" t="str">
        <f>"9783110755602"</f>
        <v>9783110755602</v>
      </c>
      <c r="F18195" s="2" t="str">
        <f>"9783110755657"</f>
        <v>9783110755657</v>
      </c>
    </row>
    <row r="18196" spans="1:6" s="3" customFormat="1" ht="29.1" customHeight="1" x14ac:dyDescent="0.25">
      <c r="A18196" s="2" t="s">
        <v>35796</v>
      </c>
      <c r="B18196" s="2" t="s">
        <v>35797</v>
      </c>
      <c r="C18196" s="2" t="s">
        <v>195</v>
      </c>
      <c r="D18196" s="2" t="s">
        <v>1669</v>
      </c>
      <c r="E18196" s="2" t="str">
        <f>"9783110735420"</f>
        <v>9783110735420</v>
      </c>
      <c r="F18196" s="2" t="str">
        <f>"9783110730777"</f>
        <v>9783110730777</v>
      </c>
    </row>
    <row r="18197" spans="1:6" s="3" customFormat="1" ht="29.1" customHeight="1" x14ac:dyDescent="0.25">
      <c r="A18197" s="2" t="s">
        <v>35798</v>
      </c>
      <c r="B18197" s="2" t="s">
        <v>35799</v>
      </c>
      <c r="C18197" s="2" t="s">
        <v>195</v>
      </c>
      <c r="D18197" s="2" t="s">
        <v>689</v>
      </c>
      <c r="E18197" s="2" t="str">
        <f>"9783110739572"</f>
        <v>9783110739572</v>
      </c>
      <c r="F18197" s="2" t="str">
        <f>"9783110736199"</f>
        <v>9783110736199</v>
      </c>
    </row>
    <row r="18198" spans="1:6" s="3" customFormat="1" ht="29.1" customHeight="1" x14ac:dyDescent="0.25">
      <c r="A18198" s="2" t="s">
        <v>35800</v>
      </c>
      <c r="B18198" s="2" t="s">
        <v>35801</v>
      </c>
      <c r="C18198" s="2" t="s">
        <v>195</v>
      </c>
      <c r="D18198" s="2" t="s">
        <v>8388</v>
      </c>
      <c r="E18198" s="2" t="str">
        <f>"9783110748390"</f>
        <v>9783110748390</v>
      </c>
      <c r="F18198" s="2" t="str">
        <f>"9783110748406"</f>
        <v>9783110748406</v>
      </c>
    </row>
    <row r="18199" spans="1:6" s="3" customFormat="1" ht="29.1" customHeight="1" x14ac:dyDescent="0.25">
      <c r="A18199" s="2" t="s">
        <v>35802</v>
      </c>
      <c r="B18199" s="2" t="s">
        <v>35803</v>
      </c>
      <c r="C18199" s="2" t="s">
        <v>195</v>
      </c>
      <c r="D18199" s="2" t="s">
        <v>1630</v>
      </c>
      <c r="E18199" s="2" t="str">
        <f>"9783110739886"</f>
        <v>9783110739886</v>
      </c>
      <c r="F18199" s="2" t="str">
        <f>"9783110740202"</f>
        <v>9783110740202</v>
      </c>
    </row>
    <row r="18200" spans="1:6" s="3" customFormat="1" ht="29.1" customHeight="1" x14ac:dyDescent="0.25">
      <c r="A18200" s="2" t="s">
        <v>35804</v>
      </c>
      <c r="B18200" s="2" t="s">
        <v>35805</v>
      </c>
      <c r="C18200" s="2" t="s">
        <v>195</v>
      </c>
      <c r="D18200" s="2" t="s">
        <v>459</v>
      </c>
      <c r="E18200" s="2" t="str">
        <f>"9783110722376"</f>
        <v>9783110722376</v>
      </c>
      <c r="F18200" s="2" t="str">
        <f>"9783110722383"</f>
        <v>9783110722383</v>
      </c>
    </row>
    <row r="18201" spans="1:6" s="3" customFormat="1" ht="29.1" customHeight="1" x14ac:dyDescent="0.25">
      <c r="A18201" s="2" t="s">
        <v>35806</v>
      </c>
      <c r="B18201" s="2" t="s">
        <v>35807</v>
      </c>
      <c r="C18201" s="2" t="s">
        <v>195</v>
      </c>
      <c r="D18201" s="2" t="s">
        <v>210</v>
      </c>
      <c r="E18201" s="2" t="str">
        <f>"9783110748697"</f>
        <v>9783110748697</v>
      </c>
      <c r="F18201" s="2" t="str">
        <f>"9783110748833"</f>
        <v>9783110748833</v>
      </c>
    </row>
    <row r="18202" spans="1:6" s="3" customFormat="1" ht="29.1" customHeight="1" x14ac:dyDescent="0.25">
      <c r="A18202" s="2" t="s">
        <v>35808</v>
      </c>
      <c r="B18202" s="2" t="s">
        <v>35809</v>
      </c>
      <c r="C18202" s="2" t="s">
        <v>195</v>
      </c>
      <c r="D18202" s="2" t="s">
        <v>462</v>
      </c>
      <c r="E18202" s="2" t="str">
        <f>"9783110737622"</f>
        <v>9783110737622</v>
      </c>
      <c r="F18202" s="2" t="str">
        <f>"9783110732764"</f>
        <v>9783110732764</v>
      </c>
    </row>
    <row r="18203" spans="1:6" s="3" customFormat="1" ht="29.1" customHeight="1" x14ac:dyDescent="0.25">
      <c r="A18203" s="2" t="s">
        <v>35810</v>
      </c>
      <c r="B18203" s="2" t="s">
        <v>35811</v>
      </c>
      <c r="C18203" s="2" t="s">
        <v>195</v>
      </c>
      <c r="D18203" s="2" t="s">
        <v>3345</v>
      </c>
      <c r="E18203" s="2" t="str">
        <f>"9783110735376"</f>
        <v>9783110735376</v>
      </c>
      <c r="F18203" s="2" t="str">
        <f>"9783110730531"</f>
        <v>9783110730531</v>
      </c>
    </row>
    <row r="18204" spans="1:6" s="3" customFormat="1" ht="29.1" customHeight="1" x14ac:dyDescent="0.25">
      <c r="A18204" s="2" t="s">
        <v>35812</v>
      </c>
      <c r="B18204" s="2" t="s">
        <v>35813</v>
      </c>
      <c r="C18204" s="2" t="s">
        <v>195</v>
      </c>
      <c r="D18204" s="2" t="s">
        <v>33</v>
      </c>
      <c r="E18204" s="2" t="str">
        <f>"9783110626582"</f>
        <v>9783110626582</v>
      </c>
      <c r="F18204" s="2" t="str">
        <f>"9783110644784"</f>
        <v>9783110644784</v>
      </c>
    </row>
    <row r="18205" spans="1:6" s="3" customFormat="1" ht="29.1" customHeight="1" x14ac:dyDescent="0.25">
      <c r="A18205" s="2" t="s">
        <v>35814</v>
      </c>
      <c r="B18205" s="2" t="s">
        <v>35815</v>
      </c>
      <c r="C18205" s="2" t="s">
        <v>195</v>
      </c>
      <c r="D18205" s="2" t="s">
        <v>446</v>
      </c>
      <c r="E18205" s="2" t="str">
        <f>"9783110689242"</f>
        <v>9783110689242</v>
      </c>
      <c r="F18205" s="2" t="str">
        <f>"9783110690286"</f>
        <v>9783110690286</v>
      </c>
    </row>
    <row r="18206" spans="1:6" s="3" customFormat="1" ht="29.1" customHeight="1" x14ac:dyDescent="0.25">
      <c r="A18206" s="2" t="s">
        <v>35816</v>
      </c>
      <c r="B18206" s="2" t="s">
        <v>35817</v>
      </c>
      <c r="C18206" s="2" t="s">
        <v>195</v>
      </c>
      <c r="D18206" s="2" t="s">
        <v>118</v>
      </c>
      <c r="E18206" s="2" t="str">
        <f>"9783110682403"</f>
        <v>9783110682403</v>
      </c>
      <c r="F18206" s="2" t="str">
        <f>"9783110684834"</f>
        <v>9783110684834</v>
      </c>
    </row>
    <row r="18207" spans="1:6" s="3" customFormat="1" ht="29.1" customHeight="1" x14ac:dyDescent="0.25">
      <c r="A18207" s="2" t="s">
        <v>35818</v>
      </c>
      <c r="B18207" s="2" t="s">
        <v>35819</v>
      </c>
      <c r="C18207" s="2" t="s">
        <v>195</v>
      </c>
      <c r="D18207" s="2" t="s">
        <v>2175</v>
      </c>
      <c r="E18207" s="2" t="str">
        <f>"9783110706598"</f>
        <v>9783110706598</v>
      </c>
      <c r="F18207" s="2" t="str">
        <f>"9783110707014"</f>
        <v>9783110707014</v>
      </c>
    </row>
    <row r="18208" spans="1:6" s="3" customFormat="1" ht="29.1" customHeight="1" x14ac:dyDescent="0.25">
      <c r="A18208" s="2" t="s">
        <v>35820</v>
      </c>
      <c r="B18208" s="2" t="s">
        <v>35821</v>
      </c>
      <c r="C18208" s="2" t="s">
        <v>195</v>
      </c>
      <c r="D18208" s="2" t="s">
        <v>2713</v>
      </c>
      <c r="E18208" s="2" t="str">
        <f>"9783110727821"</f>
        <v>9783110727821</v>
      </c>
      <c r="F18208" s="2" t="str">
        <f>"9783110727845"</f>
        <v>9783110727845</v>
      </c>
    </row>
    <row r="18209" spans="1:6" s="3" customFormat="1" ht="29.1" customHeight="1" x14ac:dyDescent="0.25">
      <c r="A18209" s="2" t="s">
        <v>35822</v>
      </c>
      <c r="B18209" s="2" t="s">
        <v>35823</v>
      </c>
      <c r="C18209" s="2" t="s">
        <v>195</v>
      </c>
      <c r="D18209" s="2" t="s">
        <v>107</v>
      </c>
      <c r="E18209" s="2" t="str">
        <f>"9783110720013"</f>
        <v>9783110720013</v>
      </c>
      <c r="F18209" s="2" t="str">
        <f>"9783110730906"</f>
        <v>9783110730906</v>
      </c>
    </row>
    <row r="18210" spans="1:6" s="3" customFormat="1" ht="29.1" customHeight="1" x14ac:dyDescent="0.25">
      <c r="A18210" s="2" t="s">
        <v>35824</v>
      </c>
      <c r="B18210" s="2" t="s">
        <v>35825</v>
      </c>
      <c r="C18210" s="2" t="s">
        <v>195</v>
      </c>
      <c r="D18210" s="2" t="s">
        <v>712</v>
      </c>
      <c r="E18210" s="2" t="str">
        <f>"9783110707427"</f>
        <v>9783110707427</v>
      </c>
      <c r="F18210" s="2" t="str">
        <f>"9783110707557"</f>
        <v>9783110707557</v>
      </c>
    </row>
    <row r="18211" spans="1:6" s="3" customFormat="1" ht="29.1" customHeight="1" x14ac:dyDescent="0.25">
      <c r="A18211" s="2" t="s">
        <v>35826</v>
      </c>
      <c r="B18211" s="2" t="s">
        <v>35827</v>
      </c>
      <c r="C18211" s="2" t="s">
        <v>195</v>
      </c>
      <c r="D18211" s="2" t="s">
        <v>196</v>
      </c>
      <c r="E18211" s="2" t="str">
        <f>"9783110641417"</f>
        <v>9783110641417</v>
      </c>
      <c r="F18211" s="2" t="str">
        <f>"9783110641646"</f>
        <v>9783110641646</v>
      </c>
    </row>
    <row r="18212" spans="1:6" s="3" customFormat="1" ht="29.1" customHeight="1" x14ac:dyDescent="0.25">
      <c r="A18212" s="2" t="s">
        <v>35828</v>
      </c>
      <c r="B18212" s="2" t="s">
        <v>35829</v>
      </c>
      <c r="C18212" s="2" t="s">
        <v>195</v>
      </c>
      <c r="D18212" s="2" t="s">
        <v>3033</v>
      </c>
      <c r="E18212" s="2" t="str">
        <f>"9783110707465"</f>
        <v>9783110707465</v>
      </c>
      <c r="F18212" s="2" t="str">
        <f>"9783110707489"</f>
        <v>9783110707489</v>
      </c>
    </row>
    <row r="18213" spans="1:6" s="3" customFormat="1" ht="29.1" customHeight="1" x14ac:dyDescent="0.25">
      <c r="A18213" s="2" t="s">
        <v>35830</v>
      </c>
      <c r="B18213" s="2" t="s">
        <v>35831</v>
      </c>
      <c r="C18213" s="2" t="s">
        <v>195</v>
      </c>
      <c r="D18213" s="2" t="s">
        <v>1630</v>
      </c>
      <c r="E18213" s="2" t="str">
        <f>"9783110681963"</f>
        <v>9783110681963</v>
      </c>
      <c r="F18213" s="2" t="str">
        <f>"9783110682106"</f>
        <v>9783110682106</v>
      </c>
    </row>
    <row r="18214" spans="1:6" s="3" customFormat="1" ht="29.1" customHeight="1" x14ac:dyDescent="0.25">
      <c r="A18214" s="2" t="s">
        <v>35832</v>
      </c>
      <c r="B18214" s="2" t="s">
        <v>26760</v>
      </c>
      <c r="C18214" s="2" t="s">
        <v>195</v>
      </c>
      <c r="D18214" s="2" t="s">
        <v>196</v>
      </c>
      <c r="E18214" s="2" t="str">
        <f>"9783110679311"</f>
        <v>9783110679311</v>
      </c>
      <c r="F18214" s="2" t="str">
        <f>"9783110679410"</f>
        <v>9783110679410</v>
      </c>
    </row>
    <row r="18215" spans="1:6" s="3" customFormat="1" ht="29.1" customHeight="1" x14ac:dyDescent="0.25">
      <c r="A18215" s="2" t="s">
        <v>35833</v>
      </c>
      <c r="B18215" s="2" t="s">
        <v>35835</v>
      </c>
      <c r="C18215" s="2" t="s">
        <v>195</v>
      </c>
      <c r="D18215" s="2" t="s">
        <v>35834</v>
      </c>
      <c r="E18215" s="2" t="str">
        <f>"9783110590609"</f>
        <v>9783110590609</v>
      </c>
      <c r="F18215" s="2" t="str">
        <f>"9783110590647"</f>
        <v>9783110590647</v>
      </c>
    </row>
    <row r="18216" spans="1:6" s="3" customFormat="1" ht="29.1" customHeight="1" x14ac:dyDescent="0.25">
      <c r="A18216" s="2" t="s">
        <v>35836</v>
      </c>
      <c r="B18216" s="2" t="s">
        <v>35837</v>
      </c>
      <c r="C18216" s="2" t="s">
        <v>195</v>
      </c>
      <c r="D18216" s="2" t="s">
        <v>6152</v>
      </c>
      <c r="E18216" s="2" t="str">
        <f>"9783110500431"</f>
        <v>9783110500431</v>
      </c>
      <c r="F18216" s="2" t="str">
        <f>"9783110497717"</f>
        <v>9783110497717</v>
      </c>
    </row>
    <row r="18217" spans="1:6" s="3" customFormat="1" ht="29.1" customHeight="1" x14ac:dyDescent="0.25">
      <c r="A18217" s="2" t="s">
        <v>35838</v>
      </c>
      <c r="B18217" s="2" t="s">
        <v>35839</v>
      </c>
      <c r="C18217" s="2" t="s">
        <v>195</v>
      </c>
      <c r="D18217" s="2" t="s">
        <v>12544</v>
      </c>
      <c r="E18217" s="2" t="str">
        <f>"9783110568776"</f>
        <v>9783110568776</v>
      </c>
      <c r="F18217" s="2" t="str">
        <f>"9783110568837"</f>
        <v>9783110568837</v>
      </c>
    </row>
    <row r="18218" spans="1:6" s="3" customFormat="1" ht="29.1" customHeight="1" x14ac:dyDescent="0.25">
      <c r="A18218" s="2" t="s">
        <v>35840</v>
      </c>
      <c r="B18218" s="2" t="s">
        <v>35841</v>
      </c>
      <c r="C18218" s="2" t="s">
        <v>3169</v>
      </c>
      <c r="D18218" s="2" t="s">
        <v>3445</v>
      </c>
      <c r="E18218" s="2" t="str">
        <f>"9781648250224"</f>
        <v>9781648250224</v>
      </c>
      <c r="F18218" s="2" t="str">
        <f>"9781800102668"</f>
        <v>9781800102668</v>
      </c>
    </row>
    <row r="18219" spans="1:6" s="3" customFormat="1" ht="29.1" customHeight="1" x14ac:dyDescent="0.25">
      <c r="A18219" s="2" t="s">
        <v>35842</v>
      </c>
      <c r="B18219" s="2" t="s">
        <v>35843</v>
      </c>
      <c r="C18219" s="2" t="s">
        <v>605</v>
      </c>
      <c r="D18219" s="2" t="s">
        <v>606</v>
      </c>
      <c r="E18219" s="2" t="str">
        <f>"9789654067447"</f>
        <v>9789654067447</v>
      </c>
      <c r="F18219" s="2" t="str">
        <f>"9789654067454"</f>
        <v>9789654067454</v>
      </c>
    </row>
    <row r="18220" spans="1:6" s="3" customFormat="1" ht="29.1" customHeight="1" x14ac:dyDescent="0.25">
      <c r="A18220" s="2" t="s">
        <v>35844</v>
      </c>
      <c r="B18220" s="2" t="s">
        <v>35845</v>
      </c>
      <c r="C18220" s="2" t="s">
        <v>3169</v>
      </c>
      <c r="D18220" s="2" t="s">
        <v>1390</v>
      </c>
      <c r="E18220" s="2"/>
      <c r="F18220" s="2" t="str">
        <f>"9781800101050"</f>
        <v>9781800101050</v>
      </c>
    </row>
    <row r="18221" spans="1:6" s="3" customFormat="1" ht="29.1" customHeight="1" x14ac:dyDescent="0.25">
      <c r="A18221" s="2" t="s">
        <v>35846</v>
      </c>
      <c r="B18221" s="2" t="s">
        <v>35847</v>
      </c>
      <c r="C18221" s="2" t="s">
        <v>3169</v>
      </c>
      <c r="D18221" s="2" t="s">
        <v>11277</v>
      </c>
      <c r="E18221" s="2"/>
      <c r="F18221" s="2" t="str">
        <f>"9781800100473"</f>
        <v>9781800100473</v>
      </c>
    </row>
    <row r="18222" spans="1:6" s="3" customFormat="1" ht="29.1" customHeight="1" x14ac:dyDescent="0.25">
      <c r="A18222" s="2" t="s">
        <v>35848</v>
      </c>
      <c r="B18222" s="2" t="s">
        <v>35849</v>
      </c>
      <c r="C18222" s="2" t="s">
        <v>124</v>
      </c>
      <c r="D18222" s="2" t="s">
        <v>334</v>
      </c>
      <c r="E18222" s="2" t="str">
        <f>"9781032194776"</f>
        <v>9781032194776</v>
      </c>
      <c r="F18222" s="2" t="str">
        <f>"9781000555172"</f>
        <v>9781000555172</v>
      </c>
    </row>
    <row r="18223" spans="1:6" s="3" customFormat="1" ht="29.1" customHeight="1" x14ac:dyDescent="0.25">
      <c r="A18223" s="2" t="s">
        <v>35850</v>
      </c>
      <c r="B18223" s="2" t="s">
        <v>35851</v>
      </c>
      <c r="C18223" s="2" t="s">
        <v>124</v>
      </c>
      <c r="D18223" s="2" t="s">
        <v>1049</v>
      </c>
      <c r="E18223" s="2" t="str">
        <f>"9781032156453"</f>
        <v>9781032156453</v>
      </c>
      <c r="F18223" s="2" t="str">
        <f>"9781000544343"</f>
        <v>9781000544343</v>
      </c>
    </row>
    <row r="18224" spans="1:6" s="3" customFormat="1" ht="29.1" customHeight="1" x14ac:dyDescent="0.25">
      <c r="A18224" s="2" t="s">
        <v>35852</v>
      </c>
      <c r="B18224" s="2" t="s">
        <v>35853</v>
      </c>
      <c r="C18224" s="2" t="s">
        <v>124</v>
      </c>
      <c r="D18224" s="2" t="s">
        <v>15324</v>
      </c>
      <c r="E18224" s="2" t="str">
        <f>"9781032119090"</f>
        <v>9781032119090</v>
      </c>
      <c r="F18224" s="2" t="str">
        <f>"9781000563504"</f>
        <v>9781000563504</v>
      </c>
    </row>
    <row r="18225" spans="1:6" s="3" customFormat="1" ht="29.1" customHeight="1" x14ac:dyDescent="0.25">
      <c r="A18225" s="2" t="s">
        <v>35854</v>
      </c>
      <c r="B18225" s="2" t="s">
        <v>35855</v>
      </c>
      <c r="C18225" s="2" t="s">
        <v>124</v>
      </c>
      <c r="D18225" s="2" t="s">
        <v>906</v>
      </c>
      <c r="E18225" s="2" t="str">
        <f>"9780367775919"</f>
        <v>9780367775919</v>
      </c>
      <c r="F18225" s="2" t="str">
        <f>"9781000554892"</f>
        <v>9781000554892</v>
      </c>
    </row>
    <row r="18226" spans="1:6" s="3" customFormat="1" ht="29.1" customHeight="1" x14ac:dyDescent="0.25">
      <c r="A18226" s="2" t="s">
        <v>35856</v>
      </c>
      <c r="B18226" s="2" t="s">
        <v>35857</v>
      </c>
      <c r="C18226" s="2" t="s">
        <v>124</v>
      </c>
      <c r="D18226" s="2" t="s">
        <v>606</v>
      </c>
      <c r="E18226" s="2" t="str">
        <f>"9780367472078"</f>
        <v>9780367472078</v>
      </c>
      <c r="F18226" s="2" t="str">
        <f>"9781000554250"</f>
        <v>9781000554250</v>
      </c>
    </row>
    <row r="18227" spans="1:6" s="3" customFormat="1" ht="29.1" customHeight="1" x14ac:dyDescent="0.25">
      <c r="A18227" s="2" t="s">
        <v>35858</v>
      </c>
      <c r="B18227" s="2" t="s">
        <v>35859</v>
      </c>
      <c r="C18227" s="2" t="s">
        <v>124</v>
      </c>
      <c r="D18227" s="2" t="s">
        <v>7734</v>
      </c>
      <c r="E18227" s="2" t="str">
        <f>"9781032125244"</f>
        <v>9781032125244</v>
      </c>
      <c r="F18227" s="2" t="str">
        <f>"9781000563290"</f>
        <v>9781000563290</v>
      </c>
    </row>
    <row r="18228" spans="1:6" s="3" customFormat="1" ht="29.1" customHeight="1" x14ac:dyDescent="0.25">
      <c r="A18228" s="2" t="s">
        <v>35860</v>
      </c>
      <c r="B18228" s="2" t="s">
        <v>35861</v>
      </c>
      <c r="C18228" s="2" t="s">
        <v>124</v>
      </c>
      <c r="D18228" s="2" t="s">
        <v>1162</v>
      </c>
      <c r="E18228" s="2" t="str">
        <f>"9781032126852"</f>
        <v>9781032126852</v>
      </c>
      <c r="F18228" s="2" t="str">
        <f>"9781000520422"</f>
        <v>9781000520422</v>
      </c>
    </row>
    <row r="18229" spans="1:6" s="3" customFormat="1" ht="29.1" customHeight="1" x14ac:dyDescent="0.25">
      <c r="A18229" s="2" t="s">
        <v>35862</v>
      </c>
      <c r="B18229" s="2" t="s">
        <v>35864</v>
      </c>
      <c r="C18229" s="2" t="s">
        <v>1953</v>
      </c>
      <c r="D18229" s="2" t="s">
        <v>35863</v>
      </c>
      <c r="E18229" s="2"/>
      <c r="F18229" s="2" t="str">
        <f>"9781685072278"</f>
        <v>9781685072278</v>
      </c>
    </row>
    <row r="18230" spans="1:6" s="3" customFormat="1" ht="29.1" customHeight="1" x14ac:dyDescent="0.25">
      <c r="A18230" s="2" t="s">
        <v>35865</v>
      </c>
      <c r="B18230" s="2" t="s">
        <v>35866</v>
      </c>
      <c r="C18230" s="2" t="s">
        <v>9716</v>
      </c>
      <c r="D18230" s="2" t="s">
        <v>270</v>
      </c>
      <c r="E18230" s="2" t="str">
        <f>"9781439921494"</f>
        <v>9781439921494</v>
      </c>
      <c r="F18230" s="2" t="str">
        <f>"9781439921517"</f>
        <v>9781439921517</v>
      </c>
    </row>
    <row r="18231" spans="1:6" s="3" customFormat="1" ht="29.1" customHeight="1" x14ac:dyDescent="0.25">
      <c r="A18231" s="2" t="s">
        <v>35867</v>
      </c>
      <c r="B18231" s="2" t="s">
        <v>35868</v>
      </c>
      <c r="C18231" s="2" t="s">
        <v>195</v>
      </c>
      <c r="D18231" s="2" t="s">
        <v>459</v>
      </c>
      <c r="E18231" s="2" t="str">
        <f>"9783110616156"</f>
        <v>9783110616156</v>
      </c>
      <c r="F18231" s="2" t="str">
        <f>"9783110616194"</f>
        <v>9783110616194</v>
      </c>
    </row>
    <row r="18232" spans="1:6" s="3" customFormat="1" ht="29.1" customHeight="1" x14ac:dyDescent="0.25">
      <c r="A18232" s="2" t="s">
        <v>35869</v>
      </c>
      <c r="B18232" s="2" t="s">
        <v>35870</v>
      </c>
      <c r="C18232" s="2" t="s">
        <v>4104</v>
      </c>
      <c r="D18232" s="2" t="s">
        <v>1049</v>
      </c>
      <c r="E18232" s="2" t="str">
        <f>"9781846311833"</f>
        <v>9781846311833</v>
      </c>
      <c r="F18232" s="2" t="str">
        <f>"9781789624229"</f>
        <v>9781789624229</v>
      </c>
    </row>
    <row r="18233" spans="1:6" s="3" customFormat="1" ht="29.1" customHeight="1" x14ac:dyDescent="0.25">
      <c r="A18233" s="2" t="s">
        <v>35871</v>
      </c>
      <c r="B18233" s="2" t="s">
        <v>35872</v>
      </c>
      <c r="C18233" s="2" t="s">
        <v>4104</v>
      </c>
      <c r="D18233" s="2" t="s">
        <v>3713</v>
      </c>
      <c r="E18233" s="2" t="str">
        <f>"9781846311949"</f>
        <v>9781846311949</v>
      </c>
      <c r="F18233" s="2" t="str">
        <f>"9781789624212"</f>
        <v>9781789624212</v>
      </c>
    </row>
    <row r="18234" spans="1:6" s="3" customFormat="1" ht="29.1" customHeight="1" x14ac:dyDescent="0.25">
      <c r="A18234" s="2" t="s">
        <v>35873</v>
      </c>
      <c r="B18234" s="2" t="s">
        <v>35874</v>
      </c>
      <c r="C18234" s="2" t="s">
        <v>4104</v>
      </c>
      <c r="D18234" s="2" t="s">
        <v>33</v>
      </c>
      <c r="E18234" s="2" t="str">
        <f>"9781846314704"</f>
        <v>9781846314704</v>
      </c>
      <c r="F18234" s="2" t="str">
        <f>"9781789624205"</f>
        <v>9781789624205</v>
      </c>
    </row>
    <row r="18235" spans="1:6" s="3" customFormat="1" ht="29.1" customHeight="1" x14ac:dyDescent="0.25">
      <c r="A18235" s="2" t="s">
        <v>35875</v>
      </c>
      <c r="B18235" s="2" t="s">
        <v>35876</v>
      </c>
      <c r="C18235" s="2" t="s">
        <v>4104</v>
      </c>
      <c r="D18235" s="2" t="s">
        <v>1999</v>
      </c>
      <c r="E18235" s="2" t="str">
        <f>"9781786941565"</f>
        <v>9781786941565</v>
      </c>
      <c r="F18235" s="2" t="str">
        <f>"9781786949523"</f>
        <v>9781786949523</v>
      </c>
    </row>
    <row r="18236" spans="1:6" s="3" customFormat="1" ht="29.1" customHeight="1" x14ac:dyDescent="0.25">
      <c r="A18236" s="2" t="s">
        <v>35877</v>
      </c>
      <c r="B18236" s="2" t="s">
        <v>35878</v>
      </c>
      <c r="C18236" s="2" t="s">
        <v>4104</v>
      </c>
      <c r="D18236" s="2" t="s">
        <v>2168</v>
      </c>
      <c r="E18236" s="2" t="str">
        <f>"9781786942050"</f>
        <v>9781786942050</v>
      </c>
      <c r="F18236" s="2" t="str">
        <f>"9781786949646"</f>
        <v>9781786949646</v>
      </c>
    </row>
    <row r="18237" spans="1:6" s="3" customFormat="1" ht="29.1" customHeight="1" x14ac:dyDescent="0.25">
      <c r="A18237" s="2" t="s">
        <v>35879</v>
      </c>
      <c r="B18237" s="2" t="s">
        <v>35880</v>
      </c>
      <c r="C18237" s="2" t="s">
        <v>4104</v>
      </c>
      <c r="D18237" s="2" t="s">
        <v>405</v>
      </c>
      <c r="E18237" s="2" t="str">
        <f>"9781846314780"</f>
        <v>9781846314780</v>
      </c>
      <c r="F18237" s="2" t="str">
        <f>"9781789624182"</f>
        <v>9781789624182</v>
      </c>
    </row>
    <row r="18238" spans="1:6" s="3" customFormat="1" ht="29.1" customHeight="1" x14ac:dyDescent="0.25">
      <c r="A18238" s="2" t="s">
        <v>35881</v>
      </c>
      <c r="B18238" s="2" t="s">
        <v>35882</v>
      </c>
      <c r="C18238" s="2" t="s">
        <v>4104</v>
      </c>
      <c r="D18238" s="2" t="s">
        <v>6571</v>
      </c>
      <c r="E18238" s="2" t="str">
        <f>"9781800349261"</f>
        <v>9781800349261</v>
      </c>
      <c r="F18238" s="2" t="str">
        <f>"9781800344808"</f>
        <v>9781800344808</v>
      </c>
    </row>
    <row r="18239" spans="1:6" s="3" customFormat="1" ht="29.1" customHeight="1" x14ac:dyDescent="0.25">
      <c r="A18239" s="2" t="s">
        <v>35883</v>
      </c>
      <c r="B18239" s="2" t="s">
        <v>35884</v>
      </c>
      <c r="C18239" s="2" t="s">
        <v>124</v>
      </c>
      <c r="D18239" s="2" t="s">
        <v>619</v>
      </c>
      <c r="E18239" s="2" t="str">
        <f>"9780367632250"</f>
        <v>9780367632250</v>
      </c>
      <c r="F18239" s="2" t="str">
        <f>"9781000478723"</f>
        <v>9781000478723</v>
      </c>
    </row>
    <row r="18240" spans="1:6" s="3" customFormat="1" ht="29.1" customHeight="1" x14ac:dyDescent="0.25">
      <c r="A18240" s="2" t="s">
        <v>35885</v>
      </c>
      <c r="B18240" s="2" t="s">
        <v>35886</v>
      </c>
      <c r="C18240" s="2" t="s">
        <v>595</v>
      </c>
      <c r="D18240" s="2" t="s">
        <v>818</v>
      </c>
      <c r="E18240" s="2" t="str">
        <f>"9783631854525"</f>
        <v>9783631854525</v>
      </c>
      <c r="F18240" s="2" t="str">
        <f>"9783631866948"</f>
        <v>9783631866948</v>
      </c>
    </row>
    <row r="18241" spans="1:6" s="3" customFormat="1" ht="29.1" customHeight="1" x14ac:dyDescent="0.25">
      <c r="A18241" s="2" t="s">
        <v>35887</v>
      </c>
      <c r="B18241" s="2" t="s">
        <v>35888</v>
      </c>
      <c r="C18241" s="2" t="s">
        <v>595</v>
      </c>
      <c r="D18241" s="2" t="s">
        <v>334</v>
      </c>
      <c r="E18241" s="2" t="str">
        <f>"9783034344142"</f>
        <v>9783034344142</v>
      </c>
      <c r="F18241" s="2" t="str">
        <f>"9783034344098"</f>
        <v>9783034344098</v>
      </c>
    </row>
    <row r="18242" spans="1:6" s="3" customFormat="1" ht="29.1" customHeight="1" x14ac:dyDescent="0.25">
      <c r="A18242" s="2" t="s">
        <v>35889</v>
      </c>
      <c r="B18242" s="2" t="s">
        <v>35890</v>
      </c>
      <c r="C18242" s="2" t="s">
        <v>746</v>
      </c>
      <c r="D18242" s="2" t="s">
        <v>606</v>
      </c>
      <c r="E18242" s="2" t="str">
        <f>"9781789699661"</f>
        <v>9781789699661</v>
      </c>
      <c r="F18242" s="2" t="str">
        <f>"9781789699678"</f>
        <v>9781789699678</v>
      </c>
    </row>
    <row r="18243" spans="1:6" s="3" customFormat="1" ht="29.1" customHeight="1" x14ac:dyDescent="0.25">
      <c r="A18243" s="2" t="s">
        <v>35891</v>
      </c>
      <c r="B18243" s="2" t="s">
        <v>35892</v>
      </c>
      <c r="C18243" s="2" t="s">
        <v>36</v>
      </c>
      <c r="D18243" s="2" t="s">
        <v>2361</v>
      </c>
      <c r="E18243" s="2" t="str">
        <f>"9781447361152"</f>
        <v>9781447361152</v>
      </c>
      <c r="F18243" s="2" t="str">
        <f>"9781447361176"</f>
        <v>9781447361176</v>
      </c>
    </row>
    <row r="18244" spans="1:6" s="3" customFormat="1" ht="29.1" customHeight="1" x14ac:dyDescent="0.25">
      <c r="A18244" s="2" t="s">
        <v>35893</v>
      </c>
      <c r="B18244" s="2" t="s">
        <v>35894</v>
      </c>
      <c r="C18244" s="2" t="s">
        <v>556</v>
      </c>
      <c r="D18244" s="2" t="s">
        <v>215</v>
      </c>
      <c r="E18244" s="2" t="str">
        <f>"9783837659252"</f>
        <v>9783837659252</v>
      </c>
      <c r="F18244" s="2" t="str">
        <f>"9783839459256"</f>
        <v>9783839459256</v>
      </c>
    </row>
    <row r="18245" spans="1:6" s="3" customFormat="1" ht="29.1" customHeight="1" x14ac:dyDescent="0.25">
      <c r="A18245" s="2" t="s">
        <v>35895</v>
      </c>
      <c r="B18245" s="2" t="s">
        <v>35896</v>
      </c>
      <c r="C18245" s="2" t="s">
        <v>556</v>
      </c>
      <c r="D18245" s="2" t="s">
        <v>647</v>
      </c>
      <c r="E18245" s="2" t="str">
        <f>"9783837660753"</f>
        <v>9783837660753</v>
      </c>
      <c r="F18245" s="2" t="str">
        <f>"9783839460757"</f>
        <v>9783839460757</v>
      </c>
    </row>
    <row r="18246" spans="1:6" s="3" customFormat="1" ht="29.1" customHeight="1" x14ac:dyDescent="0.25">
      <c r="A18246" s="2" t="s">
        <v>35897</v>
      </c>
      <c r="B18246" s="2" t="s">
        <v>35898</v>
      </c>
      <c r="C18246" s="2" t="s">
        <v>556</v>
      </c>
      <c r="D18246" s="2" t="s">
        <v>636</v>
      </c>
      <c r="E18246" s="2" t="str">
        <f>"9783837660715"</f>
        <v>9783837660715</v>
      </c>
      <c r="F18246" s="2" t="str">
        <f>"9783839460719"</f>
        <v>9783839460719</v>
      </c>
    </row>
    <row r="18247" spans="1:6" s="3" customFormat="1" ht="29.1" customHeight="1" x14ac:dyDescent="0.25">
      <c r="A18247" s="2" t="s">
        <v>35899</v>
      </c>
      <c r="B18247" s="2" t="s">
        <v>35900</v>
      </c>
      <c r="C18247" s="2" t="s">
        <v>556</v>
      </c>
      <c r="D18247" s="2" t="s">
        <v>1162</v>
      </c>
      <c r="E18247" s="2" t="str">
        <f>"9783837660401"</f>
        <v>9783837660401</v>
      </c>
      <c r="F18247" s="2" t="str">
        <f>"9783839460405"</f>
        <v>9783839460405</v>
      </c>
    </row>
    <row r="18248" spans="1:6" s="3" customFormat="1" ht="29.1" customHeight="1" x14ac:dyDescent="0.25">
      <c r="A18248" s="2" t="s">
        <v>35901</v>
      </c>
      <c r="B18248" s="2" t="s">
        <v>35902</v>
      </c>
      <c r="C18248" s="2" t="s">
        <v>556</v>
      </c>
      <c r="D18248" s="2" t="s">
        <v>674</v>
      </c>
      <c r="E18248" s="2" t="str">
        <f>"9783837660371"</f>
        <v>9783837660371</v>
      </c>
      <c r="F18248" s="2" t="str">
        <f>"9783839460375"</f>
        <v>9783839460375</v>
      </c>
    </row>
    <row r="18249" spans="1:6" s="3" customFormat="1" ht="29.1" customHeight="1" x14ac:dyDescent="0.25">
      <c r="A18249" s="2" t="s">
        <v>35903</v>
      </c>
      <c r="B18249" s="2" t="s">
        <v>35904</v>
      </c>
      <c r="C18249" s="2" t="s">
        <v>556</v>
      </c>
      <c r="D18249" s="2" t="s">
        <v>1189</v>
      </c>
      <c r="E18249" s="2" t="str">
        <f>"9783837660203"</f>
        <v>9783837660203</v>
      </c>
      <c r="F18249" s="2" t="str">
        <f>"9783839460207"</f>
        <v>9783839460207</v>
      </c>
    </row>
    <row r="18250" spans="1:6" s="3" customFormat="1" ht="29.1" customHeight="1" x14ac:dyDescent="0.25">
      <c r="A18250" s="2" t="s">
        <v>35905</v>
      </c>
      <c r="B18250" s="2" t="s">
        <v>19540</v>
      </c>
      <c r="C18250" s="2" t="s">
        <v>556</v>
      </c>
      <c r="D18250" s="2" t="s">
        <v>16071</v>
      </c>
      <c r="E18250" s="2" t="str">
        <f>"9783837660005"</f>
        <v>9783837660005</v>
      </c>
      <c r="F18250" s="2" t="str">
        <f>"9783839460009"</f>
        <v>9783839460009</v>
      </c>
    </row>
    <row r="18251" spans="1:6" s="3" customFormat="1" ht="29.1" customHeight="1" x14ac:dyDescent="0.25">
      <c r="A18251" s="2" t="s">
        <v>35906</v>
      </c>
      <c r="B18251" s="2" t="s">
        <v>20568</v>
      </c>
      <c r="C18251" s="2" t="s">
        <v>556</v>
      </c>
      <c r="D18251" s="2" t="s">
        <v>378</v>
      </c>
      <c r="E18251" s="2" t="str">
        <f>"9783837659658"</f>
        <v>9783837659658</v>
      </c>
      <c r="F18251" s="2" t="str">
        <f>"9783839459652"</f>
        <v>9783839459652</v>
      </c>
    </row>
    <row r="18252" spans="1:6" s="3" customFormat="1" ht="29.1" customHeight="1" x14ac:dyDescent="0.25">
      <c r="A18252" s="2" t="s">
        <v>35907</v>
      </c>
      <c r="B18252" s="2" t="s">
        <v>35908</v>
      </c>
      <c r="C18252" s="2" t="s">
        <v>556</v>
      </c>
      <c r="D18252" s="2" t="s">
        <v>1189</v>
      </c>
      <c r="E18252" s="2" t="str">
        <f>"9783837659498"</f>
        <v>9783837659498</v>
      </c>
      <c r="F18252" s="2" t="str">
        <f>"9783839459492"</f>
        <v>9783839459492</v>
      </c>
    </row>
    <row r="18253" spans="1:6" s="3" customFormat="1" ht="29.1" customHeight="1" x14ac:dyDescent="0.25">
      <c r="A18253" s="2" t="s">
        <v>35909</v>
      </c>
      <c r="B18253" s="2" t="s">
        <v>35910</v>
      </c>
      <c r="C18253" s="2" t="s">
        <v>556</v>
      </c>
      <c r="D18253" s="2" t="s">
        <v>1001</v>
      </c>
      <c r="E18253" s="2" t="str">
        <f>"9783837659382"</f>
        <v>9783837659382</v>
      </c>
      <c r="F18253" s="2" t="str">
        <f>"9783732859382"</f>
        <v>9783732859382</v>
      </c>
    </row>
    <row r="18254" spans="1:6" s="3" customFormat="1" ht="29.1" customHeight="1" x14ac:dyDescent="0.25">
      <c r="A18254" s="2" t="s">
        <v>35911</v>
      </c>
      <c r="B18254" s="2" t="s">
        <v>35912</v>
      </c>
      <c r="C18254" s="2" t="s">
        <v>556</v>
      </c>
      <c r="D18254" s="2" t="s">
        <v>712</v>
      </c>
      <c r="E18254" s="2" t="str">
        <f>"9783837659122"</f>
        <v>9783837659122</v>
      </c>
      <c r="F18254" s="2" t="str">
        <f>"9783839459126"</f>
        <v>9783839459126</v>
      </c>
    </row>
    <row r="18255" spans="1:6" s="3" customFormat="1" ht="29.1" customHeight="1" x14ac:dyDescent="0.25">
      <c r="A18255" s="2" t="s">
        <v>35913</v>
      </c>
      <c r="B18255" s="2" t="s">
        <v>35914</v>
      </c>
      <c r="C18255" s="2" t="s">
        <v>556</v>
      </c>
      <c r="D18255" s="2" t="s">
        <v>7589</v>
      </c>
      <c r="E18255" s="2" t="str">
        <f>"9783837658958"</f>
        <v>9783837658958</v>
      </c>
      <c r="F18255" s="2" t="str">
        <f>"9783839458952"</f>
        <v>9783839458952</v>
      </c>
    </row>
    <row r="18256" spans="1:6" s="3" customFormat="1" ht="29.1" customHeight="1" x14ac:dyDescent="0.25">
      <c r="A18256" s="2" t="s">
        <v>35915</v>
      </c>
      <c r="B18256" s="2" t="s">
        <v>35916</v>
      </c>
      <c r="C18256" s="2" t="s">
        <v>556</v>
      </c>
      <c r="D18256" s="2" t="s">
        <v>636</v>
      </c>
      <c r="E18256" s="2" t="str">
        <f>"9783837658927"</f>
        <v>9783837658927</v>
      </c>
      <c r="F18256" s="2" t="str">
        <f>"9783839458921"</f>
        <v>9783839458921</v>
      </c>
    </row>
    <row r="18257" spans="1:6" s="3" customFormat="1" ht="29.1" customHeight="1" x14ac:dyDescent="0.25">
      <c r="A18257" s="2" t="s">
        <v>35917</v>
      </c>
      <c r="B18257" s="2" t="s">
        <v>35918</v>
      </c>
      <c r="C18257" s="2" t="s">
        <v>556</v>
      </c>
      <c r="D18257" s="2" t="s">
        <v>528</v>
      </c>
      <c r="E18257" s="2" t="str">
        <f>"9783837658880"</f>
        <v>9783837658880</v>
      </c>
      <c r="F18257" s="2" t="str">
        <f>"9783839458884"</f>
        <v>9783839458884</v>
      </c>
    </row>
    <row r="18258" spans="1:6" s="3" customFormat="1" ht="29.1" customHeight="1" x14ac:dyDescent="0.25">
      <c r="A18258" s="2" t="s">
        <v>35919</v>
      </c>
      <c r="B18258" s="2" t="s">
        <v>35920</v>
      </c>
      <c r="C18258" s="2" t="s">
        <v>556</v>
      </c>
      <c r="D18258" s="2" t="s">
        <v>3394</v>
      </c>
      <c r="E18258" s="2" t="str">
        <f>"9783837658835"</f>
        <v>9783837658835</v>
      </c>
      <c r="F18258" s="2" t="str">
        <f>"9783732858835"</f>
        <v>9783732858835</v>
      </c>
    </row>
    <row r="18259" spans="1:6" s="3" customFormat="1" ht="29.1" customHeight="1" x14ac:dyDescent="0.25">
      <c r="A18259" s="2" t="s">
        <v>35921</v>
      </c>
      <c r="B18259" s="2" t="s">
        <v>35922</v>
      </c>
      <c r="C18259" s="2" t="s">
        <v>556</v>
      </c>
      <c r="D18259" s="2" t="s">
        <v>215</v>
      </c>
      <c r="E18259" s="2" t="str">
        <f>"9783837658804"</f>
        <v>9783837658804</v>
      </c>
      <c r="F18259" s="2" t="str">
        <f>"9783839458808"</f>
        <v>9783839458808</v>
      </c>
    </row>
    <row r="18260" spans="1:6" s="3" customFormat="1" ht="29.1" customHeight="1" x14ac:dyDescent="0.25">
      <c r="A18260" s="2" t="s">
        <v>35923</v>
      </c>
      <c r="B18260" s="2" t="s">
        <v>35924</v>
      </c>
      <c r="C18260" s="2" t="s">
        <v>556</v>
      </c>
      <c r="D18260" s="2" t="s">
        <v>1162</v>
      </c>
      <c r="E18260" s="2" t="str">
        <f>"9783837658729"</f>
        <v>9783837658729</v>
      </c>
      <c r="F18260" s="2" t="str">
        <f>"9783732858729"</f>
        <v>9783732858729</v>
      </c>
    </row>
    <row r="18261" spans="1:6" s="3" customFormat="1" ht="29.1" customHeight="1" x14ac:dyDescent="0.25">
      <c r="A18261" s="2" t="s">
        <v>35925</v>
      </c>
      <c r="B18261" s="2" t="s">
        <v>35926</v>
      </c>
      <c r="C18261" s="2" t="s">
        <v>556</v>
      </c>
      <c r="D18261" s="2" t="s">
        <v>501</v>
      </c>
      <c r="E18261" s="2" t="str">
        <f>"9783837658712"</f>
        <v>9783837658712</v>
      </c>
      <c r="F18261" s="2" t="str">
        <f>"9783732858712"</f>
        <v>9783732858712</v>
      </c>
    </row>
    <row r="18262" spans="1:6" s="3" customFormat="1" ht="29.1" customHeight="1" x14ac:dyDescent="0.25">
      <c r="A18262" s="2" t="s">
        <v>35927</v>
      </c>
      <c r="B18262" s="2" t="s">
        <v>35928</v>
      </c>
      <c r="C18262" s="2" t="s">
        <v>556</v>
      </c>
      <c r="D18262" s="2" t="s">
        <v>2336</v>
      </c>
      <c r="E18262" s="2" t="str">
        <f>"9783837658699"</f>
        <v>9783837658699</v>
      </c>
      <c r="F18262" s="2" t="str">
        <f>"9783732858699"</f>
        <v>9783732858699</v>
      </c>
    </row>
    <row r="18263" spans="1:6" s="3" customFormat="1" ht="29.1" customHeight="1" x14ac:dyDescent="0.25">
      <c r="A18263" s="2" t="s">
        <v>35929</v>
      </c>
      <c r="B18263" s="2" t="s">
        <v>35930</v>
      </c>
      <c r="C18263" s="2" t="s">
        <v>556</v>
      </c>
      <c r="D18263" s="2" t="s">
        <v>259</v>
      </c>
      <c r="E18263" s="2" t="str">
        <f>"9783837658637"</f>
        <v>9783837658637</v>
      </c>
      <c r="F18263" s="2" t="str">
        <f>"9783732858637"</f>
        <v>9783732858637</v>
      </c>
    </row>
    <row r="18264" spans="1:6" s="3" customFormat="1" ht="29.1" customHeight="1" x14ac:dyDescent="0.25">
      <c r="A18264" s="2" t="s">
        <v>35931</v>
      </c>
      <c r="B18264" s="2" t="s">
        <v>35932</v>
      </c>
      <c r="C18264" s="2" t="s">
        <v>556</v>
      </c>
      <c r="D18264" s="2" t="s">
        <v>30582</v>
      </c>
      <c r="E18264" s="2" t="str">
        <f>"9783837658569"</f>
        <v>9783837658569</v>
      </c>
      <c r="F18264" s="2" t="str">
        <f>"9783839458563"</f>
        <v>9783839458563</v>
      </c>
    </row>
    <row r="18265" spans="1:6" s="3" customFormat="1" ht="29.1" customHeight="1" x14ac:dyDescent="0.25">
      <c r="A18265" s="2" t="s">
        <v>35933</v>
      </c>
      <c r="B18265" s="2" t="s">
        <v>35934</v>
      </c>
      <c r="C18265" s="2" t="s">
        <v>556</v>
      </c>
      <c r="D18265" s="2" t="s">
        <v>183</v>
      </c>
      <c r="E18265" s="2" t="str">
        <f>"9783837658552"</f>
        <v>9783837658552</v>
      </c>
      <c r="F18265" s="2" t="str">
        <f>"9783839458556"</f>
        <v>9783839458556</v>
      </c>
    </row>
    <row r="18266" spans="1:6" s="3" customFormat="1" ht="29.1" customHeight="1" x14ac:dyDescent="0.25">
      <c r="A18266" s="2" t="s">
        <v>35935</v>
      </c>
      <c r="B18266" s="2" t="s">
        <v>35936</v>
      </c>
      <c r="C18266" s="2" t="s">
        <v>556</v>
      </c>
      <c r="D18266" s="2" t="s">
        <v>1155</v>
      </c>
      <c r="E18266" s="2" t="str">
        <f>"9783837658200"</f>
        <v>9783837658200</v>
      </c>
      <c r="F18266" s="2" t="str">
        <f>"9783732858200"</f>
        <v>9783732858200</v>
      </c>
    </row>
    <row r="18267" spans="1:6" s="3" customFormat="1" ht="29.1" customHeight="1" x14ac:dyDescent="0.25">
      <c r="A18267" s="2" t="s">
        <v>35937</v>
      </c>
      <c r="B18267" s="2" t="s">
        <v>35938</v>
      </c>
      <c r="C18267" s="2" t="s">
        <v>556</v>
      </c>
      <c r="D18267" s="2" t="s">
        <v>712</v>
      </c>
      <c r="E18267" s="2" t="str">
        <f>"9783837658170"</f>
        <v>9783837658170</v>
      </c>
      <c r="F18267" s="2" t="str">
        <f>"9783839458174"</f>
        <v>9783839458174</v>
      </c>
    </row>
    <row r="18268" spans="1:6" s="3" customFormat="1" ht="29.1" customHeight="1" x14ac:dyDescent="0.25">
      <c r="A18268" s="2" t="s">
        <v>35939</v>
      </c>
      <c r="B18268" s="2" t="s">
        <v>35940</v>
      </c>
      <c r="C18268" s="2" t="s">
        <v>556</v>
      </c>
      <c r="D18268" s="2" t="s">
        <v>636</v>
      </c>
      <c r="E18268" s="2" t="str">
        <f>"9783837658088"</f>
        <v>9783837658088</v>
      </c>
      <c r="F18268" s="2" t="str">
        <f>"9783839458082"</f>
        <v>9783839458082</v>
      </c>
    </row>
    <row r="18269" spans="1:6" s="3" customFormat="1" ht="29.1" customHeight="1" x14ac:dyDescent="0.25">
      <c r="A18269" s="2" t="s">
        <v>35941</v>
      </c>
      <c r="B18269" s="2" t="s">
        <v>35942</v>
      </c>
      <c r="C18269" s="2" t="s">
        <v>556</v>
      </c>
      <c r="D18269" s="2" t="s">
        <v>75</v>
      </c>
      <c r="E18269" s="2" t="str">
        <f>"9783837657647"</f>
        <v>9783837657647</v>
      </c>
      <c r="F18269" s="2" t="str">
        <f>"9783839457641"</f>
        <v>9783839457641</v>
      </c>
    </row>
    <row r="18270" spans="1:6" s="3" customFormat="1" ht="29.1" customHeight="1" x14ac:dyDescent="0.25">
      <c r="A18270" s="2" t="s">
        <v>35943</v>
      </c>
      <c r="B18270" s="2" t="s">
        <v>35944</v>
      </c>
      <c r="C18270" s="2" t="s">
        <v>556</v>
      </c>
      <c r="D18270" s="2" t="s">
        <v>1127</v>
      </c>
      <c r="E18270" s="2" t="str">
        <f>"9783837657593"</f>
        <v>9783837657593</v>
      </c>
      <c r="F18270" s="2" t="str">
        <f>"9783839457597"</f>
        <v>9783839457597</v>
      </c>
    </row>
    <row r="18271" spans="1:6" s="3" customFormat="1" ht="29.1" customHeight="1" x14ac:dyDescent="0.25">
      <c r="A18271" s="2" t="s">
        <v>35945</v>
      </c>
      <c r="B18271" s="2" t="s">
        <v>35946</v>
      </c>
      <c r="C18271" s="2" t="s">
        <v>556</v>
      </c>
      <c r="D18271" s="2" t="s">
        <v>1155</v>
      </c>
      <c r="E18271" s="2" t="str">
        <f>"9783837656824"</f>
        <v>9783837656824</v>
      </c>
      <c r="F18271" s="2" t="str">
        <f>"9783732856824"</f>
        <v>9783732856824</v>
      </c>
    </row>
    <row r="18272" spans="1:6" s="3" customFormat="1" ht="29.1" customHeight="1" x14ac:dyDescent="0.25">
      <c r="A18272" s="2" t="s">
        <v>35947</v>
      </c>
      <c r="B18272" s="2" t="s">
        <v>35948</v>
      </c>
      <c r="C18272" s="2" t="s">
        <v>556</v>
      </c>
      <c r="D18272" s="2" t="s">
        <v>2713</v>
      </c>
      <c r="E18272" s="2" t="str">
        <f>"9783837656800"</f>
        <v>9783837656800</v>
      </c>
      <c r="F18272" s="2" t="str">
        <f>"9783839456804"</f>
        <v>9783839456804</v>
      </c>
    </row>
    <row r="18273" spans="1:6" s="3" customFormat="1" ht="29.1" customHeight="1" x14ac:dyDescent="0.25">
      <c r="A18273" s="2" t="s">
        <v>35949</v>
      </c>
      <c r="B18273" s="2" t="s">
        <v>35950</v>
      </c>
      <c r="C18273" s="2" t="s">
        <v>556</v>
      </c>
      <c r="D18273" s="2" t="s">
        <v>1411</v>
      </c>
      <c r="E18273" s="2" t="str">
        <f>"9783837656343"</f>
        <v>9783837656343</v>
      </c>
      <c r="F18273" s="2" t="str">
        <f>"9783839456347"</f>
        <v>9783839456347</v>
      </c>
    </row>
    <row r="18274" spans="1:6" s="3" customFormat="1" ht="29.1" customHeight="1" x14ac:dyDescent="0.25">
      <c r="A18274" s="2" t="s">
        <v>35951</v>
      </c>
      <c r="B18274" s="2" t="s">
        <v>35952</v>
      </c>
      <c r="C18274" s="2" t="s">
        <v>556</v>
      </c>
      <c r="D18274" s="2" t="s">
        <v>1001</v>
      </c>
      <c r="E18274" s="2" t="str">
        <f>"9783837656244"</f>
        <v>9783837656244</v>
      </c>
      <c r="F18274" s="2" t="str">
        <f>"9783839456248"</f>
        <v>9783839456248</v>
      </c>
    </row>
    <row r="18275" spans="1:6" s="3" customFormat="1" ht="29.1" customHeight="1" x14ac:dyDescent="0.25">
      <c r="A18275" s="2" t="s">
        <v>35953</v>
      </c>
      <c r="B18275" s="2" t="s">
        <v>35954</v>
      </c>
      <c r="C18275" s="2" t="s">
        <v>556</v>
      </c>
      <c r="D18275" s="2" t="s">
        <v>490</v>
      </c>
      <c r="E18275" s="2" t="str">
        <f>"9783837656145"</f>
        <v>9783837656145</v>
      </c>
      <c r="F18275" s="2" t="str">
        <f>"9783839456149"</f>
        <v>9783839456149</v>
      </c>
    </row>
    <row r="18276" spans="1:6" s="3" customFormat="1" ht="29.1" customHeight="1" x14ac:dyDescent="0.25">
      <c r="A18276" s="2" t="s">
        <v>35955</v>
      </c>
      <c r="B18276" s="2" t="s">
        <v>35956</v>
      </c>
      <c r="C18276" s="2" t="s">
        <v>556</v>
      </c>
      <c r="D18276" s="2" t="s">
        <v>639</v>
      </c>
      <c r="E18276" s="2" t="str">
        <f>"9783837656077"</f>
        <v>9783837656077</v>
      </c>
      <c r="F18276" s="2" t="str">
        <f>"9783839456071"</f>
        <v>9783839456071</v>
      </c>
    </row>
    <row r="18277" spans="1:6" s="3" customFormat="1" ht="29.1" customHeight="1" x14ac:dyDescent="0.25">
      <c r="A18277" s="2" t="s">
        <v>35957</v>
      </c>
      <c r="B18277" s="2" t="s">
        <v>35958</v>
      </c>
      <c r="C18277" s="2" t="s">
        <v>556</v>
      </c>
      <c r="D18277" s="2" t="s">
        <v>1155</v>
      </c>
      <c r="E18277" s="2" t="str">
        <f>"9783837654530"</f>
        <v>9783837654530</v>
      </c>
      <c r="F18277" s="2" t="str">
        <f>"9783732854530"</f>
        <v>9783732854530</v>
      </c>
    </row>
    <row r="18278" spans="1:6" s="3" customFormat="1" ht="29.1" customHeight="1" x14ac:dyDescent="0.25">
      <c r="A18278" s="2" t="s">
        <v>35959</v>
      </c>
      <c r="B18278" s="2" t="s">
        <v>35960</v>
      </c>
      <c r="C18278" s="2" t="s">
        <v>556</v>
      </c>
      <c r="D18278" s="2" t="s">
        <v>1189</v>
      </c>
      <c r="E18278" s="2" t="str">
        <f>"9783837654462"</f>
        <v>9783837654462</v>
      </c>
      <c r="F18278" s="2" t="str">
        <f>"9783839454466"</f>
        <v>9783839454466</v>
      </c>
    </row>
    <row r="18279" spans="1:6" s="3" customFormat="1" ht="29.1" customHeight="1" x14ac:dyDescent="0.25">
      <c r="A18279" s="2" t="s">
        <v>35961</v>
      </c>
      <c r="B18279" s="2" t="s">
        <v>35962</v>
      </c>
      <c r="C18279" s="2" t="s">
        <v>556</v>
      </c>
      <c r="D18279" s="2" t="s">
        <v>712</v>
      </c>
      <c r="E18279" s="2" t="str">
        <f>"9783837652468"</f>
        <v>9783837652468</v>
      </c>
      <c r="F18279" s="2" t="str">
        <f>"9783839452462"</f>
        <v>9783839452462</v>
      </c>
    </row>
    <row r="18280" spans="1:6" s="3" customFormat="1" ht="29.1" customHeight="1" x14ac:dyDescent="0.25">
      <c r="A18280" s="2" t="s">
        <v>35963</v>
      </c>
      <c r="B18280" s="2" t="s">
        <v>6619</v>
      </c>
      <c r="C18280" s="2" t="s">
        <v>556</v>
      </c>
      <c r="D18280" s="2" t="s">
        <v>712</v>
      </c>
      <c r="E18280" s="2" t="str">
        <f>"9783837650242"</f>
        <v>9783837650242</v>
      </c>
      <c r="F18280" s="2" t="str">
        <f>"9783732850242"</f>
        <v>9783732850242</v>
      </c>
    </row>
    <row r="18281" spans="1:6" s="3" customFormat="1" ht="29.1" customHeight="1" x14ac:dyDescent="0.25">
      <c r="A18281" s="2" t="s">
        <v>35964</v>
      </c>
      <c r="B18281" s="2" t="s">
        <v>35965</v>
      </c>
      <c r="C18281" s="2" t="s">
        <v>556</v>
      </c>
      <c r="D18281" s="2" t="s">
        <v>5794</v>
      </c>
      <c r="E18281" s="2" t="str">
        <f>"9783837649017"</f>
        <v>9783837649017</v>
      </c>
      <c r="F18281" s="2" t="str">
        <f>"9783839449011"</f>
        <v>9783839449011</v>
      </c>
    </row>
    <row r="18282" spans="1:6" s="3" customFormat="1" ht="29.1" customHeight="1" x14ac:dyDescent="0.25">
      <c r="A18282" s="2" t="s">
        <v>35966</v>
      </c>
      <c r="B18282" s="2" t="s">
        <v>35967</v>
      </c>
      <c r="C18282" s="2" t="s">
        <v>124</v>
      </c>
      <c r="D18282" s="2" t="s">
        <v>6128</v>
      </c>
      <c r="E18282" s="2" t="str">
        <f>"9780367537265"</f>
        <v>9780367537265</v>
      </c>
      <c r="F18282" s="2" t="str">
        <f>"9781000553475"</f>
        <v>9781000553475</v>
      </c>
    </row>
    <row r="18283" spans="1:6" s="3" customFormat="1" ht="29.1" customHeight="1" x14ac:dyDescent="0.25">
      <c r="A18283" s="2" t="s">
        <v>35968</v>
      </c>
      <c r="B18283" s="2" t="s">
        <v>35969</v>
      </c>
      <c r="C18283" s="2" t="s">
        <v>248</v>
      </c>
      <c r="D18283" s="2" t="s">
        <v>183</v>
      </c>
      <c r="E18283" s="2" t="str">
        <f>"9783847425496"</f>
        <v>9783847425496</v>
      </c>
      <c r="F18283" s="2" t="str">
        <f>"9783847416968"</f>
        <v>9783847416968</v>
      </c>
    </row>
    <row r="18284" spans="1:6" s="3" customFormat="1" ht="29.1" customHeight="1" x14ac:dyDescent="0.25">
      <c r="A18284" s="2" t="s">
        <v>35970</v>
      </c>
      <c r="B18284" s="2" t="s">
        <v>35971</v>
      </c>
      <c r="C18284" s="2" t="s">
        <v>248</v>
      </c>
      <c r="D18284" s="2" t="s">
        <v>855</v>
      </c>
      <c r="E18284" s="2" t="str">
        <f>"9783966650212"</f>
        <v>9783966650212</v>
      </c>
      <c r="F18284" s="2" t="str">
        <f>"9783966659611"</f>
        <v>9783966659611</v>
      </c>
    </row>
    <row r="18285" spans="1:6" s="3" customFormat="1" ht="29.1" customHeight="1" x14ac:dyDescent="0.25">
      <c r="A18285" s="2" t="s">
        <v>35972</v>
      </c>
      <c r="B18285" s="2" t="s">
        <v>35973</v>
      </c>
      <c r="C18285" s="2" t="s">
        <v>248</v>
      </c>
      <c r="D18285" s="2" t="s">
        <v>3095</v>
      </c>
      <c r="E18285" s="2" t="str">
        <f>"9783966650328"</f>
        <v>9783966650328</v>
      </c>
      <c r="F18285" s="2" t="str">
        <f>"9783966659680"</f>
        <v>9783966659680</v>
      </c>
    </row>
    <row r="18286" spans="1:6" s="3" customFormat="1" ht="29.1" customHeight="1" x14ac:dyDescent="0.25">
      <c r="A18286" s="2" t="s">
        <v>35974</v>
      </c>
      <c r="B18286" s="2" t="s">
        <v>35975</v>
      </c>
      <c r="C18286" s="2" t="s">
        <v>195</v>
      </c>
      <c r="D18286" s="2" t="s">
        <v>33</v>
      </c>
      <c r="E18286" s="2" t="str">
        <f>"9783110737011"</f>
        <v>9783110737011</v>
      </c>
      <c r="F18286" s="2" t="str">
        <f>"9783110731569"</f>
        <v>9783110731569</v>
      </c>
    </row>
    <row r="18287" spans="1:6" s="3" customFormat="1" ht="29.1" customHeight="1" x14ac:dyDescent="0.25">
      <c r="A18287" s="2" t="s">
        <v>35976</v>
      </c>
      <c r="B18287" s="2" t="s">
        <v>35977</v>
      </c>
      <c r="C18287" s="2" t="s">
        <v>195</v>
      </c>
      <c r="D18287" s="2" t="s">
        <v>162</v>
      </c>
      <c r="E18287" s="2" t="str">
        <f>"9783110738315"</f>
        <v>9783110738315</v>
      </c>
      <c r="F18287" s="2" t="str">
        <f>"9783110733495"</f>
        <v>9783110733495</v>
      </c>
    </row>
    <row r="18288" spans="1:6" s="3" customFormat="1" ht="29.1" customHeight="1" x14ac:dyDescent="0.25">
      <c r="A18288" s="2" t="s">
        <v>35978</v>
      </c>
      <c r="B18288" s="2" t="s">
        <v>35979</v>
      </c>
      <c r="C18288" s="2" t="s">
        <v>195</v>
      </c>
      <c r="D18288" s="2" t="s">
        <v>297</v>
      </c>
      <c r="E18288" s="2" t="str">
        <f>"9783110744705"</f>
        <v>9783110744705</v>
      </c>
      <c r="F18288" s="2" t="str">
        <f>"9783110744767"</f>
        <v>9783110744767</v>
      </c>
    </row>
    <row r="18289" spans="1:6" s="3" customFormat="1" ht="29.1" customHeight="1" x14ac:dyDescent="0.25">
      <c r="A18289" s="2" t="s">
        <v>35980</v>
      </c>
      <c r="B18289" s="2" t="s">
        <v>35981</v>
      </c>
      <c r="C18289" s="2" t="s">
        <v>195</v>
      </c>
      <c r="D18289" s="2" t="s">
        <v>118</v>
      </c>
      <c r="E18289" s="2" t="str">
        <f>"9783110740660"</f>
        <v>9783110740660</v>
      </c>
      <c r="F18289" s="2" t="str">
        <f>"9783110747003"</f>
        <v>9783110747003</v>
      </c>
    </row>
    <row r="18290" spans="1:6" s="3" customFormat="1" ht="29.1" customHeight="1" x14ac:dyDescent="0.25">
      <c r="A18290" s="2" t="s">
        <v>35982</v>
      </c>
      <c r="B18290" s="2" t="s">
        <v>35983</v>
      </c>
      <c r="C18290" s="2" t="s">
        <v>195</v>
      </c>
      <c r="D18290" s="2" t="s">
        <v>431</v>
      </c>
      <c r="E18290" s="2" t="str">
        <f>"9783110691498"</f>
        <v>9783110691498</v>
      </c>
      <c r="F18290" s="2" t="str">
        <f>"9783110691597"</f>
        <v>9783110691597</v>
      </c>
    </row>
    <row r="18291" spans="1:6" s="3" customFormat="1" ht="29.1" customHeight="1" x14ac:dyDescent="0.25">
      <c r="A18291" s="2" t="s">
        <v>35984</v>
      </c>
      <c r="B18291" s="2" t="s">
        <v>35985</v>
      </c>
      <c r="C18291" s="2" t="s">
        <v>195</v>
      </c>
      <c r="D18291" s="2" t="s">
        <v>3993</v>
      </c>
      <c r="E18291" s="2" t="str">
        <f>"9783110721942"</f>
        <v>9783110721942</v>
      </c>
      <c r="F18291" s="2" t="str">
        <f>"9783110722093"</f>
        <v>9783110722093</v>
      </c>
    </row>
    <row r="18292" spans="1:6" s="3" customFormat="1" ht="29.1" customHeight="1" x14ac:dyDescent="0.25">
      <c r="A18292" s="2" t="s">
        <v>35986</v>
      </c>
      <c r="B18292" s="2" t="s">
        <v>35987</v>
      </c>
      <c r="C18292" s="2" t="s">
        <v>195</v>
      </c>
      <c r="D18292" s="2" t="s">
        <v>6564</v>
      </c>
      <c r="E18292" s="2" t="str">
        <f>"9783110707434"</f>
        <v>9783110707434</v>
      </c>
      <c r="F18292" s="2" t="str">
        <f>"9783110707540"</f>
        <v>9783110707540</v>
      </c>
    </row>
    <row r="18293" spans="1:6" s="3" customFormat="1" ht="29.1" customHeight="1" x14ac:dyDescent="0.25">
      <c r="A18293" s="2" t="s">
        <v>35988</v>
      </c>
      <c r="B18293" s="2" t="s">
        <v>35989</v>
      </c>
      <c r="C18293" s="2" t="s">
        <v>195</v>
      </c>
      <c r="D18293" s="2" t="s">
        <v>3345</v>
      </c>
      <c r="E18293" s="2" t="str">
        <f>"9783110709056"</f>
        <v>9783110709056</v>
      </c>
      <c r="F18293" s="2" t="str">
        <f>"9783110709292"</f>
        <v>9783110709292</v>
      </c>
    </row>
    <row r="18294" spans="1:6" s="3" customFormat="1" ht="29.1" customHeight="1" x14ac:dyDescent="0.25">
      <c r="A18294" s="2" t="s">
        <v>35990</v>
      </c>
      <c r="B18294" s="2" t="s">
        <v>35991</v>
      </c>
      <c r="C18294" s="2" t="s">
        <v>195</v>
      </c>
      <c r="D18294" s="2" t="s">
        <v>879</v>
      </c>
      <c r="E18294" s="2" t="str">
        <f>"9783110708691"</f>
        <v>9783110708691</v>
      </c>
      <c r="F18294" s="2" t="str">
        <f>"9783110709308"</f>
        <v>9783110709308</v>
      </c>
    </row>
    <row r="18295" spans="1:6" s="3" customFormat="1" ht="29.1" customHeight="1" x14ac:dyDescent="0.25">
      <c r="A18295" s="2" t="s">
        <v>35992</v>
      </c>
      <c r="B18295" s="2" t="s">
        <v>35994</v>
      </c>
      <c r="C18295" s="2" t="s">
        <v>195</v>
      </c>
      <c r="D18295" s="2" t="s">
        <v>35993</v>
      </c>
      <c r="E18295" s="2" t="str">
        <f>"9783110590210"</f>
        <v>9783110590210</v>
      </c>
      <c r="F18295" s="2" t="str">
        <f>"9783110590524"</f>
        <v>9783110590524</v>
      </c>
    </row>
    <row r="18296" spans="1:6" s="3" customFormat="1" ht="29.1" customHeight="1" x14ac:dyDescent="0.25">
      <c r="A18296" s="2" t="s">
        <v>35995</v>
      </c>
      <c r="B18296" s="2" t="s">
        <v>23914</v>
      </c>
      <c r="C18296" s="2" t="s">
        <v>124</v>
      </c>
      <c r="D18296" s="2" t="s">
        <v>15</v>
      </c>
      <c r="E18296" s="2" t="str">
        <f>"9780367204334"</f>
        <v>9780367204334</v>
      </c>
      <c r="F18296" s="2" t="str">
        <f>"9780429261435"</f>
        <v>9780429261435</v>
      </c>
    </row>
    <row r="18297" spans="1:6" s="3" customFormat="1" ht="29.1" customHeight="1" x14ac:dyDescent="0.25">
      <c r="A18297" s="2" t="s">
        <v>35996</v>
      </c>
      <c r="B18297" s="2" t="s">
        <v>35997</v>
      </c>
      <c r="C18297" s="2" t="s">
        <v>124</v>
      </c>
      <c r="D18297" s="2" t="s">
        <v>818</v>
      </c>
      <c r="E18297" s="2" t="str">
        <f>"9780367548384"</f>
        <v>9780367548384</v>
      </c>
      <c r="F18297" s="2" t="str">
        <f>"9781000466539"</f>
        <v>9781000466539</v>
      </c>
    </row>
    <row r="18298" spans="1:6" s="3" customFormat="1" ht="29.1" customHeight="1" x14ac:dyDescent="0.25">
      <c r="A18298" s="2" t="s">
        <v>35998</v>
      </c>
      <c r="B18298" s="2" t="s">
        <v>35999</v>
      </c>
      <c r="C18298" s="2" t="s">
        <v>3169</v>
      </c>
      <c r="D18298" s="2" t="s">
        <v>1018</v>
      </c>
      <c r="E18298" s="2" t="str">
        <f>"9781648250132"</f>
        <v>9781648250132</v>
      </c>
      <c r="F18298" s="2" t="str">
        <f>"9781800102224"</f>
        <v>9781800102224</v>
      </c>
    </row>
    <row r="18299" spans="1:6" s="3" customFormat="1" ht="29.1" customHeight="1" x14ac:dyDescent="0.25">
      <c r="A18299" s="2" t="s">
        <v>36000</v>
      </c>
      <c r="B18299" s="2" t="s">
        <v>36001</v>
      </c>
      <c r="C18299" s="2" t="s">
        <v>27396</v>
      </c>
      <c r="D18299" s="2" t="s">
        <v>2551</v>
      </c>
      <c r="E18299" s="2" t="str">
        <f>"9783161608728"</f>
        <v>9783161608728</v>
      </c>
      <c r="F18299" s="2" t="str">
        <f>"9783161608759"</f>
        <v>9783161608759</v>
      </c>
    </row>
    <row r="18300" spans="1:6" s="3" customFormat="1" ht="29.1" customHeight="1" x14ac:dyDescent="0.25">
      <c r="A18300" s="2" t="s">
        <v>36002</v>
      </c>
      <c r="B18300" s="2" t="s">
        <v>36003</v>
      </c>
      <c r="C18300" s="2" t="s">
        <v>605</v>
      </c>
      <c r="D18300" s="2" t="s">
        <v>606</v>
      </c>
      <c r="E18300" s="2" t="str">
        <f>"9789654067331"</f>
        <v>9789654067331</v>
      </c>
      <c r="F18300" s="2" t="str">
        <f>"9789654067393"</f>
        <v>9789654067393</v>
      </c>
    </row>
    <row r="18301" spans="1:6" s="3" customFormat="1" ht="29.1" customHeight="1" x14ac:dyDescent="0.25">
      <c r="A18301" s="2" t="s">
        <v>36004</v>
      </c>
      <c r="B18301" s="2" t="s">
        <v>36005</v>
      </c>
      <c r="C18301" s="2" t="s">
        <v>605</v>
      </c>
      <c r="D18301" s="2" t="s">
        <v>606</v>
      </c>
      <c r="E18301" s="2" t="str">
        <f>"9789654067270"</f>
        <v>9789654067270</v>
      </c>
      <c r="F18301" s="2" t="str">
        <f>"9789654067386"</f>
        <v>9789654067386</v>
      </c>
    </row>
    <row r="18302" spans="1:6" s="3" customFormat="1" ht="29.1" customHeight="1" x14ac:dyDescent="0.25">
      <c r="A18302" s="2" t="s">
        <v>36006</v>
      </c>
      <c r="B18302" s="2" t="s">
        <v>36007</v>
      </c>
      <c r="C18302" s="2" t="s">
        <v>8104</v>
      </c>
      <c r="D18302" s="2" t="s">
        <v>636</v>
      </c>
      <c r="E18302" s="2" t="str">
        <f>"9781800734753"</f>
        <v>9781800734753</v>
      </c>
      <c r="F18302" s="2" t="str">
        <f>"9781800734760"</f>
        <v>9781800734760</v>
      </c>
    </row>
    <row r="18303" spans="1:6" s="3" customFormat="1" ht="29.1" customHeight="1" x14ac:dyDescent="0.25">
      <c r="A18303" s="2" t="s">
        <v>36008</v>
      </c>
      <c r="B18303" s="2" t="s">
        <v>36009</v>
      </c>
      <c r="C18303" s="2" t="s">
        <v>264</v>
      </c>
      <c r="D18303" s="2" t="s">
        <v>863</v>
      </c>
      <c r="E18303" s="2" t="str">
        <f>"9781032112817"</f>
        <v>9781032112817</v>
      </c>
      <c r="F18303" s="2" t="str">
        <f>"9781000552041"</f>
        <v>9781000552041</v>
      </c>
    </row>
    <row r="18304" spans="1:6" s="3" customFormat="1" ht="29.1" customHeight="1" x14ac:dyDescent="0.25">
      <c r="A18304" s="2" t="s">
        <v>36010</v>
      </c>
      <c r="B18304" s="2" t="s">
        <v>36011</v>
      </c>
      <c r="C18304" s="2" t="s">
        <v>124</v>
      </c>
      <c r="D18304" s="2" t="s">
        <v>2086</v>
      </c>
      <c r="E18304" s="2" t="str">
        <f>"9780367491024"</f>
        <v>9780367491024</v>
      </c>
      <c r="F18304" s="2" t="str">
        <f>"9781000551556"</f>
        <v>9781000551556</v>
      </c>
    </row>
    <row r="18305" spans="1:6" s="3" customFormat="1" ht="29.1" customHeight="1" x14ac:dyDescent="0.25">
      <c r="A18305" s="2" t="s">
        <v>36012</v>
      </c>
      <c r="B18305" s="2" t="s">
        <v>36013</v>
      </c>
      <c r="C18305" s="2" t="s">
        <v>124</v>
      </c>
      <c r="D18305" s="2" t="s">
        <v>1895</v>
      </c>
      <c r="E18305" s="2" t="str">
        <f>"9781032037905"</f>
        <v>9781032037905</v>
      </c>
      <c r="F18305" s="2" t="str">
        <f>"9781000551884"</f>
        <v>9781000551884</v>
      </c>
    </row>
    <row r="18306" spans="1:6" s="3" customFormat="1" ht="29.1" customHeight="1" x14ac:dyDescent="0.25">
      <c r="A18306" s="2" t="s">
        <v>36014</v>
      </c>
      <c r="B18306" s="2" t="s">
        <v>36015</v>
      </c>
      <c r="C18306" s="2" t="s">
        <v>124</v>
      </c>
      <c r="D18306" s="2" t="s">
        <v>402</v>
      </c>
      <c r="E18306" s="2" t="str">
        <f>"9781032102238"</f>
        <v>9781032102238</v>
      </c>
      <c r="F18306" s="2" t="str">
        <f>"9781000550153"</f>
        <v>9781000550153</v>
      </c>
    </row>
    <row r="18307" spans="1:6" s="3" customFormat="1" ht="29.1" customHeight="1" x14ac:dyDescent="0.25">
      <c r="A18307" s="2" t="s">
        <v>36016</v>
      </c>
      <c r="B18307" s="2" t="s">
        <v>36017</v>
      </c>
      <c r="C18307" s="2" t="s">
        <v>248</v>
      </c>
      <c r="D18307" s="2" t="s">
        <v>3523</v>
      </c>
      <c r="E18307" s="2" t="str">
        <f>"9783847425786"</f>
        <v>9783847425786</v>
      </c>
      <c r="F18307" s="2" t="str">
        <f>"9783847417361"</f>
        <v>9783847417361</v>
      </c>
    </row>
    <row r="18308" spans="1:6" s="3" customFormat="1" ht="29.1" customHeight="1" x14ac:dyDescent="0.25">
      <c r="A18308" s="2" t="s">
        <v>36018</v>
      </c>
      <c r="B18308" s="2" t="s">
        <v>36019</v>
      </c>
      <c r="C18308" s="2" t="s">
        <v>595</v>
      </c>
      <c r="D18308" s="2" t="s">
        <v>2307</v>
      </c>
      <c r="E18308" s="2" t="str">
        <f>"9783034338622"</f>
        <v>9783034338622</v>
      </c>
      <c r="F18308" s="2" t="str">
        <f>"9783034343763"</f>
        <v>9783034343763</v>
      </c>
    </row>
    <row r="18309" spans="1:6" s="3" customFormat="1" ht="29.1" customHeight="1" x14ac:dyDescent="0.25">
      <c r="A18309" s="2" t="s">
        <v>36020</v>
      </c>
      <c r="B18309" s="2" t="s">
        <v>36021</v>
      </c>
      <c r="C18309" s="2" t="s">
        <v>595</v>
      </c>
      <c r="D18309" s="2" t="s">
        <v>8647</v>
      </c>
      <c r="E18309" s="2" t="str">
        <f>"9783631865279"</f>
        <v>9783631865279</v>
      </c>
      <c r="F18309" s="2" t="str">
        <f>"9783631865286"</f>
        <v>9783631865286</v>
      </c>
    </row>
    <row r="18310" spans="1:6" s="3" customFormat="1" ht="29.1" customHeight="1" x14ac:dyDescent="0.25">
      <c r="A18310" s="2" t="s">
        <v>36022</v>
      </c>
      <c r="B18310" s="2" t="s">
        <v>36024</v>
      </c>
      <c r="C18310" s="2" t="s">
        <v>4104</v>
      </c>
      <c r="D18310" s="2" t="s">
        <v>36023</v>
      </c>
      <c r="E18310" s="2" t="str">
        <f>"9781800856103"</f>
        <v>9781800856103</v>
      </c>
      <c r="F18310" s="2" t="str">
        <f>"9781800858626"</f>
        <v>9781800858626</v>
      </c>
    </row>
    <row r="18311" spans="1:6" s="3" customFormat="1" ht="29.1" customHeight="1" x14ac:dyDescent="0.25">
      <c r="A18311" s="2" t="s">
        <v>36025</v>
      </c>
      <c r="B18311" s="2" t="s">
        <v>36026</v>
      </c>
      <c r="C18311" s="2" t="s">
        <v>4104</v>
      </c>
      <c r="D18311" s="2" t="s">
        <v>10162</v>
      </c>
      <c r="E18311" s="2" t="str">
        <f>"9781789621082"</f>
        <v>9781789621082</v>
      </c>
      <c r="F18311" s="2" t="str">
        <f>"9781789627404"</f>
        <v>9781789627404</v>
      </c>
    </row>
    <row r="18312" spans="1:6" s="3" customFormat="1" ht="29.1" customHeight="1" x14ac:dyDescent="0.25">
      <c r="A18312" s="2" t="s">
        <v>36027</v>
      </c>
      <c r="B18312" s="2" t="s">
        <v>36028</v>
      </c>
      <c r="C18312" s="2" t="s">
        <v>4104</v>
      </c>
      <c r="D18312" s="2" t="s">
        <v>3394</v>
      </c>
      <c r="E18312" s="2" t="str">
        <f>"9781789622249"</f>
        <v>9781789622249</v>
      </c>
      <c r="F18312" s="2" t="str">
        <f>"9781789622584"</f>
        <v>9781789622584</v>
      </c>
    </row>
    <row r="18313" spans="1:6" s="3" customFormat="1" ht="29.1" customHeight="1" x14ac:dyDescent="0.25">
      <c r="A18313" s="2" t="s">
        <v>36029</v>
      </c>
      <c r="B18313" s="2" t="s">
        <v>36030</v>
      </c>
      <c r="C18313" s="2" t="s">
        <v>4104</v>
      </c>
      <c r="D18313" s="2" t="s">
        <v>7132</v>
      </c>
      <c r="E18313" s="2" t="str">
        <f>"9781789622324"</f>
        <v>9781789622324</v>
      </c>
      <c r="F18313" s="2" t="str">
        <f>"9781789622577"</f>
        <v>9781789622577</v>
      </c>
    </row>
    <row r="18314" spans="1:6" s="3" customFormat="1" ht="29.1" customHeight="1" x14ac:dyDescent="0.25">
      <c r="A18314" s="2" t="s">
        <v>1309</v>
      </c>
      <c r="B18314" s="2" t="s">
        <v>2098</v>
      </c>
      <c r="C18314" s="2" t="s">
        <v>1070</v>
      </c>
      <c r="D18314" s="2" t="s">
        <v>1310</v>
      </c>
      <c r="E18314" s="2" t="str">
        <f>"9783318070019"</f>
        <v>9783318070019</v>
      </c>
      <c r="F18314" s="2" t="str">
        <f>"9783318069587"</f>
        <v>9783318069587</v>
      </c>
    </row>
    <row r="18315" spans="1:6" s="3" customFormat="1" ht="29.1" customHeight="1" x14ac:dyDescent="0.25">
      <c r="A18315" s="2" t="s">
        <v>36031</v>
      </c>
      <c r="B18315" s="2" t="s">
        <v>36032</v>
      </c>
      <c r="C18315" s="2" t="s">
        <v>885</v>
      </c>
      <c r="D18315" s="2" t="s">
        <v>818</v>
      </c>
      <c r="E18315" s="2" t="str">
        <f>"9781487508807"</f>
        <v>9781487508807</v>
      </c>
      <c r="F18315" s="2" t="str">
        <f>"9781487538989"</f>
        <v>9781487538989</v>
      </c>
    </row>
    <row r="18316" spans="1:6" s="3" customFormat="1" ht="29.1" customHeight="1" x14ac:dyDescent="0.25">
      <c r="A18316" s="2" t="s">
        <v>36033</v>
      </c>
      <c r="B18316" s="2" t="s">
        <v>36034</v>
      </c>
      <c r="C18316" s="2" t="s">
        <v>885</v>
      </c>
      <c r="D18316" s="2" t="s">
        <v>2602</v>
      </c>
      <c r="E18316" s="2" t="str">
        <f>"9781487508630"</f>
        <v>9781487508630</v>
      </c>
      <c r="F18316" s="2" t="str">
        <f>"9781487538644"</f>
        <v>9781487538644</v>
      </c>
    </row>
    <row r="18317" spans="1:6" s="3" customFormat="1" ht="29.1" customHeight="1" x14ac:dyDescent="0.25">
      <c r="A18317" s="2" t="s">
        <v>36035</v>
      </c>
      <c r="B18317" s="2" t="s">
        <v>36036</v>
      </c>
      <c r="C18317" s="2" t="s">
        <v>885</v>
      </c>
      <c r="D18317" s="2" t="s">
        <v>553</v>
      </c>
      <c r="E18317" s="2" t="str">
        <f>"9781487504540"</f>
        <v>9781487504540</v>
      </c>
      <c r="F18317" s="2" t="str">
        <f>"9781487545154"</f>
        <v>9781487545154</v>
      </c>
    </row>
    <row r="18318" spans="1:6" s="3" customFormat="1" ht="29.1" customHeight="1" x14ac:dyDescent="0.25">
      <c r="A18318" s="2" t="s">
        <v>36037</v>
      </c>
      <c r="B18318" s="2" t="s">
        <v>36038</v>
      </c>
      <c r="C18318" s="2" t="s">
        <v>885</v>
      </c>
      <c r="D18318" s="2" t="s">
        <v>2142</v>
      </c>
      <c r="E18318" s="2" t="str">
        <f>"9781487508647"</f>
        <v>9781487508647</v>
      </c>
      <c r="F18318" s="2" t="str">
        <f>"9781487538668"</f>
        <v>9781487538668</v>
      </c>
    </row>
    <row r="18319" spans="1:6" s="3" customFormat="1" ht="29.1" customHeight="1" x14ac:dyDescent="0.25">
      <c r="A18319" s="2" t="s">
        <v>36039</v>
      </c>
      <c r="B18319" s="2" t="s">
        <v>36040</v>
      </c>
      <c r="C18319" s="2" t="s">
        <v>885</v>
      </c>
      <c r="D18319" s="2" t="s">
        <v>107</v>
      </c>
      <c r="E18319" s="2" t="str">
        <f>"9781487506018"</f>
        <v>9781487506018</v>
      </c>
      <c r="F18319" s="2" t="str">
        <f>"9781487533113"</f>
        <v>9781487533113</v>
      </c>
    </row>
    <row r="18320" spans="1:6" s="3" customFormat="1" ht="29.1" customHeight="1" x14ac:dyDescent="0.25">
      <c r="A18320" s="2" t="s">
        <v>36041</v>
      </c>
      <c r="B18320" s="2" t="s">
        <v>36042</v>
      </c>
      <c r="C18320" s="2" t="s">
        <v>885</v>
      </c>
      <c r="D18320" s="2" t="s">
        <v>339</v>
      </c>
      <c r="E18320" s="2" t="str">
        <f>"9781487504618"</f>
        <v>9781487504618</v>
      </c>
      <c r="F18320" s="2" t="str">
        <f>"9781487530549"</f>
        <v>9781487530549</v>
      </c>
    </row>
    <row r="18321" spans="1:6" s="3" customFormat="1" ht="29.1" customHeight="1" x14ac:dyDescent="0.25">
      <c r="A18321" s="2" t="s">
        <v>36043</v>
      </c>
      <c r="B18321" s="2" t="s">
        <v>36044</v>
      </c>
      <c r="C18321" s="2" t="s">
        <v>34257</v>
      </c>
      <c r="D18321" s="2" t="s">
        <v>259</v>
      </c>
      <c r="E18321" s="2" t="str">
        <f>"9780745341880"</f>
        <v>9780745341880</v>
      </c>
      <c r="F18321" s="2" t="str">
        <f>"9781786808554"</f>
        <v>9781786808554</v>
      </c>
    </row>
    <row r="18322" spans="1:6" s="3" customFormat="1" ht="29.1" customHeight="1" x14ac:dyDescent="0.25">
      <c r="A18322" s="2" t="s">
        <v>36045</v>
      </c>
      <c r="B18322" s="2" t="s">
        <v>36046</v>
      </c>
      <c r="C18322" s="2" t="s">
        <v>124</v>
      </c>
      <c r="D18322" s="2" t="s">
        <v>270</v>
      </c>
      <c r="E18322" s="2" t="str">
        <f>"9780367481582"</f>
        <v>9780367481582</v>
      </c>
      <c r="F18322" s="2" t="str">
        <f>"9781000546064"</f>
        <v>9781000546064</v>
      </c>
    </row>
    <row r="18323" spans="1:6" s="3" customFormat="1" ht="29.1" customHeight="1" x14ac:dyDescent="0.25">
      <c r="A18323" s="2" t="s">
        <v>36047</v>
      </c>
      <c r="B18323" s="2" t="s">
        <v>36048</v>
      </c>
      <c r="C18323" s="2" t="s">
        <v>124</v>
      </c>
      <c r="D18323" s="2" t="s">
        <v>15625</v>
      </c>
      <c r="E18323" s="2" t="str">
        <f>"9780367699574"</f>
        <v>9780367699574</v>
      </c>
      <c r="F18323" s="2" t="str">
        <f>"9781000545944"</f>
        <v>9781000545944</v>
      </c>
    </row>
    <row r="18324" spans="1:6" s="3" customFormat="1" ht="29.1" customHeight="1" x14ac:dyDescent="0.25">
      <c r="A18324" s="2" t="s">
        <v>36049</v>
      </c>
      <c r="B18324" s="2" t="s">
        <v>36050</v>
      </c>
      <c r="C18324" s="2" t="s">
        <v>124</v>
      </c>
      <c r="D18324" s="2" t="s">
        <v>9420</v>
      </c>
      <c r="E18324" s="2" t="str">
        <f>"9780367348618"</f>
        <v>9780367348618</v>
      </c>
      <c r="F18324" s="2" t="str">
        <f>"9780429328510"</f>
        <v>9780429328510</v>
      </c>
    </row>
    <row r="18325" spans="1:6" s="3" customFormat="1" ht="29.1" customHeight="1" x14ac:dyDescent="0.25">
      <c r="A18325" s="2" t="s">
        <v>36051</v>
      </c>
      <c r="B18325" s="2" t="s">
        <v>36052</v>
      </c>
      <c r="C18325" s="2" t="s">
        <v>15181</v>
      </c>
      <c r="D18325" s="2" t="s">
        <v>196</v>
      </c>
      <c r="E18325" s="2" t="str">
        <f>"9789633864173"</f>
        <v>9789633864173</v>
      </c>
      <c r="F18325" s="2" t="str">
        <f>"9789633864180"</f>
        <v>9789633864180</v>
      </c>
    </row>
    <row r="18326" spans="1:6" s="3" customFormat="1" ht="29.1" customHeight="1" x14ac:dyDescent="0.25">
      <c r="A18326" s="2" t="s">
        <v>36053</v>
      </c>
      <c r="B18326" s="2" t="s">
        <v>36054</v>
      </c>
      <c r="C18326" s="2" t="s">
        <v>15181</v>
      </c>
      <c r="D18326" s="2" t="s">
        <v>636</v>
      </c>
      <c r="E18326" s="2" t="str">
        <f>"9789633864395"</f>
        <v>9789633864395</v>
      </c>
      <c r="F18326" s="2" t="str">
        <f>"9789633864401"</f>
        <v>9789633864401</v>
      </c>
    </row>
    <row r="18327" spans="1:6" s="3" customFormat="1" ht="29.1" customHeight="1" x14ac:dyDescent="0.25">
      <c r="A18327" s="2" t="s">
        <v>36055</v>
      </c>
      <c r="B18327" s="2" t="s">
        <v>36056</v>
      </c>
      <c r="C18327" s="2" t="s">
        <v>927</v>
      </c>
      <c r="D18327" s="2" t="s">
        <v>297</v>
      </c>
      <c r="E18327" s="2" t="str">
        <f>"9780472038497"</f>
        <v>9780472038497</v>
      </c>
      <c r="F18327" s="2" t="str">
        <f>"9780472902477"</f>
        <v>9780472902477</v>
      </c>
    </row>
    <row r="18328" spans="1:6" s="3" customFormat="1" ht="29.1" customHeight="1" x14ac:dyDescent="0.25">
      <c r="A18328" s="2" t="s">
        <v>36057</v>
      </c>
      <c r="B18328" s="2" t="s">
        <v>36058</v>
      </c>
      <c r="C18328" s="2" t="s">
        <v>195</v>
      </c>
      <c r="D18328" s="2" t="s">
        <v>4522</v>
      </c>
      <c r="E18328" s="2" t="str">
        <f>"9783110603323"</f>
        <v>9783110603323</v>
      </c>
      <c r="F18328" s="2" t="str">
        <f>"9783110607376"</f>
        <v>9783110607376</v>
      </c>
    </row>
    <row r="18329" spans="1:6" s="3" customFormat="1" ht="29.1" customHeight="1" x14ac:dyDescent="0.25">
      <c r="A18329" s="2" t="s">
        <v>36059</v>
      </c>
      <c r="B18329" s="2" t="s">
        <v>36060</v>
      </c>
      <c r="C18329" s="2" t="s">
        <v>264</v>
      </c>
      <c r="D18329" s="2" t="s">
        <v>388</v>
      </c>
      <c r="E18329" s="2" t="str">
        <f>"9781466567573"</f>
        <v>9781466567573</v>
      </c>
      <c r="F18329" s="2" t="str">
        <f>"9780429189586"</f>
        <v>9780429189586</v>
      </c>
    </row>
    <row r="18330" spans="1:6" s="3" customFormat="1" ht="29.1" customHeight="1" x14ac:dyDescent="0.25">
      <c r="A18330" s="2" t="s">
        <v>36061</v>
      </c>
      <c r="B18330" s="2" t="s">
        <v>36062</v>
      </c>
      <c r="C18330" s="2" t="s">
        <v>264</v>
      </c>
      <c r="D18330" s="2" t="s">
        <v>1854</v>
      </c>
      <c r="E18330" s="2" t="str">
        <f>"9780367708948"</f>
        <v>9780367708948</v>
      </c>
      <c r="F18330" s="2" t="str">
        <f>"9781000453270"</f>
        <v>9781000453270</v>
      </c>
    </row>
    <row r="18331" spans="1:6" s="3" customFormat="1" ht="29.1" customHeight="1" x14ac:dyDescent="0.25">
      <c r="A18331" s="2" t="s">
        <v>36063</v>
      </c>
      <c r="B18331" s="2" t="s">
        <v>36064</v>
      </c>
      <c r="C18331" s="2" t="s">
        <v>124</v>
      </c>
      <c r="D18331" s="2" t="s">
        <v>2587</v>
      </c>
      <c r="E18331" s="2" t="str">
        <f>"9781032115016"</f>
        <v>9781032115016</v>
      </c>
      <c r="F18331" s="2" t="str">
        <f>"9781000544282"</f>
        <v>9781000544282</v>
      </c>
    </row>
    <row r="18332" spans="1:6" s="3" customFormat="1" ht="29.1" customHeight="1" x14ac:dyDescent="0.25">
      <c r="A18332" s="2" t="s">
        <v>36065</v>
      </c>
      <c r="B18332" s="2" t="s">
        <v>36066</v>
      </c>
      <c r="C18332" s="2" t="s">
        <v>124</v>
      </c>
      <c r="D18332" s="2" t="s">
        <v>3245</v>
      </c>
      <c r="E18332" s="2" t="str">
        <f>"9781032135045"</f>
        <v>9781032135045</v>
      </c>
      <c r="F18332" s="2" t="str">
        <f>"9781000539073"</f>
        <v>9781000539073</v>
      </c>
    </row>
    <row r="18333" spans="1:6" s="3" customFormat="1" ht="29.1" customHeight="1" x14ac:dyDescent="0.25">
      <c r="A18333" s="2" t="s">
        <v>36067</v>
      </c>
      <c r="B18333" s="2" t="s">
        <v>36068</v>
      </c>
      <c r="C18333" s="2" t="s">
        <v>124</v>
      </c>
      <c r="D18333" s="2" t="s">
        <v>8275</v>
      </c>
      <c r="E18333" s="2" t="str">
        <f>"9781032003085"</f>
        <v>9781032003085</v>
      </c>
      <c r="F18333" s="2" t="str">
        <f>"9781000545401"</f>
        <v>9781000545401</v>
      </c>
    </row>
    <row r="18334" spans="1:6" s="3" customFormat="1" ht="29.1" customHeight="1" x14ac:dyDescent="0.25">
      <c r="A18334" s="2" t="s">
        <v>36069</v>
      </c>
      <c r="B18334" s="2" t="s">
        <v>36070</v>
      </c>
      <c r="C18334" s="2" t="s">
        <v>124</v>
      </c>
      <c r="D18334" s="2" t="s">
        <v>353</v>
      </c>
      <c r="E18334" s="2" t="str">
        <f>"9780367415235"</f>
        <v>9780367415235</v>
      </c>
      <c r="F18334" s="2" t="str">
        <f>"9780367815011"</f>
        <v>9780367815011</v>
      </c>
    </row>
    <row r="18335" spans="1:6" s="3" customFormat="1" ht="29.1" customHeight="1" x14ac:dyDescent="0.25">
      <c r="A18335" s="2" t="s">
        <v>36071</v>
      </c>
      <c r="B18335" s="2" t="s">
        <v>36073</v>
      </c>
      <c r="C18335" s="2" t="s">
        <v>124</v>
      </c>
      <c r="D18335" s="2" t="s">
        <v>36072</v>
      </c>
      <c r="E18335" s="2" t="str">
        <f>"9781032037493"</f>
        <v>9781032037493</v>
      </c>
      <c r="F18335" s="2" t="str">
        <f>"9781000543216"</f>
        <v>9781000543216</v>
      </c>
    </row>
    <row r="18336" spans="1:6" s="3" customFormat="1" ht="29.1" customHeight="1" x14ac:dyDescent="0.25">
      <c r="A18336" s="2" t="s">
        <v>36074</v>
      </c>
      <c r="B18336" s="2" t="s">
        <v>36075</v>
      </c>
      <c r="C18336" s="2" t="s">
        <v>124</v>
      </c>
      <c r="D18336" s="2" t="s">
        <v>682</v>
      </c>
      <c r="E18336" s="2" t="str">
        <f>"9781032199665"</f>
        <v>9781032199665</v>
      </c>
      <c r="F18336" s="2" t="str">
        <f>"9781000540765"</f>
        <v>9781000540765</v>
      </c>
    </row>
    <row r="18337" spans="1:6" s="3" customFormat="1" ht="29.1" customHeight="1" x14ac:dyDescent="0.25">
      <c r="A18337" s="2" t="s">
        <v>36076</v>
      </c>
      <c r="B18337" s="2" t="s">
        <v>36077</v>
      </c>
      <c r="C18337" s="2" t="s">
        <v>62</v>
      </c>
      <c r="D18337" s="2" t="s">
        <v>125</v>
      </c>
      <c r="E18337" s="2" t="str">
        <f>"9783428183111"</f>
        <v>9783428183111</v>
      </c>
      <c r="F18337" s="2" t="str">
        <f>"9783428583119"</f>
        <v>9783428583119</v>
      </c>
    </row>
    <row r="18338" spans="1:6" s="3" customFormat="1" ht="29.1" customHeight="1" x14ac:dyDescent="0.25">
      <c r="A18338" s="2" t="s">
        <v>36078</v>
      </c>
      <c r="B18338" s="2" t="s">
        <v>36079</v>
      </c>
      <c r="C18338" s="2" t="s">
        <v>264</v>
      </c>
      <c r="D18338" s="2" t="s">
        <v>10447</v>
      </c>
      <c r="E18338" s="2" t="str">
        <f>"9780367505271"</f>
        <v>9780367505271</v>
      </c>
      <c r="F18338" s="2" t="str">
        <f>"9781000529777"</f>
        <v>9781000529777</v>
      </c>
    </row>
    <row r="18339" spans="1:6" s="3" customFormat="1" ht="29.1" customHeight="1" x14ac:dyDescent="0.25">
      <c r="A18339" s="2" t="s">
        <v>36080</v>
      </c>
      <c r="B18339" s="2" t="s">
        <v>36081</v>
      </c>
      <c r="C18339" s="2" t="s">
        <v>15181</v>
      </c>
      <c r="D18339" s="2" t="s">
        <v>1669</v>
      </c>
      <c r="E18339" s="2" t="str">
        <f>"9789633863695"</f>
        <v>9789633863695</v>
      </c>
      <c r="F18339" s="2" t="str">
        <f>"9789633863688"</f>
        <v>9789633863688</v>
      </c>
    </row>
    <row r="18340" spans="1:6" s="3" customFormat="1" ht="29.1" customHeight="1" x14ac:dyDescent="0.25">
      <c r="A18340" s="2" t="s">
        <v>36082</v>
      </c>
      <c r="B18340" s="2" t="s">
        <v>36083</v>
      </c>
      <c r="C18340" s="2" t="s">
        <v>15181</v>
      </c>
      <c r="D18340" s="2" t="s">
        <v>1466</v>
      </c>
      <c r="E18340" s="2" t="str">
        <f>"9789633863657"</f>
        <v>9789633863657</v>
      </c>
      <c r="F18340" s="2" t="str">
        <f>"9789633863640"</f>
        <v>9789633863640</v>
      </c>
    </row>
    <row r="18341" spans="1:6" s="3" customFormat="1" ht="29.1" customHeight="1" x14ac:dyDescent="0.25">
      <c r="A18341" s="2" t="s">
        <v>36084</v>
      </c>
      <c r="B18341" s="2" t="s">
        <v>36085</v>
      </c>
      <c r="C18341" s="2" t="s">
        <v>15181</v>
      </c>
      <c r="D18341" s="2" t="s">
        <v>21362</v>
      </c>
      <c r="E18341" s="2" t="str">
        <f>"9789633863671"</f>
        <v>9789633863671</v>
      </c>
      <c r="F18341" s="2" t="str">
        <f>"9789633863664"</f>
        <v>9789633863664</v>
      </c>
    </row>
    <row r="18342" spans="1:6" s="3" customFormat="1" ht="29.1" customHeight="1" x14ac:dyDescent="0.25">
      <c r="A18342" s="2" t="s">
        <v>36086</v>
      </c>
      <c r="B18342" s="2" t="s">
        <v>36087</v>
      </c>
      <c r="C18342" s="2" t="s">
        <v>15181</v>
      </c>
      <c r="D18342" s="2" t="s">
        <v>6669</v>
      </c>
      <c r="E18342" s="2" t="str">
        <f>"9789633863718"</f>
        <v>9789633863718</v>
      </c>
      <c r="F18342" s="2" t="str">
        <f>"9789633863701"</f>
        <v>9789633863701</v>
      </c>
    </row>
    <row r="18343" spans="1:6" s="3" customFormat="1" ht="29.1" customHeight="1" x14ac:dyDescent="0.25">
      <c r="A18343" s="2" t="s">
        <v>36088</v>
      </c>
      <c r="B18343" s="2" t="s">
        <v>36089</v>
      </c>
      <c r="C18343" s="2" t="s">
        <v>124</v>
      </c>
      <c r="D18343" s="2" t="s">
        <v>2013</v>
      </c>
      <c r="E18343" s="2" t="str">
        <f>"9781032130637"</f>
        <v>9781032130637</v>
      </c>
      <c r="F18343" s="2" t="str">
        <f>"9781000541557"</f>
        <v>9781000541557</v>
      </c>
    </row>
    <row r="18344" spans="1:6" s="3" customFormat="1" ht="29.1" customHeight="1" x14ac:dyDescent="0.25">
      <c r="A18344" s="2" t="s">
        <v>36090</v>
      </c>
      <c r="B18344" s="2" t="s">
        <v>36091</v>
      </c>
      <c r="C18344" s="2" t="s">
        <v>124</v>
      </c>
      <c r="D18344" s="2" t="s">
        <v>3958</v>
      </c>
      <c r="E18344" s="2" t="str">
        <f>"9781032063201"</f>
        <v>9781032063201</v>
      </c>
      <c r="F18344" s="2" t="str">
        <f>"9781000542417"</f>
        <v>9781000542417</v>
      </c>
    </row>
    <row r="18345" spans="1:6" s="3" customFormat="1" ht="29.1" customHeight="1" x14ac:dyDescent="0.25">
      <c r="A18345" s="2" t="s">
        <v>36092</v>
      </c>
      <c r="B18345" s="2" t="s">
        <v>36093</v>
      </c>
      <c r="C18345" s="2" t="s">
        <v>124</v>
      </c>
      <c r="D18345" s="2" t="s">
        <v>18161</v>
      </c>
      <c r="E18345" s="2" t="str">
        <f>"9781032147833"</f>
        <v>9781032147833</v>
      </c>
      <c r="F18345" s="2" t="str">
        <f>"9781000541939"</f>
        <v>9781000541939</v>
      </c>
    </row>
    <row r="18346" spans="1:6" s="3" customFormat="1" ht="29.1" customHeight="1" x14ac:dyDescent="0.25">
      <c r="A18346" s="2" t="s">
        <v>36094</v>
      </c>
      <c r="B18346" s="2" t="s">
        <v>36095</v>
      </c>
      <c r="C18346" s="2" t="s">
        <v>124</v>
      </c>
      <c r="D18346" s="2" t="s">
        <v>791</v>
      </c>
      <c r="E18346" s="2" t="str">
        <f>"9781032011318"</f>
        <v>9781032011318</v>
      </c>
      <c r="F18346" s="2" t="str">
        <f>"9781000541014"</f>
        <v>9781000541014</v>
      </c>
    </row>
    <row r="18347" spans="1:6" s="3" customFormat="1" ht="29.1" customHeight="1" x14ac:dyDescent="0.25">
      <c r="A18347" s="2" t="s">
        <v>36096</v>
      </c>
      <c r="B18347" s="2" t="s">
        <v>36097</v>
      </c>
      <c r="C18347" s="2" t="s">
        <v>55</v>
      </c>
      <c r="D18347" s="2" t="s">
        <v>202</v>
      </c>
      <c r="E18347" s="2" t="str">
        <f>"9789198557701"</f>
        <v>9789198557701</v>
      </c>
      <c r="F18347" s="2" t="str">
        <f>"9789198557718"</f>
        <v>9789198557718</v>
      </c>
    </row>
    <row r="18348" spans="1:6" s="3" customFormat="1" ht="29.1" customHeight="1" x14ac:dyDescent="0.25">
      <c r="A18348" s="2" t="s">
        <v>36098</v>
      </c>
      <c r="B18348" s="2" t="s">
        <v>36099</v>
      </c>
      <c r="C18348" s="2" t="s">
        <v>4788</v>
      </c>
      <c r="D18348" s="2" t="s">
        <v>4071</v>
      </c>
      <c r="E18348" s="2" t="str">
        <f>"9781474451642"</f>
        <v>9781474451642</v>
      </c>
      <c r="F18348" s="2" t="str">
        <f>"9781474451666"</f>
        <v>9781474451666</v>
      </c>
    </row>
    <row r="18349" spans="1:6" s="3" customFormat="1" ht="29.1" customHeight="1" x14ac:dyDescent="0.25">
      <c r="A18349" s="2" t="s">
        <v>36100</v>
      </c>
      <c r="B18349" s="2" t="s">
        <v>36102</v>
      </c>
      <c r="C18349" s="2" t="s">
        <v>4788</v>
      </c>
      <c r="D18349" s="2" t="s">
        <v>36101</v>
      </c>
      <c r="E18349" s="2" t="str">
        <f>"9781474481625"</f>
        <v>9781474481625</v>
      </c>
      <c r="F18349" s="2" t="str">
        <f>"9781474481649"</f>
        <v>9781474481649</v>
      </c>
    </row>
    <row r="18350" spans="1:6" s="3" customFormat="1" ht="29.1" customHeight="1" x14ac:dyDescent="0.25">
      <c r="A18350" s="2" t="s">
        <v>36103</v>
      </c>
      <c r="B18350" s="2" t="s">
        <v>36105</v>
      </c>
      <c r="C18350" s="2" t="s">
        <v>4788</v>
      </c>
      <c r="D18350" s="2" t="s">
        <v>36104</v>
      </c>
      <c r="E18350" s="2" t="str">
        <f>"9781474462624"</f>
        <v>9781474462624</v>
      </c>
      <c r="F18350" s="2" t="str">
        <f>"9781474462648"</f>
        <v>9781474462648</v>
      </c>
    </row>
    <row r="18351" spans="1:6" s="3" customFormat="1" ht="29.1" customHeight="1" x14ac:dyDescent="0.25">
      <c r="A18351" s="2" t="s">
        <v>36106</v>
      </c>
      <c r="B18351" s="2" t="s">
        <v>36107</v>
      </c>
      <c r="C18351" s="2" t="s">
        <v>556</v>
      </c>
      <c r="D18351" s="2" t="s">
        <v>636</v>
      </c>
      <c r="E18351" s="2" t="str">
        <f>"9783837660111"</f>
        <v>9783837660111</v>
      </c>
      <c r="F18351" s="2" t="str">
        <f>"9783839460115"</f>
        <v>9783839460115</v>
      </c>
    </row>
    <row r="18352" spans="1:6" s="3" customFormat="1" ht="29.1" customHeight="1" x14ac:dyDescent="0.25">
      <c r="A18352" s="2" t="s">
        <v>36108</v>
      </c>
      <c r="B18352" s="2" t="s">
        <v>36109</v>
      </c>
      <c r="C18352" s="2" t="s">
        <v>556</v>
      </c>
      <c r="D18352" s="2" t="s">
        <v>639</v>
      </c>
      <c r="E18352" s="2" t="str">
        <f>"9783837660036"</f>
        <v>9783837660036</v>
      </c>
      <c r="F18352" s="2" t="str">
        <f>"9783839460030"</f>
        <v>9783839460030</v>
      </c>
    </row>
    <row r="18353" spans="1:6" s="3" customFormat="1" ht="29.1" customHeight="1" x14ac:dyDescent="0.25">
      <c r="A18353" s="2" t="s">
        <v>36110</v>
      </c>
      <c r="B18353" s="2" t="s">
        <v>36111</v>
      </c>
      <c r="C18353" s="2" t="s">
        <v>556</v>
      </c>
      <c r="D18353" s="2" t="s">
        <v>1189</v>
      </c>
      <c r="E18353" s="2" t="str">
        <f>"9783837659955"</f>
        <v>9783837659955</v>
      </c>
      <c r="F18353" s="2" t="str">
        <f>"9783839459959"</f>
        <v>9783839459959</v>
      </c>
    </row>
    <row r="18354" spans="1:6" s="3" customFormat="1" ht="29.1" customHeight="1" x14ac:dyDescent="0.25">
      <c r="A18354" s="2" t="s">
        <v>36112</v>
      </c>
      <c r="B18354" s="2" t="s">
        <v>36113</v>
      </c>
      <c r="C18354" s="2" t="s">
        <v>556</v>
      </c>
      <c r="D18354" s="2" t="s">
        <v>1262</v>
      </c>
      <c r="E18354" s="2" t="str">
        <f>"9783837659634"</f>
        <v>9783837659634</v>
      </c>
      <c r="F18354" s="2" t="str">
        <f>"9783732859634"</f>
        <v>9783732859634</v>
      </c>
    </row>
    <row r="18355" spans="1:6" s="3" customFormat="1" ht="29.1" customHeight="1" x14ac:dyDescent="0.25">
      <c r="A18355" s="2" t="s">
        <v>36114</v>
      </c>
      <c r="B18355" s="2" t="s">
        <v>36115</v>
      </c>
      <c r="C18355" s="2" t="s">
        <v>556</v>
      </c>
      <c r="D18355" s="2" t="s">
        <v>1189</v>
      </c>
      <c r="E18355" s="2" t="str">
        <f>"9783837659450"</f>
        <v>9783837659450</v>
      </c>
      <c r="F18355" s="2" t="str">
        <f>"9783839459454"</f>
        <v>9783839459454</v>
      </c>
    </row>
    <row r="18356" spans="1:6" s="3" customFormat="1" ht="29.1" customHeight="1" x14ac:dyDescent="0.25">
      <c r="A18356" s="2" t="s">
        <v>36116</v>
      </c>
      <c r="B18356" s="2" t="s">
        <v>36117</v>
      </c>
      <c r="C18356" s="2" t="s">
        <v>556</v>
      </c>
      <c r="D18356" s="2" t="s">
        <v>2005</v>
      </c>
      <c r="E18356" s="2" t="str">
        <f>"9783837659306"</f>
        <v>9783837659306</v>
      </c>
      <c r="F18356" s="2" t="str">
        <f>"9783839459300"</f>
        <v>9783839459300</v>
      </c>
    </row>
    <row r="18357" spans="1:6" s="3" customFormat="1" ht="29.1" customHeight="1" x14ac:dyDescent="0.25">
      <c r="A18357" s="2" t="s">
        <v>36118</v>
      </c>
      <c r="B18357" s="2" t="s">
        <v>561</v>
      </c>
      <c r="C18357" s="2" t="s">
        <v>556</v>
      </c>
      <c r="D18357" s="2" t="s">
        <v>215</v>
      </c>
      <c r="E18357" s="2" t="str">
        <f>"9783837658644"</f>
        <v>9783837658644</v>
      </c>
      <c r="F18357" s="2" t="str">
        <f>"9783839458648"</f>
        <v>9783839458648</v>
      </c>
    </row>
    <row r="18358" spans="1:6" s="3" customFormat="1" ht="29.1" customHeight="1" x14ac:dyDescent="0.25">
      <c r="A18358" s="2" t="s">
        <v>36119</v>
      </c>
      <c r="B18358" s="2" t="s">
        <v>36120</v>
      </c>
      <c r="C18358" s="2" t="s">
        <v>556</v>
      </c>
      <c r="D18358" s="2" t="s">
        <v>2336</v>
      </c>
      <c r="E18358" s="2" t="str">
        <f>"9783837658484"</f>
        <v>9783837658484</v>
      </c>
      <c r="F18358" s="2" t="str">
        <f>"9783839458488"</f>
        <v>9783839458488</v>
      </c>
    </row>
    <row r="18359" spans="1:6" s="3" customFormat="1" ht="29.1" customHeight="1" x14ac:dyDescent="0.25">
      <c r="A18359" s="2" t="s">
        <v>36121</v>
      </c>
      <c r="B18359" s="2" t="s">
        <v>36122</v>
      </c>
      <c r="C18359" s="2" t="s">
        <v>556</v>
      </c>
      <c r="D18359" s="2" t="s">
        <v>408</v>
      </c>
      <c r="E18359" s="2" t="str">
        <f>"9783837658323"</f>
        <v>9783837658323</v>
      </c>
      <c r="F18359" s="2" t="str">
        <f>"9783839458327"</f>
        <v>9783839458327</v>
      </c>
    </row>
    <row r="18360" spans="1:6" s="3" customFormat="1" ht="29.1" customHeight="1" x14ac:dyDescent="0.25">
      <c r="A18360" s="2" t="s">
        <v>36123</v>
      </c>
      <c r="B18360" s="2" t="s">
        <v>36124</v>
      </c>
      <c r="C18360" s="2" t="s">
        <v>556</v>
      </c>
      <c r="D18360" s="2" t="s">
        <v>408</v>
      </c>
      <c r="E18360" s="2" t="str">
        <f>"9783837658231"</f>
        <v>9783837658231</v>
      </c>
      <c r="F18360" s="2" t="str">
        <f>"9783839458235"</f>
        <v>9783839458235</v>
      </c>
    </row>
    <row r="18361" spans="1:6" s="3" customFormat="1" ht="29.1" customHeight="1" x14ac:dyDescent="0.25">
      <c r="A18361" s="2" t="s">
        <v>36125</v>
      </c>
      <c r="B18361" s="2" t="s">
        <v>36126</v>
      </c>
      <c r="C18361" s="2" t="s">
        <v>556</v>
      </c>
      <c r="D18361" s="2" t="s">
        <v>1809</v>
      </c>
      <c r="E18361" s="2" t="str">
        <f>"9783837658019"</f>
        <v>9783837658019</v>
      </c>
      <c r="F18361" s="2" t="str">
        <f>"9783839458013"</f>
        <v>9783839458013</v>
      </c>
    </row>
    <row r="18362" spans="1:6" s="3" customFormat="1" ht="29.1" customHeight="1" x14ac:dyDescent="0.25">
      <c r="A18362" s="2" t="s">
        <v>36127</v>
      </c>
      <c r="B18362" s="2" t="s">
        <v>36128</v>
      </c>
      <c r="C18362" s="2" t="s">
        <v>556</v>
      </c>
      <c r="D18362" s="2" t="s">
        <v>2336</v>
      </c>
      <c r="E18362" s="2" t="str">
        <f>"9783837658002"</f>
        <v>9783837658002</v>
      </c>
      <c r="F18362" s="2" t="str">
        <f>"9783839458006"</f>
        <v>9783839458006</v>
      </c>
    </row>
    <row r="18363" spans="1:6" s="3" customFormat="1" ht="29.1" customHeight="1" x14ac:dyDescent="0.25">
      <c r="A18363" s="2" t="s">
        <v>36129</v>
      </c>
      <c r="B18363" s="2" t="s">
        <v>36130</v>
      </c>
      <c r="C18363" s="2" t="s">
        <v>556</v>
      </c>
      <c r="D18363" s="2" t="s">
        <v>35011</v>
      </c>
      <c r="E18363" s="2" t="str">
        <f>"9783837657913"</f>
        <v>9783837657913</v>
      </c>
      <c r="F18363" s="2" t="str">
        <f>"9783839457917"</f>
        <v>9783839457917</v>
      </c>
    </row>
    <row r="18364" spans="1:6" s="3" customFormat="1" ht="29.1" customHeight="1" x14ac:dyDescent="0.25">
      <c r="A18364" s="2" t="s">
        <v>36131</v>
      </c>
      <c r="B18364" s="2" t="s">
        <v>36132</v>
      </c>
      <c r="C18364" s="2" t="s">
        <v>556</v>
      </c>
      <c r="D18364" s="2" t="s">
        <v>7199</v>
      </c>
      <c r="E18364" s="2" t="str">
        <f>"9783837657906"</f>
        <v>9783837657906</v>
      </c>
      <c r="F18364" s="2" t="str">
        <f>"9783839457900"</f>
        <v>9783839457900</v>
      </c>
    </row>
    <row r="18365" spans="1:6" s="3" customFormat="1" ht="29.1" customHeight="1" x14ac:dyDescent="0.25">
      <c r="A18365" s="2" t="s">
        <v>36133</v>
      </c>
      <c r="B18365" s="2" t="s">
        <v>36134</v>
      </c>
      <c r="C18365" s="2" t="s">
        <v>556</v>
      </c>
      <c r="D18365" s="2" t="s">
        <v>4016</v>
      </c>
      <c r="E18365" s="2" t="str">
        <f>"9783837657821"</f>
        <v>9783837657821</v>
      </c>
      <c r="F18365" s="2" t="str">
        <f>"9783732857821"</f>
        <v>9783732857821</v>
      </c>
    </row>
    <row r="18366" spans="1:6" s="3" customFormat="1" ht="29.1" customHeight="1" x14ac:dyDescent="0.25">
      <c r="A18366" s="2" t="s">
        <v>36135</v>
      </c>
      <c r="B18366" s="2" t="s">
        <v>36136</v>
      </c>
      <c r="C18366" s="2" t="s">
        <v>556</v>
      </c>
      <c r="D18366" s="2" t="s">
        <v>490</v>
      </c>
      <c r="E18366" s="2" t="str">
        <f>"9783837657500"</f>
        <v>9783837657500</v>
      </c>
      <c r="F18366" s="2" t="str">
        <f>"9783839457504"</f>
        <v>9783839457504</v>
      </c>
    </row>
    <row r="18367" spans="1:6" s="3" customFormat="1" ht="29.1" customHeight="1" x14ac:dyDescent="0.25">
      <c r="A18367" s="2" t="s">
        <v>36137</v>
      </c>
      <c r="B18367" s="2" t="s">
        <v>36138</v>
      </c>
      <c r="C18367" s="2" t="s">
        <v>556</v>
      </c>
      <c r="D18367" s="2" t="s">
        <v>8642</v>
      </c>
      <c r="E18367" s="2" t="str">
        <f>"9783837657159"</f>
        <v>9783837657159</v>
      </c>
      <c r="F18367" s="2" t="str">
        <f>"9783839457153"</f>
        <v>9783839457153</v>
      </c>
    </row>
    <row r="18368" spans="1:6" s="3" customFormat="1" ht="29.1" customHeight="1" x14ac:dyDescent="0.25">
      <c r="A18368" s="2" t="s">
        <v>36139</v>
      </c>
      <c r="B18368" s="2" t="s">
        <v>36140</v>
      </c>
      <c r="C18368" s="2" t="s">
        <v>556</v>
      </c>
      <c r="D18368" s="2" t="s">
        <v>712</v>
      </c>
      <c r="E18368" s="2" t="str">
        <f>"9783837657029"</f>
        <v>9783837657029</v>
      </c>
      <c r="F18368" s="2" t="str">
        <f>"9783839457023"</f>
        <v>9783839457023</v>
      </c>
    </row>
    <row r="18369" spans="1:6" s="3" customFormat="1" ht="29.1" customHeight="1" x14ac:dyDescent="0.25">
      <c r="A18369" s="2" t="s">
        <v>36141</v>
      </c>
      <c r="B18369" s="2" t="s">
        <v>36142</v>
      </c>
      <c r="C18369" s="2" t="s">
        <v>556</v>
      </c>
      <c r="D18369" s="2" t="s">
        <v>32637</v>
      </c>
      <c r="E18369" s="2" t="str">
        <f>"9783837656978"</f>
        <v>9783837656978</v>
      </c>
      <c r="F18369" s="2" t="str">
        <f>"9783839456972"</f>
        <v>9783839456972</v>
      </c>
    </row>
    <row r="18370" spans="1:6" s="3" customFormat="1" ht="29.1" customHeight="1" x14ac:dyDescent="0.25">
      <c r="A18370" s="2" t="s">
        <v>36143</v>
      </c>
      <c r="B18370" s="2" t="s">
        <v>36144</v>
      </c>
      <c r="C18370" s="2" t="s">
        <v>556</v>
      </c>
      <c r="D18370" s="2" t="s">
        <v>2713</v>
      </c>
      <c r="E18370" s="2" t="str">
        <f>"9783837656947"</f>
        <v>9783837656947</v>
      </c>
      <c r="F18370" s="2" t="str">
        <f>"9783839456941"</f>
        <v>9783839456941</v>
      </c>
    </row>
    <row r="18371" spans="1:6" s="3" customFormat="1" ht="29.1" customHeight="1" x14ac:dyDescent="0.25">
      <c r="A18371" s="2" t="s">
        <v>36145</v>
      </c>
      <c r="B18371" s="2" t="s">
        <v>36146</v>
      </c>
      <c r="C18371" s="2" t="s">
        <v>556</v>
      </c>
      <c r="D18371" s="2" t="s">
        <v>553</v>
      </c>
      <c r="E18371" s="2" t="str">
        <f>"9783837656909"</f>
        <v>9783837656909</v>
      </c>
      <c r="F18371" s="2" t="str">
        <f>"9783839456903"</f>
        <v>9783839456903</v>
      </c>
    </row>
    <row r="18372" spans="1:6" s="3" customFormat="1" ht="29.1" customHeight="1" x14ac:dyDescent="0.25">
      <c r="A18372" s="2" t="s">
        <v>36147</v>
      </c>
      <c r="B18372" s="2" t="s">
        <v>36148</v>
      </c>
      <c r="C18372" s="2" t="s">
        <v>556</v>
      </c>
      <c r="D18372" s="2" t="s">
        <v>1752</v>
      </c>
      <c r="E18372" s="2" t="str">
        <f>"9783837656718"</f>
        <v>9783837656718</v>
      </c>
      <c r="F18372" s="2" t="str">
        <f>"9783839456712"</f>
        <v>9783839456712</v>
      </c>
    </row>
    <row r="18373" spans="1:6" s="3" customFormat="1" ht="29.1" customHeight="1" x14ac:dyDescent="0.25">
      <c r="A18373" s="2" t="s">
        <v>36149</v>
      </c>
      <c r="B18373" s="2" t="s">
        <v>36150</v>
      </c>
      <c r="C18373" s="2" t="s">
        <v>556</v>
      </c>
      <c r="D18373" s="2" t="s">
        <v>1155</v>
      </c>
      <c r="E18373" s="2" t="str">
        <f>"9783837656596"</f>
        <v>9783837656596</v>
      </c>
      <c r="F18373" s="2" t="str">
        <f>"9783732856596"</f>
        <v>9783732856596</v>
      </c>
    </row>
    <row r="18374" spans="1:6" s="3" customFormat="1" ht="29.1" customHeight="1" x14ac:dyDescent="0.25">
      <c r="A18374" s="2" t="s">
        <v>36151</v>
      </c>
      <c r="B18374" s="2" t="s">
        <v>36152</v>
      </c>
      <c r="C18374" s="2" t="s">
        <v>556</v>
      </c>
      <c r="D18374" s="2" t="s">
        <v>446</v>
      </c>
      <c r="E18374" s="2" t="str">
        <f>"9783837655735"</f>
        <v>9783837655735</v>
      </c>
      <c r="F18374" s="2" t="str">
        <f>"9783839455739"</f>
        <v>9783839455739</v>
      </c>
    </row>
    <row r="18375" spans="1:6" s="3" customFormat="1" ht="29.1" customHeight="1" x14ac:dyDescent="0.25">
      <c r="A18375" s="2" t="s">
        <v>36153</v>
      </c>
      <c r="B18375" s="2" t="s">
        <v>36154</v>
      </c>
      <c r="C18375" s="2" t="s">
        <v>556</v>
      </c>
      <c r="D18375" s="2" t="s">
        <v>446</v>
      </c>
      <c r="E18375" s="2" t="str">
        <f>"9783837655636"</f>
        <v>9783837655636</v>
      </c>
      <c r="F18375" s="2" t="str">
        <f>"9783839455630"</f>
        <v>9783839455630</v>
      </c>
    </row>
    <row r="18376" spans="1:6" s="3" customFormat="1" ht="29.1" customHeight="1" x14ac:dyDescent="0.25">
      <c r="A18376" s="2" t="s">
        <v>36155</v>
      </c>
      <c r="B18376" s="2" t="s">
        <v>36156</v>
      </c>
      <c r="C18376" s="2" t="s">
        <v>556</v>
      </c>
      <c r="D18376" s="2" t="s">
        <v>1471</v>
      </c>
      <c r="E18376" s="2" t="str">
        <f>"9783837654691"</f>
        <v>9783837654691</v>
      </c>
      <c r="F18376" s="2" t="str">
        <f>"9783839454695"</f>
        <v>9783839454695</v>
      </c>
    </row>
    <row r="18377" spans="1:6" s="3" customFormat="1" ht="29.1" customHeight="1" x14ac:dyDescent="0.25">
      <c r="A18377" s="2" t="s">
        <v>36157</v>
      </c>
      <c r="B18377" s="2" t="s">
        <v>36158</v>
      </c>
      <c r="C18377" s="2" t="s">
        <v>556</v>
      </c>
      <c r="D18377" s="2" t="s">
        <v>712</v>
      </c>
      <c r="E18377" s="2" t="str">
        <f>"9783837654387"</f>
        <v>9783837654387</v>
      </c>
      <c r="F18377" s="2" t="str">
        <f>"9783839454381"</f>
        <v>9783839454381</v>
      </c>
    </row>
    <row r="18378" spans="1:6" s="3" customFormat="1" ht="29.1" customHeight="1" x14ac:dyDescent="0.25">
      <c r="A18378" s="2" t="s">
        <v>36159</v>
      </c>
      <c r="B18378" s="2" t="s">
        <v>30620</v>
      </c>
      <c r="C18378" s="2" t="s">
        <v>556</v>
      </c>
      <c r="D18378" s="2" t="s">
        <v>202</v>
      </c>
      <c r="E18378" s="2" t="str">
        <f>"9783837653373"</f>
        <v>9783837653373</v>
      </c>
      <c r="F18378" s="2" t="str">
        <f>"9783839453377"</f>
        <v>9783839453377</v>
      </c>
    </row>
    <row r="18379" spans="1:6" s="3" customFormat="1" ht="29.1" customHeight="1" x14ac:dyDescent="0.25">
      <c r="A18379" s="2" t="s">
        <v>36160</v>
      </c>
      <c r="B18379" s="2" t="s">
        <v>36161</v>
      </c>
      <c r="C18379" s="2" t="s">
        <v>556</v>
      </c>
      <c r="D18379" s="2" t="s">
        <v>712</v>
      </c>
      <c r="E18379" s="2" t="str">
        <f>"9783837653205"</f>
        <v>9783837653205</v>
      </c>
      <c r="F18379" s="2" t="str">
        <f>"9783839453209"</f>
        <v>9783839453209</v>
      </c>
    </row>
    <row r="18380" spans="1:6" s="3" customFormat="1" ht="29.1" customHeight="1" x14ac:dyDescent="0.25">
      <c r="A18380" s="2" t="s">
        <v>36162</v>
      </c>
      <c r="B18380" s="2" t="s">
        <v>36163</v>
      </c>
      <c r="C18380" s="2" t="s">
        <v>556</v>
      </c>
      <c r="D18380" s="2" t="s">
        <v>5794</v>
      </c>
      <c r="E18380" s="2" t="str">
        <f>"9783837652772"</f>
        <v>9783837652772</v>
      </c>
      <c r="F18380" s="2" t="str">
        <f>"9783839452776"</f>
        <v>9783839452776</v>
      </c>
    </row>
    <row r="18381" spans="1:6" s="3" customFormat="1" ht="29.1" customHeight="1" x14ac:dyDescent="0.25">
      <c r="A18381" s="2" t="s">
        <v>36164</v>
      </c>
      <c r="B18381" s="2" t="s">
        <v>36165</v>
      </c>
      <c r="C18381" s="2" t="s">
        <v>556</v>
      </c>
      <c r="D18381" s="2" t="s">
        <v>21362</v>
      </c>
      <c r="E18381" s="2" t="str">
        <f>"9783837652123"</f>
        <v>9783837652123</v>
      </c>
      <c r="F18381" s="2" t="str">
        <f>"9783839452127"</f>
        <v>9783839452127</v>
      </c>
    </row>
    <row r="18382" spans="1:6" s="3" customFormat="1" ht="29.1" customHeight="1" x14ac:dyDescent="0.25">
      <c r="A18382" s="2" t="s">
        <v>36166</v>
      </c>
      <c r="B18382" s="2" t="s">
        <v>36167</v>
      </c>
      <c r="C18382" s="2" t="s">
        <v>556</v>
      </c>
      <c r="D18382" s="2" t="s">
        <v>78</v>
      </c>
      <c r="E18382" s="2" t="str">
        <f>"9783837648409"</f>
        <v>9783837648409</v>
      </c>
      <c r="F18382" s="2" t="str">
        <f>"9783839448403"</f>
        <v>9783839448403</v>
      </c>
    </row>
    <row r="18383" spans="1:6" s="3" customFormat="1" ht="29.1" customHeight="1" x14ac:dyDescent="0.25">
      <c r="A18383" s="2" t="s">
        <v>36168</v>
      </c>
      <c r="B18383" s="2" t="s">
        <v>36169</v>
      </c>
      <c r="C18383" s="2" t="s">
        <v>556</v>
      </c>
      <c r="D18383" s="2" t="s">
        <v>6200</v>
      </c>
      <c r="E18383" s="2" t="str">
        <f>"9783837647419"</f>
        <v>9783837647419</v>
      </c>
      <c r="F18383" s="2" t="str">
        <f>"9783839447413"</f>
        <v>9783839447413</v>
      </c>
    </row>
    <row r="18384" spans="1:6" s="3" customFormat="1" ht="29.1" customHeight="1" x14ac:dyDescent="0.25">
      <c r="A18384" s="2" t="s">
        <v>36170</v>
      </c>
      <c r="B18384" s="2" t="s">
        <v>36171</v>
      </c>
      <c r="C18384" s="2" t="s">
        <v>556</v>
      </c>
      <c r="D18384" s="2" t="s">
        <v>1109</v>
      </c>
      <c r="E18384" s="2" t="str">
        <f>"9783837646436"</f>
        <v>9783837646436</v>
      </c>
      <c r="F18384" s="2" t="str">
        <f>"9783839446430"</f>
        <v>9783839446430</v>
      </c>
    </row>
    <row r="18385" spans="1:6" s="3" customFormat="1" ht="29.1" customHeight="1" x14ac:dyDescent="0.25">
      <c r="A18385" s="2" t="s">
        <v>36172</v>
      </c>
      <c r="B18385" s="2" t="s">
        <v>36173</v>
      </c>
      <c r="C18385" s="2" t="s">
        <v>556</v>
      </c>
      <c r="D18385" s="2" t="s">
        <v>484</v>
      </c>
      <c r="E18385" s="2" t="str">
        <f>"9783837643541"</f>
        <v>9783837643541</v>
      </c>
      <c r="F18385" s="2" t="str">
        <f>"9783839443545"</f>
        <v>9783839443545</v>
      </c>
    </row>
    <row r="18386" spans="1:6" s="3" customFormat="1" ht="29.1" customHeight="1" x14ac:dyDescent="0.25">
      <c r="A18386" s="2" t="s">
        <v>36174</v>
      </c>
      <c r="B18386" s="2" t="s">
        <v>36175</v>
      </c>
      <c r="C18386" s="2" t="s">
        <v>885</v>
      </c>
      <c r="D18386" s="2" t="s">
        <v>23725</v>
      </c>
      <c r="E18386" s="2" t="str">
        <f>"9781487508906"</f>
        <v>9781487508906</v>
      </c>
      <c r="F18386" s="2" t="str">
        <f>"9781487539269"</f>
        <v>9781487539269</v>
      </c>
    </row>
    <row r="18387" spans="1:6" s="3" customFormat="1" ht="29.1" customHeight="1" x14ac:dyDescent="0.25">
      <c r="A18387" s="2" t="s">
        <v>36176</v>
      </c>
      <c r="B18387" s="2" t="s">
        <v>36177</v>
      </c>
      <c r="C18387" s="2" t="s">
        <v>885</v>
      </c>
      <c r="D18387" s="2" t="s">
        <v>1669</v>
      </c>
      <c r="E18387" s="2" t="str">
        <f>"9781487504458"</f>
        <v>9781487504458</v>
      </c>
      <c r="F18387" s="2" t="str">
        <f>"9781487530204"</f>
        <v>9781487530204</v>
      </c>
    </row>
    <row r="18388" spans="1:6" s="3" customFormat="1" ht="29.1" customHeight="1" x14ac:dyDescent="0.25">
      <c r="A18388" s="2" t="s">
        <v>36178</v>
      </c>
      <c r="B18388" s="2" t="s">
        <v>36179</v>
      </c>
      <c r="C18388" s="2" t="s">
        <v>885</v>
      </c>
      <c r="D18388" s="2" t="s">
        <v>3033</v>
      </c>
      <c r="E18388" s="2" t="str">
        <f>"9781442637559"</f>
        <v>9781442637559</v>
      </c>
      <c r="F18388" s="2" t="str">
        <f>"9781442625600"</f>
        <v>9781442625600</v>
      </c>
    </row>
    <row r="18389" spans="1:6" s="3" customFormat="1" ht="29.1" customHeight="1" x14ac:dyDescent="0.25">
      <c r="A18389" s="2" t="s">
        <v>36180</v>
      </c>
      <c r="B18389" s="2" t="s">
        <v>36181</v>
      </c>
      <c r="C18389" s="2" t="s">
        <v>885</v>
      </c>
      <c r="D18389" s="2" t="s">
        <v>1669</v>
      </c>
      <c r="E18389" s="2" t="str">
        <f>"9781442637191"</f>
        <v>9781442637191</v>
      </c>
      <c r="F18389" s="2" t="str">
        <f>"9781442624733"</f>
        <v>9781442624733</v>
      </c>
    </row>
    <row r="18390" spans="1:6" s="3" customFormat="1" ht="29.1" customHeight="1" x14ac:dyDescent="0.25">
      <c r="A18390" s="2" t="s">
        <v>36182</v>
      </c>
      <c r="B18390" s="2" t="s">
        <v>36183</v>
      </c>
      <c r="C18390" s="2" t="s">
        <v>124</v>
      </c>
      <c r="D18390" s="2" t="s">
        <v>1262</v>
      </c>
      <c r="E18390" s="2" t="str">
        <f>"9780367757694"</f>
        <v>9780367757694</v>
      </c>
      <c r="F18390" s="2" t="str">
        <f>"9781000453324"</f>
        <v>9781000453324</v>
      </c>
    </row>
    <row r="18391" spans="1:6" s="3" customFormat="1" ht="29.1" customHeight="1" x14ac:dyDescent="0.25">
      <c r="A18391" s="2" t="s">
        <v>36184</v>
      </c>
      <c r="B18391" s="2" t="s">
        <v>36185</v>
      </c>
      <c r="C18391" s="2" t="s">
        <v>36</v>
      </c>
      <c r="D18391" s="2" t="s">
        <v>4244</v>
      </c>
      <c r="E18391" s="2" t="str">
        <f>"9781447357209"</f>
        <v>9781447357209</v>
      </c>
      <c r="F18391" s="2" t="str">
        <f>"9781447357230"</f>
        <v>9781447357230</v>
      </c>
    </row>
    <row r="18392" spans="1:6" s="3" customFormat="1" ht="29.1" customHeight="1" x14ac:dyDescent="0.25">
      <c r="A18392" s="2" t="s">
        <v>36186</v>
      </c>
      <c r="B18392" s="2" t="s">
        <v>36187</v>
      </c>
      <c r="C18392" s="2" t="s">
        <v>36</v>
      </c>
      <c r="D18392" s="2" t="s">
        <v>183</v>
      </c>
      <c r="E18392" s="2" t="str">
        <f>"9781529207804"</f>
        <v>9781529207804</v>
      </c>
      <c r="F18392" s="2" t="str">
        <f>"9781529207903"</f>
        <v>9781529207903</v>
      </c>
    </row>
    <row r="18393" spans="1:6" s="3" customFormat="1" ht="29.1" customHeight="1" x14ac:dyDescent="0.25">
      <c r="A18393" s="2" t="s">
        <v>36188</v>
      </c>
      <c r="B18393" s="2" t="s">
        <v>36189</v>
      </c>
      <c r="C18393" s="2" t="s">
        <v>15885</v>
      </c>
      <c r="D18393" s="2" t="s">
        <v>1013</v>
      </c>
      <c r="E18393" s="2" t="str">
        <f>"9781944455149"</f>
        <v>9781944455149</v>
      </c>
      <c r="F18393" s="2" t="str">
        <f>"9781944455187"</f>
        <v>9781944455187</v>
      </c>
    </row>
    <row r="18394" spans="1:6" s="3" customFormat="1" ht="29.1" customHeight="1" x14ac:dyDescent="0.25">
      <c r="A18394" s="2" t="s">
        <v>36190</v>
      </c>
      <c r="B18394" s="2" t="s">
        <v>36191</v>
      </c>
      <c r="C18394" s="2" t="s">
        <v>29</v>
      </c>
      <c r="D18394" s="2" t="s">
        <v>192</v>
      </c>
      <c r="E18394" s="2" t="str">
        <f>"9789004461659"</f>
        <v>9789004461659</v>
      </c>
      <c r="F18394" s="2" t="str">
        <f>"9789004461666"</f>
        <v>9789004461666</v>
      </c>
    </row>
    <row r="18395" spans="1:6" s="3" customFormat="1" ht="29.1" customHeight="1" x14ac:dyDescent="0.25">
      <c r="A18395" s="2" t="s">
        <v>36192</v>
      </c>
      <c r="B18395" s="2" t="s">
        <v>36193</v>
      </c>
      <c r="C18395" s="2" t="s">
        <v>248</v>
      </c>
      <c r="D18395" s="2" t="s">
        <v>249</v>
      </c>
      <c r="E18395" s="2" t="str">
        <f>"9783847425045"</f>
        <v>9783847425045</v>
      </c>
      <c r="F18395" s="2" t="str">
        <f>"9783847416470"</f>
        <v>9783847416470</v>
      </c>
    </row>
    <row r="18396" spans="1:6" s="3" customFormat="1" ht="29.1" customHeight="1" x14ac:dyDescent="0.25">
      <c r="A18396" s="2" t="s">
        <v>36194</v>
      </c>
      <c r="B18396" s="2" t="s">
        <v>36195</v>
      </c>
      <c r="C18396" s="2" t="s">
        <v>248</v>
      </c>
      <c r="D18396" s="2" t="s">
        <v>2045</v>
      </c>
      <c r="E18396" s="2" t="str">
        <f>"9783847425533"</f>
        <v>9783847425533</v>
      </c>
      <c r="F18396" s="2" t="str">
        <f>"9783847417002"</f>
        <v>9783847417002</v>
      </c>
    </row>
    <row r="18397" spans="1:6" s="3" customFormat="1" ht="29.1" customHeight="1" x14ac:dyDescent="0.25">
      <c r="A18397" s="2" t="s">
        <v>36196</v>
      </c>
      <c r="B18397" s="2" t="s">
        <v>36197</v>
      </c>
      <c r="C18397" s="2" t="s">
        <v>248</v>
      </c>
      <c r="D18397" s="2" t="s">
        <v>2045</v>
      </c>
      <c r="E18397" s="2" t="str">
        <f>"9783847425083"</f>
        <v>9783847425083</v>
      </c>
      <c r="F18397" s="2" t="str">
        <f>"9783847416500"</f>
        <v>9783847416500</v>
      </c>
    </row>
    <row r="18398" spans="1:6" s="3" customFormat="1" ht="29.1" customHeight="1" x14ac:dyDescent="0.25">
      <c r="A18398" s="2" t="s">
        <v>36198</v>
      </c>
      <c r="B18398" s="2" t="s">
        <v>36199</v>
      </c>
      <c r="C18398" s="2" t="s">
        <v>248</v>
      </c>
      <c r="D18398" s="2" t="s">
        <v>6972</v>
      </c>
      <c r="E18398" s="2" t="str">
        <f>"9783847425458"</f>
        <v>9783847425458</v>
      </c>
      <c r="F18398" s="2" t="str">
        <f>"9783847416913"</f>
        <v>9783847416913</v>
      </c>
    </row>
    <row r="18399" spans="1:6" s="3" customFormat="1" ht="29.1" customHeight="1" x14ac:dyDescent="0.25">
      <c r="A18399" s="2" t="s">
        <v>36200</v>
      </c>
      <c r="B18399" s="2" t="s">
        <v>36201</v>
      </c>
      <c r="C18399" s="2" t="s">
        <v>644</v>
      </c>
      <c r="D18399" s="2" t="s">
        <v>202</v>
      </c>
      <c r="E18399" s="2"/>
      <c r="F18399" s="2" t="str">
        <f>"9781478092605"</f>
        <v>9781478092605</v>
      </c>
    </row>
    <row r="18400" spans="1:6" s="3" customFormat="1" ht="29.1" customHeight="1" x14ac:dyDescent="0.25">
      <c r="A18400" s="2" t="s">
        <v>36202</v>
      </c>
      <c r="B18400" s="2" t="s">
        <v>36203</v>
      </c>
      <c r="C18400" s="2" t="s">
        <v>264</v>
      </c>
      <c r="D18400" s="2" t="s">
        <v>850</v>
      </c>
      <c r="E18400" s="2" t="str">
        <f>"9780750302678"</f>
        <v>9780750302678</v>
      </c>
      <c r="F18400" s="2" t="str">
        <f>"9780367805807"</f>
        <v>9780367805807</v>
      </c>
    </row>
    <row r="18401" spans="1:6" s="3" customFormat="1" ht="29.1" customHeight="1" x14ac:dyDescent="0.25">
      <c r="A18401" s="2" t="s">
        <v>36204</v>
      </c>
      <c r="B18401" s="2" t="s">
        <v>36205</v>
      </c>
      <c r="C18401" s="2" t="s">
        <v>264</v>
      </c>
      <c r="D18401" s="2" t="s">
        <v>2880</v>
      </c>
      <c r="E18401" s="2" t="str">
        <f>"9780750304924"</f>
        <v>9780750304924</v>
      </c>
      <c r="F18401" s="2" t="str">
        <f>"9780367806637"</f>
        <v>9780367806637</v>
      </c>
    </row>
    <row r="18402" spans="1:6" s="3" customFormat="1" ht="29.1" customHeight="1" x14ac:dyDescent="0.25">
      <c r="A18402" s="2" t="s">
        <v>36206</v>
      </c>
      <c r="B18402" s="2" t="s">
        <v>36207</v>
      </c>
      <c r="C18402" s="2" t="s">
        <v>124</v>
      </c>
      <c r="D18402" s="2" t="s">
        <v>81</v>
      </c>
      <c r="E18402" s="2" t="str">
        <f>"9781032149479"</f>
        <v>9781032149479</v>
      </c>
      <c r="F18402" s="2" t="str">
        <f>"9781000533088"</f>
        <v>9781000533088</v>
      </c>
    </row>
    <row r="18403" spans="1:6" s="3" customFormat="1" ht="29.1" customHeight="1" x14ac:dyDescent="0.25">
      <c r="A18403" s="2" t="s">
        <v>36208</v>
      </c>
      <c r="B18403" s="2" t="s">
        <v>36209</v>
      </c>
      <c r="C18403" s="2" t="s">
        <v>124</v>
      </c>
      <c r="D18403" s="2" t="s">
        <v>207</v>
      </c>
      <c r="E18403" s="2" t="str">
        <f>"9780367770556"</f>
        <v>9780367770556</v>
      </c>
      <c r="F18403" s="2" t="str">
        <f>"9781000539400"</f>
        <v>9781000539400</v>
      </c>
    </row>
    <row r="18404" spans="1:6" s="3" customFormat="1" ht="29.1" customHeight="1" x14ac:dyDescent="0.25">
      <c r="A18404" s="2" t="s">
        <v>36210</v>
      </c>
      <c r="B18404" s="2" t="s">
        <v>36211</v>
      </c>
      <c r="C18404" s="2" t="s">
        <v>124</v>
      </c>
      <c r="D18404" s="2" t="s">
        <v>1396</v>
      </c>
      <c r="E18404" s="2" t="str">
        <f>"9780367427719"</f>
        <v>9780367427719</v>
      </c>
      <c r="F18404" s="2" t="str">
        <f>"9780367855000"</f>
        <v>9780367855000</v>
      </c>
    </row>
    <row r="18405" spans="1:6" s="3" customFormat="1" ht="29.1" customHeight="1" x14ac:dyDescent="0.25">
      <c r="A18405" s="2" t="s">
        <v>36212</v>
      </c>
      <c r="B18405" s="2" t="s">
        <v>36213</v>
      </c>
      <c r="C18405" s="2" t="s">
        <v>29</v>
      </c>
      <c r="D18405" s="2" t="s">
        <v>9550</v>
      </c>
      <c r="E18405" s="2" t="str">
        <f>"9789086863624"</f>
        <v>9789086863624</v>
      </c>
      <c r="F18405" s="2" t="str">
        <f>"9789086869152"</f>
        <v>9789086869152</v>
      </c>
    </row>
    <row r="18406" spans="1:6" s="3" customFormat="1" ht="29.1" customHeight="1" x14ac:dyDescent="0.25">
      <c r="A18406" s="2" t="s">
        <v>36214</v>
      </c>
      <c r="B18406" s="2" t="s">
        <v>36215</v>
      </c>
      <c r="C18406" s="2" t="s">
        <v>149</v>
      </c>
      <c r="D18406" s="2" t="s">
        <v>5319</v>
      </c>
      <c r="E18406" s="2" t="str">
        <f>"9781800642126"</f>
        <v>9781800642126</v>
      </c>
      <c r="F18406" s="2" t="str">
        <f>"9781800642140"</f>
        <v>9781800642140</v>
      </c>
    </row>
    <row r="18407" spans="1:6" s="3" customFormat="1" ht="29.1" customHeight="1" x14ac:dyDescent="0.25">
      <c r="A18407" s="2" t="s">
        <v>36216</v>
      </c>
      <c r="B18407" s="2" t="s">
        <v>36217</v>
      </c>
      <c r="C18407" s="2" t="s">
        <v>7395</v>
      </c>
      <c r="D18407" s="2" t="s">
        <v>49</v>
      </c>
      <c r="E18407" s="2" t="str">
        <f>"9780295748993"</f>
        <v>9780295748993</v>
      </c>
      <c r="F18407" s="2" t="str">
        <f>"9780295749013"</f>
        <v>9780295749013</v>
      </c>
    </row>
    <row r="18408" spans="1:6" s="3" customFormat="1" ht="29.1" customHeight="1" x14ac:dyDescent="0.25">
      <c r="A18408" s="2" t="s">
        <v>36218</v>
      </c>
      <c r="B18408" s="2" t="s">
        <v>36219</v>
      </c>
      <c r="C18408" s="2" t="s">
        <v>124</v>
      </c>
      <c r="D18408" s="2" t="s">
        <v>694</v>
      </c>
      <c r="E18408" s="2" t="str">
        <f>"9781032063645"</f>
        <v>9781032063645</v>
      </c>
      <c r="F18408" s="2" t="str">
        <f>"9781000536508"</f>
        <v>9781000536508</v>
      </c>
    </row>
    <row r="18409" spans="1:6" s="3" customFormat="1" ht="29.1" customHeight="1" x14ac:dyDescent="0.25">
      <c r="A18409" s="2" t="s">
        <v>36220</v>
      </c>
      <c r="B18409" s="2" t="s">
        <v>36221</v>
      </c>
      <c r="C18409" s="2" t="s">
        <v>124</v>
      </c>
      <c r="D18409" s="2" t="s">
        <v>462</v>
      </c>
      <c r="E18409" s="2" t="str">
        <f>"9781032196503"</f>
        <v>9781032196503</v>
      </c>
      <c r="F18409" s="2" t="str">
        <f>"9781000538083"</f>
        <v>9781000538083</v>
      </c>
    </row>
    <row r="18410" spans="1:6" s="3" customFormat="1" ht="29.1" customHeight="1" x14ac:dyDescent="0.25">
      <c r="A18410" s="2" t="s">
        <v>36222</v>
      </c>
      <c r="B18410" s="2" t="s">
        <v>36223</v>
      </c>
      <c r="C18410" s="2" t="s">
        <v>124</v>
      </c>
      <c r="D18410" s="2" t="s">
        <v>334</v>
      </c>
      <c r="E18410" s="2" t="str">
        <f>"9781032025841"</f>
        <v>9781032025841</v>
      </c>
      <c r="F18410" s="2" t="str">
        <f>"9781000538403"</f>
        <v>9781000538403</v>
      </c>
    </row>
    <row r="18411" spans="1:6" s="3" customFormat="1" ht="29.1" customHeight="1" x14ac:dyDescent="0.25">
      <c r="A18411" s="2" t="s">
        <v>36224</v>
      </c>
      <c r="B18411" s="2" t="s">
        <v>36225</v>
      </c>
      <c r="C18411" s="2" t="s">
        <v>124</v>
      </c>
      <c r="D18411" s="2" t="s">
        <v>75</v>
      </c>
      <c r="E18411" s="2" t="str">
        <f>"9781032168203"</f>
        <v>9781032168203</v>
      </c>
      <c r="F18411" s="2" t="str">
        <f>"9781000538663"</f>
        <v>9781000538663</v>
      </c>
    </row>
    <row r="18412" spans="1:6" s="3" customFormat="1" ht="29.1" customHeight="1" x14ac:dyDescent="0.25">
      <c r="A18412" s="2" t="s">
        <v>36226</v>
      </c>
      <c r="B18412" s="2" t="s">
        <v>36227</v>
      </c>
      <c r="C18412" s="2" t="s">
        <v>124</v>
      </c>
      <c r="D18412" s="2" t="s">
        <v>4190</v>
      </c>
      <c r="E18412" s="2" t="str">
        <f>"9781032135632"</f>
        <v>9781032135632</v>
      </c>
      <c r="F18412" s="2" t="str">
        <f>"9781000536669"</f>
        <v>9781000536669</v>
      </c>
    </row>
    <row r="18413" spans="1:6" s="3" customFormat="1" ht="29.1" customHeight="1" x14ac:dyDescent="0.25">
      <c r="A18413" s="2" t="s">
        <v>36228</v>
      </c>
      <c r="B18413" s="2" t="s">
        <v>36229</v>
      </c>
      <c r="C18413" s="2" t="s">
        <v>124</v>
      </c>
      <c r="D18413" s="2" t="s">
        <v>297</v>
      </c>
      <c r="E18413" s="2" t="str">
        <f>"9781032200170"</f>
        <v>9781032200170</v>
      </c>
      <c r="F18413" s="2" t="str">
        <f>"9781351267380"</f>
        <v>9781351267380</v>
      </c>
    </row>
    <row r="18414" spans="1:6" s="3" customFormat="1" ht="29.1" customHeight="1" x14ac:dyDescent="0.25">
      <c r="A18414" s="2" t="s">
        <v>36230</v>
      </c>
      <c r="B18414" s="2" t="s">
        <v>36231</v>
      </c>
      <c r="C18414" s="2" t="s">
        <v>124</v>
      </c>
      <c r="D18414" s="2" t="s">
        <v>15855</v>
      </c>
      <c r="E18414" s="2" t="str">
        <f>"9780367263904"</f>
        <v>9780367263904</v>
      </c>
      <c r="F18414" s="2" t="str">
        <f>"9780429293061"</f>
        <v>9780429293061</v>
      </c>
    </row>
    <row r="18415" spans="1:6" s="3" customFormat="1" ht="29.1" customHeight="1" x14ac:dyDescent="0.25">
      <c r="A18415" s="2" t="s">
        <v>36232</v>
      </c>
      <c r="B18415" s="2" t="s">
        <v>36233</v>
      </c>
      <c r="C18415" s="2" t="s">
        <v>124</v>
      </c>
      <c r="D18415" s="2" t="s">
        <v>1112</v>
      </c>
      <c r="E18415" s="2" t="str">
        <f>"9780367528393"</f>
        <v>9780367528393</v>
      </c>
      <c r="F18415" s="2" t="str">
        <f>"9781000536478"</f>
        <v>9781000536478</v>
      </c>
    </row>
    <row r="18416" spans="1:6" s="3" customFormat="1" ht="29.1" customHeight="1" x14ac:dyDescent="0.25">
      <c r="A18416" s="2" t="s">
        <v>36234</v>
      </c>
      <c r="B18416" s="2" t="s">
        <v>36235</v>
      </c>
      <c r="C18416" s="2" t="s">
        <v>595</v>
      </c>
      <c r="D18416" s="2" t="s">
        <v>25255</v>
      </c>
      <c r="E18416" s="2" t="str">
        <f>"9782807618763"</f>
        <v>9782807618763</v>
      </c>
      <c r="F18416" s="2" t="str">
        <f>"9782807618770"</f>
        <v>9782807618770</v>
      </c>
    </row>
    <row r="18417" spans="1:6" s="3" customFormat="1" ht="29.1" customHeight="1" x14ac:dyDescent="0.25">
      <c r="A18417" s="2" t="s">
        <v>36236</v>
      </c>
      <c r="B18417" s="2" t="s">
        <v>36237</v>
      </c>
      <c r="C18417" s="2" t="s">
        <v>5059</v>
      </c>
      <c r="D18417" s="2" t="s">
        <v>72</v>
      </c>
      <c r="E18417" s="2" t="str">
        <f>"9781743324967"</f>
        <v>9781743324967</v>
      </c>
      <c r="F18417" s="2" t="str">
        <f>"9781743324974"</f>
        <v>9781743324974</v>
      </c>
    </row>
    <row r="18418" spans="1:6" s="3" customFormat="1" ht="29.1" customHeight="1" x14ac:dyDescent="0.25">
      <c r="A18418" s="2" t="s">
        <v>36238</v>
      </c>
      <c r="B18418" s="2" t="s">
        <v>36240</v>
      </c>
      <c r="C18418" s="2" t="s">
        <v>33535</v>
      </c>
      <c r="D18418" s="2" t="s">
        <v>36239</v>
      </c>
      <c r="E18418" s="2" t="str">
        <f>"9781649961945"</f>
        <v>9781649961945</v>
      </c>
      <c r="F18418" s="2" t="str">
        <f>"9781649962546"</f>
        <v>9781649962546</v>
      </c>
    </row>
    <row r="18419" spans="1:6" s="3" customFormat="1" ht="29.1" customHeight="1" x14ac:dyDescent="0.25">
      <c r="A18419" s="2" t="s">
        <v>36241</v>
      </c>
      <c r="B18419" s="2" t="s">
        <v>36240</v>
      </c>
      <c r="C18419" s="2" t="s">
        <v>33535</v>
      </c>
      <c r="D18419" s="2" t="s">
        <v>36242</v>
      </c>
      <c r="E18419" s="2" t="str">
        <f>"9781649960597"</f>
        <v>9781649960597</v>
      </c>
      <c r="F18419" s="2" t="str">
        <f>"9781649962362"</f>
        <v>9781649962362</v>
      </c>
    </row>
    <row r="18420" spans="1:6" s="3" customFormat="1" ht="29.1" customHeight="1" x14ac:dyDescent="0.25">
      <c r="A18420" s="2" t="s">
        <v>36243</v>
      </c>
      <c r="B18420" s="2" t="s">
        <v>36245</v>
      </c>
      <c r="C18420" s="2" t="s">
        <v>33535</v>
      </c>
      <c r="D18420" s="2" t="s">
        <v>36244</v>
      </c>
      <c r="E18420" s="2" t="str">
        <f>"9781649961648"</f>
        <v>9781649961648</v>
      </c>
      <c r="F18420" s="2" t="str">
        <f>"9781649962331"</f>
        <v>9781649962331</v>
      </c>
    </row>
    <row r="18421" spans="1:6" s="3" customFormat="1" ht="29.1" customHeight="1" x14ac:dyDescent="0.25">
      <c r="A18421" s="2" t="s">
        <v>36246</v>
      </c>
      <c r="B18421" s="2" t="s">
        <v>36247</v>
      </c>
      <c r="C18421" s="2" t="s">
        <v>124</v>
      </c>
      <c r="D18421" s="2" t="s">
        <v>636</v>
      </c>
      <c r="E18421" s="2" t="str">
        <f>"9781032028682"</f>
        <v>9781032028682</v>
      </c>
      <c r="F18421" s="2" t="str">
        <f>"9781000441635"</f>
        <v>9781000441635</v>
      </c>
    </row>
    <row r="18422" spans="1:6" s="3" customFormat="1" ht="29.1" customHeight="1" x14ac:dyDescent="0.25">
      <c r="A18422" s="2" t="s">
        <v>36248</v>
      </c>
      <c r="B18422" s="2" t="s">
        <v>36250</v>
      </c>
      <c r="C18422" s="2" t="s">
        <v>8104</v>
      </c>
      <c r="D18422" s="2" t="s">
        <v>36249</v>
      </c>
      <c r="E18422" s="2" t="str">
        <f>"9781800734258"</f>
        <v>9781800734258</v>
      </c>
      <c r="F18422" s="2" t="str">
        <f>"9781800734265"</f>
        <v>9781800734265</v>
      </c>
    </row>
    <row r="18423" spans="1:6" s="3" customFormat="1" ht="29.1" customHeight="1" x14ac:dyDescent="0.25">
      <c r="A18423" s="2" t="s">
        <v>36251</v>
      </c>
      <c r="B18423" s="2" t="s">
        <v>36252</v>
      </c>
      <c r="C18423" s="2" t="s">
        <v>8104</v>
      </c>
      <c r="D18423" s="2" t="s">
        <v>636</v>
      </c>
      <c r="E18423" s="2" t="str">
        <f>"9781800734548"</f>
        <v>9781800734548</v>
      </c>
      <c r="F18423" s="2" t="str">
        <f>"9781800734555"</f>
        <v>9781800734555</v>
      </c>
    </row>
    <row r="18424" spans="1:6" s="3" customFormat="1" ht="29.1" customHeight="1" x14ac:dyDescent="0.25">
      <c r="A18424" s="2" t="s">
        <v>36253</v>
      </c>
      <c r="B18424" s="2" t="s">
        <v>36255</v>
      </c>
      <c r="C18424" s="2" t="s">
        <v>36254</v>
      </c>
      <c r="D18424" s="2" t="s">
        <v>553</v>
      </c>
      <c r="E18424" s="2" t="str">
        <f>"9781928357315"</f>
        <v>9781928357315</v>
      </c>
      <c r="F18424" s="2" t="str">
        <f>"9781928357322"</f>
        <v>9781928357322</v>
      </c>
    </row>
    <row r="18425" spans="1:6" s="3" customFormat="1" ht="29.1" customHeight="1" x14ac:dyDescent="0.25">
      <c r="A18425" s="2" t="s">
        <v>36256</v>
      </c>
      <c r="B18425" s="2" t="s">
        <v>36257</v>
      </c>
      <c r="C18425" s="2" t="s">
        <v>36254</v>
      </c>
      <c r="D18425" s="2" t="s">
        <v>3958</v>
      </c>
      <c r="E18425" s="2" t="str">
        <f>"9781928357179"</f>
        <v>9781928357179</v>
      </c>
      <c r="F18425" s="2" t="str">
        <f>"9781928357186"</f>
        <v>9781928357186</v>
      </c>
    </row>
    <row r="18426" spans="1:6" s="3" customFormat="1" ht="29.1" customHeight="1" x14ac:dyDescent="0.25">
      <c r="A18426" s="2" t="s">
        <v>36258</v>
      </c>
      <c r="B18426" s="2" t="s">
        <v>36259</v>
      </c>
      <c r="C18426" s="2" t="s">
        <v>36254</v>
      </c>
      <c r="D18426" s="2" t="s">
        <v>553</v>
      </c>
      <c r="E18426" s="2" t="str">
        <f>"9781920338596"</f>
        <v>9781920338596</v>
      </c>
      <c r="F18426" s="2" t="str">
        <f>"9781920338602"</f>
        <v>9781920338602</v>
      </c>
    </row>
    <row r="18427" spans="1:6" s="3" customFormat="1" ht="29.1" customHeight="1" x14ac:dyDescent="0.25">
      <c r="A18427" s="2" t="s">
        <v>36260</v>
      </c>
      <c r="B18427" s="2" t="s">
        <v>36261</v>
      </c>
      <c r="C18427" s="2" t="s">
        <v>36254</v>
      </c>
      <c r="D18427" s="2" t="s">
        <v>553</v>
      </c>
      <c r="E18427" s="2" t="str">
        <f>"9781920109493"</f>
        <v>9781920109493</v>
      </c>
      <c r="F18427" s="2" t="str">
        <f>"9781920689322"</f>
        <v>9781920689322</v>
      </c>
    </row>
    <row r="18428" spans="1:6" s="3" customFormat="1" ht="29.1" customHeight="1" x14ac:dyDescent="0.25">
      <c r="A18428" s="2" t="s">
        <v>36262</v>
      </c>
      <c r="B18428" s="2" t="s">
        <v>36263</v>
      </c>
      <c r="C18428" s="2" t="s">
        <v>36254</v>
      </c>
      <c r="D18428" s="2" t="s">
        <v>6896</v>
      </c>
      <c r="E18428" s="2" t="str">
        <f>"9781920338749"</f>
        <v>9781920338749</v>
      </c>
      <c r="F18428" s="2" t="str">
        <f>"9781920338756"</f>
        <v>9781920338756</v>
      </c>
    </row>
    <row r="18429" spans="1:6" s="3" customFormat="1" ht="29.1" customHeight="1" x14ac:dyDescent="0.25">
      <c r="A18429" s="2" t="s">
        <v>36264</v>
      </c>
      <c r="B18429" s="2" t="s">
        <v>36265</v>
      </c>
      <c r="C18429" s="2" t="s">
        <v>36254</v>
      </c>
      <c r="D18429" s="2" t="s">
        <v>10493</v>
      </c>
      <c r="E18429" s="2" t="str">
        <f>"9781920338688"</f>
        <v>9781920338688</v>
      </c>
      <c r="F18429" s="2" t="str">
        <f>"9781920338695"</f>
        <v>9781920338695</v>
      </c>
    </row>
    <row r="18430" spans="1:6" s="3" customFormat="1" ht="29.1" customHeight="1" x14ac:dyDescent="0.25">
      <c r="A18430" s="2" t="s">
        <v>36266</v>
      </c>
      <c r="B18430" s="2" t="s">
        <v>36267</v>
      </c>
      <c r="C18430" s="2" t="s">
        <v>36254</v>
      </c>
      <c r="D18430" s="2" t="s">
        <v>19142</v>
      </c>
      <c r="E18430" s="2" t="str">
        <f>"9781919985459"</f>
        <v>9781919985459</v>
      </c>
      <c r="F18430" s="2" t="str">
        <f>"9781919985466"</f>
        <v>9781919985466</v>
      </c>
    </row>
    <row r="18431" spans="1:6" s="3" customFormat="1" ht="29.1" customHeight="1" x14ac:dyDescent="0.25">
      <c r="A18431" s="2" t="s">
        <v>36268</v>
      </c>
      <c r="B18431" s="2" t="s">
        <v>36269</v>
      </c>
      <c r="C18431" s="2" t="s">
        <v>36254</v>
      </c>
      <c r="D18431" s="2" t="s">
        <v>4415</v>
      </c>
      <c r="E18431" s="2" t="str">
        <f>"9781920689544"</f>
        <v>9781920689544</v>
      </c>
      <c r="F18431" s="2" t="str">
        <f>"9781920689551"</f>
        <v>9781920689551</v>
      </c>
    </row>
    <row r="18432" spans="1:6" s="3" customFormat="1" ht="29.1" customHeight="1" x14ac:dyDescent="0.25">
      <c r="A18432" s="2" t="s">
        <v>36270</v>
      </c>
      <c r="B18432" s="2" t="s">
        <v>36271</v>
      </c>
      <c r="C18432" s="2" t="s">
        <v>36254</v>
      </c>
      <c r="D18432" s="2" t="s">
        <v>5536</v>
      </c>
      <c r="E18432" s="2" t="str">
        <f>"9781920338916"</f>
        <v>9781920338916</v>
      </c>
      <c r="F18432" s="2" t="str">
        <f>"9781920338923"</f>
        <v>9781920338923</v>
      </c>
    </row>
    <row r="18433" spans="1:6" s="3" customFormat="1" ht="29.1" customHeight="1" x14ac:dyDescent="0.25">
      <c r="A18433" s="2" t="s">
        <v>36272</v>
      </c>
      <c r="B18433" s="2" t="s">
        <v>36273</v>
      </c>
      <c r="C18433" s="2" t="s">
        <v>36254</v>
      </c>
      <c r="D18433" s="2" t="s">
        <v>2016</v>
      </c>
      <c r="E18433" s="2" t="str">
        <f>"9781920109547"</f>
        <v>9781920109547</v>
      </c>
      <c r="F18433" s="2" t="str">
        <f>"9781920338008"</f>
        <v>9781920338008</v>
      </c>
    </row>
    <row r="18434" spans="1:6" s="3" customFormat="1" ht="29.1" customHeight="1" x14ac:dyDescent="0.25">
      <c r="A18434" s="2" t="s">
        <v>36274</v>
      </c>
      <c r="B18434" s="2" t="s">
        <v>36275</v>
      </c>
      <c r="C18434" s="2" t="s">
        <v>36254</v>
      </c>
      <c r="D18434" s="2" t="s">
        <v>5969</v>
      </c>
      <c r="E18434" s="2" t="str">
        <f>"9781920109660"</f>
        <v>9781920109660</v>
      </c>
      <c r="F18434" s="2" t="str">
        <f>"9781920109677"</f>
        <v>9781920109677</v>
      </c>
    </row>
    <row r="18435" spans="1:6" s="3" customFormat="1" ht="29.1" customHeight="1" x14ac:dyDescent="0.25">
      <c r="A18435" s="2" t="s">
        <v>36276</v>
      </c>
      <c r="B18435" s="2" t="s">
        <v>36277</v>
      </c>
      <c r="C18435" s="2" t="s">
        <v>36254</v>
      </c>
      <c r="D18435" s="2" t="s">
        <v>5910</v>
      </c>
      <c r="E18435" s="2" t="str">
        <f>"9781920689599"</f>
        <v>9781920689599</v>
      </c>
      <c r="F18435" s="2" t="str">
        <f>"9781920689582"</f>
        <v>9781920689582</v>
      </c>
    </row>
    <row r="18436" spans="1:6" s="3" customFormat="1" ht="29.1" customHeight="1" x14ac:dyDescent="0.25">
      <c r="A18436" s="2" t="s">
        <v>36278</v>
      </c>
      <c r="B18436" s="2" t="s">
        <v>36279</v>
      </c>
      <c r="C18436" s="2" t="s">
        <v>36254</v>
      </c>
      <c r="D18436" s="2" t="s">
        <v>4908</v>
      </c>
      <c r="E18436" s="2" t="str">
        <f>"9781920109394"</f>
        <v>9781920109394</v>
      </c>
      <c r="F18436" s="2" t="str">
        <f>"9781920109400"</f>
        <v>9781920109400</v>
      </c>
    </row>
    <row r="18437" spans="1:6" s="3" customFormat="1" ht="29.1" customHeight="1" x14ac:dyDescent="0.25">
      <c r="A18437" s="2" t="s">
        <v>36280</v>
      </c>
      <c r="B18437" s="2" t="s">
        <v>36281</v>
      </c>
      <c r="C18437" s="2" t="s">
        <v>36254</v>
      </c>
      <c r="D18437" s="2" t="s">
        <v>484</v>
      </c>
      <c r="E18437" s="2" t="str">
        <f>"9781919980829"</f>
        <v>9781919980829</v>
      </c>
      <c r="F18437" s="2" t="str">
        <f>"9781919980843"</f>
        <v>9781919980843</v>
      </c>
    </row>
    <row r="18438" spans="1:6" s="3" customFormat="1" ht="29.1" customHeight="1" x14ac:dyDescent="0.25">
      <c r="A18438" s="2" t="s">
        <v>36282</v>
      </c>
      <c r="B18438" s="2" t="s">
        <v>36283</v>
      </c>
      <c r="C18438" s="2" t="s">
        <v>36254</v>
      </c>
      <c r="D18438" s="2" t="s">
        <v>3445</v>
      </c>
      <c r="E18438" s="2" t="str">
        <f>"9781919980669"</f>
        <v>9781919980669</v>
      </c>
      <c r="F18438" s="2" t="str">
        <f>"9781919980812"</f>
        <v>9781919980812</v>
      </c>
    </row>
    <row r="18439" spans="1:6" s="3" customFormat="1" ht="29.1" customHeight="1" x14ac:dyDescent="0.25">
      <c r="A18439" s="2" t="s">
        <v>36284</v>
      </c>
      <c r="B18439" s="2" t="s">
        <v>36285</v>
      </c>
      <c r="C18439" s="2" t="s">
        <v>36254</v>
      </c>
      <c r="D18439" s="2" t="s">
        <v>553</v>
      </c>
      <c r="E18439" s="2" t="str">
        <f>"9780992236045"</f>
        <v>9780992236045</v>
      </c>
      <c r="F18439" s="2" t="str">
        <f>"9780992236052"</f>
        <v>9780992236052</v>
      </c>
    </row>
    <row r="18440" spans="1:6" s="3" customFormat="1" ht="29.1" customHeight="1" x14ac:dyDescent="0.25">
      <c r="A18440" s="2" t="s">
        <v>36286</v>
      </c>
      <c r="B18440" s="2" t="s">
        <v>36287</v>
      </c>
      <c r="C18440" s="2" t="s">
        <v>36254</v>
      </c>
      <c r="D18440" s="2" t="s">
        <v>2083</v>
      </c>
      <c r="E18440" s="2" t="str">
        <f>"9781919980652"</f>
        <v>9781919980652</v>
      </c>
      <c r="F18440" s="2" t="str">
        <f>"9781919980737"</f>
        <v>9781919980737</v>
      </c>
    </row>
    <row r="18441" spans="1:6" s="3" customFormat="1" ht="29.1" customHeight="1" x14ac:dyDescent="0.25">
      <c r="A18441" s="2" t="s">
        <v>36288</v>
      </c>
      <c r="B18441" s="2" t="s">
        <v>36289</v>
      </c>
      <c r="C18441" s="2" t="s">
        <v>36254</v>
      </c>
      <c r="D18441" s="2" t="s">
        <v>490</v>
      </c>
      <c r="E18441" s="2" t="str">
        <f>"9781928314073"</f>
        <v>9781928314073</v>
      </c>
      <c r="F18441" s="2" t="str">
        <f>"9781928314080"</f>
        <v>9781928314080</v>
      </c>
    </row>
    <row r="18442" spans="1:6" s="3" customFormat="1" ht="29.1" customHeight="1" x14ac:dyDescent="0.25">
      <c r="A18442" s="2" t="s">
        <v>36290</v>
      </c>
      <c r="B18442" s="2" t="s">
        <v>7878</v>
      </c>
      <c r="C18442" s="2" t="s">
        <v>36254</v>
      </c>
      <c r="D18442" s="2" t="s">
        <v>5536</v>
      </c>
      <c r="E18442" s="2" t="str">
        <f>"9781920689223"</f>
        <v>9781920689223</v>
      </c>
      <c r="F18442" s="2" t="str">
        <f>"9781920689230"</f>
        <v>9781920689230</v>
      </c>
    </row>
    <row r="18443" spans="1:6" s="3" customFormat="1" ht="29.1" customHeight="1" x14ac:dyDescent="0.25">
      <c r="A18443" s="2" t="s">
        <v>36291</v>
      </c>
      <c r="B18443" s="2" t="s">
        <v>36292</v>
      </c>
      <c r="C18443" s="2" t="s">
        <v>36254</v>
      </c>
      <c r="D18443" s="2" t="s">
        <v>547</v>
      </c>
      <c r="E18443" s="2" t="str">
        <f>"9781920109851"</f>
        <v>9781920109851</v>
      </c>
      <c r="F18443" s="2" t="str">
        <f>"9781928357063"</f>
        <v>9781928357063</v>
      </c>
    </row>
    <row r="18444" spans="1:6" s="3" customFormat="1" ht="29.1" customHeight="1" x14ac:dyDescent="0.25">
      <c r="A18444" s="2" t="s">
        <v>36293</v>
      </c>
      <c r="B18444" s="2" t="s">
        <v>36294</v>
      </c>
      <c r="C18444" s="2" t="s">
        <v>36254</v>
      </c>
      <c r="D18444" s="2" t="s">
        <v>150</v>
      </c>
      <c r="E18444" s="2" t="str">
        <f>"9781920109615"</f>
        <v>9781920109615</v>
      </c>
      <c r="F18444" s="2" t="str">
        <f>"9781920109622"</f>
        <v>9781920109622</v>
      </c>
    </row>
    <row r="18445" spans="1:6" s="3" customFormat="1" ht="29.1" customHeight="1" x14ac:dyDescent="0.25">
      <c r="A18445" s="2" t="s">
        <v>36295</v>
      </c>
      <c r="B18445" s="2" t="s">
        <v>17569</v>
      </c>
      <c r="C18445" s="2" t="s">
        <v>36254</v>
      </c>
      <c r="D18445" s="2" t="s">
        <v>3445</v>
      </c>
      <c r="E18445" s="2" t="str">
        <f>"9781919980065"</f>
        <v>9781919980065</v>
      </c>
      <c r="F18445" s="2" t="str">
        <f>"9781919980287"</f>
        <v>9781919980287</v>
      </c>
    </row>
    <row r="18446" spans="1:6" s="3" customFormat="1" ht="29.1" customHeight="1" x14ac:dyDescent="0.25">
      <c r="A18446" s="2" t="s">
        <v>36296</v>
      </c>
      <c r="B18446" s="2" t="s">
        <v>36297</v>
      </c>
      <c r="C18446" s="2" t="s">
        <v>36254</v>
      </c>
      <c r="D18446" s="2" t="s">
        <v>3445</v>
      </c>
      <c r="E18446" s="2" t="str">
        <f>"9781919980980"</f>
        <v>9781919980980</v>
      </c>
      <c r="F18446" s="2" t="str">
        <f>"9781919980997"</f>
        <v>9781919980997</v>
      </c>
    </row>
    <row r="18447" spans="1:6" s="3" customFormat="1" ht="29.1" customHeight="1" x14ac:dyDescent="0.25">
      <c r="A18447" s="2" t="s">
        <v>36298</v>
      </c>
      <c r="B18447" s="2" t="s">
        <v>36299</v>
      </c>
      <c r="C18447" s="2" t="s">
        <v>36254</v>
      </c>
      <c r="D18447" s="2" t="s">
        <v>1541</v>
      </c>
      <c r="E18447" s="2" t="str">
        <f>"9781920338565"</f>
        <v>9781920338565</v>
      </c>
      <c r="F18447" s="2" t="str">
        <f>"9781920338633"</f>
        <v>9781920338633</v>
      </c>
    </row>
    <row r="18448" spans="1:6" s="3" customFormat="1" ht="29.1" customHeight="1" x14ac:dyDescent="0.25">
      <c r="A18448" s="2" t="s">
        <v>36300</v>
      </c>
      <c r="B18448" s="2" t="s">
        <v>36301</v>
      </c>
      <c r="C18448" s="2" t="s">
        <v>36254</v>
      </c>
      <c r="D18448" s="2" t="s">
        <v>6113</v>
      </c>
      <c r="E18448" s="2" t="str">
        <f>"9781920109752"</f>
        <v>9781920109752</v>
      </c>
      <c r="F18448" s="2" t="str">
        <f>"9781920109844"</f>
        <v>9781920109844</v>
      </c>
    </row>
    <row r="18449" spans="1:6" s="3" customFormat="1" ht="29.1" customHeight="1" x14ac:dyDescent="0.25">
      <c r="A18449" s="2" t="s">
        <v>36302</v>
      </c>
      <c r="B18449" s="2" t="s">
        <v>36303</v>
      </c>
      <c r="C18449" s="2" t="s">
        <v>36254</v>
      </c>
      <c r="D18449" s="2" t="s">
        <v>3958</v>
      </c>
      <c r="E18449" s="2" t="str">
        <f>"9781920338329"</f>
        <v>9781920338329</v>
      </c>
      <c r="F18449" s="2" t="str">
        <f>"9781920338336"</f>
        <v>9781920338336</v>
      </c>
    </row>
    <row r="18450" spans="1:6" s="3" customFormat="1" ht="29.1" customHeight="1" x14ac:dyDescent="0.25">
      <c r="A18450" s="2" t="s">
        <v>36304</v>
      </c>
      <c r="B18450" s="2" t="s">
        <v>36305</v>
      </c>
      <c r="C18450" s="2" t="s">
        <v>36254</v>
      </c>
      <c r="D18450" s="2" t="s">
        <v>553</v>
      </c>
      <c r="E18450" s="2" t="str">
        <f>"9781919980645"</f>
        <v>9781919980645</v>
      </c>
      <c r="F18450" s="2" t="str">
        <f>"9781919980720"</f>
        <v>9781919980720</v>
      </c>
    </row>
    <row r="18451" spans="1:6" s="3" customFormat="1" ht="29.1" customHeight="1" x14ac:dyDescent="0.25">
      <c r="A18451" s="2" t="s">
        <v>36306</v>
      </c>
      <c r="B18451" s="2" t="s">
        <v>36265</v>
      </c>
      <c r="C18451" s="2" t="s">
        <v>36254</v>
      </c>
      <c r="D18451" s="2" t="s">
        <v>36307</v>
      </c>
      <c r="E18451" s="2" t="str">
        <f>"9781920109103"</f>
        <v>9781920109103</v>
      </c>
      <c r="F18451" s="2" t="str">
        <f>"9781920109110"</f>
        <v>9781920109110</v>
      </c>
    </row>
    <row r="18452" spans="1:6" s="3" customFormat="1" ht="29.1" customHeight="1" x14ac:dyDescent="0.25">
      <c r="A18452" s="2" t="s">
        <v>36308</v>
      </c>
      <c r="B18452" s="2" t="s">
        <v>36309</v>
      </c>
      <c r="C18452" s="2" t="s">
        <v>36254</v>
      </c>
      <c r="D18452" s="2" t="s">
        <v>553</v>
      </c>
      <c r="E18452" s="2" t="str">
        <f>"9781920689858"</f>
        <v>9781920689858</v>
      </c>
      <c r="F18452" s="2" t="str">
        <f>"9781920689865"</f>
        <v>9781920689865</v>
      </c>
    </row>
    <row r="18453" spans="1:6" s="3" customFormat="1" ht="29.1" customHeight="1" x14ac:dyDescent="0.25">
      <c r="A18453" s="2" t="s">
        <v>36310</v>
      </c>
      <c r="B18453" s="2" t="s">
        <v>36311</v>
      </c>
      <c r="C18453" s="2" t="s">
        <v>36254</v>
      </c>
      <c r="D18453" s="2" t="s">
        <v>2587</v>
      </c>
      <c r="E18453" s="2" t="str">
        <f>"9781920338305"</f>
        <v>9781920338305</v>
      </c>
      <c r="F18453" s="2" t="str">
        <f>"9781920338473"</f>
        <v>9781920338473</v>
      </c>
    </row>
    <row r="18454" spans="1:6" s="3" customFormat="1" ht="29.1" customHeight="1" x14ac:dyDescent="0.25">
      <c r="A18454" s="2" t="s">
        <v>36312</v>
      </c>
      <c r="B18454" s="2" t="s">
        <v>36313</v>
      </c>
      <c r="C18454" s="2" t="s">
        <v>36254</v>
      </c>
      <c r="D18454" s="2" t="s">
        <v>92</v>
      </c>
      <c r="E18454" s="2" t="str">
        <f>"9781919980058"</f>
        <v>9781919980058</v>
      </c>
      <c r="F18454" s="2" t="str">
        <f>"9781919980270"</f>
        <v>9781919980270</v>
      </c>
    </row>
    <row r="18455" spans="1:6" s="3" customFormat="1" ht="29.1" customHeight="1" x14ac:dyDescent="0.25">
      <c r="A18455" s="2" t="s">
        <v>36314</v>
      </c>
      <c r="B18455" s="2" t="s">
        <v>36315</v>
      </c>
      <c r="C18455" s="2" t="s">
        <v>36254</v>
      </c>
      <c r="D18455" s="2" t="s">
        <v>6578</v>
      </c>
      <c r="E18455" s="2" t="str">
        <f>"9781920689407"</f>
        <v>9781920689407</v>
      </c>
      <c r="F18455" s="2" t="str">
        <f>"9781920689414"</f>
        <v>9781920689414</v>
      </c>
    </row>
    <row r="18456" spans="1:6" s="3" customFormat="1" ht="29.1" customHeight="1" x14ac:dyDescent="0.25">
      <c r="A18456" s="2" t="s">
        <v>36316</v>
      </c>
      <c r="B18456" s="2" t="s">
        <v>36317</v>
      </c>
      <c r="C18456" s="2" t="s">
        <v>36254</v>
      </c>
      <c r="D18456" s="2" t="s">
        <v>1245</v>
      </c>
      <c r="E18456" s="2" t="str">
        <f>"9781920109080"</f>
        <v>9781920109080</v>
      </c>
      <c r="F18456" s="2" t="str">
        <f>"9781920109097"</f>
        <v>9781920109097</v>
      </c>
    </row>
    <row r="18457" spans="1:6" s="3" customFormat="1" ht="29.1" customHeight="1" x14ac:dyDescent="0.25">
      <c r="A18457" s="2" t="s">
        <v>36318</v>
      </c>
      <c r="B18457" s="2" t="s">
        <v>13345</v>
      </c>
      <c r="C18457" s="2" t="s">
        <v>36254</v>
      </c>
      <c r="D18457" s="2" t="s">
        <v>1189</v>
      </c>
      <c r="E18457" s="2" t="str">
        <f>"9781920109455"</f>
        <v>9781920109455</v>
      </c>
      <c r="F18457" s="2" t="str">
        <f>"9781920109462"</f>
        <v>9781920109462</v>
      </c>
    </row>
    <row r="18458" spans="1:6" s="3" customFormat="1" ht="29.1" customHeight="1" x14ac:dyDescent="0.25">
      <c r="A18458" s="2" t="s">
        <v>36319</v>
      </c>
      <c r="B18458" s="2" t="s">
        <v>27335</v>
      </c>
      <c r="C18458" s="2" t="s">
        <v>36254</v>
      </c>
      <c r="D18458" s="2" t="s">
        <v>6354</v>
      </c>
      <c r="E18458" s="2" t="str">
        <f>"9781920109684"</f>
        <v>9781920109684</v>
      </c>
      <c r="F18458" s="2" t="str">
        <f>"9781920109691"</f>
        <v>9781920109691</v>
      </c>
    </row>
    <row r="18459" spans="1:6" s="3" customFormat="1" ht="29.1" customHeight="1" x14ac:dyDescent="0.25">
      <c r="A18459" s="2" t="s">
        <v>36320</v>
      </c>
      <c r="B18459" s="2" t="s">
        <v>36315</v>
      </c>
      <c r="C18459" s="2" t="s">
        <v>36254</v>
      </c>
      <c r="D18459" s="2" t="s">
        <v>8202</v>
      </c>
      <c r="E18459" s="2" t="str">
        <f>"9781919985343"</f>
        <v>9781919985343</v>
      </c>
      <c r="F18459" s="2" t="str">
        <f>"9781919985367"</f>
        <v>9781919985367</v>
      </c>
    </row>
    <row r="18460" spans="1:6" s="3" customFormat="1" ht="29.1" customHeight="1" x14ac:dyDescent="0.25">
      <c r="A18460" s="2" t="s">
        <v>36321</v>
      </c>
      <c r="B18460" s="2" t="s">
        <v>36322</v>
      </c>
      <c r="C18460" s="2" t="s">
        <v>36254</v>
      </c>
      <c r="D18460" s="2" t="s">
        <v>10493</v>
      </c>
      <c r="E18460" s="2" t="str">
        <f>"9781920109011"</f>
        <v>9781920109011</v>
      </c>
      <c r="F18460" s="2" t="str">
        <f>"9781920109028"</f>
        <v>9781920109028</v>
      </c>
    </row>
    <row r="18461" spans="1:6" s="3" customFormat="1" ht="29.1" customHeight="1" x14ac:dyDescent="0.25">
      <c r="A18461" s="2" t="s">
        <v>36323</v>
      </c>
      <c r="B18461" s="2" t="s">
        <v>36324</v>
      </c>
      <c r="C18461" s="2" t="s">
        <v>36254</v>
      </c>
      <c r="D18461" s="2" t="s">
        <v>855</v>
      </c>
      <c r="E18461" s="2" t="str">
        <f>"9781919985473"</f>
        <v>9781919985473</v>
      </c>
      <c r="F18461" s="2" t="str">
        <f>"9781919985497"</f>
        <v>9781919985497</v>
      </c>
    </row>
    <row r="18462" spans="1:6" s="3" customFormat="1" ht="29.1" customHeight="1" x14ac:dyDescent="0.25">
      <c r="A18462" s="2" t="s">
        <v>36325</v>
      </c>
      <c r="B18462" s="2" t="s">
        <v>13989</v>
      </c>
      <c r="C18462" s="2" t="s">
        <v>36254</v>
      </c>
      <c r="D18462" s="2" t="s">
        <v>3966</v>
      </c>
      <c r="E18462" s="2" t="str">
        <f>"9781928314820"</f>
        <v>9781928314820</v>
      </c>
      <c r="F18462" s="2" t="str">
        <f>"9781928314837"</f>
        <v>9781928314837</v>
      </c>
    </row>
    <row r="18463" spans="1:6" s="3" customFormat="1" ht="29.1" customHeight="1" x14ac:dyDescent="0.25">
      <c r="A18463" s="2" t="s">
        <v>36326</v>
      </c>
      <c r="B18463" s="2" t="s">
        <v>36327</v>
      </c>
      <c r="C18463" s="2" t="s">
        <v>36254</v>
      </c>
      <c r="D18463" s="2" t="s">
        <v>1155</v>
      </c>
      <c r="E18463" s="2" t="str">
        <f>"9781919980027"</f>
        <v>9781919980027</v>
      </c>
      <c r="F18463" s="2" t="str">
        <f>"9781919980263"</f>
        <v>9781919980263</v>
      </c>
    </row>
    <row r="18464" spans="1:6" s="3" customFormat="1" ht="29.1" customHeight="1" x14ac:dyDescent="0.25">
      <c r="A18464" s="2" t="s">
        <v>36328</v>
      </c>
      <c r="B18464" s="2" t="s">
        <v>36329</v>
      </c>
      <c r="C18464" s="2" t="s">
        <v>36254</v>
      </c>
      <c r="D18464" s="2" t="s">
        <v>2199</v>
      </c>
      <c r="E18464" s="2" t="str">
        <f>"9781928314271"</f>
        <v>9781928314271</v>
      </c>
      <c r="F18464" s="2" t="str">
        <f>"9781928314288"</f>
        <v>9781928314288</v>
      </c>
    </row>
    <row r="18465" spans="1:6" s="3" customFormat="1" ht="29.1" customHeight="1" x14ac:dyDescent="0.25">
      <c r="A18465" s="2" t="s">
        <v>36330</v>
      </c>
      <c r="B18465" s="2" t="s">
        <v>36331</v>
      </c>
      <c r="C18465" s="2" t="s">
        <v>36254</v>
      </c>
      <c r="D18465" s="2" t="s">
        <v>2199</v>
      </c>
      <c r="E18465" s="2" t="str">
        <f>"9781928357032"</f>
        <v>9781928357032</v>
      </c>
      <c r="F18465" s="2" t="str">
        <f>"9781928357049"</f>
        <v>9781928357049</v>
      </c>
    </row>
    <row r="18466" spans="1:6" s="3" customFormat="1" ht="29.1" customHeight="1" x14ac:dyDescent="0.25">
      <c r="A18466" s="2" t="s">
        <v>36332</v>
      </c>
      <c r="B18466" s="2" t="s">
        <v>36329</v>
      </c>
      <c r="C18466" s="2" t="s">
        <v>36254</v>
      </c>
      <c r="D18466" s="2" t="s">
        <v>2199</v>
      </c>
      <c r="E18466" s="2" t="str">
        <f>"9781928314424"</f>
        <v>9781928314424</v>
      </c>
      <c r="F18466" s="2" t="str">
        <f>"9781928314431"</f>
        <v>9781928314431</v>
      </c>
    </row>
    <row r="18467" spans="1:6" s="3" customFormat="1" ht="29.1" customHeight="1" x14ac:dyDescent="0.25">
      <c r="A18467" s="2" t="s">
        <v>36333</v>
      </c>
      <c r="B18467" s="2" t="s">
        <v>36334</v>
      </c>
      <c r="C18467" s="2" t="s">
        <v>36254</v>
      </c>
      <c r="D18467" s="2" t="s">
        <v>4341</v>
      </c>
      <c r="E18467" s="2" t="str">
        <f>"9781920338114"</f>
        <v>9781920338114</v>
      </c>
      <c r="F18467" s="2" t="str">
        <f>"9781920689346"</f>
        <v>9781920689346</v>
      </c>
    </row>
    <row r="18468" spans="1:6" s="3" customFormat="1" ht="29.1" customHeight="1" x14ac:dyDescent="0.25">
      <c r="A18468" s="2" t="s">
        <v>36335</v>
      </c>
      <c r="B18468" s="2" t="s">
        <v>36336</v>
      </c>
      <c r="C18468" s="2" t="s">
        <v>36254</v>
      </c>
      <c r="D18468" s="2" t="s">
        <v>596</v>
      </c>
      <c r="E18468" s="2" t="str">
        <f>"9781920338763"</f>
        <v>9781920338763</v>
      </c>
      <c r="F18468" s="2" t="str">
        <f>"9781920338879"</f>
        <v>9781920338879</v>
      </c>
    </row>
    <row r="18469" spans="1:6" s="3" customFormat="1" ht="29.1" customHeight="1" x14ac:dyDescent="0.25">
      <c r="A18469" s="2" t="s">
        <v>36337</v>
      </c>
      <c r="B18469" s="2" t="s">
        <v>36338</v>
      </c>
      <c r="C18469" s="2" t="s">
        <v>36254</v>
      </c>
      <c r="D18469" s="2" t="s">
        <v>192</v>
      </c>
      <c r="E18469" s="2" t="str">
        <f>"9781920338084"</f>
        <v>9781920338084</v>
      </c>
      <c r="F18469" s="2" t="str">
        <f>"9781920338213"</f>
        <v>9781920338213</v>
      </c>
    </row>
    <row r="18470" spans="1:6" s="3" customFormat="1" ht="29.1" customHeight="1" x14ac:dyDescent="0.25">
      <c r="A18470" s="2" t="s">
        <v>36339</v>
      </c>
      <c r="B18470" s="2" t="s">
        <v>36340</v>
      </c>
      <c r="C18470" s="2" t="s">
        <v>36254</v>
      </c>
      <c r="D18470" s="2" t="s">
        <v>5536</v>
      </c>
      <c r="E18470" s="2" t="str">
        <f>"9781920689100"</f>
        <v>9781920689100</v>
      </c>
      <c r="F18470" s="2" t="str">
        <f>"9781920689117"</f>
        <v>9781920689117</v>
      </c>
    </row>
    <row r="18471" spans="1:6" s="3" customFormat="1" ht="29.1" customHeight="1" x14ac:dyDescent="0.25">
      <c r="A18471" s="2" t="s">
        <v>36341</v>
      </c>
      <c r="B18471" s="2" t="s">
        <v>7878</v>
      </c>
      <c r="C18471" s="2" t="s">
        <v>36254</v>
      </c>
      <c r="D18471" s="2" t="s">
        <v>36342</v>
      </c>
      <c r="E18471" s="2" t="str">
        <f>"9781920689087"</f>
        <v>9781920689087</v>
      </c>
      <c r="F18471" s="2" t="str">
        <f>"9781920689094"</f>
        <v>9781920689094</v>
      </c>
    </row>
    <row r="18472" spans="1:6" s="3" customFormat="1" ht="29.1" customHeight="1" x14ac:dyDescent="0.25">
      <c r="A18472" s="2" t="s">
        <v>36343</v>
      </c>
      <c r="B18472" s="2" t="s">
        <v>36344</v>
      </c>
      <c r="C18472" s="2" t="s">
        <v>36254</v>
      </c>
      <c r="D18472" s="2" t="s">
        <v>3445</v>
      </c>
      <c r="E18472" s="2" t="str">
        <f>"9781920338169"</f>
        <v>9781920338169</v>
      </c>
      <c r="F18472" s="2" t="str">
        <f>"9781920338282"</f>
        <v>9781920338282</v>
      </c>
    </row>
    <row r="18473" spans="1:6" s="3" customFormat="1" ht="29.1" customHeight="1" x14ac:dyDescent="0.25">
      <c r="A18473" s="2" t="s">
        <v>36345</v>
      </c>
      <c r="B18473" s="2" t="s">
        <v>36346</v>
      </c>
      <c r="C18473" s="2" t="s">
        <v>36254</v>
      </c>
      <c r="D18473" s="2" t="s">
        <v>7645</v>
      </c>
      <c r="E18473" s="2" t="str">
        <f>"9781920109721"</f>
        <v>9781920109721</v>
      </c>
      <c r="F18473" s="2" t="str">
        <f>"9781920109738"</f>
        <v>9781920109738</v>
      </c>
    </row>
    <row r="18474" spans="1:6" s="3" customFormat="1" ht="29.1" customHeight="1" x14ac:dyDescent="0.25">
      <c r="A18474" s="2" t="s">
        <v>36347</v>
      </c>
      <c r="B18474" s="2" t="s">
        <v>36348</v>
      </c>
      <c r="C18474" s="2" t="s">
        <v>36254</v>
      </c>
      <c r="D18474" s="2" t="s">
        <v>553</v>
      </c>
      <c r="E18474" s="2" t="str">
        <f>"9781920689155"</f>
        <v>9781920689155</v>
      </c>
      <c r="F18474" s="2" t="str">
        <f>"9781920689162"</f>
        <v>9781920689162</v>
      </c>
    </row>
    <row r="18475" spans="1:6" s="3" customFormat="1" ht="29.1" customHeight="1" x14ac:dyDescent="0.25">
      <c r="A18475" s="2" t="s">
        <v>36349</v>
      </c>
      <c r="B18475" s="2" t="s">
        <v>36350</v>
      </c>
      <c r="C18475" s="2" t="s">
        <v>36254</v>
      </c>
      <c r="D18475" s="2" t="s">
        <v>92</v>
      </c>
      <c r="E18475" s="2" t="str">
        <f>"9781919980157"</f>
        <v>9781919980157</v>
      </c>
      <c r="F18475" s="2" t="str">
        <f>"9781920109745"</f>
        <v>9781920109745</v>
      </c>
    </row>
    <row r="18476" spans="1:6" s="3" customFormat="1" ht="29.1" customHeight="1" x14ac:dyDescent="0.25">
      <c r="A18476" s="2" t="s">
        <v>36351</v>
      </c>
      <c r="B18476" s="2" t="s">
        <v>36352</v>
      </c>
      <c r="C18476" s="2" t="s">
        <v>36254</v>
      </c>
      <c r="D18476" s="2" t="s">
        <v>3445</v>
      </c>
      <c r="E18476" s="2" t="str">
        <f>"9781920689247"</f>
        <v>9781920689247</v>
      </c>
      <c r="F18476" s="2" t="str">
        <f>"9781920689254"</f>
        <v>9781920689254</v>
      </c>
    </row>
    <row r="18477" spans="1:6" s="3" customFormat="1" ht="29.1" customHeight="1" x14ac:dyDescent="0.25">
      <c r="A18477" s="2" t="s">
        <v>36353</v>
      </c>
      <c r="B18477" s="2" t="s">
        <v>36354</v>
      </c>
      <c r="C18477" s="2" t="s">
        <v>36254</v>
      </c>
      <c r="D18477" s="2" t="s">
        <v>7645</v>
      </c>
      <c r="E18477" s="2" t="str">
        <f>"9781919980904"</f>
        <v>9781919980904</v>
      </c>
      <c r="F18477" s="2" t="str">
        <f>"9781919980911"</f>
        <v>9781919980911</v>
      </c>
    </row>
    <row r="18478" spans="1:6" s="3" customFormat="1" ht="29.1" customHeight="1" x14ac:dyDescent="0.25">
      <c r="A18478" s="2" t="s">
        <v>36355</v>
      </c>
      <c r="B18478" s="2" t="s">
        <v>36356</v>
      </c>
      <c r="C18478" s="2" t="s">
        <v>36254</v>
      </c>
      <c r="D18478" s="2" t="s">
        <v>350</v>
      </c>
      <c r="E18478" s="2" t="str">
        <f>"9781920109950"</f>
        <v>9781920109950</v>
      </c>
      <c r="F18478" s="2" t="str">
        <f>"9781920338381"</f>
        <v>9781920338381</v>
      </c>
    </row>
    <row r="18479" spans="1:6" s="3" customFormat="1" ht="29.1" customHeight="1" x14ac:dyDescent="0.25">
      <c r="A18479" s="2" t="s">
        <v>36357</v>
      </c>
      <c r="B18479" s="2" t="s">
        <v>36358</v>
      </c>
      <c r="C18479" s="2" t="s">
        <v>36254</v>
      </c>
      <c r="D18479" s="2" t="s">
        <v>5319</v>
      </c>
      <c r="E18479" s="2" t="str">
        <f>"9781920689643"</f>
        <v>9781920689643</v>
      </c>
      <c r="F18479" s="2" t="str">
        <f>"9781920689650"</f>
        <v>9781920689650</v>
      </c>
    </row>
    <row r="18480" spans="1:6" s="3" customFormat="1" ht="29.1" customHeight="1" x14ac:dyDescent="0.25">
      <c r="A18480" s="2" t="s">
        <v>36359</v>
      </c>
      <c r="B18480" s="2" t="s">
        <v>36358</v>
      </c>
      <c r="C18480" s="2" t="s">
        <v>36254</v>
      </c>
      <c r="D18480" s="2" t="s">
        <v>1840</v>
      </c>
      <c r="E18480" s="2" t="str">
        <f>"9781928357155"</f>
        <v>9781928357155</v>
      </c>
      <c r="F18480" s="2" t="str">
        <f>"9781928357162"</f>
        <v>9781928357162</v>
      </c>
    </row>
    <row r="18481" spans="1:6" s="3" customFormat="1" ht="29.1" customHeight="1" x14ac:dyDescent="0.25">
      <c r="A18481" s="2" t="s">
        <v>36360</v>
      </c>
      <c r="B18481" s="2" t="s">
        <v>36361</v>
      </c>
      <c r="C18481" s="2" t="s">
        <v>36254</v>
      </c>
      <c r="D18481" s="2" t="s">
        <v>937</v>
      </c>
      <c r="E18481" s="2" t="str">
        <f>"9781920109189"</f>
        <v>9781920109189</v>
      </c>
      <c r="F18481" s="2" t="str">
        <f>"9781920109196"</f>
        <v>9781920109196</v>
      </c>
    </row>
    <row r="18482" spans="1:6" s="3" customFormat="1" ht="29.1" customHeight="1" x14ac:dyDescent="0.25">
      <c r="A18482" s="2" t="s">
        <v>36362</v>
      </c>
      <c r="B18482" s="2" t="s">
        <v>36297</v>
      </c>
      <c r="C18482" s="2" t="s">
        <v>36254</v>
      </c>
      <c r="D18482" s="2" t="s">
        <v>3445</v>
      </c>
      <c r="E18482" s="2" t="str">
        <f>"9781920109295"</f>
        <v>9781920109295</v>
      </c>
      <c r="F18482" s="2" t="str">
        <f>"9781920109301"</f>
        <v>9781920109301</v>
      </c>
    </row>
    <row r="18483" spans="1:6" s="3" customFormat="1" ht="29.1" customHeight="1" x14ac:dyDescent="0.25">
      <c r="A18483" s="2" t="s">
        <v>36363</v>
      </c>
      <c r="B18483" s="2" t="s">
        <v>36364</v>
      </c>
      <c r="C18483" s="2" t="s">
        <v>36254</v>
      </c>
      <c r="D18483" s="2" t="s">
        <v>378</v>
      </c>
      <c r="E18483" s="2" t="str">
        <f>"9780992235963"</f>
        <v>9780992235963</v>
      </c>
      <c r="F18483" s="2" t="str">
        <f>"9780992235970"</f>
        <v>9780992235970</v>
      </c>
    </row>
    <row r="18484" spans="1:6" s="3" customFormat="1" ht="29.1" customHeight="1" x14ac:dyDescent="0.25">
      <c r="A18484" s="2" t="s">
        <v>36365</v>
      </c>
      <c r="B18484" s="2" t="s">
        <v>36364</v>
      </c>
      <c r="C18484" s="2" t="s">
        <v>36254</v>
      </c>
      <c r="D18484" s="2" t="s">
        <v>378</v>
      </c>
      <c r="E18484" s="2" t="str">
        <f>"9781928355007"</f>
        <v>9781928355007</v>
      </c>
      <c r="F18484" s="2" t="str">
        <f>"9781928355014"</f>
        <v>9781928355014</v>
      </c>
    </row>
    <row r="18485" spans="1:6" s="3" customFormat="1" ht="29.1" customHeight="1" x14ac:dyDescent="0.25">
      <c r="A18485" s="2" t="s">
        <v>36366</v>
      </c>
      <c r="B18485" s="2" t="s">
        <v>36277</v>
      </c>
      <c r="C18485" s="2" t="s">
        <v>36254</v>
      </c>
      <c r="D18485" s="2" t="s">
        <v>1895</v>
      </c>
      <c r="E18485" s="2" t="str">
        <f>"9781919985398"</f>
        <v>9781919985398</v>
      </c>
      <c r="F18485" s="2" t="str">
        <f>"9781919985404"</f>
        <v>9781919985404</v>
      </c>
    </row>
    <row r="18486" spans="1:6" s="3" customFormat="1" ht="29.1" customHeight="1" x14ac:dyDescent="0.25">
      <c r="A18486" s="2" t="s">
        <v>36367</v>
      </c>
      <c r="B18486" s="2" t="s">
        <v>36368</v>
      </c>
      <c r="C18486" s="2" t="s">
        <v>36254</v>
      </c>
      <c r="D18486" s="2" t="s">
        <v>459</v>
      </c>
      <c r="E18486" s="2" t="str">
        <f>"9781920109165"</f>
        <v>9781920109165</v>
      </c>
      <c r="F18486" s="2" t="str">
        <f>"9781920109172"</f>
        <v>9781920109172</v>
      </c>
    </row>
    <row r="18487" spans="1:6" s="3" customFormat="1" ht="29.1" customHeight="1" x14ac:dyDescent="0.25">
      <c r="A18487" s="2" t="s">
        <v>36369</v>
      </c>
      <c r="B18487" s="2" t="s">
        <v>36370</v>
      </c>
      <c r="C18487" s="2" t="s">
        <v>36254</v>
      </c>
      <c r="D18487" s="2" t="s">
        <v>5832</v>
      </c>
      <c r="E18487" s="2" t="str">
        <f>"9781919980102"</f>
        <v>9781919980102</v>
      </c>
      <c r="F18487" s="2" t="str">
        <f>"9781919980256"</f>
        <v>9781919980256</v>
      </c>
    </row>
    <row r="18488" spans="1:6" s="3" customFormat="1" ht="29.1" customHeight="1" x14ac:dyDescent="0.25">
      <c r="A18488" s="2" t="s">
        <v>36371</v>
      </c>
      <c r="B18488" s="2" t="s">
        <v>36372</v>
      </c>
      <c r="C18488" s="2" t="s">
        <v>36254</v>
      </c>
      <c r="D18488" s="2" t="s">
        <v>10550</v>
      </c>
      <c r="E18488" s="2" t="str">
        <f>"9781920338459"</f>
        <v>9781920338459</v>
      </c>
      <c r="F18488" s="2" t="str">
        <f>"9781920689384"</f>
        <v>9781920689384</v>
      </c>
    </row>
    <row r="18489" spans="1:6" s="3" customFormat="1" ht="29.1" customHeight="1" x14ac:dyDescent="0.25">
      <c r="A18489" s="2" t="s">
        <v>36373</v>
      </c>
      <c r="B18489" s="2" t="s">
        <v>36374</v>
      </c>
      <c r="C18489" s="2" t="s">
        <v>36254</v>
      </c>
      <c r="D18489" s="2" t="s">
        <v>937</v>
      </c>
      <c r="E18489" s="2" t="str">
        <f>"9781920109271"</f>
        <v>9781920109271</v>
      </c>
      <c r="F18489" s="2" t="str">
        <f>"9781920109288"</f>
        <v>9781920109288</v>
      </c>
    </row>
    <row r="18490" spans="1:6" s="3" customFormat="1" ht="29.1" customHeight="1" x14ac:dyDescent="0.25">
      <c r="A18490" s="2" t="s">
        <v>36375</v>
      </c>
      <c r="B18490" s="2" t="s">
        <v>36376</v>
      </c>
      <c r="C18490" s="2" t="s">
        <v>36254</v>
      </c>
      <c r="D18490" s="2" t="s">
        <v>11038</v>
      </c>
      <c r="E18490" s="2" t="str">
        <f>"9781920338770"</f>
        <v>9781920338770</v>
      </c>
      <c r="F18490" s="2" t="str">
        <f>"9781920338787"</f>
        <v>9781920338787</v>
      </c>
    </row>
    <row r="18491" spans="1:6" s="3" customFormat="1" ht="29.1" customHeight="1" x14ac:dyDescent="0.25">
      <c r="A18491" s="2" t="s">
        <v>36377</v>
      </c>
      <c r="B18491" s="2" t="s">
        <v>36378</v>
      </c>
      <c r="C18491" s="2" t="s">
        <v>36254</v>
      </c>
      <c r="D18491" s="2" t="s">
        <v>1913</v>
      </c>
      <c r="E18491" s="2" t="str">
        <f>"9781920338053"</f>
        <v>9781920338053</v>
      </c>
      <c r="F18491" s="2" t="str">
        <f>"9781920689339"</f>
        <v>9781920689339</v>
      </c>
    </row>
    <row r="18492" spans="1:6" s="3" customFormat="1" ht="29.1" customHeight="1" x14ac:dyDescent="0.25">
      <c r="A18492" s="2" t="s">
        <v>36379</v>
      </c>
      <c r="B18492" s="2" t="s">
        <v>7878</v>
      </c>
      <c r="C18492" s="2" t="s">
        <v>36254</v>
      </c>
      <c r="D18492" s="2" t="s">
        <v>28202</v>
      </c>
      <c r="E18492" s="2" t="str">
        <f>"9781919980294"</f>
        <v>9781919980294</v>
      </c>
      <c r="F18492" s="2" t="str">
        <f>"9781919980379"</f>
        <v>9781919980379</v>
      </c>
    </row>
    <row r="18493" spans="1:6" s="3" customFormat="1" ht="29.1" customHeight="1" x14ac:dyDescent="0.25">
      <c r="A18493" s="2" t="s">
        <v>36380</v>
      </c>
      <c r="B18493" s="2" t="s">
        <v>36381</v>
      </c>
      <c r="C18493" s="2" t="s">
        <v>36254</v>
      </c>
      <c r="D18493" s="2" t="s">
        <v>11038</v>
      </c>
      <c r="E18493" s="2" t="str">
        <f>"9781920109875"</f>
        <v>9781920109875</v>
      </c>
      <c r="F18493" s="2" t="str">
        <f>"9781920109936"</f>
        <v>9781920109936</v>
      </c>
    </row>
    <row r="18494" spans="1:6" s="3" customFormat="1" ht="29.1" customHeight="1" x14ac:dyDescent="0.25">
      <c r="A18494" s="2" t="s">
        <v>36382</v>
      </c>
      <c r="B18494" s="2" t="s">
        <v>36383</v>
      </c>
      <c r="C18494" s="2" t="s">
        <v>36254</v>
      </c>
      <c r="D18494" s="2" t="s">
        <v>1864</v>
      </c>
      <c r="E18494" s="2" t="str">
        <f>"9781920689971"</f>
        <v>9781920689971</v>
      </c>
      <c r="F18494" s="2" t="str">
        <f>"9781920689988"</f>
        <v>9781920689988</v>
      </c>
    </row>
    <row r="18495" spans="1:6" s="3" customFormat="1" ht="29.1" customHeight="1" x14ac:dyDescent="0.25">
      <c r="A18495" s="2" t="s">
        <v>36384</v>
      </c>
      <c r="B18495" s="2" t="s">
        <v>36385</v>
      </c>
      <c r="C18495" s="2" t="s">
        <v>36254</v>
      </c>
      <c r="D18495" s="2" t="s">
        <v>4016</v>
      </c>
      <c r="E18495" s="2" t="str">
        <f>"9780987009654"</f>
        <v>9780987009654</v>
      </c>
      <c r="F18495" s="2" t="str">
        <f>"9780987009692"</f>
        <v>9780987009692</v>
      </c>
    </row>
    <row r="18496" spans="1:6" s="3" customFormat="1" ht="29.1" customHeight="1" x14ac:dyDescent="0.25">
      <c r="A18496" s="2" t="s">
        <v>36386</v>
      </c>
      <c r="B18496" s="2" t="s">
        <v>36387</v>
      </c>
      <c r="C18496" s="2" t="s">
        <v>36254</v>
      </c>
      <c r="D18496" s="2" t="s">
        <v>75</v>
      </c>
      <c r="E18496" s="2" t="str">
        <f>"9781920689131"</f>
        <v>9781920689131</v>
      </c>
      <c r="F18496" s="2" t="str">
        <f>"9781920689605"</f>
        <v>9781920689605</v>
      </c>
    </row>
    <row r="18497" spans="1:6" s="3" customFormat="1" ht="29.1" customHeight="1" x14ac:dyDescent="0.25">
      <c r="A18497" s="2" t="s">
        <v>36388</v>
      </c>
      <c r="B18497" s="2" t="s">
        <v>36389</v>
      </c>
      <c r="C18497" s="2" t="s">
        <v>36254</v>
      </c>
      <c r="D18497" s="2" t="s">
        <v>1245</v>
      </c>
      <c r="E18497" s="2" t="str">
        <f>"9781920109707"</f>
        <v>9781920109707</v>
      </c>
      <c r="F18497" s="2" t="str">
        <f>"9781920109714"</f>
        <v>9781920109714</v>
      </c>
    </row>
    <row r="18498" spans="1:6" s="3" customFormat="1" ht="29.1" customHeight="1" x14ac:dyDescent="0.25">
      <c r="A18498" s="2" t="s">
        <v>36390</v>
      </c>
      <c r="B18498" s="2" t="s">
        <v>36391</v>
      </c>
      <c r="C18498" s="2" t="s">
        <v>36254</v>
      </c>
      <c r="D18498" s="2" t="s">
        <v>7645</v>
      </c>
      <c r="E18498" s="2" t="str">
        <f>"9781920109899"</f>
        <v>9781920109899</v>
      </c>
      <c r="F18498" s="2" t="str">
        <f>"9781920109318"</f>
        <v>9781920109318</v>
      </c>
    </row>
    <row r="18499" spans="1:6" s="3" customFormat="1" ht="29.1" customHeight="1" x14ac:dyDescent="0.25">
      <c r="A18499" s="2" t="s">
        <v>36392</v>
      </c>
      <c r="B18499" s="2" t="s">
        <v>36329</v>
      </c>
      <c r="C18499" s="2" t="s">
        <v>36254</v>
      </c>
      <c r="D18499" s="2" t="s">
        <v>2587</v>
      </c>
      <c r="E18499" s="2" t="str">
        <f>"9781928480563"</f>
        <v>9781928480563</v>
      </c>
      <c r="F18499" s="2" t="str">
        <f>"9781928480570"</f>
        <v>9781928480570</v>
      </c>
    </row>
    <row r="18500" spans="1:6" s="3" customFormat="1" ht="29.1" customHeight="1" x14ac:dyDescent="0.25">
      <c r="A18500" s="2" t="s">
        <v>36393</v>
      </c>
      <c r="B18500" s="2" t="s">
        <v>36331</v>
      </c>
      <c r="C18500" s="2" t="s">
        <v>36254</v>
      </c>
      <c r="D18500" s="2" t="s">
        <v>10493</v>
      </c>
      <c r="E18500" s="2" t="str">
        <f>"9781919985633"</f>
        <v>9781919985633</v>
      </c>
      <c r="F18500" s="2" t="str">
        <f>"9781928314004"</f>
        <v>9781928314004</v>
      </c>
    </row>
    <row r="18501" spans="1:6" s="3" customFormat="1" ht="29.1" customHeight="1" x14ac:dyDescent="0.25">
      <c r="A18501" s="2" t="s">
        <v>36394</v>
      </c>
      <c r="B18501" s="2" t="s">
        <v>36395</v>
      </c>
      <c r="C18501" s="2" t="s">
        <v>36254</v>
      </c>
      <c r="D18501" s="2" t="s">
        <v>553</v>
      </c>
      <c r="E18501" s="2" t="str">
        <f>"9780987009647"</f>
        <v>9780987009647</v>
      </c>
      <c r="F18501" s="2" t="str">
        <f>"9780992180690"</f>
        <v>9780992180690</v>
      </c>
    </row>
    <row r="18502" spans="1:6" s="3" customFormat="1" ht="29.1" customHeight="1" x14ac:dyDescent="0.25">
      <c r="A18502" s="2" t="s">
        <v>36396</v>
      </c>
      <c r="B18502" s="2" t="s">
        <v>36397</v>
      </c>
      <c r="C18502" s="2" t="s">
        <v>36254</v>
      </c>
      <c r="D18502" s="2" t="s">
        <v>1256</v>
      </c>
      <c r="E18502" s="2" t="str">
        <f>"9781920338794"</f>
        <v>9781920338794</v>
      </c>
      <c r="F18502" s="2" t="str">
        <f>"9781920338800"</f>
        <v>9781920338800</v>
      </c>
    </row>
    <row r="18503" spans="1:6" s="3" customFormat="1" ht="29.1" customHeight="1" x14ac:dyDescent="0.25">
      <c r="A18503" s="2" t="s">
        <v>36398</v>
      </c>
      <c r="B18503" s="2" t="s">
        <v>36399</v>
      </c>
      <c r="C18503" s="2" t="s">
        <v>36254</v>
      </c>
      <c r="D18503" s="2" t="s">
        <v>446</v>
      </c>
      <c r="E18503" s="2" t="str">
        <f>"9781920109257"</f>
        <v>9781920109257</v>
      </c>
      <c r="F18503" s="2" t="str">
        <f>"9781920109264"</f>
        <v>9781920109264</v>
      </c>
    </row>
    <row r="18504" spans="1:6" s="3" customFormat="1" ht="29.1" customHeight="1" x14ac:dyDescent="0.25">
      <c r="A18504" s="2" t="s">
        <v>36400</v>
      </c>
      <c r="B18504" s="2" t="s">
        <v>36402</v>
      </c>
      <c r="C18504" s="2" t="s">
        <v>36254</v>
      </c>
      <c r="D18504" s="2" t="s">
        <v>36401</v>
      </c>
      <c r="E18504" s="2" t="str">
        <f>"9781920689001"</f>
        <v>9781920689001</v>
      </c>
      <c r="F18504" s="2" t="str">
        <f>"9781920689018"</f>
        <v>9781920689018</v>
      </c>
    </row>
    <row r="18505" spans="1:6" s="3" customFormat="1" ht="29.1" customHeight="1" x14ac:dyDescent="0.25">
      <c r="A18505" s="2" t="s">
        <v>36403</v>
      </c>
      <c r="B18505" s="2" t="s">
        <v>36404</v>
      </c>
      <c r="C18505" s="2" t="s">
        <v>36254</v>
      </c>
      <c r="D18505" s="2" t="s">
        <v>15</v>
      </c>
      <c r="E18505" s="2" t="str">
        <f>"9781919985411"</f>
        <v>9781919985411</v>
      </c>
      <c r="F18505" s="2" t="str">
        <f>"9781919985534"</f>
        <v>9781919985534</v>
      </c>
    </row>
    <row r="18506" spans="1:6" s="3" customFormat="1" ht="29.1" customHeight="1" x14ac:dyDescent="0.25">
      <c r="A18506" s="2" t="s">
        <v>36405</v>
      </c>
      <c r="B18506" s="2" t="s">
        <v>36406</v>
      </c>
      <c r="C18506" s="2" t="s">
        <v>36254</v>
      </c>
      <c r="D18506" s="2" t="s">
        <v>10396</v>
      </c>
      <c r="E18506" s="2" t="str">
        <f>"9781920109967"</f>
        <v>9781920109967</v>
      </c>
      <c r="F18506" s="2" t="str">
        <f>"9781920338374"</f>
        <v>9781920338374</v>
      </c>
    </row>
    <row r="18507" spans="1:6" s="3" customFormat="1" ht="29.1" customHeight="1" x14ac:dyDescent="0.25">
      <c r="A18507" s="2" t="s">
        <v>36407</v>
      </c>
      <c r="B18507" s="2" t="s">
        <v>36408</v>
      </c>
      <c r="C18507" s="2" t="s">
        <v>36254</v>
      </c>
      <c r="D18507" s="2" t="s">
        <v>5716</v>
      </c>
      <c r="E18507" s="2" t="str">
        <f>"9781928355083"</f>
        <v>9781928355083</v>
      </c>
      <c r="F18507" s="2" t="str">
        <f>"9781928355090"</f>
        <v>9781928355090</v>
      </c>
    </row>
    <row r="18508" spans="1:6" s="3" customFormat="1" ht="29.1" customHeight="1" x14ac:dyDescent="0.25">
      <c r="A18508" s="2" t="s">
        <v>36409</v>
      </c>
      <c r="B18508" s="2" t="s">
        <v>36410</v>
      </c>
      <c r="C18508" s="2" t="s">
        <v>36254</v>
      </c>
      <c r="D18508" s="2" t="s">
        <v>1162</v>
      </c>
      <c r="E18508" s="2" t="str">
        <f>"9781920338985"</f>
        <v>9781920338985</v>
      </c>
      <c r="F18508" s="2" t="str">
        <f>"9781920689759"</f>
        <v>9781920689759</v>
      </c>
    </row>
    <row r="18509" spans="1:6" s="3" customFormat="1" ht="29.1" customHeight="1" x14ac:dyDescent="0.25">
      <c r="A18509" s="2" t="s">
        <v>36411</v>
      </c>
      <c r="B18509" s="2" t="s">
        <v>36412</v>
      </c>
      <c r="C18509" s="2" t="s">
        <v>36254</v>
      </c>
      <c r="D18509" s="2" t="s">
        <v>459</v>
      </c>
      <c r="E18509" s="2" t="str">
        <f>"9780992235925"</f>
        <v>9780992235925</v>
      </c>
      <c r="F18509" s="2" t="str">
        <f>"9780992235932"</f>
        <v>9780992235932</v>
      </c>
    </row>
    <row r="18510" spans="1:6" s="3" customFormat="1" ht="29.1" customHeight="1" x14ac:dyDescent="0.25">
      <c r="A18510" s="2" t="s">
        <v>36413</v>
      </c>
      <c r="B18510" s="2" t="s">
        <v>36414</v>
      </c>
      <c r="C18510" s="2" t="s">
        <v>36254</v>
      </c>
      <c r="D18510" s="2" t="s">
        <v>391</v>
      </c>
      <c r="E18510" s="2" t="str">
        <f>"9781920109912"</f>
        <v>9781920109912</v>
      </c>
      <c r="F18510" s="2" t="str">
        <f>"9781920109349"</f>
        <v>9781920109349</v>
      </c>
    </row>
    <row r="18511" spans="1:6" s="3" customFormat="1" ht="29.1" customHeight="1" x14ac:dyDescent="0.25">
      <c r="A18511" s="2" t="s">
        <v>36415</v>
      </c>
      <c r="B18511" s="2" t="s">
        <v>36416</v>
      </c>
      <c r="C18511" s="2" t="s">
        <v>36254</v>
      </c>
      <c r="D18511" s="2" t="s">
        <v>553</v>
      </c>
      <c r="E18511" s="2" t="str">
        <f>"9781920338886"</f>
        <v>9781920338886</v>
      </c>
      <c r="F18511" s="2" t="str">
        <f>"9781928357056"</f>
        <v>9781928357056</v>
      </c>
    </row>
    <row r="18512" spans="1:6" s="3" customFormat="1" ht="29.1" customHeight="1" x14ac:dyDescent="0.25">
      <c r="A18512" s="2" t="s">
        <v>36417</v>
      </c>
      <c r="B18512" s="2" t="s">
        <v>36297</v>
      </c>
      <c r="C18512" s="2" t="s">
        <v>36254</v>
      </c>
      <c r="D18512" s="2" t="s">
        <v>937</v>
      </c>
      <c r="E18512" s="2" t="str">
        <f>"9781920689919"</f>
        <v>9781920689919</v>
      </c>
      <c r="F18512" s="2" t="str">
        <f>"9781920689926"</f>
        <v>9781920689926</v>
      </c>
    </row>
    <row r="18513" spans="1:6" s="3" customFormat="1" ht="29.1" customHeight="1" x14ac:dyDescent="0.25">
      <c r="A18513" s="2" t="s">
        <v>36418</v>
      </c>
      <c r="B18513" s="2" t="s">
        <v>17569</v>
      </c>
      <c r="C18513" s="2" t="s">
        <v>36254</v>
      </c>
      <c r="D18513" s="2" t="s">
        <v>5536</v>
      </c>
      <c r="E18513" s="2" t="str">
        <f>"9781920109127"</f>
        <v>9781920109127</v>
      </c>
      <c r="F18513" s="2" t="str">
        <f>"9781920109134"</f>
        <v>9781920109134</v>
      </c>
    </row>
    <row r="18514" spans="1:6" s="3" customFormat="1" ht="29.1" customHeight="1" x14ac:dyDescent="0.25">
      <c r="A18514" s="2" t="s">
        <v>36419</v>
      </c>
      <c r="B18514" s="2" t="s">
        <v>36297</v>
      </c>
      <c r="C18514" s="2" t="s">
        <v>36254</v>
      </c>
      <c r="D18514" s="2" t="s">
        <v>2199</v>
      </c>
      <c r="E18514" s="2" t="str">
        <f>"9781920338398"</f>
        <v>9781920338398</v>
      </c>
      <c r="F18514" s="2" t="str">
        <f>"9781920338404"</f>
        <v>9781920338404</v>
      </c>
    </row>
    <row r="18515" spans="1:6" s="3" customFormat="1" ht="29.1" customHeight="1" x14ac:dyDescent="0.25">
      <c r="A18515" s="2" t="s">
        <v>36420</v>
      </c>
      <c r="B18515" s="2" t="s">
        <v>36297</v>
      </c>
      <c r="C18515" s="2" t="s">
        <v>36254</v>
      </c>
      <c r="D18515" s="2" t="s">
        <v>2199</v>
      </c>
      <c r="E18515" s="2" t="str">
        <f>"9781920338039"</f>
        <v>9781920338039</v>
      </c>
      <c r="F18515" s="2" t="str">
        <f>"9781920338367"</f>
        <v>9781920338367</v>
      </c>
    </row>
    <row r="18516" spans="1:6" s="3" customFormat="1" ht="29.1" customHeight="1" x14ac:dyDescent="0.25">
      <c r="A18516" s="2" t="s">
        <v>36421</v>
      </c>
      <c r="B18516" s="2" t="s">
        <v>36422</v>
      </c>
      <c r="C18516" s="2" t="s">
        <v>36254</v>
      </c>
      <c r="D18516" s="2" t="s">
        <v>3581</v>
      </c>
      <c r="E18516" s="2" t="str">
        <f>"9781928357193"</f>
        <v>9781928357193</v>
      </c>
      <c r="F18516" s="2" t="str">
        <f>"9781928357209"</f>
        <v>9781928357209</v>
      </c>
    </row>
    <row r="18517" spans="1:6" s="3" customFormat="1" ht="29.1" customHeight="1" x14ac:dyDescent="0.25">
      <c r="A18517" s="2" t="s">
        <v>36423</v>
      </c>
      <c r="B18517" s="2" t="s">
        <v>36424</v>
      </c>
      <c r="C18517" s="2" t="s">
        <v>36254</v>
      </c>
      <c r="D18517" s="2" t="s">
        <v>11537</v>
      </c>
      <c r="E18517" s="2" t="str">
        <f>"9781920109486"</f>
        <v>9781920109486</v>
      </c>
      <c r="F18517" s="2" t="str">
        <f>"9781920109998"</f>
        <v>9781920109998</v>
      </c>
    </row>
    <row r="18518" spans="1:6" s="3" customFormat="1" ht="29.1" customHeight="1" x14ac:dyDescent="0.25">
      <c r="A18518" s="2" t="s">
        <v>36425</v>
      </c>
      <c r="B18518" s="2" t="s">
        <v>36338</v>
      </c>
      <c r="C18518" s="2" t="s">
        <v>36254</v>
      </c>
      <c r="D18518" s="2" t="s">
        <v>3963</v>
      </c>
      <c r="E18518" s="2" t="str">
        <f>"9781920689025"</f>
        <v>9781920689025</v>
      </c>
      <c r="F18518" s="2" t="str">
        <f>"9781920689032"</f>
        <v>9781920689032</v>
      </c>
    </row>
    <row r="18519" spans="1:6" s="3" customFormat="1" ht="29.1" customHeight="1" x14ac:dyDescent="0.25">
      <c r="A18519" s="2" t="s">
        <v>36426</v>
      </c>
      <c r="B18519" s="2" t="s">
        <v>27335</v>
      </c>
      <c r="C18519" s="2" t="s">
        <v>36254</v>
      </c>
      <c r="D18519" s="2" t="s">
        <v>1141</v>
      </c>
      <c r="E18519" s="2" t="str">
        <f>"9781919980409"</f>
        <v>9781919980409</v>
      </c>
      <c r="F18519" s="2" t="str">
        <f>"9781919980768"</f>
        <v>9781919980768</v>
      </c>
    </row>
    <row r="18520" spans="1:6" s="3" customFormat="1" ht="29.1" customHeight="1" x14ac:dyDescent="0.25">
      <c r="A18520" s="2" t="s">
        <v>36427</v>
      </c>
      <c r="B18520" s="2" t="s">
        <v>36416</v>
      </c>
      <c r="C18520" s="2" t="s">
        <v>36254</v>
      </c>
      <c r="D18520" s="2" t="s">
        <v>553</v>
      </c>
      <c r="E18520" s="2" t="str">
        <f>"9781920338121"</f>
        <v>9781920338121</v>
      </c>
      <c r="F18520" s="2" t="str">
        <f>"9781920338220"</f>
        <v>9781920338220</v>
      </c>
    </row>
    <row r="18521" spans="1:6" s="3" customFormat="1" ht="29.1" customHeight="1" x14ac:dyDescent="0.25">
      <c r="A18521" s="2" t="s">
        <v>36428</v>
      </c>
      <c r="B18521" s="2" t="s">
        <v>36429</v>
      </c>
      <c r="C18521" s="2" t="s">
        <v>36254</v>
      </c>
      <c r="D18521" s="2" t="s">
        <v>10550</v>
      </c>
      <c r="E18521" s="2" t="str">
        <f>"9781919980607"</f>
        <v>9781919980607</v>
      </c>
      <c r="F18521" s="2" t="str">
        <f>"9781919980751"</f>
        <v>9781919980751</v>
      </c>
    </row>
    <row r="18522" spans="1:6" s="3" customFormat="1" ht="29.1" customHeight="1" x14ac:dyDescent="0.25">
      <c r="A18522" s="2" t="s">
        <v>36430</v>
      </c>
      <c r="B18522" s="2" t="s">
        <v>36431</v>
      </c>
      <c r="C18522" s="2" t="s">
        <v>36254</v>
      </c>
      <c r="D18522" s="2" t="s">
        <v>202</v>
      </c>
      <c r="E18522" s="2" t="str">
        <f>"9781919980614"</f>
        <v>9781919980614</v>
      </c>
      <c r="F18522" s="2" t="str">
        <f>"9781919980744"</f>
        <v>9781919980744</v>
      </c>
    </row>
    <row r="18523" spans="1:6" s="3" customFormat="1" ht="29.1" customHeight="1" x14ac:dyDescent="0.25">
      <c r="A18523" s="2" t="s">
        <v>36432</v>
      </c>
      <c r="B18523" s="2" t="s">
        <v>36433</v>
      </c>
      <c r="C18523" s="2" t="s">
        <v>36254</v>
      </c>
      <c r="D18523" s="2" t="s">
        <v>7645</v>
      </c>
      <c r="E18523" s="2" t="str">
        <f>"9781920338954"</f>
        <v>9781920338954</v>
      </c>
      <c r="F18523" s="2" t="str">
        <f>"9781920338978"</f>
        <v>9781920338978</v>
      </c>
    </row>
    <row r="18524" spans="1:6" s="3" customFormat="1" ht="29.1" customHeight="1" x14ac:dyDescent="0.25">
      <c r="A18524" s="2" t="s">
        <v>36434</v>
      </c>
      <c r="B18524" s="2" t="s">
        <v>36435</v>
      </c>
      <c r="C18524" s="2" t="s">
        <v>36254</v>
      </c>
      <c r="D18524" s="2" t="s">
        <v>3445</v>
      </c>
      <c r="E18524" s="2" t="str">
        <f>"9781928314189"</f>
        <v>9781928314189</v>
      </c>
      <c r="F18524" s="2" t="str">
        <f>"9781928314196"</f>
        <v>9781928314196</v>
      </c>
    </row>
    <row r="18525" spans="1:6" s="3" customFormat="1" ht="29.1" customHeight="1" x14ac:dyDescent="0.25">
      <c r="A18525" s="2" t="s">
        <v>36436</v>
      </c>
      <c r="B18525" s="2" t="s">
        <v>36437</v>
      </c>
      <c r="C18525" s="2" t="s">
        <v>36254</v>
      </c>
      <c r="D18525" s="2" t="s">
        <v>8202</v>
      </c>
      <c r="E18525" s="2" t="str">
        <f>"9781920338022"</f>
        <v>9781920338022</v>
      </c>
      <c r="F18525" s="2" t="str">
        <f>"9781920338350"</f>
        <v>9781920338350</v>
      </c>
    </row>
    <row r="18526" spans="1:6" s="3" customFormat="1" ht="29.1" customHeight="1" x14ac:dyDescent="0.25">
      <c r="A18526" s="2" t="s">
        <v>36438</v>
      </c>
      <c r="B18526" s="2" t="s">
        <v>36440</v>
      </c>
      <c r="C18526" s="2" t="s">
        <v>36254</v>
      </c>
      <c r="D18526" s="2" t="s">
        <v>36439</v>
      </c>
      <c r="E18526" s="2" t="str">
        <f>"9780987009609"</f>
        <v>9780987009609</v>
      </c>
      <c r="F18526" s="2" t="str">
        <f>"9780987009661"</f>
        <v>9780987009661</v>
      </c>
    </row>
    <row r="18527" spans="1:6" s="3" customFormat="1" ht="29.1" customHeight="1" x14ac:dyDescent="0.25">
      <c r="A18527" s="2" t="s">
        <v>36441</v>
      </c>
      <c r="B18527" s="2" t="s">
        <v>36442</v>
      </c>
      <c r="C18527" s="2" t="s">
        <v>36254</v>
      </c>
      <c r="D18527" s="2" t="s">
        <v>2962</v>
      </c>
      <c r="E18527" s="2" t="str">
        <f>"9781920338466"</f>
        <v>9781920338466</v>
      </c>
      <c r="F18527" s="2" t="str">
        <f>"9781920338503"</f>
        <v>9781920338503</v>
      </c>
    </row>
    <row r="18528" spans="1:6" s="3" customFormat="1" ht="29.1" customHeight="1" x14ac:dyDescent="0.25">
      <c r="A18528" s="2" t="s">
        <v>36443</v>
      </c>
      <c r="B18528" s="2" t="s">
        <v>36444</v>
      </c>
      <c r="C18528" s="2" t="s">
        <v>36254</v>
      </c>
      <c r="D18528" s="2" t="s">
        <v>1155</v>
      </c>
      <c r="E18528" s="2" t="str">
        <f>"9781920338435"</f>
        <v>9781920338435</v>
      </c>
      <c r="F18528" s="2" t="str">
        <f>"9781920338510"</f>
        <v>9781920338510</v>
      </c>
    </row>
    <row r="18529" spans="1:6" s="3" customFormat="1" ht="29.1" customHeight="1" x14ac:dyDescent="0.25">
      <c r="A18529" s="2" t="s">
        <v>36445</v>
      </c>
      <c r="B18529" s="2" t="s">
        <v>36446</v>
      </c>
      <c r="C18529" s="2" t="s">
        <v>36254</v>
      </c>
      <c r="D18529" s="2" t="s">
        <v>5417</v>
      </c>
      <c r="E18529" s="2" t="str">
        <f>"9781920109905"</f>
        <v>9781920109905</v>
      </c>
      <c r="F18529" s="2" t="str">
        <f>"9781920109325"</f>
        <v>9781920109325</v>
      </c>
    </row>
    <row r="18530" spans="1:6" s="3" customFormat="1" ht="29.1" customHeight="1" x14ac:dyDescent="0.25">
      <c r="A18530" s="2" t="s">
        <v>36447</v>
      </c>
      <c r="B18530" s="2" t="s">
        <v>36448</v>
      </c>
      <c r="C18530" s="2" t="s">
        <v>36254</v>
      </c>
      <c r="D18530" s="2" t="s">
        <v>656</v>
      </c>
      <c r="E18530" s="2" t="str">
        <f>"9781919980355"</f>
        <v>9781919980355</v>
      </c>
      <c r="F18530" s="2" t="str">
        <f>"9781919980386"</f>
        <v>9781919980386</v>
      </c>
    </row>
    <row r="18531" spans="1:6" s="3" customFormat="1" ht="29.1" customHeight="1" x14ac:dyDescent="0.25">
      <c r="A18531" s="2" t="s">
        <v>36449</v>
      </c>
      <c r="B18531" s="2" t="s">
        <v>36450</v>
      </c>
      <c r="C18531" s="2" t="s">
        <v>36254</v>
      </c>
      <c r="D18531" s="2" t="s">
        <v>2005</v>
      </c>
      <c r="E18531" s="2" t="str">
        <f>"9780992180607"</f>
        <v>9780992180607</v>
      </c>
      <c r="F18531" s="2" t="str">
        <f>"9780992180652"</f>
        <v>9780992180652</v>
      </c>
    </row>
    <row r="18532" spans="1:6" s="3" customFormat="1" ht="29.1" customHeight="1" x14ac:dyDescent="0.25">
      <c r="A18532" s="2" t="s">
        <v>36451</v>
      </c>
      <c r="B18532" s="2" t="s">
        <v>36452</v>
      </c>
      <c r="C18532" s="2" t="s">
        <v>36254</v>
      </c>
      <c r="D18532" s="2" t="s">
        <v>11038</v>
      </c>
      <c r="E18532" s="2" t="str">
        <f>"9781920689766"</f>
        <v>9781920689766</v>
      </c>
      <c r="F18532" s="2" t="str">
        <f>"9781920689773"</f>
        <v>9781920689773</v>
      </c>
    </row>
    <row r="18533" spans="1:6" s="3" customFormat="1" ht="29.1" customHeight="1" x14ac:dyDescent="0.25">
      <c r="A18533" s="2" t="s">
        <v>36453</v>
      </c>
      <c r="B18533" s="2" t="s">
        <v>36294</v>
      </c>
      <c r="C18533" s="2" t="s">
        <v>36254</v>
      </c>
      <c r="D18533" s="2" t="s">
        <v>3445</v>
      </c>
      <c r="E18533" s="2" t="str">
        <f>"9781919985190"</f>
        <v>9781919985190</v>
      </c>
      <c r="F18533" s="2" t="str">
        <f>"9781919985541"</f>
        <v>9781919985541</v>
      </c>
    </row>
    <row r="18534" spans="1:6" s="3" customFormat="1" ht="29.1" customHeight="1" x14ac:dyDescent="0.25">
      <c r="A18534" s="2" t="s">
        <v>36454</v>
      </c>
      <c r="B18534" s="2" t="s">
        <v>36455</v>
      </c>
      <c r="C18534" s="2" t="s">
        <v>36254</v>
      </c>
      <c r="D18534" s="2" t="s">
        <v>3270</v>
      </c>
      <c r="E18534" s="2" t="str">
        <f>"9781920338060"</f>
        <v>9781920338060</v>
      </c>
      <c r="F18534" s="2" t="str">
        <f>"9781920338343"</f>
        <v>9781920338343</v>
      </c>
    </row>
    <row r="18535" spans="1:6" s="3" customFormat="1" ht="29.1" customHeight="1" x14ac:dyDescent="0.25">
      <c r="A18535" s="2" t="s">
        <v>36456</v>
      </c>
      <c r="B18535" s="2" t="s">
        <v>36283</v>
      </c>
      <c r="C18535" s="2" t="s">
        <v>36254</v>
      </c>
      <c r="D18535" s="2" t="s">
        <v>36457</v>
      </c>
      <c r="E18535" s="2" t="str">
        <f>"9781919980508"</f>
        <v>9781919980508</v>
      </c>
      <c r="F18535" s="2" t="str">
        <f>"9781920689391"</f>
        <v>9781920689391</v>
      </c>
    </row>
    <row r="18536" spans="1:6" s="3" customFormat="1" ht="29.1" customHeight="1" x14ac:dyDescent="0.25">
      <c r="A18536" s="2" t="s">
        <v>36458</v>
      </c>
      <c r="B18536" s="2" t="s">
        <v>36459</v>
      </c>
      <c r="C18536" s="2" t="s">
        <v>36254</v>
      </c>
      <c r="D18536" s="2" t="s">
        <v>175</v>
      </c>
      <c r="E18536" s="2" t="str">
        <f>"9781920338138"</f>
        <v>9781920338138</v>
      </c>
      <c r="F18536" s="2" t="str">
        <f>"9781920338237"</f>
        <v>9781920338237</v>
      </c>
    </row>
    <row r="18537" spans="1:6" s="3" customFormat="1" ht="29.1" customHeight="1" x14ac:dyDescent="0.25">
      <c r="A18537" s="2" t="s">
        <v>36460</v>
      </c>
      <c r="B18537" s="2" t="s">
        <v>36461</v>
      </c>
      <c r="C18537" s="2" t="s">
        <v>36254</v>
      </c>
      <c r="D18537" s="2" t="s">
        <v>17568</v>
      </c>
      <c r="E18537" s="2" t="str">
        <f>"9781919980072"</f>
        <v>9781919980072</v>
      </c>
      <c r="F18537" s="2" t="str">
        <f>"9781919980324"</f>
        <v>9781919980324</v>
      </c>
    </row>
    <row r="18538" spans="1:6" s="3" customFormat="1" ht="29.1" customHeight="1" x14ac:dyDescent="0.25">
      <c r="A18538" s="2" t="s">
        <v>36462</v>
      </c>
      <c r="B18538" s="2" t="s">
        <v>36463</v>
      </c>
      <c r="C18538" s="2" t="s">
        <v>36254</v>
      </c>
      <c r="D18538" s="2" t="s">
        <v>6896</v>
      </c>
      <c r="E18538" s="2" t="str">
        <f>"9781920689179"</f>
        <v>9781920689179</v>
      </c>
      <c r="F18538" s="2" t="str">
        <f>"9781920689186"</f>
        <v>9781920689186</v>
      </c>
    </row>
    <row r="18539" spans="1:6" s="3" customFormat="1" ht="29.1" customHeight="1" x14ac:dyDescent="0.25">
      <c r="A18539" s="2" t="s">
        <v>36464</v>
      </c>
      <c r="B18539" s="2" t="s">
        <v>36465</v>
      </c>
      <c r="C18539" s="2" t="s">
        <v>36254</v>
      </c>
      <c r="D18539" s="2" t="s">
        <v>1416</v>
      </c>
      <c r="E18539" s="2" t="str">
        <f>"9781919980171"</f>
        <v>9781919980171</v>
      </c>
      <c r="F18539" s="2" t="str">
        <f>"9781919980249"</f>
        <v>9781919980249</v>
      </c>
    </row>
    <row r="18540" spans="1:6" s="3" customFormat="1" ht="29.1" customHeight="1" x14ac:dyDescent="0.25">
      <c r="A18540" s="2" t="s">
        <v>36466</v>
      </c>
      <c r="B18540" s="2" t="s">
        <v>36467</v>
      </c>
      <c r="C18540" s="2" t="s">
        <v>36254</v>
      </c>
      <c r="D18540" s="2" t="s">
        <v>1155</v>
      </c>
      <c r="E18540" s="2" t="str">
        <f>"9781920338701"</f>
        <v>9781920338701</v>
      </c>
      <c r="F18540" s="2" t="str">
        <f>"9781920338718"</f>
        <v>9781920338718</v>
      </c>
    </row>
    <row r="18541" spans="1:6" s="3" customFormat="1" ht="29.1" customHeight="1" x14ac:dyDescent="0.25">
      <c r="A18541" s="2" t="s">
        <v>36468</v>
      </c>
      <c r="B18541" s="2" t="s">
        <v>36469</v>
      </c>
      <c r="C18541" s="2" t="s">
        <v>36254</v>
      </c>
      <c r="D18541" s="2" t="s">
        <v>553</v>
      </c>
      <c r="E18541" s="2" t="str">
        <f>"9781920338817"</f>
        <v>9781920338817</v>
      </c>
      <c r="F18541" s="2" t="str">
        <f>"9781920338824"</f>
        <v>9781920338824</v>
      </c>
    </row>
    <row r="18542" spans="1:6" s="3" customFormat="1" ht="29.1" customHeight="1" x14ac:dyDescent="0.25">
      <c r="A18542" s="2" t="s">
        <v>36470</v>
      </c>
      <c r="B18542" s="2" t="s">
        <v>36444</v>
      </c>
      <c r="C18542" s="2" t="s">
        <v>36254</v>
      </c>
      <c r="D18542" s="2" t="s">
        <v>36471</v>
      </c>
      <c r="E18542" s="2" t="str">
        <f>"9781920689483"</f>
        <v>9781920689483</v>
      </c>
      <c r="F18542" s="2" t="str">
        <f>"9781920689490"</f>
        <v>9781920689490</v>
      </c>
    </row>
    <row r="18543" spans="1:6" s="3" customFormat="1" ht="29.1" customHeight="1" x14ac:dyDescent="0.25">
      <c r="A18543" s="2" t="s">
        <v>36472</v>
      </c>
      <c r="B18543" s="2" t="s">
        <v>36473</v>
      </c>
      <c r="C18543" s="2" t="s">
        <v>36254</v>
      </c>
      <c r="D18543" s="2" t="s">
        <v>17568</v>
      </c>
      <c r="E18543" s="2" t="str">
        <f>"9781920689704"</f>
        <v>9781920689704</v>
      </c>
      <c r="F18543" s="2" t="str">
        <f>"9781920689711"</f>
        <v>9781920689711</v>
      </c>
    </row>
    <row r="18544" spans="1:6" s="3" customFormat="1" ht="29.1" customHeight="1" x14ac:dyDescent="0.25">
      <c r="A18544" s="2" t="s">
        <v>36474</v>
      </c>
      <c r="B18544" s="2" t="s">
        <v>36475</v>
      </c>
      <c r="C18544" s="2" t="s">
        <v>36254</v>
      </c>
      <c r="D18544" s="2" t="s">
        <v>2433</v>
      </c>
      <c r="E18544" s="2" t="str">
        <f>"9781920689278"</f>
        <v>9781920689278</v>
      </c>
      <c r="F18544" s="2" t="str">
        <f>"9781920689285"</f>
        <v>9781920689285</v>
      </c>
    </row>
    <row r="18545" spans="1:6" s="3" customFormat="1" ht="29.1" customHeight="1" x14ac:dyDescent="0.25">
      <c r="A18545" s="2" t="s">
        <v>36476</v>
      </c>
      <c r="B18545" s="2" t="s">
        <v>36477</v>
      </c>
      <c r="C18545" s="2" t="s">
        <v>36254</v>
      </c>
      <c r="D18545" s="2" t="s">
        <v>11038</v>
      </c>
      <c r="E18545" s="2" t="str">
        <f>"9780987009678"</f>
        <v>9780987009678</v>
      </c>
      <c r="F18545" s="2" t="str">
        <f>"9780992180645"</f>
        <v>9780992180645</v>
      </c>
    </row>
    <row r="18546" spans="1:6" s="3" customFormat="1" ht="29.1" customHeight="1" x14ac:dyDescent="0.25">
      <c r="A18546" s="2" t="s">
        <v>36478</v>
      </c>
      <c r="B18546" s="2" t="s">
        <v>7878</v>
      </c>
      <c r="C18546" s="2" t="s">
        <v>36254</v>
      </c>
      <c r="D18546" s="2" t="s">
        <v>3445</v>
      </c>
      <c r="E18546" s="2" t="str">
        <f>"9781920109233"</f>
        <v>9781920109233</v>
      </c>
      <c r="F18546" s="2" t="str">
        <f>"9781920109240"</f>
        <v>9781920109240</v>
      </c>
    </row>
    <row r="18547" spans="1:6" s="3" customFormat="1" ht="29.1" customHeight="1" x14ac:dyDescent="0.25">
      <c r="A18547" s="2" t="s">
        <v>36479</v>
      </c>
      <c r="B18547" s="2" t="s">
        <v>7878</v>
      </c>
      <c r="C18547" s="2" t="s">
        <v>36254</v>
      </c>
      <c r="D18547" s="2" t="s">
        <v>791</v>
      </c>
      <c r="E18547" s="2" t="str">
        <f>"9781920338572"</f>
        <v>9781920338572</v>
      </c>
      <c r="F18547" s="2" t="str">
        <f>"9781920338589"</f>
        <v>9781920338589</v>
      </c>
    </row>
    <row r="18548" spans="1:6" s="3" customFormat="1" ht="29.1" customHeight="1" x14ac:dyDescent="0.25">
      <c r="A18548" s="2" t="s">
        <v>36480</v>
      </c>
      <c r="B18548" s="2" t="s">
        <v>36297</v>
      </c>
      <c r="C18548" s="2" t="s">
        <v>36254</v>
      </c>
      <c r="D18548" s="2" t="s">
        <v>3445</v>
      </c>
      <c r="E18548" s="2" t="str">
        <f>"9781920109356"</f>
        <v>9781920109356</v>
      </c>
      <c r="F18548" s="2" t="str">
        <f>"9781920109363"</f>
        <v>9781920109363</v>
      </c>
    </row>
    <row r="18549" spans="1:6" s="3" customFormat="1" ht="29.1" customHeight="1" x14ac:dyDescent="0.25">
      <c r="A18549" s="2" t="s">
        <v>36481</v>
      </c>
      <c r="B18549" s="2" t="s">
        <v>7878</v>
      </c>
      <c r="C18549" s="2" t="s">
        <v>36254</v>
      </c>
      <c r="D18549" s="2" t="s">
        <v>17798</v>
      </c>
      <c r="E18549" s="2" t="str">
        <f>"9781919980881"</f>
        <v>9781919980881</v>
      </c>
      <c r="F18549" s="2" t="str">
        <f>"9781919980898"</f>
        <v>9781919980898</v>
      </c>
    </row>
    <row r="18550" spans="1:6" s="3" customFormat="1" ht="29.1" customHeight="1" x14ac:dyDescent="0.25">
      <c r="A18550" s="2" t="s">
        <v>36482</v>
      </c>
      <c r="B18550" s="2" t="s">
        <v>36483</v>
      </c>
      <c r="C18550" s="2" t="s">
        <v>36254</v>
      </c>
      <c r="D18550" s="2" t="s">
        <v>10685</v>
      </c>
      <c r="E18550" s="2" t="str">
        <f>"9781920109806"</f>
        <v>9781920109806</v>
      </c>
      <c r="F18550" s="2" t="str">
        <f>"9781920689377"</f>
        <v>9781920689377</v>
      </c>
    </row>
    <row r="18551" spans="1:6" s="3" customFormat="1" ht="29.1" customHeight="1" x14ac:dyDescent="0.25">
      <c r="A18551" s="2" t="s">
        <v>36484</v>
      </c>
      <c r="B18551" s="2" t="s">
        <v>36483</v>
      </c>
      <c r="C18551" s="2" t="s">
        <v>36254</v>
      </c>
      <c r="D18551" s="2" t="s">
        <v>10685</v>
      </c>
      <c r="E18551" s="2" t="str">
        <f>"9781920109783"</f>
        <v>9781920109783</v>
      </c>
      <c r="F18551" s="2" t="str">
        <f>"9781920689360"</f>
        <v>9781920689360</v>
      </c>
    </row>
    <row r="18552" spans="1:6" s="3" customFormat="1" ht="29.1" customHeight="1" x14ac:dyDescent="0.25">
      <c r="A18552" s="2" t="s">
        <v>36485</v>
      </c>
      <c r="B18552" s="2" t="s">
        <v>36486</v>
      </c>
      <c r="C18552" s="2" t="s">
        <v>36254</v>
      </c>
      <c r="D18552" s="2" t="s">
        <v>7426</v>
      </c>
      <c r="E18552" s="2" t="str">
        <f>"9781928357865"</f>
        <v>9781928357865</v>
      </c>
      <c r="F18552" s="2" t="str">
        <f>"9781928357872"</f>
        <v>9781928357872</v>
      </c>
    </row>
    <row r="18553" spans="1:6" s="3" customFormat="1" ht="29.1" customHeight="1" x14ac:dyDescent="0.25">
      <c r="A18553" s="2" t="s">
        <v>36487</v>
      </c>
      <c r="B18553" s="2" t="s">
        <v>36488</v>
      </c>
      <c r="C18553" s="2" t="s">
        <v>36254</v>
      </c>
      <c r="D18553" s="2" t="s">
        <v>6128</v>
      </c>
      <c r="E18553" s="2" t="str">
        <f>"9781920689520"</f>
        <v>9781920689520</v>
      </c>
      <c r="F18553" s="2" t="str">
        <f>"9781920689537"</f>
        <v>9781920689537</v>
      </c>
    </row>
    <row r="18554" spans="1:6" s="3" customFormat="1" ht="29.1" customHeight="1" x14ac:dyDescent="0.25">
      <c r="A18554" s="2" t="s">
        <v>36489</v>
      </c>
      <c r="B18554" s="2" t="s">
        <v>36491</v>
      </c>
      <c r="C18554" s="2" t="s">
        <v>36254</v>
      </c>
      <c r="D18554" s="2" t="s">
        <v>36490</v>
      </c>
      <c r="E18554" s="2" t="str">
        <f>"9781920109929"</f>
        <v>9781920109929</v>
      </c>
      <c r="F18554" s="2" t="str">
        <f>"9781920109448"</f>
        <v>9781920109448</v>
      </c>
    </row>
    <row r="18555" spans="1:6" s="3" customFormat="1" ht="29.1" customHeight="1" x14ac:dyDescent="0.25">
      <c r="A18555" s="2" t="s">
        <v>36492</v>
      </c>
      <c r="B18555" s="2" t="s">
        <v>17569</v>
      </c>
      <c r="C18555" s="2" t="s">
        <v>36254</v>
      </c>
      <c r="D18555" s="2" t="s">
        <v>4940</v>
      </c>
      <c r="E18555" s="2" t="str">
        <f>"9781920109202"</f>
        <v>9781920109202</v>
      </c>
      <c r="F18555" s="2" t="str">
        <f>"9781920109219"</f>
        <v>9781920109219</v>
      </c>
    </row>
    <row r="18556" spans="1:6" s="3" customFormat="1" ht="29.1" customHeight="1" x14ac:dyDescent="0.25">
      <c r="A18556" s="2" t="s">
        <v>36493</v>
      </c>
      <c r="B18556" s="2" t="s">
        <v>36494</v>
      </c>
      <c r="C18556" s="2" t="s">
        <v>36254</v>
      </c>
      <c r="D18556" s="2" t="s">
        <v>553</v>
      </c>
      <c r="E18556" s="2" t="str">
        <f>"9781928314202"</f>
        <v>9781928314202</v>
      </c>
      <c r="F18556" s="2" t="str">
        <f>"9781928314219"</f>
        <v>9781928314219</v>
      </c>
    </row>
    <row r="18557" spans="1:6" s="3" customFormat="1" ht="29.1" customHeight="1" x14ac:dyDescent="0.25">
      <c r="A18557" s="2" t="s">
        <v>36495</v>
      </c>
      <c r="B18557" s="2" t="s">
        <v>7878</v>
      </c>
      <c r="C18557" s="2" t="s">
        <v>36254</v>
      </c>
      <c r="D18557" s="2" t="s">
        <v>937</v>
      </c>
      <c r="E18557" s="2" t="str">
        <f>"9781920109530"</f>
        <v>9781920109530</v>
      </c>
      <c r="F18557" s="2" t="str">
        <f>"9781920109523"</f>
        <v>9781920109523</v>
      </c>
    </row>
    <row r="18558" spans="1:6" s="3" customFormat="1" ht="29.1" customHeight="1" x14ac:dyDescent="0.25">
      <c r="A18558" s="2" t="s">
        <v>36496</v>
      </c>
      <c r="B18558" s="2" t="s">
        <v>36497</v>
      </c>
      <c r="C18558" s="2" t="s">
        <v>36254</v>
      </c>
      <c r="D18558" s="2" t="s">
        <v>3958</v>
      </c>
      <c r="E18558" s="2" t="str">
        <f>"9781919980638"</f>
        <v>9781919980638</v>
      </c>
      <c r="F18558" s="2" t="str">
        <f>"9781919980713"</f>
        <v>9781919980713</v>
      </c>
    </row>
    <row r="18559" spans="1:6" s="3" customFormat="1" ht="29.1" customHeight="1" x14ac:dyDescent="0.25">
      <c r="A18559" s="2" t="s">
        <v>36498</v>
      </c>
      <c r="B18559" s="2" t="s">
        <v>36499</v>
      </c>
      <c r="C18559" s="2" t="s">
        <v>36254</v>
      </c>
      <c r="D18559" s="2" t="s">
        <v>937</v>
      </c>
      <c r="E18559" s="2" t="str">
        <f>"9781920109776"</f>
        <v>9781920109776</v>
      </c>
      <c r="F18559" s="2" t="str">
        <f>"9781920109332"</f>
        <v>9781920109332</v>
      </c>
    </row>
    <row r="18560" spans="1:6" s="3" customFormat="1" ht="29.1" customHeight="1" x14ac:dyDescent="0.25">
      <c r="A18560" s="2" t="s">
        <v>36500</v>
      </c>
      <c r="B18560" s="2" t="s">
        <v>36501</v>
      </c>
      <c r="C18560" s="2" t="s">
        <v>36254</v>
      </c>
      <c r="D18560" s="2" t="s">
        <v>968</v>
      </c>
      <c r="E18560" s="2" t="str">
        <f>"9781920689469"</f>
        <v>9781920689469</v>
      </c>
      <c r="F18560" s="2" t="str">
        <f>"9781920689476"</f>
        <v>9781920689476</v>
      </c>
    </row>
    <row r="18561" spans="1:6" s="3" customFormat="1" ht="29.1" customHeight="1" x14ac:dyDescent="0.25">
      <c r="A18561" s="2" t="s">
        <v>36502</v>
      </c>
      <c r="B18561" s="2" t="s">
        <v>36503</v>
      </c>
      <c r="C18561" s="2" t="s">
        <v>36254</v>
      </c>
      <c r="D18561" s="2" t="s">
        <v>6896</v>
      </c>
      <c r="E18561" s="2" t="str">
        <f>"9781919985312"</f>
        <v>9781919985312</v>
      </c>
      <c r="F18561" s="2" t="str">
        <f>"9781919985329"</f>
        <v>9781919985329</v>
      </c>
    </row>
    <row r="18562" spans="1:6" s="3" customFormat="1" ht="29.1" customHeight="1" x14ac:dyDescent="0.25">
      <c r="A18562" s="2" t="s">
        <v>36504</v>
      </c>
      <c r="B18562" s="2" t="s">
        <v>36505</v>
      </c>
      <c r="C18562" s="2" t="s">
        <v>36254</v>
      </c>
      <c r="D18562" s="2" t="s">
        <v>1591</v>
      </c>
      <c r="E18562" s="2" t="str">
        <f>"9781920689438"</f>
        <v>9781920689438</v>
      </c>
      <c r="F18562" s="2" t="str">
        <f>"9781920689445"</f>
        <v>9781920689445</v>
      </c>
    </row>
    <row r="18563" spans="1:6" s="3" customFormat="1" ht="29.1" customHeight="1" x14ac:dyDescent="0.25">
      <c r="A18563" s="2" t="s">
        <v>36506</v>
      </c>
      <c r="B18563" s="2" t="s">
        <v>36507</v>
      </c>
      <c r="C18563" s="2" t="s">
        <v>36254</v>
      </c>
      <c r="D18563" s="2" t="s">
        <v>3958</v>
      </c>
      <c r="E18563" s="2" t="str">
        <f>"9781919980621"</f>
        <v>9781919980621</v>
      </c>
      <c r="F18563" s="2" t="str">
        <f>"9781919980706"</f>
        <v>9781919980706</v>
      </c>
    </row>
    <row r="18564" spans="1:6" s="3" customFormat="1" ht="29.1" customHeight="1" x14ac:dyDescent="0.25">
      <c r="A18564" s="2" t="s">
        <v>36508</v>
      </c>
      <c r="B18564" s="2" t="s">
        <v>17569</v>
      </c>
      <c r="C18564" s="2" t="s">
        <v>36254</v>
      </c>
      <c r="D18564" s="2" t="s">
        <v>3445</v>
      </c>
      <c r="E18564" s="2" t="str">
        <f>"9781920689933"</f>
        <v>9781920689933</v>
      </c>
      <c r="F18564" s="2" t="str">
        <f>"9781920689940"</f>
        <v>9781920689940</v>
      </c>
    </row>
    <row r="18565" spans="1:6" s="3" customFormat="1" ht="29.1" customHeight="1" x14ac:dyDescent="0.25">
      <c r="A18565" s="2" t="s">
        <v>36509</v>
      </c>
      <c r="B18565" s="2" t="s">
        <v>36510</v>
      </c>
      <c r="C18565" s="2" t="s">
        <v>36254</v>
      </c>
      <c r="D18565" s="2" t="s">
        <v>553</v>
      </c>
      <c r="E18565" s="2" t="str">
        <f>"9781919980577"</f>
        <v>9781919980577</v>
      </c>
      <c r="F18565" s="2" t="str">
        <f>"9781919980690"</f>
        <v>9781919980690</v>
      </c>
    </row>
    <row r="18566" spans="1:6" s="3" customFormat="1" ht="29.1" customHeight="1" x14ac:dyDescent="0.25">
      <c r="A18566" s="2" t="s">
        <v>36511</v>
      </c>
      <c r="B18566" s="2" t="s">
        <v>36512</v>
      </c>
      <c r="C18566" s="2" t="s">
        <v>36254</v>
      </c>
      <c r="D18566" s="2" t="s">
        <v>894</v>
      </c>
      <c r="E18566" s="2" t="str">
        <f>"9781919980195"</f>
        <v>9781919980195</v>
      </c>
      <c r="F18566" s="2" t="str">
        <f>"9781919980348"</f>
        <v>9781919980348</v>
      </c>
    </row>
    <row r="18567" spans="1:6" s="3" customFormat="1" ht="29.1" customHeight="1" x14ac:dyDescent="0.25">
      <c r="A18567" s="2" t="s">
        <v>36513</v>
      </c>
      <c r="B18567" s="2" t="s">
        <v>36514</v>
      </c>
      <c r="C18567" s="2" t="s">
        <v>36254</v>
      </c>
      <c r="D18567" s="2" t="s">
        <v>6571</v>
      </c>
      <c r="E18567" s="2" t="str">
        <f>"9780992235949"</f>
        <v>9780992235949</v>
      </c>
      <c r="F18567" s="2" t="str">
        <f>"9780992235956"</f>
        <v>9780992235956</v>
      </c>
    </row>
    <row r="18568" spans="1:6" s="3" customFormat="1" ht="29.1" customHeight="1" x14ac:dyDescent="0.25">
      <c r="A18568" s="2" t="s">
        <v>36515</v>
      </c>
      <c r="B18568" s="2" t="s">
        <v>36516</v>
      </c>
      <c r="C18568" s="2" t="s">
        <v>36254</v>
      </c>
      <c r="D18568" s="2" t="s">
        <v>6354</v>
      </c>
      <c r="E18568" s="2" t="str">
        <f>"9781920109042"</f>
        <v>9781920109042</v>
      </c>
      <c r="F18568" s="2" t="str">
        <f>"9781920109059"</f>
        <v>9781920109059</v>
      </c>
    </row>
    <row r="18569" spans="1:6" s="3" customFormat="1" ht="29.1" customHeight="1" x14ac:dyDescent="0.25">
      <c r="A18569" s="2" t="s">
        <v>36517</v>
      </c>
      <c r="B18569" s="2" t="s">
        <v>36518</v>
      </c>
      <c r="C18569" s="2" t="s">
        <v>36254</v>
      </c>
      <c r="D18569" s="2" t="s">
        <v>183</v>
      </c>
      <c r="E18569" s="2" t="str">
        <f>"9781919985572"</f>
        <v>9781919985572</v>
      </c>
      <c r="F18569" s="2" t="str">
        <f>"9781919985589"</f>
        <v>9781919985589</v>
      </c>
    </row>
    <row r="18570" spans="1:6" s="3" customFormat="1" ht="29.1" customHeight="1" x14ac:dyDescent="0.25">
      <c r="A18570" s="2" t="s">
        <v>36519</v>
      </c>
      <c r="B18570" s="2" t="s">
        <v>36520</v>
      </c>
      <c r="C18570" s="2" t="s">
        <v>595</v>
      </c>
      <c r="D18570" s="2" t="s">
        <v>210</v>
      </c>
      <c r="E18570" s="2" t="str">
        <f>"9783631861677"</f>
        <v>9783631861677</v>
      </c>
      <c r="F18570" s="2" t="str">
        <f>"9783631861684"</f>
        <v>9783631861684</v>
      </c>
    </row>
    <row r="18571" spans="1:6" s="3" customFormat="1" ht="29.1" customHeight="1" x14ac:dyDescent="0.25">
      <c r="A18571" s="2" t="s">
        <v>36521</v>
      </c>
      <c r="B18571" s="2" t="s">
        <v>36522</v>
      </c>
      <c r="C18571" s="2" t="s">
        <v>124</v>
      </c>
      <c r="D18571" s="2" t="s">
        <v>339</v>
      </c>
      <c r="E18571" s="2" t="str">
        <f>"9781032049106"</f>
        <v>9781032049106</v>
      </c>
      <c r="F18571" s="2" t="str">
        <f>"9781000463415"</f>
        <v>9781000463415</v>
      </c>
    </row>
    <row r="18572" spans="1:6" s="3" customFormat="1" ht="29.1" customHeight="1" x14ac:dyDescent="0.25">
      <c r="A18572" s="2" t="s">
        <v>36523</v>
      </c>
      <c r="B18572" s="2" t="s">
        <v>36524</v>
      </c>
      <c r="C18572" s="2" t="s">
        <v>8104</v>
      </c>
      <c r="D18572" s="2" t="s">
        <v>712</v>
      </c>
      <c r="E18572" s="2" t="str">
        <f>"9781800731851"</f>
        <v>9781800731851</v>
      </c>
      <c r="F18572" s="2" t="str">
        <f>"9781800731868"</f>
        <v>9781800731868</v>
      </c>
    </row>
    <row r="18573" spans="1:6" s="3" customFormat="1" ht="29.1" customHeight="1" x14ac:dyDescent="0.25">
      <c r="A18573" s="2" t="s">
        <v>31602</v>
      </c>
      <c r="B18573" s="2" t="s">
        <v>31604</v>
      </c>
      <c r="C18573" s="2" t="s">
        <v>264</v>
      </c>
      <c r="D18573" s="2" t="s">
        <v>44</v>
      </c>
      <c r="E18573" s="2" t="str">
        <f>"9781032120447"</f>
        <v>9781032120447</v>
      </c>
      <c r="F18573" s="2" t="str">
        <f>"9781000533330"</f>
        <v>9781000533330</v>
      </c>
    </row>
    <row r="18574" spans="1:6" s="3" customFormat="1" ht="29.1" customHeight="1" x14ac:dyDescent="0.25">
      <c r="A18574" s="2" t="s">
        <v>36525</v>
      </c>
      <c r="B18574" s="2" t="s">
        <v>36527</v>
      </c>
      <c r="C18574" s="2" t="s">
        <v>264</v>
      </c>
      <c r="D18574" s="2" t="s">
        <v>36526</v>
      </c>
      <c r="E18574" s="2" t="str">
        <f>"9781482219586"</f>
        <v>9781482219586</v>
      </c>
      <c r="F18574" s="2" t="str">
        <f>"9781000533736"</f>
        <v>9781000533736</v>
      </c>
    </row>
    <row r="18575" spans="1:6" s="3" customFormat="1" ht="29.1" customHeight="1" x14ac:dyDescent="0.25">
      <c r="A18575" s="2" t="s">
        <v>36528</v>
      </c>
      <c r="B18575" s="2" t="s">
        <v>36529</v>
      </c>
      <c r="C18575" s="2" t="s">
        <v>124</v>
      </c>
      <c r="D18575" s="2" t="s">
        <v>2086</v>
      </c>
      <c r="E18575" s="2" t="str">
        <f>"9781032190785"</f>
        <v>9781032190785</v>
      </c>
      <c r="F18575" s="2" t="str">
        <f>"9781000531503"</f>
        <v>9781000531503</v>
      </c>
    </row>
    <row r="18576" spans="1:6" s="3" customFormat="1" ht="29.1" customHeight="1" x14ac:dyDescent="0.25">
      <c r="A18576" s="2" t="s">
        <v>36530</v>
      </c>
      <c r="B18576" s="2" t="s">
        <v>36531</v>
      </c>
      <c r="C18576" s="2" t="s">
        <v>124</v>
      </c>
      <c r="D18576" s="2" t="s">
        <v>5686</v>
      </c>
      <c r="E18576" s="2" t="str">
        <f>"9781032030272"</f>
        <v>9781032030272</v>
      </c>
      <c r="F18576" s="2" t="str">
        <f>"9781000533125"</f>
        <v>9781000533125</v>
      </c>
    </row>
    <row r="18577" spans="1:6" s="3" customFormat="1" ht="29.1" customHeight="1" x14ac:dyDescent="0.25">
      <c r="A18577" s="2" t="s">
        <v>36532</v>
      </c>
      <c r="B18577" s="2" t="s">
        <v>36533</v>
      </c>
      <c r="C18577" s="2" t="s">
        <v>124</v>
      </c>
      <c r="D18577" s="2" t="s">
        <v>689</v>
      </c>
      <c r="E18577" s="2" t="str">
        <f>"9780367702182"</f>
        <v>9780367702182</v>
      </c>
      <c r="F18577" s="2" t="str">
        <f>"9781000526981"</f>
        <v>9781000526981</v>
      </c>
    </row>
    <row r="18578" spans="1:6" s="3" customFormat="1" ht="29.1" customHeight="1" x14ac:dyDescent="0.25">
      <c r="A18578" s="2" t="s">
        <v>36534</v>
      </c>
      <c r="B18578" s="2" t="s">
        <v>34368</v>
      </c>
      <c r="C18578" s="2" t="s">
        <v>195</v>
      </c>
      <c r="D18578" s="2" t="s">
        <v>1565</v>
      </c>
      <c r="E18578" s="2" t="str">
        <f>"9783422985100"</f>
        <v>9783422985100</v>
      </c>
      <c r="F18578" s="2" t="str">
        <f>"9783422986398"</f>
        <v>9783422986398</v>
      </c>
    </row>
    <row r="18579" spans="1:6" s="3" customFormat="1" ht="29.1" customHeight="1" x14ac:dyDescent="0.25">
      <c r="A18579" s="2" t="s">
        <v>36535</v>
      </c>
      <c r="B18579" s="2" t="s">
        <v>36536</v>
      </c>
      <c r="C18579" s="2" t="s">
        <v>195</v>
      </c>
      <c r="D18579" s="2" t="s">
        <v>6548</v>
      </c>
      <c r="E18579" s="2" t="str">
        <f>"9783110688894"</f>
        <v>9783110688894</v>
      </c>
      <c r="F18579" s="2" t="str">
        <f>"9783110688917"</f>
        <v>9783110688917</v>
      </c>
    </row>
    <row r="18580" spans="1:6" s="3" customFormat="1" ht="29.1" customHeight="1" x14ac:dyDescent="0.25">
      <c r="A18580" s="2" t="s">
        <v>36537</v>
      </c>
      <c r="B18580" s="2" t="s">
        <v>35793</v>
      </c>
      <c r="C18580" s="2" t="s">
        <v>195</v>
      </c>
      <c r="D18580" s="2" t="s">
        <v>436</v>
      </c>
      <c r="E18580" s="2" t="str">
        <f>"9783110582321"</f>
        <v>9783110582321</v>
      </c>
      <c r="F18580" s="2" t="str">
        <f>"9783110671995"</f>
        <v>9783110671995</v>
      </c>
    </row>
    <row r="18581" spans="1:6" s="3" customFormat="1" ht="29.1" customHeight="1" x14ac:dyDescent="0.25">
      <c r="A18581" s="2" t="s">
        <v>36538</v>
      </c>
      <c r="B18581" s="2" t="s">
        <v>36539</v>
      </c>
      <c r="C18581" s="2" t="s">
        <v>29</v>
      </c>
      <c r="D18581" s="2" t="s">
        <v>4064</v>
      </c>
      <c r="E18581" s="2" t="str">
        <f>"9789004457706"</f>
        <v>9789004457706</v>
      </c>
      <c r="F18581" s="2" t="str">
        <f>"9789004457720"</f>
        <v>9789004457720</v>
      </c>
    </row>
    <row r="18582" spans="1:6" s="3" customFormat="1" ht="29.1" customHeight="1" x14ac:dyDescent="0.25">
      <c r="A18582" s="2" t="s">
        <v>36540</v>
      </c>
      <c r="B18582" s="2" t="s">
        <v>36541</v>
      </c>
      <c r="C18582" s="2" t="s">
        <v>264</v>
      </c>
      <c r="D18582" s="2" t="s">
        <v>317</v>
      </c>
      <c r="E18582" s="2" t="str">
        <f>"9781032111568"</f>
        <v>9781032111568</v>
      </c>
      <c r="F18582" s="2" t="str">
        <f>"9781000528664"</f>
        <v>9781000528664</v>
      </c>
    </row>
    <row r="18583" spans="1:6" s="3" customFormat="1" ht="29.1" customHeight="1" x14ac:dyDescent="0.25">
      <c r="A18583" s="2" t="s">
        <v>36542</v>
      </c>
      <c r="B18583" s="2" t="s">
        <v>36543</v>
      </c>
      <c r="C18583" s="2" t="s">
        <v>55</v>
      </c>
      <c r="D18583" s="2" t="s">
        <v>2361</v>
      </c>
      <c r="E18583" s="2" t="str">
        <f>"9781526147455"</f>
        <v>9781526147455</v>
      </c>
      <c r="F18583" s="2" t="str">
        <f>"9781526147448"</f>
        <v>9781526147448</v>
      </c>
    </row>
    <row r="18584" spans="1:6" s="3" customFormat="1" ht="29.1" customHeight="1" x14ac:dyDescent="0.25">
      <c r="A18584" s="2" t="s">
        <v>36544</v>
      </c>
      <c r="B18584" s="2" t="s">
        <v>36545</v>
      </c>
      <c r="C18584" s="2" t="s">
        <v>55</v>
      </c>
      <c r="D18584" s="2" t="s">
        <v>791</v>
      </c>
      <c r="E18584" s="2" t="str">
        <f>"9789198557732"</f>
        <v>9789198557732</v>
      </c>
      <c r="F18584" s="2" t="str">
        <f>"9789198557749"</f>
        <v>9789198557749</v>
      </c>
    </row>
    <row r="18585" spans="1:6" s="3" customFormat="1" ht="29.1" customHeight="1" x14ac:dyDescent="0.25">
      <c r="A18585" s="2" t="s">
        <v>36546</v>
      </c>
      <c r="B18585" s="2" t="s">
        <v>36547</v>
      </c>
      <c r="C18585" s="2" t="s">
        <v>124</v>
      </c>
      <c r="D18585" s="2" t="s">
        <v>14153</v>
      </c>
      <c r="E18585" s="2" t="str">
        <f>"9781032025032"</f>
        <v>9781032025032</v>
      </c>
      <c r="F18585" s="2" t="str">
        <f>"9781000509465"</f>
        <v>9781000509465</v>
      </c>
    </row>
    <row r="18586" spans="1:6" s="3" customFormat="1" ht="29.1" customHeight="1" x14ac:dyDescent="0.25">
      <c r="A18586" s="2" t="s">
        <v>36548</v>
      </c>
      <c r="B18586" s="2" t="s">
        <v>36549</v>
      </c>
      <c r="C18586" s="2" t="s">
        <v>124</v>
      </c>
      <c r="D18586" s="2" t="s">
        <v>3958</v>
      </c>
      <c r="E18586" s="2" t="str">
        <f>"9780367561246"</f>
        <v>9780367561246</v>
      </c>
      <c r="F18586" s="2" t="str">
        <f>"9781000528855"</f>
        <v>9781000528855</v>
      </c>
    </row>
    <row r="18587" spans="1:6" s="3" customFormat="1" ht="29.1" customHeight="1" x14ac:dyDescent="0.25">
      <c r="A18587" s="2" t="s">
        <v>36550</v>
      </c>
      <c r="B18587" s="2" t="s">
        <v>36551</v>
      </c>
      <c r="C18587" s="2" t="s">
        <v>124</v>
      </c>
      <c r="D18587" s="2" t="s">
        <v>882</v>
      </c>
      <c r="E18587" s="2" t="str">
        <f>"9781032194677"</f>
        <v>9781032194677</v>
      </c>
      <c r="F18587" s="2" t="str">
        <f>"9781000530971"</f>
        <v>9781000530971</v>
      </c>
    </row>
    <row r="18588" spans="1:6" s="3" customFormat="1" ht="29.1" customHeight="1" x14ac:dyDescent="0.25">
      <c r="A18588" s="2" t="s">
        <v>36552</v>
      </c>
      <c r="B18588" s="2" t="s">
        <v>36553</v>
      </c>
      <c r="C18588" s="2" t="s">
        <v>124</v>
      </c>
      <c r="D18588" s="2" t="s">
        <v>183</v>
      </c>
      <c r="E18588" s="2" t="str">
        <f>"9780367259334"</f>
        <v>9780367259334</v>
      </c>
      <c r="F18588" s="2" t="str">
        <f>"9780429290633"</f>
        <v>9780429290633</v>
      </c>
    </row>
    <row r="18589" spans="1:6" s="3" customFormat="1" ht="29.1" customHeight="1" x14ac:dyDescent="0.25">
      <c r="A18589" s="2" t="s">
        <v>36554</v>
      </c>
      <c r="B18589" s="2" t="s">
        <v>36555</v>
      </c>
      <c r="C18589" s="2" t="s">
        <v>124</v>
      </c>
      <c r="D18589" s="2" t="s">
        <v>10725</v>
      </c>
      <c r="E18589" s="2" t="str">
        <f>"9780367714048"</f>
        <v>9780367714048</v>
      </c>
      <c r="F18589" s="2" t="str">
        <f>"9781000531428"</f>
        <v>9781000531428</v>
      </c>
    </row>
    <row r="18590" spans="1:6" s="3" customFormat="1" ht="29.1" customHeight="1" x14ac:dyDescent="0.25">
      <c r="A18590" s="2" t="s">
        <v>36556</v>
      </c>
      <c r="B18590" s="2" t="s">
        <v>36557</v>
      </c>
      <c r="C18590" s="2" t="s">
        <v>124</v>
      </c>
      <c r="D18590" s="2" t="s">
        <v>3155</v>
      </c>
      <c r="E18590" s="2" t="str">
        <f>"9780367545086"</f>
        <v>9780367545086</v>
      </c>
      <c r="F18590" s="2" t="str">
        <f>"9781000529142"</f>
        <v>9781000529142</v>
      </c>
    </row>
    <row r="18591" spans="1:6" s="3" customFormat="1" ht="29.1" customHeight="1" x14ac:dyDescent="0.25">
      <c r="A18591" s="2" t="s">
        <v>36558</v>
      </c>
      <c r="B18591" s="2" t="s">
        <v>36559</v>
      </c>
      <c r="C18591" s="2" t="s">
        <v>124</v>
      </c>
      <c r="D18591" s="2" t="s">
        <v>25467</v>
      </c>
      <c r="E18591" s="2" t="str">
        <f>"9781032138800"</f>
        <v>9781032138800</v>
      </c>
      <c r="F18591" s="2" t="str">
        <f>"9781000530346"</f>
        <v>9781000530346</v>
      </c>
    </row>
    <row r="18592" spans="1:6" s="3" customFormat="1" ht="29.1" customHeight="1" x14ac:dyDescent="0.25">
      <c r="A18592" s="2" t="s">
        <v>36560</v>
      </c>
      <c r="B18592" s="2" t="s">
        <v>36561</v>
      </c>
      <c r="C18592" s="2" t="s">
        <v>62</v>
      </c>
      <c r="D18592" s="2" t="s">
        <v>2153</v>
      </c>
      <c r="E18592" s="2" t="str">
        <f>"9783428183531"</f>
        <v>9783428183531</v>
      </c>
      <c r="F18592" s="2" t="str">
        <f>"9783428583539"</f>
        <v>9783428583539</v>
      </c>
    </row>
    <row r="18593" spans="1:6" s="3" customFormat="1" ht="29.1" customHeight="1" x14ac:dyDescent="0.25">
      <c r="A18593" s="2" t="s">
        <v>36562</v>
      </c>
      <c r="B18593" s="2" t="s">
        <v>36564</v>
      </c>
      <c r="C18593" s="2" t="s">
        <v>62</v>
      </c>
      <c r="D18593" s="2" t="s">
        <v>36563</v>
      </c>
      <c r="E18593" s="2" t="str">
        <f>"9783428183524"</f>
        <v>9783428183524</v>
      </c>
      <c r="F18593" s="2" t="str">
        <f>"9783428583522"</f>
        <v>9783428583522</v>
      </c>
    </row>
    <row r="18594" spans="1:6" s="3" customFormat="1" ht="29.1" customHeight="1" x14ac:dyDescent="0.25">
      <c r="A18594" s="2" t="s">
        <v>36565</v>
      </c>
      <c r="B18594" s="2" t="s">
        <v>36566</v>
      </c>
      <c r="C18594" s="2" t="s">
        <v>62</v>
      </c>
      <c r="D18594" s="2" t="s">
        <v>2274</v>
      </c>
      <c r="E18594" s="2" t="str">
        <f>"9783428181728"</f>
        <v>9783428181728</v>
      </c>
      <c r="F18594" s="2" t="str">
        <f>"9783428581726"</f>
        <v>9783428581726</v>
      </c>
    </row>
    <row r="18595" spans="1:6" s="3" customFormat="1" ht="29.1" customHeight="1" x14ac:dyDescent="0.25">
      <c r="A18595" s="2" t="s">
        <v>36567</v>
      </c>
      <c r="B18595" s="2" t="s">
        <v>36568</v>
      </c>
      <c r="C18595" s="2" t="s">
        <v>195</v>
      </c>
      <c r="D18595" s="2" t="s">
        <v>13059</v>
      </c>
      <c r="E18595" s="2" t="str">
        <f>"9783110740073"</f>
        <v>9783110740073</v>
      </c>
      <c r="F18595" s="2" t="str">
        <f>"9783110740172"</f>
        <v>9783110740172</v>
      </c>
    </row>
    <row r="18596" spans="1:6" s="3" customFormat="1" ht="29.1" customHeight="1" x14ac:dyDescent="0.25">
      <c r="A18596" s="2" t="s">
        <v>36569</v>
      </c>
      <c r="B18596" s="2" t="s">
        <v>36570</v>
      </c>
      <c r="C18596" s="2" t="s">
        <v>195</v>
      </c>
      <c r="D18596" s="2" t="s">
        <v>33</v>
      </c>
      <c r="E18596" s="2" t="str">
        <f>"9783110693041"</f>
        <v>9783110693041</v>
      </c>
      <c r="F18596" s="2" t="str">
        <f>"9783110712568"</f>
        <v>9783110712568</v>
      </c>
    </row>
    <row r="18597" spans="1:6" s="3" customFormat="1" ht="29.1" customHeight="1" x14ac:dyDescent="0.25">
      <c r="A18597" s="2" t="s">
        <v>36571</v>
      </c>
      <c r="B18597" s="2" t="s">
        <v>36572</v>
      </c>
      <c r="C18597" s="2" t="s">
        <v>195</v>
      </c>
      <c r="D18597" s="2" t="s">
        <v>402</v>
      </c>
      <c r="E18597" s="2" t="str">
        <f>"9783110618075"</f>
        <v>9783110618075</v>
      </c>
      <c r="F18597" s="2" t="str">
        <f>"9783110624625"</f>
        <v>9783110624625</v>
      </c>
    </row>
    <row r="18598" spans="1:6" s="3" customFormat="1" ht="29.1" customHeight="1" x14ac:dyDescent="0.25">
      <c r="A18598" s="2" t="s">
        <v>36573</v>
      </c>
      <c r="B18598" s="2" t="s">
        <v>29608</v>
      </c>
      <c r="C18598" s="2" t="s">
        <v>195</v>
      </c>
      <c r="D18598" s="2" t="s">
        <v>465</v>
      </c>
      <c r="E18598" s="2" t="str">
        <f>"9783110703344"</f>
        <v>9783110703344</v>
      </c>
      <c r="F18598" s="2" t="str">
        <f>"9783110703443"</f>
        <v>9783110703443</v>
      </c>
    </row>
    <row r="18599" spans="1:6" s="3" customFormat="1" ht="29.1" customHeight="1" x14ac:dyDescent="0.25">
      <c r="A18599" s="2" t="s">
        <v>36574</v>
      </c>
      <c r="B18599" s="2" t="s">
        <v>36575</v>
      </c>
      <c r="C18599" s="2" t="s">
        <v>195</v>
      </c>
      <c r="D18599" s="2" t="s">
        <v>5104</v>
      </c>
      <c r="E18599" s="2" t="str">
        <f>"9783110742879"</f>
        <v>9783110742879</v>
      </c>
      <c r="F18599" s="2" t="str">
        <f>"9783110743005"</f>
        <v>9783110743005</v>
      </c>
    </row>
    <row r="18600" spans="1:6" s="3" customFormat="1" ht="29.1" customHeight="1" x14ac:dyDescent="0.25">
      <c r="A18600" s="2" t="s">
        <v>36576</v>
      </c>
      <c r="B18600" s="2" t="s">
        <v>36578</v>
      </c>
      <c r="C18600" s="2" t="s">
        <v>195</v>
      </c>
      <c r="D18600" s="2" t="s">
        <v>36577</v>
      </c>
      <c r="E18600" s="2" t="str">
        <f>"9783110738940"</f>
        <v>9783110738940</v>
      </c>
      <c r="F18600" s="2" t="str">
        <f>"9783110734690"</f>
        <v>9783110734690</v>
      </c>
    </row>
    <row r="18601" spans="1:6" s="3" customFormat="1" ht="29.1" customHeight="1" x14ac:dyDescent="0.25">
      <c r="A18601" s="2" t="s">
        <v>36579</v>
      </c>
      <c r="B18601" s="2" t="s">
        <v>36580</v>
      </c>
      <c r="C18601" s="2" t="s">
        <v>195</v>
      </c>
      <c r="D18601" s="2" t="s">
        <v>297</v>
      </c>
      <c r="E18601" s="2" t="str">
        <f>"9783110714814"</f>
        <v>9783110714814</v>
      </c>
      <c r="F18601" s="2" t="str">
        <f>"9783110722055"</f>
        <v>9783110722055</v>
      </c>
    </row>
    <row r="18602" spans="1:6" s="3" customFormat="1" ht="29.1" customHeight="1" x14ac:dyDescent="0.25">
      <c r="A18602" s="2" t="s">
        <v>36581</v>
      </c>
      <c r="B18602" s="2" t="s">
        <v>36582</v>
      </c>
      <c r="C18602" s="2" t="s">
        <v>195</v>
      </c>
      <c r="D18602" s="2" t="s">
        <v>1049</v>
      </c>
      <c r="E18602" s="2" t="str">
        <f>"9783110739626"</f>
        <v>9783110739626</v>
      </c>
      <c r="F18602" s="2" t="str">
        <f>"9783110736274"</f>
        <v>9783110736274</v>
      </c>
    </row>
    <row r="18603" spans="1:6" s="3" customFormat="1" ht="29.1" customHeight="1" x14ac:dyDescent="0.25">
      <c r="A18603" s="2" t="s">
        <v>36583</v>
      </c>
      <c r="B18603" s="2" t="s">
        <v>36584</v>
      </c>
      <c r="C18603" s="2" t="s">
        <v>195</v>
      </c>
      <c r="D18603" s="2" t="s">
        <v>33</v>
      </c>
      <c r="E18603" s="2" t="str">
        <f>"9783110728767"</f>
        <v>9783110728767</v>
      </c>
      <c r="F18603" s="2" t="str">
        <f>"9783110729641"</f>
        <v>9783110729641</v>
      </c>
    </row>
    <row r="18604" spans="1:6" s="3" customFormat="1" ht="29.1" customHeight="1" x14ac:dyDescent="0.25">
      <c r="A18604" s="2" t="s">
        <v>36585</v>
      </c>
      <c r="B18604" s="2" t="s">
        <v>36586</v>
      </c>
      <c r="C18604" s="2" t="s">
        <v>195</v>
      </c>
      <c r="D18604" s="2" t="s">
        <v>459</v>
      </c>
      <c r="E18604" s="2" t="str">
        <f>"9783110731262"</f>
        <v>9783110731262</v>
      </c>
      <c r="F18604" s="2" t="str">
        <f>"9783110729603"</f>
        <v>9783110729603</v>
      </c>
    </row>
    <row r="18605" spans="1:6" s="3" customFormat="1" ht="29.1" customHeight="1" x14ac:dyDescent="0.25">
      <c r="A18605" s="2" t="s">
        <v>36587</v>
      </c>
      <c r="B18605" s="2" t="s">
        <v>36588</v>
      </c>
      <c r="C18605" s="2" t="s">
        <v>195</v>
      </c>
      <c r="D18605" s="2" t="s">
        <v>33</v>
      </c>
      <c r="E18605" s="2" t="str">
        <f>"9783110715958"</f>
        <v>9783110715958</v>
      </c>
      <c r="F18605" s="2" t="str">
        <f>"9783110716016"</f>
        <v>9783110716016</v>
      </c>
    </row>
    <row r="18606" spans="1:6" s="3" customFormat="1" ht="29.1" customHeight="1" x14ac:dyDescent="0.25">
      <c r="A18606" s="2" t="s">
        <v>36589</v>
      </c>
      <c r="B18606" s="2" t="s">
        <v>36590</v>
      </c>
      <c r="C18606" s="2" t="s">
        <v>195</v>
      </c>
      <c r="D18606" s="2" t="s">
        <v>196</v>
      </c>
      <c r="E18606" s="2" t="str">
        <f>"9783110690576"</f>
        <v>9783110690576</v>
      </c>
      <c r="F18606" s="2" t="str">
        <f>"9783110718270"</f>
        <v>9783110718270</v>
      </c>
    </row>
    <row r="18607" spans="1:6" s="3" customFormat="1" ht="29.1" customHeight="1" x14ac:dyDescent="0.25">
      <c r="A18607" s="2" t="s">
        <v>36591</v>
      </c>
      <c r="B18607" s="2" t="s">
        <v>36592</v>
      </c>
      <c r="C18607" s="2" t="s">
        <v>195</v>
      </c>
      <c r="D18607" s="2" t="s">
        <v>3345</v>
      </c>
      <c r="E18607" s="2" t="str">
        <f>"9783110674125"</f>
        <v>9783110674125</v>
      </c>
      <c r="F18607" s="2" t="str">
        <f>"9783110674194"</f>
        <v>9783110674194</v>
      </c>
    </row>
    <row r="18608" spans="1:6" s="3" customFormat="1" ht="29.1" customHeight="1" x14ac:dyDescent="0.25">
      <c r="A18608" s="2" t="s">
        <v>36593</v>
      </c>
      <c r="B18608" s="2" t="s">
        <v>36594</v>
      </c>
      <c r="C18608" s="2" t="s">
        <v>195</v>
      </c>
      <c r="D18608" s="2" t="s">
        <v>7460</v>
      </c>
      <c r="E18608" s="2" t="str">
        <f>"9783110724691"</f>
        <v>9783110724691</v>
      </c>
      <c r="F18608" s="2" t="str">
        <f>"9783110725612"</f>
        <v>9783110725612</v>
      </c>
    </row>
    <row r="18609" spans="1:6" s="3" customFormat="1" ht="29.1" customHeight="1" x14ac:dyDescent="0.25">
      <c r="A18609" s="2" t="s">
        <v>36595</v>
      </c>
      <c r="B18609" s="2" t="s">
        <v>36596</v>
      </c>
      <c r="C18609" s="2" t="s">
        <v>195</v>
      </c>
      <c r="D18609" s="2" t="s">
        <v>4185</v>
      </c>
      <c r="E18609" s="2" t="str">
        <f>"9783110714265"</f>
        <v>9783110714265</v>
      </c>
      <c r="F18609" s="2" t="str">
        <f>"9783110714357"</f>
        <v>9783110714357</v>
      </c>
    </row>
    <row r="18610" spans="1:6" s="3" customFormat="1" ht="29.1" customHeight="1" x14ac:dyDescent="0.25">
      <c r="A18610" s="2" t="s">
        <v>36597</v>
      </c>
      <c r="B18610" s="2" t="s">
        <v>36598</v>
      </c>
      <c r="C18610" s="2" t="s">
        <v>195</v>
      </c>
      <c r="D18610" s="2" t="s">
        <v>436</v>
      </c>
      <c r="E18610" s="2" t="str">
        <f>"9783110671445"</f>
        <v>9783110671445</v>
      </c>
      <c r="F18610" s="2" t="str">
        <f>"9783110671483"</f>
        <v>9783110671483</v>
      </c>
    </row>
    <row r="18611" spans="1:6" s="3" customFormat="1" ht="29.1" customHeight="1" x14ac:dyDescent="0.25">
      <c r="A18611" s="2" t="s">
        <v>36599</v>
      </c>
      <c r="B18611" s="2" t="s">
        <v>36600</v>
      </c>
      <c r="C18611" s="2" t="s">
        <v>195</v>
      </c>
      <c r="D18611" s="2" t="s">
        <v>175</v>
      </c>
      <c r="E18611" s="2" t="str">
        <f>"9783110701258"</f>
        <v>9783110701258</v>
      </c>
      <c r="F18611" s="2" t="str">
        <f>"9783110701364"</f>
        <v>9783110701364</v>
      </c>
    </row>
    <row r="18612" spans="1:6" s="3" customFormat="1" ht="29.1" customHeight="1" x14ac:dyDescent="0.25">
      <c r="A18612" s="2" t="s">
        <v>36601</v>
      </c>
      <c r="B18612" s="2" t="s">
        <v>36602</v>
      </c>
      <c r="C18612" s="2" t="s">
        <v>195</v>
      </c>
      <c r="D18612" s="2" t="s">
        <v>1183</v>
      </c>
      <c r="E18612" s="2" t="str">
        <f>"9783110657456"</f>
        <v>9783110657456</v>
      </c>
      <c r="F18612" s="2" t="str">
        <f>"9783110657609"</f>
        <v>9783110657609</v>
      </c>
    </row>
    <row r="18613" spans="1:6" s="3" customFormat="1" ht="29.1" customHeight="1" x14ac:dyDescent="0.25">
      <c r="A18613" s="2" t="s">
        <v>36603</v>
      </c>
      <c r="B18613" s="2" t="s">
        <v>36604</v>
      </c>
      <c r="C18613" s="2" t="s">
        <v>195</v>
      </c>
      <c r="D18613" s="2" t="s">
        <v>2713</v>
      </c>
      <c r="E18613" s="2" t="str">
        <f>"9783110659672"</f>
        <v>9783110659672</v>
      </c>
      <c r="F18613" s="2" t="str">
        <f>"9783110660012"</f>
        <v>9783110660012</v>
      </c>
    </row>
    <row r="18614" spans="1:6" s="3" customFormat="1" ht="29.1" customHeight="1" x14ac:dyDescent="0.25">
      <c r="A18614" s="2" t="s">
        <v>36605</v>
      </c>
      <c r="B18614" s="2" t="s">
        <v>36606</v>
      </c>
      <c r="C18614" s="2" t="s">
        <v>195</v>
      </c>
      <c r="D18614" s="2" t="s">
        <v>879</v>
      </c>
      <c r="E18614" s="2" t="str">
        <f>"9783110648782"</f>
        <v>9783110648782</v>
      </c>
      <c r="F18614" s="2" t="str">
        <f>"9783110649093"</f>
        <v>9783110649093</v>
      </c>
    </row>
    <row r="18615" spans="1:6" s="3" customFormat="1" ht="29.1" customHeight="1" x14ac:dyDescent="0.25">
      <c r="A18615" s="2" t="s">
        <v>36607</v>
      </c>
      <c r="B18615" s="2" t="s">
        <v>36608</v>
      </c>
      <c r="C18615" s="2" t="s">
        <v>195</v>
      </c>
      <c r="D18615" s="2" t="s">
        <v>459</v>
      </c>
      <c r="E18615" s="2" t="str">
        <f>"9781501517402"</f>
        <v>9781501517402</v>
      </c>
      <c r="F18615" s="2" t="str">
        <f>"9781501511424"</f>
        <v>9781501511424</v>
      </c>
    </row>
    <row r="18616" spans="1:6" s="3" customFormat="1" ht="29.1" customHeight="1" x14ac:dyDescent="0.25">
      <c r="A18616" s="2" t="s">
        <v>36609</v>
      </c>
      <c r="B18616" s="2" t="s">
        <v>36610</v>
      </c>
      <c r="C18616" s="2" t="s">
        <v>556</v>
      </c>
      <c r="D18616" s="2" t="s">
        <v>2139</v>
      </c>
      <c r="E18616" s="2" t="str">
        <f>"9783837659016"</f>
        <v>9783837659016</v>
      </c>
      <c r="F18616" s="2" t="str">
        <f>"9783839459010"</f>
        <v>9783839459010</v>
      </c>
    </row>
    <row r="18617" spans="1:6" s="3" customFormat="1" ht="29.1" customHeight="1" x14ac:dyDescent="0.25">
      <c r="A18617" s="2" t="s">
        <v>36611</v>
      </c>
      <c r="B18617" s="2" t="s">
        <v>36612</v>
      </c>
      <c r="C18617" s="2" t="s">
        <v>556</v>
      </c>
      <c r="D18617" s="2" t="s">
        <v>9163</v>
      </c>
      <c r="E18617" s="2" t="str">
        <f>"9783837659269"</f>
        <v>9783837659269</v>
      </c>
      <c r="F18617" s="2" t="str">
        <f>"9783839459263"</f>
        <v>9783839459263</v>
      </c>
    </row>
    <row r="18618" spans="1:6" s="3" customFormat="1" ht="29.1" customHeight="1" x14ac:dyDescent="0.25">
      <c r="A18618" s="2" t="s">
        <v>36613</v>
      </c>
      <c r="B18618" s="2" t="s">
        <v>36614</v>
      </c>
      <c r="C18618" s="2" t="s">
        <v>556</v>
      </c>
      <c r="D18618" s="2" t="s">
        <v>2462</v>
      </c>
      <c r="E18618" s="2" t="str">
        <f>"9783837658286"</f>
        <v>9783837658286</v>
      </c>
      <c r="F18618" s="2" t="str">
        <f>"9783732858286"</f>
        <v>9783732858286</v>
      </c>
    </row>
    <row r="18619" spans="1:6" s="3" customFormat="1" ht="29.1" customHeight="1" x14ac:dyDescent="0.25">
      <c r="A18619" s="2" t="s">
        <v>36615</v>
      </c>
      <c r="B18619" s="2" t="s">
        <v>36616</v>
      </c>
      <c r="C18619" s="2" t="s">
        <v>556</v>
      </c>
      <c r="D18619" s="2" t="s">
        <v>490</v>
      </c>
      <c r="E18619" s="2" t="str">
        <f>"9783837658262"</f>
        <v>9783837658262</v>
      </c>
      <c r="F18619" s="2" t="str">
        <f>"9783839458266"</f>
        <v>9783839458266</v>
      </c>
    </row>
    <row r="18620" spans="1:6" s="3" customFormat="1" ht="29.1" customHeight="1" x14ac:dyDescent="0.25">
      <c r="A18620" s="2" t="s">
        <v>36617</v>
      </c>
      <c r="B18620" s="2" t="s">
        <v>36618</v>
      </c>
      <c r="C18620" s="2" t="s">
        <v>556</v>
      </c>
      <c r="D18620" s="2" t="s">
        <v>636</v>
      </c>
      <c r="E18620" s="2" t="str">
        <f>"9783837658101"</f>
        <v>9783837658101</v>
      </c>
      <c r="F18620" s="2" t="str">
        <f>"9783839458105"</f>
        <v>9783839458105</v>
      </c>
    </row>
    <row r="18621" spans="1:6" s="3" customFormat="1" ht="29.1" customHeight="1" x14ac:dyDescent="0.25">
      <c r="A18621" s="2" t="s">
        <v>36619</v>
      </c>
      <c r="B18621" s="2" t="s">
        <v>36620</v>
      </c>
      <c r="C18621" s="2" t="s">
        <v>556</v>
      </c>
      <c r="D18621" s="2" t="s">
        <v>5144</v>
      </c>
      <c r="E18621" s="2" t="str">
        <f>"9783837658040"</f>
        <v>9783837658040</v>
      </c>
      <c r="F18621" s="2" t="str">
        <f>"9783839458044"</f>
        <v>9783839458044</v>
      </c>
    </row>
    <row r="18622" spans="1:6" s="3" customFormat="1" ht="29.1" customHeight="1" x14ac:dyDescent="0.25">
      <c r="A18622" s="2" t="s">
        <v>36621</v>
      </c>
      <c r="B18622" s="2" t="s">
        <v>36622</v>
      </c>
      <c r="C18622" s="2" t="s">
        <v>556</v>
      </c>
      <c r="D18622" s="2" t="s">
        <v>3214</v>
      </c>
      <c r="E18622" s="2" t="str">
        <f>"9783837657579"</f>
        <v>9783837657579</v>
      </c>
      <c r="F18622" s="2" t="str">
        <f>"9783839457573"</f>
        <v>9783839457573</v>
      </c>
    </row>
    <row r="18623" spans="1:6" s="3" customFormat="1" ht="29.1" customHeight="1" x14ac:dyDescent="0.25">
      <c r="A18623" s="2" t="s">
        <v>36623</v>
      </c>
      <c r="B18623" s="2" t="s">
        <v>36624</v>
      </c>
      <c r="C18623" s="2" t="s">
        <v>556</v>
      </c>
      <c r="D18623" s="2" t="s">
        <v>1141</v>
      </c>
      <c r="E18623" s="2" t="str">
        <f>"9783837657463"</f>
        <v>9783837657463</v>
      </c>
      <c r="F18623" s="2" t="str">
        <f>"9783839457467"</f>
        <v>9783839457467</v>
      </c>
    </row>
    <row r="18624" spans="1:6" s="3" customFormat="1" ht="29.1" customHeight="1" x14ac:dyDescent="0.25">
      <c r="A18624" s="2" t="s">
        <v>36625</v>
      </c>
      <c r="B18624" s="2" t="s">
        <v>36626</v>
      </c>
      <c r="C18624" s="2" t="s">
        <v>556</v>
      </c>
      <c r="D18624" s="2" t="s">
        <v>175</v>
      </c>
      <c r="E18624" s="2" t="str">
        <f>"9783837657395"</f>
        <v>9783837657395</v>
      </c>
      <c r="F18624" s="2" t="str">
        <f>"9783839457399"</f>
        <v>9783839457399</v>
      </c>
    </row>
    <row r="18625" spans="1:6" s="3" customFormat="1" ht="29.1" customHeight="1" x14ac:dyDescent="0.25">
      <c r="A18625" s="2" t="s">
        <v>36627</v>
      </c>
      <c r="B18625" s="2" t="s">
        <v>36628</v>
      </c>
      <c r="C18625" s="2" t="s">
        <v>556</v>
      </c>
      <c r="D18625" s="2" t="s">
        <v>183</v>
      </c>
      <c r="E18625" s="2" t="str">
        <f>"9783837657142"</f>
        <v>9783837657142</v>
      </c>
      <c r="F18625" s="2" t="str">
        <f>"9783839457146"</f>
        <v>9783839457146</v>
      </c>
    </row>
    <row r="18626" spans="1:6" s="3" customFormat="1" ht="29.1" customHeight="1" x14ac:dyDescent="0.25">
      <c r="A18626" s="2" t="s">
        <v>36629</v>
      </c>
      <c r="B18626" s="2" t="s">
        <v>36630</v>
      </c>
      <c r="C18626" s="2" t="s">
        <v>556</v>
      </c>
      <c r="D18626" s="2" t="s">
        <v>712</v>
      </c>
      <c r="E18626" s="2" t="str">
        <f>"9783837656374"</f>
        <v>9783837656374</v>
      </c>
      <c r="F18626" s="2" t="str">
        <f>"9783839456378"</f>
        <v>9783839456378</v>
      </c>
    </row>
    <row r="18627" spans="1:6" s="3" customFormat="1" ht="29.1" customHeight="1" x14ac:dyDescent="0.25">
      <c r="A18627" s="2" t="s">
        <v>36631</v>
      </c>
      <c r="B18627" s="2" t="s">
        <v>36632</v>
      </c>
      <c r="C18627" s="2" t="s">
        <v>556</v>
      </c>
      <c r="D18627" s="2" t="s">
        <v>75</v>
      </c>
      <c r="E18627" s="2" t="str">
        <f>"9783837656084"</f>
        <v>9783837656084</v>
      </c>
      <c r="F18627" s="2" t="str">
        <f>"9783839456088"</f>
        <v>9783839456088</v>
      </c>
    </row>
    <row r="18628" spans="1:6" s="3" customFormat="1" ht="29.1" customHeight="1" x14ac:dyDescent="0.25">
      <c r="A18628" s="2" t="s">
        <v>36633</v>
      </c>
      <c r="B18628" s="2" t="s">
        <v>36634</v>
      </c>
      <c r="C18628" s="2" t="s">
        <v>556</v>
      </c>
      <c r="D18628" s="2" t="s">
        <v>3224</v>
      </c>
      <c r="E18628" s="2" t="str">
        <f>"9783837655803"</f>
        <v>9783837655803</v>
      </c>
      <c r="F18628" s="2" t="str">
        <f>"9783732855803"</f>
        <v>9783732855803</v>
      </c>
    </row>
    <row r="18629" spans="1:6" s="3" customFormat="1" ht="29.1" customHeight="1" x14ac:dyDescent="0.25">
      <c r="A18629" s="2" t="s">
        <v>36635</v>
      </c>
      <c r="B18629" s="2" t="s">
        <v>36636</v>
      </c>
      <c r="C18629" s="2" t="s">
        <v>556</v>
      </c>
      <c r="D18629" s="2" t="s">
        <v>490</v>
      </c>
      <c r="E18629" s="2" t="str">
        <f>"9783837655650"</f>
        <v>9783837655650</v>
      </c>
      <c r="F18629" s="2" t="str">
        <f>"9783732855650"</f>
        <v>9783732855650</v>
      </c>
    </row>
    <row r="18630" spans="1:6" s="3" customFormat="1" ht="29.1" customHeight="1" x14ac:dyDescent="0.25">
      <c r="A18630" s="2" t="s">
        <v>36637</v>
      </c>
      <c r="B18630" s="2" t="s">
        <v>36638</v>
      </c>
      <c r="C18630" s="2" t="s">
        <v>556</v>
      </c>
      <c r="D18630" s="2" t="s">
        <v>4940</v>
      </c>
      <c r="E18630" s="2" t="str">
        <f>"9783837655476"</f>
        <v>9783837655476</v>
      </c>
      <c r="F18630" s="2" t="str">
        <f>"9783839455470"</f>
        <v>9783839455470</v>
      </c>
    </row>
    <row r="18631" spans="1:6" s="3" customFormat="1" ht="29.1" customHeight="1" x14ac:dyDescent="0.25">
      <c r="A18631" s="2" t="s">
        <v>36639</v>
      </c>
      <c r="B18631" s="2" t="s">
        <v>36640</v>
      </c>
      <c r="C18631" s="2" t="s">
        <v>556</v>
      </c>
      <c r="D18631" s="2" t="s">
        <v>1944</v>
      </c>
      <c r="E18631" s="2" t="str">
        <f>"9783837655360"</f>
        <v>9783837655360</v>
      </c>
      <c r="F18631" s="2" t="str">
        <f>"9783732855360"</f>
        <v>9783732855360</v>
      </c>
    </row>
    <row r="18632" spans="1:6" s="3" customFormat="1" ht="29.1" customHeight="1" x14ac:dyDescent="0.25">
      <c r="A18632" s="2" t="s">
        <v>36641</v>
      </c>
      <c r="B18632" s="2" t="s">
        <v>9874</v>
      </c>
      <c r="C18632" s="2" t="s">
        <v>556</v>
      </c>
      <c r="D18632" s="2" t="s">
        <v>1189</v>
      </c>
      <c r="E18632" s="2" t="str">
        <f>"9783837652963"</f>
        <v>9783837652963</v>
      </c>
      <c r="F18632" s="2" t="str">
        <f>"9783839452967"</f>
        <v>9783839452967</v>
      </c>
    </row>
    <row r="18633" spans="1:6" s="3" customFormat="1" ht="29.1" customHeight="1" x14ac:dyDescent="0.25">
      <c r="A18633" s="2" t="s">
        <v>36642</v>
      </c>
      <c r="B18633" s="2" t="s">
        <v>36643</v>
      </c>
      <c r="C18633" s="2" t="s">
        <v>556</v>
      </c>
      <c r="D18633" s="2" t="s">
        <v>4030</v>
      </c>
      <c r="E18633" s="2" t="str">
        <f>"9783837651478"</f>
        <v>9783837651478</v>
      </c>
      <c r="F18633" s="2" t="str">
        <f>"9783839451472"</f>
        <v>9783839451472</v>
      </c>
    </row>
    <row r="18634" spans="1:6" s="3" customFormat="1" ht="29.1" customHeight="1" x14ac:dyDescent="0.25">
      <c r="A18634" s="2" t="s">
        <v>36644</v>
      </c>
      <c r="B18634" s="2" t="s">
        <v>36645</v>
      </c>
      <c r="C18634" s="2" t="s">
        <v>248</v>
      </c>
      <c r="D18634" s="2" t="s">
        <v>1927</v>
      </c>
      <c r="E18634" s="2" t="str">
        <f>"9783966650410"</f>
        <v>9783966650410</v>
      </c>
      <c r="F18634" s="2" t="str">
        <f>"9783966659574"</f>
        <v>9783966659574</v>
      </c>
    </row>
    <row r="18635" spans="1:6" s="3" customFormat="1" ht="29.1" customHeight="1" x14ac:dyDescent="0.25">
      <c r="A18635" s="2" t="s">
        <v>36646</v>
      </c>
      <c r="B18635" s="2" t="s">
        <v>36647</v>
      </c>
      <c r="C18635" s="2" t="s">
        <v>248</v>
      </c>
      <c r="D18635" s="2" t="s">
        <v>249</v>
      </c>
      <c r="E18635" s="2" t="str">
        <f>"9783847425373"</f>
        <v>9783847425373</v>
      </c>
      <c r="F18635" s="2" t="str">
        <f>"9783847417231"</f>
        <v>9783847417231</v>
      </c>
    </row>
    <row r="18636" spans="1:6" s="3" customFormat="1" ht="29.1" customHeight="1" x14ac:dyDescent="0.25">
      <c r="A18636" s="2" t="s">
        <v>36648</v>
      </c>
      <c r="B18636" s="2" t="s">
        <v>36649</v>
      </c>
      <c r="C18636" s="2" t="s">
        <v>595</v>
      </c>
      <c r="D18636" s="2" t="s">
        <v>256</v>
      </c>
      <c r="E18636" s="2" t="str">
        <f>"9781433177309"</f>
        <v>9781433177309</v>
      </c>
      <c r="F18636" s="2" t="str">
        <f>"9781433177316"</f>
        <v>9781433177316</v>
      </c>
    </row>
    <row r="18637" spans="1:6" s="3" customFormat="1" ht="29.1" customHeight="1" x14ac:dyDescent="0.25">
      <c r="A18637" s="2" t="s">
        <v>36650</v>
      </c>
      <c r="B18637" s="2" t="s">
        <v>36651</v>
      </c>
      <c r="C18637" s="2" t="s">
        <v>927</v>
      </c>
      <c r="D18637" s="2" t="s">
        <v>33</v>
      </c>
      <c r="E18637" s="2" t="str">
        <f>"9780472054985"</f>
        <v>9780472054985</v>
      </c>
      <c r="F18637" s="2" t="str">
        <f>"9780472129300"</f>
        <v>9780472129300</v>
      </c>
    </row>
    <row r="18638" spans="1:6" s="3" customFormat="1" ht="29.1" customHeight="1" x14ac:dyDescent="0.25">
      <c r="A18638" s="2" t="s">
        <v>36652</v>
      </c>
      <c r="B18638" s="2" t="s">
        <v>36653</v>
      </c>
      <c r="C18638" s="2" t="s">
        <v>149</v>
      </c>
      <c r="D18638" s="2" t="s">
        <v>758</v>
      </c>
      <c r="E18638" s="2" t="str">
        <f>"9781800642720"</f>
        <v>9781800642720</v>
      </c>
      <c r="F18638" s="2" t="str">
        <f>"9781800642744"</f>
        <v>9781800642744</v>
      </c>
    </row>
    <row r="18639" spans="1:6" s="3" customFormat="1" ht="29.1" customHeight="1" x14ac:dyDescent="0.25">
      <c r="A18639" s="2" t="s">
        <v>36654</v>
      </c>
      <c r="B18639" s="2" t="s">
        <v>36655</v>
      </c>
      <c r="C18639" s="2" t="s">
        <v>149</v>
      </c>
      <c r="D18639" s="2" t="s">
        <v>791</v>
      </c>
      <c r="E18639" s="2" t="str">
        <f>"9781800641327"</f>
        <v>9781800641327</v>
      </c>
      <c r="F18639" s="2" t="str">
        <f>"9781800641341"</f>
        <v>9781800641341</v>
      </c>
    </row>
    <row r="18640" spans="1:6" s="3" customFormat="1" ht="29.1" customHeight="1" x14ac:dyDescent="0.25">
      <c r="A18640" s="2" t="s">
        <v>36656</v>
      </c>
      <c r="B18640" s="2" t="s">
        <v>33138</v>
      </c>
      <c r="C18640" s="2" t="s">
        <v>11005</v>
      </c>
      <c r="D18640" s="2" t="s">
        <v>11213</v>
      </c>
      <c r="E18640" s="2" t="str">
        <f>"9783837931082"</f>
        <v>9783837931082</v>
      </c>
      <c r="F18640" s="2" t="str">
        <f>"9783837977851"</f>
        <v>9783837977851</v>
      </c>
    </row>
    <row r="18641" spans="1:6" s="3" customFormat="1" ht="29.1" customHeight="1" x14ac:dyDescent="0.25">
      <c r="A18641" s="2" t="s">
        <v>36657</v>
      </c>
      <c r="B18641" s="2" t="s">
        <v>36658</v>
      </c>
      <c r="C18641" s="2" t="s">
        <v>36</v>
      </c>
      <c r="D18641" s="2" t="s">
        <v>4048</v>
      </c>
      <c r="E18641" s="2" t="str">
        <f>"9781447359173"</f>
        <v>9781447359173</v>
      </c>
      <c r="F18641" s="2" t="str">
        <f>"9781447359180"</f>
        <v>9781447359180</v>
      </c>
    </row>
    <row r="18642" spans="1:6" s="3" customFormat="1" ht="29.1" customHeight="1" x14ac:dyDescent="0.25">
      <c r="A18642" s="2" t="s">
        <v>29384</v>
      </c>
      <c r="B18642" s="2" t="s">
        <v>36659</v>
      </c>
      <c r="C18642" s="2" t="s">
        <v>264</v>
      </c>
      <c r="D18642" s="2" t="s">
        <v>2086</v>
      </c>
      <c r="E18642" s="2" t="str">
        <f>"9780367685225"</f>
        <v>9780367685225</v>
      </c>
      <c r="F18642" s="2" t="str">
        <f>"9781000452235"</f>
        <v>9781000452235</v>
      </c>
    </row>
    <row r="18643" spans="1:6" s="3" customFormat="1" ht="29.1" customHeight="1" x14ac:dyDescent="0.25">
      <c r="A18643" s="2" t="s">
        <v>36660</v>
      </c>
      <c r="B18643" s="2" t="s">
        <v>36661</v>
      </c>
      <c r="C18643" s="2" t="s">
        <v>264</v>
      </c>
      <c r="D18643" s="2" t="s">
        <v>12492</v>
      </c>
      <c r="E18643" s="2" t="str">
        <f>"9781032118710"</f>
        <v>9781032118710</v>
      </c>
      <c r="F18643" s="2" t="str">
        <f>"9781000521061"</f>
        <v>9781000521061</v>
      </c>
    </row>
    <row r="18644" spans="1:6" s="3" customFormat="1" ht="29.1" customHeight="1" x14ac:dyDescent="0.25">
      <c r="A18644" s="2" t="s">
        <v>36662</v>
      </c>
      <c r="B18644" s="2" t="s">
        <v>36663</v>
      </c>
      <c r="C18644" s="2" t="s">
        <v>124</v>
      </c>
      <c r="D18644" s="2" t="s">
        <v>9</v>
      </c>
      <c r="E18644" s="2" t="str">
        <f>"9780367535858"</f>
        <v>9780367535858</v>
      </c>
      <c r="F18644" s="2" t="str">
        <f>"9781000521252"</f>
        <v>9781000521252</v>
      </c>
    </row>
    <row r="18645" spans="1:6" s="3" customFormat="1" ht="29.1" customHeight="1" x14ac:dyDescent="0.25">
      <c r="A18645" s="2" t="s">
        <v>36664</v>
      </c>
      <c r="B18645" s="2" t="s">
        <v>36665</v>
      </c>
      <c r="C18645" s="2" t="s">
        <v>124</v>
      </c>
      <c r="D18645" s="2" t="s">
        <v>459</v>
      </c>
      <c r="E18645" s="2" t="str">
        <f>"9780367139377"</f>
        <v>9780367139377</v>
      </c>
      <c r="F18645" s="2" t="str">
        <f>"9781000513301"</f>
        <v>9781000513301</v>
      </c>
    </row>
    <row r="18646" spans="1:6" s="3" customFormat="1" ht="29.1" customHeight="1" x14ac:dyDescent="0.25">
      <c r="A18646" s="2" t="s">
        <v>36666</v>
      </c>
      <c r="B18646" s="2" t="s">
        <v>36667</v>
      </c>
      <c r="C18646" s="2" t="s">
        <v>124</v>
      </c>
      <c r="D18646" s="2" t="s">
        <v>1861</v>
      </c>
      <c r="E18646" s="2" t="str">
        <f>"9781032106717"</f>
        <v>9781032106717</v>
      </c>
      <c r="F18646" s="2" t="str">
        <f>"9781000523201"</f>
        <v>9781000523201</v>
      </c>
    </row>
    <row r="18647" spans="1:6" s="3" customFormat="1" ht="29.1" customHeight="1" x14ac:dyDescent="0.25">
      <c r="A18647" s="2" t="s">
        <v>36668</v>
      </c>
      <c r="B18647" s="2" t="s">
        <v>36669</v>
      </c>
      <c r="C18647" s="2" t="s">
        <v>124</v>
      </c>
      <c r="D18647" s="2" t="s">
        <v>14507</v>
      </c>
      <c r="E18647" s="2" t="str">
        <f>"9780367903534"</f>
        <v>9780367903534</v>
      </c>
      <c r="F18647" s="2" t="str">
        <f>"9781000528008"</f>
        <v>9781000528008</v>
      </c>
    </row>
    <row r="18648" spans="1:6" s="3" customFormat="1" ht="29.1" customHeight="1" x14ac:dyDescent="0.25">
      <c r="A18648" s="2" t="s">
        <v>36670</v>
      </c>
      <c r="B18648" s="2" t="s">
        <v>36671</v>
      </c>
      <c r="C18648" s="2" t="s">
        <v>124</v>
      </c>
      <c r="D18648" s="2" t="s">
        <v>858</v>
      </c>
      <c r="E18648" s="2" t="str">
        <f>"9781032016788"</f>
        <v>9781032016788</v>
      </c>
      <c r="F18648" s="2" t="str">
        <f>"9781000527025"</f>
        <v>9781000527025</v>
      </c>
    </row>
    <row r="18649" spans="1:6" s="3" customFormat="1" ht="29.1" customHeight="1" x14ac:dyDescent="0.25">
      <c r="A18649" s="2" t="s">
        <v>36672</v>
      </c>
      <c r="B18649" s="2" t="s">
        <v>36673</v>
      </c>
      <c r="C18649" s="2" t="s">
        <v>124</v>
      </c>
      <c r="D18649" s="2" t="s">
        <v>33</v>
      </c>
      <c r="E18649" s="2" t="str">
        <f>"9781032136837"</f>
        <v>9781032136837</v>
      </c>
      <c r="F18649" s="2" t="str">
        <f>"9781000521382"</f>
        <v>9781000521382</v>
      </c>
    </row>
    <row r="18650" spans="1:6" s="3" customFormat="1" ht="29.1" customHeight="1" x14ac:dyDescent="0.25">
      <c r="A18650" s="2" t="s">
        <v>36674</v>
      </c>
      <c r="B18650" s="2" t="s">
        <v>36675</v>
      </c>
      <c r="C18650" s="2" t="s">
        <v>124</v>
      </c>
      <c r="D18650" s="2" t="s">
        <v>402</v>
      </c>
      <c r="E18650" s="2" t="str">
        <f>"9781032073132"</f>
        <v>9781032073132</v>
      </c>
      <c r="F18650" s="2" t="str">
        <f>"9781000510386"</f>
        <v>9781000510386</v>
      </c>
    </row>
    <row r="18651" spans="1:6" s="3" customFormat="1" ht="29.1" customHeight="1" x14ac:dyDescent="0.25">
      <c r="A18651" s="2" t="s">
        <v>36676</v>
      </c>
      <c r="B18651" s="2" t="s">
        <v>36677</v>
      </c>
      <c r="C18651" s="2" t="s">
        <v>124</v>
      </c>
      <c r="D18651" s="2" t="s">
        <v>75</v>
      </c>
      <c r="E18651" s="2" t="str">
        <f>"9781032027791"</f>
        <v>9781032027791</v>
      </c>
      <c r="F18651" s="2" t="str">
        <f>"9781000528404"</f>
        <v>9781000528404</v>
      </c>
    </row>
    <row r="18652" spans="1:6" s="3" customFormat="1" ht="29.1" customHeight="1" x14ac:dyDescent="0.25">
      <c r="A18652" s="2" t="s">
        <v>36678</v>
      </c>
      <c r="B18652" s="2" t="s">
        <v>36679</v>
      </c>
      <c r="C18652" s="2" t="s">
        <v>62</v>
      </c>
      <c r="D18652" s="2" t="s">
        <v>81</v>
      </c>
      <c r="E18652" s="2" t="str">
        <f>"9783428182954"</f>
        <v>9783428182954</v>
      </c>
      <c r="F18652" s="2" t="str">
        <f>"9783428582952"</f>
        <v>9783428582952</v>
      </c>
    </row>
    <row r="18653" spans="1:6" s="3" customFormat="1" ht="29.1" customHeight="1" x14ac:dyDescent="0.25">
      <c r="A18653" s="2" t="s">
        <v>36680</v>
      </c>
      <c r="B18653" s="2" t="s">
        <v>36681</v>
      </c>
      <c r="C18653" s="2" t="s">
        <v>195</v>
      </c>
      <c r="D18653" s="2" t="s">
        <v>186</v>
      </c>
      <c r="E18653" s="2" t="str">
        <f>"9788366675384"</f>
        <v>9788366675384</v>
      </c>
      <c r="F18653" s="2" t="str">
        <f>"9788366675391"</f>
        <v>9788366675391</v>
      </c>
    </row>
    <row r="18654" spans="1:6" s="3" customFormat="1" ht="29.1" customHeight="1" x14ac:dyDescent="0.25">
      <c r="A18654" s="2" t="s">
        <v>36682</v>
      </c>
      <c r="B18654" s="2" t="s">
        <v>36683</v>
      </c>
      <c r="C18654" s="2" t="s">
        <v>195</v>
      </c>
      <c r="D18654" s="2" t="s">
        <v>4160</v>
      </c>
      <c r="E18654" s="2" t="str">
        <f>"9783110726763"</f>
        <v>9783110726763</v>
      </c>
      <c r="F18654" s="2" t="str">
        <f>"9783110726534"</f>
        <v>9783110726534</v>
      </c>
    </row>
    <row r="18655" spans="1:6" s="3" customFormat="1" ht="29.1" customHeight="1" x14ac:dyDescent="0.25">
      <c r="A18655" s="2" t="s">
        <v>36684</v>
      </c>
      <c r="B18655" s="2" t="s">
        <v>36685</v>
      </c>
      <c r="C18655" s="2" t="s">
        <v>195</v>
      </c>
      <c r="D18655" s="2" t="s">
        <v>4160</v>
      </c>
      <c r="E18655" s="2" t="str">
        <f>"9783110726770"</f>
        <v>9783110726770</v>
      </c>
      <c r="F18655" s="2" t="str">
        <f>"9783110726305"</f>
        <v>9783110726305</v>
      </c>
    </row>
    <row r="18656" spans="1:6" s="3" customFormat="1" ht="29.1" customHeight="1" x14ac:dyDescent="0.25">
      <c r="A18656" s="2" t="s">
        <v>36686</v>
      </c>
      <c r="B18656" s="2" t="s">
        <v>36687</v>
      </c>
      <c r="C18656" s="2" t="s">
        <v>195</v>
      </c>
      <c r="D18656" s="2" t="s">
        <v>3345</v>
      </c>
      <c r="E18656" s="2" t="str">
        <f>"9783110724974"</f>
        <v>9783110724974</v>
      </c>
      <c r="F18656" s="2" t="str">
        <f>"9783110725049"</f>
        <v>9783110725049</v>
      </c>
    </row>
    <row r="18657" spans="1:6" s="3" customFormat="1" ht="29.1" customHeight="1" x14ac:dyDescent="0.25">
      <c r="A18657" s="2" t="s">
        <v>36688</v>
      </c>
      <c r="B18657" s="2" t="s">
        <v>36689</v>
      </c>
      <c r="C18657" s="2" t="s">
        <v>195</v>
      </c>
      <c r="D18657" s="2" t="s">
        <v>33</v>
      </c>
      <c r="E18657" s="2" t="str">
        <f>"9783110741070"</f>
        <v>9783110741070</v>
      </c>
      <c r="F18657" s="2" t="str">
        <f>"9783110741124"</f>
        <v>9783110741124</v>
      </c>
    </row>
    <row r="18658" spans="1:6" s="3" customFormat="1" ht="29.1" customHeight="1" x14ac:dyDescent="0.25">
      <c r="A18658" s="2" t="s">
        <v>36690</v>
      </c>
      <c r="B18658" s="2" t="s">
        <v>36691</v>
      </c>
      <c r="C18658" s="2" t="s">
        <v>195</v>
      </c>
      <c r="D18658" s="2" t="s">
        <v>1018</v>
      </c>
      <c r="E18658" s="2" t="str">
        <f>"9783110755992"</f>
        <v>9783110755992</v>
      </c>
      <c r="F18658" s="2" t="str">
        <f>"9783110721621"</f>
        <v>9783110721621</v>
      </c>
    </row>
    <row r="18659" spans="1:6" s="3" customFormat="1" ht="29.1" customHeight="1" x14ac:dyDescent="0.25">
      <c r="A18659" s="2" t="s">
        <v>36692</v>
      </c>
      <c r="B18659" s="2" t="s">
        <v>36693</v>
      </c>
      <c r="C18659" s="2" t="s">
        <v>195</v>
      </c>
      <c r="D18659" s="2" t="s">
        <v>118</v>
      </c>
      <c r="E18659" s="2" t="str">
        <f>"9783110739022"</f>
        <v>9783110739022</v>
      </c>
      <c r="F18659" s="2" t="str">
        <f>"9783110735574"</f>
        <v>9783110735574</v>
      </c>
    </row>
    <row r="18660" spans="1:6" s="3" customFormat="1" ht="29.1" customHeight="1" x14ac:dyDescent="0.25">
      <c r="A18660" s="2" t="s">
        <v>36694</v>
      </c>
      <c r="B18660" s="2" t="s">
        <v>36695</v>
      </c>
      <c r="C18660" s="2" t="s">
        <v>195</v>
      </c>
      <c r="D18660" s="2" t="s">
        <v>512</v>
      </c>
      <c r="E18660" s="2" t="str">
        <f>"9783110737424"</f>
        <v>9783110737424</v>
      </c>
      <c r="F18660" s="2" t="str">
        <f>"9783110732740"</f>
        <v>9783110732740</v>
      </c>
    </row>
    <row r="18661" spans="1:6" s="3" customFormat="1" ht="29.1" customHeight="1" x14ac:dyDescent="0.25">
      <c r="A18661" s="2" t="s">
        <v>36696</v>
      </c>
      <c r="B18661" s="2" t="s">
        <v>36697</v>
      </c>
      <c r="C18661" s="2" t="s">
        <v>195</v>
      </c>
      <c r="D18661" s="2" t="s">
        <v>4429</v>
      </c>
      <c r="E18661" s="2" t="str">
        <f>"9783110667257"</f>
        <v>9783110667257</v>
      </c>
      <c r="F18661" s="2" t="str">
        <f>"9783110667417"</f>
        <v>9783110667417</v>
      </c>
    </row>
    <row r="18662" spans="1:6" s="3" customFormat="1" ht="29.1" customHeight="1" x14ac:dyDescent="0.25">
      <c r="A18662" s="2" t="s">
        <v>36698</v>
      </c>
      <c r="B18662" s="2" t="s">
        <v>36699</v>
      </c>
      <c r="C18662" s="2" t="s">
        <v>195</v>
      </c>
      <c r="D18662" s="2" t="s">
        <v>5638</v>
      </c>
      <c r="E18662" s="2" t="str">
        <f>"9783110713046"</f>
        <v>9783110713046</v>
      </c>
      <c r="F18662" s="2" t="str">
        <f>"9783110713367"</f>
        <v>9783110713367</v>
      </c>
    </row>
    <row r="18663" spans="1:6" s="3" customFormat="1" ht="29.1" customHeight="1" x14ac:dyDescent="0.25">
      <c r="A18663" s="2" t="s">
        <v>36700</v>
      </c>
      <c r="B18663" s="2" t="s">
        <v>36701</v>
      </c>
      <c r="C18663" s="2" t="s">
        <v>195</v>
      </c>
      <c r="D18663" s="2" t="s">
        <v>49</v>
      </c>
      <c r="E18663" s="2" t="str">
        <f>"9783110708417"</f>
        <v>9783110708417</v>
      </c>
      <c r="F18663" s="2" t="str">
        <f>"9783110708530"</f>
        <v>9783110708530</v>
      </c>
    </row>
    <row r="18664" spans="1:6" s="3" customFormat="1" ht="29.1" customHeight="1" x14ac:dyDescent="0.25">
      <c r="A18664" s="2" t="s">
        <v>36702</v>
      </c>
      <c r="B18664" s="2" t="s">
        <v>36703</v>
      </c>
      <c r="C18664" s="2" t="s">
        <v>195</v>
      </c>
      <c r="D18664" s="2" t="s">
        <v>1390</v>
      </c>
      <c r="E18664" s="2" t="str">
        <f>"9783110661040"</f>
        <v>9783110661040</v>
      </c>
      <c r="F18664" s="2" t="str">
        <f>"9783110661941"</f>
        <v>9783110661941</v>
      </c>
    </row>
    <row r="18665" spans="1:6" s="3" customFormat="1" ht="29.1" customHeight="1" x14ac:dyDescent="0.25">
      <c r="A18665" s="2" t="s">
        <v>36704</v>
      </c>
      <c r="B18665" s="2" t="s">
        <v>36705</v>
      </c>
      <c r="C18665" s="2" t="s">
        <v>195</v>
      </c>
      <c r="D18665" s="2" t="s">
        <v>431</v>
      </c>
      <c r="E18665" s="2" t="str">
        <f>"9783110679519"</f>
        <v>9783110679519</v>
      </c>
      <c r="F18665" s="2" t="str">
        <f>"9783110679663"</f>
        <v>9783110679663</v>
      </c>
    </row>
    <row r="18666" spans="1:6" s="3" customFormat="1" ht="29.1" customHeight="1" x14ac:dyDescent="0.25">
      <c r="A18666" s="2" t="s">
        <v>36706</v>
      </c>
      <c r="B18666" s="2" t="s">
        <v>36707</v>
      </c>
      <c r="C18666" s="2" t="s">
        <v>195</v>
      </c>
      <c r="D18666" s="2" t="s">
        <v>509</v>
      </c>
      <c r="E18666" s="2" t="str">
        <f>"9783110679052"</f>
        <v>9783110679052</v>
      </c>
      <c r="F18666" s="2" t="str">
        <f>"9783110679151"</f>
        <v>9783110679151</v>
      </c>
    </row>
    <row r="18667" spans="1:6" s="3" customFormat="1" ht="29.1" customHeight="1" x14ac:dyDescent="0.25">
      <c r="A18667" s="2" t="s">
        <v>36708</v>
      </c>
      <c r="B18667" s="2" t="s">
        <v>36709</v>
      </c>
      <c r="C18667" s="2" t="s">
        <v>195</v>
      </c>
      <c r="D18667" s="2" t="s">
        <v>7460</v>
      </c>
      <c r="E18667" s="2" t="str">
        <f>"9783110634853"</f>
        <v>9783110634853</v>
      </c>
      <c r="F18667" s="2" t="str">
        <f>"9783110636277"</f>
        <v>9783110636277</v>
      </c>
    </row>
    <row r="18668" spans="1:6" s="3" customFormat="1" ht="29.1" customHeight="1" x14ac:dyDescent="0.25">
      <c r="A18668" s="2" t="s">
        <v>36710</v>
      </c>
      <c r="B18668" s="2" t="s">
        <v>36711</v>
      </c>
      <c r="C18668" s="2" t="s">
        <v>195</v>
      </c>
      <c r="D18668" s="2" t="s">
        <v>17574</v>
      </c>
      <c r="E18668" s="2" t="str">
        <f>"9783035623062"</f>
        <v>9783035623062</v>
      </c>
      <c r="F18668" s="2" t="str">
        <f>"9783035623079"</f>
        <v>9783035623079</v>
      </c>
    </row>
    <row r="18669" spans="1:6" s="3" customFormat="1" ht="29.1" customHeight="1" x14ac:dyDescent="0.25">
      <c r="A18669" s="2" t="s">
        <v>36712</v>
      </c>
      <c r="B18669" s="2" t="s">
        <v>36711</v>
      </c>
      <c r="C18669" s="2" t="s">
        <v>195</v>
      </c>
      <c r="D18669" s="2" t="s">
        <v>4720</v>
      </c>
      <c r="E18669" s="2" t="str">
        <f>"9783035623000"</f>
        <v>9783035623000</v>
      </c>
      <c r="F18669" s="2" t="str">
        <f>"9783035623086"</f>
        <v>9783035623086</v>
      </c>
    </row>
    <row r="18670" spans="1:6" s="3" customFormat="1" ht="29.1" customHeight="1" x14ac:dyDescent="0.25">
      <c r="A18670" s="2" t="s">
        <v>36713</v>
      </c>
      <c r="B18670" s="2" t="s">
        <v>36714</v>
      </c>
      <c r="C18670" s="2" t="s">
        <v>26676</v>
      </c>
      <c r="D18670" s="2" t="s">
        <v>30328</v>
      </c>
      <c r="E18670" s="2" t="str">
        <f>"9781644694053"</f>
        <v>9781644694053</v>
      </c>
      <c r="F18670" s="2" t="str">
        <f>"9781644694060"</f>
        <v>9781644694060</v>
      </c>
    </row>
    <row r="18671" spans="1:6" s="3" customFormat="1" ht="29.1" customHeight="1" x14ac:dyDescent="0.25">
      <c r="A18671" s="2" t="s">
        <v>36715</v>
      </c>
      <c r="B18671" s="2" t="s">
        <v>36716</v>
      </c>
      <c r="C18671" s="2" t="s">
        <v>124</v>
      </c>
      <c r="D18671" s="2" t="s">
        <v>712</v>
      </c>
      <c r="E18671" s="2" t="str">
        <f>"9780367555702"</f>
        <v>9780367555702</v>
      </c>
      <c r="F18671" s="2" t="str">
        <f>"9781000474275"</f>
        <v>9781000474275</v>
      </c>
    </row>
    <row r="18672" spans="1:6" s="3" customFormat="1" ht="29.1" customHeight="1" x14ac:dyDescent="0.25">
      <c r="A18672" s="2" t="s">
        <v>36717</v>
      </c>
      <c r="B18672" s="2" t="s">
        <v>36719</v>
      </c>
      <c r="C18672" s="2" t="s">
        <v>264</v>
      </c>
      <c r="D18672" s="2" t="s">
        <v>36718</v>
      </c>
      <c r="E18672" s="2" t="str">
        <f>"9781032036458"</f>
        <v>9781032036458</v>
      </c>
      <c r="F18672" s="2" t="str">
        <f>"9781000521054"</f>
        <v>9781000521054</v>
      </c>
    </row>
    <row r="18673" spans="1:6" s="3" customFormat="1" ht="29.1" customHeight="1" x14ac:dyDescent="0.25">
      <c r="A18673" s="2" t="s">
        <v>36720</v>
      </c>
      <c r="B18673" s="2" t="s">
        <v>36721</v>
      </c>
      <c r="C18673" s="2" t="s">
        <v>124</v>
      </c>
      <c r="D18673" s="2" t="s">
        <v>509</v>
      </c>
      <c r="E18673" s="2" t="str">
        <f>"9780367506209"</f>
        <v>9780367506209</v>
      </c>
      <c r="F18673" s="2" t="str">
        <f>"9781000463880"</f>
        <v>9781000463880</v>
      </c>
    </row>
    <row r="18674" spans="1:6" s="3" customFormat="1" ht="29.1" customHeight="1" x14ac:dyDescent="0.25">
      <c r="A18674" s="2" t="s">
        <v>36722</v>
      </c>
      <c r="B18674" s="2" t="s">
        <v>36723</v>
      </c>
      <c r="C18674" s="2" t="s">
        <v>124</v>
      </c>
      <c r="D18674" s="2" t="s">
        <v>2727</v>
      </c>
      <c r="E18674" s="2" t="str">
        <f>"9780367675516"</f>
        <v>9780367675516</v>
      </c>
      <c r="F18674" s="2" t="str">
        <f>"9781000521153"</f>
        <v>9781000521153</v>
      </c>
    </row>
    <row r="18675" spans="1:6" s="3" customFormat="1" ht="29.1" customHeight="1" x14ac:dyDescent="0.25">
      <c r="A18675" s="2" t="s">
        <v>36724</v>
      </c>
      <c r="B18675" s="2" t="s">
        <v>36725</v>
      </c>
      <c r="C18675" s="2" t="s">
        <v>124</v>
      </c>
      <c r="D18675" s="2" t="s">
        <v>868</v>
      </c>
      <c r="E18675" s="2" t="str">
        <f>"9781032009247"</f>
        <v>9781032009247</v>
      </c>
      <c r="F18675" s="2" t="str">
        <f>"9781000468588"</f>
        <v>9781000468588</v>
      </c>
    </row>
    <row r="18676" spans="1:6" s="3" customFormat="1" ht="29.1" customHeight="1" x14ac:dyDescent="0.25">
      <c r="A18676" s="2" t="s">
        <v>36726</v>
      </c>
      <c r="B18676" s="2" t="s">
        <v>36727</v>
      </c>
      <c r="C18676" s="2" t="s">
        <v>62</v>
      </c>
      <c r="D18676" s="2" t="s">
        <v>1209</v>
      </c>
      <c r="E18676" s="2" t="str">
        <f>"9783428175376"</f>
        <v>9783428175376</v>
      </c>
      <c r="F18676" s="2" t="str">
        <f>"9783428575374"</f>
        <v>9783428575374</v>
      </c>
    </row>
    <row r="18677" spans="1:6" s="3" customFormat="1" ht="29.1" customHeight="1" x14ac:dyDescent="0.25">
      <c r="A18677" s="2" t="s">
        <v>36726</v>
      </c>
      <c r="B18677" s="2" t="s">
        <v>36727</v>
      </c>
      <c r="C18677" s="2" t="s">
        <v>62</v>
      </c>
      <c r="D18677" s="2" t="s">
        <v>1209</v>
      </c>
      <c r="E18677" s="2" t="str">
        <f>"9783428175369"</f>
        <v>9783428175369</v>
      </c>
      <c r="F18677" s="2" t="str">
        <f>"9783428575367"</f>
        <v>9783428575367</v>
      </c>
    </row>
    <row r="18678" spans="1:6" s="3" customFormat="1" ht="29.1" customHeight="1" x14ac:dyDescent="0.25">
      <c r="A18678" s="2" t="s">
        <v>36728</v>
      </c>
      <c r="B18678" s="2" t="s">
        <v>30920</v>
      </c>
      <c r="C18678" s="2" t="s">
        <v>62</v>
      </c>
      <c r="D18678" s="2" t="s">
        <v>1209</v>
      </c>
      <c r="E18678" s="2" t="str">
        <f>"9783428175123"</f>
        <v>9783428175123</v>
      </c>
      <c r="F18678" s="2" t="str">
        <f>"9783428575121"</f>
        <v>9783428575121</v>
      </c>
    </row>
    <row r="18679" spans="1:6" s="3" customFormat="1" ht="29.1" customHeight="1" x14ac:dyDescent="0.25">
      <c r="A18679" s="2" t="s">
        <v>36729</v>
      </c>
      <c r="B18679" s="2" t="s">
        <v>36730</v>
      </c>
      <c r="C18679" s="2" t="s">
        <v>55</v>
      </c>
      <c r="D18679" s="2" t="s">
        <v>868</v>
      </c>
      <c r="E18679" s="2"/>
      <c r="F18679" s="2" t="str">
        <f>"9781526143136"</f>
        <v>9781526143136</v>
      </c>
    </row>
    <row r="18680" spans="1:6" s="3" customFormat="1" ht="29.1" customHeight="1" x14ac:dyDescent="0.25">
      <c r="A18680" s="2" t="s">
        <v>36731</v>
      </c>
      <c r="B18680" s="2" t="s">
        <v>36732</v>
      </c>
      <c r="C18680" s="2" t="s">
        <v>8104</v>
      </c>
      <c r="D18680" s="2" t="s">
        <v>553</v>
      </c>
      <c r="E18680" s="2" t="str">
        <f>"9781800733114"</f>
        <v>9781800733114</v>
      </c>
      <c r="F18680" s="2" t="str">
        <f>"9781800733121"</f>
        <v>9781800733121</v>
      </c>
    </row>
    <row r="18681" spans="1:6" s="3" customFormat="1" ht="29.1" customHeight="1" x14ac:dyDescent="0.25">
      <c r="A18681" s="2" t="s">
        <v>36733</v>
      </c>
      <c r="B18681" s="2" t="s">
        <v>36734</v>
      </c>
      <c r="C18681" s="2" t="s">
        <v>8104</v>
      </c>
      <c r="D18681" s="2" t="s">
        <v>2142</v>
      </c>
      <c r="E18681" s="2" t="str">
        <f>"9781800733848"</f>
        <v>9781800733848</v>
      </c>
      <c r="F18681" s="2" t="str">
        <f>"9781800733855"</f>
        <v>9781800733855</v>
      </c>
    </row>
    <row r="18682" spans="1:6" s="3" customFormat="1" ht="29.1" customHeight="1" x14ac:dyDescent="0.25">
      <c r="A18682" s="2" t="s">
        <v>36735</v>
      </c>
      <c r="B18682" s="2" t="s">
        <v>36736</v>
      </c>
      <c r="C18682" s="2" t="s">
        <v>8104</v>
      </c>
      <c r="D18682" s="2" t="s">
        <v>636</v>
      </c>
      <c r="E18682" s="2" t="str">
        <f>"9781800733411"</f>
        <v>9781800733411</v>
      </c>
      <c r="F18682" s="2" t="str">
        <f>"9781800733428"</f>
        <v>9781800733428</v>
      </c>
    </row>
    <row r="18683" spans="1:6" s="3" customFormat="1" ht="29.1" customHeight="1" x14ac:dyDescent="0.25">
      <c r="A18683" s="2" t="s">
        <v>36737</v>
      </c>
      <c r="B18683" s="2" t="s">
        <v>36738</v>
      </c>
      <c r="C18683" s="2" t="s">
        <v>29</v>
      </c>
      <c r="D18683" s="2" t="s">
        <v>18750</v>
      </c>
      <c r="E18683" s="2" t="str">
        <f>"9789004461208"</f>
        <v>9789004461208</v>
      </c>
      <c r="F18683" s="2" t="str">
        <f>"9789004464377"</f>
        <v>9789004464377</v>
      </c>
    </row>
    <row r="18684" spans="1:6" s="3" customFormat="1" ht="29.1" customHeight="1" x14ac:dyDescent="0.25">
      <c r="A18684" s="2" t="s">
        <v>36739</v>
      </c>
      <c r="B18684" s="2" t="s">
        <v>36740</v>
      </c>
      <c r="C18684" s="2" t="s">
        <v>5</v>
      </c>
      <c r="D18684" s="2" t="s">
        <v>553</v>
      </c>
      <c r="E18684" s="2" t="str">
        <f>"9783030663179"</f>
        <v>9783030663179</v>
      </c>
      <c r="F18684" s="2" t="str">
        <f>"9783030663186"</f>
        <v>9783030663186</v>
      </c>
    </row>
    <row r="18685" spans="1:6" s="3" customFormat="1" ht="29.1" customHeight="1" x14ac:dyDescent="0.25">
      <c r="A18685" s="2" t="s">
        <v>36741</v>
      </c>
      <c r="B18685" s="2" t="s">
        <v>36742</v>
      </c>
      <c r="C18685" s="2" t="s">
        <v>556</v>
      </c>
      <c r="D18685" s="2" t="s">
        <v>324</v>
      </c>
      <c r="E18685" s="2" t="str">
        <f>"9783899427875"</f>
        <v>9783899427875</v>
      </c>
      <c r="F18685" s="2" t="str">
        <f>"9783839407875"</f>
        <v>9783839407875</v>
      </c>
    </row>
    <row r="18686" spans="1:6" s="3" customFormat="1" ht="29.1" customHeight="1" x14ac:dyDescent="0.25">
      <c r="A18686" s="2" t="s">
        <v>36743</v>
      </c>
      <c r="B18686" s="2" t="s">
        <v>36744</v>
      </c>
      <c r="C18686" s="2" t="s">
        <v>556</v>
      </c>
      <c r="D18686" s="2" t="s">
        <v>490</v>
      </c>
      <c r="E18686" s="2" t="str">
        <f>"9783899426786"</f>
        <v>9783899426786</v>
      </c>
      <c r="F18686" s="2" t="str">
        <f>"9783839406786"</f>
        <v>9783839406786</v>
      </c>
    </row>
    <row r="18687" spans="1:6" s="3" customFormat="1" ht="29.1" customHeight="1" x14ac:dyDescent="0.25">
      <c r="A18687" s="2" t="s">
        <v>36745</v>
      </c>
      <c r="B18687" s="2" t="s">
        <v>36746</v>
      </c>
      <c r="C18687" s="2" t="s">
        <v>556</v>
      </c>
      <c r="D18687" s="2" t="s">
        <v>1411</v>
      </c>
      <c r="E18687" s="2" t="str">
        <f>"9783933127877"</f>
        <v>9783933127877</v>
      </c>
      <c r="F18687" s="2" t="str">
        <f>"9783839400876"</f>
        <v>9783839400876</v>
      </c>
    </row>
    <row r="18688" spans="1:6" s="3" customFormat="1" ht="29.1" customHeight="1" x14ac:dyDescent="0.25">
      <c r="A18688" s="2" t="s">
        <v>36747</v>
      </c>
      <c r="B18688" s="2" t="s">
        <v>36748</v>
      </c>
      <c r="C18688" s="2" t="s">
        <v>556</v>
      </c>
      <c r="D18688" s="2" t="s">
        <v>1046</v>
      </c>
      <c r="E18688" s="2" t="str">
        <f>"9783933127136"</f>
        <v>9783933127136</v>
      </c>
      <c r="F18688" s="2" t="str">
        <f>"9783839400135"</f>
        <v>9783839400135</v>
      </c>
    </row>
    <row r="18689" spans="1:6" s="3" customFormat="1" ht="29.1" customHeight="1" x14ac:dyDescent="0.25">
      <c r="A18689" s="2" t="s">
        <v>36749</v>
      </c>
      <c r="B18689" s="2" t="s">
        <v>36750</v>
      </c>
      <c r="C18689" s="2" t="s">
        <v>556</v>
      </c>
      <c r="D18689" s="2" t="s">
        <v>1046</v>
      </c>
      <c r="E18689" s="2" t="str">
        <f>"9783933127105"</f>
        <v>9783933127105</v>
      </c>
      <c r="F18689" s="2" t="str">
        <f>"9783839400104"</f>
        <v>9783839400104</v>
      </c>
    </row>
    <row r="18690" spans="1:6" s="3" customFormat="1" ht="29.1" customHeight="1" x14ac:dyDescent="0.25">
      <c r="A18690" s="2" t="s">
        <v>36751</v>
      </c>
      <c r="B18690" s="2" t="s">
        <v>36752</v>
      </c>
      <c r="C18690" s="2" t="s">
        <v>556</v>
      </c>
      <c r="D18690" s="2" t="s">
        <v>150</v>
      </c>
      <c r="E18690" s="2" t="str">
        <f>"9783837612639"</f>
        <v>9783837612639</v>
      </c>
      <c r="F18690" s="2" t="str">
        <f>"9783839412633"</f>
        <v>9783839412633</v>
      </c>
    </row>
    <row r="18691" spans="1:6" s="3" customFormat="1" ht="29.1" customHeight="1" x14ac:dyDescent="0.25">
      <c r="A18691" s="2" t="s">
        <v>36753</v>
      </c>
      <c r="B18691" s="2" t="s">
        <v>36754</v>
      </c>
      <c r="C18691" s="2" t="s">
        <v>556</v>
      </c>
      <c r="D18691" s="2" t="s">
        <v>1422</v>
      </c>
      <c r="E18691" s="2" t="str">
        <f>"9783837612448"</f>
        <v>9783837612448</v>
      </c>
      <c r="F18691" s="2" t="str">
        <f>"9783839412442"</f>
        <v>9783839412442</v>
      </c>
    </row>
    <row r="18692" spans="1:6" s="3" customFormat="1" ht="29.1" customHeight="1" x14ac:dyDescent="0.25">
      <c r="A18692" s="2" t="s">
        <v>36755</v>
      </c>
      <c r="B18692" s="2" t="s">
        <v>36756</v>
      </c>
      <c r="C18692" s="2" t="s">
        <v>556</v>
      </c>
      <c r="D18692" s="2" t="s">
        <v>1411</v>
      </c>
      <c r="E18692" s="2" t="str">
        <f>"9783837612356"</f>
        <v>9783837612356</v>
      </c>
      <c r="F18692" s="2" t="str">
        <f>"9783839412350"</f>
        <v>9783839412350</v>
      </c>
    </row>
    <row r="18693" spans="1:6" s="3" customFormat="1" ht="29.1" customHeight="1" x14ac:dyDescent="0.25">
      <c r="A18693" s="2" t="s">
        <v>36757</v>
      </c>
      <c r="B18693" s="2" t="s">
        <v>36758</v>
      </c>
      <c r="C18693" s="2" t="s">
        <v>556</v>
      </c>
      <c r="D18693" s="2" t="s">
        <v>1411</v>
      </c>
      <c r="E18693" s="2" t="str">
        <f>"9783837612271"</f>
        <v>9783837612271</v>
      </c>
      <c r="F18693" s="2" t="str">
        <f>"9783839412275"</f>
        <v>9783839412275</v>
      </c>
    </row>
    <row r="18694" spans="1:6" s="3" customFormat="1" ht="29.1" customHeight="1" x14ac:dyDescent="0.25">
      <c r="A18694" s="2" t="s">
        <v>36759</v>
      </c>
      <c r="B18694" s="2" t="s">
        <v>36760</v>
      </c>
      <c r="C18694" s="2" t="s">
        <v>556</v>
      </c>
      <c r="D18694" s="2" t="s">
        <v>4160</v>
      </c>
      <c r="E18694" s="2" t="str">
        <f>"9783837612226"</f>
        <v>9783837612226</v>
      </c>
      <c r="F18694" s="2" t="str">
        <f>"9783839412220"</f>
        <v>9783839412220</v>
      </c>
    </row>
    <row r="18695" spans="1:6" s="3" customFormat="1" ht="29.1" customHeight="1" x14ac:dyDescent="0.25">
      <c r="A18695" s="2" t="s">
        <v>36761</v>
      </c>
      <c r="B18695" s="2" t="s">
        <v>36762</v>
      </c>
      <c r="C18695" s="2" t="s">
        <v>556</v>
      </c>
      <c r="D18695" s="2" t="s">
        <v>712</v>
      </c>
      <c r="E18695" s="2" t="str">
        <f>"9783837612202"</f>
        <v>9783837612202</v>
      </c>
      <c r="F18695" s="2" t="str">
        <f>"9783839412206"</f>
        <v>9783839412206</v>
      </c>
    </row>
    <row r="18696" spans="1:6" s="3" customFormat="1" ht="29.1" customHeight="1" x14ac:dyDescent="0.25">
      <c r="A18696" s="2" t="s">
        <v>36763</v>
      </c>
      <c r="B18696" s="2" t="s">
        <v>36764</v>
      </c>
      <c r="C18696" s="2" t="s">
        <v>556</v>
      </c>
      <c r="D18696" s="2" t="s">
        <v>324</v>
      </c>
      <c r="E18696" s="2" t="str">
        <f>"9783837612189"</f>
        <v>9783837612189</v>
      </c>
      <c r="F18696" s="2" t="str">
        <f>"9783839412183"</f>
        <v>9783839412183</v>
      </c>
    </row>
    <row r="18697" spans="1:6" s="3" customFormat="1" ht="29.1" customHeight="1" x14ac:dyDescent="0.25">
      <c r="A18697" s="2" t="s">
        <v>36765</v>
      </c>
      <c r="B18697" s="2" t="s">
        <v>36766</v>
      </c>
      <c r="C18697" s="2" t="s">
        <v>556</v>
      </c>
      <c r="D18697" s="2" t="s">
        <v>1988</v>
      </c>
      <c r="E18697" s="2" t="str">
        <f>"9783837612172"</f>
        <v>9783837612172</v>
      </c>
      <c r="F18697" s="2" t="str">
        <f>"9783839412176"</f>
        <v>9783839412176</v>
      </c>
    </row>
    <row r="18698" spans="1:6" s="3" customFormat="1" ht="29.1" customHeight="1" x14ac:dyDescent="0.25">
      <c r="A18698" s="2" t="s">
        <v>36767</v>
      </c>
      <c r="B18698" s="2" t="s">
        <v>36768</v>
      </c>
      <c r="C18698" s="2" t="s">
        <v>556</v>
      </c>
      <c r="D18698" s="2" t="s">
        <v>490</v>
      </c>
      <c r="E18698" s="2" t="str">
        <f>"9783837611991"</f>
        <v>9783837611991</v>
      </c>
      <c r="F18698" s="2" t="str">
        <f>"9783839411995"</f>
        <v>9783839411995</v>
      </c>
    </row>
    <row r="18699" spans="1:6" s="3" customFormat="1" ht="29.1" customHeight="1" x14ac:dyDescent="0.25">
      <c r="A18699" s="2" t="s">
        <v>36769</v>
      </c>
      <c r="B18699" s="2" t="s">
        <v>36770</v>
      </c>
      <c r="C18699" s="2" t="s">
        <v>556</v>
      </c>
      <c r="D18699" s="2" t="s">
        <v>636</v>
      </c>
      <c r="E18699" s="2" t="str">
        <f>"9783837611892"</f>
        <v>9783837611892</v>
      </c>
      <c r="F18699" s="2" t="str">
        <f>"9783839411896"</f>
        <v>9783839411896</v>
      </c>
    </row>
    <row r="18700" spans="1:6" s="3" customFormat="1" ht="29.1" customHeight="1" x14ac:dyDescent="0.25">
      <c r="A18700" s="2" t="s">
        <v>36771</v>
      </c>
      <c r="B18700" s="2" t="s">
        <v>36772</v>
      </c>
      <c r="C18700" s="2" t="s">
        <v>556</v>
      </c>
      <c r="D18700" s="2" t="s">
        <v>1411</v>
      </c>
      <c r="E18700" s="2" t="str">
        <f>"9783837611779"</f>
        <v>9783837611779</v>
      </c>
      <c r="F18700" s="2" t="str">
        <f>"9783839411773"</f>
        <v>9783839411773</v>
      </c>
    </row>
    <row r="18701" spans="1:6" s="3" customFormat="1" ht="29.1" customHeight="1" x14ac:dyDescent="0.25">
      <c r="A18701" s="2" t="s">
        <v>36773</v>
      </c>
      <c r="B18701" s="2" t="s">
        <v>36774</v>
      </c>
      <c r="C18701" s="2" t="s">
        <v>556</v>
      </c>
      <c r="D18701" s="2" t="s">
        <v>484</v>
      </c>
      <c r="E18701" s="2" t="str">
        <f>"9783837611670"</f>
        <v>9783837611670</v>
      </c>
      <c r="F18701" s="2" t="str">
        <f>"9783839411674"</f>
        <v>9783839411674</v>
      </c>
    </row>
    <row r="18702" spans="1:6" s="3" customFormat="1" ht="29.1" customHeight="1" x14ac:dyDescent="0.25">
      <c r="A18702" s="2" t="s">
        <v>36775</v>
      </c>
      <c r="B18702" s="2" t="s">
        <v>36776</v>
      </c>
      <c r="C18702" s="2" t="s">
        <v>556</v>
      </c>
      <c r="D18702" s="2" t="s">
        <v>7589</v>
      </c>
      <c r="E18702" s="2" t="str">
        <f>"9783837611519"</f>
        <v>9783837611519</v>
      </c>
      <c r="F18702" s="2" t="str">
        <f>"9783839411513"</f>
        <v>9783839411513</v>
      </c>
    </row>
    <row r="18703" spans="1:6" s="3" customFormat="1" ht="29.1" customHeight="1" x14ac:dyDescent="0.25">
      <c r="A18703" s="2" t="s">
        <v>36777</v>
      </c>
      <c r="B18703" s="2" t="s">
        <v>36778</v>
      </c>
      <c r="C18703" s="2" t="s">
        <v>556</v>
      </c>
      <c r="D18703" s="2" t="s">
        <v>639</v>
      </c>
      <c r="E18703" s="2" t="str">
        <f>"9783837611328"</f>
        <v>9783837611328</v>
      </c>
      <c r="F18703" s="2" t="str">
        <f>"9783839411322"</f>
        <v>9783839411322</v>
      </c>
    </row>
    <row r="18704" spans="1:6" s="3" customFormat="1" ht="29.1" customHeight="1" x14ac:dyDescent="0.25">
      <c r="A18704" s="2" t="s">
        <v>36779</v>
      </c>
      <c r="B18704" s="2" t="s">
        <v>36780</v>
      </c>
      <c r="C18704" s="2" t="s">
        <v>556</v>
      </c>
      <c r="D18704" s="2" t="s">
        <v>3839</v>
      </c>
      <c r="E18704" s="2" t="str">
        <f>"9783837611281"</f>
        <v>9783837611281</v>
      </c>
      <c r="F18704" s="2" t="str">
        <f>"9783839411285"</f>
        <v>9783839411285</v>
      </c>
    </row>
    <row r="18705" spans="1:6" s="3" customFormat="1" ht="29.1" customHeight="1" x14ac:dyDescent="0.25">
      <c r="A18705" s="2" t="s">
        <v>36781</v>
      </c>
      <c r="B18705" s="2" t="s">
        <v>36782</v>
      </c>
      <c r="C18705" s="2" t="s">
        <v>556</v>
      </c>
      <c r="D18705" s="2" t="s">
        <v>183</v>
      </c>
      <c r="E18705" s="2" t="str">
        <f>"9783837611236"</f>
        <v>9783837611236</v>
      </c>
      <c r="F18705" s="2" t="str">
        <f>"9783839411230"</f>
        <v>9783839411230</v>
      </c>
    </row>
    <row r="18706" spans="1:6" s="3" customFormat="1" ht="29.1" customHeight="1" x14ac:dyDescent="0.25">
      <c r="A18706" s="2" t="s">
        <v>36783</v>
      </c>
      <c r="B18706" s="2" t="s">
        <v>36784</v>
      </c>
      <c r="C18706" s="2" t="s">
        <v>556</v>
      </c>
      <c r="D18706" s="2" t="s">
        <v>92</v>
      </c>
      <c r="E18706" s="2" t="str">
        <f>"9783837611175"</f>
        <v>9783837611175</v>
      </c>
      <c r="F18706" s="2" t="str">
        <f>"9783839411179"</f>
        <v>9783839411179</v>
      </c>
    </row>
    <row r="18707" spans="1:6" s="3" customFormat="1" ht="29.1" customHeight="1" x14ac:dyDescent="0.25">
      <c r="A18707" s="2" t="s">
        <v>36785</v>
      </c>
      <c r="B18707" s="2" t="s">
        <v>36786</v>
      </c>
      <c r="C18707" s="2" t="s">
        <v>556</v>
      </c>
      <c r="D18707" s="2" t="s">
        <v>446</v>
      </c>
      <c r="E18707" s="2" t="str">
        <f>"9783837611113"</f>
        <v>9783837611113</v>
      </c>
      <c r="F18707" s="2" t="str">
        <f>"9783839411117"</f>
        <v>9783839411117</v>
      </c>
    </row>
    <row r="18708" spans="1:6" s="3" customFormat="1" ht="29.1" customHeight="1" x14ac:dyDescent="0.25">
      <c r="A18708" s="2" t="s">
        <v>36787</v>
      </c>
      <c r="B18708" s="2" t="s">
        <v>36788</v>
      </c>
      <c r="C18708" s="2" t="s">
        <v>556</v>
      </c>
      <c r="D18708" s="2" t="s">
        <v>11537</v>
      </c>
      <c r="E18708" s="2" t="str">
        <f>"9783837611045"</f>
        <v>9783837611045</v>
      </c>
      <c r="F18708" s="2" t="str">
        <f>"9783839411049"</f>
        <v>9783839411049</v>
      </c>
    </row>
    <row r="18709" spans="1:6" s="3" customFormat="1" ht="29.1" customHeight="1" x14ac:dyDescent="0.25">
      <c r="A18709" s="2" t="s">
        <v>36789</v>
      </c>
      <c r="B18709" s="2" t="s">
        <v>36790</v>
      </c>
      <c r="C18709" s="2" t="s">
        <v>556</v>
      </c>
      <c r="D18709" s="2" t="s">
        <v>1654</v>
      </c>
      <c r="E18709" s="2" t="str">
        <f>"9783837610888"</f>
        <v>9783837610888</v>
      </c>
      <c r="F18709" s="2" t="str">
        <f>"9783839410882"</f>
        <v>9783839410882</v>
      </c>
    </row>
    <row r="18710" spans="1:6" s="3" customFormat="1" ht="29.1" customHeight="1" x14ac:dyDescent="0.25">
      <c r="A18710" s="2" t="s">
        <v>36791</v>
      </c>
      <c r="B18710" s="2" t="s">
        <v>36792</v>
      </c>
      <c r="C18710" s="2" t="s">
        <v>556</v>
      </c>
      <c r="D18710" s="2" t="s">
        <v>712</v>
      </c>
      <c r="E18710" s="2" t="str">
        <f>"9783837610765"</f>
        <v>9783837610765</v>
      </c>
      <c r="F18710" s="2" t="str">
        <f>"9783839410769"</f>
        <v>9783839410769</v>
      </c>
    </row>
    <row r="18711" spans="1:6" s="3" customFormat="1" ht="29.1" customHeight="1" x14ac:dyDescent="0.25">
      <c r="A18711" s="2" t="s">
        <v>36793</v>
      </c>
      <c r="B18711" s="2" t="s">
        <v>36794</v>
      </c>
      <c r="C18711" s="2" t="s">
        <v>556</v>
      </c>
      <c r="D18711" s="2" t="s">
        <v>1141</v>
      </c>
      <c r="E18711" s="2" t="str">
        <f>"9783837610741"</f>
        <v>9783837610741</v>
      </c>
      <c r="F18711" s="2" t="str">
        <f>"9783839410745"</f>
        <v>9783839410745</v>
      </c>
    </row>
    <row r="18712" spans="1:6" s="3" customFormat="1" ht="29.1" customHeight="1" x14ac:dyDescent="0.25">
      <c r="A18712" s="2" t="s">
        <v>36795</v>
      </c>
      <c r="B18712" s="2" t="s">
        <v>36796</v>
      </c>
      <c r="C18712" s="2" t="s">
        <v>556</v>
      </c>
      <c r="D18712" s="2" t="s">
        <v>1262</v>
      </c>
      <c r="E18712" s="2" t="str">
        <f>"9783837610642"</f>
        <v>9783837610642</v>
      </c>
      <c r="F18712" s="2" t="str">
        <f>"9783839410646"</f>
        <v>9783839410646</v>
      </c>
    </row>
    <row r="18713" spans="1:6" s="3" customFormat="1" ht="29.1" customHeight="1" x14ac:dyDescent="0.25">
      <c r="A18713" s="2" t="s">
        <v>36797</v>
      </c>
      <c r="B18713" s="2" t="s">
        <v>36798</v>
      </c>
      <c r="C18713" s="2" t="s">
        <v>556</v>
      </c>
      <c r="D18713" s="2" t="s">
        <v>712</v>
      </c>
      <c r="E18713" s="2" t="str">
        <f>"9783837610611"</f>
        <v>9783837610611</v>
      </c>
      <c r="F18713" s="2" t="str">
        <f>"9783839410615"</f>
        <v>9783839410615</v>
      </c>
    </row>
    <row r="18714" spans="1:6" s="3" customFormat="1" ht="29.1" customHeight="1" x14ac:dyDescent="0.25">
      <c r="A18714" s="2" t="s">
        <v>36799</v>
      </c>
      <c r="B18714" s="2" t="s">
        <v>36800</v>
      </c>
      <c r="C18714" s="2" t="s">
        <v>556</v>
      </c>
      <c r="D18714" s="2" t="s">
        <v>1001</v>
      </c>
      <c r="E18714" s="2" t="str">
        <f>"9783837610574"</f>
        <v>9783837610574</v>
      </c>
      <c r="F18714" s="2" t="str">
        <f>"9783839410578"</f>
        <v>9783839410578</v>
      </c>
    </row>
    <row r="18715" spans="1:6" s="3" customFormat="1" ht="29.1" customHeight="1" x14ac:dyDescent="0.25">
      <c r="A18715" s="2" t="s">
        <v>36801</v>
      </c>
      <c r="B18715" s="2" t="s">
        <v>36802</v>
      </c>
      <c r="C18715" s="2" t="s">
        <v>556</v>
      </c>
      <c r="D18715" s="2" t="s">
        <v>1183</v>
      </c>
      <c r="E18715" s="2" t="str">
        <f>"9783837610543"</f>
        <v>9783837610543</v>
      </c>
      <c r="F18715" s="2" t="str">
        <f>"9783839410547"</f>
        <v>9783839410547</v>
      </c>
    </row>
    <row r="18716" spans="1:6" s="3" customFormat="1" ht="29.1" customHeight="1" x14ac:dyDescent="0.25">
      <c r="A18716" s="2" t="s">
        <v>36803</v>
      </c>
      <c r="B18716" s="2" t="s">
        <v>36804</v>
      </c>
      <c r="C18716" s="2" t="s">
        <v>556</v>
      </c>
      <c r="D18716" s="2" t="s">
        <v>9968</v>
      </c>
      <c r="E18716" s="2" t="str">
        <f>"9783837610536"</f>
        <v>9783837610536</v>
      </c>
      <c r="F18716" s="2" t="str">
        <f>"9783839410530"</f>
        <v>9783839410530</v>
      </c>
    </row>
    <row r="18717" spans="1:6" s="3" customFormat="1" ht="29.1" customHeight="1" x14ac:dyDescent="0.25">
      <c r="A18717" s="2" t="s">
        <v>36805</v>
      </c>
      <c r="B18717" s="2" t="s">
        <v>36806</v>
      </c>
      <c r="C18717" s="2" t="s">
        <v>556</v>
      </c>
      <c r="D18717" s="2" t="s">
        <v>1262</v>
      </c>
      <c r="E18717" s="2" t="str">
        <f>"9783837610529"</f>
        <v>9783837610529</v>
      </c>
      <c r="F18717" s="2" t="str">
        <f>"9783839410523"</f>
        <v>9783839410523</v>
      </c>
    </row>
    <row r="18718" spans="1:6" s="3" customFormat="1" ht="29.1" customHeight="1" x14ac:dyDescent="0.25">
      <c r="A18718" s="2" t="s">
        <v>36807</v>
      </c>
      <c r="B18718" s="2" t="s">
        <v>36808</v>
      </c>
      <c r="C18718" s="2" t="s">
        <v>556</v>
      </c>
      <c r="D18718" s="2" t="s">
        <v>25971</v>
      </c>
      <c r="E18718" s="2" t="str">
        <f>"9783837610406"</f>
        <v>9783837610406</v>
      </c>
      <c r="F18718" s="2" t="str">
        <f>"9783839410400"</f>
        <v>9783839410400</v>
      </c>
    </row>
    <row r="18719" spans="1:6" s="3" customFormat="1" ht="29.1" customHeight="1" x14ac:dyDescent="0.25">
      <c r="A18719" s="2" t="s">
        <v>36809</v>
      </c>
      <c r="B18719" s="2" t="s">
        <v>36810</v>
      </c>
      <c r="C18719" s="2" t="s">
        <v>556</v>
      </c>
      <c r="D18719" s="2" t="s">
        <v>1988</v>
      </c>
      <c r="E18719" s="2" t="str">
        <f>"9783837610000"</f>
        <v>9783837610000</v>
      </c>
      <c r="F18719" s="2" t="str">
        <f>"9783839410004"</f>
        <v>9783839410004</v>
      </c>
    </row>
    <row r="18720" spans="1:6" s="3" customFormat="1" ht="29.1" customHeight="1" x14ac:dyDescent="0.25">
      <c r="A18720" s="2" t="s">
        <v>36811</v>
      </c>
      <c r="B18720" s="2" t="s">
        <v>36812</v>
      </c>
      <c r="C18720" s="2" t="s">
        <v>556</v>
      </c>
      <c r="D18720" s="2" t="s">
        <v>9052</v>
      </c>
      <c r="E18720" s="2" t="str">
        <f>"9783899429886"</f>
        <v>9783899429886</v>
      </c>
      <c r="F18720" s="2" t="str">
        <f>"9783839409886"</f>
        <v>9783839409886</v>
      </c>
    </row>
    <row r="18721" spans="1:6" s="3" customFormat="1" ht="29.1" customHeight="1" x14ac:dyDescent="0.25">
      <c r="A18721" s="2" t="s">
        <v>36813</v>
      </c>
      <c r="B18721" s="2" t="s">
        <v>32151</v>
      </c>
      <c r="C18721" s="2" t="s">
        <v>556</v>
      </c>
      <c r="D18721" s="2" t="s">
        <v>1141</v>
      </c>
      <c r="E18721" s="2" t="str">
        <f>"9783899429831"</f>
        <v>9783899429831</v>
      </c>
      <c r="F18721" s="2" t="str">
        <f>"9783839409831"</f>
        <v>9783839409831</v>
      </c>
    </row>
    <row r="18722" spans="1:6" s="3" customFormat="1" ht="29.1" customHeight="1" x14ac:dyDescent="0.25">
      <c r="A18722" s="2" t="s">
        <v>36814</v>
      </c>
      <c r="B18722" s="2" t="s">
        <v>36815</v>
      </c>
      <c r="C18722" s="2" t="s">
        <v>556</v>
      </c>
      <c r="D18722" s="2" t="s">
        <v>1411</v>
      </c>
      <c r="E18722" s="2" t="str">
        <f>"9783899429794"</f>
        <v>9783899429794</v>
      </c>
      <c r="F18722" s="2" t="str">
        <f>"9783839409794"</f>
        <v>9783839409794</v>
      </c>
    </row>
    <row r="18723" spans="1:6" s="3" customFormat="1" ht="29.1" customHeight="1" x14ac:dyDescent="0.25">
      <c r="A18723" s="2" t="s">
        <v>36816</v>
      </c>
      <c r="B18723" s="2" t="s">
        <v>36817</v>
      </c>
      <c r="C18723" s="2" t="s">
        <v>556</v>
      </c>
      <c r="D18723" s="2" t="s">
        <v>9163</v>
      </c>
      <c r="E18723" s="2" t="str">
        <f>"9783899429732"</f>
        <v>9783899429732</v>
      </c>
      <c r="F18723" s="2" t="str">
        <f>"9783839409732"</f>
        <v>9783839409732</v>
      </c>
    </row>
    <row r="18724" spans="1:6" s="3" customFormat="1" ht="29.1" customHeight="1" x14ac:dyDescent="0.25">
      <c r="A18724" s="2" t="s">
        <v>36818</v>
      </c>
      <c r="B18724" s="2" t="s">
        <v>36819</v>
      </c>
      <c r="C18724" s="2" t="s">
        <v>556</v>
      </c>
      <c r="D18724" s="2" t="s">
        <v>4160</v>
      </c>
      <c r="E18724" s="2" t="str">
        <f>"9783899429688"</f>
        <v>9783899429688</v>
      </c>
      <c r="F18724" s="2" t="str">
        <f>"9783839409688"</f>
        <v>9783839409688</v>
      </c>
    </row>
    <row r="18725" spans="1:6" s="3" customFormat="1" ht="29.1" customHeight="1" x14ac:dyDescent="0.25">
      <c r="A18725" s="2" t="s">
        <v>36820</v>
      </c>
      <c r="B18725" s="2" t="s">
        <v>36821</v>
      </c>
      <c r="C18725" s="2" t="s">
        <v>556</v>
      </c>
      <c r="D18725" s="2" t="s">
        <v>4030</v>
      </c>
      <c r="E18725" s="2" t="str">
        <f>"9783899429671"</f>
        <v>9783899429671</v>
      </c>
      <c r="F18725" s="2" t="str">
        <f>"9783839409671"</f>
        <v>9783839409671</v>
      </c>
    </row>
    <row r="18726" spans="1:6" s="3" customFormat="1" ht="29.1" customHeight="1" x14ac:dyDescent="0.25">
      <c r="A18726" s="2" t="s">
        <v>36822</v>
      </c>
      <c r="B18726" s="2" t="s">
        <v>32218</v>
      </c>
      <c r="C18726" s="2" t="s">
        <v>556</v>
      </c>
      <c r="D18726" s="2" t="s">
        <v>501</v>
      </c>
      <c r="E18726" s="2" t="str">
        <f>"9783899429640"</f>
        <v>9783899429640</v>
      </c>
      <c r="F18726" s="2" t="str">
        <f>"9783839409640"</f>
        <v>9783839409640</v>
      </c>
    </row>
    <row r="18727" spans="1:6" s="3" customFormat="1" ht="29.1" customHeight="1" x14ac:dyDescent="0.25">
      <c r="A18727" s="2" t="s">
        <v>36823</v>
      </c>
      <c r="B18727" s="2" t="s">
        <v>36824</v>
      </c>
      <c r="C18727" s="2" t="s">
        <v>556</v>
      </c>
      <c r="D18727" s="2" t="s">
        <v>78</v>
      </c>
      <c r="E18727" s="2" t="str">
        <f>"9783899429596"</f>
        <v>9783899429596</v>
      </c>
      <c r="F18727" s="2" t="str">
        <f>"9783839409596"</f>
        <v>9783839409596</v>
      </c>
    </row>
    <row r="18728" spans="1:6" s="3" customFormat="1" ht="29.1" customHeight="1" x14ac:dyDescent="0.25">
      <c r="A18728" s="2" t="s">
        <v>36825</v>
      </c>
      <c r="B18728" s="2" t="s">
        <v>36826</v>
      </c>
      <c r="C18728" s="2" t="s">
        <v>556</v>
      </c>
      <c r="D18728" s="2" t="s">
        <v>1162</v>
      </c>
      <c r="E18728" s="2" t="str">
        <f>"9783899429572"</f>
        <v>9783899429572</v>
      </c>
      <c r="F18728" s="2" t="str">
        <f>"9783839409572"</f>
        <v>9783839409572</v>
      </c>
    </row>
    <row r="18729" spans="1:6" s="3" customFormat="1" ht="29.1" customHeight="1" x14ac:dyDescent="0.25">
      <c r="A18729" s="2" t="s">
        <v>36827</v>
      </c>
      <c r="B18729" s="2" t="s">
        <v>36828</v>
      </c>
      <c r="C18729" s="2" t="s">
        <v>556</v>
      </c>
      <c r="D18729" s="2" t="s">
        <v>1411</v>
      </c>
      <c r="E18729" s="2" t="str">
        <f>"9783899429534"</f>
        <v>9783899429534</v>
      </c>
      <c r="F18729" s="2" t="str">
        <f>"9783839409534"</f>
        <v>9783839409534</v>
      </c>
    </row>
    <row r="18730" spans="1:6" s="3" customFormat="1" ht="29.1" customHeight="1" x14ac:dyDescent="0.25">
      <c r="A18730" s="2" t="s">
        <v>36829</v>
      </c>
      <c r="B18730" s="2" t="s">
        <v>36830</v>
      </c>
      <c r="C18730" s="2" t="s">
        <v>556</v>
      </c>
      <c r="D18730" s="2" t="s">
        <v>1189</v>
      </c>
      <c r="E18730" s="2" t="str">
        <f>"9783899429497"</f>
        <v>9783899429497</v>
      </c>
      <c r="F18730" s="2" t="str">
        <f>"9783839409497"</f>
        <v>9783839409497</v>
      </c>
    </row>
    <row r="18731" spans="1:6" s="3" customFormat="1" ht="29.1" customHeight="1" x14ac:dyDescent="0.25">
      <c r="A18731" s="2" t="s">
        <v>36831</v>
      </c>
      <c r="B18731" s="2" t="s">
        <v>36832</v>
      </c>
      <c r="C18731" s="2" t="s">
        <v>556</v>
      </c>
      <c r="D18731" s="2" t="s">
        <v>78</v>
      </c>
      <c r="E18731" s="2" t="str">
        <f>"9783899429466"</f>
        <v>9783899429466</v>
      </c>
      <c r="F18731" s="2" t="str">
        <f>"9783839409466"</f>
        <v>9783839409466</v>
      </c>
    </row>
    <row r="18732" spans="1:6" s="3" customFormat="1" ht="29.1" customHeight="1" x14ac:dyDescent="0.25">
      <c r="A18732" s="2" t="s">
        <v>36833</v>
      </c>
      <c r="B18732" s="2" t="s">
        <v>36834</v>
      </c>
      <c r="C18732" s="2" t="s">
        <v>556</v>
      </c>
      <c r="D18732" s="2" t="s">
        <v>1411</v>
      </c>
      <c r="E18732" s="2" t="str">
        <f>"9783899429428"</f>
        <v>9783899429428</v>
      </c>
      <c r="F18732" s="2" t="str">
        <f>"9783839409428"</f>
        <v>9783839409428</v>
      </c>
    </row>
    <row r="18733" spans="1:6" s="3" customFormat="1" ht="29.1" customHeight="1" x14ac:dyDescent="0.25">
      <c r="A18733" s="2" t="s">
        <v>36835</v>
      </c>
      <c r="B18733" s="2" t="s">
        <v>36836</v>
      </c>
      <c r="C18733" s="2" t="s">
        <v>556</v>
      </c>
      <c r="D18733" s="2" t="s">
        <v>636</v>
      </c>
      <c r="E18733" s="2" t="str">
        <f>"9783899429404"</f>
        <v>9783899429404</v>
      </c>
      <c r="F18733" s="2" t="str">
        <f>"9783839409404"</f>
        <v>9783839409404</v>
      </c>
    </row>
    <row r="18734" spans="1:6" s="3" customFormat="1" ht="29.1" customHeight="1" x14ac:dyDescent="0.25">
      <c r="A18734" s="2" t="s">
        <v>36837</v>
      </c>
      <c r="B18734" s="2" t="s">
        <v>36838</v>
      </c>
      <c r="C18734" s="2" t="s">
        <v>556</v>
      </c>
      <c r="D18734" s="2" t="s">
        <v>484</v>
      </c>
      <c r="E18734" s="2" t="str">
        <f>"9783899429343"</f>
        <v>9783899429343</v>
      </c>
      <c r="F18734" s="2" t="str">
        <f>"9783839409343"</f>
        <v>9783839409343</v>
      </c>
    </row>
    <row r="18735" spans="1:6" s="3" customFormat="1" ht="29.1" customHeight="1" x14ac:dyDescent="0.25">
      <c r="A18735" s="2" t="s">
        <v>36839</v>
      </c>
      <c r="B18735" s="2" t="s">
        <v>36840</v>
      </c>
      <c r="C18735" s="2" t="s">
        <v>556</v>
      </c>
      <c r="D18735" s="2" t="s">
        <v>1141</v>
      </c>
      <c r="E18735" s="2" t="str">
        <f>"9783899429305"</f>
        <v>9783899429305</v>
      </c>
      <c r="F18735" s="2" t="str">
        <f>"9783839409305"</f>
        <v>9783839409305</v>
      </c>
    </row>
    <row r="18736" spans="1:6" s="3" customFormat="1" ht="29.1" customHeight="1" x14ac:dyDescent="0.25">
      <c r="A18736" s="2" t="s">
        <v>36841</v>
      </c>
      <c r="B18736" s="2" t="s">
        <v>36842</v>
      </c>
      <c r="C18736" s="2" t="s">
        <v>556</v>
      </c>
      <c r="D18736" s="2" t="s">
        <v>1411</v>
      </c>
      <c r="E18736" s="2" t="str">
        <f>"9783899429268"</f>
        <v>9783899429268</v>
      </c>
      <c r="F18736" s="2" t="str">
        <f>"9783839409268"</f>
        <v>9783839409268</v>
      </c>
    </row>
    <row r="18737" spans="1:6" s="3" customFormat="1" ht="29.1" customHeight="1" x14ac:dyDescent="0.25">
      <c r="A18737" s="2" t="s">
        <v>36843</v>
      </c>
      <c r="B18737" s="2" t="s">
        <v>36844</v>
      </c>
      <c r="C18737" s="2" t="s">
        <v>556</v>
      </c>
      <c r="D18737" s="2" t="s">
        <v>689</v>
      </c>
      <c r="E18737" s="2" t="str">
        <f>"9783899429251"</f>
        <v>9783899429251</v>
      </c>
      <c r="F18737" s="2" t="str">
        <f>"9783839409251"</f>
        <v>9783839409251</v>
      </c>
    </row>
    <row r="18738" spans="1:6" s="3" customFormat="1" ht="29.1" customHeight="1" x14ac:dyDescent="0.25">
      <c r="A18738" s="2" t="s">
        <v>36845</v>
      </c>
      <c r="B18738" s="2" t="s">
        <v>36846</v>
      </c>
      <c r="C18738" s="2" t="s">
        <v>556</v>
      </c>
      <c r="D18738" s="2" t="s">
        <v>75</v>
      </c>
      <c r="E18738" s="2" t="str">
        <f>"9783899429206"</f>
        <v>9783899429206</v>
      </c>
      <c r="F18738" s="2" t="str">
        <f>"9783839409206"</f>
        <v>9783839409206</v>
      </c>
    </row>
    <row r="18739" spans="1:6" s="3" customFormat="1" ht="29.1" customHeight="1" x14ac:dyDescent="0.25">
      <c r="A18739" s="2" t="s">
        <v>36847</v>
      </c>
      <c r="B18739" s="2" t="s">
        <v>36848</v>
      </c>
      <c r="C18739" s="2" t="s">
        <v>556</v>
      </c>
      <c r="D18739" s="2" t="s">
        <v>1411</v>
      </c>
      <c r="E18739" s="2" t="str">
        <f>"9783899429169"</f>
        <v>9783899429169</v>
      </c>
      <c r="F18739" s="2" t="str">
        <f>"9783839409169"</f>
        <v>9783839409169</v>
      </c>
    </row>
    <row r="18740" spans="1:6" s="3" customFormat="1" ht="29.1" customHeight="1" x14ac:dyDescent="0.25">
      <c r="A18740" s="2" t="s">
        <v>36849</v>
      </c>
      <c r="B18740" s="2" t="s">
        <v>36850</v>
      </c>
      <c r="C18740" s="2" t="s">
        <v>556</v>
      </c>
      <c r="D18740" s="2" t="s">
        <v>998</v>
      </c>
      <c r="E18740" s="2" t="str">
        <f>"9783899429077"</f>
        <v>9783899429077</v>
      </c>
      <c r="F18740" s="2" t="str">
        <f>"9783839409077"</f>
        <v>9783839409077</v>
      </c>
    </row>
    <row r="18741" spans="1:6" s="3" customFormat="1" ht="29.1" customHeight="1" x14ac:dyDescent="0.25">
      <c r="A18741" s="2" t="s">
        <v>36851</v>
      </c>
      <c r="B18741" s="2" t="s">
        <v>36852</v>
      </c>
      <c r="C18741" s="2" t="s">
        <v>556</v>
      </c>
      <c r="D18741" s="2" t="s">
        <v>1112</v>
      </c>
      <c r="E18741" s="2" t="str">
        <f>"9783899428971"</f>
        <v>9783899428971</v>
      </c>
      <c r="F18741" s="2" t="str">
        <f>"9783839408971"</f>
        <v>9783839408971</v>
      </c>
    </row>
    <row r="18742" spans="1:6" s="3" customFormat="1" ht="29.1" customHeight="1" x14ac:dyDescent="0.25">
      <c r="A18742" s="2" t="s">
        <v>36853</v>
      </c>
      <c r="B18742" s="2" t="s">
        <v>36854</v>
      </c>
      <c r="C18742" s="2" t="s">
        <v>556</v>
      </c>
      <c r="D18742" s="2" t="s">
        <v>378</v>
      </c>
      <c r="E18742" s="2" t="str">
        <f>"9783899428926"</f>
        <v>9783899428926</v>
      </c>
      <c r="F18742" s="2" t="str">
        <f>"9783839408926"</f>
        <v>9783839408926</v>
      </c>
    </row>
    <row r="18743" spans="1:6" s="3" customFormat="1" ht="29.1" customHeight="1" x14ac:dyDescent="0.25">
      <c r="A18743" s="2" t="s">
        <v>36855</v>
      </c>
      <c r="B18743" s="2" t="s">
        <v>36856</v>
      </c>
      <c r="C18743" s="2" t="s">
        <v>556</v>
      </c>
      <c r="D18743" s="2" t="s">
        <v>1056</v>
      </c>
      <c r="E18743" s="2" t="str">
        <f>"9783899428872"</f>
        <v>9783899428872</v>
      </c>
      <c r="F18743" s="2" t="str">
        <f>"9783839408872"</f>
        <v>9783839408872</v>
      </c>
    </row>
    <row r="18744" spans="1:6" s="3" customFormat="1" ht="29.1" customHeight="1" x14ac:dyDescent="0.25">
      <c r="A18744" s="2" t="s">
        <v>36857</v>
      </c>
      <c r="B18744" s="2" t="s">
        <v>36858</v>
      </c>
      <c r="C18744" s="2" t="s">
        <v>556</v>
      </c>
      <c r="D18744" s="2" t="s">
        <v>202</v>
      </c>
      <c r="E18744" s="2" t="str">
        <f>"9783899428858"</f>
        <v>9783899428858</v>
      </c>
      <c r="F18744" s="2" t="str">
        <f>"9783839408858"</f>
        <v>9783839408858</v>
      </c>
    </row>
    <row r="18745" spans="1:6" s="3" customFormat="1" ht="29.1" customHeight="1" x14ac:dyDescent="0.25">
      <c r="A18745" s="2" t="s">
        <v>36859</v>
      </c>
      <c r="B18745" s="2" t="s">
        <v>36860</v>
      </c>
      <c r="C18745" s="2" t="s">
        <v>556</v>
      </c>
      <c r="D18745" s="2" t="s">
        <v>5915</v>
      </c>
      <c r="E18745" s="2" t="str">
        <f>"9783899428827"</f>
        <v>9783899428827</v>
      </c>
      <c r="F18745" s="2" t="str">
        <f>"9783839408827"</f>
        <v>9783839408827</v>
      </c>
    </row>
    <row r="18746" spans="1:6" s="3" customFormat="1" ht="29.1" customHeight="1" x14ac:dyDescent="0.25">
      <c r="A18746" s="2" t="s">
        <v>36861</v>
      </c>
      <c r="B18746" s="2" t="s">
        <v>36862</v>
      </c>
      <c r="C18746" s="2" t="s">
        <v>556</v>
      </c>
      <c r="D18746" s="2" t="s">
        <v>636</v>
      </c>
      <c r="E18746" s="2" t="str">
        <f>"9783899428810"</f>
        <v>9783899428810</v>
      </c>
      <c r="F18746" s="2" t="str">
        <f>"9783839408810"</f>
        <v>9783839408810</v>
      </c>
    </row>
    <row r="18747" spans="1:6" s="3" customFormat="1" ht="29.1" customHeight="1" x14ac:dyDescent="0.25">
      <c r="A18747" s="2" t="s">
        <v>36863</v>
      </c>
      <c r="B18747" s="2" t="s">
        <v>36864</v>
      </c>
      <c r="C18747" s="2" t="s">
        <v>556</v>
      </c>
      <c r="D18747" s="2" t="s">
        <v>699</v>
      </c>
      <c r="E18747" s="2" t="str">
        <f>"9783899428704"</f>
        <v>9783899428704</v>
      </c>
      <c r="F18747" s="2" t="str">
        <f>"9783839408704"</f>
        <v>9783839408704</v>
      </c>
    </row>
    <row r="18748" spans="1:6" s="3" customFormat="1" ht="29.1" customHeight="1" x14ac:dyDescent="0.25">
      <c r="A18748" s="2" t="s">
        <v>36865</v>
      </c>
      <c r="B18748" s="2" t="s">
        <v>36866</v>
      </c>
      <c r="C18748" s="2" t="s">
        <v>556</v>
      </c>
      <c r="D18748" s="2" t="s">
        <v>10407</v>
      </c>
      <c r="E18748" s="2" t="str">
        <f>"9783899428650"</f>
        <v>9783899428650</v>
      </c>
      <c r="F18748" s="2" t="str">
        <f>"9783839408650"</f>
        <v>9783839408650</v>
      </c>
    </row>
    <row r="18749" spans="1:6" s="3" customFormat="1" ht="29.1" customHeight="1" x14ac:dyDescent="0.25">
      <c r="A18749" s="2" t="s">
        <v>36867</v>
      </c>
      <c r="B18749" s="2" t="s">
        <v>36868</v>
      </c>
      <c r="C18749" s="2" t="s">
        <v>556</v>
      </c>
      <c r="D18749" s="2" t="s">
        <v>78</v>
      </c>
      <c r="E18749" s="2" t="str">
        <f>"9783899428629"</f>
        <v>9783899428629</v>
      </c>
      <c r="F18749" s="2" t="str">
        <f>"9783839408629"</f>
        <v>9783839408629</v>
      </c>
    </row>
    <row r="18750" spans="1:6" s="3" customFormat="1" ht="29.1" customHeight="1" x14ac:dyDescent="0.25">
      <c r="A18750" s="2" t="s">
        <v>36869</v>
      </c>
      <c r="B18750" s="2" t="s">
        <v>36870</v>
      </c>
      <c r="C18750" s="2" t="s">
        <v>556</v>
      </c>
      <c r="D18750" s="2" t="s">
        <v>1944</v>
      </c>
      <c r="E18750" s="2" t="str">
        <f>"9783899428605"</f>
        <v>9783899428605</v>
      </c>
      <c r="F18750" s="2" t="str">
        <f>"9783839408605"</f>
        <v>9783839408605</v>
      </c>
    </row>
    <row r="18751" spans="1:6" s="3" customFormat="1" ht="29.1" customHeight="1" x14ac:dyDescent="0.25">
      <c r="A18751" s="2" t="s">
        <v>36871</v>
      </c>
      <c r="B18751" s="2" t="s">
        <v>36872</v>
      </c>
      <c r="C18751" s="2" t="s">
        <v>556</v>
      </c>
      <c r="D18751" s="2" t="s">
        <v>490</v>
      </c>
      <c r="E18751" s="2" t="str">
        <f>"9783899428599"</f>
        <v>9783899428599</v>
      </c>
      <c r="F18751" s="2" t="str">
        <f>"9783839408599"</f>
        <v>9783839408599</v>
      </c>
    </row>
    <row r="18752" spans="1:6" s="3" customFormat="1" ht="29.1" customHeight="1" x14ac:dyDescent="0.25">
      <c r="A18752" s="2" t="s">
        <v>36873</v>
      </c>
      <c r="B18752" s="2" t="s">
        <v>36874</v>
      </c>
      <c r="C18752" s="2" t="s">
        <v>556</v>
      </c>
      <c r="D18752" s="2" t="s">
        <v>3536</v>
      </c>
      <c r="E18752" s="2" t="str">
        <f>"9783899428575"</f>
        <v>9783899428575</v>
      </c>
      <c r="F18752" s="2" t="str">
        <f>"9783839408575"</f>
        <v>9783839408575</v>
      </c>
    </row>
    <row r="18753" spans="1:6" s="3" customFormat="1" ht="29.1" customHeight="1" x14ac:dyDescent="0.25">
      <c r="A18753" s="2" t="s">
        <v>36875</v>
      </c>
      <c r="B18753" s="2" t="s">
        <v>36876</v>
      </c>
      <c r="C18753" s="2" t="s">
        <v>556</v>
      </c>
      <c r="D18753" s="2" t="s">
        <v>6669</v>
      </c>
      <c r="E18753" s="2" t="str">
        <f>"9783899428544"</f>
        <v>9783899428544</v>
      </c>
      <c r="F18753" s="2" t="str">
        <f>"9783839408544"</f>
        <v>9783839408544</v>
      </c>
    </row>
    <row r="18754" spans="1:6" s="3" customFormat="1" ht="29.1" customHeight="1" x14ac:dyDescent="0.25">
      <c r="A18754" s="2" t="s">
        <v>36877</v>
      </c>
      <c r="B18754" s="2" t="s">
        <v>36878</v>
      </c>
      <c r="C18754" s="2" t="s">
        <v>556</v>
      </c>
      <c r="D18754" s="2" t="s">
        <v>1147</v>
      </c>
      <c r="E18754" s="2" t="str">
        <f>"9783899428506"</f>
        <v>9783899428506</v>
      </c>
      <c r="F18754" s="2" t="str">
        <f>"9783839408506"</f>
        <v>9783839408506</v>
      </c>
    </row>
    <row r="18755" spans="1:6" s="3" customFormat="1" ht="29.1" customHeight="1" x14ac:dyDescent="0.25">
      <c r="A18755" s="2" t="s">
        <v>36879</v>
      </c>
      <c r="B18755" s="2" t="s">
        <v>36880</v>
      </c>
      <c r="C18755" s="2" t="s">
        <v>556</v>
      </c>
      <c r="D18755" s="2" t="s">
        <v>490</v>
      </c>
      <c r="E18755" s="2" t="str">
        <f>"9783899428469"</f>
        <v>9783899428469</v>
      </c>
      <c r="F18755" s="2" t="str">
        <f>"9783839408469"</f>
        <v>9783839408469</v>
      </c>
    </row>
    <row r="18756" spans="1:6" s="3" customFormat="1" ht="29.1" customHeight="1" x14ac:dyDescent="0.25">
      <c r="A18756" s="2" t="s">
        <v>36881</v>
      </c>
      <c r="B18756" s="2" t="s">
        <v>36882</v>
      </c>
      <c r="C18756" s="2" t="s">
        <v>556</v>
      </c>
      <c r="D18756" s="2" t="s">
        <v>3214</v>
      </c>
      <c r="E18756" s="2" t="str">
        <f>"9783899428452"</f>
        <v>9783899428452</v>
      </c>
      <c r="F18756" s="2" t="str">
        <f>"9783839408452"</f>
        <v>9783839408452</v>
      </c>
    </row>
    <row r="18757" spans="1:6" s="3" customFormat="1" ht="29.1" customHeight="1" x14ac:dyDescent="0.25">
      <c r="A18757" s="2" t="s">
        <v>36883</v>
      </c>
      <c r="B18757" s="2" t="s">
        <v>36884</v>
      </c>
      <c r="C18757" s="2" t="s">
        <v>556</v>
      </c>
      <c r="D18757" s="2" t="s">
        <v>712</v>
      </c>
      <c r="E18757" s="2" t="str">
        <f>"9783899428421"</f>
        <v>9783899428421</v>
      </c>
      <c r="F18757" s="2" t="str">
        <f>"9783839408421"</f>
        <v>9783839408421</v>
      </c>
    </row>
    <row r="18758" spans="1:6" s="3" customFormat="1" ht="29.1" customHeight="1" x14ac:dyDescent="0.25">
      <c r="A18758" s="2" t="s">
        <v>36885</v>
      </c>
      <c r="B18758" s="2" t="s">
        <v>36886</v>
      </c>
      <c r="C18758" s="2" t="s">
        <v>556</v>
      </c>
      <c r="D18758" s="2" t="s">
        <v>5550</v>
      </c>
      <c r="E18758" s="2" t="str">
        <f>"9783899428360"</f>
        <v>9783899428360</v>
      </c>
      <c r="F18758" s="2" t="str">
        <f>"9783839408360"</f>
        <v>9783839408360</v>
      </c>
    </row>
    <row r="18759" spans="1:6" s="3" customFormat="1" ht="29.1" customHeight="1" x14ac:dyDescent="0.25">
      <c r="A18759" s="2" t="s">
        <v>36887</v>
      </c>
      <c r="B18759" s="2" t="s">
        <v>36888</v>
      </c>
      <c r="C18759" s="2" t="s">
        <v>556</v>
      </c>
      <c r="D18759" s="2" t="s">
        <v>202</v>
      </c>
      <c r="E18759" s="2" t="str">
        <f>"9783899428339"</f>
        <v>9783899428339</v>
      </c>
      <c r="F18759" s="2" t="str">
        <f>"9783839408339"</f>
        <v>9783839408339</v>
      </c>
    </row>
    <row r="18760" spans="1:6" s="3" customFormat="1" ht="29.1" customHeight="1" x14ac:dyDescent="0.25">
      <c r="A18760" s="2" t="s">
        <v>36889</v>
      </c>
      <c r="B18760" s="2" t="s">
        <v>36890</v>
      </c>
      <c r="C18760" s="2" t="s">
        <v>556</v>
      </c>
      <c r="D18760" s="2" t="s">
        <v>484</v>
      </c>
      <c r="E18760" s="2" t="str">
        <f>"9783899428292"</f>
        <v>9783899428292</v>
      </c>
      <c r="F18760" s="2" t="str">
        <f>"9783839408292"</f>
        <v>9783839408292</v>
      </c>
    </row>
    <row r="18761" spans="1:6" s="3" customFormat="1" ht="29.1" customHeight="1" x14ac:dyDescent="0.25">
      <c r="A18761" s="2" t="s">
        <v>36891</v>
      </c>
      <c r="B18761" s="2" t="s">
        <v>36892</v>
      </c>
      <c r="C18761" s="2" t="s">
        <v>556</v>
      </c>
      <c r="D18761" s="2" t="s">
        <v>9052</v>
      </c>
      <c r="E18761" s="2" t="str">
        <f>"9783899428285"</f>
        <v>9783899428285</v>
      </c>
      <c r="F18761" s="2" t="str">
        <f>"9783839408285"</f>
        <v>9783839408285</v>
      </c>
    </row>
    <row r="18762" spans="1:6" s="3" customFormat="1" ht="29.1" customHeight="1" x14ac:dyDescent="0.25">
      <c r="A18762" s="2" t="s">
        <v>36893</v>
      </c>
      <c r="B18762" s="2" t="s">
        <v>36894</v>
      </c>
      <c r="C18762" s="2" t="s">
        <v>556</v>
      </c>
      <c r="D18762" s="2" t="s">
        <v>159</v>
      </c>
      <c r="E18762" s="2" t="str">
        <f>"9783899428278"</f>
        <v>9783899428278</v>
      </c>
      <c r="F18762" s="2" t="str">
        <f>"9783839408278"</f>
        <v>9783839408278</v>
      </c>
    </row>
    <row r="18763" spans="1:6" s="3" customFormat="1" ht="29.1" customHeight="1" x14ac:dyDescent="0.25">
      <c r="A18763" s="2" t="s">
        <v>6773</v>
      </c>
      <c r="B18763" s="2" t="s">
        <v>36895</v>
      </c>
      <c r="C18763" s="2" t="s">
        <v>556</v>
      </c>
      <c r="D18763" s="2" t="s">
        <v>712</v>
      </c>
      <c r="E18763" s="2" t="str">
        <f>"9783899428261"</f>
        <v>9783899428261</v>
      </c>
      <c r="F18763" s="2" t="str">
        <f>"9783839408261"</f>
        <v>9783839408261</v>
      </c>
    </row>
    <row r="18764" spans="1:6" s="3" customFormat="1" ht="29.1" customHeight="1" x14ac:dyDescent="0.25">
      <c r="A18764" s="2" t="s">
        <v>36896</v>
      </c>
      <c r="B18764" s="2" t="s">
        <v>36897</v>
      </c>
      <c r="C18764" s="2" t="s">
        <v>556</v>
      </c>
      <c r="D18764" s="2" t="s">
        <v>1717</v>
      </c>
      <c r="E18764" s="2" t="str">
        <f>"9783899428193"</f>
        <v>9783899428193</v>
      </c>
      <c r="F18764" s="2" t="str">
        <f>"9783839408193"</f>
        <v>9783839408193</v>
      </c>
    </row>
    <row r="18765" spans="1:6" s="3" customFormat="1" ht="29.1" customHeight="1" x14ac:dyDescent="0.25">
      <c r="A18765" s="2" t="s">
        <v>36898</v>
      </c>
      <c r="B18765" s="2" t="s">
        <v>36899</v>
      </c>
      <c r="C18765" s="2" t="s">
        <v>556</v>
      </c>
      <c r="D18765" s="2" t="s">
        <v>202</v>
      </c>
      <c r="E18765" s="2" t="str">
        <f>"9783899428179"</f>
        <v>9783899428179</v>
      </c>
      <c r="F18765" s="2" t="str">
        <f>"9783839408179"</f>
        <v>9783839408179</v>
      </c>
    </row>
    <row r="18766" spans="1:6" s="3" customFormat="1" ht="29.1" customHeight="1" x14ac:dyDescent="0.25">
      <c r="A18766" s="2" t="s">
        <v>36900</v>
      </c>
      <c r="B18766" s="2" t="s">
        <v>36901</v>
      </c>
      <c r="C18766" s="2" t="s">
        <v>556</v>
      </c>
      <c r="D18766" s="2" t="s">
        <v>9052</v>
      </c>
      <c r="E18766" s="2" t="str">
        <f>"9783899428124"</f>
        <v>9783899428124</v>
      </c>
      <c r="F18766" s="2" t="str">
        <f>"9783839408124"</f>
        <v>9783839408124</v>
      </c>
    </row>
    <row r="18767" spans="1:6" s="3" customFormat="1" ht="29.1" customHeight="1" x14ac:dyDescent="0.25">
      <c r="A18767" s="2" t="s">
        <v>36902</v>
      </c>
      <c r="B18767" s="2" t="s">
        <v>36903</v>
      </c>
      <c r="C18767" s="2" t="s">
        <v>556</v>
      </c>
      <c r="D18767" s="2" t="s">
        <v>202</v>
      </c>
      <c r="E18767" s="2" t="str">
        <f>"9783899428056"</f>
        <v>9783899428056</v>
      </c>
      <c r="F18767" s="2" t="str">
        <f>"9783839408056"</f>
        <v>9783839408056</v>
      </c>
    </row>
    <row r="18768" spans="1:6" s="3" customFormat="1" ht="29.1" customHeight="1" x14ac:dyDescent="0.25">
      <c r="A18768" s="2" t="s">
        <v>36904</v>
      </c>
      <c r="B18768" s="2" t="s">
        <v>36905</v>
      </c>
      <c r="C18768" s="2" t="s">
        <v>556</v>
      </c>
      <c r="D18768" s="2" t="s">
        <v>1198</v>
      </c>
      <c r="E18768" s="2" t="str">
        <f>"9783899427974"</f>
        <v>9783899427974</v>
      </c>
      <c r="F18768" s="2" t="str">
        <f>"9783839407974"</f>
        <v>9783839407974</v>
      </c>
    </row>
    <row r="18769" spans="1:6" s="3" customFormat="1" ht="29.1" customHeight="1" x14ac:dyDescent="0.25">
      <c r="A18769" s="2" t="s">
        <v>36906</v>
      </c>
      <c r="B18769" s="2" t="s">
        <v>36907</v>
      </c>
      <c r="C18769" s="2" t="s">
        <v>556</v>
      </c>
      <c r="D18769" s="2" t="s">
        <v>1411</v>
      </c>
      <c r="E18769" s="2" t="str">
        <f>"9783899427943"</f>
        <v>9783899427943</v>
      </c>
      <c r="F18769" s="2" t="str">
        <f>"9783839407943"</f>
        <v>9783839407943</v>
      </c>
    </row>
    <row r="18770" spans="1:6" s="3" customFormat="1" ht="29.1" customHeight="1" x14ac:dyDescent="0.25">
      <c r="A18770" s="2" t="s">
        <v>36908</v>
      </c>
      <c r="B18770" s="2" t="s">
        <v>36909</v>
      </c>
      <c r="C18770" s="2" t="s">
        <v>556</v>
      </c>
      <c r="D18770" s="2" t="s">
        <v>5032</v>
      </c>
      <c r="E18770" s="2" t="str">
        <f>"9783899427929"</f>
        <v>9783899427929</v>
      </c>
      <c r="F18770" s="2" t="str">
        <f>"9783839407929"</f>
        <v>9783839407929</v>
      </c>
    </row>
    <row r="18771" spans="1:6" s="3" customFormat="1" ht="29.1" customHeight="1" x14ac:dyDescent="0.25">
      <c r="A18771" s="2" t="s">
        <v>36910</v>
      </c>
      <c r="B18771" s="2" t="s">
        <v>35904</v>
      </c>
      <c r="C18771" s="2" t="s">
        <v>556</v>
      </c>
      <c r="D18771" s="2" t="s">
        <v>1189</v>
      </c>
      <c r="E18771" s="2" t="str">
        <f>"9783899427899"</f>
        <v>9783899427899</v>
      </c>
      <c r="F18771" s="2" t="str">
        <f>"9783839407899"</f>
        <v>9783839407899</v>
      </c>
    </row>
    <row r="18772" spans="1:6" s="3" customFormat="1" ht="29.1" customHeight="1" x14ac:dyDescent="0.25">
      <c r="A18772" s="2" t="s">
        <v>36911</v>
      </c>
      <c r="B18772" s="2" t="s">
        <v>36912</v>
      </c>
      <c r="C18772" s="2" t="s">
        <v>556</v>
      </c>
      <c r="D18772" s="2" t="s">
        <v>75</v>
      </c>
      <c r="E18772" s="2" t="str">
        <f>"9783899427677"</f>
        <v>9783899427677</v>
      </c>
      <c r="F18772" s="2" t="str">
        <f>"9783839407677"</f>
        <v>9783839407677</v>
      </c>
    </row>
    <row r="18773" spans="1:6" s="3" customFormat="1" ht="29.1" customHeight="1" x14ac:dyDescent="0.25">
      <c r="A18773" s="2" t="s">
        <v>36913</v>
      </c>
      <c r="B18773" s="2" t="s">
        <v>36914</v>
      </c>
      <c r="C18773" s="2" t="s">
        <v>556</v>
      </c>
      <c r="D18773" s="2" t="s">
        <v>1262</v>
      </c>
      <c r="E18773" s="2" t="str">
        <f>"9783899427653"</f>
        <v>9783899427653</v>
      </c>
      <c r="F18773" s="2" t="str">
        <f>"9783839407653"</f>
        <v>9783839407653</v>
      </c>
    </row>
    <row r="18774" spans="1:6" s="3" customFormat="1" ht="29.1" customHeight="1" x14ac:dyDescent="0.25">
      <c r="A18774" s="2" t="s">
        <v>36915</v>
      </c>
      <c r="B18774" s="2" t="s">
        <v>36916</v>
      </c>
      <c r="C18774" s="2" t="s">
        <v>556</v>
      </c>
      <c r="D18774" s="2" t="s">
        <v>3345</v>
      </c>
      <c r="E18774" s="2" t="str">
        <f>"9783899427646"</f>
        <v>9783899427646</v>
      </c>
      <c r="F18774" s="2" t="str">
        <f>"9783839407646"</f>
        <v>9783839407646</v>
      </c>
    </row>
    <row r="18775" spans="1:6" s="3" customFormat="1" ht="29.1" customHeight="1" x14ac:dyDescent="0.25">
      <c r="A18775" s="2" t="s">
        <v>36917</v>
      </c>
      <c r="B18775" s="2" t="s">
        <v>36918</v>
      </c>
      <c r="C18775" s="2" t="s">
        <v>556</v>
      </c>
      <c r="D18775" s="2" t="s">
        <v>1189</v>
      </c>
      <c r="E18775" s="2" t="str">
        <f>"9783899427639"</f>
        <v>9783899427639</v>
      </c>
      <c r="F18775" s="2" t="str">
        <f>"9783839407639"</f>
        <v>9783839407639</v>
      </c>
    </row>
    <row r="18776" spans="1:6" s="3" customFormat="1" ht="29.1" customHeight="1" x14ac:dyDescent="0.25">
      <c r="A18776" s="2" t="s">
        <v>36919</v>
      </c>
      <c r="B18776" s="2" t="s">
        <v>36920</v>
      </c>
      <c r="C18776" s="2" t="s">
        <v>556</v>
      </c>
      <c r="D18776" s="2" t="s">
        <v>5568</v>
      </c>
      <c r="E18776" s="2" t="str">
        <f>"9783899427615"</f>
        <v>9783899427615</v>
      </c>
      <c r="F18776" s="2" t="str">
        <f>"9783839407615"</f>
        <v>9783839407615</v>
      </c>
    </row>
    <row r="18777" spans="1:6" s="3" customFormat="1" ht="29.1" customHeight="1" x14ac:dyDescent="0.25">
      <c r="A18777" s="2" t="s">
        <v>36921</v>
      </c>
      <c r="B18777" s="2" t="s">
        <v>36922</v>
      </c>
      <c r="C18777" s="2" t="s">
        <v>556</v>
      </c>
      <c r="D18777" s="2" t="s">
        <v>7167</v>
      </c>
      <c r="E18777" s="2" t="str">
        <f>"9783899427561"</f>
        <v>9783899427561</v>
      </c>
      <c r="F18777" s="2" t="str">
        <f>"9783839407561"</f>
        <v>9783839407561</v>
      </c>
    </row>
    <row r="18778" spans="1:6" s="3" customFormat="1" ht="29.1" customHeight="1" x14ac:dyDescent="0.25">
      <c r="A18778" s="2" t="s">
        <v>36923</v>
      </c>
      <c r="B18778" s="2" t="s">
        <v>36924</v>
      </c>
      <c r="C18778" s="2" t="s">
        <v>556</v>
      </c>
      <c r="D18778" s="2" t="s">
        <v>183</v>
      </c>
      <c r="E18778" s="2" t="str">
        <f>"9783899427547"</f>
        <v>9783899427547</v>
      </c>
      <c r="F18778" s="2" t="str">
        <f>"9783839407547"</f>
        <v>9783839407547</v>
      </c>
    </row>
    <row r="18779" spans="1:6" s="3" customFormat="1" ht="29.1" customHeight="1" x14ac:dyDescent="0.25">
      <c r="A18779" s="2" t="s">
        <v>36925</v>
      </c>
      <c r="B18779" s="2" t="s">
        <v>36926</v>
      </c>
      <c r="C18779" s="2" t="s">
        <v>556</v>
      </c>
      <c r="D18779" s="2" t="s">
        <v>547</v>
      </c>
      <c r="E18779" s="2" t="str">
        <f>"9783899427530"</f>
        <v>9783899427530</v>
      </c>
      <c r="F18779" s="2" t="str">
        <f>"9783839407530"</f>
        <v>9783839407530</v>
      </c>
    </row>
    <row r="18780" spans="1:6" s="3" customFormat="1" ht="29.1" customHeight="1" x14ac:dyDescent="0.25">
      <c r="A18780" s="2" t="s">
        <v>36927</v>
      </c>
      <c r="B18780" s="2" t="s">
        <v>36928</v>
      </c>
      <c r="C18780" s="2" t="s">
        <v>556</v>
      </c>
      <c r="D18780" s="2" t="s">
        <v>553</v>
      </c>
      <c r="E18780" s="2" t="str">
        <f>"9783899427523"</f>
        <v>9783899427523</v>
      </c>
      <c r="F18780" s="2" t="str">
        <f>"9783839407523"</f>
        <v>9783839407523</v>
      </c>
    </row>
    <row r="18781" spans="1:6" s="3" customFormat="1" ht="29.1" customHeight="1" x14ac:dyDescent="0.25">
      <c r="A18781" s="2" t="s">
        <v>36929</v>
      </c>
      <c r="B18781" s="2" t="s">
        <v>3229</v>
      </c>
      <c r="C18781" s="2" t="s">
        <v>556</v>
      </c>
      <c r="D18781" s="2" t="s">
        <v>78</v>
      </c>
      <c r="E18781" s="2" t="str">
        <f>"9783899427455"</f>
        <v>9783899427455</v>
      </c>
      <c r="F18781" s="2" t="str">
        <f>"9783839407455"</f>
        <v>9783839407455</v>
      </c>
    </row>
    <row r="18782" spans="1:6" s="3" customFormat="1" ht="29.1" customHeight="1" x14ac:dyDescent="0.25">
      <c r="A18782" s="2" t="s">
        <v>36930</v>
      </c>
      <c r="B18782" s="2" t="s">
        <v>36931</v>
      </c>
      <c r="C18782" s="2" t="s">
        <v>556</v>
      </c>
      <c r="D18782" s="2" t="s">
        <v>446</v>
      </c>
      <c r="E18782" s="2" t="str">
        <f>"9783899427448"</f>
        <v>9783899427448</v>
      </c>
      <c r="F18782" s="2" t="str">
        <f>"9783839407448"</f>
        <v>9783839407448</v>
      </c>
    </row>
    <row r="18783" spans="1:6" s="3" customFormat="1" ht="29.1" customHeight="1" x14ac:dyDescent="0.25">
      <c r="A18783" s="2" t="s">
        <v>36932</v>
      </c>
      <c r="B18783" s="2" t="s">
        <v>36933</v>
      </c>
      <c r="C18783" s="2" t="s">
        <v>556</v>
      </c>
      <c r="D18783" s="2" t="s">
        <v>446</v>
      </c>
      <c r="E18783" s="2" t="str">
        <f>"9783899427387"</f>
        <v>9783899427387</v>
      </c>
      <c r="F18783" s="2" t="str">
        <f>"9783839407387"</f>
        <v>9783839407387</v>
      </c>
    </row>
    <row r="18784" spans="1:6" s="3" customFormat="1" ht="29.1" customHeight="1" x14ac:dyDescent="0.25">
      <c r="A18784" s="2" t="s">
        <v>36934</v>
      </c>
      <c r="B18784" s="2" t="s">
        <v>36935</v>
      </c>
      <c r="C18784" s="2" t="s">
        <v>556</v>
      </c>
      <c r="D18784" s="2" t="s">
        <v>4030</v>
      </c>
      <c r="E18784" s="2" t="str">
        <f>"9783899427363"</f>
        <v>9783899427363</v>
      </c>
      <c r="F18784" s="2" t="str">
        <f>"9783839407363"</f>
        <v>9783839407363</v>
      </c>
    </row>
    <row r="18785" spans="1:6" s="3" customFormat="1" ht="29.1" customHeight="1" x14ac:dyDescent="0.25">
      <c r="A18785" s="2" t="s">
        <v>36936</v>
      </c>
      <c r="B18785" s="2" t="s">
        <v>36937</v>
      </c>
      <c r="C18785" s="2" t="s">
        <v>556</v>
      </c>
      <c r="D18785" s="2" t="s">
        <v>647</v>
      </c>
      <c r="E18785" s="2" t="str">
        <f>"9783899427325"</f>
        <v>9783899427325</v>
      </c>
      <c r="F18785" s="2" t="str">
        <f>"9783839407325"</f>
        <v>9783839407325</v>
      </c>
    </row>
    <row r="18786" spans="1:6" s="3" customFormat="1" ht="29.1" customHeight="1" x14ac:dyDescent="0.25">
      <c r="A18786" s="2" t="s">
        <v>36938</v>
      </c>
      <c r="B18786" s="2" t="s">
        <v>36766</v>
      </c>
      <c r="C18786" s="2" t="s">
        <v>556</v>
      </c>
      <c r="D18786" s="2" t="s">
        <v>501</v>
      </c>
      <c r="E18786" s="2" t="str">
        <f>"9783899427233"</f>
        <v>9783899427233</v>
      </c>
      <c r="F18786" s="2" t="str">
        <f>"9783839407233"</f>
        <v>9783839407233</v>
      </c>
    </row>
    <row r="18787" spans="1:6" s="3" customFormat="1" ht="29.1" customHeight="1" x14ac:dyDescent="0.25">
      <c r="A18787" s="2" t="s">
        <v>36939</v>
      </c>
      <c r="B18787" s="2" t="s">
        <v>36940</v>
      </c>
      <c r="C18787" s="2" t="s">
        <v>556</v>
      </c>
      <c r="D18787" s="2" t="s">
        <v>202</v>
      </c>
      <c r="E18787" s="2" t="str">
        <f>"9783899427196"</f>
        <v>9783899427196</v>
      </c>
      <c r="F18787" s="2" t="str">
        <f>"9783839407196"</f>
        <v>9783839407196</v>
      </c>
    </row>
    <row r="18788" spans="1:6" s="3" customFormat="1" ht="29.1" customHeight="1" x14ac:dyDescent="0.25">
      <c r="A18788" s="2" t="s">
        <v>36941</v>
      </c>
      <c r="B18788" s="2" t="s">
        <v>36942</v>
      </c>
      <c r="C18788" s="2" t="s">
        <v>556</v>
      </c>
      <c r="D18788" s="2" t="s">
        <v>4160</v>
      </c>
      <c r="E18788" s="2" t="str">
        <f>"9783899427158"</f>
        <v>9783899427158</v>
      </c>
      <c r="F18788" s="2" t="str">
        <f>"9783839407158"</f>
        <v>9783839407158</v>
      </c>
    </row>
    <row r="18789" spans="1:6" s="3" customFormat="1" ht="29.1" customHeight="1" x14ac:dyDescent="0.25">
      <c r="A18789" s="2" t="s">
        <v>36943</v>
      </c>
      <c r="B18789" s="2" t="s">
        <v>36944</v>
      </c>
      <c r="C18789" s="2" t="s">
        <v>556</v>
      </c>
      <c r="D18789" s="2" t="s">
        <v>712</v>
      </c>
      <c r="E18789" s="2" t="str">
        <f>"9783899427141"</f>
        <v>9783899427141</v>
      </c>
      <c r="F18789" s="2" t="str">
        <f>"9783839407141"</f>
        <v>9783839407141</v>
      </c>
    </row>
    <row r="18790" spans="1:6" s="3" customFormat="1" ht="29.1" customHeight="1" x14ac:dyDescent="0.25">
      <c r="A18790" s="2" t="s">
        <v>36945</v>
      </c>
      <c r="B18790" s="2" t="s">
        <v>36946</v>
      </c>
      <c r="C18790" s="2" t="s">
        <v>556</v>
      </c>
      <c r="D18790" s="2" t="s">
        <v>75</v>
      </c>
      <c r="E18790" s="2" t="str">
        <f>"9783899427134"</f>
        <v>9783899427134</v>
      </c>
      <c r="F18790" s="2" t="str">
        <f>"9783839407134"</f>
        <v>9783839407134</v>
      </c>
    </row>
    <row r="18791" spans="1:6" s="3" customFormat="1" ht="29.1" customHeight="1" x14ac:dyDescent="0.25">
      <c r="A18791" s="2" t="s">
        <v>36947</v>
      </c>
      <c r="B18791" s="2" t="s">
        <v>36948</v>
      </c>
      <c r="C18791" s="2" t="s">
        <v>556</v>
      </c>
      <c r="D18791" s="2" t="s">
        <v>75</v>
      </c>
      <c r="E18791" s="2" t="str">
        <f>"9783899427073"</f>
        <v>9783899427073</v>
      </c>
      <c r="F18791" s="2" t="str">
        <f>"9783839407073"</f>
        <v>9783839407073</v>
      </c>
    </row>
    <row r="18792" spans="1:6" s="3" customFormat="1" ht="29.1" customHeight="1" x14ac:dyDescent="0.25">
      <c r="A18792" s="2" t="s">
        <v>36949</v>
      </c>
      <c r="B18792" s="2" t="s">
        <v>36950</v>
      </c>
      <c r="C18792" s="2" t="s">
        <v>556</v>
      </c>
      <c r="D18792" s="2" t="s">
        <v>202</v>
      </c>
      <c r="E18792" s="2" t="str">
        <f>"9783899426991"</f>
        <v>9783899426991</v>
      </c>
      <c r="F18792" s="2" t="str">
        <f>"9783839406991"</f>
        <v>9783839406991</v>
      </c>
    </row>
    <row r="18793" spans="1:6" s="3" customFormat="1" ht="29.1" customHeight="1" x14ac:dyDescent="0.25">
      <c r="A18793" s="2" t="s">
        <v>36951</v>
      </c>
      <c r="B18793" s="2" t="s">
        <v>36952</v>
      </c>
      <c r="C18793" s="2" t="s">
        <v>556</v>
      </c>
      <c r="D18793" s="2" t="s">
        <v>1411</v>
      </c>
      <c r="E18793" s="2" t="str">
        <f>"9783899426984"</f>
        <v>9783899426984</v>
      </c>
      <c r="F18793" s="2" t="str">
        <f>"9783839406984"</f>
        <v>9783839406984</v>
      </c>
    </row>
    <row r="18794" spans="1:6" s="3" customFormat="1" ht="29.1" customHeight="1" x14ac:dyDescent="0.25">
      <c r="A18794" s="2" t="s">
        <v>36953</v>
      </c>
      <c r="B18794" s="2" t="s">
        <v>36954</v>
      </c>
      <c r="C18794" s="2" t="s">
        <v>556</v>
      </c>
      <c r="D18794" s="2" t="s">
        <v>636</v>
      </c>
      <c r="E18794" s="2" t="str">
        <f>"9783899426960"</f>
        <v>9783899426960</v>
      </c>
      <c r="F18794" s="2" t="str">
        <f>"9783839406960"</f>
        <v>9783839406960</v>
      </c>
    </row>
    <row r="18795" spans="1:6" s="3" customFormat="1" ht="29.1" customHeight="1" x14ac:dyDescent="0.25">
      <c r="A18795" s="2" t="s">
        <v>36955</v>
      </c>
      <c r="B18795" s="2" t="s">
        <v>36956</v>
      </c>
      <c r="C18795" s="2" t="s">
        <v>556</v>
      </c>
      <c r="D18795" s="2" t="s">
        <v>162</v>
      </c>
      <c r="E18795" s="2" t="str">
        <f>"9783899426939"</f>
        <v>9783899426939</v>
      </c>
      <c r="F18795" s="2" t="str">
        <f>"9783839406939"</f>
        <v>9783839406939</v>
      </c>
    </row>
    <row r="18796" spans="1:6" s="3" customFormat="1" ht="29.1" customHeight="1" x14ac:dyDescent="0.25">
      <c r="A18796" s="2" t="s">
        <v>36957</v>
      </c>
      <c r="B18796" s="2" t="s">
        <v>36958</v>
      </c>
      <c r="C18796" s="2" t="s">
        <v>556</v>
      </c>
      <c r="D18796" s="2" t="s">
        <v>5574</v>
      </c>
      <c r="E18796" s="2" t="str">
        <f>"9783899426892"</f>
        <v>9783899426892</v>
      </c>
      <c r="F18796" s="2" t="str">
        <f>"9783839406892"</f>
        <v>9783839406892</v>
      </c>
    </row>
    <row r="18797" spans="1:6" s="3" customFormat="1" ht="29.1" customHeight="1" x14ac:dyDescent="0.25">
      <c r="A18797" s="2" t="s">
        <v>36959</v>
      </c>
      <c r="B18797" s="2" t="s">
        <v>36960</v>
      </c>
      <c r="C18797" s="2" t="s">
        <v>556</v>
      </c>
      <c r="D18797" s="2" t="s">
        <v>1411</v>
      </c>
      <c r="E18797" s="2" t="str">
        <f>"9783899426854"</f>
        <v>9783899426854</v>
      </c>
      <c r="F18797" s="2" t="str">
        <f>"9783839406854"</f>
        <v>9783839406854</v>
      </c>
    </row>
    <row r="18798" spans="1:6" s="3" customFormat="1" ht="29.1" customHeight="1" x14ac:dyDescent="0.25">
      <c r="A18798" s="2" t="s">
        <v>36961</v>
      </c>
      <c r="B18798" s="2" t="s">
        <v>36962</v>
      </c>
      <c r="C18798" s="2" t="s">
        <v>556</v>
      </c>
      <c r="D18798" s="2" t="s">
        <v>202</v>
      </c>
      <c r="E18798" s="2" t="str">
        <f>"9783899426816"</f>
        <v>9783899426816</v>
      </c>
      <c r="F18798" s="2" t="str">
        <f>"9783839406816"</f>
        <v>9783839406816</v>
      </c>
    </row>
    <row r="18799" spans="1:6" s="3" customFormat="1" ht="29.1" customHeight="1" x14ac:dyDescent="0.25">
      <c r="A18799" s="2" t="s">
        <v>36963</v>
      </c>
      <c r="B18799" s="2" t="s">
        <v>36964</v>
      </c>
      <c r="C18799" s="2" t="s">
        <v>556</v>
      </c>
      <c r="D18799" s="2" t="s">
        <v>75</v>
      </c>
      <c r="E18799" s="2" t="str">
        <f>"9783899426748"</f>
        <v>9783899426748</v>
      </c>
      <c r="F18799" s="2" t="str">
        <f>"9783839406748"</f>
        <v>9783839406748</v>
      </c>
    </row>
    <row r="18800" spans="1:6" s="3" customFormat="1" ht="29.1" customHeight="1" x14ac:dyDescent="0.25">
      <c r="A18800" s="2" t="s">
        <v>36965</v>
      </c>
      <c r="B18800" s="2" t="s">
        <v>36966</v>
      </c>
      <c r="C18800" s="2" t="s">
        <v>556</v>
      </c>
      <c r="D18800" s="2" t="s">
        <v>1411</v>
      </c>
      <c r="E18800" s="2" t="str">
        <f>"9783899426731"</f>
        <v>9783899426731</v>
      </c>
      <c r="F18800" s="2" t="str">
        <f>"9783839406731"</f>
        <v>9783839406731</v>
      </c>
    </row>
    <row r="18801" spans="1:6" s="3" customFormat="1" ht="29.1" customHeight="1" x14ac:dyDescent="0.25">
      <c r="A18801" s="2" t="s">
        <v>36967</v>
      </c>
      <c r="B18801" s="2" t="s">
        <v>36968</v>
      </c>
      <c r="C18801" s="2" t="s">
        <v>556</v>
      </c>
      <c r="D18801" s="2" t="s">
        <v>78</v>
      </c>
      <c r="E18801" s="2" t="str">
        <f>"9783899426694"</f>
        <v>9783899426694</v>
      </c>
      <c r="F18801" s="2" t="str">
        <f>"9783839406694"</f>
        <v>9783839406694</v>
      </c>
    </row>
    <row r="18802" spans="1:6" s="3" customFormat="1" ht="29.1" customHeight="1" x14ac:dyDescent="0.25">
      <c r="A18802" s="2" t="s">
        <v>36969</v>
      </c>
      <c r="B18802" s="2" t="s">
        <v>36970</v>
      </c>
      <c r="C18802" s="2" t="s">
        <v>556</v>
      </c>
      <c r="D18802" s="2" t="s">
        <v>78</v>
      </c>
      <c r="E18802" s="2" t="str">
        <f>"9783899426656"</f>
        <v>9783899426656</v>
      </c>
      <c r="F18802" s="2" t="str">
        <f>"9783839406656"</f>
        <v>9783839406656</v>
      </c>
    </row>
    <row r="18803" spans="1:6" s="3" customFormat="1" ht="29.1" customHeight="1" x14ac:dyDescent="0.25">
      <c r="A18803" s="2" t="s">
        <v>36971</v>
      </c>
      <c r="B18803" s="2" t="s">
        <v>36972</v>
      </c>
      <c r="C18803" s="2" t="s">
        <v>556</v>
      </c>
      <c r="D18803" s="2" t="s">
        <v>5032</v>
      </c>
      <c r="E18803" s="2" t="str">
        <f>"9783899426632"</f>
        <v>9783899426632</v>
      </c>
      <c r="F18803" s="2" t="str">
        <f>"9783839406632"</f>
        <v>9783839406632</v>
      </c>
    </row>
    <row r="18804" spans="1:6" s="3" customFormat="1" ht="29.1" customHeight="1" x14ac:dyDescent="0.25">
      <c r="A18804" s="2" t="s">
        <v>36973</v>
      </c>
      <c r="B18804" s="2" t="s">
        <v>36974</v>
      </c>
      <c r="C18804" s="2" t="s">
        <v>556</v>
      </c>
      <c r="D18804" s="2" t="s">
        <v>3839</v>
      </c>
      <c r="E18804" s="2" t="str">
        <f>"9783899426618"</f>
        <v>9783899426618</v>
      </c>
      <c r="F18804" s="2" t="str">
        <f>"9783839406618"</f>
        <v>9783839406618</v>
      </c>
    </row>
    <row r="18805" spans="1:6" s="3" customFormat="1" ht="29.1" customHeight="1" x14ac:dyDescent="0.25">
      <c r="A18805" s="2" t="s">
        <v>36975</v>
      </c>
      <c r="B18805" s="2" t="s">
        <v>36976</v>
      </c>
      <c r="C18805" s="2" t="s">
        <v>556</v>
      </c>
      <c r="D18805" s="2" t="s">
        <v>636</v>
      </c>
      <c r="E18805" s="2" t="str">
        <f>"9783899426571"</f>
        <v>9783899426571</v>
      </c>
      <c r="F18805" s="2" t="str">
        <f>"9783839406571"</f>
        <v>9783839406571</v>
      </c>
    </row>
    <row r="18806" spans="1:6" s="3" customFormat="1" ht="29.1" customHeight="1" x14ac:dyDescent="0.25">
      <c r="A18806" s="2" t="s">
        <v>36977</v>
      </c>
      <c r="B18806" s="2" t="s">
        <v>36978</v>
      </c>
      <c r="C18806" s="2" t="s">
        <v>556</v>
      </c>
      <c r="D18806" s="2" t="s">
        <v>446</v>
      </c>
      <c r="E18806" s="2" t="str">
        <f>"9783899426540"</f>
        <v>9783899426540</v>
      </c>
      <c r="F18806" s="2" t="str">
        <f>"9783839406540"</f>
        <v>9783839406540</v>
      </c>
    </row>
    <row r="18807" spans="1:6" s="3" customFormat="1" ht="29.1" customHeight="1" x14ac:dyDescent="0.25">
      <c r="A18807" s="2" t="s">
        <v>36979</v>
      </c>
      <c r="B18807" s="2" t="s">
        <v>36980</v>
      </c>
      <c r="C18807" s="2" t="s">
        <v>556</v>
      </c>
      <c r="D18807" s="2" t="s">
        <v>202</v>
      </c>
      <c r="E18807" s="2" t="str">
        <f>"9783899426472"</f>
        <v>9783899426472</v>
      </c>
      <c r="F18807" s="2" t="str">
        <f>"9783839406472"</f>
        <v>9783839406472</v>
      </c>
    </row>
    <row r="18808" spans="1:6" s="3" customFormat="1" ht="29.1" customHeight="1" x14ac:dyDescent="0.25">
      <c r="A18808" s="2" t="s">
        <v>36981</v>
      </c>
      <c r="B18808" s="2" t="s">
        <v>36982</v>
      </c>
      <c r="C18808" s="2" t="s">
        <v>556</v>
      </c>
      <c r="D18808" s="2" t="s">
        <v>1262</v>
      </c>
      <c r="E18808" s="2" t="str">
        <f>"9783899426427"</f>
        <v>9783899426427</v>
      </c>
      <c r="F18808" s="2" t="str">
        <f>"9783839406427"</f>
        <v>9783839406427</v>
      </c>
    </row>
    <row r="18809" spans="1:6" s="3" customFormat="1" ht="29.1" customHeight="1" x14ac:dyDescent="0.25">
      <c r="A18809" s="2" t="s">
        <v>36983</v>
      </c>
      <c r="B18809" s="2" t="s">
        <v>36984</v>
      </c>
      <c r="C18809" s="2" t="s">
        <v>556</v>
      </c>
      <c r="D18809" s="2" t="s">
        <v>202</v>
      </c>
      <c r="E18809" s="2" t="str">
        <f>"9783899426359"</f>
        <v>9783899426359</v>
      </c>
      <c r="F18809" s="2" t="str">
        <f>"9783839406359"</f>
        <v>9783839406359</v>
      </c>
    </row>
    <row r="18810" spans="1:6" s="3" customFormat="1" ht="29.1" customHeight="1" x14ac:dyDescent="0.25">
      <c r="A18810" s="2" t="s">
        <v>36985</v>
      </c>
      <c r="B18810" s="2" t="s">
        <v>36986</v>
      </c>
      <c r="C18810" s="2" t="s">
        <v>556</v>
      </c>
      <c r="D18810" s="2" t="s">
        <v>1162</v>
      </c>
      <c r="E18810" s="2" t="str">
        <f>"9783899426311"</f>
        <v>9783899426311</v>
      </c>
      <c r="F18810" s="2" t="str">
        <f>"9783839406311"</f>
        <v>9783839406311</v>
      </c>
    </row>
    <row r="18811" spans="1:6" s="3" customFormat="1" ht="29.1" customHeight="1" x14ac:dyDescent="0.25">
      <c r="A18811" s="2" t="s">
        <v>36987</v>
      </c>
      <c r="B18811" s="2" t="s">
        <v>36988</v>
      </c>
      <c r="C18811" s="2" t="s">
        <v>556</v>
      </c>
      <c r="D18811" s="2" t="s">
        <v>202</v>
      </c>
      <c r="E18811" s="2" t="str">
        <f>"9783899426236"</f>
        <v>9783899426236</v>
      </c>
      <c r="F18811" s="2" t="str">
        <f>"9783839406236"</f>
        <v>9783839406236</v>
      </c>
    </row>
    <row r="18812" spans="1:6" s="3" customFormat="1" ht="29.1" customHeight="1" x14ac:dyDescent="0.25">
      <c r="A18812" s="2" t="s">
        <v>36989</v>
      </c>
      <c r="B18812" s="2" t="s">
        <v>36990</v>
      </c>
      <c r="C18812" s="2" t="s">
        <v>556</v>
      </c>
      <c r="D18812" s="2" t="s">
        <v>1411</v>
      </c>
      <c r="E18812" s="2" t="str">
        <f>"9783899426182"</f>
        <v>9783899426182</v>
      </c>
      <c r="F18812" s="2" t="str">
        <f>"9783839406182"</f>
        <v>9783839406182</v>
      </c>
    </row>
    <row r="18813" spans="1:6" s="3" customFormat="1" ht="29.1" customHeight="1" x14ac:dyDescent="0.25">
      <c r="A18813" s="2" t="s">
        <v>36991</v>
      </c>
      <c r="B18813" s="2" t="s">
        <v>36992</v>
      </c>
      <c r="C18813" s="2" t="s">
        <v>556</v>
      </c>
      <c r="D18813" s="2" t="s">
        <v>1141</v>
      </c>
      <c r="E18813" s="2" t="str">
        <f>"9783899426083"</f>
        <v>9783899426083</v>
      </c>
      <c r="F18813" s="2" t="str">
        <f>"9783839406083"</f>
        <v>9783839406083</v>
      </c>
    </row>
    <row r="18814" spans="1:6" s="3" customFormat="1" ht="29.1" customHeight="1" x14ac:dyDescent="0.25">
      <c r="A18814" s="2" t="s">
        <v>36993</v>
      </c>
      <c r="B18814" s="2" t="s">
        <v>36994</v>
      </c>
      <c r="C18814" s="2" t="s">
        <v>556</v>
      </c>
      <c r="D18814" s="2" t="s">
        <v>78</v>
      </c>
      <c r="E18814" s="2" t="str">
        <f>"9783899426052"</f>
        <v>9783899426052</v>
      </c>
      <c r="F18814" s="2" t="str">
        <f>"9783839406052"</f>
        <v>9783839406052</v>
      </c>
    </row>
    <row r="18815" spans="1:6" s="3" customFormat="1" ht="29.1" customHeight="1" x14ac:dyDescent="0.25">
      <c r="A18815" s="2" t="s">
        <v>36995</v>
      </c>
      <c r="B18815" s="2" t="s">
        <v>36996</v>
      </c>
      <c r="C18815" s="2" t="s">
        <v>556</v>
      </c>
      <c r="D18815" s="2" t="s">
        <v>712</v>
      </c>
      <c r="E18815" s="2" t="str">
        <f>"9783899425864"</f>
        <v>9783899425864</v>
      </c>
      <c r="F18815" s="2" t="str">
        <f>"9783839405864"</f>
        <v>9783839405864</v>
      </c>
    </row>
    <row r="18816" spans="1:6" s="3" customFormat="1" ht="29.1" customHeight="1" x14ac:dyDescent="0.25">
      <c r="A18816" s="2" t="s">
        <v>36997</v>
      </c>
      <c r="B18816" s="2" t="s">
        <v>36998</v>
      </c>
      <c r="C18816" s="2" t="s">
        <v>556</v>
      </c>
      <c r="D18816" s="2" t="s">
        <v>647</v>
      </c>
      <c r="E18816" s="2" t="str">
        <f>"9783899425826"</f>
        <v>9783899425826</v>
      </c>
      <c r="F18816" s="2" t="str">
        <f>"9783839405826"</f>
        <v>9783839405826</v>
      </c>
    </row>
    <row r="18817" spans="1:6" s="3" customFormat="1" ht="29.1" customHeight="1" x14ac:dyDescent="0.25">
      <c r="A18817" s="2" t="s">
        <v>36999</v>
      </c>
      <c r="B18817" s="2" t="s">
        <v>37000</v>
      </c>
      <c r="C18817" s="2" t="s">
        <v>556</v>
      </c>
      <c r="D18817" s="2" t="s">
        <v>3839</v>
      </c>
      <c r="E18817" s="2" t="str">
        <f>"9783899422351"</f>
        <v>9783899422351</v>
      </c>
      <c r="F18817" s="2" t="str">
        <f>"9783839402351"</f>
        <v>9783839402351</v>
      </c>
    </row>
    <row r="18818" spans="1:6" s="3" customFormat="1" ht="29.1" customHeight="1" x14ac:dyDescent="0.25">
      <c r="A18818" s="2" t="s">
        <v>37001</v>
      </c>
      <c r="B18818" s="2" t="s">
        <v>37002</v>
      </c>
      <c r="C18818" s="2" t="s">
        <v>556</v>
      </c>
      <c r="D18818" s="2" t="s">
        <v>78</v>
      </c>
      <c r="E18818" s="2" t="str">
        <f>"9783899422290"</f>
        <v>9783899422290</v>
      </c>
      <c r="F18818" s="2" t="str">
        <f>"9783839402290"</f>
        <v>9783839402290</v>
      </c>
    </row>
    <row r="18819" spans="1:6" s="3" customFormat="1" ht="29.1" customHeight="1" x14ac:dyDescent="0.25">
      <c r="A18819" s="2" t="s">
        <v>37003</v>
      </c>
      <c r="B18819" s="2" t="s">
        <v>37004</v>
      </c>
      <c r="C18819" s="2" t="s">
        <v>556</v>
      </c>
      <c r="D18819" s="2" t="s">
        <v>14256</v>
      </c>
      <c r="E18819" s="2" t="str">
        <f>"9783899422276"</f>
        <v>9783899422276</v>
      </c>
      <c r="F18819" s="2" t="str">
        <f>"9783839402276"</f>
        <v>9783839402276</v>
      </c>
    </row>
    <row r="18820" spans="1:6" s="3" customFormat="1" ht="29.1" customHeight="1" x14ac:dyDescent="0.25">
      <c r="A18820" s="2" t="s">
        <v>37005</v>
      </c>
      <c r="B18820" s="2" t="s">
        <v>6449</v>
      </c>
      <c r="C18820" s="2" t="s">
        <v>556</v>
      </c>
      <c r="D18820" s="2" t="s">
        <v>647</v>
      </c>
      <c r="E18820" s="2" t="str">
        <f>"9783899422269"</f>
        <v>9783899422269</v>
      </c>
      <c r="F18820" s="2" t="str">
        <f>"9783839402269"</f>
        <v>9783839402269</v>
      </c>
    </row>
    <row r="18821" spans="1:6" s="3" customFormat="1" ht="29.1" customHeight="1" x14ac:dyDescent="0.25">
      <c r="A18821" s="2" t="s">
        <v>37006</v>
      </c>
      <c r="B18821" s="2" t="s">
        <v>37007</v>
      </c>
      <c r="C18821" s="2" t="s">
        <v>556</v>
      </c>
      <c r="D18821" s="2" t="s">
        <v>647</v>
      </c>
      <c r="E18821" s="2" t="str">
        <f>"9783899422252"</f>
        <v>9783899422252</v>
      </c>
      <c r="F18821" s="2" t="str">
        <f>"9783839402252"</f>
        <v>9783839402252</v>
      </c>
    </row>
    <row r="18822" spans="1:6" s="3" customFormat="1" ht="29.1" customHeight="1" x14ac:dyDescent="0.25">
      <c r="A18822" s="2" t="s">
        <v>37008</v>
      </c>
      <c r="B18822" s="2" t="s">
        <v>37009</v>
      </c>
      <c r="C18822" s="2" t="s">
        <v>556</v>
      </c>
      <c r="D18822" s="2" t="s">
        <v>1411</v>
      </c>
      <c r="E18822" s="2" t="str">
        <f>"9783899422214"</f>
        <v>9783899422214</v>
      </c>
      <c r="F18822" s="2" t="str">
        <f>"9783839402214"</f>
        <v>9783839402214</v>
      </c>
    </row>
    <row r="18823" spans="1:6" s="3" customFormat="1" ht="29.1" customHeight="1" x14ac:dyDescent="0.25">
      <c r="A18823" s="2" t="s">
        <v>37010</v>
      </c>
      <c r="B18823" s="2" t="s">
        <v>37011</v>
      </c>
      <c r="C18823" s="2" t="s">
        <v>556</v>
      </c>
      <c r="D18823" s="2" t="s">
        <v>636</v>
      </c>
      <c r="E18823" s="2" t="str">
        <f>"9783899422184"</f>
        <v>9783899422184</v>
      </c>
      <c r="F18823" s="2" t="str">
        <f>"9783839402184"</f>
        <v>9783839402184</v>
      </c>
    </row>
    <row r="18824" spans="1:6" s="3" customFormat="1" ht="29.1" customHeight="1" x14ac:dyDescent="0.25">
      <c r="A18824" s="2" t="s">
        <v>37012</v>
      </c>
      <c r="B18824" s="2" t="s">
        <v>37013</v>
      </c>
      <c r="C18824" s="2" t="s">
        <v>556</v>
      </c>
      <c r="D18824" s="2" t="s">
        <v>712</v>
      </c>
      <c r="E18824" s="2" t="str">
        <f>"9783899422160"</f>
        <v>9783899422160</v>
      </c>
      <c r="F18824" s="2" t="str">
        <f>"9783839402160"</f>
        <v>9783839402160</v>
      </c>
    </row>
    <row r="18825" spans="1:6" s="3" customFormat="1" ht="29.1" customHeight="1" x14ac:dyDescent="0.25">
      <c r="A18825" s="2" t="s">
        <v>37014</v>
      </c>
      <c r="B18825" s="2" t="s">
        <v>37015</v>
      </c>
      <c r="C18825" s="2" t="s">
        <v>556</v>
      </c>
      <c r="D18825" s="2" t="s">
        <v>1411</v>
      </c>
      <c r="E18825" s="2" t="str">
        <f>"9783899422054"</f>
        <v>9783899422054</v>
      </c>
      <c r="F18825" s="2" t="str">
        <f>"9783839402054"</f>
        <v>9783839402054</v>
      </c>
    </row>
    <row r="18826" spans="1:6" s="3" customFormat="1" ht="29.1" customHeight="1" x14ac:dyDescent="0.25">
      <c r="A18826" s="2" t="s">
        <v>37016</v>
      </c>
      <c r="B18826" s="2" t="s">
        <v>37017</v>
      </c>
      <c r="C18826" s="2" t="s">
        <v>556</v>
      </c>
      <c r="D18826" s="2" t="s">
        <v>636</v>
      </c>
      <c r="E18826" s="2" t="str">
        <f>"9783899422030"</f>
        <v>9783899422030</v>
      </c>
      <c r="F18826" s="2" t="str">
        <f>"9783839402030"</f>
        <v>9783839402030</v>
      </c>
    </row>
    <row r="18827" spans="1:6" s="3" customFormat="1" ht="29.1" customHeight="1" x14ac:dyDescent="0.25">
      <c r="A18827" s="2" t="s">
        <v>37018</v>
      </c>
      <c r="B18827" s="2" t="s">
        <v>37019</v>
      </c>
      <c r="C18827" s="2" t="s">
        <v>556</v>
      </c>
      <c r="D18827" s="2" t="s">
        <v>1411</v>
      </c>
      <c r="E18827" s="2" t="str">
        <f>"9783899421996"</f>
        <v>9783899421996</v>
      </c>
      <c r="F18827" s="2" t="str">
        <f>"9783839401996"</f>
        <v>9783839401996</v>
      </c>
    </row>
    <row r="18828" spans="1:6" s="3" customFormat="1" ht="29.1" customHeight="1" x14ac:dyDescent="0.25">
      <c r="A18828" s="2" t="s">
        <v>37020</v>
      </c>
      <c r="B18828" s="2" t="s">
        <v>37021</v>
      </c>
      <c r="C18828" s="2" t="s">
        <v>556</v>
      </c>
      <c r="D18828" s="2" t="s">
        <v>712</v>
      </c>
      <c r="E18828" s="2" t="str">
        <f>"9783899421941"</f>
        <v>9783899421941</v>
      </c>
      <c r="F18828" s="2" t="str">
        <f>"9783839401941"</f>
        <v>9783839401941</v>
      </c>
    </row>
    <row r="18829" spans="1:6" s="3" customFormat="1" ht="29.1" customHeight="1" x14ac:dyDescent="0.25">
      <c r="A18829" s="2" t="s">
        <v>37022</v>
      </c>
      <c r="B18829" s="2" t="s">
        <v>37023</v>
      </c>
      <c r="C18829" s="2" t="s">
        <v>556</v>
      </c>
      <c r="D18829" s="2" t="s">
        <v>712</v>
      </c>
      <c r="E18829" s="2" t="str">
        <f>"9783899421934"</f>
        <v>9783899421934</v>
      </c>
      <c r="F18829" s="2" t="str">
        <f>"9783839401934"</f>
        <v>9783839401934</v>
      </c>
    </row>
    <row r="18830" spans="1:6" s="3" customFormat="1" ht="29.1" customHeight="1" x14ac:dyDescent="0.25">
      <c r="A18830" s="2" t="s">
        <v>37024</v>
      </c>
      <c r="B18830" s="2" t="s">
        <v>37025</v>
      </c>
      <c r="C18830" s="2" t="s">
        <v>556</v>
      </c>
      <c r="D18830" s="2" t="s">
        <v>183</v>
      </c>
      <c r="E18830" s="2" t="str">
        <f>"9783899421903"</f>
        <v>9783899421903</v>
      </c>
      <c r="F18830" s="2" t="str">
        <f>"9783839401903"</f>
        <v>9783839401903</v>
      </c>
    </row>
    <row r="18831" spans="1:6" s="3" customFormat="1" ht="29.1" customHeight="1" x14ac:dyDescent="0.25">
      <c r="A18831" s="2" t="s">
        <v>37026</v>
      </c>
      <c r="B18831" s="2" t="s">
        <v>37027</v>
      </c>
      <c r="C18831" s="2" t="s">
        <v>556</v>
      </c>
      <c r="D18831" s="2" t="s">
        <v>1557</v>
      </c>
      <c r="E18831" s="2" t="str">
        <f>"9783899421859"</f>
        <v>9783899421859</v>
      </c>
      <c r="F18831" s="2" t="str">
        <f>"9783839401859"</f>
        <v>9783839401859</v>
      </c>
    </row>
    <row r="18832" spans="1:6" s="3" customFormat="1" ht="29.1" customHeight="1" x14ac:dyDescent="0.25">
      <c r="A18832" s="2" t="s">
        <v>37028</v>
      </c>
      <c r="B18832" s="2" t="s">
        <v>37029</v>
      </c>
      <c r="C18832" s="2" t="s">
        <v>556</v>
      </c>
      <c r="D18832" s="2" t="s">
        <v>202</v>
      </c>
      <c r="E18832" s="2" t="str">
        <f>"9783899421835"</f>
        <v>9783899421835</v>
      </c>
      <c r="F18832" s="2" t="str">
        <f>"9783839401835"</f>
        <v>9783839401835</v>
      </c>
    </row>
    <row r="18833" spans="1:6" s="3" customFormat="1" ht="29.1" customHeight="1" x14ac:dyDescent="0.25">
      <c r="A18833" s="2" t="s">
        <v>37030</v>
      </c>
      <c r="B18833" s="2" t="s">
        <v>37031</v>
      </c>
      <c r="C18833" s="2" t="s">
        <v>556</v>
      </c>
      <c r="D18833" s="2" t="s">
        <v>202</v>
      </c>
      <c r="E18833" s="2" t="str">
        <f>"9783899421804"</f>
        <v>9783899421804</v>
      </c>
      <c r="F18833" s="2" t="str">
        <f>"9783839401804"</f>
        <v>9783839401804</v>
      </c>
    </row>
    <row r="18834" spans="1:6" s="3" customFormat="1" ht="29.1" customHeight="1" x14ac:dyDescent="0.25">
      <c r="A18834" s="2" t="s">
        <v>37032</v>
      </c>
      <c r="B18834" s="2" t="s">
        <v>37033</v>
      </c>
      <c r="C18834" s="2" t="s">
        <v>556</v>
      </c>
      <c r="D18834" s="2" t="s">
        <v>16113</v>
      </c>
      <c r="E18834" s="2" t="str">
        <f>"9783899421798"</f>
        <v>9783899421798</v>
      </c>
      <c r="F18834" s="2" t="str">
        <f>"9783839401798"</f>
        <v>9783839401798</v>
      </c>
    </row>
    <row r="18835" spans="1:6" s="3" customFormat="1" ht="29.1" customHeight="1" x14ac:dyDescent="0.25">
      <c r="A18835" s="2" t="s">
        <v>37034</v>
      </c>
      <c r="B18835" s="2" t="s">
        <v>37035</v>
      </c>
      <c r="C18835" s="2" t="s">
        <v>556</v>
      </c>
      <c r="D18835" s="2" t="s">
        <v>712</v>
      </c>
      <c r="E18835" s="2" t="str">
        <f>"9783899421767"</f>
        <v>9783899421767</v>
      </c>
      <c r="F18835" s="2" t="str">
        <f>"9783839401767"</f>
        <v>9783839401767</v>
      </c>
    </row>
    <row r="18836" spans="1:6" s="3" customFormat="1" ht="29.1" customHeight="1" x14ac:dyDescent="0.25">
      <c r="A18836" s="2" t="s">
        <v>37036</v>
      </c>
      <c r="B18836" s="2" t="s">
        <v>37037</v>
      </c>
      <c r="C18836" s="2" t="s">
        <v>556</v>
      </c>
      <c r="D18836" s="2" t="s">
        <v>647</v>
      </c>
      <c r="E18836" s="2" t="str">
        <f>"9783899421743"</f>
        <v>9783899421743</v>
      </c>
      <c r="F18836" s="2" t="str">
        <f>"9783839401743"</f>
        <v>9783839401743</v>
      </c>
    </row>
    <row r="18837" spans="1:6" s="3" customFormat="1" ht="29.1" customHeight="1" x14ac:dyDescent="0.25">
      <c r="A18837" s="2" t="s">
        <v>37038</v>
      </c>
      <c r="B18837" s="2" t="s">
        <v>37039</v>
      </c>
      <c r="C18837" s="2" t="s">
        <v>556</v>
      </c>
      <c r="D18837" s="2" t="s">
        <v>218</v>
      </c>
      <c r="E18837" s="2" t="str">
        <f>"9783899421699"</f>
        <v>9783899421699</v>
      </c>
      <c r="F18837" s="2" t="str">
        <f>"9783839401699"</f>
        <v>9783839401699</v>
      </c>
    </row>
    <row r="18838" spans="1:6" s="3" customFormat="1" ht="29.1" customHeight="1" x14ac:dyDescent="0.25">
      <c r="A18838" s="2" t="s">
        <v>37040</v>
      </c>
      <c r="B18838" s="2" t="s">
        <v>37041</v>
      </c>
      <c r="C18838" s="2" t="s">
        <v>556</v>
      </c>
      <c r="D18838" s="2" t="s">
        <v>446</v>
      </c>
      <c r="E18838" s="2" t="str">
        <f>"9783899421682"</f>
        <v>9783899421682</v>
      </c>
      <c r="F18838" s="2" t="str">
        <f>"9783839401682"</f>
        <v>9783839401682</v>
      </c>
    </row>
    <row r="18839" spans="1:6" s="3" customFormat="1" ht="29.1" customHeight="1" x14ac:dyDescent="0.25">
      <c r="A18839" s="2" t="s">
        <v>37042</v>
      </c>
      <c r="B18839" s="2" t="s">
        <v>37043</v>
      </c>
      <c r="C18839" s="2" t="s">
        <v>556</v>
      </c>
      <c r="D18839" s="2" t="s">
        <v>9052</v>
      </c>
      <c r="E18839" s="2" t="str">
        <f>"9783899421668"</f>
        <v>9783899421668</v>
      </c>
      <c r="F18839" s="2" t="str">
        <f>"9783839401668"</f>
        <v>9783839401668</v>
      </c>
    </row>
    <row r="18840" spans="1:6" s="3" customFormat="1" ht="29.1" customHeight="1" x14ac:dyDescent="0.25">
      <c r="A18840" s="2" t="s">
        <v>4275</v>
      </c>
      <c r="B18840" s="2" t="s">
        <v>37044</v>
      </c>
      <c r="C18840" s="2" t="s">
        <v>556</v>
      </c>
      <c r="D18840" s="2" t="s">
        <v>1944</v>
      </c>
      <c r="E18840" s="2" t="str">
        <f>"9783899421651"</f>
        <v>9783899421651</v>
      </c>
      <c r="F18840" s="2" t="str">
        <f>"9783839401651"</f>
        <v>9783839401651</v>
      </c>
    </row>
    <row r="18841" spans="1:6" s="3" customFormat="1" ht="29.1" customHeight="1" x14ac:dyDescent="0.25">
      <c r="A18841" s="2" t="s">
        <v>37045</v>
      </c>
      <c r="B18841" s="2" t="s">
        <v>37046</v>
      </c>
      <c r="C18841" s="2" t="s">
        <v>556</v>
      </c>
      <c r="D18841" s="2" t="s">
        <v>1262</v>
      </c>
      <c r="E18841" s="2" t="str">
        <f>"9783899421644"</f>
        <v>9783899421644</v>
      </c>
      <c r="F18841" s="2" t="str">
        <f>"9783839401644"</f>
        <v>9783839401644</v>
      </c>
    </row>
    <row r="18842" spans="1:6" s="3" customFormat="1" ht="29.1" customHeight="1" x14ac:dyDescent="0.25">
      <c r="A18842" s="2" t="s">
        <v>37047</v>
      </c>
      <c r="B18842" s="2" t="s">
        <v>32232</v>
      </c>
      <c r="C18842" s="2" t="s">
        <v>556</v>
      </c>
      <c r="D18842" s="2" t="s">
        <v>484</v>
      </c>
      <c r="E18842" s="2" t="str">
        <f>"9783899421637"</f>
        <v>9783899421637</v>
      </c>
      <c r="F18842" s="2" t="str">
        <f>"9783839401637"</f>
        <v>9783839401637</v>
      </c>
    </row>
    <row r="18843" spans="1:6" s="3" customFormat="1" ht="29.1" customHeight="1" x14ac:dyDescent="0.25">
      <c r="A18843" s="2" t="s">
        <v>37048</v>
      </c>
      <c r="B18843" s="2" t="s">
        <v>37049</v>
      </c>
      <c r="C18843" s="2" t="s">
        <v>556</v>
      </c>
      <c r="D18843" s="2" t="s">
        <v>1262</v>
      </c>
      <c r="E18843" s="2" t="str">
        <f>"9783899421583"</f>
        <v>9783899421583</v>
      </c>
      <c r="F18843" s="2" t="str">
        <f>"9783839401583"</f>
        <v>9783839401583</v>
      </c>
    </row>
    <row r="18844" spans="1:6" s="3" customFormat="1" ht="29.1" customHeight="1" x14ac:dyDescent="0.25">
      <c r="A18844" s="2" t="s">
        <v>37050</v>
      </c>
      <c r="B18844" s="2" t="s">
        <v>37051</v>
      </c>
      <c r="C18844" s="2" t="s">
        <v>556</v>
      </c>
      <c r="D18844" s="2" t="s">
        <v>484</v>
      </c>
      <c r="E18844" s="2" t="str">
        <f>"9783899421576"</f>
        <v>9783899421576</v>
      </c>
      <c r="F18844" s="2" t="str">
        <f>"9783839401576"</f>
        <v>9783839401576</v>
      </c>
    </row>
    <row r="18845" spans="1:6" s="3" customFormat="1" ht="29.1" customHeight="1" x14ac:dyDescent="0.25">
      <c r="A18845" s="2" t="s">
        <v>37052</v>
      </c>
      <c r="B18845" s="2" t="s">
        <v>37053</v>
      </c>
      <c r="C18845" s="2" t="s">
        <v>556</v>
      </c>
      <c r="D18845" s="2" t="s">
        <v>4160</v>
      </c>
      <c r="E18845" s="2" t="str">
        <f>"9783899421538"</f>
        <v>9783899421538</v>
      </c>
      <c r="F18845" s="2" t="str">
        <f>"9783839401538"</f>
        <v>9783839401538</v>
      </c>
    </row>
    <row r="18846" spans="1:6" s="3" customFormat="1" ht="29.1" customHeight="1" x14ac:dyDescent="0.25">
      <c r="A18846" s="2" t="s">
        <v>37054</v>
      </c>
      <c r="B18846" s="2" t="s">
        <v>37055</v>
      </c>
      <c r="C18846" s="2" t="s">
        <v>556</v>
      </c>
      <c r="D18846" s="2" t="s">
        <v>1141</v>
      </c>
      <c r="E18846" s="2" t="str">
        <f>"9783899421507"</f>
        <v>9783899421507</v>
      </c>
      <c r="F18846" s="2" t="str">
        <f>"9783839401507"</f>
        <v>9783839401507</v>
      </c>
    </row>
    <row r="18847" spans="1:6" s="3" customFormat="1" ht="29.1" customHeight="1" x14ac:dyDescent="0.25">
      <c r="A18847" s="2" t="s">
        <v>37056</v>
      </c>
      <c r="B18847" s="2" t="s">
        <v>37057</v>
      </c>
      <c r="C18847" s="2" t="s">
        <v>556</v>
      </c>
      <c r="D18847" s="2" t="s">
        <v>712</v>
      </c>
      <c r="E18847" s="2" t="str">
        <f>"9783899421484"</f>
        <v>9783899421484</v>
      </c>
      <c r="F18847" s="2" t="str">
        <f>"9783839401484"</f>
        <v>9783839401484</v>
      </c>
    </row>
    <row r="18848" spans="1:6" s="3" customFormat="1" ht="29.1" customHeight="1" x14ac:dyDescent="0.25">
      <c r="A18848" s="2" t="s">
        <v>37058</v>
      </c>
      <c r="B18848" s="2" t="s">
        <v>32151</v>
      </c>
      <c r="C18848" s="2" t="s">
        <v>556</v>
      </c>
      <c r="D18848" s="2" t="s">
        <v>1141</v>
      </c>
      <c r="E18848" s="2" t="str">
        <f>"9783899421460"</f>
        <v>9783899421460</v>
      </c>
      <c r="F18848" s="2" t="str">
        <f>"9783839401460"</f>
        <v>9783839401460</v>
      </c>
    </row>
    <row r="18849" spans="1:6" s="3" customFormat="1" ht="29.1" customHeight="1" x14ac:dyDescent="0.25">
      <c r="A18849" s="2" t="s">
        <v>37059</v>
      </c>
      <c r="B18849" s="2" t="s">
        <v>37060</v>
      </c>
      <c r="C18849" s="2" t="s">
        <v>556</v>
      </c>
      <c r="D18849" s="2" t="s">
        <v>1189</v>
      </c>
      <c r="E18849" s="2" t="str">
        <f>"9783899421453"</f>
        <v>9783899421453</v>
      </c>
      <c r="F18849" s="2" t="str">
        <f>"9783839401453"</f>
        <v>9783839401453</v>
      </c>
    </row>
    <row r="18850" spans="1:6" s="3" customFormat="1" ht="29.1" customHeight="1" x14ac:dyDescent="0.25">
      <c r="A18850" s="2" t="s">
        <v>37061</v>
      </c>
      <c r="B18850" s="2" t="s">
        <v>6449</v>
      </c>
      <c r="C18850" s="2" t="s">
        <v>556</v>
      </c>
      <c r="D18850" s="2" t="s">
        <v>647</v>
      </c>
      <c r="E18850" s="2" t="str">
        <f>"9783899421323"</f>
        <v>9783899421323</v>
      </c>
      <c r="F18850" s="2" t="str">
        <f>"9783839401323"</f>
        <v>9783839401323</v>
      </c>
    </row>
    <row r="18851" spans="1:6" s="3" customFormat="1" ht="29.1" customHeight="1" x14ac:dyDescent="0.25">
      <c r="A18851" s="2" t="s">
        <v>37062</v>
      </c>
      <c r="B18851" s="2" t="s">
        <v>37063</v>
      </c>
      <c r="C18851" s="2" t="s">
        <v>556</v>
      </c>
      <c r="D18851" s="2" t="s">
        <v>4160</v>
      </c>
      <c r="E18851" s="2" t="str">
        <f>"9783899421309"</f>
        <v>9783899421309</v>
      </c>
      <c r="F18851" s="2" t="str">
        <f>"9783839401309"</f>
        <v>9783839401309</v>
      </c>
    </row>
    <row r="18852" spans="1:6" s="3" customFormat="1" ht="29.1" customHeight="1" x14ac:dyDescent="0.25">
      <c r="A18852" s="2" t="s">
        <v>37064</v>
      </c>
      <c r="B18852" s="2" t="s">
        <v>37065</v>
      </c>
      <c r="C18852" s="2" t="s">
        <v>556</v>
      </c>
      <c r="D18852" s="2" t="s">
        <v>484</v>
      </c>
      <c r="E18852" s="2" t="str">
        <f>"9783899421286"</f>
        <v>9783899421286</v>
      </c>
      <c r="F18852" s="2" t="str">
        <f>"9783839401286"</f>
        <v>9783839401286</v>
      </c>
    </row>
    <row r="18853" spans="1:6" s="3" customFormat="1" ht="29.1" customHeight="1" x14ac:dyDescent="0.25">
      <c r="A18853" s="2" t="s">
        <v>37066</v>
      </c>
      <c r="B18853" s="2" t="s">
        <v>37067</v>
      </c>
      <c r="C18853" s="2" t="s">
        <v>556</v>
      </c>
      <c r="D18853" s="2" t="s">
        <v>3345</v>
      </c>
      <c r="E18853" s="2" t="str">
        <f>"9783899421262"</f>
        <v>9783899421262</v>
      </c>
      <c r="F18853" s="2" t="str">
        <f>"9783839401262"</f>
        <v>9783839401262</v>
      </c>
    </row>
    <row r="18854" spans="1:6" s="3" customFormat="1" ht="29.1" customHeight="1" x14ac:dyDescent="0.25">
      <c r="A18854" s="2" t="s">
        <v>37068</v>
      </c>
      <c r="B18854" s="2" t="s">
        <v>37069</v>
      </c>
      <c r="C18854" s="2" t="s">
        <v>556</v>
      </c>
      <c r="D18854" s="2" t="s">
        <v>699</v>
      </c>
      <c r="E18854" s="2" t="str">
        <f>"9783899421255"</f>
        <v>9783899421255</v>
      </c>
      <c r="F18854" s="2" t="str">
        <f>"9783839401255"</f>
        <v>9783839401255</v>
      </c>
    </row>
    <row r="18855" spans="1:6" s="3" customFormat="1" ht="29.1" customHeight="1" x14ac:dyDescent="0.25">
      <c r="A18855" s="2" t="s">
        <v>37070</v>
      </c>
      <c r="B18855" s="2" t="s">
        <v>37067</v>
      </c>
      <c r="C18855" s="2" t="s">
        <v>556</v>
      </c>
      <c r="D18855" s="2" t="s">
        <v>699</v>
      </c>
      <c r="E18855" s="2" t="str">
        <f>"9783899421224"</f>
        <v>9783899421224</v>
      </c>
      <c r="F18855" s="2" t="str">
        <f>"9783839401224"</f>
        <v>9783839401224</v>
      </c>
    </row>
    <row r="18856" spans="1:6" s="3" customFormat="1" ht="29.1" customHeight="1" x14ac:dyDescent="0.25">
      <c r="A18856" s="2" t="s">
        <v>37071</v>
      </c>
      <c r="B18856" s="2" t="s">
        <v>37072</v>
      </c>
      <c r="C18856" s="2" t="s">
        <v>556</v>
      </c>
      <c r="D18856" s="2" t="s">
        <v>37</v>
      </c>
      <c r="E18856" s="2" t="str">
        <f>"9783899421200"</f>
        <v>9783899421200</v>
      </c>
      <c r="F18856" s="2" t="str">
        <f>"9783839401200"</f>
        <v>9783839401200</v>
      </c>
    </row>
    <row r="18857" spans="1:6" s="3" customFormat="1" ht="29.1" customHeight="1" x14ac:dyDescent="0.25">
      <c r="A18857" s="2" t="s">
        <v>37073</v>
      </c>
      <c r="B18857" s="2" t="s">
        <v>37074</v>
      </c>
      <c r="C18857" s="2" t="s">
        <v>556</v>
      </c>
      <c r="D18857" s="2" t="s">
        <v>490</v>
      </c>
      <c r="E18857" s="2" t="str">
        <f>"9783899421194"</f>
        <v>9783899421194</v>
      </c>
      <c r="F18857" s="2" t="str">
        <f>"9783839401194"</f>
        <v>9783839401194</v>
      </c>
    </row>
    <row r="18858" spans="1:6" s="3" customFormat="1" ht="29.1" customHeight="1" x14ac:dyDescent="0.25">
      <c r="A18858" s="2" t="s">
        <v>37075</v>
      </c>
      <c r="B18858" s="2" t="s">
        <v>37076</v>
      </c>
      <c r="C18858" s="2" t="s">
        <v>556</v>
      </c>
      <c r="D18858" s="2" t="s">
        <v>1411</v>
      </c>
      <c r="E18858" s="2" t="str">
        <f>"9783899421149"</f>
        <v>9783899421149</v>
      </c>
      <c r="F18858" s="2" t="str">
        <f>"9783839401149"</f>
        <v>9783839401149</v>
      </c>
    </row>
    <row r="18859" spans="1:6" s="3" customFormat="1" ht="29.1" customHeight="1" x14ac:dyDescent="0.25">
      <c r="A18859" s="2" t="s">
        <v>37077</v>
      </c>
      <c r="B18859" s="2" t="s">
        <v>37078</v>
      </c>
      <c r="C18859" s="2" t="s">
        <v>556</v>
      </c>
      <c r="D18859" s="2" t="s">
        <v>218</v>
      </c>
      <c r="E18859" s="2" t="str">
        <f>"9783899421118"</f>
        <v>9783899421118</v>
      </c>
      <c r="F18859" s="2" t="str">
        <f>"9783839401118"</f>
        <v>9783839401118</v>
      </c>
    </row>
    <row r="18860" spans="1:6" s="3" customFormat="1" ht="29.1" customHeight="1" x14ac:dyDescent="0.25">
      <c r="A18860" s="2" t="s">
        <v>37079</v>
      </c>
      <c r="B18860" s="2" t="s">
        <v>37080</v>
      </c>
      <c r="C18860" s="2" t="s">
        <v>556</v>
      </c>
      <c r="D18860" s="2" t="s">
        <v>2336</v>
      </c>
      <c r="E18860" s="2" t="str">
        <f>"9783899421064"</f>
        <v>9783899421064</v>
      </c>
      <c r="F18860" s="2" t="str">
        <f>"9783839401064"</f>
        <v>9783839401064</v>
      </c>
    </row>
    <row r="18861" spans="1:6" s="3" customFormat="1" ht="29.1" customHeight="1" x14ac:dyDescent="0.25">
      <c r="A18861" s="2" t="s">
        <v>37081</v>
      </c>
      <c r="B18861" s="2" t="s">
        <v>37082</v>
      </c>
      <c r="C18861" s="2" t="s">
        <v>556</v>
      </c>
      <c r="D18861" s="2" t="s">
        <v>446</v>
      </c>
      <c r="E18861" s="2" t="str">
        <f>"9783899421057"</f>
        <v>9783899421057</v>
      </c>
      <c r="F18861" s="2" t="str">
        <f>"9783839401057"</f>
        <v>9783839401057</v>
      </c>
    </row>
    <row r="18862" spans="1:6" s="3" customFormat="1" ht="29.1" customHeight="1" x14ac:dyDescent="0.25">
      <c r="A18862" s="2" t="s">
        <v>37083</v>
      </c>
      <c r="B18862" s="2" t="s">
        <v>37084</v>
      </c>
      <c r="C18862" s="2" t="s">
        <v>556</v>
      </c>
      <c r="D18862" s="2" t="s">
        <v>484</v>
      </c>
      <c r="E18862" s="2" t="str">
        <f>"9783899421026"</f>
        <v>9783899421026</v>
      </c>
      <c r="F18862" s="2" t="str">
        <f>"9783839401026"</f>
        <v>9783839401026</v>
      </c>
    </row>
    <row r="18863" spans="1:6" s="3" customFormat="1" ht="29.1" customHeight="1" x14ac:dyDescent="0.25">
      <c r="A18863" s="2" t="s">
        <v>37085</v>
      </c>
      <c r="B18863" s="2" t="s">
        <v>37086</v>
      </c>
      <c r="C18863" s="2" t="s">
        <v>556</v>
      </c>
      <c r="D18863" s="2" t="s">
        <v>2336</v>
      </c>
      <c r="E18863" s="2" t="str">
        <f>"9783899421002"</f>
        <v>9783899421002</v>
      </c>
      <c r="F18863" s="2" t="str">
        <f>"9783839401002"</f>
        <v>9783839401002</v>
      </c>
    </row>
    <row r="18864" spans="1:6" s="3" customFormat="1" ht="29.1" customHeight="1" x14ac:dyDescent="0.25">
      <c r="A18864" s="2" t="s">
        <v>37087</v>
      </c>
      <c r="B18864" s="2" t="s">
        <v>18810</v>
      </c>
      <c r="C18864" s="2" t="s">
        <v>556</v>
      </c>
      <c r="D18864" s="2" t="s">
        <v>18747</v>
      </c>
      <c r="E18864" s="2" t="str">
        <f>"9783933127990"</f>
        <v>9783933127990</v>
      </c>
      <c r="F18864" s="2" t="str">
        <f>"9783839400999"</f>
        <v>9783839400999</v>
      </c>
    </row>
    <row r="18865" spans="1:6" s="3" customFormat="1" ht="29.1" customHeight="1" x14ac:dyDescent="0.25">
      <c r="A18865" s="2" t="s">
        <v>37088</v>
      </c>
      <c r="B18865" s="2" t="s">
        <v>37089</v>
      </c>
      <c r="C18865" s="2" t="s">
        <v>556</v>
      </c>
      <c r="D18865" s="2" t="s">
        <v>3839</v>
      </c>
      <c r="E18865" s="2" t="str">
        <f>"9783933127976"</f>
        <v>9783933127976</v>
      </c>
      <c r="F18865" s="2" t="str">
        <f>"9783839400975"</f>
        <v>9783839400975</v>
      </c>
    </row>
    <row r="18866" spans="1:6" s="3" customFormat="1" ht="29.1" customHeight="1" x14ac:dyDescent="0.25">
      <c r="A18866" s="2" t="s">
        <v>37090</v>
      </c>
      <c r="B18866" s="2" t="s">
        <v>37091</v>
      </c>
      <c r="C18866" s="2" t="s">
        <v>556</v>
      </c>
      <c r="D18866" s="2" t="s">
        <v>699</v>
      </c>
      <c r="E18866" s="2" t="str">
        <f>"9783933127952"</f>
        <v>9783933127952</v>
      </c>
      <c r="F18866" s="2" t="str">
        <f>"9783839400951"</f>
        <v>9783839400951</v>
      </c>
    </row>
    <row r="18867" spans="1:6" s="3" customFormat="1" ht="29.1" customHeight="1" x14ac:dyDescent="0.25">
      <c r="A18867" s="2" t="s">
        <v>37092</v>
      </c>
      <c r="B18867" s="2" t="s">
        <v>37093</v>
      </c>
      <c r="C18867" s="2" t="s">
        <v>556</v>
      </c>
      <c r="D18867" s="2" t="s">
        <v>11048</v>
      </c>
      <c r="E18867" s="2" t="str">
        <f>"9783933127914"</f>
        <v>9783933127914</v>
      </c>
      <c r="F18867" s="2" t="str">
        <f>"9783839400913"</f>
        <v>9783839400913</v>
      </c>
    </row>
    <row r="18868" spans="1:6" s="3" customFormat="1" ht="29.1" customHeight="1" x14ac:dyDescent="0.25">
      <c r="A18868" s="2" t="s">
        <v>37094</v>
      </c>
      <c r="B18868" s="2" t="s">
        <v>37095</v>
      </c>
      <c r="C18868" s="2" t="s">
        <v>556</v>
      </c>
      <c r="D18868" s="2" t="s">
        <v>647</v>
      </c>
      <c r="E18868" s="2" t="str">
        <f>"9783933127891"</f>
        <v>9783933127891</v>
      </c>
      <c r="F18868" s="2" t="str">
        <f>"9783839400890"</f>
        <v>9783839400890</v>
      </c>
    </row>
    <row r="18869" spans="1:6" s="3" customFormat="1" ht="29.1" customHeight="1" x14ac:dyDescent="0.25">
      <c r="A18869" s="2" t="s">
        <v>37096</v>
      </c>
      <c r="B18869" s="2" t="s">
        <v>37097</v>
      </c>
      <c r="C18869" s="2" t="s">
        <v>556</v>
      </c>
      <c r="D18869" s="2" t="s">
        <v>4160</v>
      </c>
      <c r="E18869" s="2" t="str">
        <f>"9783933127853"</f>
        <v>9783933127853</v>
      </c>
      <c r="F18869" s="2" t="str">
        <f>"9783839400852"</f>
        <v>9783839400852</v>
      </c>
    </row>
    <row r="18870" spans="1:6" s="3" customFormat="1" ht="29.1" customHeight="1" x14ac:dyDescent="0.25">
      <c r="A18870" s="2" t="s">
        <v>37098</v>
      </c>
      <c r="B18870" s="2" t="s">
        <v>37099</v>
      </c>
      <c r="C18870" s="2" t="s">
        <v>556</v>
      </c>
      <c r="D18870" s="2" t="s">
        <v>484</v>
      </c>
      <c r="E18870" s="2" t="str">
        <f>"9783933127846"</f>
        <v>9783933127846</v>
      </c>
      <c r="F18870" s="2" t="str">
        <f>"9783839400845"</f>
        <v>9783839400845</v>
      </c>
    </row>
    <row r="18871" spans="1:6" s="3" customFormat="1" ht="29.1" customHeight="1" x14ac:dyDescent="0.25">
      <c r="A18871" s="2" t="s">
        <v>37100</v>
      </c>
      <c r="B18871" s="2" t="s">
        <v>37101</v>
      </c>
      <c r="C18871" s="2" t="s">
        <v>556</v>
      </c>
      <c r="D18871" s="2" t="s">
        <v>5794</v>
      </c>
      <c r="E18871" s="2" t="str">
        <f>"9783933127839"</f>
        <v>9783933127839</v>
      </c>
      <c r="F18871" s="2" t="str">
        <f>"9783839400838"</f>
        <v>9783839400838</v>
      </c>
    </row>
    <row r="18872" spans="1:6" s="3" customFormat="1" ht="29.1" customHeight="1" x14ac:dyDescent="0.25">
      <c r="A18872" s="2" t="s">
        <v>37102</v>
      </c>
      <c r="B18872" s="2" t="s">
        <v>37103</v>
      </c>
      <c r="C18872" s="2" t="s">
        <v>556</v>
      </c>
      <c r="D18872" s="2" t="s">
        <v>712</v>
      </c>
      <c r="E18872" s="2" t="str">
        <f>"9783933127778"</f>
        <v>9783933127778</v>
      </c>
      <c r="F18872" s="2" t="str">
        <f>"9783839400777"</f>
        <v>9783839400777</v>
      </c>
    </row>
    <row r="18873" spans="1:6" s="3" customFormat="1" ht="29.1" customHeight="1" x14ac:dyDescent="0.25">
      <c r="A18873" s="2" t="s">
        <v>37104</v>
      </c>
      <c r="B18873" s="2" t="s">
        <v>37105</v>
      </c>
      <c r="C18873" s="2" t="s">
        <v>556</v>
      </c>
      <c r="D18873" s="2" t="s">
        <v>712</v>
      </c>
      <c r="E18873" s="2" t="str">
        <f>"9783933127761"</f>
        <v>9783933127761</v>
      </c>
      <c r="F18873" s="2" t="str">
        <f>"9783839400760"</f>
        <v>9783839400760</v>
      </c>
    </row>
    <row r="18874" spans="1:6" s="3" customFormat="1" ht="29.1" customHeight="1" x14ac:dyDescent="0.25">
      <c r="A18874" s="2" t="s">
        <v>37106</v>
      </c>
      <c r="B18874" s="2" t="s">
        <v>37107</v>
      </c>
      <c r="C18874" s="2" t="s">
        <v>556</v>
      </c>
      <c r="D18874" s="2" t="s">
        <v>1411</v>
      </c>
      <c r="E18874" s="2" t="str">
        <f>"9783933127716"</f>
        <v>9783933127716</v>
      </c>
      <c r="F18874" s="2" t="str">
        <f>"9783839400715"</f>
        <v>9783839400715</v>
      </c>
    </row>
    <row r="18875" spans="1:6" s="3" customFormat="1" ht="29.1" customHeight="1" x14ac:dyDescent="0.25">
      <c r="A18875" s="2" t="s">
        <v>37108</v>
      </c>
      <c r="B18875" s="2" t="s">
        <v>37109</v>
      </c>
      <c r="C18875" s="2" t="s">
        <v>556</v>
      </c>
      <c r="D18875" s="2" t="s">
        <v>647</v>
      </c>
      <c r="E18875" s="2" t="str">
        <f>"9783933127709"</f>
        <v>9783933127709</v>
      </c>
      <c r="F18875" s="2" t="str">
        <f>"9783839400708"</f>
        <v>9783839400708</v>
      </c>
    </row>
    <row r="18876" spans="1:6" s="3" customFormat="1" ht="29.1" customHeight="1" x14ac:dyDescent="0.25">
      <c r="A18876" s="2" t="s">
        <v>37110</v>
      </c>
      <c r="B18876" s="2" t="s">
        <v>37111</v>
      </c>
      <c r="C18876" s="2" t="s">
        <v>556</v>
      </c>
      <c r="D18876" s="2" t="s">
        <v>1411</v>
      </c>
      <c r="E18876" s="2" t="str">
        <f>"9783933127662"</f>
        <v>9783933127662</v>
      </c>
      <c r="F18876" s="2" t="str">
        <f>"9783839400661"</f>
        <v>9783839400661</v>
      </c>
    </row>
    <row r="18877" spans="1:6" s="3" customFormat="1" ht="29.1" customHeight="1" x14ac:dyDescent="0.25">
      <c r="A18877" s="2" t="s">
        <v>583</v>
      </c>
      <c r="B18877" s="2" t="s">
        <v>37112</v>
      </c>
      <c r="C18877" s="2" t="s">
        <v>556</v>
      </c>
      <c r="D18877" s="2" t="s">
        <v>378</v>
      </c>
      <c r="E18877" s="2" t="str">
        <f>"9783933127648"</f>
        <v>9783933127648</v>
      </c>
      <c r="F18877" s="2" t="str">
        <f>"9783839400647"</f>
        <v>9783839400647</v>
      </c>
    </row>
    <row r="18878" spans="1:6" s="3" customFormat="1" ht="29.1" customHeight="1" x14ac:dyDescent="0.25">
      <c r="A18878" s="2" t="s">
        <v>37113</v>
      </c>
      <c r="B18878" s="2" t="s">
        <v>37057</v>
      </c>
      <c r="C18878" s="2" t="s">
        <v>556</v>
      </c>
      <c r="D18878" s="2" t="s">
        <v>5574</v>
      </c>
      <c r="E18878" s="2" t="str">
        <f>"9783933127631"</f>
        <v>9783933127631</v>
      </c>
      <c r="F18878" s="2" t="str">
        <f>"9783839400630"</f>
        <v>9783839400630</v>
      </c>
    </row>
    <row r="18879" spans="1:6" s="3" customFormat="1" ht="29.1" customHeight="1" x14ac:dyDescent="0.25">
      <c r="A18879" s="2" t="s">
        <v>37114</v>
      </c>
      <c r="B18879" s="2" t="s">
        <v>37115</v>
      </c>
      <c r="C18879" s="2" t="s">
        <v>556</v>
      </c>
      <c r="D18879" s="2" t="s">
        <v>15</v>
      </c>
      <c r="E18879" s="2" t="str">
        <f>"9783933127624"</f>
        <v>9783933127624</v>
      </c>
      <c r="F18879" s="2" t="str">
        <f>"9783839400623"</f>
        <v>9783839400623</v>
      </c>
    </row>
    <row r="18880" spans="1:6" s="3" customFormat="1" ht="29.1" customHeight="1" x14ac:dyDescent="0.25">
      <c r="A18880" s="2" t="s">
        <v>37116</v>
      </c>
      <c r="B18880" s="2" t="s">
        <v>37117</v>
      </c>
      <c r="C18880" s="2" t="s">
        <v>556</v>
      </c>
      <c r="D18880" s="2" t="s">
        <v>1046</v>
      </c>
      <c r="E18880" s="2" t="str">
        <f>"9783933127617"</f>
        <v>9783933127617</v>
      </c>
      <c r="F18880" s="2" t="str">
        <f>"9783839400616"</f>
        <v>9783839400616</v>
      </c>
    </row>
    <row r="18881" spans="1:6" s="3" customFormat="1" ht="29.1" customHeight="1" x14ac:dyDescent="0.25">
      <c r="A18881" s="2" t="s">
        <v>37118</v>
      </c>
      <c r="B18881" s="2" t="s">
        <v>37119</v>
      </c>
      <c r="C18881" s="2" t="s">
        <v>556</v>
      </c>
      <c r="D18881" s="2" t="s">
        <v>1121</v>
      </c>
      <c r="E18881" s="2" t="str">
        <f>"9783933127570"</f>
        <v>9783933127570</v>
      </c>
      <c r="F18881" s="2" t="str">
        <f>"9783839400579"</f>
        <v>9783839400579</v>
      </c>
    </row>
    <row r="18882" spans="1:6" s="3" customFormat="1" ht="29.1" customHeight="1" x14ac:dyDescent="0.25">
      <c r="A18882" s="2" t="s">
        <v>37120</v>
      </c>
      <c r="B18882" s="2" t="s">
        <v>37121</v>
      </c>
      <c r="C18882" s="2" t="s">
        <v>556</v>
      </c>
      <c r="D18882" s="2" t="s">
        <v>1121</v>
      </c>
      <c r="E18882" s="2" t="str">
        <f>"9783933127563"</f>
        <v>9783933127563</v>
      </c>
      <c r="F18882" s="2" t="str">
        <f>"9783839400562"</f>
        <v>9783839400562</v>
      </c>
    </row>
    <row r="18883" spans="1:6" s="3" customFormat="1" ht="29.1" customHeight="1" x14ac:dyDescent="0.25">
      <c r="A18883" s="2" t="s">
        <v>37122</v>
      </c>
      <c r="B18883" s="2" t="s">
        <v>37123</v>
      </c>
      <c r="C18883" s="2" t="s">
        <v>556</v>
      </c>
      <c r="D18883" s="2" t="s">
        <v>1121</v>
      </c>
      <c r="E18883" s="2" t="str">
        <f>"9783933127556"</f>
        <v>9783933127556</v>
      </c>
      <c r="F18883" s="2" t="str">
        <f>"9783839400555"</f>
        <v>9783839400555</v>
      </c>
    </row>
    <row r="18884" spans="1:6" s="3" customFormat="1" ht="29.1" customHeight="1" x14ac:dyDescent="0.25">
      <c r="A18884" s="2" t="s">
        <v>37124</v>
      </c>
      <c r="B18884" s="2" t="s">
        <v>37125</v>
      </c>
      <c r="C18884" s="2" t="s">
        <v>556</v>
      </c>
      <c r="D18884" s="2" t="s">
        <v>501</v>
      </c>
      <c r="E18884" s="2" t="str">
        <f>"9783933127549"</f>
        <v>9783933127549</v>
      </c>
      <c r="F18884" s="2" t="str">
        <f>"9783839400548"</f>
        <v>9783839400548</v>
      </c>
    </row>
    <row r="18885" spans="1:6" s="3" customFormat="1" ht="29.1" customHeight="1" x14ac:dyDescent="0.25">
      <c r="A18885" s="2" t="s">
        <v>37126</v>
      </c>
      <c r="B18885" s="2" t="s">
        <v>37127</v>
      </c>
      <c r="C18885" s="2" t="s">
        <v>556</v>
      </c>
      <c r="D18885" s="2" t="s">
        <v>1411</v>
      </c>
      <c r="E18885" s="2" t="str">
        <f>"9783933127518"</f>
        <v>9783933127518</v>
      </c>
      <c r="F18885" s="2" t="str">
        <f>"9783839400517"</f>
        <v>9783839400517</v>
      </c>
    </row>
    <row r="18886" spans="1:6" s="3" customFormat="1" ht="29.1" customHeight="1" x14ac:dyDescent="0.25">
      <c r="A18886" s="2" t="s">
        <v>37128</v>
      </c>
      <c r="B18886" s="2" t="s">
        <v>37129</v>
      </c>
      <c r="C18886" s="2" t="s">
        <v>556</v>
      </c>
      <c r="D18886" s="2" t="s">
        <v>1411</v>
      </c>
      <c r="E18886" s="2" t="str">
        <f>"9783933127495"</f>
        <v>9783933127495</v>
      </c>
      <c r="F18886" s="2" t="str">
        <f>"9783839400494"</f>
        <v>9783839400494</v>
      </c>
    </row>
    <row r="18887" spans="1:6" s="3" customFormat="1" ht="29.1" customHeight="1" x14ac:dyDescent="0.25">
      <c r="A18887" s="2" t="s">
        <v>37130</v>
      </c>
      <c r="B18887" s="2" t="s">
        <v>37131</v>
      </c>
      <c r="C18887" s="2" t="s">
        <v>556</v>
      </c>
      <c r="D18887" s="2" t="s">
        <v>2336</v>
      </c>
      <c r="E18887" s="2" t="str">
        <f>"9783933127471"</f>
        <v>9783933127471</v>
      </c>
      <c r="F18887" s="2" t="str">
        <f>"9783839400470"</f>
        <v>9783839400470</v>
      </c>
    </row>
    <row r="18888" spans="1:6" s="3" customFormat="1" ht="29.1" customHeight="1" x14ac:dyDescent="0.25">
      <c r="A18888" s="2" t="s">
        <v>37132</v>
      </c>
      <c r="B18888" s="2" t="s">
        <v>37133</v>
      </c>
      <c r="C18888" s="2" t="s">
        <v>556</v>
      </c>
      <c r="D18888" s="2" t="s">
        <v>78</v>
      </c>
      <c r="E18888" s="2" t="str">
        <f>"9783933127440"</f>
        <v>9783933127440</v>
      </c>
      <c r="F18888" s="2" t="str">
        <f>"9783839400449"</f>
        <v>9783839400449</v>
      </c>
    </row>
    <row r="18889" spans="1:6" s="3" customFormat="1" ht="29.1" customHeight="1" x14ac:dyDescent="0.25">
      <c r="A18889" s="2" t="s">
        <v>37134</v>
      </c>
      <c r="B18889" s="2" t="s">
        <v>37135</v>
      </c>
      <c r="C18889" s="2" t="s">
        <v>556</v>
      </c>
      <c r="D18889" s="2" t="s">
        <v>4160</v>
      </c>
      <c r="E18889" s="2" t="str">
        <f>"9783933127426"</f>
        <v>9783933127426</v>
      </c>
      <c r="F18889" s="2" t="str">
        <f>"9783839400425"</f>
        <v>9783839400425</v>
      </c>
    </row>
    <row r="18890" spans="1:6" s="3" customFormat="1" ht="29.1" customHeight="1" x14ac:dyDescent="0.25">
      <c r="A18890" s="2" t="s">
        <v>37136</v>
      </c>
      <c r="B18890" s="2" t="s">
        <v>37137</v>
      </c>
      <c r="C18890" s="2" t="s">
        <v>556</v>
      </c>
      <c r="D18890" s="2" t="s">
        <v>639</v>
      </c>
      <c r="E18890" s="2" t="str">
        <f>"9783933127402"</f>
        <v>9783933127402</v>
      </c>
      <c r="F18890" s="2" t="str">
        <f>"9783839400401"</f>
        <v>9783839400401</v>
      </c>
    </row>
    <row r="18891" spans="1:6" s="3" customFormat="1" ht="29.1" customHeight="1" x14ac:dyDescent="0.25">
      <c r="A18891" s="2" t="s">
        <v>37138</v>
      </c>
      <c r="B18891" s="2" t="s">
        <v>37139</v>
      </c>
      <c r="C18891" s="2" t="s">
        <v>556</v>
      </c>
      <c r="D18891" s="2" t="s">
        <v>484</v>
      </c>
      <c r="E18891" s="2" t="str">
        <f>"9783933127303"</f>
        <v>9783933127303</v>
      </c>
      <c r="F18891" s="2" t="str">
        <f>"9783839400302"</f>
        <v>9783839400302</v>
      </c>
    </row>
    <row r="18892" spans="1:6" s="3" customFormat="1" ht="29.1" customHeight="1" x14ac:dyDescent="0.25">
      <c r="A18892" s="2" t="s">
        <v>37140</v>
      </c>
      <c r="B18892" s="2" t="s">
        <v>37141</v>
      </c>
      <c r="C18892" s="2" t="s">
        <v>556</v>
      </c>
      <c r="D18892" s="2" t="s">
        <v>183</v>
      </c>
      <c r="E18892" s="2" t="str">
        <f>"9783933127266"</f>
        <v>9783933127266</v>
      </c>
      <c r="F18892" s="2" t="str">
        <f>"9783839400265"</f>
        <v>9783839400265</v>
      </c>
    </row>
    <row r="18893" spans="1:6" s="3" customFormat="1" ht="29.1" customHeight="1" x14ac:dyDescent="0.25">
      <c r="A18893" s="2" t="s">
        <v>37142</v>
      </c>
      <c r="B18893" s="2" t="s">
        <v>37143</v>
      </c>
      <c r="C18893" s="2" t="s">
        <v>556</v>
      </c>
      <c r="D18893" s="2" t="s">
        <v>484</v>
      </c>
      <c r="E18893" s="2" t="str">
        <f>"9783933127211"</f>
        <v>9783933127211</v>
      </c>
      <c r="F18893" s="2" t="str">
        <f>"9783839400210"</f>
        <v>9783839400210</v>
      </c>
    </row>
    <row r="18894" spans="1:6" s="3" customFormat="1" ht="29.1" customHeight="1" x14ac:dyDescent="0.25">
      <c r="A18894" s="2" t="s">
        <v>37144</v>
      </c>
      <c r="B18894" s="2" t="s">
        <v>37145</v>
      </c>
      <c r="C18894" s="2" t="s">
        <v>556</v>
      </c>
      <c r="D18894" s="2" t="s">
        <v>484</v>
      </c>
      <c r="E18894" s="2" t="str">
        <f>"9783933127129"</f>
        <v>9783933127129</v>
      </c>
      <c r="F18894" s="2" t="str">
        <f>"9783839400128"</f>
        <v>9783839400128</v>
      </c>
    </row>
    <row r="18895" spans="1:6" s="3" customFormat="1" ht="29.1" customHeight="1" x14ac:dyDescent="0.25">
      <c r="A18895" s="2" t="s">
        <v>37146</v>
      </c>
      <c r="B18895" s="2" t="s">
        <v>37086</v>
      </c>
      <c r="C18895" s="2" t="s">
        <v>556</v>
      </c>
      <c r="D18895" s="2" t="s">
        <v>2336</v>
      </c>
      <c r="E18895" s="2" t="str">
        <f>"9783933127075"</f>
        <v>9783933127075</v>
      </c>
      <c r="F18895" s="2" t="str">
        <f>"9783839400074"</f>
        <v>9783839400074</v>
      </c>
    </row>
    <row r="18896" spans="1:6" s="3" customFormat="1" ht="29.1" customHeight="1" x14ac:dyDescent="0.25">
      <c r="A18896" s="2" t="s">
        <v>37147</v>
      </c>
      <c r="B18896" s="2" t="s">
        <v>37148</v>
      </c>
      <c r="C18896" s="2" t="s">
        <v>556</v>
      </c>
      <c r="D18896" s="2" t="s">
        <v>484</v>
      </c>
      <c r="E18896" s="2" t="str">
        <f>"9783933127068"</f>
        <v>9783933127068</v>
      </c>
      <c r="F18896" s="2" t="str">
        <f>"9783839400067"</f>
        <v>9783839400067</v>
      </c>
    </row>
    <row r="18897" spans="1:6" s="3" customFormat="1" ht="29.1" customHeight="1" x14ac:dyDescent="0.25">
      <c r="A18897" s="2" t="s">
        <v>1307</v>
      </c>
      <c r="B18897" s="2" t="s">
        <v>37149</v>
      </c>
      <c r="C18897" s="2" t="s">
        <v>1070</v>
      </c>
      <c r="D18897" s="2" t="s">
        <v>1071</v>
      </c>
      <c r="E18897" s="2" t="str">
        <f>"9783318068214"</f>
        <v>9783318068214</v>
      </c>
      <c r="F18897" s="2" t="str">
        <f>"9783318068221"</f>
        <v>9783318068221</v>
      </c>
    </row>
    <row r="18898" spans="1:6" s="3" customFormat="1" ht="29.1" customHeight="1" x14ac:dyDescent="0.25">
      <c r="A18898" s="2" t="s">
        <v>37150</v>
      </c>
      <c r="B18898" s="2" t="s">
        <v>37151</v>
      </c>
      <c r="C18898" s="2" t="s">
        <v>1070</v>
      </c>
      <c r="D18898" s="2" t="s">
        <v>1313</v>
      </c>
      <c r="E18898" s="2" t="str">
        <f>"9783318069426"</f>
        <v>9783318069426</v>
      </c>
      <c r="F18898" s="2" t="str">
        <f>"9783318069693"</f>
        <v>9783318069693</v>
      </c>
    </row>
    <row r="18899" spans="1:6" s="3" customFormat="1" ht="29.1" customHeight="1" x14ac:dyDescent="0.25">
      <c r="A18899" s="2" t="s">
        <v>37152</v>
      </c>
      <c r="B18899" s="2" t="s">
        <v>37153</v>
      </c>
      <c r="C18899" s="2" t="s">
        <v>1070</v>
      </c>
      <c r="D18899" s="2" t="s">
        <v>1313</v>
      </c>
      <c r="E18899" s="2" t="str">
        <f>"9783318069433"</f>
        <v>9783318069433</v>
      </c>
      <c r="F18899" s="2" t="str">
        <f>"9783318069631"</f>
        <v>9783318069631</v>
      </c>
    </row>
    <row r="18900" spans="1:6" s="3" customFormat="1" ht="29.1" customHeight="1" x14ac:dyDescent="0.25">
      <c r="A18900" s="2" t="s">
        <v>37154</v>
      </c>
      <c r="B18900" s="2" t="s">
        <v>37153</v>
      </c>
      <c r="C18900" s="2" t="s">
        <v>1070</v>
      </c>
      <c r="D18900" s="2" t="s">
        <v>1313</v>
      </c>
      <c r="E18900" s="2" t="str">
        <f>"9783318069440"</f>
        <v>9783318069440</v>
      </c>
      <c r="F18900" s="2" t="str">
        <f>"9783318069662"</f>
        <v>9783318069662</v>
      </c>
    </row>
    <row r="18901" spans="1:6" s="3" customFormat="1" ht="29.1" customHeight="1" x14ac:dyDescent="0.25">
      <c r="A18901" s="2" t="s">
        <v>37155</v>
      </c>
      <c r="B18901" s="2" t="s">
        <v>37156</v>
      </c>
      <c r="C18901" s="2" t="s">
        <v>124</v>
      </c>
      <c r="D18901" s="2" t="s">
        <v>4253</v>
      </c>
      <c r="E18901" s="2" t="str">
        <f>"9789462989511"</f>
        <v>9789462989511</v>
      </c>
      <c r="F18901" s="2" t="str">
        <f>"9781040797839"</f>
        <v>9781040797839</v>
      </c>
    </row>
    <row r="18902" spans="1:6" s="3" customFormat="1" ht="29.1" customHeight="1" x14ac:dyDescent="0.25">
      <c r="A18902" s="2" t="s">
        <v>37157</v>
      </c>
      <c r="B18902" s="2" t="s">
        <v>37158</v>
      </c>
      <c r="C18902" s="2" t="s">
        <v>264</v>
      </c>
      <c r="D18902" s="2" t="s">
        <v>144</v>
      </c>
      <c r="E18902" s="2" t="str">
        <f>"9781032044514"</f>
        <v>9781032044514</v>
      </c>
      <c r="F18902" s="2" t="str">
        <f>"9781000441017"</f>
        <v>9781000441017</v>
      </c>
    </row>
    <row r="18903" spans="1:6" s="3" customFormat="1" ht="29.1" customHeight="1" x14ac:dyDescent="0.25">
      <c r="A18903" s="2" t="s">
        <v>37159</v>
      </c>
      <c r="B18903" s="2" t="s">
        <v>37160</v>
      </c>
      <c r="C18903" s="2" t="s">
        <v>124</v>
      </c>
      <c r="D18903" s="2" t="s">
        <v>33</v>
      </c>
      <c r="E18903" s="2" t="str">
        <f>"9781032004549"</f>
        <v>9781032004549</v>
      </c>
      <c r="F18903" s="2" t="str">
        <f>"9781000513967"</f>
        <v>9781000513967</v>
      </c>
    </row>
    <row r="18904" spans="1:6" s="3" customFormat="1" ht="29.1" customHeight="1" x14ac:dyDescent="0.25">
      <c r="A18904" s="2" t="s">
        <v>37161</v>
      </c>
      <c r="B18904" s="2" t="s">
        <v>37162</v>
      </c>
      <c r="C18904" s="2" t="s">
        <v>124</v>
      </c>
      <c r="D18904" s="2" t="s">
        <v>1463</v>
      </c>
      <c r="E18904" s="2" t="str">
        <f>"9780367608804"</f>
        <v>9780367608804</v>
      </c>
      <c r="F18904" s="2" t="str">
        <f>"9781000507973"</f>
        <v>9781000507973</v>
      </c>
    </row>
    <row r="18905" spans="1:6" s="3" customFormat="1" ht="29.1" customHeight="1" x14ac:dyDescent="0.25">
      <c r="A18905" s="2" t="s">
        <v>37163</v>
      </c>
      <c r="B18905" s="2" t="s">
        <v>37165</v>
      </c>
      <c r="C18905" s="2" t="s">
        <v>124</v>
      </c>
      <c r="D18905" s="2" t="s">
        <v>37164</v>
      </c>
      <c r="E18905" s="2" t="str">
        <f>"9780367688271"</f>
        <v>9780367688271</v>
      </c>
      <c r="F18905" s="2" t="str">
        <f>"9781000514216"</f>
        <v>9781000514216</v>
      </c>
    </row>
    <row r="18906" spans="1:6" s="3" customFormat="1" ht="29.1" customHeight="1" x14ac:dyDescent="0.25">
      <c r="A18906" s="2" t="s">
        <v>37166</v>
      </c>
      <c r="B18906" s="2" t="s">
        <v>37167</v>
      </c>
      <c r="C18906" s="2" t="s">
        <v>124</v>
      </c>
      <c r="D18906" s="2" t="s">
        <v>95</v>
      </c>
      <c r="E18906" s="2" t="str">
        <f>"9780367480912"</f>
        <v>9780367480912</v>
      </c>
      <c r="F18906" s="2" t="str">
        <f>"9781000449815"</f>
        <v>9781000449815</v>
      </c>
    </row>
    <row r="18907" spans="1:6" s="3" customFormat="1" ht="29.1" customHeight="1" x14ac:dyDescent="0.25">
      <c r="A18907" s="2" t="s">
        <v>37168</v>
      </c>
      <c r="B18907" s="2" t="s">
        <v>37169</v>
      </c>
      <c r="C18907" s="2" t="s">
        <v>124</v>
      </c>
      <c r="D18907" s="2" t="s">
        <v>1001</v>
      </c>
      <c r="E18907" s="2" t="str">
        <f>"9780367765002"</f>
        <v>9780367765002</v>
      </c>
      <c r="F18907" s="2" t="str">
        <f>"9781000511949"</f>
        <v>9781000511949</v>
      </c>
    </row>
    <row r="18908" spans="1:6" s="3" customFormat="1" ht="29.1" customHeight="1" x14ac:dyDescent="0.25">
      <c r="A18908" s="2" t="s">
        <v>37170</v>
      </c>
      <c r="B18908" s="2" t="s">
        <v>37171</v>
      </c>
      <c r="C18908" s="2" t="s">
        <v>124</v>
      </c>
      <c r="D18908" s="2" t="s">
        <v>4172</v>
      </c>
      <c r="E18908" s="2" t="str">
        <f>"9781032077901"</f>
        <v>9781032077901</v>
      </c>
      <c r="F18908" s="2" t="str">
        <f>"9781000516258"</f>
        <v>9781000516258</v>
      </c>
    </row>
    <row r="18909" spans="1:6" s="3" customFormat="1" ht="29.1" customHeight="1" x14ac:dyDescent="0.25">
      <c r="A18909" s="2" t="s">
        <v>37172</v>
      </c>
      <c r="B18909" s="2" t="s">
        <v>37173</v>
      </c>
      <c r="C18909" s="2" t="s">
        <v>124</v>
      </c>
      <c r="D18909" s="2" t="s">
        <v>210</v>
      </c>
      <c r="E18909" s="2" t="str">
        <f>"9780367607869"</f>
        <v>9780367607869</v>
      </c>
      <c r="F18909" s="2" t="str">
        <f>"9781000467550"</f>
        <v>9781000467550</v>
      </c>
    </row>
    <row r="18910" spans="1:6" s="3" customFormat="1" ht="29.1" customHeight="1" x14ac:dyDescent="0.25">
      <c r="A18910" s="2" t="s">
        <v>37174</v>
      </c>
      <c r="B18910" s="2" t="s">
        <v>37175</v>
      </c>
      <c r="C18910" s="2" t="s">
        <v>124</v>
      </c>
      <c r="D18910" s="2" t="s">
        <v>791</v>
      </c>
      <c r="E18910" s="2" t="str">
        <f>"9781032041803"</f>
        <v>9781032041803</v>
      </c>
      <c r="F18910" s="2" t="str">
        <f>"9781000518191"</f>
        <v>9781000518191</v>
      </c>
    </row>
    <row r="18911" spans="1:6" s="3" customFormat="1" ht="29.1" customHeight="1" x14ac:dyDescent="0.25">
      <c r="A18911" s="2" t="s">
        <v>37176</v>
      </c>
      <c r="B18911" s="2" t="s">
        <v>37177</v>
      </c>
      <c r="C18911" s="2" t="s">
        <v>124</v>
      </c>
      <c r="D18911" s="2" t="s">
        <v>639</v>
      </c>
      <c r="E18911" s="2" t="str">
        <f>"9780367637286"</f>
        <v>9780367637286</v>
      </c>
      <c r="F18911" s="2" t="str">
        <f>"9781000512380"</f>
        <v>9781000512380</v>
      </c>
    </row>
    <row r="18912" spans="1:6" s="3" customFormat="1" ht="29.1" customHeight="1" x14ac:dyDescent="0.25">
      <c r="A18912" s="2" t="s">
        <v>37178</v>
      </c>
      <c r="B18912" s="2" t="s">
        <v>37179</v>
      </c>
      <c r="C18912" s="2" t="s">
        <v>124</v>
      </c>
      <c r="D18912" s="2" t="s">
        <v>5758</v>
      </c>
      <c r="E18912" s="2" t="str">
        <f>"9781032078717"</f>
        <v>9781032078717</v>
      </c>
      <c r="F18912" s="2" t="str">
        <f>"9781000513868"</f>
        <v>9781000513868</v>
      </c>
    </row>
    <row r="18913" spans="1:6" s="3" customFormat="1" ht="29.1" customHeight="1" x14ac:dyDescent="0.25">
      <c r="A18913" s="2" t="s">
        <v>37180</v>
      </c>
      <c r="B18913" s="2" t="s">
        <v>3164</v>
      </c>
      <c r="C18913" s="2" t="s">
        <v>124</v>
      </c>
      <c r="D18913" s="2" t="s">
        <v>2147</v>
      </c>
      <c r="E18913" s="2" t="str">
        <f>"9781032109206"</f>
        <v>9781032109206</v>
      </c>
      <c r="F18913" s="2" t="str">
        <f>"9781000511246"</f>
        <v>9781000511246</v>
      </c>
    </row>
    <row r="18914" spans="1:6" s="3" customFormat="1" ht="29.1" customHeight="1" x14ac:dyDescent="0.25">
      <c r="A18914" s="2" t="s">
        <v>37181</v>
      </c>
      <c r="B18914" s="2" t="s">
        <v>37182</v>
      </c>
      <c r="C18914" s="2" t="s">
        <v>124</v>
      </c>
      <c r="D18914" s="2" t="s">
        <v>614</v>
      </c>
      <c r="E18914" s="2" t="str">
        <f>"9781032010915"</f>
        <v>9781032010915</v>
      </c>
      <c r="F18914" s="2" t="str">
        <f>"9781000512212"</f>
        <v>9781000512212</v>
      </c>
    </row>
    <row r="18915" spans="1:6" s="3" customFormat="1" ht="29.1" customHeight="1" x14ac:dyDescent="0.25">
      <c r="A18915" s="2" t="s">
        <v>37183</v>
      </c>
      <c r="B18915" s="2" t="s">
        <v>37184</v>
      </c>
      <c r="C18915" s="2" t="s">
        <v>124</v>
      </c>
      <c r="D18915" s="2" t="s">
        <v>297</v>
      </c>
      <c r="E18915" s="2" t="str">
        <f>"9781032039992"</f>
        <v>9781032039992</v>
      </c>
      <c r="F18915" s="2" t="str">
        <f>"9781000511796"</f>
        <v>9781000511796</v>
      </c>
    </row>
    <row r="18916" spans="1:6" s="3" customFormat="1" ht="29.1" customHeight="1" x14ac:dyDescent="0.25">
      <c r="A18916" s="2" t="s">
        <v>37185</v>
      </c>
      <c r="B18916" s="2" t="s">
        <v>37186</v>
      </c>
      <c r="C18916" s="2" t="s">
        <v>124</v>
      </c>
      <c r="D18916" s="2" t="s">
        <v>294</v>
      </c>
      <c r="E18916" s="2" t="str">
        <f>"9780367516215"</f>
        <v>9780367516215</v>
      </c>
      <c r="F18916" s="2" t="str">
        <f>"9781000513929"</f>
        <v>9781000513929</v>
      </c>
    </row>
    <row r="18917" spans="1:6" s="3" customFormat="1" ht="29.1" customHeight="1" x14ac:dyDescent="0.25">
      <c r="A18917" s="2" t="s">
        <v>37187</v>
      </c>
      <c r="B18917" s="2" t="s">
        <v>37188</v>
      </c>
      <c r="C18917" s="2" t="s">
        <v>124</v>
      </c>
      <c r="D18917" s="2" t="s">
        <v>1162</v>
      </c>
      <c r="E18917" s="2" t="str">
        <f>"9781032070001"</f>
        <v>9781032070001</v>
      </c>
      <c r="F18917" s="2" t="str">
        <f>"9781000513110"</f>
        <v>9781000513110</v>
      </c>
    </row>
    <row r="18918" spans="1:6" s="3" customFormat="1" ht="29.1" customHeight="1" x14ac:dyDescent="0.25">
      <c r="A18918" s="2" t="s">
        <v>37189</v>
      </c>
      <c r="B18918" s="2" t="s">
        <v>37190</v>
      </c>
      <c r="C18918" s="2" t="s">
        <v>124</v>
      </c>
      <c r="D18918" s="2" t="s">
        <v>297</v>
      </c>
      <c r="E18918" s="2" t="str">
        <f>"9780367419974"</f>
        <v>9780367419974</v>
      </c>
      <c r="F18918" s="2" t="str">
        <f>"9780367817183"</f>
        <v>9780367817183</v>
      </c>
    </row>
    <row r="18919" spans="1:6" s="3" customFormat="1" ht="29.1" customHeight="1" x14ac:dyDescent="0.25">
      <c r="A18919" s="2" t="s">
        <v>37191</v>
      </c>
      <c r="B18919" s="2" t="s">
        <v>37192</v>
      </c>
      <c r="C18919" s="2" t="s">
        <v>124</v>
      </c>
      <c r="D18919" s="2" t="s">
        <v>5716</v>
      </c>
      <c r="E18919" s="2" t="str">
        <f>"9781032055985"</f>
        <v>9781032055985</v>
      </c>
      <c r="F18919" s="2" t="str">
        <f>"9781000515244"</f>
        <v>9781000515244</v>
      </c>
    </row>
    <row r="18920" spans="1:6" s="3" customFormat="1" ht="29.1" customHeight="1" x14ac:dyDescent="0.25">
      <c r="A18920" s="2" t="s">
        <v>37193</v>
      </c>
      <c r="B18920" s="2" t="s">
        <v>37194</v>
      </c>
      <c r="C18920" s="2" t="s">
        <v>124</v>
      </c>
      <c r="D18920" s="2" t="s">
        <v>86</v>
      </c>
      <c r="E18920" s="2" t="str">
        <f>"9780367610241"</f>
        <v>9780367610241</v>
      </c>
      <c r="F18920" s="2" t="str">
        <f>"9781000517262"</f>
        <v>9781000517262</v>
      </c>
    </row>
    <row r="18921" spans="1:6" s="3" customFormat="1" ht="29.1" customHeight="1" x14ac:dyDescent="0.25">
      <c r="A18921" s="2" t="s">
        <v>37195</v>
      </c>
      <c r="B18921" s="2" t="s">
        <v>37196</v>
      </c>
      <c r="C18921" s="2" t="s">
        <v>5059</v>
      </c>
      <c r="D18921" s="2" t="s">
        <v>606</v>
      </c>
      <c r="E18921" s="2" t="str">
        <f>"9781920899790"</f>
        <v>9781920899790</v>
      </c>
      <c r="F18921" s="2" t="str">
        <f>"9781743326046"</f>
        <v>9781743326046</v>
      </c>
    </row>
    <row r="18922" spans="1:6" s="3" customFormat="1" ht="29.1" customHeight="1" x14ac:dyDescent="0.25">
      <c r="A18922" s="2" t="s">
        <v>37197</v>
      </c>
      <c r="B18922" s="2" t="s">
        <v>37198</v>
      </c>
      <c r="C18922" s="2" t="s">
        <v>5059</v>
      </c>
      <c r="D18922" s="2" t="s">
        <v>1637</v>
      </c>
      <c r="E18922" s="2" t="str">
        <f>"9781743324738"</f>
        <v>9781743324738</v>
      </c>
      <c r="F18922" s="2" t="str">
        <f>"9781743324745"</f>
        <v>9781743324745</v>
      </c>
    </row>
    <row r="18923" spans="1:6" s="3" customFormat="1" ht="29.1" customHeight="1" x14ac:dyDescent="0.25">
      <c r="A18923" s="2" t="s">
        <v>37199</v>
      </c>
      <c r="B18923" s="2" t="s">
        <v>37200</v>
      </c>
      <c r="C18923" s="2" t="s">
        <v>595</v>
      </c>
      <c r="D18923" s="2" t="s">
        <v>2307</v>
      </c>
      <c r="E18923" s="2" t="str">
        <f>"9783034339902"</f>
        <v>9783034339902</v>
      </c>
      <c r="F18923" s="2" t="str">
        <f>"9783034343190"</f>
        <v>9783034343190</v>
      </c>
    </row>
    <row r="18924" spans="1:6" s="3" customFormat="1" ht="29.1" customHeight="1" x14ac:dyDescent="0.25">
      <c r="A18924" s="2" t="s">
        <v>37201</v>
      </c>
      <c r="B18924" s="2" t="s">
        <v>37202</v>
      </c>
      <c r="C18924" s="2" t="s">
        <v>595</v>
      </c>
      <c r="D18924" s="2" t="s">
        <v>3564</v>
      </c>
      <c r="E18924" s="2" t="str">
        <f>"9783631833728"</f>
        <v>9783631833728</v>
      </c>
      <c r="F18924" s="2" t="str">
        <f>"9783631846537"</f>
        <v>9783631846537</v>
      </c>
    </row>
    <row r="18925" spans="1:6" s="3" customFormat="1" ht="29.1" customHeight="1" x14ac:dyDescent="0.25">
      <c r="A18925" s="2" t="s">
        <v>37203</v>
      </c>
      <c r="B18925" s="2" t="s">
        <v>37204</v>
      </c>
      <c r="C18925" s="2" t="s">
        <v>34257</v>
      </c>
      <c r="D18925" s="2" t="s">
        <v>758</v>
      </c>
      <c r="E18925" s="2" t="str">
        <f>"9780745342740"</f>
        <v>9780745342740</v>
      </c>
      <c r="F18925" s="2" t="str">
        <f>"9780745342801"</f>
        <v>9780745342801</v>
      </c>
    </row>
    <row r="18926" spans="1:6" s="3" customFormat="1" ht="29.1" customHeight="1" x14ac:dyDescent="0.25">
      <c r="A18926" s="2" t="s">
        <v>37205</v>
      </c>
      <c r="B18926" s="2" t="s">
        <v>37206</v>
      </c>
      <c r="C18926" s="2" t="s">
        <v>36</v>
      </c>
      <c r="D18926" s="2" t="s">
        <v>2341</v>
      </c>
      <c r="E18926" s="2" t="str">
        <f>"9781447358725"</f>
        <v>9781447358725</v>
      </c>
      <c r="F18926" s="2" t="str">
        <f>"9781447358756"</f>
        <v>9781447358756</v>
      </c>
    </row>
    <row r="18927" spans="1:6" s="3" customFormat="1" ht="29.1" customHeight="1" x14ac:dyDescent="0.25">
      <c r="A18927" s="2" t="s">
        <v>37207</v>
      </c>
      <c r="B18927" s="2" t="s">
        <v>26038</v>
      </c>
      <c r="C18927" s="2" t="s">
        <v>149</v>
      </c>
      <c r="D18927" s="2" t="s">
        <v>2798</v>
      </c>
      <c r="E18927" s="2" t="str">
        <f>"9781800642300"</f>
        <v>9781800642300</v>
      </c>
      <c r="F18927" s="2" t="str">
        <f>"9781800642324"</f>
        <v>9781800642324</v>
      </c>
    </row>
    <row r="18928" spans="1:6" s="3" customFormat="1" ht="29.1" customHeight="1" x14ac:dyDescent="0.25">
      <c r="A18928" s="2" t="s">
        <v>37208</v>
      </c>
      <c r="B18928" s="2" t="s">
        <v>37209</v>
      </c>
      <c r="C18928" s="2" t="s">
        <v>149</v>
      </c>
      <c r="D18928" s="2" t="s">
        <v>636</v>
      </c>
      <c r="E18928" s="2" t="str">
        <f>"9781800642065"</f>
        <v>9781800642065</v>
      </c>
      <c r="F18928" s="2" t="str">
        <f>"9781800642089"</f>
        <v>9781800642089</v>
      </c>
    </row>
    <row r="18929" spans="1:6" s="3" customFormat="1" ht="29.1" customHeight="1" x14ac:dyDescent="0.25">
      <c r="A18929" s="2" t="s">
        <v>37210</v>
      </c>
      <c r="B18929" s="2" t="s">
        <v>37211</v>
      </c>
      <c r="C18929" s="2" t="s">
        <v>195</v>
      </c>
      <c r="D18929" s="2" t="s">
        <v>9</v>
      </c>
      <c r="E18929" s="2" t="str">
        <f>"9783110610574"</f>
        <v>9783110610574</v>
      </c>
      <c r="F18929" s="2" t="str">
        <f>"9783110610604"</f>
        <v>9783110610604</v>
      </c>
    </row>
    <row r="18930" spans="1:6" s="3" customFormat="1" ht="29.1" customHeight="1" x14ac:dyDescent="0.25">
      <c r="A18930" s="2" t="s">
        <v>37212</v>
      </c>
      <c r="B18930" s="2" t="s">
        <v>37213</v>
      </c>
      <c r="C18930" s="2" t="s">
        <v>248</v>
      </c>
      <c r="D18930" s="2" t="s">
        <v>249</v>
      </c>
      <c r="E18930" s="2" t="str">
        <f>"9783847424987"</f>
        <v>9783847424987</v>
      </c>
      <c r="F18930" s="2" t="str">
        <f>"9783847416425"</f>
        <v>9783847416425</v>
      </c>
    </row>
    <row r="18931" spans="1:6" s="3" customFormat="1" ht="29.1" customHeight="1" x14ac:dyDescent="0.25">
      <c r="A18931" s="2" t="s">
        <v>37214</v>
      </c>
      <c r="B18931" s="2" t="s">
        <v>37215</v>
      </c>
      <c r="C18931" s="2" t="s">
        <v>248</v>
      </c>
      <c r="D18931" s="2" t="s">
        <v>183</v>
      </c>
      <c r="E18931" s="2" t="str">
        <f>"9783847425854"</f>
        <v>9783847425854</v>
      </c>
      <c r="F18931" s="2" t="str">
        <f>"9783847417439"</f>
        <v>9783847417439</v>
      </c>
    </row>
    <row r="18932" spans="1:6" s="3" customFormat="1" ht="29.1" customHeight="1" x14ac:dyDescent="0.25">
      <c r="A18932" s="2" t="s">
        <v>37216</v>
      </c>
      <c r="B18932" s="2" t="s">
        <v>37217</v>
      </c>
      <c r="C18932" s="2" t="s">
        <v>248</v>
      </c>
      <c r="D18932" s="2" t="s">
        <v>21</v>
      </c>
      <c r="E18932" s="2" t="str">
        <f>"9783847425014"</f>
        <v>9783847425014</v>
      </c>
      <c r="F18932" s="2" t="str">
        <f>"9783847416456"</f>
        <v>9783847416456</v>
      </c>
    </row>
    <row r="18933" spans="1:6" s="3" customFormat="1" ht="29.1" customHeight="1" x14ac:dyDescent="0.25">
      <c r="A18933" s="2" t="s">
        <v>37218</v>
      </c>
      <c r="B18933" s="2" t="s">
        <v>37219</v>
      </c>
      <c r="C18933" s="2" t="s">
        <v>124</v>
      </c>
      <c r="D18933" s="2" t="s">
        <v>2178</v>
      </c>
      <c r="E18933" s="2" t="str">
        <f>"9780367724535"</f>
        <v>9780367724535</v>
      </c>
      <c r="F18933" s="2" t="str">
        <f>"9781000390513"</f>
        <v>9781000390513</v>
      </c>
    </row>
    <row r="18934" spans="1:6" s="3" customFormat="1" ht="29.1" customHeight="1" x14ac:dyDescent="0.25">
      <c r="A18934" s="2" t="s">
        <v>37220</v>
      </c>
      <c r="B18934" s="2" t="s">
        <v>37221</v>
      </c>
      <c r="C18934" s="2" t="s">
        <v>36</v>
      </c>
      <c r="D18934" s="2" t="s">
        <v>75</v>
      </c>
      <c r="E18934" s="2" t="str">
        <f>"9781447356189"</f>
        <v>9781447356189</v>
      </c>
      <c r="F18934" s="2" t="str">
        <f>"9781447357971"</f>
        <v>9781447357971</v>
      </c>
    </row>
    <row r="18935" spans="1:6" s="3" customFormat="1" ht="29.1" customHeight="1" x14ac:dyDescent="0.25">
      <c r="A18935" s="2" t="s">
        <v>37222</v>
      </c>
      <c r="B18935" s="2" t="s">
        <v>37223</v>
      </c>
      <c r="C18935" s="2" t="s">
        <v>5059</v>
      </c>
      <c r="D18935" s="2" t="s">
        <v>6972</v>
      </c>
      <c r="E18935" s="2" t="str">
        <f>"9781743320310"</f>
        <v>9781743320310</v>
      </c>
      <c r="F18935" s="2" t="str">
        <f>"9781743320327"</f>
        <v>9781743320327</v>
      </c>
    </row>
    <row r="18936" spans="1:6" s="3" customFormat="1" ht="29.1" customHeight="1" x14ac:dyDescent="0.25">
      <c r="A18936" s="2" t="s">
        <v>37224</v>
      </c>
      <c r="B18936" s="2" t="s">
        <v>37225</v>
      </c>
      <c r="C18936" s="2" t="s">
        <v>5059</v>
      </c>
      <c r="D18936" s="2" t="s">
        <v>1598</v>
      </c>
      <c r="E18936" s="2" t="str">
        <f>"9781920899752"</f>
        <v>9781920899752</v>
      </c>
      <c r="F18936" s="2" t="str">
        <f>"9781743326213"</f>
        <v>9781743326213</v>
      </c>
    </row>
    <row r="18937" spans="1:6" s="3" customFormat="1" ht="29.1" customHeight="1" x14ac:dyDescent="0.25">
      <c r="A18937" s="2" t="s">
        <v>37226</v>
      </c>
      <c r="B18937" s="2" t="s">
        <v>37227</v>
      </c>
      <c r="C18937" s="2" t="s">
        <v>5059</v>
      </c>
      <c r="D18937" s="2" t="s">
        <v>3536</v>
      </c>
      <c r="E18937" s="2" t="str">
        <f>"9781743323885"</f>
        <v>9781743323885</v>
      </c>
      <c r="F18937" s="2" t="str">
        <f>"9781743324950"</f>
        <v>9781743324950</v>
      </c>
    </row>
    <row r="18938" spans="1:6" s="3" customFormat="1" ht="29.1" customHeight="1" x14ac:dyDescent="0.25">
      <c r="A18938" s="2" t="s">
        <v>37228</v>
      </c>
      <c r="B18938" s="2" t="s">
        <v>37229</v>
      </c>
      <c r="C18938" s="2" t="s">
        <v>5059</v>
      </c>
      <c r="D18938" s="2" t="s">
        <v>11751</v>
      </c>
      <c r="E18938" s="2" t="str">
        <f>"9781743323892"</f>
        <v>9781743323892</v>
      </c>
      <c r="F18938" s="2" t="str">
        <f>"9781743324943"</f>
        <v>9781743324943</v>
      </c>
    </row>
    <row r="18939" spans="1:6" s="3" customFormat="1" ht="29.1" customHeight="1" x14ac:dyDescent="0.25">
      <c r="A18939" s="2" t="s">
        <v>37230</v>
      </c>
      <c r="B18939" s="2" t="s">
        <v>37231</v>
      </c>
      <c r="C18939" s="2" t="s">
        <v>5059</v>
      </c>
      <c r="D18939" s="2" t="s">
        <v>1823</v>
      </c>
      <c r="E18939" s="2" t="str">
        <f>"9781743320273"</f>
        <v>9781743320273</v>
      </c>
      <c r="F18939" s="2" t="str">
        <f>"9781743320280"</f>
        <v>9781743320280</v>
      </c>
    </row>
    <row r="18940" spans="1:6" s="3" customFormat="1" ht="29.1" customHeight="1" x14ac:dyDescent="0.25">
      <c r="A18940" s="2" t="s">
        <v>37232</v>
      </c>
      <c r="B18940" s="2" t="s">
        <v>37234</v>
      </c>
      <c r="C18940" s="2" t="s">
        <v>37233</v>
      </c>
      <c r="D18940" s="2" t="s">
        <v>6247</v>
      </c>
      <c r="E18940" s="2" t="str">
        <f>"9780815601586"</f>
        <v>9780815601586</v>
      </c>
      <c r="F18940" s="2" t="str">
        <f>"9781684450145"</f>
        <v>9781684450145</v>
      </c>
    </row>
    <row r="18941" spans="1:6" s="3" customFormat="1" ht="29.1" customHeight="1" x14ac:dyDescent="0.25">
      <c r="A18941" s="2" t="s">
        <v>37235</v>
      </c>
      <c r="B18941" s="2" t="s">
        <v>37236</v>
      </c>
      <c r="C18941" s="2" t="s">
        <v>37233</v>
      </c>
      <c r="D18941" s="2" t="s">
        <v>25411</v>
      </c>
      <c r="E18941" s="2" t="str">
        <f>"9780815604327"</f>
        <v>9780815604327</v>
      </c>
      <c r="F18941" s="2" t="str">
        <f>"9781684450060"</f>
        <v>9781684450060</v>
      </c>
    </row>
    <row r="18942" spans="1:6" s="3" customFormat="1" ht="29.1" customHeight="1" x14ac:dyDescent="0.25">
      <c r="A18942" s="2" t="s">
        <v>37237</v>
      </c>
      <c r="B18942" s="2" t="s">
        <v>37238</v>
      </c>
      <c r="C18942" s="2" t="s">
        <v>37233</v>
      </c>
      <c r="D18942" s="2" t="s">
        <v>25411</v>
      </c>
      <c r="E18942" s="2" t="str">
        <f>"9780815627111"</f>
        <v>9780815627111</v>
      </c>
      <c r="F18942" s="2" t="str">
        <f>"9781684450046"</f>
        <v>9781684450046</v>
      </c>
    </row>
    <row r="18943" spans="1:6" s="3" customFormat="1" ht="29.1" customHeight="1" x14ac:dyDescent="0.25">
      <c r="A18943" s="2" t="s">
        <v>37239</v>
      </c>
      <c r="B18943" s="2" t="s">
        <v>37240</v>
      </c>
      <c r="C18943" s="2" t="s">
        <v>37233</v>
      </c>
      <c r="D18943" s="2" t="s">
        <v>25411</v>
      </c>
      <c r="E18943" s="2" t="str">
        <f>"9780815601173"</f>
        <v>9780815601173</v>
      </c>
      <c r="F18943" s="2" t="str">
        <f>"9781684450039"</f>
        <v>9781684450039</v>
      </c>
    </row>
    <row r="18944" spans="1:6" s="3" customFormat="1" ht="29.1" customHeight="1" x14ac:dyDescent="0.25">
      <c r="A18944" s="2" t="s">
        <v>37241</v>
      </c>
      <c r="B18944" s="2" t="s">
        <v>37242</v>
      </c>
      <c r="C18944" s="2" t="s">
        <v>37233</v>
      </c>
      <c r="D18944" s="2" t="s">
        <v>25411</v>
      </c>
      <c r="E18944" s="2" t="str">
        <f>"9780815601616"</f>
        <v>9780815601616</v>
      </c>
      <c r="F18944" s="2" t="str">
        <f>"9781684450022"</f>
        <v>9781684450022</v>
      </c>
    </row>
    <row r="18945" spans="1:6" s="3" customFormat="1" ht="29.1" customHeight="1" x14ac:dyDescent="0.25">
      <c r="A18945" s="2" t="s">
        <v>37243</v>
      </c>
      <c r="B18945" s="2" t="s">
        <v>37236</v>
      </c>
      <c r="C18945" s="2" t="s">
        <v>37233</v>
      </c>
      <c r="D18945" s="2" t="s">
        <v>25411</v>
      </c>
      <c r="E18945" s="2" t="str">
        <f>"9780815625476"</f>
        <v>9780815625476</v>
      </c>
      <c r="F18945" s="2" t="str">
        <f>"9781684450091"</f>
        <v>9781684450091</v>
      </c>
    </row>
    <row r="18946" spans="1:6" s="3" customFormat="1" ht="29.1" customHeight="1" x14ac:dyDescent="0.25">
      <c r="A18946" s="2" t="s">
        <v>37244</v>
      </c>
      <c r="B18946" s="2" t="s">
        <v>37245</v>
      </c>
      <c r="C18946" s="2" t="s">
        <v>37233</v>
      </c>
      <c r="D18946" s="2" t="s">
        <v>25411</v>
      </c>
      <c r="E18946" s="2" t="str">
        <f>"9780815627364"</f>
        <v>9780815627364</v>
      </c>
      <c r="F18946" s="2" t="str">
        <f>"9781684450084"</f>
        <v>9781684450084</v>
      </c>
    </row>
    <row r="18947" spans="1:6" s="3" customFormat="1" ht="29.1" customHeight="1" x14ac:dyDescent="0.25">
      <c r="A18947" s="2" t="s">
        <v>37246</v>
      </c>
      <c r="B18947" s="2" t="s">
        <v>37247</v>
      </c>
      <c r="C18947" s="2" t="s">
        <v>37233</v>
      </c>
      <c r="D18947" s="2" t="s">
        <v>25411</v>
      </c>
      <c r="E18947" s="2" t="str">
        <f>"9780815604402"</f>
        <v>9780815604402</v>
      </c>
      <c r="F18947" s="2" t="str">
        <f>"9781684450077"</f>
        <v>9781684450077</v>
      </c>
    </row>
    <row r="18948" spans="1:6" s="3" customFormat="1" ht="29.1" customHeight="1" x14ac:dyDescent="0.25">
      <c r="A18948" s="2" t="s">
        <v>37248</v>
      </c>
      <c r="B18948" s="2" t="s">
        <v>37249</v>
      </c>
      <c r="C18948" s="2" t="s">
        <v>37233</v>
      </c>
      <c r="D18948" s="2" t="s">
        <v>3993</v>
      </c>
      <c r="E18948" s="2" t="str">
        <f>"9780815627197"</f>
        <v>9780815627197</v>
      </c>
      <c r="F18948" s="2" t="str">
        <f>"9781684450053"</f>
        <v>9781684450053</v>
      </c>
    </row>
    <row r="18949" spans="1:6" s="3" customFormat="1" ht="29.1" customHeight="1" x14ac:dyDescent="0.25">
      <c r="A18949" s="2" t="s">
        <v>37250</v>
      </c>
      <c r="B18949" s="2" t="s">
        <v>37251</v>
      </c>
      <c r="C18949" s="2" t="s">
        <v>37233</v>
      </c>
      <c r="D18949" s="2" t="s">
        <v>15382</v>
      </c>
      <c r="E18949" s="2" t="str">
        <f>"9780815622840"</f>
        <v>9780815622840</v>
      </c>
      <c r="F18949" s="2" t="str">
        <f>"9781684450138"</f>
        <v>9781684450138</v>
      </c>
    </row>
    <row r="18950" spans="1:6" s="3" customFormat="1" ht="29.1" customHeight="1" x14ac:dyDescent="0.25">
      <c r="A18950" s="2" t="s">
        <v>37252</v>
      </c>
      <c r="B18950" s="2" t="s">
        <v>37253</v>
      </c>
      <c r="C18950" s="2" t="s">
        <v>37233</v>
      </c>
      <c r="D18950" s="2" t="s">
        <v>353</v>
      </c>
      <c r="E18950" s="2" t="str">
        <f>"9780815621430"</f>
        <v>9780815621430</v>
      </c>
      <c r="F18950" s="2" t="str">
        <f>"9781684450114"</f>
        <v>9781684450114</v>
      </c>
    </row>
    <row r="18951" spans="1:6" s="3" customFormat="1" ht="29.1" customHeight="1" x14ac:dyDescent="0.25">
      <c r="A18951" s="2" t="s">
        <v>37254</v>
      </c>
      <c r="B18951" s="2" t="s">
        <v>37255</v>
      </c>
      <c r="C18951" s="2" t="s">
        <v>37233</v>
      </c>
      <c r="D18951" s="2" t="s">
        <v>3993</v>
      </c>
      <c r="E18951" s="2" t="str">
        <f>"9780815624370"</f>
        <v>9780815624370</v>
      </c>
      <c r="F18951" s="2" t="str">
        <f>"9781684450169"</f>
        <v>9781684450169</v>
      </c>
    </row>
    <row r="18952" spans="1:6" s="3" customFormat="1" ht="29.1" customHeight="1" x14ac:dyDescent="0.25">
      <c r="A18952" s="2" t="s">
        <v>37256</v>
      </c>
      <c r="B18952" s="2" t="s">
        <v>37257</v>
      </c>
      <c r="C18952" s="2" t="s">
        <v>37233</v>
      </c>
      <c r="D18952" s="2" t="s">
        <v>2513</v>
      </c>
      <c r="E18952" s="2" t="str">
        <f>"9780815604419"</f>
        <v>9780815604419</v>
      </c>
      <c r="F18952" s="2" t="str">
        <f>"9781684450107"</f>
        <v>9781684450107</v>
      </c>
    </row>
    <row r="18953" spans="1:6" s="3" customFormat="1" ht="29.1" customHeight="1" x14ac:dyDescent="0.25">
      <c r="A18953" s="2" t="s">
        <v>37258</v>
      </c>
      <c r="B18953" s="2" t="s">
        <v>37259</v>
      </c>
      <c r="C18953" s="2" t="s">
        <v>37233</v>
      </c>
      <c r="D18953" s="2" t="s">
        <v>25411</v>
      </c>
      <c r="E18953" s="2" t="str">
        <f>"9780815624820"</f>
        <v>9780815624820</v>
      </c>
      <c r="F18953" s="2" t="str">
        <f>"9781684450176"</f>
        <v>9781684450176</v>
      </c>
    </row>
    <row r="18954" spans="1:6" s="3" customFormat="1" ht="29.1" customHeight="1" x14ac:dyDescent="0.25">
      <c r="A18954" s="2" t="s">
        <v>37260</v>
      </c>
      <c r="B18954" s="2" t="s">
        <v>37261</v>
      </c>
      <c r="C18954" s="2" t="s">
        <v>37233</v>
      </c>
      <c r="D18954" s="2" t="s">
        <v>6083</v>
      </c>
      <c r="E18954" s="2" t="str">
        <f>"9780815602378"</f>
        <v>9780815602378</v>
      </c>
      <c r="F18954" s="2" t="str">
        <f>"9781684450206"</f>
        <v>9781684450206</v>
      </c>
    </row>
    <row r="18955" spans="1:6" s="3" customFormat="1" ht="29.1" customHeight="1" x14ac:dyDescent="0.25">
      <c r="A18955" s="2" t="s">
        <v>37262</v>
      </c>
      <c r="B18955" s="2" t="s">
        <v>37263</v>
      </c>
      <c r="C18955" s="2" t="s">
        <v>37233</v>
      </c>
      <c r="D18955" s="2" t="s">
        <v>3993</v>
      </c>
      <c r="E18955" s="2" t="str">
        <f>"9780815624806"</f>
        <v>9780815624806</v>
      </c>
      <c r="F18955" s="2" t="str">
        <f>"9781684450190"</f>
        <v>9781684450190</v>
      </c>
    </row>
    <row r="18956" spans="1:6" s="3" customFormat="1" ht="29.1" customHeight="1" x14ac:dyDescent="0.25">
      <c r="A18956" s="2" t="s">
        <v>37264</v>
      </c>
      <c r="B18956" s="2" t="s">
        <v>37265</v>
      </c>
      <c r="C18956" s="2" t="s">
        <v>37233</v>
      </c>
      <c r="D18956" s="2" t="s">
        <v>6247</v>
      </c>
      <c r="E18956" s="2" t="str">
        <f>"9780815601043"</f>
        <v>9780815601043</v>
      </c>
      <c r="F18956" s="2" t="str">
        <f>"9781684450213"</f>
        <v>9781684450213</v>
      </c>
    </row>
    <row r="18957" spans="1:6" s="3" customFormat="1" ht="29.1" customHeight="1" x14ac:dyDescent="0.25">
      <c r="A18957" s="2" t="s">
        <v>37266</v>
      </c>
      <c r="B18957" s="2" t="s">
        <v>37267</v>
      </c>
      <c r="C18957" s="2" t="s">
        <v>556</v>
      </c>
      <c r="D18957" s="2" t="s">
        <v>2336</v>
      </c>
      <c r="E18957" s="2" t="str">
        <f>"9783837657265"</f>
        <v>9783837657265</v>
      </c>
      <c r="F18957" s="2" t="str">
        <f>"9783839457269"</f>
        <v>9783839457269</v>
      </c>
    </row>
    <row r="18958" spans="1:6" s="3" customFormat="1" ht="29.1" customHeight="1" x14ac:dyDescent="0.25">
      <c r="A18958" s="2" t="s">
        <v>37268</v>
      </c>
      <c r="B18958" s="2" t="s">
        <v>37269</v>
      </c>
      <c r="C18958" s="2" t="s">
        <v>556</v>
      </c>
      <c r="D18958" s="2" t="s">
        <v>998</v>
      </c>
      <c r="E18958" s="2" t="str">
        <f>"9783837657067"</f>
        <v>9783837657067</v>
      </c>
      <c r="F18958" s="2" t="str">
        <f>"9783839457061"</f>
        <v>9783839457061</v>
      </c>
    </row>
    <row r="18959" spans="1:6" s="3" customFormat="1" ht="29.1" customHeight="1" x14ac:dyDescent="0.25">
      <c r="A18959" s="2" t="s">
        <v>37270</v>
      </c>
      <c r="B18959" s="2" t="s">
        <v>37271</v>
      </c>
      <c r="C18959" s="2" t="s">
        <v>556</v>
      </c>
      <c r="D18959" s="2" t="s">
        <v>183</v>
      </c>
      <c r="E18959" s="2" t="str">
        <f>"9783837656749"</f>
        <v>9783837656749</v>
      </c>
      <c r="F18959" s="2" t="str">
        <f>"9783839456743"</f>
        <v>9783839456743</v>
      </c>
    </row>
    <row r="18960" spans="1:6" s="3" customFormat="1" ht="29.1" customHeight="1" x14ac:dyDescent="0.25">
      <c r="A18960" s="2" t="s">
        <v>37272</v>
      </c>
      <c r="B18960" s="2" t="s">
        <v>37273</v>
      </c>
      <c r="C18960" s="2" t="s">
        <v>556</v>
      </c>
      <c r="D18960" s="2" t="s">
        <v>1411</v>
      </c>
      <c r="E18960" s="2" t="str">
        <f>"9783837656428"</f>
        <v>9783837656428</v>
      </c>
      <c r="F18960" s="2" t="str">
        <f>"9783839456422"</f>
        <v>9783839456422</v>
      </c>
    </row>
    <row r="18961" spans="1:6" s="3" customFormat="1" ht="29.1" customHeight="1" x14ac:dyDescent="0.25">
      <c r="A18961" s="2" t="s">
        <v>37274</v>
      </c>
      <c r="B18961" s="2" t="s">
        <v>37275</v>
      </c>
      <c r="C18961" s="2" t="s">
        <v>556</v>
      </c>
      <c r="D18961" s="2" t="s">
        <v>1162</v>
      </c>
      <c r="E18961" s="2" t="str">
        <f>"9783837656411"</f>
        <v>9783837656411</v>
      </c>
      <c r="F18961" s="2" t="str">
        <f>"9783839456415"</f>
        <v>9783839456415</v>
      </c>
    </row>
    <row r="18962" spans="1:6" s="3" customFormat="1" ht="29.1" customHeight="1" x14ac:dyDescent="0.25">
      <c r="A18962" s="2" t="s">
        <v>37276</v>
      </c>
      <c r="B18962" s="2" t="s">
        <v>37277</v>
      </c>
      <c r="C18962" s="2" t="s">
        <v>556</v>
      </c>
      <c r="D18962" s="2" t="s">
        <v>1663</v>
      </c>
      <c r="E18962" s="2" t="str">
        <f>"9783837656404"</f>
        <v>9783837656404</v>
      </c>
      <c r="F18962" s="2" t="str">
        <f>"9783839456408"</f>
        <v>9783839456408</v>
      </c>
    </row>
    <row r="18963" spans="1:6" s="3" customFormat="1" ht="29.1" customHeight="1" x14ac:dyDescent="0.25">
      <c r="A18963" s="2" t="s">
        <v>37278</v>
      </c>
      <c r="B18963" s="2" t="s">
        <v>37279</v>
      </c>
      <c r="C18963" s="2" t="s">
        <v>556</v>
      </c>
      <c r="D18963" s="2" t="s">
        <v>1155</v>
      </c>
      <c r="E18963" s="2" t="str">
        <f>"9783837655100"</f>
        <v>9783837655100</v>
      </c>
      <c r="F18963" s="2" t="str">
        <f>"9783839455104"</f>
        <v>9783839455104</v>
      </c>
    </row>
    <row r="18964" spans="1:6" s="3" customFormat="1" ht="29.1" customHeight="1" x14ac:dyDescent="0.25">
      <c r="A18964" s="2" t="s">
        <v>37280</v>
      </c>
      <c r="B18964" s="2" t="s">
        <v>37281</v>
      </c>
      <c r="C18964" s="2" t="s">
        <v>556</v>
      </c>
      <c r="D18964" s="2" t="s">
        <v>218</v>
      </c>
      <c r="E18964" s="2" t="str">
        <f>"9783837654196"</f>
        <v>9783837654196</v>
      </c>
      <c r="F18964" s="2" t="str">
        <f>"9783839454190"</f>
        <v>9783839454190</v>
      </c>
    </row>
    <row r="18965" spans="1:6" s="3" customFormat="1" ht="29.1" customHeight="1" x14ac:dyDescent="0.25">
      <c r="A18965" s="2" t="s">
        <v>37282</v>
      </c>
      <c r="B18965" s="2" t="s">
        <v>37283</v>
      </c>
      <c r="C18965" s="2" t="s">
        <v>556</v>
      </c>
      <c r="D18965" s="2" t="s">
        <v>428</v>
      </c>
      <c r="E18965" s="2" t="str">
        <f>"9783837654172"</f>
        <v>9783837654172</v>
      </c>
      <c r="F18965" s="2" t="str">
        <f>"9783839454176"</f>
        <v>9783839454176</v>
      </c>
    </row>
    <row r="18966" spans="1:6" s="3" customFormat="1" ht="29.1" customHeight="1" x14ac:dyDescent="0.25">
      <c r="A18966" s="2" t="s">
        <v>37284</v>
      </c>
      <c r="B18966" s="2" t="s">
        <v>37285</v>
      </c>
      <c r="C18966" s="2" t="s">
        <v>556</v>
      </c>
      <c r="D18966" s="2" t="s">
        <v>218</v>
      </c>
      <c r="E18966" s="2" t="str">
        <f>"9783837654158"</f>
        <v>9783837654158</v>
      </c>
      <c r="F18966" s="2" t="str">
        <f>"9783839454152"</f>
        <v>9783839454152</v>
      </c>
    </row>
    <row r="18967" spans="1:6" s="3" customFormat="1" ht="29.1" customHeight="1" x14ac:dyDescent="0.25">
      <c r="A18967" s="2" t="s">
        <v>37286</v>
      </c>
      <c r="B18967" s="2" t="s">
        <v>37287</v>
      </c>
      <c r="C18967" s="2" t="s">
        <v>556</v>
      </c>
      <c r="D18967" s="2" t="s">
        <v>2462</v>
      </c>
      <c r="E18967" s="2" t="str">
        <f>"9783837653786"</f>
        <v>9783837653786</v>
      </c>
      <c r="F18967" s="2" t="str">
        <f>"9783839453780"</f>
        <v>9783839453780</v>
      </c>
    </row>
    <row r="18968" spans="1:6" s="3" customFormat="1" ht="29.1" customHeight="1" x14ac:dyDescent="0.25">
      <c r="A18968" s="2" t="s">
        <v>37288</v>
      </c>
      <c r="B18968" s="2" t="s">
        <v>14983</v>
      </c>
      <c r="C18968" s="2" t="s">
        <v>556</v>
      </c>
      <c r="D18968" s="2" t="s">
        <v>1162</v>
      </c>
      <c r="E18968" s="2" t="str">
        <f>"9783837649741"</f>
        <v>9783837649741</v>
      </c>
      <c r="F18968" s="2" t="str">
        <f>"9783839449745"</f>
        <v>9783839449745</v>
      </c>
    </row>
    <row r="18969" spans="1:6" s="3" customFormat="1" ht="29.1" customHeight="1" x14ac:dyDescent="0.25">
      <c r="A18969" s="2" t="s">
        <v>37289</v>
      </c>
      <c r="B18969" s="2" t="s">
        <v>37290</v>
      </c>
      <c r="C18969" s="2" t="s">
        <v>556</v>
      </c>
      <c r="D18969" s="2" t="s">
        <v>4190</v>
      </c>
      <c r="E18969" s="2" t="str">
        <f>"9783837648935"</f>
        <v>9783837648935</v>
      </c>
      <c r="F18969" s="2" t="str">
        <f>"9783839448939"</f>
        <v>9783839448939</v>
      </c>
    </row>
    <row r="18970" spans="1:6" s="3" customFormat="1" ht="29.1" customHeight="1" x14ac:dyDescent="0.25">
      <c r="A18970" s="2" t="s">
        <v>37291</v>
      </c>
      <c r="B18970" s="2" t="s">
        <v>37292</v>
      </c>
      <c r="C18970" s="2" t="s">
        <v>556</v>
      </c>
      <c r="D18970" s="2" t="s">
        <v>1411</v>
      </c>
      <c r="E18970" s="2" t="str">
        <f>"9783837648928"</f>
        <v>9783837648928</v>
      </c>
      <c r="F18970" s="2" t="str">
        <f>"9783839448922"</f>
        <v>9783839448922</v>
      </c>
    </row>
    <row r="18971" spans="1:6" s="3" customFormat="1" ht="29.1" customHeight="1" x14ac:dyDescent="0.25">
      <c r="A18971" s="2" t="s">
        <v>37293</v>
      </c>
      <c r="B18971" s="2" t="s">
        <v>37279</v>
      </c>
      <c r="C18971" s="2" t="s">
        <v>556</v>
      </c>
      <c r="D18971" s="2" t="s">
        <v>3379</v>
      </c>
      <c r="E18971" s="2" t="str">
        <f>"9783837648911"</f>
        <v>9783837648911</v>
      </c>
      <c r="F18971" s="2" t="str">
        <f>"9783839448915"</f>
        <v>9783839448915</v>
      </c>
    </row>
    <row r="18972" spans="1:6" s="3" customFormat="1" ht="29.1" customHeight="1" x14ac:dyDescent="0.25">
      <c r="A18972" s="2" t="s">
        <v>37294</v>
      </c>
      <c r="B18972" s="2" t="s">
        <v>37295</v>
      </c>
      <c r="C18972" s="2" t="s">
        <v>556</v>
      </c>
      <c r="D18972" s="2" t="s">
        <v>5983</v>
      </c>
      <c r="E18972" s="2" t="str">
        <f>"9783837648904"</f>
        <v>9783837648904</v>
      </c>
      <c r="F18972" s="2" t="str">
        <f>"9783839448908"</f>
        <v>9783839448908</v>
      </c>
    </row>
    <row r="18973" spans="1:6" s="3" customFormat="1" ht="29.1" customHeight="1" x14ac:dyDescent="0.25">
      <c r="A18973" s="2" t="s">
        <v>37296</v>
      </c>
      <c r="B18973" s="2" t="s">
        <v>37297</v>
      </c>
      <c r="C18973" s="2" t="s">
        <v>556</v>
      </c>
      <c r="D18973" s="2" t="s">
        <v>10563</v>
      </c>
      <c r="E18973" s="2" t="str">
        <f>"9783837648898"</f>
        <v>9783837648898</v>
      </c>
      <c r="F18973" s="2" t="str">
        <f>"9783839448892"</f>
        <v>9783839448892</v>
      </c>
    </row>
    <row r="18974" spans="1:6" s="3" customFormat="1" ht="29.1" customHeight="1" x14ac:dyDescent="0.25">
      <c r="A18974" s="2" t="s">
        <v>37298</v>
      </c>
      <c r="B18974" s="2" t="s">
        <v>37299</v>
      </c>
      <c r="C18974" s="2" t="s">
        <v>556</v>
      </c>
      <c r="D18974" s="2" t="s">
        <v>1988</v>
      </c>
      <c r="E18974" s="2" t="str">
        <f>"9783837645248"</f>
        <v>9783837645248</v>
      </c>
      <c r="F18974" s="2" t="str">
        <f>"9783839445242"</f>
        <v>9783839445242</v>
      </c>
    </row>
    <row r="18975" spans="1:6" s="3" customFormat="1" ht="29.1" customHeight="1" x14ac:dyDescent="0.25">
      <c r="A18975" s="2" t="s">
        <v>37300</v>
      </c>
      <c r="B18975" s="2" t="s">
        <v>37301</v>
      </c>
      <c r="C18975" s="2" t="s">
        <v>556</v>
      </c>
      <c r="D18975" s="2" t="s">
        <v>183</v>
      </c>
      <c r="E18975" s="2" t="str">
        <f>"9783837655452"</f>
        <v>9783837655452</v>
      </c>
      <c r="F18975" s="2" t="str">
        <f>"9783839455456"</f>
        <v>9783839455456</v>
      </c>
    </row>
    <row r="18976" spans="1:6" s="3" customFormat="1" ht="29.1" customHeight="1" x14ac:dyDescent="0.25">
      <c r="A18976" s="2" t="s">
        <v>37302</v>
      </c>
      <c r="B18976" s="2" t="s">
        <v>37303</v>
      </c>
      <c r="C18976" s="2" t="s">
        <v>556</v>
      </c>
      <c r="D18976" s="2" t="s">
        <v>501</v>
      </c>
      <c r="E18976" s="2" t="str">
        <f>"9783837649048"</f>
        <v>9783837649048</v>
      </c>
      <c r="F18976" s="2" t="str">
        <f>"9783839449042"</f>
        <v>9783839449042</v>
      </c>
    </row>
    <row r="18977" spans="1:6" s="3" customFormat="1" ht="29.1" customHeight="1" x14ac:dyDescent="0.25">
      <c r="A18977" s="2" t="s">
        <v>37304</v>
      </c>
      <c r="B18977" s="2" t="s">
        <v>37305</v>
      </c>
      <c r="C18977" s="2" t="s">
        <v>556</v>
      </c>
      <c r="D18977" s="2" t="s">
        <v>712</v>
      </c>
      <c r="E18977" s="2" t="str">
        <f>"9783837639131"</f>
        <v>9783837639131</v>
      </c>
      <c r="F18977" s="2" t="str">
        <f>"9783839439135"</f>
        <v>9783839439135</v>
      </c>
    </row>
    <row r="18978" spans="1:6" s="3" customFormat="1" ht="29.1" customHeight="1" x14ac:dyDescent="0.25">
      <c r="A18978" s="2" t="s">
        <v>37306</v>
      </c>
      <c r="B18978" s="2" t="s">
        <v>37307</v>
      </c>
      <c r="C18978" s="2" t="s">
        <v>556</v>
      </c>
      <c r="D18978" s="2" t="s">
        <v>183</v>
      </c>
      <c r="E18978" s="2" t="str">
        <f>"9783899423082"</f>
        <v>9783899423082</v>
      </c>
      <c r="F18978" s="2" t="str">
        <f>"9783839403082"</f>
        <v>9783839403082</v>
      </c>
    </row>
    <row r="18979" spans="1:6" s="3" customFormat="1" ht="29.1" customHeight="1" x14ac:dyDescent="0.25">
      <c r="A18979" s="2" t="s">
        <v>37308</v>
      </c>
      <c r="B18979" s="2" t="s">
        <v>9134</v>
      </c>
      <c r="C18979" s="2" t="s">
        <v>556</v>
      </c>
      <c r="D18979" s="2" t="s">
        <v>78</v>
      </c>
      <c r="E18979" s="2" t="str">
        <f>"9783837655919"</f>
        <v>9783837655919</v>
      </c>
      <c r="F18979" s="2" t="str">
        <f>"9783839455913"</f>
        <v>9783839455913</v>
      </c>
    </row>
    <row r="18980" spans="1:6" s="3" customFormat="1" ht="29.1" customHeight="1" x14ac:dyDescent="0.25">
      <c r="A18980" s="2" t="s">
        <v>8175</v>
      </c>
      <c r="B18980" s="2" t="s">
        <v>37309</v>
      </c>
      <c r="C18980" s="2" t="s">
        <v>556</v>
      </c>
      <c r="D18980" s="2" t="s">
        <v>183</v>
      </c>
      <c r="E18980" s="2" t="str">
        <f>"9783837651997"</f>
        <v>9783837651997</v>
      </c>
      <c r="F18980" s="2" t="str">
        <f>"9783839451991"</f>
        <v>9783839451991</v>
      </c>
    </row>
    <row r="18981" spans="1:6" s="3" customFormat="1" ht="29.1" customHeight="1" x14ac:dyDescent="0.25">
      <c r="A18981" s="2" t="s">
        <v>37310</v>
      </c>
      <c r="B18981" s="2" t="s">
        <v>37311</v>
      </c>
      <c r="C18981" s="2" t="s">
        <v>556</v>
      </c>
      <c r="D18981" s="2" t="s">
        <v>78</v>
      </c>
      <c r="E18981" s="2" t="str">
        <f>"9783837638295"</f>
        <v>9783837638295</v>
      </c>
      <c r="F18981" s="2" t="str">
        <f>"9783732838295"</f>
        <v>9783732838295</v>
      </c>
    </row>
    <row r="18982" spans="1:6" s="3" customFormat="1" ht="29.1" customHeight="1" x14ac:dyDescent="0.25">
      <c r="A18982" s="2" t="s">
        <v>37312</v>
      </c>
      <c r="B18982" s="2" t="s">
        <v>37313</v>
      </c>
      <c r="C18982" s="2" t="s">
        <v>556</v>
      </c>
      <c r="D18982" s="2" t="s">
        <v>1437</v>
      </c>
      <c r="E18982" s="2" t="str">
        <f>"9783899429961"</f>
        <v>9783899429961</v>
      </c>
      <c r="F18982" s="2" t="str">
        <f>"9783839409961"</f>
        <v>9783839409961</v>
      </c>
    </row>
    <row r="18983" spans="1:6" s="3" customFormat="1" ht="29.1" customHeight="1" x14ac:dyDescent="0.25">
      <c r="A18983" s="2" t="s">
        <v>37314</v>
      </c>
      <c r="B18983" s="2" t="s">
        <v>37315</v>
      </c>
      <c r="C18983" s="2" t="s">
        <v>556</v>
      </c>
      <c r="D18983" s="2" t="s">
        <v>501</v>
      </c>
      <c r="E18983" s="2" t="str">
        <f>"9783899429701"</f>
        <v>9783899429701</v>
      </c>
      <c r="F18983" s="2" t="str">
        <f>"9783839409701"</f>
        <v>9783839409701</v>
      </c>
    </row>
    <row r="18984" spans="1:6" s="3" customFormat="1" ht="29.1" customHeight="1" x14ac:dyDescent="0.25">
      <c r="A18984" s="2" t="s">
        <v>37316</v>
      </c>
      <c r="B18984" s="2" t="s">
        <v>37317</v>
      </c>
      <c r="C18984" s="2" t="s">
        <v>556</v>
      </c>
      <c r="D18984" s="2" t="s">
        <v>4133</v>
      </c>
      <c r="E18984" s="2" t="str">
        <f>"9783899429367"</f>
        <v>9783899429367</v>
      </c>
      <c r="F18984" s="2" t="str">
        <f>"9783839409367"</f>
        <v>9783839409367</v>
      </c>
    </row>
    <row r="18985" spans="1:6" s="3" customFormat="1" ht="29.1" customHeight="1" x14ac:dyDescent="0.25">
      <c r="A18985" s="2" t="s">
        <v>37318</v>
      </c>
      <c r="B18985" s="2" t="s">
        <v>37319</v>
      </c>
      <c r="C18985" s="2" t="s">
        <v>556</v>
      </c>
      <c r="D18985" s="2" t="s">
        <v>1162</v>
      </c>
      <c r="E18985" s="2" t="str">
        <f>"9783899428520"</f>
        <v>9783899428520</v>
      </c>
      <c r="F18985" s="2" t="str">
        <f>"9783839408520"</f>
        <v>9783839408520</v>
      </c>
    </row>
    <row r="18986" spans="1:6" s="3" customFormat="1" ht="29.1" customHeight="1" x14ac:dyDescent="0.25">
      <c r="A18986" s="2" t="s">
        <v>37320</v>
      </c>
      <c r="B18986" s="2" t="s">
        <v>37321</v>
      </c>
      <c r="C18986" s="2" t="s">
        <v>556</v>
      </c>
      <c r="D18986" s="2" t="s">
        <v>501</v>
      </c>
      <c r="E18986" s="2" t="str">
        <f>"9783899427851"</f>
        <v>9783899427851</v>
      </c>
      <c r="F18986" s="2" t="str">
        <f>"9783839407851"</f>
        <v>9783839407851</v>
      </c>
    </row>
    <row r="18987" spans="1:6" s="3" customFormat="1" ht="29.1" customHeight="1" x14ac:dyDescent="0.25">
      <c r="A18987" s="2" t="s">
        <v>37322</v>
      </c>
      <c r="B18987" s="2" t="s">
        <v>37323</v>
      </c>
      <c r="C18987" s="2" t="s">
        <v>556</v>
      </c>
      <c r="D18987" s="2" t="s">
        <v>1046</v>
      </c>
      <c r="E18987" s="2" t="str">
        <f>"9783899427837"</f>
        <v>9783899427837</v>
      </c>
      <c r="F18987" s="2" t="str">
        <f>"9783839407837"</f>
        <v>9783839407837</v>
      </c>
    </row>
    <row r="18988" spans="1:6" s="3" customFormat="1" ht="29.1" customHeight="1" x14ac:dyDescent="0.25">
      <c r="A18988" s="2" t="s">
        <v>37324</v>
      </c>
      <c r="B18988" s="2" t="s">
        <v>37325</v>
      </c>
      <c r="C18988" s="2" t="s">
        <v>556</v>
      </c>
      <c r="D18988" s="2" t="s">
        <v>501</v>
      </c>
      <c r="E18988" s="2" t="str">
        <f>"9783899427684"</f>
        <v>9783899427684</v>
      </c>
      <c r="F18988" s="2" t="str">
        <f>"9783839407684"</f>
        <v>9783839407684</v>
      </c>
    </row>
    <row r="18989" spans="1:6" s="3" customFormat="1" ht="29.1" customHeight="1" x14ac:dyDescent="0.25">
      <c r="A18989" s="2" t="s">
        <v>37326</v>
      </c>
      <c r="B18989" s="2" t="s">
        <v>37327</v>
      </c>
      <c r="C18989" s="2" t="s">
        <v>556</v>
      </c>
      <c r="D18989" s="2" t="s">
        <v>1895</v>
      </c>
      <c r="E18989" s="2" t="str">
        <f>"9783899427585"</f>
        <v>9783899427585</v>
      </c>
      <c r="F18989" s="2" t="str">
        <f>"9783839407585"</f>
        <v>9783839407585</v>
      </c>
    </row>
    <row r="18990" spans="1:6" s="3" customFormat="1" ht="29.1" customHeight="1" x14ac:dyDescent="0.25">
      <c r="A18990" s="2" t="s">
        <v>37328</v>
      </c>
      <c r="B18990" s="2" t="s">
        <v>37329</v>
      </c>
      <c r="C18990" s="2" t="s">
        <v>556</v>
      </c>
      <c r="D18990" s="2" t="s">
        <v>1162</v>
      </c>
      <c r="E18990" s="2" t="str">
        <f>"9783899426809"</f>
        <v>9783899426809</v>
      </c>
      <c r="F18990" s="2" t="str">
        <f>"9783839406809"</f>
        <v>9783839406809</v>
      </c>
    </row>
    <row r="18991" spans="1:6" s="3" customFormat="1" ht="29.1" customHeight="1" x14ac:dyDescent="0.25">
      <c r="A18991" s="2" t="s">
        <v>37330</v>
      </c>
      <c r="B18991" s="2" t="s">
        <v>37331</v>
      </c>
      <c r="C18991" s="2" t="s">
        <v>556</v>
      </c>
      <c r="D18991" s="2" t="s">
        <v>15</v>
      </c>
      <c r="E18991" s="2" t="str">
        <f>"9783899426762"</f>
        <v>9783899426762</v>
      </c>
      <c r="F18991" s="2" t="str">
        <f>"9783839406762"</f>
        <v>9783839406762</v>
      </c>
    </row>
    <row r="18992" spans="1:6" s="3" customFormat="1" ht="29.1" customHeight="1" x14ac:dyDescent="0.25">
      <c r="A18992" s="2" t="s">
        <v>37332</v>
      </c>
      <c r="B18992" s="2" t="s">
        <v>37333</v>
      </c>
      <c r="C18992" s="2" t="s">
        <v>556</v>
      </c>
      <c r="D18992" s="2" t="s">
        <v>2462</v>
      </c>
      <c r="E18992" s="2" t="str">
        <f>"9783899426489"</f>
        <v>9783899426489</v>
      </c>
      <c r="F18992" s="2" t="str">
        <f>"9783839406489"</f>
        <v>9783839406489</v>
      </c>
    </row>
    <row r="18993" spans="1:6" s="3" customFormat="1" ht="29.1" customHeight="1" x14ac:dyDescent="0.25">
      <c r="A18993" s="2" t="s">
        <v>37334</v>
      </c>
      <c r="B18993" s="2" t="s">
        <v>37335</v>
      </c>
      <c r="C18993" s="2" t="s">
        <v>556</v>
      </c>
      <c r="D18993" s="2" t="s">
        <v>1717</v>
      </c>
      <c r="E18993" s="2" t="str">
        <f>"9783899426229"</f>
        <v>9783899426229</v>
      </c>
      <c r="F18993" s="2" t="str">
        <f>"9783839406229"</f>
        <v>9783839406229</v>
      </c>
    </row>
    <row r="18994" spans="1:6" s="3" customFormat="1" ht="29.1" customHeight="1" x14ac:dyDescent="0.25">
      <c r="A18994" s="2" t="s">
        <v>37336</v>
      </c>
      <c r="B18994" s="2" t="s">
        <v>37337</v>
      </c>
      <c r="C18994" s="2" t="s">
        <v>556</v>
      </c>
      <c r="D18994" s="2" t="s">
        <v>16704</v>
      </c>
      <c r="E18994" s="2" t="str">
        <f>"9783899425536"</f>
        <v>9783899425536</v>
      </c>
      <c r="F18994" s="2" t="str">
        <f>"9783839405536"</f>
        <v>9783839405536</v>
      </c>
    </row>
    <row r="18995" spans="1:6" s="3" customFormat="1" ht="29.1" customHeight="1" x14ac:dyDescent="0.25">
      <c r="A18995" s="2" t="s">
        <v>37338</v>
      </c>
      <c r="B18995" s="2" t="s">
        <v>37339</v>
      </c>
      <c r="C18995" s="2" t="s">
        <v>556</v>
      </c>
      <c r="D18995" s="2" t="s">
        <v>72</v>
      </c>
      <c r="E18995" s="2" t="str">
        <f>"9783899424607"</f>
        <v>9783899424607</v>
      </c>
      <c r="F18995" s="2" t="str">
        <f>"9783839404607"</f>
        <v>9783839404607</v>
      </c>
    </row>
    <row r="18996" spans="1:6" s="3" customFormat="1" ht="29.1" customHeight="1" x14ac:dyDescent="0.25">
      <c r="A18996" s="2" t="s">
        <v>37340</v>
      </c>
      <c r="B18996" s="2" t="s">
        <v>37341</v>
      </c>
      <c r="C18996" s="2" t="s">
        <v>556</v>
      </c>
      <c r="D18996" s="2" t="s">
        <v>1162</v>
      </c>
      <c r="E18996" s="2" t="str">
        <f>"9783899424102"</f>
        <v>9783899424102</v>
      </c>
      <c r="F18996" s="2" t="str">
        <f>"9783839404102"</f>
        <v>9783839404102</v>
      </c>
    </row>
    <row r="18997" spans="1:6" s="3" customFormat="1" ht="29.1" customHeight="1" x14ac:dyDescent="0.25">
      <c r="A18997" s="2" t="s">
        <v>37342</v>
      </c>
      <c r="B18997" s="2" t="s">
        <v>37343</v>
      </c>
      <c r="C18997" s="2" t="s">
        <v>556</v>
      </c>
      <c r="D18997" s="2" t="s">
        <v>2462</v>
      </c>
      <c r="E18997" s="2" t="str">
        <f>"9783899424072"</f>
        <v>9783899424072</v>
      </c>
      <c r="F18997" s="2" t="str">
        <f>"9783839404072"</f>
        <v>9783839404072</v>
      </c>
    </row>
    <row r="18998" spans="1:6" s="3" customFormat="1" ht="29.1" customHeight="1" x14ac:dyDescent="0.25">
      <c r="A18998" s="2" t="s">
        <v>37344</v>
      </c>
      <c r="B18998" s="2" t="s">
        <v>37345</v>
      </c>
      <c r="C18998" s="2" t="s">
        <v>556</v>
      </c>
      <c r="D18998" s="2" t="s">
        <v>6113</v>
      </c>
      <c r="E18998" s="2" t="str">
        <f>"9783899423563"</f>
        <v>9783899423563</v>
      </c>
      <c r="F18998" s="2" t="str">
        <f>"9783839403563"</f>
        <v>9783839403563</v>
      </c>
    </row>
    <row r="18999" spans="1:6" s="3" customFormat="1" ht="29.1" customHeight="1" x14ac:dyDescent="0.25">
      <c r="A18999" s="2" t="s">
        <v>37346</v>
      </c>
      <c r="B18999" s="2" t="s">
        <v>37347</v>
      </c>
      <c r="C18999" s="2" t="s">
        <v>556</v>
      </c>
      <c r="D18999" s="2" t="s">
        <v>501</v>
      </c>
      <c r="E18999" s="2" t="str">
        <f>"9783899423280"</f>
        <v>9783899423280</v>
      </c>
      <c r="F18999" s="2" t="str">
        <f>"9783839403280"</f>
        <v>9783839403280</v>
      </c>
    </row>
    <row r="19000" spans="1:6" s="3" customFormat="1" ht="29.1" customHeight="1" x14ac:dyDescent="0.25">
      <c r="A19000" s="2" t="s">
        <v>37348</v>
      </c>
      <c r="B19000" s="2" t="s">
        <v>37349</v>
      </c>
      <c r="C19000" s="2" t="s">
        <v>556</v>
      </c>
      <c r="D19000" s="2" t="s">
        <v>4205</v>
      </c>
      <c r="E19000" s="2" t="str">
        <f>"9783899422931"</f>
        <v>9783899422931</v>
      </c>
      <c r="F19000" s="2" t="str">
        <f>"9783839402931"</f>
        <v>9783839402931</v>
      </c>
    </row>
    <row r="19001" spans="1:6" s="3" customFormat="1" ht="29.1" customHeight="1" x14ac:dyDescent="0.25">
      <c r="A19001" s="2" t="s">
        <v>37350</v>
      </c>
      <c r="B19001" s="2" t="s">
        <v>37351</v>
      </c>
      <c r="C19001" s="2" t="s">
        <v>556</v>
      </c>
      <c r="D19001" s="2" t="s">
        <v>207</v>
      </c>
      <c r="E19001" s="2" t="str">
        <f>"9783899422412"</f>
        <v>9783899422412</v>
      </c>
      <c r="F19001" s="2" t="str">
        <f>"9783839402412"</f>
        <v>9783839402412</v>
      </c>
    </row>
    <row r="19002" spans="1:6" s="3" customFormat="1" ht="29.1" customHeight="1" x14ac:dyDescent="0.25">
      <c r="A19002" s="2" t="s">
        <v>37352</v>
      </c>
      <c r="B19002" s="2" t="s">
        <v>37347</v>
      </c>
      <c r="C19002" s="2" t="s">
        <v>556</v>
      </c>
      <c r="D19002" s="2" t="s">
        <v>501</v>
      </c>
      <c r="E19002" s="2" t="str">
        <f>"9783899422092"</f>
        <v>9783899422092</v>
      </c>
      <c r="F19002" s="2" t="str">
        <f>"9783839402092"</f>
        <v>9783839402092</v>
      </c>
    </row>
    <row r="19003" spans="1:6" s="3" customFormat="1" ht="29.1" customHeight="1" x14ac:dyDescent="0.25">
      <c r="A19003" s="2" t="s">
        <v>37353</v>
      </c>
      <c r="B19003" s="2" t="s">
        <v>37354</v>
      </c>
      <c r="C19003" s="2" t="s">
        <v>556</v>
      </c>
      <c r="D19003" s="2" t="s">
        <v>501</v>
      </c>
      <c r="E19003" s="2" t="str">
        <f>"9783899421125"</f>
        <v>9783899421125</v>
      </c>
      <c r="F19003" s="2" t="str">
        <f>"9783839401125"</f>
        <v>9783839401125</v>
      </c>
    </row>
    <row r="19004" spans="1:6" s="3" customFormat="1" ht="29.1" customHeight="1" x14ac:dyDescent="0.25">
      <c r="A19004" s="2" t="s">
        <v>37355</v>
      </c>
      <c r="B19004" s="2" t="s">
        <v>37356</v>
      </c>
      <c r="C19004" s="2" t="s">
        <v>556</v>
      </c>
      <c r="D19004" s="2" t="s">
        <v>1043</v>
      </c>
      <c r="E19004" s="2" t="str">
        <f>"9783837659221"</f>
        <v>9783837659221</v>
      </c>
      <c r="F19004" s="2" t="str">
        <f>"9783839459225"</f>
        <v>9783839459225</v>
      </c>
    </row>
    <row r="19005" spans="1:6" s="3" customFormat="1" ht="29.1" customHeight="1" x14ac:dyDescent="0.25">
      <c r="A19005" s="2" t="s">
        <v>37357</v>
      </c>
      <c r="B19005" s="2" t="s">
        <v>37358</v>
      </c>
      <c r="C19005" s="2" t="s">
        <v>556</v>
      </c>
      <c r="D19005" s="2" t="s">
        <v>215</v>
      </c>
      <c r="E19005" s="2" t="str">
        <f>"9783837658491"</f>
        <v>9783837658491</v>
      </c>
      <c r="F19005" s="2" t="str">
        <f>"9783839458495"</f>
        <v>9783839458495</v>
      </c>
    </row>
    <row r="19006" spans="1:6" s="3" customFormat="1" ht="29.1" customHeight="1" x14ac:dyDescent="0.25">
      <c r="A19006" s="2" t="s">
        <v>37359</v>
      </c>
      <c r="B19006" s="2" t="s">
        <v>37360</v>
      </c>
      <c r="C19006" s="2" t="s">
        <v>556</v>
      </c>
      <c r="D19006" s="2" t="s">
        <v>446</v>
      </c>
      <c r="E19006" s="2" t="str">
        <f>"9783837658422"</f>
        <v>9783837658422</v>
      </c>
      <c r="F19006" s="2" t="str">
        <f>"9783839458426"</f>
        <v>9783839458426</v>
      </c>
    </row>
    <row r="19007" spans="1:6" s="3" customFormat="1" ht="29.1" customHeight="1" x14ac:dyDescent="0.25">
      <c r="A19007" s="2" t="s">
        <v>37361</v>
      </c>
      <c r="B19007" s="2" t="s">
        <v>37362</v>
      </c>
      <c r="C19007" s="2" t="s">
        <v>556</v>
      </c>
      <c r="D19007" s="2" t="s">
        <v>324</v>
      </c>
      <c r="E19007" s="2" t="str">
        <f>"9783837658378"</f>
        <v>9783837658378</v>
      </c>
      <c r="F19007" s="2" t="str">
        <f>"9783732858378"</f>
        <v>9783732858378</v>
      </c>
    </row>
    <row r="19008" spans="1:6" s="3" customFormat="1" ht="29.1" customHeight="1" x14ac:dyDescent="0.25">
      <c r="A19008" s="2" t="s">
        <v>37363</v>
      </c>
      <c r="B19008" s="2" t="s">
        <v>37364</v>
      </c>
      <c r="C19008" s="2" t="s">
        <v>556</v>
      </c>
      <c r="D19008" s="2" t="s">
        <v>1001</v>
      </c>
      <c r="E19008" s="2" t="str">
        <f>"9783837658354"</f>
        <v>9783837658354</v>
      </c>
      <c r="F19008" s="2" t="str">
        <f>"9783839458358"</f>
        <v>9783839458358</v>
      </c>
    </row>
    <row r="19009" spans="1:6" s="3" customFormat="1" ht="29.1" customHeight="1" x14ac:dyDescent="0.25">
      <c r="A19009" s="2" t="s">
        <v>37365</v>
      </c>
      <c r="B19009" s="2" t="s">
        <v>37366</v>
      </c>
      <c r="C19009" s="2" t="s">
        <v>556</v>
      </c>
      <c r="D19009" s="2" t="s">
        <v>1141</v>
      </c>
      <c r="E19009" s="2" t="str">
        <f>"9783837658293"</f>
        <v>9783837658293</v>
      </c>
      <c r="F19009" s="2" t="str">
        <f>"9783839458297"</f>
        <v>9783839458297</v>
      </c>
    </row>
    <row r="19010" spans="1:6" s="3" customFormat="1" ht="29.1" customHeight="1" x14ac:dyDescent="0.25">
      <c r="A19010" s="2" t="s">
        <v>37367</v>
      </c>
      <c r="B19010" s="2" t="s">
        <v>37368</v>
      </c>
      <c r="C19010" s="2" t="s">
        <v>556</v>
      </c>
      <c r="D19010" s="2" t="s">
        <v>501</v>
      </c>
      <c r="E19010" s="2" t="str">
        <f>"9783837658224"</f>
        <v>9783837658224</v>
      </c>
      <c r="F19010" s="2" t="str">
        <f>"9783732858224"</f>
        <v>9783732858224</v>
      </c>
    </row>
    <row r="19011" spans="1:6" s="3" customFormat="1" ht="29.1" customHeight="1" x14ac:dyDescent="0.25">
      <c r="A19011" s="2" t="s">
        <v>37369</v>
      </c>
      <c r="B19011" s="2" t="s">
        <v>37370</v>
      </c>
      <c r="C19011" s="2" t="s">
        <v>556</v>
      </c>
      <c r="D19011" s="2" t="s">
        <v>378</v>
      </c>
      <c r="E19011" s="2" t="str">
        <f>"9783837657944"</f>
        <v>9783837657944</v>
      </c>
      <c r="F19011" s="2" t="str">
        <f>"9783839457948"</f>
        <v>9783839457948</v>
      </c>
    </row>
    <row r="19012" spans="1:6" s="3" customFormat="1" ht="29.1" customHeight="1" x14ac:dyDescent="0.25">
      <c r="A19012" s="2" t="s">
        <v>37371</v>
      </c>
      <c r="B19012" s="2" t="s">
        <v>26938</v>
      </c>
      <c r="C19012" s="2" t="s">
        <v>556</v>
      </c>
      <c r="D19012" s="2" t="s">
        <v>1895</v>
      </c>
      <c r="E19012" s="2" t="str">
        <f>"9783837657869"</f>
        <v>9783837657869</v>
      </c>
      <c r="F19012" s="2" t="str">
        <f>"9783839457863"</f>
        <v>9783839457863</v>
      </c>
    </row>
    <row r="19013" spans="1:6" s="3" customFormat="1" ht="29.1" customHeight="1" x14ac:dyDescent="0.25">
      <c r="A19013" s="2" t="s">
        <v>37372</v>
      </c>
      <c r="B19013" s="2" t="s">
        <v>37086</v>
      </c>
      <c r="C19013" s="2" t="s">
        <v>556</v>
      </c>
      <c r="D19013" s="2" t="s">
        <v>402</v>
      </c>
      <c r="E19013" s="2" t="str">
        <f>"9783837657852"</f>
        <v>9783837657852</v>
      </c>
      <c r="F19013" s="2" t="str">
        <f>"9783839457856"</f>
        <v>9783839457856</v>
      </c>
    </row>
    <row r="19014" spans="1:6" s="3" customFormat="1" ht="29.1" customHeight="1" x14ac:dyDescent="0.25">
      <c r="A19014" s="2" t="s">
        <v>37373</v>
      </c>
      <c r="B19014" s="2" t="s">
        <v>37374</v>
      </c>
      <c r="C19014" s="2" t="s">
        <v>556</v>
      </c>
      <c r="D19014" s="2" t="s">
        <v>7280</v>
      </c>
      <c r="E19014" s="2" t="str">
        <f>"9783837657845"</f>
        <v>9783837657845</v>
      </c>
      <c r="F19014" s="2" t="str">
        <f>"9783839457849"</f>
        <v>9783839457849</v>
      </c>
    </row>
    <row r="19015" spans="1:6" s="3" customFormat="1" ht="29.1" customHeight="1" x14ac:dyDescent="0.25">
      <c r="A19015" s="2" t="s">
        <v>37375</v>
      </c>
      <c r="B19015" s="2" t="s">
        <v>37376</v>
      </c>
      <c r="C19015" s="2" t="s">
        <v>556</v>
      </c>
      <c r="D19015" s="2" t="s">
        <v>446</v>
      </c>
      <c r="E19015" s="2" t="str">
        <f>"9783837657777"</f>
        <v>9783837657777</v>
      </c>
      <c r="F19015" s="2" t="str">
        <f>"9783839457771"</f>
        <v>9783839457771</v>
      </c>
    </row>
    <row r="19016" spans="1:6" s="3" customFormat="1" ht="29.1" customHeight="1" x14ac:dyDescent="0.25">
      <c r="A19016" s="2" t="s">
        <v>37377</v>
      </c>
      <c r="B19016" s="2" t="s">
        <v>37378</v>
      </c>
      <c r="C19016" s="2" t="s">
        <v>556</v>
      </c>
      <c r="D19016" s="2" t="s">
        <v>1183</v>
      </c>
      <c r="E19016" s="2" t="str">
        <f>"9783837657685"</f>
        <v>9783837657685</v>
      </c>
      <c r="F19016" s="2" t="str">
        <f>"9783839457689"</f>
        <v>9783839457689</v>
      </c>
    </row>
    <row r="19017" spans="1:6" s="3" customFormat="1" ht="29.1" customHeight="1" x14ac:dyDescent="0.25">
      <c r="A19017" s="2" t="s">
        <v>37379</v>
      </c>
      <c r="B19017" s="2" t="s">
        <v>37380</v>
      </c>
      <c r="C19017" s="2" t="s">
        <v>556</v>
      </c>
      <c r="D19017" s="2" t="s">
        <v>1162</v>
      </c>
      <c r="E19017" s="2" t="str">
        <f>"9783837657678"</f>
        <v>9783837657678</v>
      </c>
      <c r="F19017" s="2" t="str">
        <f>"9783839457672"</f>
        <v>9783839457672</v>
      </c>
    </row>
    <row r="19018" spans="1:6" s="3" customFormat="1" ht="29.1" customHeight="1" x14ac:dyDescent="0.25">
      <c r="A19018" s="2" t="s">
        <v>37381</v>
      </c>
      <c r="B19018" s="2" t="s">
        <v>37382</v>
      </c>
      <c r="C19018" s="2" t="s">
        <v>556</v>
      </c>
      <c r="D19018" s="2" t="s">
        <v>4030</v>
      </c>
      <c r="E19018" s="2" t="str">
        <f>"9783837657654"</f>
        <v>9783837657654</v>
      </c>
      <c r="F19018" s="2" t="str">
        <f>"9783839457658"</f>
        <v>9783839457658</v>
      </c>
    </row>
    <row r="19019" spans="1:6" s="3" customFormat="1" ht="29.1" customHeight="1" x14ac:dyDescent="0.25">
      <c r="A19019" s="2" t="s">
        <v>37383</v>
      </c>
      <c r="B19019" s="2" t="s">
        <v>26760</v>
      </c>
      <c r="C19019" s="2" t="s">
        <v>556</v>
      </c>
      <c r="D19019" s="2" t="s">
        <v>428</v>
      </c>
      <c r="E19019" s="2" t="str">
        <f>"9783837657616"</f>
        <v>9783837657616</v>
      </c>
      <c r="F19019" s="2" t="str">
        <f>"9783839457610"</f>
        <v>9783839457610</v>
      </c>
    </row>
    <row r="19020" spans="1:6" s="3" customFormat="1" ht="29.1" customHeight="1" x14ac:dyDescent="0.25">
      <c r="A19020" s="2" t="s">
        <v>37384</v>
      </c>
      <c r="B19020" s="2" t="s">
        <v>24686</v>
      </c>
      <c r="C19020" s="2" t="s">
        <v>556</v>
      </c>
      <c r="D19020" s="2" t="s">
        <v>1155</v>
      </c>
      <c r="E19020" s="2" t="str">
        <f>"9783837657548"</f>
        <v>9783837657548</v>
      </c>
      <c r="F19020" s="2" t="str">
        <f>"9783732857548"</f>
        <v>9783732857548</v>
      </c>
    </row>
    <row r="19021" spans="1:6" s="3" customFormat="1" ht="29.1" customHeight="1" x14ac:dyDescent="0.25">
      <c r="A19021" s="2" t="s">
        <v>37385</v>
      </c>
      <c r="B19021" s="2" t="s">
        <v>37386</v>
      </c>
      <c r="C19021" s="2" t="s">
        <v>556</v>
      </c>
      <c r="D19021" s="2" t="s">
        <v>1560</v>
      </c>
      <c r="E19021" s="2" t="str">
        <f>"9783837657531"</f>
        <v>9783837657531</v>
      </c>
      <c r="F19021" s="2" t="str">
        <f>"9783732857531"</f>
        <v>9783732857531</v>
      </c>
    </row>
    <row r="19022" spans="1:6" s="3" customFormat="1" ht="29.1" customHeight="1" x14ac:dyDescent="0.25">
      <c r="A19022" s="2" t="s">
        <v>37387</v>
      </c>
      <c r="B19022" s="2" t="s">
        <v>37388</v>
      </c>
      <c r="C19022" s="2" t="s">
        <v>556</v>
      </c>
      <c r="D19022" s="2" t="s">
        <v>1046</v>
      </c>
      <c r="E19022" s="2" t="str">
        <f>"9783837657470"</f>
        <v>9783837657470</v>
      </c>
      <c r="F19022" s="2" t="str">
        <f>"9783839457474"</f>
        <v>9783839457474</v>
      </c>
    </row>
    <row r="19023" spans="1:6" s="3" customFormat="1" ht="29.1" customHeight="1" x14ac:dyDescent="0.25">
      <c r="A19023" s="2" t="s">
        <v>37389</v>
      </c>
      <c r="B19023" s="2" t="s">
        <v>9991</v>
      </c>
      <c r="C19023" s="2" t="s">
        <v>556</v>
      </c>
      <c r="D19023" s="2" t="s">
        <v>1411</v>
      </c>
      <c r="E19023" s="2" t="str">
        <f>"9783837657388"</f>
        <v>9783837657388</v>
      </c>
      <c r="F19023" s="2" t="str">
        <f>"9783839457382"</f>
        <v>9783839457382</v>
      </c>
    </row>
    <row r="19024" spans="1:6" s="3" customFormat="1" ht="29.1" customHeight="1" x14ac:dyDescent="0.25">
      <c r="A19024" s="2" t="s">
        <v>37390</v>
      </c>
      <c r="B19024" s="2" t="s">
        <v>37391</v>
      </c>
      <c r="C19024" s="2" t="s">
        <v>556</v>
      </c>
      <c r="D19024" s="2" t="s">
        <v>4030</v>
      </c>
      <c r="E19024" s="2" t="str">
        <f>"9783837657364"</f>
        <v>9783837657364</v>
      </c>
      <c r="F19024" s="2" t="str">
        <f>"9783839457368"</f>
        <v>9783839457368</v>
      </c>
    </row>
    <row r="19025" spans="1:6" s="3" customFormat="1" ht="29.1" customHeight="1" x14ac:dyDescent="0.25">
      <c r="A19025" s="2" t="s">
        <v>37392</v>
      </c>
      <c r="B19025" s="2" t="s">
        <v>37393</v>
      </c>
      <c r="C19025" s="2" t="s">
        <v>556</v>
      </c>
      <c r="D19025" s="2" t="s">
        <v>636</v>
      </c>
      <c r="E19025" s="2" t="str">
        <f>"9783837657302"</f>
        <v>9783837657302</v>
      </c>
      <c r="F19025" s="2" t="str">
        <f>"9783839457306"</f>
        <v>9783839457306</v>
      </c>
    </row>
    <row r="19026" spans="1:6" s="3" customFormat="1" ht="29.1" customHeight="1" x14ac:dyDescent="0.25">
      <c r="A19026" s="2" t="s">
        <v>37394</v>
      </c>
      <c r="B19026" s="2" t="s">
        <v>37395</v>
      </c>
      <c r="C19026" s="2" t="s">
        <v>556</v>
      </c>
      <c r="D19026" s="2" t="s">
        <v>4789</v>
      </c>
      <c r="E19026" s="2" t="str">
        <f>"9783837657296"</f>
        <v>9783837657296</v>
      </c>
      <c r="F19026" s="2" t="str">
        <f>"9783839457290"</f>
        <v>9783839457290</v>
      </c>
    </row>
    <row r="19027" spans="1:6" s="3" customFormat="1" ht="29.1" customHeight="1" x14ac:dyDescent="0.25">
      <c r="A19027" s="2" t="s">
        <v>37396</v>
      </c>
      <c r="B19027" s="2" t="s">
        <v>37397</v>
      </c>
      <c r="C19027" s="2" t="s">
        <v>556</v>
      </c>
      <c r="D19027" s="2" t="s">
        <v>712</v>
      </c>
      <c r="E19027" s="2" t="str">
        <f>"9783837657289"</f>
        <v>9783837657289</v>
      </c>
      <c r="F19027" s="2" t="str">
        <f>"9783732857289"</f>
        <v>9783732857289</v>
      </c>
    </row>
    <row r="19028" spans="1:6" s="3" customFormat="1" ht="29.1" customHeight="1" x14ac:dyDescent="0.25">
      <c r="A19028" s="2" t="s">
        <v>37398</v>
      </c>
      <c r="B19028" s="2" t="s">
        <v>37399</v>
      </c>
      <c r="C19028" s="2" t="s">
        <v>556</v>
      </c>
      <c r="D19028" s="2" t="s">
        <v>1895</v>
      </c>
      <c r="E19028" s="2" t="str">
        <f>"9783837657197"</f>
        <v>9783837657197</v>
      </c>
      <c r="F19028" s="2" t="str">
        <f>"9783839457191"</f>
        <v>9783839457191</v>
      </c>
    </row>
    <row r="19029" spans="1:6" s="3" customFormat="1" ht="29.1" customHeight="1" x14ac:dyDescent="0.25">
      <c r="A19029" s="2" t="s">
        <v>37400</v>
      </c>
      <c r="B19029" s="2" t="s">
        <v>37401</v>
      </c>
      <c r="C19029" s="2" t="s">
        <v>556</v>
      </c>
      <c r="D19029" s="2" t="s">
        <v>446</v>
      </c>
      <c r="E19029" s="2" t="str">
        <f>"9783837657166"</f>
        <v>9783837657166</v>
      </c>
      <c r="F19029" s="2" t="str">
        <f>"9783732857166"</f>
        <v>9783732857166</v>
      </c>
    </row>
    <row r="19030" spans="1:6" s="3" customFormat="1" ht="29.1" customHeight="1" x14ac:dyDescent="0.25">
      <c r="A19030" s="2" t="s">
        <v>37402</v>
      </c>
      <c r="B19030" s="2" t="s">
        <v>37403</v>
      </c>
      <c r="C19030" s="2" t="s">
        <v>556</v>
      </c>
      <c r="D19030" s="2" t="s">
        <v>2462</v>
      </c>
      <c r="E19030" s="2" t="str">
        <f>"9783837657135"</f>
        <v>9783837657135</v>
      </c>
      <c r="F19030" s="2" t="str">
        <f>"9783732857135"</f>
        <v>9783732857135</v>
      </c>
    </row>
    <row r="19031" spans="1:6" s="3" customFormat="1" ht="29.1" customHeight="1" x14ac:dyDescent="0.25">
      <c r="A19031" s="2" t="s">
        <v>37404</v>
      </c>
      <c r="B19031" s="2" t="s">
        <v>37405</v>
      </c>
      <c r="C19031" s="2" t="s">
        <v>556</v>
      </c>
      <c r="D19031" s="2" t="s">
        <v>78</v>
      </c>
      <c r="E19031" s="2" t="str">
        <f>"9783837657111"</f>
        <v>9783837657111</v>
      </c>
      <c r="F19031" s="2" t="str">
        <f>"9783839457115"</f>
        <v>9783839457115</v>
      </c>
    </row>
    <row r="19032" spans="1:6" s="3" customFormat="1" ht="29.1" customHeight="1" x14ac:dyDescent="0.25">
      <c r="A19032" s="2" t="s">
        <v>37406</v>
      </c>
      <c r="B19032" s="2" t="s">
        <v>26075</v>
      </c>
      <c r="C19032" s="2" t="s">
        <v>556</v>
      </c>
      <c r="D19032" s="2" t="s">
        <v>183</v>
      </c>
      <c r="E19032" s="2" t="str">
        <f>"9783837657036"</f>
        <v>9783837657036</v>
      </c>
      <c r="F19032" s="2" t="str">
        <f>"9783839457030"</f>
        <v>9783839457030</v>
      </c>
    </row>
    <row r="19033" spans="1:6" s="3" customFormat="1" ht="29.1" customHeight="1" x14ac:dyDescent="0.25">
      <c r="A19033" s="2" t="s">
        <v>37407</v>
      </c>
      <c r="B19033" s="2" t="s">
        <v>37408</v>
      </c>
      <c r="C19033" s="2" t="s">
        <v>556</v>
      </c>
      <c r="D19033" s="2" t="s">
        <v>490</v>
      </c>
      <c r="E19033" s="2" t="str">
        <f>"9783837656961"</f>
        <v>9783837656961</v>
      </c>
      <c r="F19033" s="2" t="str">
        <f>"9783839456965"</f>
        <v>9783839456965</v>
      </c>
    </row>
    <row r="19034" spans="1:6" s="3" customFormat="1" ht="29.1" customHeight="1" x14ac:dyDescent="0.25">
      <c r="A19034" s="2" t="s">
        <v>37409</v>
      </c>
      <c r="B19034" s="2" t="s">
        <v>37410</v>
      </c>
      <c r="C19034" s="2" t="s">
        <v>556</v>
      </c>
      <c r="D19034" s="2" t="s">
        <v>3889</v>
      </c>
      <c r="E19034" s="2" t="str">
        <f>"9783837656930"</f>
        <v>9783837656930</v>
      </c>
      <c r="F19034" s="2" t="str">
        <f>"9783839456934"</f>
        <v>9783839456934</v>
      </c>
    </row>
    <row r="19035" spans="1:6" s="3" customFormat="1" ht="29.1" customHeight="1" x14ac:dyDescent="0.25">
      <c r="A19035" s="2" t="s">
        <v>37411</v>
      </c>
      <c r="B19035" s="2" t="s">
        <v>37412</v>
      </c>
      <c r="C19035" s="2" t="s">
        <v>556</v>
      </c>
      <c r="D19035" s="2" t="s">
        <v>1411</v>
      </c>
      <c r="E19035" s="2" t="str">
        <f>"9783837656923"</f>
        <v>9783837656923</v>
      </c>
      <c r="F19035" s="2" t="str">
        <f>"9783839456927"</f>
        <v>9783839456927</v>
      </c>
    </row>
    <row r="19036" spans="1:6" s="3" customFormat="1" ht="29.1" customHeight="1" x14ac:dyDescent="0.25">
      <c r="A19036" s="2" t="s">
        <v>37413</v>
      </c>
      <c r="B19036" s="2" t="s">
        <v>37414</v>
      </c>
      <c r="C19036" s="2" t="s">
        <v>556</v>
      </c>
      <c r="D19036" s="2" t="s">
        <v>3993</v>
      </c>
      <c r="E19036" s="2" t="str">
        <f>"9783837656893"</f>
        <v>9783837656893</v>
      </c>
      <c r="F19036" s="2" t="str">
        <f>"9783839456897"</f>
        <v>9783839456897</v>
      </c>
    </row>
    <row r="19037" spans="1:6" s="3" customFormat="1" ht="29.1" customHeight="1" x14ac:dyDescent="0.25">
      <c r="A19037" s="2" t="s">
        <v>37415</v>
      </c>
      <c r="B19037" s="2" t="s">
        <v>37416</v>
      </c>
      <c r="C19037" s="2" t="s">
        <v>556</v>
      </c>
      <c r="D19037" s="2" t="s">
        <v>9163</v>
      </c>
      <c r="E19037" s="2" t="str">
        <f>"9783837656886"</f>
        <v>9783837656886</v>
      </c>
      <c r="F19037" s="2" t="str">
        <f>"9783839456880"</f>
        <v>9783839456880</v>
      </c>
    </row>
    <row r="19038" spans="1:6" s="3" customFormat="1" ht="29.1" customHeight="1" x14ac:dyDescent="0.25">
      <c r="A19038" s="2" t="s">
        <v>37417</v>
      </c>
      <c r="B19038" s="2" t="s">
        <v>37418</v>
      </c>
      <c r="C19038" s="2" t="s">
        <v>556</v>
      </c>
      <c r="D19038" s="2" t="s">
        <v>202</v>
      </c>
      <c r="E19038" s="2" t="str">
        <f>"9783837656763"</f>
        <v>9783837656763</v>
      </c>
      <c r="F19038" s="2" t="str">
        <f>"9783732856763"</f>
        <v>9783732856763</v>
      </c>
    </row>
    <row r="19039" spans="1:6" s="3" customFormat="1" ht="29.1" customHeight="1" x14ac:dyDescent="0.25">
      <c r="A19039" s="2" t="s">
        <v>37419</v>
      </c>
      <c r="B19039" s="2" t="s">
        <v>37420</v>
      </c>
      <c r="C19039" s="2" t="s">
        <v>556</v>
      </c>
      <c r="D19039" s="2" t="s">
        <v>791</v>
      </c>
      <c r="E19039" s="2" t="str">
        <f>"9783837656688"</f>
        <v>9783837656688</v>
      </c>
      <c r="F19039" s="2" t="str">
        <f>"9783839456682"</f>
        <v>9783839456682</v>
      </c>
    </row>
    <row r="19040" spans="1:6" s="3" customFormat="1" ht="29.1" customHeight="1" x14ac:dyDescent="0.25">
      <c r="A19040" s="2" t="s">
        <v>37421</v>
      </c>
      <c r="B19040" s="2" t="s">
        <v>37422</v>
      </c>
      <c r="C19040" s="2" t="s">
        <v>556</v>
      </c>
      <c r="D19040" s="2" t="s">
        <v>1162</v>
      </c>
      <c r="E19040" s="2" t="str">
        <f>"9783837656619"</f>
        <v>9783837656619</v>
      </c>
      <c r="F19040" s="2" t="str">
        <f>"9783732856619"</f>
        <v>9783732856619</v>
      </c>
    </row>
    <row r="19041" spans="1:6" s="3" customFormat="1" ht="29.1" customHeight="1" x14ac:dyDescent="0.25">
      <c r="A19041" s="2" t="s">
        <v>37423</v>
      </c>
      <c r="B19041" s="2" t="s">
        <v>37424</v>
      </c>
      <c r="C19041" s="2" t="s">
        <v>556</v>
      </c>
      <c r="D19041" s="2" t="s">
        <v>2462</v>
      </c>
      <c r="E19041" s="2" t="str">
        <f>"9783837656541"</f>
        <v>9783837656541</v>
      </c>
      <c r="F19041" s="2" t="str">
        <f>"9783839456545"</f>
        <v>9783839456545</v>
      </c>
    </row>
    <row r="19042" spans="1:6" s="3" customFormat="1" ht="29.1" customHeight="1" x14ac:dyDescent="0.25">
      <c r="A19042" s="2" t="s">
        <v>37425</v>
      </c>
      <c r="B19042" s="2" t="s">
        <v>37426</v>
      </c>
      <c r="C19042" s="2" t="s">
        <v>556</v>
      </c>
      <c r="D19042" s="2" t="s">
        <v>998</v>
      </c>
      <c r="E19042" s="2" t="str">
        <f>"9783837656510"</f>
        <v>9783837656510</v>
      </c>
      <c r="F19042" s="2" t="str">
        <f>"9783839456514"</f>
        <v>9783839456514</v>
      </c>
    </row>
    <row r="19043" spans="1:6" s="3" customFormat="1" ht="29.1" customHeight="1" x14ac:dyDescent="0.25">
      <c r="A19043" s="2" t="s">
        <v>37427</v>
      </c>
      <c r="B19043" s="2" t="s">
        <v>37428</v>
      </c>
      <c r="C19043" s="2" t="s">
        <v>556</v>
      </c>
      <c r="D19043" s="2" t="s">
        <v>7000</v>
      </c>
      <c r="E19043" s="2" t="str">
        <f>"9783837656480"</f>
        <v>9783837656480</v>
      </c>
      <c r="F19043" s="2" t="str">
        <f>"9783732856480"</f>
        <v>9783732856480</v>
      </c>
    </row>
    <row r="19044" spans="1:6" s="3" customFormat="1" ht="29.1" customHeight="1" x14ac:dyDescent="0.25">
      <c r="A19044" s="2" t="s">
        <v>37429</v>
      </c>
      <c r="B19044" s="2" t="s">
        <v>37430</v>
      </c>
      <c r="C19044" s="2" t="s">
        <v>556</v>
      </c>
      <c r="D19044" s="2" t="s">
        <v>712</v>
      </c>
      <c r="E19044" s="2" t="str">
        <f>"9783837656459"</f>
        <v>9783837656459</v>
      </c>
      <c r="F19044" s="2" t="str">
        <f>"9783732856459"</f>
        <v>9783732856459</v>
      </c>
    </row>
    <row r="19045" spans="1:6" s="3" customFormat="1" ht="29.1" customHeight="1" x14ac:dyDescent="0.25">
      <c r="A19045" s="2" t="s">
        <v>37431</v>
      </c>
      <c r="B19045" s="2" t="s">
        <v>37408</v>
      </c>
      <c r="C19045" s="2" t="s">
        <v>556</v>
      </c>
      <c r="D19045" s="2" t="s">
        <v>490</v>
      </c>
      <c r="E19045" s="2" t="str">
        <f>"9783837656381"</f>
        <v>9783837656381</v>
      </c>
      <c r="F19045" s="2" t="str">
        <f>"9783839456385"</f>
        <v>9783839456385</v>
      </c>
    </row>
    <row r="19046" spans="1:6" s="3" customFormat="1" ht="29.1" customHeight="1" x14ac:dyDescent="0.25">
      <c r="A19046" s="2" t="s">
        <v>37432</v>
      </c>
      <c r="B19046" s="2" t="s">
        <v>37433</v>
      </c>
      <c r="C19046" s="2" t="s">
        <v>556</v>
      </c>
      <c r="D19046" s="2" t="s">
        <v>1155</v>
      </c>
      <c r="E19046" s="2" t="str">
        <f>"9783837656350"</f>
        <v>9783837656350</v>
      </c>
      <c r="F19046" s="2" t="str">
        <f>"9783839456354"</f>
        <v>9783839456354</v>
      </c>
    </row>
    <row r="19047" spans="1:6" s="3" customFormat="1" ht="29.1" customHeight="1" x14ac:dyDescent="0.25">
      <c r="A19047" s="2" t="s">
        <v>37434</v>
      </c>
      <c r="B19047" s="2" t="s">
        <v>37435</v>
      </c>
      <c r="C19047" s="2" t="s">
        <v>556</v>
      </c>
      <c r="D19047" s="2" t="s">
        <v>2336</v>
      </c>
      <c r="E19047" s="2" t="str">
        <f>"9783837656336"</f>
        <v>9783837656336</v>
      </c>
      <c r="F19047" s="2" t="str">
        <f>"9783732856336"</f>
        <v>9783732856336</v>
      </c>
    </row>
    <row r="19048" spans="1:6" s="3" customFormat="1" ht="29.1" customHeight="1" x14ac:dyDescent="0.25">
      <c r="A19048" s="2" t="s">
        <v>37436</v>
      </c>
      <c r="B19048" s="2" t="s">
        <v>37437</v>
      </c>
      <c r="C19048" s="2" t="s">
        <v>556</v>
      </c>
      <c r="D19048" s="2" t="s">
        <v>639</v>
      </c>
      <c r="E19048" s="2" t="str">
        <f>"9783837656213"</f>
        <v>9783837656213</v>
      </c>
      <c r="F19048" s="2" t="str">
        <f>"9783839456217"</f>
        <v>9783839456217</v>
      </c>
    </row>
    <row r="19049" spans="1:6" s="3" customFormat="1" ht="29.1" customHeight="1" x14ac:dyDescent="0.25">
      <c r="A19049" s="2" t="s">
        <v>37438</v>
      </c>
      <c r="B19049" s="2" t="s">
        <v>37439</v>
      </c>
      <c r="C19049" s="2" t="s">
        <v>556</v>
      </c>
      <c r="D19049" s="2" t="s">
        <v>5983</v>
      </c>
      <c r="E19049" s="2" t="str">
        <f>"9783837656169"</f>
        <v>9783837656169</v>
      </c>
      <c r="F19049" s="2" t="str">
        <f>"9783732856169"</f>
        <v>9783732856169</v>
      </c>
    </row>
    <row r="19050" spans="1:6" s="3" customFormat="1" ht="29.1" customHeight="1" x14ac:dyDescent="0.25">
      <c r="A19050" s="2" t="s">
        <v>37440</v>
      </c>
      <c r="B19050" s="2" t="s">
        <v>37441</v>
      </c>
      <c r="C19050" s="2" t="s">
        <v>556</v>
      </c>
      <c r="D19050" s="2" t="s">
        <v>446</v>
      </c>
      <c r="E19050" s="2" t="str">
        <f>"9783837656138"</f>
        <v>9783837656138</v>
      </c>
      <c r="F19050" s="2" t="str">
        <f>"9783839456132"</f>
        <v>9783839456132</v>
      </c>
    </row>
    <row r="19051" spans="1:6" s="3" customFormat="1" ht="29.1" customHeight="1" x14ac:dyDescent="0.25">
      <c r="A19051" s="2" t="s">
        <v>37442</v>
      </c>
      <c r="B19051" s="2" t="s">
        <v>37443</v>
      </c>
      <c r="C19051" s="2" t="s">
        <v>556</v>
      </c>
      <c r="D19051" s="2" t="s">
        <v>1411</v>
      </c>
      <c r="E19051" s="2" t="str">
        <f>"9783837656121"</f>
        <v>9783837656121</v>
      </c>
      <c r="F19051" s="2" t="str">
        <f>"9783839456125"</f>
        <v>9783839456125</v>
      </c>
    </row>
    <row r="19052" spans="1:6" s="3" customFormat="1" ht="29.1" customHeight="1" x14ac:dyDescent="0.25">
      <c r="A19052" s="2" t="s">
        <v>37444</v>
      </c>
      <c r="B19052" s="2" t="s">
        <v>35652</v>
      </c>
      <c r="C19052" s="2" t="s">
        <v>556</v>
      </c>
      <c r="D19052" s="2" t="s">
        <v>1411</v>
      </c>
      <c r="E19052" s="2" t="str">
        <f>"9783837656060"</f>
        <v>9783837656060</v>
      </c>
      <c r="F19052" s="2" t="str">
        <f>"9783732856060"</f>
        <v>9783732856060</v>
      </c>
    </row>
    <row r="19053" spans="1:6" s="3" customFormat="1" ht="29.1" customHeight="1" x14ac:dyDescent="0.25">
      <c r="A19053" s="2" t="s">
        <v>37445</v>
      </c>
      <c r="B19053" s="2" t="s">
        <v>37446</v>
      </c>
      <c r="C19053" s="2" t="s">
        <v>556</v>
      </c>
      <c r="D19053" s="2" t="s">
        <v>712</v>
      </c>
      <c r="E19053" s="2" t="str">
        <f>"9783837656053"</f>
        <v>9783837656053</v>
      </c>
      <c r="F19053" s="2" t="str">
        <f>"9783732856053"</f>
        <v>9783732856053</v>
      </c>
    </row>
    <row r="19054" spans="1:6" s="3" customFormat="1" ht="29.1" customHeight="1" x14ac:dyDescent="0.25">
      <c r="A19054" s="2" t="s">
        <v>37447</v>
      </c>
      <c r="B19054" s="2" t="s">
        <v>37448</v>
      </c>
      <c r="C19054" s="2" t="s">
        <v>556</v>
      </c>
      <c r="D19054" s="2" t="s">
        <v>712</v>
      </c>
      <c r="E19054" s="2" t="str">
        <f>"9783837656039"</f>
        <v>9783837656039</v>
      </c>
      <c r="F19054" s="2" t="str">
        <f>"9783732856039"</f>
        <v>9783732856039</v>
      </c>
    </row>
    <row r="19055" spans="1:6" s="3" customFormat="1" ht="29.1" customHeight="1" x14ac:dyDescent="0.25">
      <c r="A19055" s="2" t="s">
        <v>37449</v>
      </c>
      <c r="B19055" s="2" t="s">
        <v>37450</v>
      </c>
      <c r="C19055" s="2" t="s">
        <v>556</v>
      </c>
      <c r="D19055" s="2" t="s">
        <v>183</v>
      </c>
      <c r="E19055" s="2" t="str">
        <f>"9783837655971"</f>
        <v>9783837655971</v>
      </c>
      <c r="F19055" s="2" t="str">
        <f>"9783839455975"</f>
        <v>9783839455975</v>
      </c>
    </row>
    <row r="19056" spans="1:6" s="3" customFormat="1" ht="29.1" customHeight="1" x14ac:dyDescent="0.25">
      <c r="A19056" s="2" t="s">
        <v>37451</v>
      </c>
      <c r="B19056" s="2" t="s">
        <v>37452</v>
      </c>
      <c r="C19056" s="2" t="s">
        <v>556</v>
      </c>
      <c r="D19056" s="2" t="s">
        <v>446</v>
      </c>
      <c r="E19056" s="2" t="str">
        <f>"9783837655933"</f>
        <v>9783837655933</v>
      </c>
      <c r="F19056" s="2" t="str">
        <f>"9783839455937"</f>
        <v>9783839455937</v>
      </c>
    </row>
    <row r="19057" spans="1:6" s="3" customFormat="1" ht="29.1" customHeight="1" x14ac:dyDescent="0.25">
      <c r="A19057" s="2" t="s">
        <v>37453</v>
      </c>
      <c r="B19057" s="2" t="s">
        <v>37454</v>
      </c>
      <c r="C19057" s="2" t="s">
        <v>556</v>
      </c>
      <c r="D19057" s="2" t="s">
        <v>1411</v>
      </c>
      <c r="E19057" s="2" t="str">
        <f>"9783837655896"</f>
        <v>9783837655896</v>
      </c>
      <c r="F19057" s="2" t="str">
        <f>"9783839455890"</f>
        <v>9783839455890</v>
      </c>
    </row>
    <row r="19058" spans="1:6" s="3" customFormat="1" ht="29.1" customHeight="1" x14ac:dyDescent="0.25">
      <c r="A19058" s="2" t="s">
        <v>37455</v>
      </c>
      <c r="B19058" s="2" t="s">
        <v>37456</v>
      </c>
      <c r="C19058" s="2" t="s">
        <v>556</v>
      </c>
      <c r="D19058" s="2" t="s">
        <v>183</v>
      </c>
      <c r="E19058" s="2" t="str">
        <f>"9783837655872"</f>
        <v>9783837655872</v>
      </c>
      <c r="F19058" s="2" t="str">
        <f>"9783839455876"</f>
        <v>9783839455876</v>
      </c>
    </row>
    <row r="19059" spans="1:6" s="3" customFormat="1" ht="29.1" customHeight="1" x14ac:dyDescent="0.25">
      <c r="A19059" s="2" t="s">
        <v>37457</v>
      </c>
      <c r="B19059" s="2" t="s">
        <v>37458</v>
      </c>
      <c r="C19059" s="2" t="s">
        <v>556</v>
      </c>
      <c r="D19059" s="2" t="s">
        <v>183</v>
      </c>
      <c r="E19059" s="2" t="str">
        <f>"9783837655742"</f>
        <v>9783837655742</v>
      </c>
      <c r="F19059" s="2" t="str">
        <f>"9783839455746"</f>
        <v>9783839455746</v>
      </c>
    </row>
    <row r="19060" spans="1:6" s="3" customFormat="1" ht="29.1" customHeight="1" x14ac:dyDescent="0.25">
      <c r="A19060" s="2" t="s">
        <v>37459</v>
      </c>
      <c r="B19060" s="2" t="s">
        <v>37460</v>
      </c>
      <c r="C19060" s="2" t="s">
        <v>556</v>
      </c>
      <c r="D19060" s="2" t="s">
        <v>647</v>
      </c>
      <c r="E19060" s="2" t="str">
        <f>"9783837655711"</f>
        <v>9783837655711</v>
      </c>
      <c r="F19060" s="2" t="str">
        <f>"9783839455715"</f>
        <v>9783839455715</v>
      </c>
    </row>
    <row r="19061" spans="1:6" s="3" customFormat="1" ht="29.1" customHeight="1" x14ac:dyDescent="0.25">
      <c r="A19061" s="2" t="s">
        <v>37461</v>
      </c>
      <c r="B19061" s="2" t="s">
        <v>37462</v>
      </c>
      <c r="C19061" s="2" t="s">
        <v>556</v>
      </c>
      <c r="D19061" s="2" t="s">
        <v>7280</v>
      </c>
      <c r="E19061" s="2" t="str">
        <f>"9783837655698"</f>
        <v>9783837655698</v>
      </c>
      <c r="F19061" s="2" t="str">
        <f>"9783839455692"</f>
        <v>9783839455692</v>
      </c>
    </row>
    <row r="19062" spans="1:6" s="3" customFormat="1" ht="29.1" customHeight="1" x14ac:dyDescent="0.25">
      <c r="A19062" s="2" t="s">
        <v>37463</v>
      </c>
      <c r="B19062" s="2" t="s">
        <v>37464</v>
      </c>
      <c r="C19062" s="2" t="s">
        <v>556</v>
      </c>
      <c r="D19062" s="2" t="s">
        <v>490</v>
      </c>
      <c r="E19062" s="2" t="str">
        <f>"9783837655674"</f>
        <v>9783837655674</v>
      </c>
      <c r="F19062" s="2" t="str">
        <f>"9783839455678"</f>
        <v>9783839455678</v>
      </c>
    </row>
    <row r="19063" spans="1:6" s="3" customFormat="1" ht="29.1" customHeight="1" x14ac:dyDescent="0.25">
      <c r="A19063" s="2" t="s">
        <v>37465</v>
      </c>
      <c r="B19063" s="2" t="s">
        <v>37466</v>
      </c>
      <c r="C19063" s="2" t="s">
        <v>556</v>
      </c>
      <c r="D19063" s="2" t="s">
        <v>78</v>
      </c>
      <c r="E19063" s="2" t="str">
        <f>"9783837655643"</f>
        <v>9783837655643</v>
      </c>
      <c r="F19063" s="2" t="str">
        <f>"9783839455647"</f>
        <v>9783839455647</v>
      </c>
    </row>
    <row r="19064" spans="1:6" s="3" customFormat="1" ht="29.1" customHeight="1" x14ac:dyDescent="0.25">
      <c r="A19064" s="2" t="s">
        <v>37467</v>
      </c>
      <c r="B19064" s="2" t="s">
        <v>37468</v>
      </c>
      <c r="C19064" s="2" t="s">
        <v>556</v>
      </c>
      <c r="D19064" s="2" t="s">
        <v>17547</v>
      </c>
      <c r="E19064" s="2" t="str">
        <f>"9783837655599"</f>
        <v>9783837655599</v>
      </c>
      <c r="F19064" s="2" t="str">
        <f>"9783839455593"</f>
        <v>9783839455593</v>
      </c>
    </row>
    <row r="19065" spans="1:6" s="3" customFormat="1" ht="29.1" customHeight="1" x14ac:dyDescent="0.25">
      <c r="A19065" s="2" t="s">
        <v>37469</v>
      </c>
      <c r="B19065" s="2" t="s">
        <v>37470</v>
      </c>
      <c r="C19065" s="2" t="s">
        <v>556</v>
      </c>
      <c r="D19065" s="2" t="s">
        <v>1141</v>
      </c>
      <c r="E19065" s="2" t="str">
        <f>"9783837655568"</f>
        <v>9783837655568</v>
      </c>
      <c r="F19065" s="2" t="str">
        <f>"9783839455562"</f>
        <v>9783839455562</v>
      </c>
    </row>
    <row r="19066" spans="1:6" s="3" customFormat="1" ht="29.1" customHeight="1" x14ac:dyDescent="0.25">
      <c r="A19066" s="2" t="s">
        <v>37471</v>
      </c>
      <c r="B19066" s="2" t="s">
        <v>37472</v>
      </c>
      <c r="C19066" s="2" t="s">
        <v>556</v>
      </c>
      <c r="D19066" s="2" t="s">
        <v>297</v>
      </c>
      <c r="E19066" s="2" t="str">
        <f>"9783837655322"</f>
        <v>9783837655322</v>
      </c>
      <c r="F19066" s="2" t="str">
        <f>"9783839455326"</f>
        <v>9783839455326</v>
      </c>
    </row>
    <row r="19067" spans="1:6" s="3" customFormat="1" ht="29.1" customHeight="1" x14ac:dyDescent="0.25">
      <c r="A19067" s="2" t="s">
        <v>37473</v>
      </c>
      <c r="B19067" s="2" t="s">
        <v>37474</v>
      </c>
      <c r="C19067" s="2" t="s">
        <v>556</v>
      </c>
      <c r="D19067" s="2" t="s">
        <v>33</v>
      </c>
      <c r="E19067" s="2" t="str">
        <f>"9783837655308"</f>
        <v>9783837655308</v>
      </c>
      <c r="F19067" s="2" t="str">
        <f>"9783839455302"</f>
        <v>9783839455302</v>
      </c>
    </row>
    <row r="19068" spans="1:6" s="3" customFormat="1" ht="29.1" customHeight="1" x14ac:dyDescent="0.25">
      <c r="A19068" s="2" t="s">
        <v>37475</v>
      </c>
      <c r="B19068" s="2" t="s">
        <v>37476</v>
      </c>
      <c r="C19068" s="2" t="s">
        <v>556</v>
      </c>
      <c r="D19068" s="2" t="s">
        <v>1046</v>
      </c>
      <c r="E19068" s="2" t="str">
        <f>"9783837655292"</f>
        <v>9783837655292</v>
      </c>
      <c r="F19068" s="2" t="str">
        <f>"9783839455296"</f>
        <v>9783839455296</v>
      </c>
    </row>
    <row r="19069" spans="1:6" s="3" customFormat="1" ht="29.1" customHeight="1" x14ac:dyDescent="0.25">
      <c r="A19069" s="2" t="s">
        <v>37477</v>
      </c>
      <c r="B19069" s="2" t="s">
        <v>37478</v>
      </c>
      <c r="C19069" s="2" t="s">
        <v>556</v>
      </c>
      <c r="D19069" s="2" t="s">
        <v>1141</v>
      </c>
      <c r="E19069" s="2" t="str">
        <f>"9783837655278"</f>
        <v>9783837655278</v>
      </c>
      <c r="F19069" s="2" t="str">
        <f>"9783732855278"</f>
        <v>9783732855278</v>
      </c>
    </row>
    <row r="19070" spans="1:6" s="3" customFormat="1" ht="29.1" customHeight="1" x14ac:dyDescent="0.25">
      <c r="A19070" s="2" t="s">
        <v>37479</v>
      </c>
      <c r="B19070" s="2" t="s">
        <v>37480</v>
      </c>
      <c r="C19070" s="2" t="s">
        <v>556</v>
      </c>
      <c r="D19070" s="2" t="s">
        <v>1637</v>
      </c>
      <c r="E19070" s="2" t="str">
        <f>"9783837655223"</f>
        <v>9783837655223</v>
      </c>
      <c r="F19070" s="2" t="str">
        <f>"9783839455227"</f>
        <v>9783839455227</v>
      </c>
    </row>
    <row r="19071" spans="1:6" s="3" customFormat="1" ht="29.1" customHeight="1" x14ac:dyDescent="0.25">
      <c r="A19071" s="2" t="s">
        <v>37481</v>
      </c>
      <c r="B19071" s="2" t="s">
        <v>37482</v>
      </c>
      <c r="C19071" s="2" t="s">
        <v>556</v>
      </c>
      <c r="D19071" s="2" t="s">
        <v>4172</v>
      </c>
      <c r="E19071" s="2" t="str">
        <f>"9783837655094"</f>
        <v>9783837655094</v>
      </c>
      <c r="F19071" s="2" t="str">
        <f>"9783732855094"</f>
        <v>9783732855094</v>
      </c>
    </row>
    <row r="19072" spans="1:6" s="3" customFormat="1" ht="29.1" customHeight="1" x14ac:dyDescent="0.25">
      <c r="A19072" s="2" t="s">
        <v>37483</v>
      </c>
      <c r="B19072" s="2" t="s">
        <v>37484</v>
      </c>
      <c r="C19072" s="2" t="s">
        <v>556</v>
      </c>
      <c r="D19072" s="2" t="s">
        <v>4071</v>
      </c>
      <c r="E19072" s="2" t="str">
        <f>"9783837655070"</f>
        <v>9783837655070</v>
      </c>
      <c r="F19072" s="2" t="str">
        <f>"9783839455074"</f>
        <v>9783839455074</v>
      </c>
    </row>
    <row r="19073" spans="1:6" s="3" customFormat="1" ht="29.1" customHeight="1" x14ac:dyDescent="0.25">
      <c r="A19073" s="2" t="s">
        <v>37485</v>
      </c>
      <c r="B19073" s="2" t="s">
        <v>37486</v>
      </c>
      <c r="C19073" s="2" t="s">
        <v>556</v>
      </c>
      <c r="D19073" s="2" t="s">
        <v>183</v>
      </c>
      <c r="E19073" s="2" t="str">
        <f>"9783837655049"</f>
        <v>9783837655049</v>
      </c>
      <c r="F19073" s="2" t="str">
        <f>"9783839455043"</f>
        <v>9783839455043</v>
      </c>
    </row>
    <row r="19074" spans="1:6" s="3" customFormat="1" ht="29.1" customHeight="1" x14ac:dyDescent="0.25">
      <c r="A19074" s="2" t="s">
        <v>37487</v>
      </c>
      <c r="B19074" s="2" t="s">
        <v>37488</v>
      </c>
      <c r="C19074" s="2" t="s">
        <v>556</v>
      </c>
      <c r="D19074" s="2" t="s">
        <v>855</v>
      </c>
      <c r="E19074" s="2" t="str">
        <f>"9783837655032"</f>
        <v>9783837655032</v>
      </c>
      <c r="F19074" s="2" t="str">
        <f>"9783839455036"</f>
        <v>9783839455036</v>
      </c>
    </row>
    <row r="19075" spans="1:6" s="3" customFormat="1" ht="29.1" customHeight="1" x14ac:dyDescent="0.25">
      <c r="A19075" s="2" t="s">
        <v>37489</v>
      </c>
      <c r="B19075" s="2" t="s">
        <v>37490</v>
      </c>
      <c r="C19075" s="2" t="s">
        <v>556</v>
      </c>
      <c r="D19075" s="2" t="s">
        <v>484</v>
      </c>
      <c r="E19075" s="2" t="str">
        <f>"9783837655025"</f>
        <v>9783837655025</v>
      </c>
      <c r="F19075" s="2" t="str">
        <f>"9783839455029"</f>
        <v>9783839455029</v>
      </c>
    </row>
    <row r="19076" spans="1:6" s="3" customFormat="1" ht="29.1" customHeight="1" x14ac:dyDescent="0.25">
      <c r="A19076" s="2" t="s">
        <v>37491</v>
      </c>
      <c r="B19076" s="2" t="s">
        <v>37493</v>
      </c>
      <c r="C19076" s="2" t="s">
        <v>556</v>
      </c>
      <c r="D19076" s="2" t="s">
        <v>37492</v>
      </c>
      <c r="E19076" s="2" t="str">
        <f>"9783837654851"</f>
        <v>9783837654851</v>
      </c>
      <c r="F19076" s="2" t="str">
        <f>"9783839454855"</f>
        <v>9783839454855</v>
      </c>
    </row>
    <row r="19077" spans="1:6" s="3" customFormat="1" ht="29.1" customHeight="1" x14ac:dyDescent="0.25">
      <c r="A19077" s="2" t="s">
        <v>37494</v>
      </c>
      <c r="B19077" s="2" t="s">
        <v>37495</v>
      </c>
      <c r="C19077" s="2" t="s">
        <v>556</v>
      </c>
      <c r="D19077" s="2" t="s">
        <v>791</v>
      </c>
      <c r="E19077" s="2" t="str">
        <f>"9783837654790"</f>
        <v>9783837654790</v>
      </c>
      <c r="F19077" s="2" t="str">
        <f>"9783732854790"</f>
        <v>9783732854790</v>
      </c>
    </row>
    <row r="19078" spans="1:6" s="3" customFormat="1" ht="29.1" customHeight="1" x14ac:dyDescent="0.25">
      <c r="A19078" s="2" t="s">
        <v>37496</v>
      </c>
      <c r="B19078" s="2" t="s">
        <v>37497</v>
      </c>
      <c r="C19078" s="2" t="s">
        <v>556</v>
      </c>
      <c r="D19078" s="2" t="s">
        <v>446</v>
      </c>
      <c r="E19078" s="2" t="str">
        <f>"9783837654714"</f>
        <v>9783837654714</v>
      </c>
      <c r="F19078" s="2" t="str">
        <f>"9783839454718"</f>
        <v>9783839454718</v>
      </c>
    </row>
    <row r="19079" spans="1:6" s="3" customFormat="1" ht="29.1" customHeight="1" x14ac:dyDescent="0.25">
      <c r="A19079" s="2" t="s">
        <v>37498</v>
      </c>
      <c r="B19079" s="2" t="s">
        <v>37499</v>
      </c>
      <c r="C19079" s="2" t="s">
        <v>556</v>
      </c>
      <c r="D19079" s="2" t="s">
        <v>75</v>
      </c>
      <c r="E19079" s="2" t="str">
        <f>"9783837654677"</f>
        <v>9783837654677</v>
      </c>
      <c r="F19079" s="2" t="str">
        <f>"9783732854677"</f>
        <v>9783732854677</v>
      </c>
    </row>
    <row r="19080" spans="1:6" s="3" customFormat="1" ht="29.1" customHeight="1" x14ac:dyDescent="0.25">
      <c r="A19080" s="2" t="s">
        <v>37500</v>
      </c>
      <c r="B19080" s="2" t="s">
        <v>37501</v>
      </c>
      <c r="C19080" s="2" t="s">
        <v>556</v>
      </c>
      <c r="D19080" s="2" t="s">
        <v>1049</v>
      </c>
      <c r="E19080" s="2" t="str">
        <f>"9783837654486"</f>
        <v>9783837654486</v>
      </c>
      <c r="F19080" s="2" t="str">
        <f>"9783839454480"</f>
        <v>9783839454480</v>
      </c>
    </row>
    <row r="19081" spans="1:6" s="3" customFormat="1" ht="29.1" customHeight="1" x14ac:dyDescent="0.25">
      <c r="A19081" s="2" t="s">
        <v>37502</v>
      </c>
      <c r="B19081" s="2" t="s">
        <v>37503</v>
      </c>
      <c r="C19081" s="2" t="s">
        <v>556</v>
      </c>
      <c r="D19081" s="2" t="s">
        <v>78</v>
      </c>
      <c r="E19081" s="2" t="str">
        <f>"9783837654370"</f>
        <v>9783837654370</v>
      </c>
      <c r="F19081" s="2" t="str">
        <f>"9783839454374"</f>
        <v>9783839454374</v>
      </c>
    </row>
    <row r="19082" spans="1:6" s="3" customFormat="1" ht="29.1" customHeight="1" x14ac:dyDescent="0.25">
      <c r="A19082" s="2" t="s">
        <v>37504</v>
      </c>
      <c r="B19082" s="2" t="s">
        <v>37505</v>
      </c>
      <c r="C19082" s="2" t="s">
        <v>556</v>
      </c>
      <c r="D19082" s="2" t="s">
        <v>1162</v>
      </c>
      <c r="E19082" s="2" t="str">
        <f>"9783837654332"</f>
        <v>9783837654332</v>
      </c>
      <c r="F19082" s="2" t="str">
        <f>"9783732854332"</f>
        <v>9783732854332</v>
      </c>
    </row>
    <row r="19083" spans="1:6" s="3" customFormat="1" ht="29.1" customHeight="1" x14ac:dyDescent="0.25">
      <c r="A19083" s="2" t="s">
        <v>37506</v>
      </c>
      <c r="B19083" s="2" t="s">
        <v>37507</v>
      </c>
      <c r="C19083" s="2" t="s">
        <v>556</v>
      </c>
      <c r="D19083" s="2" t="s">
        <v>1411</v>
      </c>
      <c r="E19083" s="2" t="str">
        <f>"9783837654295"</f>
        <v>9783837654295</v>
      </c>
      <c r="F19083" s="2" t="str">
        <f>"9783839454299"</f>
        <v>9783839454299</v>
      </c>
    </row>
    <row r="19084" spans="1:6" s="3" customFormat="1" ht="29.1" customHeight="1" x14ac:dyDescent="0.25">
      <c r="A19084" s="2" t="s">
        <v>37508</v>
      </c>
      <c r="B19084" s="2" t="s">
        <v>37509</v>
      </c>
      <c r="C19084" s="2" t="s">
        <v>556</v>
      </c>
      <c r="D19084" s="2" t="s">
        <v>183</v>
      </c>
      <c r="E19084" s="2" t="str">
        <f>"9783837654240"</f>
        <v>9783837654240</v>
      </c>
      <c r="F19084" s="2" t="str">
        <f>"9783839454244"</f>
        <v>9783839454244</v>
      </c>
    </row>
    <row r="19085" spans="1:6" s="3" customFormat="1" ht="29.1" customHeight="1" x14ac:dyDescent="0.25">
      <c r="A19085" s="2" t="s">
        <v>37510</v>
      </c>
      <c r="B19085" s="2" t="s">
        <v>33570</v>
      </c>
      <c r="C19085" s="2" t="s">
        <v>556</v>
      </c>
      <c r="D19085" s="2" t="s">
        <v>6559</v>
      </c>
      <c r="E19085" s="2" t="str">
        <f>"9783837654226"</f>
        <v>9783837654226</v>
      </c>
      <c r="F19085" s="2" t="str">
        <f>"9783732854226"</f>
        <v>9783732854226</v>
      </c>
    </row>
    <row r="19086" spans="1:6" s="3" customFormat="1" ht="29.1" customHeight="1" x14ac:dyDescent="0.25">
      <c r="A19086" s="2" t="s">
        <v>37511</v>
      </c>
      <c r="B19086" s="2" t="s">
        <v>37512</v>
      </c>
      <c r="C19086" s="2" t="s">
        <v>556</v>
      </c>
      <c r="D19086" s="2" t="s">
        <v>1155</v>
      </c>
      <c r="E19086" s="2" t="str">
        <f>"9783837654141"</f>
        <v>9783837654141</v>
      </c>
      <c r="F19086" s="2" t="str">
        <f>"9783732854141"</f>
        <v>9783732854141</v>
      </c>
    </row>
    <row r="19087" spans="1:6" s="3" customFormat="1" ht="29.1" customHeight="1" x14ac:dyDescent="0.25">
      <c r="A19087" s="2" t="s">
        <v>37513</v>
      </c>
      <c r="B19087" s="2" t="s">
        <v>37514</v>
      </c>
      <c r="C19087" s="2" t="s">
        <v>556</v>
      </c>
      <c r="D19087" s="2" t="s">
        <v>183</v>
      </c>
      <c r="E19087" s="2" t="str">
        <f>"9783837654028"</f>
        <v>9783837654028</v>
      </c>
      <c r="F19087" s="2" t="str">
        <f>"9783839454022"</f>
        <v>9783839454022</v>
      </c>
    </row>
    <row r="19088" spans="1:6" s="3" customFormat="1" ht="29.1" customHeight="1" x14ac:dyDescent="0.25">
      <c r="A19088" s="2" t="s">
        <v>37515</v>
      </c>
      <c r="B19088" s="2" t="s">
        <v>37516</v>
      </c>
      <c r="C19088" s="2" t="s">
        <v>556</v>
      </c>
      <c r="D19088" s="2" t="s">
        <v>2361</v>
      </c>
      <c r="E19088" s="2" t="str">
        <f>"9783837653854"</f>
        <v>9783837653854</v>
      </c>
      <c r="F19088" s="2" t="str">
        <f>"9783839453858"</f>
        <v>9783839453858</v>
      </c>
    </row>
    <row r="19089" spans="1:6" s="3" customFormat="1" ht="29.1" customHeight="1" x14ac:dyDescent="0.25">
      <c r="A19089" s="2" t="s">
        <v>37517</v>
      </c>
      <c r="B19089" s="2" t="s">
        <v>26938</v>
      </c>
      <c r="C19089" s="2" t="s">
        <v>556</v>
      </c>
      <c r="D19089" s="2" t="s">
        <v>1895</v>
      </c>
      <c r="E19089" s="2" t="str">
        <f>"9783837653816"</f>
        <v>9783837653816</v>
      </c>
      <c r="F19089" s="2" t="str">
        <f>"9783839453810"</f>
        <v>9783839453810</v>
      </c>
    </row>
    <row r="19090" spans="1:6" s="3" customFormat="1" ht="29.1" customHeight="1" x14ac:dyDescent="0.25">
      <c r="A19090" s="2" t="s">
        <v>37518</v>
      </c>
      <c r="B19090" s="2" t="s">
        <v>37519</v>
      </c>
      <c r="C19090" s="2" t="s">
        <v>556</v>
      </c>
      <c r="D19090" s="2" t="s">
        <v>1162</v>
      </c>
      <c r="E19090" s="2" t="str">
        <f>"9783837653762"</f>
        <v>9783837653762</v>
      </c>
      <c r="F19090" s="2" t="str">
        <f>"9783732853762"</f>
        <v>9783732853762</v>
      </c>
    </row>
    <row r="19091" spans="1:6" s="3" customFormat="1" ht="29.1" customHeight="1" x14ac:dyDescent="0.25">
      <c r="A19091" s="2" t="s">
        <v>37520</v>
      </c>
      <c r="B19091" s="2" t="s">
        <v>37521</v>
      </c>
      <c r="C19091" s="2" t="s">
        <v>556</v>
      </c>
      <c r="D19091" s="2" t="s">
        <v>183</v>
      </c>
      <c r="E19091" s="2" t="str">
        <f>"9783837653755"</f>
        <v>9783837653755</v>
      </c>
      <c r="F19091" s="2" t="str">
        <f>"9783839453759"</f>
        <v>9783839453759</v>
      </c>
    </row>
    <row r="19092" spans="1:6" s="3" customFormat="1" ht="29.1" customHeight="1" x14ac:dyDescent="0.25">
      <c r="A19092" s="2" t="s">
        <v>37522</v>
      </c>
      <c r="B19092" s="2" t="s">
        <v>37523</v>
      </c>
      <c r="C19092" s="2" t="s">
        <v>556</v>
      </c>
      <c r="D19092" s="2" t="s">
        <v>1416</v>
      </c>
      <c r="E19092" s="2" t="str">
        <f>"9783837653748"</f>
        <v>9783837653748</v>
      </c>
      <c r="F19092" s="2" t="str">
        <f>"9783839453742"</f>
        <v>9783839453742</v>
      </c>
    </row>
    <row r="19093" spans="1:6" s="3" customFormat="1" ht="29.1" customHeight="1" x14ac:dyDescent="0.25">
      <c r="A19093" s="2" t="s">
        <v>37524</v>
      </c>
      <c r="B19093" s="2" t="s">
        <v>37525</v>
      </c>
      <c r="C19093" s="2" t="s">
        <v>556</v>
      </c>
      <c r="D19093" s="2" t="s">
        <v>1155</v>
      </c>
      <c r="E19093" s="2" t="str">
        <f>"9783837653717"</f>
        <v>9783837653717</v>
      </c>
      <c r="F19093" s="2" t="str">
        <f>"9783732853717"</f>
        <v>9783732853717</v>
      </c>
    </row>
    <row r="19094" spans="1:6" s="3" customFormat="1" ht="29.1" customHeight="1" x14ac:dyDescent="0.25">
      <c r="A19094" s="2" t="s">
        <v>37526</v>
      </c>
      <c r="B19094" s="2" t="s">
        <v>37527</v>
      </c>
      <c r="C19094" s="2" t="s">
        <v>556</v>
      </c>
      <c r="D19094" s="2" t="s">
        <v>297</v>
      </c>
      <c r="E19094" s="2" t="str">
        <f>"9783837653694"</f>
        <v>9783837653694</v>
      </c>
      <c r="F19094" s="2" t="str">
        <f>"9783839453698"</f>
        <v>9783839453698</v>
      </c>
    </row>
    <row r="19095" spans="1:6" s="3" customFormat="1" ht="29.1" customHeight="1" x14ac:dyDescent="0.25">
      <c r="A19095" s="2" t="s">
        <v>37528</v>
      </c>
      <c r="B19095" s="2" t="s">
        <v>37529</v>
      </c>
      <c r="C19095" s="2" t="s">
        <v>556</v>
      </c>
      <c r="D19095" s="2" t="s">
        <v>324</v>
      </c>
      <c r="E19095" s="2" t="str">
        <f>"9783837653656"</f>
        <v>9783837653656</v>
      </c>
      <c r="F19095" s="2" t="str">
        <f>"9783732853656"</f>
        <v>9783732853656</v>
      </c>
    </row>
    <row r="19096" spans="1:6" s="3" customFormat="1" ht="29.1" customHeight="1" x14ac:dyDescent="0.25">
      <c r="A19096" s="2" t="s">
        <v>37530</v>
      </c>
      <c r="B19096" s="2" t="s">
        <v>37531</v>
      </c>
      <c r="C19096" s="2" t="s">
        <v>556</v>
      </c>
      <c r="D19096" s="2" t="s">
        <v>509</v>
      </c>
      <c r="E19096" s="2" t="str">
        <f>"9783837653588"</f>
        <v>9783837653588</v>
      </c>
      <c r="F19096" s="2" t="str">
        <f>"9783839453582"</f>
        <v>9783839453582</v>
      </c>
    </row>
    <row r="19097" spans="1:6" s="3" customFormat="1" ht="29.1" customHeight="1" x14ac:dyDescent="0.25">
      <c r="A19097" s="2" t="s">
        <v>37532</v>
      </c>
      <c r="B19097" s="2" t="s">
        <v>37533</v>
      </c>
      <c r="C19097" s="2" t="s">
        <v>556</v>
      </c>
      <c r="D19097" s="2" t="s">
        <v>490</v>
      </c>
      <c r="E19097" s="2" t="str">
        <f>"9783837653557"</f>
        <v>9783837653557</v>
      </c>
      <c r="F19097" s="2" t="str">
        <f>"9783839453551"</f>
        <v>9783839453551</v>
      </c>
    </row>
    <row r="19098" spans="1:6" s="3" customFormat="1" ht="29.1" customHeight="1" x14ac:dyDescent="0.25">
      <c r="A19098" s="2" t="s">
        <v>37534</v>
      </c>
      <c r="B19098" s="2" t="s">
        <v>37535</v>
      </c>
      <c r="C19098" s="2" t="s">
        <v>556</v>
      </c>
      <c r="D19098" s="2" t="s">
        <v>1082</v>
      </c>
      <c r="E19098" s="2" t="str">
        <f>"9783837653526"</f>
        <v>9783837653526</v>
      </c>
      <c r="F19098" s="2" t="str">
        <f>"9783839453520"</f>
        <v>9783839453520</v>
      </c>
    </row>
    <row r="19099" spans="1:6" s="3" customFormat="1" ht="29.1" customHeight="1" x14ac:dyDescent="0.25">
      <c r="A19099" s="2" t="s">
        <v>37536</v>
      </c>
      <c r="B19099" s="2" t="s">
        <v>37537</v>
      </c>
      <c r="C19099" s="2" t="s">
        <v>556</v>
      </c>
      <c r="D19099" s="2" t="s">
        <v>674</v>
      </c>
      <c r="E19099" s="2" t="str">
        <f>"9783837653496"</f>
        <v>9783837653496</v>
      </c>
      <c r="F19099" s="2" t="str">
        <f>"9783839453490"</f>
        <v>9783839453490</v>
      </c>
    </row>
    <row r="19100" spans="1:6" s="3" customFormat="1" ht="29.1" customHeight="1" x14ac:dyDescent="0.25">
      <c r="A19100" s="2" t="s">
        <v>37538</v>
      </c>
      <c r="B19100" s="2" t="s">
        <v>37539</v>
      </c>
      <c r="C19100" s="2" t="s">
        <v>556</v>
      </c>
      <c r="D19100" s="2" t="s">
        <v>2462</v>
      </c>
      <c r="E19100" s="2" t="str">
        <f>"9783837653472"</f>
        <v>9783837653472</v>
      </c>
      <c r="F19100" s="2" t="str">
        <f>"9783732853472"</f>
        <v>9783732853472</v>
      </c>
    </row>
    <row r="19101" spans="1:6" s="3" customFormat="1" ht="29.1" customHeight="1" x14ac:dyDescent="0.25">
      <c r="A19101" s="2" t="s">
        <v>37540</v>
      </c>
      <c r="B19101" s="2" t="s">
        <v>37541</v>
      </c>
      <c r="C19101" s="2" t="s">
        <v>556</v>
      </c>
      <c r="D19101" s="2" t="s">
        <v>712</v>
      </c>
      <c r="E19101" s="2" t="str">
        <f>"9783837653458"</f>
        <v>9783837653458</v>
      </c>
      <c r="F19101" s="2" t="str">
        <f>"9783839453452"</f>
        <v>9783839453452</v>
      </c>
    </row>
    <row r="19102" spans="1:6" s="3" customFormat="1" ht="29.1" customHeight="1" x14ac:dyDescent="0.25">
      <c r="A19102" s="2" t="s">
        <v>37542</v>
      </c>
      <c r="B19102" s="2" t="s">
        <v>37543</v>
      </c>
      <c r="C19102" s="2" t="s">
        <v>556</v>
      </c>
      <c r="D19102" s="2" t="s">
        <v>270</v>
      </c>
      <c r="E19102" s="2" t="str">
        <f>"9783837653342"</f>
        <v>9783837653342</v>
      </c>
      <c r="F19102" s="2" t="str">
        <f>"9783839453346"</f>
        <v>9783839453346</v>
      </c>
    </row>
    <row r="19103" spans="1:6" s="3" customFormat="1" ht="29.1" customHeight="1" x14ac:dyDescent="0.25">
      <c r="A19103" s="2" t="s">
        <v>37544</v>
      </c>
      <c r="B19103" s="2" t="s">
        <v>37545</v>
      </c>
      <c r="C19103" s="2" t="s">
        <v>556</v>
      </c>
      <c r="D19103" s="2" t="s">
        <v>712</v>
      </c>
      <c r="E19103" s="2" t="str">
        <f>"9783837653281"</f>
        <v>9783837653281</v>
      </c>
      <c r="F19103" s="2" t="str">
        <f>"9783732853281"</f>
        <v>9783732853281</v>
      </c>
    </row>
    <row r="19104" spans="1:6" s="3" customFormat="1" ht="29.1" customHeight="1" x14ac:dyDescent="0.25">
      <c r="A19104" s="2" t="s">
        <v>37546</v>
      </c>
      <c r="B19104" s="2" t="s">
        <v>37547</v>
      </c>
      <c r="C19104" s="2" t="s">
        <v>556</v>
      </c>
      <c r="D19104" s="2" t="s">
        <v>1127</v>
      </c>
      <c r="E19104" s="2" t="str">
        <f>"9783837653267"</f>
        <v>9783837653267</v>
      </c>
      <c r="F19104" s="2" t="str">
        <f>"9783839453261"</f>
        <v>9783839453261</v>
      </c>
    </row>
    <row r="19105" spans="1:6" s="3" customFormat="1" ht="29.1" customHeight="1" x14ac:dyDescent="0.25">
      <c r="A19105" s="2" t="s">
        <v>37548</v>
      </c>
      <c r="B19105" s="2" t="s">
        <v>37549</v>
      </c>
      <c r="C19105" s="2" t="s">
        <v>556</v>
      </c>
      <c r="D19105" s="2" t="s">
        <v>4030</v>
      </c>
      <c r="E19105" s="2" t="str">
        <f>"9783837653229"</f>
        <v>9783837653229</v>
      </c>
      <c r="F19105" s="2" t="str">
        <f>"9783839453223"</f>
        <v>9783839453223</v>
      </c>
    </row>
    <row r="19106" spans="1:6" s="3" customFormat="1" ht="29.1" customHeight="1" x14ac:dyDescent="0.25">
      <c r="A19106" s="2" t="s">
        <v>37550</v>
      </c>
      <c r="B19106" s="2" t="s">
        <v>37551</v>
      </c>
      <c r="C19106" s="2" t="s">
        <v>556</v>
      </c>
      <c r="D19106" s="2" t="s">
        <v>1162</v>
      </c>
      <c r="E19106" s="2" t="str">
        <f>"9783837653212"</f>
        <v>9783837653212</v>
      </c>
      <c r="F19106" s="2" t="str">
        <f>"9783732853212"</f>
        <v>9783732853212</v>
      </c>
    </row>
    <row r="19107" spans="1:6" s="3" customFormat="1" ht="29.1" customHeight="1" x14ac:dyDescent="0.25">
      <c r="A19107" s="2" t="s">
        <v>37552</v>
      </c>
      <c r="B19107" s="2" t="s">
        <v>37553</v>
      </c>
      <c r="C19107" s="2" t="s">
        <v>556</v>
      </c>
      <c r="D19107" s="2" t="s">
        <v>1988</v>
      </c>
      <c r="E19107" s="2" t="str">
        <f>"9783837653182"</f>
        <v>9783837653182</v>
      </c>
      <c r="F19107" s="2" t="str">
        <f>"9783732853182"</f>
        <v>9783732853182</v>
      </c>
    </row>
    <row r="19108" spans="1:6" s="3" customFormat="1" ht="29.1" customHeight="1" x14ac:dyDescent="0.25">
      <c r="A19108" s="2" t="s">
        <v>37554</v>
      </c>
      <c r="B19108" s="2" t="s">
        <v>37555</v>
      </c>
      <c r="C19108" s="2" t="s">
        <v>556</v>
      </c>
      <c r="D19108" s="2" t="s">
        <v>1162</v>
      </c>
      <c r="E19108" s="2" t="str">
        <f>"9783837653168"</f>
        <v>9783837653168</v>
      </c>
      <c r="F19108" s="2" t="str">
        <f>"9783732853168"</f>
        <v>9783732853168</v>
      </c>
    </row>
    <row r="19109" spans="1:6" s="3" customFormat="1" ht="29.1" customHeight="1" x14ac:dyDescent="0.25">
      <c r="A19109" s="2" t="s">
        <v>37556</v>
      </c>
      <c r="B19109" s="2" t="s">
        <v>37557</v>
      </c>
      <c r="C19109" s="2" t="s">
        <v>556</v>
      </c>
      <c r="D19109" s="2" t="s">
        <v>207</v>
      </c>
      <c r="E19109" s="2" t="str">
        <f>"9783837653151"</f>
        <v>9783837653151</v>
      </c>
      <c r="F19109" s="2" t="str">
        <f>"9783732853151"</f>
        <v>9783732853151</v>
      </c>
    </row>
    <row r="19110" spans="1:6" s="3" customFormat="1" ht="29.1" customHeight="1" x14ac:dyDescent="0.25">
      <c r="A19110" s="2" t="s">
        <v>37558</v>
      </c>
      <c r="B19110" s="2" t="s">
        <v>37559</v>
      </c>
      <c r="C19110" s="2" t="s">
        <v>556</v>
      </c>
      <c r="D19110" s="2" t="s">
        <v>5794</v>
      </c>
      <c r="E19110" s="2" t="str">
        <f>"9783837653106"</f>
        <v>9783837653106</v>
      </c>
      <c r="F19110" s="2" t="str">
        <f>"9783732853106"</f>
        <v>9783732853106</v>
      </c>
    </row>
    <row r="19111" spans="1:6" s="3" customFormat="1" ht="29.1" customHeight="1" x14ac:dyDescent="0.25">
      <c r="A19111" s="2" t="s">
        <v>37560</v>
      </c>
      <c r="B19111" s="2" t="s">
        <v>37561</v>
      </c>
      <c r="C19111" s="2" t="s">
        <v>556</v>
      </c>
      <c r="D19111" s="2" t="s">
        <v>1262</v>
      </c>
      <c r="E19111" s="2" t="str">
        <f>"9783837652871"</f>
        <v>9783837652871</v>
      </c>
      <c r="F19111" s="2" t="str">
        <f>"9783839452875"</f>
        <v>9783839452875</v>
      </c>
    </row>
    <row r="19112" spans="1:6" s="3" customFormat="1" ht="29.1" customHeight="1" x14ac:dyDescent="0.25">
      <c r="A19112" s="2" t="s">
        <v>37562</v>
      </c>
      <c r="B19112" s="2" t="s">
        <v>37563</v>
      </c>
      <c r="C19112" s="2" t="s">
        <v>556</v>
      </c>
      <c r="D19112" s="2" t="s">
        <v>33</v>
      </c>
      <c r="E19112" s="2" t="str">
        <f>"9783837652864"</f>
        <v>9783837652864</v>
      </c>
      <c r="F19112" s="2" t="str">
        <f>"9783839452868"</f>
        <v>9783839452868</v>
      </c>
    </row>
    <row r="19113" spans="1:6" s="3" customFormat="1" ht="29.1" customHeight="1" x14ac:dyDescent="0.25">
      <c r="A19113" s="2" t="s">
        <v>37564</v>
      </c>
      <c r="B19113" s="2" t="s">
        <v>37565</v>
      </c>
      <c r="C19113" s="2" t="s">
        <v>556</v>
      </c>
      <c r="D19113" s="2" t="s">
        <v>183</v>
      </c>
      <c r="E19113" s="2" t="str">
        <f>"9783837652833"</f>
        <v>9783837652833</v>
      </c>
      <c r="F19113" s="2" t="str">
        <f>"9783839452837"</f>
        <v>9783839452837</v>
      </c>
    </row>
    <row r="19114" spans="1:6" s="3" customFormat="1" ht="29.1" customHeight="1" x14ac:dyDescent="0.25">
      <c r="A19114" s="2" t="s">
        <v>37566</v>
      </c>
      <c r="B19114" s="2" t="s">
        <v>37567</v>
      </c>
      <c r="C19114" s="2" t="s">
        <v>556</v>
      </c>
      <c r="D19114" s="2" t="s">
        <v>75</v>
      </c>
      <c r="E19114" s="2" t="str">
        <f>"9783837652819"</f>
        <v>9783837652819</v>
      </c>
      <c r="F19114" s="2" t="str">
        <f>"9783732852819"</f>
        <v>9783732852819</v>
      </c>
    </row>
    <row r="19115" spans="1:6" s="3" customFormat="1" ht="29.1" customHeight="1" x14ac:dyDescent="0.25">
      <c r="A19115" s="2" t="s">
        <v>37568</v>
      </c>
      <c r="B19115" s="2" t="s">
        <v>37569</v>
      </c>
      <c r="C19115" s="2" t="s">
        <v>556</v>
      </c>
      <c r="D19115" s="2" t="s">
        <v>72</v>
      </c>
      <c r="E19115" s="2" t="str">
        <f>"9783837652710"</f>
        <v>9783837652710</v>
      </c>
      <c r="F19115" s="2" t="str">
        <f>"9783732852710"</f>
        <v>9783732852710</v>
      </c>
    </row>
    <row r="19116" spans="1:6" s="3" customFormat="1" ht="29.1" customHeight="1" x14ac:dyDescent="0.25">
      <c r="A19116" s="2" t="s">
        <v>37570</v>
      </c>
      <c r="B19116" s="2" t="s">
        <v>37571</v>
      </c>
      <c r="C19116" s="2" t="s">
        <v>556</v>
      </c>
      <c r="D19116" s="2" t="s">
        <v>9</v>
      </c>
      <c r="E19116" s="2" t="str">
        <f>"9783837652673"</f>
        <v>9783837652673</v>
      </c>
      <c r="F19116" s="2" t="str">
        <f>"9783839452677"</f>
        <v>9783839452677</v>
      </c>
    </row>
    <row r="19117" spans="1:6" s="3" customFormat="1" ht="29.1" customHeight="1" x14ac:dyDescent="0.25">
      <c r="A19117" s="2" t="s">
        <v>37572</v>
      </c>
      <c r="B19117" s="2" t="s">
        <v>37573</v>
      </c>
      <c r="C19117" s="2" t="s">
        <v>556</v>
      </c>
      <c r="D19117" s="2" t="s">
        <v>378</v>
      </c>
      <c r="E19117" s="2" t="str">
        <f>"9783837652659"</f>
        <v>9783837652659</v>
      </c>
      <c r="F19117" s="2" t="str">
        <f>"9783839452653"</f>
        <v>9783839452653</v>
      </c>
    </row>
    <row r="19118" spans="1:6" s="3" customFormat="1" ht="29.1" customHeight="1" x14ac:dyDescent="0.25">
      <c r="A19118" s="2" t="s">
        <v>37574</v>
      </c>
      <c r="B19118" s="2" t="s">
        <v>37575</v>
      </c>
      <c r="C19118" s="2" t="s">
        <v>556</v>
      </c>
      <c r="D19118" s="2" t="s">
        <v>2336</v>
      </c>
      <c r="E19118" s="2" t="str">
        <f>"9783837652505"</f>
        <v>9783837652505</v>
      </c>
      <c r="F19118" s="2" t="str">
        <f>"9783839452509"</f>
        <v>9783839452509</v>
      </c>
    </row>
    <row r="19119" spans="1:6" s="3" customFormat="1" ht="29.1" customHeight="1" x14ac:dyDescent="0.25">
      <c r="A19119" s="2" t="s">
        <v>37576</v>
      </c>
      <c r="B19119" s="2" t="s">
        <v>37577</v>
      </c>
      <c r="C19119" s="2" t="s">
        <v>556</v>
      </c>
      <c r="D19119" s="2" t="s">
        <v>490</v>
      </c>
      <c r="E19119" s="2" t="str">
        <f>"9783837652475"</f>
        <v>9783837652475</v>
      </c>
      <c r="F19119" s="2" t="str">
        <f>"9783732852475"</f>
        <v>9783732852475</v>
      </c>
    </row>
    <row r="19120" spans="1:6" s="3" customFormat="1" ht="29.1" customHeight="1" x14ac:dyDescent="0.25">
      <c r="A19120" s="2" t="s">
        <v>37578</v>
      </c>
      <c r="B19120" s="2" t="s">
        <v>30650</v>
      </c>
      <c r="C19120" s="2" t="s">
        <v>556</v>
      </c>
      <c r="D19120" s="2" t="s">
        <v>1557</v>
      </c>
      <c r="E19120" s="2" t="str">
        <f>"9783837652451"</f>
        <v>9783837652451</v>
      </c>
      <c r="F19120" s="2" t="str">
        <f>"9783839452455"</f>
        <v>9783839452455</v>
      </c>
    </row>
    <row r="19121" spans="1:6" s="3" customFormat="1" ht="29.1" customHeight="1" x14ac:dyDescent="0.25">
      <c r="A19121" s="2" t="s">
        <v>37579</v>
      </c>
      <c r="B19121" s="2" t="s">
        <v>37580</v>
      </c>
      <c r="C19121" s="2" t="s">
        <v>556</v>
      </c>
      <c r="D19121" s="2" t="s">
        <v>1141</v>
      </c>
      <c r="E19121" s="2" t="str">
        <f>"9783837652437"</f>
        <v>9783837652437</v>
      </c>
      <c r="F19121" s="2" t="str">
        <f>"9783839452431"</f>
        <v>9783839452431</v>
      </c>
    </row>
    <row r="19122" spans="1:6" s="3" customFormat="1" ht="29.1" customHeight="1" x14ac:dyDescent="0.25">
      <c r="A19122" s="2" t="s">
        <v>37581</v>
      </c>
      <c r="B19122" s="2" t="s">
        <v>37582</v>
      </c>
      <c r="C19122" s="2" t="s">
        <v>556</v>
      </c>
      <c r="D19122" s="2" t="s">
        <v>1411</v>
      </c>
      <c r="E19122" s="2" t="str">
        <f>"9783837652307"</f>
        <v>9783837652307</v>
      </c>
      <c r="F19122" s="2" t="str">
        <f>"9783839452301"</f>
        <v>9783839452301</v>
      </c>
    </row>
    <row r="19123" spans="1:6" s="3" customFormat="1" ht="29.1" customHeight="1" x14ac:dyDescent="0.25">
      <c r="A19123" s="2" t="s">
        <v>37583</v>
      </c>
      <c r="B19123" s="2" t="s">
        <v>37584</v>
      </c>
      <c r="C19123" s="2" t="s">
        <v>556</v>
      </c>
      <c r="D19123" s="2" t="s">
        <v>339</v>
      </c>
      <c r="E19123" s="2" t="str">
        <f>"9783837652055"</f>
        <v>9783837652055</v>
      </c>
      <c r="F19123" s="2" t="str">
        <f>"9783732852055"</f>
        <v>9783732852055</v>
      </c>
    </row>
    <row r="19124" spans="1:6" s="3" customFormat="1" ht="29.1" customHeight="1" x14ac:dyDescent="0.25">
      <c r="A19124" s="2" t="s">
        <v>37585</v>
      </c>
      <c r="B19124" s="2" t="s">
        <v>37586</v>
      </c>
      <c r="C19124" s="2" t="s">
        <v>556</v>
      </c>
      <c r="D19124" s="2" t="s">
        <v>1694</v>
      </c>
      <c r="E19124" s="2" t="str">
        <f>"9783837652048"</f>
        <v>9783837652048</v>
      </c>
      <c r="F19124" s="2" t="str">
        <f>"9783839452042"</f>
        <v>9783839452042</v>
      </c>
    </row>
    <row r="19125" spans="1:6" s="3" customFormat="1" ht="29.1" customHeight="1" x14ac:dyDescent="0.25">
      <c r="A19125" s="2" t="s">
        <v>37587</v>
      </c>
      <c r="B19125" s="2" t="s">
        <v>37588</v>
      </c>
      <c r="C19125" s="2" t="s">
        <v>556</v>
      </c>
      <c r="D19125" s="2" t="s">
        <v>378</v>
      </c>
      <c r="E19125" s="2" t="str">
        <f>"9783837652031"</f>
        <v>9783837652031</v>
      </c>
      <c r="F19125" s="2" t="str">
        <f>"9783839452035"</f>
        <v>9783839452035</v>
      </c>
    </row>
    <row r="19126" spans="1:6" s="3" customFormat="1" ht="29.1" customHeight="1" x14ac:dyDescent="0.25">
      <c r="A19126" s="2" t="s">
        <v>37589</v>
      </c>
      <c r="B19126" s="2" t="s">
        <v>37590</v>
      </c>
      <c r="C19126" s="2" t="s">
        <v>556</v>
      </c>
      <c r="D19126" s="2" t="s">
        <v>78</v>
      </c>
      <c r="E19126" s="2" t="str">
        <f>"9783837652024"</f>
        <v>9783837652024</v>
      </c>
      <c r="F19126" s="2" t="str">
        <f>"9783839452028"</f>
        <v>9783839452028</v>
      </c>
    </row>
    <row r="19127" spans="1:6" s="3" customFormat="1" ht="29.1" customHeight="1" x14ac:dyDescent="0.25">
      <c r="A19127" s="2" t="s">
        <v>37591</v>
      </c>
      <c r="B19127" s="2" t="s">
        <v>37592</v>
      </c>
      <c r="C19127" s="2" t="s">
        <v>556</v>
      </c>
      <c r="D19127" s="2" t="s">
        <v>218</v>
      </c>
      <c r="E19127" s="2" t="str">
        <f>"9783837652000"</f>
        <v>9783837652000</v>
      </c>
      <c r="F19127" s="2" t="str">
        <f>"9783839452004"</f>
        <v>9783839452004</v>
      </c>
    </row>
    <row r="19128" spans="1:6" s="3" customFormat="1" ht="29.1" customHeight="1" x14ac:dyDescent="0.25">
      <c r="A19128" s="2" t="s">
        <v>37593</v>
      </c>
      <c r="B19128" s="2" t="s">
        <v>37594</v>
      </c>
      <c r="C19128" s="2" t="s">
        <v>556</v>
      </c>
      <c r="D19128" s="2" t="s">
        <v>1127</v>
      </c>
      <c r="E19128" s="2" t="str">
        <f>"9783837651973"</f>
        <v>9783837651973</v>
      </c>
      <c r="F19128" s="2" t="str">
        <f>"9783839451977"</f>
        <v>9783839451977</v>
      </c>
    </row>
    <row r="19129" spans="1:6" s="3" customFormat="1" ht="29.1" customHeight="1" x14ac:dyDescent="0.25">
      <c r="A19129" s="2" t="s">
        <v>37595</v>
      </c>
      <c r="B19129" s="2" t="s">
        <v>37596</v>
      </c>
      <c r="C19129" s="2" t="s">
        <v>556</v>
      </c>
      <c r="D19129" s="2" t="s">
        <v>183</v>
      </c>
      <c r="E19129" s="2" t="str">
        <f>"9783837651942"</f>
        <v>9783837651942</v>
      </c>
      <c r="F19129" s="2" t="str">
        <f>"9783839451946"</f>
        <v>9783839451946</v>
      </c>
    </row>
    <row r="19130" spans="1:6" s="3" customFormat="1" ht="29.1" customHeight="1" x14ac:dyDescent="0.25">
      <c r="A19130" s="2" t="s">
        <v>37597</v>
      </c>
      <c r="B19130" s="2" t="s">
        <v>37598</v>
      </c>
      <c r="C19130" s="2" t="s">
        <v>556</v>
      </c>
      <c r="D19130" s="2" t="s">
        <v>402</v>
      </c>
      <c r="E19130" s="2" t="str">
        <f>"9783837651904"</f>
        <v>9783837651904</v>
      </c>
      <c r="F19130" s="2" t="str">
        <f>"9783839451908"</f>
        <v>9783839451908</v>
      </c>
    </row>
    <row r="19131" spans="1:6" s="3" customFormat="1" ht="29.1" customHeight="1" x14ac:dyDescent="0.25">
      <c r="A19131" s="2" t="s">
        <v>37599</v>
      </c>
      <c r="B19131" s="2" t="s">
        <v>37600</v>
      </c>
      <c r="C19131" s="2" t="s">
        <v>556</v>
      </c>
      <c r="D19131" s="2" t="s">
        <v>183</v>
      </c>
      <c r="E19131" s="2" t="str">
        <f>"9783837651850"</f>
        <v>9783837651850</v>
      </c>
      <c r="F19131" s="2" t="str">
        <f>"9783839451854"</f>
        <v>9783839451854</v>
      </c>
    </row>
    <row r="19132" spans="1:6" s="3" customFormat="1" ht="29.1" customHeight="1" x14ac:dyDescent="0.25">
      <c r="A19132" s="2" t="s">
        <v>37601</v>
      </c>
      <c r="B19132" s="2" t="s">
        <v>37602</v>
      </c>
      <c r="C19132" s="2" t="s">
        <v>556</v>
      </c>
      <c r="D19132" s="2" t="s">
        <v>509</v>
      </c>
      <c r="E19132" s="2" t="str">
        <f>"9783837651843"</f>
        <v>9783837651843</v>
      </c>
      <c r="F19132" s="2" t="str">
        <f>"9783839451847"</f>
        <v>9783839451847</v>
      </c>
    </row>
    <row r="19133" spans="1:6" s="3" customFormat="1" ht="29.1" customHeight="1" x14ac:dyDescent="0.25">
      <c r="A19133" s="2" t="s">
        <v>37603</v>
      </c>
      <c r="B19133" s="2" t="s">
        <v>37604</v>
      </c>
      <c r="C19133" s="2" t="s">
        <v>556</v>
      </c>
      <c r="D19133" s="2" t="s">
        <v>2462</v>
      </c>
      <c r="E19133" s="2" t="str">
        <f>"9783837651836"</f>
        <v>9783837651836</v>
      </c>
      <c r="F19133" s="2" t="str">
        <f>"9783732851836"</f>
        <v>9783732851836</v>
      </c>
    </row>
    <row r="19134" spans="1:6" s="3" customFormat="1" ht="29.1" customHeight="1" x14ac:dyDescent="0.25">
      <c r="A19134" s="2" t="s">
        <v>37605</v>
      </c>
      <c r="B19134" s="2" t="s">
        <v>12330</v>
      </c>
      <c r="C19134" s="2" t="s">
        <v>556</v>
      </c>
      <c r="D19134" s="2" t="s">
        <v>674</v>
      </c>
      <c r="E19134" s="2" t="str">
        <f>"9783837651805"</f>
        <v>9783837651805</v>
      </c>
      <c r="F19134" s="2" t="str">
        <f>"9783839451809"</f>
        <v>9783839451809</v>
      </c>
    </row>
    <row r="19135" spans="1:6" s="3" customFormat="1" ht="29.1" customHeight="1" x14ac:dyDescent="0.25">
      <c r="A19135" s="2" t="s">
        <v>37606</v>
      </c>
      <c r="B19135" s="2" t="s">
        <v>37607</v>
      </c>
      <c r="C19135" s="2" t="s">
        <v>556</v>
      </c>
      <c r="D19135" s="2" t="s">
        <v>3345</v>
      </c>
      <c r="E19135" s="2" t="str">
        <f>"9783837651768"</f>
        <v>9783837651768</v>
      </c>
      <c r="F19135" s="2" t="str">
        <f>"9783732851768"</f>
        <v>9783732851768</v>
      </c>
    </row>
    <row r="19136" spans="1:6" s="3" customFormat="1" ht="29.1" customHeight="1" x14ac:dyDescent="0.25">
      <c r="A19136" s="2" t="s">
        <v>37608</v>
      </c>
      <c r="B19136" s="2" t="s">
        <v>37609</v>
      </c>
      <c r="C19136" s="2" t="s">
        <v>556</v>
      </c>
      <c r="D19136" s="2" t="s">
        <v>998</v>
      </c>
      <c r="E19136" s="2" t="str">
        <f>"9783837651744"</f>
        <v>9783837651744</v>
      </c>
      <c r="F19136" s="2" t="str">
        <f>"9783839451748"</f>
        <v>9783839451748</v>
      </c>
    </row>
    <row r="19137" spans="1:6" s="3" customFormat="1" ht="29.1" customHeight="1" x14ac:dyDescent="0.25">
      <c r="A19137" s="2" t="s">
        <v>37610</v>
      </c>
      <c r="B19137" s="2" t="s">
        <v>37611</v>
      </c>
      <c r="C19137" s="2" t="s">
        <v>556</v>
      </c>
      <c r="D19137" s="2" t="s">
        <v>183</v>
      </c>
      <c r="E19137" s="2" t="str">
        <f>"9783837651713"</f>
        <v>9783837651713</v>
      </c>
      <c r="F19137" s="2" t="str">
        <f>"9783839451717"</f>
        <v>9783839451717</v>
      </c>
    </row>
    <row r="19138" spans="1:6" s="3" customFormat="1" ht="29.1" customHeight="1" x14ac:dyDescent="0.25">
      <c r="A19138" s="2" t="s">
        <v>37612</v>
      </c>
      <c r="B19138" s="2" t="s">
        <v>37613</v>
      </c>
      <c r="C19138" s="2" t="s">
        <v>556</v>
      </c>
      <c r="D19138" s="2" t="s">
        <v>596</v>
      </c>
      <c r="E19138" s="2" t="str">
        <f>"9783837651706"</f>
        <v>9783837651706</v>
      </c>
      <c r="F19138" s="2" t="str">
        <f>"9783732851706"</f>
        <v>9783732851706</v>
      </c>
    </row>
    <row r="19139" spans="1:6" s="3" customFormat="1" ht="29.1" customHeight="1" x14ac:dyDescent="0.25">
      <c r="A19139" s="2" t="s">
        <v>37614</v>
      </c>
      <c r="B19139" s="2" t="s">
        <v>37615</v>
      </c>
      <c r="C19139" s="2" t="s">
        <v>556</v>
      </c>
      <c r="D19139" s="2" t="s">
        <v>1183</v>
      </c>
      <c r="E19139" s="2" t="str">
        <f>"9783837651690"</f>
        <v>9783837651690</v>
      </c>
      <c r="F19139" s="2" t="str">
        <f>"9783839451694"</f>
        <v>9783839451694</v>
      </c>
    </row>
    <row r="19140" spans="1:6" s="3" customFormat="1" ht="29.1" customHeight="1" x14ac:dyDescent="0.25">
      <c r="A19140" s="2" t="s">
        <v>37616</v>
      </c>
      <c r="B19140" s="2" t="s">
        <v>37617</v>
      </c>
      <c r="C19140" s="2" t="s">
        <v>556</v>
      </c>
      <c r="D19140" s="2" t="s">
        <v>1411</v>
      </c>
      <c r="E19140" s="2" t="str">
        <f>"9783837651683"</f>
        <v>9783837651683</v>
      </c>
      <c r="F19140" s="2" t="str">
        <f>"9783732851683"</f>
        <v>9783732851683</v>
      </c>
    </row>
    <row r="19141" spans="1:6" s="3" customFormat="1" ht="29.1" customHeight="1" x14ac:dyDescent="0.25">
      <c r="A19141" s="2" t="s">
        <v>37618</v>
      </c>
      <c r="B19141" s="2" t="s">
        <v>37619</v>
      </c>
      <c r="C19141" s="2" t="s">
        <v>556</v>
      </c>
      <c r="D19141" s="2" t="s">
        <v>791</v>
      </c>
      <c r="E19141" s="2" t="str">
        <f>"9783837651652"</f>
        <v>9783837651652</v>
      </c>
      <c r="F19141" s="2" t="str">
        <f>"9783839451656"</f>
        <v>9783839451656</v>
      </c>
    </row>
    <row r="19142" spans="1:6" s="3" customFormat="1" ht="29.1" customHeight="1" x14ac:dyDescent="0.25">
      <c r="A19142" s="2" t="s">
        <v>37620</v>
      </c>
      <c r="B19142" s="2" t="s">
        <v>37621</v>
      </c>
      <c r="C19142" s="2" t="s">
        <v>556</v>
      </c>
      <c r="D19142" s="2" t="s">
        <v>1141</v>
      </c>
      <c r="E19142" s="2" t="str">
        <f>"9783837651645"</f>
        <v>9783837651645</v>
      </c>
      <c r="F19142" s="2" t="str">
        <f>"9783839451649"</f>
        <v>9783839451649</v>
      </c>
    </row>
    <row r="19143" spans="1:6" s="3" customFormat="1" ht="29.1" customHeight="1" x14ac:dyDescent="0.25">
      <c r="A19143" s="2" t="s">
        <v>37622</v>
      </c>
      <c r="B19143" s="2" t="s">
        <v>37623</v>
      </c>
      <c r="C19143" s="2" t="s">
        <v>556</v>
      </c>
      <c r="D19143" s="2" t="s">
        <v>218</v>
      </c>
      <c r="E19143" s="2" t="str">
        <f>"9783837651638"</f>
        <v>9783837651638</v>
      </c>
      <c r="F19143" s="2" t="str">
        <f>"9783839451632"</f>
        <v>9783839451632</v>
      </c>
    </row>
    <row r="19144" spans="1:6" s="3" customFormat="1" ht="29.1" customHeight="1" x14ac:dyDescent="0.25">
      <c r="A19144" s="2" t="s">
        <v>37624</v>
      </c>
      <c r="B19144" s="2" t="s">
        <v>37625</v>
      </c>
      <c r="C19144" s="2" t="s">
        <v>556</v>
      </c>
      <c r="D19144" s="2" t="s">
        <v>2462</v>
      </c>
      <c r="E19144" s="2" t="str">
        <f>"9783837651584"</f>
        <v>9783837651584</v>
      </c>
      <c r="F19144" s="2" t="str">
        <f>"9783732851584"</f>
        <v>9783732851584</v>
      </c>
    </row>
    <row r="19145" spans="1:6" s="3" customFormat="1" ht="29.1" customHeight="1" x14ac:dyDescent="0.25">
      <c r="A19145" s="2" t="s">
        <v>37626</v>
      </c>
      <c r="B19145" s="2" t="s">
        <v>37627</v>
      </c>
      <c r="C19145" s="2" t="s">
        <v>556</v>
      </c>
      <c r="D19145" s="2" t="s">
        <v>3245</v>
      </c>
      <c r="E19145" s="2" t="str">
        <f>"9783837651515"</f>
        <v>9783837651515</v>
      </c>
      <c r="F19145" s="2" t="str">
        <f>"9783839451519"</f>
        <v>9783839451519</v>
      </c>
    </row>
    <row r="19146" spans="1:6" s="3" customFormat="1" ht="29.1" customHeight="1" x14ac:dyDescent="0.25">
      <c r="A19146" s="2" t="s">
        <v>37628</v>
      </c>
      <c r="B19146" s="2" t="s">
        <v>37629</v>
      </c>
      <c r="C19146" s="2" t="s">
        <v>556</v>
      </c>
      <c r="D19146" s="2" t="s">
        <v>636</v>
      </c>
      <c r="E19146" s="2" t="str">
        <f>"9783837651508"</f>
        <v>9783837651508</v>
      </c>
      <c r="F19146" s="2" t="str">
        <f>"9783839451502"</f>
        <v>9783839451502</v>
      </c>
    </row>
    <row r="19147" spans="1:6" s="3" customFormat="1" ht="29.1" customHeight="1" x14ac:dyDescent="0.25">
      <c r="A19147" s="2" t="s">
        <v>37630</v>
      </c>
      <c r="B19147" s="2" t="s">
        <v>37631</v>
      </c>
      <c r="C19147" s="2" t="s">
        <v>556</v>
      </c>
      <c r="D19147" s="2" t="s">
        <v>1141</v>
      </c>
      <c r="E19147" s="2" t="str">
        <f>"9783837651454"</f>
        <v>9783837651454</v>
      </c>
      <c r="F19147" s="2" t="str">
        <f>"9783839451458"</f>
        <v>9783839451458</v>
      </c>
    </row>
    <row r="19148" spans="1:6" s="3" customFormat="1" ht="29.1" customHeight="1" x14ac:dyDescent="0.25">
      <c r="A19148" s="2" t="s">
        <v>37632</v>
      </c>
      <c r="B19148" s="2" t="s">
        <v>37633</v>
      </c>
      <c r="C19148" s="2" t="s">
        <v>556</v>
      </c>
      <c r="D19148" s="2" t="s">
        <v>2810</v>
      </c>
      <c r="E19148" s="2" t="str">
        <f>"9783837651324"</f>
        <v>9783837651324</v>
      </c>
      <c r="F19148" s="2" t="str">
        <f>"9783839451328"</f>
        <v>9783839451328</v>
      </c>
    </row>
    <row r="19149" spans="1:6" s="3" customFormat="1" ht="29.1" customHeight="1" x14ac:dyDescent="0.25">
      <c r="A19149" s="2" t="s">
        <v>37634</v>
      </c>
      <c r="B19149" s="2" t="s">
        <v>37635</v>
      </c>
      <c r="C19149" s="2" t="s">
        <v>556</v>
      </c>
      <c r="D19149" s="2" t="s">
        <v>1162</v>
      </c>
      <c r="E19149" s="2" t="str">
        <f>"9783837651317"</f>
        <v>9783837651317</v>
      </c>
      <c r="F19149" s="2" t="str">
        <f>"9783732851317"</f>
        <v>9783732851317</v>
      </c>
    </row>
    <row r="19150" spans="1:6" s="3" customFormat="1" ht="29.1" customHeight="1" x14ac:dyDescent="0.25">
      <c r="A19150" s="2" t="s">
        <v>37636</v>
      </c>
      <c r="B19150" s="2" t="s">
        <v>37637</v>
      </c>
      <c r="C19150" s="2" t="s">
        <v>556</v>
      </c>
      <c r="D19150" s="2" t="s">
        <v>183</v>
      </c>
      <c r="E19150" s="2" t="str">
        <f>"9783837651263"</f>
        <v>9783837651263</v>
      </c>
      <c r="F19150" s="2" t="str">
        <f>"9783839451267"</f>
        <v>9783839451267</v>
      </c>
    </row>
    <row r="19151" spans="1:6" s="3" customFormat="1" ht="29.1" customHeight="1" x14ac:dyDescent="0.25">
      <c r="A19151" s="2" t="s">
        <v>37638</v>
      </c>
      <c r="B19151" s="2" t="s">
        <v>37639</v>
      </c>
      <c r="C19151" s="2" t="s">
        <v>556</v>
      </c>
      <c r="D19151" s="2" t="s">
        <v>913</v>
      </c>
      <c r="E19151" s="2" t="str">
        <f>"9783837651218"</f>
        <v>9783837651218</v>
      </c>
      <c r="F19151" s="2" t="str">
        <f>"9783839451212"</f>
        <v>9783839451212</v>
      </c>
    </row>
    <row r="19152" spans="1:6" s="3" customFormat="1" ht="29.1" customHeight="1" x14ac:dyDescent="0.25">
      <c r="A19152" s="2" t="s">
        <v>37640</v>
      </c>
      <c r="B19152" s="2" t="s">
        <v>37641</v>
      </c>
      <c r="C19152" s="2" t="s">
        <v>556</v>
      </c>
      <c r="D19152" s="2" t="s">
        <v>636</v>
      </c>
      <c r="E19152" s="2" t="str">
        <f>"9783837651164"</f>
        <v>9783837651164</v>
      </c>
      <c r="F19152" s="2" t="str">
        <f>"9783839451168"</f>
        <v>9783839451168</v>
      </c>
    </row>
    <row r="19153" spans="1:6" s="3" customFormat="1" ht="29.1" customHeight="1" x14ac:dyDescent="0.25">
      <c r="A19153" s="2" t="s">
        <v>37642</v>
      </c>
      <c r="B19153" s="2" t="s">
        <v>37643</v>
      </c>
      <c r="C19153" s="2" t="s">
        <v>556</v>
      </c>
      <c r="D19153" s="2" t="s">
        <v>1189</v>
      </c>
      <c r="E19153" s="2" t="str">
        <f>"9783837651140"</f>
        <v>9783837651140</v>
      </c>
      <c r="F19153" s="2" t="str">
        <f>"9783839451144"</f>
        <v>9783839451144</v>
      </c>
    </row>
    <row r="19154" spans="1:6" s="3" customFormat="1" ht="29.1" customHeight="1" x14ac:dyDescent="0.25">
      <c r="A19154" s="2" t="s">
        <v>37644</v>
      </c>
      <c r="B19154" s="2" t="s">
        <v>37645</v>
      </c>
      <c r="C19154" s="2" t="s">
        <v>556</v>
      </c>
      <c r="D19154" s="2" t="s">
        <v>674</v>
      </c>
      <c r="E19154" s="2" t="str">
        <f>"9783837651089"</f>
        <v>9783837651089</v>
      </c>
      <c r="F19154" s="2" t="str">
        <f>"9783839451083"</f>
        <v>9783839451083</v>
      </c>
    </row>
    <row r="19155" spans="1:6" s="3" customFormat="1" ht="29.1" customHeight="1" x14ac:dyDescent="0.25">
      <c r="A19155" s="2" t="s">
        <v>37646</v>
      </c>
      <c r="B19155" s="2" t="s">
        <v>32218</v>
      </c>
      <c r="C19155" s="2" t="s">
        <v>556</v>
      </c>
      <c r="D19155" s="2" t="s">
        <v>92</v>
      </c>
      <c r="E19155" s="2" t="str">
        <f>"9783837651041"</f>
        <v>9783837651041</v>
      </c>
      <c r="F19155" s="2" t="str">
        <f>"9783839451045"</f>
        <v>9783839451045</v>
      </c>
    </row>
    <row r="19156" spans="1:6" s="3" customFormat="1" ht="29.1" customHeight="1" x14ac:dyDescent="0.25">
      <c r="A19156" s="2" t="s">
        <v>37647</v>
      </c>
      <c r="B19156" s="2" t="s">
        <v>37648</v>
      </c>
      <c r="C19156" s="2" t="s">
        <v>556</v>
      </c>
      <c r="D19156" s="2" t="s">
        <v>1141</v>
      </c>
      <c r="E19156" s="2" t="str">
        <f>"9783837650952"</f>
        <v>9783837650952</v>
      </c>
      <c r="F19156" s="2" t="str">
        <f>"9783839450956"</f>
        <v>9783839450956</v>
      </c>
    </row>
    <row r="19157" spans="1:6" s="3" customFormat="1" ht="29.1" customHeight="1" x14ac:dyDescent="0.25">
      <c r="A19157" s="2" t="s">
        <v>37649</v>
      </c>
      <c r="B19157" s="2" t="s">
        <v>37650</v>
      </c>
      <c r="C19157" s="2" t="s">
        <v>556</v>
      </c>
      <c r="D19157" s="2" t="s">
        <v>712</v>
      </c>
      <c r="E19157" s="2" t="str">
        <f>"9783837650808"</f>
        <v>9783837650808</v>
      </c>
      <c r="F19157" s="2" t="str">
        <f>"9783732850808"</f>
        <v>9783732850808</v>
      </c>
    </row>
    <row r="19158" spans="1:6" s="3" customFormat="1" ht="29.1" customHeight="1" x14ac:dyDescent="0.25">
      <c r="A19158" s="2" t="s">
        <v>37651</v>
      </c>
      <c r="B19158" s="2" t="s">
        <v>37652</v>
      </c>
      <c r="C19158" s="2" t="s">
        <v>556</v>
      </c>
      <c r="D19158" s="2" t="s">
        <v>78</v>
      </c>
      <c r="E19158" s="2" t="str">
        <f>"9783837650792"</f>
        <v>9783837650792</v>
      </c>
      <c r="F19158" s="2" t="str">
        <f>"9783839450796"</f>
        <v>9783839450796</v>
      </c>
    </row>
    <row r="19159" spans="1:6" s="3" customFormat="1" ht="29.1" customHeight="1" x14ac:dyDescent="0.25">
      <c r="A19159" s="2" t="s">
        <v>37653</v>
      </c>
      <c r="B19159" s="2" t="s">
        <v>37654</v>
      </c>
      <c r="C19159" s="2" t="s">
        <v>556</v>
      </c>
      <c r="D19159" s="2" t="s">
        <v>183</v>
      </c>
      <c r="E19159" s="2" t="str">
        <f>"9783837650785"</f>
        <v>9783837650785</v>
      </c>
      <c r="F19159" s="2" t="str">
        <f>"9783839450789"</f>
        <v>9783839450789</v>
      </c>
    </row>
    <row r="19160" spans="1:6" s="3" customFormat="1" ht="29.1" customHeight="1" x14ac:dyDescent="0.25">
      <c r="A19160" s="2" t="s">
        <v>37655</v>
      </c>
      <c r="B19160" s="2" t="s">
        <v>37656</v>
      </c>
      <c r="C19160" s="2" t="s">
        <v>556</v>
      </c>
      <c r="D19160" s="2" t="s">
        <v>998</v>
      </c>
      <c r="E19160" s="2" t="str">
        <f>"9783837650723"</f>
        <v>9783837650723</v>
      </c>
      <c r="F19160" s="2" t="str">
        <f>"9783732850723"</f>
        <v>9783732850723</v>
      </c>
    </row>
    <row r="19161" spans="1:6" s="3" customFormat="1" ht="29.1" customHeight="1" x14ac:dyDescent="0.25">
      <c r="A19161" s="2" t="s">
        <v>37657</v>
      </c>
      <c r="B19161" s="2" t="s">
        <v>37658</v>
      </c>
      <c r="C19161" s="2" t="s">
        <v>556</v>
      </c>
      <c r="D19161" s="2" t="s">
        <v>791</v>
      </c>
      <c r="E19161" s="2" t="str">
        <f>"9783837650716"</f>
        <v>9783837650716</v>
      </c>
      <c r="F19161" s="2" t="str">
        <f>"9783732850716"</f>
        <v>9783732850716</v>
      </c>
    </row>
    <row r="19162" spans="1:6" s="3" customFormat="1" ht="29.1" customHeight="1" x14ac:dyDescent="0.25">
      <c r="A19162" s="2" t="s">
        <v>37659</v>
      </c>
      <c r="B19162" s="2" t="s">
        <v>37660</v>
      </c>
      <c r="C19162" s="2" t="s">
        <v>556</v>
      </c>
      <c r="D19162" s="2" t="s">
        <v>791</v>
      </c>
      <c r="E19162" s="2" t="str">
        <f>"9783837650709"</f>
        <v>9783837650709</v>
      </c>
      <c r="F19162" s="2" t="str">
        <f>"9783732850709"</f>
        <v>9783732850709</v>
      </c>
    </row>
    <row r="19163" spans="1:6" s="3" customFormat="1" ht="29.1" customHeight="1" x14ac:dyDescent="0.25">
      <c r="A19163" s="2" t="s">
        <v>37661</v>
      </c>
      <c r="B19163" s="2" t="s">
        <v>37662</v>
      </c>
      <c r="C19163" s="2" t="s">
        <v>556</v>
      </c>
      <c r="D19163" s="2" t="s">
        <v>1162</v>
      </c>
      <c r="E19163" s="2" t="str">
        <f>"9783837650693"</f>
        <v>9783837650693</v>
      </c>
      <c r="F19163" s="2" t="str">
        <f>"9783732850693"</f>
        <v>9783732850693</v>
      </c>
    </row>
    <row r="19164" spans="1:6" s="3" customFormat="1" ht="29.1" customHeight="1" x14ac:dyDescent="0.25">
      <c r="A19164" s="2" t="s">
        <v>37663</v>
      </c>
      <c r="B19164" s="2" t="s">
        <v>37664</v>
      </c>
      <c r="C19164" s="2" t="s">
        <v>556</v>
      </c>
      <c r="D19164" s="2" t="s">
        <v>1162</v>
      </c>
      <c r="E19164" s="2" t="str">
        <f>"9783837650686"</f>
        <v>9783837650686</v>
      </c>
      <c r="F19164" s="2" t="str">
        <f>"9783732850686"</f>
        <v>9783732850686</v>
      </c>
    </row>
    <row r="19165" spans="1:6" s="3" customFormat="1" ht="29.1" customHeight="1" x14ac:dyDescent="0.25">
      <c r="A19165" s="2" t="s">
        <v>37665</v>
      </c>
      <c r="B19165" s="2" t="s">
        <v>37666</v>
      </c>
      <c r="C19165" s="2" t="s">
        <v>556</v>
      </c>
      <c r="D19165" s="2" t="s">
        <v>1162</v>
      </c>
      <c r="E19165" s="2" t="str">
        <f>"9783837650679"</f>
        <v>9783837650679</v>
      </c>
      <c r="F19165" s="2" t="str">
        <f>"9783732850679"</f>
        <v>9783732850679</v>
      </c>
    </row>
    <row r="19166" spans="1:6" s="3" customFormat="1" ht="29.1" customHeight="1" x14ac:dyDescent="0.25">
      <c r="A19166" s="2" t="s">
        <v>37667</v>
      </c>
      <c r="B19166" s="2" t="s">
        <v>37668</v>
      </c>
      <c r="C19166" s="2" t="s">
        <v>556</v>
      </c>
      <c r="D19166" s="2" t="s">
        <v>218</v>
      </c>
      <c r="E19166" s="2" t="str">
        <f>"9783837650662"</f>
        <v>9783837650662</v>
      </c>
      <c r="F19166" s="2" t="str">
        <f>"9783839450666"</f>
        <v>9783839450666</v>
      </c>
    </row>
    <row r="19167" spans="1:6" s="3" customFormat="1" ht="29.1" customHeight="1" x14ac:dyDescent="0.25">
      <c r="A19167" s="2" t="s">
        <v>37669</v>
      </c>
      <c r="B19167" s="2" t="s">
        <v>37670</v>
      </c>
      <c r="C19167" s="2" t="s">
        <v>556</v>
      </c>
      <c r="D19167" s="2" t="s">
        <v>3993</v>
      </c>
      <c r="E19167" s="2" t="str">
        <f>"9783837650488"</f>
        <v>9783837650488</v>
      </c>
      <c r="F19167" s="2" t="str">
        <f>"9783839450482"</f>
        <v>9783839450482</v>
      </c>
    </row>
    <row r="19168" spans="1:6" s="3" customFormat="1" ht="29.1" customHeight="1" x14ac:dyDescent="0.25">
      <c r="A19168" s="2" t="s">
        <v>37671</v>
      </c>
      <c r="B19168" s="2" t="s">
        <v>37672</v>
      </c>
      <c r="C19168" s="2" t="s">
        <v>556</v>
      </c>
      <c r="D19168" s="2" t="s">
        <v>3245</v>
      </c>
      <c r="E19168" s="2" t="str">
        <f>"9783837650457"</f>
        <v>9783837650457</v>
      </c>
      <c r="F19168" s="2" t="str">
        <f>"9783839450451"</f>
        <v>9783839450451</v>
      </c>
    </row>
    <row r="19169" spans="1:6" s="3" customFormat="1" ht="29.1" customHeight="1" x14ac:dyDescent="0.25">
      <c r="A19169" s="2" t="s">
        <v>37673</v>
      </c>
      <c r="B19169" s="2" t="s">
        <v>37674</v>
      </c>
      <c r="C19169" s="2" t="s">
        <v>556</v>
      </c>
      <c r="D19169" s="2" t="s">
        <v>446</v>
      </c>
      <c r="E19169" s="2" t="str">
        <f>"9783837650419"</f>
        <v>9783837650419</v>
      </c>
      <c r="F19169" s="2" t="str">
        <f>"9783839450413"</f>
        <v>9783839450413</v>
      </c>
    </row>
    <row r="19170" spans="1:6" s="3" customFormat="1" ht="29.1" customHeight="1" x14ac:dyDescent="0.25">
      <c r="A19170" s="2" t="s">
        <v>37675</v>
      </c>
      <c r="B19170" s="2" t="s">
        <v>37676</v>
      </c>
      <c r="C19170" s="2" t="s">
        <v>556</v>
      </c>
      <c r="D19170" s="2" t="s">
        <v>6123</v>
      </c>
      <c r="E19170" s="2" t="str">
        <f>"9783837650402"</f>
        <v>9783837650402</v>
      </c>
      <c r="F19170" s="2" t="str">
        <f>"9783839450406"</f>
        <v>9783839450406</v>
      </c>
    </row>
    <row r="19171" spans="1:6" s="3" customFormat="1" ht="29.1" customHeight="1" x14ac:dyDescent="0.25">
      <c r="A19171" s="2" t="s">
        <v>37677</v>
      </c>
      <c r="B19171" s="2" t="s">
        <v>37678</v>
      </c>
      <c r="C19171" s="2" t="s">
        <v>556</v>
      </c>
      <c r="D19171" s="2" t="s">
        <v>1411</v>
      </c>
      <c r="E19171" s="2" t="str">
        <f>"9783837650235"</f>
        <v>9783837650235</v>
      </c>
      <c r="F19171" s="2" t="str">
        <f>"9783732850235"</f>
        <v>9783732850235</v>
      </c>
    </row>
    <row r="19172" spans="1:6" s="3" customFormat="1" ht="29.1" customHeight="1" x14ac:dyDescent="0.25">
      <c r="A19172" s="2" t="s">
        <v>37679</v>
      </c>
      <c r="B19172" s="2" t="s">
        <v>37680</v>
      </c>
      <c r="C19172" s="2" t="s">
        <v>556</v>
      </c>
      <c r="D19172" s="2" t="s">
        <v>75</v>
      </c>
      <c r="E19172" s="2" t="str">
        <f>"9783837650228"</f>
        <v>9783837650228</v>
      </c>
      <c r="F19172" s="2" t="str">
        <f>"9783839450222"</f>
        <v>9783839450222</v>
      </c>
    </row>
    <row r="19173" spans="1:6" s="3" customFormat="1" ht="29.1" customHeight="1" x14ac:dyDescent="0.25">
      <c r="A19173" s="2" t="s">
        <v>37681</v>
      </c>
      <c r="B19173" s="2" t="s">
        <v>37682</v>
      </c>
      <c r="C19173" s="2" t="s">
        <v>556</v>
      </c>
      <c r="D19173" s="2" t="s">
        <v>636</v>
      </c>
      <c r="E19173" s="2" t="str">
        <f>"9783837650211"</f>
        <v>9783837650211</v>
      </c>
      <c r="F19173" s="2" t="str">
        <f>"9783839450215"</f>
        <v>9783839450215</v>
      </c>
    </row>
    <row r="19174" spans="1:6" s="3" customFormat="1" ht="29.1" customHeight="1" x14ac:dyDescent="0.25">
      <c r="A19174" s="2" t="s">
        <v>37683</v>
      </c>
      <c r="B19174" s="2" t="s">
        <v>37684</v>
      </c>
      <c r="C19174" s="2" t="s">
        <v>556</v>
      </c>
      <c r="D19174" s="2" t="s">
        <v>1189</v>
      </c>
      <c r="E19174" s="2" t="str">
        <f>"9783837650181"</f>
        <v>9783837650181</v>
      </c>
      <c r="F19174" s="2" t="str">
        <f>"9783839450185"</f>
        <v>9783839450185</v>
      </c>
    </row>
    <row r="19175" spans="1:6" s="3" customFormat="1" ht="29.1" customHeight="1" x14ac:dyDescent="0.25">
      <c r="A19175" s="2" t="s">
        <v>37685</v>
      </c>
      <c r="B19175" s="2" t="s">
        <v>37686</v>
      </c>
      <c r="C19175" s="2" t="s">
        <v>556</v>
      </c>
      <c r="D19175" s="2" t="s">
        <v>1155</v>
      </c>
      <c r="E19175" s="2" t="str">
        <f>"9783837650167"</f>
        <v>9783837650167</v>
      </c>
      <c r="F19175" s="2" t="str">
        <f>"9783732850167"</f>
        <v>9783732850167</v>
      </c>
    </row>
    <row r="19176" spans="1:6" s="3" customFormat="1" ht="29.1" customHeight="1" x14ac:dyDescent="0.25">
      <c r="A19176" s="2" t="s">
        <v>37687</v>
      </c>
      <c r="B19176" s="2" t="s">
        <v>37688</v>
      </c>
      <c r="C19176" s="2" t="s">
        <v>556</v>
      </c>
      <c r="D19176" s="2" t="s">
        <v>78</v>
      </c>
      <c r="E19176" s="2" t="str">
        <f>"9783837650136"</f>
        <v>9783837650136</v>
      </c>
      <c r="F19176" s="2" t="str">
        <f>"9783839450130"</f>
        <v>9783839450130</v>
      </c>
    </row>
    <row r="19177" spans="1:6" s="3" customFormat="1" ht="29.1" customHeight="1" x14ac:dyDescent="0.25">
      <c r="A19177" s="2" t="s">
        <v>37689</v>
      </c>
      <c r="B19177" s="2" t="s">
        <v>37690</v>
      </c>
      <c r="C19177" s="2" t="s">
        <v>556</v>
      </c>
      <c r="D19177" s="2" t="s">
        <v>2462</v>
      </c>
      <c r="E19177" s="2" t="str">
        <f>"9783837650112"</f>
        <v>9783837650112</v>
      </c>
      <c r="F19177" s="2" t="str">
        <f>"9783732850112"</f>
        <v>9783732850112</v>
      </c>
    </row>
    <row r="19178" spans="1:6" s="3" customFormat="1" ht="29.1" customHeight="1" x14ac:dyDescent="0.25">
      <c r="A19178" s="2" t="s">
        <v>37691</v>
      </c>
      <c r="B19178" s="2" t="s">
        <v>37692</v>
      </c>
      <c r="C19178" s="2" t="s">
        <v>556</v>
      </c>
      <c r="D19178" s="2" t="s">
        <v>712</v>
      </c>
      <c r="E19178" s="2" t="str">
        <f>"9783837650099"</f>
        <v>9783837650099</v>
      </c>
      <c r="F19178" s="2" t="str">
        <f>"9783839450093"</f>
        <v>9783839450093</v>
      </c>
    </row>
    <row r="19179" spans="1:6" s="3" customFormat="1" ht="29.1" customHeight="1" x14ac:dyDescent="0.25">
      <c r="A19179" s="2" t="s">
        <v>37693</v>
      </c>
      <c r="B19179" s="2" t="s">
        <v>37694</v>
      </c>
      <c r="C19179" s="2" t="s">
        <v>556</v>
      </c>
      <c r="D19179" s="2" t="s">
        <v>682</v>
      </c>
      <c r="E19179" s="2" t="str">
        <f>"9783837650082"</f>
        <v>9783837650082</v>
      </c>
      <c r="F19179" s="2" t="str">
        <f>"9783839450086"</f>
        <v>9783839450086</v>
      </c>
    </row>
    <row r="19180" spans="1:6" s="3" customFormat="1" ht="29.1" customHeight="1" x14ac:dyDescent="0.25">
      <c r="A19180" s="2" t="s">
        <v>37695</v>
      </c>
      <c r="B19180" s="2" t="s">
        <v>37696</v>
      </c>
      <c r="C19180" s="2" t="s">
        <v>556</v>
      </c>
      <c r="D19180" s="2" t="s">
        <v>183</v>
      </c>
      <c r="E19180" s="2" t="str">
        <f>"9783837650044"</f>
        <v>9783837650044</v>
      </c>
      <c r="F19180" s="2" t="str">
        <f>"9783839450048"</f>
        <v>9783839450048</v>
      </c>
    </row>
    <row r="19181" spans="1:6" s="3" customFormat="1" ht="29.1" customHeight="1" x14ac:dyDescent="0.25">
      <c r="A19181" s="2" t="s">
        <v>37697</v>
      </c>
      <c r="B19181" s="2" t="s">
        <v>37698</v>
      </c>
      <c r="C19181" s="2" t="s">
        <v>556</v>
      </c>
      <c r="D19181" s="2" t="s">
        <v>712</v>
      </c>
      <c r="E19181" s="2" t="str">
        <f>"9783837650020"</f>
        <v>9783837650020</v>
      </c>
      <c r="F19181" s="2" t="str">
        <f>"9783839450024"</f>
        <v>9783839450024</v>
      </c>
    </row>
    <row r="19182" spans="1:6" s="3" customFormat="1" ht="29.1" customHeight="1" x14ac:dyDescent="0.25">
      <c r="A19182" s="2" t="s">
        <v>37699</v>
      </c>
      <c r="B19182" s="2" t="s">
        <v>37700</v>
      </c>
      <c r="C19182" s="2" t="s">
        <v>556</v>
      </c>
      <c r="D19182" s="2" t="s">
        <v>218</v>
      </c>
      <c r="E19182" s="2" t="str">
        <f>"9783837649987"</f>
        <v>9783837649987</v>
      </c>
      <c r="F19182" s="2" t="str">
        <f>"9783839449981"</f>
        <v>9783839449981</v>
      </c>
    </row>
    <row r="19183" spans="1:6" s="3" customFormat="1" ht="29.1" customHeight="1" x14ac:dyDescent="0.25">
      <c r="A19183" s="2" t="s">
        <v>37701</v>
      </c>
      <c r="B19183" s="2" t="s">
        <v>37702</v>
      </c>
      <c r="C19183" s="2" t="s">
        <v>556</v>
      </c>
      <c r="D19183" s="2" t="s">
        <v>446</v>
      </c>
      <c r="E19183" s="2" t="str">
        <f>"9783837649963"</f>
        <v>9783837649963</v>
      </c>
      <c r="F19183" s="2" t="str">
        <f>"9783839449967"</f>
        <v>9783839449967</v>
      </c>
    </row>
    <row r="19184" spans="1:6" s="3" customFormat="1" ht="29.1" customHeight="1" x14ac:dyDescent="0.25">
      <c r="A19184" s="2" t="s">
        <v>37703</v>
      </c>
      <c r="B19184" s="2" t="s">
        <v>37704</v>
      </c>
      <c r="C19184" s="2" t="s">
        <v>556</v>
      </c>
      <c r="D19184" s="2" t="s">
        <v>2147</v>
      </c>
      <c r="E19184" s="2" t="str">
        <f>"9783837649925"</f>
        <v>9783837649925</v>
      </c>
      <c r="F19184" s="2" t="str">
        <f>"9783839449929"</f>
        <v>9783839449929</v>
      </c>
    </row>
    <row r="19185" spans="1:6" s="3" customFormat="1" ht="29.1" customHeight="1" x14ac:dyDescent="0.25">
      <c r="A19185" s="2" t="s">
        <v>37705</v>
      </c>
      <c r="B19185" s="2" t="s">
        <v>37706</v>
      </c>
      <c r="C19185" s="2" t="s">
        <v>556</v>
      </c>
      <c r="D19185" s="2" t="s">
        <v>183</v>
      </c>
      <c r="E19185" s="2" t="str">
        <f>"9783837649888"</f>
        <v>9783837649888</v>
      </c>
      <c r="F19185" s="2" t="str">
        <f>"9783839449882"</f>
        <v>9783839449882</v>
      </c>
    </row>
    <row r="19186" spans="1:6" s="3" customFormat="1" ht="29.1" customHeight="1" x14ac:dyDescent="0.25">
      <c r="A19186" s="2" t="s">
        <v>37707</v>
      </c>
      <c r="B19186" s="2" t="s">
        <v>37708</v>
      </c>
      <c r="C19186" s="2" t="s">
        <v>556</v>
      </c>
      <c r="D19186" s="2" t="s">
        <v>1823</v>
      </c>
      <c r="E19186" s="2" t="str">
        <f>"9783837649857"</f>
        <v>9783837649857</v>
      </c>
      <c r="F19186" s="2" t="str">
        <f>"9783839449851"</f>
        <v>9783839449851</v>
      </c>
    </row>
    <row r="19187" spans="1:6" s="3" customFormat="1" ht="29.1" customHeight="1" x14ac:dyDescent="0.25">
      <c r="A19187" s="2" t="s">
        <v>37709</v>
      </c>
      <c r="B19187" s="2" t="s">
        <v>37710</v>
      </c>
      <c r="C19187" s="2" t="s">
        <v>556</v>
      </c>
      <c r="D19187" s="2" t="s">
        <v>2462</v>
      </c>
      <c r="E19187" s="2" t="str">
        <f>"9783837649840"</f>
        <v>9783837649840</v>
      </c>
      <c r="F19187" s="2" t="str">
        <f>"9783839449844"</f>
        <v>9783839449844</v>
      </c>
    </row>
    <row r="19188" spans="1:6" s="3" customFormat="1" ht="29.1" customHeight="1" x14ac:dyDescent="0.25">
      <c r="A19188" s="2" t="s">
        <v>37711</v>
      </c>
      <c r="B19188" s="2" t="s">
        <v>37712</v>
      </c>
      <c r="C19188" s="2" t="s">
        <v>556</v>
      </c>
      <c r="D19188" s="2" t="s">
        <v>1127</v>
      </c>
      <c r="E19188" s="2" t="str">
        <f>"9783837649833"</f>
        <v>9783837649833</v>
      </c>
      <c r="F19188" s="2" t="str">
        <f>"9783839449837"</f>
        <v>9783839449837</v>
      </c>
    </row>
    <row r="19189" spans="1:6" s="3" customFormat="1" ht="29.1" customHeight="1" x14ac:dyDescent="0.25">
      <c r="A19189" s="2" t="s">
        <v>37713</v>
      </c>
      <c r="B19189" s="2" t="s">
        <v>37714</v>
      </c>
      <c r="C19189" s="2" t="s">
        <v>556</v>
      </c>
      <c r="D19189" s="2" t="s">
        <v>1162</v>
      </c>
      <c r="E19189" s="2" t="str">
        <f>"9783837649826"</f>
        <v>9783837649826</v>
      </c>
      <c r="F19189" s="2" t="str">
        <f>"9783839449820"</f>
        <v>9783839449820</v>
      </c>
    </row>
    <row r="19190" spans="1:6" s="3" customFormat="1" ht="29.1" customHeight="1" x14ac:dyDescent="0.25">
      <c r="A19190" s="2" t="s">
        <v>37715</v>
      </c>
      <c r="B19190" s="2" t="s">
        <v>37716</v>
      </c>
      <c r="C19190" s="2" t="s">
        <v>556</v>
      </c>
      <c r="D19190" s="2" t="s">
        <v>402</v>
      </c>
      <c r="E19190" s="2" t="str">
        <f>"9783837649734"</f>
        <v>9783837649734</v>
      </c>
      <c r="F19190" s="2" t="str">
        <f>"9783839449738"</f>
        <v>9783839449738</v>
      </c>
    </row>
    <row r="19191" spans="1:6" s="3" customFormat="1" ht="29.1" customHeight="1" x14ac:dyDescent="0.25">
      <c r="A19191" s="2" t="s">
        <v>37717</v>
      </c>
      <c r="B19191" s="2" t="s">
        <v>37718</v>
      </c>
      <c r="C19191" s="2" t="s">
        <v>556</v>
      </c>
      <c r="D19191" s="2" t="s">
        <v>259</v>
      </c>
      <c r="E19191" s="2" t="str">
        <f>"9783837649659"</f>
        <v>9783837649659</v>
      </c>
      <c r="F19191" s="2" t="str">
        <f>"9783839449653"</f>
        <v>9783839449653</v>
      </c>
    </row>
    <row r="19192" spans="1:6" s="3" customFormat="1" ht="29.1" customHeight="1" x14ac:dyDescent="0.25">
      <c r="A19192" s="2" t="s">
        <v>37719</v>
      </c>
      <c r="B19192" s="2" t="s">
        <v>37720</v>
      </c>
      <c r="C19192" s="2" t="s">
        <v>556</v>
      </c>
      <c r="D19192" s="2" t="s">
        <v>2462</v>
      </c>
      <c r="E19192" s="2" t="str">
        <f>"9783837649499"</f>
        <v>9783837649499</v>
      </c>
      <c r="F19192" s="2" t="str">
        <f>"9783839449493"</f>
        <v>9783839449493</v>
      </c>
    </row>
    <row r="19193" spans="1:6" s="3" customFormat="1" ht="29.1" customHeight="1" x14ac:dyDescent="0.25">
      <c r="A19193" s="2" t="s">
        <v>37721</v>
      </c>
      <c r="B19193" s="2" t="s">
        <v>37722</v>
      </c>
      <c r="C19193" s="2" t="s">
        <v>556</v>
      </c>
      <c r="D19193" s="2" t="s">
        <v>712</v>
      </c>
      <c r="E19193" s="2" t="str">
        <f>"9783837649468"</f>
        <v>9783837649468</v>
      </c>
      <c r="F19193" s="2" t="str">
        <f>"9783839449462"</f>
        <v>9783839449462</v>
      </c>
    </row>
    <row r="19194" spans="1:6" s="3" customFormat="1" ht="29.1" customHeight="1" x14ac:dyDescent="0.25">
      <c r="A19194" s="2" t="s">
        <v>37723</v>
      </c>
      <c r="B19194" s="2" t="s">
        <v>37724</v>
      </c>
      <c r="C19194" s="2" t="s">
        <v>556</v>
      </c>
      <c r="D19194" s="2" t="s">
        <v>11897</v>
      </c>
      <c r="E19194" s="2" t="str">
        <f>"9783837649178"</f>
        <v>9783837649178</v>
      </c>
      <c r="F19194" s="2" t="str">
        <f>"9783839449172"</f>
        <v>9783839449172</v>
      </c>
    </row>
    <row r="19195" spans="1:6" s="3" customFormat="1" ht="29.1" customHeight="1" x14ac:dyDescent="0.25">
      <c r="A19195" s="2" t="s">
        <v>37725</v>
      </c>
      <c r="B19195" s="2" t="s">
        <v>37726</v>
      </c>
      <c r="C19195" s="2" t="s">
        <v>556</v>
      </c>
      <c r="D19195" s="2" t="s">
        <v>501</v>
      </c>
      <c r="E19195" s="2" t="str">
        <f>"9783837649130"</f>
        <v>9783837649130</v>
      </c>
      <c r="F19195" s="2" t="str">
        <f>"9783839449134"</f>
        <v>9783839449134</v>
      </c>
    </row>
    <row r="19196" spans="1:6" s="3" customFormat="1" ht="29.1" customHeight="1" x14ac:dyDescent="0.25">
      <c r="A19196" s="2" t="s">
        <v>37727</v>
      </c>
      <c r="B19196" s="2" t="s">
        <v>26075</v>
      </c>
      <c r="C19196" s="2" t="s">
        <v>556</v>
      </c>
      <c r="D19196" s="2" t="s">
        <v>183</v>
      </c>
      <c r="E19196" s="2" t="str">
        <f>"9783837649093"</f>
        <v>9783837649093</v>
      </c>
      <c r="F19196" s="2" t="str">
        <f>"9783839449097"</f>
        <v>9783839449097</v>
      </c>
    </row>
    <row r="19197" spans="1:6" s="3" customFormat="1" ht="29.1" customHeight="1" x14ac:dyDescent="0.25">
      <c r="A19197" s="2" t="s">
        <v>37728</v>
      </c>
      <c r="B19197" s="2" t="s">
        <v>37729</v>
      </c>
      <c r="C19197" s="2" t="s">
        <v>556</v>
      </c>
      <c r="D19197" s="2" t="s">
        <v>712</v>
      </c>
      <c r="E19197" s="2" t="str">
        <f>"9783837649086"</f>
        <v>9783837649086</v>
      </c>
      <c r="F19197" s="2" t="str">
        <f>"9783839449080"</f>
        <v>9783839449080</v>
      </c>
    </row>
    <row r="19198" spans="1:6" s="3" customFormat="1" ht="29.1" customHeight="1" x14ac:dyDescent="0.25">
      <c r="A19198" s="2" t="s">
        <v>37730</v>
      </c>
      <c r="B19198" s="2" t="s">
        <v>37731</v>
      </c>
      <c r="C19198" s="2" t="s">
        <v>556</v>
      </c>
      <c r="D19198" s="2" t="s">
        <v>712</v>
      </c>
      <c r="E19198" s="2" t="str">
        <f>"9783837648959"</f>
        <v>9783837648959</v>
      </c>
      <c r="F19198" s="2" t="str">
        <f>"9783839448953"</f>
        <v>9783839448953</v>
      </c>
    </row>
    <row r="19199" spans="1:6" s="3" customFormat="1" ht="29.1" customHeight="1" x14ac:dyDescent="0.25">
      <c r="A19199" s="2" t="s">
        <v>37732</v>
      </c>
      <c r="B19199" s="2" t="s">
        <v>37733</v>
      </c>
      <c r="C19199" s="2" t="s">
        <v>556</v>
      </c>
      <c r="D19199" s="2" t="s">
        <v>4133</v>
      </c>
      <c r="E19199" s="2" t="str">
        <f>"9783837648881"</f>
        <v>9783837648881</v>
      </c>
      <c r="F19199" s="2" t="str">
        <f>"9783732848881"</f>
        <v>9783732848881</v>
      </c>
    </row>
    <row r="19200" spans="1:6" s="3" customFormat="1" ht="29.1" customHeight="1" x14ac:dyDescent="0.25">
      <c r="A19200" s="2" t="s">
        <v>37734</v>
      </c>
      <c r="B19200" s="2" t="s">
        <v>37426</v>
      </c>
      <c r="C19200" s="2" t="s">
        <v>556</v>
      </c>
      <c r="D19200" s="2" t="s">
        <v>4214</v>
      </c>
      <c r="E19200" s="2" t="str">
        <f>"9783837648874"</f>
        <v>9783837648874</v>
      </c>
      <c r="F19200" s="2" t="str">
        <f>"9783839448878"</f>
        <v>9783839448878</v>
      </c>
    </row>
    <row r="19201" spans="1:6" s="3" customFormat="1" ht="29.1" customHeight="1" x14ac:dyDescent="0.25">
      <c r="A19201" s="2" t="s">
        <v>37735</v>
      </c>
      <c r="B19201" s="2" t="s">
        <v>37736</v>
      </c>
      <c r="C19201" s="2" t="s">
        <v>556</v>
      </c>
      <c r="D19201" s="2" t="s">
        <v>501</v>
      </c>
      <c r="E19201" s="2" t="str">
        <f>"9783837648836"</f>
        <v>9783837648836</v>
      </c>
      <c r="F19201" s="2" t="str">
        <f>"9783839448830"</f>
        <v>9783839448830</v>
      </c>
    </row>
    <row r="19202" spans="1:6" s="3" customFormat="1" ht="29.1" customHeight="1" x14ac:dyDescent="0.25">
      <c r="A19202" s="2" t="s">
        <v>37737</v>
      </c>
      <c r="B19202" s="2" t="s">
        <v>37738</v>
      </c>
      <c r="C19202" s="2" t="s">
        <v>556</v>
      </c>
      <c r="D19202" s="2" t="s">
        <v>1463</v>
      </c>
      <c r="E19202" s="2" t="str">
        <f>"9783837648812"</f>
        <v>9783837648812</v>
      </c>
      <c r="F19202" s="2" t="str">
        <f>"9783839448816"</f>
        <v>9783839448816</v>
      </c>
    </row>
    <row r="19203" spans="1:6" s="3" customFormat="1" ht="29.1" customHeight="1" x14ac:dyDescent="0.25">
      <c r="A19203" s="2" t="s">
        <v>37739</v>
      </c>
      <c r="B19203" s="2" t="s">
        <v>37740</v>
      </c>
      <c r="C19203" s="2" t="s">
        <v>556</v>
      </c>
      <c r="D19203" s="2" t="s">
        <v>2462</v>
      </c>
      <c r="E19203" s="2" t="str">
        <f>"9783837648799"</f>
        <v>9783837648799</v>
      </c>
      <c r="F19203" s="2" t="str">
        <f>"9783839448793"</f>
        <v>9783839448793</v>
      </c>
    </row>
    <row r="19204" spans="1:6" s="3" customFormat="1" ht="29.1" customHeight="1" x14ac:dyDescent="0.25">
      <c r="A19204" s="2" t="s">
        <v>37741</v>
      </c>
      <c r="B19204" s="2" t="s">
        <v>37742</v>
      </c>
      <c r="C19204" s="2" t="s">
        <v>556</v>
      </c>
      <c r="D19204" s="2" t="s">
        <v>1127</v>
      </c>
      <c r="E19204" s="2" t="str">
        <f>"9783837648744"</f>
        <v>9783837648744</v>
      </c>
      <c r="F19204" s="2" t="str">
        <f>"9783839448748"</f>
        <v>9783839448748</v>
      </c>
    </row>
    <row r="19205" spans="1:6" s="3" customFormat="1" ht="29.1" customHeight="1" x14ac:dyDescent="0.25">
      <c r="A19205" s="2" t="s">
        <v>37743</v>
      </c>
      <c r="B19205" s="2" t="s">
        <v>37744</v>
      </c>
      <c r="C19205" s="2" t="s">
        <v>556</v>
      </c>
      <c r="D19205" s="2" t="s">
        <v>1141</v>
      </c>
      <c r="E19205" s="2" t="str">
        <f>"9783837648652"</f>
        <v>9783837648652</v>
      </c>
      <c r="F19205" s="2" t="str">
        <f>"9783839448656"</f>
        <v>9783839448656</v>
      </c>
    </row>
    <row r="19206" spans="1:6" s="3" customFormat="1" ht="29.1" customHeight="1" x14ac:dyDescent="0.25">
      <c r="A19206" s="2" t="s">
        <v>8583</v>
      </c>
      <c r="B19206" s="2" t="s">
        <v>37745</v>
      </c>
      <c r="C19206" s="2" t="s">
        <v>556</v>
      </c>
      <c r="D19206" s="2" t="s">
        <v>1162</v>
      </c>
      <c r="E19206" s="2" t="str">
        <f>"9783837648645"</f>
        <v>9783837648645</v>
      </c>
      <c r="F19206" s="2" t="str">
        <f>"9783839448649"</f>
        <v>9783839448649</v>
      </c>
    </row>
    <row r="19207" spans="1:6" s="3" customFormat="1" ht="29.1" customHeight="1" x14ac:dyDescent="0.25">
      <c r="A19207" s="2" t="s">
        <v>37746</v>
      </c>
      <c r="B19207" s="2" t="s">
        <v>37747</v>
      </c>
      <c r="C19207" s="2" t="s">
        <v>556</v>
      </c>
      <c r="D19207" s="2" t="s">
        <v>183</v>
      </c>
      <c r="E19207" s="2" t="str">
        <f>"9783837648621"</f>
        <v>9783837648621</v>
      </c>
      <c r="F19207" s="2" t="str">
        <f>"9783839448625"</f>
        <v>9783839448625</v>
      </c>
    </row>
    <row r="19208" spans="1:6" s="3" customFormat="1" ht="29.1" customHeight="1" x14ac:dyDescent="0.25">
      <c r="A19208" s="2" t="s">
        <v>37748</v>
      </c>
      <c r="B19208" s="2" t="s">
        <v>37749</v>
      </c>
      <c r="C19208" s="2" t="s">
        <v>556</v>
      </c>
      <c r="D19208" s="2" t="s">
        <v>712</v>
      </c>
      <c r="E19208" s="2" t="str">
        <f>"9783837648461"</f>
        <v>9783837648461</v>
      </c>
      <c r="F19208" s="2" t="str">
        <f>"9783839448465"</f>
        <v>9783839448465</v>
      </c>
    </row>
    <row r="19209" spans="1:6" s="3" customFormat="1" ht="29.1" customHeight="1" x14ac:dyDescent="0.25">
      <c r="A19209" s="2" t="s">
        <v>37750</v>
      </c>
      <c r="B19209" s="2" t="s">
        <v>37751</v>
      </c>
      <c r="C19209" s="2" t="s">
        <v>556</v>
      </c>
      <c r="D19209" s="2" t="s">
        <v>11669</v>
      </c>
      <c r="E19209" s="2" t="str">
        <f>"9783837648423"</f>
        <v>9783837648423</v>
      </c>
      <c r="F19209" s="2" t="str">
        <f>"9783839448427"</f>
        <v>9783839448427</v>
      </c>
    </row>
    <row r="19210" spans="1:6" s="3" customFormat="1" ht="29.1" customHeight="1" x14ac:dyDescent="0.25">
      <c r="A19210" s="2" t="s">
        <v>37752</v>
      </c>
      <c r="B19210" s="2" t="s">
        <v>6619</v>
      </c>
      <c r="C19210" s="2" t="s">
        <v>556</v>
      </c>
      <c r="D19210" s="2" t="s">
        <v>712</v>
      </c>
      <c r="E19210" s="2" t="str">
        <f>"9783837648393"</f>
        <v>9783837648393</v>
      </c>
      <c r="F19210" s="2" t="str">
        <f>"9783839448397"</f>
        <v>9783839448397</v>
      </c>
    </row>
    <row r="19211" spans="1:6" s="3" customFormat="1" ht="29.1" customHeight="1" x14ac:dyDescent="0.25">
      <c r="A19211" s="2" t="s">
        <v>37753</v>
      </c>
      <c r="B19211" s="2" t="s">
        <v>37754</v>
      </c>
      <c r="C19211" s="2" t="s">
        <v>556</v>
      </c>
      <c r="D19211" s="2" t="s">
        <v>712</v>
      </c>
      <c r="E19211" s="2" t="str">
        <f>"9783837648362"</f>
        <v>9783837648362</v>
      </c>
      <c r="F19211" s="2" t="str">
        <f>"9783839448366"</f>
        <v>9783839448366</v>
      </c>
    </row>
    <row r="19212" spans="1:6" s="3" customFormat="1" ht="29.1" customHeight="1" x14ac:dyDescent="0.25">
      <c r="A19212" s="2" t="s">
        <v>37755</v>
      </c>
      <c r="B19212" s="2" t="s">
        <v>37756</v>
      </c>
      <c r="C19212" s="2" t="s">
        <v>556</v>
      </c>
      <c r="D19212" s="2" t="s">
        <v>1155</v>
      </c>
      <c r="E19212" s="2" t="str">
        <f>"9783837648324"</f>
        <v>9783837648324</v>
      </c>
      <c r="F19212" s="2" t="str">
        <f>"9783839448328"</f>
        <v>9783839448328</v>
      </c>
    </row>
    <row r="19213" spans="1:6" s="3" customFormat="1" ht="29.1" customHeight="1" x14ac:dyDescent="0.25">
      <c r="A19213" s="2" t="s">
        <v>37757</v>
      </c>
      <c r="B19213" s="2" t="s">
        <v>37758</v>
      </c>
      <c r="C19213" s="2" t="s">
        <v>556</v>
      </c>
      <c r="D19213" s="2" t="s">
        <v>712</v>
      </c>
      <c r="E19213" s="2" t="str">
        <f>"9783837648270"</f>
        <v>9783837648270</v>
      </c>
      <c r="F19213" s="2" t="str">
        <f>"9783839448274"</f>
        <v>9783839448274</v>
      </c>
    </row>
    <row r="19214" spans="1:6" s="3" customFormat="1" ht="29.1" customHeight="1" x14ac:dyDescent="0.25">
      <c r="A19214" s="2" t="s">
        <v>37759</v>
      </c>
      <c r="B19214" s="2" t="s">
        <v>37760</v>
      </c>
      <c r="C19214" s="2" t="s">
        <v>556</v>
      </c>
      <c r="D19214" s="2" t="s">
        <v>6113</v>
      </c>
      <c r="E19214" s="2" t="str">
        <f>"9783837648003"</f>
        <v>9783837648003</v>
      </c>
      <c r="F19214" s="2" t="str">
        <f>"9783839448007"</f>
        <v>9783839448007</v>
      </c>
    </row>
    <row r="19215" spans="1:6" s="3" customFormat="1" ht="29.1" customHeight="1" x14ac:dyDescent="0.25">
      <c r="A19215" s="2" t="s">
        <v>37761</v>
      </c>
      <c r="B19215" s="2" t="s">
        <v>37762</v>
      </c>
      <c r="C19215" s="2" t="s">
        <v>556</v>
      </c>
      <c r="D19215" s="2" t="s">
        <v>1189</v>
      </c>
      <c r="E19215" s="2" t="str">
        <f>"9783837647976"</f>
        <v>9783837647976</v>
      </c>
      <c r="F19215" s="2" t="str">
        <f>"9783732847976"</f>
        <v>9783732847976</v>
      </c>
    </row>
    <row r="19216" spans="1:6" s="3" customFormat="1" ht="29.1" customHeight="1" x14ac:dyDescent="0.25">
      <c r="A19216" s="2" t="s">
        <v>37763</v>
      </c>
      <c r="B19216" s="2" t="s">
        <v>37764</v>
      </c>
      <c r="C19216" s="2" t="s">
        <v>556</v>
      </c>
      <c r="D19216" s="2" t="s">
        <v>998</v>
      </c>
      <c r="E19216" s="2" t="str">
        <f>"9783837647969"</f>
        <v>9783837647969</v>
      </c>
      <c r="F19216" s="2" t="str">
        <f>"9783732847969"</f>
        <v>9783732847969</v>
      </c>
    </row>
    <row r="19217" spans="1:6" s="3" customFormat="1" ht="29.1" customHeight="1" x14ac:dyDescent="0.25">
      <c r="A19217" s="2" t="s">
        <v>37765</v>
      </c>
      <c r="B19217" s="2" t="s">
        <v>37766</v>
      </c>
      <c r="C19217" s="2" t="s">
        <v>556</v>
      </c>
      <c r="D19217" s="2" t="s">
        <v>218</v>
      </c>
      <c r="E19217" s="2" t="str">
        <f>"9783837647884"</f>
        <v>9783837647884</v>
      </c>
      <c r="F19217" s="2" t="str">
        <f>"9783839447888"</f>
        <v>9783839447888</v>
      </c>
    </row>
    <row r="19218" spans="1:6" s="3" customFormat="1" ht="29.1" customHeight="1" x14ac:dyDescent="0.25">
      <c r="A19218" s="2" t="s">
        <v>37767</v>
      </c>
      <c r="B19218" s="2" t="s">
        <v>37768</v>
      </c>
      <c r="C19218" s="2" t="s">
        <v>556</v>
      </c>
      <c r="D19218" s="2" t="s">
        <v>446</v>
      </c>
      <c r="E19218" s="2" t="str">
        <f>"9783837647846"</f>
        <v>9783837647846</v>
      </c>
      <c r="F19218" s="2" t="str">
        <f>"9783839447840"</f>
        <v>9783839447840</v>
      </c>
    </row>
    <row r="19219" spans="1:6" s="3" customFormat="1" ht="29.1" customHeight="1" x14ac:dyDescent="0.25">
      <c r="A19219" s="2" t="s">
        <v>37769</v>
      </c>
      <c r="B19219" s="2" t="s">
        <v>37770</v>
      </c>
      <c r="C19219" s="2" t="s">
        <v>556</v>
      </c>
      <c r="D19219" s="2" t="s">
        <v>218</v>
      </c>
      <c r="E19219" s="2" t="str">
        <f>"9783837647808"</f>
        <v>9783837647808</v>
      </c>
      <c r="F19219" s="2" t="str">
        <f>"9783839447802"</f>
        <v>9783839447802</v>
      </c>
    </row>
    <row r="19220" spans="1:6" s="3" customFormat="1" ht="29.1" customHeight="1" x14ac:dyDescent="0.25">
      <c r="A19220" s="2" t="s">
        <v>37771</v>
      </c>
      <c r="B19220" s="2" t="s">
        <v>37772</v>
      </c>
      <c r="C19220" s="2" t="s">
        <v>556</v>
      </c>
      <c r="D19220" s="2" t="s">
        <v>674</v>
      </c>
      <c r="E19220" s="2" t="str">
        <f>"9783837647747"</f>
        <v>9783837647747</v>
      </c>
      <c r="F19220" s="2" t="str">
        <f>"9783839447741"</f>
        <v>9783839447741</v>
      </c>
    </row>
    <row r="19221" spans="1:6" s="3" customFormat="1" ht="29.1" customHeight="1" x14ac:dyDescent="0.25">
      <c r="A19221" s="2" t="s">
        <v>37773</v>
      </c>
      <c r="B19221" s="2" t="s">
        <v>37774</v>
      </c>
      <c r="C19221" s="2" t="s">
        <v>556</v>
      </c>
      <c r="D19221" s="2" t="s">
        <v>9968</v>
      </c>
      <c r="E19221" s="2" t="str">
        <f>"9783837647730"</f>
        <v>9783837647730</v>
      </c>
      <c r="F19221" s="2" t="str">
        <f>"9783839447734"</f>
        <v>9783839447734</v>
      </c>
    </row>
    <row r="19222" spans="1:6" s="3" customFormat="1" ht="29.1" customHeight="1" x14ac:dyDescent="0.25">
      <c r="A19222" s="2" t="s">
        <v>37775</v>
      </c>
      <c r="B19222" s="2" t="s">
        <v>37776</v>
      </c>
      <c r="C19222" s="2" t="s">
        <v>556</v>
      </c>
      <c r="D19222" s="2" t="s">
        <v>636</v>
      </c>
      <c r="E19222" s="2" t="str">
        <f>"9783837647624"</f>
        <v>9783837647624</v>
      </c>
      <c r="F19222" s="2" t="str">
        <f>"9783839447628"</f>
        <v>9783839447628</v>
      </c>
    </row>
    <row r="19223" spans="1:6" s="3" customFormat="1" ht="29.1" customHeight="1" x14ac:dyDescent="0.25">
      <c r="A19223" s="2" t="s">
        <v>37777</v>
      </c>
      <c r="B19223" s="2" t="s">
        <v>37778</v>
      </c>
      <c r="C19223" s="2" t="s">
        <v>556</v>
      </c>
      <c r="D19223" s="2" t="s">
        <v>1463</v>
      </c>
      <c r="E19223" s="2" t="str">
        <f>"9783837647570"</f>
        <v>9783837647570</v>
      </c>
      <c r="F19223" s="2" t="str">
        <f>"9783839447574"</f>
        <v>9783839447574</v>
      </c>
    </row>
    <row r="19224" spans="1:6" s="3" customFormat="1" ht="29.1" customHeight="1" x14ac:dyDescent="0.25">
      <c r="A19224" s="2" t="s">
        <v>37779</v>
      </c>
      <c r="B19224" s="2" t="s">
        <v>37780</v>
      </c>
      <c r="C19224" s="2" t="s">
        <v>556</v>
      </c>
      <c r="D19224" s="2" t="s">
        <v>501</v>
      </c>
      <c r="E19224" s="2" t="str">
        <f>"9783837647532"</f>
        <v>9783837647532</v>
      </c>
      <c r="F19224" s="2" t="str">
        <f>"9783839447536"</f>
        <v>9783839447536</v>
      </c>
    </row>
    <row r="19225" spans="1:6" s="3" customFormat="1" ht="29.1" customHeight="1" x14ac:dyDescent="0.25">
      <c r="A19225" s="2" t="s">
        <v>37781</v>
      </c>
      <c r="B19225" s="2" t="s">
        <v>37782</v>
      </c>
      <c r="C19225" s="2" t="s">
        <v>556</v>
      </c>
      <c r="D19225" s="2" t="s">
        <v>1028</v>
      </c>
      <c r="E19225" s="2" t="str">
        <f>"9783837647518"</f>
        <v>9783837647518</v>
      </c>
      <c r="F19225" s="2" t="str">
        <f>"9783839447512"</f>
        <v>9783839447512</v>
      </c>
    </row>
    <row r="19226" spans="1:6" s="3" customFormat="1" ht="29.1" customHeight="1" x14ac:dyDescent="0.25">
      <c r="A19226" s="2" t="s">
        <v>37783</v>
      </c>
      <c r="B19226" s="2" t="s">
        <v>37784</v>
      </c>
      <c r="C19226" s="2" t="s">
        <v>556</v>
      </c>
      <c r="D19226" s="2" t="s">
        <v>1155</v>
      </c>
      <c r="E19226" s="2" t="str">
        <f>"9783837647471"</f>
        <v>9783837647471</v>
      </c>
      <c r="F19226" s="2" t="str">
        <f>"9783839447475"</f>
        <v>9783839447475</v>
      </c>
    </row>
    <row r="19227" spans="1:6" s="3" customFormat="1" ht="29.1" customHeight="1" x14ac:dyDescent="0.25">
      <c r="A19227" s="2" t="s">
        <v>37785</v>
      </c>
      <c r="B19227" s="2" t="s">
        <v>37786</v>
      </c>
      <c r="C19227" s="2" t="s">
        <v>556</v>
      </c>
      <c r="D19227" s="2" t="s">
        <v>402</v>
      </c>
      <c r="E19227" s="2" t="str">
        <f>"9783837647426"</f>
        <v>9783837647426</v>
      </c>
      <c r="F19227" s="2" t="str">
        <f>"9783839447420"</f>
        <v>9783839447420</v>
      </c>
    </row>
    <row r="19228" spans="1:6" s="3" customFormat="1" ht="29.1" customHeight="1" x14ac:dyDescent="0.25">
      <c r="A19228" s="2" t="s">
        <v>37787</v>
      </c>
      <c r="B19228" s="2" t="s">
        <v>37788</v>
      </c>
      <c r="C19228" s="2" t="s">
        <v>556</v>
      </c>
      <c r="D19228" s="2" t="s">
        <v>1155</v>
      </c>
      <c r="E19228" s="2" t="str">
        <f>"9783837647402"</f>
        <v>9783837647402</v>
      </c>
      <c r="F19228" s="2" t="str">
        <f>"9783839447406"</f>
        <v>9783839447406</v>
      </c>
    </row>
    <row r="19229" spans="1:6" s="3" customFormat="1" ht="29.1" customHeight="1" x14ac:dyDescent="0.25">
      <c r="A19229" s="2" t="s">
        <v>37789</v>
      </c>
      <c r="B19229" s="2" t="s">
        <v>37790</v>
      </c>
      <c r="C19229" s="2" t="s">
        <v>556</v>
      </c>
      <c r="D19229" s="2" t="s">
        <v>183</v>
      </c>
      <c r="E19229" s="2" t="str">
        <f>"9783837647365"</f>
        <v>9783837647365</v>
      </c>
      <c r="F19229" s="2" t="str">
        <f>"9783839447369"</f>
        <v>9783839447369</v>
      </c>
    </row>
    <row r="19230" spans="1:6" s="3" customFormat="1" ht="29.1" customHeight="1" x14ac:dyDescent="0.25">
      <c r="A19230" s="2" t="s">
        <v>37791</v>
      </c>
      <c r="B19230" s="2" t="s">
        <v>37792</v>
      </c>
      <c r="C19230" s="2" t="s">
        <v>556</v>
      </c>
      <c r="D19230" s="2" t="s">
        <v>183</v>
      </c>
      <c r="E19230" s="2" t="str">
        <f>"9783837647327"</f>
        <v>9783837647327</v>
      </c>
      <c r="F19230" s="2" t="str">
        <f>"9783839447321"</f>
        <v>9783839447321</v>
      </c>
    </row>
    <row r="19231" spans="1:6" s="3" customFormat="1" ht="29.1" customHeight="1" x14ac:dyDescent="0.25">
      <c r="A19231" s="2" t="s">
        <v>37793</v>
      </c>
      <c r="B19231" s="2" t="s">
        <v>37794</v>
      </c>
      <c r="C19231" s="2" t="s">
        <v>556</v>
      </c>
      <c r="D19231" s="2" t="s">
        <v>402</v>
      </c>
      <c r="E19231" s="2" t="str">
        <f>"9783837647259"</f>
        <v>9783837647259</v>
      </c>
      <c r="F19231" s="2" t="str">
        <f>"9783839447253"</f>
        <v>9783839447253</v>
      </c>
    </row>
    <row r="19232" spans="1:6" s="3" customFormat="1" ht="29.1" customHeight="1" x14ac:dyDescent="0.25">
      <c r="A19232" s="2" t="s">
        <v>37795</v>
      </c>
      <c r="B19232" s="2" t="s">
        <v>37796</v>
      </c>
      <c r="C19232" s="2" t="s">
        <v>556</v>
      </c>
      <c r="D19232" s="2" t="s">
        <v>1155</v>
      </c>
      <c r="E19232" s="2" t="str">
        <f>"9783837647198"</f>
        <v>9783837647198</v>
      </c>
      <c r="F19232" s="2" t="str">
        <f>"9783839447192"</f>
        <v>9783839447192</v>
      </c>
    </row>
    <row r="19233" spans="1:6" s="3" customFormat="1" ht="29.1" customHeight="1" x14ac:dyDescent="0.25">
      <c r="A19233" s="2" t="s">
        <v>37797</v>
      </c>
      <c r="B19233" s="2" t="s">
        <v>37798</v>
      </c>
      <c r="C19233" s="2" t="s">
        <v>556</v>
      </c>
      <c r="D19233" s="2" t="s">
        <v>1560</v>
      </c>
      <c r="E19233" s="2" t="str">
        <f>"9783837647143"</f>
        <v>9783837647143</v>
      </c>
      <c r="F19233" s="2" t="str">
        <f>"9783839447147"</f>
        <v>9783839447147</v>
      </c>
    </row>
    <row r="19234" spans="1:6" s="3" customFormat="1" ht="29.1" customHeight="1" x14ac:dyDescent="0.25">
      <c r="A19234" s="2" t="s">
        <v>37799</v>
      </c>
      <c r="B19234" s="2" t="s">
        <v>37800</v>
      </c>
      <c r="C19234" s="2" t="s">
        <v>556</v>
      </c>
      <c r="D19234" s="2" t="s">
        <v>501</v>
      </c>
      <c r="E19234" s="2" t="str">
        <f>"9783837646924"</f>
        <v>9783837646924</v>
      </c>
      <c r="F19234" s="2" t="str">
        <f>"9783839446928"</f>
        <v>9783839446928</v>
      </c>
    </row>
    <row r="19235" spans="1:6" s="3" customFormat="1" ht="29.1" customHeight="1" x14ac:dyDescent="0.25">
      <c r="A19235" s="2" t="s">
        <v>37801</v>
      </c>
      <c r="B19235" s="2" t="s">
        <v>37802</v>
      </c>
      <c r="C19235" s="2" t="s">
        <v>556</v>
      </c>
      <c r="D19235" s="2" t="s">
        <v>1162</v>
      </c>
      <c r="E19235" s="2" t="str">
        <f>"9783837646863"</f>
        <v>9783837646863</v>
      </c>
      <c r="F19235" s="2" t="str">
        <f>"9783839446867"</f>
        <v>9783839446867</v>
      </c>
    </row>
    <row r="19236" spans="1:6" s="3" customFormat="1" ht="29.1" customHeight="1" x14ac:dyDescent="0.25">
      <c r="A19236" s="2" t="s">
        <v>37803</v>
      </c>
      <c r="B19236" s="2" t="s">
        <v>37804</v>
      </c>
      <c r="C19236" s="2" t="s">
        <v>556</v>
      </c>
      <c r="D19236" s="2" t="s">
        <v>183</v>
      </c>
      <c r="E19236" s="2" t="str">
        <f>"9783837646856"</f>
        <v>9783837646856</v>
      </c>
      <c r="F19236" s="2" t="str">
        <f>"9783839446850"</f>
        <v>9783839446850</v>
      </c>
    </row>
    <row r="19237" spans="1:6" s="3" customFormat="1" ht="29.1" customHeight="1" x14ac:dyDescent="0.25">
      <c r="A19237" s="2" t="s">
        <v>37805</v>
      </c>
      <c r="B19237" s="2" t="s">
        <v>37806</v>
      </c>
      <c r="C19237" s="2" t="s">
        <v>556</v>
      </c>
      <c r="D19237" s="2" t="s">
        <v>712</v>
      </c>
      <c r="E19237" s="2" t="str">
        <f>"9783837646702"</f>
        <v>9783837646702</v>
      </c>
      <c r="F19237" s="2" t="str">
        <f>"9783839446706"</f>
        <v>9783839446706</v>
      </c>
    </row>
    <row r="19238" spans="1:6" s="3" customFormat="1" ht="29.1" customHeight="1" x14ac:dyDescent="0.25">
      <c r="A19238" s="2" t="s">
        <v>37807</v>
      </c>
      <c r="B19238" s="2" t="s">
        <v>37808</v>
      </c>
      <c r="C19238" s="2" t="s">
        <v>556</v>
      </c>
      <c r="D19238" s="2" t="s">
        <v>1141</v>
      </c>
      <c r="E19238" s="2" t="str">
        <f>"9783837646672"</f>
        <v>9783837646672</v>
      </c>
      <c r="F19238" s="2" t="str">
        <f>"9783839446676"</f>
        <v>9783839446676</v>
      </c>
    </row>
    <row r="19239" spans="1:6" s="3" customFormat="1" ht="29.1" customHeight="1" x14ac:dyDescent="0.25">
      <c r="A19239" s="2" t="s">
        <v>37809</v>
      </c>
      <c r="B19239" s="2" t="s">
        <v>37810</v>
      </c>
      <c r="C19239" s="2" t="s">
        <v>556</v>
      </c>
      <c r="D19239" s="2" t="s">
        <v>636</v>
      </c>
      <c r="E19239" s="2" t="str">
        <f>"9783837646610"</f>
        <v>9783837646610</v>
      </c>
      <c r="F19239" s="2" t="str">
        <f>"9783839446614"</f>
        <v>9783839446614</v>
      </c>
    </row>
    <row r="19240" spans="1:6" s="3" customFormat="1" ht="29.1" customHeight="1" x14ac:dyDescent="0.25">
      <c r="A19240" s="2" t="s">
        <v>37811</v>
      </c>
      <c r="B19240" s="2" t="s">
        <v>37812</v>
      </c>
      <c r="C19240" s="2" t="s">
        <v>556</v>
      </c>
      <c r="D19240" s="2" t="s">
        <v>2810</v>
      </c>
      <c r="E19240" s="2" t="str">
        <f>"9783837646504"</f>
        <v>9783837646504</v>
      </c>
      <c r="F19240" s="2" t="str">
        <f>"9783839446508"</f>
        <v>9783839446508</v>
      </c>
    </row>
    <row r="19241" spans="1:6" s="3" customFormat="1" ht="29.1" customHeight="1" x14ac:dyDescent="0.25">
      <c r="A19241" s="2" t="s">
        <v>37813</v>
      </c>
      <c r="B19241" s="2" t="s">
        <v>37814</v>
      </c>
      <c r="C19241" s="2" t="s">
        <v>556</v>
      </c>
      <c r="D19241" s="2" t="s">
        <v>2810</v>
      </c>
      <c r="E19241" s="2" t="str">
        <f>"9783837646412"</f>
        <v>9783837646412</v>
      </c>
      <c r="F19241" s="2" t="str">
        <f>"9783839446416"</f>
        <v>9783839446416</v>
      </c>
    </row>
    <row r="19242" spans="1:6" s="3" customFormat="1" ht="29.1" customHeight="1" x14ac:dyDescent="0.25">
      <c r="A19242" s="2" t="s">
        <v>37815</v>
      </c>
      <c r="B19242" s="2" t="s">
        <v>37816</v>
      </c>
      <c r="C19242" s="2" t="s">
        <v>556</v>
      </c>
      <c r="D19242" s="2" t="s">
        <v>699</v>
      </c>
      <c r="E19242" s="2" t="str">
        <f>"9783837646405"</f>
        <v>9783837646405</v>
      </c>
      <c r="F19242" s="2" t="str">
        <f>"9783839446409"</f>
        <v>9783839446409</v>
      </c>
    </row>
    <row r="19243" spans="1:6" s="3" customFormat="1" ht="29.1" customHeight="1" x14ac:dyDescent="0.25">
      <c r="A19243" s="2" t="s">
        <v>37817</v>
      </c>
      <c r="B19243" s="2" t="s">
        <v>37818</v>
      </c>
      <c r="C19243" s="2" t="s">
        <v>556</v>
      </c>
      <c r="D19243" s="2" t="s">
        <v>183</v>
      </c>
      <c r="E19243" s="2" t="str">
        <f>"9783837646382"</f>
        <v>9783837646382</v>
      </c>
      <c r="F19243" s="2" t="str">
        <f>"9783839446386"</f>
        <v>9783839446386</v>
      </c>
    </row>
    <row r="19244" spans="1:6" s="3" customFormat="1" ht="29.1" customHeight="1" x14ac:dyDescent="0.25">
      <c r="A19244" s="2" t="s">
        <v>37819</v>
      </c>
      <c r="B19244" s="2" t="s">
        <v>37820</v>
      </c>
      <c r="C19244" s="2" t="s">
        <v>556</v>
      </c>
      <c r="D19244" s="2" t="s">
        <v>1189</v>
      </c>
      <c r="E19244" s="2" t="str">
        <f>"9783837646276"</f>
        <v>9783837646276</v>
      </c>
      <c r="F19244" s="2" t="str">
        <f>"9783839446270"</f>
        <v>9783839446270</v>
      </c>
    </row>
    <row r="19245" spans="1:6" s="3" customFormat="1" ht="29.1" customHeight="1" x14ac:dyDescent="0.25">
      <c r="A19245" s="2" t="s">
        <v>37821</v>
      </c>
      <c r="B19245" s="2" t="s">
        <v>37822</v>
      </c>
      <c r="C19245" s="2" t="s">
        <v>556</v>
      </c>
      <c r="D19245" s="2" t="s">
        <v>1422</v>
      </c>
      <c r="E19245" s="2" t="str">
        <f>"9783837646214"</f>
        <v>9783837646214</v>
      </c>
      <c r="F19245" s="2" t="str">
        <f>"9783839446218"</f>
        <v>9783839446218</v>
      </c>
    </row>
    <row r="19246" spans="1:6" s="3" customFormat="1" ht="29.1" customHeight="1" x14ac:dyDescent="0.25">
      <c r="A19246" s="2" t="s">
        <v>37823</v>
      </c>
      <c r="B19246" s="2" t="s">
        <v>37824</v>
      </c>
      <c r="C19246" s="2" t="s">
        <v>556</v>
      </c>
      <c r="D19246" s="2" t="s">
        <v>4030</v>
      </c>
      <c r="E19246" s="2" t="str">
        <f>"9783837646191"</f>
        <v>9783837646191</v>
      </c>
      <c r="F19246" s="2" t="str">
        <f>"9783839446195"</f>
        <v>9783839446195</v>
      </c>
    </row>
    <row r="19247" spans="1:6" s="3" customFormat="1" ht="29.1" customHeight="1" x14ac:dyDescent="0.25">
      <c r="A19247" s="2" t="s">
        <v>37825</v>
      </c>
      <c r="B19247" s="2" t="s">
        <v>37826</v>
      </c>
      <c r="C19247" s="2" t="s">
        <v>556</v>
      </c>
      <c r="D19247" s="2" t="s">
        <v>1411</v>
      </c>
      <c r="E19247" s="2" t="str">
        <f>"9783837646146"</f>
        <v>9783837646146</v>
      </c>
      <c r="F19247" s="2" t="str">
        <f>"9783839446140"</f>
        <v>9783839446140</v>
      </c>
    </row>
    <row r="19248" spans="1:6" s="3" customFormat="1" ht="29.1" customHeight="1" x14ac:dyDescent="0.25">
      <c r="A19248" s="2" t="s">
        <v>37827</v>
      </c>
      <c r="B19248" s="2" t="s">
        <v>37828</v>
      </c>
      <c r="C19248" s="2" t="s">
        <v>556</v>
      </c>
      <c r="D19248" s="2" t="s">
        <v>1411</v>
      </c>
      <c r="E19248" s="2" t="str">
        <f>"9783837646115"</f>
        <v>9783837646115</v>
      </c>
      <c r="F19248" s="2" t="str">
        <f>"9783839446119"</f>
        <v>9783839446119</v>
      </c>
    </row>
    <row r="19249" spans="1:6" s="3" customFormat="1" ht="29.1" customHeight="1" x14ac:dyDescent="0.25">
      <c r="A19249" s="2" t="s">
        <v>37829</v>
      </c>
      <c r="B19249" s="2" t="s">
        <v>30660</v>
      </c>
      <c r="C19249" s="2" t="s">
        <v>556</v>
      </c>
      <c r="D19249" s="2" t="s">
        <v>1411</v>
      </c>
      <c r="E19249" s="2" t="str">
        <f>"9783837645989"</f>
        <v>9783837645989</v>
      </c>
      <c r="F19249" s="2" t="str">
        <f>"9783839445983"</f>
        <v>9783839445983</v>
      </c>
    </row>
    <row r="19250" spans="1:6" s="3" customFormat="1" ht="29.1" customHeight="1" x14ac:dyDescent="0.25">
      <c r="A19250" s="2" t="s">
        <v>37830</v>
      </c>
      <c r="B19250" s="2" t="s">
        <v>37831</v>
      </c>
      <c r="C19250" s="2" t="s">
        <v>556</v>
      </c>
      <c r="D19250" s="2" t="s">
        <v>1411</v>
      </c>
      <c r="E19250" s="2" t="str">
        <f>"9783837645828"</f>
        <v>9783837645828</v>
      </c>
      <c r="F19250" s="2" t="str">
        <f>"9783839445822"</f>
        <v>9783839445822</v>
      </c>
    </row>
    <row r="19251" spans="1:6" s="3" customFormat="1" ht="29.1" customHeight="1" x14ac:dyDescent="0.25">
      <c r="A19251" s="2" t="s">
        <v>37832</v>
      </c>
      <c r="B19251" s="2" t="s">
        <v>37374</v>
      </c>
      <c r="C19251" s="2" t="s">
        <v>556</v>
      </c>
      <c r="D19251" s="2" t="s">
        <v>7280</v>
      </c>
      <c r="E19251" s="2" t="str">
        <f>"9783837645767"</f>
        <v>9783837645767</v>
      </c>
      <c r="F19251" s="2" t="str">
        <f>"9783839445761"</f>
        <v>9783839445761</v>
      </c>
    </row>
    <row r="19252" spans="1:6" s="3" customFormat="1" ht="29.1" customHeight="1" x14ac:dyDescent="0.25">
      <c r="A19252" s="2" t="s">
        <v>37833</v>
      </c>
      <c r="B19252" s="2" t="s">
        <v>37834</v>
      </c>
      <c r="C19252" s="2" t="s">
        <v>556</v>
      </c>
      <c r="D19252" s="2" t="s">
        <v>183</v>
      </c>
      <c r="E19252" s="2" t="str">
        <f>"9783837645651"</f>
        <v>9783837645651</v>
      </c>
      <c r="F19252" s="2" t="str">
        <f>"9783839445655"</f>
        <v>9783839445655</v>
      </c>
    </row>
    <row r="19253" spans="1:6" s="3" customFormat="1" ht="29.1" customHeight="1" x14ac:dyDescent="0.25">
      <c r="A19253" s="2" t="s">
        <v>37835</v>
      </c>
      <c r="B19253" s="2" t="s">
        <v>37836</v>
      </c>
      <c r="C19253" s="2" t="s">
        <v>556</v>
      </c>
      <c r="D19253" s="2" t="s">
        <v>4016</v>
      </c>
      <c r="E19253" s="2" t="str">
        <f>"9783837645590"</f>
        <v>9783837645590</v>
      </c>
      <c r="F19253" s="2" t="str">
        <f>"9783839445594"</f>
        <v>9783839445594</v>
      </c>
    </row>
    <row r="19254" spans="1:6" s="3" customFormat="1" ht="29.1" customHeight="1" x14ac:dyDescent="0.25">
      <c r="A19254" s="2" t="s">
        <v>37837</v>
      </c>
      <c r="B19254" s="2" t="s">
        <v>37838</v>
      </c>
      <c r="C19254" s="2" t="s">
        <v>556</v>
      </c>
      <c r="D19254" s="2" t="s">
        <v>484</v>
      </c>
      <c r="E19254" s="2" t="str">
        <f>"9783837645583"</f>
        <v>9783837645583</v>
      </c>
      <c r="F19254" s="2" t="str">
        <f>"9783839445587"</f>
        <v>9783839445587</v>
      </c>
    </row>
    <row r="19255" spans="1:6" s="3" customFormat="1" ht="29.1" customHeight="1" x14ac:dyDescent="0.25">
      <c r="A19255" s="2" t="s">
        <v>37839</v>
      </c>
      <c r="B19255" s="2" t="s">
        <v>37840</v>
      </c>
      <c r="C19255" s="2" t="s">
        <v>556</v>
      </c>
      <c r="D19255" s="2" t="s">
        <v>1162</v>
      </c>
      <c r="E19255" s="2" t="str">
        <f>"9783837645507"</f>
        <v>9783837645507</v>
      </c>
      <c r="F19255" s="2" t="str">
        <f>"9783732845507"</f>
        <v>9783732845507</v>
      </c>
    </row>
    <row r="19256" spans="1:6" s="3" customFormat="1" ht="29.1" customHeight="1" x14ac:dyDescent="0.25">
      <c r="A19256" s="2" t="s">
        <v>37841</v>
      </c>
      <c r="B19256" s="2" t="s">
        <v>37842</v>
      </c>
      <c r="C19256" s="2" t="s">
        <v>556</v>
      </c>
      <c r="D19256" s="2" t="s">
        <v>218</v>
      </c>
      <c r="E19256" s="2" t="str">
        <f>"9783837645491"</f>
        <v>9783837645491</v>
      </c>
      <c r="F19256" s="2" t="str">
        <f>"9783839445495"</f>
        <v>9783839445495</v>
      </c>
    </row>
    <row r="19257" spans="1:6" s="3" customFormat="1" ht="29.1" customHeight="1" x14ac:dyDescent="0.25">
      <c r="A19257" s="2" t="s">
        <v>37843</v>
      </c>
      <c r="B19257" s="2" t="s">
        <v>37844</v>
      </c>
      <c r="C19257" s="2" t="s">
        <v>556</v>
      </c>
      <c r="D19257" s="2" t="s">
        <v>2528</v>
      </c>
      <c r="E19257" s="2" t="str">
        <f>"9783837645392"</f>
        <v>9783837645392</v>
      </c>
      <c r="F19257" s="2" t="str">
        <f>"9783839445396"</f>
        <v>9783839445396</v>
      </c>
    </row>
    <row r="19258" spans="1:6" s="3" customFormat="1" ht="29.1" customHeight="1" x14ac:dyDescent="0.25">
      <c r="A19258" s="2" t="s">
        <v>37845</v>
      </c>
      <c r="B19258" s="2" t="s">
        <v>37846</v>
      </c>
      <c r="C19258" s="2" t="s">
        <v>556</v>
      </c>
      <c r="D19258" s="2" t="s">
        <v>462</v>
      </c>
      <c r="E19258" s="2" t="str">
        <f>"9783837645385"</f>
        <v>9783837645385</v>
      </c>
      <c r="F19258" s="2" t="str">
        <f>"9783839445389"</f>
        <v>9783839445389</v>
      </c>
    </row>
    <row r="19259" spans="1:6" s="3" customFormat="1" ht="29.1" customHeight="1" x14ac:dyDescent="0.25">
      <c r="A19259" s="2" t="s">
        <v>37847</v>
      </c>
      <c r="B19259" s="2" t="s">
        <v>37848</v>
      </c>
      <c r="C19259" s="2" t="s">
        <v>556</v>
      </c>
      <c r="D19259" s="2" t="s">
        <v>33</v>
      </c>
      <c r="E19259" s="2" t="str">
        <f>"9783837645378"</f>
        <v>9783837645378</v>
      </c>
      <c r="F19259" s="2" t="str">
        <f>"9783839445372"</f>
        <v>9783839445372</v>
      </c>
    </row>
    <row r="19260" spans="1:6" s="3" customFormat="1" ht="29.1" customHeight="1" x14ac:dyDescent="0.25">
      <c r="A19260" s="2" t="s">
        <v>37849</v>
      </c>
      <c r="B19260" s="2" t="s">
        <v>37458</v>
      </c>
      <c r="C19260" s="2" t="s">
        <v>556</v>
      </c>
      <c r="D19260" s="2" t="s">
        <v>183</v>
      </c>
      <c r="E19260" s="2" t="str">
        <f>"9783837645309"</f>
        <v>9783837645309</v>
      </c>
      <c r="F19260" s="2" t="str">
        <f>"9783839445303"</f>
        <v>9783839445303</v>
      </c>
    </row>
    <row r="19261" spans="1:6" s="3" customFormat="1" ht="29.1" customHeight="1" x14ac:dyDescent="0.25">
      <c r="A19261" s="2" t="s">
        <v>37850</v>
      </c>
      <c r="B19261" s="2" t="s">
        <v>37851</v>
      </c>
      <c r="C19261" s="2" t="s">
        <v>556</v>
      </c>
      <c r="D19261" s="2" t="s">
        <v>1046</v>
      </c>
      <c r="E19261" s="2" t="str">
        <f>"9783837645194"</f>
        <v>9783837645194</v>
      </c>
      <c r="F19261" s="2" t="str">
        <f>"9783839445198"</f>
        <v>9783839445198</v>
      </c>
    </row>
    <row r="19262" spans="1:6" s="3" customFormat="1" ht="29.1" customHeight="1" x14ac:dyDescent="0.25">
      <c r="A19262" s="2" t="s">
        <v>37852</v>
      </c>
      <c r="B19262" s="2" t="s">
        <v>37853</v>
      </c>
      <c r="C19262" s="2" t="s">
        <v>556</v>
      </c>
      <c r="D19262" s="2" t="s">
        <v>1988</v>
      </c>
      <c r="E19262" s="2" t="str">
        <f>"9783837645149"</f>
        <v>9783837645149</v>
      </c>
      <c r="F19262" s="2" t="str">
        <f>"9783839445143"</f>
        <v>9783839445143</v>
      </c>
    </row>
    <row r="19263" spans="1:6" s="3" customFormat="1" ht="29.1" customHeight="1" x14ac:dyDescent="0.25">
      <c r="A19263" s="2" t="s">
        <v>37854</v>
      </c>
      <c r="B19263" s="2" t="s">
        <v>37855</v>
      </c>
      <c r="C19263" s="2" t="s">
        <v>556</v>
      </c>
      <c r="D19263" s="2" t="s">
        <v>636</v>
      </c>
      <c r="E19263" s="2" t="str">
        <f>"9783837645132"</f>
        <v>9783837645132</v>
      </c>
      <c r="F19263" s="2" t="str">
        <f>"9783839445136"</f>
        <v>9783839445136</v>
      </c>
    </row>
    <row r="19264" spans="1:6" s="3" customFormat="1" ht="29.1" customHeight="1" x14ac:dyDescent="0.25">
      <c r="A19264" s="2" t="s">
        <v>37856</v>
      </c>
      <c r="B19264" s="2" t="s">
        <v>37857</v>
      </c>
      <c r="C19264" s="2" t="s">
        <v>556</v>
      </c>
      <c r="D19264" s="2" t="s">
        <v>1411</v>
      </c>
      <c r="E19264" s="2" t="str">
        <f>"9783837645064"</f>
        <v>9783837645064</v>
      </c>
      <c r="F19264" s="2" t="str">
        <f>"9783839445068"</f>
        <v>9783839445068</v>
      </c>
    </row>
    <row r="19265" spans="1:6" s="3" customFormat="1" ht="29.1" customHeight="1" x14ac:dyDescent="0.25">
      <c r="A19265" s="2" t="s">
        <v>37858</v>
      </c>
      <c r="B19265" s="2" t="s">
        <v>34442</v>
      </c>
      <c r="C19265" s="2" t="s">
        <v>556</v>
      </c>
      <c r="D19265" s="2" t="s">
        <v>324</v>
      </c>
      <c r="E19265" s="2" t="str">
        <f>"9783837645040"</f>
        <v>9783837645040</v>
      </c>
      <c r="F19265" s="2" t="str">
        <f>"9783839445044"</f>
        <v>9783839445044</v>
      </c>
    </row>
    <row r="19266" spans="1:6" s="3" customFormat="1" ht="29.1" customHeight="1" x14ac:dyDescent="0.25">
      <c r="A19266" s="2" t="s">
        <v>37859</v>
      </c>
      <c r="B19266" s="2" t="s">
        <v>37860</v>
      </c>
      <c r="C19266" s="2" t="s">
        <v>556</v>
      </c>
      <c r="D19266" s="2" t="s">
        <v>1162</v>
      </c>
      <c r="E19266" s="2" t="str">
        <f>"9783837644975"</f>
        <v>9783837644975</v>
      </c>
      <c r="F19266" s="2" t="str">
        <f>"9783839444979"</f>
        <v>9783839444979</v>
      </c>
    </row>
    <row r="19267" spans="1:6" s="3" customFormat="1" ht="29.1" customHeight="1" x14ac:dyDescent="0.25">
      <c r="A19267" s="2" t="s">
        <v>37861</v>
      </c>
      <c r="B19267" s="2" t="s">
        <v>37862</v>
      </c>
      <c r="C19267" s="2" t="s">
        <v>556</v>
      </c>
      <c r="D19267" s="2" t="s">
        <v>183</v>
      </c>
      <c r="E19267" s="2" t="str">
        <f>"9783837644937"</f>
        <v>9783837644937</v>
      </c>
      <c r="F19267" s="2" t="str">
        <f>"9783839444931"</f>
        <v>9783839444931</v>
      </c>
    </row>
    <row r="19268" spans="1:6" s="3" customFormat="1" ht="29.1" customHeight="1" x14ac:dyDescent="0.25">
      <c r="A19268" s="2" t="s">
        <v>37863</v>
      </c>
      <c r="B19268" s="2" t="s">
        <v>37864</v>
      </c>
      <c r="C19268" s="2" t="s">
        <v>556</v>
      </c>
      <c r="D19268" s="2" t="s">
        <v>98</v>
      </c>
      <c r="E19268" s="2" t="str">
        <f>"9783837644913"</f>
        <v>9783837644913</v>
      </c>
      <c r="F19268" s="2" t="str">
        <f>"9783839444917"</f>
        <v>9783839444917</v>
      </c>
    </row>
    <row r="19269" spans="1:6" s="3" customFormat="1" ht="29.1" customHeight="1" x14ac:dyDescent="0.25">
      <c r="A19269" s="2" t="s">
        <v>37865</v>
      </c>
      <c r="B19269" s="2" t="s">
        <v>37866</v>
      </c>
      <c r="C19269" s="2" t="s">
        <v>556</v>
      </c>
      <c r="D19269" s="2" t="s">
        <v>1133</v>
      </c>
      <c r="E19269" s="2" t="str">
        <f>"9783837644852"</f>
        <v>9783837644852</v>
      </c>
      <c r="F19269" s="2" t="str">
        <f>"9783839444856"</f>
        <v>9783839444856</v>
      </c>
    </row>
    <row r="19270" spans="1:6" s="3" customFormat="1" ht="29.1" customHeight="1" x14ac:dyDescent="0.25">
      <c r="A19270" s="2" t="s">
        <v>37867</v>
      </c>
      <c r="B19270" s="2" t="s">
        <v>37868</v>
      </c>
      <c r="C19270" s="2" t="s">
        <v>556</v>
      </c>
      <c r="D19270" s="2" t="s">
        <v>712</v>
      </c>
      <c r="E19270" s="2" t="str">
        <f>"9783837644395"</f>
        <v>9783837644395</v>
      </c>
      <c r="F19270" s="2" t="str">
        <f>"9783732844395"</f>
        <v>9783732844395</v>
      </c>
    </row>
    <row r="19271" spans="1:6" s="3" customFormat="1" ht="29.1" customHeight="1" x14ac:dyDescent="0.25">
      <c r="A19271" s="2" t="s">
        <v>37869</v>
      </c>
      <c r="B19271" s="2" t="s">
        <v>37870</v>
      </c>
      <c r="C19271" s="2" t="s">
        <v>556</v>
      </c>
      <c r="D19271" s="2" t="s">
        <v>1999</v>
      </c>
      <c r="E19271" s="2" t="str">
        <f>"9783837644296"</f>
        <v>9783837644296</v>
      </c>
      <c r="F19271" s="2" t="str">
        <f>"9783732844296"</f>
        <v>9783732844296</v>
      </c>
    </row>
    <row r="19272" spans="1:6" s="3" customFormat="1" ht="29.1" customHeight="1" x14ac:dyDescent="0.25">
      <c r="A19272" s="2" t="s">
        <v>37871</v>
      </c>
      <c r="B19272" s="2" t="s">
        <v>37872</v>
      </c>
      <c r="C19272" s="2" t="s">
        <v>556</v>
      </c>
      <c r="D19272" s="2" t="s">
        <v>2139</v>
      </c>
      <c r="E19272" s="2" t="str">
        <f>"9783837644227"</f>
        <v>9783837644227</v>
      </c>
      <c r="F19272" s="2" t="str">
        <f>"9783839444221"</f>
        <v>9783839444221</v>
      </c>
    </row>
    <row r="19273" spans="1:6" s="3" customFormat="1" ht="29.1" customHeight="1" x14ac:dyDescent="0.25">
      <c r="A19273" s="2" t="s">
        <v>37873</v>
      </c>
      <c r="B19273" s="2" t="s">
        <v>37874</v>
      </c>
      <c r="C19273" s="2" t="s">
        <v>556</v>
      </c>
      <c r="D19273" s="2" t="s">
        <v>29820</v>
      </c>
      <c r="E19273" s="2" t="str">
        <f>"9783837644159"</f>
        <v>9783837644159</v>
      </c>
      <c r="F19273" s="2" t="str">
        <f>"9783839444153"</f>
        <v>9783839444153</v>
      </c>
    </row>
    <row r="19274" spans="1:6" s="3" customFormat="1" ht="29.1" customHeight="1" x14ac:dyDescent="0.25">
      <c r="A19274" s="2" t="s">
        <v>37875</v>
      </c>
      <c r="B19274" s="2" t="s">
        <v>37876</v>
      </c>
      <c r="C19274" s="2" t="s">
        <v>556</v>
      </c>
      <c r="D19274" s="2" t="s">
        <v>75</v>
      </c>
      <c r="E19274" s="2" t="str">
        <f>"9783837644104"</f>
        <v>9783837644104</v>
      </c>
      <c r="F19274" s="2" t="str">
        <f>"9783839444108"</f>
        <v>9783839444108</v>
      </c>
    </row>
    <row r="19275" spans="1:6" s="3" customFormat="1" ht="29.1" customHeight="1" x14ac:dyDescent="0.25">
      <c r="A19275" s="2" t="s">
        <v>37877</v>
      </c>
      <c r="B19275" s="2" t="s">
        <v>37878</v>
      </c>
      <c r="C19275" s="2" t="s">
        <v>556</v>
      </c>
      <c r="D19275" s="2" t="s">
        <v>1028</v>
      </c>
      <c r="E19275" s="2" t="str">
        <f>"9783837643954"</f>
        <v>9783837643954</v>
      </c>
      <c r="F19275" s="2" t="str">
        <f>"9783839443958"</f>
        <v>9783839443958</v>
      </c>
    </row>
    <row r="19276" spans="1:6" s="3" customFormat="1" ht="29.1" customHeight="1" x14ac:dyDescent="0.25">
      <c r="A19276" s="2" t="s">
        <v>37879</v>
      </c>
      <c r="B19276" s="2" t="s">
        <v>37880</v>
      </c>
      <c r="C19276" s="2" t="s">
        <v>556</v>
      </c>
      <c r="D19276" s="2" t="s">
        <v>183</v>
      </c>
      <c r="E19276" s="2" t="str">
        <f>"9783837643855"</f>
        <v>9783837643855</v>
      </c>
      <c r="F19276" s="2" t="str">
        <f>"9783839443859"</f>
        <v>9783839443859</v>
      </c>
    </row>
    <row r="19277" spans="1:6" s="3" customFormat="1" ht="29.1" customHeight="1" x14ac:dyDescent="0.25">
      <c r="A19277" s="2" t="s">
        <v>37881</v>
      </c>
      <c r="B19277" s="2" t="s">
        <v>37882</v>
      </c>
      <c r="C19277" s="2" t="s">
        <v>556</v>
      </c>
      <c r="D19277" s="2" t="s">
        <v>183</v>
      </c>
      <c r="E19277" s="2" t="str">
        <f>"9783837643848"</f>
        <v>9783837643848</v>
      </c>
      <c r="F19277" s="2" t="str">
        <f>"9783839443842"</f>
        <v>9783839443842</v>
      </c>
    </row>
    <row r="19278" spans="1:6" s="3" customFormat="1" ht="29.1" customHeight="1" x14ac:dyDescent="0.25">
      <c r="A19278" s="2" t="s">
        <v>37883</v>
      </c>
      <c r="B19278" s="2" t="s">
        <v>37884</v>
      </c>
      <c r="C19278" s="2" t="s">
        <v>556</v>
      </c>
      <c r="D19278" s="2" t="s">
        <v>75</v>
      </c>
      <c r="E19278" s="2" t="str">
        <f>"9783837643763"</f>
        <v>9783837643763</v>
      </c>
      <c r="F19278" s="2" t="str">
        <f>"9783839443767"</f>
        <v>9783839443767</v>
      </c>
    </row>
    <row r="19279" spans="1:6" s="3" customFormat="1" ht="29.1" customHeight="1" x14ac:dyDescent="0.25">
      <c r="A19279" s="2" t="s">
        <v>37885</v>
      </c>
      <c r="B19279" s="2" t="s">
        <v>37886</v>
      </c>
      <c r="C19279" s="2" t="s">
        <v>556</v>
      </c>
      <c r="D19279" s="2" t="s">
        <v>324</v>
      </c>
      <c r="E19279" s="2" t="str">
        <f>"9783837643749"</f>
        <v>9783837643749</v>
      </c>
      <c r="F19279" s="2" t="str">
        <f>"9783839443743"</f>
        <v>9783839443743</v>
      </c>
    </row>
    <row r="19280" spans="1:6" s="3" customFormat="1" ht="29.1" customHeight="1" x14ac:dyDescent="0.25">
      <c r="A19280" s="2" t="s">
        <v>37887</v>
      </c>
      <c r="B19280" s="2" t="s">
        <v>37888</v>
      </c>
      <c r="C19280" s="2" t="s">
        <v>556</v>
      </c>
      <c r="D19280" s="2" t="s">
        <v>1141</v>
      </c>
      <c r="E19280" s="2" t="str">
        <f>"9783837643589"</f>
        <v>9783837643589</v>
      </c>
      <c r="F19280" s="2" t="str">
        <f>"9783839443583"</f>
        <v>9783839443583</v>
      </c>
    </row>
    <row r="19281" spans="1:6" s="3" customFormat="1" ht="29.1" customHeight="1" x14ac:dyDescent="0.25">
      <c r="A19281" s="2" t="s">
        <v>37889</v>
      </c>
      <c r="B19281" s="2" t="s">
        <v>37890</v>
      </c>
      <c r="C19281" s="2" t="s">
        <v>556</v>
      </c>
      <c r="D19281" s="2" t="s">
        <v>183</v>
      </c>
      <c r="E19281" s="2" t="str">
        <f>"9783837643572"</f>
        <v>9783837643572</v>
      </c>
      <c r="F19281" s="2" t="str">
        <f>"9783839443576"</f>
        <v>9783839443576</v>
      </c>
    </row>
    <row r="19282" spans="1:6" s="3" customFormat="1" ht="29.1" customHeight="1" x14ac:dyDescent="0.25">
      <c r="A19282" s="2" t="s">
        <v>37891</v>
      </c>
      <c r="B19282" s="2" t="s">
        <v>37892</v>
      </c>
      <c r="C19282" s="2" t="s">
        <v>556</v>
      </c>
      <c r="D19282" s="2" t="s">
        <v>2462</v>
      </c>
      <c r="E19282" s="2" t="str">
        <f>"9783837643329"</f>
        <v>9783837643329</v>
      </c>
      <c r="F19282" s="2" t="str">
        <f>"9783839443323"</f>
        <v>9783839443323</v>
      </c>
    </row>
    <row r="19283" spans="1:6" s="3" customFormat="1" ht="29.1" customHeight="1" x14ac:dyDescent="0.25">
      <c r="A19283" s="2" t="s">
        <v>37893</v>
      </c>
      <c r="B19283" s="2" t="s">
        <v>37894</v>
      </c>
      <c r="C19283" s="2" t="s">
        <v>556</v>
      </c>
      <c r="D19283" s="2" t="s">
        <v>9968</v>
      </c>
      <c r="E19283" s="2" t="str">
        <f>"9783837643305"</f>
        <v>9783837643305</v>
      </c>
      <c r="F19283" s="2" t="str">
        <f>"9783839443309"</f>
        <v>9783839443309</v>
      </c>
    </row>
    <row r="19284" spans="1:6" s="3" customFormat="1" ht="29.1" customHeight="1" x14ac:dyDescent="0.25">
      <c r="A19284" s="2" t="s">
        <v>37895</v>
      </c>
      <c r="B19284" s="2" t="s">
        <v>37896</v>
      </c>
      <c r="C19284" s="2" t="s">
        <v>556</v>
      </c>
      <c r="D19284" s="2" t="s">
        <v>183</v>
      </c>
      <c r="E19284" s="2" t="str">
        <f>"9783837643282"</f>
        <v>9783837643282</v>
      </c>
      <c r="F19284" s="2" t="str">
        <f>"9783839443286"</f>
        <v>9783839443286</v>
      </c>
    </row>
    <row r="19285" spans="1:6" s="3" customFormat="1" ht="29.1" customHeight="1" x14ac:dyDescent="0.25">
      <c r="A19285" s="2" t="s">
        <v>37897</v>
      </c>
      <c r="B19285" s="2" t="s">
        <v>37898</v>
      </c>
      <c r="C19285" s="2" t="s">
        <v>556</v>
      </c>
      <c r="D19285" s="2" t="s">
        <v>712</v>
      </c>
      <c r="E19285" s="2" t="str">
        <f>"9783837643046"</f>
        <v>9783837643046</v>
      </c>
      <c r="F19285" s="2" t="str">
        <f>"9783839443040"</f>
        <v>9783839443040</v>
      </c>
    </row>
    <row r="19286" spans="1:6" s="3" customFormat="1" ht="29.1" customHeight="1" x14ac:dyDescent="0.25">
      <c r="A19286" s="2" t="s">
        <v>37899</v>
      </c>
      <c r="B19286" s="2" t="s">
        <v>37900</v>
      </c>
      <c r="C19286" s="2" t="s">
        <v>556</v>
      </c>
      <c r="D19286" s="2" t="s">
        <v>1189</v>
      </c>
      <c r="E19286" s="2" t="str">
        <f>"9783837642964"</f>
        <v>9783837642964</v>
      </c>
      <c r="F19286" s="2" t="str">
        <f>"9783839442968"</f>
        <v>9783839442968</v>
      </c>
    </row>
    <row r="19287" spans="1:6" s="3" customFormat="1" ht="29.1" customHeight="1" x14ac:dyDescent="0.25">
      <c r="A19287" s="2" t="s">
        <v>37901</v>
      </c>
      <c r="B19287" s="2" t="s">
        <v>37902</v>
      </c>
      <c r="C19287" s="2" t="s">
        <v>556</v>
      </c>
      <c r="D19287" s="2" t="s">
        <v>4172</v>
      </c>
      <c r="E19287" s="2" t="str">
        <f>"9783837642674"</f>
        <v>9783837642674</v>
      </c>
      <c r="F19287" s="2" t="str">
        <f>"9783839442678"</f>
        <v>9783839442678</v>
      </c>
    </row>
    <row r="19288" spans="1:6" s="3" customFormat="1" ht="29.1" customHeight="1" x14ac:dyDescent="0.25">
      <c r="A19288" s="2" t="s">
        <v>37903</v>
      </c>
      <c r="B19288" s="2" t="s">
        <v>37904</v>
      </c>
      <c r="C19288" s="2" t="s">
        <v>556</v>
      </c>
      <c r="D19288" s="2" t="s">
        <v>1422</v>
      </c>
      <c r="E19288" s="2" t="str">
        <f>"9783837642629"</f>
        <v>9783837642629</v>
      </c>
      <c r="F19288" s="2" t="str">
        <f>"9783839442623"</f>
        <v>9783839442623</v>
      </c>
    </row>
    <row r="19289" spans="1:6" s="3" customFormat="1" ht="29.1" customHeight="1" x14ac:dyDescent="0.25">
      <c r="A19289" s="2" t="s">
        <v>37905</v>
      </c>
      <c r="B19289" s="2" t="s">
        <v>37906</v>
      </c>
      <c r="C19289" s="2" t="s">
        <v>556</v>
      </c>
      <c r="D19289" s="2" t="s">
        <v>5983</v>
      </c>
      <c r="E19289" s="2" t="str">
        <f>"9783837642605"</f>
        <v>9783837642605</v>
      </c>
      <c r="F19289" s="2" t="str">
        <f>"9783839442609"</f>
        <v>9783839442609</v>
      </c>
    </row>
    <row r="19290" spans="1:6" s="3" customFormat="1" ht="29.1" customHeight="1" x14ac:dyDescent="0.25">
      <c r="A19290" s="2" t="s">
        <v>37907</v>
      </c>
      <c r="B19290" s="2" t="s">
        <v>37908</v>
      </c>
      <c r="C19290" s="2" t="s">
        <v>556</v>
      </c>
      <c r="D19290" s="2" t="s">
        <v>98</v>
      </c>
      <c r="E19290" s="2" t="str">
        <f>"9783837642551"</f>
        <v>9783837642551</v>
      </c>
      <c r="F19290" s="2" t="str">
        <f>"9783839442555"</f>
        <v>9783839442555</v>
      </c>
    </row>
    <row r="19291" spans="1:6" s="3" customFormat="1" ht="29.1" customHeight="1" x14ac:dyDescent="0.25">
      <c r="A19291" s="2" t="s">
        <v>37909</v>
      </c>
      <c r="B19291" s="2" t="s">
        <v>37910</v>
      </c>
      <c r="C19291" s="2" t="s">
        <v>556</v>
      </c>
      <c r="D19291" s="2" t="s">
        <v>183</v>
      </c>
      <c r="E19291" s="2" t="str">
        <f>"9783837642520"</f>
        <v>9783837642520</v>
      </c>
      <c r="F19291" s="2" t="str">
        <f>"9783839442524"</f>
        <v>9783839442524</v>
      </c>
    </row>
    <row r="19292" spans="1:6" s="3" customFormat="1" ht="29.1" customHeight="1" x14ac:dyDescent="0.25">
      <c r="A19292" s="2" t="s">
        <v>37911</v>
      </c>
      <c r="B19292" s="2" t="s">
        <v>37912</v>
      </c>
      <c r="C19292" s="2" t="s">
        <v>556</v>
      </c>
      <c r="D19292" s="2" t="s">
        <v>183</v>
      </c>
      <c r="E19292" s="2" t="str">
        <f>"9783837642476"</f>
        <v>9783837642476</v>
      </c>
      <c r="F19292" s="2" t="str">
        <f>"9783839442470"</f>
        <v>9783839442470</v>
      </c>
    </row>
    <row r="19293" spans="1:6" s="3" customFormat="1" ht="29.1" customHeight="1" x14ac:dyDescent="0.25">
      <c r="A19293" s="2" t="s">
        <v>37913</v>
      </c>
      <c r="B19293" s="2" t="s">
        <v>37914</v>
      </c>
      <c r="C19293" s="2" t="s">
        <v>556</v>
      </c>
      <c r="D19293" s="2" t="s">
        <v>183</v>
      </c>
      <c r="E19293" s="2" t="str">
        <f>"9783837642384"</f>
        <v>9783837642384</v>
      </c>
      <c r="F19293" s="2" t="str">
        <f>"9783839442388"</f>
        <v>9783839442388</v>
      </c>
    </row>
    <row r="19294" spans="1:6" s="3" customFormat="1" ht="29.1" customHeight="1" x14ac:dyDescent="0.25">
      <c r="A19294" s="2" t="s">
        <v>37915</v>
      </c>
      <c r="B19294" s="2" t="s">
        <v>37916</v>
      </c>
      <c r="C19294" s="2" t="s">
        <v>556</v>
      </c>
      <c r="D19294" s="2" t="s">
        <v>462</v>
      </c>
      <c r="E19294" s="2" t="str">
        <f>"9783837642360"</f>
        <v>9783837642360</v>
      </c>
      <c r="F19294" s="2" t="str">
        <f>"9783839442364"</f>
        <v>9783839442364</v>
      </c>
    </row>
    <row r="19295" spans="1:6" s="3" customFormat="1" ht="29.1" customHeight="1" x14ac:dyDescent="0.25">
      <c r="A19295" s="2" t="s">
        <v>37917</v>
      </c>
      <c r="B19295" s="2" t="s">
        <v>37918</v>
      </c>
      <c r="C19295" s="2" t="s">
        <v>556</v>
      </c>
      <c r="D19295" s="2" t="s">
        <v>647</v>
      </c>
      <c r="E19295" s="2" t="str">
        <f>"9783837642322"</f>
        <v>9783837642322</v>
      </c>
      <c r="F19295" s="2" t="str">
        <f>"9783839442326"</f>
        <v>9783839442326</v>
      </c>
    </row>
    <row r="19296" spans="1:6" s="3" customFormat="1" ht="29.1" customHeight="1" x14ac:dyDescent="0.25">
      <c r="A19296" s="2" t="s">
        <v>37919</v>
      </c>
      <c r="B19296" s="2" t="s">
        <v>37920</v>
      </c>
      <c r="C19296" s="2" t="s">
        <v>556</v>
      </c>
      <c r="D19296" s="2" t="s">
        <v>9894</v>
      </c>
      <c r="E19296" s="2" t="str">
        <f>"9783837642278"</f>
        <v>9783837642278</v>
      </c>
      <c r="F19296" s="2" t="str">
        <f>"9783839442272"</f>
        <v>9783839442272</v>
      </c>
    </row>
    <row r="19297" spans="1:6" s="3" customFormat="1" ht="29.1" customHeight="1" x14ac:dyDescent="0.25">
      <c r="A19297" s="2" t="s">
        <v>37921</v>
      </c>
      <c r="B19297" s="2" t="s">
        <v>37922</v>
      </c>
      <c r="C19297" s="2" t="s">
        <v>556</v>
      </c>
      <c r="D19297" s="2" t="s">
        <v>459</v>
      </c>
      <c r="E19297" s="2" t="str">
        <f>"9783837642261"</f>
        <v>9783837642261</v>
      </c>
      <c r="F19297" s="2" t="str">
        <f>"9783839442265"</f>
        <v>9783839442265</v>
      </c>
    </row>
    <row r="19298" spans="1:6" s="3" customFormat="1" ht="29.1" customHeight="1" x14ac:dyDescent="0.25">
      <c r="A19298" s="2" t="s">
        <v>37923</v>
      </c>
      <c r="B19298" s="2" t="s">
        <v>37924</v>
      </c>
      <c r="C19298" s="2" t="s">
        <v>556</v>
      </c>
      <c r="D19298" s="2" t="s">
        <v>1162</v>
      </c>
      <c r="E19298" s="2" t="str">
        <f>"9783837642230"</f>
        <v>9783837642230</v>
      </c>
      <c r="F19298" s="2" t="str">
        <f>"9783839442234"</f>
        <v>9783839442234</v>
      </c>
    </row>
    <row r="19299" spans="1:6" s="3" customFormat="1" ht="29.1" customHeight="1" x14ac:dyDescent="0.25">
      <c r="A19299" s="2" t="s">
        <v>37925</v>
      </c>
      <c r="B19299" s="2" t="s">
        <v>37926</v>
      </c>
      <c r="C19299" s="2" t="s">
        <v>556</v>
      </c>
      <c r="D19299" s="2" t="s">
        <v>4210</v>
      </c>
      <c r="E19299" s="2" t="str">
        <f>"9783837642193"</f>
        <v>9783837642193</v>
      </c>
      <c r="F19299" s="2" t="str">
        <f>"9783839442197"</f>
        <v>9783839442197</v>
      </c>
    </row>
    <row r="19300" spans="1:6" s="3" customFormat="1" ht="29.1" customHeight="1" x14ac:dyDescent="0.25">
      <c r="A19300" s="2" t="s">
        <v>37927</v>
      </c>
      <c r="B19300" s="2" t="s">
        <v>37928</v>
      </c>
      <c r="C19300" s="2" t="s">
        <v>556</v>
      </c>
      <c r="D19300" s="2" t="s">
        <v>6578</v>
      </c>
      <c r="E19300" s="2" t="str">
        <f>"9783837642162"</f>
        <v>9783837642162</v>
      </c>
      <c r="F19300" s="2" t="str">
        <f>"9783839442166"</f>
        <v>9783839442166</v>
      </c>
    </row>
    <row r="19301" spans="1:6" s="3" customFormat="1" ht="29.1" customHeight="1" x14ac:dyDescent="0.25">
      <c r="A19301" s="2" t="s">
        <v>37929</v>
      </c>
      <c r="B19301" s="2" t="s">
        <v>37930</v>
      </c>
      <c r="C19301" s="2" t="s">
        <v>556</v>
      </c>
      <c r="D19301" s="2" t="s">
        <v>1189</v>
      </c>
      <c r="E19301" s="2" t="str">
        <f>"9783837642148"</f>
        <v>9783837642148</v>
      </c>
      <c r="F19301" s="2" t="str">
        <f>"9783839442142"</f>
        <v>9783839442142</v>
      </c>
    </row>
    <row r="19302" spans="1:6" s="3" customFormat="1" ht="29.1" customHeight="1" x14ac:dyDescent="0.25">
      <c r="A19302" s="2" t="s">
        <v>37931</v>
      </c>
      <c r="B19302" s="2" t="s">
        <v>37932</v>
      </c>
      <c r="C19302" s="2" t="s">
        <v>556</v>
      </c>
      <c r="D19302" s="2" t="s">
        <v>712</v>
      </c>
      <c r="E19302" s="2" t="str">
        <f>"9783837642063"</f>
        <v>9783837642063</v>
      </c>
      <c r="F19302" s="2" t="str">
        <f>"9783839442067"</f>
        <v>9783839442067</v>
      </c>
    </row>
    <row r="19303" spans="1:6" s="3" customFormat="1" ht="29.1" customHeight="1" x14ac:dyDescent="0.25">
      <c r="A19303" s="2" t="s">
        <v>37933</v>
      </c>
      <c r="B19303" s="2" t="s">
        <v>37934</v>
      </c>
      <c r="C19303" s="2" t="s">
        <v>556</v>
      </c>
      <c r="D19303" s="2" t="s">
        <v>1162</v>
      </c>
      <c r="E19303" s="2" t="str">
        <f>"9783837642001"</f>
        <v>9783837642001</v>
      </c>
      <c r="F19303" s="2" t="str">
        <f>"9783839442005"</f>
        <v>9783839442005</v>
      </c>
    </row>
    <row r="19304" spans="1:6" s="3" customFormat="1" ht="29.1" customHeight="1" x14ac:dyDescent="0.25">
      <c r="A19304" s="2" t="s">
        <v>37935</v>
      </c>
      <c r="B19304" s="2" t="s">
        <v>37936</v>
      </c>
      <c r="C19304" s="2" t="s">
        <v>556</v>
      </c>
      <c r="D19304" s="2" t="s">
        <v>1141</v>
      </c>
      <c r="E19304" s="2" t="str">
        <f>"9783837641998"</f>
        <v>9783837641998</v>
      </c>
      <c r="F19304" s="2" t="str">
        <f>"9783839441992"</f>
        <v>9783839441992</v>
      </c>
    </row>
    <row r="19305" spans="1:6" s="3" customFormat="1" ht="29.1" customHeight="1" x14ac:dyDescent="0.25">
      <c r="A19305" s="2" t="s">
        <v>37937</v>
      </c>
      <c r="B19305" s="2" t="s">
        <v>37938</v>
      </c>
      <c r="C19305" s="2" t="s">
        <v>556</v>
      </c>
      <c r="D19305" s="2" t="s">
        <v>484</v>
      </c>
      <c r="E19305" s="2" t="str">
        <f>"9783837641943"</f>
        <v>9783837641943</v>
      </c>
      <c r="F19305" s="2" t="str">
        <f>"9783732841943"</f>
        <v>9783732841943</v>
      </c>
    </row>
    <row r="19306" spans="1:6" s="3" customFormat="1" ht="29.1" customHeight="1" x14ac:dyDescent="0.25">
      <c r="A19306" s="2" t="s">
        <v>37939</v>
      </c>
      <c r="B19306" s="2" t="s">
        <v>11205</v>
      </c>
      <c r="C19306" s="2" t="s">
        <v>556</v>
      </c>
      <c r="D19306" s="2" t="s">
        <v>75</v>
      </c>
      <c r="E19306" s="2" t="str">
        <f>"9783837641899"</f>
        <v>9783837641899</v>
      </c>
      <c r="F19306" s="2" t="str">
        <f>"9783839441893"</f>
        <v>9783839441893</v>
      </c>
    </row>
    <row r="19307" spans="1:6" s="3" customFormat="1" ht="29.1" customHeight="1" x14ac:dyDescent="0.25">
      <c r="A19307" s="2" t="s">
        <v>37940</v>
      </c>
      <c r="B19307" s="2" t="s">
        <v>12338</v>
      </c>
      <c r="C19307" s="2" t="s">
        <v>556</v>
      </c>
      <c r="D19307" s="2" t="s">
        <v>1141</v>
      </c>
      <c r="E19307" s="2" t="str">
        <f>"9783837641837"</f>
        <v>9783837641837</v>
      </c>
      <c r="F19307" s="2" t="str">
        <f>"9783839441831"</f>
        <v>9783839441831</v>
      </c>
    </row>
    <row r="19308" spans="1:6" s="3" customFormat="1" ht="29.1" customHeight="1" x14ac:dyDescent="0.25">
      <c r="A19308" s="2" t="s">
        <v>37941</v>
      </c>
      <c r="B19308" s="2" t="s">
        <v>37942</v>
      </c>
      <c r="C19308" s="2" t="s">
        <v>556</v>
      </c>
      <c r="D19308" s="2" t="s">
        <v>501</v>
      </c>
      <c r="E19308" s="2" t="str">
        <f>"9783837641790"</f>
        <v>9783837641790</v>
      </c>
      <c r="F19308" s="2" t="str">
        <f>"9783839441794"</f>
        <v>9783839441794</v>
      </c>
    </row>
    <row r="19309" spans="1:6" s="3" customFormat="1" ht="29.1" customHeight="1" x14ac:dyDescent="0.25">
      <c r="A19309" s="2" t="s">
        <v>37943</v>
      </c>
      <c r="B19309" s="2" t="s">
        <v>37944</v>
      </c>
      <c r="C19309" s="2" t="s">
        <v>556</v>
      </c>
      <c r="D19309" s="2" t="s">
        <v>12298</v>
      </c>
      <c r="E19309" s="2" t="str">
        <f>"9783837641653"</f>
        <v>9783837641653</v>
      </c>
      <c r="F19309" s="2" t="str">
        <f>"9783839441657"</f>
        <v>9783839441657</v>
      </c>
    </row>
    <row r="19310" spans="1:6" s="3" customFormat="1" ht="29.1" customHeight="1" x14ac:dyDescent="0.25">
      <c r="A19310" s="2" t="s">
        <v>37945</v>
      </c>
      <c r="B19310" s="2" t="s">
        <v>37946</v>
      </c>
      <c r="C19310" s="2" t="s">
        <v>556</v>
      </c>
      <c r="D19310" s="2" t="s">
        <v>1141</v>
      </c>
      <c r="E19310" s="2" t="str">
        <f>"9783837641523"</f>
        <v>9783837641523</v>
      </c>
      <c r="F19310" s="2" t="str">
        <f>"9783839441527"</f>
        <v>9783839441527</v>
      </c>
    </row>
    <row r="19311" spans="1:6" s="3" customFormat="1" ht="29.1" customHeight="1" x14ac:dyDescent="0.25">
      <c r="A19311" s="2" t="s">
        <v>37947</v>
      </c>
      <c r="B19311" s="2" t="s">
        <v>37948</v>
      </c>
      <c r="C19311" s="2" t="s">
        <v>556</v>
      </c>
      <c r="D19311" s="2" t="s">
        <v>968</v>
      </c>
      <c r="E19311" s="2" t="str">
        <f>"9783837641455"</f>
        <v>9783837641455</v>
      </c>
      <c r="F19311" s="2" t="str">
        <f>"9783839441459"</f>
        <v>9783839441459</v>
      </c>
    </row>
    <row r="19312" spans="1:6" s="3" customFormat="1" ht="29.1" customHeight="1" x14ac:dyDescent="0.25">
      <c r="A19312" s="2" t="s">
        <v>37949</v>
      </c>
      <c r="B19312" s="2" t="s">
        <v>37950</v>
      </c>
      <c r="C19312" s="2" t="s">
        <v>556</v>
      </c>
      <c r="D19312" s="2" t="s">
        <v>1046</v>
      </c>
      <c r="E19312" s="2" t="str">
        <f>"9783837641332"</f>
        <v>9783837641332</v>
      </c>
      <c r="F19312" s="2" t="str">
        <f>"9783839441336"</f>
        <v>9783839441336</v>
      </c>
    </row>
    <row r="19313" spans="1:6" s="3" customFormat="1" ht="29.1" customHeight="1" x14ac:dyDescent="0.25">
      <c r="A19313" s="2" t="s">
        <v>37951</v>
      </c>
      <c r="B19313" s="2" t="s">
        <v>37952</v>
      </c>
      <c r="C19313" s="2" t="s">
        <v>556</v>
      </c>
      <c r="D19313" s="2" t="s">
        <v>4789</v>
      </c>
      <c r="E19313" s="2" t="str">
        <f>"9783837641325"</f>
        <v>9783837641325</v>
      </c>
      <c r="F19313" s="2" t="str">
        <f>"9783839441329"</f>
        <v>9783839441329</v>
      </c>
    </row>
    <row r="19314" spans="1:6" s="3" customFormat="1" ht="29.1" customHeight="1" x14ac:dyDescent="0.25">
      <c r="A19314" s="2" t="s">
        <v>37953</v>
      </c>
      <c r="B19314" s="2" t="s">
        <v>37954</v>
      </c>
      <c r="C19314" s="2" t="s">
        <v>556</v>
      </c>
      <c r="D19314" s="2" t="s">
        <v>7000</v>
      </c>
      <c r="E19314" s="2" t="str">
        <f>"9783837641196"</f>
        <v>9783837641196</v>
      </c>
      <c r="F19314" s="2" t="str">
        <f>"9783732841196"</f>
        <v>9783732841196</v>
      </c>
    </row>
    <row r="19315" spans="1:6" s="3" customFormat="1" ht="29.1" customHeight="1" x14ac:dyDescent="0.25">
      <c r="A19315" s="2" t="s">
        <v>37955</v>
      </c>
      <c r="B19315" s="2" t="s">
        <v>37956</v>
      </c>
      <c r="C19315" s="2" t="s">
        <v>556</v>
      </c>
      <c r="D19315" s="2" t="s">
        <v>712</v>
      </c>
      <c r="E19315" s="2" t="str">
        <f>"9783837641080"</f>
        <v>9783837641080</v>
      </c>
      <c r="F19315" s="2" t="str">
        <f>"9783839441084"</f>
        <v>9783839441084</v>
      </c>
    </row>
    <row r="19316" spans="1:6" s="3" customFormat="1" ht="29.1" customHeight="1" x14ac:dyDescent="0.25">
      <c r="A19316" s="2" t="s">
        <v>37957</v>
      </c>
      <c r="B19316" s="2" t="s">
        <v>37958</v>
      </c>
      <c r="C19316" s="2" t="s">
        <v>556</v>
      </c>
      <c r="D19316" s="2" t="s">
        <v>78</v>
      </c>
      <c r="E19316" s="2" t="str">
        <f>"9783837640922"</f>
        <v>9783837640922</v>
      </c>
      <c r="F19316" s="2" t="str">
        <f>"9783839440926"</f>
        <v>9783839440926</v>
      </c>
    </row>
    <row r="19317" spans="1:6" s="3" customFormat="1" ht="29.1" customHeight="1" x14ac:dyDescent="0.25">
      <c r="A19317" s="2" t="s">
        <v>37959</v>
      </c>
      <c r="B19317" s="2" t="s">
        <v>37960</v>
      </c>
      <c r="C19317" s="2" t="s">
        <v>556</v>
      </c>
      <c r="D19317" s="2" t="s">
        <v>8642</v>
      </c>
      <c r="E19317" s="2" t="str">
        <f>"9783837640823"</f>
        <v>9783837640823</v>
      </c>
      <c r="F19317" s="2" t="str">
        <f>"9783839440827"</f>
        <v>9783839440827</v>
      </c>
    </row>
    <row r="19318" spans="1:6" s="3" customFormat="1" ht="29.1" customHeight="1" x14ac:dyDescent="0.25">
      <c r="A19318" s="2" t="s">
        <v>37961</v>
      </c>
      <c r="B19318" s="2" t="s">
        <v>37962</v>
      </c>
      <c r="C19318" s="2" t="s">
        <v>556</v>
      </c>
      <c r="D19318" s="2" t="s">
        <v>446</v>
      </c>
      <c r="E19318" s="2" t="str">
        <f>"9783837640762"</f>
        <v>9783837640762</v>
      </c>
      <c r="F19318" s="2" t="str">
        <f>"9783839440766"</f>
        <v>9783839440766</v>
      </c>
    </row>
    <row r="19319" spans="1:6" s="3" customFormat="1" ht="29.1" customHeight="1" x14ac:dyDescent="0.25">
      <c r="A19319" s="2" t="s">
        <v>37963</v>
      </c>
      <c r="B19319" s="2" t="s">
        <v>37964</v>
      </c>
      <c r="C19319" s="2" t="s">
        <v>556</v>
      </c>
      <c r="D19319" s="2" t="s">
        <v>183</v>
      </c>
      <c r="E19319" s="2" t="str">
        <f>"9783837640663"</f>
        <v>9783837640663</v>
      </c>
      <c r="F19319" s="2" t="str">
        <f>"9783839440667"</f>
        <v>9783839440667</v>
      </c>
    </row>
    <row r="19320" spans="1:6" s="3" customFormat="1" ht="29.1" customHeight="1" x14ac:dyDescent="0.25">
      <c r="A19320" s="2" t="s">
        <v>37965</v>
      </c>
      <c r="B19320" s="2" t="s">
        <v>37966</v>
      </c>
      <c r="C19320" s="2" t="s">
        <v>556</v>
      </c>
      <c r="D19320" s="2" t="s">
        <v>75</v>
      </c>
      <c r="E19320" s="2" t="str">
        <f>"9783837640588"</f>
        <v>9783837640588</v>
      </c>
      <c r="F19320" s="2" t="str">
        <f>"9783839440582"</f>
        <v>9783839440582</v>
      </c>
    </row>
    <row r="19321" spans="1:6" s="3" customFormat="1" ht="29.1" customHeight="1" x14ac:dyDescent="0.25">
      <c r="A19321" s="2" t="s">
        <v>37967</v>
      </c>
      <c r="B19321" s="2" t="s">
        <v>37968</v>
      </c>
      <c r="C19321" s="2" t="s">
        <v>556</v>
      </c>
      <c r="D19321" s="2" t="s">
        <v>183</v>
      </c>
      <c r="E19321" s="2" t="str">
        <f>"9783837640526"</f>
        <v>9783837640526</v>
      </c>
      <c r="F19321" s="2" t="str">
        <f>"9783839440520"</f>
        <v>9783839440520</v>
      </c>
    </row>
    <row r="19322" spans="1:6" s="3" customFormat="1" ht="29.1" customHeight="1" x14ac:dyDescent="0.25">
      <c r="A19322" s="2" t="s">
        <v>37969</v>
      </c>
      <c r="B19322" s="2" t="s">
        <v>37970</v>
      </c>
      <c r="C19322" s="2" t="s">
        <v>556</v>
      </c>
      <c r="D19322" s="2" t="s">
        <v>712</v>
      </c>
      <c r="E19322" s="2" t="str">
        <f>"9783837640465"</f>
        <v>9783837640465</v>
      </c>
      <c r="F19322" s="2" t="str">
        <f>"9783839440469"</f>
        <v>9783839440469</v>
      </c>
    </row>
    <row r="19323" spans="1:6" s="3" customFormat="1" ht="29.1" customHeight="1" x14ac:dyDescent="0.25">
      <c r="A19323" s="2" t="s">
        <v>37971</v>
      </c>
      <c r="B19323" s="2" t="s">
        <v>37972</v>
      </c>
      <c r="C19323" s="2" t="s">
        <v>556</v>
      </c>
      <c r="D19323" s="2" t="s">
        <v>183</v>
      </c>
      <c r="E19323" s="2" t="str">
        <f>"9783837640304"</f>
        <v>9783837640304</v>
      </c>
      <c r="F19323" s="2" t="str">
        <f>"9783839440308"</f>
        <v>9783839440308</v>
      </c>
    </row>
    <row r="19324" spans="1:6" s="3" customFormat="1" ht="29.1" customHeight="1" x14ac:dyDescent="0.25">
      <c r="A19324" s="2" t="s">
        <v>37973</v>
      </c>
      <c r="B19324" s="2" t="s">
        <v>37974</v>
      </c>
      <c r="C19324" s="2" t="s">
        <v>556</v>
      </c>
      <c r="D19324" s="2" t="s">
        <v>30582</v>
      </c>
      <c r="E19324" s="2" t="str">
        <f>"9783837639919"</f>
        <v>9783837639919</v>
      </c>
      <c r="F19324" s="2" t="str">
        <f>"9783839439913"</f>
        <v>9783839439913</v>
      </c>
    </row>
    <row r="19325" spans="1:6" s="3" customFormat="1" ht="29.1" customHeight="1" x14ac:dyDescent="0.25">
      <c r="A19325" s="2" t="s">
        <v>37975</v>
      </c>
      <c r="B19325" s="2" t="s">
        <v>37844</v>
      </c>
      <c r="C19325" s="2" t="s">
        <v>556</v>
      </c>
      <c r="D19325" s="2" t="s">
        <v>2528</v>
      </c>
      <c r="E19325" s="2" t="str">
        <f>"9783837639711"</f>
        <v>9783837639711</v>
      </c>
      <c r="F19325" s="2" t="str">
        <f>"9783839439715"</f>
        <v>9783839439715</v>
      </c>
    </row>
    <row r="19326" spans="1:6" s="3" customFormat="1" ht="29.1" customHeight="1" x14ac:dyDescent="0.25">
      <c r="A19326" s="2" t="s">
        <v>37976</v>
      </c>
      <c r="B19326" s="2" t="s">
        <v>37977</v>
      </c>
      <c r="C19326" s="2" t="s">
        <v>556</v>
      </c>
      <c r="D19326" s="2" t="s">
        <v>490</v>
      </c>
      <c r="E19326" s="2" t="str">
        <f>"9783837639582"</f>
        <v>9783837639582</v>
      </c>
      <c r="F19326" s="2" t="str">
        <f>"9783839439586"</f>
        <v>9783839439586</v>
      </c>
    </row>
    <row r="19327" spans="1:6" s="3" customFormat="1" ht="29.1" customHeight="1" x14ac:dyDescent="0.25">
      <c r="A19327" s="2" t="s">
        <v>37978</v>
      </c>
      <c r="B19327" s="2" t="s">
        <v>37979</v>
      </c>
      <c r="C19327" s="2" t="s">
        <v>556</v>
      </c>
      <c r="D19327" s="2" t="s">
        <v>1189</v>
      </c>
      <c r="E19327" s="2" t="str">
        <f>"9783837639544"</f>
        <v>9783837639544</v>
      </c>
      <c r="F19327" s="2" t="str">
        <f>"9783839439548"</f>
        <v>9783839439548</v>
      </c>
    </row>
    <row r="19328" spans="1:6" s="3" customFormat="1" ht="29.1" customHeight="1" x14ac:dyDescent="0.25">
      <c r="A19328" s="2" t="s">
        <v>37980</v>
      </c>
      <c r="B19328" s="2" t="s">
        <v>37981</v>
      </c>
      <c r="C19328" s="2" t="s">
        <v>556</v>
      </c>
      <c r="D19328" s="2" t="s">
        <v>7000</v>
      </c>
      <c r="E19328" s="2" t="str">
        <f>"9783837639315"</f>
        <v>9783837639315</v>
      </c>
      <c r="F19328" s="2" t="str">
        <f>"9783839439319"</f>
        <v>9783839439319</v>
      </c>
    </row>
    <row r="19329" spans="1:6" s="3" customFormat="1" ht="29.1" customHeight="1" x14ac:dyDescent="0.25">
      <c r="A19329" s="2" t="s">
        <v>37982</v>
      </c>
      <c r="B19329" s="2" t="s">
        <v>37983</v>
      </c>
      <c r="C19329" s="2" t="s">
        <v>556</v>
      </c>
      <c r="D19329" s="2" t="s">
        <v>636</v>
      </c>
      <c r="E19329" s="2" t="str">
        <f>"9783837639230"</f>
        <v>9783837639230</v>
      </c>
      <c r="F19329" s="2" t="str">
        <f>"9783732839230"</f>
        <v>9783732839230</v>
      </c>
    </row>
    <row r="19330" spans="1:6" s="3" customFormat="1" ht="29.1" customHeight="1" x14ac:dyDescent="0.25">
      <c r="A19330" s="2" t="s">
        <v>37984</v>
      </c>
      <c r="B19330" s="2" t="s">
        <v>37985</v>
      </c>
      <c r="C19330" s="2" t="s">
        <v>556</v>
      </c>
      <c r="D19330" s="2" t="s">
        <v>78</v>
      </c>
      <c r="E19330" s="2" t="str">
        <f>"9783837639162"</f>
        <v>9783837639162</v>
      </c>
      <c r="F19330" s="2" t="str">
        <f>"9783839439166"</f>
        <v>9783839439166</v>
      </c>
    </row>
    <row r="19331" spans="1:6" s="3" customFormat="1" ht="29.1" customHeight="1" x14ac:dyDescent="0.25">
      <c r="A19331" s="2" t="s">
        <v>37986</v>
      </c>
      <c r="B19331" s="2" t="s">
        <v>37987</v>
      </c>
      <c r="C19331" s="2" t="s">
        <v>556</v>
      </c>
      <c r="D19331" s="2" t="s">
        <v>913</v>
      </c>
      <c r="E19331" s="2" t="str">
        <f>"9783837639025"</f>
        <v>9783837639025</v>
      </c>
      <c r="F19331" s="2" t="str">
        <f>"9783839439029"</f>
        <v>9783839439029</v>
      </c>
    </row>
    <row r="19332" spans="1:6" s="3" customFormat="1" ht="29.1" customHeight="1" x14ac:dyDescent="0.25">
      <c r="A19332" s="2" t="s">
        <v>37988</v>
      </c>
      <c r="B19332" s="2" t="s">
        <v>37989</v>
      </c>
      <c r="C19332" s="2" t="s">
        <v>556</v>
      </c>
      <c r="D19332" s="2" t="s">
        <v>249</v>
      </c>
      <c r="E19332" s="2" t="str">
        <f>"9783837638981"</f>
        <v>9783837638981</v>
      </c>
      <c r="F19332" s="2" t="str">
        <f>"9783839438985"</f>
        <v>9783839438985</v>
      </c>
    </row>
    <row r="19333" spans="1:6" s="3" customFormat="1" ht="29.1" customHeight="1" x14ac:dyDescent="0.25">
      <c r="A19333" s="2" t="s">
        <v>37990</v>
      </c>
      <c r="B19333" s="2" t="s">
        <v>37991</v>
      </c>
      <c r="C19333" s="2" t="s">
        <v>556</v>
      </c>
      <c r="D19333" s="2" t="s">
        <v>1056</v>
      </c>
      <c r="E19333" s="2" t="str">
        <f>"9783837638608"</f>
        <v>9783837638608</v>
      </c>
      <c r="F19333" s="2" t="str">
        <f>"9783839438602"</f>
        <v>9783839438602</v>
      </c>
    </row>
    <row r="19334" spans="1:6" s="3" customFormat="1" ht="29.1" customHeight="1" x14ac:dyDescent="0.25">
      <c r="A19334" s="2" t="s">
        <v>37992</v>
      </c>
      <c r="B19334" s="2" t="s">
        <v>37994</v>
      </c>
      <c r="C19334" s="2" t="s">
        <v>556</v>
      </c>
      <c r="D19334" s="2" t="s">
        <v>37993</v>
      </c>
      <c r="E19334" s="2" t="str">
        <f>"9783837638059"</f>
        <v>9783837638059</v>
      </c>
      <c r="F19334" s="2" t="str">
        <f>"9783839438053"</f>
        <v>9783839438053</v>
      </c>
    </row>
    <row r="19335" spans="1:6" s="3" customFormat="1" ht="29.1" customHeight="1" x14ac:dyDescent="0.25">
      <c r="A19335" s="2" t="s">
        <v>37995</v>
      </c>
      <c r="B19335" s="2" t="s">
        <v>37996</v>
      </c>
      <c r="C19335" s="2" t="s">
        <v>556</v>
      </c>
      <c r="D19335" s="2" t="s">
        <v>33</v>
      </c>
      <c r="E19335" s="2" t="str">
        <f>"9783837637939"</f>
        <v>9783837637939</v>
      </c>
      <c r="F19335" s="2" t="str">
        <f>"9783839437933"</f>
        <v>9783839437933</v>
      </c>
    </row>
    <row r="19336" spans="1:6" s="3" customFormat="1" ht="29.1" customHeight="1" x14ac:dyDescent="0.25">
      <c r="A19336" s="2" t="s">
        <v>37997</v>
      </c>
      <c r="B19336" s="2" t="s">
        <v>37998</v>
      </c>
      <c r="C19336" s="2" t="s">
        <v>556</v>
      </c>
      <c r="D19336" s="2" t="s">
        <v>2147</v>
      </c>
      <c r="E19336" s="2" t="str">
        <f>"9783837637847"</f>
        <v>9783837637847</v>
      </c>
      <c r="F19336" s="2" t="str">
        <f>"9783839437841"</f>
        <v>9783839437841</v>
      </c>
    </row>
    <row r="19337" spans="1:6" s="3" customFormat="1" ht="29.1" customHeight="1" x14ac:dyDescent="0.25">
      <c r="A19337" s="2" t="s">
        <v>37999</v>
      </c>
      <c r="B19337" s="2" t="s">
        <v>38000</v>
      </c>
      <c r="C19337" s="2" t="s">
        <v>556</v>
      </c>
      <c r="D19337" s="2" t="s">
        <v>107</v>
      </c>
      <c r="E19337" s="2" t="str">
        <f>"9783837637830"</f>
        <v>9783837637830</v>
      </c>
      <c r="F19337" s="2" t="str">
        <f>"9783839437834"</f>
        <v>9783839437834</v>
      </c>
    </row>
    <row r="19338" spans="1:6" s="3" customFormat="1" ht="29.1" customHeight="1" x14ac:dyDescent="0.25">
      <c r="A19338" s="2" t="s">
        <v>38001</v>
      </c>
      <c r="B19338" s="2" t="s">
        <v>38002</v>
      </c>
      <c r="C19338" s="2" t="s">
        <v>556</v>
      </c>
      <c r="D19338" s="2" t="s">
        <v>270</v>
      </c>
      <c r="E19338" s="2" t="str">
        <f>"9783837637823"</f>
        <v>9783837637823</v>
      </c>
      <c r="F19338" s="2" t="str">
        <f>"9783839437827"</f>
        <v>9783839437827</v>
      </c>
    </row>
    <row r="19339" spans="1:6" s="3" customFormat="1" ht="29.1" customHeight="1" x14ac:dyDescent="0.25">
      <c r="A19339" s="2" t="s">
        <v>38003</v>
      </c>
      <c r="B19339" s="2" t="s">
        <v>38004</v>
      </c>
      <c r="C19339" s="2" t="s">
        <v>556</v>
      </c>
      <c r="D19339" s="2" t="s">
        <v>33</v>
      </c>
      <c r="E19339" s="2" t="str">
        <f>"9783837637625"</f>
        <v>9783837637625</v>
      </c>
      <c r="F19339" s="2" t="str">
        <f>"9783839437629"</f>
        <v>9783839437629</v>
      </c>
    </row>
    <row r="19340" spans="1:6" s="3" customFormat="1" ht="29.1" customHeight="1" x14ac:dyDescent="0.25">
      <c r="A19340" s="2" t="s">
        <v>38005</v>
      </c>
      <c r="B19340" s="2" t="s">
        <v>38000</v>
      </c>
      <c r="C19340" s="2" t="s">
        <v>556</v>
      </c>
      <c r="D19340" s="2" t="s">
        <v>218</v>
      </c>
      <c r="E19340" s="2" t="str">
        <f>"9783837637083"</f>
        <v>9783837637083</v>
      </c>
      <c r="F19340" s="2" t="str">
        <f>"9783839437087"</f>
        <v>9783839437087</v>
      </c>
    </row>
    <row r="19341" spans="1:6" s="3" customFormat="1" ht="29.1" customHeight="1" x14ac:dyDescent="0.25">
      <c r="A19341" s="2" t="s">
        <v>38006</v>
      </c>
      <c r="B19341" s="2" t="s">
        <v>38007</v>
      </c>
      <c r="C19341" s="2" t="s">
        <v>556</v>
      </c>
      <c r="D19341" s="2" t="s">
        <v>5032</v>
      </c>
      <c r="E19341" s="2" t="str">
        <f>"9783837637014"</f>
        <v>9783837637014</v>
      </c>
      <c r="F19341" s="2" t="str">
        <f>"9783839437018"</f>
        <v>9783839437018</v>
      </c>
    </row>
    <row r="19342" spans="1:6" s="3" customFormat="1" ht="29.1" customHeight="1" x14ac:dyDescent="0.25">
      <c r="A19342" s="2" t="s">
        <v>38008</v>
      </c>
      <c r="B19342" s="2" t="s">
        <v>38009</v>
      </c>
      <c r="C19342" s="2" t="s">
        <v>556</v>
      </c>
      <c r="D19342" s="2" t="s">
        <v>1411</v>
      </c>
      <c r="E19342" s="2" t="str">
        <f>"9783837636512"</f>
        <v>9783837636512</v>
      </c>
      <c r="F19342" s="2" t="str">
        <f>"9783839436516"</f>
        <v>9783839436516</v>
      </c>
    </row>
    <row r="19343" spans="1:6" s="3" customFormat="1" ht="29.1" customHeight="1" x14ac:dyDescent="0.25">
      <c r="A19343" s="2" t="s">
        <v>38010</v>
      </c>
      <c r="B19343" s="2" t="s">
        <v>38011</v>
      </c>
      <c r="C19343" s="2" t="s">
        <v>556</v>
      </c>
      <c r="D19343" s="2" t="s">
        <v>218</v>
      </c>
      <c r="E19343" s="2" t="str">
        <f>"9783837636154"</f>
        <v>9783837636154</v>
      </c>
      <c r="F19343" s="2" t="str">
        <f>"9783839436158"</f>
        <v>9783839436158</v>
      </c>
    </row>
    <row r="19344" spans="1:6" s="3" customFormat="1" ht="29.1" customHeight="1" x14ac:dyDescent="0.25">
      <c r="A19344" s="2" t="s">
        <v>38012</v>
      </c>
      <c r="B19344" s="2" t="s">
        <v>38013</v>
      </c>
      <c r="C19344" s="2" t="s">
        <v>556</v>
      </c>
      <c r="D19344" s="2" t="s">
        <v>9968</v>
      </c>
      <c r="E19344" s="2" t="str">
        <f>"9783837636024"</f>
        <v>9783837636024</v>
      </c>
      <c r="F19344" s="2" t="str">
        <f>"9783839436028"</f>
        <v>9783839436028</v>
      </c>
    </row>
    <row r="19345" spans="1:6" s="3" customFormat="1" ht="29.1" customHeight="1" x14ac:dyDescent="0.25">
      <c r="A19345" s="2" t="s">
        <v>38014</v>
      </c>
      <c r="B19345" s="2" t="s">
        <v>38015</v>
      </c>
      <c r="C19345" s="2" t="s">
        <v>556</v>
      </c>
      <c r="D19345" s="2" t="s">
        <v>1717</v>
      </c>
      <c r="E19345" s="2" t="str">
        <f>"9783837635942"</f>
        <v>9783837635942</v>
      </c>
      <c r="F19345" s="2" t="str">
        <f>"9783732835942"</f>
        <v>9783732835942</v>
      </c>
    </row>
    <row r="19346" spans="1:6" s="3" customFormat="1" ht="29.1" customHeight="1" x14ac:dyDescent="0.25">
      <c r="A19346" s="2" t="s">
        <v>38016</v>
      </c>
      <c r="B19346" s="2" t="s">
        <v>38017</v>
      </c>
      <c r="C19346" s="2" t="s">
        <v>556</v>
      </c>
      <c r="D19346" s="2" t="s">
        <v>210</v>
      </c>
      <c r="E19346" s="2" t="str">
        <f>"9783837635867"</f>
        <v>9783837635867</v>
      </c>
      <c r="F19346" s="2" t="str">
        <f>"9783839435861"</f>
        <v>9783839435861</v>
      </c>
    </row>
    <row r="19347" spans="1:6" s="3" customFormat="1" ht="29.1" customHeight="1" x14ac:dyDescent="0.25">
      <c r="A19347" s="2" t="s">
        <v>38018</v>
      </c>
      <c r="B19347" s="2" t="s">
        <v>38019</v>
      </c>
      <c r="C19347" s="2" t="s">
        <v>556</v>
      </c>
      <c r="D19347" s="2" t="s">
        <v>712</v>
      </c>
      <c r="E19347" s="2" t="str">
        <f>"9783837635591"</f>
        <v>9783837635591</v>
      </c>
      <c r="F19347" s="2" t="str">
        <f>"9783839435595"</f>
        <v>9783839435595</v>
      </c>
    </row>
    <row r="19348" spans="1:6" s="3" customFormat="1" ht="29.1" customHeight="1" x14ac:dyDescent="0.25">
      <c r="A19348" s="2" t="s">
        <v>38020</v>
      </c>
      <c r="B19348" s="2" t="s">
        <v>38021</v>
      </c>
      <c r="C19348" s="2" t="s">
        <v>556</v>
      </c>
      <c r="D19348" s="2" t="s">
        <v>712</v>
      </c>
      <c r="E19348" s="2" t="str">
        <f>"9783837635560"</f>
        <v>9783837635560</v>
      </c>
      <c r="F19348" s="2" t="str">
        <f>"9783839435564"</f>
        <v>9783839435564</v>
      </c>
    </row>
    <row r="19349" spans="1:6" s="3" customFormat="1" ht="29.1" customHeight="1" x14ac:dyDescent="0.25">
      <c r="A19349" s="2" t="s">
        <v>38022</v>
      </c>
      <c r="B19349" s="2" t="s">
        <v>38023</v>
      </c>
      <c r="C19349" s="2" t="s">
        <v>556</v>
      </c>
      <c r="D19349" s="2" t="s">
        <v>428</v>
      </c>
      <c r="E19349" s="2" t="str">
        <f>"9783837635522"</f>
        <v>9783837635522</v>
      </c>
      <c r="F19349" s="2" t="str">
        <f>"9783839435526"</f>
        <v>9783839435526</v>
      </c>
    </row>
    <row r="19350" spans="1:6" s="3" customFormat="1" ht="29.1" customHeight="1" x14ac:dyDescent="0.25">
      <c r="A19350" s="2" t="s">
        <v>38024</v>
      </c>
      <c r="B19350" s="2" t="s">
        <v>38025</v>
      </c>
      <c r="C19350" s="2" t="s">
        <v>556</v>
      </c>
      <c r="D19350" s="2" t="s">
        <v>75</v>
      </c>
      <c r="E19350" s="2" t="str">
        <f>"9783837635362"</f>
        <v>9783837635362</v>
      </c>
      <c r="F19350" s="2" t="str">
        <f>"9783839435366"</f>
        <v>9783839435366</v>
      </c>
    </row>
    <row r="19351" spans="1:6" s="3" customFormat="1" ht="29.1" customHeight="1" x14ac:dyDescent="0.25">
      <c r="A19351" s="2" t="s">
        <v>38026</v>
      </c>
      <c r="B19351" s="2" t="s">
        <v>38027</v>
      </c>
      <c r="C19351" s="2" t="s">
        <v>556</v>
      </c>
      <c r="D19351" s="2" t="s">
        <v>1416</v>
      </c>
      <c r="E19351" s="2" t="str">
        <f>"9783837635133"</f>
        <v>9783837635133</v>
      </c>
      <c r="F19351" s="2" t="str">
        <f>"9783839435137"</f>
        <v>9783839435137</v>
      </c>
    </row>
    <row r="19352" spans="1:6" s="3" customFormat="1" ht="29.1" customHeight="1" x14ac:dyDescent="0.25">
      <c r="A19352" s="2" t="s">
        <v>38028</v>
      </c>
      <c r="B19352" s="2" t="s">
        <v>38029</v>
      </c>
      <c r="C19352" s="2" t="s">
        <v>556</v>
      </c>
      <c r="D19352" s="2" t="s">
        <v>1422</v>
      </c>
      <c r="E19352" s="2" t="str">
        <f>"9783837635126"</f>
        <v>9783837635126</v>
      </c>
      <c r="F19352" s="2" t="str">
        <f>"9783839435120"</f>
        <v>9783839435120</v>
      </c>
    </row>
    <row r="19353" spans="1:6" s="3" customFormat="1" ht="29.1" customHeight="1" x14ac:dyDescent="0.25">
      <c r="A19353" s="2" t="s">
        <v>38030</v>
      </c>
      <c r="B19353" s="2" t="s">
        <v>38031</v>
      </c>
      <c r="C19353" s="2" t="s">
        <v>556</v>
      </c>
      <c r="D19353" s="2" t="s">
        <v>712</v>
      </c>
      <c r="E19353" s="2" t="str">
        <f>"9783837634976"</f>
        <v>9783837634976</v>
      </c>
      <c r="F19353" s="2" t="str">
        <f>"9783839434970"</f>
        <v>9783839434970</v>
      </c>
    </row>
    <row r="19354" spans="1:6" s="3" customFormat="1" ht="29.1" customHeight="1" x14ac:dyDescent="0.25">
      <c r="A19354" s="2" t="s">
        <v>38032</v>
      </c>
      <c r="B19354" s="2" t="s">
        <v>38033</v>
      </c>
      <c r="C19354" s="2" t="s">
        <v>556</v>
      </c>
      <c r="D19354" s="2" t="s">
        <v>1162</v>
      </c>
      <c r="E19354" s="2" t="str">
        <f>"9783837634181"</f>
        <v>9783837634181</v>
      </c>
      <c r="F19354" s="2" t="str">
        <f>"9783839434185"</f>
        <v>9783839434185</v>
      </c>
    </row>
    <row r="19355" spans="1:6" s="3" customFormat="1" ht="29.1" customHeight="1" x14ac:dyDescent="0.25">
      <c r="A19355" s="2" t="s">
        <v>38034</v>
      </c>
      <c r="B19355" s="2" t="s">
        <v>38035</v>
      </c>
      <c r="C19355" s="2" t="s">
        <v>556</v>
      </c>
      <c r="D19355" s="2" t="s">
        <v>78</v>
      </c>
      <c r="E19355" s="2" t="str">
        <f>"9783837634075"</f>
        <v>9783837634075</v>
      </c>
      <c r="F19355" s="2" t="str">
        <f>"9783732834075"</f>
        <v>9783732834075</v>
      </c>
    </row>
    <row r="19356" spans="1:6" s="3" customFormat="1" ht="29.1" customHeight="1" x14ac:dyDescent="0.25">
      <c r="A19356" s="2" t="s">
        <v>38036</v>
      </c>
      <c r="B19356" s="2" t="s">
        <v>38037</v>
      </c>
      <c r="C19356" s="2" t="s">
        <v>556</v>
      </c>
      <c r="D19356" s="2" t="s">
        <v>1189</v>
      </c>
      <c r="E19356" s="2" t="str">
        <f>"9783837633771"</f>
        <v>9783837633771</v>
      </c>
      <c r="F19356" s="2" t="str">
        <f>"9783839433775"</f>
        <v>9783839433775</v>
      </c>
    </row>
    <row r="19357" spans="1:6" s="3" customFormat="1" ht="29.1" customHeight="1" x14ac:dyDescent="0.25">
      <c r="A19357" s="2" t="s">
        <v>38038</v>
      </c>
      <c r="B19357" s="2" t="s">
        <v>38039</v>
      </c>
      <c r="C19357" s="2" t="s">
        <v>556</v>
      </c>
      <c r="D19357" s="2" t="s">
        <v>712</v>
      </c>
      <c r="E19357" s="2" t="str">
        <f>"9783837633559"</f>
        <v>9783837633559</v>
      </c>
      <c r="F19357" s="2" t="str">
        <f>"9783839433553"</f>
        <v>9783839433553</v>
      </c>
    </row>
    <row r="19358" spans="1:6" s="3" customFormat="1" ht="29.1" customHeight="1" x14ac:dyDescent="0.25">
      <c r="A19358" s="2" t="s">
        <v>38040</v>
      </c>
      <c r="B19358" s="2" t="s">
        <v>38041</v>
      </c>
      <c r="C19358" s="2" t="s">
        <v>556</v>
      </c>
      <c r="D19358" s="2" t="s">
        <v>8642</v>
      </c>
      <c r="E19358" s="2" t="str">
        <f>"9783837633528"</f>
        <v>9783837633528</v>
      </c>
      <c r="F19358" s="2" t="str">
        <f>"9783839433522"</f>
        <v>9783839433522</v>
      </c>
    </row>
    <row r="19359" spans="1:6" s="3" customFormat="1" ht="29.1" customHeight="1" x14ac:dyDescent="0.25">
      <c r="A19359" s="2" t="s">
        <v>38042</v>
      </c>
      <c r="B19359" s="2" t="s">
        <v>38043</v>
      </c>
      <c r="C19359" s="2" t="s">
        <v>556</v>
      </c>
      <c r="D19359" s="2" t="s">
        <v>78</v>
      </c>
      <c r="E19359" s="2" t="str">
        <f>"9783837633467"</f>
        <v>9783837633467</v>
      </c>
      <c r="F19359" s="2" t="str">
        <f>"9783839433461"</f>
        <v>9783839433461</v>
      </c>
    </row>
    <row r="19360" spans="1:6" s="3" customFormat="1" ht="29.1" customHeight="1" x14ac:dyDescent="0.25">
      <c r="A19360" s="2" t="s">
        <v>38044</v>
      </c>
      <c r="B19360" s="2" t="s">
        <v>38045</v>
      </c>
      <c r="C19360" s="2" t="s">
        <v>556</v>
      </c>
      <c r="D19360" s="2" t="s">
        <v>2462</v>
      </c>
      <c r="E19360" s="2" t="str">
        <f>"9783837633108"</f>
        <v>9783837633108</v>
      </c>
      <c r="F19360" s="2" t="str">
        <f>"9783732833108"</f>
        <v>9783732833108</v>
      </c>
    </row>
    <row r="19361" spans="1:6" s="3" customFormat="1" ht="29.1" customHeight="1" x14ac:dyDescent="0.25">
      <c r="A19361" s="2" t="s">
        <v>38046</v>
      </c>
      <c r="B19361" s="2" t="s">
        <v>38047</v>
      </c>
      <c r="C19361" s="2" t="s">
        <v>556</v>
      </c>
      <c r="D19361" s="2" t="s">
        <v>4030</v>
      </c>
      <c r="E19361" s="2" t="str">
        <f>"9783837632965"</f>
        <v>9783837632965</v>
      </c>
      <c r="F19361" s="2" t="str">
        <f>"9783839432969"</f>
        <v>9783839432969</v>
      </c>
    </row>
    <row r="19362" spans="1:6" s="3" customFormat="1" ht="29.1" customHeight="1" x14ac:dyDescent="0.25">
      <c r="A19362" s="2" t="s">
        <v>38048</v>
      </c>
      <c r="B19362" s="2" t="s">
        <v>38049</v>
      </c>
      <c r="C19362" s="2" t="s">
        <v>556</v>
      </c>
      <c r="D19362" s="2" t="s">
        <v>712</v>
      </c>
      <c r="E19362" s="2" t="str">
        <f>"9783837632842"</f>
        <v>9783837632842</v>
      </c>
      <c r="F19362" s="2" t="str">
        <f>"9783839432846"</f>
        <v>9783839432846</v>
      </c>
    </row>
    <row r="19363" spans="1:6" s="3" customFormat="1" ht="29.1" customHeight="1" x14ac:dyDescent="0.25">
      <c r="A19363" s="2" t="s">
        <v>38050</v>
      </c>
      <c r="B19363" s="2" t="s">
        <v>38051</v>
      </c>
      <c r="C19363" s="2" t="s">
        <v>556</v>
      </c>
      <c r="D19363" s="2" t="s">
        <v>712</v>
      </c>
      <c r="E19363" s="2" t="str">
        <f>"9783837632729"</f>
        <v>9783837632729</v>
      </c>
      <c r="F19363" s="2" t="str">
        <f>"9783839432723"</f>
        <v>9783839432723</v>
      </c>
    </row>
    <row r="19364" spans="1:6" s="3" customFormat="1" ht="29.1" customHeight="1" x14ac:dyDescent="0.25">
      <c r="A19364" s="2" t="s">
        <v>38052</v>
      </c>
      <c r="B19364" s="2" t="s">
        <v>38053</v>
      </c>
      <c r="C19364" s="2" t="s">
        <v>556</v>
      </c>
      <c r="D19364" s="2" t="s">
        <v>446</v>
      </c>
      <c r="E19364" s="2" t="str">
        <f>"9783837632484"</f>
        <v>9783837632484</v>
      </c>
      <c r="F19364" s="2" t="str">
        <f>"9783839432488"</f>
        <v>9783839432488</v>
      </c>
    </row>
    <row r="19365" spans="1:6" s="3" customFormat="1" ht="29.1" customHeight="1" x14ac:dyDescent="0.25">
      <c r="A19365" s="2" t="s">
        <v>38054</v>
      </c>
      <c r="B19365" s="2" t="s">
        <v>38055</v>
      </c>
      <c r="C19365" s="2" t="s">
        <v>556</v>
      </c>
      <c r="D19365" s="2" t="s">
        <v>183</v>
      </c>
      <c r="E19365" s="2" t="str">
        <f>"9783837632453"</f>
        <v>9783837632453</v>
      </c>
      <c r="F19365" s="2" t="str">
        <f>"9783732832453"</f>
        <v>9783732832453</v>
      </c>
    </row>
    <row r="19366" spans="1:6" s="3" customFormat="1" ht="29.1" customHeight="1" x14ac:dyDescent="0.25">
      <c r="A19366" s="2" t="s">
        <v>38056</v>
      </c>
      <c r="B19366" s="2" t="s">
        <v>38057</v>
      </c>
      <c r="C19366" s="2" t="s">
        <v>556</v>
      </c>
      <c r="D19366" s="2" t="s">
        <v>1262</v>
      </c>
      <c r="E19366" s="2" t="str">
        <f>"9783837632439"</f>
        <v>9783837632439</v>
      </c>
      <c r="F19366" s="2" t="str">
        <f>"9783839432433"</f>
        <v>9783839432433</v>
      </c>
    </row>
    <row r="19367" spans="1:6" s="3" customFormat="1" ht="29.1" customHeight="1" x14ac:dyDescent="0.25">
      <c r="A19367" s="2" t="s">
        <v>38058</v>
      </c>
      <c r="B19367" s="2" t="s">
        <v>38059</v>
      </c>
      <c r="C19367" s="2" t="s">
        <v>556</v>
      </c>
      <c r="D19367" s="2" t="s">
        <v>1411</v>
      </c>
      <c r="E19367" s="2" t="str">
        <f>"9783837632323"</f>
        <v>9783837632323</v>
      </c>
      <c r="F19367" s="2" t="str">
        <f>"9783839432327"</f>
        <v>9783839432327</v>
      </c>
    </row>
    <row r="19368" spans="1:6" s="3" customFormat="1" ht="29.1" customHeight="1" x14ac:dyDescent="0.25">
      <c r="A19368" s="2" t="s">
        <v>25864</v>
      </c>
      <c r="B19368" s="2" t="s">
        <v>38060</v>
      </c>
      <c r="C19368" s="2" t="s">
        <v>556</v>
      </c>
      <c r="D19368" s="2" t="s">
        <v>324</v>
      </c>
      <c r="E19368" s="2" t="str">
        <f>"9783837631494"</f>
        <v>9783837631494</v>
      </c>
      <c r="F19368" s="2" t="str">
        <f>"9783839431498"</f>
        <v>9783839431498</v>
      </c>
    </row>
    <row r="19369" spans="1:6" s="3" customFormat="1" ht="29.1" customHeight="1" x14ac:dyDescent="0.25">
      <c r="A19369" s="2" t="s">
        <v>38061</v>
      </c>
      <c r="B19369" s="2" t="s">
        <v>38062</v>
      </c>
      <c r="C19369" s="2" t="s">
        <v>556</v>
      </c>
      <c r="D19369" s="2" t="s">
        <v>712</v>
      </c>
      <c r="E19369" s="2" t="str">
        <f>"9783837631265"</f>
        <v>9783837631265</v>
      </c>
      <c r="F19369" s="2" t="str">
        <f>"9783732831265"</f>
        <v>9783732831265</v>
      </c>
    </row>
    <row r="19370" spans="1:6" s="3" customFormat="1" ht="29.1" customHeight="1" x14ac:dyDescent="0.25">
      <c r="A19370" s="2" t="s">
        <v>38063</v>
      </c>
      <c r="B19370" s="2" t="s">
        <v>38064</v>
      </c>
      <c r="C19370" s="2" t="s">
        <v>556</v>
      </c>
      <c r="D19370" s="2" t="s">
        <v>1944</v>
      </c>
      <c r="E19370" s="2" t="str">
        <f>"9783837630312"</f>
        <v>9783837630312</v>
      </c>
      <c r="F19370" s="2" t="str">
        <f>"9783839430316"</f>
        <v>9783839430316</v>
      </c>
    </row>
    <row r="19371" spans="1:6" s="3" customFormat="1" ht="29.1" customHeight="1" x14ac:dyDescent="0.25">
      <c r="A19371" s="2" t="s">
        <v>38065</v>
      </c>
      <c r="B19371" s="2" t="s">
        <v>38066</v>
      </c>
      <c r="C19371" s="2" t="s">
        <v>556</v>
      </c>
      <c r="D19371" s="2" t="s">
        <v>712</v>
      </c>
      <c r="E19371" s="2" t="str">
        <f>"9783837630282"</f>
        <v>9783837630282</v>
      </c>
      <c r="F19371" s="2" t="str">
        <f>"9783839430286"</f>
        <v>9783839430286</v>
      </c>
    </row>
    <row r="19372" spans="1:6" s="3" customFormat="1" ht="29.1" customHeight="1" x14ac:dyDescent="0.25">
      <c r="A19372" s="2" t="s">
        <v>38067</v>
      </c>
      <c r="B19372" s="2" t="s">
        <v>38068</v>
      </c>
      <c r="C19372" s="2" t="s">
        <v>556</v>
      </c>
      <c r="D19372" s="2" t="s">
        <v>1124</v>
      </c>
      <c r="E19372" s="2" t="str">
        <f>"9783837630060"</f>
        <v>9783837630060</v>
      </c>
      <c r="F19372" s="2" t="str">
        <f>"9783839430064"</f>
        <v>9783839430064</v>
      </c>
    </row>
    <row r="19373" spans="1:6" s="3" customFormat="1" ht="29.1" customHeight="1" x14ac:dyDescent="0.25">
      <c r="A19373" s="2" t="s">
        <v>38069</v>
      </c>
      <c r="B19373" s="2" t="s">
        <v>38070</v>
      </c>
      <c r="C19373" s="2" t="s">
        <v>556</v>
      </c>
      <c r="D19373" s="2" t="s">
        <v>30582</v>
      </c>
      <c r="E19373" s="2" t="str">
        <f>"9783837630008"</f>
        <v>9783837630008</v>
      </c>
      <c r="F19373" s="2" t="str">
        <f>"9783839430002"</f>
        <v>9783839430002</v>
      </c>
    </row>
    <row r="19374" spans="1:6" s="3" customFormat="1" ht="29.1" customHeight="1" x14ac:dyDescent="0.25">
      <c r="A19374" s="2" t="s">
        <v>38071</v>
      </c>
      <c r="B19374" s="2" t="s">
        <v>38072</v>
      </c>
      <c r="C19374" s="2" t="s">
        <v>556</v>
      </c>
      <c r="D19374" s="2" t="s">
        <v>3345</v>
      </c>
      <c r="E19374" s="2" t="str">
        <f>"9783837629569"</f>
        <v>9783837629569</v>
      </c>
      <c r="F19374" s="2" t="str">
        <f>"9783839429563"</f>
        <v>9783839429563</v>
      </c>
    </row>
    <row r="19375" spans="1:6" s="3" customFormat="1" ht="29.1" customHeight="1" x14ac:dyDescent="0.25">
      <c r="A19375" s="2" t="s">
        <v>38073</v>
      </c>
      <c r="B19375" s="2" t="s">
        <v>38074</v>
      </c>
      <c r="C19375" s="2" t="s">
        <v>556</v>
      </c>
      <c r="D19375" s="2" t="s">
        <v>1046</v>
      </c>
      <c r="E19375" s="2" t="str">
        <f>"9783837628968"</f>
        <v>9783837628968</v>
      </c>
      <c r="F19375" s="2" t="str">
        <f>"9783839428962"</f>
        <v>9783839428962</v>
      </c>
    </row>
    <row r="19376" spans="1:6" s="3" customFormat="1" ht="29.1" customHeight="1" x14ac:dyDescent="0.25">
      <c r="A19376" s="2" t="s">
        <v>38075</v>
      </c>
      <c r="B19376" s="2" t="s">
        <v>38076</v>
      </c>
      <c r="C19376" s="2" t="s">
        <v>556</v>
      </c>
      <c r="D19376" s="2" t="s">
        <v>1209</v>
      </c>
      <c r="E19376" s="2" t="str">
        <f>"9783837628357"</f>
        <v>9783837628357</v>
      </c>
      <c r="F19376" s="2" t="str">
        <f>"9783839428351"</f>
        <v>9783839428351</v>
      </c>
    </row>
    <row r="19377" spans="1:6" s="3" customFormat="1" ht="29.1" customHeight="1" x14ac:dyDescent="0.25">
      <c r="A19377" s="2" t="s">
        <v>38077</v>
      </c>
      <c r="B19377" s="2" t="s">
        <v>38078</v>
      </c>
      <c r="C19377" s="2" t="s">
        <v>556</v>
      </c>
      <c r="D19377" s="2" t="s">
        <v>639</v>
      </c>
      <c r="E19377" s="2" t="str">
        <f>"9783837625332"</f>
        <v>9783837625332</v>
      </c>
      <c r="F19377" s="2" t="str">
        <f>"9783839425336"</f>
        <v>9783839425336</v>
      </c>
    </row>
    <row r="19378" spans="1:6" s="3" customFormat="1" ht="29.1" customHeight="1" x14ac:dyDescent="0.25">
      <c r="A19378" s="2" t="s">
        <v>38079</v>
      </c>
      <c r="B19378" s="2" t="s">
        <v>15966</v>
      </c>
      <c r="C19378" s="2" t="s">
        <v>556</v>
      </c>
      <c r="D19378" s="2" t="s">
        <v>1189</v>
      </c>
      <c r="E19378" s="2" t="str">
        <f>"9783837623673"</f>
        <v>9783837623673</v>
      </c>
      <c r="F19378" s="2" t="str">
        <f>"9783839423677"</f>
        <v>9783839423677</v>
      </c>
    </row>
    <row r="19379" spans="1:6" s="3" customFormat="1" ht="29.1" customHeight="1" x14ac:dyDescent="0.25">
      <c r="A19379" s="2" t="s">
        <v>38080</v>
      </c>
      <c r="B19379" s="2" t="s">
        <v>38081</v>
      </c>
      <c r="C19379" s="2" t="s">
        <v>556</v>
      </c>
      <c r="D19379" s="2" t="s">
        <v>2462</v>
      </c>
      <c r="E19379" s="2" t="str">
        <f>"9783837616798"</f>
        <v>9783837616798</v>
      </c>
      <c r="F19379" s="2" t="str">
        <f>"9783839416792"</f>
        <v>9783839416792</v>
      </c>
    </row>
    <row r="19380" spans="1:6" s="3" customFormat="1" ht="29.1" customHeight="1" x14ac:dyDescent="0.25">
      <c r="A19380" s="2" t="s">
        <v>38082</v>
      </c>
      <c r="B19380" s="2" t="s">
        <v>38083</v>
      </c>
      <c r="C19380" s="2" t="s">
        <v>556</v>
      </c>
      <c r="D19380" s="2" t="s">
        <v>8642</v>
      </c>
      <c r="E19380" s="2" t="str">
        <f>"9783837616040"</f>
        <v>9783837616040</v>
      </c>
      <c r="F19380" s="2" t="str">
        <f>"9783839416044"</f>
        <v>9783839416044</v>
      </c>
    </row>
    <row r="19381" spans="1:6" s="3" customFormat="1" ht="29.1" customHeight="1" x14ac:dyDescent="0.25">
      <c r="A19381" s="2" t="s">
        <v>38084</v>
      </c>
      <c r="B19381" s="2" t="s">
        <v>38085</v>
      </c>
      <c r="C19381" s="2" t="s">
        <v>556</v>
      </c>
      <c r="D19381" s="2" t="s">
        <v>183</v>
      </c>
      <c r="E19381" s="2" t="str">
        <f>"9783837615753"</f>
        <v>9783837615753</v>
      </c>
      <c r="F19381" s="2" t="str">
        <f>"9783839415757"</f>
        <v>9783839415757</v>
      </c>
    </row>
    <row r="19382" spans="1:6" s="3" customFormat="1" ht="29.1" customHeight="1" x14ac:dyDescent="0.25">
      <c r="A19382" s="2" t="s">
        <v>38086</v>
      </c>
      <c r="B19382" s="2" t="s">
        <v>38087</v>
      </c>
      <c r="C19382" s="2" t="s">
        <v>556</v>
      </c>
      <c r="D19382" s="2" t="s">
        <v>1155</v>
      </c>
      <c r="E19382" s="2" t="str">
        <f>"9783837615227"</f>
        <v>9783837615227</v>
      </c>
      <c r="F19382" s="2" t="str">
        <f>"9783839415221"</f>
        <v>9783839415221</v>
      </c>
    </row>
    <row r="19383" spans="1:6" s="3" customFormat="1" ht="29.1" customHeight="1" x14ac:dyDescent="0.25">
      <c r="A19383" s="2" t="s">
        <v>38088</v>
      </c>
      <c r="B19383" s="2" t="s">
        <v>38089</v>
      </c>
      <c r="C19383" s="2" t="s">
        <v>556</v>
      </c>
      <c r="D19383" s="2" t="s">
        <v>72</v>
      </c>
      <c r="E19383" s="2" t="str">
        <f>"9783837615043"</f>
        <v>9783837615043</v>
      </c>
      <c r="F19383" s="2" t="str">
        <f>"9783839415047"</f>
        <v>9783839415047</v>
      </c>
    </row>
    <row r="19384" spans="1:6" s="3" customFormat="1" ht="29.1" customHeight="1" x14ac:dyDescent="0.25">
      <c r="A19384" s="2" t="s">
        <v>38090</v>
      </c>
      <c r="B19384" s="2" t="s">
        <v>38091</v>
      </c>
      <c r="C19384" s="2" t="s">
        <v>556</v>
      </c>
      <c r="D19384" s="2" t="s">
        <v>1411</v>
      </c>
      <c r="E19384" s="2" t="str">
        <f>"9783837614411"</f>
        <v>9783837614411</v>
      </c>
      <c r="F19384" s="2" t="str">
        <f>"9783839414415"</f>
        <v>9783839414415</v>
      </c>
    </row>
    <row r="19385" spans="1:6" s="3" customFormat="1" ht="29.1" customHeight="1" x14ac:dyDescent="0.25">
      <c r="A19385" s="2" t="s">
        <v>38092</v>
      </c>
      <c r="B19385" s="2" t="s">
        <v>38093</v>
      </c>
      <c r="C19385" s="2" t="s">
        <v>556</v>
      </c>
      <c r="D19385" s="2" t="s">
        <v>183</v>
      </c>
      <c r="E19385" s="2" t="str">
        <f>"9783837614381"</f>
        <v>9783837614381</v>
      </c>
      <c r="F19385" s="2" t="str">
        <f>"9783839414385"</f>
        <v>9783839414385</v>
      </c>
    </row>
    <row r="19386" spans="1:6" s="3" customFormat="1" ht="29.1" customHeight="1" x14ac:dyDescent="0.25">
      <c r="A19386" s="2" t="s">
        <v>38094</v>
      </c>
      <c r="B19386" s="2" t="s">
        <v>38095</v>
      </c>
      <c r="C19386" s="2" t="s">
        <v>556</v>
      </c>
      <c r="D19386" s="2" t="s">
        <v>1162</v>
      </c>
      <c r="E19386" s="2" t="str">
        <f>"9783837614350"</f>
        <v>9783837614350</v>
      </c>
      <c r="F19386" s="2" t="str">
        <f>"9783839414354"</f>
        <v>9783839414354</v>
      </c>
    </row>
    <row r="19387" spans="1:6" s="3" customFormat="1" ht="29.1" customHeight="1" x14ac:dyDescent="0.25">
      <c r="A19387" s="2" t="s">
        <v>38096</v>
      </c>
      <c r="B19387" s="2" t="s">
        <v>38097</v>
      </c>
      <c r="C19387" s="2" t="s">
        <v>556</v>
      </c>
      <c r="D19387" s="2" t="s">
        <v>509</v>
      </c>
      <c r="E19387" s="2" t="str">
        <f>"9783837614220"</f>
        <v>9783837614220</v>
      </c>
      <c r="F19387" s="2" t="str">
        <f>"9783839414224"</f>
        <v>9783839414224</v>
      </c>
    </row>
    <row r="19388" spans="1:6" s="3" customFormat="1" ht="29.1" customHeight="1" x14ac:dyDescent="0.25">
      <c r="A19388" s="2" t="s">
        <v>38098</v>
      </c>
      <c r="B19388" s="2" t="s">
        <v>38099</v>
      </c>
      <c r="C19388" s="2" t="s">
        <v>556</v>
      </c>
      <c r="D19388" s="2" t="s">
        <v>501</v>
      </c>
      <c r="E19388" s="2" t="str">
        <f>"9783837614206"</f>
        <v>9783837614206</v>
      </c>
      <c r="F19388" s="2" t="str">
        <f>"9783839414200"</f>
        <v>9783839414200</v>
      </c>
    </row>
    <row r="19389" spans="1:6" s="3" customFormat="1" ht="29.1" customHeight="1" x14ac:dyDescent="0.25">
      <c r="A19389" s="2" t="s">
        <v>38100</v>
      </c>
      <c r="B19389" s="2" t="s">
        <v>38101</v>
      </c>
      <c r="C19389" s="2" t="s">
        <v>556</v>
      </c>
      <c r="D19389" s="2" t="s">
        <v>5719</v>
      </c>
      <c r="E19389" s="2" t="str">
        <f>"9783837614121"</f>
        <v>9783837614121</v>
      </c>
      <c r="F19389" s="2" t="str">
        <f>"9783839414125"</f>
        <v>9783839414125</v>
      </c>
    </row>
    <row r="19390" spans="1:6" s="3" customFormat="1" ht="29.1" customHeight="1" x14ac:dyDescent="0.25">
      <c r="A19390" s="2" t="s">
        <v>38102</v>
      </c>
      <c r="B19390" s="2" t="s">
        <v>38103</v>
      </c>
      <c r="C19390" s="2" t="s">
        <v>556</v>
      </c>
      <c r="D19390" s="2" t="s">
        <v>259</v>
      </c>
      <c r="E19390" s="2" t="str">
        <f>"9783837613933"</f>
        <v>9783837613933</v>
      </c>
      <c r="F19390" s="2" t="str">
        <f>"9783839413937"</f>
        <v>9783839413937</v>
      </c>
    </row>
    <row r="19391" spans="1:6" s="3" customFormat="1" ht="29.1" customHeight="1" x14ac:dyDescent="0.25">
      <c r="A19391" s="2" t="s">
        <v>38104</v>
      </c>
      <c r="B19391" s="2" t="s">
        <v>38105</v>
      </c>
      <c r="C19391" s="2" t="s">
        <v>556</v>
      </c>
      <c r="D19391" s="2" t="s">
        <v>183</v>
      </c>
      <c r="E19391" s="2" t="str">
        <f>"9783837613780"</f>
        <v>9783837613780</v>
      </c>
      <c r="F19391" s="2" t="str">
        <f>"9783839413784"</f>
        <v>9783839413784</v>
      </c>
    </row>
    <row r="19392" spans="1:6" s="3" customFormat="1" ht="29.1" customHeight="1" x14ac:dyDescent="0.25">
      <c r="A19392" s="2" t="s">
        <v>38106</v>
      </c>
      <c r="B19392" s="2" t="s">
        <v>38107</v>
      </c>
      <c r="C19392" s="2" t="s">
        <v>556</v>
      </c>
      <c r="D19392" s="2" t="s">
        <v>1189</v>
      </c>
      <c r="E19392" s="2" t="str">
        <f>"9783837613742"</f>
        <v>9783837613742</v>
      </c>
      <c r="F19392" s="2" t="str">
        <f>"9783839413746"</f>
        <v>9783839413746</v>
      </c>
    </row>
    <row r="19393" spans="1:6" s="3" customFormat="1" ht="29.1" customHeight="1" x14ac:dyDescent="0.25">
      <c r="A19393" s="2" t="s">
        <v>38108</v>
      </c>
      <c r="B19393" s="2" t="s">
        <v>33138</v>
      </c>
      <c r="C19393" s="2" t="s">
        <v>556</v>
      </c>
      <c r="D19393" s="2" t="s">
        <v>75</v>
      </c>
      <c r="E19393" s="2" t="str">
        <f>"9783837613292"</f>
        <v>9783837613292</v>
      </c>
      <c r="F19393" s="2" t="str">
        <f>"9783839413296"</f>
        <v>9783839413296</v>
      </c>
    </row>
    <row r="19394" spans="1:6" s="3" customFormat="1" ht="29.1" customHeight="1" x14ac:dyDescent="0.25">
      <c r="A19394" s="2" t="s">
        <v>38109</v>
      </c>
      <c r="B19394" s="2" t="s">
        <v>38110</v>
      </c>
      <c r="C19394" s="2" t="s">
        <v>556</v>
      </c>
      <c r="D19394" s="2" t="s">
        <v>501</v>
      </c>
      <c r="E19394" s="2" t="str">
        <f>"9783837613100"</f>
        <v>9783837613100</v>
      </c>
      <c r="F19394" s="2" t="str">
        <f>"9783839413104"</f>
        <v>9783839413104</v>
      </c>
    </row>
    <row r="19395" spans="1:6" s="3" customFormat="1" ht="29.1" customHeight="1" x14ac:dyDescent="0.25">
      <c r="A19395" s="2" t="s">
        <v>38111</v>
      </c>
      <c r="B19395" s="2" t="s">
        <v>38112</v>
      </c>
      <c r="C19395" s="2" t="s">
        <v>556</v>
      </c>
      <c r="D19395" s="2" t="s">
        <v>324</v>
      </c>
      <c r="E19395" s="2" t="str">
        <f>"9783837612882"</f>
        <v>9783837612882</v>
      </c>
      <c r="F19395" s="2" t="str">
        <f>"9783839412886"</f>
        <v>9783839412886</v>
      </c>
    </row>
    <row r="19396" spans="1:6" s="3" customFormat="1" ht="29.1" customHeight="1" x14ac:dyDescent="0.25">
      <c r="A19396" s="2" t="s">
        <v>38113</v>
      </c>
      <c r="B19396" s="2" t="s">
        <v>38114</v>
      </c>
      <c r="C19396" s="2" t="s">
        <v>556</v>
      </c>
      <c r="D19396" s="2" t="s">
        <v>2462</v>
      </c>
      <c r="E19396" s="2" t="str">
        <f>"9783837612417"</f>
        <v>9783837612417</v>
      </c>
      <c r="F19396" s="2" t="str">
        <f>"9783839412411"</f>
        <v>9783839412411</v>
      </c>
    </row>
    <row r="19397" spans="1:6" s="3" customFormat="1" ht="29.1" customHeight="1" x14ac:dyDescent="0.25">
      <c r="A19397" s="2" t="s">
        <v>38115</v>
      </c>
      <c r="B19397" s="2" t="s">
        <v>38116</v>
      </c>
      <c r="C19397" s="2" t="s">
        <v>556</v>
      </c>
      <c r="D19397" s="2" t="s">
        <v>183</v>
      </c>
      <c r="E19397" s="2" t="str">
        <f>"9783837612318"</f>
        <v>9783837612318</v>
      </c>
      <c r="F19397" s="2" t="str">
        <f>"9783839412312"</f>
        <v>9783839412312</v>
      </c>
    </row>
    <row r="19398" spans="1:6" s="3" customFormat="1" ht="29.1" customHeight="1" x14ac:dyDescent="0.25">
      <c r="A19398" s="2" t="s">
        <v>38117</v>
      </c>
      <c r="B19398" s="2" t="s">
        <v>38118</v>
      </c>
      <c r="C19398" s="2" t="s">
        <v>556</v>
      </c>
      <c r="D19398" s="2" t="s">
        <v>1162</v>
      </c>
      <c r="E19398" s="2" t="str">
        <f>"9783837612295"</f>
        <v>9783837612295</v>
      </c>
      <c r="F19398" s="2" t="str">
        <f>"9783839412299"</f>
        <v>9783839412299</v>
      </c>
    </row>
    <row r="19399" spans="1:6" s="3" customFormat="1" ht="29.1" customHeight="1" x14ac:dyDescent="0.25">
      <c r="A19399" s="2" t="s">
        <v>38119</v>
      </c>
      <c r="B19399" s="2" t="s">
        <v>38118</v>
      </c>
      <c r="C19399" s="2" t="s">
        <v>556</v>
      </c>
      <c r="D19399" s="2" t="s">
        <v>484</v>
      </c>
      <c r="E19399" s="2" t="str">
        <f>"9783837612288"</f>
        <v>9783837612288</v>
      </c>
      <c r="F19399" s="2" t="str">
        <f>"9783839412282"</f>
        <v>9783839412282</v>
      </c>
    </row>
    <row r="19400" spans="1:6" s="3" customFormat="1" ht="29.1" customHeight="1" x14ac:dyDescent="0.25">
      <c r="A19400" s="2" t="s">
        <v>38120</v>
      </c>
      <c r="B19400" s="2" t="s">
        <v>36634</v>
      </c>
      <c r="C19400" s="2" t="s">
        <v>556</v>
      </c>
      <c r="D19400" s="2" t="s">
        <v>501</v>
      </c>
      <c r="E19400" s="2" t="str">
        <f>"9783837610772"</f>
        <v>9783837610772</v>
      </c>
      <c r="F19400" s="2" t="str">
        <f>"9783839410776"</f>
        <v>9783839410776</v>
      </c>
    </row>
    <row r="19401" spans="1:6" s="3" customFormat="1" ht="29.1" customHeight="1" x14ac:dyDescent="0.25">
      <c r="A19401" s="2" t="s">
        <v>38121</v>
      </c>
      <c r="B19401" s="2" t="s">
        <v>38122</v>
      </c>
      <c r="C19401" s="2" t="s">
        <v>556</v>
      </c>
      <c r="D19401" s="2" t="s">
        <v>501</v>
      </c>
      <c r="E19401" s="2" t="str">
        <f>"9783837610673"</f>
        <v>9783837610673</v>
      </c>
      <c r="F19401" s="2" t="str">
        <f>"9783839410677"</f>
        <v>9783839410677</v>
      </c>
    </row>
    <row r="19402" spans="1:6" s="3" customFormat="1" ht="29.1" customHeight="1" x14ac:dyDescent="0.25">
      <c r="A19402" s="2" t="s">
        <v>38123</v>
      </c>
      <c r="B19402" s="2" t="s">
        <v>38124</v>
      </c>
      <c r="C19402" s="2" t="s">
        <v>556</v>
      </c>
      <c r="D19402" s="2" t="s">
        <v>1228</v>
      </c>
      <c r="E19402" s="2" t="str">
        <f>"9783837610383"</f>
        <v>9783837610383</v>
      </c>
      <c r="F19402" s="2" t="str">
        <f>"9783839410387"</f>
        <v>9783839410387</v>
      </c>
    </row>
    <row r="19403" spans="1:6" s="3" customFormat="1" ht="29.1" customHeight="1" x14ac:dyDescent="0.25">
      <c r="A19403" s="2" t="s">
        <v>38125</v>
      </c>
      <c r="B19403" s="2" t="s">
        <v>38126</v>
      </c>
      <c r="C19403" s="2" t="s">
        <v>556</v>
      </c>
      <c r="D19403" s="2" t="s">
        <v>501</v>
      </c>
      <c r="E19403" s="2" t="str">
        <f>"9783837610123"</f>
        <v>9783837610123</v>
      </c>
      <c r="F19403" s="2" t="str">
        <f>"9783839410127"</f>
        <v>9783839410127</v>
      </c>
    </row>
    <row r="19404" spans="1:6" s="3" customFormat="1" ht="29.1" customHeight="1" x14ac:dyDescent="0.25">
      <c r="A19404" s="2" t="s">
        <v>38127</v>
      </c>
      <c r="B19404" s="2" t="s">
        <v>38128</v>
      </c>
      <c r="C19404" s="2" t="s">
        <v>124</v>
      </c>
      <c r="D19404" s="2" t="s">
        <v>1861</v>
      </c>
      <c r="E19404" s="2" t="str">
        <f>"9780367770440"</f>
        <v>9780367770440</v>
      </c>
      <c r="F19404" s="2" t="str">
        <f>"9781315454917"</f>
        <v>9781315454917</v>
      </c>
    </row>
    <row r="19405" spans="1:6" s="3" customFormat="1" ht="29.1" customHeight="1" x14ac:dyDescent="0.25">
      <c r="A19405" s="2" t="s">
        <v>38129</v>
      </c>
      <c r="B19405" s="2" t="s">
        <v>38130</v>
      </c>
      <c r="C19405" s="2" t="s">
        <v>195</v>
      </c>
      <c r="D19405" s="2" t="s">
        <v>2045</v>
      </c>
      <c r="E19405" s="2" t="str">
        <f>"9783110613438"</f>
        <v>9783110613438</v>
      </c>
      <c r="F19405" s="2" t="str">
        <f>"9783110613445"</f>
        <v>9783110613445</v>
      </c>
    </row>
    <row r="19406" spans="1:6" s="3" customFormat="1" ht="29.1" customHeight="1" x14ac:dyDescent="0.25">
      <c r="A19406" s="2" t="s">
        <v>38131</v>
      </c>
      <c r="B19406" s="2" t="s">
        <v>38132</v>
      </c>
      <c r="C19406" s="2" t="s">
        <v>595</v>
      </c>
      <c r="D19406" s="2" t="s">
        <v>210</v>
      </c>
      <c r="E19406" s="2" t="str">
        <f>"9783631831281"</f>
        <v>9783631831281</v>
      </c>
      <c r="F19406" s="2" t="str">
        <f>"9783631845479"</f>
        <v>9783631845479</v>
      </c>
    </row>
    <row r="19407" spans="1:6" s="3" customFormat="1" ht="29.1" customHeight="1" x14ac:dyDescent="0.25">
      <c r="A19407" s="2" t="s">
        <v>38133</v>
      </c>
      <c r="B19407" s="2" t="s">
        <v>38134</v>
      </c>
      <c r="C19407" s="2" t="s">
        <v>55</v>
      </c>
      <c r="D19407" s="2" t="s">
        <v>1240</v>
      </c>
      <c r="E19407" s="2"/>
      <c r="F19407" s="2" t="str">
        <f>"9781526137326"</f>
        <v>9781526137326</v>
      </c>
    </row>
    <row r="19408" spans="1:6" s="3" customFormat="1" ht="29.1" customHeight="1" x14ac:dyDescent="0.25">
      <c r="A19408" s="2" t="s">
        <v>38135</v>
      </c>
      <c r="B19408" s="2" t="s">
        <v>38136</v>
      </c>
      <c r="C19408" s="2" t="s">
        <v>55</v>
      </c>
      <c r="D19408" s="2" t="s">
        <v>1062</v>
      </c>
      <c r="E19408" s="2" t="str">
        <f>"9780719096822"</f>
        <v>9780719096822</v>
      </c>
      <c r="F19408" s="2" t="str">
        <f>"9781526143426"</f>
        <v>9781526143426</v>
      </c>
    </row>
    <row r="19409" spans="1:6" s="3" customFormat="1" ht="29.1" customHeight="1" x14ac:dyDescent="0.25">
      <c r="A19409" s="2" t="s">
        <v>38137</v>
      </c>
      <c r="B19409" s="2" t="s">
        <v>38138</v>
      </c>
      <c r="C19409" s="2" t="s">
        <v>55</v>
      </c>
      <c r="D19409" s="2" t="s">
        <v>1183</v>
      </c>
      <c r="E19409" s="2"/>
      <c r="F19409" s="2" t="str">
        <f>"9781526137982"</f>
        <v>9781526137982</v>
      </c>
    </row>
    <row r="19410" spans="1:6" s="3" customFormat="1" ht="29.1" customHeight="1" x14ac:dyDescent="0.25">
      <c r="A19410" s="2" t="s">
        <v>38139</v>
      </c>
      <c r="B19410" s="2" t="s">
        <v>38140</v>
      </c>
      <c r="C19410" s="2" t="s">
        <v>55</v>
      </c>
      <c r="D19410" s="2" t="s">
        <v>270</v>
      </c>
      <c r="E19410" s="2"/>
      <c r="F19410" s="2" t="str">
        <f>"9781526120687"</f>
        <v>9781526120687</v>
      </c>
    </row>
    <row r="19411" spans="1:6" s="3" customFormat="1" ht="29.1" customHeight="1" x14ac:dyDescent="0.25">
      <c r="A19411" s="2" t="s">
        <v>38141</v>
      </c>
      <c r="B19411" s="2" t="s">
        <v>38142</v>
      </c>
      <c r="C19411" s="2" t="s">
        <v>55</v>
      </c>
      <c r="D19411" s="2" t="s">
        <v>1565</v>
      </c>
      <c r="E19411" s="2"/>
      <c r="F19411" s="2" t="str">
        <f>"9781526137425"</f>
        <v>9781526137425</v>
      </c>
    </row>
    <row r="19412" spans="1:6" s="3" customFormat="1" ht="29.1" customHeight="1" x14ac:dyDescent="0.25">
      <c r="A19412" s="2" t="s">
        <v>38143</v>
      </c>
      <c r="B19412" s="2" t="s">
        <v>38144</v>
      </c>
      <c r="C19412" s="2" t="s">
        <v>55</v>
      </c>
      <c r="D19412" s="2" t="s">
        <v>33</v>
      </c>
      <c r="E19412" s="2"/>
      <c r="F19412" s="2" t="str">
        <f>"9781526137227"</f>
        <v>9781526137227</v>
      </c>
    </row>
    <row r="19413" spans="1:6" s="3" customFormat="1" ht="29.1" customHeight="1" x14ac:dyDescent="0.25">
      <c r="A19413" s="2" t="s">
        <v>38145</v>
      </c>
      <c r="B19413" s="2" t="s">
        <v>38146</v>
      </c>
      <c r="C19413" s="2" t="s">
        <v>55</v>
      </c>
      <c r="D19413" s="2" t="s">
        <v>270</v>
      </c>
      <c r="E19413" s="2"/>
      <c r="F19413" s="2" t="str">
        <f>"9781526137692"</f>
        <v>9781526137692</v>
      </c>
    </row>
    <row r="19414" spans="1:6" s="3" customFormat="1" ht="29.1" customHeight="1" x14ac:dyDescent="0.25">
      <c r="A19414" s="2" t="s">
        <v>38147</v>
      </c>
      <c r="B19414" s="2" t="s">
        <v>38148</v>
      </c>
      <c r="C19414" s="2" t="s">
        <v>55</v>
      </c>
      <c r="D19414" s="2" t="s">
        <v>6669</v>
      </c>
      <c r="E19414" s="2" t="str">
        <f>"9780719064777"</f>
        <v>9780719064777</v>
      </c>
      <c r="F19414" s="2" t="str">
        <f>"9781526137241"</f>
        <v>9781526137241</v>
      </c>
    </row>
    <row r="19415" spans="1:6" s="3" customFormat="1" ht="29.1" customHeight="1" x14ac:dyDescent="0.25">
      <c r="A19415" s="2" t="s">
        <v>38149</v>
      </c>
      <c r="B19415" s="2" t="s">
        <v>38150</v>
      </c>
      <c r="C19415" s="2" t="s">
        <v>55</v>
      </c>
      <c r="D19415" s="2" t="s">
        <v>3033</v>
      </c>
      <c r="E19415" s="2" t="str">
        <f>"9780719060717"</f>
        <v>9780719060717</v>
      </c>
      <c r="F19415" s="2" t="str">
        <f>"9781526137210"</f>
        <v>9781526137210</v>
      </c>
    </row>
    <row r="19416" spans="1:6" s="3" customFormat="1" ht="29.1" customHeight="1" x14ac:dyDescent="0.25">
      <c r="A19416" s="2" t="s">
        <v>38151</v>
      </c>
      <c r="B19416" s="2" t="s">
        <v>38152</v>
      </c>
      <c r="C19416" s="2" t="s">
        <v>55</v>
      </c>
      <c r="D19416" s="2" t="s">
        <v>270</v>
      </c>
      <c r="E19416" s="2"/>
      <c r="F19416" s="2" t="str">
        <f>"9781526137302"</f>
        <v>9781526137302</v>
      </c>
    </row>
    <row r="19417" spans="1:6" s="3" customFormat="1" ht="29.1" customHeight="1" x14ac:dyDescent="0.25">
      <c r="A19417" s="2" t="s">
        <v>38153</v>
      </c>
      <c r="B19417" s="2" t="s">
        <v>38154</v>
      </c>
      <c r="C19417" s="2" t="s">
        <v>55</v>
      </c>
      <c r="D19417" s="2" t="s">
        <v>189</v>
      </c>
      <c r="E19417" s="2" t="str">
        <f>"9780719059803"</f>
        <v>9780719059803</v>
      </c>
      <c r="F19417" s="2" t="str">
        <f>"9781526137784"</f>
        <v>9781526137784</v>
      </c>
    </row>
    <row r="19418" spans="1:6" s="3" customFormat="1" ht="29.1" customHeight="1" x14ac:dyDescent="0.25">
      <c r="A19418" s="2" t="s">
        <v>38155</v>
      </c>
      <c r="B19418" s="2" t="s">
        <v>38156</v>
      </c>
      <c r="C19418" s="2" t="s">
        <v>55</v>
      </c>
      <c r="D19418" s="2" t="s">
        <v>210</v>
      </c>
      <c r="E19418" s="2"/>
      <c r="F19418" s="2" t="str">
        <f>"9781526137197"</f>
        <v>9781526137197</v>
      </c>
    </row>
    <row r="19419" spans="1:6" s="3" customFormat="1" ht="29.1" customHeight="1" x14ac:dyDescent="0.25">
      <c r="A19419" s="2" t="s">
        <v>38157</v>
      </c>
      <c r="B19419" s="2" t="s">
        <v>38158</v>
      </c>
      <c r="C19419" s="2" t="s">
        <v>55</v>
      </c>
      <c r="D19419" s="2" t="s">
        <v>791</v>
      </c>
      <c r="E19419" s="2"/>
      <c r="F19419" s="2" t="str">
        <f>"9781526137432"</f>
        <v>9781526137432</v>
      </c>
    </row>
    <row r="19420" spans="1:6" s="3" customFormat="1" ht="29.1" customHeight="1" x14ac:dyDescent="0.25">
      <c r="A19420" s="2" t="s">
        <v>38159</v>
      </c>
      <c r="B19420" s="2" t="s">
        <v>38160</v>
      </c>
      <c r="C19420" s="2" t="s">
        <v>55</v>
      </c>
      <c r="D19420" s="2" t="s">
        <v>6103</v>
      </c>
      <c r="E19420" s="2"/>
      <c r="F19420" s="2" t="str">
        <f>"9781526137753"</f>
        <v>9781526137753</v>
      </c>
    </row>
    <row r="19421" spans="1:6" s="3" customFormat="1" ht="29.1" customHeight="1" x14ac:dyDescent="0.25">
      <c r="A19421" s="2" t="s">
        <v>38161</v>
      </c>
      <c r="B19421" s="2" t="s">
        <v>38162</v>
      </c>
      <c r="C19421" s="2" t="s">
        <v>55</v>
      </c>
      <c r="D19421" s="2" t="s">
        <v>6669</v>
      </c>
      <c r="E19421" s="2"/>
      <c r="F19421" s="2" t="str">
        <f>"9781526137807"</f>
        <v>9781526137807</v>
      </c>
    </row>
    <row r="19422" spans="1:6" s="3" customFormat="1" ht="29.1" customHeight="1" x14ac:dyDescent="0.25">
      <c r="A19422" s="2" t="s">
        <v>38163</v>
      </c>
      <c r="B19422" s="2" t="s">
        <v>38164</v>
      </c>
      <c r="C19422" s="2" t="s">
        <v>55</v>
      </c>
      <c r="D19422" s="2" t="s">
        <v>8642</v>
      </c>
      <c r="E19422" s="2"/>
      <c r="F19422" s="2" t="str">
        <f>"9781526137623"</f>
        <v>9781526137623</v>
      </c>
    </row>
    <row r="19423" spans="1:6" s="3" customFormat="1" ht="29.1" customHeight="1" x14ac:dyDescent="0.25">
      <c r="A19423" s="2" t="s">
        <v>38165</v>
      </c>
      <c r="B19423" s="2" t="s">
        <v>38166</v>
      </c>
      <c r="C19423" s="2" t="s">
        <v>55</v>
      </c>
      <c r="D19423" s="2" t="s">
        <v>270</v>
      </c>
      <c r="E19423" s="2"/>
      <c r="F19423" s="2" t="str">
        <f>"9781526137517"</f>
        <v>9781526137517</v>
      </c>
    </row>
    <row r="19424" spans="1:6" s="3" customFormat="1" ht="29.1" customHeight="1" x14ac:dyDescent="0.25">
      <c r="A19424" s="2" t="s">
        <v>38167</v>
      </c>
      <c r="B19424" s="2" t="s">
        <v>38168</v>
      </c>
      <c r="C19424" s="2" t="s">
        <v>55</v>
      </c>
      <c r="D19424" s="2" t="s">
        <v>7132</v>
      </c>
      <c r="E19424" s="2"/>
      <c r="F19424" s="2" t="str">
        <f>"9781526137333"</f>
        <v>9781526137333</v>
      </c>
    </row>
    <row r="19425" spans="1:6" s="3" customFormat="1" ht="29.1" customHeight="1" x14ac:dyDescent="0.25">
      <c r="A19425" s="2" t="s">
        <v>38169</v>
      </c>
      <c r="B19425" s="2" t="s">
        <v>38170</v>
      </c>
      <c r="C19425" s="2" t="s">
        <v>55</v>
      </c>
      <c r="D19425" s="2" t="s">
        <v>1895</v>
      </c>
      <c r="E19425" s="2" t="str">
        <f>"9780719067495"</f>
        <v>9780719067495</v>
      </c>
      <c r="F19425" s="2" t="str">
        <f>"9781526137906"</f>
        <v>9781526137906</v>
      </c>
    </row>
    <row r="19426" spans="1:6" s="3" customFormat="1" ht="29.1" customHeight="1" x14ac:dyDescent="0.25">
      <c r="A19426" s="2" t="s">
        <v>38171</v>
      </c>
      <c r="B19426" s="2" t="s">
        <v>38172</v>
      </c>
      <c r="C19426" s="2" t="s">
        <v>55</v>
      </c>
      <c r="D19426" s="2" t="s">
        <v>1578</v>
      </c>
      <c r="E19426" s="2" t="str">
        <f>"9780719064661"</f>
        <v>9780719064661</v>
      </c>
      <c r="F19426" s="2" t="str">
        <f>"9781526137258"</f>
        <v>9781526137258</v>
      </c>
    </row>
    <row r="19427" spans="1:6" s="3" customFormat="1" ht="29.1" customHeight="1" x14ac:dyDescent="0.25">
      <c r="A19427" s="2" t="s">
        <v>38173</v>
      </c>
      <c r="B19427" s="2" t="s">
        <v>38174</v>
      </c>
      <c r="C19427" s="2" t="s">
        <v>55</v>
      </c>
      <c r="D19427" s="2" t="s">
        <v>509</v>
      </c>
      <c r="E19427" s="2"/>
      <c r="F19427" s="2" t="str">
        <f>"9781526120663"</f>
        <v>9781526120663</v>
      </c>
    </row>
    <row r="19428" spans="1:6" s="3" customFormat="1" ht="29.1" customHeight="1" x14ac:dyDescent="0.25">
      <c r="A19428" s="2" t="s">
        <v>38175</v>
      </c>
      <c r="B19428" s="2" t="s">
        <v>38176</v>
      </c>
      <c r="C19428" s="2" t="s">
        <v>55</v>
      </c>
      <c r="D19428" s="2" t="s">
        <v>1104</v>
      </c>
      <c r="E19428" s="2"/>
      <c r="F19428" s="2" t="str">
        <f>"9781526137579"</f>
        <v>9781526137579</v>
      </c>
    </row>
    <row r="19429" spans="1:6" s="3" customFormat="1" ht="29.1" customHeight="1" x14ac:dyDescent="0.25">
      <c r="A19429" s="2" t="s">
        <v>38177</v>
      </c>
      <c r="B19429" s="2" t="s">
        <v>38178</v>
      </c>
      <c r="C19429" s="2" t="s">
        <v>55</v>
      </c>
      <c r="D19429" s="2" t="s">
        <v>4238</v>
      </c>
      <c r="E19429" s="2"/>
      <c r="F19429" s="2" t="str">
        <f>"9781526120762"</f>
        <v>9781526120762</v>
      </c>
    </row>
    <row r="19430" spans="1:6" s="3" customFormat="1" ht="29.1" customHeight="1" x14ac:dyDescent="0.25">
      <c r="A19430" s="2" t="s">
        <v>38179</v>
      </c>
      <c r="B19430" s="2" t="s">
        <v>38180</v>
      </c>
      <c r="C19430" s="2" t="s">
        <v>55</v>
      </c>
      <c r="D19430" s="2" t="s">
        <v>906</v>
      </c>
      <c r="E19430" s="2" t="str">
        <f>"9780719064418"</f>
        <v>9780719064418</v>
      </c>
      <c r="F19430" s="2" t="str">
        <f>"9781526137814"</f>
        <v>9781526137814</v>
      </c>
    </row>
    <row r="19431" spans="1:6" s="3" customFormat="1" ht="29.1" customHeight="1" x14ac:dyDescent="0.25">
      <c r="A19431" s="2" t="s">
        <v>38181</v>
      </c>
      <c r="B19431" s="2" t="s">
        <v>38182</v>
      </c>
      <c r="C19431" s="2" t="s">
        <v>55</v>
      </c>
      <c r="D19431" s="2" t="s">
        <v>3172</v>
      </c>
      <c r="E19431" s="2"/>
      <c r="F19431" s="2" t="str">
        <f>"9781526137777"</f>
        <v>9781526137777</v>
      </c>
    </row>
    <row r="19432" spans="1:6" s="3" customFormat="1" ht="29.1" customHeight="1" x14ac:dyDescent="0.25">
      <c r="A19432" s="2" t="s">
        <v>38183</v>
      </c>
      <c r="B19432" s="2" t="s">
        <v>38184</v>
      </c>
      <c r="C19432" s="2" t="s">
        <v>55</v>
      </c>
      <c r="D19432" s="2" t="s">
        <v>501</v>
      </c>
      <c r="E19432" s="2"/>
      <c r="F19432" s="2" t="str">
        <f>"9781526137760"</f>
        <v>9781526137760</v>
      </c>
    </row>
    <row r="19433" spans="1:6" s="3" customFormat="1" ht="29.1" customHeight="1" x14ac:dyDescent="0.25">
      <c r="A19433" s="2" t="s">
        <v>38185</v>
      </c>
      <c r="B19433" s="2" t="s">
        <v>38186</v>
      </c>
      <c r="C19433" s="2" t="s">
        <v>55</v>
      </c>
      <c r="D19433" s="2" t="s">
        <v>1578</v>
      </c>
      <c r="E19433" s="2"/>
      <c r="F19433" s="2" t="str">
        <f>"9781526137739"</f>
        <v>9781526137739</v>
      </c>
    </row>
    <row r="19434" spans="1:6" s="3" customFormat="1" ht="29.1" customHeight="1" x14ac:dyDescent="0.25">
      <c r="A19434" s="2" t="s">
        <v>38187</v>
      </c>
      <c r="B19434" s="2" t="s">
        <v>38188</v>
      </c>
      <c r="C19434" s="2" t="s">
        <v>55</v>
      </c>
      <c r="D19434" s="2" t="s">
        <v>270</v>
      </c>
      <c r="E19434" s="2"/>
      <c r="F19434" s="2" t="str">
        <f>"9781526137470"</f>
        <v>9781526137470</v>
      </c>
    </row>
    <row r="19435" spans="1:6" s="3" customFormat="1" ht="29.1" customHeight="1" x14ac:dyDescent="0.25">
      <c r="A19435" s="2" t="s">
        <v>38189</v>
      </c>
      <c r="B19435" s="2" t="s">
        <v>38190</v>
      </c>
      <c r="C19435" s="2" t="s">
        <v>55</v>
      </c>
      <c r="D19435" s="2" t="s">
        <v>4172</v>
      </c>
      <c r="E19435" s="2" t="str">
        <f>"9780719080739"</f>
        <v>9780719080739</v>
      </c>
      <c r="F19435" s="2" t="str">
        <f>"9781526137944"</f>
        <v>9781526137944</v>
      </c>
    </row>
    <row r="19436" spans="1:6" s="3" customFormat="1" ht="29.1" customHeight="1" x14ac:dyDescent="0.25">
      <c r="A19436" s="2" t="s">
        <v>38191</v>
      </c>
      <c r="B19436" s="2" t="s">
        <v>38192</v>
      </c>
      <c r="C19436" s="2" t="s">
        <v>55</v>
      </c>
      <c r="D19436" s="2" t="s">
        <v>270</v>
      </c>
      <c r="E19436" s="2"/>
      <c r="F19436" s="2" t="str">
        <f>"9781526137586"</f>
        <v>9781526137586</v>
      </c>
    </row>
    <row r="19437" spans="1:6" s="3" customFormat="1" ht="29.1" customHeight="1" x14ac:dyDescent="0.25">
      <c r="A19437" s="2" t="s">
        <v>38193</v>
      </c>
      <c r="B19437" s="2" t="s">
        <v>38194</v>
      </c>
      <c r="C19437" s="2" t="s">
        <v>55</v>
      </c>
      <c r="D19437" s="2" t="s">
        <v>270</v>
      </c>
      <c r="E19437" s="2"/>
      <c r="F19437" s="2" t="str">
        <f>"9781526137364"</f>
        <v>9781526137364</v>
      </c>
    </row>
    <row r="19438" spans="1:6" s="3" customFormat="1" ht="29.1" customHeight="1" x14ac:dyDescent="0.25">
      <c r="A19438" s="2" t="s">
        <v>38195</v>
      </c>
      <c r="B19438" s="2" t="s">
        <v>38196</v>
      </c>
      <c r="C19438" s="2" t="s">
        <v>55</v>
      </c>
      <c r="D19438" s="2" t="s">
        <v>3043</v>
      </c>
      <c r="E19438" s="2" t="str">
        <f>"9780719063138"</f>
        <v>9780719063138</v>
      </c>
      <c r="F19438" s="2" t="str">
        <f>"9781526121189"</f>
        <v>9781526121189</v>
      </c>
    </row>
    <row r="19439" spans="1:6" s="3" customFormat="1" ht="29.1" customHeight="1" x14ac:dyDescent="0.25">
      <c r="A19439" s="2" t="s">
        <v>38197</v>
      </c>
      <c r="B19439" s="2" t="s">
        <v>38198</v>
      </c>
      <c r="C19439" s="2" t="s">
        <v>55</v>
      </c>
      <c r="D19439" s="2" t="s">
        <v>1466</v>
      </c>
      <c r="E19439" s="2" t="str">
        <f>"9780719058189"</f>
        <v>9780719058189</v>
      </c>
      <c r="F19439" s="2" t="str">
        <f>"9781526137654"</f>
        <v>9781526137654</v>
      </c>
    </row>
    <row r="19440" spans="1:6" s="3" customFormat="1" ht="29.1" customHeight="1" x14ac:dyDescent="0.25">
      <c r="A19440" s="2" t="s">
        <v>38199</v>
      </c>
      <c r="B19440" s="2" t="s">
        <v>38200</v>
      </c>
      <c r="C19440" s="2" t="s">
        <v>55</v>
      </c>
      <c r="D19440" s="2" t="s">
        <v>270</v>
      </c>
      <c r="E19440" s="2"/>
      <c r="F19440" s="2" t="str">
        <f>"9781526137951"</f>
        <v>9781526137951</v>
      </c>
    </row>
    <row r="19441" spans="1:6" s="3" customFormat="1" ht="29.1" customHeight="1" x14ac:dyDescent="0.25">
      <c r="A19441" s="2" t="s">
        <v>38201</v>
      </c>
      <c r="B19441" s="2" t="s">
        <v>38202</v>
      </c>
      <c r="C19441" s="2" t="s">
        <v>55</v>
      </c>
      <c r="D19441" s="2" t="s">
        <v>5983</v>
      </c>
      <c r="E19441" s="2" t="str">
        <f>"9780719065330"</f>
        <v>9780719065330</v>
      </c>
      <c r="F19441" s="2" t="str">
        <f>"9781526120670"</f>
        <v>9781526120670</v>
      </c>
    </row>
    <row r="19442" spans="1:6" s="3" customFormat="1" ht="29.1" customHeight="1" x14ac:dyDescent="0.25">
      <c r="A19442" s="2" t="s">
        <v>38203</v>
      </c>
      <c r="B19442" s="2" t="s">
        <v>38204</v>
      </c>
      <c r="C19442" s="2" t="s">
        <v>55</v>
      </c>
      <c r="D19442" s="2" t="s">
        <v>7132</v>
      </c>
      <c r="E19442" s="2" t="str">
        <f>"9780719065316"</f>
        <v>9780719065316</v>
      </c>
      <c r="F19442" s="2" t="str">
        <f>"9781526137890"</f>
        <v>9781526137890</v>
      </c>
    </row>
    <row r="19443" spans="1:6" s="3" customFormat="1" ht="29.1" customHeight="1" x14ac:dyDescent="0.25">
      <c r="A19443" s="2" t="s">
        <v>38205</v>
      </c>
      <c r="B19443" s="2" t="s">
        <v>38206</v>
      </c>
      <c r="C19443" s="2" t="s">
        <v>55</v>
      </c>
      <c r="D19443" s="2" t="s">
        <v>509</v>
      </c>
      <c r="E19443" s="2" t="str">
        <f>"9780719067419"</f>
        <v>9780719067419</v>
      </c>
      <c r="F19443" s="2" t="str">
        <f>"9781526137722"</f>
        <v>9781526137722</v>
      </c>
    </row>
    <row r="19444" spans="1:6" s="3" customFormat="1" ht="29.1" customHeight="1" x14ac:dyDescent="0.25">
      <c r="A19444" s="2" t="s">
        <v>38207</v>
      </c>
      <c r="B19444" s="2" t="s">
        <v>38208</v>
      </c>
      <c r="C19444" s="2" t="s">
        <v>55</v>
      </c>
      <c r="D19444" s="2" t="s">
        <v>210</v>
      </c>
      <c r="E19444" s="2"/>
      <c r="F19444" s="2" t="str">
        <f>"9781526137975"</f>
        <v>9781526137975</v>
      </c>
    </row>
    <row r="19445" spans="1:6" s="3" customFormat="1" ht="29.1" customHeight="1" x14ac:dyDescent="0.25">
      <c r="A19445" s="2" t="s">
        <v>38209</v>
      </c>
      <c r="B19445" s="2" t="s">
        <v>20075</v>
      </c>
      <c r="C19445" s="2" t="s">
        <v>55</v>
      </c>
      <c r="D19445" s="2" t="s">
        <v>324</v>
      </c>
      <c r="E19445" s="2" t="str">
        <f>"9781526105226"</f>
        <v>9781526105226</v>
      </c>
      <c r="F19445" s="2" t="str">
        <f>"9781526105240"</f>
        <v>9781526105240</v>
      </c>
    </row>
    <row r="19446" spans="1:6" s="3" customFormat="1" ht="29.1" customHeight="1" x14ac:dyDescent="0.25">
      <c r="A19446" s="2" t="s">
        <v>38210</v>
      </c>
      <c r="B19446" s="2" t="s">
        <v>38211</v>
      </c>
      <c r="C19446" s="2" t="s">
        <v>55</v>
      </c>
      <c r="D19446" s="2" t="s">
        <v>7734</v>
      </c>
      <c r="E19446" s="2" t="str">
        <f>"9781526108760"</f>
        <v>9781526108760</v>
      </c>
      <c r="F19446" s="2" t="str">
        <f>"9781526108784"</f>
        <v>9781526108784</v>
      </c>
    </row>
    <row r="19447" spans="1:6" s="3" customFormat="1" ht="29.1" customHeight="1" x14ac:dyDescent="0.25">
      <c r="A19447" s="2" t="s">
        <v>38212</v>
      </c>
      <c r="B19447" s="2" t="s">
        <v>38213</v>
      </c>
      <c r="C19447" s="2" t="s">
        <v>55</v>
      </c>
      <c r="D19447" s="2" t="s">
        <v>210</v>
      </c>
      <c r="E19447" s="2" t="str">
        <f>"9781526118158"</f>
        <v>9781526118158</v>
      </c>
      <c r="F19447" s="2" t="str">
        <f>"9781526125774"</f>
        <v>9781526125774</v>
      </c>
    </row>
    <row r="19448" spans="1:6" s="3" customFormat="1" ht="29.1" customHeight="1" x14ac:dyDescent="0.25">
      <c r="A19448" s="2" t="s">
        <v>38214</v>
      </c>
      <c r="B19448" s="2" t="s">
        <v>38215</v>
      </c>
      <c r="C19448" s="2" t="s">
        <v>55</v>
      </c>
      <c r="D19448" s="2" t="s">
        <v>270</v>
      </c>
      <c r="E19448" s="2" t="str">
        <f>"9781526115386"</f>
        <v>9781526115386</v>
      </c>
      <c r="F19448" s="2" t="str">
        <f>"9781526116413"</f>
        <v>9781526116413</v>
      </c>
    </row>
    <row r="19449" spans="1:6" s="3" customFormat="1" ht="29.1" customHeight="1" x14ac:dyDescent="0.25">
      <c r="A19449" s="2" t="s">
        <v>38216</v>
      </c>
      <c r="B19449" s="2" t="s">
        <v>38217</v>
      </c>
      <c r="C19449" s="2" t="s">
        <v>55</v>
      </c>
      <c r="D19449" s="2" t="s">
        <v>210</v>
      </c>
      <c r="E19449" s="2" t="str">
        <f>"9780719099434"</f>
        <v>9780719099434</v>
      </c>
      <c r="F19449" s="2" t="str">
        <f>"9781526106117"</f>
        <v>9781526106117</v>
      </c>
    </row>
    <row r="19450" spans="1:6" s="3" customFormat="1" ht="29.1" customHeight="1" x14ac:dyDescent="0.25">
      <c r="A19450" s="2" t="s">
        <v>38218</v>
      </c>
      <c r="B19450" s="2" t="s">
        <v>38219</v>
      </c>
      <c r="C19450" s="2" t="s">
        <v>55</v>
      </c>
      <c r="D19450" s="2" t="s">
        <v>183</v>
      </c>
      <c r="E19450" s="2" t="str">
        <f>"9781784994075"</f>
        <v>9781784994075</v>
      </c>
      <c r="F19450" s="2" t="str">
        <f>"9781526104939"</f>
        <v>9781526104939</v>
      </c>
    </row>
    <row r="19451" spans="1:6" s="3" customFormat="1" ht="29.1" customHeight="1" x14ac:dyDescent="0.25">
      <c r="A19451" s="2" t="s">
        <v>38220</v>
      </c>
      <c r="B19451" s="2" t="s">
        <v>38221</v>
      </c>
      <c r="C19451" s="2" t="s">
        <v>55</v>
      </c>
      <c r="D19451" s="2" t="s">
        <v>210</v>
      </c>
      <c r="E19451" s="2" t="str">
        <f>"9781526124319"</f>
        <v>9781526124319</v>
      </c>
      <c r="F19451" s="2" t="str">
        <f>"9781526124326"</f>
        <v>9781526124326</v>
      </c>
    </row>
    <row r="19452" spans="1:6" s="3" customFormat="1" ht="29.1" customHeight="1" x14ac:dyDescent="0.25">
      <c r="A19452" s="2" t="s">
        <v>38222</v>
      </c>
      <c r="B19452" s="2" t="s">
        <v>38223</v>
      </c>
      <c r="C19452" s="2" t="s">
        <v>55</v>
      </c>
      <c r="D19452" s="2" t="s">
        <v>501</v>
      </c>
      <c r="E19452" s="2" t="str">
        <f>"9780719060021"</f>
        <v>9780719060021</v>
      </c>
      <c r="F19452" s="2" t="str">
        <f>"9781526137647"</f>
        <v>9781526137647</v>
      </c>
    </row>
    <row r="19453" spans="1:6" s="3" customFormat="1" ht="29.1" customHeight="1" x14ac:dyDescent="0.25">
      <c r="A19453" s="2" t="s">
        <v>38224</v>
      </c>
      <c r="B19453" s="2" t="s">
        <v>38225</v>
      </c>
      <c r="C19453" s="2" t="s">
        <v>55</v>
      </c>
      <c r="D19453" s="2" t="s">
        <v>1262</v>
      </c>
      <c r="E19453" s="2" t="str">
        <f>"9781526146809"</f>
        <v>9781526146809</v>
      </c>
      <c r="F19453" s="2" t="str">
        <f>"9781526146793"</f>
        <v>9781526146793</v>
      </c>
    </row>
    <row r="19454" spans="1:6" s="3" customFormat="1" ht="29.1" customHeight="1" x14ac:dyDescent="0.25">
      <c r="A19454" s="2" t="s">
        <v>38226</v>
      </c>
      <c r="B19454" s="2" t="s">
        <v>38227</v>
      </c>
      <c r="C19454" s="2" t="s">
        <v>55</v>
      </c>
      <c r="D19454" s="2" t="s">
        <v>297</v>
      </c>
      <c r="E19454" s="2" t="str">
        <f>"9781526126757"</f>
        <v>9781526126757</v>
      </c>
      <c r="F19454" s="2" t="str">
        <f>"9781526126764"</f>
        <v>9781526126764</v>
      </c>
    </row>
    <row r="19455" spans="1:6" s="3" customFormat="1" ht="29.1" customHeight="1" x14ac:dyDescent="0.25">
      <c r="A19455" s="2" t="s">
        <v>38228</v>
      </c>
      <c r="B19455" s="2" t="s">
        <v>38229</v>
      </c>
      <c r="C19455" s="2" t="s">
        <v>55</v>
      </c>
      <c r="D19455" s="2" t="s">
        <v>4172</v>
      </c>
      <c r="E19455" s="2" t="str">
        <f>"9781526119018"</f>
        <v>9781526119018</v>
      </c>
      <c r="F19455" s="2" t="str">
        <f>"9781526119049"</f>
        <v>9781526119049</v>
      </c>
    </row>
    <row r="19456" spans="1:6" s="3" customFormat="1" ht="29.1" customHeight="1" x14ac:dyDescent="0.25">
      <c r="A19456" s="2" t="s">
        <v>38230</v>
      </c>
      <c r="B19456" s="2" t="s">
        <v>38231</v>
      </c>
      <c r="C19456" s="2" t="s">
        <v>55</v>
      </c>
      <c r="D19456" s="2" t="s">
        <v>1809</v>
      </c>
      <c r="E19456" s="2" t="str">
        <f>"9781526140609"</f>
        <v>9781526140609</v>
      </c>
      <c r="F19456" s="2" t="str">
        <f>"9781526140616"</f>
        <v>9781526140616</v>
      </c>
    </row>
    <row r="19457" spans="1:6" s="3" customFormat="1" ht="29.1" customHeight="1" x14ac:dyDescent="0.25">
      <c r="A19457" s="2" t="s">
        <v>38232</v>
      </c>
      <c r="B19457" s="2" t="s">
        <v>38233</v>
      </c>
      <c r="C19457" s="2" t="s">
        <v>55</v>
      </c>
      <c r="D19457" s="2" t="s">
        <v>501</v>
      </c>
      <c r="E19457" s="2"/>
      <c r="F19457" s="2" t="str">
        <f>"9781526137203"</f>
        <v>9781526137203</v>
      </c>
    </row>
    <row r="19458" spans="1:6" s="3" customFormat="1" ht="29.1" customHeight="1" x14ac:dyDescent="0.25">
      <c r="A19458" s="2" t="s">
        <v>38234</v>
      </c>
      <c r="B19458" s="2" t="s">
        <v>38235</v>
      </c>
      <c r="C19458" s="2" t="s">
        <v>55</v>
      </c>
      <c r="D19458" s="2" t="s">
        <v>606</v>
      </c>
      <c r="E19458" s="2" t="str">
        <f>"9781526134554"</f>
        <v>9781526134554</v>
      </c>
      <c r="F19458" s="2" t="str">
        <f>"9781526134561"</f>
        <v>9781526134561</v>
      </c>
    </row>
    <row r="19459" spans="1:6" s="3" customFormat="1" ht="29.1" customHeight="1" x14ac:dyDescent="0.25">
      <c r="A19459" s="2" t="s">
        <v>38236</v>
      </c>
      <c r="B19459" s="2" t="s">
        <v>38237</v>
      </c>
      <c r="C19459" s="2" t="s">
        <v>55</v>
      </c>
      <c r="D19459" s="2" t="s">
        <v>3172</v>
      </c>
      <c r="E19459" s="2" t="str">
        <f>"9781526126467"</f>
        <v>9781526126467</v>
      </c>
      <c r="F19459" s="2" t="str">
        <f>"9781526126474"</f>
        <v>9781526126474</v>
      </c>
    </row>
    <row r="19460" spans="1:6" s="3" customFormat="1" ht="29.1" customHeight="1" x14ac:dyDescent="0.25">
      <c r="A19460" s="2" t="s">
        <v>38238</v>
      </c>
      <c r="B19460" s="2" t="s">
        <v>38239</v>
      </c>
      <c r="C19460" s="2" t="s">
        <v>55</v>
      </c>
      <c r="D19460" s="2" t="s">
        <v>183</v>
      </c>
      <c r="E19460" s="2" t="str">
        <f>"9781526117069"</f>
        <v>9781526117069</v>
      </c>
      <c r="F19460" s="2" t="str">
        <f>"9781526117076"</f>
        <v>9781526117076</v>
      </c>
    </row>
    <row r="19461" spans="1:6" s="3" customFormat="1" ht="29.1" customHeight="1" x14ac:dyDescent="0.25">
      <c r="A19461" s="2" t="s">
        <v>38240</v>
      </c>
      <c r="B19461" s="2" t="s">
        <v>38242</v>
      </c>
      <c r="C19461" s="2" t="s">
        <v>55</v>
      </c>
      <c r="D19461" s="2" t="s">
        <v>38241</v>
      </c>
      <c r="E19461" s="2" t="str">
        <f>"9781784994068"</f>
        <v>9781784994068</v>
      </c>
      <c r="F19461" s="2" t="str">
        <f>"9781526104991"</f>
        <v>9781526104991</v>
      </c>
    </row>
    <row r="19462" spans="1:6" s="3" customFormat="1" ht="29.1" customHeight="1" x14ac:dyDescent="0.25">
      <c r="A19462" s="2" t="s">
        <v>38243</v>
      </c>
      <c r="B19462" s="2" t="s">
        <v>38244</v>
      </c>
      <c r="C19462" s="2" t="s">
        <v>55</v>
      </c>
      <c r="D19462" s="2" t="s">
        <v>1262</v>
      </c>
      <c r="E19462" s="2" t="str">
        <f>"9780719099205"</f>
        <v>9780719099205</v>
      </c>
      <c r="F19462" s="2" t="str">
        <f>"9781526150899"</f>
        <v>9781526150899</v>
      </c>
    </row>
    <row r="19463" spans="1:6" s="3" customFormat="1" ht="29.1" customHeight="1" x14ac:dyDescent="0.25">
      <c r="A19463" s="2" t="s">
        <v>38245</v>
      </c>
      <c r="B19463" s="2" t="s">
        <v>38246</v>
      </c>
      <c r="C19463" s="2" t="s">
        <v>55</v>
      </c>
      <c r="D19463" s="2" t="s">
        <v>3086</v>
      </c>
      <c r="E19463" s="2" t="str">
        <f>"9781784995157"</f>
        <v>9781784995157</v>
      </c>
      <c r="F19463" s="2" t="str">
        <f>"9781784995201"</f>
        <v>9781784995201</v>
      </c>
    </row>
    <row r="19464" spans="1:6" s="3" customFormat="1" ht="29.1" customHeight="1" x14ac:dyDescent="0.25">
      <c r="A19464" s="2" t="s">
        <v>38247</v>
      </c>
      <c r="B19464" s="2" t="s">
        <v>38248</v>
      </c>
      <c r="C19464" s="2" t="s">
        <v>55</v>
      </c>
      <c r="D19464" s="2" t="s">
        <v>4415</v>
      </c>
      <c r="E19464" s="2" t="str">
        <f>"9781526146144"</f>
        <v>9781526146144</v>
      </c>
      <c r="F19464" s="2" t="str">
        <f>"9781526146137"</f>
        <v>9781526146137</v>
      </c>
    </row>
    <row r="19465" spans="1:6" s="3" customFormat="1" ht="29.1" customHeight="1" x14ac:dyDescent="0.25">
      <c r="A19465" s="2" t="s">
        <v>38249</v>
      </c>
      <c r="B19465" s="2" t="s">
        <v>38250</v>
      </c>
      <c r="C19465" s="2" t="s">
        <v>55</v>
      </c>
      <c r="D19465" s="2" t="s">
        <v>501</v>
      </c>
      <c r="E19465" s="2" t="str">
        <f>"9781526135018"</f>
        <v>9781526135018</v>
      </c>
      <c r="F19465" s="2" t="str">
        <f>"9781526135025"</f>
        <v>9781526135025</v>
      </c>
    </row>
    <row r="19466" spans="1:6" s="3" customFormat="1" ht="29.1" customHeight="1" x14ac:dyDescent="0.25">
      <c r="A19466" s="2" t="s">
        <v>38251</v>
      </c>
      <c r="B19466" s="2" t="s">
        <v>38252</v>
      </c>
      <c r="C19466" s="2" t="s">
        <v>55</v>
      </c>
      <c r="D19466" s="2" t="s">
        <v>674</v>
      </c>
      <c r="E19466" s="2" t="str">
        <f>"9781526155368"</f>
        <v>9781526155368</v>
      </c>
      <c r="F19466" s="2" t="str">
        <f>"9781526155351"</f>
        <v>9781526155351</v>
      </c>
    </row>
    <row r="19467" spans="1:6" s="3" customFormat="1" ht="29.1" customHeight="1" x14ac:dyDescent="0.25">
      <c r="A19467" s="2" t="s">
        <v>38253</v>
      </c>
      <c r="B19467" s="2" t="s">
        <v>38254</v>
      </c>
      <c r="C19467" s="2" t="s">
        <v>55</v>
      </c>
      <c r="D19467" s="2" t="s">
        <v>465</v>
      </c>
      <c r="E19467" s="2" t="str">
        <f>"9780719099670"</f>
        <v>9780719099670</v>
      </c>
      <c r="F19467" s="2" t="str">
        <f>"9781526107633"</f>
        <v>9781526107633</v>
      </c>
    </row>
    <row r="19468" spans="1:6" s="3" customFormat="1" ht="29.1" customHeight="1" x14ac:dyDescent="0.25">
      <c r="A19468" s="2" t="s">
        <v>38255</v>
      </c>
      <c r="B19468" s="2" t="s">
        <v>38256</v>
      </c>
      <c r="C19468" s="2" t="s">
        <v>55</v>
      </c>
      <c r="D19468" s="2" t="s">
        <v>3185</v>
      </c>
      <c r="E19468" s="2" t="str">
        <f>"9781526113078"</f>
        <v>9781526113078</v>
      </c>
      <c r="F19468" s="2" t="str">
        <f>"9781526113085"</f>
        <v>9781526113085</v>
      </c>
    </row>
    <row r="19469" spans="1:6" s="3" customFormat="1" ht="29.1" customHeight="1" x14ac:dyDescent="0.25">
      <c r="A19469" s="2" t="s">
        <v>38257</v>
      </c>
      <c r="B19469" s="2" t="s">
        <v>38258</v>
      </c>
      <c r="C19469" s="2" t="s">
        <v>55</v>
      </c>
      <c r="D19469" s="2" t="s">
        <v>3166</v>
      </c>
      <c r="E19469" s="2" t="str">
        <f>"9781526101105"</f>
        <v>9781526101105</v>
      </c>
      <c r="F19469" s="2" t="str">
        <f>"9781526115997"</f>
        <v>9781526115997</v>
      </c>
    </row>
    <row r="19470" spans="1:6" s="3" customFormat="1" ht="29.1" customHeight="1" x14ac:dyDescent="0.25">
      <c r="A19470" s="2" t="s">
        <v>38259</v>
      </c>
      <c r="B19470" s="2" t="s">
        <v>38260</v>
      </c>
      <c r="C19470" s="2" t="s">
        <v>55</v>
      </c>
      <c r="D19470" s="2" t="s">
        <v>297</v>
      </c>
      <c r="E19470" s="2" t="str">
        <f>"9781526133687"</f>
        <v>9781526133687</v>
      </c>
      <c r="F19470" s="2" t="str">
        <f>"9781526133700"</f>
        <v>9781526133700</v>
      </c>
    </row>
    <row r="19471" spans="1:6" s="3" customFormat="1" ht="29.1" customHeight="1" x14ac:dyDescent="0.25">
      <c r="A19471" s="2" t="s">
        <v>38261</v>
      </c>
      <c r="B19471" s="2" t="s">
        <v>38262</v>
      </c>
      <c r="C19471" s="2" t="s">
        <v>55</v>
      </c>
      <c r="D19471" s="2" t="s">
        <v>33</v>
      </c>
      <c r="E19471" s="2"/>
      <c r="F19471" s="2" t="str">
        <f>"9781526137265"</f>
        <v>9781526137265</v>
      </c>
    </row>
    <row r="19472" spans="1:6" s="3" customFormat="1" ht="29.1" customHeight="1" x14ac:dyDescent="0.25">
      <c r="A19472" s="2" t="s">
        <v>38263</v>
      </c>
      <c r="B19472" s="2" t="s">
        <v>38264</v>
      </c>
      <c r="C19472" s="2" t="s">
        <v>55</v>
      </c>
      <c r="D19472" s="2" t="s">
        <v>5713</v>
      </c>
      <c r="E19472" s="2" t="str">
        <f>"9781526114181"</f>
        <v>9781526114181</v>
      </c>
      <c r="F19472" s="2" t="str">
        <f>"9781526114198"</f>
        <v>9781526114198</v>
      </c>
    </row>
    <row r="19473" spans="1:6" s="3" customFormat="1" ht="29.1" customHeight="1" x14ac:dyDescent="0.25">
      <c r="A19473" s="2" t="s">
        <v>38265</v>
      </c>
      <c r="B19473" s="2" t="s">
        <v>38266</v>
      </c>
      <c r="C19473" s="2" t="s">
        <v>55</v>
      </c>
      <c r="D19473" s="2" t="s">
        <v>3993</v>
      </c>
      <c r="E19473" s="2" t="str">
        <f>"9780719091582"</f>
        <v>9780719091582</v>
      </c>
      <c r="F19473" s="2" t="str">
        <f>"9781526146465"</f>
        <v>9781526146465</v>
      </c>
    </row>
    <row r="19474" spans="1:6" s="3" customFormat="1" ht="29.1" customHeight="1" x14ac:dyDescent="0.25">
      <c r="A19474" s="2" t="s">
        <v>38267</v>
      </c>
      <c r="B19474" s="2" t="s">
        <v>38268</v>
      </c>
      <c r="C19474" s="2" t="s">
        <v>55</v>
      </c>
      <c r="D19474" s="2" t="s">
        <v>33</v>
      </c>
      <c r="E19474" s="2" t="str">
        <f>"9781526138590"</f>
        <v>9781526138590</v>
      </c>
      <c r="F19474" s="2" t="str">
        <f>"9781526138606"</f>
        <v>9781526138606</v>
      </c>
    </row>
    <row r="19475" spans="1:6" s="3" customFormat="1" ht="29.1" customHeight="1" x14ac:dyDescent="0.25">
      <c r="A19475" s="2" t="s">
        <v>38269</v>
      </c>
      <c r="B19475" s="2" t="s">
        <v>38270</v>
      </c>
      <c r="C19475" s="2" t="s">
        <v>55</v>
      </c>
      <c r="D19475" s="2" t="s">
        <v>3185</v>
      </c>
      <c r="E19475" s="2" t="str">
        <f>"9780719095924"</f>
        <v>9780719095924</v>
      </c>
      <c r="F19475" s="2" t="str">
        <f>"9781526110015"</f>
        <v>9781526110015</v>
      </c>
    </row>
    <row r="19476" spans="1:6" s="3" customFormat="1" ht="29.1" customHeight="1" x14ac:dyDescent="0.25">
      <c r="A19476" s="2" t="s">
        <v>38271</v>
      </c>
      <c r="B19476" s="2" t="s">
        <v>38272</v>
      </c>
      <c r="C19476" s="2" t="s">
        <v>55</v>
      </c>
      <c r="D19476" s="2" t="s">
        <v>674</v>
      </c>
      <c r="E19476" s="2" t="str">
        <f>"9781526122537"</f>
        <v>9781526122537</v>
      </c>
      <c r="F19476" s="2" t="str">
        <f>"9781526122520"</f>
        <v>9781526122520</v>
      </c>
    </row>
    <row r="19477" spans="1:6" s="3" customFormat="1" ht="29.1" customHeight="1" x14ac:dyDescent="0.25">
      <c r="A19477" s="2" t="s">
        <v>38273</v>
      </c>
      <c r="B19477" s="2" t="s">
        <v>38274</v>
      </c>
      <c r="C19477" s="2" t="s">
        <v>55</v>
      </c>
      <c r="D19477" s="2" t="s">
        <v>86</v>
      </c>
      <c r="E19477" s="2"/>
      <c r="F19477" s="2" t="str">
        <f>"9781526137920"</f>
        <v>9781526137920</v>
      </c>
    </row>
    <row r="19478" spans="1:6" s="3" customFormat="1" ht="29.1" customHeight="1" x14ac:dyDescent="0.25">
      <c r="A19478" s="2" t="s">
        <v>38275</v>
      </c>
      <c r="B19478" s="2" t="s">
        <v>38276</v>
      </c>
      <c r="C19478" s="2" t="s">
        <v>55</v>
      </c>
      <c r="D19478" s="2" t="s">
        <v>183</v>
      </c>
      <c r="E19478" s="2" t="str">
        <f>"9780719091155"</f>
        <v>9780719091155</v>
      </c>
      <c r="F19478" s="2" t="str">
        <f>"9781526139306"</f>
        <v>9781526139306</v>
      </c>
    </row>
    <row r="19479" spans="1:6" s="3" customFormat="1" ht="29.1" customHeight="1" x14ac:dyDescent="0.25">
      <c r="A19479" s="2" t="s">
        <v>38277</v>
      </c>
      <c r="B19479" s="2" t="s">
        <v>38278</v>
      </c>
      <c r="C19479" s="2" t="s">
        <v>55</v>
      </c>
      <c r="D19479" s="2" t="s">
        <v>1768</v>
      </c>
      <c r="E19479" s="2" t="str">
        <f>"9781526136534"</f>
        <v>9781526136534</v>
      </c>
      <c r="F19479" s="2" t="str">
        <f>"9781526136527"</f>
        <v>9781526136527</v>
      </c>
    </row>
    <row r="19480" spans="1:6" s="3" customFormat="1" ht="29.1" customHeight="1" x14ac:dyDescent="0.25">
      <c r="A19480" s="2" t="s">
        <v>38279</v>
      </c>
      <c r="B19480" s="2" t="s">
        <v>38280</v>
      </c>
      <c r="C19480" s="2" t="s">
        <v>55</v>
      </c>
      <c r="D19480" s="2" t="s">
        <v>1155</v>
      </c>
      <c r="E19480" s="2" t="str">
        <f>"9780719079207"</f>
        <v>9780719079207</v>
      </c>
      <c r="F19480" s="2" t="str">
        <f>"9781526125095"</f>
        <v>9781526125095</v>
      </c>
    </row>
    <row r="19481" spans="1:6" s="3" customFormat="1" ht="29.1" customHeight="1" x14ac:dyDescent="0.25">
      <c r="A19481" s="2" t="s">
        <v>38281</v>
      </c>
      <c r="B19481" s="2" t="s">
        <v>38282</v>
      </c>
      <c r="C19481" s="2" t="s">
        <v>55</v>
      </c>
      <c r="D19481" s="2" t="s">
        <v>183</v>
      </c>
      <c r="E19481" s="2" t="str">
        <f>"9781526113733"</f>
        <v>9781526113733</v>
      </c>
      <c r="F19481" s="2" t="str">
        <f>"9781526113757"</f>
        <v>9781526113757</v>
      </c>
    </row>
    <row r="19482" spans="1:6" s="3" customFormat="1" ht="29.1" customHeight="1" x14ac:dyDescent="0.25">
      <c r="A19482" s="2" t="s">
        <v>38283</v>
      </c>
      <c r="B19482" s="2" t="s">
        <v>38284</v>
      </c>
      <c r="C19482" s="2" t="s">
        <v>55</v>
      </c>
      <c r="D19482" s="2" t="s">
        <v>501</v>
      </c>
      <c r="E19482" s="2" t="str">
        <f>"9781784993337"</f>
        <v>9781784993337</v>
      </c>
      <c r="F19482" s="2" t="str">
        <f>"9781526101037"</f>
        <v>9781526101037</v>
      </c>
    </row>
    <row r="19483" spans="1:6" s="3" customFormat="1" ht="29.1" customHeight="1" x14ac:dyDescent="0.25">
      <c r="A19483" s="2" t="s">
        <v>38285</v>
      </c>
      <c r="B19483" s="2" t="s">
        <v>38286</v>
      </c>
      <c r="C19483" s="2" t="s">
        <v>55</v>
      </c>
      <c r="D19483" s="2" t="s">
        <v>465</v>
      </c>
      <c r="E19483" s="2" t="str">
        <f>"9781526148117"</f>
        <v>9781526148117</v>
      </c>
      <c r="F19483" s="2" t="str">
        <f>"9781526107558"</f>
        <v>9781526107558</v>
      </c>
    </row>
    <row r="19484" spans="1:6" s="3" customFormat="1" ht="29.1" customHeight="1" x14ac:dyDescent="0.25">
      <c r="A19484" s="2" t="s">
        <v>38287</v>
      </c>
      <c r="B19484" s="2" t="s">
        <v>38288</v>
      </c>
      <c r="C19484" s="2" t="s">
        <v>55</v>
      </c>
      <c r="D19484" s="2" t="s">
        <v>818</v>
      </c>
      <c r="E19484" s="2" t="str">
        <f>"9781526105110"</f>
        <v>9781526105110</v>
      </c>
      <c r="F19484" s="2" t="str">
        <f>"9781526105127"</f>
        <v>9781526105127</v>
      </c>
    </row>
    <row r="19485" spans="1:6" s="3" customFormat="1" ht="29.1" customHeight="1" x14ac:dyDescent="0.25">
      <c r="A19485" s="2" t="s">
        <v>38289</v>
      </c>
      <c r="B19485" s="2" t="s">
        <v>38290</v>
      </c>
      <c r="C19485" s="2" t="s">
        <v>55</v>
      </c>
      <c r="D19485" s="2" t="s">
        <v>324</v>
      </c>
      <c r="E19485" s="2" t="str">
        <f>"9781526105325"</f>
        <v>9781526105325</v>
      </c>
      <c r="F19485" s="2" t="str">
        <f>"9781526105332"</f>
        <v>9781526105332</v>
      </c>
    </row>
    <row r="19486" spans="1:6" s="3" customFormat="1" ht="29.1" customHeight="1" x14ac:dyDescent="0.25">
      <c r="A19486" s="2" t="s">
        <v>38291</v>
      </c>
      <c r="B19486" s="2" t="s">
        <v>38292</v>
      </c>
      <c r="C19486" s="2" t="s">
        <v>55</v>
      </c>
      <c r="D19486" s="2" t="s">
        <v>202</v>
      </c>
      <c r="E19486" s="2" t="str">
        <f>"9780719099564"</f>
        <v>9780719099564</v>
      </c>
      <c r="F19486" s="2" t="str">
        <f>"9781526113047"</f>
        <v>9781526113047</v>
      </c>
    </row>
    <row r="19487" spans="1:6" s="3" customFormat="1" ht="29.1" customHeight="1" x14ac:dyDescent="0.25">
      <c r="A19487" s="2" t="s">
        <v>38293</v>
      </c>
      <c r="B19487" s="2" t="s">
        <v>38294</v>
      </c>
      <c r="C19487" s="2" t="s">
        <v>55</v>
      </c>
      <c r="D19487" s="2" t="s">
        <v>1463</v>
      </c>
      <c r="E19487" s="2" t="str">
        <f>"9781784993252"</f>
        <v>9781784993252</v>
      </c>
      <c r="F19487" s="2" t="str">
        <f>"9781526101013"</f>
        <v>9781526101013</v>
      </c>
    </row>
    <row r="19488" spans="1:6" s="3" customFormat="1" ht="29.1" customHeight="1" x14ac:dyDescent="0.25">
      <c r="A19488" s="2" t="s">
        <v>38295</v>
      </c>
      <c r="B19488" s="2" t="s">
        <v>38296</v>
      </c>
      <c r="C19488" s="2" t="s">
        <v>55</v>
      </c>
      <c r="D19488" s="2" t="s">
        <v>3185</v>
      </c>
      <c r="E19488" s="2" t="str">
        <f>"9781526110886"</f>
        <v>9781526110886</v>
      </c>
      <c r="F19488" s="2" t="str">
        <f>"9781526110916"</f>
        <v>9781526110916</v>
      </c>
    </row>
    <row r="19489" spans="1:6" s="3" customFormat="1" ht="29.1" customHeight="1" x14ac:dyDescent="0.25">
      <c r="A19489" s="2" t="s">
        <v>38297</v>
      </c>
      <c r="B19489" s="2" t="s">
        <v>38298</v>
      </c>
      <c r="C19489" s="2" t="s">
        <v>55</v>
      </c>
      <c r="D19489" s="2" t="s">
        <v>7436</v>
      </c>
      <c r="E19489" s="2" t="str">
        <f>"9781784993405"</f>
        <v>9781784993405</v>
      </c>
      <c r="F19489" s="2" t="str">
        <f>"9781526100504"</f>
        <v>9781526100504</v>
      </c>
    </row>
    <row r="19490" spans="1:6" s="3" customFormat="1" ht="29.1" customHeight="1" x14ac:dyDescent="0.25">
      <c r="A19490" s="2" t="s">
        <v>38299</v>
      </c>
      <c r="B19490" s="2" t="s">
        <v>38300</v>
      </c>
      <c r="C19490" s="2" t="s">
        <v>55</v>
      </c>
      <c r="D19490" s="2" t="s">
        <v>4172</v>
      </c>
      <c r="E19490" s="2" t="str">
        <f>"9781526117298"</f>
        <v>9781526117298</v>
      </c>
      <c r="F19490" s="2" t="str">
        <f>"9781526117304"</f>
        <v>9781526117304</v>
      </c>
    </row>
    <row r="19491" spans="1:6" s="3" customFormat="1" ht="29.1" customHeight="1" x14ac:dyDescent="0.25">
      <c r="A19491" s="2" t="s">
        <v>38301</v>
      </c>
      <c r="B19491" s="2" t="s">
        <v>38302</v>
      </c>
      <c r="C19491" s="2" t="s">
        <v>55</v>
      </c>
      <c r="D19491" s="2" t="s">
        <v>75</v>
      </c>
      <c r="E19491" s="2" t="str">
        <f>"9781526115393"</f>
        <v>9781526115393</v>
      </c>
      <c r="F19491" s="2" t="str">
        <f>"9781526116352"</f>
        <v>9781526116352</v>
      </c>
    </row>
    <row r="19492" spans="1:6" s="3" customFormat="1" ht="29.1" customHeight="1" x14ac:dyDescent="0.25">
      <c r="A19492" s="2" t="s">
        <v>38303</v>
      </c>
      <c r="B19492" s="2" t="s">
        <v>38304</v>
      </c>
      <c r="C19492" s="2" t="s">
        <v>55</v>
      </c>
      <c r="D19492" s="2" t="s">
        <v>183</v>
      </c>
      <c r="E19492" s="2" t="str">
        <f>"9781526141026"</f>
        <v>9781526141026</v>
      </c>
      <c r="F19492" s="2" t="str">
        <f>"9781526141019"</f>
        <v>9781526141019</v>
      </c>
    </row>
    <row r="19493" spans="1:6" s="3" customFormat="1" ht="29.1" customHeight="1" x14ac:dyDescent="0.25">
      <c r="A19493" s="2" t="s">
        <v>38305</v>
      </c>
      <c r="B19493" s="2" t="s">
        <v>27605</v>
      </c>
      <c r="C19493" s="2" t="s">
        <v>55</v>
      </c>
      <c r="D19493" s="2" t="s">
        <v>636</v>
      </c>
      <c r="E19493" s="2" t="str">
        <f>"9781784992590"</f>
        <v>9781784992590</v>
      </c>
      <c r="F19493" s="2" t="str">
        <f>"9781526114013"</f>
        <v>9781526114013</v>
      </c>
    </row>
    <row r="19494" spans="1:6" s="3" customFormat="1" ht="29.1" customHeight="1" x14ac:dyDescent="0.25">
      <c r="A19494" s="2" t="s">
        <v>38306</v>
      </c>
      <c r="B19494" s="2" t="s">
        <v>38307</v>
      </c>
      <c r="C19494" s="2" t="s">
        <v>55</v>
      </c>
      <c r="D19494" s="2" t="s">
        <v>6548</v>
      </c>
      <c r="E19494" s="2" t="str">
        <f>"9780719074738"</f>
        <v>9780719074738</v>
      </c>
      <c r="F19494" s="2" t="str">
        <f>"9781526146182"</f>
        <v>9781526146182</v>
      </c>
    </row>
    <row r="19495" spans="1:6" s="3" customFormat="1" ht="29.1" customHeight="1" x14ac:dyDescent="0.25">
      <c r="A19495" s="2" t="s">
        <v>38308</v>
      </c>
      <c r="B19495" s="2" t="s">
        <v>38309</v>
      </c>
      <c r="C19495" s="2" t="s">
        <v>55</v>
      </c>
      <c r="D19495" s="2" t="s">
        <v>3185</v>
      </c>
      <c r="E19495" s="2" t="str">
        <f>"9781526132130"</f>
        <v>9781526132130</v>
      </c>
      <c r="F19495" s="2" t="str">
        <f>"9781526132123"</f>
        <v>9781526132123</v>
      </c>
    </row>
    <row r="19496" spans="1:6" s="3" customFormat="1" ht="29.1" customHeight="1" x14ac:dyDescent="0.25">
      <c r="A19496" s="2" t="s">
        <v>38310</v>
      </c>
      <c r="B19496" s="2" t="s">
        <v>38311</v>
      </c>
      <c r="C19496" s="2" t="s">
        <v>55</v>
      </c>
      <c r="D19496" s="2" t="s">
        <v>192</v>
      </c>
      <c r="E19496" s="2" t="str">
        <f>"9781526124975"</f>
        <v>9781526124975</v>
      </c>
      <c r="F19496" s="2" t="str">
        <f>"9781526124982"</f>
        <v>9781526124982</v>
      </c>
    </row>
    <row r="19497" spans="1:6" s="3" customFormat="1" ht="29.1" customHeight="1" x14ac:dyDescent="0.25">
      <c r="A19497" s="2" t="s">
        <v>38312</v>
      </c>
      <c r="B19497" s="2" t="s">
        <v>38313</v>
      </c>
      <c r="C19497" s="2" t="s">
        <v>55</v>
      </c>
      <c r="D19497" s="2" t="s">
        <v>270</v>
      </c>
      <c r="E19497" s="2" t="str">
        <f>"9781526124562"</f>
        <v>9781526124562</v>
      </c>
      <c r="F19497" s="2" t="str">
        <f>"9781526124579"</f>
        <v>9781526124579</v>
      </c>
    </row>
    <row r="19498" spans="1:6" s="3" customFormat="1" ht="29.1" customHeight="1" x14ac:dyDescent="0.25">
      <c r="A19498" s="2" t="s">
        <v>38314</v>
      </c>
      <c r="B19498" s="2" t="s">
        <v>38315</v>
      </c>
      <c r="C19498" s="2" t="s">
        <v>55</v>
      </c>
      <c r="D19498" s="2" t="s">
        <v>606</v>
      </c>
      <c r="E19498" s="2" t="str">
        <f>"9781526135568"</f>
        <v>9781526135568</v>
      </c>
      <c r="F19498" s="2" t="str">
        <f>"9781526135582"</f>
        <v>9781526135582</v>
      </c>
    </row>
    <row r="19499" spans="1:6" s="3" customFormat="1" ht="29.1" customHeight="1" x14ac:dyDescent="0.25">
      <c r="A19499" s="2" t="s">
        <v>38316</v>
      </c>
      <c r="B19499" s="2" t="s">
        <v>38317</v>
      </c>
      <c r="C19499" s="2" t="s">
        <v>55</v>
      </c>
      <c r="D19499" s="2" t="s">
        <v>1228</v>
      </c>
      <c r="E19499" s="2" t="str">
        <f>"9781526146830"</f>
        <v>9781526146830</v>
      </c>
      <c r="F19499" s="2" t="str">
        <f>"9781526146823"</f>
        <v>9781526146823</v>
      </c>
    </row>
    <row r="19500" spans="1:6" s="3" customFormat="1" ht="29.1" customHeight="1" x14ac:dyDescent="0.25">
      <c r="A19500" s="2" t="s">
        <v>38318</v>
      </c>
      <c r="B19500" s="2" t="s">
        <v>38319</v>
      </c>
      <c r="C19500" s="2" t="s">
        <v>55</v>
      </c>
      <c r="D19500" s="2" t="s">
        <v>210</v>
      </c>
      <c r="E19500" s="2" t="str">
        <f>"9780719085765"</f>
        <v>9780719085765</v>
      </c>
      <c r="F19500" s="2" t="str">
        <f>"9781526151612"</f>
        <v>9781526151612</v>
      </c>
    </row>
    <row r="19501" spans="1:6" s="3" customFormat="1" ht="29.1" customHeight="1" x14ac:dyDescent="0.25">
      <c r="A19501" s="2" t="s">
        <v>38320</v>
      </c>
      <c r="B19501" s="2" t="s">
        <v>38321</v>
      </c>
      <c r="C19501" s="2" t="s">
        <v>55</v>
      </c>
      <c r="D19501" s="2" t="s">
        <v>6578</v>
      </c>
      <c r="E19501" s="2" t="str">
        <f>"9781526143662"</f>
        <v>9781526143662</v>
      </c>
      <c r="F19501" s="2" t="str">
        <f>"9781526104854"</f>
        <v>9781526104854</v>
      </c>
    </row>
    <row r="19502" spans="1:6" s="3" customFormat="1" ht="29.1" customHeight="1" x14ac:dyDescent="0.25">
      <c r="A19502" s="2" t="s">
        <v>38322</v>
      </c>
      <c r="B19502" s="2" t="s">
        <v>38323</v>
      </c>
      <c r="C19502" s="2" t="s">
        <v>55</v>
      </c>
      <c r="D19502" s="2" t="s">
        <v>855</v>
      </c>
      <c r="E19502" s="2" t="str">
        <f>"9781526146960"</f>
        <v>9781526146960</v>
      </c>
      <c r="F19502" s="2" t="str">
        <f>"9781526146946"</f>
        <v>9781526146946</v>
      </c>
    </row>
    <row r="19503" spans="1:6" s="3" customFormat="1" ht="29.1" customHeight="1" x14ac:dyDescent="0.25">
      <c r="A19503" s="2" t="s">
        <v>38324</v>
      </c>
      <c r="B19503" s="2" t="s">
        <v>38325</v>
      </c>
      <c r="C19503" s="2" t="s">
        <v>55</v>
      </c>
      <c r="D19503" s="2" t="s">
        <v>868</v>
      </c>
      <c r="E19503" s="2" t="str">
        <f>"9781526126603"</f>
        <v>9781526126603</v>
      </c>
      <c r="F19503" s="2" t="str">
        <f>"9781526126610"</f>
        <v>9781526126610</v>
      </c>
    </row>
    <row r="19504" spans="1:6" s="3" customFormat="1" ht="29.1" customHeight="1" x14ac:dyDescent="0.25">
      <c r="A19504" s="2" t="s">
        <v>38326</v>
      </c>
      <c r="B19504" s="2" t="s">
        <v>38327</v>
      </c>
      <c r="C19504" s="2" t="s">
        <v>55</v>
      </c>
      <c r="D19504" s="2" t="s">
        <v>1189</v>
      </c>
      <c r="E19504" s="2" t="str">
        <f>"9781526138477"</f>
        <v>9781526138477</v>
      </c>
      <c r="F19504" s="2" t="str">
        <f>"9781526138484"</f>
        <v>9781526138484</v>
      </c>
    </row>
    <row r="19505" spans="1:6" s="3" customFormat="1" ht="29.1" customHeight="1" x14ac:dyDescent="0.25">
      <c r="A19505" s="2" t="s">
        <v>38328</v>
      </c>
      <c r="B19505" s="2" t="s">
        <v>38329</v>
      </c>
      <c r="C19505" s="2" t="s">
        <v>55</v>
      </c>
      <c r="D19505" s="2" t="s">
        <v>7280</v>
      </c>
      <c r="E19505" s="2" t="str">
        <f>"9781526139870"</f>
        <v>9781526139870</v>
      </c>
      <c r="F19505" s="2" t="str">
        <f>"9781526139863"</f>
        <v>9781526139863</v>
      </c>
    </row>
    <row r="19506" spans="1:6" s="3" customFormat="1" ht="29.1" customHeight="1" x14ac:dyDescent="0.25">
      <c r="A19506" s="2" t="s">
        <v>38330</v>
      </c>
      <c r="B19506" s="2" t="s">
        <v>38331</v>
      </c>
      <c r="C19506" s="2" t="s">
        <v>55</v>
      </c>
      <c r="D19506" s="2" t="s">
        <v>324</v>
      </c>
      <c r="E19506" s="2" t="str">
        <f>"9781526141873"</f>
        <v>9781526141873</v>
      </c>
      <c r="F19506" s="2" t="str">
        <f>"9781526101020"</f>
        <v>9781526101020</v>
      </c>
    </row>
    <row r="19507" spans="1:6" s="3" customFormat="1" ht="29.1" customHeight="1" x14ac:dyDescent="0.25">
      <c r="A19507" s="2" t="s">
        <v>38332</v>
      </c>
      <c r="B19507" s="2" t="s">
        <v>38333</v>
      </c>
      <c r="C19507" s="2" t="s">
        <v>55</v>
      </c>
      <c r="D19507" s="2" t="s">
        <v>1162</v>
      </c>
      <c r="E19507" s="2" t="str">
        <f>"9781526104953"</f>
        <v>9781526104953</v>
      </c>
      <c r="F19507" s="2" t="str">
        <f>"9781526104960"</f>
        <v>9781526104960</v>
      </c>
    </row>
    <row r="19508" spans="1:6" s="3" customFormat="1" ht="29.1" customHeight="1" x14ac:dyDescent="0.25">
      <c r="A19508" s="2" t="s">
        <v>38334</v>
      </c>
      <c r="B19508" s="2" t="s">
        <v>38335</v>
      </c>
      <c r="C19508" s="2" t="s">
        <v>55</v>
      </c>
      <c r="D19508" s="2" t="s">
        <v>1466</v>
      </c>
      <c r="E19508" s="2" t="str">
        <f>"9781526149121"</f>
        <v>9781526149121</v>
      </c>
      <c r="F19508" s="2" t="str">
        <f>"9781526149114"</f>
        <v>9781526149114</v>
      </c>
    </row>
    <row r="19509" spans="1:6" s="3" customFormat="1" ht="29.1" customHeight="1" x14ac:dyDescent="0.25">
      <c r="A19509" s="2" t="s">
        <v>38336</v>
      </c>
      <c r="B19509" s="2" t="s">
        <v>38337</v>
      </c>
      <c r="C19509" s="2" t="s">
        <v>55</v>
      </c>
      <c r="D19509" s="2" t="s">
        <v>636</v>
      </c>
      <c r="E19509" s="2" t="str">
        <f>"9781526152008"</f>
        <v>9781526152008</v>
      </c>
      <c r="F19509" s="2" t="str">
        <f>"9781526151988"</f>
        <v>9781526151988</v>
      </c>
    </row>
    <row r="19510" spans="1:6" s="3" customFormat="1" ht="29.1" customHeight="1" x14ac:dyDescent="0.25">
      <c r="A19510" s="2" t="s">
        <v>38338</v>
      </c>
      <c r="B19510" s="2" t="s">
        <v>38252</v>
      </c>
      <c r="C19510" s="2" t="s">
        <v>55</v>
      </c>
      <c r="D19510" s="2" t="s">
        <v>1189</v>
      </c>
      <c r="E19510" s="2" t="str">
        <f>"9781526150950"</f>
        <v>9781526150950</v>
      </c>
      <c r="F19510" s="2" t="str">
        <f>"9781526150943"</f>
        <v>9781526150943</v>
      </c>
    </row>
    <row r="19511" spans="1:6" s="3" customFormat="1" ht="29.1" customHeight="1" x14ac:dyDescent="0.25">
      <c r="A19511" s="2" t="s">
        <v>38339</v>
      </c>
      <c r="B19511" s="2" t="s">
        <v>38340</v>
      </c>
      <c r="C19511" s="2" t="s">
        <v>55</v>
      </c>
      <c r="D19511" s="2" t="s">
        <v>3993</v>
      </c>
      <c r="E19511" s="2" t="str">
        <f>"9780719080197"</f>
        <v>9780719080197</v>
      </c>
      <c r="F19511" s="2" t="str">
        <f>"9781526146458"</f>
        <v>9781526146458</v>
      </c>
    </row>
    <row r="19512" spans="1:6" s="3" customFormat="1" ht="29.1" customHeight="1" x14ac:dyDescent="0.25">
      <c r="A19512" s="2" t="s">
        <v>38341</v>
      </c>
      <c r="B19512" s="2" t="s">
        <v>38342</v>
      </c>
      <c r="C19512" s="2" t="s">
        <v>55</v>
      </c>
      <c r="D19512" s="2" t="s">
        <v>1162</v>
      </c>
      <c r="E19512" s="2" t="str">
        <f>"9781784994013"</f>
        <v>9781784994013</v>
      </c>
      <c r="F19512" s="2" t="str">
        <f>"9781784997359"</f>
        <v>9781784997359</v>
      </c>
    </row>
    <row r="19513" spans="1:6" s="3" customFormat="1" ht="29.1" customHeight="1" x14ac:dyDescent="0.25">
      <c r="A19513" s="2" t="s">
        <v>38343</v>
      </c>
      <c r="B19513" s="2" t="s">
        <v>38344</v>
      </c>
      <c r="C19513" s="2" t="s">
        <v>55</v>
      </c>
      <c r="D19513" s="2" t="s">
        <v>791</v>
      </c>
      <c r="E19513" s="2" t="str">
        <f>"9781526137029"</f>
        <v>9781526137029</v>
      </c>
      <c r="F19513" s="2" t="str">
        <f>"9781526137005"</f>
        <v>9781526137005</v>
      </c>
    </row>
    <row r="19514" spans="1:6" s="3" customFormat="1" ht="29.1" customHeight="1" x14ac:dyDescent="0.25">
      <c r="A19514" s="2" t="s">
        <v>38345</v>
      </c>
      <c r="B19514" s="2" t="s">
        <v>38346</v>
      </c>
      <c r="C19514" s="2" t="s">
        <v>55</v>
      </c>
      <c r="D19514" s="2" t="s">
        <v>1162</v>
      </c>
      <c r="E19514" s="2" t="str">
        <f>"9781526105141"</f>
        <v>9781526105141</v>
      </c>
      <c r="F19514" s="2" t="str">
        <f>"9781526105165"</f>
        <v>9781526105165</v>
      </c>
    </row>
    <row r="19515" spans="1:6" s="3" customFormat="1" ht="29.1" customHeight="1" x14ac:dyDescent="0.25">
      <c r="A19515" s="2" t="s">
        <v>38347</v>
      </c>
      <c r="B19515" s="2" t="s">
        <v>38348</v>
      </c>
      <c r="C19515" s="2" t="s">
        <v>55</v>
      </c>
      <c r="D19515" s="2" t="s">
        <v>218</v>
      </c>
      <c r="E19515" s="2" t="str">
        <f>"9781526114327"</f>
        <v>9781526114327</v>
      </c>
      <c r="F19515" s="2" t="str">
        <f>"9781526114341"</f>
        <v>9781526114341</v>
      </c>
    </row>
    <row r="19516" spans="1:6" s="3" customFormat="1" ht="29.1" customHeight="1" x14ac:dyDescent="0.25">
      <c r="A19516" s="2" t="s">
        <v>38349</v>
      </c>
      <c r="B19516" s="2" t="s">
        <v>38350</v>
      </c>
      <c r="C19516" s="2" t="s">
        <v>55</v>
      </c>
      <c r="D19516" s="2" t="s">
        <v>3185</v>
      </c>
      <c r="E19516" s="2" t="str">
        <f>"9781526143174"</f>
        <v>9781526143174</v>
      </c>
      <c r="F19516" s="2" t="str">
        <f>"9781526143167"</f>
        <v>9781526143167</v>
      </c>
    </row>
    <row r="19517" spans="1:6" s="3" customFormat="1" ht="29.1" customHeight="1" x14ac:dyDescent="0.25">
      <c r="A19517" s="2" t="s">
        <v>38351</v>
      </c>
      <c r="B19517" s="2" t="s">
        <v>38352</v>
      </c>
      <c r="C19517" s="2" t="s">
        <v>55</v>
      </c>
      <c r="D19517" s="2" t="s">
        <v>818</v>
      </c>
      <c r="E19517" s="2" t="str">
        <f>"9781526131348"</f>
        <v>9781526131348</v>
      </c>
      <c r="F19517" s="2" t="str">
        <f>"9781526131379"</f>
        <v>9781526131379</v>
      </c>
    </row>
    <row r="19518" spans="1:6" s="3" customFormat="1" ht="29.1" customHeight="1" x14ac:dyDescent="0.25">
      <c r="A19518" s="2" t="s">
        <v>38353</v>
      </c>
      <c r="B19518" s="2" t="s">
        <v>38354</v>
      </c>
      <c r="C19518" s="2" t="s">
        <v>55</v>
      </c>
      <c r="D19518" s="2" t="s">
        <v>606</v>
      </c>
      <c r="E19518" s="2" t="str">
        <f>"9781526150189"</f>
        <v>9781526150189</v>
      </c>
      <c r="F19518" s="2" t="str">
        <f>"9781526150172"</f>
        <v>9781526150172</v>
      </c>
    </row>
    <row r="19519" spans="1:6" s="3" customFormat="1" ht="29.1" customHeight="1" x14ac:dyDescent="0.25">
      <c r="A19519" s="2" t="s">
        <v>38355</v>
      </c>
      <c r="B19519" s="2" t="s">
        <v>38356</v>
      </c>
      <c r="C19519" s="2" t="s">
        <v>55</v>
      </c>
      <c r="D19519" s="2" t="s">
        <v>183</v>
      </c>
      <c r="E19519" s="2" t="str">
        <f>"9781526106469"</f>
        <v>9781526106469</v>
      </c>
      <c r="F19519" s="2" t="str">
        <f>"9781526106476"</f>
        <v>9781526106476</v>
      </c>
    </row>
    <row r="19520" spans="1:6" s="3" customFormat="1" ht="29.1" customHeight="1" x14ac:dyDescent="0.25">
      <c r="A19520" s="2" t="s">
        <v>38357</v>
      </c>
      <c r="B19520" s="2" t="s">
        <v>38358</v>
      </c>
      <c r="C19520" s="2" t="s">
        <v>55</v>
      </c>
      <c r="D19520" s="2" t="s">
        <v>78</v>
      </c>
      <c r="E19520" s="2" t="str">
        <f>"9781526113214"</f>
        <v>9781526113214</v>
      </c>
      <c r="F19520" s="2" t="str">
        <f>"9781526113238"</f>
        <v>9781526113238</v>
      </c>
    </row>
    <row r="19521" spans="1:6" s="3" customFormat="1" ht="29.1" customHeight="1" x14ac:dyDescent="0.25">
      <c r="A19521" s="2" t="s">
        <v>38359</v>
      </c>
      <c r="B19521" s="2" t="s">
        <v>38360</v>
      </c>
      <c r="C19521" s="2" t="s">
        <v>55</v>
      </c>
      <c r="D19521" s="2" t="s">
        <v>202</v>
      </c>
      <c r="E19521" s="2" t="str">
        <f>"9781526133090"</f>
        <v>9781526133090</v>
      </c>
      <c r="F19521" s="2" t="str">
        <f>"9781526133113"</f>
        <v>9781526133113</v>
      </c>
    </row>
    <row r="19522" spans="1:6" s="3" customFormat="1" ht="29.1" customHeight="1" x14ac:dyDescent="0.25">
      <c r="A19522" s="2" t="s">
        <v>38361</v>
      </c>
      <c r="B19522" s="2" t="s">
        <v>38362</v>
      </c>
      <c r="C19522" s="2" t="s">
        <v>55</v>
      </c>
      <c r="D19522" s="2" t="s">
        <v>509</v>
      </c>
      <c r="E19522" s="2" t="str">
        <f>"9780719081422"</f>
        <v>9780719081422</v>
      </c>
      <c r="F19522" s="2" t="str">
        <f>"9781526147530"</f>
        <v>9781526147530</v>
      </c>
    </row>
    <row r="19523" spans="1:6" s="3" customFormat="1" ht="29.1" customHeight="1" x14ac:dyDescent="0.25">
      <c r="A19523" s="2" t="s">
        <v>38363</v>
      </c>
      <c r="B19523" s="2" t="s">
        <v>38364</v>
      </c>
      <c r="C19523" s="2" t="s">
        <v>55</v>
      </c>
      <c r="D19523" s="2" t="s">
        <v>5832</v>
      </c>
      <c r="E19523" s="2" t="str">
        <f>"9781526121301"</f>
        <v>9781526121301</v>
      </c>
      <c r="F19523" s="2" t="str">
        <f>"9781526121295"</f>
        <v>9781526121295</v>
      </c>
    </row>
    <row r="19524" spans="1:6" s="3" customFormat="1" ht="29.1" customHeight="1" x14ac:dyDescent="0.25">
      <c r="A19524" s="2" t="s">
        <v>38365</v>
      </c>
      <c r="B19524" s="2" t="s">
        <v>38366</v>
      </c>
      <c r="C19524" s="2" t="s">
        <v>55</v>
      </c>
      <c r="D19524" s="2" t="s">
        <v>3166</v>
      </c>
      <c r="E19524" s="2" t="str">
        <f>"9781526136435"</f>
        <v>9781526136435</v>
      </c>
      <c r="F19524" s="2" t="str">
        <f>"9781526136442"</f>
        <v>9781526136442</v>
      </c>
    </row>
    <row r="19525" spans="1:6" s="3" customFormat="1" ht="29.1" customHeight="1" x14ac:dyDescent="0.25">
      <c r="A19525" s="2" t="s">
        <v>38367</v>
      </c>
      <c r="B19525" s="2" t="s">
        <v>38368</v>
      </c>
      <c r="C19525" s="2" t="s">
        <v>55</v>
      </c>
      <c r="D19525" s="2" t="s">
        <v>501</v>
      </c>
      <c r="E19525" s="2" t="str">
        <f>"9781784994044"</f>
        <v>9781784994044</v>
      </c>
      <c r="F19525" s="2" t="str">
        <f>"9781784997632"</f>
        <v>9781784997632</v>
      </c>
    </row>
    <row r="19526" spans="1:6" s="3" customFormat="1" ht="29.1" customHeight="1" x14ac:dyDescent="0.25">
      <c r="A19526" s="2" t="s">
        <v>38369</v>
      </c>
      <c r="B19526" s="2" t="s">
        <v>38370</v>
      </c>
      <c r="C19526" s="2" t="s">
        <v>55</v>
      </c>
      <c r="D19526" s="2" t="s">
        <v>11830</v>
      </c>
      <c r="E19526" s="2" t="str">
        <f>"9781526105486"</f>
        <v>9781526105486</v>
      </c>
      <c r="F19526" s="2" t="str">
        <f>"9781526105479"</f>
        <v>9781526105479</v>
      </c>
    </row>
    <row r="19527" spans="1:6" s="3" customFormat="1" ht="29.1" customHeight="1" x14ac:dyDescent="0.25">
      <c r="A19527" s="2" t="s">
        <v>38371</v>
      </c>
      <c r="B19527" s="2" t="s">
        <v>38372</v>
      </c>
      <c r="C19527" s="2" t="s">
        <v>55</v>
      </c>
      <c r="D19527" s="2" t="s">
        <v>436</v>
      </c>
      <c r="E19527" s="2" t="str">
        <f>"9780719085192"</f>
        <v>9780719085192</v>
      </c>
      <c r="F19527" s="2" t="str">
        <f>"9781526151629"</f>
        <v>9781526151629</v>
      </c>
    </row>
    <row r="19528" spans="1:6" s="3" customFormat="1" ht="29.1" customHeight="1" x14ac:dyDescent="0.25">
      <c r="A19528" s="2" t="s">
        <v>38373</v>
      </c>
      <c r="B19528" s="2" t="s">
        <v>38374</v>
      </c>
      <c r="C19528" s="2" t="s">
        <v>55</v>
      </c>
      <c r="D19528" s="2" t="s">
        <v>906</v>
      </c>
      <c r="E19528" s="2" t="str">
        <f>"9789198469837"</f>
        <v>9789198469837</v>
      </c>
      <c r="F19528" s="2" t="str">
        <f>"9789198469844"</f>
        <v>9789198469844</v>
      </c>
    </row>
    <row r="19529" spans="1:6" s="3" customFormat="1" ht="29.1" customHeight="1" x14ac:dyDescent="0.25">
      <c r="A19529" s="2" t="s">
        <v>38375</v>
      </c>
      <c r="B19529" s="2" t="s">
        <v>38376</v>
      </c>
      <c r="C19529" s="2" t="s">
        <v>55</v>
      </c>
      <c r="D19529" s="2" t="s">
        <v>647</v>
      </c>
      <c r="E19529" s="2" t="str">
        <f>"9789198469936"</f>
        <v>9789198469936</v>
      </c>
      <c r="F19529" s="2" t="str">
        <f>"9789198469943"</f>
        <v>9789198469943</v>
      </c>
    </row>
    <row r="19530" spans="1:6" s="3" customFormat="1" ht="29.1" customHeight="1" x14ac:dyDescent="0.25">
      <c r="A19530" s="2" t="s">
        <v>38377</v>
      </c>
      <c r="B19530" s="2" t="s">
        <v>38378</v>
      </c>
      <c r="C19530" s="2" t="s">
        <v>55</v>
      </c>
      <c r="D19530" s="2" t="s">
        <v>12164</v>
      </c>
      <c r="E19530" s="2" t="str">
        <f>"9789198469967"</f>
        <v>9789198469967</v>
      </c>
      <c r="F19530" s="2" t="str">
        <f>"9789198469974"</f>
        <v>9789198469974</v>
      </c>
    </row>
    <row r="19531" spans="1:6" s="3" customFormat="1" ht="29.1" customHeight="1" x14ac:dyDescent="0.25">
      <c r="A19531" s="2" t="s">
        <v>38379</v>
      </c>
      <c r="B19531" s="2" t="s">
        <v>38380</v>
      </c>
      <c r="C19531" s="2" t="s">
        <v>55</v>
      </c>
      <c r="D19531" s="2" t="s">
        <v>2332</v>
      </c>
      <c r="E19531" s="2" t="str">
        <f>"9789198469905"</f>
        <v>9789198469905</v>
      </c>
      <c r="F19531" s="2" t="str">
        <f>"9789198469912"</f>
        <v>9789198469912</v>
      </c>
    </row>
    <row r="19532" spans="1:6" s="3" customFormat="1" ht="29.1" customHeight="1" x14ac:dyDescent="0.25">
      <c r="A19532" s="2" t="s">
        <v>38381</v>
      </c>
      <c r="B19532" s="2" t="s">
        <v>38382</v>
      </c>
      <c r="C19532" s="2" t="s">
        <v>55</v>
      </c>
      <c r="D19532" s="2" t="s">
        <v>1183</v>
      </c>
      <c r="E19532" s="2" t="str">
        <f>"9780719067099"</f>
        <v>9780719067099</v>
      </c>
      <c r="F19532" s="2" t="str">
        <f>"9781526137401"</f>
        <v>9781526137401</v>
      </c>
    </row>
    <row r="19533" spans="1:6" s="3" customFormat="1" ht="29.1" customHeight="1" x14ac:dyDescent="0.25">
      <c r="A19533" s="2" t="s">
        <v>38383</v>
      </c>
      <c r="B19533" s="2" t="s">
        <v>38384</v>
      </c>
      <c r="C19533" s="2" t="s">
        <v>55</v>
      </c>
      <c r="D19533" s="2" t="s">
        <v>3166</v>
      </c>
      <c r="E19533" s="2" t="str">
        <f>"9781526117991"</f>
        <v>9781526117991</v>
      </c>
      <c r="F19533" s="2" t="str">
        <f>"9781526118004"</f>
        <v>9781526118004</v>
      </c>
    </row>
    <row r="19534" spans="1:6" s="3" customFormat="1" ht="29.1" customHeight="1" x14ac:dyDescent="0.25">
      <c r="A19534" s="2" t="s">
        <v>38385</v>
      </c>
      <c r="B19534" s="2" t="s">
        <v>38386</v>
      </c>
      <c r="C19534" s="2" t="s">
        <v>55</v>
      </c>
      <c r="D19534" s="2" t="s">
        <v>4172</v>
      </c>
      <c r="E19534" s="2" t="str">
        <f>"9781526121738"</f>
        <v>9781526121738</v>
      </c>
      <c r="F19534" s="2" t="str">
        <f>"9781526121752"</f>
        <v>9781526121752</v>
      </c>
    </row>
    <row r="19535" spans="1:6" s="3" customFormat="1" ht="29.1" customHeight="1" x14ac:dyDescent="0.25">
      <c r="A19535" s="2" t="s">
        <v>38387</v>
      </c>
      <c r="B19535" s="2" t="s">
        <v>38388</v>
      </c>
      <c r="C19535" s="2" t="s">
        <v>55</v>
      </c>
      <c r="D19535" s="2" t="s">
        <v>17547</v>
      </c>
      <c r="E19535" s="2" t="str">
        <f>"9780719099175"</f>
        <v>9780719099175</v>
      </c>
      <c r="F19535" s="2" t="str">
        <f>"9781526122308"</f>
        <v>9781526122308</v>
      </c>
    </row>
    <row r="19536" spans="1:6" s="3" customFormat="1" ht="29.1" customHeight="1" x14ac:dyDescent="0.25">
      <c r="A19536" s="2" t="s">
        <v>38389</v>
      </c>
      <c r="B19536" s="2" t="s">
        <v>38390</v>
      </c>
      <c r="C19536" s="2" t="s">
        <v>55</v>
      </c>
      <c r="D19536" s="2" t="s">
        <v>4241</v>
      </c>
      <c r="E19536" s="2" t="str">
        <f>"9781526131386"</f>
        <v>9781526131386</v>
      </c>
      <c r="F19536" s="2" t="str">
        <f>"9781526131409"</f>
        <v>9781526131409</v>
      </c>
    </row>
    <row r="19537" spans="1:6" s="3" customFormat="1" ht="29.1" customHeight="1" x14ac:dyDescent="0.25">
      <c r="A19537" s="2" t="s">
        <v>38391</v>
      </c>
      <c r="B19537" s="2" t="s">
        <v>38392</v>
      </c>
      <c r="C19537" s="2" t="s">
        <v>55</v>
      </c>
      <c r="D19537" s="2" t="s">
        <v>218</v>
      </c>
      <c r="E19537" s="2" t="str">
        <f>"9781526117809"</f>
        <v>9781526117809</v>
      </c>
      <c r="F19537" s="2" t="str">
        <f>"9781526117816"</f>
        <v>9781526117816</v>
      </c>
    </row>
    <row r="19538" spans="1:6" s="3" customFormat="1" ht="29.1" customHeight="1" x14ac:dyDescent="0.25">
      <c r="A19538" s="2" t="s">
        <v>38393</v>
      </c>
      <c r="B19538" s="2" t="s">
        <v>38394</v>
      </c>
      <c r="C19538" s="2" t="s">
        <v>5059</v>
      </c>
      <c r="D19538" s="2" t="s">
        <v>3523</v>
      </c>
      <c r="E19538" s="2" t="str">
        <f>"9781743327579"</f>
        <v>9781743327579</v>
      </c>
      <c r="F19538" s="2" t="str">
        <f>"9781743327586"</f>
        <v>9781743327586</v>
      </c>
    </row>
    <row r="19539" spans="1:6" s="3" customFormat="1" ht="29.1" customHeight="1" x14ac:dyDescent="0.25">
      <c r="A19539" s="2" t="s">
        <v>38395</v>
      </c>
      <c r="B19539" s="2" t="s">
        <v>38396</v>
      </c>
      <c r="C19539" s="2" t="s">
        <v>927</v>
      </c>
      <c r="D19539" s="2" t="s">
        <v>8788</v>
      </c>
      <c r="E19539" s="2" t="str">
        <f>"9780472054336"</f>
        <v>9780472054336</v>
      </c>
      <c r="F19539" s="2" t="str">
        <f>"9780472901302"</f>
        <v>9780472901302</v>
      </c>
    </row>
    <row r="19540" spans="1:6" s="3" customFormat="1" ht="29.1" customHeight="1" x14ac:dyDescent="0.25">
      <c r="A19540" s="2" t="s">
        <v>38397</v>
      </c>
      <c r="B19540" s="2" t="s">
        <v>38398</v>
      </c>
      <c r="C19540" s="2" t="s">
        <v>124</v>
      </c>
      <c r="D19540" s="2" t="s">
        <v>4283</v>
      </c>
      <c r="E19540" s="2" t="str">
        <f>"9780367758318"</f>
        <v>9780367758318</v>
      </c>
      <c r="F19540" s="2" t="str">
        <f>"9781000504422"</f>
        <v>9781000504422</v>
      </c>
    </row>
    <row r="19541" spans="1:6" s="3" customFormat="1" ht="29.1" customHeight="1" x14ac:dyDescent="0.25">
      <c r="A19541" s="2" t="s">
        <v>38399</v>
      </c>
      <c r="B19541" s="2" t="s">
        <v>38400</v>
      </c>
      <c r="C19541" s="2" t="s">
        <v>124</v>
      </c>
      <c r="D19541" s="2" t="s">
        <v>9317</v>
      </c>
      <c r="E19541" s="2" t="str">
        <f>"9780367555337"</f>
        <v>9780367555337</v>
      </c>
      <c r="F19541" s="2" t="str">
        <f>"9781000488456"</f>
        <v>9781000488456</v>
      </c>
    </row>
    <row r="19542" spans="1:6" s="3" customFormat="1" ht="29.1" customHeight="1" x14ac:dyDescent="0.25">
      <c r="A19542" s="2" t="s">
        <v>38401</v>
      </c>
      <c r="B19542" s="2" t="s">
        <v>38402</v>
      </c>
      <c r="C19542" s="2" t="s">
        <v>124</v>
      </c>
      <c r="D19542" s="2" t="s">
        <v>3086</v>
      </c>
      <c r="E19542" s="2" t="str">
        <f>"9780367690700"</f>
        <v>9780367690700</v>
      </c>
      <c r="F19542" s="2" t="str">
        <f>"9781000509083"</f>
        <v>9781000509083</v>
      </c>
    </row>
    <row r="19543" spans="1:6" s="3" customFormat="1" ht="29.1" customHeight="1" x14ac:dyDescent="0.25">
      <c r="A19543" s="2" t="s">
        <v>38403</v>
      </c>
      <c r="B19543" s="2" t="s">
        <v>38404</v>
      </c>
      <c r="C19543" s="2" t="s">
        <v>124</v>
      </c>
      <c r="D19543" s="2" t="s">
        <v>98</v>
      </c>
      <c r="E19543" s="2" t="str">
        <f>"9781032127767"</f>
        <v>9781032127767</v>
      </c>
      <c r="F19543" s="2" t="str">
        <f>"9781000509472"</f>
        <v>9781000509472</v>
      </c>
    </row>
    <row r="19544" spans="1:6" s="3" customFormat="1" ht="29.1" customHeight="1" x14ac:dyDescent="0.25">
      <c r="A19544" s="2" t="s">
        <v>38405</v>
      </c>
      <c r="B19544" s="2" t="s">
        <v>38406</v>
      </c>
      <c r="C19544" s="2" t="s">
        <v>124</v>
      </c>
      <c r="D19544" s="2" t="s">
        <v>2513</v>
      </c>
      <c r="E19544" s="2" t="str">
        <f>"9780367468576"</f>
        <v>9780367468576</v>
      </c>
      <c r="F19544" s="2" t="str">
        <f>"9781000504903"</f>
        <v>9781000504903</v>
      </c>
    </row>
    <row r="19545" spans="1:6" s="3" customFormat="1" ht="29.1" customHeight="1" x14ac:dyDescent="0.25">
      <c r="A19545" s="2" t="s">
        <v>38407</v>
      </c>
      <c r="B19545" s="2" t="s">
        <v>16222</v>
      </c>
      <c r="C19545" s="2" t="s">
        <v>124</v>
      </c>
      <c r="D19545" s="2" t="s">
        <v>270</v>
      </c>
      <c r="E19545" s="2" t="str">
        <f>"9780367763961"</f>
        <v>9780367763961</v>
      </c>
      <c r="F19545" s="2" t="str">
        <f>"9781000471311"</f>
        <v>9781000471311</v>
      </c>
    </row>
    <row r="19546" spans="1:6" s="3" customFormat="1" ht="29.1" customHeight="1" x14ac:dyDescent="0.25">
      <c r="A19546" s="2" t="s">
        <v>38408</v>
      </c>
      <c r="B19546" s="2" t="s">
        <v>38409</v>
      </c>
      <c r="C19546" s="2" t="s">
        <v>124</v>
      </c>
      <c r="D19546" s="2" t="s">
        <v>75</v>
      </c>
      <c r="E19546" s="2" t="str">
        <f>"9780367422059"</f>
        <v>9780367422059</v>
      </c>
      <c r="F19546" s="2" t="str">
        <f>"9780367822699"</f>
        <v>9780367822699</v>
      </c>
    </row>
    <row r="19547" spans="1:6" s="3" customFormat="1" ht="29.1" customHeight="1" x14ac:dyDescent="0.25">
      <c r="A19547" s="2" t="s">
        <v>38410</v>
      </c>
      <c r="B19547" s="2" t="s">
        <v>38411</v>
      </c>
      <c r="C19547" s="2" t="s">
        <v>124</v>
      </c>
      <c r="D19547" s="2" t="s">
        <v>353</v>
      </c>
      <c r="E19547" s="2" t="str">
        <f>"9780367674151"</f>
        <v>9780367674151</v>
      </c>
      <c r="F19547" s="2" t="str">
        <f>"9781000506853"</f>
        <v>9781000506853</v>
      </c>
    </row>
    <row r="19548" spans="1:6" s="3" customFormat="1" ht="29.1" customHeight="1" x14ac:dyDescent="0.25">
      <c r="A19548" s="2" t="s">
        <v>38412</v>
      </c>
      <c r="B19548" s="2" t="s">
        <v>38413</v>
      </c>
      <c r="C19548" s="2" t="s">
        <v>124</v>
      </c>
      <c r="D19548" s="2" t="s">
        <v>25147</v>
      </c>
      <c r="E19548" s="2" t="str">
        <f>"9780367489533"</f>
        <v>9780367489533</v>
      </c>
      <c r="F19548" s="2" t="str">
        <f>"9781000508703"</f>
        <v>9781000508703</v>
      </c>
    </row>
    <row r="19549" spans="1:6" s="3" customFormat="1" ht="29.1" customHeight="1" x14ac:dyDescent="0.25">
      <c r="A19549" s="2" t="s">
        <v>38414</v>
      </c>
      <c r="B19549" s="2" t="s">
        <v>38415</v>
      </c>
      <c r="C19549" s="2" t="s">
        <v>124</v>
      </c>
      <c r="D19549" s="2" t="s">
        <v>49</v>
      </c>
      <c r="E19549" s="2" t="str">
        <f>"9780415830645"</f>
        <v>9780415830645</v>
      </c>
      <c r="F19549" s="2" t="str">
        <f>"9780203740262"</f>
        <v>9780203740262</v>
      </c>
    </row>
    <row r="19550" spans="1:6" s="3" customFormat="1" ht="29.1" customHeight="1" x14ac:dyDescent="0.25">
      <c r="A19550" s="2" t="s">
        <v>38416</v>
      </c>
      <c r="B19550" s="2" t="s">
        <v>38417</v>
      </c>
      <c r="C19550" s="2" t="s">
        <v>124</v>
      </c>
      <c r="D19550" s="2" t="s">
        <v>270</v>
      </c>
      <c r="E19550" s="2" t="str">
        <f>"9780367478025"</f>
        <v>9780367478025</v>
      </c>
      <c r="F19550" s="2" t="str">
        <f>"9781000509298"</f>
        <v>9781000509298</v>
      </c>
    </row>
    <row r="19551" spans="1:6" s="3" customFormat="1" ht="29.1" customHeight="1" x14ac:dyDescent="0.25">
      <c r="A19551" s="2" t="s">
        <v>38418</v>
      </c>
      <c r="B19551" s="2" t="s">
        <v>38419</v>
      </c>
      <c r="C19551" s="2" t="s">
        <v>124</v>
      </c>
      <c r="D19551" s="2" t="s">
        <v>210</v>
      </c>
      <c r="E19551" s="2" t="str">
        <f>"9780367146818"</f>
        <v>9780367146818</v>
      </c>
      <c r="F19551" s="2" t="str">
        <f>"9780429053061"</f>
        <v>9780429053061</v>
      </c>
    </row>
    <row r="19552" spans="1:6" s="3" customFormat="1" ht="29.1" customHeight="1" x14ac:dyDescent="0.25">
      <c r="A19552" s="2" t="s">
        <v>38420</v>
      </c>
      <c r="B19552" s="2" t="s">
        <v>38421</v>
      </c>
      <c r="C19552" s="2" t="s">
        <v>124</v>
      </c>
      <c r="D19552" s="2" t="s">
        <v>639</v>
      </c>
      <c r="E19552" s="2" t="str">
        <f>"9781032017822"</f>
        <v>9781032017822</v>
      </c>
      <c r="F19552" s="2" t="str">
        <f>"9781000486674"</f>
        <v>9781000486674</v>
      </c>
    </row>
    <row r="19553" spans="1:6" s="3" customFormat="1" ht="29.1" customHeight="1" x14ac:dyDescent="0.25">
      <c r="A19553" s="2" t="s">
        <v>38422</v>
      </c>
      <c r="B19553" s="2" t="s">
        <v>38423</v>
      </c>
      <c r="C19553" s="2" t="s">
        <v>124</v>
      </c>
      <c r="D19553" s="2" t="s">
        <v>183</v>
      </c>
      <c r="E19553" s="2" t="str">
        <f>"9780367638160"</f>
        <v>9780367638160</v>
      </c>
      <c r="F19553" s="2" t="str">
        <f>"9781000488425"</f>
        <v>9781000488425</v>
      </c>
    </row>
    <row r="19554" spans="1:6" s="3" customFormat="1" ht="29.1" customHeight="1" x14ac:dyDescent="0.25">
      <c r="A19554" s="2" t="s">
        <v>38424</v>
      </c>
      <c r="B19554" s="2" t="s">
        <v>38425</v>
      </c>
      <c r="C19554" s="2" t="s">
        <v>124</v>
      </c>
      <c r="D19554" s="2" t="s">
        <v>1001</v>
      </c>
      <c r="E19554" s="2" t="str">
        <f>"9780367676834"</f>
        <v>9780367676834</v>
      </c>
      <c r="F19554" s="2" t="str">
        <f>"9781000482263"</f>
        <v>9781000482263</v>
      </c>
    </row>
    <row r="19555" spans="1:6" s="3" customFormat="1" ht="29.1" customHeight="1" x14ac:dyDescent="0.25">
      <c r="A19555" s="2" t="s">
        <v>38426</v>
      </c>
      <c r="B19555" s="2" t="s">
        <v>38427</v>
      </c>
      <c r="C19555" s="2" t="s">
        <v>124</v>
      </c>
      <c r="D19555" s="2" t="s">
        <v>5428</v>
      </c>
      <c r="E19555" s="2" t="str">
        <f>"9780367742751"</f>
        <v>9780367742751</v>
      </c>
      <c r="F19555" s="2" t="str">
        <f>"9781000505955"</f>
        <v>9781000505955</v>
      </c>
    </row>
    <row r="19556" spans="1:6" s="3" customFormat="1" ht="29.1" customHeight="1" x14ac:dyDescent="0.25">
      <c r="A19556" s="2" t="s">
        <v>38428</v>
      </c>
      <c r="B19556" s="2" t="s">
        <v>38429</v>
      </c>
      <c r="C19556" s="2" t="s">
        <v>124</v>
      </c>
      <c r="D19556" s="2" t="s">
        <v>86</v>
      </c>
      <c r="E19556" s="2" t="str">
        <f>"9780367742775"</f>
        <v>9780367742775</v>
      </c>
      <c r="F19556" s="2" t="str">
        <f>"9781000504019"</f>
        <v>9781000504019</v>
      </c>
    </row>
    <row r="19557" spans="1:6" s="3" customFormat="1" ht="29.1" customHeight="1" x14ac:dyDescent="0.25">
      <c r="A19557" s="2" t="s">
        <v>38430</v>
      </c>
      <c r="B19557" s="2" t="s">
        <v>38431</v>
      </c>
      <c r="C19557" s="2" t="s">
        <v>36</v>
      </c>
      <c r="D19557" s="2" t="s">
        <v>30954</v>
      </c>
      <c r="E19557" s="2" t="str">
        <f>"9781447355786"</f>
        <v>9781447355786</v>
      </c>
      <c r="F19557" s="2" t="str">
        <f>"9781447355809"</f>
        <v>9781447355809</v>
      </c>
    </row>
    <row r="19558" spans="1:6" s="3" customFormat="1" ht="29.1" customHeight="1" x14ac:dyDescent="0.25">
      <c r="A19558" s="2" t="s">
        <v>38432</v>
      </c>
      <c r="B19558" s="2" t="s">
        <v>38433</v>
      </c>
      <c r="C19558" s="2" t="s">
        <v>62</v>
      </c>
      <c r="D19558" s="2" t="s">
        <v>11572</v>
      </c>
      <c r="E19558" s="2" t="str">
        <f>"9783428182565"</f>
        <v>9783428182565</v>
      </c>
      <c r="F19558" s="2" t="str">
        <f>"9783428582563"</f>
        <v>9783428582563</v>
      </c>
    </row>
    <row r="19559" spans="1:6" s="3" customFormat="1" ht="29.1" customHeight="1" x14ac:dyDescent="0.25">
      <c r="A19559" s="2" t="s">
        <v>38434</v>
      </c>
      <c r="B19559" s="2" t="s">
        <v>38435</v>
      </c>
      <c r="C19559" s="2" t="s">
        <v>62</v>
      </c>
      <c r="D19559" s="2" t="s">
        <v>6464</v>
      </c>
      <c r="E19559" s="2" t="str">
        <f>"9783428182138"</f>
        <v>9783428182138</v>
      </c>
      <c r="F19559" s="2" t="str">
        <f>"9783428582136"</f>
        <v>9783428582136</v>
      </c>
    </row>
    <row r="19560" spans="1:6" s="3" customFormat="1" ht="29.1" customHeight="1" x14ac:dyDescent="0.25">
      <c r="A19560" s="2" t="s">
        <v>38436</v>
      </c>
      <c r="B19560" s="2" t="s">
        <v>38437</v>
      </c>
      <c r="C19560" s="2" t="s">
        <v>264</v>
      </c>
      <c r="D19560" s="2" t="s">
        <v>15880</v>
      </c>
      <c r="E19560" s="2" t="str">
        <f>"9781032013206"</f>
        <v>9781032013206</v>
      </c>
      <c r="F19560" s="2" t="str">
        <f>"9781000433715"</f>
        <v>9781000433715</v>
      </c>
    </row>
    <row r="19561" spans="1:6" s="3" customFormat="1" ht="29.1" customHeight="1" x14ac:dyDescent="0.25">
      <c r="A19561" s="2" t="s">
        <v>38438</v>
      </c>
      <c r="B19561" s="2" t="s">
        <v>38439</v>
      </c>
      <c r="C19561" s="2" t="s">
        <v>195</v>
      </c>
      <c r="D19561" s="2" t="s">
        <v>297</v>
      </c>
      <c r="E19561" s="2" t="str">
        <f>"9783110657364"</f>
        <v>9783110657364</v>
      </c>
      <c r="F19561" s="2" t="str">
        <f>"9783110657388"</f>
        <v>9783110657388</v>
      </c>
    </row>
    <row r="19562" spans="1:6" s="3" customFormat="1" ht="29.1" customHeight="1" x14ac:dyDescent="0.25">
      <c r="A19562" s="2" t="s">
        <v>38440</v>
      </c>
      <c r="B19562" s="2" t="s">
        <v>38441</v>
      </c>
      <c r="C19562" s="2" t="s">
        <v>15052</v>
      </c>
      <c r="D19562" s="2" t="s">
        <v>636</v>
      </c>
      <c r="E19562" s="2" t="str">
        <f>"9781503628656"</f>
        <v>9781503628656</v>
      </c>
      <c r="F19562" s="2" t="str">
        <f>"9781503628663"</f>
        <v>9781503628663</v>
      </c>
    </row>
    <row r="19563" spans="1:6" s="3" customFormat="1" ht="29.1" customHeight="1" x14ac:dyDescent="0.25">
      <c r="A19563" s="2" t="s">
        <v>38442</v>
      </c>
      <c r="B19563" s="2" t="s">
        <v>38443</v>
      </c>
      <c r="C19563" s="2" t="s">
        <v>149</v>
      </c>
      <c r="D19563" s="2" t="s">
        <v>2602</v>
      </c>
      <c r="E19563" s="2" t="str">
        <f>"9781800641198"</f>
        <v>9781800641198</v>
      </c>
      <c r="F19563" s="2" t="str">
        <f>"9781800641211"</f>
        <v>9781800641211</v>
      </c>
    </row>
    <row r="19564" spans="1:6" s="3" customFormat="1" ht="29.1" customHeight="1" x14ac:dyDescent="0.25">
      <c r="A19564" s="2" t="s">
        <v>38444</v>
      </c>
      <c r="B19564" s="2" t="s">
        <v>38445</v>
      </c>
      <c r="C19564" s="2" t="s">
        <v>26676</v>
      </c>
      <c r="D19564" s="2" t="s">
        <v>162</v>
      </c>
      <c r="E19564" s="2" t="str">
        <f>"9781618114990"</f>
        <v>9781618114990</v>
      </c>
      <c r="F19564" s="2" t="str">
        <f>"9781618115003"</f>
        <v>9781618115003</v>
      </c>
    </row>
    <row r="19565" spans="1:6" s="3" customFormat="1" ht="29.1" customHeight="1" x14ac:dyDescent="0.25">
      <c r="A19565" s="2" t="s">
        <v>38446</v>
      </c>
      <c r="B19565" s="2" t="s">
        <v>38447</v>
      </c>
      <c r="C19565" s="2" t="s">
        <v>556</v>
      </c>
      <c r="D19565" s="2" t="s">
        <v>1141</v>
      </c>
      <c r="E19565" s="2" t="str">
        <f>"9783837658453"</f>
        <v>9783837658453</v>
      </c>
      <c r="F19565" s="2" t="str">
        <f>"9783839458457"</f>
        <v>9783839458457</v>
      </c>
    </row>
    <row r="19566" spans="1:6" s="3" customFormat="1" ht="29.1" customHeight="1" x14ac:dyDescent="0.25">
      <c r="A19566" s="2" t="s">
        <v>38448</v>
      </c>
      <c r="B19566" s="2" t="s">
        <v>38449</v>
      </c>
      <c r="C19566" s="2" t="s">
        <v>556</v>
      </c>
      <c r="D19566" s="2" t="s">
        <v>647</v>
      </c>
      <c r="E19566" s="2" t="str">
        <f>"9783837658330"</f>
        <v>9783837658330</v>
      </c>
      <c r="F19566" s="2" t="str">
        <f>"9783839458334"</f>
        <v>9783839458334</v>
      </c>
    </row>
    <row r="19567" spans="1:6" s="3" customFormat="1" ht="29.1" customHeight="1" x14ac:dyDescent="0.25">
      <c r="A19567" s="2" t="s">
        <v>38450</v>
      </c>
      <c r="B19567" s="2" t="s">
        <v>38451</v>
      </c>
      <c r="C19567" s="2" t="s">
        <v>556</v>
      </c>
      <c r="D19567" s="2" t="s">
        <v>1082</v>
      </c>
      <c r="E19567" s="2" t="str">
        <f>"9783837658187"</f>
        <v>9783837658187</v>
      </c>
      <c r="F19567" s="2" t="str">
        <f>"9783839458181"</f>
        <v>9783839458181</v>
      </c>
    </row>
    <row r="19568" spans="1:6" s="3" customFormat="1" ht="29.1" customHeight="1" x14ac:dyDescent="0.25">
      <c r="A19568" s="2" t="s">
        <v>38452</v>
      </c>
      <c r="B19568" s="2" t="s">
        <v>38453</v>
      </c>
      <c r="C19568" s="2" t="s">
        <v>556</v>
      </c>
      <c r="D19568" s="2" t="s">
        <v>1183</v>
      </c>
      <c r="E19568" s="2" t="str">
        <f>"9783837658132"</f>
        <v>9783837658132</v>
      </c>
      <c r="F19568" s="2" t="str">
        <f>"9783839458136"</f>
        <v>9783839458136</v>
      </c>
    </row>
    <row r="19569" spans="1:6" s="3" customFormat="1" ht="29.1" customHeight="1" x14ac:dyDescent="0.25">
      <c r="A19569" s="2" t="s">
        <v>38454</v>
      </c>
      <c r="B19569" s="2" t="s">
        <v>38455</v>
      </c>
      <c r="C19569" s="2" t="s">
        <v>556</v>
      </c>
      <c r="D19569" s="2" t="s">
        <v>446</v>
      </c>
      <c r="E19569" s="2" t="str">
        <f>"9783837658118"</f>
        <v>9783837658118</v>
      </c>
      <c r="F19569" s="2" t="str">
        <f>"9783839458112"</f>
        <v>9783839458112</v>
      </c>
    </row>
    <row r="19570" spans="1:6" s="3" customFormat="1" ht="29.1" customHeight="1" x14ac:dyDescent="0.25">
      <c r="A19570" s="2" t="s">
        <v>38456</v>
      </c>
      <c r="B19570" s="2" t="s">
        <v>38457</v>
      </c>
      <c r="C19570" s="2" t="s">
        <v>556</v>
      </c>
      <c r="D19570" s="2" t="s">
        <v>446</v>
      </c>
      <c r="E19570" s="2" t="str">
        <f>"9783837656237"</f>
        <v>9783837656237</v>
      </c>
      <c r="F19570" s="2" t="str">
        <f>"9783839456231"</f>
        <v>9783839456231</v>
      </c>
    </row>
    <row r="19571" spans="1:6" s="3" customFormat="1" ht="29.1" customHeight="1" x14ac:dyDescent="0.25">
      <c r="A19571" s="2" t="s">
        <v>38458</v>
      </c>
      <c r="B19571" s="2" t="s">
        <v>38459</v>
      </c>
      <c r="C19571" s="2" t="s">
        <v>556</v>
      </c>
      <c r="D19571" s="2" t="s">
        <v>636</v>
      </c>
      <c r="E19571" s="2" t="str">
        <f>"9783837655902"</f>
        <v>9783837655902</v>
      </c>
      <c r="F19571" s="2" t="str">
        <f>"9783839455906"</f>
        <v>9783839455906</v>
      </c>
    </row>
    <row r="19572" spans="1:6" s="3" customFormat="1" ht="29.1" customHeight="1" x14ac:dyDescent="0.25">
      <c r="A19572" s="2" t="s">
        <v>38460</v>
      </c>
      <c r="B19572" s="2" t="s">
        <v>38461</v>
      </c>
      <c r="C19572" s="2" t="s">
        <v>556</v>
      </c>
      <c r="D19572" s="2" t="s">
        <v>7608</v>
      </c>
      <c r="E19572" s="2" t="str">
        <f>"9783837654554"</f>
        <v>9783837654554</v>
      </c>
      <c r="F19572" s="2" t="str">
        <f>"9783839454558"</f>
        <v>9783839454558</v>
      </c>
    </row>
    <row r="19573" spans="1:6" s="3" customFormat="1" ht="29.1" customHeight="1" x14ac:dyDescent="0.25">
      <c r="A19573" s="2" t="s">
        <v>38462</v>
      </c>
      <c r="B19573" s="2" t="s">
        <v>38463</v>
      </c>
      <c r="C19573" s="2" t="s">
        <v>195</v>
      </c>
      <c r="D19573" s="2" t="s">
        <v>5092</v>
      </c>
      <c r="E19573" s="2" t="str">
        <f>"9783486761993"</f>
        <v>9783486761993</v>
      </c>
      <c r="F19573" s="2" t="str">
        <f>"9783486762013"</f>
        <v>9783486762013</v>
      </c>
    </row>
    <row r="19574" spans="1:6" s="3" customFormat="1" ht="29.1" customHeight="1" x14ac:dyDescent="0.25">
      <c r="A19574" s="2" t="s">
        <v>38464</v>
      </c>
      <c r="B19574" s="2" t="s">
        <v>38465</v>
      </c>
      <c r="C19574" s="2" t="s">
        <v>195</v>
      </c>
      <c r="D19574" s="2" t="s">
        <v>4739</v>
      </c>
      <c r="E19574" s="2" t="str">
        <f>"9783486778007"</f>
        <v>9783486778007</v>
      </c>
      <c r="F19574" s="2" t="str">
        <f>"9783486778014"</f>
        <v>9783486778014</v>
      </c>
    </row>
    <row r="19575" spans="1:6" s="3" customFormat="1" ht="29.1" customHeight="1" x14ac:dyDescent="0.25">
      <c r="A19575" s="2" t="s">
        <v>38466</v>
      </c>
      <c r="B19575" s="2" t="s">
        <v>38467</v>
      </c>
      <c r="C19575" s="2" t="s">
        <v>195</v>
      </c>
      <c r="D19575" s="2" t="s">
        <v>2880</v>
      </c>
      <c r="E19575" s="2" t="str">
        <f>"9783486777925"</f>
        <v>9783486777925</v>
      </c>
      <c r="F19575" s="2" t="str">
        <f>"9783486777932"</f>
        <v>9783486777932</v>
      </c>
    </row>
    <row r="19576" spans="1:6" s="3" customFormat="1" ht="29.1" customHeight="1" x14ac:dyDescent="0.25">
      <c r="A19576" s="2" t="s">
        <v>38468</v>
      </c>
      <c r="B19576" s="2" t="s">
        <v>38469</v>
      </c>
      <c r="C19576" s="2" t="s">
        <v>195</v>
      </c>
      <c r="D19576" s="2" t="s">
        <v>33</v>
      </c>
      <c r="E19576" s="2" t="str">
        <f>"9783486777437"</f>
        <v>9783486777437</v>
      </c>
      <c r="F19576" s="2" t="str">
        <f>"9783486777451"</f>
        <v>9783486777451</v>
      </c>
    </row>
    <row r="19577" spans="1:6" s="3" customFormat="1" ht="29.1" customHeight="1" x14ac:dyDescent="0.25">
      <c r="A19577" s="2" t="s">
        <v>38470</v>
      </c>
      <c r="B19577" s="2" t="s">
        <v>38471</v>
      </c>
      <c r="C19577" s="2" t="s">
        <v>195</v>
      </c>
      <c r="D19577" s="2" t="s">
        <v>33</v>
      </c>
      <c r="E19577" s="2" t="str">
        <f>"9783486777383"</f>
        <v>9783486777383</v>
      </c>
      <c r="F19577" s="2" t="str">
        <f>"9783486777390"</f>
        <v>9783486777390</v>
      </c>
    </row>
    <row r="19578" spans="1:6" s="3" customFormat="1" ht="29.1" customHeight="1" x14ac:dyDescent="0.25">
      <c r="A19578" s="2" t="s">
        <v>38472</v>
      </c>
      <c r="B19578" s="2" t="s">
        <v>38473</v>
      </c>
      <c r="C19578" s="2" t="s">
        <v>195</v>
      </c>
      <c r="D19578" s="2" t="s">
        <v>5092</v>
      </c>
      <c r="E19578" s="2" t="str">
        <f>"9783486740806"</f>
        <v>9783486740806</v>
      </c>
      <c r="F19578" s="2" t="str">
        <f>"9783486740813"</f>
        <v>9783486740813</v>
      </c>
    </row>
    <row r="19579" spans="1:6" s="3" customFormat="1" ht="29.1" customHeight="1" x14ac:dyDescent="0.25">
      <c r="A19579" s="2" t="s">
        <v>38474</v>
      </c>
      <c r="B19579" s="2" t="s">
        <v>38475</v>
      </c>
      <c r="C19579" s="2" t="s">
        <v>195</v>
      </c>
      <c r="D19579" s="2" t="s">
        <v>9392</v>
      </c>
      <c r="E19579" s="2" t="str">
        <f>"9783486733624"</f>
        <v>9783486733624</v>
      </c>
      <c r="F19579" s="2" t="str">
        <f>"9783486733631"</f>
        <v>9783486733631</v>
      </c>
    </row>
    <row r="19580" spans="1:6" s="3" customFormat="1" ht="29.1" customHeight="1" x14ac:dyDescent="0.25">
      <c r="A19580" s="2" t="s">
        <v>38476</v>
      </c>
      <c r="B19580" s="2" t="s">
        <v>38477</v>
      </c>
      <c r="C19580" s="2" t="s">
        <v>195</v>
      </c>
      <c r="D19580" s="2" t="s">
        <v>210</v>
      </c>
      <c r="E19580" s="2" t="str">
        <f>"9783486730104"</f>
        <v>9783486730104</v>
      </c>
      <c r="F19580" s="2" t="str">
        <f>"9783486730111"</f>
        <v>9783486730111</v>
      </c>
    </row>
    <row r="19581" spans="1:6" s="3" customFormat="1" ht="29.1" customHeight="1" x14ac:dyDescent="0.25">
      <c r="A19581" s="2" t="s">
        <v>38478</v>
      </c>
      <c r="B19581" s="2" t="s">
        <v>38479</v>
      </c>
      <c r="C19581" s="2" t="s">
        <v>195</v>
      </c>
      <c r="D19581" s="2" t="s">
        <v>33</v>
      </c>
      <c r="E19581" s="2" t="str">
        <f>"9783486767780"</f>
        <v>9783486767780</v>
      </c>
      <c r="F19581" s="2" t="str">
        <f>"9783486767797"</f>
        <v>9783486767797</v>
      </c>
    </row>
    <row r="19582" spans="1:6" s="3" customFormat="1" ht="29.1" customHeight="1" x14ac:dyDescent="0.25">
      <c r="A19582" s="2" t="s">
        <v>38480</v>
      </c>
      <c r="B19582" s="2" t="s">
        <v>38481</v>
      </c>
      <c r="C19582" s="2" t="s">
        <v>5050</v>
      </c>
      <c r="D19582" s="2" t="s">
        <v>35187</v>
      </c>
      <c r="E19582" s="2" t="str">
        <f>"9780824804121"</f>
        <v>9780824804121</v>
      </c>
      <c r="F19582" s="2" t="str">
        <f>"9780824881634"</f>
        <v>9780824881634</v>
      </c>
    </row>
    <row r="19583" spans="1:6" s="3" customFormat="1" ht="29.1" customHeight="1" x14ac:dyDescent="0.25">
      <c r="A19583" s="2" t="s">
        <v>38482</v>
      </c>
      <c r="B19583" s="2" t="s">
        <v>38483</v>
      </c>
      <c r="C19583" s="2" t="s">
        <v>5050</v>
      </c>
      <c r="D19583" s="2" t="s">
        <v>2307</v>
      </c>
      <c r="E19583" s="2" t="str">
        <f>"9780824804763"</f>
        <v>9780824804763</v>
      </c>
      <c r="F19583" s="2" t="str">
        <f>"9780824881283"</f>
        <v>9780824881283</v>
      </c>
    </row>
    <row r="19584" spans="1:6" s="3" customFormat="1" ht="29.1" customHeight="1" x14ac:dyDescent="0.25">
      <c r="A19584" s="2" t="s">
        <v>38484</v>
      </c>
      <c r="B19584" s="2" t="s">
        <v>38485</v>
      </c>
      <c r="C19584" s="2" t="s">
        <v>5050</v>
      </c>
      <c r="D19584" s="2" t="s">
        <v>36577</v>
      </c>
      <c r="E19584" s="2" t="str">
        <f>"9780824811006"</f>
        <v>9780824811006</v>
      </c>
      <c r="F19584" s="2" t="str">
        <f>"9780824881146"</f>
        <v>9780824881146</v>
      </c>
    </row>
    <row r="19585" spans="1:6" s="3" customFormat="1" ht="29.1" customHeight="1" x14ac:dyDescent="0.25">
      <c r="A19585" s="2" t="s">
        <v>38486</v>
      </c>
      <c r="B19585" s="2" t="s">
        <v>38487</v>
      </c>
      <c r="C19585" s="2" t="s">
        <v>5050</v>
      </c>
      <c r="D19585" s="2" t="s">
        <v>2307</v>
      </c>
      <c r="E19585" s="2" t="str">
        <f>"9780824803315"</f>
        <v>9780824803315</v>
      </c>
      <c r="F19585" s="2" t="str">
        <f>"9780824879068"</f>
        <v>9780824879068</v>
      </c>
    </row>
    <row r="19586" spans="1:6" s="3" customFormat="1" ht="29.1" customHeight="1" x14ac:dyDescent="0.25">
      <c r="A19586" s="2" t="s">
        <v>38488</v>
      </c>
      <c r="B19586" s="2" t="s">
        <v>38489</v>
      </c>
      <c r="C19586" s="2" t="s">
        <v>5050</v>
      </c>
      <c r="D19586" s="2" t="s">
        <v>218</v>
      </c>
      <c r="E19586" s="2" t="str">
        <f>"9780824802677"</f>
        <v>9780824802677</v>
      </c>
      <c r="F19586" s="2" t="str">
        <f>"9780824884536"</f>
        <v>9780824884536</v>
      </c>
    </row>
    <row r="19587" spans="1:6" s="3" customFormat="1" ht="29.1" customHeight="1" x14ac:dyDescent="0.25">
      <c r="A19587" s="2" t="s">
        <v>38490</v>
      </c>
      <c r="B19587" s="2" t="s">
        <v>38491</v>
      </c>
      <c r="C19587" s="2" t="s">
        <v>5050</v>
      </c>
      <c r="D19587" s="2" t="s">
        <v>19183</v>
      </c>
      <c r="E19587" s="2" t="str">
        <f>"9780824802585"</f>
        <v>9780824802585</v>
      </c>
      <c r="F19587" s="2" t="str">
        <f>"9780824884116"</f>
        <v>9780824884116</v>
      </c>
    </row>
    <row r="19588" spans="1:6" s="3" customFormat="1" ht="29.1" customHeight="1" x14ac:dyDescent="0.25">
      <c r="A19588" s="2" t="s">
        <v>38492</v>
      </c>
      <c r="B19588" s="2" t="s">
        <v>38493</v>
      </c>
      <c r="C19588" s="2" t="s">
        <v>5050</v>
      </c>
      <c r="D19588" s="2" t="s">
        <v>12194</v>
      </c>
      <c r="E19588" s="2" t="str">
        <f>"9780824879600"</f>
        <v>9780824879600</v>
      </c>
      <c r="F19588" s="2" t="str">
        <f>"9780824884093"</f>
        <v>9780824884093</v>
      </c>
    </row>
    <row r="19589" spans="1:6" s="3" customFormat="1" ht="29.1" customHeight="1" x14ac:dyDescent="0.25">
      <c r="A19589" s="2" t="s">
        <v>38494</v>
      </c>
      <c r="B19589" s="2" t="s">
        <v>38495</v>
      </c>
      <c r="C19589" s="2" t="s">
        <v>5050</v>
      </c>
      <c r="D19589" s="2" t="s">
        <v>19183</v>
      </c>
      <c r="E19589" s="2" t="str">
        <f>"9780870224164"</f>
        <v>9780870224164</v>
      </c>
      <c r="F19589" s="2" t="str">
        <f>"9780824884079"</f>
        <v>9780824884079</v>
      </c>
    </row>
    <row r="19590" spans="1:6" s="3" customFormat="1" ht="29.1" customHeight="1" x14ac:dyDescent="0.25">
      <c r="A19590" s="2" t="s">
        <v>38496</v>
      </c>
      <c r="B19590" s="2" t="s">
        <v>38497</v>
      </c>
      <c r="C19590" s="2" t="s">
        <v>5050</v>
      </c>
      <c r="D19590" s="2" t="s">
        <v>636</v>
      </c>
      <c r="E19590" s="2" t="str">
        <f>"9780824807474"</f>
        <v>9780824807474</v>
      </c>
      <c r="F19590" s="2" t="str">
        <f>"9780824883966"</f>
        <v>9780824883966</v>
      </c>
    </row>
    <row r="19591" spans="1:6" s="3" customFormat="1" ht="29.1" customHeight="1" x14ac:dyDescent="0.25">
      <c r="A19591" s="2" t="s">
        <v>38498</v>
      </c>
      <c r="B19591" s="2" t="s">
        <v>38499</v>
      </c>
      <c r="C19591" s="2" t="s">
        <v>5050</v>
      </c>
      <c r="D19591" s="2" t="s">
        <v>19183</v>
      </c>
      <c r="E19591" s="2" t="str">
        <f>"9780824813505"</f>
        <v>9780824813505</v>
      </c>
      <c r="F19591" s="2" t="str">
        <f>"9780824883942"</f>
        <v>9780824883942</v>
      </c>
    </row>
    <row r="19592" spans="1:6" s="3" customFormat="1" ht="29.1" customHeight="1" x14ac:dyDescent="0.25">
      <c r="A19592" s="2" t="s">
        <v>38500</v>
      </c>
      <c r="B19592" s="2" t="s">
        <v>38501</v>
      </c>
      <c r="C19592" s="2" t="s">
        <v>5050</v>
      </c>
      <c r="D19592" s="2" t="s">
        <v>9146</v>
      </c>
      <c r="E19592" s="2" t="str">
        <f>"9780824803292"</f>
        <v>9780824803292</v>
      </c>
      <c r="F19592" s="2" t="str">
        <f>"9780824883928"</f>
        <v>9780824883928</v>
      </c>
    </row>
    <row r="19593" spans="1:6" s="3" customFormat="1" ht="29.1" customHeight="1" x14ac:dyDescent="0.25">
      <c r="A19593" s="2" t="s">
        <v>38502</v>
      </c>
      <c r="B19593" s="2" t="s">
        <v>38503</v>
      </c>
      <c r="C19593" s="2" t="s">
        <v>5050</v>
      </c>
      <c r="D19593" s="2" t="s">
        <v>10950</v>
      </c>
      <c r="E19593" s="2" t="str">
        <f>"9780824808044"</f>
        <v>9780824808044</v>
      </c>
      <c r="F19593" s="2" t="str">
        <f>"9780824883881"</f>
        <v>9780824883881</v>
      </c>
    </row>
    <row r="19594" spans="1:6" s="3" customFormat="1" ht="29.1" customHeight="1" x14ac:dyDescent="0.25">
      <c r="A19594" s="2" t="s">
        <v>38504</v>
      </c>
      <c r="B19594" s="2" t="s">
        <v>38505</v>
      </c>
      <c r="C19594" s="2" t="s">
        <v>5050</v>
      </c>
      <c r="D19594" s="2" t="s">
        <v>1694</v>
      </c>
      <c r="E19594" s="2" t="str">
        <f>"9780824811679"</f>
        <v>9780824811679</v>
      </c>
      <c r="F19594" s="2" t="str">
        <f>"9780824883867"</f>
        <v>9780824883867</v>
      </c>
    </row>
    <row r="19595" spans="1:6" s="3" customFormat="1" ht="29.1" customHeight="1" x14ac:dyDescent="0.25">
      <c r="A19595" s="2" t="s">
        <v>38506</v>
      </c>
      <c r="B19595" s="2" t="s">
        <v>38507</v>
      </c>
      <c r="C19595" s="2" t="s">
        <v>5050</v>
      </c>
      <c r="D19595" s="2" t="s">
        <v>19208</v>
      </c>
      <c r="E19595" s="2" t="str">
        <f>"9780824805456"</f>
        <v>9780824805456</v>
      </c>
      <c r="F19595" s="2" t="str">
        <f>"9780824883843"</f>
        <v>9780824883843</v>
      </c>
    </row>
    <row r="19596" spans="1:6" s="3" customFormat="1" ht="29.1" customHeight="1" x14ac:dyDescent="0.25">
      <c r="A19596" s="2" t="s">
        <v>38508</v>
      </c>
      <c r="B19596" s="2" t="s">
        <v>38509</v>
      </c>
      <c r="C19596" s="2" t="s">
        <v>5050</v>
      </c>
      <c r="D19596" s="2" t="s">
        <v>3966</v>
      </c>
      <c r="E19596" s="2" t="str">
        <f>"9780824802943"</f>
        <v>9780824802943</v>
      </c>
      <c r="F19596" s="2" t="str">
        <f>"9780824883829"</f>
        <v>9780824883829</v>
      </c>
    </row>
    <row r="19597" spans="1:6" s="3" customFormat="1" ht="29.1" customHeight="1" x14ac:dyDescent="0.25">
      <c r="A19597" s="2" t="s">
        <v>38510</v>
      </c>
      <c r="B19597" s="2" t="s">
        <v>38511</v>
      </c>
      <c r="C19597" s="2" t="s">
        <v>5050</v>
      </c>
      <c r="D19597" s="2" t="s">
        <v>636</v>
      </c>
      <c r="E19597" s="2" t="str">
        <f>"9780824808211"</f>
        <v>9780824808211</v>
      </c>
      <c r="F19597" s="2" t="str">
        <f>"9780824883805"</f>
        <v>9780824883805</v>
      </c>
    </row>
    <row r="19598" spans="1:6" s="3" customFormat="1" ht="29.1" customHeight="1" x14ac:dyDescent="0.25">
      <c r="A19598" s="2" t="s">
        <v>38512</v>
      </c>
      <c r="B19598" s="2" t="s">
        <v>38513</v>
      </c>
      <c r="C19598" s="2" t="s">
        <v>5050</v>
      </c>
      <c r="D19598" s="2" t="s">
        <v>636</v>
      </c>
      <c r="E19598" s="2" t="str">
        <f>"9780824804787"</f>
        <v>9780824804787</v>
      </c>
      <c r="F19598" s="2" t="str">
        <f>"9780824883782"</f>
        <v>9780824883782</v>
      </c>
    </row>
    <row r="19599" spans="1:6" s="3" customFormat="1" ht="29.1" customHeight="1" x14ac:dyDescent="0.25">
      <c r="A19599" s="2" t="s">
        <v>38514</v>
      </c>
      <c r="B19599" s="2" t="s">
        <v>38515</v>
      </c>
      <c r="C19599" s="2" t="s">
        <v>5050</v>
      </c>
      <c r="D19599" s="2" t="s">
        <v>841</v>
      </c>
      <c r="E19599" s="2" t="str">
        <f>"9780824813574"</f>
        <v>9780824813574</v>
      </c>
      <c r="F19599" s="2" t="str">
        <f>"9780824883768"</f>
        <v>9780824883768</v>
      </c>
    </row>
    <row r="19600" spans="1:6" s="3" customFormat="1" ht="29.1" customHeight="1" x14ac:dyDescent="0.25">
      <c r="A19600" s="2" t="s">
        <v>38516</v>
      </c>
      <c r="B19600" s="2" t="s">
        <v>38518</v>
      </c>
      <c r="C19600" s="2" t="s">
        <v>5050</v>
      </c>
      <c r="D19600" s="2" t="s">
        <v>38517</v>
      </c>
      <c r="E19600" s="2" t="str">
        <f>"9780824808051"</f>
        <v>9780824808051</v>
      </c>
      <c r="F19600" s="2" t="str">
        <f>"9780824883744"</f>
        <v>9780824883744</v>
      </c>
    </row>
    <row r="19601" spans="1:6" s="3" customFormat="1" ht="29.1" customHeight="1" x14ac:dyDescent="0.25">
      <c r="A19601" s="2" t="s">
        <v>38519</v>
      </c>
      <c r="B19601" s="2"/>
      <c r="C19601" s="2" t="s">
        <v>5050</v>
      </c>
      <c r="D19601" s="2" t="s">
        <v>636</v>
      </c>
      <c r="E19601" s="2" t="str">
        <f>"9780824803216"</f>
        <v>9780824803216</v>
      </c>
      <c r="F19601" s="2" t="str">
        <f>"9780824883720"</f>
        <v>9780824883720</v>
      </c>
    </row>
    <row r="19602" spans="1:6" s="3" customFormat="1" ht="29.1" customHeight="1" x14ac:dyDescent="0.25">
      <c r="A19602" s="2" t="s">
        <v>38520</v>
      </c>
      <c r="B19602" s="2" t="s">
        <v>38521</v>
      </c>
      <c r="C19602" s="2" t="s">
        <v>5050</v>
      </c>
      <c r="D19602" s="2" t="s">
        <v>1259</v>
      </c>
      <c r="E19602" s="2" t="str">
        <f>"9780824809546"</f>
        <v>9780824809546</v>
      </c>
      <c r="F19602" s="2" t="str">
        <f>"9780824883706"</f>
        <v>9780824883706</v>
      </c>
    </row>
    <row r="19603" spans="1:6" s="3" customFormat="1" ht="29.1" customHeight="1" x14ac:dyDescent="0.25">
      <c r="A19603" s="2" t="s">
        <v>38522</v>
      </c>
      <c r="B19603" s="2" t="s">
        <v>38523</v>
      </c>
      <c r="C19603" s="2" t="s">
        <v>5050</v>
      </c>
      <c r="D19603" s="2" t="s">
        <v>13300</v>
      </c>
      <c r="E19603" s="2" t="str">
        <f>"9780870225154"</f>
        <v>9780870225154</v>
      </c>
      <c r="F19603" s="2" t="str">
        <f>"9780824883683"</f>
        <v>9780824883683</v>
      </c>
    </row>
    <row r="19604" spans="1:6" s="3" customFormat="1" ht="29.1" customHeight="1" x14ac:dyDescent="0.25">
      <c r="A19604" s="2" t="s">
        <v>38524</v>
      </c>
      <c r="B19604" s="2" t="s">
        <v>38525</v>
      </c>
      <c r="C19604" s="2" t="s">
        <v>5050</v>
      </c>
      <c r="D19604" s="2" t="s">
        <v>5930</v>
      </c>
      <c r="E19604" s="2" t="str">
        <f>"9780824810153"</f>
        <v>9780824810153</v>
      </c>
      <c r="F19604" s="2" t="str">
        <f>"9780824883669"</f>
        <v>9780824883669</v>
      </c>
    </row>
    <row r="19605" spans="1:6" s="3" customFormat="1" ht="29.1" customHeight="1" x14ac:dyDescent="0.25">
      <c r="A19605" s="2" t="s">
        <v>38526</v>
      </c>
      <c r="B19605" s="2" t="s">
        <v>38527</v>
      </c>
      <c r="C19605" s="2" t="s">
        <v>5050</v>
      </c>
      <c r="D19605" s="2" t="s">
        <v>34252</v>
      </c>
      <c r="E19605" s="2" t="str">
        <f>"9780824804152"</f>
        <v>9780824804152</v>
      </c>
      <c r="F19605" s="2" t="str">
        <f>"9780824882266"</f>
        <v>9780824882266</v>
      </c>
    </row>
    <row r="19606" spans="1:6" s="3" customFormat="1" ht="29.1" customHeight="1" x14ac:dyDescent="0.25">
      <c r="A19606" s="2" t="s">
        <v>38528</v>
      </c>
      <c r="B19606" s="2" t="s">
        <v>38529</v>
      </c>
      <c r="C19606" s="2" t="s">
        <v>5050</v>
      </c>
      <c r="D19606" s="2" t="s">
        <v>35187</v>
      </c>
      <c r="E19606" s="2" t="str">
        <f>"9780824803568"</f>
        <v>9780824803568</v>
      </c>
      <c r="F19606" s="2" t="str">
        <f>"9780824882242"</f>
        <v>9780824882242</v>
      </c>
    </row>
    <row r="19607" spans="1:6" s="3" customFormat="1" ht="29.1" customHeight="1" x14ac:dyDescent="0.25">
      <c r="A19607" s="2" t="s">
        <v>38530</v>
      </c>
      <c r="B19607" s="2" t="s">
        <v>38531</v>
      </c>
      <c r="C19607" s="2" t="s">
        <v>5050</v>
      </c>
      <c r="D19607" s="2" t="s">
        <v>5144</v>
      </c>
      <c r="E19607" s="2" t="str">
        <f>"9780824812171"</f>
        <v>9780824812171</v>
      </c>
      <c r="F19607" s="2" t="str">
        <f>"9780824882228"</f>
        <v>9780824882228</v>
      </c>
    </row>
    <row r="19608" spans="1:6" s="3" customFormat="1" ht="29.1" customHeight="1" x14ac:dyDescent="0.25">
      <c r="A19608" s="2" t="s">
        <v>38532</v>
      </c>
      <c r="B19608" s="2" t="s">
        <v>1850</v>
      </c>
      <c r="C19608" s="2" t="s">
        <v>5050</v>
      </c>
      <c r="D19608" s="2" t="s">
        <v>1598</v>
      </c>
      <c r="E19608" s="2" t="str">
        <f>"9780824805630"</f>
        <v>9780824805630</v>
      </c>
      <c r="F19608" s="2" t="str">
        <f>"9780824882204"</f>
        <v>9780824882204</v>
      </c>
    </row>
    <row r="19609" spans="1:6" s="3" customFormat="1" ht="29.1" customHeight="1" x14ac:dyDescent="0.25">
      <c r="A19609" s="2" t="s">
        <v>38533</v>
      </c>
      <c r="B19609" s="2" t="s">
        <v>38535</v>
      </c>
      <c r="C19609" s="2" t="s">
        <v>5050</v>
      </c>
      <c r="D19609" s="2" t="s">
        <v>38534</v>
      </c>
      <c r="E19609" s="2" t="str">
        <f>"9780870226786"</f>
        <v>9780870226786</v>
      </c>
      <c r="F19609" s="2" t="str">
        <f>"9780824882181"</f>
        <v>9780824882181</v>
      </c>
    </row>
    <row r="19610" spans="1:6" s="3" customFormat="1" ht="29.1" customHeight="1" x14ac:dyDescent="0.25">
      <c r="A19610" s="2" t="s">
        <v>38536</v>
      </c>
      <c r="B19610" s="2" t="s">
        <v>38537</v>
      </c>
      <c r="C19610" s="2" t="s">
        <v>5050</v>
      </c>
      <c r="D19610" s="2" t="s">
        <v>15</v>
      </c>
      <c r="E19610" s="2" t="str">
        <f>"9780824804183"</f>
        <v>9780824804183</v>
      </c>
      <c r="F19610" s="2" t="str">
        <f>"9780824882167"</f>
        <v>9780824882167</v>
      </c>
    </row>
    <row r="19611" spans="1:6" s="3" customFormat="1" ht="29.1" customHeight="1" x14ac:dyDescent="0.25">
      <c r="A19611" s="2" t="s">
        <v>38538</v>
      </c>
      <c r="B19611" s="2" t="s">
        <v>38540</v>
      </c>
      <c r="C19611" s="2" t="s">
        <v>5050</v>
      </c>
      <c r="D19611" s="2" t="s">
        <v>38539</v>
      </c>
      <c r="E19611" s="2" t="str">
        <f>"9780824810214"</f>
        <v>9780824810214</v>
      </c>
      <c r="F19611" s="2" t="str">
        <f>"9780824882143"</f>
        <v>9780824882143</v>
      </c>
    </row>
    <row r="19612" spans="1:6" s="3" customFormat="1" ht="29.1" customHeight="1" x14ac:dyDescent="0.25">
      <c r="A19612" s="2" t="s">
        <v>38541</v>
      </c>
      <c r="B19612" s="2" t="s">
        <v>38542</v>
      </c>
      <c r="C19612" s="2" t="s">
        <v>5050</v>
      </c>
      <c r="D19612" s="2" t="s">
        <v>1449</v>
      </c>
      <c r="E19612" s="2" t="str">
        <f>"9780824812294"</f>
        <v>9780824812294</v>
      </c>
      <c r="F19612" s="2" t="str">
        <f>"9780824882129"</f>
        <v>9780824882129</v>
      </c>
    </row>
    <row r="19613" spans="1:6" s="3" customFormat="1" ht="29.1" customHeight="1" x14ac:dyDescent="0.25">
      <c r="A19613" s="2" t="s">
        <v>38543</v>
      </c>
      <c r="B19613" s="2" t="s">
        <v>38481</v>
      </c>
      <c r="C19613" s="2" t="s">
        <v>5050</v>
      </c>
      <c r="D19613" s="2" t="s">
        <v>34252</v>
      </c>
      <c r="E19613" s="2" t="str">
        <f>"9780824805128"</f>
        <v>9780824805128</v>
      </c>
      <c r="F19613" s="2" t="str">
        <f>"9780824882099"</f>
        <v>9780824882099</v>
      </c>
    </row>
    <row r="19614" spans="1:6" s="3" customFormat="1" ht="29.1" customHeight="1" x14ac:dyDescent="0.25">
      <c r="A19614" s="2" t="s">
        <v>38544</v>
      </c>
      <c r="B19614" s="2" t="s">
        <v>38545</v>
      </c>
      <c r="C19614" s="2" t="s">
        <v>5050</v>
      </c>
      <c r="D19614" s="2" t="s">
        <v>1449</v>
      </c>
      <c r="E19614" s="2" t="str">
        <f>"9780824808433"</f>
        <v>9780824808433</v>
      </c>
      <c r="F19614" s="2" t="str">
        <f>"9780824882075"</f>
        <v>9780824882075</v>
      </c>
    </row>
    <row r="19615" spans="1:6" s="3" customFormat="1" ht="29.1" customHeight="1" x14ac:dyDescent="0.25">
      <c r="A19615" s="2" t="s">
        <v>38546</v>
      </c>
      <c r="B19615" s="2" t="s">
        <v>38547</v>
      </c>
      <c r="C19615" s="2" t="s">
        <v>5050</v>
      </c>
      <c r="D19615" s="2" t="s">
        <v>34252</v>
      </c>
      <c r="E19615" s="2" t="str">
        <f>"9780824804138"</f>
        <v>9780824804138</v>
      </c>
      <c r="F19615" s="2" t="str">
        <f>"9780824882051"</f>
        <v>9780824882051</v>
      </c>
    </row>
    <row r="19616" spans="1:6" s="3" customFormat="1" ht="29.1" customHeight="1" x14ac:dyDescent="0.25">
      <c r="A19616" s="2" t="s">
        <v>38548</v>
      </c>
      <c r="B19616" s="2" t="s">
        <v>38549</v>
      </c>
      <c r="C19616" s="2" t="s">
        <v>5050</v>
      </c>
      <c r="D19616" s="2" t="s">
        <v>903</v>
      </c>
      <c r="E19616" s="2" t="str">
        <f>"9780870228674"</f>
        <v>9780870228674</v>
      </c>
      <c r="F19616" s="2" t="str">
        <f>"9780824882037"</f>
        <v>9780824882037</v>
      </c>
    </row>
    <row r="19617" spans="1:6" s="3" customFormat="1" ht="29.1" customHeight="1" x14ac:dyDescent="0.25">
      <c r="A19617" s="2" t="s">
        <v>38550</v>
      </c>
      <c r="B19617" s="2" t="s">
        <v>38551</v>
      </c>
      <c r="C19617" s="2" t="s">
        <v>5050</v>
      </c>
      <c r="D19617" s="2" t="s">
        <v>38534</v>
      </c>
      <c r="E19617" s="2" t="str">
        <f>"9780870225468"</f>
        <v>9780870225468</v>
      </c>
      <c r="F19617" s="2" t="str">
        <f>"9780824882013"</f>
        <v>9780824882013</v>
      </c>
    </row>
    <row r="19618" spans="1:6" s="3" customFormat="1" ht="29.1" customHeight="1" x14ac:dyDescent="0.25">
      <c r="A19618" s="2" t="s">
        <v>38552</v>
      </c>
      <c r="B19618" s="2" t="s">
        <v>38551</v>
      </c>
      <c r="C19618" s="2" t="s">
        <v>5050</v>
      </c>
      <c r="D19618" s="2" t="s">
        <v>34252</v>
      </c>
      <c r="E19618" s="2" t="str">
        <f>"9780870225451"</f>
        <v>9780870225451</v>
      </c>
      <c r="F19618" s="2" t="str">
        <f>"9780824881993"</f>
        <v>9780824881993</v>
      </c>
    </row>
    <row r="19619" spans="1:6" s="3" customFormat="1" ht="29.1" customHeight="1" x14ac:dyDescent="0.25">
      <c r="A19619" s="2" t="s">
        <v>38553</v>
      </c>
      <c r="B19619" s="2" t="s">
        <v>38554</v>
      </c>
      <c r="C19619" s="2" t="s">
        <v>5050</v>
      </c>
      <c r="D19619" s="2" t="s">
        <v>841</v>
      </c>
      <c r="E19619" s="2" t="str">
        <f>"9780824803667"</f>
        <v>9780824803667</v>
      </c>
      <c r="F19619" s="2" t="str">
        <f>"9780824881979"</f>
        <v>9780824881979</v>
      </c>
    </row>
    <row r="19620" spans="1:6" s="3" customFormat="1" ht="29.1" customHeight="1" x14ac:dyDescent="0.25">
      <c r="A19620" s="2" t="s">
        <v>38555</v>
      </c>
      <c r="B19620" s="2" t="s">
        <v>38556</v>
      </c>
      <c r="C19620" s="2" t="s">
        <v>5050</v>
      </c>
      <c r="D19620" s="2" t="s">
        <v>818</v>
      </c>
      <c r="E19620" s="2" t="str">
        <f>"9780824811815"</f>
        <v>9780824811815</v>
      </c>
      <c r="F19620" s="2" t="str">
        <f>"9780824881955"</f>
        <v>9780824881955</v>
      </c>
    </row>
    <row r="19621" spans="1:6" s="3" customFormat="1" ht="29.1" customHeight="1" x14ac:dyDescent="0.25">
      <c r="A19621" s="2" t="s">
        <v>38557</v>
      </c>
      <c r="B19621" s="2" t="s">
        <v>38558</v>
      </c>
      <c r="C19621" s="2" t="s">
        <v>5050</v>
      </c>
      <c r="D19621" s="2" t="s">
        <v>34252</v>
      </c>
      <c r="E19621" s="2" t="str">
        <f>"9780824814113"</f>
        <v>9780824814113</v>
      </c>
      <c r="F19621" s="2" t="str">
        <f>"9780824881931"</f>
        <v>9780824881931</v>
      </c>
    </row>
    <row r="19622" spans="1:6" s="3" customFormat="1" ht="29.1" customHeight="1" x14ac:dyDescent="0.25">
      <c r="A19622" s="2" t="s">
        <v>38559</v>
      </c>
      <c r="B19622" s="2" t="s">
        <v>38560</v>
      </c>
      <c r="C19622" s="2" t="s">
        <v>5050</v>
      </c>
      <c r="D19622" s="2" t="s">
        <v>35187</v>
      </c>
      <c r="E19622" s="2" t="str">
        <f>"9780824810054"</f>
        <v>9780824810054</v>
      </c>
      <c r="F19622" s="2" t="str">
        <f>"9780824881658"</f>
        <v>9780824881658</v>
      </c>
    </row>
    <row r="19623" spans="1:6" s="3" customFormat="1" ht="29.1" customHeight="1" x14ac:dyDescent="0.25">
      <c r="A19623" s="2" t="s">
        <v>38561</v>
      </c>
      <c r="B19623" s="2" t="s">
        <v>38563</v>
      </c>
      <c r="C19623" s="2" t="s">
        <v>5050</v>
      </c>
      <c r="D19623" s="2" t="s">
        <v>38562</v>
      </c>
      <c r="E19623" s="2" t="str">
        <f>"9780870224621"</f>
        <v>9780870224621</v>
      </c>
      <c r="F19623" s="2" t="str">
        <f>"9780824881610"</f>
        <v>9780824881610</v>
      </c>
    </row>
    <row r="19624" spans="1:6" s="3" customFormat="1" ht="29.1" customHeight="1" x14ac:dyDescent="0.25">
      <c r="A19624" s="2" t="s">
        <v>38564</v>
      </c>
      <c r="B19624" s="2" t="s">
        <v>38565</v>
      </c>
      <c r="C19624" s="2" t="s">
        <v>5050</v>
      </c>
      <c r="D19624" s="2" t="s">
        <v>7645</v>
      </c>
      <c r="E19624" s="2" t="str">
        <f>"9780824803049"</f>
        <v>9780824803049</v>
      </c>
      <c r="F19624" s="2" t="str">
        <f>"9780824881320"</f>
        <v>9780824881320</v>
      </c>
    </row>
    <row r="19625" spans="1:6" s="3" customFormat="1" ht="29.1" customHeight="1" x14ac:dyDescent="0.25">
      <c r="A19625" s="2" t="s">
        <v>38566</v>
      </c>
      <c r="B19625" s="2" t="s">
        <v>38567</v>
      </c>
      <c r="C19625" s="2" t="s">
        <v>5050</v>
      </c>
      <c r="D19625" s="2" t="s">
        <v>38534</v>
      </c>
      <c r="E19625" s="2" t="str">
        <f>"9780870220920"</f>
        <v>9780870220920</v>
      </c>
      <c r="F19625" s="2" t="str">
        <f>"9780824881306"</f>
        <v>9780824881306</v>
      </c>
    </row>
    <row r="19626" spans="1:6" s="3" customFormat="1" ht="29.1" customHeight="1" x14ac:dyDescent="0.25">
      <c r="A19626" s="2" t="s">
        <v>38568</v>
      </c>
      <c r="B19626" s="2" t="s">
        <v>38569</v>
      </c>
      <c r="C19626" s="2" t="s">
        <v>5050</v>
      </c>
      <c r="D19626" s="2" t="s">
        <v>17094</v>
      </c>
      <c r="E19626" s="2" t="str">
        <f>"9780824802271"</f>
        <v>9780824802271</v>
      </c>
      <c r="F19626" s="2" t="str">
        <f>"9780824881269"</f>
        <v>9780824881269</v>
      </c>
    </row>
    <row r="19627" spans="1:6" s="3" customFormat="1" ht="29.1" customHeight="1" x14ac:dyDescent="0.25">
      <c r="A19627" s="2" t="s">
        <v>38570</v>
      </c>
      <c r="B19627" s="2" t="s">
        <v>38571</v>
      </c>
      <c r="C19627" s="2" t="s">
        <v>5050</v>
      </c>
      <c r="D19627" s="2" t="s">
        <v>459</v>
      </c>
      <c r="E19627" s="2" t="str">
        <f>"9780824802097"</f>
        <v>9780824802097</v>
      </c>
      <c r="F19627" s="2" t="str">
        <f>"9780824881245"</f>
        <v>9780824881245</v>
      </c>
    </row>
    <row r="19628" spans="1:6" s="3" customFormat="1" ht="29.1" customHeight="1" x14ac:dyDescent="0.25">
      <c r="A19628" s="2" t="s">
        <v>38572</v>
      </c>
      <c r="B19628" s="2" t="s">
        <v>38573</v>
      </c>
      <c r="C19628" s="2" t="s">
        <v>5050</v>
      </c>
      <c r="D19628" s="2" t="s">
        <v>34252</v>
      </c>
      <c r="E19628" s="2" t="str">
        <f>"9780870222665"</f>
        <v>9780870222665</v>
      </c>
      <c r="F19628" s="2" t="str">
        <f>"9780824881122"</f>
        <v>9780824881122</v>
      </c>
    </row>
    <row r="19629" spans="1:6" s="3" customFormat="1" ht="29.1" customHeight="1" x14ac:dyDescent="0.25">
      <c r="A19629" s="2" t="s">
        <v>38574</v>
      </c>
      <c r="B19629" s="2" t="s">
        <v>38575</v>
      </c>
      <c r="C19629" s="2" t="s">
        <v>5050</v>
      </c>
      <c r="D19629" s="2" t="s">
        <v>4908</v>
      </c>
      <c r="E19629" s="2" t="str">
        <f>"9780824820756"</f>
        <v>9780824820756</v>
      </c>
      <c r="F19629" s="2" t="str">
        <f>"9780824881108"</f>
        <v>9780824881108</v>
      </c>
    </row>
    <row r="19630" spans="1:6" s="3" customFormat="1" ht="29.1" customHeight="1" x14ac:dyDescent="0.25">
      <c r="A19630" s="2" t="s">
        <v>38576</v>
      </c>
      <c r="B19630" s="2" t="s">
        <v>38577</v>
      </c>
      <c r="C19630" s="2" t="s">
        <v>5050</v>
      </c>
      <c r="D19630" s="2" t="s">
        <v>1432</v>
      </c>
      <c r="E19630" s="2" t="str">
        <f>"9780824803230"</f>
        <v>9780824803230</v>
      </c>
      <c r="F19630" s="2" t="str">
        <f>"9780824880903"</f>
        <v>9780824880903</v>
      </c>
    </row>
    <row r="19631" spans="1:6" s="3" customFormat="1" ht="29.1" customHeight="1" x14ac:dyDescent="0.25">
      <c r="A19631" s="2" t="s">
        <v>38578</v>
      </c>
      <c r="B19631" s="2" t="s">
        <v>38579</v>
      </c>
      <c r="C19631" s="2" t="s">
        <v>5050</v>
      </c>
      <c r="D19631" s="2" t="s">
        <v>13300</v>
      </c>
      <c r="E19631" s="2" t="str">
        <f>"9780824803018"</f>
        <v>9780824803018</v>
      </c>
      <c r="F19631" s="2" t="str">
        <f>"9780824880880"</f>
        <v>9780824880880</v>
      </c>
    </row>
    <row r="19632" spans="1:6" s="3" customFormat="1" ht="29.1" customHeight="1" x14ac:dyDescent="0.25">
      <c r="A19632" s="2" t="s">
        <v>38580</v>
      </c>
      <c r="B19632" s="2" t="s">
        <v>38581</v>
      </c>
      <c r="C19632" s="2" t="s">
        <v>5050</v>
      </c>
      <c r="D19632" s="2" t="s">
        <v>49</v>
      </c>
      <c r="E19632" s="2" t="str">
        <f>"9780824803520"</f>
        <v>9780824803520</v>
      </c>
      <c r="F19632" s="2" t="str">
        <f>"9780824880866"</f>
        <v>9780824880866</v>
      </c>
    </row>
    <row r="19633" spans="1:6" s="3" customFormat="1" ht="29.1" customHeight="1" x14ac:dyDescent="0.25">
      <c r="A19633" s="2" t="s">
        <v>38582</v>
      </c>
      <c r="B19633" s="2" t="s">
        <v>38584</v>
      </c>
      <c r="C19633" s="2" t="s">
        <v>5050</v>
      </c>
      <c r="D19633" s="2" t="s">
        <v>38583</v>
      </c>
      <c r="E19633" s="2" t="str">
        <f>"9780824813598"</f>
        <v>9780824813598</v>
      </c>
      <c r="F19633" s="2" t="str">
        <f>"9780824880842"</f>
        <v>9780824880842</v>
      </c>
    </row>
    <row r="19634" spans="1:6" s="3" customFormat="1" ht="29.1" customHeight="1" x14ac:dyDescent="0.25">
      <c r="A19634" s="2" t="s">
        <v>38585</v>
      </c>
      <c r="B19634" s="2" t="s">
        <v>38586</v>
      </c>
      <c r="C19634" s="2" t="s">
        <v>5050</v>
      </c>
      <c r="D19634" s="2" t="s">
        <v>8868</v>
      </c>
      <c r="E19634" s="2" t="str">
        <f>"9780824800932"</f>
        <v>9780824800932</v>
      </c>
      <c r="F19634" s="2" t="str">
        <f>"9780824880828"</f>
        <v>9780824880828</v>
      </c>
    </row>
    <row r="19635" spans="1:6" s="3" customFormat="1" ht="29.1" customHeight="1" x14ac:dyDescent="0.25">
      <c r="A19635" s="2" t="s">
        <v>38587</v>
      </c>
      <c r="B19635" s="2" t="s">
        <v>38588</v>
      </c>
      <c r="C19635" s="2" t="s">
        <v>5050</v>
      </c>
      <c r="D19635" s="2" t="s">
        <v>1259</v>
      </c>
      <c r="E19635" s="2" t="str">
        <f>"9780824802370"</f>
        <v>9780824802370</v>
      </c>
      <c r="F19635" s="2" t="str">
        <f>"9780824880804"</f>
        <v>9780824880804</v>
      </c>
    </row>
    <row r="19636" spans="1:6" s="3" customFormat="1" ht="29.1" customHeight="1" x14ac:dyDescent="0.25">
      <c r="A19636" s="2" t="s">
        <v>38589</v>
      </c>
      <c r="B19636" s="2" t="s">
        <v>38590</v>
      </c>
      <c r="C19636" s="2" t="s">
        <v>5050</v>
      </c>
      <c r="D19636" s="2" t="s">
        <v>38534</v>
      </c>
      <c r="E19636" s="2" t="str">
        <f>"9780870221538"</f>
        <v>9780870221538</v>
      </c>
      <c r="F19636" s="2" t="str">
        <f>"9780824880781"</f>
        <v>9780824880781</v>
      </c>
    </row>
    <row r="19637" spans="1:6" s="3" customFormat="1" ht="29.1" customHeight="1" x14ac:dyDescent="0.25">
      <c r="A19637" s="2" t="s">
        <v>38591</v>
      </c>
      <c r="B19637" s="2" t="s">
        <v>38592</v>
      </c>
      <c r="C19637" s="2" t="s">
        <v>5050</v>
      </c>
      <c r="D19637" s="2" t="s">
        <v>818</v>
      </c>
      <c r="E19637" s="2" t="str">
        <f>"9780824811020"</f>
        <v>9780824811020</v>
      </c>
      <c r="F19637" s="2" t="str">
        <f>"9780824880767"</f>
        <v>9780824880767</v>
      </c>
    </row>
    <row r="19638" spans="1:6" s="3" customFormat="1" ht="29.1" customHeight="1" x14ac:dyDescent="0.25">
      <c r="A19638" s="2" t="s">
        <v>38593</v>
      </c>
      <c r="B19638" s="2" t="s">
        <v>38594</v>
      </c>
      <c r="C19638" s="2" t="s">
        <v>5050</v>
      </c>
      <c r="D19638" s="2" t="s">
        <v>13300</v>
      </c>
      <c r="E19638" s="2" t="str">
        <f>"9780824805579"</f>
        <v>9780824805579</v>
      </c>
      <c r="F19638" s="2" t="str">
        <f>"9780824880743"</f>
        <v>9780824880743</v>
      </c>
    </row>
    <row r="19639" spans="1:6" s="3" customFormat="1" ht="29.1" customHeight="1" x14ac:dyDescent="0.25">
      <c r="A19639" s="2" t="s">
        <v>38595</v>
      </c>
      <c r="B19639" s="2" t="s">
        <v>38596</v>
      </c>
      <c r="C19639" s="2" t="s">
        <v>5050</v>
      </c>
      <c r="D19639" s="2" t="s">
        <v>1259</v>
      </c>
      <c r="E19639" s="2" t="str">
        <f>"9780824808839"</f>
        <v>9780824808839</v>
      </c>
      <c r="F19639" s="2" t="str">
        <f>"9780824880729"</f>
        <v>9780824880729</v>
      </c>
    </row>
    <row r="19640" spans="1:6" s="3" customFormat="1" ht="29.1" customHeight="1" x14ac:dyDescent="0.25">
      <c r="A19640" s="2" t="s">
        <v>38597</v>
      </c>
      <c r="B19640" s="2" t="s">
        <v>38598</v>
      </c>
      <c r="C19640" s="2" t="s">
        <v>5050</v>
      </c>
      <c r="D19640" s="2" t="s">
        <v>1245</v>
      </c>
      <c r="E19640" s="2" t="str">
        <f>"9780824801007"</f>
        <v>9780824801007</v>
      </c>
      <c r="F19640" s="2" t="str">
        <f>"9780824880705"</f>
        <v>9780824880705</v>
      </c>
    </row>
    <row r="19641" spans="1:6" s="3" customFormat="1" ht="29.1" customHeight="1" x14ac:dyDescent="0.25">
      <c r="A19641" s="2" t="s">
        <v>38599</v>
      </c>
      <c r="B19641" s="2" t="s">
        <v>38600</v>
      </c>
      <c r="C19641" s="2" t="s">
        <v>5050</v>
      </c>
      <c r="D19641" s="2" t="s">
        <v>606</v>
      </c>
      <c r="E19641" s="2" t="str">
        <f>"9780870226205"</f>
        <v>9780870226205</v>
      </c>
      <c r="F19641" s="2" t="str">
        <f>"9780824880682"</f>
        <v>9780824880682</v>
      </c>
    </row>
    <row r="19642" spans="1:6" s="3" customFormat="1" ht="29.1" customHeight="1" x14ac:dyDescent="0.25">
      <c r="A19642" s="2" t="s">
        <v>38601</v>
      </c>
      <c r="B19642" s="2" t="s">
        <v>38602</v>
      </c>
      <c r="C19642" s="2" t="s">
        <v>5050</v>
      </c>
      <c r="D19642" s="2" t="s">
        <v>25910</v>
      </c>
      <c r="E19642" s="2" t="str">
        <f>"9780824815486"</f>
        <v>9780824815486</v>
      </c>
      <c r="F19642" s="2" t="str">
        <f>"9780824880347"</f>
        <v>9780824880347</v>
      </c>
    </row>
    <row r="19643" spans="1:6" s="3" customFormat="1" ht="29.1" customHeight="1" x14ac:dyDescent="0.25">
      <c r="A19643" s="2" t="s">
        <v>38603</v>
      </c>
      <c r="B19643" s="2" t="s">
        <v>38604</v>
      </c>
      <c r="C19643" s="2" t="s">
        <v>5050</v>
      </c>
      <c r="D19643" s="2" t="s">
        <v>13300</v>
      </c>
      <c r="E19643" s="2" t="str">
        <f>"9780824806309"</f>
        <v>9780824806309</v>
      </c>
      <c r="F19643" s="2" t="str">
        <f>"9780824880323"</f>
        <v>9780824880323</v>
      </c>
    </row>
    <row r="19644" spans="1:6" s="3" customFormat="1" ht="29.1" customHeight="1" x14ac:dyDescent="0.25">
      <c r="A19644" s="2" t="s">
        <v>38605</v>
      </c>
      <c r="B19644" s="2" t="s">
        <v>38606</v>
      </c>
      <c r="C19644" s="2" t="s">
        <v>5050</v>
      </c>
      <c r="D19644" s="2" t="s">
        <v>1449</v>
      </c>
      <c r="E19644" s="2" t="str">
        <f>"9780824804930"</f>
        <v>9780824804930</v>
      </c>
      <c r="F19644" s="2" t="str">
        <f>"9780824880309"</f>
        <v>9780824880309</v>
      </c>
    </row>
    <row r="19645" spans="1:6" s="3" customFormat="1" ht="29.1" customHeight="1" x14ac:dyDescent="0.25">
      <c r="A19645" s="2" t="s">
        <v>38607</v>
      </c>
      <c r="B19645" s="2" t="s">
        <v>38608</v>
      </c>
      <c r="C19645" s="2" t="s">
        <v>5050</v>
      </c>
      <c r="D19645" s="2" t="s">
        <v>2391</v>
      </c>
      <c r="E19645" s="2" t="str">
        <f>"9780824811402"</f>
        <v>9780824811402</v>
      </c>
      <c r="F19645" s="2" t="str">
        <f>"9780824880163"</f>
        <v>9780824880163</v>
      </c>
    </row>
    <row r="19646" spans="1:6" s="3" customFormat="1" ht="29.1" customHeight="1" x14ac:dyDescent="0.25">
      <c r="A19646" s="2" t="s">
        <v>38609</v>
      </c>
      <c r="B19646" s="2" t="s">
        <v>38610</v>
      </c>
      <c r="C19646" s="2" t="s">
        <v>5050</v>
      </c>
      <c r="D19646" s="2" t="s">
        <v>15855</v>
      </c>
      <c r="E19646" s="2" t="str">
        <f>"9780824812393"</f>
        <v>9780824812393</v>
      </c>
      <c r="F19646" s="2" t="str">
        <f>"9780824880149"</f>
        <v>9780824880149</v>
      </c>
    </row>
    <row r="19647" spans="1:6" s="3" customFormat="1" ht="29.1" customHeight="1" x14ac:dyDescent="0.25">
      <c r="A19647" s="2" t="s">
        <v>38611</v>
      </c>
      <c r="B19647" s="2" t="s">
        <v>38612</v>
      </c>
      <c r="C19647" s="2" t="s">
        <v>5050</v>
      </c>
      <c r="D19647" s="2" t="s">
        <v>1259</v>
      </c>
      <c r="E19647" s="2" t="str">
        <f>"9780824806798"</f>
        <v>9780824806798</v>
      </c>
      <c r="F19647" s="2" t="str">
        <f>"9780824880125"</f>
        <v>9780824880125</v>
      </c>
    </row>
    <row r="19648" spans="1:6" s="3" customFormat="1" ht="29.1" customHeight="1" x14ac:dyDescent="0.25">
      <c r="A19648" s="2" t="s">
        <v>38613</v>
      </c>
      <c r="B19648" s="2" t="s">
        <v>38614</v>
      </c>
      <c r="C19648" s="2" t="s">
        <v>5050</v>
      </c>
      <c r="D19648" s="2" t="s">
        <v>4190</v>
      </c>
      <c r="E19648" s="2" t="str">
        <f>"9780824802622"</f>
        <v>9780824802622</v>
      </c>
      <c r="F19648" s="2" t="str">
        <f>"9780824880101"</f>
        <v>9780824880101</v>
      </c>
    </row>
    <row r="19649" spans="1:6" s="3" customFormat="1" ht="29.1" customHeight="1" x14ac:dyDescent="0.25">
      <c r="A19649" s="2" t="s">
        <v>38615</v>
      </c>
      <c r="B19649" s="2" t="s">
        <v>38616</v>
      </c>
      <c r="C19649" s="2" t="s">
        <v>5050</v>
      </c>
      <c r="D19649" s="2" t="s">
        <v>1449</v>
      </c>
      <c r="E19649" s="2" t="str">
        <f>"9780824809607"</f>
        <v>9780824809607</v>
      </c>
      <c r="F19649" s="2" t="str">
        <f>"9780824880088"</f>
        <v>9780824880088</v>
      </c>
    </row>
    <row r="19650" spans="1:6" s="3" customFormat="1" ht="29.1" customHeight="1" x14ac:dyDescent="0.25">
      <c r="A19650" s="2" t="s">
        <v>38617</v>
      </c>
      <c r="B19650" s="2" t="s">
        <v>38618</v>
      </c>
      <c r="C19650" s="2" t="s">
        <v>5050</v>
      </c>
      <c r="D19650" s="2" t="s">
        <v>18100</v>
      </c>
      <c r="E19650" s="2" t="str">
        <f>"9780824806316"</f>
        <v>9780824806316</v>
      </c>
      <c r="F19650" s="2" t="str">
        <f>"9780824880064"</f>
        <v>9780824880064</v>
      </c>
    </row>
    <row r="19651" spans="1:6" s="3" customFormat="1" ht="29.1" customHeight="1" x14ac:dyDescent="0.25">
      <c r="A19651" s="2" t="s">
        <v>38619</v>
      </c>
      <c r="B19651" s="2" t="s">
        <v>38575</v>
      </c>
      <c r="C19651" s="2" t="s">
        <v>5050</v>
      </c>
      <c r="D19651" s="2" t="s">
        <v>49</v>
      </c>
      <c r="E19651" s="2" t="str">
        <f>"9780824807054"</f>
        <v>9780824807054</v>
      </c>
      <c r="F19651" s="2" t="str">
        <f>"9780824880040"</f>
        <v>9780824880040</v>
      </c>
    </row>
    <row r="19652" spans="1:6" s="3" customFormat="1" ht="29.1" customHeight="1" x14ac:dyDescent="0.25">
      <c r="A19652" s="2" t="s">
        <v>38620</v>
      </c>
      <c r="B19652" s="2" t="s">
        <v>38621</v>
      </c>
      <c r="C19652" s="2" t="s">
        <v>5050</v>
      </c>
      <c r="D19652" s="2" t="s">
        <v>49</v>
      </c>
      <c r="E19652" s="2" t="str">
        <f>"9780824812805"</f>
        <v>9780824812805</v>
      </c>
      <c r="F19652" s="2" t="str">
        <f>"9780824879952"</f>
        <v>9780824879952</v>
      </c>
    </row>
    <row r="19653" spans="1:6" s="3" customFormat="1" ht="29.1" customHeight="1" x14ac:dyDescent="0.25">
      <c r="A19653" s="2" t="s">
        <v>38622</v>
      </c>
      <c r="B19653" s="2" t="s">
        <v>38623</v>
      </c>
      <c r="C19653" s="2" t="s">
        <v>5050</v>
      </c>
      <c r="D19653" s="2" t="s">
        <v>38534</v>
      </c>
      <c r="E19653" s="2" t="str">
        <f>"9780870220913"</f>
        <v>9780870220913</v>
      </c>
      <c r="F19653" s="2" t="str">
        <f>"9780824879761"</f>
        <v>9780824879761</v>
      </c>
    </row>
    <row r="19654" spans="1:6" s="3" customFormat="1" ht="29.1" customHeight="1" x14ac:dyDescent="0.25">
      <c r="A19654" s="2" t="s">
        <v>38624</v>
      </c>
      <c r="B19654" s="2" t="s">
        <v>38625</v>
      </c>
      <c r="C19654" s="2" t="s">
        <v>5050</v>
      </c>
      <c r="D19654" s="2" t="s">
        <v>38534</v>
      </c>
      <c r="E19654" s="2" t="str">
        <f>"9780870225307"</f>
        <v>9780870225307</v>
      </c>
      <c r="F19654" s="2" t="str">
        <f>"9780824879242"</f>
        <v>9780824879242</v>
      </c>
    </row>
    <row r="19655" spans="1:6" s="3" customFormat="1" ht="29.1" customHeight="1" x14ac:dyDescent="0.25">
      <c r="A19655" s="2" t="s">
        <v>38626</v>
      </c>
      <c r="B19655" s="2" t="s">
        <v>38627</v>
      </c>
      <c r="C19655" s="2" t="s">
        <v>5050</v>
      </c>
      <c r="D19655" s="2" t="s">
        <v>49</v>
      </c>
      <c r="E19655" s="2" t="str">
        <f>"9780824807528"</f>
        <v>9780824807528</v>
      </c>
      <c r="F19655" s="2" t="str">
        <f>"9780824879204"</f>
        <v>9780824879204</v>
      </c>
    </row>
    <row r="19656" spans="1:6" s="3" customFormat="1" ht="29.1" customHeight="1" x14ac:dyDescent="0.25">
      <c r="A19656" s="2" t="s">
        <v>38628</v>
      </c>
      <c r="B19656" s="2" t="s">
        <v>38629</v>
      </c>
      <c r="C19656" s="2" t="s">
        <v>5050</v>
      </c>
      <c r="D19656" s="2" t="s">
        <v>1449</v>
      </c>
      <c r="E19656" s="2" t="str">
        <f>"9780824809775"</f>
        <v>9780824809775</v>
      </c>
      <c r="F19656" s="2" t="str">
        <f>"9780824879181"</f>
        <v>9780824879181</v>
      </c>
    </row>
    <row r="19657" spans="1:6" s="3" customFormat="1" ht="29.1" customHeight="1" x14ac:dyDescent="0.25">
      <c r="A19657" s="2" t="s">
        <v>38630</v>
      </c>
      <c r="B19657" s="2" t="s">
        <v>38631</v>
      </c>
      <c r="C19657" s="2" t="s">
        <v>5050</v>
      </c>
      <c r="D19657" s="2" t="s">
        <v>2307</v>
      </c>
      <c r="E19657" s="2" t="str">
        <f>"9780870220739"</f>
        <v>9780870220739</v>
      </c>
      <c r="F19657" s="2" t="str">
        <f>"9780824879167"</f>
        <v>9780824879167</v>
      </c>
    </row>
    <row r="19658" spans="1:6" s="3" customFormat="1" ht="29.1" customHeight="1" x14ac:dyDescent="0.25">
      <c r="A19658" s="2" t="s">
        <v>38632</v>
      </c>
      <c r="B19658" s="2" t="s">
        <v>38633</v>
      </c>
      <c r="C19658" s="2" t="s">
        <v>5050</v>
      </c>
      <c r="D19658" s="2" t="s">
        <v>818</v>
      </c>
      <c r="E19658" s="2" t="str">
        <f>"9780824802929"</f>
        <v>9780824802929</v>
      </c>
      <c r="F19658" s="2" t="str">
        <f>"9780824879143"</f>
        <v>9780824879143</v>
      </c>
    </row>
    <row r="19659" spans="1:6" s="3" customFormat="1" ht="29.1" customHeight="1" x14ac:dyDescent="0.25">
      <c r="A19659" s="2" t="s">
        <v>38634</v>
      </c>
      <c r="B19659" s="2" t="s">
        <v>38635</v>
      </c>
      <c r="C19659" s="2" t="s">
        <v>5050</v>
      </c>
      <c r="D19659" s="2" t="s">
        <v>18100</v>
      </c>
      <c r="E19659" s="2" t="str">
        <f>"9780824812379"</f>
        <v>9780824812379</v>
      </c>
      <c r="F19659" s="2" t="str">
        <f>"9780824879129"</f>
        <v>9780824879129</v>
      </c>
    </row>
    <row r="19660" spans="1:6" s="3" customFormat="1" ht="29.1" customHeight="1" x14ac:dyDescent="0.25">
      <c r="A19660" s="2" t="s">
        <v>38636</v>
      </c>
      <c r="B19660" s="2" t="s">
        <v>38631</v>
      </c>
      <c r="C19660" s="2" t="s">
        <v>5050</v>
      </c>
      <c r="D19660" s="2" t="s">
        <v>2307</v>
      </c>
      <c r="E19660" s="2" t="str">
        <f>"9780870220722"</f>
        <v>9780870220722</v>
      </c>
      <c r="F19660" s="2" t="str">
        <f>"9780824879105"</f>
        <v>9780824879105</v>
      </c>
    </row>
    <row r="19661" spans="1:6" s="3" customFormat="1" ht="29.1" customHeight="1" x14ac:dyDescent="0.25">
      <c r="A19661" s="2" t="s">
        <v>38637</v>
      </c>
      <c r="B19661" s="2" t="s">
        <v>38631</v>
      </c>
      <c r="C19661" s="2" t="s">
        <v>5050</v>
      </c>
      <c r="D19661" s="2" t="s">
        <v>34252</v>
      </c>
      <c r="E19661" s="2" t="str">
        <f>"9780870220715"</f>
        <v>9780870220715</v>
      </c>
      <c r="F19661" s="2" t="str">
        <f>"9780824879082"</f>
        <v>9780824879082</v>
      </c>
    </row>
    <row r="19662" spans="1:6" s="3" customFormat="1" ht="29.1" customHeight="1" x14ac:dyDescent="0.25">
      <c r="A19662" s="2" t="s">
        <v>38638</v>
      </c>
      <c r="B19662" s="2" t="s">
        <v>38639</v>
      </c>
      <c r="C19662" s="2" t="s">
        <v>5050</v>
      </c>
      <c r="D19662" s="2" t="s">
        <v>18100</v>
      </c>
      <c r="E19662" s="2" t="str">
        <f>"9780824808471"</f>
        <v>9780824808471</v>
      </c>
      <c r="F19662" s="2" t="str">
        <f>"9780824879044"</f>
        <v>9780824879044</v>
      </c>
    </row>
    <row r="19663" spans="1:6" s="3" customFormat="1" ht="29.1" customHeight="1" x14ac:dyDescent="0.25">
      <c r="A19663" s="2" t="s">
        <v>38640</v>
      </c>
      <c r="B19663" s="2" t="s">
        <v>38590</v>
      </c>
      <c r="C19663" s="2" t="s">
        <v>5050</v>
      </c>
      <c r="D19663" s="2" t="s">
        <v>38534</v>
      </c>
      <c r="E19663" s="2" t="str">
        <f>"9780870221521"</f>
        <v>9780870221521</v>
      </c>
      <c r="F19663" s="2" t="str">
        <f>"9780824879020"</f>
        <v>9780824879020</v>
      </c>
    </row>
    <row r="19664" spans="1:6" s="3" customFormat="1" ht="29.1" customHeight="1" x14ac:dyDescent="0.25">
      <c r="A19664" s="2" t="s">
        <v>38641</v>
      </c>
      <c r="B19664" s="2" t="s">
        <v>38642</v>
      </c>
      <c r="C19664" s="2" t="s">
        <v>5050</v>
      </c>
      <c r="D19664" s="2" t="s">
        <v>38534</v>
      </c>
      <c r="E19664" s="2" t="str">
        <f>"9780870220746"</f>
        <v>9780870220746</v>
      </c>
      <c r="F19664" s="2" t="str">
        <f>"9780824878993"</f>
        <v>9780824878993</v>
      </c>
    </row>
    <row r="19665" spans="1:6" s="3" customFormat="1" ht="29.1" customHeight="1" x14ac:dyDescent="0.25">
      <c r="A19665" s="2" t="s">
        <v>38643</v>
      </c>
      <c r="B19665" s="2" t="s">
        <v>38573</v>
      </c>
      <c r="C19665" s="2" t="s">
        <v>5050</v>
      </c>
      <c r="D19665" s="2" t="s">
        <v>2307</v>
      </c>
      <c r="E19665" s="2" t="str">
        <f>"9780870222672"</f>
        <v>9780870222672</v>
      </c>
      <c r="F19665" s="2" t="str">
        <f>"9780824878979"</f>
        <v>9780824878979</v>
      </c>
    </row>
    <row r="19666" spans="1:6" s="3" customFormat="1" ht="29.1" customHeight="1" x14ac:dyDescent="0.25">
      <c r="A19666" s="2" t="s">
        <v>38644</v>
      </c>
      <c r="B19666" s="2" t="s">
        <v>38645</v>
      </c>
      <c r="C19666" s="2" t="s">
        <v>5050</v>
      </c>
      <c r="D19666" s="2" t="s">
        <v>636</v>
      </c>
      <c r="E19666" s="2" t="str">
        <f>"9780824815264"</f>
        <v>9780824815264</v>
      </c>
      <c r="F19666" s="2" t="str">
        <f>"9780824878955"</f>
        <v>9780824878955</v>
      </c>
    </row>
    <row r="19667" spans="1:6" s="3" customFormat="1" ht="29.1" customHeight="1" x14ac:dyDescent="0.25">
      <c r="A19667" s="2" t="s">
        <v>38646</v>
      </c>
      <c r="B19667" s="2" t="s">
        <v>38625</v>
      </c>
      <c r="C19667" s="2" t="s">
        <v>5050</v>
      </c>
      <c r="D19667" s="2" t="s">
        <v>38534</v>
      </c>
      <c r="E19667" s="2" t="str">
        <f>"9780870225291"</f>
        <v>9780870225291</v>
      </c>
      <c r="F19667" s="2" t="str">
        <f>"9780824878931"</f>
        <v>9780824878931</v>
      </c>
    </row>
    <row r="19668" spans="1:6" s="3" customFormat="1" ht="29.1" customHeight="1" x14ac:dyDescent="0.25">
      <c r="A19668" s="2" t="s">
        <v>38647</v>
      </c>
      <c r="B19668" s="2" t="s">
        <v>38625</v>
      </c>
      <c r="C19668" s="2" t="s">
        <v>5050</v>
      </c>
      <c r="D19668" s="2" t="s">
        <v>34252</v>
      </c>
      <c r="E19668" s="2" t="str">
        <f>"9780870225284"</f>
        <v>9780870225284</v>
      </c>
      <c r="F19668" s="2" t="str">
        <f>"9780824878917"</f>
        <v>9780824878917</v>
      </c>
    </row>
    <row r="19669" spans="1:6" s="3" customFormat="1" ht="29.1" customHeight="1" x14ac:dyDescent="0.25">
      <c r="A19669" s="2" t="s">
        <v>38648</v>
      </c>
      <c r="B19669" s="2" t="s">
        <v>38649</v>
      </c>
      <c r="C19669" s="2" t="s">
        <v>5050</v>
      </c>
      <c r="D19669" s="2" t="s">
        <v>18100</v>
      </c>
      <c r="E19669" s="2" t="str">
        <f>"9780824889067"</f>
        <v>9780824889067</v>
      </c>
      <c r="F19669" s="2" t="str">
        <f>"9780824889159"</f>
        <v>9780824889159</v>
      </c>
    </row>
    <row r="19670" spans="1:6" s="3" customFormat="1" ht="29.1" customHeight="1" x14ac:dyDescent="0.25">
      <c r="A19670" s="2" t="s">
        <v>38650</v>
      </c>
      <c r="B19670" s="2" t="s">
        <v>38616</v>
      </c>
      <c r="C19670" s="2" t="s">
        <v>5050</v>
      </c>
      <c r="D19670" s="2" t="s">
        <v>1449</v>
      </c>
      <c r="E19670" s="2" t="str">
        <f>"9780824828868"</f>
        <v>9780824828868</v>
      </c>
      <c r="F19670" s="2" t="str">
        <f>"9780824874414"</f>
        <v>9780824874414</v>
      </c>
    </row>
    <row r="19671" spans="1:6" s="3" customFormat="1" ht="29.1" customHeight="1" x14ac:dyDescent="0.25">
      <c r="A19671" s="2" t="s">
        <v>38651</v>
      </c>
      <c r="B19671" s="2" t="s">
        <v>38652</v>
      </c>
      <c r="C19671" s="2" t="s">
        <v>5050</v>
      </c>
      <c r="D19671" s="2" t="s">
        <v>9600</v>
      </c>
      <c r="E19671" s="2" t="str">
        <f>"9780824828387"</f>
        <v>9780824828387</v>
      </c>
      <c r="F19671" s="2" t="str">
        <f>"9780824874018"</f>
        <v>9780824874018</v>
      </c>
    </row>
    <row r="19672" spans="1:6" s="3" customFormat="1" ht="29.1" customHeight="1" x14ac:dyDescent="0.25">
      <c r="A19672" s="2" t="s">
        <v>38653</v>
      </c>
      <c r="B19672" s="2" t="s">
        <v>38654</v>
      </c>
      <c r="C19672" s="2" t="s">
        <v>5050</v>
      </c>
      <c r="D19672" s="2" t="s">
        <v>689</v>
      </c>
      <c r="E19672" s="2" t="str">
        <f>"9780824828424"</f>
        <v>9780824828424</v>
      </c>
      <c r="F19672" s="2" t="str">
        <f>"9780824873998"</f>
        <v>9780824873998</v>
      </c>
    </row>
    <row r="19673" spans="1:6" s="3" customFormat="1" ht="29.1" customHeight="1" x14ac:dyDescent="0.25">
      <c r="A19673" s="2" t="s">
        <v>38655</v>
      </c>
      <c r="B19673" s="2" t="s">
        <v>38656</v>
      </c>
      <c r="C19673" s="2" t="s">
        <v>5050</v>
      </c>
      <c r="D19673" s="2" t="s">
        <v>15855</v>
      </c>
      <c r="E19673" s="2" t="str">
        <f>"9780824807078"</f>
        <v>9780824807078</v>
      </c>
      <c r="F19673" s="2" t="str">
        <f>"9780824882396"</f>
        <v>9780824882396</v>
      </c>
    </row>
    <row r="19674" spans="1:6" s="3" customFormat="1" ht="29.1" customHeight="1" x14ac:dyDescent="0.25">
      <c r="A19674" s="2" t="s">
        <v>38657</v>
      </c>
      <c r="B19674" s="2" t="s">
        <v>38658</v>
      </c>
      <c r="C19674" s="2" t="s">
        <v>5050</v>
      </c>
      <c r="D19674" s="2" t="s">
        <v>501</v>
      </c>
      <c r="E19674" s="2" t="str">
        <f>"9780824829506"</f>
        <v>9780824829506</v>
      </c>
      <c r="F19674" s="2" t="str">
        <f>"9780824878467"</f>
        <v>9780824878467</v>
      </c>
    </row>
    <row r="19675" spans="1:6" s="3" customFormat="1" ht="29.1" customHeight="1" x14ac:dyDescent="0.25">
      <c r="A19675" s="2" t="s">
        <v>38659</v>
      </c>
      <c r="B19675" s="2" t="s">
        <v>38660</v>
      </c>
      <c r="C19675" s="2" t="s">
        <v>5050</v>
      </c>
      <c r="D19675" s="2" t="s">
        <v>459</v>
      </c>
      <c r="E19675" s="2" t="str">
        <f>"9780824818982"</f>
        <v>9780824818982</v>
      </c>
      <c r="F19675" s="2" t="str">
        <f>"9780824842581"</f>
        <v>9780824842581</v>
      </c>
    </row>
    <row r="19676" spans="1:6" s="3" customFormat="1" ht="29.1" customHeight="1" x14ac:dyDescent="0.25">
      <c r="A19676" s="2" t="s">
        <v>38661</v>
      </c>
      <c r="B19676" s="2" t="s">
        <v>38662</v>
      </c>
      <c r="C19676" s="2" t="s">
        <v>5050</v>
      </c>
      <c r="D19676" s="2" t="s">
        <v>13300</v>
      </c>
      <c r="E19676" s="2" t="str">
        <f>"9780824879686"</f>
        <v>9780824879686</v>
      </c>
      <c r="F19676" s="2" t="str">
        <f>"9780824883393"</f>
        <v>9780824883393</v>
      </c>
    </row>
    <row r="19677" spans="1:6" s="3" customFormat="1" ht="29.1" customHeight="1" x14ac:dyDescent="0.25">
      <c r="A19677" s="2" t="s">
        <v>38663</v>
      </c>
      <c r="B19677" s="2" t="s">
        <v>38664</v>
      </c>
      <c r="C19677" s="2" t="s">
        <v>5050</v>
      </c>
      <c r="D19677" s="2" t="s">
        <v>1449</v>
      </c>
      <c r="E19677" s="2" t="str">
        <f>"9780824882914"</f>
        <v>9780824882914</v>
      </c>
      <c r="F19677" s="2" t="str">
        <f>"9780824884451"</f>
        <v>9780824884451</v>
      </c>
    </row>
    <row r="19678" spans="1:6" s="3" customFormat="1" ht="29.1" customHeight="1" x14ac:dyDescent="0.25">
      <c r="A19678" s="2" t="s">
        <v>38665</v>
      </c>
      <c r="B19678" s="2" t="s">
        <v>38666</v>
      </c>
      <c r="C19678" s="2" t="s">
        <v>5050</v>
      </c>
      <c r="D19678" s="2" t="s">
        <v>1432</v>
      </c>
      <c r="E19678" s="2" t="str">
        <f>"9780824884482"</f>
        <v>9780824884482</v>
      </c>
      <c r="F19678" s="2" t="str">
        <f>"9780824884505"</f>
        <v>9780824884505</v>
      </c>
    </row>
    <row r="19679" spans="1:6" s="3" customFormat="1" ht="29.1" customHeight="1" x14ac:dyDescent="0.25">
      <c r="A19679" s="2" t="s">
        <v>38667</v>
      </c>
      <c r="B19679" s="2" t="s">
        <v>38645</v>
      </c>
      <c r="C19679" s="2" t="s">
        <v>5050</v>
      </c>
      <c r="D19679" s="2" t="s">
        <v>818</v>
      </c>
      <c r="E19679" s="2" t="str">
        <f>"9780824886660"</f>
        <v>9780824886660</v>
      </c>
      <c r="F19679" s="2" t="str">
        <f>"9780824886684"</f>
        <v>9780824886684</v>
      </c>
    </row>
    <row r="19680" spans="1:6" s="3" customFormat="1" ht="29.1" customHeight="1" x14ac:dyDescent="0.25">
      <c r="A19680" s="2" t="s">
        <v>38668</v>
      </c>
      <c r="B19680" s="2" t="s">
        <v>38669</v>
      </c>
      <c r="C19680" s="2" t="s">
        <v>5050</v>
      </c>
      <c r="D19680" s="2" t="s">
        <v>49</v>
      </c>
      <c r="E19680" s="2" t="str">
        <f>"9780824883324"</f>
        <v>9780824883324</v>
      </c>
      <c r="F19680" s="2" t="str">
        <f>"9780824887704"</f>
        <v>9780824887704</v>
      </c>
    </row>
    <row r="19681" spans="1:6" s="3" customFormat="1" ht="29.1" customHeight="1" x14ac:dyDescent="0.25">
      <c r="A19681" s="2" t="s">
        <v>38670</v>
      </c>
      <c r="B19681" s="2" t="s">
        <v>38671</v>
      </c>
      <c r="C19681" s="2" t="s">
        <v>5050</v>
      </c>
      <c r="D19681" s="2" t="s">
        <v>175</v>
      </c>
      <c r="E19681" s="2" t="str">
        <f>"9780824886288"</f>
        <v>9780824886288</v>
      </c>
      <c r="F19681" s="2" t="str">
        <f>"9780824888718"</f>
        <v>9780824888718</v>
      </c>
    </row>
    <row r="19682" spans="1:6" s="3" customFormat="1" ht="29.1" customHeight="1" x14ac:dyDescent="0.25">
      <c r="A19682" s="2" t="s">
        <v>38672</v>
      </c>
      <c r="B19682" s="2" t="s">
        <v>38673</v>
      </c>
      <c r="C19682" s="2" t="s">
        <v>5050</v>
      </c>
      <c r="D19682" s="2" t="s">
        <v>2773</v>
      </c>
      <c r="E19682" s="2" t="str">
        <f>"9780824890551"</f>
        <v>9780824890551</v>
      </c>
      <c r="F19682" s="2" t="str">
        <f>"9780824891183"</f>
        <v>9780824891183</v>
      </c>
    </row>
    <row r="19683" spans="1:6" s="3" customFormat="1" ht="29.1" customHeight="1" x14ac:dyDescent="0.25">
      <c r="A19683" s="2" t="s">
        <v>38674</v>
      </c>
      <c r="B19683" s="2" t="s">
        <v>38675</v>
      </c>
      <c r="C19683" s="2" t="s">
        <v>27396</v>
      </c>
      <c r="D19683" s="2" t="s">
        <v>402</v>
      </c>
      <c r="E19683" s="2" t="str">
        <f>"9783161608599"</f>
        <v>9783161608599</v>
      </c>
      <c r="F19683" s="2" t="str">
        <f>"9783161608605"</f>
        <v>9783161608605</v>
      </c>
    </row>
    <row r="19684" spans="1:6" s="3" customFormat="1" ht="29.1" customHeight="1" x14ac:dyDescent="0.25">
      <c r="A19684" s="2" t="s">
        <v>38676</v>
      </c>
      <c r="B19684" s="2" t="s">
        <v>38677</v>
      </c>
      <c r="C19684" s="2" t="s">
        <v>27396</v>
      </c>
      <c r="D19684" s="2" t="s">
        <v>3943</v>
      </c>
      <c r="E19684" s="2" t="str">
        <f>"9783161607134"</f>
        <v>9783161607134</v>
      </c>
      <c r="F19684" s="2" t="str">
        <f>"9783161607141"</f>
        <v>9783161607141</v>
      </c>
    </row>
    <row r="19685" spans="1:6" s="3" customFormat="1" ht="29.1" customHeight="1" x14ac:dyDescent="0.25">
      <c r="A19685" s="2" t="s">
        <v>38678</v>
      </c>
      <c r="B19685" s="2" t="s">
        <v>38679</v>
      </c>
      <c r="C19685" s="2" t="s">
        <v>27396</v>
      </c>
      <c r="D19685" s="2" t="s">
        <v>689</v>
      </c>
      <c r="E19685" s="2" t="str">
        <f>"9783161601606"</f>
        <v>9783161601606</v>
      </c>
      <c r="F19685" s="2" t="str">
        <f>"9783161607981"</f>
        <v>9783161607981</v>
      </c>
    </row>
    <row r="19686" spans="1:6" s="3" customFormat="1" ht="29.1" customHeight="1" x14ac:dyDescent="0.25">
      <c r="A19686" s="2" t="s">
        <v>38680</v>
      </c>
      <c r="B19686" s="2" t="s">
        <v>38681</v>
      </c>
      <c r="C19686" s="2" t="s">
        <v>27396</v>
      </c>
      <c r="D19686" s="2" t="s">
        <v>462</v>
      </c>
      <c r="E19686" s="2" t="str">
        <f>"9783161601590"</f>
        <v>9783161601590</v>
      </c>
      <c r="F19686" s="2" t="str">
        <f>"9783161608155"</f>
        <v>9783161608155</v>
      </c>
    </row>
    <row r="19687" spans="1:6" s="3" customFormat="1" ht="29.1" customHeight="1" x14ac:dyDescent="0.25">
      <c r="A19687" s="2" t="s">
        <v>38682</v>
      </c>
      <c r="B19687" s="2" t="s">
        <v>38683</v>
      </c>
      <c r="C19687" s="2" t="s">
        <v>27396</v>
      </c>
      <c r="D19687" s="2" t="s">
        <v>509</v>
      </c>
      <c r="E19687" s="2" t="str">
        <f>"9783161601576"</f>
        <v>9783161601576</v>
      </c>
      <c r="F19687" s="2" t="str">
        <f>"9783161608650"</f>
        <v>9783161608650</v>
      </c>
    </row>
    <row r="19688" spans="1:6" s="3" customFormat="1" ht="29.1" customHeight="1" x14ac:dyDescent="0.25">
      <c r="A19688" s="2" t="s">
        <v>38684</v>
      </c>
      <c r="B19688" s="2" t="s">
        <v>38685</v>
      </c>
      <c r="C19688" s="2" t="s">
        <v>27396</v>
      </c>
      <c r="D19688" s="2" t="s">
        <v>402</v>
      </c>
      <c r="E19688" s="2" t="str">
        <f>"9783161597503"</f>
        <v>9783161597503</v>
      </c>
      <c r="F19688" s="2" t="str">
        <f>"9783161597510"</f>
        <v>9783161597510</v>
      </c>
    </row>
    <row r="19689" spans="1:6" s="3" customFormat="1" ht="29.1" customHeight="1" x14ac:dyDescent="0.25">
      <c r="A19689" s="2" t="s">
        <v>1506</v>
      </c>
      <c r="B19689" s="2" t="s">
        <v>38686</v>
      </c>
      <c r="C19689" s="2" t="s">
        <v>1070</v>
      </c>
      <c r="D19689" s="2" t="s">
        <v>1275</v>
      </c>
      <c r="E19689" s="2" t="str">
        <f>"9783318068153"</f>
        <v>9783318068153</v>
      </c>
      <c r="F19689" s="2" t="str">
        <f>"9783318068160"</f>
        <v>9783318068160</v>
      </c>
    </row>
    <row r="19690" spans="1:6" s="3" customFormat="1" ht="29.1" customHeight="1" x14ac:dyDescent="0.25">
      <c r="A19690" s="2" t="s">
        <v>38687</v>
      </c>
      <c r="B19690" s="2" t="s">
        <v>38688</v>
      </c>
      <c r="C19690" s="2" t="s">
        <v>124</v>
      </c>
      <c r="D19690" s="2" t="s">
        <v>553</v>
      </c>
      <c r="E19690" s="2" t="str">
        <f>"9780367622046"</f>
        <v>9780367622046</v>
      </c>
      <c r="F19690" s="2" t="str">
        <f>"9781000400526"</f>
        <v>9781000400526</v>
      </c>
    </row>
    <row r="19691" spans="1:6" s="3" customFormat="1" ht="29.1" customHeight="1" x14ac:dyDescent="0.25">
      <c r="A19691" s="2" t="s">
        <v>38689</v>
      </c>
      <c r="B19691" s="2" t="s">
        <v>38690</v>
      </c>
      <c r="C19691" s="2" t="s">
        <v>124</v>
      </c>
      <c r="D19691" s="2" t="s">
        <v>334</v>
      </c>
      <c r="E19691" s="2" t="str">
        <f>"9781138605343"</f>
        <v>9781138605343</v>
      </c>
      <c r="F19691" s="2" t="str">
        <f>"9781000484434"</f>
        <v>9781000484434</v>
      </c>
    </row>
    <row r="19692" spans="1:6" s="3" customFormat="1" ht="29.1" customHeight="1" x14ac:dyDescent="0.25">
      <c r="A19692" s="2" t="s">
        <v>38691</v>
      </c>
      <c r="B19692" s="2" t="s">
        <v>38692</v>
      </c>
      <c r="C19692" s="2" t="s">
        <v>124</v>
      </c>
      <c r="D19692" s="2" t="s">
        <v>210</v>
      </c>
      <c r="E19692" s="2" t="str">
        <f>"9781032066783"</f>
        <v>9781032066783</v>
      </c>
      <c r="F19692" s="2" t="str">
        <f>"9781000483536"</f>
        <v>9781000483536</v>
      </c>
    </row>
    <row r="19693" spans="1:6" s="3" customFormat="1" ht="29.1" customHeight="1" x14ac:dyDescent="0.25">
      <c r="A19693" s="2" t="s">
        <v>38693</v>
      </c>
      <c r="B19693" s="2" t="s">
        <v>38694</v>
      </c>
      <c r="C19693" s="2" t="s">
        <v>124</v>
      </c>
      <c r="D19693" s="2" t="s">
        <v>1809</v>
      </c>
      <c r="E19693" s="2" t="str">
        <f>"9780367358907"</f>
        <v>9780367358907</v>
      </c>
      <c r="F19693" s="2" t="str">
        <f>"9780429342479"</f>
        <v>9780429342479</v>
      </c>
    </row>
    <row r="19694" spans="1:6" s="3" customFormat="1" ht="29.1" customHeight="1" x14ac:dyDescent="0.25">
      <c r="A19694" s="2" t="s">
        <v>38695</v>
      </c>
      <c r="B19694" s="2" t="s">
        <v>7852</v>
      </c>
      <c r="C19694" s="2" t="s">
        <v>36</v>
      </c>
      <c r="D19694" s="2" t="s">
        <v>11572</v>
      </c>
      <c r="E19694" s="2" t="str">
        <f>"9781447361237"</f>
        <v>9781447361237</v>
      </c>
      <c r="F19694" s="2" t="str">
        <f>"9781447361251"</f>
        <v>9781447361251</v>
      </c>
    </row>
    <row r="19695" spans="1:6" s="3" customFormat="1" ht="29.1" customHeight="1" x14ac:dyDescent="0.25">
      <c r="A19695" s="2" t="s">
        <v>38696</v>
      </c>
      <c r="B19695" s="2" t="s">
        <v>38697</v>
      </c>
      <c r="C19695" s="2" t="s">
        <v>195</v>
      </c>
      <c r="D19695" s="2" t="s">
        <v>232</v>
      </c>
      <c r="E19695" s="2" t="str">
        <f>"9783110624670"</f>
        <v>9783110624670</v>
      </c>
      <c r="F19695" s="2" t="str">
        <f>"9783110614787"</f>
        <v>9783110614787</v>
      </c>
    </row>
    <row r="19696" spans="1:6" s="3" customFormat="1" ht="29.1" customHeight="1" x14ac:dyDescent="0.25">
      <c r="A19696" s="2" t="s">
        <v>38698</v>
      </c>
      <c r="B19696" s="2" t="s">
        <v>38699</v>
      </c>
      <c r="C19696" s="2" t="s">
        <v>195</v>
      </c>
      <c r="D19696" s="2" t="s">
        <v>210</v>
      </c>
      <c r="E19696" s="2" t="str">
        <f>"9783486774375"</f>
        <v>9783486774375</v>
      </c>
      <c r="F19696" s="2" t="str">
        <f>"9783486774382"</f>
        <v>9783486774382</v>
      </c>
    </row>
    <row r="19697" spans="1:6" s="3" customFormat="1" ht="29.1" customHeight="1" x14ac:dyDescent="0.25">
      <c r="A19697" s="2" t="s">
        <v>38700</v>
      </c>
      <c r="B19697" s="2" t="s">
        <v>38701</v>
      </c>
      <c r="C19697" s="2" t="s">
        <v>8040</v>
      </c>
      <c r="D19697" s="2" t="s">
        <v>413</v>
      </c>
      <c r="E19697" s="2" t="str">
        <f>"9781800412293"</f>
        <v>9781800412293</v>
      </c>
      <c r="F19697" s="2" t="str">
        <f>"9781800412316"</f>
        <v>9781800412316</v>
      </c>
    </row>
    <row r="19698" spans="1:6" s="3" customFormat="1" ht="29.1" customHeight="1" x14ac:dyDescent="0.25">
      <c r="A19698" s="2" t="s">
        <v>38702</v>
      </c>
      <c r="B19698" s="2" t="s">
        <v>38703</v>
      </c>
      <c r="C19698" s="2" t="s">
        <v>927</v>
      </c>
      <c r="D19698" s="2" t="s">
        <v>33</v>
      </c>
      <c r="E19698" s="2" t="str">
        <f>"9780472038510"</f>
        <v>9780472038510</v>
      </c>
      <c r="F19698" s="2" t="str">
        <f>"9780472902484"</f>
        <v>9780472902484</v>
      </c>
    </row>
    <row r="19699" spans="1:6" s="3" customFormat="1" ht="29.1" customHeight="1" x14ac:dyDescent="0.25">
      <c r="A19699" s="2" t="s">
        <v>38704</v>
      </c>
      <c r="B19699" s="2" t="s">
        <v>38705</v>
      </c>
      <c r="C19699" s="2" t="s">
        <v>124</v>
      </c>
      <c r="D19699" s="2" t="s">
        <v>14507</v>
      </c>
      <c r="E19699" s="2" t="str">
        <f>"9781032001227"</f>
        <v>9781032001227</v>
      </c>
      <c r="F19699" s="2" t="str">
        <f>"9781000479515"</f>
        <v>9781000479515</v>
      </c>
    </row>
    <row r="19700" spans="1:6" s="3" customFormat="1" ht="29.1" customHeight="1" x14ac:dyDescent="0.25">
      <c r="A19700" s="2" t="s">
        <v>38706</v>
      </c>
      <c r="B19700" s="2" t="s">
        <v>38707</v>
      </c>
      <c r="C19700" s="2" t="s">
        <v>124</v>
      </c>
      <c r="D19700" s="2" t="s">
        <v>2587</v>
      </c>
      <c r="E19700" s="2" t="str">
        <f>"9781032076140"</f>
        <v>9781032076140</v>
      </c>
      <c r="F19700" s="2" t="str">
        <f>"9781000481945"</f>
        <v>9781000481945</v>
      </c>
    </row>
    <row r="19701" spans="1:6" s="3" customFormat="1" ht="29.1" customHeight="1" x14ac:dyDescent="0.25">
      <c r="A19701" s="2" t="s">
        <v>38708</v>
      </c>
      <c r="B19701" s="2" t="s">
        <v>38709</v>
      </c>
      <c r="C19701" s="2" t="s">
        <v>124</v>
      </c>
      <c r="D19701" s="2" t="s">
        <v>9395</v>
      </c>
      <c r="E19701" s="2" t="str">
        <f>"9781032053677"</f>
        <v>9781032053677</v>
      </c>
      <c r="F19701" s="2" t="str">
        <f>"9781000483017"</f>
        <v>9781000483017</v>
      </c>
    </row>
    <row r="19702" spans="1:6" s="3" customFormat="1" ht="29.1" customHeight="1" x14ac:dyDescent="0.25">
      <c r="A19702" s="2" t="s">
        <v>38710</v>
      </c>
      <c r="B19702" s="2" t="s">
        <v>38711</v>
      </c>
      <c r="C19702" s="2" t="s">
        <v>124</v>
      </c>
      <c r="D19702" s="2" t="s">
        <v>75</v>
      </c>
      <c r="E19702" s="2" t="str">
        <f>"9780367768188"</f>
        <v>9780367768188</v>
      </c>
      <c r="F19702" s="2" t="str">
        <f>"9781000480610"</f>
        <v>9781000480610</v>
      </c>
    </row>
    <row r="19703" spans="1:6" s="3" customFormat="1" ht="29.1" customHeight="1" x14ac:dyDescent="0.25">
      <c r="A19703" s="2" t="s">
        <v>38712</v>
      </c>
      <c r="B19703" s="2" t="s">
        <v>38713</v>
      </c>
      <c r="C19703" s="2" t="s">
        <v>124</v>
      </c>
      <c r="D19703" s="2" t="s">
        <v>353</v>
      </c>
      <c r="E19703" s="2" t="str">
        <f>"9781032003283"</f>
        <v>9781032003283</v>
      </c>
      <c r="F19703" s="2" t="str">
        <f>"9781000478655"</f>
        <v>9781000478655</v>
      </c>
    </row>
    <row r="19704" spans="1:6" s="3" customFormat="1" ht="29.1" customHeight="1" x14ac:dyDescent="0.25">
      <c r="A19704" s="2" t="s">
        <v>38714</v>
      </c>
      <c r="B19704" s="2" t="s">
        <v>38715</v>
      </c>
      <c r="C19704" s="2" t="s">
        <v>124</v>
      </c>
      <c r="D19704" s="2" t="s">
        <v>270</v>
      </c>
      <c r="E19704" s="2" t="str">
        <f>"9780367610302"</f>
        <v>9780367610302</v>
      </c>
      <c r="F19704" s="2" t="str">
        <f>"9781000473841"</f>
        <v>9781000473841</v>
      </c>
    </row>
    <row r="19705" spans="1:6" s="3" customFormat="1" ht="29.1" customHeight="1" x14ac:dyDescent="0.25">
      <c r="A19705" s="2" t="s">
        <v>38716</v>
      </c>
      <c r="B19705" s="2" t="s">
        <v>38717</v>
      </c>
      <c r="C19705" s="2" t="s">
        <v>124</v>
      </c>
      <c r="D19705" s="2" t="s">
        <v>537</v>
      </c>
      <c r="E19705" s="2" t="str">
        <f>"9780367530327"</f>
        <v>9780367530327</v>
      </c>
      <c r="F19705" s="2" t="str">
        <f>"9781000480177"</f>
        <v>9781000480177</v>
      </c>
    </row>
    <row r="19706" spans="1:6" s="3" customFormat="1" ht="29.1" customHeight="1" x14ac:dyDescent="0.25">
      <c r="A19706" s="2" t="s">
        <v>38718</v>
      </c>
      <c r="B19706" s="2" t="s">
        <v>38719</v>
      </c>
      <c r="C19706" s="2" t="s">
        <v>556</v>
      </c>
      <c r="D19706" s="2" t="s">
        <v>218</v>
      </c>
      <c r="E19706" s="2" t="str">
        <f>"9783837651669"</f>
        <v>9783837651669</v>
      </c>
      <c r="F19706" s="2" t="str">
        <f>"9783839451663"</f>
        <v>9783839451663</v>
      </c>
    </row>
    <row r="19707" spans="1:6" s="3" customFormat="1" ht="29.1" customHeight="1" x14ac:dyDescent="0.25">
      <c r="A19707" s="2" t="s">
        <v>38720</v>
      </c>
      <c r="B19707" s="2" t="s">
        <v>37299</v>
      </c>
      <c r="C19707" s="2" t="s">
        <v>556</v>
      </c>
      <c r="D19707" s="2" t="s">
        <v>1988</v>
      </c>
      <c r="E19707" s="2" t="str">
        <f>"9783837648300"</f>
        <v>9783837648300</v>
      </c>
      <c r="F19707" s="2" t="str">
        <f>"9783839448304"</f>
        <v>9783839448304</v>
      </c>
    </row>
    <row r="19708" spans="1:6" s="3" customFormat="1" ht="29.1" customHeight="1" x14ac:dyDescent="0.25">
      <c r="A19708" s="2" t="s">
        <v>38721</v>
      </c>
      <c r="B19708" s="2" t="s">
        <v>37287</v>
      </c>
      <c r="C19708" s="2" t="s">
        <v>556</v>
      </c>
      <c r="D19708" s="2" t="s">
        <v>2462</v>
      </c>
      <c r="E19708" s="2" t="str">
        <f>"9783837645262"</f>
        <v>9783837645262</v>
      </c>
      <c r="F19708" s="2" t="str">
        <f>"9783839445266"</f>
        <v>9783839445266</v>
      </c>
    </row>
    <row r="19709" spans="1:6" s="3" customFormat="1" ht="29.1" customHeight="1" x14ac:dyDescent="0.25">
      <c r="A19709" s="2" t="s">
        <v>38722</v>
      </c>
      <c r="B19709" s="2" t="s">
        <v>38723</v>
      </c>
      <c r="C19709" s="2" t="s">
        <v>556</v>
      </c>
      <c r="D19709" s="2" t="s">
        <v>6113</v>
      </c>
      <c r="E19709" s="2" t="str">
        <f>"9783837645514"</f>
        <v>9783837645514</v>
      </c>
      <c r="F19709" s="2" t="str">
        <f>"9783839445518"</f>
        <v>9783839445518</v>
      </c>
    </row>
    <row r="19710" spans="1:6" s="3" customFormat="1" ht="29.1" customHeight="1" x14ac:dyDescent="0.25">
      <c r="A19710" s="2" t="s">
        <v>38724</v>
      </c>
      <c r="B19710" s="2" t="s">
        <v>38725</v>
      </c>
      <c r="C19710" s="2" t="s">
        <v>556</v>
      </c>
      <c r="D19710" s="2" t="s">
        <v>1162</v>
      </c>
      <c r="E19710" s="2" t="str">
        <f>"9783837646528"</f>
        <v>9783837646528</v>
      </c>
      <c r="F19710" s="2" t="str">
        <f>"9783839446522"</f>
        <v>9783839446522</v>
      </c>
    </row>
    <row r="19711" spans="1:6" s="3" customFormat="1" ht="29.1" customHeight="1" x14ac:dyDescent="0.25">
      <c r="A19711" s="2" t="s">
        <v>38726</v>
      </c>
      <c r="B19711" s="2" t="s">
        <v>38727</v>
      </c>
      <c r="C19711" s="2" t="s">
        <v>556</v>
      </c>
      <c r="D19711" s="2" t="s">
        <v>1411</v>
      </c>
      <c r="E19711" s="2" t="str">
        <f>"9783837645255"</f>
        <v>9783837645255</v>
      </c>
      <c r="F19711" s="2" t="str">
        <f>"9783839445259"</f>
        <v>9783839445259</v>
      </c>
    </row>
    <row r="19712" spans="1:6" s="3" customFormat="1" ht="29.1" customHeight="1" x14ac:dyDescent="0.25">
      <c r="A19712" s="2" t="s">
        <v>38728</v>
      </c>
      <c r="B19712" s="2" t="s">
        <v>38729</v>
      </c>
      <c r="C19712" s="2" t="s">
        <v>556</v>
      </c>
      <c r="D19712" s="2" t="s">
        <v>33</v>
      </c>
      <c r="E19712" s="2" t="str">
        <f>"9783837649772"</f>
        <v>9783837649772</v>
      </c>
      <c r="F19712" s="2" t="str">
        <f>"9783839449776"</f>
        <v>9783839449776</v>
      </c>
    </row>
    <row r="19713" spans="1:6" s="3" customFormat="1" ht="29.1" customHeight="1" x14ac:dyDescent="0.25">
      <c r="A19713" s="2" t="s">
        <v>38730</v>
      </c>
      <c r="B19713" s="2"/>
      <c r="C19713" s="2" t="s">
        <v>195</v>
      </c>
      <c r="D19713" s="2" t="s">
        <v>4678</v>
      </c>
      <c r="E19713" s="2"/>
      <c r="F19713" s="2" t="str">
        <f>"9781463236908"</f>
        <v>9781463236908</v>
      </c>
    </row>
    <row r="19714" spans="1:6" s="3" customFormat="1" ht="29.1" customHeight="1" x14ac:dyDescent="0.25">
      <c r="A19714" s="2" t="s">
        <v>38731</v>
      </c>
      <c r="B19714" s="2"/>
      <c r="C19714" s="2" t="s">
        <v>195</v>
      </c>
      <c r="D19714" s="2" t="s">
        <v>4678</v>
      </c>
      <c r="E19714" s="2"/>
      <c r="F19714" s="2" t="str">
        <f>"9781463236496"</f>
        <v>9781463236496</v>
      </c>
    </row>
    <row r="19715" spans="1:6" s="3" customFormat="1" ht="29.1" customHeight="1" x14ac:dyDescent="0.25">
      <c r="A19715" s="2" t="s">
        <v>38732</v>
      </c>
      <c r="B19715" s="2" t="s">
        <v>38733</v>
      </c>
      <c r="C19715" s="2" t="s">
        <v>195</v>
      </c>
      <c r="D19715" s="2" t="s">
        <v>1059</v>
      </c>
      <c r="E19715" s="2" t="str">
        <f>"9783110574401"</f>
        <v>9783110574401</v>
      </c>
      <c r="F19715" s="2" t="str">
        <f>"9783110574432"</f>
        <v>9783110574432</v>
      </c>
    </row>
    <row r="19716" spans="1:6" s="3" customFormat="1" ht="29.1" customHeight="1" x14ac:dyDescent="0.25">
      <c r="A19716" s="2" t="s">
        <v>38734</v>
      </c>
      <c r="B19716" s="2" t="s">
        <v>38735</v>
      </c>
      <c r="C19716" s="2" t="s">
        <v>195</v>
      </c>
      <c r="D19716" s="2" t="s">
        <v>462</v>
      </c>
      <c r="E19716" s="2" t="str">
        <f>"9783111197913"</f>
        <v>9783111197913</v>
      </c>
      <c r="F19716" s="2" t="str">
        <f>"9783111721088"</f>
        <v>9783111721088</v>
      </c>
    </row>
    <row r="19717" spans="1:6" s="3" customFormat="1" ht="29.1" customHeight="1" x14ac:dyDescent="0.25">
      <c r="A19717" s="2" t="s">
        <v>38736</v>
      </c>
      <c r="B19717" s="2" t="s">
        <v>38737</v>
      </c>
      <c r="C19717" s="2" t="s">
        <v>195</v>
      </c>
      <c r="D19717" s="2" t="s">
        <v>402</v>
      </c>
      <c r="E19717" s="2" t="str">
        <f>"9783111066103"</f>
        <v>9783111066103</v>
      </c>
      <c r="F19717" s="2" t="str">
        <f>"9783111431567"</f>
        <v>9783111431567</v>
      </c>
    </row>
    <row r="19718" spans="1:6" s="3" customFormat="1" ht="29.1" customHeight="1" x14ac:dyDescent="0.25">
      <c r="A19718" s="2" t="s">
        <v>38738</v>
      </c>
      <c r="B19718" s="2" t="s">
        <v>38739</v>
      </c>
      <c r="C19718" s="2" t="s">
        <v>195</v>
      </c>
      <c r="D19718" s="2" t="s">
        <v>9600</v>
      </c>
      <c r="E19718" s="2" t="str">
        <f>"9781501519154"</f>
        <v>9781501519154</v>
      </c>
      <c r="F19718" s="2" t="str">
        <f>"9781501512971"</f>
        <v>9781501512971</v>
      </c>
    </row>
    <row r="19719" spans="1:6" s="3" customFormat="1" ht="29.1" customHeight="1" x14ac:dyDescent="0.25">
      <c r="A19719" s="2" t="s">
        <v>38740</v>
      </c>
      <c r="B19719" s="2" t="s">
        <v>35817</v>
      </c>
      <c r="C19719" s="2" t="s">
        <v>195</v>
      </c>
      <c r="D19719" s="2" t="s">
        <v>118</v>
      </c>
      <c r="E19719" s="2" t="str">
        <f>"9783110684926"</f>
        <v>9783110684926</v>
      </c>
      <c r="F19719" s="2" t="str">
        <f>"9783110685022"</f>
        <v>9783110685022</v>
      </c>
    </row>
    <row r="19720" spans="1:6" s="3" customFormat="1" ht="29.1" customHeight="1" x14ac:dyDescent="0.25">
      <c r="A19720" s="2" t="s">
        <v>38741</v>
      </c>
      <c r="B19720" s="2" t="s">
        <v>38743</v>
      </c>
      <c r="C19720" s="2" t="s">
        <v>195</v>
      </c>
      <c r="D19720" s="2" t="s">
        <v>38742</v>
      </c>
      <c r="E19720" s="2" t="str">
        <f>"9783940671103"</f>
        <v>9783940671103</v>
      </c>
      <c r="F19720" s="2" t="str">
        <f>"9783110718836"</f>
        <v>9783110718836</v>
      </c>
    </row>
    <row r="19721" spans="1:6" s="3" customFormat="1" ht="29.1" customHeight="1" x14ac:dyDescent="0.25">
      <c r="A19721" s="2" t="s">
        <v>38744</v>
      </c>
      <c r="B19721" s="2" t="s">
        <v>38745</v>
      </c>
      <c r="C19721" s="2" t="s">
        <v>195</v>
      </c>
      <c r="D19721" s="2" t="s">
        <v>459</v>
      </c>
      <c r="E19721" s="2" t="str">
        <f>"9783110144383"</f>
        <v>9783110144383</v>
      </c>
      <c r="F19721" s="2" t="str">
        <f>"9783110622485"</f>
        <v>9783110622485</v>
      </c>
    </row>
    <row r="19722" spans="1:6" s="3" customFormat="1" ht="29.1" customHeight="1" x14ac:dyDescent="0.25">
      <c r="A19722" s="2" t="s">
        <v>38746</v>
      </c>
      <c r="B19722" s="2" t="s">
        <v>38747</v>
      </c>
      <c r="C19722" s="2" t="s">
        <v>195</v>
      </c>
      <c r="D19722" s="2" t="s">
        <v>459</v>
      </c>
      <c r="E19722" s="2" t="str">
        <f>"9783110607956"</f>
        <v>9783110607956</v>
      </c>
      <c r="F19722" s="2" t="str">
        <f>"9783110607963"</f>
        <v>9783110607963</v>
      </c>
    </row>
    <row r="19723" spans="1:6" s="3" customFormat="1" ht="29.1" customHeight="1" x14ac:dyDescent="0.25">
      <c r="A19723" s="2" t="s">
        <v>38748</v>
      </c>
      <c r="B19723" s="2" t="s">
        <v>38749</v>
      </c>
      <c r="C19723" s="2" t="s">
        <v>195</v>
      </c>
      <c r="D19723" s="2" t="s">
        <v>2237</v>
      </c>
      <c r="E19723" s="2" t="str">
        <f>"9783111136851"</f>
        <v>9783111136851</v>
      </c>
      <c r="F19723" s="2" t="str">
        <f>"9783111715599"</f>
        <v>9783111715599</v>
      </c>
    </row>
    <row r="19724" spans="1:6" s="3" customFormat="1" ht="29.1" customHeight="1" x14ac:dyDescent="0.25">
      <c r="A19724" s="2" t="s">
        <v>38750</v>
      </c>
      <c r="B19724" s="2" t="s">
        <v>38751</v>
      </c>
      <c r="C19724" s="2" t="s">
        <v>149</v>
      </c>
      <c r="D19724" s="2" t="s">
        <v>2016</v>
      </c>
      <c r="E19724" s="2" t="str">
        <f>"9783110615227"</f>
        <v>9783110615227</v>
      </c>
      <c r="F19724" s="2" t="str">
        <f>"9783110668780"</f>
        <v>9783110668780</v>
      </c>
    </row>
    <row r="19725" spans="1:6" s="3" customFormat="1" ht="29.1" customHeight="1" x14ac:dyDescent="0.25">
      <c r="A19725" s="2" t="s">
        <v>38753</v>
      </c>
      <c r="B19725" s="2" t="s">
        <v>38754</v>
      </c>
      <c r="C19725" s="2" t="s">
        <v>195</v>
      </c>
      <c r="D19725" s="2" t="s">
        <v>459</v>
      </c>
      <c r="E19725" s="2" t="str">
        <f>"9783110168617"</f>
        <v>9783110168617</v>
      </c>
      <c r="F19725" s="2" t="str">
        <f>"9783110622652"</f>
        <v>9783110622652</v>
      </c>
    </row>
    <row r="19726" spans="1:6" s="3" customFormat="1" ht="29.1" customHeight="1" x14ac:dyDescent="0.25">
      <c r="A19726" s="2" t="s">
        <v>38755</v>
      </c>
      <c r="B19726" s="2" t="s">
        <v>38756</v>
      </c>
      <c r="C19726" s="2" t="s">
        <v>195</v>
      </c>
      <c r="D19726" s="2" t="s">
        <v>210</v>
      </c>
      <c r="E19726" s="2" t="str">
        <f>"9783486758269"</f>
        <v>9783486758269</v>
      </c>
      <c r="F19726" s="2" t="str">
        <f>"9783486758276"</f>
        <v>9783486758276</v>
      </c>
    </row>
    <row r="19727" spans="1:6" s="3" customFormat="1" ht="29.1" customHeight="1" x14ac:dyDescent="0.25">
      <c r="A19727" s="2" t="s">
        <v>38757</v>
      </c>
      <c r="B19727" s="2" t="s">
        <v>38758</v>
      </c>
      <c r="C19727" s="2" t="s">
        <v>195</v>
      </c>
      <c r="D19727" s="2" t="s">
        <v>431</v>
      </c>
      <c r="E19727" s="2" t="str">
        <f>"9783111193830"</f>
        <v>9783111193830</v>
      </c>
      <c r="F19727" s="2" t="str">
        <f>"9783111565163"</f>
        <v>9783111565163</v>
      </c>
    </row>
    <row r="19728" spans="1:6" s="3" customFormat="1" ht="29.1" customHeight="1" x14ac:dyDescent="0.25">
      <c r="A19728" s="2" t="s">
        <v>38759</v>
      </c>
      <c r="B19728" s="2"/>
      <c r="C19728" s="2" t="s">
        <v>195</v>
      </c>
      <c r="D19728" s="2" t="s">
        <v>210</v>
      </c>
      <c r="E19728" s="2"/>
      <c r="F19728" s="2" t="str">
        <f>"9781463222536"</f>
        <v>9781463222536</v>
      </c>
    </row>
    <row r="19729" spans="1:6" s="3" customFormat="1" ht="29.1" customHeight="1" x14ac:dyDescent="0.25">
      <c r="A19729" s="2" t="s">
        <v>38760</v>
      </c>
      <c r="B19729" s="2" t="s">
        <v>38761</v>
      </c>
      <c r="C19729" s="2" t="s">
        <v>195</v>
      </c>
      <c r="D19729" s="2" t="s">
        <v>6548</v>
      </c>
      <c r="E19729" s="2"/>
      <c r="F19729" s="2" t="str">
        <f>"9781463234812"</f>
        <v>9781463234812</v>
      </c>
    </row>
    <row r="19730" spans="1:6" s="3" customFormat="1" ht="29.1" customHeight="1" x14ac:dyDescent="0.25">
      <c r="A19730" s="2" t="s">
        <v>38762</v>
      </c>
      <c r="B19730" s="2" t="s">
        <v>38763</v>
      </c>
      <c r="C19730" s="2" t="s">
        <v>195</v>
      </c>
      <c r="D19730" s="2" t="s">
        <v>2428</v>
      </c>
      <c r="E19730" s="2"/>
      <c r="F19730" s="2" t="str">
        <f>"9781463216474"</f>
        <v>9781463216474</v>
      </c>
    </row>
    <row r="19731" spans="1:6" s="3" customFormat="1" ht="29.1" customHeight="1" x14ac:dyDescent="0.25">
      <c r="A19731" s="2" t="s">
        <v>38764</v>
      </c>
      <c r="B19731" s="2"/>
      <c r="C19731" s="2" t="s">
        <v>195</v>
      </c>
      <c r="D19731" s="2" t="s">
        <v>11558</v>
      </c>
      <c r="E19731" s="2"/>
      <c r="F19731" s="2" t="str">
        <f>"9781463210120"</f>
        <v>9781463210120</v>
      </c>
    </row>
    <row r="19732" spans="1:6" s="3" customFormat="1" ht="29.1" customHeight="1" x14ac:dyDescent="0.25">
      <c r="A19732" s="2" t="s">
        <v>38765</v>
      </c>
      <c r="B19732" s="2" t="s">
        <v>38766</v>
      </c>
      <c r="C19732" s="2" t="s">
        <v>195</v>
      </c>
      <c r="D19732" s="2" t="s">
        <v>183</v>
      </c>
      <c r="E19732" s="2" t="str">
        <f>"9783110634075"</f>
        <v>9783110634075</v>
      </c>
      <c r="F19732" s="2" t="str">
        <f>"9783110634082"</f>
        <v>9783110634082</v>
      </c>
    </row>
    <row r="19733" spans="1:6" s="3" customFormat="1" ht="29.1" customHeight="1" x14ac:dyDescent="0.25">
      <c r="A19733" s="2" t="s">
        <v>38767</v>
      </c>
      <c r="B19733" s="2" t="s">
        <v>38768</v>
      </c>
      <c r="C19733" s="2" t="s">
        <v>195</v>
      </c>
      <c r="D19733" s="2" t="s">
        <v>479</v>
      </c>
      <c r="E19733" s="2" t="str">
        <f>"9783110605198"</f>
        <v>9783110605198</v>
      </c>
      <c r="F19733" s="2" t="str">
        <f>"9783110605570"</f>
        <v>9783110605570</v>
      </c>
    </row>
    <row r="19734" spans="1:6" s="3" customFormat="1" ht="29.1" customHeight="1" x14ac:dyDescent="0.25">
      <c r="A19734" s="2" t="s">
        <v>38769</v>
      </c>
      <c r="B19734" s="2" t="s">
        <v>38770</v>
      </c>
      <c r="C19734" s="2" t="s">
        <v>195</v>
      </c>
      <c r="D19734" s="2" t="s">
        <v>339</v>
      </c>
      <c r="E19734" s="2" t="str">
        <f>"9783110617825"</f>
        <v>9783110617825</v>
      </c>
      <c r="F19734" s="2" t="str">
        <f>"9783110617832"</f>
        <v>9783110617832</v>
      </c>
    </row>
    <row r="19735" spans="1:6" s="3" customFormat="1" ht="29.1" customHeight="1" x14ac:dyDescent="0.25">
      <c r="A19735" s="2" t="s">
        <v>38771</v>
      </c>
      <c r="B19735" s="2" t="s">
        <v>38772</v>
      </c>
      <c r="C19735" s="2" t="s">
        <v>195</v>
      </c>
      <c r="D19735" s="2" t="s">
        <v>270</v>
      </c>
      <c r="E19735" s="2" t="str">
        <f>"9788395720444"</f>
        <v>9788395720444</v>
      </c>
      <c r="F19735" s="2" t="str">
        <f>"9788395720451"</f>
        <v>9788395720451</v>
      </c>
    </row>
    <row r="19736" spans="1:6" s="3" customFormat="1" ht="29.1" customHeight="1" x14ac:dyDescent="0.25">
      <c r="A19736" s="2" t="s">
        <v>38773</v>
      </c>
      <c r="B19736" s="2" t="s">
        <v>38774</v>
      </c>
      <c r="C19736" s="2" t="s">
        <v>195</v>
      </c>
      <c r="D19736" s="2" t="s">
        <v>1816</v>
      </c>
      <c r="E19736" s="2"/>
      <c r="F19736" s="2" t="str">
        <f>"9788395669699"</f>
        <v>9788395669699</v>
      </c>
    </row>
    <row r="19737" spans="1:6" s="3" customFormat="1" ht="29.1" customHeight="1" x14ac:dyDescent="0.25">
      <c r="A19737" s="2" t="s">
        <v>38775</v>
      </c>
      <c r="B19737" s="2" t="s">
        <v>38776</v>
      </c>
      <c r="C19737" s="2" t="s">
        <v>195</v>
      </c>
      <c r="D19737" s="2" t="s">
        <v>2692</v>
      </c>
      <c r="E19737" s="2" t="str">
        <f>"9783110471120"</f>
        <v>9783110471120</v>
      </c>
      <c r="F19737" s="2" t="str">
        <f>"9783110471137"</f>
        <v>9783110471137</v>
      </c>
    </row>
    <row r="19738" spans="1:6" s="3" customFormat="1" ht="29.1" customHeight="1" x14ac:dyDescent="0.25">
      <c r="A19738" s="2" t="s">
        <v>38777</v>
      </c>
      <c r="B19738" s="2" t="s">
        <v>38778</v>
      </c>
      <c r="C19738" s="2" t="s">
        <v>195</v>
      </c>
      <c r="D19738" s="2" t="s">
        <v>121</v>
      </c>
      <c r="E19738" s="2" t="str">
        <f>"9783110517316"</f>
        <v>9783110517316</v>
      </c>
      <c r="F19738" s="2" t="str">
        <f>"9783110517323"</f>
        <v>9783110517323</v>
      </c>
    </row>
    <row r="19739" spans="1:6" s="3" customFormat="1" ht="29.1" customHeight="1" x14ac:dyDescent="0.25">
      <c r="A19739" s="2" t="s">
        <v>38779</v>
      </c>
      <c r="B19739" s="2" t="s">
        <v>38780</v>
      </c>
      <c r="C19739" s="2" t="s">
        <v>195</v>
      </c>
      <c r="D19739" s="2" t="s">
        <v>639</v>
      </c>
      <c r="E19739" s="2" t="str">
        <f>"9783110526035"</f>
        <v>9783110526035</v>
      </c>
      <c r="F19739" s="2" t="str">
        <f>"9783110526042"</f>
        <v>9783110526042</v>
      </c>
    </row>
    <row r="19740" spans="1:6" s="3" customFormat="1" ht="29.1" customHeight="1" x14ac:dyDescent="0.25">
      <c r="A19740" s="2" t="s">
        <v>38781</v>
      </c>
      <c r="B19740" s="2" t="s">
        <v>38782</v>
      </c>
      <c r="C19740" s="2" t="s">
        <v>195</v>
      </c>
      <c r="D19740" s="2" t="s">
        <v>3814</v>
      </c>
      <c r="E19740" s="2" t="str">
        <f>"9783110473841"</f>
        <v>9783110473841</v>
      </c>
      <c r="F19740" s="2" t="str">
        <f>"9783110473858"</f>
        <v>9783110473858</v>
      </c>
    </row>
    <row r="19741" spans="1:6" s="3" customFormat="1" ht="29.1" customHeight="1" x14ac:dyDescent="0.25">
      <c r="A19741" s="2" t="s">
        <v>38783</v>
      </c>
      <c r="B19741" s="2" t="s">
        <v>38784</v>
      </c>
      <c r="C19741" s="2" t="s">
        <v>195</v>
      </c>
      <c r="D19741" s="2" t="s">
        <v>6548</v>
      </c>
      <c r="E19741" s="2" t="str">
        <f>"9783110556483"</f>
        <v>9783110556483</v>
      </c>
      <c r="F19741" s="2" t="str">
        <f>"9783110556643"</f>
        <v>9783110556643</v>
      </c>
    </row>
    <row r="19742" spans="1:6" s="3" customFormat="1" ht="29.1" customHeight="1" x14ac:dyDescent="0.25">
      <c r="A19742" s="2" t="s">
        <v>38785</v>
      </c>
      <c r="B19742" s="2" t="s">
        <v>38786</v>
      </c>
      <c r="C19742" s="2" t="s">
        <v>195</v>
      </c>
      <c r="D19742" s="2" t="s">
        <v>101</v>
      </c>
      <c r="E19742" s="2" t="str">
        <f>"9783110559033"</f>
        <v>9783110559033</v>
      </c>
      <c r="F19742" s="2" t="str">
        <f>"9783110559040"</f>
        <v>9783110559040</v>
      </c>
    </row>
    <row r="19743" spans="1:6" s="3" customFormat="1" ht="29.1" customHeight="1" x14ac:dyDescent="0.25">
      <c r="A19743" s="2" t="s">
        <v>38787</v>
      </c>
      <c r="B19743" s="2" t="s">
        <v>38788</v>
      </c>
      <c r="C19743" s="2" t="s">
        <v>195</v>
      </c>
      <c r="D19743" s="2" t="s">
        <v>1162</v>
      </c>
      <c r="E19743" s="2" t="str">
        <f>"9783110581911"</f>
        <v>9783110581911</v>
      </c>
      <c r="F19743" s="2" t="str">
        <f>"9783110581928"</f>
        <v>9783110581928</v>
      </c>
    </row>
    <row r="19744" spans="1:6" s="3" customFormat="1" ht="29.1" customHeight="1" x14ac:dyDescent="0.25">
      <c r="A19744" s="2" t="s">
        <v>38789</v>
      </c>
      <c r="B19744" s="2" t="s">
        <v>38790</v>
      </c>
      <c r="C19744" s="2" t="s">
        <v>195</v>
      </c>
      <c r="D19744" s="2" t="s">
        <v>968</v>
      </c>
      <c r="E19744" s="2" t="str">
        <f>"9783110626193"</f>
        <v>9783110626193</v>
      </c>
      <c r="F19744" s="2" t="str">
        <f>"9783110626209"</f>
        <v>9783110626209</v>
      </c>
    </row>
    <row r="19745" spans="1:6" s="3" customFormat="1" ht="29.1" customHeight="1" x14ac:dyDescent="0.25">
      <c r="A19745" s="2" t="s">
        <v>38791</v>
      </c>
      <c r="B19745" s="2" t="s">
        <v>38782</v>
      </c>
      <c r="C19745" s="2" t="s">
        <v>195</v>
      </c>
      <c r="D19745" s="2" t="s">
        <v>3814</v>
      </c>
      <c r="E19745" s="2" t="str">
        <f>"9783110473773"</f>
        <v>9783110473773</v>
      </c>
      <c r="F19745" s="2" t="str">
        <f>"9783110473780"</f>
        <v>9783110473780</v>
      </c>
    </row>
    <row r="19746" spans="1:6" s="3" customFormat="1" ht="29.1" customHeight="1" x14ac:dyDescent="0.25">
      <c r="A19746" s="2" t="s">
        <v>38792</v>
      </c>
      <c r="B19746" s="2" t="s">
        <v>38793</v>
      </c>
      <c r="C19746" s="2" t="s">
        <v>195</v>
      </c>
      <c r="D19746" s="2" t="s">
        <v>1902</v>
      </c>
      <c r="E19746" s="2" t="str">
        <f>"9783110584967"</f>
        <v>9783110584967</v>
      </c>
      <c r="F19746" s="2" t="str">
        <f>"9783110584974"</f>
        <v>9783110584974</v>
      </c>
    </row>
    <row r="19747" spans="1:6" s="3" customFormat="1" ht="29.1" customHeight="1" x14ac:dyDescent="0.25">
      <c r="A19747" s="2" t="s">
        <v>38794</v>
      </c>
      <c r="B19747" s="2" t="s">
        <v>38795</v>
      </c>
      <c r="C19747" s="2" t="s">
        <v>195</v>
      </c>
      <c r="D19747" s="2" t="s">
        <v>313</v>
      </c>
      <c r="E19747" s="2" t="str">
        <f>"9783110605907"</f>
        <v>9783110605907</v>
      </c>
      <c r="F19747" s="2" t="str">
        <f>"9783110605914"</f>
        <v>9783110605914</v>
      </c>
    </row>
    <row r="19748" spans="1:6" s="3" customFormat="1" ht="29.1" customHeight="1" x14ac:dyDescent="0.25">
      <c r="A19748" s="2" t="s">
        <v>38796</v>
      </c>
      <c r="B19748" s="2" t="s">
        <v>38797</v>
      </c>
      <c r="C19748" s="2" t="s">
        <v>195</v>
      </c>
      <c r="D19748" s="2" t="s">
        <v>547</v>
      </c>
      <c r="E19748" s="2" t="str">
        <f>"9783110480832"</f>
        <v>9783110480832</v>
      </c>
      <c r="F19748" s="2" t="str">
        <f>"9783110480849"</f>
        <v>9783110480849</v>
      </c>
    </row>
    <row r="19749" spans="1:6" s="3" customFormat="1" ht="29.1" customHeight="1" x14ac:dyDescent="0.25">
      <c r="A19749" s="2" t="s">
        <v>38798</v>
      </c>
      <c r="B19749" s="2" t="s">
        <v>38793</v>
      </c>
      <c r="C19749" s="2" t="s">
        <v>195</v>
      </c>
      <c r="D19749" s="2" t="s">
        <v>1902</v>
      </c>
      <c r="E19749" s="2" t="str">
        <f>"9783110584981"</f>
        <v>9783110584981</v>
      </c>
      <c r="F19749" s="2" t="str">
        <f>"9783110584998"</f>
        <v>9783110584998</v>
      </c>
    </row>
    <row r="19750" spans="1:6" s="3" customFormat="1" ht="29.1" customHeight="1" x14ac:dyDescent="0.25">
      <c r="A19750" s="2" t="s">
        <v>38799</v>
      </c>
      <c r="B19750" s="2" t="s">
        <v>38800</v>
      </c>
      <c r="C19750" s="2" t="s">
        <v>195</v>
      </c>
      <c r="D19750" s="2" t="s">
        <v>10336</v>
      </c>
      <c r="E19750" s="2" t="str">
        <f>"9783110550825"</f>
        <v>9783110550825</v>
      </c>
      <c r="F19750" s="2" t="str">
        <f>"9783110550832"</f>
        <v>9783110550832</v>
      </c>
    </row>
    <row r="19751" spans="1:6" s="3" customFormat="1" ht="29.1" customHeight="1" x14ac:dyDescent="0.25">
      <c r="A19751" s="2" t="s">
        <v>38801</v>
      </c>
      <c r="B19751" s="2" t="s">
        <v>38803</v>
      </c>
      <c r="C19751" s="2" t="s">
        <v>195</v>
      </c>
      <c r="D19751" s="2" t="s">
        <v>38802</v>
      </c>
      <c r="E19751" s="2" t="str">
        <f>"9783110452457"</f>
        <v>9783110452457</v>
      </c>
      <c r="F19751" s="2" t="str">
        <f>"9783110452464"</f>
        <v>9783110452464</v>
      </c>
    </row>
    <row r="19752" spans="1:6" s="3" customFormat="1" ht="29.1" customHeight="1" x14ac:dyDescent="0.25">
      <c r="A19752" s="2" t="s">
        <v>38804</v>
      </c>
      <c r="B19752" s="2" t="s">
        <v>38805</v>
      </c>
      <c r="C19752" s="2" t="s">
        <v>195</v>
      </c>
      <c r="D19752" s="2" t="s">
        <v>183</v>
      </c>
      <c r="E19752" s="2" t="str">
        <f>"9783110546323"</f>
        <v>9783110546323</v>
      </c>
      <c r="F19752" s="2" t="str">
        <f>"9783110546330"</f>
        <v>9783110546330</v>
      </c>
    </row>
    <row r="19753" spans="1:6" s="3" customFormat="1" ht="29.1" customHeight="1" x14ac:dyDescent="0.25">
      <c r="A19753" s="2" t="s">
        <v>38806</v>
      </c>
      <c r="B19753" s="2" t="s">
        <v>38807</v>
      </c>
      <c r="C19753" s="2" t="s">
        <v>195</v>
      </c>
      <c r="D19753" s="2" t="s">
        <v>3852</v>
      </c>
      <c r="E19753" s="2" t="str">
        <f>"9788395609541"</f>
        <v>9788395609541</v>
      </c>
      <c r="F19753" s="2" t="str">
        <f>"9788395609558"</f>
        <v>9788395609558</v>
      </c>
    </row>
    <row r="19754" spans="1:6" s="3" customFormat="1" ht="29.1" customHeight="1" x14ac:dyDescent="0.25">
      <c r="A19754" s="2" t="s">
        <v>38808</v>
      </c>
      <c r="B19754" s="2" t="s">
        <v>38809</v>
      </c>
      <c r="C19754" s="2" t="s">
        <v>195</v>
      </c>
      <c r="D19754" s="2" t="s">
        <v>5092</v>
      </c>
      <c r="E19754" s="2" t="str">
        <f>"9783110471731"</f>
        <v>9783110471731</v>
      </c>
      <c r="F19754" s="2" t="str">
        <f>"9783110471748"</f>
        <v>9783110471748</v>
      </c>
    </row>
    <row r="19755" spans="1:6" s="3" customFormat="1" ht="29.1" customHeight="1" x14ac:dyDescent="0.25">
      <c r="A19755" s="2" t="s">
        <v>38810</v>
      </c>
      <c r="B19755" s="2" t="s">
        <v>38811</v>
      </c>
      <c r="C19755" s="2" t="s">
        <v>195</v>
      </c>
      <c r="D19755" s="2" t="s">
        <v>334</v>
      </c>
      <c r="E19755" s="2" t="str">
        <f>"9788395720482"</f>
        <v>9788395720482</v>
      </c>
      <c r="F19755" s="2" t="str">
        <f>"9788395720499"</f>
        <v>9788395720499</v>
      </c>
    </row>
    <row r="19756" spans="1:6" s="3" customFormat="1" ht="29.1" customHeight="1" x14ac:dyDescent="0.25">
      <c r="A19756" s="2" t="s">
        <v>38812</v>
      </c>
      <c r="B19756" s="2" t="s">
        <v>38813</v>
      </c>
      <c r="C19756" s="2" t="s">
        <v>195</v>
      </c>
      <c r="D19756" s="2" t="s">
        <v>7132</v>
      </c>
      <c r="E19756" s="2" t="str">
        <f>"9783110548365"</f>
        <v>9783110548365</v>
      </c>
      <c r="F19756" s="2" t="str">
        <f>"9783110548372"</f>
        <v>9783110548372</v>
      </c>
    </row>
    <row r="19757" spans="1:6" s="3" customFormat="1" ht="29.1" customHeight="1" x14ac:dyDescent="0.25">
      <c r="A19757" s="2" t="s">
        <v>38814</v>
      </c>
      <c r="B19757" s="2" t="s">
        <v>37211</v>
      </c>
      <c r="C19757" s="2" t="s">
        <v>195</v>
      </c>
      <c r="D19757" s="2" t="s">
        <v>1018</v>
      </c>
      <c r="E19757" s="2" t="str">
        <f>"9783110522112"</f>
        <v>9783110522112</v>
      </c>
      <c r="F19757" s="2" t="str">
        <f>"9783110522143"</f>
        <v>9783110522143</v>
      </c>
    </row>
    <row r="19758" spans="1:6" s="3" customFormat="1" ht="29.1" customHeight="1" x14ac:dyDescent="0.25">
      <c r="A19758" s="2" t="s">
        <v>38815</v>
      </c>
      <c r="B19758" s="2" t="s">
        <v>38816</v>
      </c>
      <c r="C19758" s="2" t="s">
        <v>195</v>
      </c>
      <c r="D19758" s="2" t="s">
        <v>3105</v>
      </c>
      <c r="E19758" s="2" t="str">
        <f>"9783110485905"</f>
        <v>9783110485905</v>
      </c>
      <c r="F19758" s="2" t="str">
        <f>"9783110485912"</f>
        <v>9783110485912</v>
      </c>
    </row>
    <row r="19759" spans="1:6" s="3" customFormat="1" ht="29.1" customHeight="1" x14ac:dyDescent="0.25">
      <c r="A19759" s="2" t="s">
        <v>38817</v>
      </c>
      <c r="B19759" s="2" t="s">
        <v>38818</v>
      </c>
      <c r="C19759" s="2" t="s">
        <v>195</v>
      </c>
      <c r="D19759" s="2" t="s">
        <v>101</v>
      </c>
      <c r="E19759" s="2" t="str">
        <f>"9783110539578"</f>
        <v>9783110539578</v>
      </c>
      <c r="F19759" s="2" t="str">
        <f>"9783110539592"</f>
        <v>9783110539592</v>
      </c>
    </row>
    <row r="19760" spans="1:6" s="3" customFormat="1" ht="29.1" customHeight="1" x14ac:dyDescent="0.25">
      <c r="A19760" s="2" t="s">
        <v>38819</v>
      </c>
      <c r="B19760" s="2" t="s">
        <v>38820</v>
      </c>
      <c r="C19760" s="2" t="s">
        <v>195</v>
      </c>
      <c r="D19760" s="2" t="s">
        <v>2019</v>
      </c>
      <c r="E19760" s="2" t="str">
        <f>"9788395815034"</f>
        <v>9788395815034</v>
      </c>
      <c r="F19760" s="2" t="str">
        <f>"9788395815041"</f>
        <v>9788395815041</v>
      </c>
    </row>
    <row r="19761" spans="1:6" s="3" customFormat="1" ht="29.1" customHeight="1" x14ac:dyDescent="0.25">
      <c r="A19761" s="2" t="s">
        <v>38821</v>
      </c>
      <c r="B19761" s="2" t="s">
        <v>38822</v>
      </c>
      <c r="C19761" s="2" t="s">
        <v>195</v>
      </c>
      <c r="D19761" s="2" t="s">
        <v>107</v>
      </c>
      <c r="E19761" s="2" t="str">
        <f>"9783110569285"</f>
        <v>9783110569285</v>
      </c>
      <c r="F19761" s="2" t="str">
        <f>"9783110569315"</f>
        <v>9783110569315</v>
      </c>
    </row>
    <row r="19762" spans="1:6" s="3" customFormat="1" ht="29.1" customHeight="1" x14ac:dyDescent="0.25">
      <c r="A19762" s="2" t="s">
        <v>38823</v>
      </c>
      <c r="B19762" s="2" t="s">
        <v>38824</v>
      </c>
      <c r="C19762" s="2" t="s">
        <v>195</v>
      </c>
      <c r="D19762" s="2" t="s">
        <v>1097</v>
      </c>
      <c r="E19762" s="2" t="str">
        <f>"9783110449495"</f>
        <v>9783110449495</v>
      </c>
      <c r="F19762" s="2" t="str">
        <f>"9783110449501"</f>
        <v>9783110449501</v>
      </c>
    </row>
    <row r="19763" spans="1:6" s="3" customFormat="1" ht="29.1" customHeight="1" x14ac:dyDescent="0.25">
      <c r="A19763" s="2" t="s">
        <v>38825</v>
      </c>
      <c r="B19763" s="2" t="s">
        <v>38826</v>
      </c>
      <c r="C19763" s="2" t="s">
        <v>195</v>
      </c>
      <c r="D19763" s="2" t="s">
        <v>1806</v>
      </c>
      <c r="E19763" s="2" t="str">
        <f>"9783110591408"</f>
        <v>9783110591408</v>
      </c>
      <c r="F19763" s="2" t="str">
        <f>"9783110591415"</f>
        <v>9783110591415</v>
      </c>
    </row>
    <row r="19764" spans="1:6" s="3" customFormat="1" ht="29.1" customHeight="1" x14ac:dyDescent="0.25">
      <c r="A19764" s="2" t="s">
        <v>38827</v>
      </c>
      <c r="B19764" s="2" t="s">
        <v>38828</v>
      </c>
      <c r="C19764" s="2" t="s">
        <v>195</v>
      </c>
      <c r="D19764" s="2" t="s">
        <v>1432</v>
      </c>
      <c r="E19764" s="2" t="str">
        <f>"9783110539448"</f>
        <v>9783110539448</v>
      </c>
      <c r="F19764" s="2" t="str">
        <f>"9783110539455"</f>
        <v>9783110539455</v>
      </c>
    </row>
    <row r="19765" spans="1:6" s="3" customFormat="1" ht="29.1" customHeight="1" x14ac:dyDescent="0.25">
      <c r="A19765" s="2" t="s">
        <v>38827</v>
      </c>
      <c r="B19765" s="2" t="s">
        <v>38829</v>
      </c>
      <c r="C19765" s="2" t="s">
        <v>195</v>
      </c>
      <c r="D19765" s="2" t="s">
        <v>10410</v>
      </c>
      <c r="E19765" s="2" t="str">
        <f>"9783110601282"</f>
        <v>9783110601282</v>
      </c>
      <c r="F19765" s="2" t="str">
        <f>"9783110601299"</f>
        <v>9783110601299</v>
      </c>
    </row>
    <row r="19766" spans="1:6" s="3" customFormat="1" ht="29.1" customHeight="1" x14ac:dyDescent="0.25">
      <c r="A19766" s="2" t="s">
        <v>38830</v>
      </c>
      <c r="B19766" s="2" t="s">
        <v>38831</v>
      </c>
      <c r="C19766" s="2" t="s">
        <v>195</v>
      </c>
      <c r="D19766" s="2" t="s">
        <v>5234</v>
      </c>
      <c r="E19766" s="2" t="str">
        <f>"9783110607192"</f>
        <v>9783110607192</v>
      </c>
      <c r="F19766" s="2" t="str">
        <f>"9783110607208"</f>
        <v>9783110607208</v>
      </c>
    </row>
    <row r="19767" spans="1:6" s="3" customFormat="1" ht="29.1" customHeight="1" x14ac:dyDescent="0.25">
      <c r="A19767" s="2" t="s">
        <v>38832</v>
      </c>
      <c r="B19767" s="2" t="s">
        <v>38833</v>
      </c>
      <c r="C19767" s="2" t="s">
        <v>195</v>
      </c>
      <c r="D19767" s="2" t="s">
        <v>2752</v>
      </c>
      <c r="E19767" s="2" t="str">
        <f>"9783110537451"</f>
        <v>9783110537451</v>
      </c>
      <c r="F19767" s="2" t="str">
        <f>"9783110537482"</f>
        <v>9783110537482</v>
      </c>
    </row>
    <row r="19768" spans="1:6" s="3" customFormat="1" ht="29.1" customHeight="1" x14ac:dyDescent="0.25">
      <c r="A19768" s="2" t="s">
        <v>38834</v>
      </c>
      <c r="B19768" s="2" t="s">
        <v>38835</v>
      </c>
      <c r="C19768" s="2" t="s">
        <v>195</v>
      </c>
      <c r="D19768" s="2" t="s">
        <v>689</v>
      </c>
      <c r="E19768" s="2" t="str">
        <f>"9783110571202"</f>
        <v>9783110571202</v>
      </c>
      <c r="F19768" s="2" t="str">
        <f>"9783110571219"</f>
        <v>9783110571219</v>
      </c>
    </row>
    <row r="19769" spans="1:6" s="3" customFormat="1" ht="29.1" customHeight="1" x14ac:dyDescent="0.25">
      <c r="A19769" s="2" t="s">
        <v>38836</v>
      </c>
      <c r="B19769" s="2" t="s">
        <v>38837</v>
      </c>
      <c r="C19769" s="2" t="s">
        <v>195</v>
      </c>
      <c r="D19769" s="2" t="s">
        <v>606</v>
      </c>
      <c r="E19769" s="2" t="str">
        <f>"9783110664935"</f>
        <v>9783110664935</v>
      </c>
      <c r="F19769" s="2" t="str">
        <f>"9783110664959"</f>
        <v>9783110664959</v>
      </c>
    </row>
    <row r="19770" spans="1:6" s="3" customFormat="1" ht="29.1" customHeight="1" x14ac:dyDescent="0.25">
      <c r="A19770" s="2" t="s">
        <v>38838</v>
      </c>
      <c r="B19770" s="2" t="s">
        <v>38839</v>
      </c>
      <c r="C19770" s="2" t="s">
        <v>195</v>
      </c>
      <c r="D19770" s="2" t="s">
        <v>462</v>
      </c>
      <c r="E19770" s="2" t="str">
        <f>"9783110444964"</f>
        <v>9783110444964</v>
      </c>
      <c r="F19770" s="2" t="str">
        <f>"9783110437324"</f>
        <v>9783110437324</v>
      </c>
    </row>
    <row r="19771" spans="1:6" s="3" customFormat="1" ht="29.1" customHeight="1" x14ac:dyDescent="0.25">
      <c r="A19771" s="2" t="s">
        <v>38840</v>
      </c>
      <c r="B19771" s="2" t="s">
        <v>38841</v>
      </c>
      <c r="C19771" s="2" t="s">
        <v>195</v>
      </c>
      <c r="D19771" s="2" t="s">
        <v>712</v>
      </c>
      <c r="E19771" s="2" t="str">
        <f>"9783110539325"</f>
        <v>9783110539325</v>
      </c>
      <c r="F19771" s="2" t="str">
        <f>"9783110539356"</f>
        <v>9783110539356</v>
      </c>
    </row>
    <row r="19772" spans="1:6" s="3" customFormat="1" ht="29.1" customHeight="1" x14ac:dyDescent="0.25">
      <c r="A19772" s="2" t="s">
        <v>38842</v>
      </c>
      <c r="B19772" s="2" t="s">
        <v>38843</v>
      </c>
      <c r="C19772" s="2" t="s">
        <v>195</v>
      </c>
      <c r="D19772" s="2" t="s">
        <v>175</v>
      </c>
      <c r="E19772" s="2" t="str">
        <f>"9783110488395"</f>
        <v>9783110488395</v>
      </c>
      <c r="F19772" s="2" t="str">
        <f>"9783110488401"</f>
        <v>9783110488401</v>
      </c>
    </row>
    <row r="19773" spans="1:6" s="3" customFormat="1" ht="29.1" customHeight="1" x14ac:dyDescent="0.25">
      <c r="A19773" s="2" t="s">
        <v>38844</v>
      </c>
      <c r="B19773" s="2" t="s">
        <v>38845</v>
      </c>
      <c r="C19773" s="2" t="s">
        <v>195</v>
      </c>
      <c r="D19773" s="2" t="s">
        <v>1127</v>
      </c>
      <c r="E19773" s="2" t="str">
        <f>"9783110480788"</f>
        <v>9783110480788</v>
      </c>
      <c r="F19773" s="2" t="str">
        <f>"9783110480795"</f>
        <v>9783110480795</v>
      </c>
    </row>
    <row r="19774" spans="1:6" s="3" customFormat="1" ht="29.1" customHeight="1" x14ac:dyDescent="0.25">
      <c r="A19774" s="2" t="s">
        <v>38846</v>
      </c>
      <c r="B19774" s="2" t="s">
        <v>38848</v>
      </c>
      <c r="C19774" s="2" t="s">
        <v>195</v>
      </c>
      <c r="D19774" s="2" t="s">
        <v>38847</v>
      </c>
      <c r="E19774" s="2" t="str">
        <f>"9783110472165"</f>
        <v>9783110472165</v>
      </c>
      <c r="F19774" s="2" t="str">
        <f>"9783110470758"</f>
        <v>9783110470758</v>
      </c>
    </row>
    <row r="19775" spans="1:6" s="3" customFormat="1" ht="29.1" customHeight="1" x14ac:dyDescent="0.25">
      <c r="A19775" s="2" t="s">
        <v>38849</v>
      </c>
      <c r="B19775" s="2" t="s">
        <v>38850</v>
      </c>
      <c r="C19775" s="2" t="s">
        <v>195</v>
      </c>
      <c r="D19775" s="2" t="s">
        <v>7809</v>
      </c>
      <c r="E19775" s="2" t="str">
        <f>"9783110550856"</f>
        <v>9783110550856</v>
      </c>
      <c r="F19775" s="2" t="str">
        <f>"9783110550887"</f>
        <v>9783110550887</v>
      </c>
    </row>
    <row r="19776" spans="1:6" s="3" customFormat="1" ht="29.1" customHeight="1" x14ac:dyDescent="0.25">
      <c r="A19776" s="2" t="s">
        <v>38851</v>
      </c>
      <c r="B19776" s="2" t="s">
        <v>38852</v>
      </c>
      <c r="C19776" s="2" t="s">
        <v>195</v>
      </c>
      <c r="D19776" s="2" t="s">
        <v>2332</v>
      </c>
      <c r="E19776" s="2" t="str">
        <f>"9788376560465"</f>
        <v>9788376560465</v>
      </c>
      <c r="F19776" s="2" t="str">
        <f>"9783110368154"</f>
        <v>9783110368154</v>
      </c>
    </row>
    <row r="19777" spans="1:6" s="3" customFormat="1" ht="29.1" customHeight="1" x14ac:dyDescent="0.25">
      <c r="A19777" s="2" t="s">
        <v>38853</v>
      </c>
      <c r="B19777" s="2" t="s">
        <v>38854</v>
      </c>
      <c r="C19777" s="2" t="s">
        <v>195</v>
      </c>
      <c r="D19777" s="2" t="s">
        <v>606</v>
      </c>
      <c r="E19777" s="2" t="str">
        <f>"9783110500813"</f>
        <v>9783110500813</v>
      </c>
      <c r="F19777" s="2" t="str">
        <f>"9783110498196"</f>
        <v>9783110498196</v>
      </c>
    </row>
    <row r="19778" spans="1:6" s="3" customFormat="1" ht="29.1" customHeight="1" x14ac:dyDescent="0.25">
      <c r="A19778" s="2" t="s">
        <v>38855</v>
      </c>
      <c r="B19778" s="2" t="s">
        <v>38856</v>
      </c>
      <c r="C19778" s="2" t="s">
        <v>195</v>
      </c>
      <c r="D19778" s="2" t="s">
        <v>1902</v>
      </c>
      <c r="E19778" s="2"/>
      <c r="F19778" s="2" t="str">
        <f>"9783110695687"</f>
        <v>9783110695687</v>
      </c>
    </row>
    <row r="19779" spans="1:6" s="3" customFormat="1" ht="29.1" customHeight="1" x14ac:dyDescent="0.25">
      <c r="A19779" s="2" t="s">
        <v>38857</v>
      </c>
      <c r="B19779" s="2" t="s">
        <v>38813</v>
      </c>
      <c r="C19779" s="2" t="s">
        <v>195</v>
      </c>
      <c r="D19779" s="2" t="s">
        <v>7132</v>
      </c>
      <c r="E19779" s="2" t="str">
        <f>"9783110562385"</f>
        <v>9783110562385</v>
      </c>
      <c r="F19779" s="2" t="str">
        <f>"9783110562392"</f>
        <v>9783110562392</v>
      </c>
    </row>
    <row r="19780" spans="1:6" s="3" customFormat="1" ht="29.1" customHeight="1" x14ac:dyDescent="0.25">
      <c r="A19780" s="2" t="s">
        <v>38858</v>
      </c>
      <c r="B19780" s="2" t="s">
        <v>38859</v>
      </c>
      <c r="C19780" s="2" t="s">
        <v>195</v>
      </c>
      <c r="D19780" s="2" t="s">
        <v>10336</v>
      </c>
      <c r="E19780" s="2" t="str">
        <f>"9783110571486"</f>
        <v>9783110571486</v>
      </c>
      <c r="F19780" s="2" t="str">
        <f>"9783110571493"</f>
        <v>9783110571493</v>
      </c>
    </row>
    <row r="19781" spans="1:6" s="3" customFormat="1" ht="29.1" customHeight="1" x14ac:dyDescent="0.25">
      <c r="A19781" s="2" t="s">
        <v>38794</v>
      </c>
      <c r="B19781" s="2" t="s">
        <v>38795</v>
      </c>
      <c r="C19781" s="2" t="s">
        <v>195</v>
      </c>
      <c r="D19781" s="2" t="s">
        <v>313</v>
      </c>
      <c r="E19781" s="2" t="str">
        <f>"9783110550436"</f>
        <v>9783110550436</v>
      </c>
      <c r="F19781" s="2" t="str">
        <f>"9783110550443"</f>
        <v>9783110550443</v>
      </c>
    </row>
    <row r="19782" spans="1:6" s="3" customFormat="1" ht="29.1" customHeight="1" x14ac:dyDescent="0.25">
      <c r="A19782" s="2" t="s">
        <v>38860</v>
      </c>
      <c r="B19782" s="2" t="s">
        <v>38861</v>
      </c>
      <c r="C19782" s="2" t="s">
        <v>195</v>
      </c>
      <c r="D19782" s="2" t="s">
        <v>175</v>
      </c>
      <c r="E19782" s="2" t="str">
        <f>"9783110616330"</f>
        <v>9783110616330</v>
      </c>
      <c r="F19782" s="2" t="str">
        <f>"9783110616347"</f>
        <v>9783110616347</v>
      </c>
    </row>
    <row r="19783" spans="1:6" s="3" customFormat="1" ht="29.1" customHeight="1" x14ac:dyDescent="0.25">
      <c r="A19783" s="2" t="s">
        <v>38862</v>
      </c>
      <c r="B19783" s="2" t="s">
        <v>38863</v>
      </c>
      <c r="C19783" s="2" t="s">
        <v>195</v>
      </c>
      <c r="D19783" s="2" t="s">
        <v>10336</v>
      </c>
      <c r="E19783" s="2" t="str">
        <f>"9783110571233"</f>
        <v>9783110571233</v>
      </c>
      <c r="F19783" s="2" t="str">
        <f>"9783110571240"</f>
        <v>9783110571240</v>
      </c>
    </row>
    <row r="19784" spans="1:6" s="3" customFormat="1" ht="29.1" customHeight="1" x14ac:dyDescent="0.25">
      <c r="A19784" s="2">
        <v>-2019</v>
      </c>
      <c r="B19784" s="2" t="s">
        <v>28323</v>
      </c>
      <c r="C19784" s="2" t="s">
        <v>195</v>
      </c>
      <c r="D19784" s="2" t="s">
        <v>186</v>
      </c>
      <c r="E19784" s="2"/>
      <c r="F19784" s="2" t="str">
        <f>"9783110680591"</f>
        <v>9783110680591</v>
      </c>
    </row>
    <row r="19785" spans="1:6" s="3" customFormat="1" ht="29.1" customHeight="1" x14ac:dyDescent="0.25">
      <c r="A19785" s="2" t="s">
        <v>38864</v>
      </c>
      <c r="B19785" s="2" t="s">
        <v>38865</v>
      </c>
      <c r="C19785" s="2" t="s">
        <v>195</v>
      </c>
      <c r="D19785" s="2" t="s">
        <v>522</v>
      </c>
      <c r="E19785" s="2" t="str">
        <f>"9783110540130"</f>
        <v>9783110540130</v>
      </c>
      <c r="F19785" s="2" t="str">
        <f>"9783110540147"</f>
        <v>9783110540147</v>
      </c>
    </row>
    <row r="19786" spans="1:6" s="3" customFormat="1" ht="29.1" customHeight="1" x14ac:dyDescent="0.25">
      <c r="A19786" s="2" t="s">
        <v>38866</v>
      </c>
      <c r="B19786" s="2" t="s">
        <v>38867</v>
      </c>
      <c r="C19786" s="2" t="s">
        <v>195</v>
      </c>
      <c r="D19786" s="2" t="s">
        <v>30</v>
      </c>
      <c r="E19786" s="2"/>
      <c r="F19786" s="2" t="str">
        <f>"9788395609596"</f>
        <v>9788395609596</v>
      </c>
    </row>
    <row r="19787" spans="1:6" s="3" customFormat="1" ht="29.1" customHeight="1" x14ac:dyDescent="0.25">
      <c r="A19787" s="2" t="s">
        <v>38868</v>
      </c>
      <c r="B19787" s="2" t="s">
        <v>38869</v>
      </c>
      <c r="C19787" s="2" t="s">
        <v>195</v>
      </c>
      <c r="D19787" s="2" t="s">
        <v>297</v>
      </c>
      <c r="E19787" s="2" t="str">
        <f>"9788395669620"</f>
        <v>9788395669620</v>
      </c>
      <c r="F19787" s="2" t="str">
        <f>"9783110695694"</f>
        <v>9783110695694</v>
      </c>
    </row>
    <row r="19788" spans="1:6" s="3" customFormat="1" ht="29.1" customHeight="1" x14ac:dyDescent="0.25">
      <c r="A19788" s="2" t="s">
        <v>38870</v>
      </c>
      <c r="B19788" s="2" t="s">
        <v>38871</v>
      </c>
      <c r="C19788" s="2" t="s">
        <v>195</v>
      </c>
      <c r="D19788" s="2" t="s">
        <v>297</v>
      </c>
      <c r="E19788" s="2" t="str">
        <f>"9783110679984"</f>
        <v>9783110679984</v>
      </c>
      <c r="F19788" s="2" t="str">
        <f>"9783110679977"</f>
        <v>9783110679977</v>
      </c>
    </row>
    <row r="19789" spans="1:6" s="3" customFormat="1" ht="29.1" customHeight="1" x14ac:dyDescent="0.25">
      <c r="A19789" s="2" t="s">
        <v>38872</v>
      </c>
      <c r="B19789" s="2" t="s">
        <v>38873</v>
      </c>
      <c r="C19789" s="2" t="s">
        <v>195</v>
      </c>
      <c r="D19789" s="2" t="s">
        <v>479</v>
      </c>
      <c r="E19789" s="2" t="str">
        <f>"9783110601503"</f>
        <v>9783110601503</v>
      </c>
      <c r="F19789" s="2" t="str">
        <f>"9783110601558"</f>
        <v>9783110601558</v>
      </c>
    </row>
    <row r="19790" spans="1:6" s="3" customFormat="1" ht="29.1" customHeight="1" x14ac:dyDescent="0.25">
      <c r="A19790" s="2" t="s">
        <v>38874</v>
      </c>
      <c r="B19790" s="2" t="s">
        <v>38875</v>
      </c>
      <c r="C19790" s="2" t="s">
        <v>195</v>
      </c>
      <c r="D19790" s="2" t="s">
        <v>459</v>
      </c>
      <c r="E19790" s="2" t="str">
        <f>"9783110472042"</f>
        <v>9783110472042</v>
      </c>
      <c r="F19790" s="2" t="str">
        <f>"9783110470727"</f>
        <v>9783110470727</v>
      </c>
    </row>
    <row r="19791" spans="1:6" s="3" customFormat="1" ht="29.1" customHeight="1" x14ac:dyDescent="0.25">
      <c r="A19791" s="2" t="s">
        <v>38876</v>
      </c>
      <c r="B19791" s="2" t="s">
        <v>38877</v>
      </c>
      <c r="C19791" s="2" t="s">
        <v>195</v>
      </c>
      <c r="D19791" s="2" t="s">
        <v>9441</v>
      </c>
      <c r="E19791" s="2" t="str">
        <f>"9783110567328"</f>
        <v>9783110567328</v>
      </c>
      <c r="F19791" s="2" t="str">
        <f>"9783110567496"</f>
        <v>9783110567496</v>
      </c>
    </row>
    <row r="19792" spans="1:6" s="3" customFormat="1" ht="29.1" customHeight="1" x14ac:dyDescent="0.25">
      <c r="A19792" s="2" t="s">
        <v>38878</v>
      </c>
      <c r="B19792" s="2" t="s">
        <v>38879</v>
      </c>
      <c r="C19792" s="2" t="s">
        <v>195</v>
      </c>
      <c r="D19792" s="2" t="s">
        <v>18107</v>
      </c>
      <c r="E19792" s="2" t="str">
        <f>"9783110517361"</f>
        <v>9783110517361</v>
      </c>
      <c r="F19792" s="2" t="str">
        <f>"9783110517378"</f>
        <v>9783110517378</v>
      </c>
    </row>
    <row r="19793" spans="1:6" s="3" customFormat="1" ht="29.1" customHeight="1" x14ac:dyDescent="0.25">
      <c r="A19793" s="2" t="s">
        <v>38880</v>
      </c>
      <c r="B19793" s="2" t="s">
        <v>38881</v>
      </c>
      <c r="C19793" s="2" t="s">
        <v>195</v>
      </c>
      <c r="D19793" s="2" t="s">
        <v>210</v>
      </c>
      <c r="E19793" s="2" t="str">
        <f>"9783486584028"</f>
        <v>9783486584028</v>
      </c>
      <c r="F19793" s="2" t="str">
        <f>"9783486707496"</f>
        <v>9783486707496</v>
      </c>
    </row>
    <row r="19794" spans="1:6" s="3" customFormat="1" ht="29.1" customHeight="1" x14ac:dyDescent="0.25">
      <c r="A19794" s="2" t="s">
        <v>38882</v>
      </c>
      <c r="B19794" s="2" t="s">
        <v>38883</v>
      </c>
      <c r="C19794" s="2" t="s">
        <v>195</v>
      </c>
      <c r="D19794" s="2" t="s">
        <v>210</v>
      </c>
      <c r="E19794" s="2" t="str">
        <f>"9783486575804"</f>
        <v>9783486575804</v>
      </c>
      <c r="F19794" s="2" t="str">
        <f>"9783486707625"</f>
        <v>9783486707625</v>
      </c>
    </row>
    <row r="19795" spans="1:6" s="3" customFormat="1" ht="29.1" customHeight="1" x14ac:dyDescent="0.25">
      <c r="A19795" s="2" t="s">
        <v>38884</v>
      </c>
      <c r="B19795" s="2" t="s">
        <v>38885</v>
      </c>
      <c r="C19795" s="2" t="s">
        <v>195</v>
      </c>
      <c r="D19795" s="2" t="s">
        <v>210</v>
      </c>
      <c r="E19795" s="2" t="str">
        <f>"9783486567250"</f>
        <v>9783486567250</v>
      </c>
      <c r="F19795" s="2" t="str">
        <f>"9783486707489"</f>
        <v>9783486707489</v>
      </c>
    </row>
    <row r="19796" spans="1:6" s="3" customFormat="1" ht="29.1" customHeight="1" x14ac:dyDescent="0.25">
      <c r="A19796" s="2" t="s">
        <v>38886</v>
      </c>
      <c r="B19796" s="2" t="s">
        <v>38887</v>
      </c>
      <c r="C19796" s="2" t="s">
        <v>195</v>
      </c>
      <c r="D19796" s="2" t="s">
        <v>210</v>
      </c>
      <c r="E19796" s="2" t="str">
        <f>"9783486579086"</f>
        <v>9783486579086</v>
      </c>
      <c r="F19796" s="2" t="str">
        <f>"9783486707557"</f>
        <v>9783486707557</v>
      </c>
    </row>
    <row r="19797" spans="1:6" s="3" customFormat="1" ht="29.1" customHeight="1" x14ac:dyDescent="0.25">
      <c r="A19797" s="2" t="s">
        <v>38888</v>
      </c>
      <c r="B19797" s="2" t="s">
        <v>38889</v>
      </c>
      <c r="C19797" s="2" t="s">
        <v>195</v>
      </c>
      <c r="D19797" s="2" t="s">
        <v>28202</v>
      </c>
      <c r="E19797" s="2" t="str">
        <f>"9783110501346"</f>
        <v>9783110501346</v>
      </c>
      <c r="F19797" s="2" t="str">
        <f>"9783110516319"</f>
        <v>9783110516319</v>
      </c>
    </row>
    <row r="19798" spans="1:6" s="3" customFormat="1" ht="29.1" customHeight="1" x14ac:dyDescent="0.25">
      <c r="A19798" s="2" t="s">
        <v>38890</v>
      </c>
      <c r="B19798" s="2" t="s">
        <v>38891</v>
      </c>
      <c r="C19798" s="2" t="s">
        <v>195</v>
      </c>
      <c r="D19798" s="2" t="s">
        <v>218</v>
      </c>
      <c r="E19798" s="2" t="str">
        <f>"9783110578423"</f>
        <v>9783110578423</v>
      </c>
      <c r="F19798" s="2" t="str">
        <f>"9783110579178"</f>
        <v>9783110579178</v>
      </c>
    </row>
    <row r="19799" spans="1:6" s="3" customFormat="1" ht="29.1" customHeight="1" x14ac:dyDescent="0.25">
      <c r="A19799" s="2" t="s">
        <v>38892</v>
      </c>
      <c r="B19799" s="2" t="s">
        <v>29608</v>
      </c>
      <c r="C19799" s="2" t="s">
        <v>195</v>
      </c>
      <c r="D19799" s="2" t="s">
        <v>465</v>
      </c>
      <c r="E19799" s="2" t="str">
        <f>"9783110653106"</f>
        <v>9783110653106</v>
      </c>
      <c r="F19799" s="2" t="str">
        <f>"9783110650686"</f>
        <v>9783110650686</v>
      </c>
    </row>
    <row r="19800" spans="1:6" s="3" customFormat="1" ht="29.1" customHeight="1" x14ac:dyDescent="0.25">
      <c r="A19800" s="2" t="s">
        <v>38893</v>
      </c>
      <c r="B19800" s="2" t="s">
        <v>38894</v>
      </c>
      <c r="C19800" s="2" t="s">
        <v>195</v>
      </c>
      <c r="D19800" s="2" t="s">
        <v>462</v>
      </c>
      <c r="E19800" s="2" t="str">
        <f>"9783110535228"</f>
        <v>9783110535228</v>
      </c>
      <c r="F19800" s="2" t="str">
        <f>"9783110535693"</f>
        <v>9783110535693</v>
      </c>
    </row>
    <row r="19801" spans="1:6" s="3" customFormat="1" ht="29.1" customHeight="1" x14ac:dyDescent="0.25">
      <c r="A19801" s="2" t="s">
        <v>38895</v>
      </c>
      <c r="B19801" s="2" t="s">
        <v>38896</v>
      </c>
      <c r="C19801" s="2" t="s">
        <v>195</v>
      </c>
      <c r="D19801" s="2" t="s">
        <v>2336</v>
      </c>
      <c r="E19801" s="2" t="str">
        <f>"9783110476538"</f>
        <v>9783110476538</v>
      </c>
      <c r="F19801" s="2" t="str">
        <f>"9783110476590"</f>
        <v>9783110476590</v>
      </c>
    </row>
    <row r="19802" spans="1:6" s="3" customFormat="1" ht="29.1" customHeight="1" x14ac:dyDescent="0.25">
      <c r="A19802" s="2" t="s">
        <v>38897</v>
      </c>
      <c r="B19802" s="2" t="s">
        <v>38898</v>
      </c>
      <c r="C19802" s="2" t="s">
        <v>195</v>
      </c>
      <c r="D19802" s="2" t="s">
        <v>462</v>
      </c>
      <c r="E19802" s="2" t="str">
        <f>"9783110727487"</f>
        <v>9783110727487</v>
      </c>
      <c r="F19802" s="2" t="str">
        <f>"9783110727630"</f>
        <v>9783110727630</v>
      </c>
    </row>
    <row r="19803" spans="1:6" s="3" customFormat="1" ht="29.1" customHeight="1" x14ac:dyDescent="0.25">
      <c r="A19803" s="2" t="s">
        <v>38899</v>
      </c>
      <c r="B19803" s="2" t="s">
        <v>38900</v>
      </c>
      <c r="C19803" s="2" t="s">
        <v>195</v>
      </c>
      <c r="D19803" s="2" t="s">
        <v>402</v>
      </c>
      <c r="E19803" s="2" t="str">
        <f>"9783111202013"</f>
        <v>9783111202013</v>
      </c>
      <c r="F19803" s="2" t="str">
        <f>"9783111574066"</f>
        <v>9783111574066</v>
      </c>
    </row>
    <row r="19804" spans="1:6" s="3" customFormat="1" ht="29.1" customHeight="1" x14ac:dyDescent="0.25">
      <c r="A19804" s="2" t="s">
        <v>38901</v>
      </c>
      <c r="B19804" s="2" t="s">
        <v>38902</v>
      </c>
      <c r="C19804" s="2" t="s">
        <v>195</v>
      </c>
      <c r="D19804" s="2" t="s">
        <v>4619</v>
      </c>
      <c r="E19804" s="2" t="str">
        <f>"9783110500844"</f>
        <v>9783110500844</v>
      </c>
      <c r="F19804" s="2" t="str">
        <f>"9783110498165"</f>
        <v>9783110498165</v>
      </c>
    </row>
    <row r="19805" spans="1:6" s="3" customFormat="1" ht="29.1" customHeight="1" x14ac:dyDescent="0.25">
      <c r="A19805" s="2" t="s">
        <v>38903</v>
      </c>
      <c r="B19805" s="2" t="s">
        <v>38904</v>
      </c>
      <c r="C19805" s="2" t="s">
        <v>195</v>
      </c>
      <c r="D19805" s="2" t="s">
        <v>284</v>
      </c>
      <c r="E19805" s="2" t="str">
        <f>"9783110356977"</f>
        <v>9783110356977</v>
      </c>
      <c r="F19805" s="2" t="str">
        <f>"9783110363227"</f>
        <v>9783110363227</v>
      </c>
    </row>
    <row r="19806" spans="1:6" s="3" customFormat="1" ht="29.1" customHeight="1" x14ac:dyDescent="0.25">
      <c r="A19806" s="2" t="s">
        <v>38905</v>
      </c>
      <c r="B19806" s="2" t="s">
        <v>38906</v>
      </c>
      <c r="C19806" s="2" t="s">
        <v>195</v>
      </c>
      <c r="D19806" s="2" t="s">
        <v>465</v>
      </c>
      <c r="E19806" s="2" t="str">
        <f>"9783110695786"</f>
        <v>9783110695786</v>
      </c>
      <c r="F19806" s="2" t="str">
        <f>"9783110696479"</f>
        <v>9783110696479</v>
      </c>
    </row>
    <row r="19807" spans="1:6" s="3" customFormat="1" ht="29.1" customHeight="1" x14ac:dyDescent="0.25">
      <c r="A19807" s="2" t="s">
        <v>38907</v>
      </c>
      <c r="B19807" s="2" t="s">
        <v>38908</v>
      </c>
      <c r="C19807" s="2" t="s">
        <v>195</v>
      </c>
      <c r="D19807" s="2" t="s">
        <v>446</v>
      </c>
      <c r="E19807" s="2" t="str">
        <f>"9783110603439"</f>
        <v>9783110603439</v>
      </c>
      <c r="F19807" s="2" t="str">
        <f>"9783110605624"</f>
        <v>9783110605624</v>
      </c>
    </row>
    <row r="19808" spans="1:6" s="3" customFormat="1" ht="29.1" customHeight="1" x14ac:dyDescent="0.25">
      <c r="A19808" s="2" t="s">
        <v>38909</v>
      </c>
      <c r="B19808" s="2" t="s">
        <v>38910</v>
      </c>
      <c r="C19808" s="2" t="s">
        <v>195</v>
      </c>
      <c r="D19808" s="2" t="s">
        <v>462</v>
      </c>
      <c r="E19808" s="2" t="str">
        <f>"9783110644838"</f>
        <v>9783110644838</v>
      </c>
      <c r="F19808" s="2" t="str">
        <f>"9783110645125"</f>
        <v>9783110645125</v>
      </c>
    </row>
    <row r="19809" spans="1:6" s="3" customFormat="1" ht="29.1" customHeight="1" x14ac:dyDescent="0.25">
      <c r="A19809" s="2" t="s">
        <v>38911</v>
      </c>
      <c r="B19809" s="2" t="s">
        <v>38912</v>
      </c>
      <c r="C19809" s="2" t="s">
        <v>195</v>
      </c>
      <c r="D19809" s="2" t="s">
        <v>459</v>
      </c>
      <c r="E19809" s="2" t="str">
        <f>"9783110985320"</f>
        <v>9783110985320</v>
      </c>
      <c r="F19809" s="2" t="str">
        <f>"9783111727431"</f>
        <v>9783111727431</v>
      </c>
    </row>
    <row r="19810" spans="1:6" s="3" customFormat="1" ht="29.1" customHeight="1" x14ac:dyDescent="0.25">
      <c r="A19810" s="2" t="s">
        <v>38913</v>
      </c>
      <c r="B19810" s="2" t="s">
        <v>38914</v>
      </c>
      <c r="C19810" s="2" t="s">
        <v>195</v>
      </c>
      <c r="D19810" s="2" t="s">
        <v>9600</v>
      </c>
      <c r="E19810" s="2" t="str">
        <f>"9781501511400"</f>
        <v>9781501511400</v>
      </c>
      <c r="F19810" s="2" t="str">
        <f>"9781501503139"</f>
        <v>9781501503139</v>
      </c>
    </row>
    <row r="19811" spans="1:6" s="3" customFormat="1" ht="29.1" customHeight="1" x14ac:dyDescent="0.25">
      <c r="A19811" s="2" t="s">
        <v>38915</v>
      </c>
      <c r="B19811" s="2" t="s">
        <v>38916</v>
      </c>
      <c r="C19811" s="2" t="s">
        <v>195</v>
      </c>
      <c r="D19811" s="2" t="s">
        <v>30328</v>
      </c>
      <c r="E19811" s="2" t="str">
        <f>"9783110629590"</f>
        <v>9783110629590</v>
      </c>
      <c r="F19811" s="2" t="str">
        <f>"9783110631463"</f>
        <v>9783110631463</v>
      </c>
    </row>
    <row r="19812" spans="1:6" s="3" customFormat="1" ht="29.1" customHeight="1" x14ac:dyDescent="0.25">
      <c r="A19812" s="2" t="s">
        <v>38917</v>
      </c>
      <c r="B19812" s="2" t="s">
        <v>38918</v>
      </c>
      <c r="C19812" s="2" t="s">
        <v>195</v>
      </c>
      <c r="D19812" s="2" t="s">
        <v>49</v>
      </c>
      <c r="E19812" s="2" t="str">
        <f>"9781501514548"</f>
        <v>9781501514548</v>
      </c>
      <c r="F19812" s="2" t="str">
        <f>"9781501505355"</f>
        <v>9781501505355</v>
      </c>
    </row>
    <row r="19813" spans="1:6" s="3" customFormat="1" ht="29.1" customHeight="1" x14ac:dyDescent="0.25">
      <c r="A19813" s="2" t="s">
        <v>38919</v>
      </c>
      <c r="B19813" s="2" t="s">
        <v>38920</v>
      </c>
      <c r="C19813" s="2" t="s">
        <v>195</v>
      </c>
      <c r="D19813" s="2" t="s">
        <v>210</v>
      </c>
      <c r="E19813" s="2" t="str">
        <f>"9783110660173"</f>
        <v>9783110660173</v>
      </c>
      <c r="F19813" s="2" t="str">
        <f>"9783110660333"</f>
        <v>9783110660333</v>
      </c>
    </row>
    <row r="19814" spans="1:6" s="3" customFormat="1" ht="29.1" customHeight="1" x14ac:dyDescent="0.25">
      <c r="A19814" s="2" t="s">
        <v>38921</v>
      </c>
      <c r="B19814" s="2" t="s">
        <v>38922</v>
      </c>
      <c r="C19814" s="2" t="s">
        <v>195</v>
      </c>
      <c r="D19814" s="2" t="s">
        <v>1062</v>
      </c>
      <c r="E19814" s="2" t="str">
        <f>"9783110720686"</f>
        <v>9783110720686</v>
      </c>
      <c r="F19814" s="2" t="str">
        <f>"9783110722826"</f>
        <v>9783110722826</v>
      </c>
    </row>
    <row r="19815" spans="1:6" s="3" customFormat="1" ht="29.1" customHeight="1" x14ac:dyDescent="0.25">
      <c r="A19815" s="2" t="s">
        <v>38923</v>
      </c>
      <c r="B19815" s="2" t="s">
        <v>38924</v>
      </c>
      <c r="C19815" s="2" t="s">
        <v>195</v>
      </c>
      <c r="D19815" s="2" t="s">
        <v>107</v>
      </c>
      <c r="E19815" s="2" t="str">
        <f>"9783110725421"</f>
        <v>9783110725421</v>
      </c>
      <c r="F19815" s="2" t="str">
        <f>"9783110725780"</f>
        <v>9783110725780</v>
      </c>
    </row>
    <row r="19816" spans="1:6" s="3" customFormat="1" ht="29.1" customHeight="1" x14ac:dyDescent="0.25">
      <c r="A19816" s="2" t="s">
        <v>38925</v>
      </c>
      <c r="B19816" s="2" t="s">
        <v>38926</v>
      </c>
      <c r="C19816" s="2" t="s">
        <v>195</v>
      </c>
      <c r="D19816" s="2" t="s">
        <v>150</v>
      </c>
      <c r="E19816" s="2" t="str">
        <f>"9783110557572"</f>
        <v>9783110557572</v>
      </c>
      <c r="F19816" s="2" t="str">
        <f>"9783110557596"</f>
        <v>9783110557596</v>
      </c>
    </row>
    <row r="19817" spans="1:6" s="3" customFormat="1" ht="29.1" customHeight="1" x14ac:dyDescent="0.25">
      <c r="A19817" s="2" t="s">
        <v>38927</v>
      </c>
      <c r="B19817" s="2" t="s">
        <v>38928</v>
      </c>
      <c r="C19817" s="2" t="s">
        <v>195</v>
      </c>
      <c r="D19817" s="2" t="s">
        <v>1768</v>
      </c>
      <c r="E19817" s="2" t="str">
        <f>"9783110639742"</f>
        <v>9783110639742</v>
      </c>
      <c r="F19817" s="2" t="str">
        <f>"9783110639827"</f>
        <v>9783110639827</v>
      </c>
    </row>
    <row r="19818" spans="1:6" s="3" customFormat="1" ht="29.1" customHeight="1" x14ac:dyDescent="0.25">
      <c r="A19818" s="2" t="s">
        <v>38929</v>
      </c>
      <c r="B19818" s="2" t="s">
        <v>38930</v>
      </c>
      <c r="C19818" s="2" t="s">
        <v>195</v>
      </c>
      <c r="D19818" s="2" t="s">
        <v>33</v>
      </c>
      <c r="E19818" s="2" t="str">
        <f>"9783110636017"</f>
        <v>9783110636017</v>
      </c>
      <c r="F19818" s="2" t="str">
        <f>"9783110689112"</f>
        <v>9783110689112</v>
      </c>
    </row>
    <row r="19819" spans="1:6" s="3" customFormat="1" ht="29.1" customHeight="1" x14ac:dyDescent="0.25">
      <c r="A19819" s="2" t="s">
        <v>38931</v>
      </c>
      <c r="B19819" s="2" t="s">
        <v>38932</v>
      </c>
      <c r="C19819" s="2" t="s">
        <v>195</v>
      </c>
      <c r="D19819" s="2" t="s">
        <v>459</v>
      </c>
      <c r="E19819" s="2" t="str">
        <f>"9783111309965"</f>
        <v>9783111309965</v>
      </c>
      <c r="F19819" s="2" t="str">
        <f>"9783111698205"</f>
        <v>9783111698205</v>
      </c>
    </row>
    <row r="19820" spans="1:6" s="3" customFormat="1" ht="29.1" customHeight="1" x14ac:dyDescent="0.25">
      <c r="A19820" s="2" t="s">
        <v>38933</v>
      </c>
      <c r="B19820" s="2" t="s">
        <v>38934</v>
      </c>
      <c r="C19820" s="2" t="s">
        <v>195</v>
      </c>
      <c r="D19820" s="2" t="s">
        <v>210</v>
      </c>
      <c r="E19820" s="2" t="str">
        <f>"9783110612479"</f>
        <v>9783110612479</v>
      </c>
      <c r="F19820" s="2" t="str">
        <f>"9783110612806"</f>
        <v>9783110612806</v>
      </c>
    </row>
    <row r="19821" spans="1:6" s="3" customFormat="1" ht="29.1" customHeight="1" x14ac:dyDescent="0.25">
      <c r="A19821" s="2" t="s">
        <v>38935</v>
      </c>
      <c r="B19821" s="2" t="s">
        <v>38936</v>
      </c>
      <c r="C19821" s="2" t="s">
        <v>195</v>
      </c>
      <c r="D19821" s="2" t="s">
        <v>210</v>
      </c>
      <c r="E19821" s="2" t="str">
        <f>"9783486560831"</f>
        <v>9783486560831</v>
      </c>
      <c r="F19821" s="2" t="str">
        <f>"9783486595789"</f>
        <v>9783486595789</v>
      </c>
    </row>
    <row r="19822" spans="1:6" s="3" customFormat="1" ht="29.1" customHeight="1" x14ac:dyDescent="0.25">
      <c r="A19822" s="2" t="s">
        <v>38937</v>
      </c>
      <c r="B19822" s="2" t="s">
        <v>38938</v>
      </c>
      <c r="C19822" s="2" t="s">
        <v>195</v>
      </c>
      <c r="D19822" s="2" t="s">
        <v>446</v>
      </c>
      <c r="E19822" s="2" t="str">
        <f>"9783110667172"</f>
        <v>9783110667172</v>
      </c>
      <c r="F19822" s="2" t="str">
        <f>"9783110667189"</f>
        <v>9783110667189</v>
      </c>
    </row>
    <row r="19823" spans="1:6" s="3" customFormat="1" ht="29.1" customHeight="1" x14ac:dyDescent="0.25">
      <c r="A19823" s="2" t="s">
        <v>38939</v>
      </c>
      <c r="B19823" s="2" t="s">
        <v>33681</v>
      </c>
      <c r="C19823" s="2" t="s">
        <v>195</v>
      </c>
      <c r="D19823" s="2" t="s">
        <v>34474</v>
      </c>
      <c r="E19823" s="2" t="str">
        <f>"9783110674170"</f>
        <v>9783110674170</v>
      </c>
      <c r="F19823" s="2" t="str">
        <f>"9783110684384"</f>
        <v>9783110684384</v>
      </c>
    </row>
    <row r="19824" spans="1:6" s="3" customFormat="1" ht="29.1" customHeight="1" x14ac:dyDescent="0.25">
      <c r="A19824" s="2" t="s">
        <v>38940</v>
      </c>
      <c r="B19824" s="2" t="s">
        <v>38941</v>
      </c>
      <c r="C19824" s="2" t="s">
        <v>195</v>
      </c>
      <c r="D19824" s="2" t="s">
        <v>879</v>
      </c>
      <c r="E19824" s="2" t="str">
        <f>"9783110622317"</f>
        <v>9783110622317</v>
      </c>
      <c r="F19824" s="2" t="str">
        <f>"9783110623543"</f>
        <v>9783110623543</v>
      </c>
    </row>
    <row r="19825" spans="1:6" s="3" customFormat="1" ht="29.1" customHeight="1" x14ac:dyDescent="0.25">
      <c r="A19825" s="2" t="s">
        <v>38942</v>
      </c>
      <c r="B19825" s="2" t="s">
        <v>38943</v>
      </c>
      <c r="C19825" s="2" t="s">
        <v>195</v>
      </c>
      <c r="D19825" s="2" t="s">
        <v>12194</v>
      </c>
      <c r="E19825" s="2" t="str">
        <f>"9783111140278"</f>
        <v>9783111140278</v>
      </c>
      <c r="F19825" s="2" t="str">
        <f>"9783111507415"</f>
        <v>9783111507415</v>
      </c>
    </row>
    <row r="19826" spans="1:6" s="3" customFormat="1" ht="29.1" customHeight="1" x14ac:dyDescent="0.25">
      <c r="A19826" s="2" t="s">
        <v>38944</v>
      </c>
      <c r="B19826" s="2" t="s">
        <v>38945</v>
      </c>
      <c r="C19826" s="2" t="s">
        <v>195</v>
      </c>
      <c r="D19826" s="2" t="s">
        <v>459</v>
      </c>
      <c r="E19826" s="2" t="str">
        <f>"9783110680669"</f>
        <v>9783110680669</v>
      </c>
      <c r="F19826" s="2" t="str">
        <f>"9783110680744"</f>
        <v>9783110680744</v>
      </c>
    </row>
    <row r="19827" spans="1:6" s="3" customFormat="1" ht="29.1" customHeight="1" x14ac:dyDescent="0.25">
      <c r="A19827" s="2" t="s">
        <v>38946</v>
      </c>
      <c r="B19827" s="2" t="s">
        <v>38947</v>
      </c>
      <c r="C19827" s="2" t="s">
        <v>195</v>
      </c>
      <c r="D19827" s="2" t="s">
        <v>210</v>
      </c>
      <c r="E19827" s="2" t="str">
        <f>"9783486565430"</f>
        <v>9783486565430</v>
      </c>
      <c r="F19827" s="2" t="str">
        <f>"9783486596137"</f>
        <v>9783486596137</v>
      </c>
    </row>
    <row r="19828" spans="1:6" s="3" customFormat="1" ht="29.1" customHeight="1" x14ac:dyDescent="0.25">
      <c r="A19828" s="2" t="s">
        <v>38948</v>
      </c>
      <c r="B19828" s="2" t="s">
        <v>38949</v>
      </c>
      <c r="C19828" s="2" t="s">
        <v>195</v>
      </c>
      <c r="D19828" s="2" t="s">
        <v>297</v>
      </c>
      <c r="E19828" s="2" t="str">
        <f>"9783110644562"</f>
        <v>9783110644562</v>
      </c>
      <c r="F19828" s="2" t="str">
        <f>"9783110645347"</f>
        <v>9783110645347</v>
      </c>
    </row>
    <row r="19829" spans="1:6" s="3" customFormat="1" ht="29.1" customHeight="1" x14ac:dyDescent="0.25">
      <c r="A19829" s="2" t="s">
        <v>38950</v>
      </c>
      <c r="B19829" s="2" t="s">
        <v>38951</v>
      </c>
      <c r="C19829" s="2" t="s">
        <v>195</v>
      </c>
      <c r="D19829" s="2" t="s">
        <v>2237</v>
      </c>
      <c r="E19829" s="2" t="str">
        <f>"9783111136288"</f>
        <v>9783111136288</v>
      </c>
      <c r="F19829" s="2" t="str">
        <f>"9783111502793"</f>
        <v>9783111502793</v>
      </c>
    </row>
    <row r="19830" spans="1:6" s="3" customFormat="1" ht="29.1" customHeight="1" x14ac:dyDescent="0.25">
      <c r="A19830" s="2" t="s">
        <v>38952</v>
      </c>
      <c r="B19830" s="2" t="s">
        <v>38953</v>
      </c>
      <c r="C19830" s="2" t="s">
        <v>195</v>
      </c>
      <c r="D19830" s="2" t="s">
        <v>462</v>
      </c>
      <c r="E19830" s="2" t="str">
        <f>"9783110601251"</f>
        <v>9783110601251</v>
      </c>
      <c r="F19830" s="2" t="str">
        <f>"9783110601268"</f>
        <v>9783110601268</v>
      </c>
    </row>
    <row r="19831" spans="1:6" s="3" customFormat="1" ht="29.1" customHeight="1" x14ac:dyDescent="0.25">
      <c r="A19831" s="2" t="s">
        <v>38954</v>
      </c>
      <c r="B19831" s="2" t="s">
        <v>38955</v>
      </c>
      <c r="C19831" s="2" t="s">
        <v>195</v>
      </c>
      <c r="D19831" s="2" t="s">
        <v>1565</v>
      </c>
      <c r="E19831" s="2" t="str">
        <f>"9783110661064"</f>
        <v>9783110661064</v>
      </c>
      <c r="F19831" s="2" t="str">
        <f>"9783110661330"</f>
        <v>9783110661330</v>
      </c>
    </row>
    <row r="19832" spans="1:6" s="3" customFormat="1" ht="29.1" customHeight="1" x14ac:dyDescent="0.25">
      <c r="A19832" s="2" t="s">
        <v>38956</v>
      </c>
      <c r="B19832" s="2" t="s">
        <v>38957</v>
      </c>
      <c r="C19832" s="2" t="s">
        <v>195</v>
      </c>
      <c r="D19832" s="2" t="s">
        <v>210</v>
      </c>
      <c r="E19832" s="2" t="str">
        <f>"9783486527117"</f>
        <v>9783486527117</v>
      </c>
      <c r="F19832" s="2" t="str">
        <f>"9783486708608"</f>
        <v>9783486708608</v>
      </c>
    </row>
    <row r="19833" spans="1:6" s="3" customFormat="1" ht="29.1" customHeight="1" x14ac:dyDescent="0.25">
      <c r="A19833" s="2" t="s">
        <v>38958</v>
      </c>
      <c r="B19833" s="2" t="s">
        <v>38959</v>
      </c>
      <c r="C19833" s="2" t="s">
        <v>195</v>
      </c>
      <c r="D19833" s="2" t="s">
        <v>2943</v>
      </c>
      <c r="E19833" s="2" t="str">
        <f>"9783110602951"</f>
        <v>9783110602951</v>
      </c>
      <c r="F19833" s="2" t="str">
        <f>"9783110603309"</f>
        <v>9783110603309</v>
      </c>
    </row>
    <row r="19834" spans="1:6" s="3" customFormat="1" ht="29.1" customHeight="1" x14ac:dyDescent="0.25">
      <c r="A19834" s="2" t="s">
        <v>38960</v>
      </c>
      <c r="B19834" s="2" t="s">
        <v>38961</v>
      </c>
      <c r="C19834" s="2" t="s">
        <v>195</v>
      </c>
      <c r="D19834" s="2" t="s">
        <v>5266</v>
      </c>
      <c r="E19834" s="2" t="str">
        <f>"9783110655551"</f>
        <v>9783110655551</v>
      </c>
      <c r="F19834" s="2" t="str">
        <f>"9783110655582"</f>
        <v>9783110655582</v>
      </c>
    </row>
    <row r="19835" spans="1:6" s="3" customFormat="1" ht="29.1" customHeight="1" x14ac:dyDescent="0.25">
      <c r="A19835" s="2" t="s">
        <v>38962</v>
      </c>
      <c r="B19835" s="2" t="s">
        <v>38963</v>
      </c>
      <c r="C19835" s="2" t="s">
        <v>195</v>
      </c>
      <c r="D19835" s="2" t="s">
        <v>402</v>
      </c>
      <c r="E19835" s="2" t="str">
        <f>"9783110696370"</f>
        <v>9783110696370</v>
      </c>
      <c r="F19835" s="2" t="str">
        <f>"9783110696493"</f>
        <v>9783110696493</v>
      </c>
    </row>
    <row r="19836" spans="1:6" s="3" customFormat="1" ht="29.1" customHeight="1" x14ac:dyDescent="0.25">
      <c r="A19836" s="2" t="s">
        <v>38964</v>
      </c>
      <c r="B19836" s="2" t="s">
        <v>38965</v>
      </c>
      <c r="C19836" s="2" t="s">
        <v>195</v>
      </c>
      <c r="D19836" s="2" t="s">
        <v>462</v>
      </c>
      <c r="E19836" s="2" t="str">
        <f>"9783110645439"</f>
        <v>9783110645439</v>
      </c>
      <c r="F19836" s="2" t="str">
        <f>"9783110645446"</f>
        <v>9783110645446</v>
      </c>
    </row>
    <row r="19837" spans="1:6" s="3" customFormat="1" ht="29.1" customHeight="1" x14ac:dyDescent="0.25">
      <c r="A19837" s="2" t="s">
        <v>38966</v>
      </c>
      <c r="B19837" s="2" t="s">
        <v>38967</v>
      </c>
      <c r="C19837" s="2" t="s">
        <v>195</v>
      </c>
      <c r="D19837" s="2" t="s">
        <v>2713</v>
      </c>
      <c r="E19837" s="2" t="str">
        <f>"9783110710588"</f>
        <v>9783110710588</v>
      </c>
      <c r="F19837" s="2" t="str">
        <f>"9783110710595"</f>
        <v>9783110710595</v>
      </c>
    </row>
    <row r="19838" spans="1:6" s="3" customFormat="1" ht="29.1" customHeight="1" x14ac:dyDescent="0.25">
      <c r="A19838" s="2" t="s">
        <v>38968</v>
      </c>
      <c r="B19838" s="2" t="s">
        <v>38969</v>
      </c>
      <c r="C19838" s="2" t="s">
        <v>195</v>
      </c>
      <c r="D19838" s="2" t="s">
        <v>162</v>
      </c>
      <c r="E19838" s="2" t="str">
        <f>"9783110641530"</f>
        <v>9783110641530</v>
      </c>
      <c r="F19838" s="2" t="str">
        <f>"9783110641882"</f>
        <v>9783110641882</v>
      </c>
    </row>
    <row r="19839" spans="1:6" s="3" customFormat="1" ht="29.1" customHeight="1" x14ac:dyDescent="0.25">
      <c r="A19839" s="2" t="s">
        <v>38970</v>
      </c>
      <c r="B19839" s="2" t="s">
        <v>38971</v>
      </c>
      <c r="C19839" s="2" t="s">
        <v>195</v>
      </c>
      <c r="D19839" s="2" t="s">
        <v>459</v>
      </c>
      <c r="E19839" s="2" t="str">
        <f>"9783110179569"</f>
        <v>9783110179569</v>
      </c>
      <c r="F19839" s="2" t="str">
        <f>"9783110622768"</f>
        <v>9783110622768</v>
      </c>
    </row>
    <row r="19840" spans="1:6" s="3" customFormat="1" ht="29.1" customHeight="1" x14ac:dyDescent="0.25">
      <c r="A19840" s="2" t="s">
        <v>38972</v>
      </c>
      <c r="B19840" s="2" t="s">
        <v>38973</v>
      </c>
      <c r="C19840" s="2" t="s">
        <v>195</v>
      </c>
      <c r="D19840" s="2" t="s">
        <v>462</v>
      </c>
      <c r="E19840" s="2" t="str">
        <f>"9783110471830"</f>
        <v>9783110471830</v>
      </c>
      <c r="F19840" s="2" t="str">
        <f>"9783110533736"</f>
        <v>9783110533736</v>
      </c>
    </row>
    <row r="19841" spans="1:6" s="3" customFormat="1" ht="29.1" customHeight="1" x14ac:dyDescent="0.25">
      <c r="A19841" s="2" t="s">
        <v>38974</v>
      </c>
      <c r="B19841" s="2" t="s">
        <v>38975</v>
      </c>
      <c r="C19841" s="2" t="s">
        <v>195</v>
      </c>
      <c r="D19841" s="2" t="s">
        <v>81</v>
      </c>
      <c r="E19841" s="2" t="str">
        <f>"9783111158693"</f>
        <v>9783111158693</v>
      </c>
      <c r="F19841" s="2" t="str">
        <f>"9783111526966"</f>
        <v>9783111526966</v>
      </c>
    </row>
    <row r="19842" spans="1:6" s="3" customFormat="1" ht="29.1" customHeight="1" x14ac:dyDescent="0.25">
      <c r="A19842" s="2" t="s">
        <v>38976</v>
      </c>
      <c r="B19842" s="2" t="s">
        <v>19106</v>
      </c>
      <c r="C19842" s="2" t="s">
        <v>195</v>
      </c>
      <c r="D19842" s="2" t="s">
        <v>428</v>
      </c>
      <c r="E19842" s="2" t="str">
        <f>"9783110584547"</f>
        <v>9783110584547</v>
      </c>
      <c r="F19842" s="2" t="str">
        <f>"9783110584912"</f>
        <v>9783110584912</v>
      </c>
    </row>
    <row r="19843" spans="1:6" s="3" customFormat="1" ht="29.1" customHeight="1" x14ac:dyDescent="0.25">
      <c r="A19843" s="2" t="s">
        <v>38977</v>
      </c>
      <c r="B19843" s="2" t="s">
        <v>38978</v>
      </c>
      <c r="C19843" s="2" t="s">
        <v>195</v>
      </c>
      <c r="D19843" s="2" t="s">
        <v>402</v>
      </c>
      <c r="E19843" s="2" t="str">
        <f>"9789027979711"</f>
        <v>9789027979711</v>
      </c>
      <c r="F19843" s="2" t="str">
        <f>"9783110800463"</f>
        <v>9783110800463</v>
      </c>
    </row>
    <row r="19844" spans="1:6" s="3" customFormat="1" ht="29.1" customHeight="1" x14ac:dyDescent="0.25">
      <c r="A19844" s="2" t="s">
        <v>38979</v>
      </c>
      <c r="B19844" s="2" t="s">
        <v>38980</v>
      </c>
      <c r="C19844" s="2" t="s">
        <v>195</v>
      </c>
      <c r="D19844" s="2" t="s">
        <v>4739</v>
      </c>
      <c r="E19844" s="2" t="str">
        <f>"9783111083988"</f>
        <v>9783111083988</v>
      </c>
      <c r="F19844" s="2" t="str">
        <f>"9783111451305"</f>
        <v>9783111451305</v>
      </c>
    </row>
    <row r="19845" spans="1:6" s="3" customFormat="1" ht="29.1" customHeight="1" x14ac:dyDescent="0.25">
      <c r="A19845" s="2" t="s">
        <v>38981</v>
      </c>
      <c r="B19845" s="2" t="s">
        <v>38982</v>
      </c>
      <c r="C19845" s="2" t="s">
        <v>195</v>
      </c>
      <c r="D19845" s="2" t="s">
        <v>462</v>
      </c>
      <c r="E19845" s="2" t="str">
        <f>"9783111198026"</f>
        <v>9783111198026</v>
      </c>
      <c r="F19845" s="2" t="str">
        <f>"9783111569598"</f>
        <v>9783111569598</v>
      </c>
    </row>
    <row r="19846" spans="1:6" s="3" customFormat="1" ht="29.1" customHeight="1" x14ac:dyDescent="0.25">
      <c r="A19846" s="2" t="s">
        <v>38983</v>
      </c>
      <c r="B19846" s="2" t="s">
        <v>35412</v>
      </c>
      <c r="C19846" s="2" t="s">
        <v>195</v>
      </c>
      <c r="D19846" s="2" t="s">
        <v>4561</v>
      </c>
      <c r="E19846" s="2" t="str">
        <f>"9783110656138"</f>
        <v>9783110656138</v>
      </c>
      <c r="F19846" s="2" t="str">
        <f>"9783110656220"</f>
        <v>9783110656220</v>
      </c>
    </row>
    <row r="19847" spans="1:6" s="3" customFormat="1" ht="29.1" customHeight="1" x14ac:dyDescent="0.25">
      <c r="A19847" s="2" t="s">
        <v>38984</v>
      </c>
      <c r="B19847" s="2" t="s">
        <v>38985</v>
      </c>
      <c r="C19847" s="2" t="s">
        <v>195</v>
      </c>
      <c r="D19847" s="2" t="s">
        <v>342</v>
      </c>
      <c r="E19847" s="2" t="str">
        <f>"9783110048018"</f>
        <v>9783110048018</v>
      </c>
      <c r="F19847" s="2" t="str">
        <f>"9783111621098"</f>
        <v>9783111621098</v>
      </c>
    </row>
    <row r="19848" spans="1:6" s="3" customFormat="1" ht="29.1" customHeight="1" x14ac:dyDescent="0.25">
      <c r="A19848" s="2" t="s">
        <v>38986</v>
      </c>
      <c r="B19848" s="2" t="s">
        <v>38987</v>
      </c>
      <c r="C19848" s="2" t="s">
        <v>195</v>
      </c>
      <c r="D19848" s="2" t="s">
        <v>462</v>
      </c>
      <c r="E19848" s="2" t="str">
        <f>"9783486778335"</f>
        <v>9783486778335</v>
      </c>
      <c r="F19848" s="2" t="str">
        <f>"9783486778342"</f>
        <v>9783486778342</v>
      </c>
    </row>
    <row r="19849" spans="1:6" s="3" customFormat="1" ht="29.1" customHeight="1" x14ac:dyDescent="0.25">
      <c r="A19849" s="2" t="s">
        <v>38988</v>
      </c>
      <c r="B19849" s="2" t="s">
        <v>38989</v>
      </c>
      <c r="C19849" s="2" t="s">
        <v>195</v>
      </c>
      <c r="D19849" s="2" t="s">
        <v>12194</v>
      </c>
      <c r="E19849" s="2" t="str">
        <f>"9783111080260"</f>
        <v>9783111080260</v>
      </c>
      <c r="F19849" s="2" t="str">
        <f>"9783111447339"</f>
        <v>9783111447339</v>
      </c>
    </row>
    <row r="19850" spans="1:6" s="3" customFormat="1" ht="29.1" customHeight="1" x14ac:dyDescent="0.25">
      <c r="A19850" s="2" t="s">
        <v>38990</v>
      </c>
      <c r="B19850" s="2" t="s">
        <v>38991</v>
      </c>
      <c r="C19850" s="2" t="s">
        <v>195</v>
      </c>
      <c r="D19850" s="2" t="s">
        <v>2237</v>
      </c>
      <c r="E19850" s="2" t="str">
        <f>"9783110662962"</f>
        <v>9783110662962</v>
      </c>
      <c r="F19850" s="2" t="str">
        <f>"9783110662979"</f>
        <v>9783110662979</v>
      </c>
    </row>
    <row r="19851" spans="1:6" s="3" customFormat="1" ht="29.1" customHeight="1" x14ac:dyDescent="0.25">
      <c r="A19851" s="2" t="s">
        <v>38992</v>
      </c>
      <c r="B19851" s="2"/>
      <c r="C19851" s="2" t="s">
        <v>195</v>
      </c>
      <c r="D19851" s="2" t="s">
        <v>4368</v>
      </c>
      <c r="E19851" s="2" t="str">
        <f>"9783486992519"</f>
        <v>9783486992519</v>
      </c>
      <c r="F19851" s="2" t="str">
        <f>"9783486992526"</f>
        <v>9783486992526</v>
      </c>
    </row>
    <row r="19852" spans="1:6" s="3" customFormat="1" ht="29.1" customHeight="1" x14ac:dyDescent="0.25">
      <c r="A19852" s="2" t="s">
        <v>38993</v>
      </c>
      <c r="B19852" s="2" t="s">
        <v>38994</v>
      </c>
      <c r="C19852" s="2" t="s">
        <v>195</v>
      </c>
      <c r="D19852" s="2" t="s">
        <v>4739</v>
      </c>
      <c r="E19852" s="2" t="str">
        <f>"9783111109602"</f>
        <v>9783111109602</v>
      </c>
      <c r="F19852" s="2" t="str">
        <f>"9783111476513"</f>
        <v>9783111476513</v>
      </c>
    </row>
    <row r="19853" spans="1:6" s="3" customFormat="1" ht="29.1" customHeight="1" x14ac:dyDescent="0.25">
      <c r="A19853" s="2" t="s">
        <v>38995</v>
      </c>
      <c r="B19853" s="2" t="s">
        <v>38996</v>
      </c>
      <c r="C19853" s="2" t="s">
        <v>195</v>
      </c>
      <c r="D19853" s="2" t="s">
        <v>125</v>
      </c>
      <c r="E19853" s="2" t="str">
        <f>"9783110138016"</f>
        <v>9783110138016</v>
      </c>
      <c r="F19853" s="2" t="str">
        <f>"9783110900668"</f>
        <v>9783110900668</v>
      </c>
    </row>
    <row r="19854" spans="1:6" s="3" customFormat="1" ht="29.1" customHeight="1" x14ac:dyDescent="0.25">
      <c r="A19854" s="2" t="s">
        <v>38997</v>
      </c>
      <c r="B19854" s="2" t="s">
        <v>38998</v>
      </c>
      <c r="C19854" s="2" t="s">
        <v>195</v>
      </c>
      <c r="D19854" s="2" t="s">
        <v>81</v>
      </c>
      <c r="E19854" s="2" t="str">
        <f>"9783110132199"</f>
        <v>9783110132199</v>
      </c>
      <c r="F19854" s="2" t="str">
        <f>"9783110880618"</f>
        <v>9783110880618</v>
      </c>
    </row>
    <row r="19855" spans="1:6" s="3" customFormat="1" ht="29.1" customHeight="1" x14ac:dyDescent="0.25">
      <c r="A19855" s="2" t="s">
        <v>38999</v>
      </c>
      <c r="B19855" s="2" t="s">
        <v>39000</v>
      </c>
      <c r="C19855" s="2" t="s">
        <v>195</v>
      </c>
      <c r="D19855" s="2" t="s">
        <v>339</v>
      </c>
      <c r="E19855" s="2" t="str">
        <f>"9783486761160"</f>
        <v>9783486761160</v>
      </c>
      <c r="F19855" s="2" t="str">
        <f>"9783486761177"</f>
        <v>9783486761177</v>
      </c>
    </row>
    <row r="19856" spans="1:6" s="3" customFormat="1" ht="29.1" customHeight="1" x14ac:dyDescent="0.25">
      <c r="A19856" s="2" t="s">
        <v>39001</v>
      </c>
      <c r="B19856" s="2" t="s">
        <v>39002</v>
      </c>
      <c r="C19856" s="2" t="s">
        <v>195</v>
      </c>
      <c r="D19856" s="2" t="s">
        <v>4522</v>
      </c>
      <c r="E19856" s="2" t="str">
        <f>"9783110487329"</f>
        <v>9783110487329</v>
      </c>
      <c r="F19856" s="2" t="str">
        <f>"9783110498905"</f>
        <v>9783110498905</v>
      </c>
    </row>
    <row r="19857" spans="1:6" s="3" customFormat="1" ht="29.1" customHeight="1" x14ac:dyDescent="0.25">
      <c r="A19857" s="2" t="s">
        <v>39003</v>
      </c>
      <c r="B19857" s="2" t="s">
        <v>39004</v>
      </c>
      <c r="C19857" s="2" t="s">
        <v>195</v>
      </c>
      <c r="D19857" s="2" t="s">
        <v>339</v>
      </c>
      <c r="E19857" s="2" t="str">
        <f>"9783111166520"</f>
        <v>9783111166520</v>
      </c>
      <c r="F19857" s="2" t="str">
        <f>"9783111534589"</f>
        <v>9783111534589</v>
      </c>
    </row>
    <row r="19858" spans="1:6" s="3" customFormat="1" ht="29.1" customHeight="1" x14ac:dyDescent="0.25">
      <c r="A19858" s="2" t="s">
        <v>39005</v>
      </c>
      <c r="B19858" s="2" t="s">
        <v>39006</v>
      </c>
      <c r="C19858" s="2" t="s">
        <v>195</v>
      </c>
      <c r="D19858" s="2" t="s">
        <v>459</v>
      </c>
      <c r="E19858" s="2" t="str">
        <f>"9783110634501"</f>
        <v>9783110634501</v>
      </c>
      <c r="F19858" s="2" t="str">
        <f>"9783110634624"</f>
        <v>9783110634624</v>
      </c>
    </row>
    <row r="19859" spans="1:6" s="3" customFormat="1" ht="29.1" customHeight="1" x14ac:dyDescent="0.25">
      <c r="A19859" s="2" t="s">
        <v>39007</v>
      </c>
      <c r="B19859" s="2" t="s">
        <v>39008</v>
      </c>
      <c r="C19859" s="2" t="s">
        <v>195</v>
      </c>
      <c r="D19859" s="2" t="s">
        <v>3245</v>
      </c>
      <c r="E19859" s="2" t="str">
        <f>"9783110546392"</f>
        <v>9783110546392</v>
      </c>
      <c r="F19859" s="2" t="str">
        <f>"9783110546422"</f>
        <v>9783110546422</v>
      </c>
    </row>
    <row r="19860" spans="1:6" s="3" customFormat="1" ht="29.1" customHeight="1" x14ac:dyDescent="0.25">
      <c r="A19860" s="2" t="s">
        <v>39009</v>
      </c>
      <c r="B19860" s="2" t="s">
        <v>39010</v>
      </c>
      <c r="C19860" s="2" t="s">
        <v>195</v>
      </c>
      <c r="D19860" s="2" t="s">
        <v>1996</v>
      </c>
      <c r="E19860" s="2" t="str">
        <f>"9783110562354"</f>
        <v>9783110562354</v>
      </c>
      <c r="F19860" s="2" t="str">
        <f>"9783110562507"</f>
        <v>9783110562507</v>
      </c>
    </row>
    <row r="19861" spans="1:6" s="3" customFormat="1" ht="29.1" customHeight="1" x14ac:dyDescent="0.25">
      <c r="A19861" s="2" t="s">
        <v>39011</v>
      </c>
      <c r="B19861" s="2" t="s">
        <v>39012</v>
      </c>
      <c r="C19861" s="2" t="s">
        <v>195</v>
      </c>
      <c r="D19861" s="2" t="s">
        <v>334</v>
      </c>
      <c r="E19861" s="2" t="str">
        <f>"9783943460728"</f>
        <v>9783943460728</v>
      </c>
      <c r="F19861" s="2" t="str">
        <f>"9783110720082"</f>
        <v>9783110720082</v>
      </c>
    </row>
    <row r="19862" spans="1:6" s="3" customFormat="1" ht="29.1" customHeight="1" x14ac:dyDescent="0.25">
      <c r="A19862" s="2" t="s">
        <v>39013</v>
      </c>
      <c r="B19862" s="2" t="s">
        <v>39014</v>
      </c>
      <c r="C19862" s="2" t="s">
        <v>195</v>
      </c>
      <c r="D19862" s="2" t="s">
        <v>38742</v>
      </c>
      <c r="E19862" s="2" t="str">
        <f>"9783940671332"</f>
        <v>9783940671332</v>
      </c>
      <c r="F19862" s="2" t="str">
        <f>"9783110720037"</f>
        <v>9783110720037</v>
      </c>
    </row>
    <row r="19863" spans="1:6" s="3" customFormat="1" ht="29.1" customHeight="1" x14ac:dyDescent="0.25">
      <c r="A19863" s="2" t="s">
        <v>39015</v>
      </c>
      <c r="B19863" s="2" t="s">
        <v>39016</v>
      </c>
      <c r="C19863" s="2" t="s">
        <v>195</v>
      </c>
      <c r="D19863" s="2" t="s">
        <v>5903</v>
      </c>
      <c r="E19863" s="2" t="str">
        <f>"9783110673654"</f>
        <v>9783110673654</v>
      </c>
      <c r="F19863" s="2" t="str">
        <f>"9783110673678"</f>
        <v>9783110673678</v>
      </c>
    </row>
    <row r="19864" spans="1:6" s="3" customFormat="1" ht="29.1" customHeight="1" x14ac:dyDescent="0.25">
      <c r="A19864" s="2" t="s">
        <v>39017</v>
      </c>
      <c r="B19864" s="2" t="s">
        <v>39018</v>
      </c>
      <c r="C19864" s="2" t="s">
        <v>195</v>
      </c>
      <c r="D19864" s="2" t="s">
        <v>1669</v>
      </c>
      <c r="E19864" s="2" t="str">
        <f>"9783110518481"</f>
        <v>9783110518481</v>
      </c>
      <c r="F19864" s="2" t="str">
        <f>"9783110518610"</f>
        <v>9783110518610</v>
      </c>
    </row>
    <row r="19865" spans="1:6" s="3" customFormat="1" ht="29.1" customHeight="1" x14ac:dyDescent="0.25">
      <c r="A19865" s="2" t="s">
        <v>39019</v>
      </c>
      <c r="B19865" s="2" t="s">
        <v>39020</v>
      </c>
      <c r="C19865" s="2" t="s">
        <v>195</v>
      </c>
      <c r="D19865" s="2" t="s">
        <v>459</v>
      </c>
      <c r="E19865" s="2" t="str">
        <f>"9783110137064"</f>
        <v>9783110137064</v>
      </c>
      <c r="F19865" s="2" t="str">
        <f>"9783110622447"</f>
        <v>9783110622447</v>
      </c>
    </row>
    <row r="19866" spans="1:6" s="3" customFormat="1" ht="29.1" customHeight="1" x14ac:dyDescent="0.25">
      <c r="A19866" s="2" t="s">
        <v>39021</v>
      </c>
      <c r="B19866" s="2" t="s">
        <v>39022</v>
      </c>
      <c r="C19866" s="2" t="s">
        <v>195</v>
      </c>
      <c r="D19866" s="2" t="s">
        <v>4522</v>
      </c>
      <c r="E19866" s="2" t="str">
        <f>"9783110575606"</f>
        <v>9783110575606</v>
      </c>
      <c r="F19866" s="2" t="str">
        <f>"9783110576245"</f>
        <v>9783110576245</v>
      </c>
    </row>
    <row r="19867" spans="1:6" s="3" customFormat="1" ht="29.1" customHeight="1" x14ac:dyDescent="0.25">
      <c r="A19867" s="2" t="s">
        <v>39023</v>
      </c>
      <c r="B19867" s="2" t="s">
        <v>39024</v>
      </c>
      <c r="C19867" s="2" t="s">
        <v>195</v>
      </c>
      <c r="D19867" s="2" t="s">
        <v>210</v>
      </c>
      <c r="E19867" s="2" t="str">
        <f>"9783111139302"</f>
        <v>9783111139302</v>
      </c>
      <c r="F19867" s="2" t="str">
        <f>"9783111506234"</f>
        <v>9783111506234</v>
      </c>
    </row>
    <row r="19868" spans="1:6" s="3" customFormat="1" ht="29.1" customHeight="1" x14ac:dyDescent="0.25">
      <c r="A19868" s="2" t="s">
        <v>39025</v>
      </c>
      <c r="B19868" s="2" t="s">
        <v>39026</v>
      </c>
      <c r="C19868" s="2" t="s">
        <v>195</v>
      </c>
      <c r="D19868" s="2" t="s">
        <v>150</v>
      </c>
      <c r="E19868" s="2" t="str">
        <f>"9783110472929"</f>
        <v>9783110472929</v>
      </c>
      <c r="F19868" s="2" t="str">
        <f>"9783110527728"</f>
        <v>9783110527728</v>
      </c>
    </row>
    <row r="19869" spans="1:6" s="3" customFormat="1" ht="29.1" customHeight="1" x14ac:dyDescent="0.25">
      <c r="A19869" s="2" t="s">
        <v>39027</v>
      </c>
      <c r="B19869" s="2" t="s">
        <v>29608</v>
      </c>
      <c r="C19869" s="2" t="s">
        <v>195</v>
      </c>
      <c r="D19869" s="2" t="s">
        <v>465</v>
      </c>
      <c r="E19869" s="2" t="str">
        <f>"9783110665062"</f>
        <v>9783110665062</v>
      </c>
      <c r="F19869" s="2" t="str">
        <f>"9783110665093"</f>
        <v>9783110665093</v>
      </c>
    </row>
    <row r="19870" spans="1:6" s="3" customFormat="1" ht="29.1" customHeight="1" x14ac:dyDescent="0.25">
      <c r="A19870" s="2" t="s">
        <v>39028</v>
      </c>
      <c r="B19870" s="2" t="s">
        <v>39029</v>
      </c>
      <c r="C19870" s="2" t="s">
        <v>195</v>
      </c>
      <c r="D19870" s="2" t="s">
        <v>210</v>
      </c>
      <c r="E19870" s="2" t="str">
        <f>"9783110653649"</f>
        <v>9783110653649</v>
      </c>
      <c r="F19870" s="2" t="str">
        <f>"9783110653748"</f>
        <v>9783110653748</v>
      </c>
    </row>
    <row r="19871" spans="1:6" s="3" customFormat="1" ht="29.1" customHeight="1" x14ac:dyDescent="0.25">
      <c r="A19871" s="2" t="s">
        <v>39030</v>
      </c>
      <c r="B19871" s="2" t="s">
        <v>39031</v>
      </c>
      <c r="C19871" s="2" t="s">
        <v>195</v>
      </c>
      <c r="D19871" s="2" t="s">
        <v>342</v>
      </c>
      <c r="E19871" s="2" t="str">
        <f>"9783111200125"</f>
        <v>9783111200125</v>
      </c>
      <c r="F19871" s="2" t="str">
        <f>"9783111571881"</f>
        <v>9783111571881</v>
      </c>
    </row>
    <row r="19872" spans="1:6" s="3" customFormat="1" ht="29.1" customHeight="1" x14ac:dyDescent="0.25">
      <c r="A19872" s="2" t="s">
        <v>39032</v>
      </c>
      <c r="B19872" s="2" t="s">
        <v>39033</v>
      </c>
      <c r="C19872" s="2" t="s">
        <v>195</v>
      </c>
      <c r="D19872" s="2" t="s">
        <v>6319</v>
      </c>
      <c r="E19872" s="2" t="str">
        <f>"9783110524208"</f>
        <v>9783110524208</v>
      </c>
      <c r="F19872" s="2" t="str">
        <f>"9783110516371"</f>
        <v>9783110516371</v>
      </c>
    </row>
    <row r="19873" spans="1:6" s="3" customFormat="1" ht="29.1" customHeight="1" x14ac:dyDescent="0.25">
      <c r="A19873" s="2" t="s">
        <v>39034</v>
      </c>
      <c r="B19873" s="2" t="s">
        <v>39035</v>
      </c>
      <c r="C19873" s="2" t="s">
        <v>195</v>
      </c>
      <c r="D19873" s="2" t="s">
        <v>3166</v>
      </c>
      <c r="E19873" s="2" t="str">
        <f>"9783110694970"</f>
        <v>9783110694970</v>
      </c>
      <c r="F19873" s="2" t="str">
        <f>"9783110695366"</f>
        <v>9783110695366</v>
      </c>
    </row>
    <row r="19874" spans="1:6" s="3" customFormat="1" ht="29.1" customHeight="1" x14ac:dyDescent="0.25">
      <c r="A19874" s="2" t="s">
        <v>39036</v>
      </c>
      <c r="B19874" s="2" t="s">
        <v>39037</v>
      </c>
      <c r="C19874" s="2" t="s">
        <v>195</v>
      </c>
      <c r="D19874" s="2" t="s">
        <v>3345</v>
      </c>
      <c r="E19874" s="2" t="str">
        <f>"9783110661422"</f>
        <v>9783110661422</v>
      </c>
      <c r="F19874" s="2" t="str">
        <f>"9783110666373"</f>
        <v>9783110666373</v>
      </c>
    </row>
    <row r="19875" spans="1:6" s="3" customFormat="1" ht="29.1" customHeight="1" x14ac:dyDescent="0.25">
      <c r="A19875" s="2" t="s">
        <v>39038</v>
      </c>
      <c r="B19875" s="2" t="s">
        <v>39039</v>
      </c>
      <c r="C19875" s="2" t="s">
        <v>195</v>
      </c>
      <c r="D19875" s="2" t="s">
        <v>459</v>
      </c>
      <c r="E19875" s="2" t="str">
        <f>"9783110536720"</f>
        <v>9783110536720</v>
      </c>
      <c r="F19875" s="2" t="str">
        <f>"9783110536867"</f>
        <v>9783110536867</v>
      </c>
    </row>
    <row r="19876" spans="1:6" s="3" customFormat="1" ht="29.1" customHeight="1" x14ac:dyDescent="0.25">
      <c r="A19876" s="2" t="s">
        <v>39040</v>
      </c>
      <c r="B19876" s="2" t="s">
        <v>39041</v>
      </c>
      <c r="C19876" s="2" t="s">
        <v>195</v>
      </c>
      <c r="D19876" s="2" t="s">
        <v>1466</v>
      </c>
      <c r="E19876" s="2" t="str">
        <f>"9783943460797"</f>
        <v>9783943460797</v>
      </c>
      <c r="F19876" s="2" t="str">
        <f>"9783110720099"</f>
        <v>9783110720099</v>
      </c>
    </row>
    <row r="19877" spans="1:6" s="3" customFormat="1" ht="29.1" customHeight="1" x14ac:dyDescent="0.25">
      <c r="A19877" s="2" t="s">
        <v>39042</v>
      </c>
      <c r="B19877" s="2" t="s">
        <v>39043</v>
      </c>
      <c r="C19877" s="2" t="s">
        <v>195</v>
      </c>
      <c r="D19877" s="2" t="s">
        <v>2237</v>
      </c>
      <c r="E19877" s="2" t="str">
        <f>"9783110045758"</f>
        <v>9783110045758</v>
      </c>
      <c r="F19877" s="2" t="str">
        <f>"9783111506807"</f>
        <v>9783111506807</v>
      </c>
    </row>
    <row r="19878" spans="1:6" s="3" customFormat="1" ht="29.1" customHeight="1" x14ac:dyDescent="0.25">
      <c r="A19878" s="2" t="s">
        <v>39044</v>
      </c>
      <c r="B19878" s="2" t="s">
        <v>39045</v>
      </c>
      <c r="C19878" s="2" t="s">
        <v>195</v>
      </c>
      <c r="D19878" s="2" t="s">
        <v>210</v>
      </c>
      <c r="E19878" s="2" t="str">
        <f>"9783111269849"</f>
        <v>9783111269849</v>
      </c>
      <c r="F19878" s="2" t="str">
        <f>"9783111653877"</f>
        <v>9783111653877</v>
      </c>
    </row>
    <row r="19879" spans="1:6" s="3" customFormat="1" ht="29.1" customHeight="1" x14ac:dyDescent="0.25">
      <c r="A19879" s="2" t="s">
        <v>39046</v>
      </c>
      <c r="B19879" s="2" t="s">
        <v>39047</v>
      </c>
      <c r="C19879" s="2" t="s">
        <v>195</v>
      </c>
      <c r="D19879" s="2" t="s">
        <v>462</v>
      </c>
      <c r="E19879" s="2" t="str">
        <f>"9783110596786"</f>
        <v>9783110596786</v>
      </c>
      <c r="F19879" s="2" t="str">
        <f>"9783110596991"</f>
        <v>9783110596991</v>
      </c>
    </row>
    <row r="19880" spans="1:6" s="3" customFormat="1" ht="29.1" customHeight="1" x14ac:dyDescent="0.25">
      <c r="A19880" s="2" t="s">
        <v>39048</v>
      </c>
      <c r="B19880" s="2" t="s">
        <v>35793</v>
      </c>
      <c r="C19880" s="2" t="s">
        <v>195</v>
      </c>
      <c r="D19880" s="2" t="s">
        <v>436</v>
      </c>
      <c r="E19880" s="2" t="str">
        <f>"9783110582437"</f>
        <v>9783110582437</v>
      </c>
      <c r="F19880" s="2" t="str">
        <f>"9783110671964"</f>
        <v>9783110671964</v>
      </c>
    </row>
    <row r="19881" spans="1:6" s="3" customFormat="1" ht="29.1" customHeight="1" x14ac:dyDescent="0.25">
      <c r="A19881" s="2" t="s">
        <v>39049</v>
      </c>
      <c r="B19881" s="2" t="s">
        <v>39050</v>
      </c>
      <c r="C19881" s="2" t="s">
        <v>195</v>
      </c>
      <c r="D19881" s="2" t="s">
        <v>1466</v>
      </c>
      <c r="E19881" s="2" t="str">
        <f>"9783110618969"</f>
        <v>9783110618969</v>
      </c>
      <c r="F19881" s="2" t="str">
        <f>"9783110619140"</f>
        <v>9783110619140</v>
      </c>
    </row>
    <row r="19882" spans="1:6" s="3" customFormat="1" ht="29.1" customHeight="1" x14ac:dyDescent="0.25">
      <c r="A19882" s="2" t="s">
        <v>39051</v>
      </c>
      <c r="B19882" s="2" t="s">
        <v>39052</v>
      </c>
      <c r="C19882" s="2" t="s">
        <v>195</v>
      </c>
      <c r="D19882" s="2" t="s">
        <v>210</v>
      </c>
      <c r="E19882" s="2" t="str">
        <f>"9783486558982"</f>
        <v>9783486558982</v>
      </c>
      <c r="F19882" s="2" t="str">
        <f>"9783486594201"</f>
        <v>9783486594201</v>
      </c>
    </row>
    <row r="19883" spans="1:6" s="3" customFormat="1" ht="29.1" customHeight="1" x14ac:dyDescent="0.25">
      <c r="A19883" s="2" t="s">
        <v>39053</v>
      </c>
      <c r="B19883" s="2" t="s">
        <v>39054</v>
      </c>
      <c r="C19883" s="2" t="s">
        <v>195</v>
      </c>
      <c r="D19883" s="2" t="s">
        <v>446</v>
      </c>
      <c r="E19883" s="2" t="str">
        <f>"9783110464238"</f>
        <v>9783110464238</v>
      </c>
      <c r="F19883" s="2" t="str">
        <f>"9783110464252"</f>
        <v>9783110464252</v>
      </c>
    </row>
    <row r="19884" spans="1:6" s="3" customFormat="1" ht="29.1" customHeight="1" x14ac:dyDescent="0.25">
      <c r="A19884" s="2" t="s">
        <v>39055</v>
      </c>
      <c r="B19884" s="2" t="s">
        <v>39056</v>
      </c>
      <c r="C19884" s="2" t="s">
        <v>195</v>
      </c>
      <c r="D19884" s="2" t="s">
        <v>509</v>
      </c>
      <c r="E19884" s="2" t="str">
        <f>"9783110529944"</f>
        <v>9783110529944</v>
      </c>
      <c r="F19884" s="2" t="str">
        <f>"9783110530025"</f>
        <v>9783110530025</v>
      </c>
    </row>
    <row r="19885" spans="1:6" s="3" customFormat="1" ht="29.1" customHeight="1" x14ac:dyDescent="0.25">
      <c r="A19885" s="2" t="s">
        <v>39057</v>
      </c>
      <c r="B19885" s="2" t="s">
        <v>39058</v>
      </c>
      <c r="C19885" s="2" t="s">
        <v>195</v>
      </c>
      <c r="D19885" s="2" t="s">
        <v>2237</v>
      </c>
      <c r="E19885" s="2" t="str">
        <f>"9783111315492"</f>
        <v>9783111315492</v>
      </c>
      <c r="F19885" s="2" t="str">
        <f>"9783111704623"</f>
        <v>9783111704623</v>
      </c>
    </row>
    <row r="19886" spans="1:6" s="3" customFormat="1" ht="29.1" customHeight="1" x14ac:dyDescent="0.25">
      <c r="A19886" s="2" t="s">
        <v>39059</v>
      </c>
      <c r="B19886" s="2" t="s">
        <v>39060</v>
      </c>
      <c r="C19886" s="2" t="s">
        <v>195</v>
      </c>
      <c r="D19886" s="2" t="s">
        <v>459</v>
      </c>
      <c r="E19886" s="2" t="str">
        <f>"9783110177466"</f>
        <v>9783110177466</v>
      </c>
      <c r="F19886" s="2" t="str">
        <f>"9783110622690"</f>
        <v>9783110622690</v>
      </c>
    </row>
    <row r="19887" spans="1:6" s="3" customFormat="1" ht="29.1" customHeight="1" x14ac:dyDescent="0.25">
      <c r="A19887" s="2" t="s">
        <v>39061</v>
      </c>
      <c r="B19887" s="2" t="s">
        <v>39062</v>
      </c>
      <c r="C19887" s="2" t="s">
        <v>195</v>
      </c>
      <c r="D19887" s="2" t="s">
        <v>210</v>
      </c>
      <c r="E19887" s="2" t="str">
        <f>"9783110629798"</f>
        <v>9783110629798</v>
      </c>
      <c r="F19887" s="2" t="str">
        <f>"9783110630503"</f>
        <v>9783110630503</v>
      </c>
    </row>
    <row r="19888" spans="1:6" s="3" customFormat="1" ht="29.1" customHeight="1" x14ac:dyDescent="0.25">
      <c r="A19888" s="2" t="s">
        <v>39063</v>
      </c>
      <c r="B19888" s="2" t="s">
        <v>39064</v>
      </c>
      <c r="C19888" s="2" t="s">
        <v>195</v>
      </c>
      <c r="D19888" s="2" t="s">
        <v>210</v>
      </c>
      <c r="E19888" s="2" t="str">
        <f>"9783486568349"</f>
        <v>9783486568349</v>
      </c>
      <c r="F19888" s="2" t="str">
        <f>"9783486835441"</f>
        <v>9783486835441</v>
      </c>
    </row>
    <row r="19889" spans="1:6" s="3" customFormat="1" ht="29.1" customHeight="1" x14ac:dyDescent="0.25">
      <c r="A19889" s="2" t="s">
        <v>39065</v>
      </c>
      <c r="B19889" s="2" t="s">
        <v>39066</v>
      </c>
      <c r="C19889" s="2" t="s">
        <v>195</v>
      </c>
      <c r="D19889" s="2" t="s">
        <v>459</v>
      </c>
      <c r="E19889" s="2" t="str">
        <f>"9783110681604"</f>
        <v>9783110681604</v>
      </c>
      <c r="F19889" s="2" t="str">
        <f>"9783110681703"</f>
        <v>9783110681703</v>
      </c>
    </row>
    <row r="19890" spans="1:6" s="3" customFormat="1" ht="29.1" customHeight="1" x14ac:dyDescent="0.25">
      <c r="A19890" s="2" t="s">
        <v>39067</v>
      </c>
      <c r="B19890" s="2" t="s">
        <v>39068</v>
      </c>
      <c r="C19890" s="2" t="s">
        <v>195</v>
      </c>
      <c r="D19890" s="2" t="s">
        <v>210</v>
      </c>
      <c r="E19890" s="2" t="str">
        <f>"9783486575613"</f>
        <v>9783486575613</v>
      </c>
      <c r="F19890" s="2" t="str">
        <f>"9783486835700"</f>
        <v>9783486835700</v>
      </c>
    </row>
    <row r="19891" spans="1:6" s="3" customFormat="1" ht="29.1" customHeight="1" x14ac:dyDescent="0.25">
      <c r="A19891" s="2" t="s">
        <v>39069</v>
      </c>
      <c r="B19891" s="2" t="s">
        <v>39070</v>
      </c>
      <c r="C19891" s="2" t="s">
        <v>195</v>
      </c>
      <c r="D19891" s="2" t="s">
        <v>30328</v>
      </c>
      <c r="E19891" s="2" t="str">
        <f>"9783110618990"</f>
        <v>9783110618990</v>
      </c>
      <c r="F19891" s="2" t="str">
        <f>"9783110619003"</f>
        <v>9783110619003</v>
      </c>
    </row>
    <row r="19892" spans="1:6" s="3" customFormat="1" ht="29.1" customHeight="1" x14ac:dyDescent="0.25">
      <c r="A19892" s="2" t="s">
        <v>39071</v>
      </c>
      <c r="B19892" s="2" t="s">
        <v>39072</v>
      </c>
      <c r="C19892" s="2" t="s">
        <v>195</v>
      </c>
      <c r="D19892" s="2" t="s">
        <v>465</v>
      </c>
      <c r="E19892" s="2" t="str">
        <f>"9783110464931"</f>
        <v>9783110464931</v>
      </c>
      <c r="F19892" s="2" t="str">
        <f>"9783110466850"</f>
        <v>9783110466850</v>
      </c>
    </row>
    <row r="19893" spans="1:6" s="3" customFormat="1" ht="29.1" customHeight="1" x14ac:dyDescent="0.25">
      <c r="A19893" s="2" t="s">
        <v>39073</v>
      </c>
      <c r="B19893" s="2" t="s">
        <v>39074</v>
      </c>
      <c r="C19893" s="2" t="s">
        <v>195</v>
      </c>
      <c r="D19893" s="2" t="s">
        <v>210</v>
      </c>
      <c r="E19893" s="2" t="str">
        <f>"9783111261539"</f>
        <v>9783111261539</v>
      </c>
      <c r="F19893" s="2" t="str">
        <f>"9783111644523"</f>
        <v>9783111644523</v>
      </c>
    </row>
    <row r="19894" spans="1:6" s="3" customFormat="1" ht="29.1" customHeight="1" x14ac:dyDescent="0.25">
      <c r="A19894" s="2" t="s">
        <v>39075</v>
      </c>
      <c r="B19894" s="2" t="s">
        <v>39076</v>
      </c>
      <c r="C19894" s="2" t="s">
        <v>195</v>
      </c>
      <c r="D19894" s="2" t="s">
        <v>270</v>
      </c>
      <c r="E19894" s="2" t="str">
        <f>"9783110042368"</f>
        <v>9783110042368</v>
      </c>
      <c r="F19894" s="2" t="str">
        <f>"9783111677347"</f>
        <v>9783111677347</v>
      </c>
    </row>
    <row r="19895" spans="1:6" s="3" customFormat="1" ht="29.1" customHeight="1" x14ac:dyDescent="0.25">
      <c r="A19895" s="2" t="s">
        <v>39077</v>
      </c>
      <c r="B19895" s="2" t="s">
        <v>39078</v>
      </c>
      <c r="C19895" s="2" t="s">
        <v>195</v>
      </c>
      <c r="D19895" s="2" t="s">
        <v>1183</v>
      </c>
      <c r="E19895" s="2" t="str">
        <f>"9783110620313"</f>
        <v>9783110620313</v>
      </c>
      <c r="F19895" s="2" t="str">
        <f>"9783110620368"</f>
        <v>9783110620368</v>
      </c>
    </row>
    <row r="19896" spans="1:6" s="3" customFormat="1" ht="29.1" customHeight="1" x14ac:dyDescent="0.25">
      <c r="A19896" s="2" t="s">
        <v>39079</v>
      </c>
      <c r="B19896" s="2" t="s">
        <v>19366</v>
      </c>
      <c r="C19896" s="2" t="s">
        <v>195</v>
      </c>
      <c r="D19896" s="2" t="s">
        <v>162</v>
      </c>
      <c r="E19896" s="2" t="str">
        <f>"9783110641523"</f>
        <v>9783110641523</v>
      </c>
      <c r="F19896" s="2" t="str">
        <f>"9783110641974"</f>
        <v>9783110641974</v>
      </c>
    </row>
    <row r="19897" spans="1:6" s="3" customFormat="1" ht="29.1" customHeight="1" x14ac:dyDescent="0.25">
      <c r="A19897" s="2" t="s">
        <v>39080</v>
      </c>
      <c r="B19897" s="2" t="s">
        <v>39081</v>
      </c>
      <c r="C19897" s="2" t="s">
        <v>195</v>
      </c>
      <c r="D19897" s="2" t="s">
        <v>270</v>
      </c>
      <c r="E19897" s="2" t="str">
        <f>"9783486416626"</f>
        <v>9783486416626</v>
      </c>
      <c r="F19897" s="2" t="str">
        <f>"9783486817300"</f>
        <v>9783486817300</v>
      </c>
    </row>
    <row r="19898" spans="1:6" s="3" customFormat="1" ht="29.1" customHeight="1" x14ac:dyDescent="0.25">
      <c r="A19898" s="2" t="s">
        <v>39082</v>
      </c>
      <c r="B19898" s="2" t="s">
        <v>39083</v>
      </c>
      <c r="C19898" s="2" t="s">
        <v>195</v>
      </c>
      <c r="D19898" s="2" t="s">
        <v>459</v>
      </c>
      <c r="E19898" s="2" t="str">
        <f>"9783110676624"</f>
        <v>9783110676624</v>
      </c>
      <c r="F19898" s="2" t="str">
        <f>"9783110676631"</f>
        <v>9783110676631</v>
      </c>
    </row>
    <row r="19899" spans="1:6" s="3" customFormat="1" ht="29.1" customHeight="1" x14ac:dyDescent="0.25">
      <c r="A19899" s="2" t="s">
        <v>39084</v>
      </c>
      <c r="B19899" s="2" t="s">
        <v>39085</v>
      </c>
      <c r="C19899" s="2" t="s">
        <v>195</v>
      </c>
      <c r="D19899" s="2" t="s">
        <v>3345</v>
      </c>
      <c r="E19899" s="2" t="str">
        <f>"9783110693850"</f>
        <v>9783110693850</v>
      </c>
      <c r="F19899" s="2" t="str">
        <f>"9783110693973"</f>
        <v>9783110693973</v>
      </c>
    </row>
    <row r="19900" spans="1:6" s="3" customFormat="1" ht="29.1" customHeight="1" x14ac:dyDescent="0.25">
      <c r="A19900" s="2" t="s">
        <v>39086</v>
      </c>
      <c r="B19900" s="2" t="s">
        <v>39087</v>
      </c>
      <c r="C19900" s="2" t="s">
        <v>195</v>
      </c>
      <c r="D19900" s="2" t="s">
        <v>459</v>
      </c>
      <c r="E19900" s="2" t="str">
        <f>"9783110637274"</f>
        <v>9783110637274</v>
      </c>
      <c r="F19900" s="2" t="str">
        <f>"9783110637380"</f>
        <v>9783110637380</v>
      </c>
    </row>
    <row r="19901" spans="1:6" s="3" customFormat="1" ht="29.1" customHeight="1" x14ac:dyDescent="0.25">
      <c r="A19901" s="2" t="s">
        <v>39088</v>
      </c>
      <c r="B19901" s="2" t="s">
        <v>39089</v>
      </c>
      <c r="C19901" s="2" t="s">
        <v>195</v>
      </c>
      <c r="D19901" s="2" t="s">
        <v>682</v>
      </c>
      <c r="E19901" s="2" t="str">
        <f>"9783111262505"</f>
        <v>9783111262505</v>
      </c>
      <c r="F19901" s="2" t="str">
        <f>"9783111645551"</f>
        <v>9783111645551</v>
      </c>
    </row>
    <row r="19902" spans="1:6" s="3" customFormat="1" ht="29.1" customHeight="1" x14ac:dyDescent="0.25">
      <c r="A19902" s="2" t="s">
        <v>39090</v>
      </c>
      <c r="B19902" s="2" t="s">
        <v>39091</v>
      </c>
      <c r="C19902" s="2" t="s">
        <v>195</v>
      </c>
      <c r="D19902" s="2" t="s">
        <v>162</v>
      </c>
      <c r="E19902" s="2" t="str">
        <f>"9783110724646"</f>
        <v>9783110724646</v>
      </c>
      <c r="F19902" s="2" t="str">
        <f>"9783110729085"</f>
        <v>9783110729085</v>
      </c>
    </row>
    <row r="19903" spans="1:6" s="3" customFormat="1" ht="29.1" customHeight="1" x14ac:dyDescent="0.25">
      <c r="A19903" s="2" t="s">
        <v>39092</v>
      </c>
      <c r="B19903" s="2" t="s">
        <v>39093</v>
      </c>
      <c r="C19903" s="2" t="s">
        <v>195</v>
      </c>
      <c r="D19903" s="2" t="s">
        <v>297</v>
      </c>
      <c r="E19903" s="2" t="str">
        <f>"9783110673593"</f>
        <v>9783110673593</v>
      </c>
      <c r="F19903" s="2" t="str">
        <f>"9783110693461"</f>
        <v>9783110693461</v>
      </c>
    </row>
    <row r="19904" spans="1:6" s="3" customFormat="1" ht="29.1" customHeight="1" x14ac:dyDescent="0.25">
      <c r="A19904" s="2" t="s">
        <v>39094</v>
      </c>
      <c r="B19904" s="2" t="s">
        <v>39095</v>
      </c>
      <c r="C19904" s="2" t="s">
        <v>195</v>
      </c>
      <c r="D19904" s="2" t="s">
        <v>459</v>
      </c>
      <c r="E19904" s="2" t="str">
        <f>"9783110660227"</f>
        <v>9783110660227</v>
      </c>
      <c r="F19904" s="2" t="str">
        <f>"9783110660234"</f>
        <v>9783110660234</v>
      </c>
    </row>
    <row r="19905" spans="1:6" s="3" customFormat="1" ht="29.1" customHeight="1" x14ac:dyDescent="0.25">
      <c r="A19905" s="2" t="s">
        <v>39096</v>
      </c>
      <c r="B19905" s="2" t="s">
        <v>39097</v>
      </c>
      <c r="C19905" s="2" t="s">
        <v>195</v>
      </c>
      <c r="D19905" s="2" t="s">
        <v>118</v>
      </c>
      <c r="E19905" s="2" t="str">
        <f>"9783110685855"</f>
        <v>9783110685855</v>
      </c>
      <c r="F19905" s="2" t="str">
        <f>"9783110688665"</f>
        <v>9783110688665</v>
      </c>
    </row>
    <row r="19906" spans="1:6" s="3" customFormat="1" ht="29.1" customHeight="1" x14ac:dyDescent="0.25">
      <c r="A19906" s="2" t="s">
        <v>39098</v>
      </c>
      <c r="B19906" s="2" t="s">
        <v>39099</v>
      </c>
      <c r="C19906" s="2" t="s">
        <v>195</v>
      </c>
      <c r="D19906" s="2" t="s">
        <v>5092</v>
      </c>
      <c r="E19906" s="2" t="str">
        <f>"9783486754469"</f>
        <v>9783486754469</v>
      </c>
      <c r="F19906" s="2" t="str">
        <f>"9783486754476"</f>
        <v>9783486754476</v>
      </c>
    </row>
    <row r="19907" spans="1:6" s="3" customFormat="1" ht="29.1" customHeight="1" x14ac:dyDescent="0.25">
      <c r="A19907" s="2" t="s">
        <v>39100</v>
      </c>
      <c r="B19907" s="2" t="s">
        <v>39101</v>
      </c>
      <c r="C19907" s="2" t="s">
        <v>195</v>
      </c>
      <c r="D19907" s="2" t="s">
        <v>459</v>
      </c>
      <c r="E19907" s="2" t="str">
        <f>"9783111251745"</f>
        <v>9783111251745</v>
      </c>
      <c r="F19907" s="2" t="str">
        <f>"9783111631134"</f>
        <v>9783111631134</v>
      </c>
    </row>
    <row r="19908" spans="1:6" s="3" customFormat="1" ht="29.1" customHeight="1" x14ac:dyDescent="0.25">
      <c r="A19908" s="2" t="s">
        <v>39102</v>
      </c>
      <c r="B19908" s="2" t="s">
        <v>39103</v>
      </c>
      <c r="C19908" s="2" t="s">
        <v>195</v>
      </c>
      <c r="D19908" s="2" t="s">
        <v>210</v>
      </c>
      <c r="E19908" s="2" t="str">
        <f>"9783486588484"</f>
        <v>9783486588484</v>
      </c>
      <c r="F19908" s="2" t="str">
        <f>"9783110446692"</f>
        <v>9783110446692</v>
      </c>
    </row>
    <row r="19909" spans="1:6" s="3" customFormat="1" ht="29.1" customHeight="1" x14ac:dyDescent="0.25">
      <c r="A19909" s="2" t="s">
        <v>39104</v>
      </c>
      <c r="B19909" s="2" t="s">
        <v>39105</v>
      </c>
      <c r="C19909" s="2" t="s">
        <v>195</v>
      </c>
      <c r="D19909" s="2" t="s">
        <v>12465</v>
      </c>
      <c r="E19909" s="2" t="str">
        <f>"9783110539134"</f>
        <v>9783110539134</v>
      </c>
      <c r="F19909" s="2" t="str">
        <f>"9783110539141"</f>
        <v>9783110539141</v>
      </c>
    </row>
    <row r="19910" spans="1:6" s="3" customFormat="1" ht="29.1" customHeight="1" x14ac:dyDescent="0.25">
      <c r="A19910" s="2" t="s">
        <v>39106</v>
      </c>
      <c r="B19910" s="2" t="s">
        <v>39107</v>
      </c>
      <c r="C19910" s="2" t="s">
        <v>195</v>
      </c>
      <c r="D19910" s="2" t="s">
        <v>81</v>
      </c>
      <c r="E19910" s="2" t="str">
        <f>"9783111317946"</f>
        <v>9783111317946</v>
      </c>
      <c r="F19910" s="2" t="str">
        <f>"9783111707464"</f>
        <v>9783111707464</v>
      </c>
    </row>
    <row r="19911" spans="1:6" s="3" customFormat="1" ht="29.1" customHeight="1" x14ac:dyDescent="0.25">
      <c r="A19911" s="2" t="s">
        <v>39108</v>
      </c>
      <c r="B19911" s="2" t="s">
        <v>39109</v>
      </c>
      <c r="C19911" s="2" t="s">
        <v>195</v>
      </c>
      <c r="D19911" s="2" t="s">
        <v>465</v>
      </c>
      <c r="E19911" s="2" t="str">
        <f>"9783110596649"</f>
        <v>9783110596649</v>
      </c>
      <c r="F19911" s="2" t="str">
        <f>"9783110594898"</f>
        <v>9783110594898</v>
      </c>
    </row>
    <row r="19912" spans="1:6" s="3" customFormat="1" ht="29.1" customHeight="1" x14ac:dyDescent="0.25">
      <c r="A19912" s="2" t="s">
        <v>39110</v>
      </c>
      <c r="B19912" s="2" t="s">
        <v>39111</v>
      </c>
      <c r="C19912" s="2" t="s">
        <v>195</v>
      </c>
      <c r="D19912" s="2" t="s">
        <v>218</v>
      </c>
      <c r="E19912" s="2" t="str">
        <f>"9783110526561"</f>
        <v>9783110526561</v>
      </c>
      <c r="F19912" s="2" t="str">
        <f>"9783110532401"</f>
        <v>9783110532401</v>
      </c>
    </row>
    <row r="19913" spans="1:6" s="3" customFormat="1" ht="29.1" customHeight="1" x14ac:dyDescent="0.25">
      <c r="A19913" s="2" t="s">
        <v>39112</v>
      </c>
      <c r="B19913" s="2" t="s">
        <v>39113</v>
      </c>
      <c r="C19913" s="2" t="s">
        <v>195</v>
      </c>
      <c r="D19913" s="2" t="s">
        <v>210</v>
      </c>
      <c r="E19913" s="2" t="str">
        <f>"9783110541403"</f>
        <v>9783110541403</v>
      </c>
      <c r="F19913" s="2" t="str">
        <f>"9783110541441"</f>
        <v>9783110541441</v>
      </c>
    </row>
    <row r="19914" spans="1:6" s="3" customFormat="1" ht="29.1" customHeight="1" x14ac:dyDescent="0.25">
      <c r="A19914" s="2" t="s">
        <v>39114</v>
      </c>
      <c r="B19914" s="2" t="s">
        <v>39115</v>
      </c>
      <c r="C19914" s="2" t="s">
        <v>195</v>
      </c>
      <c r="D19914" s="2" t="s">
        <v>7702</v>
      </c>
      <c r="E19914" s="2" t="str">
        <f>"9783110712865"</f>
        <v>9783110712865</v>
      </c>
      <c r="F19914" s="2" t="str">
        <f>"9783110712902"</f>
        <v>9783110712902</v>
      </c>
    </row>
    <row r="19915" spans="1:6" s="3" customFormat="1" ht="29.1" customHeight="1" x14ac:dyDescent="0.25">
      <c r="A19915" s="2" t="s">
        <v>39116</v>
      </c>
      <c r="B19915" s="2" t="s">
        <v>39117</v>
      </c>
      <c r="C19915" s="2" t="s">
        <v>195</v>
      </c>
      <c r="D19915" s="2" t="s">
        <v>436</v>
      </c>
      <c r="E19915" s="2" t="str">
        <f>"9783110631937"</f>
        <v>9783110631937</v>
      </c>
      <c r="F19915" s="2" t="str">
        <f>"9783110632286"</f>
        <v>9783110632286</v>
      </c>
    </row>
    <row r="19916" spans="1:6" s="3" customFormat="1" ht="29.1" customHeight="1" x14ac:dyDescent="0.25">
      <c r="A19916" s="2" t="s">
        <v>39118</v>
      </c>
      <c r="B19916" s="2" t="s">
        <v>39119</v>
      </c>
      <c r="C19916" s="2" t="s">
        <v>195</v>
      </c>
      <c r="D19916" s="2" t="s">
        <v>33</v>
      </c>
      <c r="E19916" s="2" t="str">
        <f>"9783110496932"</f>
        <v>9783110496932</v>
      </c>
      <c r="F19916" s="2" t="str">
        <f>"9783110495591"</f>
        <v>9783110495591</v>
      </c>
    </row>
    <row r="19917" spans="1:6" s="3" customFormat="1" ht="29.1" customHeight="1" x14ac:dyDescent="0.25">
      <c r="A19917" s="2" t="s">
        <v>39120</v>
      </c>
      <c r="B19917" s="2" t="s">
        <v>39060</v>
      </c>
      <c r="C19917" s="2" t="s">
        <v>195</v>
      </c>
      <c r="D19917" s="2" t="s">
        <v>459</v>
      </c>
      <c r="E19917" s="2" t="str">
        <f>"9783110156874"</f>
        <v>9783110156874</v>
      </c>
      <c r="F19917" s="2" t="str">
        <f>"9783110622560"</f>
        <v>9783110622560</v>
      </c>
    </row>
    <row r="19918" spans="1:6" s="3" customFormat="1" ht="29.1" customHeight="1" x14ac:dyDescent="0.25">
      <c r="A19918" s="2" t="s">
        <v>39121</v>
      </c>
      <c r="B19918" s="2" t="s">
        <v>39122</v>
      </c>
      <c r="C19918" s="2" t="s">
        <v>195</v>
      </c>
      <c r="D19918" s="2" t="s">
        <v>408</v>
      </c>
      <c r="E19918" s="2" t="str">
        <f>"9783422966833"</f>
        <v>9783422966833</v>
      </c>
      <c r="F19918" s="2" t="str">
        <f>"9783422981454"</f>
        <v>9783422981454</v>
      </c>
    </row>
    <row r="19919" spans="1:6" s="3" customFormat="1" ht="29.1" customHeight="1" x14ac:dyDescent="0.25">
      <c r="A19919" s="2" t="s">
        <v>39123</v>
      </c>
      <c r="B19919" s="2" t="s">
        <v>39124</v>
      </c>
      <c r="C19919" s="2" t="s">
        <v>195</v>
      </c>
      <c r="D19919" s="2" t="s">
        <v>12194</v>
      </c>
      <c r="E19919" s="2" t="str">
        <f>"9783110039375"</f>
        <v>9783110039375</v>
      </c>
      <c r="F19919" s="2" t="str">
        <f>"9783111581958"</f>
        <v>9783111581958</v>
      </c>
    </row>
    <row r="19920" spans="1:6" s="3" customFormat="1" ht="29.1" customHeight="1" x14ac:dyDescent="0.25">
      <c r="A19920" s="2" t="s">
        <v>39125</v>
      </c>
      <c r="B19920" s="2" t="s">
        <v>39126</v>
      </c>
      <c r="C19920" s="2" t="s">
        <v>195</v>
      </c>
      <c r="D19920" s="2" t="s">
        <v>118</v>
      </c>
      <c r="E19920" s="2" t="str">
        <f>"9783110657630"</f>
        <v>9783110657630</v>
      </c>
      <c r="F19920" s="2" t="str">
        <f>"9783110657968"</f>
        <v>9783110657968</v>
      </c>
    </row>
    <row r="19921" spans="1:6" s="3" customFormat="1" ht="29.1" customHeight="1" x14ac:dyDescent="0.25">
      <c r="A19921" s="2" t="s">
        <v>38738</v>
      </c>
      <c r="B19921" s="2" t="s">
        <v>38739</v>
      </c>
      <c r="C19921" s="2" t="s">
        <v>195</v>
      </c>
      <c r="D19921" s="2" t="s">
        <v>9600</v>
      </c>
      <c r="E19921" s="2" t="str">
        <f>"9781501516009"</f>
        <v>9781501516009</v>
      </c>
      <c r="F19921" s="2" t="str">
        <f>"9781501507595"</f>
        <v>9781501507595</v>
      </c>
    </row>
    <row r="19922" spans="1:6" s="3" customFormat="1" ht="29.1" customHeight="1" x14ac:dyDescent="0.25">
      <c r="A19922" s="2" t="s">
        <v>39127</v>
      </c>
      <c r="B19922" s="2" t="s">
        <v>39128</v>
      </c>
      <c r="C19922" s="2" t="s">
        <v>195</v>
      </c>
      <c r="D19922" s="2" t="s">
        <v>459</v>
      </c>
      <c r="E19922" s="2" t="str">
        <f>"9783111309972"</f>
        <v>9783111309972</v>
      </c>
      <c r="F19922" s="2" t="str">
        <f>"9783111698212"</f>
        <v>9783111698212</v>
      </c>
    </row>
    <row r="19923" spans="1:6" s="3" customFormat="1" ht="29.1" customHeight="1" x14ac:dyDescent="0.25">
      <c r="A19923" s="2" t="s">
        <v>39129</v>
      </c>
      <c r="B19923" s="2" t="s">
        <v>39130</v>
      </c>
      <c r="C19923" s="2" t="s">
        <v>195</v>
      </c>
      <c r="D19923" s="2" t="s">
        <v>118</v>
      </c>
      <c r="E19923" s="2" t="str">
        <f>"9783110545302"</f>
        <v>9783110545302</v>
      </c>
      <c r="F19923" s="2" t="str">
        <f>"9783110546316"</f>
        <v>9783110546316</v>
      </c>
    </row>
    <row r="19924" spans="1:6" s="3" customFormat="1" ht="29.1" customHeight="1" x14ac:dyDescent="0.25">
      <c r="A19924" s="2" t="s">
        <v>39131</v>
      </c>
      <c r="B19924" s="2" t="s">
        <v>39132</v>
      </c>
      <c r="C19924" s="2" t="s">
        <v>195</v>
      </c>
      <c r="D19924" s="2" t="s">
        <v>402</v>
      </c>
      <c r="E19924" s="2" t="str">
        <f>"9783110983555"</f>
        <v>9783110983555</v>
      </c>
      <c r="F19924" s="2" t="str">
        <f>"9783111326887"</f>
        <v>9783111326887</v>
      </c>
    </row>
    <row r="19925" spans="1:6" s="3" customFormat="1" ht="29.1" customHeight="1" x14ac:dyDescent="0.25">
      <c r="A19925" s="2" t="s">
        <v>39133</v>
      </c>
      <c r="B19925" s="2" t="s">
        <v>39134</v>
      </c>
      <c r="C19925" s="2" t="s">
        <v>195</v>
      </c>
      <c r="D19925" s="2" t="s">
        <v>33</v>
      </c>
      <c r="E19925" s="2" t="str">
        <f>"9783111119700"</f>
        <v>9783111119700</v>
      </c>
      <c r="F19925" s="2" t="str">
        <f>"9783111486345"</f>
        <v>9783111486345</v>
      </c>
    </row>
    <row r="19926" spans="1:6" s="3" customFormat="1" ht="29.1" customHeight="1" x14ac:dyDescent="0.25">
      <c r="A19926" s="2" t="s">
        <v>39135</v>
      </c>
      <c r="B19926" s="2" t="s">
        <v>39136</v>
      </c>
      <c r="C19926" s="2" t="s">
        <v>195</v>
      </c>
      <c r="D19926" s="2" t="s">
        <v>297</v>
      </c>
      <c r="E19926" s="2" t="str">
        <f>"9783110717587"</f>
        <v>9783110717587</v>
      </c>
      <c r="F19926" s="2" t="str">
        <f>"9783110717679"</f>
        <v>9783110717679</v>
      </c>
    </row>
    <row r="19927" spans="1:6" s="3" customFormat="1" ht="29.1" customHeight="1" x14ac:dyDescent="0.25">
      <c r="A19927" s="2" t="s">
        <v>39137</v>
      </c>
      <c r="B19927" s="2" t="s">
        <v>39138</v>
      </c>
      <c r="C19927" s="2" t="s">
        <v>195</v>
      </c>
      <c r="D19927" s="2" t="s">
        <v>459</v>
      </c>
      <c r="E19927" s="2" t="str">
        <f>"9783110586343"</f>
        <v>9783110586343</v>
      </c>
      <c r="F19927" s="2" t="str">
        <f>"9783110586374"</f>
        <v>9783110586374</v>
      </c>
    </row>
    <row r="19928" spans="1:6" s="3" customFormat="1" ht="29.1" customHeight="1" x14ac:dyDescent="0.25">
      <c r="A19928" s="2" t="s">
        <v>39139</v>
      </c>
      <c r="B19928" s="2" t="s">
        <v>39140</v>
      </c>
      <c r="C19928" s="2" t="s">
        <v>195</v>
      </c>
      <c r="D19928" s="2" t="s">
        <v>69</v>
      </c>
      <c r="E19928" s="2" t="str">
        <f>"9783110538717"</f>
        <v>9783110538717</v>
      </c>
      <c r="F19928" s="2" t="str">
        <f>"9783110538724"</f>
        <v>9783110538724</v>
      </c>
    </row>
    <row r="19929" spans="1:6" s="3" customFormat="1" ht="29.1" customHeight="1" x14ac:dyDescent="0.25">
      <c r="A19929" s="2" t="s">
        <v>39141</v>
      </c>
      <c r="B19929" s="2" t="s">
        <v>39142</v>
      </c>
      <c r="C19929" s="2" t="s">
        <v>195</v>
      </c>
      <c r="D19929" s="2" t="s">
        <v>5638</v>
      </c>
      <c r="E19929" s="2" t="str">
        <f>"9783110715224"</f>
        <v>9783110715224</v>
      </c>
      <c r="F19929" s="2" t="str">
        <f>"9783110715309"</f>
        <v>9783110715309</v>
      </c>
    </row>
    <row r="19930" spans="1:6" s="3" customFormat="1" ht="29.1" customHeight="1" x14ac:dyDescent="0.25">
      <c r="A19930" s="2" t="s">
        <v>39143</v>
      </c>
      <c r="B19930" s="2" t="s">
        <v>39144</v>
      </c>
      <c r="C19930" s="2" t="s">
        <v>195</v>
      </c>
      <c r="D19930" s="2" t="s">
        <v>210</v>
      </c>
      <c r="E19930" s="2" t="str">
        <f>"9783486772531"</f>
        <v>9783486772531</v>
      </c>
      <c r="F19930" s="2" t="str">
        <f>"9783486772548"</f>
        <v>9783486772548</v>
      </c>
    </row>
    <row r="19931" spans="1:6" s="3" customFormat="1" ht="29.1" customHeight="1" x14ac:dyDescent="0.25">
      <c r="A19931" s="2" t="s">
        <v>39145</v>
      </c>
      <c r="B19931" s="2" t="s">
        <v>39146</v>
      </c>
      <c r="C19931" s="2" t="s">
        <v>195</v>
      </c>
      <c r="D19931" s="2" t="s">
        <v>2943</v>
      </c>
      <c r="E19931" s="2" t="str">
        <f>"9783110633603"</f>
        <v>9783110633603</v>
      </c>
      <c r="F19931" s="2" t="str">
        <f>"9783110669831"</f>
        <v>9783110669831</v>
      </c>
    </row>
    <row r="19932" spans="1:6" s="3" customFormat="1" ht="29.1" customHeight="1" x14ac:dyDescent="0.25">
      <c r="A19932" s="2" t="s">
        <v>39147</v>
      </c>
      <c r="B19932" s="2" t="s">
        <v>39148</v>
      </c>
      <c r="C19932" s="2" t="s">
        <v>195</v>
      </c>
      <c r="D19932" s="2" t="s">
        <v>436</v>
      </c>
      <c r="E19932" s="2" t="str">
        <f>"9783110600858"</f>
        <v>9783110600858</v>
      </c>
      <c r="F19932" s="2" t="str">
        <f>"9783110598773"</f>
        <v>9783110598773</v>
      </c>
    </row>
    <row r="19933" spans="1:6" s="3" customFormat="1" ht="29.1" customHeight="1" x14ac:dyDescent="0.25">
      <c r="A19933" s="2" t="s">
        <v>39149</v>
      </c>
      <c r="B19933" s="2" t="s">
        <v>39150</v>
      </c>
      <c r="C19933" s="2" t="s">
        <v>195</v>
      </c>
      <c r="D19933" s="2" t="s">
        <v>402</v>
      </c>
      <c r="E19933" s="2" t="str">
        <f>"9783111263083"</f>
        <v>9783111263083</v>
      </c>
      <c r="F19933" s="2" t="str">
        <f>"9783111646213"</f>
        <v>9783111646213</v>
      </c>
    </row>
    <row r="19934" spans="1:6" s="3" customFormat="1" ht="29.1" customHeight="1" x14ac:dyDescent="0.25">
      <c r="A19934" s="2" t="s">
        <v>39151</v>
      </c>
      <c r="B19934" s="2" t="s">
        <v>39152</v>
      </c>
      <c r="C19934" s="2" t="s">
        <v>195</v>
      </c>
      <c r="D19934" s="2" t="s">
        <v>215</v>
      </c>
      <c r="E19934" s="2" t="str">
        <f>"9783110725278"</f>
        <v>9783110725278</v>
      </c>
      <c r="F19934" s="2" t="str">
        <f>"9783110730937"</f>
        <v>9783110730937</v>
      </c>
    </row>
    <row r="19935" spans="1:6" s="3" customFormat="1" ht="29.1" customHeight="1" x14ac:dyDescent="0.25">
      <c r="A19935" s="2" t="s">
        <v>39153</v>
      </c>
      <c r="B19935" s="2" t="s">
        <v>39154</v>
      </c>
      <c r="C19935" s="2" t="s">
        <v>195</v>
      </c>
      <c r="D19935" s="2" t="s">
        <v>402</v>
      </c>
      <c r="E19935" s="2" t="str">
        <f>"9783111298160"</f>
        <v>9783111298160</v>
      </c>
      <c r="F19935" s="2" t="str">
        <f>"9783111685328"</f>
        <v>9783111685328</v>
      </c>
    </row>
    <row r="19936" spans="1:6" s="3" customFormat="1" ht="29.1" customHeight="1" x14ac:dyDescent="0.25">
      <c r="A19936" s="2" t="s">
        <v>39155</v>
      </c>
      <c r="B19936" s="2" t="s">
        <v>39156</v>
      </c>
      <c r="C19936" s="2" t="s">
        <v>195</v>
      </c>
      <c r="D19936" s="2" t="s">
        <v>2713</v>
      </c>
      <c r="E19936" s="2" t="str">
        <f>"9783110706789"</f>
        <v>9783110706789</v>
      </c>
      <c r="F19936" s="2" t="str">
        <f>"9783110707168"</f>
        <v>9783110707168</v>
      </c>
    </row>
    <row r="19937" spans="1:6" s="3" customFormat="1" ht="29.1" customHeight="1" x14ac:dyDescent="0.25">
      <c r="A19937" s="2" t="s">
        <v>39157</v>
      </c>
      <c r="B19937" s="2" t="s">
        <v>34372</v>
      </c>
      <c r="C19937" s="2" t="s">
        <v>195</v>
      </c>
      <c r="D19937" s="2" t="s">
        <v>218</v>
      </c>
      <c r="E19937" s="2" t="str">
        <f>"9783110615883"</f>
        <v>9783110615883</v>
      </c>
      <c r="F19937" s="2" t="str">
        <f>"9783110646665"</f>
        <v>9783110646665</v>
      </c>
    </row>
    <row r="19938" spans="1:6" s="3" customFormat="1" ht="29.1" customHeight="1" x14ac:dyDescent="0.25">
      <c r="A19938" s="2" t="s">
        <v>39158</v>
      </c>
      <c r="B19938" s="2" t="s">
        <v>39159</v>
      </c>
      <c r="C19938" s="2" t="s">
        <v>195</v>
      </c>
      <c r="D19938" s="2" t="s">
        <v>446</v>
      </c>
      <c r="E19938" s="2" t="str">
        <f>"9783110523102"</f>
        <v>9783110523102</v>
      </c>
      <c r="F19938" s="2" t="str">
        <f>"9783110526509"</f>
        <v>9783110526509</v>
      </c>
    </row>
    <row r="19939" spans="1:6" s="3" customFormat="1" ht="29.1" customHeight="1" x14ac:dyDescent="0.25">
      <c r="A19939" s="2" t="s">
        <v>39160</v>
      </c>
      <c r="B19939" s="2" t="s">
        <v>39161</v>
      </c>
      <c r="C19939" s="2" t="s">
        <v>195</v>
      </c>
      <c r="D19939" s="2" t="s">
        <v>459</v>
      </c>
      <c r="E19939" s="2" t="str">
        <f>"9783110573657"</f>
        <v>9783110573657</v>
      </c>
      <c r="F19939" s="2" t="str">
        <f>"9783110573664"</f>
        <v>9783110573664</v>
      </c>
    </row>
    <row r="19940" spans="1:6" s="3" customFormat="1" ht="29.1" customHeight="1" x14ac:dyDescent="0.25">
      <c r="A19940" s="2" t="s">
        <v>39162</v>
      </c>
      <c r="B19940" s="2" t="s">
        <v>39163</v>
      </c>
      <c r="C19940" s="2" t="s">
        <v>195</v>
      </c>
      <c r="D19940" s="2" t="s">
        <v>459</v>
      </c>
      <c r="E19940" s="2" t="str">
        <f>"9783110997767"</f>
        <v>9783110997767</v>
      </c>
      <c r="F19940" s="2" t="str">
        <f>"9783111352862"</f>
        <v>9783111352862</v>
      </c>
    </row>
    <row r="19941" spans="1:6" s="3" customFormat="1" ht="29.1" customHeight="1" x14ac:dyDescent="0.25">
      <c r="A19941" s="2" t="s">
        <v>39164</v>
      </c>
      <c r="B19941" s="2" t="s">
        <v>39165</v>
      </c>
      <c r="C19941" s="2" t="s">
        <v>195</v>
      </c>
      <c r="D19941" s="2" t="s">
        <v>186</v>
      </c>
      <c r="E19941" s="2" t="str">
        <f>"9783111114552"</f>
        <v>9783111114552</v>
      </c>
      <c r="F19941" s="2" t="str">
        <f>"9783111481395"</f>
        <v>9783111481395</v>
      </c>
    </row>
    <row r="19942" spans="1:6" s="3" customFormat="1" ht="29.1" customHeight="1" x14ac:dyDescent="0.25">
      <c r="A19942" s="2" t="s">
        <v>39166</v>
      </c>
      <c r="B19942" s="2" t="s">
        <v>39167</v>
      </c>
      <c r="C19942" s="2" t="s">
        <v>195</v>
      </c>
      <c r="D19942" s="2" t="s">
        <v>459</v>
      </c>
      <c r="E19942" s="2" t="str">
        <f>"9783110991130"</f>
        <v>9783110991130</v>
      </c>
      <c r="F19942" s="2" t="str">
        <f>"9783111342429"</f>
        <v>9783111342429</v>
      </c>
    </row>
    <row r="19943" spans="1:6" s="3" customFormat="1" ht="29.1" customHeight="1" x14ac:dyDescent="0.25">
      <c r="A19943" s="2" t="s">
        <v>39168</v>
      </c>
      <c r="B19943" s="2" t="s">
        <v>39169</v>
      </c>
      <c r="C19943" s="2" t="s">
        <v>195</v>
      </c>
      <c r="D19943" s="2" t="s">
        <v>118</v>
      </c>
      <c r="E19943" s="2" t="str">
        <f>"9783110651096"</f>
        <v>9783110651096</v>
      </c>
      <c r="F19943" s="2" t="str">
        <f>"9783110697179"</f>
        <v>9783110697179</v>
      </c>
    </row>
    <row r="19944" spans="1:6" s="3" customFormat="1" ht="29.1" customHeight="1" x14ac:dyDescent="0.25">
      <c r="A19944" s="2" t="s">
        <v>39170</v>
      </c>
      <c r="B19944" s="2" t="s">
        <v>39171</v>
      </c>
      <c r="C19944" s="2" t="s">
        <v>195</v>
      </c>
      <c r="D19944" s="2" t="s">
        <v>465</v>
      </c>
      <c r="E19944" s="2" t="str">
        <f>"9783110742275"</f>
        <v>9783110742275</v>
      </c>
      <c r="F19944" s="2" t="str">
        <f>"9783110742503"</f>
        <v>9783110742503</v>
      </c>
    </row>
    <row r="19945" spans="1:6" s="3" customFormat="1" ht="29.1" customHeight="1" x14ac:dyDescent="0.25">
      <c r="A19945" s="2" t="s">
        <v>39172</v>
      </c>
      <c r="B19945" s="2" t="s">
        <v>39173</v>
      </c>
      <c r="C19945" s="2" t="s">
        <v>195</v>
      </c>
      <c r="D19945" s="2" t="s">
        <v>402</v>
      </c>
      <c r="E19945" s="2" t="str">
        <f>"9783111221403"</f>
        <v>9783111221403</v>
      </c>
      <c r="F19945" s="2" t="str">
        <f>"9783111596372"</f>
        <v>9783111596372</v>
      </c>
    </row>
    <row r="19946" spans="1:6" s="3" customFormat="1" ht="29.1" customHeight="1" x14ac:dyDescent="0.25">
      <c r="A19946" s="2" t="s">
        <v>39174</v>
      </c>
      <c r="B19946" s="2" t="s">
        <v>39175</v>
      </c>
      <c r="C19946" s="2" t="s">
        <v>195</v>
      </c>
      <c r="D19946" s="2" t="s">
        <v>81</v>
      </c>
      <c r="E19946" s="2" t="str">
        <f>"9783110041583"</f>
        <v>9783110041583</v>
      </c>
      <c r="F19946" s="2" t="str">
        <f>"9783111409832"</f>
        <v>9783111409832</v>
      </c>
    </row>
    <row r="19947" spans="1:6" s="3" customFormat="1" ht="29.1" customHeight="1" x14ac:dyDescent="0.25">
      <c r="A19947" s="2" t="s">
        <v>39176</v>
      </c>
      <c r="B19947" s="2" t="s">
        <v>39177</v>
      </c>
      <c r="C19947" s="2" t="s">
        <v>195</v>
      </c>
      <c r="D19947" s="2" t="s">
        <v>118</v>
      </c>
      <c r="E19947" s="2" t="str">
        <f>"9783110628906"</f>
        <v>9783110628906</v>
      </c>
      <c r="F19947" s="2" t="str">
        <f>"9783110629040"</f>
        <v>9783110629040</v>
      </c>
    </row>
    <row r="19948" spans="1:6" s="3" customFormat="1" ht="29.1" customHeight="1" x14ac:dyDescent="0.25">
      <c r="A19948" s="2" t="s">
        <v>39178</v>
      </c>
      <c r="B19948" s="2" t="s">
        <v>39179</v>
      </c>
      <c r="C19948" s="2" t="s">
        <v>195</v>
      </c>
      <c r="D19948" s="2" t="s">
        <v>118</v>
      </c>
      <c r="E19948" s="2" t="str">
        <f>"9783110659627"</f>
        <v>9783110659627</v>
      </c>
      <c r="F19948" s="2" t="str">
        <f>"9783110674668"</f>
        <v>9783110674668</v>
      </c>
    </row>
    <row r="19949" spans="1:6" s="3" customFormat="1" ht="29.1" customHeight="1" x14ac:dyDescent="0.25">
      <c r="A19949" s="2" t="s">
        <v>39180</v>
      </c>
      <c r="B19949" s="2" t="s">
        <v>39181</v>
      </c>
      <c r="C19949" s="2" t="s">
        <v>195</v>
      </c>
      <c r="D19949" s="2" t="s">
        <v>33</v>
      </c>
      <c r="E19949" s="2" t="str">
        <f>"9783110522006"</f>
        <v>9783110522006</v>
      </c>
      <c r="F19949" s="2" t="str">
        <f>"9783110523300"</f>
        <v>9783110523300</v>
      </c>
    </row>
    <row r="19950" spans="1:6" s="3" customFormat="1" ht="29.1" customHeight="1" x14ac:dyDescent="0.25">
      <c r="A19950" s="2" t="s">
        <v>39182</v>
      </c>
      <c r="B19950" s="2" t="s">
        <v>39183</v>
      </c>
      <c r="C19950" s="2" t="s">
        <v>195</v>
      </c>
      <c r="D19950" s="2" t="s">
        <v>402</v>
      </c>
      <c r="E19950" s="2" t="str">
        <f>"9783111093697"</f>
        <v>9783111093697</v>
      </c>
      <c r="F19950" s="2" t="str">
        <f>"9783111460871"</f>
        <v>9783111460871</v>
      </c>
    </row>
    <row r="19951" spans="1:6" s="3" customFormat="1" ht="29.1" customHeight="1" x14ac:dyDescent="0.25">
      <c r="A19951" s="2" t="s">
        <v>39184</v>
      </c>
      <c r="B19951" s="2" t="s">
        <v>39185</v>
      </c>
      <c r="C19951" s="2" t="s">
        <v>195</v>
      </c>
      <c r="D19951" s="2" t="s">
        <v>459</v>
      </c>
      <c r="E19951" s="2" t="str">
        <f>"9783111187280"</f>
        <v>9783111187280</v>
      </c>
      <c r="F19951" s="2" t="str">
        <f>"9783111557823"</f>
        <v>9783111557823</v>
      </c>
    </row>
    <row r="19952" spans="1:6" s="3" customFormat="1" ht="29.1" customHeight="1" x14ac:dyDescent="0.25">
      <c r="A19952" s="2" t="s">
        <v>39186</v>
      </c>
      <c r="B19952" s="2" t="s">
        <v>39187</v>
      </c>
      <c r="C19952" s="2" t="s">
        <v>195</v>
      </c>
      <c r="D19952" s="2" t="s">
        <v>431</v>
      </c>
      <c r="E19952" s="2" t="str">
        <f>"9783110629545"</f>
        <v>9783110629545</v>
      </c>
      <c r="F19952" s="2" t="str">
        <f>"9783110632811"</f>
        <v>9783110632811</v>
      </c>
    </row>
    <row r="19953" spans="1:6" s="3" customFormat="1" ht="29.1" customHeight="1" x14ac:dyDescent="0.25">
      <c r="A19953" s="2" t="s">
        <v>39188</v>
      </c>
      <c r="B19953" s="2" t="s">
        <v>39189</v>
      </c>
      <c r="C19953" s="2" t="s">
        <v>195</v>
      </c>
      <c r="D19953" s="2" t="s">
        <v>3043</v>
      </c>
      <c r="E19953" s="2" t="str">
        <f>"9783110536652"</f>
        <v>9783110536652</v>
      </c>
      <c r="F19953" s="2" t="str">
        <f>"9783110536690"</f>
        <v>9783110536690</v>
      </c>
    </row>
    <row r="19954" spans="1:6" s="3" customFormat="1" ht="29.1" customHeight="1" x14ac:dyDescent="0.25">
      <c r="A19954" s="2" t="s">
        <v>39190</v>
      </c>
      <c r="B19954" s="2" t="s">
        <v>39192</v>
      </c>
      <c r="C19954" s="2" t="s">
        <v>195</v>
      </c>
      <c r="D19954" s="2" t="s">
        <v>39191</v>
      </c>
      <c r="E19954" s="2" t="str">
        <f>"9783110438987"</f>
        <v>9783110438987</v>
      </c>
      <c r="F19954" s="2" t="str">
        <f>"9783110429985"</f>
        <v>9783110429985</v>
      </c>
    </row>
    <row r="19955" spans="1:6" s="3" customFormat="1" ht="29.1" customHeight="1" x14ac:dyDescent="0.25">
      <c r="A19955" s="2" t="s">
        <v>39193</v>
      </c>
      <c r="B19955" s="2" t="s">
        <v>39194</v>
      </c>
      <c r="C19955" s="2" t="s">
        <v>195</v>
      </c>
      <c r="D19955" s="2" t="s">
        <v>459</v>
      </c>
      <c r="E19955" s="2" t="str">
        <f>"9783110517484"</f>
        <v>9783110517484</v>
      </c>
      <c r="F19955" s="2" t="str">
        <f>"9783110432442"</f>
        <v>9783110432442</v>
      </c>
    </row>
    <row r="19956" spans="1:6" s="3" customFormat="1" ht="29.1" customHeight="1" x14ac:dyDescent="0.25">
      <c r="A19956" s="2" t="s">
        <v>39195</v>
      </c>
      <c r="B19956" s="2" t="s">
        <v>39196</v>
      </c>
      <c r="C19956" s="2" t="s">
        <v>195</v>
      </c>
      <c r="D19956" s="2" t="s">
        <v>210</v>
      </c>
      <c r="E19956" s="2" t="str">
        <f>"9783111090177"</f>
        <v>9783111090177</v>
      </c>
      <c r="F19956" s="2" t="str">
        <f>"9783111457550"</f>
        <v>9783111457550</v>
      </c>
    </row>
    <row r="19957" spans="1:6" s="3" customFormat="1" ht="29.1" customHeight="1" x14ac:dyDescent="0.25">
      <c r="A19957" s="2" t="s">
        <v>39197</v>
      </c>
      <c r="B19957" s="2" t="s">
        <v>39198</v>
      </c>
      <c r="C19957" s="2" t="s">
        <v>195</v>
      </c>
      <c r="D19957" s="2" t="s">
        <v>682</v>
      </c>
      <c r="E19957" s="2" t="str">
        <f>"9783110621303"</f>
        <v>9783110621303</v>
      </c>
      <c r="F19957" s="2" t="str">
        <f>"9783110621389"</f>
        <v>9783110621389</v>
      </c>
    </row>
    <row r="19958" spans="1:6" s="3" customFormat="1" ht="29.1" customHeight="1" x14ac:dyDescent="0.25">
      <c r="A19958" s="2" t="s">
        <v>39199</v>
      </c>
      <c r="B19958" s="2" t="s">
        <v>39200</v>
      </c>
      <c r="C19958" s="2" t="s">
        <v>195</v>
      </c>
      <c r="D19958" s="2" t="s">
        <v>459</v>
      </c>
      <c r="E19958" s="2" t="str">
        <f>"9783110634532"</f>
        <v>9783110634532</v>
      </c>
      <c r="F19958" s="2" t="str">
        <f>"9783110634617"</f>
        <v>9783110634617</v>
      </c>
    </row>
    <row r="19959" spans="1:6" s="3" customFormat="1" ht="29.1" customHeight="1" x14ac:dyDescent="0.25">
      <c r="A19959" s="2" t="s">
        <v>39201</v>
      </c>
      <c r="B19959" s="2" t="s">
        <v>39202</v>
      </c>
      <c r="C19959" s="2" t="s">
        <v>195</v>
      </c>
      <c r="D19959" s="2" t="s">
        <v>2713</v>
      </c>
      <c r="E19959" s="2" t="str">
        <f>"9783110604764"</f>
        <v>9783110604764</v>
      </c>
      <c r="F19959" s="2" t="str">
        <f>"9783110604856"</f>
        <v>9783110604856</v>
      </c>
    </row>
    <row r="19960" spans="1:6" s="3" customFormat="1" ht="29.1" customHeight="1" x14ac:dyDescent="0.25">
      <c r="A19960" s="2" t="s">
        <v>39203</v>
      </c>
      <c r="B19960" s="2" t="s">
        <v>39204</v>
      </c>
      <c r="C19960" s="2" t="s">
        <v>195</v>
      </c>
      <c r="D19960" s="2" t="s">
        <v>81</v>
      </c>
      <c r="E19960" s="2" t="str">
        <f>"9783111225692"</f>
        <v>9783111225692</v>
      </c>
      <c r="F19960" s="2" t="str">
        <f>"9783111600765"</f>
        <v>9783111600765</v>
      </c>
    </row>
    <row r="19961" spans="1:6" s="3" customFormat="1" ht="29.1" customHeight="1" x14ac:dyDescent="0.25">
      <c r="A19961" s="2" t="s">
        <v>39205</v>
      </c>
      <c r="B19961" s="2" t="s">
        <v>39206</v>
      </c>
      <c r="C19961" s="2" t="s">
        <v>195</v>
      </c>
      <c r="D19961" s="2" t="s">
        <v>9600</v>
      </c>
      <c r="E19961" s="2" t="str">
        <f>"9783110625769"</f>
        <v>9783110625769</v>
      </c>
      <c r="F19961" s="2" t="str">
        <f>"9783110625844"</f>
        <v>9783110625844</v>
      </c>
    </row>
    <row r="19962" spans="1:6" s="3" customFormat="1" ht="29.1" customHeight="1" x14ac:dyDescent="0.25">
      <c r="A19962" s="2" t="s">
        <v>39207</v>
      </c>
      <c r="B19962" s="2" t="s">
        <v>39208</v>
      </c>
      <c r="C19962" s="2" t="s">
        <v>195</v>
      </c>
      <c r="D19962" s="2" t="s">
        <v>210</v>
      </c>
      <c r="E19962" s="2" t="str">
        <f>"9783111092836"</f>
        <v>9783111092836</v>
      </c>
      <c r="F19962" s="2" t="str">
        <f>"9783111460017"</f>
        <v>9783111460017</v>
      </c>
    </row>
    <row r="19963" spans="1:6" s="3" customFormat="1" ht="29.1" customHeight="1" x14ac:dyDescent="0.25">
      <c r="A19963" s="2" t="s">
        <v>39209</v>
      </c>
      <c r="B19963" s="2" t="s">
        <v>39210</v>
      </c>
      <c r="C19963" s="2" t="s">
        <v>195</v>
      </c>
      <c r="D19963" s="2" t="s">
        <v>462</v>
      </c>
      <c r="E19963" s="2" t="str">
        <f>"9783110529159"</f>
        <v>9783110529159</v>
      </c>
      <c r="F19963" s="2" t="str">
        <f>"9783110533361"</f>
        <v>9783110533361</v>
      </c>
    </row>
    <row r="19964" spans="1:6" s="3" customFormat="1" ht="29.1" customHeight="1" x14ac:dyDescent="0.25">
      <c r="A19964" s="2" t="s">
        <v>39211</v>
      </c>
      <c r="B19964" s="2" t="s">
        <v>39212</v>
      </c>
      <c r="C19964" s="2" t="s">
        <v>195</v>
      </c>
      <c r="D19964" s="2" t="s">
        <v>210</v>
      </c>
      <c r="E19964" s="2" t="str">
        <f>"9783486567205"</f>
        <v>9783486567205</v>
      </c>
      <c r="F19964" s="2" t="str">
        <f>"9783486833980"</f>
        <v>9783486833980</v>
      </c>
    </row>
    <row r="19965" spans="1:6" s="3" customFormat="1" ht="29.1" customHeight="1" x14ac:dyDescent="0.25">
      <c r="A19965" s="2" t="s">
        <v>39213</v>
      </c>
      <c r="B19965" s="2" t="s">
        <v>39214</v>
      </c>
      <c r="C19965" s="2" t="s">
        <v>195</v>
      </c>
      <c r="D19965" s="2" t="s">
        <v>462</v>
      </c>
      <c r="E19965" s="2" t="str">
        <f>"9783111117027"</f>
        <v>9783111117027</v>
      </c>
      <c r="F19965" s="2" t="str">
        <f>"9783111483801"</f>
        <v>9783111483801</v>
      </c>
    </row>
    <row r="19966" spans="1:6" s="3" customFormat="1" ht="29.1" customHeight="1" x14ac:dyDescent="0.25">
      <c r="A19966" s="2" t="s">
        <v>39215</v>
      </c>
      <c r="B19966" s="2" t="s">
        <v>39216</v>
      </c>
      <c r="C19966" s="2" t="s">
        <v>195</v>
      </c>
      <c r="D19966" s="2" t="s">
        <v>210</v>
      </c>
      <c r="E19966" s="2" t="str">
        <f>"9783486518412"</f>
        <v>9783486518412</v>
      </c>
      <c r="F19966" s="2" t="str">
        <f>"9783486594164"</f>
        <v>9783486594164</v>
      </c>
    </row>
    <row r="19967" spans="1:6" s="3" customFormat="1" ht="29.1" customHeight="1" x14ac:dyDescent="0.25">
      <c r="A19967" s="2" t="s">
        <v>39217</v>
      </c>
      <c r="B19967" s="2" t="s">
        <v>39218</v>
      </c>
      <c r="C19967" s="2" t="s">
        <v>195</v>
      </c>
      <c r="D19967" s="2" t="s">
        <v>81</v>
      </c>
      <c r="E19967" s="2" t="str">
        <f>"9783110039320"</f>
        <v>9783110039320</v>
      </c>
      <c r="F19967" s="2" t="str">
        <f>"9783110894752"</f>
        <v>9783110894752</v>
      </c>
    </row>
    <row r="19968" spans="1:6" s="3" customFormat="1" ht="29.1" customHeight="1" x14ac:dyDescent="0.25">
      <c r="A19968" s="2" t="s">
        <v>39219</v>
      </c>
      <c r="B19968" s="2" t="s">
        <v>39220</v>
      </c>
      <c r="C19968" s="2" t="s">
        <v>195</v>
      </c>
      <c r="D19968" s="2" t="s">
        <v>1733</v>
      </c>
      <c r="E19968" s="2" t="str">
        <f>"9783110723496"</f>
        <v>9783110723496</v>
      </c>
      <c r="F19968" s="2" t="str">
        <f>"9783110726572"</f>
        <v>9783110726572</v>
      </c>
    </row>
    <row r="19969" spans="1:6" s="3" customFormat="1" ht="29.1" customHeight="1" x14ac:dyDescent="0.25">
      <c r="A19969" s="2" t="s">
        <v>39221</v>
      </c>
      <c r="B19969" s="2" t="s">
        <v>39222</v>
      </c>
      <c r="C19969" s="2" t="s">
        <v>195</v>
      </c>
      <c r="D19969" s="2" t="s">
        <v>297</v>
      </c>
      <c r="E19969" s="2" t="str">
        <f>"9783110623338"</f>
        <v>9783110623338</v>
      </c>
      <c r="F19969" s="2" t="str">
        <f>"9783110623512"</f>
        <v>9783110623512</v>
      </c>
    </row>
    <row r="19970" spans="1:6" s="3" customFormat="1" ht="29.1" customHeight="1" x14ac:dyDescent="0.25">
      <c r="A19970" s="2" t="s">
        <v>39223</v>
      </c>
      <c r="B19970" s="2" t="s">
        <v>39224</v>
      </c>
      <c r="C19970" s="2" t="s">
        <v>195</v>
      </c>
      <c r="D19970" s="2" t="s">
        <v>210</v>
      </c>
      <c r="E19970" s="2" t="str">
        <f>"9783110681970"</f>
        <v>9783110681970</v>
      </c>
      <c r="F19970" s="2" t="str">
        <f>"9783110683066"</f>
        <v>9783110683066</v>
      </c>
    </row>
    <row r="19971" spans="1:6" s="3" customFormat="1" ht="29.1" customHeight="1" x14ac:dyDescent="0.25">
      <c r="A19971" s="2" t="s">
        <v>39225</v>
      </c>
      <c r="B19971" s="2" t="s">
        <v>39226</v>
      </c>
      <c r="C19971" s="2" t="s">
        <v>195</v>
      </c>
      <c r="D19971" s="2" t="s">
        <v>436</v>
      </c>
      <c r="E19971" s="2" t="str">
        <f>"9783110487336"</f>
        <v>9783110487336</v>
      </c>
      <c r="F19971" s="2" t="str">
        <f>"9783110527988"</f>
        <v>9783110527988</v>
      </c>
    </row>
    <row r="19972" spans="1:6" s="3" customFormat="1" ht="29.1" customHeight="1" x14ac:dyDescent="0.25">
      <c r="A19972" s="2" t="s">
        <v>39227</v>
      </c>
      <c r="B19972" s="2" t="s">
        <v>39228</v>
      </c>
      <c r="C19972" s="2" t="s">
        <v>195</v>
      </c>
      <c r="D19972" s="2" t="s">
        <v>334</v>
      </c>
      <c r="E19972" s="2" t="str">
        <f>"9783957580474"</f>
        <v>9783957580474</v>
      </c>
      <c r="F19972" s="2" t="str">
        <f>"9783110720426"</f>
        <v>9783110720426</v>
      </c>
    </row>
    <row r="19973" spans="1:6" s="3" customFormat="1" ht="29.1" customHeight="1" x14ac:dyDescent="0.25">
      <c r="A19973" s="2" t="s">
        <v>39229</v>
      </c>
      <c r="B19973" s="2" t="s">
        <v>39060</v>
      </c>
      <c r="C19973" s="2" t="s">
        <v>195</v>
      </c>
      <c r="D19973" s="2" t="s">
        <v>459</v>
      </c>
      <c r="E19973" s="2" t="str">
        <f>"9783110164909"</f>
        <v>9783110164909</v>
      </c>
      <c r="F19973" s="2" t="str">
        <f>"9783110622645"</f>
        <v>9783110622645</v>
      </c>
    </row>
    <row r="19974" spans="1:6" s="3" customFormat="1" ht="29.1" customHeight="1" x14ac:dyDescent="0.25">
      <c r="A19974" s="2" t="s">
        <v>39230</v>
      </c>
      <c r="B19974" s="2" t="s">
        <v>39231</v>
      </c>
      <c r="C19974" s="2" t="s">
        <v>195</v>
      </c>
      <c r="D19974" s="2" t="s">
        <v>462</v>
      </c>
      <c r="E19974" s="2" t="str">
        <f>"9783111224923"</f>
        <v>9783111224923</v>
      </c>
      <c r="F19974" s="2" t="str">
        <f>"9783111599991"</f>
        <v>9783111599991</v>
      </c>
    </row>
    <row r="19975" spans="1:6" s="3" customFormat="1" ht="29.1" customHeight="1" x14ac:dyDescent="0.25">
      <c r="A19975" s="2" t="s">
        <v>39232</v>
      </c>
      <c r="B19975" s="2" t="s">
        <v>39233</v>
      </c>
      <c r="C19975" s="2" t="s">
        <v>195</v>
      </c>
      <c r="D19975" s="2" t="s">
        <v>339</v>
      </c>
      <c r="E19975" s="2" t="str">
        <f>"9783111115214"</f>
        <v>9783111115214</v>
      </c>
      <c r="F19975" s="2" t="str">
        <f>"9783111482026"</f>
        <v>9783111482026</v>
      </c>
    </row>
    <row r="19976" spans="1:6" s="3" customFormat="1" ht="29.1" customHeight="1" x14ac:dyDescent="0.25">
      <c r="A19976" s="2" t="s">
        <v>39234</v>
      </c>
      <c r="B19976" s="2" t="s">
        <v>39235</v>
      </c>
      <c r="C19976" s="2" t="s">
        <v>195</v>
      </c>
      <c r="D19976" s="2" t="s">
        <v>6440</v>
      </c>
      <c r="E19976" s="2" t="str">
        <f>"9783110619454"</f>
        <v>9783110619454</v>
      </c>
      <c r="F19976" s="2" t="str">
        <f>"9783110619928"</f>
        <v>9783110619928</v>
      </c>
    </row>
    <row r="19977" spans="1:6" s="3" customFormat="1" ht="29.1" customHeight="1" x14ac:dyDescent="0.25">
      <c r="A19977" s="2" t="s">
        <v>39236</v>
      </c>
      <c r="B19977" s="2"/>
      <c r="C19977" s="2" t="s">
        <v>195</v>
      </c>
      <c r="D19977" s="2" t="s">
        <v>4368</v>
      </c>
      <c r="E19977" s="2" t="str">
        <f>"9783486992557"</f>
        <v>9783486992557</v>
      </c>
      <c r="F19977" s="2" t="str">
        <f>"9783486992564"</f>
        <v>9783486992564</v>
      </c>
    </row>
    <row r="19978" spans="1:6" s="3" customFormat="1" ht="29.1" customHeight="1" x14ac:dyDescent="0.25">
      <c r="A19978" s="2" t="s">
        <v>39237</v>
      </c>
      <c r="B19978" s="2" t="s">
        <v>39238</v>
      </c>
      <c r="C19978" s="2" t="s">
        <v>195</v>
      </c>
      <c r="D19978" s="2" t="s">
        <v>436</v>
      </c>
      <c r="E19978" s="2" t="str">
        <f>"9783110589603"</f>
        <v>9783110589603</v>
      </c>
      <c r="F19978" s="2" t="str">
        <f>"9783110591040"</f>
        <v>9783110591040</v>
      </c>
    </row>
    <row r="19979" spans="1:6" s="3" customFormat="1" ht="29.1" customHeight="1" x14ac:dyDescent="0.25">
      <c r="A19979" s="2" t="s">
        <v>39239</v>
      </c>
      <c r="B19979" s="2" t="s">
        <v>39240</v>
      </c>
      <c r="C19979" s="2" t="s">
        <v>195</v>
      </c>
      <c r="D19979" s="2" t="s">
        <v>402</v>
      </c>
      <c r="E19979" s="2" t="str">
        <f>"9783110501711"</f>
        <v>9783110501711</v>
      </c>
      <c r="F19979" s="2" t="str">
        <f>"9783110498912"</f>
        <v>9783110498912</v>
      </c>
    </row>
    <row r="19980" spans="1:6" s="3" customFormat="1" ht="29.1" customHeight="1" x14ac:dyDescent="0.25">
      <c r="A19980" s="2" t="s">
        <v>39241</v>
      </c>
      <c r="B19980" s="2" t="s">
        <v>39242</v>
      </c>
      <c r="C19980" s="2" t="s">
        <v>195</v>
      </c>
      <c r="D19980" s="2" t="s">
        <v>12194</v>
      </c>
      <c r="E19980" s="2" t="str">
        <f>"9783111283135"</f>
        <v>9783111283135</v>
      </c>
      <c r="F19980" s="2" t="str">
        <f>"9783111667836"</f>
        <v>9783111667836</v>
      </c>
    </row>
    <row r="19981" spans="1:6" s="3" customFormat="1" ht="29.1" customHeight="1" x14ac:dyDescent="0.25">
      <c r="A19981" s="2" t="s">
        <v>39243</v>
      </c>
      <c r="B19981" s="2" t="s">
        <v>39244</v>
      </c>
      <c r="C19981" s="2" t="s">
        <v>195</v>
      </c>
      <c r="D19981" s="2" t="s">
        <v>270</v>
      </c>
      <c r="E19981" s="2" t="str">
        <f>"9783486754711"</f>
        <v>9783486754711</v>
      </c>
      <c r="F19981" s="2" t="str">
        <f>"9783486754728"</f>
        <v>9783486754728</v>
      </c>
    </row>
    <row r="19982" spans="1:6" s="3" customFormat="1" ht="29.1" customHeight="1" x14ac:dyDescent="0.25">
      <c r="A19982" s="2" t="s">
        <v>39245</v>
      </c>
      <c r="B19982" s="2" t="s">
        <v>39246</v>
      </c>
      <c r="C19982" s="2" t="s">
        <v>195</v>
      </c>
      <c r="D19982" s="2" t="s">
        <v>22290</v>
      </c>
      <c r="E19982" s="2" t="str">
        <f>"9783110648270"</f>
        <v>9783110648270</v>
      </c>
      <c r="F19982" s="2" t="str">
        <f>"9783110648652"</f>
        <v>9783110648652</v>
      </c>
    </row>
    <row r="19983" spans="1:6" s="3" customFormat="1" ht="29.1" customHeight="1" x14ac:dyDescent="0.25">
      <c r="A19983" s="2" t="s">
        <v>39247</v>
      </c>
      <c r="B19983" s="2" t="s">
        <v>39248</v>
      </c>
      <c r="C19983" s="2" t="s">
        <v>195</v>
      </c>
      <c r="D19983" s="2" t="s">
        <v>1183</v>
      </c>
      <c r="E19983" s="2" t="str">
        <f>"9783110661606"</f>
        <v>9783110661606</v>
      </c>
      <c r="F19983" s="2" t="str">
        <f>"9783110661651"</f>
        <v>9783110661651</v>
      </c>
    </row>
    <row r="19984" spans="1:6" s="3" customFormat="1" ht="29.1" customHeight="1" x14ac:dyDescent="0.25">
      <c r="A19984" s="2" t="s">
        <v>39249</v>
      </c>
      <c r="B19984" s="2" t="s">
        <v>39250</v>
      </c>
      <c r="C19984" s="2" t="s">
        <v>195</v>
      </c>
      <c r="D19984" s="2" t="s">
        <v>33</v>
      </c>
      <c r="E19984" s="2" t="str">
        <f>"9783110645934"</f>
        <v>9783110645934</v>
      </c>
      <c r="F19984" s="2" t="str">
        <f>"9783110645989"</f>
        <v>9783110645989</v>
      </c>
    </row>
    <row r="19985" spans="1:6" s="3" customFormat="1" ht="29.1" customHeight="1" x14ac:dyDescent="0.25">
      <c r="A19985" s="2" t="s">
        <v>39251</v>
      </c>
      <c r="B19985" s="2" t="s">
        <v>39252</v>
      </c>
      <c r="C19985" s="2" t="s">
        <v>195</v>
      </c>
      <c r="D19985" s="2" t="s">
        <v>459</v>
      </c>
      <c r="E19985" s="2" t="str">
        <f>"9783943460940"</f>
        <v>9783943460940</v>
      </c>
      <c r="F19985" s="2" t="str">
        <f>"9783110720303"</f>
        <v>9783110720303</v>
      </c>
    </row>
    <row r="19986" spans="1:6" s="3" customFormat="1" ht="29.1" customHeight="1" x14ac:dyDescent="0.25">
      <c r="A19986" s="2" t="s">
        <v>39253</v>
      </c>
      <c r="B19986" s="2" t="s">
        <v>39254</v>
      </c>
      <c r="C19986" s="2" t="s">
        <v>195</v>
      </c>
      <c r="D19986" s="2" t="s">
        <v>4522</v>
      </c>
      <c r="E19986" s="2" t="str">
        <f>"9783110635850"</f>
        <v>9783110635850</v>
      </c>
      <c r="F19986" s="2" t="str">
        <f>"9783110636031"</f>
        <v>9783110636031</v>
      </c>
    </row>
    <row r="19987" spans="1:6" s="3" customFormat="1" ht="29.1" customHeight="1" x14ac:dyDescent="0.25">
      <c r="A19987" s="2" t="s">
        <v>39255</v>
      </c>
      <c r="B19987" s="2" t="s">
        <v>39256</v>
      </c>
      <c r="C19987" s="2" t="s">
        <v>195</v>
      </c>
      <c r="D19987" s="2" t="s">
        <v>402</v>
      </c>
      <c r="E19987" s="2" t="str">
        <f>"9783943460988"</f>
        <v>9783943460988</v>
      </c>
      <c r="F19987" s="2" t="str">
        <f>"9783110720112"</f>
        <v>9783110720112</v>
      </c>
    </row>
    <row r="19988" spans="1:6" s="3" customFormat="1" ht="29.1" customHeight="1" x14ac:dyDescent="0.25">
      <c r="A19988" s="2" t="s">
        <v>39257</v>
      </c>
      <c r="B19988" s="2" t="s">
        <v>39258</v>
      </c>
      <c r="C19988" s="2" t="s">
        <v>195</v>
      </c>
      <c r="D19988" s="2" t="s">
        <v>446</v>
      </c>
      <c r="E19988" s="2" t="str">
        <f>"9783110674187"</f>
        <v>9783110674187</v>
      </c>
      <c r="F19988" s="2" t="str">
        <f>"9783110674255"</f>
        <v>9783110674255</v>
      </c>
    </row>
    <row r="19989" spans="1:6" s="3" customFormat="1" ht="29.1" customHeight="1" x14ac:dyDescent="0.25">
      <c r="A19989" s="2" t="s">
        <v>39259</v>
      </c>
      <c r="B19989" s="2" t="s">
        <v>39260</v>
      </c>
      <c r="C19989" s="2" t="s">
        <v>195</v>
      </c>
      <c r="D19989" s="2" t="s">
        <v>339</v>
      </c>
      <c r="E19989" s="2" t="str">
        <f>"9783486757415"</f>
        <v>9783486757415</v>
      </c>
      <c r="F19989" s="2" t="str">
        <f>"9783486757422"</f>
        <v>9783486757422</v>
      </c>
    </row>
    <row r="19990" spans="1:6" s="3" customFormat="1" ht="29.1" customHeight="1" x14ac:dyDescent="0.25">
      <c r="A19990" s="2" t="s">
        <v>38752</v>
      </c>
      <c r="B19990" s="2" t="s">
        <v>39261</v>
      </c>
      <c r="C19990" s="2" t="s">
        <v>195</v>
      </c>
      <c r="D19990" s="2" t="s">
        <v>6440</v>
      </c>
      <c r="E19990" s="2" t="str">
        <f>"9783110615241"</f>
        <v>9783110615241</v>
      </c>
      <c r="F19990" s="2" t="str">
        <f>"9783110668797"</f>
        <v>9783110668797</v>
      </c>
    </row>
    <row r="19991" spans="1:6" s="3" customFormat="1" ht="29.1" customHeight="1" x14ac:dyDescent="0.25">
      <c r="A19991" s="2" t="s">
        <v>39262</v>
      </c>
      <c r="B19991" s="2" t="s">
        <v>39263</v>
      </c>
      <c r="C19991" s="2" t="s">
        <v>195</v>
      </c>
      <c r="D19991" s="2" t="s">
        <v>689</v>
      </c>
      <c r="E19991" s="2" t="str">
        <f>"9783110600780"</f>
        <v>9783110600780</v>
      </c>
      <c r="F19991" s="2" t="str">
        <f>"9783110611281"</f>
        <v>9783110611281</v>
      </c>
    </row>
    <row r="19992" spans="1:6" s="3" customFormat="1" ht="29.1" customHeight="1" x14ac:dyDescent="0.25">
      <c r="A19992" s="2" t="s">
        <v>39264</v>
      </c>
      <c r="B19992" s="2" t="s">
        <v>39265</v>
      </c>
      <c r="C19992" s="2" t="s">
        <v>195</v>
      </c>
      <c r="D19992" s="2" t="s">
        <v>339</v>
      </c>
      <c r="E19992" s="2" t="str">
        <f>"9783110425796"</f>
        <v>9783110425796</v>
      </c>
      <c r="F19992" s="2" t="str">
        <f>"9783110421101"</f>
        <v>9783110421101</v>
      </c>
    </row>
    <row r="19993" spans="1:6" s="3" customFormat="1" ht="29.1" customHeight="1" x14ac:dyDescent="0.25">
      <c r="A19993" s="2" t="s">
        <v>39266</v>
      </c>
      <c r="B19993" s="2" t="s">
        <v>39267</v>
      </c>
      <c r="C19993" s="2" t="s">
        <v>195</v>
      </c>
      <c r="D19993" s="2" t="s">
        <v>33</v>
      </c>
      <c r="E19993" s="2" t="str">
        <f>"9783110563009"</f>
        <v>9783110563009</v>
      </c>
      <c r="F19993" s="2" t="str">
        <f>"9783110563016"</f>
        <v>9783110563016</v>
      </c>
    </row>
    <row r="19994" spans="1:6" s="3" customFormat="1" ht="29.1" customHeight="1" x14ac:dyDescent="0.25">
      <c r="A19994" s="2" t="s">
        <v>39268</v>
      </c>
      <c r="B19994" s="2" t="s">
        <v>39269</v>
      </c>
      <c r="C19994" s="2" t="s">
        <v>195</v>
      </c>
      <c r="D19994" s="2" t="s">
        <v>1049</v>
      </c>
      <c r="E19994" s="2" t="str">
        <f>"9783110727531"</f>
        <v>9783110727531</v>
      </c>
      <c r="F19994" s="2" t="str">
        <f>"9783110727555"</f>
        <v>9783110727555</v>
      </c>
    </row>
    <row r="19995" spans="1:6" s="3" customFormat="1" ht="29.1" customHeight="1" x14ac:dyDescent="0.25">
      <c r="A19995" s="2" t="s">
        <v>39270</v>
      </c>
      <c r="B19995" s="2" t="s">
        <v>39271</v>
      </c>
      <c r="C19995" s="2" t="s">
        <v>195</v>
      </c>
      <c r="D19995" s="2" t="s">
        <v>2692</v>
      </c>
      <c r="E19995" s="2" t="str">
        <f>"9783110706284"</f>
        <v>9783110706284</v>
      </c>
      <c r="F19995" s="2" t="str">
        <f>"9783110707151"</f>
        <v>9783110707151</v>
      </c>
    </row>
    <row r="19996" spans="1:6" s="3" customFormat="1" ht="29.1" customHeight="1" x14ac:dyDescent="0.25">
      <c r="A19996" s="2" t="s">
        <v>39272</v>
      </c>
      <c r="B19996" s="2" t="s">
        <v>39273</v>
      </c>
      <c r="C19996" s="2" t="s">
        <v>195</v>
      </c>
      <c r="D19996" s="2" t="s">
        <v>196</v>
      </c>
      <c r="E19996" s="2" t="str">
        <f>"9783110632040"</f>
        <v>9783110632040</v>
      </c>
      <c r="F19996" s="2" t="str">
        <f>"9783110632385"</f>
        <v>9783110632385</v>
      </c>
    </row>
    <row r="19997" spans="1:6" s="3" customFormat="1" ht="29.1" customHeight="1" x14ac:dyDescent="0.25">
      <c r="A19997" s="2" t="s">
        <v>39274</v>
      </c>
      <c r="B19997" s="2" t="s">
        <v>39275</v>
      </c>
      <c r="C19997" s="2" t="s">
        <v>195</v>
      </c>
      <c r="D19997" s="2" t="s">
        <v>162</v>
      </c>
      <c r="E19997" s="2" t="str">
        <f>"9783110641479"</f>
        <v>9783110641479</v>
      </c>
      <c r="F19997" s="2" t="str">
        <f>"9783110641875"</f>
        <v>9783110641875</v>
      </c>
    </row>
    <row r="19998" spans="1:6" s="3" customFormat="1" ht="29.1" customHeight="1" x14ac:dyDescent="0.25">
      <c r="A19998" s="2" t="s">
        <v>39276</v>
      </c>
      <c r="B19998" s="2" t="s">
        <v>39277</v>
      </c>
      <c r="C19998" s="2" t="s">
        <v>195</v>
      </c>
      <c r="D19998" s="2" t="s">
        <v>150</v>
      </c>
      <c r="E19998" s="2" t="str">
        <f>"9783110653533"</f>
        <v>9783110653533</v>
      </c>
      <c r="F19998" s="2" t="str">
        <f>"9783110653540"</f>
        <v>9783110653540</v>
      </c>
    </row>
    <row r="19999" spans="1:6" s="3" customFormat="1" ht="29.1" customHeight="1" x14ac:dyDescent="0.25">
      <c r="A19999" s="2" t="s">
        <v>39278</v>
      </c>
      <c r="B19999" s="2" t="s">
        <v>39279</v>
      </c>
      <c r="C19999" s="2" t="s">
        <v>195</v>
      </c>
      <c r="D19999" s="2" t="s">
        <v>459</v>
      </c>
      <c r="E19999" s="2" t="str">
        <f>"9783110557909"</f>
        <v>9783110557909</v>
      </c>
      <c r="F19999" s="2" t="str">
        <f>"9783110557862"</f>
        <v>9783110557862</v>
      </c>
    </row>
    <row r="20000" spans="1:6" s="3" customFormat="1" ht="29.1" customHeight="1" x14ac:dyDescent="0.25">
      <c r="A20000" s="2" t="s">
        <v>39280</v>
      </c>
      <c r="B20000" s="2" t="s">
        <v>39281</v>
      </c>
      <c r="C20000" s="2" t="s">
        <v>195</v>
      </c>
      <c r="D20000" s="2" t="s">
        <v>210</v>
      </c>
      <c r="E20000" s="2" t="str">
        <f>"9783486562590"</f>
        <v>9783486562590</v>
      </c>
      <c r="F20000" s="2" t="str">
        <f>"9783486594379"</f>
        <v>9783486594379</v>
      </c>
    </row>
    <row r="20001" spans="1:6" s="3" customFormat="1" ht="29.1" customHeight="1" x14ac:dyDescent="0.25">
      <c r="A20001" s="2" t="s">
        <v>39282</v>
      </c>
      <c r="B20001" s="2" t="s">
        <v>39283</v>
      </c>
      <c r="C20001" s="2" t="s">
        <v>195</v>
      </c>
      <c r="D20001" s="2" t="s">
        <v>462</v>
      </c>
      <c r="E20001" s="2" t="str">
        <f>"9783110013214"</f>
        <v>9783110013214</v>
      </c>
      <c r="F20001" s="2" t="str">
        <f>"9783110825411"</f>
        <v>9783110825411</v>
      </c>
    </row>
    <row r="20002" spans="1:6" s="3" customFormat="1" ht="29.1" customHeight="1" x14ac:dyDescent="0.25">
      <c r="A20002" s="2" t="s">
        <v>39284</v>
      </c>
      <c r="B20002" s="2" t="s">
        <v>39285</v>
      </c>
      <c r="C20002" s="2" t="s">
        <v>195</v>
      </c>
      <c r="D20002" s="2" t="s">
        <v>682</v>
      </c>
      <c r="E20002" s="2" t="str">
        <f>"9783110567809"</f>
        <v>9783110567809</v>
      </c>
      <c r="F20002" s="2" t="str">
        <f>"9783110568257"</f>
        <v>9783110568257</v>
      </c>
    </row>
    <row r="20003" spans="1:6" s="3" customFormat="1" ht="29.1" customHeight="1" x14ac:dyDescent="0.25">
      <c r="A20003" s="2" t="s">
        <v>39286</v>
      </c>
      <c r="B20003" s="2" t="s">
        <v>39287</v>
      </c>
      <c r="C20003" s="2" t="s">
        <v>195</v>
      </c>
      <c r="D20003" s="2" t="s">
        <v>221</v>
      </c>
      <c r="E20003" s="2" t="str">
        <f>"9783110702033"</f>
        <v>9783110702033</v>
      </c>
      <c r="F20003" s="2" t="str">
        <f>"9783110702231"</f>
        <v>9783110702231</v>
      </c>
    </row>
    <row r="20004" spans="1:6" s="3" customFormat="1" ht="29.1" customHeight="1" x14ac:dyDescent="0.25">
      <c r="A20004" s="2" t="s">
        <v>39288</v>
      </c>
      <c r="B20004" s="2" t="s">
        <v>39289</v>
      </c>
      <c r="C20004" s="2" t="s">
        <v>195</v>
      </c>
      <c r="D20004" s="2" t="s">
        <v>107</v>
      </c>
      <c r="E20004" s="2" t="str">
        <f>"9783110576467"</f>
        <v>9783110576467</v>
      </c>
      <c r="F20004" s="2" t="str">
        <f>"9783110576498"</f>
        <v>9783110576498</v>
      </c>
    </row>
    <row r="20005" spans="1:6" s="3" customFormat="1" ht="29.1" customHeight="1" x14ac:dyDescent="0.25">
      <c r="A20005" s="2" t="s">
        <v>39290</v>
      </c>
      <c r="B20005" s="2" t="s">
        <v>39291</v>
      </c>
      <c r="C20005" s="2" t="s">
        <v>195</v>
      </c>
      <c r="D20005" s="2" t="s">
        <v>10493</v>
      </c>
      <c r="E20005" s="2" t="str">
        <f>"9783110709223"</f>
        <v>9783110709223</v>
      </c>
      <c r="F20005" s="2" t="str">
        <f>"9783110709889"</f>
        <v>9783110709889</v>
      </c>
    </row>
    <row r="20006" spans="1:6" s="3" customFormat="1" ht="29.1" customHeight="1" x14ac:dyDescent="0.25">
      <c r="A20006" s="2" t="s">
        <v>39292</v>
      </c>
      <c r="B20006" s="2" t="s">
        <v>39293</v>
      </c>
      <c r="C20006" s="2" t="s">
        <v>195</v>
      </c>
      <c r="D20006" s="2" t="s">
        <v>334</v>
      </c>
      <c r="E20006" s="2" t="str">
        <f>"9783957580252"</f>
        <v>9783957580252</v>
      </c>
      <c r="F20006" s="2" t="str">
        <f>"9783110720273"</f>
        <v>9783110720273</v>
      </c>
    </row>
    <row r="20007" spans="1:6" s="3" customFormat="1" ht="29.1" customHeight="1" x14ac:dyDescent="0.25">
      <c r="A20007" s="2" t="s">
        <v>39294</v>
      </c>
      <c r="B20007" s="2" t="s">
        <v>39295</v>
      </c>
      <c r="C20007" s="2" t="s">
        <v>195</v>
      </c>
      <c r="D20007" s="2" t="s">
        <v>6692</v>
      </c>
      <c r="E20007" s="2" t="str">
        <f>"9783110629910"</f>
        <v>9783110629910</v>
      </c>
      <c r="F20007" s="2" t="str">
        <f>"9783110630206"</f>
        <v>9783110630206</v>
      </c>
    </row>
    <row r="20008" spans="1:6" s="3" customFormat="1" ht="29.1" customHeight="1" x14ac:dyDescent="0.25">
      <c r="A20008" s="2" t="s">
        <v>39296</v>
      </c>
      <c r="B20008" s="2" t="s">
        <v>39297</v>
      </c>
      <c r="C20008" s="2" t="s">
        <v>195</v>
      </c>
      <c r="D20008" s="2" t="s">
        <v>5638</v>
      </c>
      <c r="E20008" s="2" t="str">
        <f>"9783110411539"</f>
        <v>9783110411539</v>
      </c>
      <c r="F20008" s="2" t="str">
        <f>"9783110413083"</f>
        <v>9783110413083</v>
      </c>
    </row>
    <row r="20009" spans="1:6" s="3" customFormat="1" ht="29.1" customHeight="1" x14ac:dyDescent="0.25">
      <c r="A20009" s="2" t="s">
        <v>39298</v>
      </c>
      <c r="B20009" s="2"/>
      <c r="C20009" s="2" t="s">
        <v>195</v>
      </c>
      <c r="D20009" s="2" t="s">
        <v>186</v>
      </c>
      <c r="E20009" s="2" t="str">
        <f>"9789027969958"</f>
        <v>9789027969958</v>
      </c>
      <c r="F20009" s="2" t="str">
        <f>"9783110891041"</f>
        <v>9783110891041</v>
      </c>
    </row>
    <row r="20010" spans="1:6" s="3" customFormat="1" ht="29.1" customHeight="1" x14ac:dyDescent="0.25">
      <c r="A20010" s="2" t="s">
        <v>39299</v>
      </c>
      <c r="B20010" s="2" t="s">
        <v>39300</v>
      </c>
      <c r="C20010" s="2" t="s">
        <v>195</v>
      </c>
      <c r="D20010" s="2" t="s">
        <v>4064</v>
      </c>
      <c r="E20010" s="2" t="str">
        <f>"9783110627060"</f>
        <v>9783110627060</v>
      </c>
      <c r="F20010" s="2" t="str">
        <f>"9783110627121"</f>
        <v>9783110627121</v>
      </c>
    </row>
    <row r="20011" spans="1:6" s="3" customFormat="1" ht="29.1" customHeight="1" x14ac:dyDescent="0.25">
      <c r="A20011" s="2" t="s">
        <v>39301</v>
      </c>
      <c r="B20011" s="2" t="s">
        <v>34355</v>
      </c>
      <c r="C20011" s="2" t="s">
        <v>195</v>
      </c>
      <c r="D20011" s="2" t="s">
        <v>8388</v>
      </c>
      <c r="E20011" s="2" t="str">
        <f>"9783110495003"</f>
        <v>9783110495003</v>
      </c>
      <c r="F20011" s="2" t="str">
        <f>"9783110492330"</f>
        <v>9783110492330</v>
      </c>
    </row>
    <row r="20012" spans="1:6" s="3" customFormat="1" ht="29.1" customHeight="1" x14ac:dyDescent="0.25">
      <c r="A20012" s="2" t="s">
        <v>39302</v>
      </c>
      <c r="B20012" s="2" t="s">
        <v>39303</v>
      </c>
      <c r="C20012" s="2" t="s">
        <v>195</v>
      </c>
      <c r="D20012" s="2" t="s">
        <v>210</v>
      </c>
      <c r="E20012" s="2" t="str">
        <f>"9783486516715"</f>
        <v>9783486516715</v>
      </c>
      <c r="F20012" s="2" t="str">
        <f>"9783486594157"</f>
        <v>9783486594157</v>
      </c>
    </row>
    <row r="20013" spans="1:6" s="3" customFormat="1" ht="29.1" customHeight="1" x14ac:dyDescent="0.25">
      <c r="A20013" s="2" t="s">
        <v>39304</v>
      </c>
      <c r="B20013" s="2" t="s">
        <v>39305</v>
      </c>
      <c r="C20013" s="2" t="s">
        <v>195</v>
      </c>
      <c r="D20013" s="2" t="s">
        <v>2019</v>
      </c>
      <c r="E20013" s="2" t="str">
        <f>"9783111202099"</f>
        <v>9783111202099</v>
      </c>
      <c r="F20013" s="2" t="str">
        <f>"9783111574141"</f>
        <v>9783111574141</v>
      </c>
    </row>
    <row r="20014" spans="1:6" s="3" customFormat="1" ht="29.1" customHeight="1" x14ac:dyDescent="0.25">
      <c r="A20014" s="2" t="s">
        <v>39306</v>
      </c>
      <c r="B20014" s="2" t="s">
        <v>39307</v>
      </c>
      <c r="C20014" s="2" t="s">
        <v>195</v>
      </c>
      <c r="D20014" s="2" t="s">
        <v>81</v>
      </c>
      <c r="E20014" s="2" t="str">
        <f>"9783110031287"</f>
        <v>9783110031287</v>
      </c>
      <c r="F20014" s="2" t="str">
        <f>"9783110906639"</f>
        <v>9783110906639</v>
      </c>
    </row>
    <row r="20015" spans="1:6" s="3" customFormat="1" ht="29.1" customHeight="1" x14ac:dyDescent="0.25">
      <c r="A20015" s="2" t="s">
        <v>39308</v>
      </c>
      <c r="B20015" s="2" t="s">
        <v>39309</v>
      </c>
      <c r="C20015" s="2" t="s">
        <v>195</v>
      </c>
      <c r="D20015" s="2" t="s">
        <v>2237</v>
      </c>
      <c r="E20015" s="2" t="str">
        <f>"9783111296838"</f>
        <v>9783111296838</v>
      </c>
      <c r="F20015" s="2" t="str">
        <f>"9783111683898"</f>
        <v>9783111683898</v>
      </c>
    </row>
    <row r="20016" spans="1:6" s="3" customFormat="1" ht="29.1" customHeight="1" x14ac:dyDescent="0.25">
      <c r="A20016" s="2" t="s">
        <v>39310</v>
      </c>
      <c r="B20016" s="2" t="s">
        <v>39311</v>
      </c>
      <c r="C20016" s="2" t="s">
        <v>195</v>
      </c>
      <c r="D20016" s="2" t="s">
        <v>879</v>
      </c>
      <c r="E20016" s="2" t="str">
        <f>"9783110680232"</f>
        <v>9783110680232</v>
      </c>
      <c r="F20016" s="2" t="str">
        <f>"9783110681017"</f>
        <v>9783110681017</v>
      </c>
    </row>
    <row r="20017" spans="1:6" s="3" customFormat="1" ht="29.1" customHeight="1" x14ac:dyDescent="0.25">
      <c r="A20017" s="2" t="s">
        <v>39312</v>
      </c>
      <c r="B20017" s="2" t="s">
        <v>39313</v>
      </c>
      <c r="C20017" s="2" t="s">
        <v>195</v>
      </c>
      <c r="D20017" s="2" t="s">
        <v>210</v>
      </c>
      <c r="E20017" s="2" t="str">
        <f>"9783111207667"</f>
        <v>9783111207667</v>
      </c>
      <c r="F20017" s="2" t="str">
        <f>"9783111580494"</f>
        <v>9783111580494</v>
      </c>
    </row>
    <row r="20018" spans="1:6" s="3" customFormat="1" ht="29.1" customHeight="1" x14ac:dyDescent="0.25">
      <c r="A20018" s="2" t="s">
        <v>39314</v>
      </c>
      <c r="B20018" s="2" t="s">
        <v>26760</v>
      </c>
      <c r="C20018" s="2" t="s">
        <v>195</v>
      </c>
      <c r="D20018" s="2" t="s">
        <v>4415</v>
      </c>
      <c r="E20018" s="2" t="str">
        <f>"9783110694673"</f>
        <v>9783110694673</v>
      </c>
      <c r="F20018" s="2" t="str">
        <f>"9783110694772"</f>
        <v>9783110694772</v>
      </c>
    </row>
    <row r="20019" spans="1:6" s="3" customFormat="1" ht="29.1" customHeight="1" x14ac:dyDescent="0.25">
      <c r="A20019" s="2" t="s">
        <v>39315</v>
      </c>
      <c r="B20019" s="2" t="s">
        <v>39316</v>
      </c>
      <c r="C20019" s="2" t="s">
        <v>195</v>
      </c>
      <c r="D20019" s="2" t="s">
        <v>682</v>
      </c>
      <c r="E20019" s="2" t="str">
        <f>"9783110709995"</f>
        <v>9783110709995</v>
      </c>
      <c r="F20019" s="2" t="str">
        <f>"9783110715293"</f>
        <v>9783110715293</v>
      </c>
    </row>
    <row r="20020" spans="1:6" s="3" customFormat="1" ht="29.1" customHeight="1" x14ac:dyDescent="0.25">
      <c r="A20020" s="2" t="s">
        <v>39317</v>
      </c>
      <c r="B20020" s="2" t="s">
        <v>39318</v>
      </c>
      <c r="C20020" s="2" t="s">
        <v>195</v>
      </c>
      <c r="D20020" s="2" t="s">
        <v>5104</v>
      </c>
      <c r="E20020" s="2" t="str">
        <f>"9781501513633"</f>
        <v>9781501513633</v>
      </c>
      <c r="F20020" s="2" t="str">
        <f>"9781501504877"</f>
        <v>9781501504877</v>
      </c>
    </row>
    <row r="20021" spans="1:6" s="3" customFormat="1" ht="29.1" customHeight="1" x14ac:dyDescent="0.25">
      <c r="A20021" s="2" t="s">
        <v>39319</v>
      </c>
      <c r="B20021" s="2" t="s">
        <v>39320</v>
      </c>
      <c r="C20021" s="2" t="s">
        <v>195</v>
      </c>
      <c r="D20021" s="2" t="s">
        <v>3166</v>
      </c>
      <c r="E20021" s="2" t="str">
        <f>"9783110475364"</f>
        <v>9783110475364</v>
      </c>
      <c r="F20021" s="2" t="str">
        <f>"9783110475371"</f>
        <v>9783110475371</v>
      </c>
    </row>
    <row r="20022" spans="1:6" s="3" customFormat="1" ht="29.1" customHeight="1" x14ac:dyDescent="0.25">
      <c r="A20022" s="2" t="s">
        <v>39321</v>
      </c>
      <c r="B20022" s="2" t="s">
        <v>39322</v>
      </c>
      <c r="C20022" s="2" t="s">
        <v>195</v>
      </c>
      <c r="D20022" s="2" t="s">
        <v>682</v>
      </c>
      <c r="E20022" s="2" t="str">
        <f>"9783422074361"</f>
        <v>9783422074361</v>
      </c>
      <c r="F20022" s="2" t="str">
        <f>"9783422981010"</f>
        <v>9783422981010</v>
      </c>
    </row>
    <row r="20023" spans="1:6" s="3" customFormat="1" ht="29.1" customHeight="1" x14ac:dyDescent="0.25">
      <c r="A20023" s="2" t="s">
        <v>39323</v>
      </c>
      <c r="B20023" s="2" t="s">
        <v>39324</v>
      </c>
      <c r="C20023" s="2" t="s">
        <v>195</v>
      </c>
      <c r="D20023" s="2" t="s">
        <v>192</v>
      </c>
      <c r="E20023" s="2" t="str">
        <f>"9783957580535"</f>
        <v>9783957580535</v>
      </c>
      <c r="F20023" s="2" t="str">
        <f>"9783110720358"</f>
        <v>9783110720358</v>
      </c>
    </row>
    <row r="20024" spans="1:6" s="3" customFormat="1" ht="29.1" customHeight="1" x14ac:dyDescent="0.25">
      <c r="A20024" s="2" t="s">
        <v>39325</v>
      </c>
      <c r="B20024" s="2" t="s">
        <v>39326</v>
      </c>
      <c r="C20024" s="2" t="s">
        <v>195</v>
      </c>
      <c r="D20024" s="2" t="s">
        <v>1390</v>
      </c>
      <c r="E20024" s="2" t="str">
        <f>"9783111217260"</f>
        <v>9783111217260</v>
      </c>
      <c r="F20024" s="2" t="str">
        <f>"9783111591315"</f>
        <v>9783111591315</v>
      </c>
    </row>
    <row r="20025" spans="1:6" s="3" customFormat="1" ht="29.1" customHeight="1" x14ac:dyDescent="0.25">
      <c r="A20025" s="2" t="s">
        <v>39327</v>
      </c>
      <c r="B20025" s="2" t="s">
        <v>39328</v>
      </c>
      <c r="C20025" s="2" t="s">
        <v>195</v>
      </c>
      <c r="D20025" s="2" t="s">
        <v>33</v>
      </c>
      <c r="E20025" s="2" t="str">
        <f>"9783111254975"</f>
        <v>9783111254975</v>
      </c>
      <c r="F20025" s="2" t="str">
        <f>"9783111637464"</f>
        <v>9783111637464</v>
      </c>
    </row>
    <row r="20026" spans="1:6" s="3" customFormat="1" ht="29.1" customHeight="1" x14ac:dyDescent="0.25">
      <c r="A20026" s="2" t="s">
        <v>4867</v>
      </c>
      <c r="B20026" s="2" t="s">
        <v>39329</v>
      </c>
      <c r="C20026" s="2" t="s">
        <v>195</v>
      </c>
      <c r="D20026" s="2" t="s">
        <v>699</v>
      </c>
      <c r="E20026" s="2" t="str">
        <f>"9783110497007"</f>
        <v>9783110497007</v>
      </c>
      <c r="F20026" s="2" t="str">
        <f>"9783110495836"</f>
        <v>9783110495836</v>
      </c>
    </row>
    <row r="20027" spans="1:6" s="3" customFormat="1" ht="29.1" customHeight="1" x14ac:dyDescent="0.25">
      <c r="A20027" s="2" t="s">
        <v>39330</v>
      </c>
      <c r="B20027" s="2" t="s">
        <v>39331</v>
      </c>
      <c r="C20027" s="2" t="s">
        <v>195</v>
      </c>
      <c r="D20027" s="2" t="s">
        <v>6002</v>
      </c>
      <c r="E20027" s="2" t="str">
        <f>"9783110560879"</f>
        <v>9783110560879</v>
      </c>
      <c r="F20027" s="2" t="str">
        <f>"9783110563320"</f>
        <v>9783110563320</v>
      </c>
    </row>
    <row r="20028" spans="1:6" s="3" customFormat="1" ht="29.1" customHeight="1" x14ac:dyDescent="0.25">
      <c r="A20028" s="2" t="s">
        <v>39332</v>
      </c>
      <c r="B20028" s="2" t="s">
        <v>39333</v>
      </c>
      <c r="C20028" s="2" t="s">
        <v>195</v>
      </c>
      <c r="D20028" s="2" t="s">
        <v>431</v>
      </c>
      <c r="E20028" s="2" t="str">
        <f>"9783110587807"</f>
        <v>9783110587807</v>
      </c>
      <c r="F20028" s="2" t="str">
        <f>"9783110587883"</f>
        <v>9783110587883</v>
      </c>
    </row>
    <row r="20029" spans="1:6" s="3" customFormat="1" ht="29.1" customHeight="1" x14ac:dyDescent="0.25">
      <c r="A20029" s="2" t="s">
        <v>39334</v>
      </c>
      <c r="B20029" s="2" t="s">
        <v>39335</v>
      </c>
      <c r="C20029" s="2" t="s">
        <v>195</v>
      </c>
      <c r="D20029" s="2" t="s">
        <v>459</v>
      </c>
      <c r="E20029" s="2" t="str">
        <f>"9783110129601"</f>
        <v>9783110129601</v>
      </c>
      <c r="F20029" s="2" t="str">
        <f>"9783110622430"</f>
        <v>9783110622430</v>
      </c>
    </row>
    <row r="20030" spans="1:6" s="3" customFormat="1" ht="29.1" customHeight="1" x14ac:dyDescent="0.25">
      <c r="A20030" s="2" t="s">
        <v>39336</v>
      </c>
      <c r="B20030" s="2" t="s">
        <v>39337</v>
      </c>
      <c r="C20030" s="2" t="s">
        <v>195</v>
      </c>
      <c r="D20030" s="2" t="s">
        <v>682</v>
      </c>
      <c r="E20030" s="2" t="str">
        <f>"9783111259789"</f>
        <v>9783111259789</v>
      </c>
      <c r="F20030" s="2" t="str">
        <f>"9783111642673"</f>
        <v>9783111642673</v>
      </c>
    </row>
    <row r="20031" spans="1:6" s="3" customFormat="1" ht="29.1" customHeight="1" x14ac:dyDescent="0.25">
      <c r="A20031" s="2" t="s">
        <v>39338</v>
      </c>
      <c r="B20031" s="2" t="s">
        <v>38894</v>
      </c>
      <c r="C20031" s="2" t="s">
        <v>195</v>
      </c>
      <c r="D20031" s="2" t="s">
        <v>462</v>
      </c>
      <c r="E20031" s="2" t="str">
        <f>"9783110538526"</f>
        <v>9783110538526</v>
      </c>
      <c r="F20031" s="2" t="str">
        <f>"9783110547450"</f>
        <v>9783110547450</v>
      </c>
    </row>
    <row r="20032" spans="1:6" s="3" customFormat="1" ht="29.1" customHeight="1" x14ac:dyDescent="0.25">
      <c r="A20032" s="2" t="s">
        <v>39339</v>
      </c>
      <c r="B20032" s="2" t="s">
        <v>39340</v>
      </c>
      <c r="C20032" s="2" t="s">
        <v>195</v>
      </c>
      <c r="D20032" s="2" t="s">
        <v>210</v>
      </c>
      <c r="E20032" s="2" t="str">
        <f>"9783110013375"</f>
        <v>9783110013375</v>
      </c>
      <c r="F20032" s="2" t="str">
        <f>"9783110821482"</f>
        <v>9783110821482</v>
      </c>
    </row>
    <row r="20033" spans="1:6" s="3" customFormat="1" ht="29.1" customHeight="1" x14ac:dyDescent="0.25">
      <c r="A20033" s="2" t="s">
        <v>39341</v>
      </c>
      <c r="B20033" s="2" t="s">
        <v>39342</v>
      </c>
      <c r="C20033" s="2" t="s">
        <v>195</v>
      </c>
      <c r="D20033" s="2" t="s">
        <v>210</v>
      </c>
      <c r="E20033" s="2" t="str">
        <f>"9783957580498"</f>
        <v>9783957580498</v>
      </c>
      <c r="F20033" s="2" t="str">
        <f>"9783110720341"</f>
        <v>9783110720341</v>
      </c>
    </row>
    <row r="20034" spans="1:6" s="3" customFormat="1" ht="29.1" customHeight="1" x14ac:dyDescent="0.25">
      <c r="A20034" s="2" t="s">
        <v>39343</v>
      </c>
      <c r="B20034" s="2" t="s">
        <v>39344</v>
      </c>
      <c r="C20034" s="2" t="s">
        <v>195</v>
      </c>
      <c r="D20034" s="2" t="s">
        <v>459</v>
      </c>
      <c r="E20034" s="2" t="str">
        <f>"9783110557893"</f>
        <v>9783110557893</v>
      </c>
      <c r="F20034" s="2" t="str">
        <f>"9783110615746"</f>
        <v>9783110615746</v>
      </c>
    </row>
    <row r="20035" spans="1:6" s="3" customFormat="1" ht="29.1" customHeight="1" x14ac:dyDescent="0.25">
      <c r="A20035" s="2" t="s">
        <v>39345</v>
      </c>
      <c r="B20035" s="2" t="s">
        <v>39346</v>
      </c>
      <c r="C20035" s="2" t="s">
        <v>195</v>
      </c>
      <c r="D20035" s="2" t="s">
        <v>459</v>
      </c>
      <c r="E20035" s="2" t="str">
        <f>"9783111282787"</f>
        <v>9783111282787</v>
      </c>
      <c r="F20035" s="2" t="str">
        <f>"9783111667515"</f>
        <v>9783111667515</v>
      </c>
    </row>
    <row r="20036" spans="1:6" s="3" customFormat="1" ht="29.1" customHeight="1" x14ac:dyDescent="0.25">
      <c r="A20036" s="2" t="s">
        <v>39347</v>
      </c>
      <c r="B20036" s="2" t="s">
        <v>39348</v>
      </c>
      <c r="C20036" s="2" t="s">
        <v>195</v>
      </c>
      <c r="D20036" s="2" t="s">
        <v>459</v>
      </c>
      <c r="E20036" s="2" t="str">
        <f>"9783110536744"</f>
        <v>9783110536744</v>
      </c>
      <c r="F20036" s="2" t="str">
        <f>"9783110536836"</f>
        <v>9783110536836</v>
      </c>
    </row>
    <row r="20037" spans="1:6" s="3" customFormat="1" ht="29.1" customHeight="1" x14ac:dyDescent="0.25">
      <c r="A20037" s="2" t="s">
        <v>39349</v>
      </c>
      <c r="B20037" s="2" t="s">
        <v>39350</v>
      </c>
      <c r="C20037" s="2" t="s">
        <v>195</v>
      </c>
      <c r="D20037" s="2" t="s">
        <v>20286</v>
      </c>
      <c r="E20037" s="2" t="str">
        <f>"9783110614497"</f>
        <v>9783110614497</v>
      </c>
      <c r="F20037" s="2" t="str">
        <f>"9783110614589"</f>
        <v>9783110614589</v>
      </c>
    </row>
    <row r="20038" spans="1:6" s="3" customFormat="1" ht="29.1" customHeight="1" x14ac:dyDescent="0.25">
      <c r="A20038" s="2" t="s">
        <v>36708</v>
      </c>
      <c r="B20038" s="2" t="s">
        <v>39351</v>
      </c>
      <c r="C20038" s="2" t="s">
        <v>195</v>
      </c>
      <c r="D20038" s="2" t="s">
        <v>2199</v>
      </c>
      <c r="E20038" s="2" t="str">
        <f>"9783110634884"</f>
        <v>9783110634884</v>
      </c>
      <c r="F20038" s="2" t="str">
        <f>"9783110636567"</f>
        <v>9783110636567</v>
      </c>
    </row>
    <row r="20039" spans="1:6" s="3" customFormat="1" ht="29.1" customHeight="1" x14ac:dyDescent="0.25">
      <c r="A20039" s="2" t="s">
        <v>39352</v>
      </c>
      <c r="B20039" s="2" t="s">
        <v>39353</v>
      </c>
      <c r="C20039" s="2" t="s">
        <v>195</v>
      </c>
      <c r="D20039" s="2" t="s">
        <v>81</v>
      </c>
      <c r="E20039" s="2" t="str">
        <f>"9783110097542"</f>
        <v>9783110097542</v>
      </c>
      <c r="F20039" s="2" t="str">
        <f>"9783110890709"</f>
        <v>9783110890709</v>
      </c>
    </row>
    <row r="20040" spans="1:6" s="3" customFormat="1" ht="29.1" customHeight="1" x14ac:dyDescent="0.25">
      <c r="A20040" s="2" t="s">
        <v>39354</v>
      </c>
      <c r="B20040" s="2" t="s">
        <v>39355</v>
      </c>
      <c r="C20040" s="2" t="s">
        <v>195</v>
      </c>
      <c r="D20040" s="2" t="s">
        <v>8373</v>
      </c>
      <c r="E20040" s="2" t="str">
        <f>"9783110711042"</f>
        <v>9783110711042</v>
      </c>
      <c r="F20040" s="2" t="str">
        <f>"9783110712247"</f>
        <v>9783110712247</v>
      </c>
    </row>
    <row r="20041" spans="1:6" s="3" customFormat="1" ht="29.1" customHeight="1" x14ac:dyDescent="0.25">
      <c r="A20041" s="2" t="s">
        <v>39356</v>
      </c>
      <c r="B20041" s="2" t="s">
        <v>39357</v>
      </c>
      <c r="C20041" s="2" t="s">
        <v>195</v>
      </c>
      <c r="D20041" s="2" t="s">
        <v>459</v>
      </c>
      <c r="E20041" s="2" t="str">
        <f>"9783111310039"</f>
        <v>9783111310039</v>
      </c>
      <c r="F20041" s="2" t="str">
        <f>"9783111698281"</f>
        <v>9783111698281</v>
      </c>
    </row>
    <row r="20042" spans="1:6" s="3" customFormat="1" ht="29.1" customHeight="1" x14ac:dyDescent="0.25">
      <c r="A20042" s="2" t="s">
        <v>39358</v>
      </c>
      <c r="B20042" s="2" t="s">
        <v>39359</v>
      </c>
      <c r="C20042" s="2" t="s">
        <v>195</v>
      </c>
      <c r="D20042" s="2" t="s">
        <v>2968</v>
      </c>
      <c r="E20042" s="2" t="str">
        <f>"9783110448108"</f>
        <v>9783110448108</v>
      </c>
      <c r="F20042" s="2" t="str">
        <f>"9783110448115"</f>
        <v>9783110448115</v>
      </c>
    </row>
    <row r="20043" spans="1:6" s="3" customFormat="1" ht="29.1" customHeight="1" x14ac:dyDescent="0.25">
      <c r="A20043" s="2" t="s">
        <v>39360</v>
      </c>
      <c r="B20043" s="2"/>
      <c r="C20043" s="2" t="s">
        <v>195</v>
      </c>
      <c r="D20043" s="2" t="s">
        <v>4368</v>
      </c>
      <c r="E20043" s="2" t="str">
        <f>"9783486992533"</f>
        <v>9783486992533</v>
      </c>
      <c r="F20043" s="2" t="str">
        <f>"9783486992540"</f>
        <v>9783486992540</v>
      </c>
    </row>
    <row r="20044" spans="1:6" s="3" customFormat="1" ht="29.1" customHeight="1" x14ac:dyDescent="0.25">
      <c r="A20044" s="2" t="s">
        <v>39361</v>
      </c>
      <c r="B20044" s="2" t="s">
        <v>35837</v>
      </c>
      <c r="C20044" s="2" t="s">
        <v>195</v>
      </c>
      <c r="D20044" s="2" t="s">
        <v>6152</v>
      </c>
      <c r="E20044" s="2" t="str">
        <f>"9783110500448"</f>
        <v>9783110500448</v>
      </c>
      <c r="F20044" s="2" t="str">
        <f>"9783110497755"</f>
        <v>9783110497755</v>
      </c>
    </row>
    <row r="20045" spans="1:6" s="3" customFormat="1" ht="29.1" customHeight="1" x14ac:dyDescent="0.25">
      <c r="A20045" s="2" t="s">
        <v>39362</v>
      </c>
      <c r="B20045" s="2" t="s">
        <v>39363</v>
      </c>
      <c r="C20045" s="2" t="s">
        <v>195</v>
      </c>
      <c r="D20045" s="2" t="s">
        <v>446</v>
      </c>
      <c r="E20045" s="2" t="str">
        <f>"9783110655902"</f>
        <v>9783110655902</v>
      </c>
      <c r="F20045" s="2" t="str">
        <f>"9783110657982"</f>
        <v>9783110657982</v>
      </c>
    </row>
    <row r="20046" spans="1:6" s="3" customFormat="1" ht="29.1" customHeight="1" x14ac:dyDescent="0.25">
      <c r="A20046" s="2" t="s">
        <v>39364</v>
      </c>
      <c r="B20046" s="2" t="s">
        <v>39365</v>
      </c>
      <c r="C20046" s="2" t="s">
        <v>195</v>
      </c>
      <c r="D20046" s="2" t="s">
        <v>446</v>
      </c>
      <c r="E20046" s="2" t="str">
        <f>"9783110676266"</f>
        <v>9783110676266</v>
      </c>
      <c r="F20046" s="2" t="str">
        <f>"9783110677058"</f>
        <v>9783110677058</v>
      </c>
    </row>
    <row r="20047" spans="1:6" s="3" customFormat="1" ht="29.1" customHeight="1" x14ac:dyDescent="0.25">
      <c r="A20047" s="2" t="s">
        <v>39366</v>
      </c>
      <c r="B20047" s="2" t="s">
        <v>35817</v>
      </c>
      <c r="C20047" s="2" t="s">
        <v>195</v>
      </c>
      <c r="D20047" s="2" t="s">
        <v>118</v>
      </c>
      <c r="E20047" s="2" t="str">
        <f>"9783110682410"</f>
        <v>9783110682410</v>
      </c>
      <c r="F20047" s="2" t="str">
        <f>"9783110684827"</f>
        <v>9783110684827</v>
      </c>
    </row>
    <row r="20048" spans="1:6" s="3" customFormat="1" ht="29.1" customHeight="1" x14ac:dyDescent="0.25">
      <c r="A20048" s="2" t="s">
        <v>39367</v>
      </c>
      <c r="B20048" s="2" t="s">
        <v>39368</v>
      </c>
      <c r="C20048" s="2" t="s">
        <v>195</v>
      </c>
      <c r="D20048" s="2" t="s">
        <v>512</v>
      </c>
      <c r="E20048" s="2" t="str">
        <f>"9783110616606"</f>
        <v>9783110616606</v>
      </c>
      <c r="F20048" s="2" t="str">
        <f>"9783110616804"</f>
        <v>9783110616804</v>
      </c>
    </row>
    <row r="20049" spans="1:6" s="3" customFormat="1" ht="29.1" customHeight="1" x14ac:dyDescent="0.25">
      <c r="A20049" s="2" t="s">
        <v>39369</v>
      </c>
      <c r="B20049" s="2" t="s">
        <v>39370</v>
      </c>
      <c r="C20049" s="2" t="s">
        <v>195</v>
      </c>
      <c r="D20049" s="2" t="s">
        <v>436</v>
      </c>
      <c r="E20049" s="2" t="str">
        <f>"9783110557565"</f>
        <v>9783110557565</v>
      </c>
      <c r="F20049" s="2" t="str">
        <f>"9783110557657"</f>
        <v>9783110557657</v>
      </c>
    </row>
    <row r="20050" spans="1:6" s="3" customFormat="1" ht="29.1" customHeight="1" x14ac:dyDescent="0.25">
      <c r="A20050" s="2" t="s">
        <v>39371</v>
      </c>
      <c r="B20050" s="2" t="s">
        <v>39372</v>
      </c>
      <c r="C20050" s="2" t="s">
        <v>195</v>
      </c>
      <c r="D20050" s="2" t="s">
        <v>81</v>
      </c>
      <c r="E20050" s="2" t="str">
        <f>"9783111228914"</f>
        <v>9783111228914</v>
      </c>
      <c r="F20050" s="2" t="str">
        <f>"9783111604114"</f>
        <v>9783111604114</v>
      </c>
    </row>
    <row r="20051" spans="1:6" s="3" customFormat="1" ht="29.1" customHeight="1" x14ac:dyDescent="0.25">
      <c r="A20051" s="2" t="s">
        <v>39373</v>
      </c>
      <c r="B20051" s="2" t="s">
        <v>39374</v>
      </c>
      <c r="C20051" s="2" t="s">
        <v>195</v>
      </c>
      <c r="D20051" s="2" t="s">
        <v>459</v>
      </c>
      <c r="E20051" s="2" t="str">
        <f>"9783110736656"</f>
        <v>9783110736656</v>
      </c>
      <c r="F20051" s="2" t="str">
        <f>"9783110731361"</f>
        <v>9783110731361</v>
      </c>
    </row>
    <row r="20052" spans="1:6" s="3" customFormat="1" ht="29.1" customHeight="1" x14ac:dyDescent="0.25">
      <c r="A20052" s="2" t="s">
        <v>39375</v>
      </c>
      <c r="B20052" s="2" t="s">
        <v>39376</v>
      </c>
      <c r="C20052" s="2" t="s">
        <v>195</v>
      </c>
      <c r="D20052" s="2" t="s">
        <v>81</v>
      </c>
      <c r="E20052" s="2" t="str">
        <f>"9783111158426"</f>
        <v>9783111158426</v>
      </c>
      <c r="F20052" s="2" t="str">
        <f>"9783111526713"</f>
        <v>9783111526713</v>
      </c>
    </row>
    <row r="20053" spans="1:6" s="3" customFormat="1" ht="29.1" customHeight="1" x14ac:dyDescent="0.25">
      <c r="A20053" s="2" t="s">
        <v>39377</v>
      </c>
      <c r="B20053" s="2" t="s">
        <v>39378</v>
      </c>
      <c r="C20053" s="2" t="s">
        <v>195</v>
      </c>
      <c r="D20053" s="2" t="s">
        <v>3328</v>
      </c>
      <c r="E20053" s="2" t="str">
        <f>"9783110613223"</f>
        <v>9783110613223</v>
      </c>
      <c r="F20053" s="2" t="str">
        <f>"9783110613995"</f>
        <v>9783110613995</v>
      </c>
    </row>
    <row r="20054" spans="1:6" s="3" customFormat="1" ht="29.1" customHeight="1" x14ac:dyDescent="0.25">
      <c r="A20054" s="2" t="s">
        <v>39379</v>
      </c>
      <c r="B20054" s="2" t="s">
        <v>39380</v>
      </c>
      <c r="C20054" s="2" t="s">
        <v>195</v>
      </c>
      <c r="D20054" s="2" t="s">
        <v>3043</v>
      </c>
      <c r="E20054" s="2" t="str">
        <f>"9783110622027"</f>
        <v>9783110622027</v>
      </c>
      <c r="F20054" s="2" t="str">
        <f>"9783110622034"</f>
        <v>9783110622034</v>
      </c>
    </row>
    <row r="20055" spans="1:6" s="3" customFormat="1" ht="29.1" customHeight="1" x14ac:dyDescent="0.25">
      <c r="A20055" s="2" t="s">
        <v>39381</v>
      </c>
      <c r="B20055" s="2" t="s">
        <v>39382</v>
      </c>
      <c r="C20055" s="2" t="s">
        <v>195</v>
      </c>
      <c r="D20055" s="2" t="s">
        <v>1390</v>
      </c>
      <c r="E20055" s="2" t="str">
        <f>"9783111236391"</f>
        <v>9783111236391</v>
      </c>
      <c r="F20055" s="2" t="str">
        <f>"9783111612089"</f>
        <v>9783111612089</v>
      </c>
    </row>
    <row r="20056" spans="1:6" s="3" customFormat="1" ht="29.1" customHeight="1" x14ac:dyDescent="0.25">
      <c r="A20056" s="2" t="s">
        <v>39383</v>
      </c>
      <c r="B20056" s="2" t="s">
        <v>39384</v>
      </c>
      <c r="C20056" s="2" t="s">
        <v>195</v>
      </c>
      <c r="D20056" s="2" t="s">
        <v>33</v>
      </c>
      <c r="E20056" s="2" t="str">
        <f>"9783110692907"</f>
        <v>9783110692907</v>
      </c>
      <c r="F20056" s="2" t="str">
        <f>"9783110693959"</f>
        <v>9783110693959</v>
      </c>
    </row>
    <row r="20057" spans="1:6" s="3" customFormat="1" ht="29.1" customHeight="1" x14ac:dyDescent="0.25">
      <c r="A20057" s="2" t="s">
        <v>1153</v>
      </c>
      <c r="B20057" s="2" t="s">
        <v>39385</v>
      </c>
      <c r="C20057" s="2" t="s">
        <v>195</v>
      </c>
      <c r="D20057" s="2" t="s">
        <v>33</v>
      </c>
      <c r="E20057" s="2" t="str">
        <f>"9783110634860"</f>
        <v>9783110634860</v>
      </c>
      <c r="F20057" s="2" t="str">
        <f>"9783110635133"</f>
        <v>9783110635133</v>
      </c>
    </row>
    <row r="20058" spans="1:6" s="3" customFormat="1" ht="29.1" customHeight="1" x14ac:dyDescent="0.25">
      <c r="A20058" s="2" t="s">
        <v>39386</v>
      </c>
      <c r="B20058" s="2" t="s">
        <v>39387</v>
      </c>
      <c r="C20058" s="2" t="s">
        <v>195</v>
      </c>
      <c r="D20058" s="2" t="s">
        <v>324</v>
      </c>
      <c r="E20058" s="2" t="str">
        <f>"9783110544671"</f>
        <v>9783110544671</v>
      </c>
      <c r="F20058" s="2" t="str">
        <f>"9783110491685"</f>
        <v>9783110491685</v>
      </c>
    </row>
    <row r="20059" spans="1:6" s="3" customFormat="1" ht="29.1" customHeight="1" x14ac:dyDescent="0.25">
      <c r="A20059" s="2" t="s">
        <v>39388</v>
      </c>
      <c r="B20059" s="2" t="s">
        <v>39389</v>
      </c>
      <c r="C20059" s="2" t="s">
        <v>195</v>
      </c>
      <c r="D20059" s="2" t="s">
        <v>1630</v>
      </c>
      <c r="E20059" s="2" t="str">
        <f>"9783110651638"</f>
        <v>9783110651638</v>
      </c>
      <c r="F20059" s="2" t="str">
        <f>"9783110651751"</f>
        <v>9783110651751</v>
      </c>
    </row>
    <row r="20060" spans="1:6" s="3" customFormat="1" ht="29.1" customHeight="1" x14ac:dyDescent="0.25">
      <c r="A20060" s="2" t="s">
        <v>39390</v>
      </c>
      <c r="B20060" s="2" t="s">
        <v>39391</v>
      </c>
      <c r="C20060" s="2" t="s">
        <v>195</v>
      </c>
      <c r="D20060" s="2" t="s">
        <v>1999</v>
      </c>
      <c r="E20060" s="2" t="str">
        <f>"9783110665826"</f>
        <v>9783110665826</v>
      </c>
      <c r="F20060" s="2" t="str">
        <f>"9783110665833"</f>
        <v>9783110665833</v>
      </c>
    </row>
    <row r="20061" spans="1:6" s="3" customFormat="1" ht="29.1" customHeight="1" x14ac:dyDescent="0.25">
      <c r="A20061" s="2" t="s">
        <v>39392</v>
      </c>
      <c r="B20061" s="2" t="s">
        <v>39393</v>
      </c>
      <c r="C20061" s="2" t="s">
        <v>195</v>
      </c>
      <c r="D20061" s="2" t="s">
        <v>202</v>
      </c>
      <c r="E20061" s="2" t="str">
        <f>"9783110613209"</f>
        <v>9783110613209</v>
      </c>
      <c r="F20061" s="2" t="str">
        <f>"9783110613971"</f>
        <v>9783110613971</v>
      </c>
    </row>
    <row r="20062" spans="1:6" s="3" customFormat="1" ht="29.1" customHeight="1" x14ac:dyDescent="0.25">
      <c r="A20062" s="2" t="s">
        <v>39394</v>
      </c>
      <c r="B20062" s="2" t="s">
        <v>39395</v>
      </c>
      <c r="C20062" s="2" t="s">
        <v>195</v>
      </c>
      <c r="D20062" s="2" t="s">
        <v>916</v>
      </c>
      <c r="E20062" s="2" t="str">
        <f>"9783110463682"</f>
        <v>9783110463682</v>
      </c>
      <c r="F20062" s="2" t="str">
        <f>"9783110464085"</f>
        <v>9783110464085</v>
      </c>
    </row>
    <row r="20063" spans="1:6" s="3" customFormat="1" ht="29.1" customHeight="1" x14ac:dyDescent="0.25">
      <c r="A20063" s="2" t="s">
        <v>39396</v>
      </c>
      <c r="B20063" s="2" t="s">
        <v>39397</v>
      </c>
      <c r="C20063" s="2" t="s">
        <v>195</v>
      </c>
      <c r="D20063" s="2" t="s">
        <v>30</v>
      </c>
      <c r="E20063" s="2" t="str">
        <f>"9783111205649"</f>
        <v>9783111205649</v>
      </c>
      <c r="F20063" s="2" t="str">
        <f>"9783111578156"</f>
        <v>9783111578156</v>
      </c>
    </row>
    <row r="20064" spans="1:6" s="3" customFormat="1" ht="29.1" customHeight="1" x14ac:dyDescent="0.25">
      <c r="A20064" s="2" t="s">
        <v>39398</v>
      </c>
      <c r="B20064" s="2" t="s">
        <v>39399</v>
      </c>
      <c r="C20064" s="2" t="s">
        <v>195</v>
      </c>
      <c r="D20064" s="2" t="s">
        <v>459</v>
      </c>
      <c r="E20064" s="2" t="str">
        <f>"9783110554977"</f>
        <v>9783110554977</v>
      </c>
      <c r="F20064" s="2" t="str">
        <f>"9783110555080"</f>
        <v>9783110555080</v>
      </c>
    </row>
    <row r="20065" spans="1:6" s="3" customFormat="1" ht="29.1" customHeight="1" x14ac:dyDescent="0.25">
      <c r="A20065" s="2" t="s">
        <v>39400</v>
      </c>
      <c r="B20065" s="2" t="s">
        <v>35837</v>
      </c>
      <c r="C20065" s="2" t="s">
        <v>195</v>
      </c>
      <c r="D20065" s="2" t="s">
        <v>6152</v>
      </c>
      <c r="E20065" s="2" t="str">
        <f>"9783110671407"</f>
        <v>9783110671407</v>
      </c>
      <c r="F20065" s="2" t="str">
        <f>"9783110671490"</f>
        <v>9783110671490</v>
      </c>
    </row>
    <row r="20066" spans="1:6" s="3" customFormat="1" ht="29.1" customHeight="1" x14ac:dyDescent="0.25">
      <c r="A20066" s="2" t="s">
        <v>39401</v>
      </c>
      <c r="B20066" s="2" t="s">
        <v>39402</v>
      </c>
      <c r="C20066" s="2" t="s">
        <v>195</v>
      </c>
      <c r="D20066" s="2" t="s">
        <v>12194</v>
      </c>
      <c r="E20066" s="2" t="str">
        <f>"9783111218731"</f>
        <v>9783111218731</v>
      </c>
      <c r="F20066" s="2" t="str">
        <f>"9783111593500"</f>
        <v>9783111593500</v>
      </c>
    </row>
    <row r="20067" spans="1:6" s="3" customFormat="1" ht="29.1" customHeight="1" x14ac:dyDescent="0.25">
      <c r="A20067" s="2" t="s">
        <v>39403</v>
      </c>
      <c r="B20067" s="2" t="s">
        <v>39309</v>
      </c>
      <c r="C20067" s="2" t="s">
        <v>195</v>
      </c>
      <c r="D20067" s="2" t="s">
        <v>2237</v>
      </c>
      <c r="E20067" s="2" t="str">
        <f>"9783111138824"</f>
        <v>9783111138824</v>
      </c>
      <c r="F20067" s="2" t="str">
        <f>"9783111505695"</f>
        <v>9783111505695</v>
      </c>
    </row>
    <row r="20068" spans="1:6" s="3" customFormat="1" ht="29.1" customHeight="1" x14ac:dyDescent="0.25">
      <c r="A20068" s="2" t="s">
        <v>39404</v>
      </c>
      <c r="B20068" s="2" t="s">
        <v>39405</v>
      </c>
      <c r="C20068" s="2" t="s">
        <v>195</v>
      </c>
      <c r="D20068" s="2" t="s">
        <v>81</v>
      </c>
      <c r="E20068" s="2" t="str">
        <f>"9783110993943"</f>
        <v>9783110993943</v>
      </c>
      <c r="F20068" s="2" t="str">
        <f>"9783111347417"</f>
        <v>9783111347417</v>
      </c>
    </row>
    <row r="20069" spans="1:6" s="3" customFormat="1" ht="29.1" customHeight="1" x14ac:dyDescent="0.25">
      <c r="A20069" s="2" t="s">
        <v>39406</v>
      </c>
      <c r="B20069" s="2" t="s">
        <v>39408</v>
      </c>
      <c r="C20069" s="2" t="s">
        <v>195</v>
      </c>
      <c r="D20069" s="2" t="s">
        <v>39407</v>
      </c>
      <c r="E20069" s="2" t="str">
        <f>"9783110718898"</f>
        <v>9783110718898</v>
      </c>
      <c r="F20069" s="2" t="str">
        <f>"9783110719031"</f>
        <v>9783110719031</v>
      </c>
    </row>
    <row r="20070" spans="1:6" s="3" customFormat="1" ht="29.1" customHeight="1" x14ac:dyDescent="0.25">
      <c r="A20070" s="2" t="s">
        <v>39409</v>
      </c>
      <c r="B20070" s="2" t="s">
        <v>39410</v>
      </c>
      <c r="C20070" s="2" t="s">
        <v>195</v>
      </c>
      <c r="D20070" s="2" t="s">
        <v>49</v>
      </c>
      <c r="E20070" s="2" t="str">
        <f>"9783110717815"</f>
        <v>9783110717815</v>
      </c>
      <c r="F20070" s="2" t="str">
        <f>"9783110719253"</f>
        <v>9783110719253</v>
      </c>
    </row>
    <row r="20071" spans="1:6" s="3" customFormat="1" ht="29.1" customHeight="1" x14ac:dyDescent="0.25">
      <c r="A20071" s="2" t="s">
        <v>39411</v>
      </c>
      <c r="B20071" s="2" t="s">
        <v>39412</v>
      </c>
      <c r="C20071" s="2" t="s">
        <v>195</v>
      </c>
      <c r="D20071" s="2" t="s">
        <v>141</v>
      </c>
      <c r="E20071" s="2" t="str">
        <f>"9783110690583"</f>
        <v>9783110690583</v>
      </c>
      <c r="F20071" s="2" t="str">
        <f>"9783110690668"</f>
        <v>9783110690668</v>
      </c>
    </row>
    <row r="20072" spans="1:6" s="3" customFormat="1" ht="29.1" customHeight="1" x14ac:dyDescent="0.25">
      <c r="A20072" s="2" t="s">
        <v>39413</v>
      </c>
      <c r="B20072" s="2" t="s">
        <v>39414</v>
      </c>
      <c r="C20072" s="2" t="s">
        <v>195</v>
      </c>
      <c r="D20072" s="2" t="s">
        <v>2175</v>
      </c>
      <c r="E20072" s="2" t="str">
        <f>"9783110625554"</f>
        <v>9783110625554</v>
      </c>
      <c r="F20072" s="2" t="str">
        <f>"9783110631357"</f>
        <v>9783110631357</v>
      </c>
    </row>
    <row r="20073" spans="1:6" s="3" customFormat="1" ht="29.1" customHeight="1" x14ac:dyDescent="0.25">
      <c r="A20073" s="2" t="s">
        <v>39415</v>
      </c>
      <c r="B20073" s="2" t="s">
        <v>39416</v>
      </c>
      <c r="C20073" s="2" t="s">
        <v>195</v>
      </c>
      <c r="D20073" s="2" t="s">
        <v>12194</v>
      </c>
      <c r="E20073" s="2" t="str">
        <f>"9783111209487"</f>
        <v>9783111209487</v>
      </c>
      <c r="F20073" s="2" t="str">
        <f>"9783111582665"</f>
        <v>9783111582665</v>
      </c>
    </row>
    <row r="20074" spans="1:6" s="3" customFormat="1" ht="29.1" customHeight="1" x14ac:dyDescent="0.25">
      <c r="A20074" s="2" t="s">
        <v>39417</v>
      </c>
      <c r="B20074" s="2" t="s">
        <v>39418</v>
      </c>
      <c r="C20074" s="2" t="s">
        <v>195</v>
      </c>
      <c r="D20074" s="2" t="s">
        <v>33</v>
      </c>
      <c r="E20074" s="2" t="str">
        <f>"9783110628722"</f>
        <v>9783110628722</v>
      </c>
      <c r="F20074" s="2" t="str">
        <f>"9783110628777"</f>
        <v>9783110628777</v>
      </c>
    </row>
    <row r="20075" spans="1:6" s="3" customFormat="1" ht="29.1" customHeight="1" x14ac:dyDescent="0.25">
      <c r="A20075" s="2" t="s">
        <v>39419</v>
      </c>
      <c r="B20075" s="2" t="s">
        <v>39420</v>
      </c>
      <c r="C20075" s="2" t="s">
        <v>195</v>
      </c>
      <c r="D20075" s="2" t="s">
        <v>13023</v>
      </c>
      <c r="E20075" s="2" t="str">
        <f>"9780939950966"</f>
        <v>9780939950966</v>
      </c>
      <c r="F20075" s="2" t="str">
        <f>"9781501502071"</f>
        <v>9781501502071</v>
      </c>
    </row>
    <row r="20076" spans="1:6" s="3" customFormat="1" ht="29.1" customHeight="1" x14ac:dyDescent="0.25">
      <c r="A20076" s="2" t="s">
        <v>39421</v>
      </c>
      <c r="B20076" s="2" t="s">
        <v>39422</v>
      </c>
      <c r="C20076" s="2" t="s">
        <v>195</v>
      </c>
      <c r="D20076" s="2" t="s">
        <v>221</v>
      </c>
      <c r="E20076" s="2" t="str">
        <f>"9783110628708"</f>
        <v>9783110628708</v>
      </c>
      <c r="F20076" s="2" t="str">
        <f>"9783110628715"</f>
        <v>9783110628715</v>
      </c>
    </row>
    <row r="20077" spans="1:6" s="3" customFormat="1" ht="29.1" customHeight="1" x14ac:dyDescent="0.25">
      <c r="A20077" s="2" t="s">
        <v>39423</v>
      </c>
      <c r="B20077" s="2" t="s">
        <v>39424</v>
      </c>
      <c r="C20077" s="2" t="s">
        <v>195</v>
      </c>
      <c r="D20077" s="2" t="s">
        <v>462</v>
      </c>
      <c r="E20077" s="2" t="str">
        <f>"9783111216348"</f>
        <v>9783111216348</v>
      </c>
      <c r="F20077" s="2" t="str">
        <f>"9783111719962"</f>
        <v>9783111719962</v>
      </c>
    </row>
    <row r="20078" spans="1:6" s="3" customFormat="1" ht="29.1" customHeight="1" x14ac:dyDescent="0.25">
      <c r="A20078" s="2" t="s">
        <v>39425</v>
      </c>
      <c r="B20078" s="2" t="s">
        <v>39426</v>
      </c>
      <c r="C20078" s="2" t="s">
        <v>195</v>
      </c>
      <c r="D20078" s="2" t="s">
        <v>210</v>
      </c>
      <c r="E20078" s="2" t="str">
        <f>"9783110647341"</f>
        <v>9783110647341</v>
      </c>
      <c r="F20078" s="2" t="str">
        <f>"9783110647860"</f>
        <v>9783110647860</v>
      </c>
    </row>
    <row r="20079" spans="1:6" s="3" customFormat="1" ht="29.1" customHeight="1" x14ac:dyDescent="0.25">
      <c r="A20079" s="2" t="s">
        <v>39427</v>
      </c>
      <c r="B20079" s="2" t="s">
        <v>39428</v>
      </c>
      <c r="C20079" s="2" t="s">
        <v>195</v>
      </c>
      <c r="D20079" s="2" t="s">
        <v>459</v>
      </c>
      <c r="E20079" s="2" t="str">
        <f>"9783110474985"</f>
        <v>9783110474985</v>
      </c>
      <c r="F20079" s="2" t="str">
        <f>"9783110475036"</f>
        <v>9783110475036</v>
      </c>
    </row>
    <row r="20080" spans="1:6" s="3" customFormat="1" ht="29.1" customHeight="1" x14ac:dyDescent="0.25">
      <c r="A20080" s="2" t="s">
        <v>39429</v>
      </c>
      <c r="B20080" s="2" t="s">
        <v>39430</v>
      </c>
      <c r="C20080" s="2" t="s">
        <v>195</v>
      </c>
      <c r="D20080" s="2" t="s">
        <v>3166</v>
      </c>
      <c r="E20080" s="2" t="str">
        <f>"9783110615913"</f>
        <v>9783110615913</v>
      </c>
      <c r="F20080" s="2" t="str">
        <f>"9783110615937"</f>
        <v>9783110615937</v>
      </c>
    </row>
    <row r="20081" spans="1:6" s="3" customFormat="1" ht="29.1" customHeight="1" x14ac:dyDescent="0.25">
      <c r="A20081" s="2" t="s">
        <v>39431</v>
      </c>
      <c r="B20081" s="2" t="s">
        <v>39432</v>
      </c>
      <c r="C20081" s="2" t="s">
        <v>195</v>
      </c>
      <c r="D20081" s="2" t="s">
        <v>210</v>
      </c>
      <c r="E20081" s="2" t="str">
        <f>"9783110655940"</f>
        <v>9783110655940</v>
      </c>
      <c r="F20081" s="2" t="str">
        <f>"9783110655971"</f>
        <v>9783110655971</v>
      </c>
    </row>
    <row r="20082" spans="1:6" s="3" customFormat="1" ht="29.1" customHeight="1" x14ac:dyDescent="0.25">
      <c r="A20082" s="2" t="s">
        <v>39433</v>
      </c>
      <c r="B20082" s="2" t="s">
        <v>64</v>
      </c>
      <c r="C20082" s="2" t="s">
        <v>195</v>
      </c>
      <c r="D20082" s="2" t="s">
        <v>2551</v>
      </c>
      <c r="E20082" s="2" t="str">
        <f>"9783110709599"</f>
        <v>9783110709599</v>
      </c>
      <c r="F20082" s="2" t="str">
        <f>"9783110709872"</f>
        <v>9783110709872</v>
      </c>
    </row>
    <row r="20083" spans="1:6" s="3" customFormat="1" ht="29.1" customHeight="1" x14ac:dyDescent="0.25">
      <c r="A20083" s="2" t="s">
        <v>39434</v>
      </c>
      <c r="B20083" s="2" t="s">
        <v>39436</v>
      </c>
      <c r="C20083" s="2" t="s">
        <v>195</v>
      </c>
      <c r="D20083" s="2" t="s">
        <v>39435</v>
      </c>
      <c r="E20083" s="2" t="str">
        <f>"9783110660555"</f>
        <v>9783110660555</v>
      </c>
      <c r="F20083" s="2" t="str">
        <f>"9783110660548"</f>
        <v>9783110660548</v>
      </c>
    </row>
    <row r="20084" spans="1:6" s="3" customFormat="1" ht="29.1" customHeight="1" x14ac:dyDescent="0.25">
      <c r="A20084" s="2" t="s">
        <v>39437</v>
      </c>
      <c r="B20084" s="2" t="s">
        <v>39438</v>
      </c>
      <c r="C20084" s="2" t="s">
        <v>195</v>
      </c>
      <c r="D20084" s="2" t="s">
        <v>196</v>
      </c>
      <c r="E20084" s="2" t="str">
        <f>"9783484312166"</f>
        <v>9783484312166</v>
      </c>
      <c r="F20084" s="2" t="str">
        <f>"9783110920017"</f>
        <v>9783110920017</v>
      </c>
    </row>
    <row r="20085" spans="1:6" s="3" customFormat="1" ht="29.1" customHeight="1" x14ac:dyDescent="0.25">
      <c r="A20085" s="2" t="s">
        <v>39439</v>
      </c>
      <c r="B20085" s="2" t="s">
        <v>39440</v>
      </c>
      <c r="C20085" s="2" t="s">
        <v>195</v>
      </c>
      <c r="D20085" s="2" t="s">
        <v>334</v>
      </c>
      <c r="E20085" s="2" t="str">
        <f>"9783484310827"</f>
        <v>9783484310827</v>
      </c>
      <c r="F20085" s="2" t="str">
        <f>"9783110920659"</f>
        <v>9783110920659</v>
      </c>
    </row>
    <row r="20086" spans="1:6" s="3" customFormat="1" ht="29.1" customHeight="1" x14ac:dyDescent="0.25">
      <c r="A20086" s="2" t="s">
        <v>39441</v>
      </c>
      <c r="B20086" s="2" t="s">
        <v>39442</v>
      </c>
      <c r="C20086" s="2" t="s">
        <v>195</v>
      </c>
      <c r="D20086" s="2" t="s">
        <v>465</v>
      </c>
      <c r="E20086" s="2" t="str">
        <f>"9783110691474"</f>
        <v>9783110691474</v>
      </c>
      <c r="F20086" s="2" t="str">
        <f>"9783110691504"</f>
        <v>9783110691504</v>
      </c>
    </row>
    <row r="20087" spans="1:6" s="3" customFormat="1" ht="29.1" customHeight="1" x14ac:dyDescent="0.25">
      <c r="A20087" s="2" t="s">
        <v>39443</v>
      </c>
      <c r="B20087" s="2" t="s">
        <v>39444</v>
      </c>
      <c r="C20087" s="2" t="s">
        <v>195</v>
      </c>
      <c r="D20087" s="2" t="s">
        <v>459</v>
      </c>
      <c r="E20087" s="2" t="str">
        <f>"9783110586381"</f>
        <v>9783110586381</v>
      </c>
      <c r="F20087" s="2" t="str">
        <f>"9783110586459"</f>
        <v>9783110586459</v>
      </c>
    </row>
    <row r="20088" spans="1:6" s="3" customFormat="1" ht="29.1" customHeight="1" x14ac:dyDescent="0.25">
      <c r="A20088" s="2" t="s">
        <v>39445</v>
      </c>
      <c r="B20088" s="2" t="s">
        <v>39446</v>
      </c>
      <c r="C20088" s="2" t="s">
        <v>195</v>
      </c>
      <c r="D20088" s="2" t="s">
        <v>5649</v>
      </c>
      <c r="E20088" s="2" t="str">
        <f>"9783110632422"</f>
        <v>9783110632422</v>
      </c>
      <c r="F20088" s="2" t="str">
        <f>"9783110632446"</f>
        <v>9783110632446</v>
      </c>
    </row>
    <row r="20089" spans="1:6" s="3" customFormat="1" ht="29.1" customHeight="1" x14ac:dyDescent="0.25">
      <c r="A20089" s="2" t="s">
        <v>39447</v>
      </c>
      <c r="B20089" s="2" t="s">
        <v>39448</v>
      </c>
      <c r="C20089" s="2" t="s">
        <v>195</v>
      </c>
      <c r="D20089" s="2" t="s">
        <v>150</v>
      </c>
      <c r="E20089" s="2" t="str">
        <f>"9783110644722"</f>
        <v>9783110644722</v>
      </c>
      <c r="F20089" s="2" t="str">
        <f>"9783110646641"</f>
        <v>9783110646641</v>
      </c>
    </row>
    <row r="20090" spans="1:6" s="3" customFormat="1" ht="29.1" customHeight="1" x14ac:dyDescent="0.25">
      <c r="A20090" s="2" t="s">
        <v>39449</v>
      </c>
      <c r="B20090" s="2" t="s">
        <v>39450</v>
      </c>
      <c r="C20090" s="2" t="s">
        <v>195</v>
      </c>
      <c r="D20090" s="2" t="s">
        <v>459</v>
      </c>
      <c r="E20090" s="2" t="str">
        <f>"9783110496598"</f>
        <v>9783110496598</v>
      </c>
      <c r="F20090" s="2" t="str">
        <f>"9783110495331"</f>
        <v>9783110495331</v>
      </c>
    </row>
    <row r="20091" spans="1:6" s="3" customFormat="1" ht="29.1" customHeight="1" x14ac:dyDescent="0.25">
      <c r="A20091" s="2" t="s">
        <v>39451</v>
      </c>
      <c r="B20091" s="2" t="s">
        <v>39452</v>
      </c>
      <c r="C20091" s="2" t="s">
        <v>195</v>
      </c>
      <c r="D20091" s="2" t="s">
        <v>459</v>
      </c>
      <c r="E20091" s="2" t="str">
        <f>"9783110149838"</f>
        <v>9783110149838</v>
      </c>
      <c r="F20091" s="2" t="str">
        <f>"9783110622522"</f>
        <v>9783110622522</v>
      </c>
    </row>
    <row r="20092" spans="1:6" s="3" customFormat="1" ht="29.1" customHeight="1" x14ac:dyDescent="0.25">
      <c r="A20092" s="2" t="s">
        <v>39453</v>
      </c>
      <c r="B20092" s="2" t="s">
        <v>39454</v>
      </c>
      <c r="C20092" s="2" t="s">
        <v>195</v>
      </c>
      <c r="D20092" s="2" t="s">
        <v>413</v>
      </c>
      <c r="E20092" s="2" t="str">
        <f>"9783110416503"</f>
        <v>9783110416503</v>
      </c>
      <c r="F20092" s="2" t="str">
        <f>"9783110416794"</f>
        <v>9783110416794</v>
      </c>
    </row>
    <row r="20093" spans="1:6" s="3" customFormat="1" ht="29.1" customHeight="1" x14ac:dyDescent="0.25">
      <c r="A20093" s="2" t="s">
        <v>39455</v>
      </c>
      <c r="B20093" s="2" t="s">
        <v>39456</v>
      </c>
      <c r="C20093" s="2" t="s">
        <v>195</v>
      </c>
      <c r="D20093" s="2" t="s">
        <v>1999</v>
      </c>
      <c r="E20093" s="2" t="str">
        <f>"9783110615678"</f>
        <v>9783110615678</v>
      </c>
      <c r="F20093" s="2" t="str">
        <f>"9783110615692"</f>
        <v>9783110615692</v>
      </c>
    </row>
    <row r="20094" spans="1:6" s="3" customFormat="1" ht="29.1" customHeight="1" x14ac:dyDescent="0.25">
      <c r="A20094" s="2" t="s">
        <v>39457</v>
      </c>
      <c r="B20094" s="2" t="s">
        <v>39458</v>
      </c>
      <c r="C20094" s="2" t="s">
        <v>195</v>
      </c>
      <c r="D20094" s="2" t="s">
        <v>446</v>
      </c>
      <c r="E20094" s="2" t="str">
        <f>"9783110543230"</f>
        <v>9783110543230</v>
      </c>
      <c r="F20094" s="2" t="str">
        <f>"9783110546231"</f>
        <v>9783110546231</v>
      </c>
    </row>
    <row r="20095" spans="1:6" s="3" customFormat="1" ht="29.1" customHeight="1" x14ac:dyDescent="0.25">
      <c r="A20095" s="2" t="s">
        <v>39459</v>
      </c>
      <c r="B20095" s="2" t="s">
        <v>39460</v>
      </c>
      <c r="C20095" s="2" t="s">
        <v>195</v>
      </c>
      <c r="D20095" s="2" t="s">
        <v>7460</v>
      </c>
      <c r="E20095" s="2" t="str">
        <f>"9783110494709"</f>
        <v>9783110494709</v>
      </c>
      <c r="F20095" s="2" t="str">
        <f>"9783110491852"</f>
        <v>9783110491852</v>
      </c>
    </row>
    <row r="20096" spans="1:6" s="3" customFormat="1" ht="29.1" customHeight="1" x14ac:dyDescent="0.25">
      <c r="A20096" s="2" t="s">
        <v>39461</v>
      </c>
      <c r="B20096" s="2" t="s">
        <v>39462</v>
      </c>
      <c r="C20096" s="2" t="s">
        <v>195</v>
      </c>
      <c r="D20096" s="2" t="s">
        <v>462</v>
      </c>
      <c r="E20096" s="2" t="str">
        <f>"9783110722697"</f>
        <v>9783110722697</v>
      </c>
      <c r="F20096" s="2" t="str">
        <f>"9783110722758"</f>
        <v>9783110722758</v>
      </c>
    </row>
    <row r="20097" spans="1:6" s="3" customFormat="1" ht="29.1" customHeight="1" x14ac:dyDescent="0.25">
      <c r="A20097" s="2" t="s">
        <v>39463</v>
      </c>
      <c r="B20097" s="2" t="s">
        <v>30331</v>
      </c>
      <c r="C20097" s="2" t="s">
        <v>195</v>
      </c>
      <c r="D20097" s="2" t="s">
        <v>33</v>
      </c>
      <c r="E20097" s="2" t="str">
        <f>"9783110623314"</f>
        <v>9783110623314</v>
      </c>
      <c r="F20097" s="2" t="str">
        <f>"9783110623482"</f>
        <v>9783110623482</v>
      </c>
    </row>
    <row r="20098" spans="1:6" s="3" customFormat="1" ht="29.1" customHeight="1" x14ac:dyDescent="0.25">
      <c r="A20098" s="2" t="s">
        <v>39464</v>
      </c>
      <c r="B20098" s="2" t="s">
        <v>39465</v>
      </c>
      <c r="C20098" s="2" t="s">
        <v>195</v>
      </c>
      <c r="D20098" s="2" t="s">
        <v>1183</v>
      </c>
      <c r="E20098" s="2" t="str">
        <f>"9783110705522"</f>
        <v>9783110705522</v>
      </c>
      <c r="F20098" s="2" t="str">
        <f>"9783110705621"</f>
        <v>9783110705621</v>
      </c>
    </row>
    <row r="20099" spans="1:6" s="3" customFormat="1" ht="29.1" customHeight="1" x14ac:dyDescent="0.25">
      <c r="A20099" s="2" t="s">
        <v>39466</v>
      </c>
      <c r="B20099" s="2" t="s">
        <v>39467</v>
      </c>
      <c r="C20099" s="2" t="s">
        <v>195</v>
      </c>
      <c r="D20099" s="2" t="s">
        <v>118</v>
      </c>
      <c r="E20099" s="2" t="str">
        <f>"9783110715064"</f>
        <v>9783110715064</v>
      </c>
      <c r="F20099" s="2" t="str">
        <f>"9783110716313"</f>
        <v>9783110716313</v>
      </c>
    </row>
    <row r="20100" spans="1:6" s="3" customFormat="1" ht="29.1" customHeight="1" x14ac:dyDescent="0.25">
      <c r="A20100" s="2" t="s">
        <v>39468</v>
      </c>
      <c r="B20100" s="2" t="s">
        <v>39469</v>
      </c>
      <c r="C20100" s="2" t="s">
        <v>195</v>
      </c>
      <c r="D20100" s="2" t="s">
        <v>4522</v>
      </c>
      <c r="E20100" s="2" t="str">
        <f>"9783110623956"</f>
        <v>9783110623956</v>
      </c>
      <c r="F20100" s="2" t="str">
        <f>"9783110624335"</f>
        <v>9783110624335</v>
      </c>
    </row>
    <row r="20101" spans="1:6" s="3" customFormat="1" ht="29.1" customHeight="1" x14ac:dyDescent="0.25">
      <c r="A20101" s="2" t="s">
        <v>39470</v>
      </c>
      <c r="B20101" s="2" t="s">
        <v>39471</v>
      </c>
      <c r="C20101" s="2" t="s">
        <v>195</v>
      </c>
      <c r="D20101" s="2" t="s">
        <v>1183</v>
      </c>
      <c r="E20101" s="2" t="str">
        <f>"9783486559439"</f>
        <v>9783486559439</v>
      </c>
      <c r="F20101" s="2" t="str">
        <f>"9783110446609"</f>
        <v>9783110446609</v>
      </c>
    </row>
    <row r="20102" spans="1:6" s="3" customFormat="1" ht="29.1" customHeight="1" x14ac:dyDescent="0.25">
      <c r="A20102" s="2" t="s">
        <v>39472</v>
      </c>
      <c r="B20102" s="2" t="s">
        <v>39473</v>
      </c>
      <c r="C20102" s="2" t="s">
        <v>195</v>
      </c>
      <c r="D20102" s="2" t="s">
        <v>210</v>
      </c>
      <c r="E20102" s="2" t="str">
        <f>"9783050064208"</f>
        <v>9783050064208</v>
      </c>
      <c r="F20102" s="2" t="str">
        <f>"9783110700145"</f>
        <v>9783110700145</v>
      </c>
    </row>
    <row r="20103" spans="1:6" s="3" customFormat="1" ht="29.1" customHeight="1" x14ac:dyDescent="0.25">
      <c r="A20103" s="2" t="s">
        <v>39474</v>
      </c>
      <c r="B20103" s="2" t="s">
        <v>39475</v>
      </c>
      <c r="C20103" s="2" t="s">
        <v>195</v>
      </c>
      <c r="D20103" s="2" t="s">
        <v>509</v>
      </c>
      <c r="E20103" s="2" t="str">
        <f>"9783110461145"</f>
        <v>9783110461145</v>
      </c>
      <c r="F20103" s="2" t="str">
        <f>"9783110461299"</f>
        <v>9783110461299</v>
      </c>
    </row>
    <row r="20104" spans="1:6" s="3" customFormat="1" ht="29.1" customHeight="1" x14ac:dyDescent="0.25">
      <c r="A20104" s="2" t="s">
        <v>39476</v>
      </c>
      <c r="B20104" s="2" t="s">
        <v>39477</v>
      </c>
      <c r="C20104" s="2" t="s">
        <v>195</v>
      </c>
      <c r="D20104" s="2" t="s">
        <v>1669</v>
      </c>
      <c r="E20104" s="2" t="str">
        <f>"9783111191539"</f>
        <v>9783111191539</v>
      </c>
      <c r="F20104" s="2" t="str">
        <f>"9783111562575"</f>
        <v>9783111562575</v>
      </c>
    </row>
    <row r="20105" spans="1:6" s="3" customFormat="1" ht="29.1" customHeight="1" x14ac:dyDescent="0.25">
      <c r="A20105" s="2" t="s">
        <v>39478</v>
      </c>
      <c r="B20105" s="2" t="s">
        <v>39479</v>
      </c>
      <c r="C20105" s="2" t="s">
        <v>195</v>
      </c>
      <c r="D20105" s="2" t="s">
        <v>1419</v>
      </c>
      <c r="E20105" s="2" t="str">
        <f>"9783110487343"</f>
        <v>9783110487343</v>
      </c>
      <c r="F20105" s="2" t="str">
        <f>"9783110489798"</f>
        <v>9783110489798</v>
      </c>
    </row>
    <row r="20106" spans="1:6" s="3" customFormat="1" ht="29.1" customHeight="1" x14ac:dyDescent="0.25">
      <c r="A20106" s="2" t="s">
        <v>39480</v>
      </c>
      <c r="B20106" s="2" t="s">
        <v>39481</v>
      </c>
      <c r="C20106" s="2" t="s">
        <v>195</v>
      </c>
      <c r="D20106" s="2" t="s">
        <v>1109</v>
      </c>
      <c r="E20106" s="2" t="str">
        <f>"9783110677409"</f>
        <v>9783110677409</v>
      </c>
      <c r="F20106" s="2" t="str">
        <f>"9783110677485"</f>
        <v>9783110677485</v>
      </c>
    </row>
    <row r="20107" spans="1:6" s="3" customFormat="1" ht="29.1" customHeight="1" x14ac:dyDescent="0.25">
      <c r="A20107" s="2" t="s">
        <v>39482</v>
      </c>
      <c r="B20107" s="2" t="s">
        <v>39483</v>
      </c>
      <c r="C20107" s="2" t="s">
        <v>195</v>
      </c>
      <c r="D20107" s="2" t="s">
        <v>317</v>
      </c>
      <c r="E20107" s="2" t="str">
        <f>"9783110589962"</f>
        <v>9783110589962</v>
      </c>
      <c r="F20107" s="2" t="str">
        <f>"9783110590111"</f>
        <v>9783110590111</v>
      </c>
    </row>
    <row r="20108" spans="1:6" s="3" customFormat="1" ht="29.1" customHeight="1" x14ac:dyDescent="0.25">
      <c r="A20108" s="2" t="s">
        <v>39484</v>
      </c>
      <c r="B20108" s="2" t="s">
        <v>35793</v>
      </c>
      <c r="C20108" s="2" t="s">
        <v>195</v>
      </c>
      <c r="D20108" s="2" t="s">
        <v>436</v>
      </c>
      <c r="E20108" s="2" t="str">
        <f>"9783110582420"</f>
        <v>9783110582420</v>
      </c>
      <c r="F20108" s="2" t="str">
        <f>"9783110671773"</f>
        <v>9783110671773</v>
      </c>
    </row>
    <row r="20109" spans="1:6" s="3" customFormat="1" ht="29.1" customHeight="1" x14ac:dyDescent="0.25">
      <c r="A20109" s="2" t="s">
        <v>39485</v>
      </c>
      <c r="B20109" s="2" t="s">
        <v>39486</v>
      </c>
      <c r="C20109" s="2" t="s">
        <v>195</v>
      </c>
      <c r="D20109" s="2" t="s">
        <v>4522</v>
      </c>
      <c r="E20109" s="2" t="str">
        <f>"9783110575613"</f>
        <v>9783110575613</v>
      </c>
      <c r="F20109" s="2" t="str">
        <f>"9783110576191"</f>
        <v>9783110576191</v>
      </c>
    </row>
    <row r="20110" spans="1:6" s="3" customFormat="1" ht="29.1" customHeight="1" x14ac:dyDescent="0.25">
      <c r="A20110" s="2" t="s">
        <v>39487</v>
      </c>
      <c r="B20110" s="2" t="s">
        <v>39488</v>
      </c>
      <c r="C20110" s="2" t="s">
        <v>195</v>
      </c>
      <c r="D20110" s="2" t="s">
        <v>6440</v>
      </c>
      <c r="E20110" s="2" t="str">
        <f>"9783110637304"</f>
        <v>9783110637304</v>
      </c>
      <c r="F20110" s="2" t="str">
        <f>"9783110638257"</f>
        <v>9783110638257</v>
      </c>
    </row>
    <row r="20111" spans="1:6" s="3" customFormat="1" ht="29.1" customHeight="1" x14ac:dyDescent="0.25">
      <c r="A20111" s="2" t="s">
        <v>39489</v>
      </c>
      <c r="B20111" s="2" t="s">
        <v>39490</v>
      </c>
      <c r="C20111" s="2" t="s">
        <v>195</v>
      </c>
      <c r="D20111" s="2" t="s">
        <v>202</v>
      </c>
      <c r="E20111" s="2" t="str">
        <f>"9783110486919"</f>
        <v>9783110486919</v>
      </c>
      <c r="F20111" s="2" t="str">
        <f>"9783110519662"</f>
        <v>9783110519662</v>
      </c>
    </row>
    <row r="20112" spans="1:6" s="3" customFormat="1" ht="29.1" customHeight="1" x14ac:dyDescent="0.25">
      <c r="A20112" s="2" t="s">
        <v>39491</v>
      </c>
      <c r="B20112" s="2" t="s">
        <v>39492</v>
      </c>
      <c r="C20112" s="2" t="s">
        <v>195</v>
      </c>
      <c r="D20112" s="2" t="s">
        <v>118</v>
      </c>
      <c r="E20112" s="2" t="str">
        <f>"9783110620306"</f>
        <v>9783110620306</v>
      </c>
      <c r="F20112" s="2" t="str">
        <f>"9783110621365"</f>
        <v>9783110621365</v>
      </c>
    </row>
    <row r="20113" spans="1:6" s="3" customFormat="1" ht="29.1" customHeight="1" x14ac:dyDescent="0.25">
      <c r="A20113" s="2" t="s">
        <v>39493</v>
      </c>
      <c r="B20113" s="2" t="s">
        <v>39494</v>
      </c>
      <c r="C20113" s="2" t="s">
        <v>195</v>
      </c>
      <c r="D20113" s="2" t="s">
        <v>118</v>
      </c>
      <c r="E20113" s="2" t="str">
        <f>"9783110652529"</f>
        <v>9783110652529</v>
      </c>
      <c r="F20113" s="2" t="str">
        <f>"9783110652543"</f>
        <v>9783110652543</v>
      </c>
    </row>
    <row r="20114" spans="1:6" s="3" customFormat="1" ht="29.1" customHeight="1" x14ac:dyDescent="0.25">
      <c r="A20114" s="2" t="s">
        <v>39495</v>
      </c>
      <c r="B20114" s="2" t="s">
        <v>39496</v>
      </c>
      <c r="C20114" s="2" t="s">
        <v>195</v>
      </c>
      <c r="D20114" s="2" t="s">
        <v>436</v>
      </c>
      <c r="E20114" s="2" t="str">
        <f>"9783110709452"</f>
        <v>9783110709452</v>
      </c>
      <c r="F20114" s="2" t="str">
        <f>"9783110709834"</f>
        <v>9783110709834</v>
      </c>
    </row>
    <row r="20115" spans="1:6" s="3" customFormat="1" ht="29.1" customHeight="1" x14ac:dyDescent="0.25">
      <c r="A20115" s="2" t="s">
        <v>39497</v>
      </c>
      <c r="B20115" s="2" t="s">
        <v>39498</v>
      </c>
      <c r="C20115" s="2" t="s">
        <v>195</v>
      </c>
      <c r="D20115" s="2" t="s">
        <v>273</v>
      </c>
      <c r="E20115" s="2" t="str">
        <f>"9783110604887"</f>
        <v>9783110604887</v>
      </c>
      <c r="F20115" s="2" t="str">
        <f>"9783110609608"</f>
        <v>9783110609608</v>
      </c>
    </row>
    <row r="20116" spans="1:6" s="3" customFormat="1" ht="29.1" customHeight="1" x14ac:dyDescent="0.25">
      <c r="A20116" s="2" t="s">
        <v>39499</v>
      </c>
      <c r="B20116" s="2" t="s">
        <v>39500</v>
      </c>
      <c r="C20116" s="2" t="s">
        <v>195</v>
      </c>
      <c r="D20116" s="2" t="s">
        <v>183</v>
      </c>
      <c r="E20116" s="2" t="str">
        <f>"9789027977533"</f>
        <v>9789027977533</v>
      </c>
      <c r="F20116" s="2" t="str">
        <f>"9783110828368"</f>
        <v>9783110828368</v>
      </c>
    </row>
    <row r="20117" spans="1:6" s="3" customFormat="1" ht="29.1" customHeight="1" x14ac:dyDescent="0.25">
      <c r="A20117" s="2" t="s">
        <v>39501</v>
      </c>
      <c r="B20117" s="2" t="s">
        <v>39502</v>
      </c>
      <c r="C20117" s="2" t="s">
        <v>195</v>
      </c>
      <c r="D20117" s="2" t="s">
        <v>3105</v>
      </c>
      <c r="E20117" s="2" t="str">
        <f>"9783110726831"</f>
        <v>9783110726831</v>
      </c>
      <c r="F20117" s="2" t="str">
        <f>"9783110726268"</f>
        <v>9783110726268</v>
      </c>
    </row>
    <row r="20118" spans="1:6" s="3" customFormat="1" ht="29.1" customHeight="1" x14ac:dyDescent="0.25">
      <c r="A20118" s="2" t="s">
        <v>39503</v>
      </c>
      <c r="B20118" s="2" t="s">
        <v>39504</v>
      </c>
      <c r="C20118" s="2" t="s">
        <v>195</v>
      </c>
      <c r="D20118" s="2" t="s">
        <v>210</v>
      </c>
      <c r="E20118" s="2" t="str">
        <f>"9783486563955"</f>
        <v>9783486563955</v>
      </c>
      <c r="F20118" s="2" t="str">
        <f>"9783486594423"</f>
        <v>9783486594423</v>
      </c>
    </row>
    <row r="20119" spans="1:6" s="3" customFormat="1" ht="29.1" customHeight="1" x14ac:dyDescent="0.25">
      <c r="A20119" s="2" t="s">
        <v>39505</v>
      </c>
      <c r="B20119" s="2" t="s">
        <v>39506</v>
      </c>
      <c r="C20119" s="2" t="s">
        <v>195</v>
      </c>
      <c r="D20119" s="2" t="s">
        <v>52</v>
      </c>
      <c r="E20119" s="2" t="str">
        <f>"9783110558838"</f>
        <v>9783110558838</v>
      </c>
      <c r="F20119" s="2" t="str">
        <f>"9783110558975"</f>
        <v>9783110558975</v>
      </c>
    </row>
    <row r="20120" spans="1:6" s="3" customFormat="1" ht="29.1" customHeight="1" x14ac:dyDescent="0.25">
      <c r="A20120" s="2" t="s">
        <v>39507</v>
      </c>
      <c r="B20120" s="2" t="s">
        <v>39508</v>
      </c>
      <c r="C20120" s="2" t="s">
        <v>195</v>
      </c>
      <c r="D20120" s="2" t="s">
        <v>33</v>
      </c>
      <c r="E20120" s="2" t="str">
        <f>"9783110025491"</f>
        <v>9783110025491</v>
      </c>
      <c r="F20120" s="2" t="str">
        <f>"9783110826401"</f>
        <v>9783110826401</v>
      </c>
    </row>
    <row r="20121" spans="1:6" s="3" customFormat="1" ht="29.1" customHeight="1" x14ac:dyDescent="0.25">
      <c r="A20121" s="2" t="s">
        <v>39509</v>
      </c>
      <c r="B20121" s="2" t="s">
        <v>39510</v>
      </c>
      <c r="C20121" s="2" t="s">
        <v>195</v>
      </c>
      <c r="D20121" s="2" t="s">
        <v>4064</v>
      </c>
      <c r="E20121" s="2" t="str">
        <f>"9783110580013"</f>
        <v>9783110580013</v>
      </c>
      <c r="F20121" s="2" t="str">
        <f>"9783110580853"</f>
        <v>9783110580853</v>
      </c>
    </row>
    <row r="20122" spans="1:6" s="3" customFormat="1" ht="29.1" customHeight="1" x14ac:dyDescent="0.25">
      <c r="A20122" s="2" t="s">
        <v>39511</v>
      </c>
      <c r="B20122" s="2" t="s">
        <v>39512</v>
      </c>
      <c r="C20122" s="2" t="s">
        <v>195</v>
      </c>
      <c r="D20122" s="2" t="s">
        <v>682</v>
      </c>
      <c r="E20122" s="2" t="str">
        <f>"9783110680072"</f>
        <v>9783110680072</v>
      </c>
      <c r="F20122" s="2" t="str">
        <f>"9783110697841"</f>
        <v>9783110697841</v>
      </c>
    </row>
    <row r="20123" spans="1:6" s="3" customFormat="1" ht="29.1" customHeight="1" x14ac:dyDescent="0.25">
      <c r="A20123" s="2" t="s">
        <v>39513</v>
      </c>
      <c r="B20123" s="2" t="s">
        <v>39514</v>
      </c>
      <c r="C20123" s="2" t="s">
        <v>195</v>
      </c>
      <c r="D20123" s="2" t="s">
        <v>4160</v>
      </c>
      <c r="E20123" s="2" t="str">
        <f>"9783110669305"</f>
        <v>9783110669305</v>
      </c>
      <c r="F20123" s="2" t="str">
        <f>"9783110669367"</f>
        <v>9783110669367</v>
      </c>
    </row>
    <row r="20124" spans="1:6" s="3" customFormat="1" ht="29.1" customHeight="1" x14ac:dyDescent="0.25">
      <c r="A20124" s="2" t="s">
        <v>39515</v>
      </c>
      <c r="B20124" s="2" t="s">
        <v>39516</v>
      </c>
      <c r="C20124" s="2" t="s">
        <v>195</v>
      </c>
      <c r="D20124" s="2" t="s">
        <v>339</v>
      </c>
      <c r="E20124" s="2" t="str">
        <f>"9783111318332"</f>
        <v>9783111318332</v>
      </c>
      <c r="F20124" s="2" t="str">
        <f>"9783111707884"</f>
        <v>9783111707884</v>
      </c>
    </row>
    <row r="20125" spans="1:6" s="3" customFormat="1" ht="29.1" customHeight="1" x14ac:dyDescent="0.25">
      <c r="A20125" s="2" t="s">
        <v>39517</v>
      </c>
      <c r="B20125" s="2" t="s">
        <v>39518</v>
      </c>
      <c r="C20125" s="2" t="s">
        <v>195</v>
      </c>
      <c r="D20125" s="2" t="s">
        <v>446</v>
      </c>
      <c r="E20125" s="2" t="str">
        <f>"9783110618013"</f>
        <v>9783110618013</v>
      </c>
      <c r="F20125" s="2" t="str">
        <f>"9783110618235"</f>
        <v>9783110618235</v>
      </c>
    </row>
    <row r="20126" spans="1:6" s="3" customFormat="1" ht="29.1" customHeight="1" x14ac:dyDescent="0.25">
      <c r="A20126" s="2" t="s">
        <v>39519</v>
      </c>
      <c r="B20126" s="2" t="s">
        <v>39486</v>
      </c>
      <c r="C20126" s="2" t="s">
        <v>195</v>
      </c>
      <c r="D20126" s="2" t="s">
        <v>35993</v>
      </c>
      <c r="E20126" s="2" t="str">
        <f>"9783110500547"</f>
        <v>9783110500547</v>
      </c>
      <c r="F20126" s="2" t="str">
        <f>"9783110498875"</f>
        <v>9783110498875</v>
      </c>
    </row>
    <row r="20127" spans="1:6" s="3" customFormat="1" ht="29.1" customHeight="1" x14ac:dyDescent="0.25">
      <c r="A20127" s="2" t="s">
        <v>39520</v>
      </c>
      <c r="B20127" s="2" t="s">
        <v>39521</v>
      </c>
      <c r="C20127" s="2" t="s">
        <v>195</v>
      </c>
      <c r="D20127" s="2" t="s">
        <v>509</v>
      </c>
      <c r="E20127" s="2" t="str">
        <f>"9783110578447"</f>
        <v>9783110578447</v>
      </c>
      <c r="F20127" s="2" t="str">
        <f>"9783110579208"</f>
        <v>9783110579208</v>
      </c>
    </row>
    <row r="20128" spans="1:6" s="3" customFormat="1" ht="29.1" customHeight="1" x14ac:dyDescent="0.25">
      <c r="A20128" s="2" t="s">
        <v>39522</v>
      </c>
      <c r="B20128" s="2" t="s">
        <v>39523</v>
      </c>
      <c r="C20128" s="2" t="s">
        <v>195</v>
      </c>
      <c r="D20128" s="2" t="s">
        <v>459</v>
      </c>
      <c r="E20128" s="2" t="str">
        <f>"9783110536737"</f>
        <v>9783110536737</v>
      </c>
      <c r="F20128" s="2" t="str">
        <f>"9783110536843"</f>
        <v>9783110536843</v>
      </c>
    </row>
    <row r="20129" spans="1:6" s="3" customFormat="1" ht="29.1" customHeight="1" x14ac:dyDescent="0.25">
      <c r="A20129" s="2" t="s">
        <v>39524</v>
      </c>
      <c r="B20129" s="2" t="s">
        <v>39525</v>
      </c>
      <c r="C20129" s="2" t="s">
        <v>195</v>
      </c>
      <c r="D20129" s="2" t="s">
        <v>7766</v>
      </c>
      <c r="E20129" s="2" t="str">
        <f>"9783110641172"</f>
        <v>9783110641172</v>
      </c>
      <c r="F20129" s="2" t="str">
        <f>"9783110641271"</f>
        <v>9783110641271</v>
      </c>
    </row>
    <row r="20130" spans="1:6" s="3" customFormat="1" ht="29.1" customHeight="1" x14ac:dyDescent="0.25">
      <c r="A20130" s="2" t="s">
        <v>39526</v>
      </c>
      <c r="B20130" s="2" t="s">
        <v>39527</v>
      </c>
      <c r="C20130" s="2" t="s">
        <v>195</v>
      </c>
      <c r="D20130" s="2" t="s">
        <v>459</v>
      </c>
      <c r="E20130" s="2" t="str">
        <f>"9783110140064"</f>
        <v>9783110140064</v>
      </c>
      <c r="F20130" s="2" t="str">
        <f>"9783110622478"</f>
        <v>9783110622478</v>
      </c>
    </row>
    <row r="20131" spans="1:6" s="3" customFormat="1" ht="29.1" customHeight="1" x14ac:dyDescent="0.25">
      <c r="A20131" s="2" t="s">
        <v>38740</v>
      </c>
      <c r="B20131" s="2" t="s">
        <v>35817</v>
      </c>
      <c r="C20131" s="2" t="s">
        <v>195</v>
      </c>
      <c r="D20131" s="2" t="s">
        <v>118</v>
      </c>
      <c r="E20131" s="2" t="str">
        <f>"9783110684957"</f>
        <v>9783110684957</v>
      </c>
      <c r="F20131" s="2" t="str">
        <f>"9783110685008"</f>
        <v>9783110685008</v>
      </c>
    </row>
    <row r="20132" spans="1:6" s="3" customFormat="1" ht="29.1" customHeight="1" x14ac:dyDescent="0.25">
      <c r="A20132" s="2" t="s">
        <v>39528</v>
      </c>
      <c r="B20132" s="2" t="s">
        <v>39529</v>
      </c>
      <c r="C20132" s="2" t="s">
        <v>195</v>
      </c>
      <c r="D20132" s="2" t="s">
        <v>689</v>
      </c>
      <c r="E20132" s="2"/>
      <c r="F20132" s="2" t="str">
        <f>"9783110262445"</f>
        <v>9783110262445</v>
      </c>
    </row>
    <row r="20133" spans="1:6" s="3" customFormat="1" ht="29.1" customHeight="1" x14ac:dyDescent="0.25">
      <c r="A20133" s="2" t="s">
        <v>39530</v>
      </c>
      <c r="B20133" s="2" t="s">
        <v>39531</v>
      </c>
      <c r="C20133" s="2" t="s">
        <v>195</v>
      </c>
      <c r="D20133" s="2" t="s">
        <v>3105</v>
      </c>
      <c r="E20133" s="2" t="str">
        <f>"9783110562071"</f>
        <v>9783110562071</v>
      </c>
      <c r="F20133" s="2" t="str">
        <f>"9783110562088"</f>
        <v>9783110562088</v>
      </c>
    </row>
    <row r="20134" spans="1:6" s="3" customFormat="1" ht="29.1" customHeight="1" x14ac:dyDescent="0.25">
      <c r="A20134" s="2" t="s">
        <v>39532</v>
      </c>
      <c r="B20134" s="2" t="s">
        <v>39533</v>
      </c>
      <c r="C20134" s="2" t="s">
        <v>195</v>
      </c>
      <c r="D20134" s="2" t="s">
        <v>8388</v>
      </c>
      <c r="E20134" s="2" t="str">
        <f>"9783110639353"</f>
        <v>9783110639353</v>
      </c>
      <c r="F20134" s="2" t="str">
        <f>"9783110639445"</f>
        <v>9783110639445</v>
      </c>
    </row>
    <row r="20135" spans="1:6" s="3" customFormat="1" ht="29.1" customHeight="1" x14ac:dyDescent="0.25">
      <c r="A20135" s="2" t="s">
        <v>39534</v>
      </c>
      <c r="B20135" s="2" t="s">
        <v>39535</v>
      </c>
      <c r="C20135" s="2" t="s">
        <v>195</v>
      </c>
      <c r="D20135" s="2" t="s">
        <v>1956</v>
      </c>
      <c r="E20135" s="2" t="str">
        <f>"9783110684964"</f>
        <v>9783110684964</v>
      </c>
      <c r="F20135" s="2" t="str">
        <f>"9783110685015"</f>
        <v>9783110685015</v>
      </c>
    </row>
    <row r="20136" spans="1:6" s="3" customFormat="1" ht="29.1" customHeight="1" x14ac:dyDescent="0.25">
      <c r="A20136" s="2" t="s">
        <v>39536</v>
      </c>
      <c r="B20136" s="2" t="s">
        <v>39537</v>
      </c>
      <c r="C20136" s="2" t="s">
        <v>195</v>
      </c>
      <c r="D20136" s="2" t="s">
        <v>118</v>
      </c>
      <c r="E20136" s="2" t="str">
        <f>"9783110472202"</f>
        <v>9783110472202</v>
      </c>
      <c r="F20136" s="2" t="str">
        <f>"9783110474152"</f>
        <v>9783110474152</v>
      </c>
    </row>
    <row r="20137" spans="1:6" s="3" customFormat="1" ht="29.1" customHeight="1" x14ac:dyDescent="0.25">
      <c r="A20137" s="2" t="s">
        <v>39538</v>
      </c>
      <c r="B20137" s="2" t="s">
        <v>39539</v>
      </c>
      <c r="C20137" s="2" t="s">
        <v>195</v>
      </c>
      <c r="D20137" s="2" t="s">
        <v>1248</v>
      </c>
      <c r="E20137" s="2" t="str">
        <f>"9783110690262"</f>
        <v>9783110690262</v>
      </c>
      <c r="F20137" s="2" t="str">
        <f>"9783110701234"</f>
        <v>9783110701234</v>
      </c>
    </row>
    <row r="20138" spans="1:6" s="3" customFormat="1" ht="29.1" customHeight="1" x14ac:dyDescent="0.25">
      <c r="A20138" s="2" t="s">
        <v>39540</v>
      </c>
      <c r="B20138" s="2" t="s">
        <v>39541</v>
      </c>
      <c r="C20138" s="2" t="s">
        <v>195</v>
      </c>
      <c r="D20138" s="2" t="s">
        <v>107</v>
      </c>
      <c r="E20138" s="2" t="str">
        <f>"9783110711141"</f>
        <v>9783110711141</v>
      </c>
      <c r="F20138" s="2" t="str">
        <f>"9783110711356"</f>
        <v>9783110711356</v>
      </c>
    </row>
    <row r="20139" spans="1:6" s="3" customFormat="1" ht="29.1" customHeight="1" x14ac:dyDescent="0.25">
      <c r="A20139" s="2" t="s">
        <v>39542</v>
      </c>
      <c r="B20139" s="2" t="s">
        <v>4156</v>
      </c>
      <c r="C20139" s="2" t="s">
        <v>195</v>
      </c>
      <c r="D20139" s="2" t="s">
        <v>4522</v>
      </c>
      <c r="E20139" s="2" t="str">
        <f>"9783110487145"</f>
        <v>9783110487145</v>
      </c>
      <c r="F20139" s="2" t="str">
        <f>"9783110530797"</f>
        <v>9783110530797</v>
      </c>
    </row>
    <row r="20140" spans="1:6" s="3" customFormat="1" ht="29.1" customHeight="1" x14ac:dyDescent="0.25">
      <c r="A20140" s="2" t="s">
        <v>39543</v>
      </c>
      <c r="B20140" s="2" t="s">
        <v>39544</v>
      </c>
      <c r="C20140" s="2" t="s">
        <v>195</v>
      </c>
      <c r="D20140" s="2" t="s">
        <v>1956</v>
      </c>
      <c r="E20140" s="2" t="str">
        <f>"9783110712698"</f>
        <v>9783110712698</v>
      </c>
      <c r="F20140" s="2" t="str">
        <f>"9783110713305"</f>
        <v>9783110713305</v>
      </c>
    </row>
    <row r="20141" spans="1:6" s="3" customFormat="1" ht="29.1" customHeight="1" x14ac:dyDescent="0.25">
      <c r="A20141" s="2" t="s">
        <v>39545</v>
      </c>
      <c r="B20141" s="2" t="s">
        <v>39546</v>
      </c>
      <c r="C20141" s="2" t="s">
        <v>195</v>
      </c>
      <c r="D20141" s="2" t="s">
        <v>462</v>
      </c>
      <c r="E20141" s="2" t="str">
        <f>"9783110638363"</f>
        <v>9783110638363</v>
      </c>
      <c r="F20141" s="2" t="str">
        <f>"9783110642261"</f>
        <v>9783110642261</v>
      </c>
    </row>
    <row r="20142" spans="1:6" s="3" customFormat="1" ht="29.1" customHeight="1" x14ac:dyDescent="0.25">
      <c r="A20142" s="2" t="s">
        <v>39547</v>
      </c>
      <c r="B20142" s="2" t="s">
        <v>39548</v>
      </c>
      <c r="C20142" s="2" t="s">
        <v>195</v>
      </c>
      <c r="D20142" s="2" t="s">
        <v>3043</v>
      </c>
      <c r="E20142" s="2" t="str">
        <f>"9783110536386"</f>
        <v>9783110536386</v>
      </c>
      <c r="F20142" s="2" t="str">
        <f>"9783110536638"</f>
        <v>9783110536638</v>
      </c>
    </row>
    <row r="20143" spans="1:6" s="3" customFormat="1" ht="29.1" customHeight="1" x14ac:dyDescent="0.25">
      <c r="A20143" s="2" t="s">
        <v>39549</v>
      </c>
      <c r="B20143" s="2" t="s">
        <v>39550</v>
      </c>
      <c r="C20143" s="2" t="s">
        <v>195</v>
      </c>
      <c r="D20143" s="2" t="s">
        <v>462</v>
      </c>
      <c r="E20143" s="2" t="str">
        <f>"9783110618266"</f>
        <v>9783110618266</v>
      </c>
      <c r="F20143" s="2" t="str">
        <f>"9783110642681"</f>
        <v>9783110642681</v>
      </c>
    </row>
    <row r="20144" spans="1:6" s="3" customFormat="1" ht="29.1" customHeight="1" x14ac:dyDescent="0.25">
      <c r="A20144" s="2" t="s">
        <v>39551</v>
      </c>
      <c r="B20144" s="2" t="s">
        <v>39418</v>
      </c>
      <c r="C20144" s="2" t="s">
        <v>195</v>
      </c>
      <c r="D20144" s="2" t="s">
        <v>465</v>
      </c>
      <c r="E20144" s="2" t="str">
        <f>"9783110695748"</f>
        <v>9783110695748</v>
      </c>
      <c r="F20144" s="2" t="str">
        <f>"9783110695755"</f>
        <v>9783110695755</v>
      </c>
    </row>
    <row r="20145" spans="1:6" s="3" customFormat="1" ht="29.1" customHeight="1" x14ac:dyDescent="0.25">
      <c r="A20145" s="2" t="s">
        <v>39552</v>
      </c>
      <c r="B20145" s="2" t="s">
        <v>39553</v>
      </c>
      <c r="C20145" s="2" t="s">
        <v>195</v>
      </c>
      <c r="D20145" s="2" t="s">
        <v>12194</v>
      </c>
      <c r="E20145" s="2" t="str">
        <f>"9783111235684"</f>
        <v>9783111235684</v>
      </c>
      <c r="F20145" s="2" t="str">
        <f>"9783111611242"</f>
        <v>9783111611242</v>
      </c>
    </row>
    <row r="20146" spans="1:6" s="3" customFormat="1" ht="29.1" customHeight="1" x14ac:dyDescent="0.25">
      <c r="A20146" s="2" t="s">
        <v>39554</v>
      </c>
      <c r="B20146" s="2" t="s">
        <v>26760</v>
      </c>
      <c r="C20146" s="2" t="s">
        <v>195</v>
      </c>
      <c r="D20146" s="2" t="s">
        <v>1466</v>
      </c>
      <c r="E20146" s="2" t="str">
        <f>"9783110679281"</f>
        <v>9783110679281</v>
      </c>
      <c r="F20146" s="2" t="str">
        <f>"9783110679403"</f>
        <v>9783110679403</v>
      </c>
    </row>
    <row r="20147" spans="1:6" s="3" customFormat="1" ht="29.1" customHeight="1" x14ac:dyDescent="0.25">
      <c r="A20147" s="2" t="s">
        <v>39555</v>
      </c>
      <c r="B20147" s="2" t="s">
        <v>36699</v>
      </c>
      <c r="C20147" s="2" t="s">
        <v>195</v>
      </c>
      <c r="D20147" s="2" t="s">
        <v>5638</v>
      </c>
      <c r="E20147" s="2" t="str">
        <f>"9783110617658"</f>
        <v>9783110617658</v>
      </c>
      <c r="F20147" s="2" t="str">
        <f>"9783110620498"</f>
        <v>9783110620498</v>
      </c>
    </row>
    <row r="20148" spans="1:6" s="3" customFormat="1" ht="29.1" customHeight="1" x14ac:dyDescent="0.25">
      <c r="A20148" s="2" t="s">
        <v>39556</v>
      </c>
      <c r="B20148" s="2" t="s">
        <v>39557</v>
      </c>
      <c r="C20148" s="2" t="s">
        <v>195</v>
      </c>
      <c r="D20148" s="2" t="s">
        <v>196</v>
      </c>
      <c r="E20148" s="2" t="str">
        <f>"9783110639254"</f>
        <v>9783110639254</v>
      </c>
      <c r="F20148" s="2" t="str">
        <f>"9783110639544"</f>
        <v>9783110639544</v>
      </c>
    </row>
    <row r="20149" spans="1:6" s="3" customFormat="1" ht="29.1" customHeight="1" x14ac:dyDescent="0.25">
      <c r="A20149" s="2" t="s">
        <v>39558</v>
      </c>
      <c r="B20149" s="2" t="s">
        <v>39559</v>
      </c>
      <c r="C20149" s="2" t="s">
        <v>195</v>
      </c>
      <c r="D20149" s="2" t="s">
        <v>196</v>
      </c>
      <c r="E20149" s="2" t="str">
        <f>"9783110651652"</f>
        <v>9783110651652</v>
      </c>
      <c r="F20149" s="2" t="str">
        <f>"9783110651829"</f>
        <v>9783110651829</v>
      </c>
    </row>
    <row r="20150" spans="1:6" s="3" customFormat="1" ht="29.1" customHeight="1" x14ac:dyDescent="0.25">
      <c r="A20150" s="2" t="s">
        <v>39560</v>
      </c>
      <c r="B20150" s="2" t="s">
        <v>39561</v>
      </c>
      <c r="C20150" s="2" t="s">
        <v>195</v>
      </c>
      <c r="D20150" s="2" t="s">
        <v>297</v>
      </c>
      <c r="E20150" s="2" t="str">
        <f>"9783957580054"</f>
        <v>9783957580054</v>
      </c>
      <c r="F20150" s="2" t="str">
        <f>"9783110720280"</f>
        <v>9783110720280</v>
      </c>
    </row>
    <row r="20151" spans="1:6" s="3" customFormat="1" ht="29.1" customHeight="1" x14ac:dyDescent="0.25">
      <c r="A20151" s="2" t="s">
        <v>39562</v>
      </c>
      <c r="B20151" s="2" t="s">
        <v>39563</v>
      </c>
      <c r="C20151" s="2" t="s">
        <v>195</v>
      </c>
      <c r="D20151" s="2" t="s">
        <v>465</v>
      </c>
      <c r="E20151" s="2" t="str">
        <f>"9783110656251"</f>
        <v>9783110656251</v>
      </c>
      <c r="F20151" s="2" t="str">
        <f>"9783110656725"</f>
        <v>9783110656725</v>
      </c>
    </row>
    <row r="20152" spans="1:6" s="3" customFormat="1" ht="29.1" customHeight="1" x14ac:dyDescent="0.25">
      <c r="A20152" s="2" t="s">
        <v>39564</v>
      </c>
      <c r="B20152" s="2" t="s">
        <v>39565</v>
      </c>
      <c r="C20152" s="2" t="s">
        <v>195</v>
      </c>
      <c r="D20152" s="2" t="s">
        <v>162</v>
      </c>
      <c r="E20152" s="2" t="str">
        <f>"9783110677706"</f>
        <v>9783110677706</v>
      </c>
      <c r="F20152" s="2" t="str">
        <f>"9783110677713"</f>
        <v>9783110677713</v>
      </c>
    </row>
    <row r="20153" spans="1:6" s="3" customFormat="1" ht="29.1" customHeight="1" x14ac:dyDescent="0.25">
      <c r="A20153" s="2" t="s">
        <v>39566</v>
      </c>
      <c r="B20153" s="2" t="s">
        <v>39567</v>
      </c>
      <c r="C20153" s="2" t="s">
        <v>195</v>
      </c>
      <c r="D20153" s="2" t="s">
        <v>2943</v>
      </c>
      <c r="E20153" s="2" t="str">
        <f>"9783110708455"</f>
        <v>9783110708455</v>
      </c>
      <c r="F20153" s="2" t="str">
        <f>"9783110708479"</f>
        <v>9783110708479</v>
      </c>
    </row>
    <row r="20154" spans="1:6" s="3" customFormat="1" ht="29.1" customHeight="1" x14ac:dyDescent="0.25">
      <c r="A20154" s="2" t="s">
        <v>39568</v>
      </c>
      <c r="B20154" s="2" t="s">
        <v>39569</v>
      </c>
      <c r="C20154" s="2" t="s">
        <v>195</v>
      </c>
      <c r="D20154" s="2" t="s">
        <v>210</v>
      </c>
      <c r="E20154" s="2" t="str">
        <f>"9783486726213"</f>
        <v>9783486726213</v>
      </c>
      <c r="F20154" s="2" t="str">
        <f>"9783486726220"</f>
        <v>9783486726220</v>
      </c>
    </row>
    <row r="20155" spans="1:6" s="3" customFormat="1" ht="29.1" customHeight="1" x14ac:dyDescent="0.25">
      <c r="A20155" s="2" t="s">
        <v>39570</v>
      </c>
      <c r="B20155" s="2" t="s">
        <v>39041</v>
      </c>
      <c r="C20155" s="2" t="s">
        <v>195</v>
      </c>
      <c r="D20155" s="2" t="s">
        <v>462</v>
      </c>
      <c r="E20155" s="2" t="str">
        <f>"9783957580108"</f>
        <v>9783957580108</v>
      </c>
      <c r="F20155" s="2" t="str">
        <f>"9783110720136"</f>
        <v>9783110720136</v>
      </c>
    </row>
    <row r="20156" spans="1:6" s="3" customFormat="1" ht="29.1" customHeight="1" x14ac:dyDescent="0.25">
      <c r="A20156" s="2" t="s">
        <v>39571</v>
      </c>
      <c r="B20156" s="2" t="s">
        <v>39572</v>
      </c>
      <c r="C20156" s="2" t="s">
        <v>195</v>
      </c>
      <c r="D20156" s="2" t="s">
        <v>12194</v>
      </c>
      <c r="E20156" s="2" t="str">
        <f>"9783111098104"</f>
        <v>9783111098104</v>
      </c>
      <c r="F20156" s="2" t="str">
        <f>"9783111465012"</f>
        <v>9783111465012</v>
      </c>
    </row>
    <row r="20157" spans="1:6" s="3" customFormat="1" ht="29.1" customHeight="1" x14ac:dyDescent="0.25">
      <c r="A20157" s="2" t="s">
        <v>39573</v>
      </c>
      <c r="B20157" s="2" t="s">
        <v>39574</v>
      </c>
      <c r="C20157" s="2" t="s">
        <v>195</v>
      </c>
      <c r="D20157" s="2" t="s">
        <v>183</v>
      </c>
      <c r="E20157" s="2" t="str">
        <f>"9783486517712"</f>
        <v>9783486517712</v>
      </c>
      <c r="F20157" s="2" t="str">
        <f>"9783486823363"</f>
        <v>9783486823363</v>
      </c>
    </row>
    <row r="20158" spans="1:6" s="3" customFormat="1" ht="29.1" customHeight="1" x14ac:dyDescent="0.25">
      <c r="A20158" s="2" t="s">
        <v>39575</v>
      </c>
      <c r="B20158" s="2" t="s">
        <v>39576</v>
      </c>
      <c r="C20158" s="2" t="s">
        <v>195</v>
      </c>
      <c r="D20158" s="2" t="s">
        <v>7460</v>
      </c>
      <c r="E20158" s="2" t="str">
        <f>"9783110629132"</f>
        <v>9783110629132</v>
      </c>
      <c r="F20158" s="2" t="str">
        <f>"9783110629156"</f>
        <v>9783110629156</v>
      </c>
    </row>
    <row r="20159" spans="1:6" s="3" customFormat="1" ht="29.1" customHeight="1" x14ac:dyDescent="0.25">
      <c r="A20159" s="2" t="s">
        <v>39577</v>
      </c>
      <c r="B20159" s="2" t="s">
        <v>39578</v>
      </c>
      <c r="C20159" s="2" t="s">
        <v>195</v>
      </c>
      <c r="D20159" s="2" t="s">
        <v>9392</v>
      </c>
      <c r="E20159" s="2" t="str">
        <f>"9783111277110"</f>
        <v>9783111277110</v>
      </c>
      <c r="F20159" s="2" t="str">
        <f>"9783111661483"</f>
        <v>9783111661483</v>
      </c>
    </row>
    <row r="20160" spans="1:6" s="3" customFormat="1" ht="29.1" customHeight="1" x14ac:dyDescent="0.25">
      <c r="A20160" s="2" t="s">
        <v>39579</v>
      </c>
      <c r="B20160" s="2" t="s">
        <v>39580</v>
      </c>
      <c r="C20160" s="2" t="s">
        <v>195</v>
      </c>
      <c r="D20160" s="2" t="s">
        <v>33</v>
      </c>
      <c r="E20160" s="2" t="str">
        <f>"9789027934116"</f>
        <v>9789027934116</v>
      </c>
      <c r="F20160" s="2" t="str">
        <f>"9783110878592"</f>
        <v>9783110878592</v>
      </c>
    </row>
    <row r="20161" spans="1:6" s="3" customFormat="1" ht="29.1" customHeight="1" x14ac:dyDescent="0.25">
      <c r="A20161" s="2" t="s">
        <v>39581</v>
      </c>
      <c r="B20161" s="2" t="s">
        <v>39582</v>
      </c>
      <c r="C20161" s="2" t="s">
        <v>195</v>
      </c>
      <c r="D20161" s="2" t="s">
        <v>402</v>
      </c>
      <c r="E20161" s="2" t="str">
        <f>"9783111280967"</f>
        <v>9783111280967</v>
      </c>
      <c r="F20161" s="2" t="str">
        <f>"9783111717784"</f>
        <v>9783111717784</v>
      </c>
    </row>
    <row r="20162" spans="1:6" s="3" customFormat="1" ht="29.1" customHeight="1" x14ac:dyDescent="0.25">
      <c r="A20162" s="2" t="s">
        <v>39583</v>
      </c>
      <c r="B20162" s="2"/>
      <c r="C20162" s="2" t="s">
        <v>195</v>
      </c>
      <c r="D20162" s="2" t="s">
        <v>210</v>
      </c>
      <c r="E20162" s="2" t="str">
        <f>"9783111317410"</f>
        <v>9783111317410</v>
      </c>
      <c r="F20162" s="2" t="str">
        <f>"9783111706849"</f>
        <v>9783111706849</v>
      </c>
    </row>
    <row r="20163" spans="1:6" s="3" customFormat="1" ht="29.1" customHeight="1" x14ac:dyDescent="0.25">
      <c r="A20163" s="2" t="s">
        <v>39584</v>
      </c>
      <c r="B20163" s="2" t="s">
        <v>39585</v>
      </c>
      <c r="C20163" s="2" t="s">
        <v>195</v>
      </c>
      <c r="D20163" s="2" t="s">
        <v>49</v>
      </c>
      <c r="E20163" s="2" t="str">
        <f>"9781501514487"</f>
        <v>9781501514487</v>
      </c>
      <c r="F20163" s="2" t="str">
        <f>"9781501505294"</f>
        <v>9781501505294</v>
      </c>
    </row>
    <row r="20164" spans="1:6" s="3" customFormat="1" ht="29.1" customHeight="1" x14ac:dyDescent="0.25">
      <c r="A20164" s="2" t="s">
        <v>39586</v>
      </c>
      <c r="B20164" s="2" t="s">
        <v>39587</v>
      </c>
      <c r="C20164" s="2" t="s">
        <v>195</v>
      </c>
      <c r="D20164" s="2" t="s">
        <v>150</v>
      </c>
      <c r="E20164" s="2" t="str">
        <f>"9783110553161"</f>
        <v>9783110553161</v>
      </c>
      <c r="F20164" s="2" t="str">
        <f>"9783110556452"</f>
        <v>9783110556452</v>
      </c>
    </row>
    <row r="20165" spans="1:6" s="3" customFormat="1" ht="29.1" customHeight="1" x14ac:dyDescent="0.25">
      <c r="A20165" s="2" t="s">
        <v>39588</v>
      </c>
      <c r="B20165" s="2" t="s">
        <v>39589</v>
      </c>
      <c r="C20165" s="2" t="s">
        <v>195</v>
      </c>
      <c r="D20165" s="2" t="s">
        <v>431</v>
      </c>
      <c r="E20165" s="2" t="str">
        <f>"9783110653656"</f>
        <v>9783110653656</v>
      </c>
      <c r="F20165" s="2" t="str">
        <f>"9783110653755"</f>
        <v>9783110653755</v>
      </c>
    </row>
    <row r="20166" spans="1:6" s="3" customFormat="1" ht="29.1" customHeight="1" x14ac:dyDescent="0.25">
      <c r="A20166" s="2" t="s">
        <v>39590</v>
      </c>
      <c r="B20166" s="2" t="s">
        <v>39591</v>
      </c>
      <c r="C20166" s="2" t="s">
        <v>195</v>
      </c>
      <c r="D20166" s="2" t="s">
        <v>334</v>
      </c>
      <c r="E20166" s="2" t="str">
        <f>"9783943460872"</f>
        <v>9783943460872</v>
      </c>
      <c r="F20166" s="2" t="str">
        <f>"9783110720129"</f>
        <v>9783110720129</v>
      </c>
    </row>
    <row r="20167" spans="1:6" s="3" customFormat="1" ht="29.1" customHeight="1" x14ac:dyDescent="0.25">
      <c r="A20167" s="2" t="s">
        <v>39592</v>
      </c>
      <c r="B20167" s="2" t="s">
        <v>39593</v>
      </c>
      <c r="C20167" s="2" t="s">
        <v>195</v>
      </c>
      <c r="D20167" s="2" t="s">
        <v>509</v>
      </c>
      <c r="E20167" s="2" t="str">
        <f>"9783110654295"</f>
        <v>9783110654295</v>
      </c>
      <c r="F20167" s="2" t="str">
        <f>"9783110654424"</f>
        <v>9783110654424</v>
      </c>
    </row>
    <row r="20168" spans="1:6" s="3" customFormat="1" ht="29.1" customHeight="1" x14ac:dyDescent="0.25">
      <c r="A20168" s="2" t="s">
        <v>39594</v>
      </c>
      <c r="B20168" s="2" t="s">
        <v>29608</v>
      </c>
      <c r="C20168" s="2" t="s">
        <v>195</v>
      </c>
      <c r="D20168" s="2" t="s">
        <v>465</v>
      </c>
      <c r="E20168" s="2" t="str">
        <f>"9783110703337"</f>
        <v>9783110703337</v>
      </c>
      <c r="F20168" s="2" t="str">
        <f>"9783110703450"</f>
        <v>9783110703450</v>
      </c>
    </row>
    <row r="20169" spans="1:6" s="3" customFormat="1" ht="29.1" customHeight="1" x14ac:dyDescent="0.25">
      <c r="A20169" s="2" t="s">
        <v>39595</v>
      </c>
      <c r="B20169" s="2" t="s">
        <v>39596</v>
      </c>
      <c r="C20169" s="2" t="s">
        <v>195</v>
      </c>
      <c r="D20169" s="2" t="s">
        <v>150</v>
      </c>
      <c r="E20169" s="2" t="str">
        <f>"9783110674071"</f>
        <v>9783110674071</v>
      </c>
      <c r="F20169" s="2" t="str">
        <f>"9783110674088"</f>
        <v>9783110674088</v>
      </c>
    </row>
    <row r="20170" spans="1:6" s="3" customFormat="1" ht="29.1" customHeight="1" x14ac:dyDescent="0.25">
      <c r="A20170" s="2" t="s">
        <v>39597</v>
      </c>
      <c r="B20170" s="2" t="s">
        <v>39598</v>
      </c>
      <c r="C20170" s="2" t="s">
        <v>195</v>
      </c>
      <c r="D20170" s="2" t="s">
        <v>221</v>
      </c>
      <c r="E20170" s="2" t="str">
        <f>"9783110590654"</f>
        <v>9783110590654</v>
      </c>
      <c r="F20170" s="2" t="str">
        <f>"9783110590661"</f>
        <v>9783110590661</v>
      </c>
    </row>
    <row r="20171" spans="1:6" s="3" customFormat="1" ht="29.1" customHeight="1" x14ac:dyDescent="0.25">
      <c r="A20171" s="2" t="s">
        <v>39599</v>
      </c>
      <c r="B20171" s="2" t="s">
        <v>39060</v>
      </c>
      <c r="C20171" s="2" t="s">
        <v>195</v>
      </c>
      <c r="D20171" s="2" t="s">
        <v>459</v>
      </c>
      <c r="E20171" s="2" t="str">
        <f>"9783110171020"</f>
        <v>9783110171020</v>
      </c>
      <c r="F20171" s="2" t="str">
        <f>"9783110622669"</f>
        <v>9783110622669</v>
      </c>
    </row>
    <row r="20172" spans="1:6" s="3" customFormat="1" ht="29.1" customHeight="1" x14ac:dyDescent="0.25">
      <c r="A20172" s="2" t="s">
        <v>39600</v>
      </c>
      <c r="B20172" s="2" t="s">
        <v>39601</v>
      </c>
      <c r="C20172" s="2" t="s">
        <v>195</v>
      </c>
      <c r="D20172" s="2" t="s">
        <v>9600</v>
      </c>
      <c r="E20172" s="2" t="str">
        <f>"9781501515637"</f>
        <v>9781501515637</v>
      </c>
      <c r="F20172" s="2" t="str">
        <f>"9781501506970"</f>
        <v>9781501506970</v>
      </c>
    </row>
    <row r="20173" spans="1:6" s="3" customFormat="1" ht="29.1" customHeight="1" x14ac:dyDescent="0.25">
      <c r="A20173" s="2" t="s">
        <v>39602</v>
      </c>
      <c r="B20173" s="2" t="s">
        <v>39603</v>
      </c>
      <c r="C20173" s="2" t="s">
        <v>195</v>
      </c>
      <c r="D20173" s="2" t="s">
        <v>459</v>
      </c>
      <c r="E20173" s="2" t="str">
        <f>"9781501515705"</f>
        <v>9781501515705</v>
      </c>
      <c r="F20173" s="2" t="str">
        <f>"9781501511806"</f>
        <v>9781501511806</v>
      </c>
    </row>
    <row r="20174" spans="1:6" s="3" customFormat="1" ht="29.1" customHeight="1" x14ac:dyDescent="0.25">
      <c r="A20174" s="2" t="s">
        <v>39604</v>
      </c>
      <c r="B20174" s="2" t="s">
        <v>39605</v>
      </c>
      <c r="C20174" s="2" t="s">
        <v>195</v>
      </c>
      <c r="D20174" s="2" t="s">
        <v>459</v>
      </c>
      <c r="E20174" s="2" t="str">
        <f>"9783110666519"</f>
        <v>9783110666519</v>
      </c>
      <c r="F20174" s="2" t="str">
        <f>"9783110666588"</f>
        <v>9783110666588</v>
      </c>
    </row>
    <row r="20175" spans="1:6" s="3" customFormat="1" ht="29.1" customHeight="1" x14ac:dyDescent="0.25">
      <c r="A20175" s="2" t="s">
        <v>39606</v>
      </c>
      <c r="B20175" s="2" t="s">
        <v>39607</v>
      </c>
      <c r="C20175" s="2" t="s">
        <v>195</v>
      </c>
      <c r="D20175" s="2" t="s">
        <v>3130</v>
      </c>
      <c r="E20175" s="2" t="str">
        <f>"9783110676648"</f>
        <v>9783110676648</v>
      </c>
      <c r="F20175" s="2" t="str">
        <f>"9783110677065"</f>
        <v>9783110677065</v>
      </c>
    </row>
    <row r="20176" spans="1:6" s="3" customFormat="1" ht="29.1" customHeight="1" x14ac:dyDescent="0.25">
      <c r="A20176" s="2" t="s">
        <v>39608</v>
      </c>
      <c r="B20176" s="2" t="s">
        <v>39609</v>
      </c>
      <c r="C20176" s="2" t="s">
        <v>195</v>
      </c>
      <c r="D20176" s="2" t="s">
        <v>459</v>
      </c>
      <c r="E20176" s="2" t="str">
        <f>"9783110553277"</f>
        <v>9783110553277</v>
      </c>
      <c r="F20176" s="2" t="str">
        <f>"9783110553437"</f>
        <v>9783110553437</v>
      </c>
    </row>
    <row r="20177" spans="1:6" s="3" customFormat="1" ht="29.1" customHeight="1" x14ac:dyDescent="0.25">
      <c r="A20177" s="2" t="s">
        <v>39610</v>
      </c>
      <c r="B20177" s="2" t="s">
        <v>39611</v>
      </c>
      <c r="C20177" s="2" t="s">
        <v>195</v>
      </c>
      <c r="D20177" s="2" t="s">
        <v>459</v>
      </c>
      <c r="E20177" s="2" t="str">
        <f>"9783110548907"</f>
        <v>9783110548907</v>
      </c>
      <c r="F20177" s="2" t="str">
        <f>"9783110549188"</f>
        <v>9783110549188</v>
      </c>
    </row>
    <row r="20178" spans="1:6" s="3" customFormat="1" ht="29.1" customHeight="1" x14ac:dyDescent="0.25">
      <c r="A20178" s="2" t="s">
        <v>39612</v>
      </c>
      <c r="B20178" s="2" t="s">
        <v>39613</v>
      </c>
      <c r="C20178" s="2" t="s">
        <v>195</v>
      </c>
      <c r="D20178" s="2" t="s">
        <v>462</v>
      </c>
      <c r="E20178" s="2" t="str">
        <f>"9783110645415"</f>
        <v>9783110645415</v>
      </c>
      <c r="F20178" s="2" t="str">
        <f>"9783110645422"</f>
        <v>9783110645422</v>
      </c>
    </row>
    <row r="20179" spans="1:6" s="3" customFormat="1" ht="29.1" customHeight="1" x14ac:dyDescent="0.25">
      <c r="A20179" s="2" t="s">
        <v>39614</v>
      </c>
      <c r="B20179" s="2" t="s">
        <v>39615</v>
      </c>
      <c r="C20179" s="2" t="s">
        <v>195</v>
      </c>
      <c r="D20179" s="2" t="s">
        <v>69</v>
      </c>
      <c r="E20179" s="2" t="str">
        <f>"9783110480108"</f>
        <v>9783110480108</v>
      </c>
      <c r="F20179" s="2" t="str">
        <f>"9783110488319"</f>
        <v>9783110488319</v>
      </c>
    </row>
    <row r="20180" spans="1:6" s="3" customFormat="1" ht="29.1" customHeight="1" x14ac:dyDescent="0.25">
      <c r="A20180" s="2" t="s">
        <v>39616</v>
      </c>
      <c r="B20180" s="2" t="s">
        <v>39617</v>
      </c>
      <c r="C20180" s="2" t="s">
        <v>195</v>
      </c>
      <c r="D20180" s="2" t="s">
        <v>462</v>
      </c>
      <c r="E20180" s="2" t="str">
        <f>"9783110613315"</f>
        <v>9783110613315</v>
      </c>
      <c r="F20180" s="2" t="str">
        <f>"9783110607833"</f>
        <v>9783110607833</v>
      </c>
    </row>
    <row r="20181" spans="1:6" s="3" customFormat="1" ht="29.1" customHeight="1" x14ac:dyDescent="0.25">
      <c r="A20181" s="2" t="s">
        <v>39618</v>
      </c>
      <c r="B20181" s="2" t="s">
        <v>32517</v>
      </c>
      <c r="C20181" s="2" t="s">
        <v>195</v>
      </c>
      <c r="D20181" s="2" t="s">
        <v>339</v>
      </c>
      <c r="E20181" s="2" t="str">
        <f>"9783486774795"</f>
        <v>9783486774795</v>
      </c>
      <c r="F20181" s="2" t="str">
        <f>"9783486774801"</f>
        <v>9783486774801</v>
      </c>
    </row>
    <row r="20182" spans="1:6" s="3" customFormat="1" ht="29.1" customHeight="1" x14ac:dyDescent="0.25">
      <c r="A20182" s="2" t="s">
        <v>39619</v>
      </c>
      <c r="B20182" s="2" t="s">
        <v>39620</v>
      </c>
      <c r="C20182" s="2" t="s">
        <v>195</v>
      </c>
      <c r="D20182" s="2" t="s">
        <v>1669</v>
      </c>
      <c r="E20182" s="2" t="str">
        <f>"9783110518085"</f>
        <v>9783110518085</v>
      </c>
      <c r="F20182" s="2" t="str">
        <f>"9783110518405"</f>
        <v>9783110518405</v>
      </c>
    </row>
    <row r="20183" spans="1:6" s="3" customFormat="1" ht="29.1" customHeight="1" x14ac:dyDescent="0.25">
      <c r="A20183" s="2" t="s">
        <v>39621</v>
      </c>
      <c r="B20183" s="2" t="s">
        <v>39622</v>
      </c>
      <c r="C20183" s="2" t="s">
        <v>195</v>
      </c>
      <c r="D20183" s="2" t="s">
        <v>324</v>
      </c>
      <c r="E20183" s="2" t="str">
        <f>"9783110614206"</f>
        <v>9783110614206</v>
      </c>
      <c r="F20183" s="2" t="str">
        <f>"9783110614244"</f>
        <v>9783110614244</v>
      </c>
    </row>
    <row r="20184" spans="1:6" s="3" customFormat="1" ht="29.1" customHeight="1" x14ac:dyDescent="0.25">
      <c r="A20184" s="2" t="s">
        <v>39623</v>
      </c>
      <c r="B20184" s="2" t="s">
        <v>31521</v>
      </c>
      <c r="C20184" s="2" t="s">
        <v>195</v>
      </c>
      <c r="D20184" s="2" t="s">
        <v>3993</v>
      </c>
      <c r="E20184" s="2" t="str">
        <f>"9783110691306"</f>
        <v>9783110691306</v>
      </c>
      <c r="F20184" s="2" t="str">
        <f>"9783110691375"</f>
        <v>9783110691375</v>
      </c>
    </row>
    <row r="20185" spans="1:6" s="3" customFormat="1" ht="29.1" customHeight="1" x14ac:dyDescent="0.25">
      <c r="A20185" s="2" t="s">
        <v>39624</v>
      </c>
      <c r="B20185" s="2" t="s">
        <v>39625</v>
      </c>
      <c r="C20185" s="2" t="s">
        <v>195</v>
      </c>
      <c r="D20185" s="2" t="s">
        <v>210</v>
      </c>
      <c r="E20185" s="2" t="str">
        <f>"9783111216775"</f>
        <v>9783111216775</v>
      </c>
      <c r="F20185" s="2" t="str">
        <f>"9783111590677"</f>
        <v>9783111590677</v>
      </c>
    </row>
    <row r="20186" spans="1:6" s="3" customFormat="1" ht="29.1" customHeight="1" x14ac:dyDescent="0.25">
      <c r="A20186" s="2" t="s">
        <v>39626</v>
      </c>
      <c r="B20186" s="2" t="s">
        <v>39627</v>
      </c>
      <c r="C20186" s="2" t="s">
        <v>195</v>
      </c>
      <c r="D20186" s="2" t="s">
        <v>2713</v>
      </c>
      <c r="E20186" s="2" t="str">
        <f>"9783110585285"</f>
        <v>9783110585285</v>
      </c>
      <c r="F20186" s="2" t="str">
        <f>"9783110585292"</f>
        <v>9783110585292</v>
      </c>
    </row>
    <row r="20187" spans="1:6" s="3" customFormat="1" ht="29.1" customHeight="1" x14ac:dyDescent="0.25">
      <c r="A20187" s="2" t="s">
        <v>39628</v>
      </c>
      <c r="B20187" s="2" t="s">
        <v>4617</v>
      </c>
      <c r="C20187" s="2" t="s">
        <v>195</v>
      </c>
      <c r="D20187" s="2" t="s">
        <v>3130</v>
      </c>
      <c r="E20187" s="2" t="str">
        <f>"9783110696424"</f>
        <v>9783110696424</v>
      </c>
      <c r="F20187" s="2" t="str">
        <f>"9783110702705"</f>
        <v>9783110702705</v>
      </c>
    </row>
    <row r="20188" spans="1:6" s="3" customFormat="1" ht="29.1" customHeight="1" x14ac:dyDescent="0.25">
      <c r="A20188" s="2" t="s">
        <v>39629</v>
      </c>
      <c r="B20188" s="2" t="s">
        <v>39630</v>
      </c>
      <c r="C20188" s="2" t="s">
        <v>195</v>
      </c>
      <c r="D20188" s="2" t="s">
        <v>210</v>
      </c>
      <c r="E20188" s="2" t="str">
        <f>"9783111118413"</f>
        <v>9783111118413</v>
      </c>
      <c r="F20188" s="2" t="str">
        <f>"9783111485133"</f>
        <v>9783111485133</v>
      </c>
    </row>
    <row r="20189" spans="1:6" s="3" customFormat="1" ht="29.1" customHeight="1" x14ac:dyDescent="0.25">
      <c r="A20189" s="2" t="s">
        <v>39631</v>
      </c>
      <c r="B20189" s="2" t="s">
        <v>39632</v>
      </c>
      <c r="C20189" s="2" t="s">
        <v>195</v>
      </c>
      <c r="D20189" s="2" t="s">
        <v>33</v>
      </c>
      <c r="E20189" s="2" t="str">
        <f>"9783111040295"</f>
        <v>9783111040295</v>
      </c>
      <c r="F20189" s="2" t="str">
        <f>"9783111403748"</f>
        <v>9783111403748</v>
      </c>
    </row>
    <row r="20190" spans="1:6" s="3" customFormat="1" ht="29.1" customHeight="1" x14ac:dyDescent="0.25">
      <c r="A20190" s="2" t="s">
        <v>39633</v>
      </c>
      <c r="B20190" s="2" t="s">
        <v>39634</v>
      </c>
      <c r="C20190" s="2" t="s">
        <v>195</v>
      </c>
      <c r="D20190" s="2" t="s">
        <v>3345</v>
      </c>
      <c r="E20190" s="2" t="str">
        <f>"9783110595796"</f>
        <v>9783110595796</v>
      </c>
      <c r="F20190" s="2" t="str">
        <f>"9783110593686"</f>
        <v>9783110593686</v>
      </c>
    </row>
    <row r="20191" spans="1:6" s="3" customFormat="1" ht="29.1" customHeight="1" x14ac:dyDescent="0.25">
      <c r="A20191" s="2" t="s">
        <v>39635</v>
      </c>
      <c r="B20191" s="2" t="s">
        <v>39636</v>
      </c>
      <c r="C20191" s="2" t="s">
        <v>195</v>
      </c>
      <c r="D20191" s="2" t="s">
        <v>6440</v>
      </c>
      <c r="E20191" s="2" t="str">
        <f>"9783110633276"</f>
        <v>9783110633276</v>
      </c>
      <c r="F20191" s="2" t="str">
        <f>"9783110633566"</f>
        <v>9783110633566</v>
      </c>
    </row>
    <row r="20192" spans="1:6" s="3" customFormat="1" ht="29.1" customHeight="1" x14ac:dyDescent="0.25">
      <c r="A20192" s="2" t="s">
        <v>39637</v>
      </c>
      <c r="B20192" s="2" t="s">
        <v>39638</v>
      </c>
      <c r="C20192" s="2" t="s">
        <v>195</v>
      </c>
      <c r="D20192" s="2" t="s">
        <v>459</v>
      </c>
      <c r="E20192" s="2" t="str">
        <f>"9783110986051"</f>
        <v>9783110986051</v>
      </c>
      <c r="F20192" s="2" t="str">
        <f>"9783111331010"</f>
        <v>9783111331010</v>
      </c>
    </row>
    <row r="20193" spans="1:6" s="3" customFormat="1" ht="29.1" customHeight="1" x14ac:dyDescent="0.25">
      <c r="A20193" s="2" t="s">
        <v>39639</v>
      </c>
      <c r="B20193" s="2" t="s">
        <v>39640</v>
      </c>
      <c r="C20193" s="2" t="s">
        <v>195</v>
      </c>
      <c r="D20193" s="2" t="s">
        <v>712</v>
      </c>
      <c r="E20193" s="2" t="str">
        <f>"9783110530490"</f>
        <v>9783110530490</v>
      </c>
      <c r="F20193" s="2" t="str">
        <f>"9783110531282"</f>
        <v>9783110531282</v>
      </c>
    </row>
    <row r="20194" spans="1:6" s="3" customFormat="1" ht="29.1" customHeight="1" x14ac:dyDescent="0.25">
      <c r="A20194" s="2" t="s">
        <v>39641</v>
      </c>
      <c r="B20194" s="2" t="s">
        <v>39642</v>
      </c>
      <c r="C20194" s="2" t="s">
        <v>195</v>
      </c>
      <c r="D20194" s="2" t="s">
        <v>2237</v>
      </c>
      <c r="E20194" s="2" t="str">
        <f>"9783110043426"</f>
        <v>9783110043426</v>
      </c>
      <c r="F20194" s="2" t="str">
        <f>"9783111509709"</f>
        <v>9783111509709</v>
      </c>
    </row>
    <row r="20195" spans="1:6" s="3" customFormat="1" ht="29.1" customHeight="1" x14ac:dyDescent="0.25">
      <c r="A20195" s="2" t="s">
        <v>39643</v>
      </c>
      <c r="B20195" s="2" t="s">
        <v>39644</v>
      </c>
      <c r="C20195" s="2" t="s">
        <v>195</v>
      </c>
      <c r="D20195" s="2" t="s">
        <v>462</v>
      </c>
      <c r="E20195" s="2" t="str">
        <f>"9783111272672"</f>
        <v>9783111272672</v>
      </c>
      <c r="F20195" s="2" t="str">
        <f>"9783111656892"</f>
        <v>9783111656892</v>
      </c>
    </row>
    <row r="20196" spans="1:6" s="3" customFormat="1" ht="29.1" customHeight="1" x14ac:dyDescent="0.25">
      <c r="A20196" s="2" t="s">
        <v>39645</v>
      </c>
      <c r="B20196" s="2" t="s">
        <v>39646</v>
      </c>
      <c r="C20196" s="2" t="s">
        <v>195</v>
      </c>
      <c r="D20196" s="2" t="s">
        <v>9163</v>
      </c>
      <c r="E20196" s="2" t="str">
        <f>"9783110613179"</f>
        <v>9783110613179</v>
      </c>
      <c r="F20196" s="2" t="str">
        <f>"9783110618709"</f>
        <v>9783110618709</v>
      </c>
    </row>
    <row r="20197" spans="1:6" s="3" customFormat="1" ht="29.1" customHeight="1" x14ac:dyDescent="0.25">
      <c r="A20197" s="2" t="s">
        <v>39647</v>
      </c>
      <c r="B20197" s="2" t="s">
        <v>39648</v>
      </c>
      <c r="C20197" s="2" t="s">
        <v>195</v>
      </c>
      <c r="D20197" s="2" t="s">
        <v>2713</v>
      </c>
      <c r="E20197" s="2" t="str">
        <f>"9783110524734"</f>
        <v>9783110524734</v>
      </c>
      <c r="F20197" s="2" t="str">
        <f>"9783110524802"</f>
        <v>9783110524802</v>
      </c>
    </row>
    <row r="20198" spans="1:6" s="3" customFormat="1" ht="29.1" customHeight="1" x14ac:dyDescent="0.25">
      <c r="A20198" s="2" t="s">
        <v>39649</v>
      </c>
      <c r="B20198" s="2" t="s">
        <v>39650</v>
      </c>
      <c r="C20198" s="2" t="s">
        <v>195</v>
      </c>
      <c r="D20198" s="2" t="s">
        <v>210</v>
      </c>
      <c r="E20198" s="2" t="str">
        <f>"9783486560299"</f>
        <v>9783486560299</v>
      </c>
      <c r="F20198" s="2" t="str">
        <f>"9783110446593"</f>
        <v>9783110446593</v>
      </c>
    </row>
    <row r="20199" spans="1:6" s="3" customFormat="1" ht="29.1" customHeight="1" x14ac:dyDescent="0.25">
      <c r="A20199" s="2" t="s">
        <v>39651</v>
      </c>
      <c r="B20199" s="2" t="s">
        <v>39652</v>
      </c>
      <c r="C20199" s="2" t="s">
        <v>195</v>
      </c>
      <c r="D20199" s="2" t="s">
        <v>682</v>
      </c>
      <c r="E20199" s="2" t="str">
        <f>"9783110032871"</f>
        <v>9783110032871</v>
      </c>
      <c r="F20199" s="2" t="str">
        <f>"9783110845273"</f>
        <v>9783110845273</v>
      </c>
    </row>
    <row r="20200" spans="1:6" s="3" customFormat="1" ht="29.1" customHeight="1" x14ac:dyDescent="0.25">
      <c r="A20200" s="2" t="s">
        <v>39653</v>
      </c>
      <c r="B20200" s="2" t="s">
        <v>39654</v>
      </c>
      <c r="C20200" s="2" t="s">
        <v>195</v>
      </c>
      <c r="D20200" s="2" t="s">
        <v>118</v>
      </c>
      <c r="E20200" s="2" t="str">
        <f>"9783110570366"</f>
        <v>9783110570366</v>
      </c>
      <c r="F20200" s="2" t="str">
        <f>"9783110574289"</f>
        <v>9783110574289</v>
      </c>
    </row>
    <row r="20201" spans="1:6" s="3" customFormat="1" ht="29.1" customHeight="1" x14ac:dyDescent="0.25">
      <c r="A20201" s="2" t="s">
        <v>39655</v>
      </c>
      <c r="B20201" s="2" t="s">
        <v>39656</v>
      </c>
      <c r="C20201" s="2" t="s">
        <v>195</v>
      </c>
      <c r="D20201" s="2" t="s">
        <v>218</v>
      </c>
      <c r="E20201" s="2" t="str">
        <f>"9783110567632"</f>
        <v>9783110567632</v>
      </c>
      <c r="F20201" s="2" t="str">
        <f>"9783110567731"</f>
        <v>9783110567731</v>
      </c>
    </row>
    <row r="20202" spans="1:6" s="3" customFormat="1" ht="29.1" customHeight="1" x14ac:dyDescent="0.25">
      <c r="A20202" s="2" t="s">
        <v>39657</v>
      </c>
      <c r="B20202" s="2" t="s">
        <v>39658</v>
      </c>
      <c r="C20202" s="2" t="s">
        <v>195</v>
      </c>
      <c r="D20202" s="2" t="s">
        <v>81</v>
      </c>
      <c r="E20202" s="2" t="str">
        <f>"9783111168371"</f>
        <v>9783111168371</v>
      </c>
      <c r="F20202" s="2" t="str">
        <f>"9783111536491"</f>
        <v>9783111536491</v>
      </c>
    </row>
    <row r="20203" spans="1:6" s="3" customFormat="1" ht="29.1" customHeight="1" x14ac:dyDescent="0.25">
      <c r="A20203" s="2" t="s">
        <v>39659</v>
      </c>
      <c r="B20203" s="2" t="s">
        <v>39660</v>
      </c>
      <c r="C20203" s="2" t="s">
        <v>195</v>
      </c>
      <c r="D20203" s="2" t="s">
        <v>1411</v>
      </c>
      <c r="E20203" s="2" t="str">
        <f>"9783940671455"</f>
        <v>9783940671455</v>
      </c>
      <c r="F20203" s="2" t="str">
        <f>"9783110720068"</f>
        <v>9783110720068</v>
      </c>
    </row>
    <row r="20204" spans="1:6" s="3" customFormat="1" ht="29.1" customHeight="1" x14ac:dyDescent="0.25">
      <c r="A20204" s="2" t="s">
        <v>39661</v>
      </c>
      <c r="B20204" s="2" t="s">
        <v>39662</v>
      </c>
      <c r="C20204" s="2" t="s">
        <v>195</v>
      </c>
      <c r="D20204" s="2" t="s">
        <v>186</v>
      </c>
      <c r="E20204" s="2" t="str">
        <f>"9783110663822"</f>
        <v>9783110663822</v>
      </c>
      <c r="F20204" s="2" t="str">
        <f>"9783110663839"</f>
        <v>9783110663839</v>
      </c>
    </row>
    <row r="20205" spans="1:6" s="3" customFormat="1" ht="29.1" customHeight="1" x14ac:dyDescent="0.25">
      <c r="A20205" s="2" t="s">
        <v>39663</v>
      </c>
      <c r="B20205" s="2" t="s">
        <v>39664</v>
      </c>
      <c r="C20205" s="2" t="s">
        <v>195</v>
      </c>
      <c r="D20205" s="2" t="s">
        <v>4678</v>
      </c>
      <c r="E20205" s="2" t="str">
        <f>"9783110462777"</f>
        <v>9783110462777</v>
      </c>
      <c r="F20205" s="2" t="str">
        <f>"9783110467178"</f>
        <v>9783110467178</v>
      </c>
    </row>
    <row r="20206" spans="1:6" s="3" customFormat="1" ht="29.1" customHeight="1" x14ac:dyDescent="0.25">
      <c r="A20206" s="2" t="s">
        <v>39665</v>
      </c>
      <c r="B20206" s="2" t="s">
        <v>39667</v>
      </c>
      <c r="C20206" s="2" t="s">
        <v>195</v>
      </c>
      <c r="D20206" s="2" t="s">
        <v>39666</v>
      </c>
      <c r="E20206" s="2" t="str">
        <f>"9781501514357"</f>
        <v>9781501514357</v>
      </c>
      <c r="F20206" s="2" t="str">
        <f>"9781501505133"</f>
        <v>9781501505133</v>
      </c>
    </row>
    <row r="20207" spans="1:6" s="3" customFormat="1" ht="29.1" customHeight="1" x14ac:dyDescent="0.25">
      <c r="A20207" s="2" t="s">
        <v>39668</v>
      </c>
      <c r="B20207" s="2" t="s">
        <v>39669</v>
      </c>
      <c r="C20207" s="2" t="s">
        <v>195</v>
      </c>
      <c r="D20207" s="2" t="s">
        <v>9600</v>
      </c>
      <c r="E20207" s="2" t="str">
        <f>"9781501512636"</f>
        <v>9781501512636</v>
      </c>
      <c r="F20207" s="2" t="str">
        <f>"9781501504433"</f>
        <v>9781501504433</v>
      </c>
    </row>
    <row r="20208" spans="1:6" s="3" customFormat="1" ht="29.1" customHeight="1" x14ac:dyDescent="0.25">
      <c r="A20208" s="2" t="s">
        <v>39670</v>
      </c>
      <c r="B20208" s="2" t="s">
        <v>39671</v>
      </c>
      <c r="C20208" s="2" t="s">
        <v>195</v>
      </c>
      <c r="D20208" s="2" t="s">
        <v>210</v>
      </c>
      <c r="E20208" s="2" t="str">
        <f>"9783111112213"</f>
        <v>9783111112213</v>
      </c>
      <c r="F20208" s="2" t="str">
        <f>"9783111727066"</f>
        <v>9783111727066</v>
      </c>
    </row>
    <row r="20209" spans="1:6" s="3" customFormat="1" ht="29.1" customHeight="1" x14ac:dyDescent="0.25">
      <c r="A20209" s="2" t="s">
        <v>39672</v>
      </c>
      <c r="B20209" s="2" t="s">
        <v>39673</v>
      </c>
      <c r="C20209" s="2" t="s">
        <v>195</v>
      </c>
      <c r="D20209" s="2" t="s">
        <v>1214</v>
      </c>
      <c r="E20209" s="2" t="str">
        <f>"9783111126647"</f>
        <v>9783111126647</v>
      </c>
      <c r="F20209" s="2" t="str">
        <f>"9783111493022"</f>
        <v>9783111493022</v>
      </c>
    </row>
    <row r="20210" spans="1:6" s="3" customFormat="1" ht="29.1" customHeight="1" x14ac:dyDescent="0.25">
      <c r="A20210" s="2" t="s">
        <v>39674</v>
      </c>
      <c r="B20210" s="2" t="s">
        <v>39675</v>
      </c>
      <c r="C20210" s="2" t="s">
        <v>195</v>
      </c>
      <c r="D20210" s="2" t="s">
        <v>4739</v>
      </c>
      <c r="E20210" s="2" t="str">
        <f>"9783111313771"</f>
        <v>9783111313771</v>
      </c>
      <c r="F20210" s="2" t="str">
        <f>"9783111702506"</f>
        <v>9783111702506</v>
      </c>
    </row>
    <row r="20211" spans="1:6" s="3" customFormat="1" ht="29.1" customHeight="1" x14ac:dyDescent="0.25">
      <c r="A20211" s="2" t="s">
        <v>39676</v>
      </c>
      <c r="B20211" s="2" t="s">
        <v>39060</v>
      </c>
      <c r="C20211" s="2" t="s">
        <v>195</v>
      </c>
      <c r="D20211" s="2" t="s">
        <v>459</v>
      </c>
      <c r="E20211" s="2" t="str">
        <f>"9783110124460"</f>
        <v>9783110124460</v>
      </c>
      <c r="F20211" s="2" t="str">
        <f>"9783110622423"</f>
        <v>9783110622423</v>
      </c>
    </row>
    <row r="20212" spans="1:6" s="3" customFormat="1" ht="29.1" customHeight="1" x14ac:dyDescent="0.25">
      <c r="A20212" s="2" t="s">
        <v>39677</v>
      </c>
      <c r="B20212" s="2" t="s">
        <v>39678</v>
      </c>
      <c r="C20212" s="2" t="s">
        <v>195</v>
      </c>
      <c r="D20212" s="2" t="s">
        <v>459</v>
      </c>
      <c r="E20212" s="2" t="str">
        <f>"9783110536713"</f>
        <v>9783110536713</v>
      </c>
      <c r="F20212" s="2" t="str">
        <f>"9783110536829"</f>
        <v>9783110536829</v>
      </c>
    </row>
    <row r="20213" spans="1:6" s="3" customFormat="1" ht="29.1" customHeight="1" x14ac:dyDescent="0.25">
      <c r="A20213" s="2" t="s">
        <v>39679</v>
      </c>
      <c r="B20213" s="2" t="s">
        <v>39680</v>
      </c>
      <c r="C20213" s="2" t="s">
        <v>195</v>
      </c>
      <c r="D20213" s="2" t="s">
        <v>33</v>
      </c>
      <c r="E20213" s="2" t="str">
        <f>"9783111114064"</f>
        <v>9783111114064</v>
      </c>
      <c r="F20213" s="2" t="str">
        <f>"9783111480916"</f>
        <v>9783111480916</v>
      </c>
    </row>
    <row r="20214" spans="1:6" s="3" customFormat="1" ht="29.1" customHeight="1" x14ac:dyDescent="0.25">
      <c r="A20214" s="2" t="s">
        <v>39681</v>
      </c>
      <c r="B20214" s="2" t="s">
        <v>38699</v>
      </c>
      <c r="C20214" s="2" t="s">
        <v>195</v>
      </c>
      <c r="D20214" s="2" t="s">
        <v>210</v>
      </c>
      <c r="E20214" s="2" t="str">
        <f>"9783486780062"</f>
        <v>9783486780062</v>
      </c>
      <c r="F20214" s="2" t="str">
        <f>"9783486780079"</f>
        <v>9783486780079</v>
      </c>
    </row>
    <row r="20215" spans="1:6" s="3" customFormat="1" ht="29.1" customHeight="1" x14ac:dyDescent="0.25">
      <c r="A20215" s="2" t="s">
        <v>39682</v>
      </c>
      <c r="B20215" s="2" t="s">
        <v>39683</v>
      </c>
      <c r="C20215" s="2" t="s">
        <v>195</v>
      </c>
      <c r="D20215" s="2" t="s">
        <v>81</v>
      </c>
      <c r="E20215" s="2" t="str">
        <f>"9783110043761"</f>
        <v>9783110043761</v>
      </c>
      <c r="F20215" s="2" t="str">
        <f>"9783111708645"</f>
        <v>9783111708645</v>
      </c>
    </row>
    <row r="20216" spans="1:6" s="3" customFormat="1" ht="29.1" customHeight="1" x14ac:dyDescent="0.25">
      <c r="A20216" s="2" t="s">
        <v>39684</v>
      </c>
      <c r="B20216" s="2" t="s">
        <v>39685</v>
      </c>
      <c r="C20216" s="2" t="s">
        <v>195</v>
      </c>
      <c r="D20216" s="2" t="s">
        <v>459</v>
      </c>
      <c r="E20216" s="2" t="str">
        <f>"9783110161564"</f>
        <v>9783110161564</v>
      </c>
      <c r="F20216" s="2" t="str">
        <f>"9783110622638"</f>
        <v>9783110622638</v>
      </c>
    </row>
    <row r="20217" spans="1:6" s="3" customFormat="1" ht="29.1" customHeight="1" x14ac:dyDescent="0.25">
      <c r="A20217" s="2" t="s">
        <v>39686</v>
      </c>
      <c r="B20217" s="2" t="s">
        <v>39687</v>
      </c>
      <c r="C20217" s="2" t="s">
        <v>195</v>
      </c>
      <c r="D20217" s="2" t="s">
        <v>459</v>
      </c>
      <c r="E20217" s="2" t="str">
        <f>"9783110174571"</f>
        <v>9783110174571</v>
      </c>
      <c r="F20217" s="2" t="str">
        <f>"9783110622836"</f>
        <v>9783110622836</v>
      </c>
    </row>
    <row r="20218" spans="1:6" s="3" customFormat="1" ht="29.1" customHeight="1" x14ac:dyDescent="0.25">
      <c r="A20218" s="2" t="s">
        <v>39688</v>
      </c>
      <c r="B20218" s="2" t="s">
        <v>39689</v>
      </c>
      <c r="C20218" s="2" t="s">
        <v>195</v>
      </c>
      <c r="D20218" s="2" t="s">
        <v>186</v>
      </c>
      <c r="E20218" s="2" t="str">
        <f>"9783111070711"</f>
        <v>9783111070711</v>
      </c>
      <c r="F20218" s="2" t="str">
        <f>"9783111436753"</f>
        <v>9783111436753</v>
      </c>
    </row>
    <row r="20219" spans="1:6" s="3" customFormat="1" ht="29.1" customHeight="1" x14ac:dyDescent="0.25">
      <c r="A20219" s="2" t="s">
        <v>39690</v>
      </c>
      <c r="B20219" s="2" t="s">
        <v>39691</v>
      </c>
      <c r="C20219" s="2" t="s">
        <v>195</v>
      </c>
      <c r="D20219" s="2" t="s">
        <v>2880</v>
      </c>
      <c r="E20219" s="2" t="str">
        <f>"9783486776768"</f>
        <v>9783486776768</v>
      </c>
      <c r="F20219" s="2" t="str">
        <f>"9783486776775"</f>
        <v>9783486776775</v>
      </c>
    </row>
    <row r="20220" spans="1:6" s="3" customFormat="1" ht="29.1" customHeight="1" x14ac:dyDescent="0.25">
      <c r="A20220" s="2" t="s">
        <v>39692</v>
      </c>
      <c r="B20220" s="2" t="s">
        <v>39693</v>
      </c>
      <c r="C20220" s="2" t="s">
        <v>195</v>
      </c>
      <c r="D20220" s="2" t="s">
        <v>334</v>
      </c>
      <c r="E20220" s="2" t="str">
        <f>"9783957580337"</f>
        <v>9783957580337</v>
      </c>
      <c r="F20220" s="2" t="str">
        <f>"9783110720334"</f>
        <v>9783110720334</v>
      </c>
    </row>
    <row r="20221" spans="1:6" s="3" customFormat="1" ht="29.1" customHeight="1" x14ac:dyDescent="0.25">
      <c r="A20221" s="2" t="s">
        <v>39694</v>
      </c>
      <c r="B20221" s="2" t="s">
        <v>39695</v>
      </c>
      <c r="C20221" s="2" t="s">
        <v>195</v>
      </c>
      <c r="D20221" s="2" t="s">
        <v>210</v>
      </c>
      <c r="E20221" s="2" t="str">
        <f>"9783486576788"</f>
        <v>9783486576788</v>
      </c>
      <c r="F20221" s="2" t="str">
        <f>"9783486836783"</f>
        <v>9783486836783</v>
      </c>
    </row>
    <row r="20222" spans="1:6" s="3" customFormat="1" ht="29.1" customHeight="1" x14ac:dyDescent="0.25">
      <c r="A20222" s="2" t="s">
        <v>39696</v>
      </c>
      <c r="B20222" s="2" t="s">
        <v>39697</v>
      </c>
      <c r="C20222" s="2" t="s">
        <v>195</v>
      </c>
      <c r="D20222" s="2" t="s">
        <v>210</v>
      </c>
      <c r="E20222" s="2" t="str">
        <f>"9789027934567"</f>
        <v>9789027934567</v>
      </c>
      <c r="F20222" s="2" t="str">
        <f>"9783110880038"</f>
        <v>9783110880038</v>
      </c>
    </row>
    <row r="20223" spans="1:6" s="3" customFormat="1" ht="29.1" customHeight="1" x14ac:dyDescent="0.25">
      <c r="A20223" s="2" t="s">
        <v>39698</v>
      </c>
      <c r="B20223" s="2" t="s">
        <v>39699</v>
      </c>
      <c r="C20223" s="2" t="s">
        <v>195</v>
      </c>
      <c r="D20223" s="2" t="s">
        <v>3345</v>
      </c>
      <c r="E20223" s="2" t="str">
        <f>"9783110615869"</f>
        <v>9783110615869</v>
      </c>
      <c r="F20223" s="2" t="str">
        <f>"9783110615876"</f>
        <v>9783110615876</v>
      </c>
    </row>
    <row r="20224" spans="1:6" s="3" customFormat="1" ht="29.1" customHeight="1" x14ac:dyDescent="0.25">
      <c r="A20224" s="2" t="s">
        <v>39700</v>
      </c>
      <c r="B20224" s="2" t="s">
        <v>39701</v>
      </c>
      <c r="C20224" s="2" t="s">
        <v>195</v>
      </c>
      <c r="D20224" s="2" t="s">
        <v>202</v>
      </c>
      <c r="E20224" s="2" t="str">
        <f>"9783110480115"</f>
        <v>9783110480115</v>
      </c>
      <c r="F20224" s="2" t="str">
        <f>"9783110488739"</f>
        <v>9783110488739</v>
      </c>
    </row>
    <row r="20225" spans="1:6" s="3" customFormat="1" ht="29.1" customHeight="1" x14ac:dyDescent="0.25">
      <c r="A20225" s="2" t="s">
        <v>39702</v>
      </c>
      <c r="B20225" s="2" t="s">
        <v>39703</v>
      </c>
      <c r="C20225" s="2" t="s">
        <v>195</v>
      </c>
      <c r="D20225" s="2" t="s">
        <v>2237</v>
      </c>
      <c r="E20225" s="2" t="str">
        <f>"9783111136226"</f>
        <v>9783111136226</v>
      </c>
      <c r="F20225" s="2" t="str">
        <f>"9783111502731"</f>
        <v>9783111502731</v>
      </c>
    </row>
    <row r="20226" spans="1:6" s="3" customFormat="1" ht="29.1" customHeight="1" x14ac:dyDescent="0.25">
      <c r="A20226" s="2" t="s">
        <v>39704</v>
      </c>
      <c r="B20226" s="2" t="s">
        <v>39705</v>
      </c>
      <c r="C20226" s="2" t="s">
        <v>195</v>
      </c>
      <c r="D20226" s="2" t="s">
        <v>9392</v>
      </c>
      <c r="E20226" s="2" t="str">
        <f>"9783111280349"</f>
        <v>9783111280349</v>
      </c>
      <c r="F20226" s="2" t="str">
        <f>"9783111665023"</f>
        <v>9783111665023</v>
      </c>
    </row>
    <row r="20227" spans="1:6" s="3" customFormat="1" ht="29.1" customHeight="1" x14ac:dyDescent="0.25">
      <c r="A20227" s="2" t="s">
        <v>39706</v>
      </c>
      <c r="B20227" s="2" t="s">
        <v>39010</v>
      </c>
      <c r="C20227" s="2" t="s">
        <v>195</v>
      </c>
      <c r="D20227" s="2" t="s">
        <v>504</v>
      </c>
      <c r="E20227" s="2" t="str">
        <f>"9783110562538"</f>
        <v>9783110562538</v>
      </c>
      <c r="F20227" s="2" t="str">
        <f>"9783110562545"</f>
        <v>9783110562545</v>
      </c>
    </row>
    <row r="20228" spans="1:6" s="3" customFormat="1" ht="29.1" customHeight="1" x14ac:dyDescent="0.25">
      <c r="A20228" s="2" t="s">
        <v>39707</v>
      </c>
      <c r="B20228" s="2" t="s">
        <v>39708</v>
      </c>
      <c r="C20228" s="2" t="s">
        <v>195</v>
      </c>
      <c r="D20228" s="2" t="s">
        <v>33</v>
      </c>
      <c r="E20228" s="2" t="str">
        <f>"9783111130194"</f>
        <v>9783111130194</v>
      </c>
      <c r="F20228" s="2" t="str">
        <f>"9783111496382"</f>
        <v>9783111496382</v>
      </c>
    </row>
    <row r="20229" spans="1:6" s="3" customFormat="1" ht="29.1" customHeight="1" x14ac:dyDescent="0.25">
      <c r="A20229" s="2" t="s">
        <v>39709</v>
      </c>
      <c r="B20229" s="2" t="s">
        <v>39710</v>
      </c>
      <c r="C20229" s="2" t="s">
        <v>195</v>
      </c>
      <c r="D20229" s="2" t="s">
        <v>2019</v>
      </c>
      <c r="E20229" s="2" t="str">
        <f>"9783486241075"</f>
        <v>9783486241075</v>
      </c>
      <c r="F20229" s="2" t="str">
        <f>"9783486792720"</f>
        <v>9783486792720</v>
      </c>
    </row>
    <row r="20230" spans="1:6" s="3" customFormat="1" ht="29.1" customHeight="1" x14ac:dyDescent="0.25">
      <c r="A20230" s="2" t="s">
        <v>39711</v>
      </c>
      <c r="B20230" s="2" t="s">
        <v>39712</v>
      </c>
      <c r="C20230" s="2" t="s">
        <v>195</v>
      </c>
      <c r="D20230" s="2" t="s">
        <v>4739</v>
      </c>
      <c r="E20230" s="2" t="str">
        <f>"9783110989144"</f>
        <v>9783110989144</v>
      </c>
      <c r="F20230" s="2" t="str">
        <f>"9783111337579"</f>
        <v>9783111337579</v>
      </c>
    </row>
    <row r="20231" spans="1:6" s="3" customFormat="1" ht="29.1" customHeight="1" x14ac:dyDescent="0.25">
      <c r="A20231" s="2" t="s">
        <v>39713</v>
      </c>
      <c r="B20231" s="2" t="s">
        <v>39714</v>
      </c>
      <c r="C20231" s="2" t="s">
        <v>195</v>
      </c>
      <c r="D20231" s="2" t="s">
        <v>17574</v>
      </c>
      <c r="E20231" s="2" t="str">
        <f>"9783110698695"</f>
        <v>9783110698695</v>
      </c>
      <c r="F20231" s="2" t="str">
        <f>"9783110698732"</f>
        <v>9783110698732</v>
      </c>
    </row>
    <row r="20232" spans="1:6" s="3" customFormat="1" ht="29.1" customHeight="1" x14ac:dyDescent="0.25">
      <c r="A20232" s="2" t="s">
        <v>39715</v>
      </c>
      <c r="B20232" s="2" t="s">
        <v>39716</v>
      </c>
      <c r="C20232" s="2" t="s">
        <v>195</v>
      </c>
      <c r="D20232" s="2" t="s">
        <v>436</v>
      </c>
      <c r="E20232" s="2" t="str">
        <f>"9783110489378"</f>
        <v>9783110489378</v>
      </c>
      <c r="F20232" s="2" t="str">
        <f>"9783110489774"</f>
        <v>9783110489774</v>
      </c>
    </row>
    <row r="20233" spans="1:6" s="3" customFormat="1" ht="29.1" customHeight="1" x14ac:dyDescent="0.25">
      <c r="A20233" s="2" t="s">
        <v>39717</v>
      </c>
      <c r="B20233" s="2" t="s">
        <v>39719</v>
      </c>
      <c r="C20233" s="2" t="s">
        <v>195</v>
      </c>
      <c r="D20233" s="2" t="s">
        <v>39718</v>
      </c>
      <c r="E20233" s="2" t="str">
        <f>"9783110674385"</f>
        <v>9783110674385</v>
      </c>
      <c r="F20233" s="2" t="str">
        <f>"9783110675382"</f>
        <v>9783110675382</v>
      </c>
    </row>
    <row r="20234" spans="1:6" s="3" customFormat="1" ht="29.1" customHeight="1" x14ac:dyDescent="0.25">
      <c r="A20234" s="2" t="s">
        <v>39720</v>
      </c>
      <c r="B20234" s="2" t="s">
        <v>26760</v>
      </c>
      <c r="C20234" s="2" t="s">
        <v>195</v>
      </c>
      <c r="D20234" s="2" t="s">
        <v>1432</v>
      </c>
      <c r="E20234" s="2" t="str">
        <f>"9783110645293"</f>
        <v>9783110645293</v>
      </c>
      <c r="F20234" s="2" t="str">
        <f>"9783110655100"</f>
        <v>9783110655100</v>
      </c>
    </row>
    <row r="20235" spans="1:6" s="3" customFormat="1" ht="29.1" customHeight="1" x14ac:dyDescent="0.25">
      <c r="A20235" s="2" t="s">
        <v>39721</v>
      </c>
      <c r="B20235" s="2" t="s">
        <v>39722</v>
      </c>
      <c r="C20235" s="2" t="s">
        <v>195</v>
      </c>
      <c r="D20235" s="2" t="s">
        <v>462</v>
      </c>
      <c r="E20235" s="2" t="str">
        <f>"9783110426946"</f>
        <v>9783110426946</v>
      </c>
      <c r="F20235" s="2" t="str">
        <f>"9783110423488"</f>
        <v>9783110423488</v>
      </c>
    </row>
    <row r="20236" spans="1:6" s="3" customFormat="1" ht="29.1" customHeight="1" x14ac:dyDescent="0.25">
      <c r="A20236" s="2" t="s">
        <v>39723</v>
      </c>
      <c r="B20236" s="2" t="s">
        <v>39724</v>
      </c>
      <c r="C20236" s="2" t="s">
        <v>195</v>
      </c>
      <c r="D20236" s="2" t="s">
        <v>7460</v>
      </c>
      <c r="E20236" s="2" t="str">
        <f>"9783110696837"</f>
        <v>9783110696837</v>
      </c>
      <c r="F20236" s="2" t="str">
        <f>"9783110697667"</f>
        <v>9783110697667</v>
      </c>
    </row>
    <row r="20237" spans="1:6" s="3" customFormat="1" ht="29.1" customHeight="1" x14ac:dyDescent="0.25">
      <c r="A20237" s="2" t="s">
        <v>39725</v>
      </c>
      <c r="B20237" s="2" t="s">
        <v>39342</v>
      </c>
      <c r="C20237" s="2" t="s">
        <v>195</v>
      </c>
      <c r="D20237" s="2" t="s">
        <v>712</v>
      </c>
      <c r="E20237" s="2" t="str">
        <f>"9783957580276"</f>
        <v>9783957580276</v>
      </c>
      <c r="F20237" s="2" t="str">
        <f>"9783110720310"</f>
        <v>9783110720310</v>
      </c>
    </row>
    <row r="20238" spans="1:6" s="3" customFormat="1" ht="29.1" customHeight="1" x14ac:dyDescent="0.25">
      <c r="A20238" s="2" t="s">
        <v>39726</v>
      </c>
      <c r="B20238" s="2" t="s">
        <v>39727</v>
      </c>
      <c r="C20238" s="2" t="s">
        <v>195</v>
      </c>
      <c r="D20238" s="2" t="s">
        <v>162</v>
      </c>
      <c r="E20238" s="2" t="str">
        <f>"9783110641486"</f>
        <v>9783110641486</v>
      </c>
      <c r="F20238" s="2" t="str">
        <f>"9783110641981"</f>
        <v>9783110641981</v>
      </c>
    </row>
    <row r="20239" spans="1:6" s="3" customFormat="1" ht="29.1" customHeight="1" x14ac:dyDescent="0.25">
      <c r="A20239" s="2" t="s">
        <v>39728</v>
      </c>
      <c r="B20239" s="2" t="s">
        <v>39729</v>
      </c>
      <c r="C20239" s="2" t="s">
        <v>195</v>
      </c>
      <c r="D20239" s="2" t="s">
        <v>2428</v>
      </c>
      <c r="E20239" s="2" t="str">
        <f>"9781501515279"</f>
        <v>9781501515279</v>
      </c>
      <c r="F20239" s="2" t="str">
        <f>"9781501506468"</f>
        <v>9781501506468</v>
      </c>
    </row>
    <row r="20240" spans="1:6" s="3" customFormat="1" ht="29.1" customHeight="1" x14ac:dyDescent="0.25">
      <c r="A20240" s="2" t="s">
        <v>39730</v>
      </c>
      <c r="B20240" s="2" t="s">
        <v>39731</v>
      </c>
      <c r="C20240" s="2" t="s">
        <v>195</v>
      </c>
      <c r="D20240" s="2" t="s">
        <v>462</v>
      </c>
      <c r="E20240" s="2" t="str">
        <f>"9783110554847"</f>
        <v>9783110554847</v>
      </c>
      <c r="F20240" s="2" t="str">
        <f>"9783110583717"</f>
        <v>9783110583717</v>
      </c>
    </row>
    <row r="20241" spans="1:6" s="3" customFormat="1" ht="29.1" customHeight="1" x14ac:dyDescent="0.25">
      <c r="A20241" s="2" t="s">
        <v>39732</v>
      </c>
      <c r="B20241" s="2" t="s">
        <v>39060</v>
      </c>
      <c r="C20241" s="2" t="s">
        <v>195</v>
      </c>
      <c r="D20241" s="2" t="s">
        <v>459</v>
      </c>
      <c r="E20241" s="2" t="str">
        <f>"9783110147483"</f>
        <v>9783110147483</v>
      </c>
      <c r="F20241" s="2" t="str">
        <f>"9783110622515"</f>
        <v>9783110622515</v>
      </c>
    </row>
    <row r="20242" spans="1:6" s="3" customFormat="1" ht="29.1" customHeight="1" x14ac:dyDescent="0.25">
      <c r="A20242" s="2" t="s">
        <v>39733</v>
      </c>
      <c r="B20242" s="2" t="s">
        <v>39734</v>
      </c>
      <c r="C20242" s="2" t="s">
        <v>195</v>
      </c>
      <c r="D20242" s="2" t="s">
        <v>449</v>
      </c>
      <c r="E20242" s="2" t="str">
        <f>"9783110457421"</f>
        <v>9783110457421</v>
      </c>
      <c r="F20242" s="2" t="str">
        <f>"9783110441956"</f>
        <v>9783110441956</v>
      </c>
    </row>
    <row r="20243" spans="1:6" s="3" customFormat="1" ht="29.1" customHeight="1" x14ac:dyDescent="0.25">
      <c r="A20243" s="2" t="s">
        <v>39735</v>
      </c>
      <c r="B20243" s="2" t="s">
        <v>39736</v>
      </c>
      <c r="C20243" s="2" t="s">
        <v>195</v>
      </c>
      <c r="D20243" s="2" t="s">
        <v>35834</v>
      </c>
      <c r="E20243" s="2" t="str">
        <f>"9783110585414"</f>
        <v>9783110585414</v>
      </c>
      <c r="F20243" s="2" t="str">
        <f>"9783110585421"</f>
        <v>9783110585421</v>
      </c>
    </row>
    <row r="20244" spans="1:6" s="3" customFormat="1" ht="29.1" customHeight="1" x14ac:dyDescent="0.25">
      <c r="A20244" s="2" t="s">
        <v>39737</v>
      </c>
      <c r="B20244" s="2" t="s">
        <v>39738</v>
      </c>
      <c r="C20244" s="2" t="s">
        <v>195</v>
      </c>
      <c r="D20244" s="2" t="s">
        <v>436</v>
      </c>
      <c r="E20244" s="2" t="str">
        <f>"9783110553260"</f>
        <v>9783110553260</v>
      </c>
      <c r="F20244" s="2" t="str">
        <f>"9783110553314"</f>
        <v>9783110553314</v>
      </c>
    </row>
    <row r="20245" spans="1:6" s="3" customFormat="1" ht="29.1" customHeight="1" x14ac:dyDescent="0.25">
      <c r="A20245" s="2" t="s">
        <v>39739</v>
      </c>
      <c r="B20245" s="2" t="s">
        <v>39740</v>
      </c>
      <c r="C20245" s="2" t="s">
        <v>195</v>
      </c>
      <c r="D20245" s="2" t="s">
        <v>183</v>
      </c>
      <c r="E20245" s="2" t="str">
        <f>"9783110647013"</f>
        <v>9783110647013</v>
      </c>
      <c r="F20245" s="2" t="str">
        <f>"9783110647495"</f>
        <v>9783110647495</v>
      </c>
    </row>
    <row r="20246" spans="1:6" s="3" customFormat="1" ht="29.1" customHeight="1" x14ac:dyDescent="0.25">
      <c r="A20246" s="2" t="s">
        <v>39741</v>
      </c>
      <c r="B20246" s="2" t="s">
        <v>39742</v>
      </c>
      <c r="C20246" s="2" t="s">
        <v>195</v>
      </c>
      <c r="D20246" s="2" t="s">
        <v>33</v>
      </c>
      <c r="E20246" s="2" t="str">
        <f>"9783110717228"</f>
        <v>9783110717228</v>
      </c>
      <c r="F20246" s="2" t="str">
        <f>"9783110717884"</f>
        <v>9783110717884</v>
      </c>
    </row>
    <row r="20247" spans="1:6" s="3" customFormat="1" ht="29.1" customHeight="1" x14ac:dyDescent="0.25">
      <c r="A20247" s="2" t="s">
        <v>39743</v>
      </c>
      <c r="B20247" s="2" t="s">
        <v>39744</v>
      </c>
      <c r="C20247" s="2" t="s">
        <v>195</v>
      </c>
      <c r="D20247" s="2" t="s">
        <v>20659</v>
      </c>
      <c r="E20247" s="2" t="str">
        <f>"9783110534337"</f>
        <v>9783110534337</v>
      </c>
      <c r="F20247" s="2" t="str">
        <f>"9783110534351"</f>
        <v>9783110534351</v>
      </c>
    </row>
    <row r="20248" spans="1:6" s="3" customFormat="1" ht="29.1" customHeight="1" x14ac:dyDescent="0.25">
      <c r="A20248" s="2" t="s">
        <v>39745</v>
      </c>
      <c r="B20248" s="2" t="s">
        <v>39746</v>
      </c>
      <c r="C20248" s="2" t="s">
        <v>195</v>
      </c>
      <c r="D20248" s="2" t="s">
        <v>5903</v>
      </c>
      <c r="E20248" s="2" t="str">
        <f>"9783110641035"</f>
        <v>9783110641035</v>
      </c>
      <c r="F20248" s="2" t="str">
        <f>"9783110641134"</f>
        <v>9783110641134</v>
      </c>
    </row>
    <row r="20249" spans="1:6" s="3" customFormat="1" ht="29.1" customHeight="1" x14ac:dyDescent="0.25">
      <c r="A20249" s="2" t="s">
        <v>39747</v>
      </c>
      <c r="B20249" s="2" t="s">
        <v>39748</v>
      </c>
      <c r="C20249" s="2" t="s">
        <v>195</v>
      </c>
      <c r="D20249" s="2" t="s">
        <v>4064</v>
      </c>
      <c r="E20249" s="2" t="str">
        <f>"9783110601626"</f>
        <v>9783110601626</v>
      </c>
      <c r="F20249" s="2" t="str">
        <f>"9783110604337"</f>
        <v>9783110604337</v>
      </c>
    </row>
    <row r="20250" spans="1:6" s="3" customFormat="1" ht="29.1" customHeight="1" x14ac:dyDescent="0.25">
      <c r="A20250" s="2" t="s">
        <v>39749</v>
      </c>
      <c r="B20250" s="2" t="s">
        <v>39750</v>
      </c>
      <c r="C20250" s="2" t="s">
        <v>195</v>
      </c>
      <c r="D20250" s="2" t="s">
        <v>210</v>
      </c>
      <c r="E20250" s="2" t="str">
        <f>"9783110466973"</f>
        <v>9783110466973</v>
      </c>
      <c r="F20250" s="2" t="str">
        <f>"9783110655162"</f>
        <v>9783110655162</v>
      </c>
    </row>
    <row r="20251" spans="1:6" s="3" customFormat="1" ht="29.1" customHeight="1" x14ac:dyDescent="0.25">
      <c r="A20251" s="2" t="s">
        <v>39751</v>
      </c>
      <c r="B20251" s="2" t="s">
        <v>39752</v>
      </c>
      <c r="C20251" s="2" t="s">
        <v>195</v>
      </c>
      <c r="D20251" s="2" t="s">
        <v>210</v>
      </c>
      <c r="E20251" s="2" t="str">
        <f>"9783110598278"</f>
        <v>9783110598278</v>
      </c>
      <c r="F20251" s="2" t="str">
        <f>"9783110598735"</f>
        <v>9783110598735</v>
      </c>
    </row>
    <row r="20252" spans="1:6" s="3" customFormat="1" ht="29.1" customHeight="1" x14ac:dyDescent="0.25">
      <c r="A20252" s="2" t="s">
        <v>39753</v>
      </c>
      <c r="B20252" s="2" t="s">
        <v>39754</v>
      </c>
      <c r="C20252" s="2" t="s">
        <v>195</v>
      </c>
      <c r="D20252" s="2" t="s">
        <v>402</v>
      </c>
      <c r="E20252" s="2" t="str">
        <f>"9783110447019"</f>
        <v>9783110447019</v>
      </c>
      <c r="F20252" s="2" t="str">
        <f>"9783110447644"</f>
        <v>9783110447644</v>
      </c>
    </row>
    <row r="20253" spans="1:6" s="3" customFormat="1" ht="29.1" customHeight="1" x14ac:dyDescent="0.25">
      <c r="A20253" s="2" t="s">
        <v>39755</v>
      </c>
      <c r="B20253" s="2" t="s">
        <v>39756</v>
      </c>
      <c r="C20253" s="2" t="s">
        <v>195</v>
      </c>
      <c r="D20253" s="2" t="s">
        <v>7102</v>
      </c>
      <c r="E20253" s="2" t="str">
        <f>"9783110661019"</f>
        <v>9783110661019</v>
      </c>
      <c r="F20253" s="2" t="str">
        <f>"9783110664744"</f>
        <v>9783110664744</v>
      </c>
    </row>
    <row r="20254" spans="1:6" s="3" customFormat="1" ht="29.1" customHeight="1" x14ac:dyDescent="0.25">
      <c r="A20254" s="2" t="s">
        <v>39757</v>
      </c>
      <c r="B20254" s="2" t="s">
        <v>39014</v>
      </c>
      <c r="C20254" s="2" t="s">
        <v>195</v>
      </c>
      <c r="D20254" s="2" t="s">
        <v>3958</v>
      </c>
      <c r="E20254" s="2" t="str">
        <f>"9783940671714"</f>
        <v>9783940671714</v>
      </c>
      <c r="F20254" s="2" t="str">
        <f>"9783110720051"</f>
        <v>9783110720051</v>
      </c>
    </row>
    <row r="20255" spans="1:6" s="3" customFormat="1" ht="29.1" customHeight="1" x14ac:dyDescent="0.25">
      <c r="A20255" s="2" t="s">
        <v>39758</v>
      </c>
      <c r="B20255" s="2" t="s">
        <v>39759</v>
      </c>
      <c r="C20255" s="2" t="s">
        <v>195</v>
      </c>
      <c r="D20255" s="2" t="s">
        <v>462</v>
      </c>
      <c r="E20255" s="2" t="str">
        <f>"9783110614084"</f>
        <v>9783110614084</v>
      </c>
      <c r="F20255" s="2" t="str">
        <f>"9783110614909"</f>
        <v>9783110614909</v>
      </c>
    </row>
    <row r="20256" spans="1:6" s="3" customFormat="1" ht="29.1" customHeight="1" x14ac:dyDescent="0.25">
      <c r="A20256" s="2" t="s">
        <v>39760</v>
      </c>
      <c r="B20256" s="2" t="s">
        <v>39761</v>
      </c>
      <c r="C20256" s="2" t="s">
        <v>195</v>
      </c>
      <c r="D20256" s="2" t="s">
        <v>210</v>
      </c>
      <c r="E20256" s="2" t="str">
        <f>"9783110035179"</f>
        <v>9783110035179</v>
      </c>
      <c r="F20256" s="2" t="str">
        <f>"9783111383057"</f>
        <v>9783111383057</v>
      </c>
    </row>
    <row r="20257" spans="1:6" s="3" customFormat="1" ht="29.1" customHeight="1" x14ac:dyDescent="0.25">
      <c r="A20257" s="2" t="s">
        <v>39762</v>
      </c>
      <c r="B20257" s="2" t="s">
        <v>39763</v>
      </c>
      <c r="C20257" s="2" t="s">
        <v>195</v>
      </c>
      <c r="D20257" s="2" t="s">
        <v>9600</v>
      </c>
      <c r="E20257" s="2" t="str">
        <f>"9781501511851"</f>
        <v>9781501511851</v>
      </c>
      <c r="F20257" s="2" t="str">
        <f>"9781501503870"</f>
        <v>9781501503870</v>
      </c>
    </row>
    <row r="20258" spans="1:6" s="3" customFormat="1" ht="29.1" customHeight="1" x14ac:dyDescent="0.25">
      <c r="A20258" s="2" t="s">
        <v>39764</v>
      </c>
      <c r="B20258" s="2" t="s">
        <v>39765</v>
      </c>
      <c r="C20258" s="2" t="s">
        <v>195</v>
      </c>
      <c r="D20258" s="2" t="s">
        <v>1999</v>
      </c>
      <c r="E20258" s="2" t="str">
        <f>"9783110633085"</f>
        <v>9783110633085</v>
      </c>
      <c r="F20258" s="2" t="str">
        <f>"9783110679366"</f>
        <v>9783110679366</v>
      </c>
    </row>
    <row r="20259" spans="1:6" s="3" customFormat="1" ht="29.1" customHeight="1" x14ac:dyDescent="0.25">
      <c r="A20259" s="2" t="s">
        <v>39766</v>
      </c>
      <c r="B20259" s="2" t="s">
        <v>30329</v>
      </c>
      <c r="C20259" s="2" t="s">
        <v>195</v>
      </c>
      <c r="D20259" s="2" t="s">
        <v>3149</v>
      </c>
      <c r="E20259" s="2" t="str">
        <f>"9783110619010"</f>
        <v>9783110619010</v>
      </c>
      <c r="F20259" s="2" t="str">
        <f>"9783110619034"</f>
        <v>9783110619034</v>
      </c>
    </row>
    <row r="20260" spans="1:6" s="3" customFormat="1" ht="29.1" customHeight="1" x14ac:dyDescent="0.25">
      <c r="A20260" s="2" t="s">
        <v>39767</v>
      </c>
      <c r="B20260" s="2" t="s">
        <v>39768</v>
      </c>
      <c r="C20260" s="2" t="s">
        <v>195</v>
      </c>
      <c r="D20260" s="2" t="s">
        <v>202</v>
      </c>
      <c r="E20260" s="2" t="str">
        <f>"9783110693645"</f>
        <v>9783110693645</v>
      </c>
      <c r="F20260" s="2" t="str">
        <f>"9783110695380"</f>
        <v>9783110695380</v>
      </c>
    </row>
    <row r="20261" spans="1:6" s="3" customFormat="1" ht="29.1" customHeight="1" x14ac:dyDescent="0.25">
      <c r="A20261" s="2" t="s">
        <v>39769</v>
      </c>
      <c r="B20261" s="2" t="s">
        <v>39770</v>
      </c>
      <c r="C20261" s="2" t="s">
        <v>195</v>
      </c>
      <c r="D20261" s="2" t="s">
        <v>20003</v>
      </c>
      <c r="E20261" s="2" t="str">
        <f>"9783110661569"</f>
        <v>9783110661569</v>
      </c>
      <c r="F20261" s="2" t="str">
        <f>"9783110661576"</f>
        <v>9783110661576</v>
      </c>
    </row>
    <row r="20262" spans="1:6" s="3" customFormat="1" ht="29.1" customHeight="1" x14ac:dyDescent="0.25">
      <c r="A20262" s="2" t="s">
        <v>39771</v>
      </c>
      <c r="B20262" s="2" t="s">
        <v>39772</v>
      </c>
      <c r="C20262" s="2" t="s">
        <v>195</v>
      </c>
      <c r="D20262" s="2" t="s">
        <v>33</v>
      </c>
      <c r="E20262" s="2" t="str">
        <f>"9783111302270"</f>
        <v>9783111302270</v>
      </c>
      <c r="F20262" s="2" t="str">
        <f>"9783111689692"</f>
        <v>9783111689692</v>
      </c>
    </row>
    <row r="20263" spans="1:6" s="3" customFormat="1" ht="29.1" customHeight="1" x14ac:dyDescent="0.25">
      <c r="A20263" s="2" t="s">
        <v>39773</v>
      </c>
      <c r="B20263" s="2" t="s">
        <v>39774</v>
      </c>
      <c r="C20263" s="2" t="s">
        <v>195</v>
      </c>
      <c r="D20263" s="2" t="s">
        <v>1651</v>
      </c>
      <c r="E20263" s="2" t="str">
        <f>"9783110617238"</f>
        <v>9783110617238</v>
      </c>
      <c r="F20263" s="2" t="str">
        <f>"9783110617245"</f>
        <v>9783110617245</v>
      </c>
    </row>
    <row r="20264" spans="1:6" s="3" customFormat="1" ht="29.1" customHeight="1" x14ac:dyDescent="0.25">
      <c r="A20264" s="2" t="s">
        <v>39775</v>
      </c>
      <c r="B20264" s="2" t="s">
        <v>39776</v>
      </c>
      <c r="C20264" s="2" t="s">
        <v>195</v>
      </c>
      <c r="D20264" s="2" t="s">
        <v>30328</v>
      </c>
      <c r="E20264" s="2" t="str">
        <f>"9783110629668"</f>
        <v>9783110629668</v>
      </c>
      <c r="F20264" s="2" t="str">
        <f>"9783110668926"</f>
        <v>9783110668926</v>
      </c>
    </row>
    <row r="20265" spans="1:6" s="3" customFormat="1" ht="29.1" customHeight="1" x14ac:dyDescent="0.25">
      <c r="A20265" s="2" t="s">
        <v>39777</v>
      </c>
      <c r="B20265" s="2" t="s">
        <v>39778</v>
      </c>
      <c r="C20265" s="2" t="s">
        <v>195</v>
      </c>
      <c r="D20265" s="2" t="s">
        <v>33</v>
      </c>
      <c r="E20265" s="2" t="str">
        <f>"9783486754339"</f>
        <v>9783486754339</v>
      </c>
      <c r="F20265" s="2" t="str">
        <f>"9783486754346"</f>
        <v>9783486754346</v>
      </c>
    </row>
    <row r="20266" spans="1:6" s="3" customFormat="1" ht="29.1" customHeight="1" x14ac:dyDescent="0.25">
      <c r="A20266" s="2" t="s">
        <v>39779</v>
      </c>
      <c r="B20266" s="2" t="s">
        <v>39780</v>
      </c>
      <c r="C20266" s="2" t="s">
        <v>195</v>
      </c>
      <c r="D20266" s="2" t="s">
        <v>1956</v>
      </c>
      <c r="E20266" s="2" t="str">
        <f>"9783110666489"</f>
        <v>9783110666489</v>
      </c>
      <c r="F20266" s="2" t="str">
        <f>"9783110666564"</f>
        <v>9783110666564</v>
      </c>
    </row>
    <row r="20267" spans="1:6" s="3" customFormat="1" ht="29.1" customHeight="1" x14ac:dyDescent="0.25">
      <c r="A20267" s="2" t="s">
        <v>39781</v>
      </c>
      <c r="B20267" s="2" t="s">
        <v>39782</v>
      </c>
      <c r="C20267" s="2" t="s">
        <v>195</v>
      </c>
      <c r="D20267" s="2" t="s">
        <v>465</v>
      </c>
      <c r="E20267" s="2" t="str">
        <f>"9783110591965"</f>
        <v>9783110591965</v>
      </c>
      <c r="F20267" s="2" t="str">
        <f>"9783110592016"</f>
        <v>9783110592016</v>
      </c>
    </row>
    <row r="20268" spans="1:6" s="3" customFormat="1" ht="29.1" customHeight="1" x14ac:dyDescent="0.25">
      <c r="A20268" s="2" t="s">
        <v>39783</v>
      </c>
      <c r="B20268" s="2" t="s">
        <v>39784</v>
      </c>
      <c r="C20268" s="2" t="s">
        <v>195</v>
      </c>
      <c r="D20268" s="2" t="s">
        <v>2237</v>
      </c>
      <c r="E20268" s="2" t="str">
        <f>"9783943460766"</f>
        <v>9783943460766</v>
      </c>
      <c r="F20268" s="2" t="str">
        <f>"9783110720105"</f>
        <v>9783110720105</v>
      </c>
    </row>
    <row r="20269" spans="1:6" s="3" customFormat="1" ht="29.1" customHeight="1" x14ac:dyDescent="0.25">
      <c r="A20269" s="2" t="s">
        <v>39785</v>
      </c>
      <c r="B20269" s="2" t="s">
        <v>39786</v>
      </c>
      <c r="C20269" s="2" t="s">
        <v>195</v>
      </c>
      <c r="D20269" s="2" t="s">
        <v>1130</v>
      </c>
      <c r="E20269" s="2" t="str">
        <f>"9783110615920"</f>
        <v>9783110615920</v>
      </c>
      <c r="F20269" s="2" t="str">
        <f>"9783110616033"</f>
        <v>9783110616033</v>
      </c>
    </row>
    <row r="20270" spans="1:6" s="3" customFormat="1" ht="29.1" customHeight="1" x14ac:dyDescent="0.25">
      <c r="A20270" s="2" t="s">
        <v>39787</v>
      </c>
      <c r="B20270" s="2" t="s">
        <v>39788</v>
      </c>
      <c r="C20270" s="2" t="s">
        <v>195</v>
      </c>
      <c r="D20270" s="2" t="s">
        <v>138</v>
      </c>
      <c r="E20270" s="2" t="str">
        <f>"9783110608113"</f>
        <v>9783110608113</v>
      </c>
      <c r="F20270" s="2" t="str">
        <f>"9783110629057"</f>
        <v>9783110629057</v>
      </c>
    </row>
    <row r="20271" spans="1:6" s="3" customFormat="1" ht="29.1" customHeight="1" x14ac:dyDescent="0.25">
      <c r="A20271" s="2" t="s">
        <v>39789</v>
      </c>
      <c r="B20271" s="2" t="s">
        <v>39790</v>
      </c>
      <c r="C20271" s="2" t="s">
        <v>195</v>
      </c>
      <c r="D20271" s="2" t="s">
        <v>221</v>
      </c>
      <c r="E20271" s="2" t="str">
        <f>"9783110640052"</f>
        <v>9783110640052</v>
      </c>
      <c r="F20271" s="2" t="str">
        <f>"9783110640069"</f>
        <v>9783110640069</v>
      </c>
    </row>
    <row r="20272" spans="1:6" s="3" customFormat="1" ht="29.1" customHeight="1" x14ac:dyDescent="0.25">
      <c r="A20272" s="2" t="s">
        <v>39791</v>
      </c>
      <c r="B20272" s="2" t="s">
        <v>39792</v>
      </c>
      <c r="C20272" s="2" t="s">
        <v>195</v>
      </c>
      <c r="D20272" s="2" t="s">
        <v>210</v>
      </c>
      <c r="E20272" s="2" t="str">
        <f>"9783110670295"</f>
        <v>9783110670295</v>
      </c>
      <c r="F20272" s="2" t="str">
        <f>"9783110670523"</f>
        <v>9783110670523</v>
      </c>
    </row>
    <row r="20273" spans="1:6" s="3" customFormat="1" ht="29.1" customHeight="1" x14ac:dyDescent="0.25">
      <c r="A20273" s="2" t="s">
        <v>39793</v>
      </c>
      <c r="B20273" s="2" t="s">
        <v>39794</v>
      </c>
      <c r="C20273" s="2" t="s">
        <v>195</v>
      </c>
      <c r="D20273" s="2" t="s">
        <v>210</v>
      </c>
      <c r="E20273" s="2" t="str">
        <f>"9783110690316"</f>
        <v>9783110690316</v>
      </c>
      <c r="F20273" s="2" t="str">
        <f>"9783110593587"</f>
        <v>9783110593587</v>
      </c>
    </row>
    <row r="20274" spans="1:6" s="3" customFormat="1" ht="29.1" customHeight="1" x14ac:dyDescent="0.25">
      <c r="A20274" s="2" t="s">
        <v>39795</v>
      </c>
      <c r="B20274" s="2" t="s">
        <v>39796</v>
      </c>
      <c r="C20274" s="2" t="s">
        <v>195</v>
      </c>
      <c r="D20274" s="2" t="s">
        <v>459</v>
      </c>
      <c r="E20274" s="2" t="str">
        <f>"9783110536751"</f>
        <v>9783110536751</v>
      </c>
      <c r="F20274" s="2" t="str">
        <f>"9783110536812"</f>
        <v>9783110536812</v>
      </c>
    </row>
    <row r="20275" spans="1:6" s="3" customFormat="1" ht="29.1" customHeight="1" x14ac:dyDescent="0.25">
      <c r="A20275" s="2" t="s">
        <v>39797</v>
      </c>
      <c r="B20275" s="2" t="s">
        <v>39798</v>
      </c>
      <c r="C20275" s="2" t="s">
        <v>195</v>
      </c>
      <c r="D20275" s="2" t="s">
        <v>459</v>
      </c>
      <c r="E20275" s="2" t="str">
        <f>"9783110692655"</f>
        <v>9783110692655</v>
      </c>
      <c r="F20275" s="2" t="str">
        <f>"9783110692716"</f>
        <v>9783110692716</v>
      </c>
    </row>
    <row r="20276" spans="1:6" s="3" customFormat="1" ht="29.1" customHeight="1" x14ac:dyDescent="0.25">
      <c r="A20276" s="2" t="s">
        <v>39799</v>
      </c>
      <c r="B20276" s="2" t="s">
        <v>39800</v>
      </c>
      <c r="C20276" s="2" t="s">
        <v>195</v>
      </c>
      <c r="D20276" s="2" t="s">
        <v>3166</v>
      </c>
      <c r="E20276" s="2" t="str">
        <f>"9783110721188"</f>
        <v>9783110721188</v>
      </c>
      <c r="F20276" s="2" t="str">
        <f>"9783110729115"</f>
        <v>9783110729115</v>
      </c>
    </row>
    <row r="20277" spans="1:6" s="3" customFormat="1" ht="29.1" customHeight="1" x14ac:dyDescent="0.25">
      <c r="A20277" s="2" t="s">
        <v>39801</v>
      </c>
      <c r="B20277" s="2" t="s">
        <v>39802</v>
      </c>
      <c r="C20277" s="2" t="s">
        <v>195</v>
      </c>
      <c r="D20277" s="2" t="s">
        <v>1669</v>
      </c>
      <c r="E20277" s="2" t="str">
        <f>"9783110671674"</f>
        <v>9783110671674</v>
      </c>
      <c r="F20277" s="2" t="str">
        <f>"9783110671827"</f>
        <v>9783110671827</v>
      </c>
    </row>
    <row r="20278" spans="1:6" s="3" customFormat="1" ht="29.1" customHeight="1" x14ac:dyDescent="0.25">
      <c r="A20278" s="2" t="s">
        <v>39803</v>
      </c>
      <c r="B20278" s="2" t="s">
        <v>39804</v>
      </c>
      <c r="C20278" s="2" t="s">
        <v>195</v>
      </c>
      <c r="D20278" s="2" t="s">
        <v>689</v>
      </c>
      <c r="E20278" s="2" t="str">
        <f>"9783110448139"</f>
        <v>9783110448139</v>
      </c>
      <c r="F20278" s="2" t="str">
        <f>"9783110526288"</f>
        <v>9783110526288</v>
      </c>
    </row>
    <row r="20279" spans="1:6" s="3" customFormat="1" ht="29.1" customHeight="1" x14ac:dyDescent="0.25">
      <c r="A20279" s="2" t="s">
        <v>39805</v>
      </c>
      <c r="B20279" s="2" t="s">
        <v>39548</v>
      </c>
      <c r="C20279" s="2" t="s">
        <v>195</v>
      </c>
      <c r="D20279" s="2" t="s">
        <v>3043</v>
      </c>
      <c r="E20279" s="2" t="str">
        <f>"9783110556087"</f>
        <v>9783110556087</v>
      </c>
      <c r="F20279" s="2" t="str">
        <f>"9783110556094"</f>
        <v>9783110556094</v>
      </c>
    </row>
    <row r="20280" spans="1:6" s="3" customFormat="1" ht="29.1" customHeight="1" x14ac:dyDescent="0.25">
      <c r="A20280" s="2" t="s">
        <v>39806</v>
      </c>
      <c r="B20280" s="2" t="s">
        <v>39807</v>
      </c>
      <c r="C20280" s="2" t="s">
        <v>195</v>
      </c>
      <c r="D20280" s="2" t="s">
        <v>5335</v>
      </c>
      <c r="E20280" s="2" t="str">
        <f>"9783110607482"</f>
        <v>9783110607482</v>
      </c>
      <c r="F20280" s="2" t="str">
        <f>"9783110607529"</f>
        <v>9783110607529</v>
      </c>
    </row>
    <row r="20281" spans="1:6" s="3" customFormat="1" ht="29.1" customHeight="1" x14ac:dyDescent="0.25">
      <c r="A20281" s="2" t="s">
        <v>39808</v>
      </c>
      <c r="B20281" s="2" t="s">
        <v>39809</v>
      </c>
      <c r="C20281" s="2" t="s">
        <v>195</v>
      </c>
      <c r="D20281" s="2" t="s">
        <v>297</v>
      </c>
      <c r="E20281" s="2" t="str">
        <f>"9783110655094"</f>
        <v>9783110655094</v>
      </c>
      <c r="F20281" s="2" t="str">
        <f>"9783110669398"</f>
        <v>9783110669398</v>
      </c>
    </row>
    <row r="20282" spans="1:6" s="3" customFormat="1" ht="29.1" customHeight="1" x14ac:dyDescent="0.25">
      <c r="A20282" s="2" t="s">
        <v>39810</v>
      </c>
      <c r="B20282" s="2" t="s">
        <v>39811</v>
      </c>
      <c r="C20282" s="2" t="s">
        <v>195</v>
      </c>
      <c r="D20282" s="2" t="s">
        <v>459</v>
      </c>
      <c r="E20282" s="2" t="str">
        <f>"9783110484595"</f>
        <v>9783110484595</v>
      </c>
      <c r="F20282" s="2" t="str">
        <f>"9783110484663"</f>
        <v>9783110484663</v>
      </c>
    </row>
    <row r="20283" spans="1:6" s="3" customFormat="1" ht="29.1" customHeight="1" x14ac:dyDescent="0.25">
      <c r="A20283" s="2" t="s">
        <v>39812</v>
      </c>
      <c r="B20283" s="2" t="s">
        <v>39813</v>
      </c>
      <c r="C20283" s="2" t="s">
        <v>195</v>
      </c>
      <c r="D20283" s="2" t="s">
        <v>5903</v>
      </c>
      <c r="E20283" s="2" t="str">
        <f>"9783110622041"</f>
        <v>9783110622041</v>
      </c>
      <c r="F20283" s="2" t="str">
        <f>"9783110622096"</f>
        <v>9783110622096</v>
      </c>
    </row>
    <row r="20284" spans="1:6" s="3" customFormat="1" ht="29.1" customHeight="1" x14ac:dyDescent="0.25">
      <c r="A20284" s="2" t="s">
        <v>33844</v>
      </c>
      <c r="B20284" s="2" t="s">
        <v>39814</v>
      </c>
      <c r="C20284" s="2" t="s">
        <v>195</v>
      </c>
      <c r="D20284" s="2" t="s">
        <v>462</v>
      </c>
      <c r="E20284" s="2" t="str">
        <f>"9783110604511"</f>
        <v>9783110604511</v>
      </c>
      <c r="F20284" s="2" t="str">
        <f>"9783110604948"</f>
        <v>9783110604948</v>
      </c>
    </row>
    <row r="20285" spans="1:6" s="3" customFormat="1" ht="29.1" customHeight="1" x14ac:dyDescent="0.25">
      <c r="A20285" s="2" t="s">
        <v>39815</v>
      </c>
      <c r="B20285" s="2" t="s">
        <v>39816</v>
      </c>
      <c r="C20285" s="2" t="s">
        <v>195</v>
      </c>
      <c r="D20285" s="2" t="s">
        <v>682</v>
      </c>
      <c r="E20285" s="2" t="str">
        <f>"9783486776263"</f>
        <v>9783486776263</v>
      </c>
      <c r="F20285" s="2" t="str">
        <f>"9783486776270"</f>
        <v>9783486776270</v>
      </c>
    </row>
    <row r="20286" spans="1:6" s="3" customFormat="1" ht="29.1" customHeight="1" x14ac:dyDescent="0.25">
      <c r="A20286" s="2" t="s">
        <v>36708</v>
      </c>
      <c r="B20286" s="2" t="s">
        <v>39817</v>
      </c>
      <c r="C20286" s="2" t="s">
        <v>195</v>
      </c>
      <c r="D20286" s="2" t="s">
        <v>2199</v>
      </c>
      <c r="E20286" s="2" t="str">
        <f>"9783110634877"</f>
        <v>9783110634877</v>
      </c>
      <c r="F20286" s="2" t="str">
        <f>"9783110636543"</f>
        <v>9783110636543</v>
      </c>
    </row>
    <row r="20287" spans="1:6" s="3" customFormat="1" ht="29.1" customHeight="1" x14ac:dyDescent="0.25">
      <c r="A20287" s="2" t="s">
        <v>39818</v>
      </c>
      <c r="B20287" s="2" t="s">
        <v>39819</v>
      </c>
      <c r="C20287" s="2" t="s">
        <v>195</v>
      </c>
      <c r="D20287" s="2" t="s">
        <v>2237</v>
      </c>
      <c r="E20287" s="2" t="str">
        <f>"9783111136776"</f>
        <v>9783111136776</v>
      </c>
      <c r="F20287" s="2" t="str">
        <f>"9783111503417"</f>
        <v>9783111503417</v>
      </c>
    </row>
    <row r="20288" spans="1:6" s="3" customFormat="1" ht="29.1" customHeight="1" x14ac:dyDescent="0.25">
      <c r="A20288" s="2" t="s">
        <v>39820</v>
      </c>
      <c r="B20288" s="2" t="s">
        <v>39821</v>
      </c>
      <c r="C20288" s="2" t="s">
        <v>195</v>
      </c>
      <c r="D20288" s="2" t="s">
        <v>98</v>
      </c>
      <c r="E20288" s="2" t="str">
        <f>"9783111203591"</f>
        <v>9783111203591</v>
      </c>
      <c r="F20288" s="2" t="str">
        <f>"9783111575803"</f>
        <v>9783111575803</v>
      </c>
    </row>
    <row r="20289" spans="1:6" s="3" customFormat="1" ht="29.1" customHeight="1" x14ac:dyDescent="0.25">
      <c r="A20289" s="2" t="s">
        <v>39822</v>
      </c>
      <c r="B20289" s="2" t="s">
        <v>39823</v>
      </c>
      <c r="C20289" s="2" t="s">
        <v>195</v>
      </c>
      <c r="D20289" s="2" t="s">
        <v>9600</v>
      </c>
      <c r="E20289" s="2" t="str">
        <f>"9783110714227"</f>
        <v>9783110714227</v>
      </c>
      <c r="F20289" s="2" t="str">
        <f>"9783110714333"</f>
        <v>9783110714333</v>
      </c>
    </row>
    <row r="20290" spans="1:6" s="3" customFormat="1" ht="29.1" customHeight="1" x14ac:dyDescent="0.25">
      <c r="A20290" s="2" t="s">
        <v>39824</v>
      </c>
      <c r="B20290" s="2" t="s">
        <v>39825</v>
      </c>
      <c r="C20290" s="2" t="s">
        <v>195</v>
      </c>
      <c r="D20290" s="2" t="s">
        <v>150</v>
      </c>
      <c r="E20290" s="2" t="str">
        <f>"9783110677188"</f>
        <v>9783110677188</v>
      </c>
      <c r="F20290" s="2" t="str">
        <f>"9783110677263"</f>
        <v>9783110677263</v>
      </c>
    </row>
    <row r="20291" spans="1:6" s="3" customFormat="1" ht="29.1" customHeight="1" x14ac:dyDescent="0.25">
      <c r="A20291" s="2" t="s">
        <v>39826</v>
      </c>
      <c r="B20291" s="2" t="s">
        <v>39827</v>
      </c>
      <c r="C20291" s="2" t="s">
        <v>195</v>
      </c>
      <c r="D20291" s="2" t="s">
        <v>98</v>
      </c>
      <c r="E20291" s="2" t="str">
        <f>"9783110037647"</f>
        <v>9783110037647</v>
      </c>
      <c r="F20291" s="2" t="str">
        <f>"9783111369914"</f>
        <v>9783111369914</v>
      </c>
    </row>
    <row r="20292" spans="1:6" s="3" customFormat="1" ht="29.1" customHeight="1" x14ac:dyDescent="0.25">
      <c r="A20292" s="2" t="s">
        <v>39828</v>
      </c>
      <c r="B20292" s="2" t="s">
        <v>38894</v>
      </c>
      <c r="C20292" s="2" t="s">
        <v>195</v>
      </c>
      <c r="D20292" s="2" t="s">
        <v>462</v>
      </c>
      <c r="E20292" s="2" t="str">
        <f>"9783110538519"</f>
        <v>9783110538519</v>
      </c>
      <c r="F20292" s="2" t="str">
        <f>"9783110547474"</f>
        <v>9783110547474</v>
      </c>
    </row>
    <row r="20293" spans="1:6" s="3" customFormat="1" ht="29.1" customHeight="1" x14ac:dyDescent="0.25">
      <c r="A20293" s="2" t="s">
        <v>39349</v>
      </c>
      <c r="B20293" s="2" t="s">
        <v>39350</v>
      </c>
      <c r="C20293" s="2" t="s">
        <v>195</v>
      </c>
      <c r="D20293" s="2" t="s">
        <v>20286</v>
      </c>
      <c r="E20293" s="2" t="str">
        <f>"9783110614466"</f>
        <v>9783110614466</v>
      </c>
      <c r="F20293" s="2" t="str">
        <f>"9783110614442"</f>
        <v>9783110614442</v>
      </c>
    </row>
    <row r="20294" spans="1:6" s="3" customFormat="1" ht="29.1" customHeight="1" x14ac:dyDescent="0.25">
      <c r="A20294" s="2" t="s">
        <v>39829</v>
      </c>
      <c r="B20294" s="2" t="s">
        <v>414</v>
      </c>
      <c r="C20294" s="2" t="s">
        <v>195</v>
      </c>
      <c r="D20294" s="2" t="s">
        <v>459</v>
      </c>
      <c r="E20294" s="2" t="str">
        <f>"9783110586763"</f>
        <v>9783110586763</v>
      </c>
      <c r="F20294" s="2" t="str">
        <f>"9783110586770"</f>
        <v>9783110586770</v>
      </c>
    </row>
    <row r="20295" spans="1:6" s="3" customFormat="1" ht="29.1" customHeight="1" x14ac:dyDescent="0.25">
      <c r="A20295" s="2" t="s">
        <v>39830</v>
      </c>
      <c r="B20295" s="2" t="s">
        <v>39831</v>
      </c>
      <c r="C20295" s="2" t="s">
        <v>195</v>
      </c>
      <c r="D20295" s="2" t="s">
        <v>33</v>
      </c>
      <c r="E20295" s="2" t="str">
        <f>"9783110634983"</f>
        <v>9783110634983</v>
      </c>
      <c r="F20295" s="2" t="str">
        <f>"9783110635089"</f>
        <v>9783110635089</v>
      </c>
    </row>
    <row r="20296" spans="1:6" s="3" customFormat="1" ht="29.1" customHeight="1" x14ac:dyDescent="0.25">
      <c r="A20296" s="2" t="s">
        <v>39832</v>
      </c>
      <c r="B20296" s="2" t="s">
        <v>39833</v>
      </c>
      <c r="C20296" s="2" t="s">
        <v>195</v>
      </c>
      <c r="D20296" s="2" t="s">
        <v>49</v>
      </c>
      <c r="E20296" s="2" t="str">
        <f>"9781501516931"</f>
        <v>9781501516931</v>
      </c>
      <c r="F20296" s="2" t="str">
        <f>"9781501516948"</f>
        <v>9781501516948</v>
      </c>
    </row>
    <row r="20297" spans="1:6" s="3" customFormat="1" ht="29.1" customHeight="1" x14ac:dyDescent="0.25">
      <c r="A20297" s="2" t="s">
        <v>39834</v>
      </c>
      <c r="B20297" s="2" t="s">
        <v>38991</v>
      </c>
      <c r="C20297" s="2" t="s">
        <v>195</v>
      </c>
      <c r="D20297" s="2" t="s">
        <v>2237</v>
      </c>
      <c r="E20297" s="2" t="str">
        <f>"9783110662948"</f>
        <v>9783110662948</v>
      </c>
      <c r="F20297" s="2" t="str">
        <f>"9783110662955"</f>
        <v>9783110662955</v>
      </c>
    </row>
    <row r="20298" spans="1:6" s="3" customFormat="1" ht="29.1" customHeight="1" x14ac:dyDescent="0.25">
      <c r="A20298" s="2" t="s">
        <v>39835</v>
      </c>
      <c r="B20298" s="2" t="s">
        <v>39836</v>
      </c>
      <c r="C20298" s="2" t="s">
        <v>195</v>
      </c>
      <c r="D20298" s="2" t="s">
        <v>2083</v>
      </c>
      <c r="E20298" s="2" t="str">
        <f>"9783110477740"</f>
        <v>9783110477740</v>
      </c>
      <c r="F20298" s="2" t="str">
        <f>"9783110477757"</f>
        <v>9783110477757</v>
      </c>
    </row>
    <row r="20299" spans="1:6" s="3" customFormat="1" ht="29.1" customHeight="1" x14ac:dyDescent="0.25">
      <c r="A20299" s="2" t="s">
        <v>39837</v>
      </c>
      <c r="B20299" s="2" t="s">
        <v>39838</v>
      </c>
      <c r="C20299" s="2" t="s">
        <v>195</v>
      </c>
      <c r="D20299" s="2" t="s">
        <v>210</v>
      </c>
      <c r="E20299" s="2" t="str">
        <f>"9783486770544"</f>
        <v>9783486770544</v>
      </c>
      <c r="F20299" s="2" t="str">
        <f>"9783486770575"</f>
        <v>9783486770575</v>
      </c>
    </row>
    <row r="20300" spans="1:6" s="3" customFormat="1" ht="29.1" customHeight="1" x14ac:dyDescent="0.25">
      <c r="A20300" s="2" t="s">
        <v>39839</v>
      </c>
      <c r="B20300" s="2" t="s">
        <v>39840</v>
      </c>
      <c r="C20300" s="2" t="s">
        <v>195</v>
      </c>
      <c r="D20300" s="2" t="s">
        <v>5635</v>
      </c>
      <c r="E20300" s="2" t="str">
        <f>"9783110543094"</f>
        <v>9783110543094</v>
      </c>
      <c r="F20300" s="2" t="str">
        <f>"9783110543100"</f>
        <v>9783110543100</v>
      </c>
    </row>
    <row r="20301" spans="1:6" s="3" customFormat="1" ht="29.1" customHeight="1" x14ac:dyDescent="0.25">
      <c r="A20301" s="2" t="s">
        <v>39841</v>
      </c>
      <c r="B20301" s="2" t="s">
        <v>39842</v>
      </c>
      <c r="C20301" s="2" t="s">
        <v>195</v>
      </c>
      <c r="D20301" s="2" t="s">
        <v>8388</v>
      </c>
      <c r="E20301" s="2" t="str">
        <f>"9783110713008"</f>
        <v>9783110713008</v>
      </c>
      <c r="F20301" s="2" t="str">
        <f>"9783110713015"</f>
        <v>9783110713015</v>
      </c>
    </row>
    <row r="20302" spans="1:6" s="3" customFormat="1" ht="29.1" customHeight="1" x14ac:dyDescent="0.25">
      <c r="A20302" s="2" t="s">
        <v>39843</v>
      </c>
      <c r="B20302" s="2" t="s">
        <v>39844</v>
      </c>
      <c r="C20302" s="2" t="s">
        <v>195</v>
      </c>
      <c r="D20302" s="2" t="s">
        <v>459</v>
      </c>
      <c r="E20302" s="2" t="str">
        <f>"9783110991192"</f>
        <v>9783110991192</v>
      </c>
      <c r="F20302" s="2" t="str">
        <f>"9783111342498"</f>
        <v>9783111342498</v>
      </c>
    </row>
    <row r="20303" spans="1:6" s="3" customFormat="1" ht="29.1" customHeight="1" x14ac:dyDescent="0.25">
      <c r="A20303" s="2" t="s">
        <v>39845</v>
      </c>
      <c r="B20303" s="2" t="s">
        <v>39846</v>
      </c>
      <c r="C20303" s="2" t="s">
        <v>195</v>
      </c>
      <c r="D20303" s="2" t="s">
        <v>402</v>
      </c>
      <c r="E20303" s="2" t="str">
        <f>"9783110450927"</f>
        <v>9783110450927</v>
      </c>
      <c r="F20303" s="2" t="str">
        <f>"9783110450934"</f>
        <v>9783110450934</v>
      </c>
    </row>
    <row r="20304" spans="1:6" s="3" customFormat="1" ht="29.1" customHeight="1" x14ac:dyDescent="0.25">
      <c r="A20304" s="2" t="s">
        <v>39847</v>
      </c>
      <c r="B20304" s="2" t="s">
        <v>39848</v>
      </c>
      <c r="C20304" s="2" t="s">
        <v>195</v>
      </c>
      <c r="D20304" s="2" t="s">
        <v>1630</v>
      </c>
      <c r="E20304" s="2" t="str">
        <f>"9783110686937"</f>
        <v>9783110686937</v>
      </c>
      <c r="F20304" s="2" t="str">
        <f>"9783110687040"</f>
        <v>9783110687040</v>
      </c>
    </row>
    <row r="20305" spans="1:6" s="3" customFormat="1" ht="29.1" customHeight="1" x14ac:dyDescent="0.25">
      <c r="A20305" s="2" t="s">
        <v>39849</v>
      </c>
      <c r="B20305" s="2" t="s">
        <v>39850</v>
      </c>
      <c r="C20305" s="2" t="s">
        <v>195</v>
      </c>
      <c r="D20305" s="2" t="s">
        <v>3166</v>
      </c>
      <c r="E20305" s="2" t="str">
        <f>"9783110659108"</f>
        <v>9783110659108</v>
      </c>
      <c r="F20305" s="2" t="str">
        <f>"9783110664720"</f>
        <v>9783110664720</v>
      </c>
    </row>
    <row r="20306" spans="1:6" s="3" customFormat="1" ht="29.1" customHeight="1" x14ac:dyDescent="0.25">
      <c r="A20306" s="2" t="s">
        <v>39851</v>
      </c>
      <c r="B20306" s="2" t="s">
        <v>39852</v>
      </c>
      <c r="C20306" s="2" t="s">
        <v>195</v>
      </c>
      <c r="D20306" s="2" t="s">
        <v>1432</v>
      </c>
      <c r="E20306" s="2" t="str">
        <f>"9783110543070"</f>
        <v>9783110543070</v>
      </c>
      <c r="F20306" s="2" t="str">
        <f>"9783110543087"</f>
        <v>9783110543087</v>
      </c>
    </row>
    <row r="20307" spans="1:6" s="3" customFormat="1" ht="29.1" customHeight="1" x14ac:dyDescent="0.25">
      <c r="A20307" s="2" t="s">
        <v>39853</v>
      </c>
      <c r="B20307" s="2" t="s">
        <v>39854</v>
      </c>
      <c r="C20307" s="2" t="s">
        <v>195</v>
      </c>
      <c r="D20307" s="2" t="s">
        <v>186</v>
      </c>
      <c r="E20307" s="2" t="str">
        <f>"9783110993974"</f>
        <v>9783110993974</v>
      </c>
      <c r="F20307" s="2" t="str">
        <f>"9783111347455"</f>
        <v>9783111347455</v>
      </c>
    </row>
    <row r="20308" spans="1:6" s="3" customFormat="1" ht="29.1" customHeight="1" x14ac:dyDescent="0.25">
      <c r="A20308" s="2" t="s">
        <v>39855</v>
      </c>
      <c r="B20308" s="2" t="s">
        <v>39856</v>
      </c>
      <c r="C20308" s="2" t="s">
        <v>195</v>
      </c>
      <c r="D20308" s="2" t="s">
        <v>1183</v>
      </c>
      <c r="E20308" s="2" t="str">
        <f>"9783110646085"</f>
        <v>9783110646085</v>
      </c>
      <c r="F20308" s="2" t="str">
        <f>"9783110646740"</f>
        <v>9783110646740</v>
      </c>
    </row>
    <row r="20309" spans="1:6" s="3" customFormat="1" ht="29.1" customHeight="1" x14ac:dyDescent="0.25">
      <c r="A20309" s="2" t="s">
        <v>39857</v>
      </c>
      <c r="B20309" s="2" t="s">
        <v>39858</v>
      </c>
      <c r="C20309" s="2" t="s">
        <v>195</v>
      </c>
      <c r="D20309" s="2" t="s">
        <v>459</v>
      </c>
      <c r="E20309" s="2" t="str">
        <f>"9783110995701"</f>
        <v>9783110995701</v>
      </c>
      <c r="F20309" s="2" t="str">
        <f>"9783111729107"</f>
        <v>9783111729107</v>
      </c>
    </row>
    <row r="20310" spans="1:6" s="3" customFormat="1" ht="29.1" customHeight="1" x14ac:dyDescent="0.25">
      <c r="A20310" s="2" t="s">
        <v>39859</v>
      </c>
      <c r="B20310" s="2" t="s">
        <v>39860</v>
      </c>
      <c r="C20310" s="2" t="s">
        <v>195</v>
      </c>
      <c r="D20310" s="2" t="s">
        <v>446</v>
      </c>
      <c r="E20310" s="2" t="str">
        <f>"9783110581812"</f>
        <v>9783110581812</v>
      </c>
      <c r="F20310" s="2" t="str">
        <f>"9783110584707"</f>
        <v>9783110584707</v>
      </c>
    </row>
    <row r="20311" spans="1:6" s="3" customFormat="1" ht="29.1" customHeight="1" x14ac:dyDescent="0.25">
      <c r="A20311" s="2" t="s">
        <v>39861</v>
      </c>
      <c r="B20311" s="2" t="s">
        <v>39862</v>
      </c>
      <c r="C20311" s="2" t="s">
        <v>195</v>
      </c>
      <c r="D20311" s="2" t="s">
        <v>1144</v>
      </c>
      <c r="E20311" s="2" t="str">
        <f>"9783110463668"</f>
        <v>9783110463668</v>
      </c>
      <c r="F20311" s="2" t="str">
        <f>"9783110463774"</f>
        <v>9783110463774</v>
      </c>
    </row>
    <row r="20312" spans="1:6" s="3" customFormat="1" ht="29.1" customHeight="1" x14ac:dyDescent="0.25">
      <c r="A20312" s="2" t="s">
        <v>39863</v>
      </c>
      <c r="B20312" s="2" t="s">
        <v>39864</v>
      </c>
      <c r="C20312" s="2" t="s">
        <v>195</v>
      </c>
      <c r="D20312" s="2" t="s">
        <v>1049</v>
      </c>
      <c r="E20312" s="2" t="str">
        <f>"9783110549522"</f>
        <v>9783110549522</v>
      </c>
      <c r="F20312" s="2" t="str">
        <f>"9783110549577"</f>
        <v>9783110549577</v>
      </c>
    </row>
    <row r="20313" spans="1:6" s="3" customFormat="1" ht="29.1" customHeight="1" x14ac:dyDescent="0.25">
      <c r="A20313" s="2" t="s">
        <v>39865</v>
      </c>
      <c r="B20313" s="2" t="s">
        <v>39866</v>
      </c>
      <c r="C20313" s="2" t="s">
        <v>195</v>
      </c>
      <c r="D20313" s="2" t="s">
        <v>3043</v>
      </c>
      <c r="E20313" s="2" t="str">
        <f>"9783110604269"</f>
        <v>9783110604269</v>
      </c>
      <c r="F20313" s="2" t="str">
        <f>"9783110604276"</f>
        <v>9783110604276</v>
      </c>
    </row>
    <row r="20314" spans="1:6" s="3" customFormat="1" ht="29.1" customHeight="1" x14ac:dyDescent="0.25">
      <c r="A20314" s="2" t="s">
        <v>39867</v>
      </c>
      <c r="B20314" s="2" t="s">
        <v>39868</v>
      </c>
      <c r="C20314" s="2" t="s">
        <v>195</v>
      </c>
      <c r="D20314" s="2" t="s">
        <v>459</v>
      </c>
      <c r="E20314" s="2" t="str">
        <f>"9783110991239"</f>
        <v>9783110991239</v>
      </c>
      <c r="F20314" s="2" t="str">
        <f>"9783111342542"</f>
        <v>9783111342542</v>
      </c>
    </row>
    <row r="20315" spans="1:6" s="3" customFormat="1" ht="29.1" customHeight="1" x14ac:dyDescent="0.25">
      <c r="A20315" s="2" t="s">
        <v>39869</v>
      </c>
      <c r="B20315" s="2" t="s">
        <v>39870</v>
      </c>
      <c r="C20315" s="2" t="s">
        <v>195</v>
      </c>
      <c r="D20315" s="2" t="s">
        <v>459</v>
      </c>
      <c r="E20315" s="2" t="str">
        <f>"9783110576832"</f>
        <v>9783110576832</v>
      </c>
      <c r="F20315" s="2" t="str">
        <f>"9783110591484"</f>
        <v>9783110591484</v>
      </c>
    </row>
    <row r="20316" spans="1:6" s="3" customFormat="1" ht="29.1" customHeight="1" x14ac:dyDescent="0.25">
      <c r="A20316" s="2" t="s">
        <v>39871</v>
      </c>
      <c r="B20316" s="2" t="s">
        <v>39872</v>
      </c>
      <c r="C20316" s="2" t="s">
        <v>195</v>
      </c>
      <c r="D20316" s="2" t="s">
        <v>33</v>
      </c>
      <c r="E20316" s="2" t="str">
        <f>"9783110575408"</f>
        <v>9783110575408</v>
      </c>
      <c r="F20316" s="2" t="str">
        <f>"9783110575446"</f>
        <v>9783110575446</v>
      </c>
    </row>
    <row r="20317" spans="1:6" s="3" customFormat="1" ht="29.1" customHeight="1" x14ac:dyDescent="0.25">
      <c r="A20317" s="2" t="s">
        <v>39873</v>
      </c>
      <c r="B20317" s="2" t="s">
        <v>39097</v>
      </c>
      <c r="C20317" s="2" t="s">
        <v>195</v>
      </c>
      <c r="D20317" s="2" t="s">
        <v>118</v>
      </c>
      <c r="E20317" s="2" t="str">
        <f>"9783110565317"</f>
        <v>9783110565317</v>
      </c>
      <c r="F20317" s="2" t="str">
        <f>"9783110568509"</f>
        <v>9783110568509</v>
      </c>
    </row>
    <row r="20318" spans="1:6" s="3" customFormat="1" ht="29.1" customHeight="1" x14ac:dyDescent="0.25">
      <c r="A20318" s="2" t="s">
        <v>39874</v>
      </c>
      <c r="B20318" s="2" t="s">
        <v>39875</v>
      </c>
      <c r="C20318" s="2" t="s">
        <v>195</v>
      </c>
      <c r="D20318" s="2" t="s">
        <v>459</v>
      </c>
      <c r="E20318" s="2" t="str">
        <f>"9783110490978"</f>
        <v>9783110490978</v>
      </c>
      <c r="F20318" s="2" t="str">
        <f>"9783110490992"</f>
        <v>9783110490992</v>
      </c>
    </row>
    <row r="20319" spans="1:6" s="3" customFormat="1" ht="29.1" customHeight="1" x14ac:dyDescent="0.25">
      <c r="A20319" s="2" t="s">
        <v>39876</v>
      </c>
      <c r="B20319" s="2" t="s">
        <v>39877</v>
      </c>
      <c r="C20319" s="2" t="s">
        <v>195</v>
      </c>
      <c r="D20319" s="2" t="s">
        <v>459</v>
      </c>
      <c r="E20319" s="2" t="str">
        <f>"9783110563429"</f>
        <v>9783110563429</v>
      </c>
      <c r="F20319" s="2" t="str">
        <f>"9783110563436"</f>
        <v>9783110563436</v>
      </c>
    </row>
    <row r="20320" spans="1:6" s="3" customFormat="1" ht="29.1" customHeight="1" x14ac:dyDescent="0.25">
      <c r="A20320" s="2" t="s">
        <v>39878</v>
      </c>
      <c r="B20320" s="2" t="s">
        <v>39879</v>
      </c>
      <c r="C20320" s="2" t="s">
        <v>195</v>
      </c>
      <c r="D20320" s="2" t="s">
        <v>2713</v>
      </c>
      <c r="E20320" s="2" t="str">
        <f>"9783110668391"</f>
        <v>9783110668391</v>
      </c>
      <c r="F20320" s="2" t="str">
        <f>"9783110668476"</f>
        <v>9783110668476</v>
      </c>
    </row>
    <row r="20321" spans="1:6" s="3" customFormat="1" ht="29.1" customHeight="1" x14ac:dyDescent="0.25">
      <c r="A20321" s="2" t="s">
        <v>39880</v>
      </c>
      <c r="B20321" s="2" t="s">
        <v>39881</v>
      </c>
      <c r="C20321" s="2" t="s">
        <v>195</v>
      </c>
      <c r="D20321" s="2" t="s">
        <v>334</v>
      </c>
      <c r="E20321" s="2" t="str">
        <f>"9783943460643"</f>
        <v>9783943460643</v>
      </c>
      <c r="F20321" s="2" t="str">
        <f>"9783110720075"</f>
        <v>9783110720075</v>
      </c>
    </row>
    <row r="20322" spans="1:6" s="3" customFormat="1" ht="29.1" customHeight="1" x14ac:dyDescent="0.25">
      <c r="A20322" s="2" t="s">
        <v>39882</v>
      </c>
      <c r="B20322" s="2" t="s">
        <v>39883</v>
      </c>
      <c r="C20322" s="2" t="s">
        <v>195</v>
      </c>
      <c r="D20322" s="2" t="s">
        <v>118</v>
      </c>
      <c r="E20322" s="2" t="str">
        <f>"9783110541199"</f>
        <v>9783110541199</v>
      </c>
      <c r="F20322" s="2" t="str">
        <f>"9783110541311"</f>
        <v>9783110541311</v>
      </c>
    </row>
    <row r="20323" spans="1:6" s="3" customFormat="1" ht="29.1" customHeight="1" x14ac:dyDescent="0.25">
      <c r="A20323" s="2" t="s">
        <v>39884</v>
      </c>
      <c r="B20323" s="2" t="s">
        <v>39885</v>
      </c>
      <c r="C20323" s="2" t="s">
        <v>195</v>
      </c>
      <c r="D20323" s="2" t="s">
        <v>2005</v>
      </c>
      <c r="E20323" s="2" t="str">
        <f>"9783110663556"</f>
        <v>9783110663556</v>
      </c>
      <c r="F20323" s="2" t="str">
        <f>"9783110663778"</f>
        <v>9783110663778</v>
      </c>
    </row>
    <row r="20324" spans="1:6" s="3" customFormat="1" ht="29.1" customHeight="1" x14ac:dyDescent="0.25">
      <c r="A20324" s="2" t="s">
        <v>39886</v>
      </c>
      <c r="B20324" s="2" t="s">
        <v>39887</v>
      </c>
      <c r="C20324" s="2" t="s">
        <v>195</v>
      </c>
      <c r="D20324" s="2" t="s">
        <v>13208</v>
      </c>
      <c r="E20324" s="2" t="str">
        <f>"9783110666878"</f>
        <v>9783110666878</v>
      </c>
      <c r="F20324" s="2" t="str">
        <f>"9783110667219"</f>
        <v>9783110667219</v>
      </c>
    </row>
    <row r="20325" spans="1:6" s="3" customFormat="1" ht="29.1" customHeight="1" x14ac:dyDescent="0.25">
      <c r="A20325" s="2" t="s">
        <v>39888</v>
      </c>
      <c r="B20325" s="2" t="s">
        <v>39889</v>
      </c>
      <c r="C20325" s="2" t="s">
        <v>195</v>
      </c>
      <c r="D20325" s="2" t="s">
        <v>183</v>
      </c>
      <c r="E20325" s="2" t="str">
        <f>"9789027979650"</f>
        <v>9789027979650</v>
      </c>
      <c r="F20325" s="2" t="str">
        <f>"9783110811865"</f>
        <v>9783110811865</v>
      </c>
    </row>
    <row r="20326" spans="1:6" s="3" customFormat="1" ht="29.1" customHeight="1" x14ac:dyDescent="0.25">
      <c r="A20326" s="2" t="s">
        <v>39890</v>
      </c>
      <c r="B20326" s="2" t="s">
        <v>30855</v>
      </c>
      <c r="C20326" s="2" t="s">
        <v>195</v>
      </c>
      <c r="D20326" s="2" t="s">
        <v>431</v>
      </c>
      <c r="E20326" s="2" t="str">
        <f>"9783110649468"</f>
        <v>9783110649468</v>
      </c>
      <c r="F20326" s="2" t="str">
        <f>"9783110649673"</f>
        <v>9783110649673</v>
      </c>
    </row>
    <row r="20327" spans="1:6" s="3" customFormat="1" ht="29.1" customHeight="1" x14ac:dyDescent="0.25">
      <c r="A20327" s="2" t="s">
        <v>39891</v>
      </c>
      <c r="B20327" s="2" t="s">
        <v>39892</v>
      </c>
      <c r="C20327" s="2" t="s">
        <v>195</v>
      </c>
      <c r="D20327" s="2" t="s">
        <v>107</v>
      </c>
      <c r="E20327" s="2" t="str">
        <f>"9783110585384"</f>
        <v>9783110585384</v>
      </c>
      <c r="F20327" s="2" t="str">
        <f>"9783110585452"</f>
        <v>9783110585452</v>
      </c>
    </row>
    <row r="20328" spans="1:6" s="3" customFormat="1" ht="29.1" customHeight="1" x14ac:dyDescent="0.25">
      <c r="A20328" s="2" t="s">
        <v>39893</v>
      </c>
      <c r="B20328" s="2" t="s">
        <v>39894</v>
      </c>
      <c r="C20328" s="2" t="s">
        <v>195</v>
      </c>
      <c r="D20328" s="2" t="s">
        <v>428</v>
      </c>
      <c r="E20328" s="2" t="str">
        <f>"9783110680850"</f>
        <v>9783110680850</v>
      </c>
      <c r="F20328" s="2" t="str">
        <f>"9783110682038"</f>
        <v>9783110682038</v>
      </c>
    </row>
    <row r="20329" spans="1:6" s="3" customFormat="1" ht="29.1" customHeight="1" x14ac:dyDescent="0.25">
      <c r="A20329" s="2" t="s">
        <v>39895</v>
      </c>
      <c r="B20329" s="2" t="s">
        <v>39896</v>
      </c>
      <c r="C20329" s="2" t="s">
        <v>195</v>
      </c>
      <c r="D20329" s="2" t="s">
        <v>118</v>
      </c>
      <c r="E20329" s="2" t="str">
        <f>"9783110610444"</f>
        <v>9783110610444</v>
      </c>
      <c r="F20329" s="2" t="str">
        <f>"9783110615630"</f>
        <v>9783110615630</v>
      </c>
    </row>
    <row r="20330" spans="1:6" s="3" customFormat="1" ht="29.1" customHeight="1" x14ac:dyDescent="0.25">
      <c r="A20330" s="2" t="s">
        <v>39897</v>
      </c>
      <c r="B20330" s="2" t="s">
        <v>39898</v>
      </c>
      <c r="C20330" s="2" t="s">
        <v>195</v>
      </c>
      <c r="D20330" s="2" t="s">
        <v>431</v>
      </c>
      <c r="E20330" s="2" t="str">
        <f>"9783110693430"</f>
        <v>9783110693430</v>
      </c>
      <c r="F20330" s="2" t="str">
        <f>"9783110693447"</f>
        <v>9783110693447</v>
      </c>
    </row>
    <row r="20331" spans="1:6" s="3" customFormat="1" ht="29.1" customHeight="1" x14ac:dyDescent="0.25">
      <c r="A20331" s="2" t="s">
        <v>39899</v>
      </c>
      <c r="B20331" s="2" t="s">
        <v>39900</v>
      </c>
      <c r="C20331" s="2" t="s">
        <v>195</v>
      </c>
      <c r="D20331" s="2" t="s">
        <v>3043</v>
      </c>
      <c r="E20331" s="2" t="str">
        <f>"9783110536874"</f>
        <v>9783110536874</v>
      </c>
      <c r="F20331" s="2" t="str">
        <f>"9783110536881"</f>
        <v>9783110536881</v>
      </c>
    </row>
    <row r="20332" spans="1:6" s="3" customFormat="1" ht="29.1" customHeight="1" x14ac:dyDescent="0.25">
      <c r="A20332" s="2" t="s">
        <v>39901</v>
      </c>
      <c r="B20332" s="2" t="s">
        <v>35793</v>
      </c>
      <c r="C20332" s="2" t="s">
        <v>195</v>
      </c>
      <c r="D20332" s="2" t="s">
        <v>436</v>
      </c>
      <c r="E20332" s="2" t="str">
        <f>"9783110632460"</f>
        <v>9783110632460</v>
      </c>
      <c r="F20332" s="2" t="str">
        <f>"9783110611410"</f>
        <v>9783110611410</v>
      </c>
    </row>
    <row r="20333" spans="1:6" s="3" customFormat="1" ht="29.1" customHeight="1" x14ac:dyDescent="0.25">
      <c r="A20333" s="2" t="s">
        <v>39902</v>
      </c>
      <c r="B20333" s="2" t="s">
        <v>39903</v>
      </c>
      <c r="C20333" s="2" t="s">
        <v>195</v>
      </c>
      <c r="D20333" s="2" t="s">
        <v>436</v>
      </c>
      <c r="E20333" s="2" t="str">
        <f>"9783110557534"</f>
        <v>9783110557534</v>
      </c>
      <c r="F20333" s="2" t="str">
        <f>"9783110557602"</f>
        <v>9783110557602</v>
      </c>
    </row>
    <row r="20334" spans="1:6" s="3" customFormat="1" ht="29.1" customHeight="1" x14ac:dyDescent="0.25">
      <c r="A20334" s="2" t="s">
        <v>39904</v>
      </c>
      <c r="B20334" s="2" t="s">
        <v>39905</v>
      </c>
      <c r="C20334" s="2" t="s">
        <v>195</v>
      </c>
      <c r="D20334" s="2" t="s">
        <v>3166</v>
      </c>
      <c r="E20334" s="2" t="str">
        <f>"9783110464313"</f>
        <v>9783110464313</v>
      </c>
      <c r="F20334" s="2" t="str">
        <f>"9783110464337"</f>
        <v>9783110464337</v>
      </c>
    </row>
    <row r="20335" spans="1:6" s="3" customFormat="1" ht="29.1" customHeight="1" x14ac:dyDescent="0.25">
      <c r="A20335" s="2" t="s">
        <v>39906</v>
      </c>
      <c r="B20335" s="2" t="s">
        <v>39907</v>
      </c>
      <c r="C20335" s="2" t="s">
        <v>195</v>
      </c>
      <c r="D20335" s="2" t="s">
        <v>33</v>
      </c>
      <c r="E20335" s="2" t="str">
        <f>"9783111211138"</f>
        <v>9783111211138</v>
      </c>
      <c r="F20335" s="2" t="str">
        <f>"9783111584430"</f>
        <v>9783111584430</v>
      </c>
    </row>
    <row r="20336" spans="1:6" s="3" customFormat="1" ht="29.1" customHeight="1" x14ac:dyDescent="0.25">
      <c r="A20336" s="2" t="s">
        <v>39908</v>
      </c>
      <c r="B20336" s="2" t="s">
        <v>39909</v>
      </c>
      <c r="C20336" s="2" t="s">
        <v>195</v>
      </c>
      <c r="D20336" s="2" t="s">
        <v>221</v>
      </c>
      <c r="E20336" s="2" t="str">
        <f>"9783110425147"</f>
        <v>9783110425147</v>
      </c>
      <c r="F20336" s="2" t="str">
        <f>"9783110419306"</f>
        <v>9783110419306</v>
      </c>
    </row>
    <row r="20337" spans="1:6" s="3" customFormat="1" ht="29.1" customHeight="1" x14ac:dyDescent="0.25">
      <c r="A20337" s="2" t="s">
        <v>39910</v>
      </c>
      <c r="B20337" s="2"/>
      <c r="C20337" s="2" t="s">
        <v>195</v>
      </c>
      <c r="D20337" s="2" t="s">
        <v>12194</v>
      </c>
      <c r="E20337" s="2" t="str">
        <f>"9783111026947"</f>
        <v>9783111026947</v>
      </c>
      <c r="F20337" s="2" t="str">
        <f>"9783111388618"</f>
        <v>9783111388618</v>
      </c>
    </row>
    <row r="20338" spans="1:6" s="3" customFormat="1" ht="29.1" customHeight="1" x14ac:dyDescent="0.25">
      <c r="A20338" s="2" t="s">
        <v>39911</v>
      </c>
      <c r="B20338" s="2" t="s">
        <v>39912</v>
      </c>
      <c r="C20338" s="2" t="s">
        <v>195</v>
      </c>
      <c r="D20338" s="2" t="s">
        <v>1049</v>
      </c>
      <c r="E20338" s="2" t="str">
        <f>"9783110617573"</f>
        <v>9783110617573</v>
      </c>
      <c r="F20338" s="2" t="str">
        <f>"9783110617580"</f>
        <v>9783110617580</v>
      </c>
    </row>
    <row r="20339" spans="1:6" s="3" customFormat="1" ht="29.1" customHeight="1" x14ac:dyDescent="0.25">
      <c r="A20339" s="2" t="s">
        <v>39913</v>
      </c>
      <c r="B20339" s="2" t="s">
        <v>39914</v>
      </c>
      <c r="C20339" s="2" t="s">
        <v>195</v>
      </c>
      <c r="D20339" s="2" t="s">
        <v>8868</v>
      </c>
      <c r="E20339" s="2" t="str">
        <f>"9783110541366"</f>
        <v>9783110541366</v>
      </c>
      <c r="F20339" s="2" t="str">
        <f>"9783110541397"</f>
        <v>9783110541397</v>
      </c>
    </row>
    <row r="20340" spans="1:6" s="3" customFormat="1" ht="29.1" customHeight="1" x14ac:dyDescent="0.25">
      <c r="A20340" s="2" t="s">
        <v>39915</v>
      </c>
      <c r="B20340" s="2" t="s">
        <v>39916</v>
      </c>
      <c r="C20340" s="2" t="s">
        <v>195</v>
      </c>
      <c r="D20340" s="2" t="s">
        <v>462</v>
      </c>
      <c r="E20340" s="2" t="str">
        <f>"9783110699791"</f>
        <v>9783110699791</v>
      </c>
      <c r="F20340" s="2" t="str">
        <f>"9783110701319"</f>
        <v>9783110701319</v>
      </c>
    </row>
    <row r="20341" spans="1:6" s="3" customFormat="1" ht="29.1" customHeight="1" x14ac:dyDescent="0.25">
      <c r="A20341" s="2" t="s">
        <v>39917</v>
      </c>
      <c r="B20341" s="2" t="s">
        <v>39918</v>
      </c>
      <c r="C20341" s="2" t="s">
        <v>195</v>
      </c>
      <c r="D20341" s="2" t="s">
        <v>30</v>
      </c>
      <c r="E20341" s="2" t="str">
        <f>"9783486755671"</f>
        <v>9783486755671</v>
      </c>
      <c r="F20341" s="2" t="str">
        <f>"9783486755688"</f>
        <v>9783486755688</v>
      </c>
    </row>
    <row r="20342" spans="1:6" s="3" customFormat="1" ht="29.1" customHeight="1" x14ac:dyDescent="0.25">
      <c r="A20342" s="2" t="s">
        <v>39919</v>
      </c>
      <c r="B20342" s="2" t="s">
        <v>39920</v>
      </c>
      <c r="C20342" s="2" t="s">
        <v>195</v>
      </c>
      <c r="D20342" s="2" t="s">
        <v>4678</v>
      </c>
      <c r="E20342" s="2" t="str">
        <f>"9783110669794"</f>
        <v>9783110669794</v>
      </c>
      <c r="F20342" s="2" t="str">
        <f>"9783110670691"</f>
        <v>9783110670691</v>
      </c>
    </row>
    <row r="20343" spans="1:6" s="3" customFormat="1" ht="29.1" customHeight="1" x14ac:dyDescent="0.25">
      <c r="A20343" s="2" t="s">
        <v>39921</v>
      </c>
      <c r="B20343" s="2" t="s">
        <v>39922</v>
      </c>
      <c r="C20343" s="2" t="s">
        <v>195</v>
      </c>
      <c r="D20343" s="2" t="s">
        <v>446</v>
      </c>
      <c r="E20343" s="2" t="str">
        <f>"9783110666786"</f>
        <v>9783110666786</v>
      </c>
      <c r="F20343" s="2" t="str">
        <f>"9783110666816"</f>
        <v>9783110666816</v>
      </c>
    </row>
    <row r="20344" spans="1:6" s="3" customFormat="1" ht="29.1" customHeight="1" x14ac:dyDescent="0.25">
      <c r="A20344" s="2" t="s">
        <v>39923</v>
      </c>
      <c r="B20344" s="2" t="s">
        <v>34355</v>
      </c>
      <c r="C20344" s="2" t="s">
        <v>195</v>
      </c>
      <c r="D20344" s="2" t="s">
        <v>5903</v>
      </c>
      <c r="E20344" s="2" t="str">
        <f>"9783110692167"</f>
        <v>9783110692167</v>
      </c>
      <c r="F20344" s="2" t="str">
        <f>"9783110692174"</f>
        <v>9783110692174</v>
      </c>
    </row>
    <row r="20345" spans="1:6" s="3" customFormat="1" ht="29.1" customHeight="1" x14ac:dyDescent="0.25">
      <c r="A20345" s="2" t="s">
        <v>39924</v>
      </c>
      <c r="B20345" s="2" t="s">
        <v>39925</v>
      </c>
      <c r="C20345" s="2" t="s">
        <v>195</v>
      </c>
      <c r="D20345" s="2" t="s">
        <v>1390</v>
      </c>
      <c r="E20345" s="2" t="str">
        <f>"9783110673227"</f>
        <v>9783110673227</v>
      </c>
      <c r="F20345" s="2" t="str">
        <f>"9783110673265"</f>
        <v>9783110673265</v>
      </c>
    </row>
    <row r="20346" spans="1:6" s="3" customFormat="1" ht="29.1" customHeight="1" x14ac:dyDescent="0.25">
      <c r="A20346" s="2" t="s">
        <v>39926</v>
      </c>
      <c r="B20346" s="2" t="s">
        <v>39927</v>
      </c>
      <c r="C20346" s="2" t="s">
        <v>195</v>
      </c>
      <c r="D20346" s="2" t="s">
        <v>436</v>
      </c>
      <c r="E20346" s="2" t="str">
        <f>"9783110602234"</f>
        <v>9783110602234</v>
      </c>
      <c r="F20346" s="2" t="str">
        <f>"9783110602432"</f>
        <v>9783110602432</v>
      </c>
    </row>
    <row r="20347" spans="1:6" s="3" customFormat="1" ht="29.1" customHeight="1" x14ac:dyDescent="0.25">
      <c r="A20347" s="2" t="s">
        <v>39928</v>
      </c>
      <c r="B20347" s="2" t="s">
        <v>39929</v>
      </c>
      <c r="C20347" s="2" t="s">
        <v>195</v>
      </c>
      <c r="D20347" s="2" t="s">
        <v>462</v>
      </c>
      <c r="E20347" s="2" t="str">
        <f>"9783110549508"</f>
        <v>9783110549508</v>
      </c>
      <c r="F20347" s="2" t="str">
        <f>"9783110549683"</f>
        <v>9783110549683</v>
      </c>
    </row>
    <row r="20348" spans="1:6" s="3" customFormat="1" ht="29.1" customHeight="1" x14ac:dyDescent="0.25">
      <c r="A20348" s="2" t="s">
        <v>39930</v>
      </c>
      <c r="B20348" s="2" t="s">
        <v>39931</v>
      </c>
      <c r="C20348" s="2" t="s">
        <v>195</v>
      </c>
      <c r="D20348" s="2" t="s">
        <v>2713</v>
      </c>
      <c r="E20348" s="2" t="str">
        <f>"9783110608854"</f>
        <v>9783110608854</v>
      </c>
      <c r="F20348" s="2" t="str">
        <f>"9783110609165"</f>
        <v>9783110609165</v>
      </c>
    </row>
    <row r="20349" spans="1:6" s="3" customFormat="1" ht="29.1" customHeight="1" x14ac:dyDescent="0.25">
      <c r="A20349" s="2" t="s">
        <v>39932</v>
      </c>
      <c r="B20349" s="2" t="s">
        <v>39933</v>
      </c>
      <c r="C20349" s="2" t="s">
        <v>195</v>
      </c>
      <c r="D20349" s="2" t="s">
        <v>1393</v>
      </c>
      <c r="E20349" s="2" t="str">
        <f>"9783110595673"</f>
        <v>9783110595673</v>
      </c>
      <c r="F20349" s="2" t="str">
        <f>"9783110593679"</f>
        <v>9783110593679</v>
      </c>
    </row>
    <row r="20350" spans="1:6" s="3" customFormat="1" ht="29.1" customHeight="1" x14ac:dyDescent="0.25">
      <c r="A20350" s="2" t="s">
        <v>39934</v>
      </c>
      <c r="B20350" s="2" t="s">
        <v>39935</v>
      </c>
      <c r="C20350" s="2" t="s">
        <v>195</v>
      </c>
      <c r="D20350" s="2" t="s">
        <v>3098</v>
      </c>
      <c r="E20350" s="2" t="str">
        <f>"9783111057743"</f>
        <v>9783111057743</v>
      </c>
      <c r="F20350" s="2" t="str">
        <f>"9783111422367"</f>
        <v>9783111422367</v>
      </c>
    </row>
    <row r="20351" spans="1:6" s="3" customFormat="1" ht="29.1" customHeight="1" x14ac:dyDescent="0.25">
      <c r="A20351" s="2" t="s">
        <v>39936</v>
      </c>
      <c r="B20351" s="2" t="s">
        <v>39937</v>
      </c>
      <c r="C20351" s="2" t="s">
        <v>195</v>
      </c>
      <c r="D20351" s="2" t="s">
        <v>334</v>
      </c>
      <c r="E20351" s="2" t="str">
        <f>"9783957580009"</f>
        <v>9783957580009</v>
      </c>
      <c r="F20351" s="2" t="str">
        <f>"9783110720297"</f>
        <v>9783110720297</v>
      </c>
    </row>
    <row r="20352" spans="1:6" s="3" customFormat="1" ht="29.1" customHeight="1" x14ac:dyDescent="0.25">
      <c r="A20352" s="2" t="s">
        <v>39938</v>
      </c>
      <c r="B20352" s="2" t="s">
        <v>39939</v>
      </c>
      <c r="C20352" s="2" t="s">
        <v>195</v>
      </c>
      <c r="D20352" s="2" t="s">
        <v>459</v>
      </c>
      <c r="E20352" s="2" t="str">
        <f>"9783111271255"</f>
        <v>9783111271255</v>
      </c>
      <c r="F20352" s="2" t="str">
        <f>"9783111655406"</f>
        <v>9783111655406</v>
      </c>
    </row>
    <row r="20353" spans="1:6" s="3" customFormat="1" ht="29.1" customHeight="1" x14ac:dyDescent="0.25">
      <c r="A20353" s="2" t="s">
        <v>39940</v>
      </c>
      <c r="B20353" s="2" t="s">
        <v>39941</v>
      </c>
      <c r="C20353" s="2" t="s">
        <v>195</v>
      </c>
      <c r="D20353" s="2" t="s">
        <v>334</v>
      </c>
      <c r="E20353" s="2" t="str">
        <f>"9783957580023"</f>
        <v>9783957580023</v>
      </c>
      <c r="F20353" s="2" t="str">
        <f>"9783110720372"</f>
        <v>9783110720372</v>
      </c>
    </row>
    <row r="20354" spans="1:6" s="3" customFormat="1" ht="29.1" customHeight="1" x14ac:dyDescent="0.25">
      <c r="A20354" s="2" t="s">
        <v>39942</v>
      </c>
      <c r="B20354" s="2" t="s">
        <v>39943</v>
      </c>
      <c r="C20354" s="2" t="s">
        <v>195</v>
      </c>
      <c r="D20354" s="2" t="s">
        <v>462</v>
      </c>
      <c r="E20354" s="2" t="str">
        <f>"9783110705706"</f>
        <v>9783110705706</v>
      </c>
      <c r="F20354" s="2" t="str">
        <f>"9783110705805"</f>
        <v>9783110705805</v>
      </c>
    </row>
    <row r="20355" spans="1:6" s="3" customFormat="1" ht="29.1" customHeight="1" x14ac:dyDescent="0.25">
      <c r="A20355" s="2" t="s">
        <v>39944</v>
      </c>
      <c r="B20355" s="2" t="s">
        <v>39945</v>
      </c>
      <c r="C20355" s="2" t="s">
        <v>195</v>
      </c>
      <c r="D20355" s="2" t="s">
        <v>33</v>
      </c>
      <c r="E20355" s="2" t="str">
        <f>"9783110477726"</f>
        <v>9783110477726</v>
      </c>
      <c r="F20355" s="2" t="str">
        <f>"9783110477764"</f>
        <v>9783110477764</v>
      </c>
    </row>
    <row r="20356" spans="1:6" s="3" customFormat="1" ht="29.1" customHeight="1" x14ac:dyDescent="0.25">
      <c r="A20356" s="2" t="s">
        <v>39946</v>
      </c>
      <c r="B20356" s="2" t="s">
        <v>39947</v>
      </c>
      <c r="C20356" s="2" t="s">
        <v>195</v>
      </c>
      <c r="D20356" s="2" t="s">
        <v>413</v>
      </c>
      <c r="E20356" s="2" t="str">
        <f>"9783110664164"</f>
        <v>9783110664164</v>
      </c>
      <c r="F20356" s="2" t="str">
        <f>"9783110664492"</f>
        <v>9783110664492</v>
      </c>
    </row>
    <row r="20357" spans="1:6" s="3" customFormat="1" ht="29.1" customHeight="1" x14ac:dyDescent="0.25">
      <c r="A20357" s="2" t="s">
        <v>39948</v>
      </c>
      <c r="B20357" s="2" t="s">
        <v>39949</v>
      </c>
      <c r="C20357" s="2" t="s">
        <v>195</v>
      </c>
      <c r="D20357" s="2" t="s">
        <v>459</v>
      </c>
      <c r="E20357" s="2" t="str">
        <f>"9783110517927"</f>
        <v>9783110517927</v>
      </c>
      <c r="F20357" s="2" t="str">
        <f>"9783110518016"</f>
        <v>9783110518016</v>
      </c>
    </row>
    <row r="20358" spans="1:6" s="3" customFormat="1" ht="29.1" customHeight="1" x14ac:dyDescent="0.25">
      <c r="A20358" s="2" t="s">
        <v>39950</v>
      </c>
      <c r="B20358" s="2" t="s">
        <v>39951</v>
      </c>
      <c r="C20358" s="2" t="s">
        <v>195</v>
      </c>
      <c r="D20358" s="2" t="s">
        <v>334</v>
      </c>
      <c r="E20358" s="2" t="str">
        <f>"9783957580597"</f>
        <v>9783957580597</v>
      </c>
      <c r="F20358" s="2" t="str">
        <f>"9783110720365"</f>
        <v>9783110720365</v>
      </c>
    </row>
    <row r="20359" spans="1:6" s="3" customFormat="1" ht="29.1" customHeight="1" x14ac:dyDescent="0.25">
      <c r="A20359" s="2" t="s">
        <v>39952</v>
      </c>
      <c r="B20359" s="2" t="s">
        <v>39022</v>
      </c>
      <c r="C20359" s="2" t="s">
        <v>195</v>
      </c>
      <c r="D20359" s="2" t="s">
        <v>4522</v>
      </c>
      <c r="E20359" s="2" t="str">
        <f>"9783110527964"</f>
        <v>9783110527964</v>
      </c>
      <c r="F20359" s="2" t="str">
        <f>"9783110527971"</f>
        <v>9783110527971</v>
      </c>
    </row>
    <row r="20360" spans="1:6" s="3" customFormat="1" ht="29.1" customHeight="1" x14ac:dyDescent="0.25">
      <c r="A20360" s="2" t="s">
        <v>39953</v>
      </c>
      <c r="B20360" s="2" t="s">
        <v>39954</v>
      </c>
      <c r="C20360" s="2" t="s">
        <v>195</v>
      </c>
      <c r="D20360" s="2" t="s">
        <v>210</v>
      </c>
      <c r="E20360" s="2" t="str">
        <f>"9783486545111"</f>
        <v>9783486545111</v>
      </c>
      <c r="F20360" s="2" t="str">
        <f>"9783486595550"</f>
        <v>9783486595550</v>
      </c>
    </row>
    <row r="20361" spans="1:6" s="3" customFormat="1" ht="29.1" customHeight="1" x14ac:dyDescent="0.25">
      <c r="A20361" s="2" t="s">
        <v>39955</v>
      </c>
      <c r="B20361" s="2"/>
      <c r="C20361" s="2" t="s">
        <v>195</v>
      </c>
      <c r="D20361" s="2" t="s">
        <v>4368</v>
      </c>
      <c r="E20361" s="2" t="str">
        <f>"9783486992571"</f>
        <v>9783486992571</v>
      </c>
      <c r="F20361" s="2" t="str">
        <f>"9783486992588"</f>
        <v>9783486992588</v>
      </c>
    </row>
    <row r="20362" spans="1:6" s="3" customFormat="1" ht="29.1" customHeight="1" x14ac:dyDescent="0.25">
      <c r="A20362" s="2" t="s">
        <v>39956</v>
      </c>
      <c r="B20362" s="2" t="s">
        <v>39957</v>
      </c>
      <c r="C20362" s="2" t="s">
        <v>195</v>
      </c>
      <c r="D20362" s="2" t="s">
        <v>2237</v>
      </c>
      <c r="E20362" s="2" t="str">
        <f>"9783110598308"</f>
        <v>9783110598308</v>
      </c>
      <c r="F20362" s="2" t="str">
        <f>"9783110598957"</f>
        <v>9783110598957</v>
      </c>
    </row>
    <row r="20363" spans="1:6" s="3" customFormat="1" ht="29.1" customHeight="1" x14ac:dyDescent="0.25">
      <c r="A20363" s="2" t="s">
        <v>39958</v>
      </c>
      <c r="B20363" s="2" t="s">
        <v>39959</v>
      </c>
      <c r="C20363" s="2" t="s">
        <v>195</v>
      </c>
      <c r="D20363" s="2" t="s">
        <v>210</v>
      </c>
      <c r="E20363" s="2" t="str">
        <f>"9783486560282"</f>
        <v>9783486560282</v>
      </c>
      <c r="F20363" s="2" t="str">
        <f>"9783486594249"</f>
        <v>9783486594249</v>
      </c>
    </row>
    <row r="20364" spans="1:6" s="3" customFormat="1" ht="29.1" customHeight="1" x14ac:dyDescent="0.25">
      <c r="A20364" s="2" t="s">
        <v>39960</v>
      </c>
      <c r="B20364" s="2" t="s">
        <v>39103</v>
      </c>
      <c r="C20364" s="2" t="s">
        <v>195</v>
      </c>
      <c r="D20364" s="2" t="s">
        <v>210</v>
      </c>
      <c r="E20364" s="2" t="str">
        <f>"9783486559026"</f>
        <v>9783486559026</v>
      </c>
      <c r="F20364" s="2" t="str">
        <f>"9783486594218"</f>
        <v>9783486594218</v>
      </c>
    </row>
    <row r="20365" spans="1:6" s="3" customFormat="1" ht="29.1" customHeight="1" x14ac:dyDescent="0.25">
      <c r="A20365" s="2" t="s">
        <v>39961</v>
      </c>
      <c r="B20365" s="2" t="s">
        <v>39962</v>
      </c>
      <c r="C20365" s="2" t="s">
        <v>195</v>
      </c>
      <c r="D20365" s="2" t="s">
        <v>183</v>
      </c>
      <c r="E20365" s="2" t="str">
        <f>"9789027975065"</f>
        <v>9789027975065</v>
      </c>
      <c r="F20365" s="2" t="str">
        <f>"9783110812848"</f>
        <v>9783110812848</v>
      </c>
    </row>
    <row r="20366" spans="1:6" s="3" customFormat="1" ht="29.1" customHeight="1" x14ac:dyDescent="0.25">
      <c r="A20366" s="2" t="s">
        <v>39963</v>
      </c>
      <c r="B20366" s="2" t="s">
        <v>39964</v>
      </c>
      <c r="C20366" s="2" t="s">
        <v>195</v>
      </c>
      <c r="D20366" s="2" t="s">
        <v>49</v>
      </c>
      <c r="E20366" s="2" t="str">
        <f>"9783110682281"</f>
        <v>9783110682281</v>
      </c>
      <c r="F20366" s="2" t="str">
        <f>"9783110682427"</f>
        <v>9783110682427</v>
      </c>
    </row>
    <row r="20367" spans="1:6" s="3" customFormat="1" ht="29.1" customHeight="1" x14ac:dyDescent="0.25">
      <c r="A20367" s="2" t="s">
        <v>39965</v>
      </c>
      <c r="B20367" s="2" t="s">
        <v>39966</v>
      </c>
      <c r="C20367" s="2" t="s">
        <v>195</v>
      </c>
      <c r="D20367" s="2" t="s">
        <v>462</v>
      </c>
      <c r="E20367" s="2" t="str">
        <f>"9783110417852"</f>
        <v>9783110417852</v>
      </c>
      <c r="F20367" s="2" t="str">
        <f>"9783110417845"</f>
        <v>9783110417845</v>
      </c>
    </row>
    <row r="20368" spans="1:6" s="3" customFormat="1" ht="29.1" customHeight="1" x14ac:dyDescent="0.25">
      <c r="A20368" s="2" t="s">
        <v>39967</v>
      </c>
      <c r="B20368" s="2" t="s">
        <v>39968</v>
      </c>
      <c r="C20368" s="2" t="s">
        <v>195</v>
      </c>
      <c r="D20368" s="2" t="s">
        <v>3130</v>
      </c>
      <c r="E20368" s="2" t="str">
        <f>"9783110729061"</f>
        <v>9783110729061</v>
      </c>
      <c r="F20368" s="2" t="str">
        <f>"9783110732139"</f>
        <v>9783110732139</v>
      </c>
    </row>
    <row r="20369" spans="1:6" s="3" customFormat="1" ht="29.1" customHeight="1" x14ac:dyDescent="0.25">
      <c r="A20369" s="2" t="s">
        <v>39969</v>
      </c>
      <c r="B20369" s="2" t="s">
        <v>39970</v>
      </c>
      <c r="C20369" s="2" t="s">
        <v>195</v>
      </c>
      <c r="D20369" s="2" t="s">
        <v>402</v>
      </c>
      <c r="E20369" s="2" t="str">
        <f>"9783111200903"</f>
        <v>9783111200903</v>
      </c>
      <c r="F20369" s="2" t="str">
        <f>"9783111572840"</f>
        <v>9783111572840</v>
      </c>
    </row>
    <row r="20370" spans="1:6" s="3" customFormat="1" ht="29.1" customHeight="1" x14ac:dyDescent="0.25">
      <c r="A20370" s="2" t="s">
        <v>39971</v>
      </c>
      <c r="B20370" s="2" t="s">
        <v>39972</v>
      </c>
      <c r="C20370" s="2" t="s">
        <v>195</v>
      </c>
      <c r="D20370" s="2" t="s">
        <v>162</v>
      </c>
      <c r="E20370" s="2" t="str">
        <f>"9783110688573"</f>
        <v>9783110688573</v>
      </c>
      <c r="F20370" s="2" t="str">
        <f>"9783110688719"</f>
        <v>9783110688719</v>
      </c>
    </row>
    <row r="20371" spans="1:6" s="3" customFormat="1" ht="29.1" customHeight="1" x14ac:dyDescent="0.25">
      <c r="A20371" s="2" t="s">
        <v>39973</v>
      </c>
      <c r="B20371" s="2" t="s">
        <v>39309</v>
      </c>
      <c r="C20371" s="2" t="s">
        <v>195</v>
      </c>
      <c r="D20371" s="2" t="s">
        <v>2237</v>
      </c>
      <c r="E20371" s="2" t="str">
        <f>"9783111261478"</f>
        <v>9783111261478</v>
      </c>
      <c r="F20371" s="2" t="str">
        <f>"9783111716343"</f>
        <v>9783111716343</v>
      </c>
    </row>
    <row r="20372" spans="1:6" s="3" customFormat="1" ht="29.1" customHeight="1" x14ac:dyDescent="0.25">
      <c r="A20372" s="2" t="s">
        <v>39974</v>
      </c>
      <c r="B20372" s="2" t="s">
        <v>39975</v>
      </c>
      <c r="C20372" s="2" t="s">
        <v>195</v>
      </c>
      <c r="D20372" s="2" t="s">
        <v>12872</v>
      </c>
      <c r="E20372" s="2" t="str">
        <f>"9783110456202"</f>
        <v>9783110456202</v>
      </c>
      <c r="F20372" s="2" t="str">
        <f>"9783110456240"</f>
        <v>9783110456240</v>
      </c>
    </row>
    <row r="20373" spans="1:6" s="3" customFormat="1" ht="29.1" customHeight="1" x14ac:dyDescent="0.25">
      <c r="A20373" s="2" t="s">
        <v>39976</v>
      </c>
      <c r="B20373" s="2" t="s">
        <v>39977</v>
      </c>
      <c r="C20373" s="2" t="s">
        <v>195</v>
      </c>
      <c r="D20373" s="2" t="s">
        <v>334</v>
      </c>
      <c r="E20373" s="2" t="str">
        <f>"9783957580429"</f>
        <v>9783957580429</v>
      </c>
      <c r="F20373" s="2" t="str">
        <f>"9783110720327"</f>
        <v>9783110720327</v>
      </c>
    </row>
    <row r="20374" spans="1:6" s="3" customFormat="1" ht="29.1" customHeight="1" x14ac:dyDescent="0.25">
      <c r="A20374" s="2" t="s">
        <v>39978</v>
      </c>
      <c r="B20374" s="2" t="s">
        <v>39979</v>
      </c>
      <c r="C20374" s="2" t="s">
        <v>195</v>
      </c>
      <c r="D20374" s="2" t="s">
        <v>4522</v>
      </c>
      <c r="E20374" s="2" t="str">
        <f>"9783110551686"</f>
        <v>9783110551686</v>
      </c>
      <c r="F20374" s="2" t="str">
        <f>"9783110552911"</f>
        <v>9783110552911</v>
      </c>
    </row>
    <row r="20375" spans="1:6" s="3" customFormat="1" ht="29.1" customHeight="1" x14ac:dyDescent="0.25">
      <c r="A20375" s="2" t="s">
        <v>39980</v>
      </c>
      <c r="B20375" s="2" t="s">
        <v>39981</v>
      </c>
      <c r="C20375" s="2" t="s">
        <v>195</v>
      </c>
      <c r="D20375" s="2" t="s">
        <v>1275</v>
      </c>
      <c r="E20375" s="2" t="str">
        <f>"9783110642322"</f>
        <v>9783110642322</v>
      </c>
      <c r="F20375" s="2" t="str">
        <f>"9783110642346"</f>
        <v>9783110642346</v>
      </c>
    </row>
    <row r="20376" spans="1:6" s="3" customFormat="1" ht="29.1" customHeight="1" x14ac:dyDescent="0.25">
      <c r="A20376" s="2" t="s">
        <v>39982</v>
      </c>
      <c r="B20376" s="2" t="s">
        <v>39983</v>
      </c>
      <c r="C20376" s="2" t="s">
        <v>195</v>
      </c>
      <c r="D20376" s="2" t="s">
        <v>402</v>
      </c>
      <c r="E20376" s="2" t="str">
        <f>"9783111015446"</f>
        <v>9783111015446</v>
      </c>
      <c r="F20376" s="2" t="str">
        <f>"9783111373027"</f>
        <v>9783111373027</v>
      </c>
    </row>
    <row r="20377" spans="1:6" s="3" customFormat="1" ht="29.1" customHeight="1" x14ac:dyDescent="0.25">
      <c r="A20377" s="2" t="s">
        <v>39984</v>
      </c>
      <c r="B20377" s="2" t="s">
        <v>39985</v>
      </c>
      <c r="C20377" s="2" t="s">
        <v>195</v>
      </c>
      <c r="D20377" s="2" t="s">
        <v>2713</v>
      </c>
      <c r="E20377" s="2" t="str">
        <f>"9783110689259"</f>
        <v>9783110689259</v>
      </c>
      <c r="F20377" s="2" t="str">
        <f>"9783110689402"</f>
        <v>9783110689402</v>
      </c>
    </row>
    <row r="20378" spans="1:6" s="3" customFormat="1" ht="29.1" customHeight="1" x14ac:dyDescent="0.25">
      <c r="A20378" s="2" t="s">
        <v>39986</v>
      </c>
      <c r="B20378" s="2" t="s">
        <v>39987</v>
      </c>
      <c r="C20378" s="2" t="s">
        <v>195</v>
      </c>
      <c r="D20378" s="2" t="s">
        <v>1245</v>
      </c>
      <c r="E20378" s="2" t="str">
        <f>"9783110477474"</f>
        <v>9783110477474</v>
      </c>
      <c r="F20378" s="2" t="str">
        <f>"9783110477498"</f>
        <v>9783110477498</v>
      </c>
    </row>
    <row r="20379" spans="1:6" s="3" customFormat="1" ht="29.1" customHeight="1" x14ac:dyDescent="0.25">
      <c r="A20379" s="2" t="s">
        <v>39988</v>
      </c>
      <c r="B20379" s="2" t="s">
        <v>39989</v>
      </c>
      <c r="C20379" s="2" t="s">
        <v>195</v>
      </c>
      <c r="D20379" s="2" t="s">
        <v>431</v>
      </c>
      <c r="E20379" s="2" t="str">
        <f>"9783110551822"</f>
        <v>9783110551822</v>
      </c>
      <c r="F20379" s="2" t="str">
        <f>"9783110551877"</f>
        <v>9783110551877</v>
      </c>
    </row>
    <row r="20380" spans="1:6" s="3" customFormat="1" ht="29.1" customHeight="1" x14ac:dyDescent="0.25">
      <c r="A20380" s="2" t="s">
        <v>39990</v>
      </c>
      <c r="B20380" s="2" t="s">
        <v>39991</v>
      </c>
      <c r="C20380" s="2" t="s">
        <v>195</v>
      </c>
      <c r="D20380" s="2" t="s">
        <v>462</v>
      </c>
      <c r="E20380" s="2" t="str">
        <f>"9783111096193"</f>
        <v>9783111096193</v>
      </c>
      <c r="F20380" s="2" t="str">
        <f>"9783111463216"</f>
        <v>9783111463216</v>
      </c>
    </row>
    <row r="20381" spans="1:6" s="3" customFormat="1" ht="29.1" customHeight="1" x14ac:dyDescent="0.25">
      <c r="A20381" s="2" t="s">
        <v>39992</v>
      </c>
      <c r="B20381" s="2" t="s">
        <v>39993</v>
      </c>
      <c r="C20381" s="2" t="s">
        <v>195</v>
      </c>
      <c r="D20381" s="2" t="s">
        <v>334</v>
      </c>
      <c r="E20381" s="2" t="str">
        <f>"9783111111995"</f>
        <v>9783111111995</v>
      </c>
      <c r="F20381" s="2" t="str">
        <f>"9783111479002"</f>
        <v>9783111479002</v>
      </c>
    </row>
    <row r="20382" spans="1:6" s="3" customFormat="1" ht="29.1" customHeight="1" x14ac:dyDescent="0.25">
      <c r="A20382" s="2" t="s">
        <v>39994</v>
      </c>
      <c r="B20382" s="2" t="s">
        <v>39995</v>
      </c>
      <c r="C20382" s="2" t="s">
        <v>195</v>
      </c>
      <c r="D20382" s="2" t="s">
        <v>459</v>
      </c>
      <c r="E20382" s="2" t="str">
        <f>"9783111175065"</f>
        <v>9783111175065</v>
      </c>
      <c r="F20382" s="2" t="str">
        <f>"9783111543222"</f>
        <v>9783111543222</v>
      </c>
    </row>
    <row r="20383" spans="1:6" s="3" customFormat="1" ht="29.1" customHeight="1" x14ac:dyDescent="0.25">
      <c r="A20383" s="2" t="s">
        <v>39996</v>
      </c>
      <c r="B20383" s="2" t="s">
        <v>39997</v>
      </c>
      <c r="C20383" s="2" t="s">
        <v>195</v>
      </c>
      <c r="D20383" s="2" t="s">
        <v>2697</v>
      </c>
      <c r="E20383" s="2" t="str">
        <f>"9783110602296"</f>
        <v>9783110602296</v>
      </c>
      <c r="F20383" s="2" t="str">
        <f>"9783110602289"</f>
        <v>9783110602289</v>
      </c>
    </row>
    <row r="20384" spans="1:6" s="3" customFormat="1" ht="29.1" customHeight="1" x14ac:dyDescent="0.25">
      <c r="A20384" s="2" t="s">
        <v>39998</v>
      </c>
      <c r="B20384" s="2" t="s">
        <v>39999</v>
      </c>
      <c r="C20384" s="2" t="s">
        <v>195</v>
      </c>
      <c r="D20384" s="2" t="s">
        <v>9436</v>
      </c>
      <c r="E20384" s="2" t="str">
        <f>"9783038216469"</f>
        <v>9783038216469</v>
      </c>
      <c r="F20384" s="2" t="str">
        <f>"9783038215882"</f>
        <v>9783038215882</v>
      </c>
    </row>
    <row r="20385" spans="1:6" s="3" customFormat="1" ht="29.1" customHeight="1" x14ac:dyDescent="0.25">
      <c r="A20385" s="2" t="s">
        <v>40000</v>
      </c>
      <c r="B20385" s="2" t="s">
        <v>34403</v>
      </c>
      <c r="C20385" s="2" t="s">
        <v>195</v>
      </c>
      <c r="D20385" s="2" t="s">
        <v>17574</v>
      </c>
      <c r="E20385" s="2" t="str">
        <f>"9783035620160"</f>
        <v>9783035620160</v>
      </c>
      <c r="F20385" s="2" t="str">
        <f>"9783035620252"</f>
        <v>9783035620252</v>
      </c>
    </row>
    <row r="20386" spans="1:6" s="3" customFormat="1" ht="29.1" customHeight="1" x14ac:dyDescent="0.25">
      <c r="A20386" s="2" t="s">
        <v>40001</v>
      </c>
      <c r="B20386" s="2" t="s">
        <v>40002</v>
      </c>
      <c r="C20386" s="2" t="s">
        <v>195</v>
      </c>
      <c r="D20386" s="2" t="s">
        <v>9420</v>
      </c>
      <c r="E20386" s="2" t="str">
        <f>"9783035619126"</f>
        <v>9783035619126</v>
      </c>
      <c r="F20386" s="2" t="str">
        <f>"9783035619195"</f>
        <v>9783035619195</v>
      </c>
    </row>
    <row r="20387" spans="1:6" s="3" customFormat="1" ht="29.1" customHeight="1" x14ac:dyDescent="0.25">
      <c r="A20387" s="2" t="s">
        <v>40003</v>
      </c>
      <c r="B20387" s="2" t="s">
        <v>40004</v>
      </c>
      <c r="C20387" s="2" t="s">
        <v>195</v>
      </c>
      <c r="D20387" s="2" t="s">
        <v>1985</v>
      </c>
      <c r="E20387" s="2" t="str">
        <f>"9783035617962"</f>
        <v>9783035617962</v>
      </c>
      <c r="F20387" s="2" t="str">
        <f>"9783035618013"</f>
        <v>9783035618013</v>
      </c>
    </row>
    <row r="20388" spans="1:6" s="3" customFormat="1" ht="29.1" customHeight="1" x14ac:dyDescent="0.25">
      <c r="A20388" s="2" t="s">
        <v>40005</v>
      </c>
      <c r="B20388" s="2" t="s">
        <v>40006</v>
      </c>
      <c r="C20388" s="2" t="s">
        <v>195</v>
      </c>
      <c r="D20388" s="2" t="s">
        <v>9420</v>
      </c>
      <c r="E20388" s="2" t="str">
        <f>"9783035620757"</f>
        <v>9783035620757</v>
      </c>
      <c r="F20388" s="2" t="str">
        <f>"9783035620801"</f>
        <v>9783035620801</v>
      </c>
    </row>
    <row r="20389" spans="1:6" s="3" customFormat="1" ht="29.1" customHeight="1" x14ac:dyDescent="0.25">
      <c r="A20389" s="2" t="s">
        <v>40007</v>
      </c>
      <c r="B20389" s="2" t="s">
        <v>40008</v>
      </c>
      <c r="C20389" s="2" t="s">
        <v>195</v>
      </c>
      <c r="D20389" s="2" t="s">
        <v>9420</v>
      </c>
      <c r="E20389" s="2" t="str">
        <f>"9783035619119"</f>
        <v>9783035619119</v>
      </c>
      <c r="F20389" s="2" t="str">
        <f>"9783035619171"</f>
        <v>9783035619171</v>
      </c>
    </row>
    <row r="20390" spans="1:6" s="3" customFormat="1" ht="29.1" customHeight="1" x14ac:dyDescent="0.25">
      <c r="A20390" s="2" t="s">
        <v>40009</v>
      </c>
      <c r="B20390" s="2" t="s">
        <v>40011</v>
      </c>
      <c r="C20390" s="2" t="s">
        <v>195</v>
      </c>
      <c r="D20390" s="2" t="s">
        <v>40010</v>
      </c>
      <c r="E20390" s="2" t="str">
        <f>"9783035622720"</f>
        <v>9783035622720</v>
      </c>
      <c r="F20390" s="2" t="str">
        <f>"9783035622751"</f>
        <v>9783035622751</v>
      </c>
    </row>
    <row r="20391" spans="1:6" s="3" customFormat="1" ht="29.1" customHeight="1" x14ac:dyDescent="0.25">
      <c r="A20391" s="2" t="s">
        <v>40012</v>
      </c>
      <c r="B20391" s="2" t="s">
        <v>40013</v>
      </c>
      <c r="C20391" s="2" t="s">
        <v>195</v>
      </c>
      <c r="D20391" s="2" t="s">
        <v>9420</v>
      </c>
      <c r="E20391" s="2" t="str">
        <f>"9783035622126"</f>
        <v>9783035622126</v>
      </c>
      <c r="F20391" s="2" t="str">
        <f>"9783035622164"</f>
        <v>9783035622164</v>
      </c>
    </row>
    <row r="20392" spans="1:6" s="3" customFormat="1" ht="29.1" customHeight="1" x14ac:dyDescent="0.25">
      <c r="A20392" s="2" t="s">
        <v>4370</v>
      </c>
      <c r="B20392" s="2" t="s">
        <v>3575</v>
      </c>
      <c r="C20392" s="2" t="s">
        <v>2183</v>
      </c>
      <c r="D20392" s="2" t="s">
        <v>1801</v>
      </c>
      <c r="E20392" s="2"/>
      <c r="F20392" s="2" t="str">
        <f>"9781641891462"</f>
        <v>9781641891462</v>
      </c>
    </row>
    <row r="20393" spans="1:6" s="3" customFormat="1" ht="29.1" customHeight="1" x14ac:dyDescent="0.25">
      <c r="A20393" s="2" t="s">
        <v>40014</v>
      </c>
      <c r="B20393" s="2" t="s">
        <v>40015</v>
      </c>
      <c r="C20393" s="2" t="s">
        <v>149</v>
      </c>
      <c r="D20393" s="2" t="s">
        <v>1725</v>
      </c>
      <c r="E20393" s="2" t="str">
        <f>"9781800641822"</f>
        <v>9781800641822</v>
      </c>
      <c r="F20393" s="2" t="str">
        <f>"9781800641846"</f>
        <v>9781800641846</v>
      </c>
    </row>
    <row r="20394" spans="1:6" s="3" customFormat="1" ht="29.1" customHeight="1" x14ac:dyDescent="0.25">
      <c r="A20394" s="2" t="s">
        <v>40016</v>
      </c>
      <c r="B20394" s="2" t="s">
        <v>40017</v>
      </c>
      <c r="C20394" s="2" t="s">
        <v>8449</v>
      </c>
      <c r="D20394" s="2" t="s">
        <v>13400</v>
      </c>
      <c r="E20394" s="2" t="str">
        <f>"9780821423974"</f>
        <v>9780821423974</v>
      </c>
      <c r="F20394" s="2" t="str">
        <f>"9780821446904"</f>
        <v>9780821446904</v>
      </c>
    </row>
    <row r="20395" spans="1:6" s="3" customFormat="1" ht="29.1" customHeight="1" x14ac:dyDescent="0.25">
      <c r="A20395" s="2" t="s">
        <v>40018</v>
      </c>
      <c r="B20395" s="2" t="s">
        <v>40019</v>
      </c>
      <c r="C20395" s="2" t="s">
        <v>595</v>
      </c>
      <c r="D20395" s="2" t="s">
        <v>462</v>
      </c>
      <c r="E20395" s="2" t="str">
        <f>"9783034334013"</f>
        <v>9783034334013</v>
      </c>
      <c r="F20395" s="2" t="str">
        <f>"9783034338493"</f>
        <v>9783034338493</v>
      </c>
    </row>
    <row r="20396" spans="1:6" s="3" customFormat="1" ht="29.1" customHeight="1" x14ac:dyDescent="0.25">
      <c r="A20396" s="2" t="s">
        <v>40020</v>
      </c>
      <c r="B20396" s="2" t="s">
        <v>40021</v>
      </c>
      <c r="C20396" s="2" t="s">
        <v>124</v>
      </c>
      <c r="D20396" s="2" t="s">
        <v>1466</v>
      </c>
      <c r="E20396" s="2" t="str">
        <f>"9781041189763"</f>
        <v>9781041189763</v>
      </c>
      <c r="F20396" s="2" t="str">
        <f>"9781040779392"</f>
        <v>9781040779392</v>
      </c>
    </row>
    <row r="20397" spans="1:6" s="3" customFormat="1" ht="29.1" customHeight="1" x14ac:dyDescent="0.25">
      <c r="A20397" s="2" t="s">
        <v>40022</v>
      </c>
      <c r="B20397" s="2" t="s">
        <v>40023</v>
      </c>
      <c r="C20397" s="2" t="s">
        <v>124</v>
      </c>
      <c r="D20397" s="2" t="s">
        <v>712</v>
      </c>
      <c r="E20397" s="2" t="str">
        <f>"9781041188728"</f>
        <v>9781041188728</v>
      </c>
      <c r="F20397" s="2" t="str">
        <f>"9781040773116"</f>
        <v>9781040773116</v>
      </c>
    </row>
    <row r="20398" spans="1:6" s="3" customFormat="1" ht="29.1" customHeight="1" x14ac:dyDescent="0.25">
      <c r="A20398" s="2" t="s">
        <v>40024</v>
      </c>
      <c r="B20398" s="2" t="s">
        <v>40025</v>
      </c>
      <c r="C20398" s="2" t="s">
        <v>124</v>
      </c>
      <c r="D20398" s="2" t="s">
        <v>2217</v>
      </c>
      <c r="E20398" s="2" t="str">
        <f>"9781041184898"</f>
        <v>9781041184898</v>
      </c>
      <c r="F20398" s="2" t="str">
        <f>"9781040779910"</f>
        <v>9781040779910</v>
      </c>
    </row>
    <row r="20399" spans="1:6" s="3" customFormat="1" ht="29.1" customHeight="1" x14ac:dyDescent="0.25">
      <c r="A20399" s="2" t="s">
        <v>40026</v>
      </c>
      <c r="B20399" s="2" t="s">
        <v>40027</v>
      </c>
      <c r="C20399" s="2" t="s">
        <v>124</v>
      </c>
      <c r="D20399" s="2" t="s">
        <v>107</v>
      </c>
      <c r="E20399" s="2" t="str">
        <f>"9781041183471"</f>
        <v>9781041183471</v>
      </c>
      <c r="F20399" s="2" t="str">
        <f>"9781040774977"</f>
        <v>9781040774977</v>
      </c>
    </row>
    <row r="20400" spans="1:6" s="3" customFormat="1" ht="29.1" customHeight="1" x14ac:dyDescent="0.25">
      <c r="A20400" s="2" t="s">
        <v>40028</v>
      </c>
      <c r="B20400" s="2" t="s">
        <v>40029</v>
      </c>
      <c r="C20400" s="2" t="s">
        <v>124</v>
      </c>
      <c r="D20400" s="2" t="s">
        <v>553</v>
      </c>
      <c r="E20400" s="2" t="str">
        <f>"9789462984509"</f>
        <v>9789462984509</v>
      </c>
      <c r="F20400" s="2" t="str">
        <f>"9781040776728"</f>
        <v>9781040776728</v>
      </c>
    </row>
    <row r="20401" spans="1:6" s="3" customFormat="1" ht="29.1" customHeight="1" x14ac:dyDescent="0.25">
      <c r="A20401" s="2" t="s">
        <v>40030</v>
      </c>
      <c r="B20401" s="2" t="s">
        <v>40031</v>
      </c>
      <c r="C20401" s="2" t="s">
        <v>36</v>
      </c>
      <c r="D20401" s="2" t="s">
        <v>183</v>
      </c>
      <c r="E20401" s="2" t="str">
        <f>"9781529201055"</f>
        <v>9781529201055</v>
      </c>
      <c r="F20401" s="2" t="str">
        <f>"9781529201062"</f>
        <v>9781529201062</v>
      </c>
    </row>
    <row r="20402" spans="1:6" s="3" customFormat="1" ht="29.1" customHeight="1" x14ac:dyDescent="0.25">
      <c r="A20402" s="2" t="s">
        <v>40032</v>
      </c>
      <c r="B20402" s="2" t="s">
        <v>40033</v>
      </c>
      <c r="C20402" s="2" t="s">
        <v>29</v>
      </c>
      <c r="D20402" s="2" t="s">
        <v>689</v>
      </c>
      <c r="E20402" s="2" t="str">
        <f>"9789004459953"</f>
        <v>9789004459953</v>
      </c>
      <c r="F20402" s="2" t="str">
        <f>"9789004460874"</f>
        <v>9789004460874</v>
      </c>
    </row>
    <row r="20403" spans="1:6" s="3" customFormat="1" ht="29.1" customHeight="1" x14ac:dyDescent="0.25">
      <c r="A20403" s="2" t="s">
        <v>40034</v>
      </c>
      <c r="B20403" s="2" t="s">
        <v>40035</v>
      </c>
      <c r="C20403" s="2" t="s">
        <v>1070</v>
      </c>
      <c r="D20403" s="2" t="s">
        <v>1272</v>
      </c>
      <c r="E20403" s="2" t="str">
        <f>"9783318068436"</f>
        <v>9783318068436</v>
      </c>
      <c r="F20403" s="2" t="str">
        <f>"9783318068443"</f>
        <v>9783318068443</v>
      </c>
    </row>
    <row r="20404" spans="1:6" s="3" customFormat="1" ht="29.1" customHeight="1" x14ac:dyDescent="0.25">
      <c r="A20404" s="2" t="s">
        <v>40036</v>
      </c>
      <c r="B20404" s="2" t="s">
        <v>40037</v>
      </c>
      <c r="C20404" s="2" t="s">
        <v>20</v>
      </c>
      <c r="D20404" s="2" t="s">
        <v>2260</v>
      </c>
      <c r="E20404" s="2" t="str">
        <f>"9783763966295"</f>
        <v>9783763966295</v>
      </c>
      <c r="F20404" s="2" t="str">
        <f>"9783763966301"</f>
        <v>9783763966301</v>
      </c>
    </row>
    <row r="20405" spans="1:6" s="3" customFormat="1" ht="29.1" customHeight="1" x14ac:dyDescent="0.25">
      <c r="A20405" s="2" t="s">
        <v>40038</v>
      </c>
      <c r="B20405" s="2" t="s">
        <v>40039</v>
      </c>
      <c r="C20405" s="2" t="s">
        <v>149</v>
      </c>
      <c r="D20405" s="2" t="s">
        <v>5695</v>
      </c>
      <c r="E20405" s="2" t="str">
        <f>"9781800641525"</f>
        <v>9781800641525</v>
      </c>
      <c r="F20405" s="2" t="str">
        <f>"9781800641549"</f>
        <v>9781800641549</v>
      </c>
    </row>
    <row r="20406" spans="1:6" s="3" customFormat="1" ht="29.1" customHeight="1" x14ac:dyDescent="0.25">
      <c r="A20406" s="2" t="s">
        <v>40040</v>
      </c>
      <c r="B20406" s="2" t="s">
        <v>40041</v>
      </c>
      <c r="C20406" s="2" t="s">
        <v>149</v>
      </c>
      <c r="D20406" s="2" t="s">
        <v>413</v>
      </c>
      <c r="E20406" s="2" t="str">
        <f>"9781800640894"</f>
        <v>9781800640894</v>
      </c>
      <c r="F20406" s="2" t="str">
        <f>"9781800640917"</f>
        <v>9781800640917</v>
      </c>
    </row>
    <row r="20407" spans="1:6" s="3" customFormat="1" ht="29.1" customHeight="1" x14ac:dyDescent="0.25">
      <c r="A20407" s="2" t="s">
        <v>40042</v>
      </c>
      <c r="B20407" s="2" t="s">
        <v>40044</v>
      </c>
      <c r="C20407" s="2" t="s">
        <v>149</v>
      </c>
      <c r="D20407" s="2" t="s">
        <v>40043</v>
      </c>
      <c r="E20407" s="2" t="str">
        <f>"9781783747696"</f>
        <v>9781783747696</v>
      </c>
      <c r="F20407" s="2" t="str">
        <f>"9781783747719"</f>
        <v>9781783747719</v>
      </c>
    </row>
    <row r="20408" spans="1:6" s="3" customFormat="1" ht="29.1" customHeight="1" x14ac:dyDescent="0.25">
      <c r="A20408" s="2" t="s">
        <v>40045</v>
      </c>
      <c r="B20408" s="2" t="s">
        <v>40046</v>
      </c>
      <c r="C20408" s="2" t="s">
        <v>149</v>
      </c>
      <c r="D20408" s="2" t="s">
        <v>1209</v>
      </c>
      <c r="E20408" s="2" t="str">
        <f>"9781800641761"</f>
        <v>9781800641761</v>
      </c>
      <c r="F20408" s="2" t="str">
        <f>"9781800641778"</f>
        <v>9781800641778</v>
      </c>
    </row>
    <row r="20409" spans="1:6" s="3" customFormat="1" ht="29.1" customHeight="1" x14ac:dyDescent="0.25">
      <c r="A20409" s="2" t="s">
        <v>40047</v>
      </c>
      <c r="B20409" s="2" t="s">
        <v>40048</v>
      </c>
      <c r="C20409" s="2" t="s">
        <v>149</v>
      </c>
      <c r="D20409" s="2" t="s">
        <v>998</v>
      </c>
      <c r="E20409" s="2" t="str">
        <f>"9781783749614"</f>
        <v>9781783749614</v>
      </c>
      <c r="F20409" s="2" t="str">
        <f>"9781783749638"</f>
        <v>9781783749638</v>
      </c>
    </row>
    <row r="20410" spans="1:6" s="3" customFormat="1" ht="29.1" customHeight="1" x14ac:dyDescent="0.25">
      <c r="A20410" s="2" t="s">
        <v>40049</v>
      </c>
      <c r="B20410" s="2" t="s">
        <v>40050</v>
      </c>
      <c r="C20410" s="2" t="s">
        <v>149</v>
      </c>
      <c r="D20410" s="2" t="s">
        <v>3245</v>
      </c>
      <c r="E20410" s="2" t="str">
        <f>"9781783749935"</f>
        <v>9781783749935</v>
      </c>
      <c r="F20410" s="2" t="str">
        <f>"9781783749959"</f>
        <v>9781783749959</v>
      </c>
    </row>
    <row r="20411" spans="1:6" s="3" customFormat="1" ht="29.1" customHeight="1" x14ac:dyDescent="0.25">
      <c r="A20411" s="2" t="s">
        <v>40051</v>
      </c>
      <c r="B20411" s="2" t="s">
        <v>40052</v>
      </c>
      <c r="C20411" s="2" t="s">
        <v>149</v>
      </c>
      <c r="D20411" s="2" t="s">
        <v>3958</v>
      </c>
      <c r="E20411" s="2" t="str">
        <f>"9781800640986"</f>
        <v>9781800640986</v>
      </c>
      <c r="F20411" s="2" t="str">
        <f>"9781800641006"</f>
        <v>9781800641006</v>
      </c>
    </row>
    <row r="20412" spans="1:6" s="3" customFormat="1" ht="29.1" customHeight="1" x14ac:dyDescent="0.25">
      <c r="A20412" s="2" t="s">
        <v>40053</v>
      </c>
      <c r="B20412" s="2" t="s">
        <v>40054</v>
      </c>
      <c r="C20412" s="2" t="s">
        <v>62</v>
      </c>
      <c r="D20412" s="2" t="s">
        <v>509</v>
      </c>
      <c r="E20412" s="2" t="str">
        <f>"9783428182213"</f>
        <v>9783428182213</v>
      </c>
      <c r="F20412" s="2" t="str">
        <f>"9783428582211"</f>
        <v>9783428582211</v>
      </c>
    </row>
    <row r="20413" spans="1:6" s="3" customFormat="1" ht="29.1" customHeight="1" x14ac:dyDescent="0.25">
      <c r="A20413" s="2" t="s">
        <v>40055</v>
      </c>
      <c r="B20413" s="2" t="s">
        <v>40056</v>
      </c>
      <c r="C20413" s="2" t="s">
        <v>556</v>
      </c>
      <c r="D20413" s="2" t="s">
        <v>490</v>
      </c>
      <c r="E20413" s="2" t="str">
        <f>"9783837657272"</f>
        <v>9783837657272</v>
      </c>
      <c r="F20413" s="2" t="str">
        <f>"9783839457276"</f>
        <v>9783839457276</v>
      </c>
    </row>
    <row r="20414" spans="1:6" s="3" customFormat="1" ht="29.1" customHeight="1" x14ac:dyDescent="0.25">
      <c r="A20414" s="2" t="s">
        <v>40057</v>
      </c>
      <c r="B20414" s="2" t="s">
        <v>40058</v>
      </c>
      <c r="C20414" s="2" t="s">
        <v>556</v>
      </c>
      <c r="D20414" s="2" t="s">
        <v>324</v>
      </c>
      <c r="E20414" s="2" t="str">
        <f>"9783837657203"</f>
        <v>9783837657203</v>
      </c>
      <c r="F20414" s="2" t="str">
        <f>"9783839457207"</f>
        <v>9783839457207</v>
      </c>
    </row>
    <row r="20415" spans="1:6" s="3" customFormat="1" ht="29.1" customHeight="1" x14ac:dyDescent="0.25">
      <c r="A20415" s="2" t="s">
        <v>40059</v>
      </c>
      <c r="B20415" s="2" t="s">
        <v>40060</v>
      </c>
      <c r="C20415" s="2" t="s">
        <v>556</v>
      </c>
      <c r="D20415" s="2" t="s">
        <v>1560</v>
      </c>
      <c r="E20415" s="2" t="str">
        <f>"9783837657098"</f>
        <v>9783837657098</v>
      </c>
      <c r="F20415" s="2" t="str">
        <f>"9783839457092"</f>
        <v>9783839457092</v>
      </c>
    </row>
    <row r="20416" spans="1:6" s="3" customFormat="1" ht="29.1" customHeight="1" x14ac:dyDescent="0.25">
      <c r="A20416" s="2" t="s">
        <v>40061</v>
      </c>
      <c r="B20416" s="2" t="s">
        <v>40063</v>
      </c>
      <c r="C20416" s="2" t="s">
        <v>556</v>
      </c>
      <c r="D20416" s="2" t="s">
        <v>40062</v>
      </c>
      <c r="E20416" s="2" t="str">
        <f>"9783837657081"</f>
        <v>9783837657081</v>
      </c>
      <c r="F20416" s="2" t="str">
        <f>"9783839457085"</f>
        <v>9783839457085</v>
      </c>
    </row>
    <row r="20417" spans="1:6" s="3" customFormat="1" ht="29.1" customHeight="1" x14ac:dyDescent="0.25">
      <c r="A20417" s="2" t="s">
        <v>40064</v>
      </c>
      <c r="B20417" s="2" t="s">
        <v>40065</v>
      </c>
      <c r="C20417" s="2" t="s">
        <v>556</v>
      </c>
      <c r="D20417" s="2" t="s">
        <v>328</v>
      </c>
      <c r="E20417" s="2" t="str">
        <f>"9783837656251"</f>
        <v>9783837656251</v>
      </c>
      <c r="F20417" s="2" t="str">
        <f>"9783839456255"</f>
        <v>9783839456255</v>
      </c>
    </row>
    <row r="20418" spans="1:6" s="3" customFormat="1" ht="29.1" customHeight="1" x14ac:dyDescent="0.25">
      <c r="A20418" s="2" t="s">
        <v>40066</v>
      </c>
      <c r="B20418" s="2" t="s">
        <v>40067</v>
      </c>
      <c r="C20418" s="2" t="s">
        <v>556</v>
      </c>
      <c r="D20418" s="2" t="s">
        <v>218</v>
      </c>
      <c r="E20418" s="2" t="str">
        <f>"9783837655834"</f>
        <v>9783837655834</v>
      </c>
      <c r="F20418" s="2" t="str">
        <f>"9783839455838"</f>
        <v>9783839455838</v>
      </c>
    </row>
    <row r="20419" spans="1:6" s="3" customFormat="1" ht="29.1" customHeight="1" x14ac:dyDescent="0.25">
      <c r="A20419" s="2" t="s">
        <v>40068</v>
      </c>
      <c r="B20419" s="2" t="s">
        <v>40069</v>
      </c>
      <c r="C20419" s="2" t="s">
        <v>556</v>
      </c>
      <c r="D20419" s="2" t="s">
        <v>78</v>
      </c>
      <c r="E20419" s="2" t="str">
        <f>"9783837653847"</f>
        <v>9783837653847</v>
      </c>
      <c r="F20419" s="2" t="str">
        <f>"9783839453841"</f>
        <v>9783839453841</v>
      </c>
    </row>
    <row r="20420" spans="1:6" s="3" customFormat="1" ht="29.1" customHeight="1" x14ac:dyDescent="0.25">
      <c r="A20420" s="2" t="s">
        <v>40070</v>
      </c>
      <c r="B20420" s="2" t="s">
        <v>40071</v>
      </c>
      <c r="C20420" s="2" t="s">
        <v>556</v>
      </c>
      <c r="D20420" s="2" t="s">
        <v>712</v>
      </c>
      <c r="E20420" s="2" t="str">
        <f>"9783837648379"</f>
        <v>9783837648379</v>
      </c>
      <c r="F20420" s="2" t="str">
        <f>"9783839448373"</f>
        <v>9783839448373</v>
      </c>
    </row>
    <row r="20421" spans="1:6" s="3" customFormat="1" ht="29.1" customHeight="1" x14ac:dyDescent="0.25">
      <c r="A20421" s="2" t="s">
        <v>40072</v>
      </c>
      <c r="B20421" s="2" t="s">
        <v>40073</v>
      </c>
      <c r="C20421" s="2" t="s">
        <v>927</v>
      </c>
      <c r="D20421" s="2" t="s">
        <v>33</v>
      </c>
      <c r="E20421" s="2" t="str">
        <f>"9780472130634"</f>
        <v>9780472130634</v>
      </c>
      <c r="F20421" s="2" t="str">
        <f>"9780472900855"</f>
        <v>9780472900855</v>
      </c>
    </row>
    <row r="20422" spans="1:6" s="3" customFormat="1" ht="29.1" customHeight="1" x14ac:dyDescent="0.25">
      <c r="A20422" s="2" t="s">
        <v>40074</v>
      </c>
      <c r="B20422" s="2" t="s">
        <v>40075</v>
      </c>
      <c r="C20422" s="2" t="s">
        <v>124</v>
      </c>
      <c r="D20422" s="2" t="s">
        <v>339</v>
      </c>
      <c r="E20422" s="2" t="str">
        <f>"9781032128290"</f>
        <v>9781032128290</v>
      </c>
      <c r="F20422" s="2" t="str">
        <f>"9781315111308"</f>
        <v>9781315111308</v>
      </c>
    </row>
    <row r="20423" spans="1:6" s="3" customFormat="1" ht="29.1" customHeight="1" x14ac:dyDescent="0.25">
      <c r="A20423" s="2" t="s">
        <v>40076</v>
      </c>
      <c r="B20423" s="2" t="s">
        <v>40077</v>
      </c>
      <c r="C20423" s="2" t="s">
        <v>124</v>
      </c>
      <c r="D20423" s="2" t="s">
        <v>553</v>
      </c>
      <c r="E20423" s="2" t="str">
        <f>"9780367653170"</f>
        <v>9780367653170</v>
      </c>
      <c r="F20423" s="2" t="str">
        <f>"9781000476064"</f>
        <v>9781000476064</v>
      </c>
    </row>
    <row r="20424" spans="1:6" s="3" customFormat="1" ht="29.1" customHeight="1" x14ac:dyDescent="0.25">
      <c r="A20424" s="2" t="s">
        <v>40078</v>
      </c>
      <c r="B20424" s="2" t="s">
        <v>40079</v>
      </c>
      <c r="C20424" s="2" t="s">
        <v>124</v>
      </c>
      <c r="D20424" s="2" t="s">
        <v>270</v>
      </c>
      <c r="E20424" s="2" t="str">
        <f>"9780367765101"</f>
        <v>9780367765101</v>
      </c>
      <c r="F20424" s="2" t="str">
        <f>"9781000475593"</f>
        <v>9781000475593</v>
      </c>
    </row>
    <row r="20425" spans="1:6" s="3" customFormat="1" ht="29.1" customHeight="1" x14ac:dyDescent="0.25">
      <c r="A20425" s="2" t="s">
        <v>40080</v>
      </c>
      <c r="B20425" s="2" t="s">
        <v>40081</v>
      </c>
      <c r="C20425" s="2" t="s">
        <v>124</v>
      </c>
      <c r="D20425" s="2" t="s">
        <v>712</v>
      </c>
      <c r="E20425" s="2" t="str">
        <f>"9781032037134"</f>
        <v>9781032037134</v>
      </c>
      <c r="F20425" s="2" t="str">
        <f>"9781000474923"</f>
        <v>9781000474923</v>
      </c>
    </row>
    <row r="20426" spans="1:6" s="3" customFormat="1" ht="29.1" customHeight="1" x14ac:dyDescent="0.25">
      <c r="A20426" s="2" t="s">
        <v>40082</v>
      </c>
      <c r="B20426" s="2" t="s">
        <v>40083</v>
      </c>
      <c r="C20426" s="2" t="s">
        <v>746</v>
      </c>
      <c r="D20426" s="2" t="s">
        <v>606</v>
      </c>
      <c r="E20426" s="2" t="str">
        <f>"9781784918255"</f>
        <v>9781784918255</v>
      </c>
      <c r="F20426" s="2" t="str">
        <f>"9781784918262"</f>
        <v>9781784918262</v>
      </c>
    </row>
    <row r="20427" spans="1:6" s="3" customFormat="1" ht="29.1" customHeight="1" x14ac:dyDescent="0.25">
      <c r="A20427" s="2" t="s">
        <v>40084</v>
      </c>
      <c r="B20427" s="2" t="s">
        <v>40085</v>
      </c>
      <c r="C20427" s="2" t="s">
        <v>29</v>
      </c>
      <c r="D20427" s="2" t="s">
        <v>192</v>
      </c>
      <c r="E20427" s="2" t="str">
        <f>"9789004394605"</f>
        <v>9789004394605</v>
      </c>
      <c r="F20427" s="2" t="str">
        <f>"9789004394612"</f>
        <v>9789004394612</v>
      </c>
    </row>
    <row r="20428" spans="1:6" s="3" customFormat="1" ht="29.1" customHeight="1" x14ac:dyDescent="0.25">
      <c r="A20428" s="2" t="s">
        <v>40086</v>
      </c>
      <c r="B20428" s="2" t="s">
        <v>40087</v>
      </c>
      <c r="C20428" s="2" t="s">
        <v>131</v>
      </c>
      <c r="D20428" s="2" t="s">
        <v>1245</v>
      </c>
      <c r="E20428" s="2" t="str">
        <f>"9789027208859"</f>
        <v>9789027208859</v>
      </c>
      <c r="F20428" s="2" t="str">
        <f>"9789027259820"</f>
        <v>9789027259820</v>
      </c>
    </row>
    <row r="20429" spans="1:6" s="3" customFormat="1" ht="29.1" customHeight="1" x14ac:dyDescent="0.25">
      <c r="A20429" s="2" t="s">
        <v>40088</v>
      </c>
      <c r="B20429" s="2" t="s">
        <v>40089</v>
      </c>
      <c r="C20429" s="2" t="s">
        <v>927</v>
      </c>
      <c r="D20429" s="2" t="s">
        <v>270</v>
      </c>
      <c r="E20429" s="2" t="str">
        <f>"9780472038749"</f>
        <v>9780472038749</v>
      </c>
      <c r="F20429" s="2" t="str">
        <f>"9780472901258"</f>
        <v>9780472901258</v>
      </c>
    </row>
    <row r="20430" spans="1:6" s="3" customFormat="1" ht="29.1" customHeight="1" x14ac:dyDescent="0.25">
      <c r="A20430" s="2" t="s">
        <v>40090</v>
      </c>
      <c r="B20430" s="2" t="s">
        <v>40091</v>
      </c>
      <c r="C20430" s="2" t="s">
        <v>927</v>
      </c>
      <c r="D20430" s="2" t="s">
        <v>297</v>
      </c>
      <c r="E20430" s="2" t="str">
        <f>"9780472038503"</f>
        <v>9780472038503</v>
      </c>
      <c r="F20430" s="2" t="str">
        <f>"9780472902422"</f>
        <v>9780472902422</v>
      </c>
    </row>
    <row r="20431" spans="1:6" s="3" customFormat="1" ht="29.1" customHeight="1" x14ac:dyDescent="0.25">
      <c r="A20431" s="2" t="s">
        <v>40092</v>
      </c>
      <c r="B20431" s="2" t="s">
        <v>40093</v>
      </c>
      <c r="C20431" s="2" t="s">
        <v>927</v>
      </c>
      <c r="D20431" s="2" t="s">
        <v>2237</v>
      </c>
      <c r="E20431" s="2" t="str">
        <f>"9780472116102"</f>
        <v>9780472116102</v>
      </c>
      <c r="F20431" s="2" t="str">
        <f>"9780472901159"</f>
        <v>9780472901159</v>
      </c>
    </row>
    <row r="20432" spans="1:6" s="3" customFormat="1" ht="29.1" customHeight="1" x14ac:dyDescent="0.25">
      <c r="A20432" s="2" t="s">
        <v>40094</v>
      </c>
      <c r="B20432" s="2" t="s">
        <v>40095</v>
      </c>
      <c r="C20432" s="2" t="s">
        <v>927</v>
      </c>
      <c r="D20432" s="2" t="s">
        <v>270</v>
      </c>
      <c r="E20432" s="2" t="str">
        <f>"9780472130641"</f>
        <v>9780472130641</v>
      </c>
      <c r="F20432" s="2" t="str">
        <f>"9780472900923"</f>
        <v>9780472900923</v>
      </c>
    </row>
    <row r="20433" spans="1:6" s="3" customFormat="1" ht="29.1" customHeight="1" x14ac:dyDescent="0.25">
      <c r="A20433" s="2" t="s">
        <v>40096</v>
      </c>
      <c r="B20433" s="2" t="s">
        <v>40097</v>
      </c>
      <c r="C20433" s="2" t="s">
        <v>927</v>
      </c>
      <c r="D20433" s="2" t="s">
        <v>270</v>
      </c>
      <c r="E20433" s="2" t="str">
        <f>"9780472132287"</f>
        <v>9780472132287</v>
      </c>
      <c r="F20433" s="2" t="str">
        <f>"9780472902538"</f>
        <v>9780472902538</v>
      </c>
    </row>
    <row r="20434" spans="1:6" s="3" customFormat="1" ht="29.1" customHeight="1" x14ac:dyDescent="0.25">
      <c r="A20434" s="2" t="s">
        <v>40098</v>
      </c>
      <c r="B20434" s="2" t="s">
        <v>40099</v>
      </c>
      <c r="C20434" s="2" t="s">
        <v>927</v>
      </c>
      <c r="D20434" s="2" t="s">
        <v>270</v>
      </c>
      <c r="E20434" s="2" t="str">
        <f>"9780472038626"</f>
        <v>9780472038626</v>
      </c>
      <c r="F20434" s="2" t="str">
        <f>"9780472902460"</f>
        <v>9780472902460</v>
      </c>
    </row>
    <row r="20435" spans="1:6" s="3" customFormat="1" ht="29.1" customHeight="1" x14ac:dyDescent="0.25">
      <c r="A20435" s="2" t="s">
        <v>40100</v>
      </c>
      <c r="B20435" s="2" t="s">
        <v>40101</v>
      </c>
      <c r="C20435" s="2" t="s">
        <v>927</v>
      </c>
      <c r="D20435" s="2" t="s">
        <v>297</v>
      </c>
      <c r="E20435" s="2" t="str">
        <f>"9780472132553"</f>
        <v>9780472132553</v>
      </c>
      <c r="F20435" s="2" t="str">
        <f>"9780472902439"</f>
        <v>9780472902439</v>
      </c>
    </row>
    <row r="20436" spans="1:6" s="3" customFormat="1" ht="29.1" customHeight="1" x14ac:dyDescent="0.25">
      <c r="A20436" s="2" t="s">
        <v>40102</v>
      </c>
      <c r="B20436" s="2" t="s">
        <v>40103</v>
      </c>
      <c r="C20436" s="2" t="s">
        <v>7395</v>
      </c>
      <c r="D20436" s="2" t="s">
        <v>33876</v>
      </c>
      <c r="E20436" s="2" t="str">
        <f>"9780295748719"</f>
        <v>9780295748719</v>
      </c>
      <c r="F20436" s="2" t="str">
        <f>"9780295748733"</f>
        <v>9780295748733</v>
      </c>
    </row>
    <row r="20437" spans="1:6" s="3" customFormat="1" ht="29.1" customHeight="1" x14ac:dyDescent="0.25">
      <c r="A20437" s="2" t="s">
        <v>40104</v>
      </c>
      <c r="B20437" s="2" t="s">
        <v>40105</v>
      </c>
      <c r="C20437" s="2" t="s">
        <v>124</v>
      </c>
      <c r="D20437" s="2" t="s">
        <v>1437</v>
      </c>
      <c r="E20437" s="2" t="str">
        <f>"9781041186274"</f>
        <v>9781041186274</v>
      </c>
      <c r="F20437" s="2" t="str">
        <f>"9781040790878"</f>
        <v>9781040790878</v>
      </c>
    </row>
    <row r="20438" spans="1:6" s="3" customFormat="1" ht="29.1" customHeight="1" x14ac:dyDescent="0.25">
      <c r="A20438" s="2" t="s">
        <v>40106</v>
      </c>
      <c r="B20438" s="2" t="s">
        <v>40107</v>
      </c>
      <c r="C20438" s="2" t="s">
        <v>3248</v>
      </c>
      <c r="D20438" s="2" t="s">
        <v>297</v>
      </c>
      <c r="E20438" s="2" t="str">
        <f>"9781978803053"</f>
        <v>9781978803053</v>
      </c>
      <c r="F20438" s="2" t="str">
        <f>"9781978803077"</f>
        <v>9781978803077</v>
      </c>
    </row>
    <row r="20439" spans="1:6" s="3" customFormat="1" ht="29.1" customHeight="1" x14ac:dyDescent="0.25">
      <c r="A20439" s="2" t="s">
        <v>40108</v>
      </c>
      <c r="B20439" s="2" t="s">
        <v>40109</v>
      </c>
      <c r="C20439" s="2" t="s">
        <v>124</v>
      </c>
      <c r="D20439" s="2" t="s">
        <v>4002</v>
      </c>
      <c r="E20439" s="2" t="str">
        <f>"9780367749132"</f>
        <v>9780367749132</v>
      </c>
      <c r="F20439" s="2" t="str">
        <f>"9781000472400"</f>
        <v>9781000472400</v>
      </c>
    </row>
    <row r="20440" spans="1:6" s="3" customFormat="1" ht="29.1" customHeight="1" x14ac:dyDescent="0.25">
      <c r="A20440" s="2" t="s">
        <v>40110</v>
      </c>
      <c r="B20440" s="2" t="s">
        <v>40111</v>
      </c>
      <c r="C20440" s="2" t="s">
        <v>124</v>
      </c>
      <c r="D20440" s="2" t="s">
        <v>1697</v>
      </c>
      <c r="E20440" s="2" t="str">
        <f>"9780367344580"</f>
        <v>9780367344580</v>
      </c>
      <c r="F20440" s="2" t="str">
        <f>"9780429327865"</f>
        <v>9780429327865</v>
      </c>
    </row>
    <row r="20441" spans="1:6" s="3" customFormat="1" ht="29.1" customHeight="1" x14ac:dyDescent="0.25">
      <c r="A20441" s="2" t="s">
        <v>40112</v>
      </c>
      <c r="B20441" s="2" t="s">
        <v>40113</v>
      </c>
      <c r="C20441" s="2" t="s">
        <v>124</v>
      </c>
      <c r="D20441" s="2" t="s">
        <v>647</v>
      </c>
      <c r="E20441" s="2" t="str">
        <f>"9780367569600"</f>
        <v>9780367569600</v>
      </c>
      <c r="F20441" s="2" t="str">
        <f>"9781000473575"</f>
        <v>9781000473575</v>
      </c>
    </row>
    <row r="20442" spans="1:6" s="3" customFormat="1" ht="29.1" customHeight="1" x14ac:dyDescent="0.25">
      <c r="A20442" s="2" t="s">
        <v>40114</v>
      </c>
      <c r="B20442" s="2" t="s">
        <v>40115</v>
      </c>
      <c r="C20442" s="2" t="s">
        <v>124</v>
      </c>
      <c r="D20442" s="2" t="s">
        <v>3086</v>
      </c>
      <c r="E20442" s="2" t="str">
        <f>"9781032128320"</f>
        <v>9781032128320</v>
      </c>
      <c r="F20442" s="2" t="str">
        <f>"9781351029520"</f>
        <v>9781351029520</v>
      </c>
    </row>
    <row r="20443" spans="1:6" s="3" customFormat="1" ht="29.1" customHeight="1" x14ac:dyDescent="0.25">
      <c r="A20443" s="2" t="s">
        <v>40116</v>
      </c>
      <c r="B20443" s="2" t="s">
        <v>40117</v>
      </c>
      <c r="C20443" s="2" t="s">
        <v>2183</v>
      </c>
      <c r="D20443" s="2" t="s">
        <v>428</v>
      </c>
      <c r="E20443" s="2" t="str">
        <f>"9781641893145"</f>
        <v>9781641893145</v>
      </c>
      <c r="F20443" s="2" t="str">
        <f>"9781641893152"</f>
        <v>9781641893152</v>
      </c>
    </row>
    <row r="20444" spans="1:6" s="3" customFormat="1" ht="29.1" customHeight="1" x14ac:dyDescent="0.25">
      <c r="A20444" s="2" t="s">
        <v>40118</v>
      </c>
      <c r="B20444" s="2" t="s">
        <v>40119</v>
      </c>
      <c r="C20444" s="2" t="s">
        <v>62</v>
      </c>
      <c r="D20444" s="2" t="s">
        <v>1864</v>
      </c>
      <c r="E20444" s="2" t="str">
        <f>"9783428082926"</f>
        <v>9783428082926</v>
      </c>
      <c r="F20444" s="2" t="str">
        <f>"9783428482924"</f>
        <v>9783428482924</v>
      </c>
    </row>
    <row r="20445" spans="1:6" s="3" customFormat="1" ht="29.1" customHeight="1" x14ac:dyDescent="0.25">
      <c r="A20445" s="2" t="s">
        <v>40120</v>
      </c>
      <c r="B20445" s="2" t="s">
        <v>37153</v>
      </c>
      <c r="C20445" s="2" t="s">
        <v>1070</v>
      </c>
      <c r="D20445" s="2" t="s">
        <v>1313</v>
      </c>
      <c r="E20445" s="2" t="str">
        <f>"9783318060744"</f>
        <v>9783318060744</v>
      </c>
      <c r="F20445" s="2" t="str">
        <f>"9783318069570"</f>
        <v>9783318069570</v>
      </c>
    </row>
    <row r="20446" spans="1:6" s="3" customFormat="1" ht="29.1" customHeight="1" x14ac:dyDescent="0.25">
      <c r="A20446" s="2" t="s">
        <v>40121</v>
      </c>
      <c r="B20446" s="2" t="s">
        <v>40122</v>
      </c>
      <c r="C20446" s="2" t="s">
        <v>124</v>
      </c>
      <c r="D20446" s="2" t="s">
        <v>916</v>
      </c>
      <c r="E20446" s="2" t="str">
        <f>"9781041182207"</f>
        <v>9781041182207</v>
      </c>
      <c r="F20446" s="2" t="str">
        <f>"9781040773048"</f>
        <v>9781040773048</v>
      </c>
    </row>
    <row r="20447" spans="1:6" s="3" customFormat="1" ht="29.1" customHeight="1" x14ac:dyDescent="0.25">
      <c r="A20447" s="2" t="s">
        <v>40123</v>
      </c>
      <c r="B20447" s="2" t="s">
        <v>40124</v>
      </c>
      <c r="C20447" s="2" t="s">
        <v>8059</v>
      </c>
      <c r="D20447" s="2" t="s">
        <v>3445</v>
      </c>
      <c r="E20447" s="2" t="str">
        <f>"9781928424628"</f>
        <v>9781928424628</v>
      </c>
      <c r="F20447" s="2" t="str">
        <f>"9781928424635"</f>
        <v>9781928424635</v>
      </c>
    </row>
    <row r="20448" spans="1:6" s="3" customFormat="1" ht="29.1" customHeight="1" x14ac:dyDescent="0.25">
      <c r="A20448" s="2" t="s">
        <v>40125</v>
      </c>
      <c r="B20448" s="2" t="s">
        <v>40126</v>
      </c>
      <c r="C20448" s="2" t="s">
        <v>4788</v>
      </c>
      <c r="D20448" s="2" t="s">
        <v>3993</v>
      </c>
      <c r="E20448" s="2" t="str">
        <f>"9781474415569"</f>
        <v>9781474415569</v>
      </c>
      <c r="F20448" s="2" t="str">
        <f>"9781474415576"</f>
        <v>9781474415576</v>
      </c>
    </row>
    <row r="20449" spans="1:6" s="3" customFormat="1" ht="29.1" customHeight="1" x14ac:dyDescent="0.25">
      <c r="A20449" s="2" t="s">
        <v>1305</v>
      </c>
      <c r="B20449" s="2" t="s">
        <v>40127</v>
      </c>
      <c r="C20449" s="2" t="s">
        <v>1070</v>
      </c>
      <c r="D20449" s="2" t="s">
        <v>1272</v>
      </c>
      <c r="E20449" s="2" t="str">
        <f>"9783318067972"</f>
        <v>9783318067972</v>
      </c>
      <c r="F20449" s="2" t="str">
        <f>"9783318067996"</f>
        <v>9783318067996</v>
      </c>
    </row>
    <row r="20450" spans="1:6" s="3" customFormat="1" ht="29.1" customHeight="1" x14ac:dyDescent="0.25">
      <c r="A20450" s="2" t="s">
        <v>40128</v>
      </c>
      <c r="B20450" s="2" t="s">
        <v>40129</v>
      </c>
      <c r="C20450" s="2" t="s">
        <v>36</v>
      </c>
      <c r="D20450" s="2" t="s">
        <v>297</v>
      </c>
      <c r="E20450" s="2"/>
      <c r="F20450" s="2" t="str">
        <f>"9781447361794"</f>
        <v>9781447361794</v>
      </c>
    </row>
    <row r="20451" spans="1:6" s="3" customFormat="1" ht="29.1" customHeight="1" x14ac:dyDescent="0.25">
      <c r="A20451" s="2" t="s">
        <v>40128</v>
      </c>
      <c r="B20451" s="2" t="s">
        <v>40130</v>
      </c>
      <c r="C20451" s="2" t="s">
        <v>36</v>
      </c>
      <c r="D20451" s="2" t="s">
        <v>297</v>
      </c>
      <c r="E20451" s="2"/>
      <c r="F20451" s="2" t="str">
        <f>"9781447361770"</f>
        <v>9781447361770</v>
      </c>
    </row>
    <row r="20452" spans="1:6" s="3" customFormat="1" ht="29.1" customHeight="1" x14ac:dyDescent="0.25">
      <c r="A20452" s="2" t="s">
        <v>1303</v>
      </c>
      <c r="B20452" s="2" t="s">
        <v>40131</v>
      </c>
      <c r="C20452" s="2" t="s">
        <v>1070</v>
      </c>
      <c r="D20452" s="2" t="s">
        <v>1285</v>
      </c>
      <c r="E20452" s="2" t="str">
        <f>"9783318068726"</f>
        <v>9783318068726</v>
      </c>
      <c r="F20452" s="2" t="str">
        <f>"9783318068733"</f>
        <v>9783318068733</v>
      </c>
    </row>
    <row r="20453" spans="1:6" s="3" customFormat="1" ht="29.1" customHeight="1" x14ac:dyDescent="0.25">
      <c r="A20453" s="2" t="s">
        <v>40132</v>
      </c>
      <c r="B20453" s="2" t="s">
        <v>40133</v>
      </c>
      <c r="C20453" s="2" t="s">
        <v>264</v>
      </c>
      <c r="D20453" s="2" t="s">
        <v>477</v>
      </c>
      <c r="E20453" s="2"/>
      <c r="F20453" s="2" t="str">
        <f>"9781000404890"</f>
        <v>9781000404890</v>
      </c>
    </row>
    <row r="20454" spans="1:6" s="3" customFormat="1" ht="29.1" customHeight="1" x14ac:dyDescent="0.25">
      <c r="A20454" s="2" t="s">
        <v>40134</v>
      </c>
      <c r="B20454" s="2" t="s">
        <v>40135</v>
      </c>
      <c r="C20454" s="2" t="s">
        <v>264</v>
      </c>
      <c r="D20454" s="2" t="s">
        <v>1059</v>
      </c>
      <c r="E20454" s="2" t="str">
        <f>"9780367676377"</f>
        <v>9780367676377</v>
      </c>
      <c r="F20454" s="2" t="str">
        <f>"9781000459418"</f>
        <v>9781000459418</v>
      </c>
    </row>
    <row r="20455" spans="1:6" s="3" customFormat="1" ht="29.1" customHeight="1" x14ac:dyDescent="0.25">
      <c r="A20455" s="2" t="s">
        <v>40136</v>
      </c>
      <c r="B20455" s="2" t="s">
        <v>40137</v>
      </c>
      <c r="C20455" s="2" t="s">
        <v>264</v>
      </c>
      <c r="D20455" s="2" t="s">
        <v>9395</v>
      </c>
      <c r="E20455" s="2" t="str">
        <f>"9780367762650"</f>
        <v>9780367762650</v>
      </c>
      <c r="F20455" s="2" t="str">
        <f>"9781000428568"</f>
        <v>9781000428568</v>
      </c>
    </row>
    <row r="20456" spans="1:6" s="3" customFormat="1" ht="29.1" customHeight="1" x14ac:dyDescent="0.25">
      <c r="A20456" s="2" t="s">
        <v>40138</v>
      </c>
      <c r="B20456" s="2" t="s">
        <v>40139</v>
      </c>
      <c r="C20456" s="2" t="s">
        <v>264</v>
      </c>
      <c r="D20456" s="2" t="s">
        <v>758</v>
      </c>
      <c r="E20456" s="2" t="str">
        <f>"9780367485672"</f>
        <v>9780367485672</v>
      </c>
      <c r="F20456" s="2" t="str">
        <f>"9781000461657"</f>
        <v>9781000461657</v>
      </c>
    </row>
    <row r="20457" spans="1:6" s="3" customFormat="1" ht="29.1" customHeight="1" x14ac:dyDescent="0.25">
      <c r="A20457" s="2" t="s">
        <v>40140</v>
      </c>
      <c r="B20457" s="2" t="s">
        <v>40141</v>
      </c>
      <c r="C20457" s="2" t="s">
        <v>264</v>
      </c>
      <c r="D20457" s="2" t="s">
        <v>297</v>
      </c>
      <c r="E20457" s="2" t="str">
        <f>"9781032018010"</f>
        <v>9781032018010</v>
      </c>
      <c r="F20457" s="2" t="str">
        <f>"9781000468229"</f>
        <v>9781000468229</v>
      </c>
    </row>
    <row r="20458" spans="1:6" s="3" customFormat="1" ht="29.1" customHeight="1" x14ac:dyDescent="0.25">
      <c r="A20458" s="2" t="s">
        <v>40142</v>
      </c>
      <c r="B20458" s="2" t="s">
        <v>40143</v>
      </c>
      <c r="C20458" s="2" t="s">
        <v>124</v>
      </c>
      <c r="D20458" s="2" t="s">
        <v>1043</v>
      </c>
      <c r="E20458" s="2" t="str">
        <f>"9780367343811"</f>
        <v>9780367343811</v>
      </c>
      <c r="F20458" s="2" t="str">
        <f>"9780429325403"</f>
        <v>9780429325403</v>
      </c>
    </row>
    <row r="20459" spans="1:6" s="3" customFormat="1" ht="29.1" customHeight="1" x14ac:dyDescent="0.25">
      <c r="A20459" s="2" t="s">
        <v>40144</v>
      </c>
      <c r="B20459" s="2" t="s">
        <v>40145</v>
      </c>
      <c r="C20459" s="2" t="s">
        <v>124</v>
      </c>
      <c r="D20459" s="2" t="s">
        <v>1127</v>
      </c>
      <c r="E20459" s="2" t="str">
        <f>"9780367173173"</f>
        <v>9780367173173</v>
      </c>
      <c r="F20459" s="2" t="str">
        <f>"9780429056161"</f>
        <v>9780429056161</v>
      </c>
    </row>
    <row r="20460" spans="1:6" s="3" customFormat="1" ht="29.1" customHeight="1" x14ac:dyDescent="0.25">
      <c r="A20460" s="2" t="s">
        <v>40146</v>
      </c>
      <c r="B20460" s="2" t="s">
        <v>40147</v>
      </c>
      <c r="C20460" s="2" t="s">
        <v>124</v>
      </c>
      <c r="D20460" s="2" t="s">
        <v>1816</v>
      </c>
      <c r="E20460" s="2" t="str">
        <f>"9780367741921"</f>
        <v>9780367741921</v>
      </c>
      <c r="F20460" s="2" t="str">
        <f>"9781000455533"</f>
        <v>9781000455533</v>
      </c>
    </row>
    <row r="20461" spans="1:6" s="3" customFormat="1" ht="29.1" customHeight="1" x14ac:dyDescent="0.25">
      <c r="A20461" s="2" t="s">
        <v>40148</v>
      </c>
      <c r="B20461" s="2" t="s">
        <v>22777</v>
      </c>
      <c r="C20461" s="2" t="s">
        <v>124</v>
      </c>
      <c r="D20461" s="2" t="s">
        <v>1717</v>
      </c>
      <c r="E20461" s="2" t="str">
        <f>"9780367417499"</f>
        <v>9780367417499</v>
      </c>
      <c r="F20461" s="2" t="str">
        <f>"9780367816049"</f>
        <v>9780367816049</v>
      </c>
    </row>
    <row r="20462" spans="1:6" s="3" customFormat="1" ht="29.1" customHeight="1" x14ac:dyDescent="0.25">
      <c r="A20462" s="2" t="s">
        <v>40149</v>
      </c>
      <c r="B20462" s="2" t="s">
        <v>40150</v>
      </c>
      <c r="C20462" s="2" t="s">
        <v>124</v>
      </c>
      <c r="D20462" s="2" t="s">
        <v>11924</v>
      </c>
      <c r="E20462" s="2" t="str">
        <f>"9780367674540"</f>
        <v>9780367674540</v>
      </c>
      <c r="F20462" s="2" t="str">
        <f>"9781000457261"</f>
        <v>9781000457261</v>
      </c>
    </row>
    <row r="20463" spans="1:6" s="3" customFormat="1" ht="29.1" customHeight="1" x14ac:dyDescent="0.25">
      <c r="A20463" s="2" t="s">
        <v>40151</v>
      </c>
      <c r="B20463" s="2" t="s">
        <v>40152</v>
      </c>
      <c r="C20463" s="2" t="s">
        <v>124</v>
      </c>
      <c r="D20463" s="2" t="s">
        <v>1809</v>
      </c>
      <c r="E20463" s="2" t="str">
        <f>"9780367023546"</f>
        <v>9780367023546</v>
      </c>
      <c r="F20463" s="2" t="str">
        <f>"9780429399992"</f>
        <v>9780429399992</v>
      </c>
    </row>
    <row r="20464" spans="1:6" s="3" customFormat="1" ht="29.1" customHeight="1" x14ac:dyDescent="0.25">
      <c r="A20464" s="2" t="s">
        <v>40153</v>
      </c>
      <c r="B20464" s="2" t="s">
        <v>40154</v>
      </c>
      <c r="C20464" s="2" t="s">
        <v>124</v>
      </c>
      <c r="D20464" s="2" t="s">
        <v>2587</v>
      </c>
      <c r="E20464" s="2" t="str">
        <f>"9780367355227"</f>
        <v>9780367355227</v>
      </c>
      <c r="F20464" s="2" t="str">
        <f>"9780429331930"</f>
        <v>9780429331930</v>
      </c>
    </row>
    <row r="20465" spans="1:6" s="3" customFormat="1" ht="29.1" customHeight="1" x14ac:dyDescent="0.25">
      <c r="A20465" s="2" t="s">
        <v>40155</v>
      </c>
      <c r="B20465" s="2" t="s">
        <v>40156</v>
      </c>
      <c r="C20465" s="2" t="s">
        <v>124</v>
      </c>
      <c r="D20465" s="2" t="s">
        <v>334</v>
      </c>
      <c r="E20465" s="2" t="str">
        <f>"9780367244910"</f>
        <v>9780367244910</v>
      </c>
      <c r="F20465" s="2" t="str">
        <f>"9780429282812"</f>
        <v>9780429282812</v>
      </c>
    </row>
    <row r="20466" spans="1:6" s="3" customFormat="1" ht="29.1" customHeight="1" x14ac:dyDescent="0.25">
      <c r="A20466" s="2" t="s">
        <v>40157</v>
      </c>
      <c r="B20466" s="2" t="s">
        <v>40158</v>
      </c>
      <c r="C20466" s="2" t="s">
        <v>124</v>
      </c>
      <c r="D20466" s="2" t="s">
        <v>2086</v>
      </c>
      <c r="E20466" s="2" t="str">
        <f>"9780367441258"</f>
        <v>9780367441258</v>
      </c>
      <c r="F20466" s="2" t="str">
        <f>"9780367441265"</f>
        <v>9780367441265</v>
      </c>
    </row>
    <row r="20467" spans="1:6" s="3" customFormat="1" ht="29.1" customHeight="1" x14ac:dyDescent="0.25">
      <c r="A20467" s="2" t="s">
        <v>40159</v>
      </c>
      <c r="B20467" s="2" t="s">
        <v>40160</v>
      </c>
      <c r="C20467" s="2" t="s">
        <v>124</v>
      </c>
      <c r="D20467" s="2" t="s">
        <v>3814</v>
      </c>
      <c r="E20467" s="2" t="str">
        <f>"9780367765767"</f>
        <v>9780367765767</v>
      </c>
      <c r="F20467" s="2" t="str">
        <f>"9781000451702"</f>
        <v>9781000451702</v>
      </c>
    </row>
    <row r="20468" spans="1:6" s="3" customFormat="1" ht="29.1" customHeight="1" x14ac:dyDescent="0.25">
      <c r="A20468" s="2" t="s">
        <v>40161</v>
      </c>
      <c r="B20468" s="2" t="s">
        <v>40162</v>
      </c>
      <c r="C20468" s="2" t="s">
        <v>124</v>
      </c>
      <c r="D20468" s="2" t="s">
        <v>1028</v>
      </c>
      <c r="E20468" s="2" t="str">
        <f>"9781032033488"</f>
        <v>9781032033488</v>
      </c>
      <c r="F20468" s="2" t="str">
        <f>"9781000465600"</f>
        <v>9781000465600</v>
      </c>
    </row>
    <row r="20469" spans="1:6" s="3" customFormat="1" ht="29.1" customHeight="1" x14ac:dyDescent="0.25">
      <c r="A20469" s="2" t="s">
        <v>40163</v>
      </c>
      <c r="B20469" s="2" t="s">
        <v>40164</v>
      </c>
      <c r="C20469" s="2" t="s">
        <v>124</v>
      </c>
      <c r="D20469" s="2" t="s">
        <v>281</v>
      </c>
      <c r="E20469" s="2" t="str">
        <f>"9780367467333"</f>
        <v>9780367467333</v>
      </c>
      <c r="F20469" s="2" t="str">
        <f>"9781000470963"</f>
        <v>9781000470963</v>
      </c>
    </row>
    <row r="20470" spans="1:6" s="3" customFormat="1" ht="29.1" customHeight="1" x14ac:dyDescent="0.25">
      <c r="A20470" s="2" t="s">
        <v>40165</v>
      </c>
      <c r="B20470" s="2" t="s">
        <v>40166</v>
      </c>
      <c r="C20470" s="2" t="s">
        <v>124</v>
      </c>
      <c r="D20470" s="2" t="s">
        <v>86</v>
      </c>
      <c r="E20470" s="2" t="str">
        <f>"9780367757595"</f>
        <v>9780367757595</v>
      </c>
      <c r="F20470" s="2" t="str">
        <f>"9781000466089"</f>
        <v>9781000466089</v>
      </c>
    </row>
    <row r="20471" spans="1:6" s="3" customFormat="1" ht="29.1" customHeight="1" x14ac:dyDescent="0.25">
      <c r="A20471" s="2" t="s">
        <v>40167</v>
      </c>
      <c r="B20471" s="2" t="s">
        <v>40168</v>
      </c>
      <c r="C20471" s="2" t="s">
        <v>124</v>
      </c>
      <c r="D20471" s="2" t="s">
        <v>270</v>
      </c>
      <c r="E20471" s="2" t="str">
        <f>"9781032072999"</f>
        <v>9781032072999</v>
      </c>
      <c r="F20471" s="2" t="str">
        <f>"9780429436345"</f>
        <v>9780429436345</v>
      </c>
    </row>
    <row r="20472" spans="1:6" s="3" customFormat="1" ht="29.1" customHeight="1" x14ac:dyDescent="0.25">
      <c r="A20472" s="2" t="s">
        <v>40169</v>
      </c>
      <c r="B20472" s="2" t="s">
        <v>40170</v>
      </c>
      <c r="C20472" s="2" t="s">
        <v>124</v>
      </c>
      <c r="D20472" s="2" t="s">
        <v>553</v>
      </c>
      <c r="E20472" s="2" t="str">
        <f>"9780367512934"</f>
        <v>9780367512934</v>
      </c>
      <c r="F20472" s="2" t="str">
        <f>"9781000426748"</f>
        <v>9781000426748</v>
      </c>
    </row>
    <row r="20473" spans="1:6" s="3" customFormat="1" ht="29.1" customHeight="1" x14ac:dyDescent="0.25">
      <c r="A20473" s="2" t="s">
        <v>40171</v>
      </c>
      <c r="B20473" s="2" t="s">
        <v>40172</v>
      </c>
      <c r="C20473" s="2" t="s">
        <v>124</v>
      </c>
      <c r="D20473" s="2" t="s">
        <v>913</v>
      </c>
      <c r="E20473" s="2" t="str">
        <f>"9780367763251"</f>
        <v>9780367763251</v>
      </c>
      <c r="F20473" s="2" t="str">
        <f>"9781000467666"</f>
        <v>9781000467666</v>
      </c>
    </row>
    <row r="20474" spans="1:6" s="3" customFormat="1" ht="29.1" customHeight="1" x14ac:dyDescent="0.25">
      <c r="A20474" s="2" t="s">
        <v>40173</v>
      </c>
      <c r="B20474" s="2" t="s">
        <v>40174</v>
      </c>
      <c r="C20474" s="2" t="s">
        <v>124</v>
      </c>
      <c r="D20474" s="2" t="s">
        <v>353</v>
      </c>
      <c r="E20474" s="2" t="str">
        <f>"9780367626297"</f>
        <v>9780367626297</v>
      </c>
      <c r="F20474" s="2" t="str">
        <f>"9781000464672"</f>
        <v>9781000464672</v>
      </c>
    </row>
    <row r="20475" spans="1:6" s="3" customFormat="1" ht="29.1" customHeight="1" x14ac:dyDescent="0.25">
      <c r="A20475" s="2" t="s">
        <v>40175</v>
      </c>
      <c r="B20475" s="2" t="s">
        <v>40176</v>
      </c>
      <c r="C20475" s="2" t="s">
        <v>124</v>
      </c>
      <c r="D20475" s="2" t="s">
        <v>207</v>
      </c>
      <c r="E20475" s="2" t="str">
        <f>"9780367546489"</f>
        <v>9780367546489</v>
      </c>
      <c r="F20475" s="2" t="str">
        <f>"9781000466133"</f>
        <v>9781000466133</v>
      </c>
    </row>
    <row r="20476" spans="1:6" s="3" customFormat="1" ht="29.1" customHeight="1" x14ac:dyDescent="0.25">
      <c r="A20476" s="2" t="s">
        <v>40177</v>
      </c>
      <c r="B20476" s="2" t="s">
        <v>40178</v>
      </c>
      <c r="C20476" s="2" t="s">
        <v>124</v>
      </c>
      <c r="D20476" s="2" t="s">
        <v>334</v>
      </c>
      <c r="E20476" s="2" t="str">
        <f>"9780367484682"</f>
        <v>9780367484682</v>
      </c>
      <c r="F20476" s="2" t="str">
        <f>"9781000453157"</f>
        <v>9781000453157</v>
      </c>
    </row>
    <row r="20477" spans="1:6" s="3" customFormat="1" ht="29.1" customHeight="1" x14ac:dyDescent="0.25">
      <c r="A20477" s="2" t="s">
        <v>40179</v>
      </c>
      <c r="B20477" s="2" t="s">
        <v>40180</v>
      </c>
      <c r="C20477" s="2" t="s">
        <v>124</v>
      </c>
      <c r="D20477" s="2" t="s">
        <v>3345</v>
      </c>
      <c r="E20477" s="2" t="str">
        <f>"9781032020365"</f>
        <v>9781032020365</v>
      </c>
      <c r="F20477" s="2" t="str">
        <f>"9781000449419"</f>
        <v>9781000449419</v>
      </c>
    </row>
    <row r="20478" spans="1:6" s="3" customFormat="1" ht="29.1" customHeight="1" x14ac:dyDescent="0.25">
      <c r="A20478" s="2" t="s">
        <v>40181</v>
      </c>
      <c r="B20478" s="2" t="s">
        <v>40182</v>
      </c>
      <c r="C20478" s="2" t="s">
        <v>124</v>
      </c>
      <c r="D20478" s="2" t="s">
        <v>72</v>
      </c>
      <c r="E20478" s="2" t="str">
        <f>"9780367654719"</f>
        <v>9780367654719</v>
      </c>
      <c r="F20478" s="2" t="str">
        <f>"9781000459036"</f>
        <v>9781000459036</v>
      </c>
    </row>
    <row r="20479" spans="1:6" s="3" customFormat="1" ht="29.1" customHeight="1" x14ac:dyDescent="0.25">
      <c r="A20479" s="2" t="s">
        <v>40183</v>
      </c>
      <c r="B20479" s="2" t="s">
        <v>40184</v>
      </c>
      <c r="C20479" s="2" t="s">
        <v>124</v>
      </c>
      <c r="D20479" s="2" t="s">
        <v>1861</v>
      </c>
      <c r="E20479" s="2" t="str">
        <f>"9781032062020"</f>
        <v>9781032062020</v>
      </c>
      <c r="F20479" s="2" t="str">
        <f>"9781000431926"</f>
        <v>9781000431926</v>
      </c>
    </row>
    <row r="20480" spans="1:6" s="3" customFormat="1" ht="29.1" customHeight="1" x14ac:dyDescent="0.25">
      <c r="A20480" s="2" t="s">
        <v>40185</v>
      </c>
      <c r="B20480" s="2" t="s">
        <v>40186</v>
      </c>
      <c r="C20480" s="2" t="s">
        <v>124</v>
      </c>
      <c r="D20480" s="2" t="s">
        <v>694</v>
      </c>
      <c r="E20480" s="2" t="str">
        <f>"9780367540593"</f>
        <v>9780367540593</v>
      </c>
      <c r="F20480" s="2" t="str">
        <f>"9781000471458"</f>
        <v>9781000471458</v>
      </c>
    </row>
    <row r="20481" spans="1:6" s="3" customFormat="1" ht="29.1" customHeight="1" x14ac:dyDescent="0.25">
      <c r="A20481" s="2" t="s">
        <v>40187</v>
      </c>
      <c r="B20481" s="2" t="s">
        <v>40188</v>
      </c>
      <c r="C20481" s="2" t="s">
        <v>124</v>
      </c>
      <c r="D20481" s="2" t="s">
        <v>553</v>
      </c>
      <c r="E20481" s="2" t="str">
        <f>"9780367533779"</f>
        <v>9780367533779</v>
      </c>
      <c r="F20481" s="2" t="str">
        <f>"9781000471496"</f>
        <v>9781000471496</v>
      </c>
    </row>
    <row r="20482" spans="1:6" s="3" customFormat="1" ht="29.1" customHeight="1" x14ac:dyDescent="0.25">
      <c r="A20482" s="2" t="s">
        <v>40189</v>
      </c>
      <c r="B20482" s="2" t="s">
        <v>40190</v>
      </c>
      <c r="C20482" s="2" t="s">
        <v>124</v>
      </c>
      <c r="D20482" s="2" t="s">
        <v>33</v>
      </c>
      <c r="E20482" s="2" t="str">
        <f>"9781032021010"</f>
        <v>9781032021010</v>
      </c>
      <c r="F20482" s="2" t="str">
        <f>"9781000441550"</f>
        <v>9781000441550</v>
      </c>
    </row>
    <row r="20483" spans="1:6" s="3" customFormat="1" ht="29.1" customHeight="1" x14ac:dyDescent="0.25">
      <c r="A20483" s="2" t="s">
        <v>40191</v>
      </c>
      <c r="B20483" s="2" t="s">
        <v>40192</v>
      </c>
      <c r="C20483" s="2" t="s">
        <v>124</v>
      </c>
      <c r="D20483" s="2" t="s">
        <v>270</v>
      </c>
      <c r="E20483" s="2" t="str">
        <f>"9780367694357"</f>
        <v>9780367694357</v>
      </c>
      <c r="F20483" s="2" t="str">
        <f>"9781000469240"</f>
        <v>9781000469240</v>
      </c>
    </row>
    <row r="20484" spans="1:6" s="3" customFormat="1" ht="29.1" customHeight="1" x14ac:dyDescent="0.25">
      <c r="A20484" s="2" t="s">
        <v>40193</v>
      </c>
      <c r="B20484" s="2" t="s">
        <v>40194</v>
      </c>
      <c r="C20484" s="2" t="s">
        <v>124</v>
      </c>
      <c r="D20484" s="2" t="s">
        <v>189</v>
      </c>
      <c r="E20484" s="2" t="str">
        <f>"9781032007090"</f>
        <v>9781032007090</v>
      </c>
      <c r="F20484" s="2" t="str">
        <f>"9781000452181"</f>
        <v>9781000452181</v>
      </c>
    </row>
    <row r="20485" spans="1:6" s="3" customFormat="1" ht="29.1" customHeight="1" x14ac:dyDescent="0.25">
      <c r="A20485" s="2" t="s">
        <v>40195</v>
      </c>
      <c r="B20485" s="2" t="s">
        <v>40196</v>
      </c>
      <c r="C20485" s="2" t="s">
        <v>15181</v>
      </c>
      <c r="D20485" s="2" t="s">
        <v>7436</v>
      </c>
      <c r="E20485" s="2" t="str">
        <f>"9789633863848"</f>
        <v>9789633863848</v>
      </c>
      <c r="F20485" s="2" t="str">
        <f>"9789633863855"</f>
        <v>9789633863855</v>
      </c>
    </row>
    <row r="20486" spans="1:6" s="3" customFormat="1" ht="29.1" customHeight="1" x14ac:dyDescent="0.25">
      <c r="A20486" s="2" t="s">
        <v>40197</v>
      </c>
      <c r="B20486" s="2" t="s">
        <v>40198</v>
      </c>
      <c r="C20486" s="2" t="s">
        <v>195</v>
      </c>
      <c r="D20486" s="2" t="s">
        <v>118</v>
      </c>
      <c r="E20486" s="2" t="str">
        <f>"9783110685954"</f>
        <v>9783110685954</v>
      </c>
      <c r="F20486" s="2" t="str">
        <f>"9783110686159"</f>
        <v>9783110686159</v>
      </c>
    </row>
    <row r="20487" spans="1:6" s="3" customFormat="1" ht="29.1" customHeight="1" x14ac:dyDescent="0.25">
      <c r="A20487" s="2" t="s">
        <v>40199</v>
      </c>
      <c r="B20487" s="2" t="s">
        <v>40200</v>
      </c>
      <c r="C20487" s="2" t="s">
        <v>264</v>
      </c>
      <c r="D20487" s="2" t="s">
        <v>1059</v>
      </c>
      <c r="E20487" s="2" t="str">
        <f>"9781032002033"</f>
        <v>9781032002033</v>
      </c>
      <c r="F20487" s="2" t="str">
        <f>"9781000468762"</f>
        <v>9781000468762</v>
      </c>
    </row>
    <row r="20488" spans="1:6" s="3" customFormat="1" ht="29.1" customHeight="1" x14ac:dyDescent="0.25">
      <c r="A20488" s="2" t="s">
        <v>40201</v>
      </c>
      <c r="B20488" s="2" t="s">
        <v>40200</v>
      </c>
      <c r="C20488" s="2" t="s">
        <v>264</v>
      </c>
      <c r="D20488" s="2" t="s">
        <v>1059</v>
      </c>
      <c r="E20488" s="2" t="str">
        <f>"9781032002026"</f>
        <v>9781032002026</v>
      </c>
      <c r="F20488" s="2" t="str">
        <f>"9781000468755"</f>
        <v>9781000468755</v>
      </c>
    </row>
    <row r="20489" spans="1:6" s="3" customFormat="1" ht="29.1" customHeight="1" x14ac:dyDescent="0.25">
      <c r="A20489" s="2" t="s">
        <v>40202</v>
      </c>
      <c r="B20489" s="2" t="s">
        <v>40203</v>
      </c>
      <c r="C20489" s="2" t="s">
        <v>264</v>
      </c>
      <c r="D20489" s="2" t="s">
        <v>10447</v>
      </c>
      <c r="E20489" s="2" t="str">
        <f>"9780367444471"</f>
        <v>9780367444471</v>
      </c>
      <c r="F20489" s="2" t="str">
        <f>"9781000464313"</f>
        <v>9781000464313</v>
      </c>
    </row>
    <row r="20490" spans="1:6" s="3" customFormat="1" ht="29.1" customHeight="1" x14ac:dyDescent="0.25">
      <c r="A20490" s="2" t="s">
        <v>40204</v>
      </c>
      <c r="B20490" s="2" t="s">
        <v>40205</v>
      </c>
      <c r="C20490" s="2" t="s">
        <v>124</v>
      </c>
      <c r="D20490" s="2" t="s">
        <v>353</v>
      </c>
      <c r="E20490" s="2" t="str">
        <f>"9781032000305"</f>
        <v>9781032000305</v>
      </c>
      <c r="F20490" s="2" t="str">
        <f>"9781000464603"</f>
        <v>9781000464603</v>
      </c>
    </row>
    <row r="20491" spans="1:6" s="3" customFormat="1" ht="29.1" customHeight="1" x14ac:dyDescent="0.25">
      <c r="A20491" s="2" t="s">
        <v>40206</v>
      </c>
      <c r="B20491" s="2" t="s">
        <v>40207</v>
      </c>
      <c r="C20491" s="2" t="s">
        <v>124</v>
      </c>
      <c r="D20491" s="2" t="s">
        <v>871</v>
      </c>
      <c r="E20491" s="2" t="str">
        <f>"9781032027036"</f>
        <v>9781032027036</v>
      </c>
      <c r="F20491" s="2" t="str">
        <f>"9781000461855"</f>
        <v>9781000461855</v>
      </c>
    </row>
    <row r="20492" spans="1:6" s="3" customFormat="1" ht="29.1" customHeight="1" x14ac:dyDescent="0.25">
      <c r="A20492" s="2" t="s">
        <v>40208</v>
      </c>
      <c r="B20492" s="2" t="s">
        <v>40209</v>
      </c>
      <c r="C20492" s="2" t="s">
        <v>124</v>
      </c>
      <c r="D20492" s="2" t="s">
        <v>8388</v>
      </c>
      <c r="E20492" s="2" t="str">
        <f>"9780367459659"</f>
        <v>9780367459659</v>
      </c>
      <c r="F20492" s="2" t="str">
        <f>"9781000450774"</f>
        <v>9781000450774</v>
      </c>
    </row>
    <row r="20493" spans="1:6" s="3" customFormat="1" ht="29.1" customHeight="1" x14ac:dyDescent="0.25">
      <c r="A20493" s="2" t="s">
        <v>40210</v>
      </c>
      <c r="B20493" s="2" t="s">
        <v>40211</v>
      </c>
      <c r="C20493" s="2" t="s">
        <v>124</v>
      </c>
      <c r="D20493" s="2" t="s">
        <v>297</v>
      </c>
      <c r="E20493" s="2" t="str">
        <f>"9780367477202"</f>
        <v>9780367477202</v>
      </c>
      <c r="F20493" s="2" t="str">
        <f>"9781000462715"</f>
        <v>9781000462715</v>
      </c>
    </row>
    <row r="20494" spans="1:6" s="3" customFormat="1" ht="29.1" customHeight="1" x14ac:dyDescent="0.25">
      <c r="A20494" s="2" t="s">
        <v>40212</v>
      </c>
      <c r="B20494" s="2" t="s">
        <v>40213</v>
      </c>
      <c r="C20494" s="2" t="s">
        <v>124</v>
      </c>
      <c r="D20494" s="2" t="s">
        <v>6128</v>
      </c>
      <c r="E20494" s="2" t="str">
        <f>"9780367625986"</f>
        <v>9780367625986</v>
      </c>
      <c r="F20494" s="2" t="str">
        <f>"9781000462845"</f>
        <v>9781000462845</v>
      </c>
    </row>
    <row r="20495" spans="1:6" s="3" customFormat="1" ht="29.1" customHeight="1" x14ac:dyDescent="0.25">
      <c r="A20495" s="2" t="s">
        <v>40214</v>
      </c>
      <c r="B20495" s="2" t="s">
        <v>40215</v>
      </c>
      <c r="C20495" s="2" t="s">
        <v>124</v>
      </c>
      <c r="D20495" s="2" t="s">
        <v>818</v>
      </c>
      <c r="E20495" s="2" t="str">
        <f>"9780367211240"</f>
        <v>9780367211240</v>
      </c>
      <c r="F20495" s="2" t="str">
        <f>"9780367211349"</f>
        <v>9780367211349</v>
      </c>
    </row>
    <row r="20496" spans="1:6" s="3" customFormat="1" ht="29.1" customHeight="1" x14ac:dyDescent="0.25">
      <c r="A20496" s="2" t="s">
        <v>40216</v>
      </c>
      <c r="B20496" s="2" t="s">
        <v>40217</v>
      </c>
      <c r="C20496" s="2" t="s">
        <v>124</v>
      </c>
      <c r="D20496" s="2" t="s">
        <v>1049</v>
      </c>
      <c r="E20496" s="2" t="str">
        <f>"9781032072432"</f>
        <v>9781032072432</v>
      </c>
      <c r="F20496" s="2" t="str">
        <f>"9781000450842"</f>
        <v>9781000450842</v>
      </c>
    </row>
    <row r="20497" spans="1:6" s="3" customFormat="1" ht="29.1" customHeight="1" x14ac:dyDescent="0.25">
      <c r="A20497" s="2" t="s">
        <v>40218</v>
      </c>
      <c r="B20497" s="2" t="s">
        <v>40219</v>
      </c>
      <c r="C20497" s="2" t="s">
        <v>605</v>
      </c>
      <c r="D20497" s="2" t="s">
        <v>4185</v>
      </c>
      <c r="E20497" s="2" t="str">
        <f>"9789654067348"</f>
        <v>9789654067348</v>
      </c>
      <c r="F20497" s="2" t="str">
        <f>"9789654067355"</f>
        <v>9789654067355</v>
      </c>
    </row>
    <row r="20498" spans="1:6" s="3" customFormat="1" ht="29.1" customHeight="1" x14ac:dyDescent="0.25">
      <c r="A20498" s="2" t="s">
        <v>40220</v>
      </c>
      <c r="B20498" s="2" t="s">
        <v>40221</v>
      </c>
      <c r="C20498" s="2" t="s">
        <v>595</v>
      </c>
      <c r="D20498" s="2" t="s">
        <v>509</v>
      </c>
      <c r="E20498" s="2" t="str">
        <f>"9783631829738"</f>
        <v>9783631829738</v>
      </c>
      <c r="F20498" s="2" t="str">
        <f>"9783631844205"</f>
        <v>9783631844205</v>
      </c>
    </row>
    <row r="20499" spans="1:6" s="3" customFormat="1" ht="29.1" customHeight="1" x14ac:dyDescent="0.25">
      <c r="A20499" s="2" t="s">
        <v>1508</v>
      </c>
      <c r="B20499" s="2" t="s">
        <v>40222</v>
      </c>
      <c r="C20499" s="2" t="s">
        <v>1070</v>
      </c>
      <c r="D20499" s="2" t="s">
        <v>1299</v>
      </c>
      <c r="E20499" s="2" t="str">
        <f>"9781912776610"</f>
        <v>9781912776610</v>
      </c>
      <c r="F20499" s="2" t="str">
        <f>"9781910797754"</f>
        <v>9781910797754</v>
      </c>
    </row>
    <row r="20500" spans="1:6" s="3" customFormat="1" ht="29.1" customHeight="1" x14ac:dyDescent="0.25">
      <c r="A20500" s="2" t="s">
        <v>40223</v>
      </c>
      <c r="B20500" s="2" t="s">
        <v>40224</v>
      </c>
      <c r="C20500" s="2" t="s">
        <v>264</v>
      </c>
      <c r="D20500" s="2" t="s">
        <v>44</v>
      </c>
      <c r="E20500" s="2" t="str">
        <f>"9781032072036"</f>
        <v>9781032072036</v>
      </c>
      <c r="F20500" s="2" t="str">
        <f>"9781000454215"</f>
        <v>9781000454215</v>
      </c>
    </row>
    <row r="20501" spans="1:6" s="3" customFormat="1" ht="29.1" customHeight="1" x14ac:dyDescent="0.25">
      <c r="A20501" s="2" t="s">
        <v>40225</v>
      </c>
      <c r="B20501" s="2" t="s">
        <v>30283</v>
      </c>
      <c r="C20501" s="2" t="s">
        <v>30281</v>
      </c>
      <c r="D20501" s="2" t="s">
        <v>40226</v>
      </c>
      <c r="E20501" s="2" t="str">
        <f>"9781626769076"</f>
        <v>9781626769076</v>
      </c>
      <c r="F20501" s="2" t="str">
        <f>"9781626768932"</f>
        <v>9781626768932</v>
      </c>
    </row>
    <row r="20502" spans="1:6" s="3" customFormat="1" ht="29.1" customHeight="1" x14ac:dyDescent="0.25">
      <c r="A20502" s="2" t="s">
        <v>40227</v>
      </c>
      <c r="B20502" s="2" t="s">
        <v>31285</v>
      </c>
      <c r="C20502" s="2" t="s">
        <v>62</v>
      </c>
      <c r="D20502" s="2" t="s">
        <v>72</v>
      </c>
      <c r="E20502" s="2" t="str">
        <f>"9783428181964"</f>
        <v>9783428181964</v>
      </c>
      <c r="F20502" s="2" t="str">
        <f>"9783428581962"</f>
        <v>9783428581962</v>
      </c>
    </row>
    <row r="20503" spans="1:6" s="3" customFormat="1" ht="29.1" customHeight="1" x14ac:dyDescent="0.25">
      <c r="A20503" s="2" t="s">
        <v>40228</v>
      </c>
      <c r="B20503" s="2" t="s">
        <v>40229</v>
      </c>
      <c r="C20503" s="2" t="s">
        <v>62</v>
      </c>
      <c r="D20503" s="2" t="s">
        <v>2048</v>
      </c>
      <c r="E20503" s="2" t="str">
        <f>"9783428181582"</f>
        <v>9783428181582</v>
      </c>
      <c r="F20503" s="2" t="str">
        <f>"9783428581580"</f>
        <v>9783428581580</v>
      </c>
    </row>
    <row r="20504" spans="1:6" s="3" customFormat="1" ht="29.1" customHeight="1" x14ac:dyDescent="0.25">
      <c r="A20504" s="2" t="s">
        <v>40230</v>
      </c>
      <c r="B20504" s="2" t="s">
        <v>40231</v>
      </c>
      <c r="C20504" s="2" t="s">
        <v>62</v>
      </c>
      <c r="D20504" s="2" t="s">
        <v>1437</v>
      </c>
      <c r="E20504" s="2" t="str">
        <f>"9783428011940"</f>
        <v>9783428011940</v>
      </c>
      <c r="F20504" s="2" t="str">
        <f>"9783428411948"</f>
        <v>9783428411948</v>
      </c>
    </row>
    <row r="20505" spans="1:6" s="3" customFormat="1" ht="29.1" customHeight="1" x14ac:dyDescent="0.25">
      <c r="A20505" s="2" t="s">
        <v>40232</v>
      </c>
      <c r="B20505" s="2" t="s">
        <v>40233</v>
      </c>
      <c r="C20505" s="2" t="s">
        <v>7395</v>
      </c>
      <c r="D20505" s="2" t="s">
        <v>3214</v>
      </c>
      <c r="E20505" s="2" t="str">
        <f>"9780295748832"</f>
        <v>9780295748832</v>
      </c>
      <c r="F20505" s="2" t="str">
        <f>"9780295748856"</f>
        <v>9780295748856</v>
      </c>
    </row>
    <row r="20506" spans="1:6" s="3" customFormat="1" ht="29.1" customHeight="1" x14ac:dyDescent="0.25">
      <c r="A20506" s="2" t="s">
        <v>40234</v>
      </c>
      <c r="B20506" s="2" t="s">
        <v>40235</v>
      </c>
      <c r="C20506" s="2" t="s">
        <v>124</v>
      </c>
      <c r="D20506" s="2" t="s">
        <v>110</v>
      </c>
      <c r="E20506" s="2" t="str">
        <f>"9781032020327"</f>
        <v>9781032020327</v>
      </c>
      <c r="F20506" s="2" t="str">
        <f>"9781351017534"</f>
        <v>9781351017534</v>
      </c>
    </row>
    <row r="20507" spans="1:6" s="3" customFormat="1" ht="29.1" customHeight="1" x14ac:dyDescent="0.25">
      <c r="A20507" s="2" t="s">
        <v>1510</v>
      </c>
      <c r="B20507" s="2" t="s">
        <v>40236</v>
      </c>
      <c r="C20507" s="2" t="s">
        <v>1070</v>
      </c>
      <c r="D20507" s="2" t="s">
        <v>1272</v>
      </c>
      <c r="E20507" s="2" t="str">
        <f>"9783318068771"</f>
        <v>9783318068771</v>
      </c>
      <c r="F20507" s="2" t="str">
        <f>"9783318068795"</f>
        <v>9783318068795</v>
      </c>
    </row>
    <row r="20508" spans="1:6" s="3" customFormat="1" ht="29.1" customHeight="1" x14ac:dyDescent="0.25">
      <c r="A20508" s="2" t="s">
        <v>40237</v>
      </c>
      <c r="B20508" s="2" t="s">
        <v>40239</v>
      </c>
      <c r="C20508" s="2" t="s">
        <v>36</v>
      </c>
      <c r="D20508" s="2" t="s">
        <v>40238</v>
      </c>
      <c r="E20508" s="2" t="str">
        <f>"9781447351023"</f>
        <v>9781447351023</v>
      </c>
      <c r="F20508" s="2" t="str">
        <f>"9781447351054"</f>
        <v>9781447351054</v>
      </c>
    </row>
    <row r="20509" spans="1:6" s="3" customFormat="1" ht="29.1" customHeight="1" x14ac:dyDescent="0.25">
      <c r="A20509" s="2" t="s">
        <v>40240</v>
      </c>
      <c r="B20509" s="2" t="s">
        <v>40241</v>
      </c>
      <c r="C20509" s="2" t="s">
        <v>124</v>
      </c>
      <c r="D20509" s="2" t="s">
        <v>5383</v>
      </c>
      <c r="E20509" s="2" t="str">
        <f>"9780367427276"</f>
        <v>9780367427276</v>
      </c>
      <c r="F20509" s="2" t="str">
        <f>"9781000386028"</f>
        <v>9781000386028</v>
      </c>
    </row>
    <row r="20510" spans="1:6" s="3" customFormat="1" ht="29.1" customHeight="1" x14ac:dyDescent="0.25">
      <c r="A20510" s="2" t="s">
        <v>1512</v>
      </c>
      <c r="B20510" s="2" t="s">
        <v>37151</v>
      </c>
      <c r="C20510" s="2" t="s">
        <v>1070</v>
      </c>
      <c r="D20510" s="2" t="s">
        <v>1313</v>
      </c>
      <c r="E20510" s="2" t="str">
        <f>"9783318068306"</f>
        <v>9783318068306</v>
      </c>
      <c r="F20510" s="2" t="str">
        <f>"9783318068313"</f>
        <v>9783318068313</v>
      </c>
    </row>
    <row r="20511" spans="1:6" s="3" customFormat="1" ht="29.1" customHeight="1" x14ac:dyDescent="0.25">
      <c r="A20511" s="2" t="s">
        <v>40242</v>
      </c>
      <c r="B20511" s="2" t="s">
        <v>40243</v>
      </c>
      <c r="C20511" s="2" t="s">
        <v>62</v>
      </c>
      <c r="D20511" s="2" t="s">
        <v>1209</v>
      </c>
      <c r="E20511" s="2" t="str">
        <f>"9783428040186"</f>
        <v>9783428040186</v>
      </c>
      <c r="F20511" s="2" t="str">
        <f>"9783428440184"</f>
        <v>9783428440184</v>
      </c>
    </row>
    <row r="20512" spans="1:6" s="3" customFormat="1" ht="29.1" customHeight="1" x14ac:dyDescent="0.25">
      <c r="A20512" s="2" t="s">
        <v>40242</v>
      </c>
      <c r="B20512" s="2" t="s">
        <v>40243</v>
      </c>
      <c r="C20512" s="2" t="s">
        <v>62</v>
      </c>
      <c r="D20512" s="2" t="s">
        <v>1209</v>
      </c>
      <c r="E20512" s="2" t="str">
        <f>"9783428040056"</f>
        <v>9783428040056</v>
      </c>
      <c r="F20512" s="2" t="str">
        <f>"9783428440054"</f>
        <v>9783428440054</v>
      </c>
    </row>
    <row r="20513" spans="1:6" s="3" customFormat="1" ht="29.1" customHeight="1" x14ac:dyDescent="0.25">
      <c r="A20513" s="2" t="s">
        <v>40244</v>
      </c>
      <c r="B20513" s="2" t="s">
        <v>40245</v>
      </c>
      <c r="C20513" s="2" t="s">
        <v>195</v>
      </c>
      <c r="D20513" s="2" t="s">
        <v>1669</v>
      </c>
      <c r="E20513" s="2" t="str">
        <f>"9783110687484"</f>
        <v>9783110687484</v>
      </c>
      <c r="F20513" s="2" t="str">
        <f>"9783110687552"</f>
        <v>9783110687552</v>
      </c>
    </row>
    <row r="20514" spans="1:6" s="3" customFormat="1" ht="29.1" customHeight="1" x14ac:dyDescent="0.25">
      <c r="A20514" s="2" t="s">
        <v>40246</v>
      </c>
      <c r="B20514" s="2" t="s">
        <v>40247</v>
      </c>
      <c r="C20514" s="2" t="s">
        <v>195</v>
      </c>
      <c r="D20514" s="2" t="s">
        <v>428</v>
      </c>
      <c r="E20514" s="2" t="str">
        <f>"9783110716894"</f>
        <v>9783110716894</v>
      </c>
      <c r="F20514" s="2" t="str">
        <f>"9783110718249"</f>
        <v>9783110718249</v>
      </c>
    </row>
    <row r="20515" spans="1:6" s="3" customFormat="1" ht="29.1" customHeight="1" x14ac:dyDescent="0.25">
      <c r="A20515" s="2" t="s">
        <v>40248</v>
      </c>
      <c r="B20515" s="2" t="s">
        <v>40249</v>
      </c>
      <c r="C20515" s="2" t="s">
        <v>195</v>
      </c>
      <c r="D20515" s="2" t="s">
        <v>210</v>
      </c>
      <c r="E20515" s="2" t="str">
        <f>"9783110633764"</f>
        <v>9783110633764</v>
      </c>
      <c r="F20515" s="2" t="str">
        <f>"9783110633948"</f>
        <v>9783110633948</v>
      </c>
    </row>
    <row r="20516" spans="1:6" s="3" customFormat="1" ht="29.1" customHeight="1" x14ac:dyDescent="0.25">
      <c r="A20516" s="2" t="s">
        <v>1699</v>
      </c>
      <c r="B20516" s="2" t="s">
        <v>1700</v>
      </c>
      <c r="C20516" s="2" t="s">
        <v>1070</v>
      </c>
      <c r="D20516" s="2" t="s">
        <v>1275</v>
      </c>
      <c r="E20516" s="2"/>
      <c r="F20516" s="2" t="str">
        <f>"9783318068108"</f>
        <v>9783318068108</v>
      </c>
    </row>
    <row r="20517" spans="1:6" s="3" customFormat="1" ht="29.1" customHeight="1" x14ac:dyDescent="0.25">
      <c r="A20517" s="2" t="s">
        <v>1301</v>
      </c>
      <c r="B20517" s="2" t="s">
        <v>40250</v>
      </c>
      <c r="C20517" s="2" t="s">
        <v>1070</v>
      </c>
      <c r="D20517" s="2" t="s">
        <v>1275</v>
      </c>
      <c r="E20517" s="2" t="str">
        <f>"9783318068122"</f>
        <v>9783318068122</v>
      </c>
      <c r="F20517" s="2" t="str">
        <f>"9783318068146"</f>
        <v>9783318068146</v>
      </c>
    </row>
    <row r="20518" spans="1:6" s="3" customFormat="1" ht="29.1" customHeight="1" x14ac:dyDescent="0.25">
      <c r="A20518" s="2" t="s">
        <v>1701</v>
      </c>
      <c r="B20518" s="2" t="s">
        <v>40251</v>
      </c>
      <c r="C20518" s="2" t="s">
        <v>1070</v>
      </c>
      <c r="D20518" s="2" t="s">
        <v>1265</v>
      </c>
      <c r="E20518" s="2"/>
      <c r="F20518" s="2" t="str">
        <f>"9783318068078"</f>
        <v>9783318068078</v>
      </c>
    </row>
    <row r="20519" spans="1:6" s="3" customFormat="1" ht="29.1" customHeight="1" x14ac:dyDescent="0.25">
      <c r="A20519" s="2" t="s">
        <v>40252</v>
      </c>
      <c r="B20519" s="2" t="s">
        <v>40253</v>
      </c>
      <c r="C20519" s="2" t="s">
        <v>1070</v>
      </c>
      <c r="D20519" s="2" t="s">
        <v>1071</v>
      </c>
      <c r="E20519" s="2" t="str">
        <f>"9781912776399"</f>
        <v>9781912776399</v>
      </c>
      <c r="F20519" s="2" t="str">
        <f>"9781912776405"</f>
        <v>9781912776405</v>
      </c>
    </row>
    <row r="20520" spans="1:6" s="3" customFormat="1" ht="29.1" customHeight="1" x14ac:dyDescent="0.25">
      <c r="A20520" s="2" t="s">
        <v>40254</v>
      </c>
      <c r="B20520" s="2" t="s">
        <v>40255</v>
      </c>
      <c r="C20520" s="2" t="s">
        <v>746</v>
      </c>
      <c r="D20520" s="2" t="s">
        <v>606</v>
      </c>
      <c r="E20520" s="2" t="str">
        <f>"9781789694703"</f>
        <v>9781789694703</v>
      </c>
      <c r="F20520" s="2" t="str">
        <f>"9781789694710"</f>
        <v>9781789694710</v>
      </c>
    </row>
    <row r="20521" spans="1:6" s="3" customFormat="1" ht="29.1" customHeight="1" x14ac:dyDescent="0.25">
      <c r="A20521" s="2" t="s">
        <v>40256</v>
      </c>
      <c r="B20521" s="2" t="s">
        <v>40257</v>
      </c>
      <c r="C20521" s="2" t="s">
        <v>595</v>
      </c>
      <c r="D20521" s="2" t="s">
        <v>1471</v>
      </c>
      <c r="E20521" s="2" t="str">
        <f>"9783631844410"</f>
        <v>9783631844410</v>
      </c>
      <c r="F20521" s="2" t="str">
        <f>"9783631848203"</f>
        <v>9783631848203</v>
      </c>
    </row>
    <row r="20522" spans="1:6" s="3" customFormat="1" ht="29.1" customHeight="1" x14ac:dyDescent="0.25">
      <c r="A20522" s="2" t="s">
        <v>40258</v>
      </c>
      <c r="B20522" s="2" t="s">
        <v>40259</v>
      </c>
      <c r="C20522" s="2" t="s">
        <v>124</v>
      </c>
      <c r="D20522" s="2" t="s">
        <v>18161</v>
      </c>
      <c r="E20522" s="2" t="str">
        <f>"9780367364137"</f>
        <v>9780367364137</v>
      </c>
      <c r="F20522" s="2" t="str">
        <f>"9780429345753"</f>
        <v>9780429345753</v>
      </c>
    </row>
    <row r="20523" spans="1:6" s="3" customFormat="1" ht="29.1" customHeight="1" x14ac:dyDescent="0.25">
      <c r="A20523" s="2" t="s">
        <v>40260</v>
      </c>
      <c r="B20523" s="2" t="s">
        <v>40261</v>
      </c>
      <c r="C20523" s="2" t="s">
        <v>62</v>
      </c>
      <c r="D20523" s="2" t="s">
        <v>192</v>
      </c>
      <c r="E20523" s="2" t="str">
        <f>"9783428182428"</f>
        <v>9783428182428</v>
      </c>
      <c r="F20523" s="2" t="str">
        <f>"9783428582426"</f>
        <v>9783428582426</v>
      </c>
    </row>
    <row r="20524" spans="1:6" s="3" customFormat="1" ht="29.1" customHeight="1" x14ac:dyDescent="0.25">
      <c r="A20524" s="2" t="s">
        <v>40262</v>
      </c>
      <c r="B20524" s="2" t="s">
        <v>40263</v>
      </c>
      <c r="C20524" s="2" t="s">
        <v>62</v>
      </c>
      <c r="D20524" s="2" t="s">
        <v>192</v>
      </c>
      <c r="E20524" s="2" t="str">
        <f>"9783428182299"</f>
        <v>9783428182299</v>
      </c>
      <c r="F20524" s="2" t="str">
        <f>"9783428582297"</f>
        <v>9783428582297</v>
      </c>
    </row>
    <row r="20525" spans="1:6" s="3" customFormat="1" ht="29.1" customHeight="1" x14ac:dyDescent="0.25">
      <c r="A20525" s="2" t="s">
        <v>40264</v>
      </c>
      <c r="B20525" s="2" t="s">
        <v>40265</v>
      </c>
      <c r="C20525" s="2" t="s">
        <v>8104</v>
      </c>
      <c r="D20525" s="2" t="s">
        <v>791</v>
      </c>
      <c r="E20525" s="2" t="str">
        <f>"9781800731899"</f>
        <v>9781800731899</v>
      </c>
      <c r="F20525" s="2" t="str">
        <f>"9781800731905"</f>
        <v>9781800731905</v>
      </c>
    </row>
    <row r="20526" spans="1:6" s="3" customFormat="1" ht="29.1" customHeight="1" x14ac:dyDescent="0.25">
      <c r="A20526" s="2" t="s">
        <v>40266</v>
      </c>
      <c r="B20526" s="2" t="s">
        <v>40267</v>
      </c>
      <c r="C20526" s="2" t="s">
        <v>8104</v>
      </c>
      <c r="D20526" s="2" t="s">
        <v>636</v>
      </c>
      <c r="E20526" s="2" t="str">
        <f>"9781800732506"</f>
        <v>9781800732506</v>
      </c>
      <c r="F20526" s="2" t="str">
        <f>"9781800732513"</f>
        <v>9781800732513</v>
      </c>
    </row>
    <row r="20527" spans="1:6" s="3" customFormat="1" ht="29.1" customHeight="1" x14ac:dyDescent="0.25">
      <c r="A20527" s="2" t="s">
        <v>40268</v>
      </c>
      <c r="B20527" s="2" t="s">
        <v>40269</v>
      </c>
      <c r="C20527" s="2" t="s">
        <v>8104</v>
      </c>
      <c r="D20527" s="2" t="s">
        <v>758</v>
      </c>
      <c r="E20527" s="2" t="str">
        <f>"9781800732452"</f>
        <v>9781800732452</v>
      </c>
      <c r="F20527" s="2" t="str">
        <f>"9781800732476"</f>
        <v>9781800732476</v>
      </c>
    </row>
    <row r="20528" spans="1:6" s="3" customFormat="1" ht="29.1" customHeight="1" x14ac:dyDescent="0.25">
      <c r="A20528" s="2" t="s">
        <v>40270</v>
      </c>
      <c r="B20528" s="2" t="s">
        <v>40271</v>
      </c>
      <c r="C20528" s="2" t="s">
        <v>124</v>
      </c>
      <c r="D20528" s="2" t="s">
        <v>501</v>
      </c>
      <c r="E20528" s="2" t="str">
        <f>"9781041176770"</f>
        <v>9781041176770</v>
      </c>
      <c r="F20528" s="2" t="str">
        <f>"9781040779675"</f>
        <v>9781040779675</v>
      </c>
    </row>
    <row r="20529" spans="1:6" s="3" customFormat="1" ht="29.1" customHeight="1" x14ac:dyDescent="0.25">
      <c r="A20529" s="2" t="s">
        <v>40272</v>
      </c>
      <c r="B20529" s="2" t="s">
        <v>40273</v>
      </c>
      <c r="C20529" s="2" t="s">
        <v>29</v>
      </c>
      <c r="D20529" s="2" t="s">
        <v>210</v>
      </c>
      <c r="E20529" s="2" t="str">
        <f>"9789004429673"</f>
        <v>9789004429673</v>
      </c>
      <c r="F20529" s="2" t="str">
        <f>"9789004456198"</f>
        <v>9789004456198</v>
      </c>
    </row>
    <row r="20530" spans="1:6" s="3" customFormat="1" ht="29.1" customHeight="1" x14ac:dyDescent="0.25">
      <c r="A20530" s="2" t="s">
        <v>40274</v>
      </c>
      <c r="B20530" s="2" t="s">
        <v>40275</v>
      </c>
      <c r="C20530" s="2" t="s">
        <v>124</v>
      </c>
      <c r="D20530" s="2" t="s">
        <v>984</v>
      </c>
      <c r="E20530" s="2" t="str">
        <f>"9781032048758"</f>
        <v>9781032048758</v>
      </c>
      <c r="F20530" s="2" t="str">
        <f>"9781000442038"</f>
        <v>9781000442038</v>
      </c>
    </row>
    <row r="20531" spans="1:6" s="3" customFormat="1" ht="29.1" customHeight="1" x14ac:dyDescent="0.25">
      <c r="A20531" s="2" t="s">
        <v>40276</v>
      </c>
      <c r="B20531" s="2" t="s">
        <v>40277</v>
      </c>
      <c r="C20531" s="2" t="s">
        <v>556</v>
      </c>
      <c r="D20531" s="2" t="s">
        <v>78</v>
      </c>
      <c r="E20531" s="2" t="str">
        <f>"9783837656152"</f>
        <v>9783837656152</v>
      </c>
      <c r="F20531" s="2" t="str">
        <f>"9783839456156"</f>
        <v>9783839456156</v>
      </c>
    </row>
    <row r="20532" spans="1:6" s="3" customFormat="1" ht="29.1" customHeight="1" x14ac:dyDescent="0.25">
      <c r="A20532" s="2" t="s">
        <v>40278</v>
      </c>
      <c r="B20532" s="2" t="s">
        <v>40279</v>
      </c>
      <c r="C20532" s="2" t="s">
        <v>556</v>
      </c>
      <c r="D20532" s="2" t="s">
        <v>1411</v>
      </c>
      <c r="E20532" s="2" t="str">
        <f>"9783837655957"</f>
        <v>9783837655957</v>
      </c>
      <c r="F20532" s="2" t="str">
        <f>"9783839455951"</f>
        <v>9783839455951</v>
      </c>
    </row>
    <row r="20533" spans="1:6" s="3" customFormat="1" ht="29.1" customHeight="1" x14ac:dyDescent="0.25">
      <c r="A20533" s="2" t="s">
        <v>40280</v>
      </c>
      <c r="B20533" s="2" t="s">
        <v>40281</v>
      </c>
      <c r="C20533" s="2" t="s">
        <v>556</v>
      </c>
      <c r="D20533" s="2" t="s">
        <v>484</v>
      </c>
      <c r="E20533" s="2" t="str">
        <f>"9783837654523"</f>
        <v>9783837654523</v>
      </c>
      <c r="F20533" s="2" t="str">
        <f>"9783839454527"</f>
        <v>9783839454527</v>
      </c>
    </row>
    <row r="20534" spans="1:6" s="3" customFormat="1" ht="29.1" customHeight="1" x14ac:dyDescent="0.25">
      <c r="A20534" s="2" t="s">
        <v>40282</v>
      </c>
      <c r="B20534" s="2" t="s">
        <v>40283</v>
      </c>
      <c r="C20534" s="2" t="s">
        <v>556</v>
      </c>
      <c r="D20534" s="2" t="s">
        <v>202</v>
      </c>
      <c r="E20534" s="2" t="str">
        <f>"9783837653625"</f>
        <v>9783837653625</v>
      </c>
      <c r="F20534" s="2" t="str">
        <f>"9783839453629"</f>
        <v>9783839453629</v>
      </c>
    </row>
    <row r="20535" spans="1:6" s="3" customFormat="1" ht="29.1" customHeight="1" x14ac:dyDescent="0.25">
      <c r="A20535" s="2" t="s">
        <v>40284</v>
      </c>
      <c r="B20535" s="2" t="s">
        <v>40285</v>
      </c>
      <c r="C20535" s="2" t="s">
        <v>556</v>
      </c>
      <c r="D20535" s="2" t="s">
        <v>324</v>
      </c>
      <c r="E20535" s="2" t="str">
        <f>"9783837652789"</f>
        <v>9783837652789</v>
      </c>
      <c r="F20535" s="2" t="str">
        <f>"9783839452783"</f>
        <v>9783839452783</v>
      </c>
    </row>
    <row r="20536" spans="1:6" s="3" customFormat="1" ht="29.1" customHeight="1" x14ac:dyDescent="0.25">
      <c r="A20536" s="2" t="s">
        <v>40286</v>
      </c>
      <c r="B20536" s="2" t="s">
        <v>40287</v>
      </c>
      <c r="C20536" s="2" t="s">
        <v>556</v>
      </c>
      <c r="D20536" s="2" t="s">
        <v>3536</v>
      </c>
      <c r="E20536" s="2" t="str">
        <f>"9783837652413"</f>
        <v>9783837652413</v>
      </c>
      <c r="F20536" s="2" t="str">
        <f>"9783839452417"</f>
        <v>9783839452417</v>
      </c>
    </row>
    <row r="20537" spans="1:6" s="3" customFormat="1" ht="29.1" customHeight="1" x14ac:dyDescent="0.25">
      <c r="A20537" s="2" t="s">
        <v>40288</v>
      </c>
      <c r="B20537" s="2" t="s">
        <v>40289</v>
      </c>
      <c r="C20537" s="2" t="s">
        <v>556</v>
      </c>
      <c r="D20537" s="2" t="s">
        <v>6347</v>
      </c>
      <c r="E20537" s="2" t="str">
        <f>"9783837648850"</f>
        <v>9783837648850</v>
      </c>
      <c r="F20537" s="2" t="str">
        <f>"9783839448854"</f>
        <v>9783839448854</v>
      </c>
    </row>
    <row r="20538" spans="1:6" s="3" customFormat="1" ht="29.1" customHeight="1" x14ac:dyDescent="0.25">
      <c r="A20538" s="2" t="s">
        <v>40290</v>
      </c>
      <c r="B20538" s="2" t="s">
        <v>40291</v>
      </c>
      <c r="C20538" s="2" t="s">
        <v>124</v>
      </c>
      <c r="D20538" s="2" t="s">
        <v>2361</v>
      </c>
      <c r="E20538" s="2" t="str">
        <f>"9780367350673"</f>
        <v>9780367350673</v>
      </c>
      <c r="F20538" s="2" t="str">
        <f>"9780429329517"</f>
        <v>9780429329517</v>
      </c>
    </row>
    <row r="20539" spans="1:6" s="3" customFormat="1" ht="29.1" customHeight="1" x14ac:dyDescent="0.25">
      <c r="A20539" s="2" t="s">
        <v>40292</v>
      </c>
      <c r="B20539" s="2" t="s">
        <v>40293</v>
      </c>
      <c r="C20539" s="2" t="s">
        <v>124</v>
      </c>
      <c r="D20539" s="2" t="s">
        <v>9</v>
      </c>
      <c r="E20539" s="2" t="str">
        <f>"9780367479060"</f>
        <v>9780367479060</v>
      </c>
      <c r="F20539" s="2" t="str">
        <f>"9781000398410"</f>
        <v>9781000398410</v>
      </c>
    </row>
    <row r="20540" spans="1:6" s="3" customFormat="1" ht="29.1" customHeight="1" x14ac:dyDescent="0.25">
      <c r="A20540" s="2" t="s">
        <v>40294</v>
      </c>
      <c r="B20540" s="2" t="s">
        <v>40295</v>
      </c>
      <c r="C20540" s="2" t="s">
        <v>124</v>
      </c>
      <c r="D20540" s="2" t="s">
        <v>1043</v>
      </c>
      <c r="E20540" s="2" t="str">
        <f>"9780367483333"</f>
        <v>9780367483333</v>
      </c>
      <c r="F20540" s="2" t="str">
        <f>"9781000404593"</f>
        <v>9781000404593</v>
      </c>
    </row>
    <row r="20541" spans="1:6" s="3" customFormat="1" ht="29.1" customHeight="1" x14ac:dyDescent="0.25">
      <c r="A20541" s="2" t="s">
        <v>40296</v>
      </c>
      <c r="B20541" s="2" t="s">
        <v>11752</v>
      </c>
      <c r="C20541" s="2" t="s">
        <v>124</v>
      </c>
      <c r="D20541" s="2" t="s">
        <v>4059</v>
      </c>
      <c r="E20541" s="2" t="str">
        <f>"9780367467456"</f>
        <v>9780367467456</v>
      </c>
      <c r="F20541" s="2" t="str">
        <f>"9781000401219"</f>
        <v>9781000401219</v>
      </c>
    </row>
    <row r="20542" spans="1:6" s="3" customFormat="1" ht="29.1" customHeight="1" x14ac:dyDescent="0.25">
      <c r="A20542" s="2" t="s">
        <v>40297</v>
      </c>
      <c r="B20542" s="2" t="s">
        <v>40298</v>
      </c>
      <c r="C20542" s="2" t="s">
        <v>124</v>
      </c>
      <c r="D20542" s="2" t="s">
        <v>636</v>
      </c>
      <c r="E20542" s="2" t="str">
        <f>"9780367708313"</f>
        <v>9780367708313</v>
      </c>
      <c r="F20542" s="2" t="str">
        <f>"9781000399042"</f>
        <v>9781000399042</v>
      </c>
    </row>
    <row r="20543" spans="1:6" s="3" customFormat="1" ht="29.1" customHeight="1" x14ac:dyDescent="0.25">
      <c r="A20543" s="2" t="s">
        <v>40299</v>
      </c>
      <c r="B20543" s="2" t="s">
        <v>40300</v>
      </c>
      <c r="C20543" s="2" t="s">
        <v>124</v>
      </c>
      <c r="D20543" s="2" t="s">
        <v>1565</v>
      </c>
      <c r="E20543" s="2" t="str">
        <f>"9781032021416"</f>
        <v>9781032021416</v>
      </c>
      <c r="F20543" s="2" t="str">
        <f>"9781000402278"</f>
        <v>9781000402278</v>
      </c>
    </row>
    <row r="20544" spans="1:6" s="3" customFormat="1" ht="29.1" customHeight="1" x14ac:dyDescent="0.25">
      <c r="A20544" s="2" t="s">
        <v>40301</v>
      </c>
      <c r="B20544" s="2" t="s">
        <v>40302</v>
      </c>
      <c r="C20544" s="2" t="s">
        <v>124</v>
      </c>
      <c r="D20544" s="2" t="s">
        <v>12134</v>
      </c>
      <c r="E20544" s="2" t="str">
        <f>"9780367281014"</f>
        <v>9780367281014</v>
      </c>
      <c r="F20544" s="2" t="str">
        <f>"9780429299674"</f>
        <v>9780429299674</v>
      </c>
    </row>
    <row r="20545" spans="1:6" s="3" customFormat="1" ht="29.1" customHeight="1" x14ac:dyDescent="0.25">
      <c r="A20545" s="2" t="s">
        <v>40303</v>
      </c>
      <c r="B20545" s="2" t="s">
        <v>40304</v>
      </c>
      <c r="C20545" s="2" t="s">
        <v>124</v>
      </c>
      <c r="D20545" s="2" t="s">
        <v>459</v>
      </c>
      <c r="E20545" s="2" t="str">
        <f>"9780367339067"</f>
        <v>9780367339067</v>
      </c>
      <c r="F20545" s="2" t="str">
        <f>"9780429322754"</f>
        <v>9780429322754</v>
      </c>
    </row>
    <row r="20546" spans="1:6" s="3" customFormat="1" ht="29.1" customHeight="1" x14ac:dyDescent="0.25">
      <c r="A20546" s="2" t="s">
        <v>40305</v>
      </c>
      <c r="B20546" s="2" t="s">
        <v>40306</v>
      </c>
      <c r="C20546" s="2" t="s">
        <v>124</v>
      </c>
      <c r="D20546" s="2" t="s">
        <v>101</v>
      </c>
      <c r="E20546" s="2" t="str">
        <f>"9781138054844"</f>
        <v>9781138054844</v>
      </c>
      <c r="F20546" s="2" t="str">
        <f>"9781315166414"</f>
        <v>9781315166414</v>
      </c>
    </row>
    <row r="20547" spans="1:6" s="3" customFormat="1" ht="29.1" customHeight="1" x14ac:dyDescent="0.25">
      <c r="A20547" s="2" t="s">
        <v>40307</v>
      </c>
      <c r="B20547" s="2" t="s">
        <v>40308</v>
      </c>
      <c r="C20547" s="2" t="s">
        <v>264</v>
      </c>
      <c r="D20547" s="2" t="s">
        <v>2086</v>
      </c>
      <c r="E20547" s="2" t="str">
        <f>"9780367768874"</f>
        <v>9780367768874</v>
      </c>
      <c r="F20547" s="2" t="str">
        <f>"9780429440939"</f>
        <v>9780429440939</v>
      </c>
    </row>
    <row r="20548" spans="1:6" s="3" customFormat="1" ht="29.1" customHeight="1" x14ac:dyDescent="0.25">
      <c r="A20548" s="2" t="s">
        <v>31012</v>
      </c>
      <c r="B20548" s="2" t="s">
        <v>40309</v>
      </c>
      <c r="C20548" s="2" t="s">
        <v>595</v>
      </c>
      <c r="D20548" s="2" t="s">
        <v>210</v>
      </c>
      <c r="E20548" s="2" t="str">
        <f>"9783631846735"</f>
        <v>9783631846735</v>
      </c>
      <c r="F20548" s="2" t="str">
        <f>"9783631847978"</f>
        <v>9783631847978</v>
      </c>
    </row>
    <row r="20549" spans="1:6" s="3" customFormat="1" ht="29.1" customHeight="1" x14ac:dyDescent="0.25">
      <c r="A20549" s="2" t="s">
        <v>40310</v>
      </c>
      <c r="B20549" s="2" t="s">
        <v>38132</v>
      </c>
      <c r="C20549" s="2" t="s">
        <v>595</v>
      </c>
      <c r="D20549" s="2" t="s">
        <v>66</v>
      </c>
      <c r="E20549" s="2" t="str">
        <f>"9783631838457"</f>
        <v>9783631838457</v>
      </c>
      <c r="F20549" s="2" t="str">
        <f>"9783631845998"</f>
        <v>9783631845998</v>
      </c>
    </row>
    <row r="20550" spans="1:6" s="3" customFormat="1" ht="29.1" customHeight="1" x14ac:dyDescent="0.25">
      <c r="A20550" s="2" t="s">
        <v>40311</v>
      </c>
      <c r="B20550" s="2" t="s">
        <v>40312</v>
      </c>
      <c r="C20550" s="2" t="s">
        <v>595</v>
      </c>
      <c r="D20550" s="2" t="s">
        <v>8788</v>
      </c>
      <c r="E20550" s="2" t="str">
        <f>"9783631842577"</f>
        <v>9783631842577</v>
      </c>
      <c r="F20550" s="2" t="str">
        <f>"9783631844274"</f>
        <v>9783631844274</v>
      </c>
    </row>
    <row r="20551" spans="1:6" s="3" customFormat="1" ht="29.1" customHeight="1" x14ac:dyDescent="0.25">
      <c r="A20551" s="2" t="s">
        <v>40313</v>
      </c>
      <c r="B20551" s="2" t="s">
        <v>40314</v>
      </c>
      <c r="C20551" s="2" t="s">
        <v>595</v>
      </c>
      <c r="D20551" s="2" t="s">
        <v>66</v>
      </c>
      <c r="E20551" s="2" t="str">
        <f>"9783631832646"</f>
        <v>9783631832646</v>
      </c>
      <c r="F20551" s="2" t="str">
        <f>"9783631840597"</f>
        <v>9783631840597</v>
      </c>
    </row>
    <row r="20552" spans="1:6" s="3" customFormat="1" ht="29.1" customHeight="1" x14ac:dyDescent="0.25">
      <c r="A20552" s="2" t="s">
        <v>40315</v>
      </c>
      <c r="B20552" s="2" t="s">
        <v>40316</v>
      </c>
      <c r="C20552" s="2" t="s">
        <v>595</v>
      </c>
      <c r="D20552" s="2" t="s">
        <v>1712</v>
      </c>
      <c r="E20552" s="2" t="str">
        <f>"9783631836477"</f>
        <v>9783631836477</v>
      </c>
      <c r="F20552" s="2" t="str">
        <f>"9783631840511"</f>
        <v>9783631840511</v>
      </c>
    </row>
    <row r="20553" spans="1:6" s="3" customFormat="1" ht="29.1" customHeight="1" x14ac:dyDescent="0.25">
      <c r="A20553" s="2" t="s">
        <v>40317</v>
      </c>
      <c r="B20553" s="2" t="s">
        <v>40318</v>
      </c>
      <c r="C20553" s="2" t="s">
        <v>595</v>
      </c>
      <c r="D20553" s="2" t="s">
        <v>916</v>
      </c>
      <c r="E20553" s="2" t="str">
        <f>"9783631824986"</f>
        <v>9783631824986</v>
      </c>
      <c r="F20553" s="2" t="str">
        <f>"9783631826416"</f>
        <v>9783631826416</v>
      </c>
    </row>
    <row r="20554" spans="1:6" s="3" customFormat="1" ht="29.1" customHeight="1" x14ac:dyDescent="0.25">
      <c r="A20554" s="2" t="s">
        <v>40319</v>
      </c>
      <c r="B20554" s="2" t="s">
        <v>40320</v>
      </c>
      <c r="C20554" s="2" t="s">
        <v>248</v>
      </c>
      <c r="D20554" s="2" t="s">
        <v>249</v>
      </c>
      <c r="E20554" s="2" t="str">
        <f>"9783847425359"</f>
        <v>9783847425359</v>
      </c>
      <c r="F20554" s="2" t="str">
        <f>"9783847416838"</f>
        <v>9783847416838</v>
      </c>
    </row>
    <row r="20555" spans="1:6" s="3" customFormat="1" ht="29.1" customHeight="1" x14ac:dyDescent="0.25">
      <c r="A20555" s="2" t="s">
        <v>40321</v>
      </c>
      <c r="B20555" s="2" t="s">
        <v>40322</v>
      </c>
      <c r="C20555" s="2" t="s">
        <v>36</v>
      </c>
      <c r="D20555" s="2" t="s">
        <v>2147</v>
      </c>
      <c r="E20555" s="2" t="str">
        <f>"9781529208306"</f>
        <v>9781529208306</v>
      </c>
      <c r="F20555" s="2" t="str">
        <f>"9781529212655"</f>
        <v>9781529212655</v>
      </c>
    </row>
    <row r="20556" spans="1:6" s="3" customFormat="1" ht="29.1" customHeight="1" x14ac:dyDescent="0.25">
      <c r="A20556" s="2" t="s">
        <v>40323</v>
      </c>
      <c r="B20556" s="2" t="s">
        <v>40324</v>
      </c>
      <c r="C20556" s="2" t="s">
        <v>124</v>
      </c>
      <c r="D20556" s="2" t="s">
        <v>107</v>
      </c>
      <c r="E20556" s="2" t="str">
        <f>"9789048559190"</f>
        <v>9789048559190</v>
      </c>
      <c r="F20556" s="2" t="str">
        <f>"9781040775424"</f>
        <v>9781040775424</v>
      </c>
    </row>
    <row r="20557" spans="1:6" s="3" customFormat="1" ht="29.1" customHeight="1" x14ac:dyDescent="0.25">
      <c r="A20557" s="2" t="s">
        <v>40325</v>
      </c>
      <c r="B20557" s="2" t="s">
        <v>40326</v>
      </c>
      <c r="C20557" s="2" t="s">
        <v>264</v>
      </c>
      <c r="D20557" s="2" t="s">
        <v>12</v>
      </c>
      <c r="E20557" s="2" t="str">
        <f>"9780367522803"</f>
        <v>9780367522803</v>
      </c>
      <c r="F20557" s="2" t="str">
        <f>"9781000387285"</f>
        <v>9781000387285</v>
      </c>
    </row>
    <row r="20558" spans="1:6" s="3" customFormat="1" ht="29.1" customHeight="1" x14ac:dyDescent="0.25">
      <c r="A20558" s="2" t="s">
        <v>40327</v>
      </c>
      <c r="B20558" s="2" t="s">
        <v>40328</v>
      </c>
      <c r="C20558" s="2" t="s">
        <v>11005</v>
      </c>
      <c r="D20558" s="2" t="s">
        <v>11213</v>
      </c>
      <c r="E20558" s="2" t="str">
        <f>"9783837930634"</f>
        <v>9783837930634</v>
      </c>
      <c r="F20558" s="2" t="str">
        <f>"9783837977622"</f>
        <v>9783837977622</v>
      </c>
    </row>
    <row r="20559" spans="1:6" s="3" customFormat="1" ht="29.1" customHeight="1" x14ac:dyDescent="0.25">
      <c r="A20559" s="2" t="s">
        <v>40329</v>
      </c>
      <c r="B20559" s="2" t="s">
        <v>40330</v>
      </c>
      <c r="C20559" s="2" t="s">
        <v>124</v>
      </c>
      <c r="D20559" s="2" t="s">
        <v>86</v>
      </c>
      <c r="E20559" s="2" t="str">
        <f>"9780367361785"</f>
        <v>9780367361785</v>
      </c>
      <c r="F20559" s="2" t="str">
        <f>"9780429344343"</f>
        <v>9780429344343</v>
      </c>
    </row>
    <row r="20560" spans="1:6" s="3" customFormat="1" ht="29.1" customHeight="1" x14ac:dyDescent="0.25">
      <c r="A20560" s="2" t="s">
        <v>40331</v>
      </c>
      <c r="B20560" s="2" t="s">
        <v>40332</v>
      </c>
      <c r="C20560" s="2" t="s">
        <v>15181</v>
      </c>
      <c r="D20560" s="2" t="s">
        <v>14352</v>
      </c>
      <c r="E20560" s="2" t="str">
        <f>"9789633863190"</f>
        <v>9789633863190</v>
      </c>
      <c r="F20560" s="2" t="str">
        <f>"9789633863206"</f>
        <v>9789633863206</v>
      </c>
    </row>
    <row r="20561" spans="1:6" s="3" customFormat="1" ht="29.1" customHeight="1" x14ac:dyDescent="0.25">
      <c r="A20561" s="2" t="s">
        <v>40333</v>
      </c>
      <c r="B20561" s="2" t="s">
        <v>40334</v>
      </c>
      <c r="C20561" s="2" t="s">
        <v>15181</v>
      </c>
      <c r="D20561" s="2" t="s">
        <v>16673</v>
      </c>
      <c r="E20561" s="2" t="str">
        <f>"9789633863213"</f>
        <v>9789633863213</v>
      </c>
      <c r="F20561" s="2" t="str">
        <f>"9789633863220"</f>
        <v>9789633863220</v>
      </c>
    </row>
    <row r="20562" spans="1:6" s="3" customFormat="1" ht="29.1" customHeight="1" x14ac:dyDescent="0.25">
      <c r="A20562" s="2" t="s">
        <v>40335</v>
      </c>
      <c r="B20562" s="2" t="s">
        <v>33034</v>
      </c>
      <c r="C20562" s="2" t="s">
        <v>149</v>
      </c>
      <c r="D20562" s="2" t="s">
        <v>1141</v>
      </c>
      <c r="E20562" s="2" t="str">
        <f>"9781800641266"</f>
        <v>9781800641266</v>
      </c>
      <c r="F20562" s="2" t="str">
        <f>"9781800641280"</f>
        <v>9781800641280</v>
      </c>
    </row>
    <row r="20563" spans="1:6" s="3" customFormat="1" ht="29.1" customHeight="1" x14ac:dyDescent="0.25">
      <c r="A20563" s="2" t="s">
        <v>40336</v>
      </c>
      <c r="B20563" s="2" t="s">
        <v>40338</v>
      </c>
      <c r="C20563" s="2" t="s">
        <v>149</v>
      </c>
      <c r="D20563" s="2" t="s">
        <v>40337</v>
      </c>
      <c r="E20563" s="2" t="str">
        <f>"9781800641587"</f>
        <v>9781800641587</v>
      </c>
      <c r="F20563" s="2" t="str">
        <f>"9781800641600"</f>
        <v>9781800641600</v>
      </c>
    </row>
    <row r="20564" spans="1:6" s="3" customFormat="1" ht="29.1" customHeight="1" x14ac:dyDescent="0.25">
      <c r="A20564" s="2" t="s">
        <v>40339</v>
      </c>
      <c r="B20564" s="2" t="s">
        <v>40340</v>
      </c>
      <c r="C20564" s="2" t="s">
        <v>149</v>
      </c>
      <c r="D20564" s="2" t="s">
        <v>175</v>
      </c>
      <c r="E20564" s="2" t="str">
        <f>"9781800641648"</f>
        <v>9781800641648</v>
      </c>
      <c r="F20564" s="2" t="str">
        <f>"9781800641662"</f>
        <v>9781800641662</v>
      </c>
    </row>
    <row r="20565" spans="1:6" s="3" customFormat="1" ht="29.1" customHeight="1" x14ac:dyDescent="0.25">
      <c r="A20565" s="2" t="s">
        <v>40341</v>
      </c>
      <c r="B20565" s="2" t="s">
        <v>40342</v>
      </c>
      <c r="C20565" s="2" t="s">
        <v>149</v>
      </c>
      <c r="D20565" s="2" t="s">
        <v>11426</v>
      </c>
      <c r="E20565" s="2" t="str">
        <f>"9781800641136"</f>
        <v>9781800641136</v>
      </c>
      <c r="F20565" s="2" t="str">
        <f>"9781800641150"</f>
        <v>9781800641150</v>
      </c>
    </row>
    <row r="20566" spans="1:6" s="3" customFormat="1" ht="29.1" customHeight="1" x14ac:dyDescent="0.25">
      <c r="A20566" s="2" t="s">
        <v>40343</v>
      </c>
      <c r="B20566" s="2" t="s">
        <v>40344</v>
      </c>
      <c r="C20566" s="2" t="s">
        <v>62</v>
      </c>
      <c r="D20566" s="2" t="s">
        <v>125</v>
      </c>
      <c r="E20566" s="2" t="str">
        <f>"9783428181636"</f>
        <v>9783428181636</v>
      </c>
      <c r="F20566" s="2" t="str">
        <f>"9783428581634"</f>
        <v>9783428581634</v>
      </c>
    </row>
    <row r="20567" spans="1:6" s="3" customFormat="1" ht="29.1" customHeight="1" x14ac:dyDescent="0.25">
      <c r="A20567" s="2" t="s">
        <v>40345</v>
      </c>
      <c r="B20567" s="2" t="s">
        <v>40347</v>
      </c>
      <c r="C20567" s="2" t="s">
        <v>4788</v>
      </c>
      <c r="D20567" s="2" t="s">
        <v>40346</v>
      </c>
      <c r="E20567" s="2" t="str">
        <f>"9781474482004"</f>
        <v>9781474482004</v>
      </c>
      <c r="F20567" s="2" t="str">
        <f>"9781474482028"</f>
        <v>9781474482028</v>
      </c>
    </row>
    <row r="20568" spans="1:6" s="3" customFormat="1" ht="29.1" customHeight="1" x14ac:dyDescent="0.25">
      <c r="A20568" s="2" t="s">
        <v>40348</v>
      </c>
      <c r="B20568" s="2" t="s">
        <v>40349</v>
      </c>
      <c r="C20568" s="2" t="s">
        <v>8047</v>
      </c>
      <c r="D20568" s="2" t="s">
        <v>168</v>
      </c>
      <c r="E20568" s="2"/>
      <c r="F20568" s="2" t="str">
        <f>"9780271089621"</f>
        <v>9780271089621</v>
      </c>
    </row>
    <row r="20569" spans="1:6" s="3" customFormat="1" ht="29.1" customHeight="1" x14ac:dyDescent="0.25">
      <c r="A20569" s="2" t="s">
        <v>40350</v>
      </c>
      <c r="B20569" s="2" t="s">
        <v>40351</v>
      </c>
      <c r="C20569" s="2" t="s">
        <v>15181</v>
      </c>
      <c r="D20569" s="2" t="s">
        <v>16606</v>
      </c>
      <c r="E20569" s="2" t="str">
        <f>"9789633863121"</f>
        <v>9789633863121</v>
      </c>
      <c r="F20569" s="2" t="str">
        <f>"9789633862827"</f>
        <v>9789633862827</v>
      </c>
    </row>
    <row r="20570" spans="1:6" s="3" customFormat="1" ht="29.1" customHeight="1" x14ac:dyDescent="0.25">
      <c r="A20570" s="2" t="s">
        <v>40352</v>
      </c>
      <c r="B20570" s="2" t="s">
        <v>40353</v>
      </c>
      <c r="C20570" s="2" t="s">
        <v>15381</v>
      </c>
      <c r="D20570" s="2" t="s">
        <v>14946</v>
      </c>
      <c r="E20570" s="2" t="str">
        <f>"9781469661889"</f>
        <v>9781469661889</v>
      </c>
      <c r="F20570" s="2" t="str">
        <f>"9781469661902"</f>
        <v>9781469661902</v>
      </c>
    </row>
    <row r="20571" spans="1:6" s="3" customFormat="1" ht="29.1" customHeight="1" x14ac:dyDescent="0.25">
      <c r="A20571" s="2" t="s">
        <v>40354</v>
      </c>
      <c r="B20571" s="2" t="s">
        <v>40355</v>
      </c>
      <c r="C20571" s="2" t="s">
        <v>36</v>
      </c>
      <c r="D20571" s="2" t="s">
        <v>72</v>
      </c>
      <c r="E20571" s="2" t="str">
        <f>"9781447330486"</f>
        <v>9781447330486</v>
      </c>
      <c r="F20571" s="2" t="str">
        <f>"9781447330493"</f>
        <v>9781447330493</v>
      </c>
    </row>
    <row r="20572" spans="1:6" s="3" customFormat="1" ht="29.1" customHeight="1" x14ac:dyDescent="0.25">
      <c r="A20572" s="2" t="s">
        <v>40356</v>
      </c>
      <c r="B20572" s="2" t="s">
        <v>40357</v>
      </c>
      <c r="C20572" s="2" t="s">
        <v>124</v>
      </c>
      <c r="D20572" s="2" t="s">
        <v>1432</v>
      </c>
      <c r="E20572" s="2" t="str">
        <f>"9781041182221"</f>
        <v>9781041182221</v>
      </c>
      <c r="F20572" s="2" t="str">
        <f>"9781040793312"</f>
        <v>9781040793312</v>
      </c>
    </row>
    <row r="20573" spans="1:6" s="3" customFormat="1" ht="29.1" customHeight="1" x14ac:dyDescent="0.25">
      <c r="A20573" s="2" t="s">
        <v>40358</v>
      </c>
      <c r="B20573" s="2" t="s">
        <v>40359</v>
      </c>
      <c r="C20573" s="2" t="s">
        <v>20</v>
      </c>
      <c r="D20573" s="2" t="s">
        <v>21</v>
      </c>
      <c r="E20573" s="2" t="str">
        <f>"9783763962518"</f>
        <v>9783763962518</v>
      </c>
      <c r="F20573" s="2" t="str">
        <f>"9783763962525"</f>
        <v>9783763962525</v>
      </c>
    </row>
    <row r="20574" spans="1:6" s="3" customFormat="1" ht="29.1" customHeight="1" x14ac:dyDescent="0.25">
      <c r="A20574" s="2" t="s">
        <v>40360</v>
      </c>
      <c r="B20574" s="2" t="s">
        <v>40361</v>
      </c>
      <c r="C20574" s="2" t="s">
        <v>264</v>
      </c>
      <c r="D20574" s="2" t="s">
        <v>12465</v>
      </c>
      <c r="E20574" s="2" t="str">
        <f>"9788770225953"</f>
        <v>9788770225953</v>
      </c>
      <c r="F20574" s="2" t="str">
        <f>"9788770225946"</f>
        <v>9788770225946</v>
      </c>
    </row>
    <row r="20575" spans="1:6" s="3" customFormat="1" ht="29.1" customHeight="1" x14ac:dyDescent="0.25">
      <c r="A20575" s="2" t="s">
        <v>40362</v>
      </c>
      <c r="B20575" s="2" t="s">
        <v>40363</v>
      </c>
      <c r="C20575" s="2" t="s">
        <v>264</v>
      </c>
      <c r="D20575" s="2" t="s">
        <v>12465</v>
      </c>
      <c r="E20575" s="2" t="str">
        <f>"9788770222129"</f>
        <v>9788770222129</v>
      </c>
      <c r="F20575" s="2" t="str">
        <f>"9781000793789"</f>
        <v>9781000793789</v>
      </c>
    </row>
    <row r="20576" spans="1:6" s="3" customFormat="1" ht="29.1" customHeight="1" x14ac:dyDescent="0.25">
      <c r="A20576" s="2" t="s">
        <v>40364</v>
      </c>
      <c r="B20576" s="2" t="s">
        <v>40365</v>
      </c>
      <c r="C20576" s="2" t="s">
        <v>264</v>
      </c>
      <c r="D20576" s="2" t="s">
        <v>12063</v>
      </c>
      <c r="E20576" s="2" t="str">
        <f>"9788770221962"</f>
        <v>9788770221962</v>
      </c>
      <c r="F20576" s="2" t="str">
        <f>"9781000793147"</f>
        <v>9781000793147</v>
      </c>
    </row>
    <row r="20577" spans="1:6" s="3" customFormat="1" ht="29.1" customHeight="1" x14ac:dyDescent="0.25">
      <c r="A20577" s="2" t="s">
        <v>40366</v>
      </c>
      <c r="B20577" s="2" t="s">
        <v>40367</v>
      </c>
      <c r="C20577" s="2" t="s">
        <v>15181</v>
      </c>
      <c r="D20577" s="2" t="s">
        <v>1669</v>
      </c>
      <c r="E20577" s="2" t="str">
        <f>"9789633863763"</f>
        <v>9789633863763</v>
      </c>
      <c r="F20577" s="2" t="str">
        <f>"9789633863770"</f>
        <v>9789633863770</v>
      </c>
    </row>
    <row r="20578" spans="1:6" s="3" customFormat="1" ht="29.1" customHeight="1" x14ac:dyDescent="0.25">
      <c r="A20578" s="2" t="s">
        <v>40368</v>
      </c>
      <c r="B20578" s="2" t="s">
        <v>40369</v>
      </c>
      <c r="C20578" s="2" t="s">
        <v>124</v>
      </c>
      <c r="D20578" s="2" t="s">
        <v>984</v>
      </c>
      <c r="E20578" s="2" t="str">
        <f>"9780367151188"</f>
        <v>9780367151188</v>
      </c>
      <c r="F20578" s="2" t="str">
        <f>"9780429619625"</f>
        <v>9780429619625</v>
      </c>
    </row>
    <row r="20579" spans="1:6" s="3" customFormat="1" ht="29.1" customHeight="1" x14ac:dyDescent="0.25">
      <c r="A20579" s="2" t="s">
        <v>40370</v>
      </c>
      <c r="B20579" s="2" t="s">
        <v>40371</v>
      </c>
      <c r="C20579" s="2" t="s">
        <v>3248</v>
      </c>
      <c r="D20579" s="2" t="s">
        <v>33</v>
      </c>
      <c r="E20579" s="2" t="str">
        <f>"9781644531778"</f>
        <v>9781644531778</v>
      </c>
      <c r="F20579" s="2" t="str">
        <f>"9781644531792"</f>
        <v>9781644531792</v>
      </c>
    </row>
    <row r="20580" spans="1:6" s="3" customFormat="1" ht="29.1" customHeight="1" x14ac:dyDescent="0.25">
      <c r="A20580" s="2" t="s">
        <v>40372</v>
      </c>
      <c r="B20580" s="2" t="s">
        <v>40373</v>
      </c>
      <c r="C20580" s="2" t="s">
        <v>1953</v>
      </c>
      <c r="D20580" s="2" t="s">
        <v>1245</v>
      </c>
      <c r="E20580" s="2"/>
      <c r="F20580" s="2" t="str">
        <f>"9781536193374"</f>
        <v>9781536193374</v>
      </c>
    </row>
    <row r="20581" spans="1:6" s="3" customFormat="1" ht="29.1" customHeight="1" x14ac:dyDescent="0.25">
      <c r="A20581" s="2" t="s">
        <v>40374</v>
      </c>
      <c r="B20581" s="2" t="s">
        <v>40375</v>
      </c>
      <c r="C20581" s="2" t="s">
        <v>124</v>
      </c>
      <c r="D20581" s="2" t="s">
        <v>4700</v>
      </c>
      <c r="E20581" s="2" t="str">
        <f>"9780367655587"</f>
        <v>9780367655587</v>
      </c>
      <c r="F20581" s="2" t="str">
        <f>"9781000291025"</f>
        <v>9781000291025</v>
      </c>
    </row>
    <row r="20582" spans="1:6" s="3" customFormat="1" ht="29.1" customHeight="1" x14ac:dyDescent="0.25">
      <c r="A20582" s="2" t="s">
        <v>40376</v>
      </c>
      <c r="B20582" s="2" t="s">
        <v>40377</v>
      </c>
      <c r="C20582" s="2" t="s">
        <v>8059</v>
      </c>
      <c r="D20582" s="2" t="s">
        <v>2834</v>
      </c>
      <c r="E20582" s="2" t="str">
        <f>"9780868867984"</f>
        <v>9780868867984</v>
      </c>
      <c r="F20582" s="2" t="str">
        <f>"9781928424819"</f>
        <v>9781928424819</v>
      </c>
    </row>
    <row r="20583" spans="1:6" s="3" customFormat="1" ht="29.1" customHeight="1" x14ac:dyDescent="0.25">
      <c r="A20583" s="2" t="s">
        <v>40378</v>
      </c>
      <c r="B20583" s="2" t="s">
        <v>40379</v>
      </c>
      <c r="C20583" s="2" t="s">
        <v>8059</v>
      </c>
      <c r="D20583" s="2" t="s">
        <v>1189</v>
      </c>
      <c r="E20583" s="2" t="str">
        <f>"9781920383022"</f>
        <v>9781920383022</v>
      </c>
      <c r="F20583" s="2" t="str">
        <f>"9781928424802"</f>
        <v>9781928424802</v>
      </c>
    </row>
    <row r="20584" spans="1:6" s="3" customFormat="1" ht="29.1" customHeight="1" x14ac:dyDescent="0.25">
      <c r="A20584" s="2" t="s">
        <v>40380</v>
      </c>
      <c r="B20584" s="2" t="s">
        <v>40381</v>
      </c>
      <c r="C20584" s="2" t="s">
        <v>8059</v>
      </c>
      <c r="D20584" s="2" t="s">
        <v>7555</v>
      </c>
      <c r="E20584" s="2" t="str">
        <f>"9781920382513"</f>
        <v>9781920382513</v>
      </c>
      <c r="F20584" s="2" t="str">
        <f>"9781920382520"</f>
        <v>9781920382520</v>
      </c>
    </row>
    <row r="20585" spans="1:6" s="3" customFormat="1" ht="29.1" customHeight="1" x14ac:dyDescent="0.25">
      <c r="A20585" s="2" t="s">
        <v>40382</v>
      </c>
      <c r="B20585" s="2" t="s">
        <v>40384</v>
      </c>
      <c r="C20585" s="2" t="s">
        <v>8059</v>
      </c>
      <c r="D20585" s="2" t="s">
        <v>40383</v>
      </c>
      <c r="E20585" s="2" t="str">
        <f>"9781920382308"</f>
        <v>9781920382308</v>
      </c>
      <c r="F20585" s="2" t="str">
        <f>"9781920382315"</f>
        <v>9781920382315</v>
      </c>
    </row>
    <row r="20586" spans="1:6" s="3" customFormat="1" ht="29.1" customHeight="1" x14ac:dyDescent="0.25">
      <c r="A20586" s="2" t="s">
        <v>40385</v>
      </c>
      <c r="B20586" s="2" t="s">
        <v>40386</v>
      </c>
      <c r="C20586" s="2" t="s">
        <v>595</v>
      </c>
      <c r="D20586" s="2" t="s">
        <v>1162</v>
      </c>
      <c r="E20586" s="2" t="str">
        <f>"9782807617124"</f>
        <v>9782807617124</v>
      </c>
      <c r="F20586" s="2" t="str">
        <f>"9782807617131"</f>
        <v>9782807617131</v>
      </c>
    </row>
    <row r="20587" spans="1:6" s="3" customFormat="1" ht="29.1" customHeight="1" x14ac:dyDescent="0.25">
      <c r="A20587" s="2" t="s">
        <v>40387</v>
      </c>
      <c r="B20587" s="2" t="s">
        <v>40388</v>
      </c>
      <c r="C20587" s="2" t="s">
        <v>4788</v>
      </c>
      <c r="D20587" s="2" t="s">
        <v>1082</v>
      </c>
      <c r="E20587" s="2" t="str">
        <f>"9781474467513"</f>
        <v>9781474467513</v>
      </c>
      <c r="F20587" s="2" t="str">
        <f>"9781474467537"</f>
        <v>9781474467537</v>
      </c>
    </row>
    <row r="20588" spans="1:6" s="3" customFormat="1" ht="29.1" customHeight="1" x14ac:dyDescent="0.25">
      <c r="A20588" s="2" t="s">
        <v>40389</v>
      </c>
      <c r="B20588" s="2" t="s">
        <v>40390</v>
      </c>
      <c r="C20588" s="2" t="s">
        <v>4788</v>
      </c>
      <c r="D20588" s="2" t="s">
        <v>8642</v>
      </c>
      <c r="E20588" s="2" t="str">
        <f>"9781474438216"</f>
        <v>9781474438216</v>
      </c>
      <c r="F20588" s="2" t="str">
        <f>"9781474438230"</f>
        <v>9781474438230</v>
      </c>
    </row>
    <row r="20589" spans="1:6" s="3" customFormat="1" ht="29.1" customHeight="1" x14ac:dyDescent="0.25">
      <c r="A20589" s="2" t="s">
        <v>40391</v>
      </c>
      <c r="B20589" s="2" t="s">
        <v>40392</v>
      </c>
      <c r="C20589" s="2" t="s">
        <v>4788</v>
      </c>
      <c r="D20589" s="2" t="s">
        <v>1201</v>
      </c>
      <c r="E20589" s="2" t="str">
        <f>"9781474462471"</f>
        <v>9781474462471</v>
      </c>
      <c r="F20589" s="2" t="str">
        <f>"9781474447669"</f>
        <v>9781474447669</v>
      </c>
    </row>
    <row r="20590" spans="1:6" s="3" customFormat="1" ht="29.1" customHeight="1" x14ac:dyDescent="0.25">
      <c r="A20590" s="2" t="s">
        <v>40393</v>
      </c>
      <c r="B20590" s="2" t="s">
        <v>40394</v>
      </c>
      <c r="C20590" s="2" t="s">
        <v>4788</v>
      </c>
      <c r="D20590" s="2" t="s">
        <v>69</v>
      </c>
      <c r="E20590" s="2" t="str">
        <f>"9781474446341"</f>
        <v>9781474446341</v>
      </c>
      <c r="F20590" s="2" t="str">
        <f>"9781474446365"</f>
        <v>9781474446365</v>
      </c>
    </row>
    <row r="20591" spans="1:6" s="3" customFormat="1" ht="29.1" customHeight="1" x14ac:dyDescent="0.25">
      <c r="A20591" s="2" t="s">
        <v>40395</v>
      </c>
      <c r="B20591" s="2" t="s">
        <v>40396</v>
      </c>
      <c r="C20591" s="2" t="s">
        <v>4788</v>
      </c>
      <c r="D20591" s="2" t="s">
        <v>202</v>
      </c>
      <c r="E20591" s="2" t="str">
        <f>"9781474463362"</f>
        <v>9781474463362</v>
      </c>
      <c r="F20591" s="2" t="str">
        <f>"9781474463386"</f>
        <v>9781474463386</v>
      </c>
    </row>
    <row r="20592" spans="1:6" s="3" customFormat="1" ht="29.1" customHeight="1" x14ac:dyDescent="0.25">
      <c r="A20592" s="2" t="s">
        <v>40397</v>
      </c>
      <c r="B20592" s="2" t="s">
        <v>40398</v>
      </c>
      <c r="C20592" s="2" t="s">
        <v>264</v>
      </c>
      <c r="D20592" s="2" t="s">
        <v>12465</v>
      </c>
      <c r="E20592" s="2" t="str">
        <f>"9788770222082"</f>
        <v>9788770222082</v>
      </c>
      <c r="F20592" s="2" t="str">
        <f>"9788770222075"</f>
        <v>9788770222075</v>
      </c>
    </row>
    <row r="20593" spans="1:6" s="3" customFormat="1" ht="29.1" customHeight="1" x14ac:dyDescent="0.25">
      <c r="A20593" s="2" t="s">
        <v>40399</v>
      </c>
      <c r="B20593" s="2" t="s">
        <v>40400</v>
      </c>
      <c r="C20593" s="2" t="s">
        <v>29</v>
      </c>
      <c r="D20593" s="2" t="s">
        <v>636</v>
      </c>
      <c r="E20593" s="2" t="str">
        <f>"9789004450226"</f>
        <v>9789004450226</v>
      </c>
      <c r="F20593" s="2" t="str">
        <f>"9789004450233"</f>
        <v>9789004450233</v>
      </c>
    </row>
    <row r="20594" spans="1:6" s="3" customFormat="1" ht="29.1" customHeight="1" x14ac:dyDescent="0.25">
      <c r="A20594" s="2" t="s">
        <v>40401</v>
      </c>
      <c r="B20594" s="2" t="s">
        <v>40402</v>
      </c>
      <c r="C20594" s="2" t="s">
        <v>8104</v>
      </c>
      <c r="D20594" s="2" t="s">
        <v>636</v>
      </c>
      <c r="E20594" s="2" t="str">
        <f>"9781800732353"</f>
        <v>9781800732353</v>
      </c>
      <c r="F20594" s="2" t="str">
        <f>"9781800732360"</f>
        <v>9781800732360</v>
      </c>
    </row>
    <row r="20595" spans="1:6" s="3" customFormat="1" ht="29.1" customHeight="1" x14ac:dyDescent="0.25">
      <c r="A20595" s="2" t="s">
        <v>40403</v>
      </c>
      <c r="B20595" s="2" t="s">
        <v>40404</v>
      </c>
      <c r="C20595" s="2" t="s">
        <v>8104</v>
      </c>
      <c r="D20595" s="2" t="s">
        <v>791</v>
      </c>
      <c r="E20595" s="2" t="str">
        <f>"9781800732315"</f>
        <v>9781800732315</v>
      </c>
      <c r="F20595" s="2" t="str">
        <f>"9781800732322"</f>
        <v>9781800732322</v>
      </c>
    </row>
    <row r="20596" spans="1:6" s="3" customFormat="1" ht="29.1" customHeight="1" x14ac:dyDescent="0.25">
      <c r="A20596" s="2" t="s">
        <v>40405</v>
      </c>
      <c r="B20596" s="2" t="s">
        <v>40406</v>
      </c>
      <c r="C20596" s="2" t="s">
        <v>8104</v>
      </c>
      <c r="D20596" s="2" t="s">
        <v>509</v>
      </c>
      <c r="E20596" s="2" t="str">
        <f>"9781800732216"</f>
        <v>9781800732216</v>
      </c>
      <c r="F20596" s="2" t="str">
        <f>"9781800732223"</f>
        <v>9781800732223</v>
      </c>
    </row>
    <row r="20597" spans="1:6" s="3" customFormat="1" ht="29.1" customHeight="1" x14ac:dyDescent="0.25">
      <c r="A20597" s="2" t="s">
        <v>40407</v>
      </c>
      <c r="B20597" s="2" t="s">
        <v>40408</v>
      </c>
      <c r="C20597" s="2" t="s">
        <v>264</v>
      </c>
      <c r="D20597" s="2" t="s">
        <v>297</v>
      </c>
      <c r="E20597" s="2" t="str">
        <f>"9781032038193"</f>
        <v>9781032038193</v>
      </c>
      <c r="F20597" s="2" t="str">
        <f>"9781000415780"</f>
        <v>9781000415780</v>
      </c>
    </row>
    <row r="20598" spans="1:6" s="3" customFormat="1" ht="29.1" customHeight="1" x14ac:dyDescent="0.25">
      <c r="A20598" s="2" t="s">
        <v>40409</v>
      </c>
      <c r="B20598" s="2" t="s">
        <v>40410</v>
      </c>
      <c r="C20598" s="2" t="s">
        <v>124</v>
      </c>
      <c r="D20598" s="2" t="s">
        <v>270</v>
      </c>
      <c r="E20598" s="2" t="str">
        <f>"9780367478698"</f>
        <v>9780367478698</v>
      </c>
      <c r="F20598" s="2" t="str">
        <f>"9781000441710"</f>
        <v>9781000441710</v>
      </c>
    </row>
    <row r="20599" spans="1:6" s="3" customFormat="1" ht="29.1" customHeight="1" x14ac:dyDescent="0.25">
      <c r="A20599" s="2" t="s">
        <v>40411</v>
      </c>
      <c r="B20599" s="2" t="s">
        <v>40412</v>
      </c>
      <c r="C20599" s="2" t="s">
        <v>124</v>
      </c>
      <c r="D20599" s="2" t="s">
        <v>1127</v>
      </c>
      <c r="E20599" s="2" t="str">
        <f>"9780367673277"</f>
        <v>9780367673277</v>
      </c>
      <c r="F20599" s="2" t="str">
        <f>"9781000440485"</f>
        <v>9781000440485</v>
      </c>
    </row>
    <row r="20600" spans="1:6" s="3" customFormat="1" ht="29.1" customHeight="1" x14ac:dyDescent="0.25">
      <c r="A20600" s="2" t="s">
        <v>40413</v>
      </c>
      <c r="B20600" s="2" t="s">
        <v>40414</v>
      </c>
      <c r="C20600" s="2" t="s">
        <v>124</v>
      </c>
      <c r="D20600" s="2" t="s">
        <v>7734</v>
      </c>
      <c r="E20600" s="2" t="str">
        <f>"9781032008356"</f>
        <v>9781032008356</v>
      </c>
      <c r="F20600" s="2" t="str">
        <f>"9781000402179"</f>
        <v>9781000402179</v>
      </c>
    </row>
    <row r="20601" spans="1:6" s="3" customFormat="1" ht="29.1" customHeight="1" x14ac:dyDescent="0.25">
      <c r="A20601" s="2" t="s">
        <v>40415</v>
      </c>
      <c r="B20601" s="2" t="s">
        <v>40416</v>
      </c>
      <c r="C20601" s="2" t="s">
        <v>124</v>
      </c>
      <c r="D20601" s="2" t="s">
        <v>1127</v>
      </c>
      <c r="E20601" s="2" t="str">
        <f>"9780367277390"</f>
        <v>9780367277390</v>
      </c>
      <c r="F20601" s="2" t="str">
        <f>"9780429297649"</f>
        <v>9780429297649</v>
      </c>
    </row>
    <row r="20602" spans="1:6" s="3" customFormat="1" ht="29.1" customHeight="1" x14ac:dyDescent="0.25">
      <c r="A20602" s="2" t="s">
        <v>40417</v>
      </c>
      <c r="B20602" s="2" t="s">
        <v>40418</v>
      </c>
      <c r="C20602" s="2" t="s">
        <v>124</v>
      </c>
      <c r="D20602" s="2" t="s">
        <v>647</v>
      </c>
      <c r="E20602" s="2" t="str">
        <f>"9780367406769"</f>
        <v>9780367406769</v>
      </c>
      <c r="F20602" s="2" t="str">
        <f>"9780367808433"</f>
        <v>9780367808433</v>
      </c>
    </row>
    <row r="20603" spans="1:6" s="3" customFormat="1" ht="29.1" customHeight="1" x14ac:dyDescent="0.25">
      <c r="A20603" s="2" t="s">
        <v>40419</v>
      </c>
      <c r="B20603" s="2" t="s">
        <v>40420</v>
      </c>
      <c r="C20603" s="2" t="s">
        <v>124</v>
      </c>
      <c r="D20603" s="2" t="s">
        <v>334</v>
      </c>
      <c r="E20603" s="2" t="str">
        <f>"9780367521721"</f>
        <v>9780367521721</v>
      </c>
      <c r="F20603" s="2" t="str">
        <f>"9781000437140"</f>
        <v>9781000437140</v>
      </c>
    </row>
    <row r="20604" spans="1:6" s="3" customFormat="1" ht="29.1" customHeight="1" x14ac:dyDescent="0.25">
      <c r="A20604" s="2" t="s">
        <v>40421</v>
      </c>
      <c r="B20604" s="2" t="s">
        <v>40422</v>
      </c>
      <c r="C20604" s="2" t="s">
        <v>124</v>
      </c>
      <c r="D20604" s="2" t="s">
        <v>5383</v>
      </c>
      <c r="E20604" s="2" t="str">
        <f>"9780367150471"</f>
        <v>9780367150471</v>
      </c>
      <c r="F20604" s="2" t="str">
        <f>"9780429620089"</f>
        <v>9780429620089</v>
      </c>
    </row>
    <row r="20605" spans="1:6" s="3" customFormat="1" ht="29.1" customHeight="1" x14ac:dyDescent="0.25">
      <c r="A20605" s="2" t="s">
        <v>40423</v>
      </c>
      <c r="B20605" s="2" t="s">
        <v>40424</v>
      </c>
      <c r="C20605" s="2" t="s">
        <v>8059</v>
      </c>
      <c r="D20605" s="2" t="s">
        <v>7460</v>
      </c>
      <c r="E20605" s="2" t="str">
        <f>"9781928424987"</f>
        <v>9781928424987</v>
      </c>
      <c r="F20605" s="2" t="str">
        <f>"9781928424994"</f>
        <v>9781928424994</v>
      </c>
    </row>
    <row r="20606" spans="1:6" s="3" customFormat="1" ht="29.1" customHeight="1" x14ac:dyDescent="0.25">
      <c r="A20606" s="2" t="s">
        <v>40425</v>
      </c>
      <c r="B20606" s="2" t="s">
        <v>40426</v>
      </c>
      <c r="C20606" s="2" t="s">
        <v>8059</v>
      </c>
      <c r="D20606" s="2" t="s">
        <v>15257</v>
      </c>
      <c r="E20606" s="2" t="str">
        <f>"9781928424765"</f>
        <v>9781928424765</v>
      </c>
      <c r="F20606" s="2" t="str">
        <f>"9781928424772"</f>
        <v>9781928424772</v>
      </c>
    </row>
    <row r="20607" spans="1:6" s="3" customFormat="1" ht="29.1" customHeight="1" x14ac:dyDescent="0.25">
      <c r="A20607" s="2" t="s">
        <v>40427</v>
      </c>
      <c r="B20607" s="2" t="s">
        <v>40428</v>
      </c>
      <c r="C20607" s="2" t="s">
        <v>8059</v>
      </c>
      <c r="D20607" s="2" t="s">
        <v>4071</v>
      </c>
      <c r="E20607" s="2" t="str">
        <f>"9781928424741"</f>
        <v>9781928424741</v>
      </c>
      <c r="F20607" s="2" t="str">
        <f>"9781928424758"</f>
        <v>9781928424758</v>
      </c>
    </row>
    <row r="20608" spans="1:6" s="3" customFormat="1" ht="29.1" customHeight="1" x14ac:dyDescent="0.25">
      <c r="A20608" s="2" t="s">
        <v>40429</v>
      </c>
      <c r="B20608" s="2" t="s">
        <v>40430</v>
      </c>
      <c r="C20608" s="2" t="s">
        <v>8059</v>
      </c>
      <c r="D20608" s="2" t="s">
        <v>5969</v>
      </c>
      <c r="E20608" s="2" t="str">
        <f>"9781928424727"</f>
        <v>9781928424727</v>
      </c>
      <c r="F20608" s="2" t="str">
        <f>"9781928424734"</f>
        <v>9781928424734</v>
      </c>
    </row>
    <row r="20609" spans="1:6" s="3" customFormat="1" ht="29.1" customHeight="1" x14ac:dyDescent="0.25">
      <c r="A20609" s="2" t="s">
        <v>40431</v>
      </c>
      <c r="B20609" s="2" t="s">
        <v>40433</v>
      </c>
      <c r="C20609" s="2" t="s">
        <v>8059</v>
      </c>
      <c r="D20609" s="2" t="s">
        <v>40432</v>
      </c>
      <c r="E20609" s="2" t="str">
        <f>"9781928424703"</f>
        <v>9781928424703</v>
      </c>
      <c r="F20609" s="2" t="str">
        <f>"9781928424710"</f>
        <v>9781928424710</v>
      </c>
    </row>
    <row r="20610" spans="1:6" s="3" customFormat="1" ht="29.1" customHeight="1" x14ac:dyDescent="0.25">
      <c r="A20610" s="2" t="s">
        <v>40434</v>
      </c>
      <c r="B20610" s="2" t="s">
        <v>40435</v>
      </c>
      <c r="C20610" s="2" t="s">
        <v>8059</v>
      </c>
      <c r="D20610" s="2" t="s">
        <v>175</v>
      </c>
      <c r="E20610" s="2" t="str">
        <f>"9781928424680"</f>
        <v>9781928424680</v>
      </c>
      <c r="F20610" s="2" t="str">
        <f>"9781928424697"</f>
        <v>9781928424697</v>
      </c>
    </row>
    <row r="20611" spans="1:6" s="3" customFormat="1" ht="29.1" customHeight="1" x14ac:dyDescent="0.25">
      <c r="A20611" s="2" t="s">
        <v>40436</v>
      </c>
      <c r="B20611" s="2" t="s">
        <v>40438</v>
      </c>
      <c r="C20611" s="2" t="s">
        <v>8059</v>
      </c>
      <c r="D20611" s="2" t="s">
        <v>40437</v>
      </c>
      <c r="E20611" s="2" t="str">
        <f>"9781928424673"</f>
        <v>9781928424673</v>
      </c>
      <c r="F20611" s="2" t="str">
        <f>"9781928424666"</f>
        <v>9781928424666</v>
      </c>
    </row>
    <row r="20612" spans="1:6" s="3" customFormat="1" ht="29.1" customHeight="1" x14ac:dyDescent="0.25">
      <c r="A20612" s="2" t="s">
        <v>40439</v>
      </c>
      <c r="B20612" s="2" t="s">
        <v>40440</v>
      </c>
      <c r="C20612" s="2" t="s">
        <v>8059</v>
      </c>
      <c r="D20612" s="2" t="s">
        <v>13332</v>
      </c>
      <c r="E20612" s="2" t="str">
        <f>"9781928424567"</f>
        <v>9781928424567</v>
      </c>
      <c r="F20612" s="2" t="str">
        <f>"9781928424574"</f>
        <v>9781928424574</v>
      </c>
    </row>
    <row r="20613" spans="1:6" s="3" customFormat="1" ht="29.1" customHeight="1" x14ac:dyDescent="0.25">
      <c r="A20613" s="2" t="s">
        <v>40441</v>
      </c>
      <c r="B20613" s="2" t="s">
        <v>40442</v>
      </c>
      <c r="C20613" s="2" t="s">
        <v>8059</v>
      </c>
      <c r="D20613" s="2" t="s">
        <v>4940</v>
      </c>
      <c r="E20613" s="2" t="str">
        <f>"9781928424505"</f>
        <v>9781928424505</v>
      </c>
      <c r="F20613" s="2" t="str">
        <f>"9781928424512"</f>
        <v>9781928424512</v>
      </c>
    </row>
    <row r="20614" spans="1:6" s="3" customFormat="1" ht="29.1" customHeight="1" x14ac:dyDescent="0.25">
      <c r="A20614" s="2" t="s">
        <v>40443</v>
      </c>
      <c r="B20614" s="2" t="s">
        <v>40444</v>
      </c>
      <c r="C20614" s="2" t="s">
        <v>8059</v>
      </c>
      <c r="D20614" s="2" t="s">
        <v>175</v>
      </c>
      <c r="E20614" s="2" t="str">
        <f>"9781928424482"</f>
        <v>9781928424482</v>
      </c>
      <c r="F20614" s="2" t="str">
        <f>"9781928424499"</f>
        <v>9781928424499</v>
      </c>
    </row>
    <row r="20615" spans="1:6" s="3" customFormat="1" ht="29.1" customHeight="1" x14ac:dyDescent="0.25">
      <c r="A20615" s="2" t="s">
        <v>40445</v>
      </c>
      <c r="B20615" s="2" t="s">
        <v>40446</v>
      </c>
      <c r="C20615" s="2" t="s">
        <v>8059</v>
      </c>
      <c r="D20615" s="2" t="s">
        <v>2361</v>
      </c>
      <c r="E20615" s="2" t="str">
        <f>"9781920383145"</f>
        <v>9781920383145</v>
      </c>
      <c r="F20615" s="2" t="str">
        <f>"9781920383268"</f>
        <v>9781920383268</v>
      </c>
    </row>
    <row r="20616" spans="1:6" s="3" customFormat="1" ht="29.1" customHeight="1" x14ac:dyDescent="0.25">
      <c r="A20616" s="2" t="s">
        <v>40447</v>
      </c>
      <c r="B20616" s="2" t="s">
        <v>40448</v>
      </c>
      <c r="C20616" s="2" t="s">
        <v>8059</v>
      </c>
      <c r="D20616" s="2" t="s">
        <v>459</v>
      </c>
      <c r="E20616" s="2" t="str">
        <f>"9781920383244"</f>
        <v>9781920383244</v>
      </c>
      <c r="F20616" s="2" t="str">
        <f>"9781920383251"</f>
        <v>9781920383251</v>
      </c>
    </row>
    <row r="20617" spans="1:6" s="3" customFormat="1" ht="29.1" customHeight="1" x14ac:dyDescent="0.25">
      <c r="A20617" s="2" t="s">
        <v>40449</v>
      </c>
      <c r="B20617" s="2" t="s">
        <v>40450</v>
      </c>
      <c r="C20617" s="2" t="s">
        <v>8059</v>
      </c>
      <c r="D20617" s="2" t="s">
        <v>3567</v>
      </c>
      <c r="E20617" s="2" t="str">
        <f>"9781920383084"</f>
        <v>9781920383084</v>
      </c>
      <c r="F20617" s="2" t="str">
        <f>"9781920383206"</f>
        <v>9781920383206</v>
      </c>
    </row>
    <row r="20618" spans="1:6" s="3" customFormat="1" ht="29.1" customHeight="1" x14ac:dyDescent="0.25">
      <c r="A20618" s="2" t="s">
        <v>40451</v>
      </c>
      <c r="B20618" s="2" t="s">
        <v>40452</v>
      </c>
      <c r="C20618" s="2" t="s">
        <v>8059</v>
      </c>
      <c r="D20618" s="2" t="s">
        <v>553</v>
      </c>
      <c r="E20618" s="2" t="str">
        <f>"9781920383077"</f>
        <v>9781920383077</v>
      </c>
      <c r="F20618" s="2" t="str">
        <f>"9781920383190"</f>
        <v>9781920383190</v>
      </c>
    </row>
    <row r="20619" spans="1:6" s="3" customFormat="1" ht="29.1" customHeight="1" x14ac:dyDescent="0.25">
      <c r="A20619" s="2" t="s">
        <v>40453</v>
      </c>
      <c r="B20619" s="2" t="s">
        <v>40454</v>
      </c>
      <c r="C20619" s="2" t="s">
        <v>8059</v>
      </c>
      <c r="D20619" s="2" t="s">
        <v>459</v>
      </c>
      <c r="E20619" s="2" t="str">
        <f>"9781920383060"</f>
        <v>9781920383060</v>
      </c>
      <c r="F20619" s="2" t="str">
        <f>"9781920383183"</f>
        <v>9781920383183</v>
      </c>
    </row>
    <row r="20620" spans="1:6" s="3" customFormat="1" ht="29.1" customHeight="1" x14ac:dyDescent="0.25">
      <c r="A20620" s="2" t="s">
        <v>40455</v>
      </c>
      <c r="B20620" s="2" t="s">
        <v>40456</v>
      </c>
      <c r="C20620" s="2" t="s">
        <v>8059</v>
      </c>
      <c r="D20620" s="2" t="s">
        <v>1768</v>
      </c>
      <c r="E20620" s="2" t="str">
        <f>"9781920383053"</f>
        <v>9781920383053</v>
      </c>
      <c r="F20620" s="2" t="str">
        <f>"9781920383176"</f>
        <v>9781920383176</v>
      </c>
    </row>
    <row r="20621" spans="1:6" s="3" customFormat="1" ht="29.1" customHeight="1" x14ac:dyDescent="0.25">
      <c r="A20621" s="2" t="s">
        <v>40457</v>
      </c>
      <c r="B20621" s="2" t="s">
        <v>40454</v>
      </c>
      <c r="C20621" s="2" t="s">
        <v>8059</v>
      </c>
      <c r="D20621" s="2" t="s">
        <v>459</v>
      </c>
      <c r="E20621" s="2" t="str">
        <f>"9781920383046"</f>
        <v>9781920383046</v>
      </c>
      <c r="F20621" s="2" t="str">
        <f>"9781920383169"</f>
        <v>9781920383169</v>
      </c>
    </row>
    <row r="20622" spans="1:6" s="3" customFormat="1" ht="29.1" customHeight="1" x14ac:dyDescent="0.25">
      <c r="A20622" s="2" t="s">
        <v>40458</v>
      </c>
      <c r="B20622" s="2" t="s">
        <v>40459</v>
      </c>
      <c r="C20622" s="2" t="s">
        <v>8059</v>
      </c>
      <c r="D20622" s="2" t="s">
        <v>16468</v>
      </c>
      <c r="E20622" s="2" t="str">
        <f>"9781920383039"</f>
        <v>9781920383039</v>
      </c>
      <c r="F20622" s="2" t="str">
        <f>"9781920383152"</f>
        <v>9781920383152</v>
      </c>
    </row>
    <row r="20623" spans="1:6" s="3" customFormat="1" ht="29.1" customHeight="1" x14ac:dyDescent="0.25">
      <c r="A20623" s="2" t="s">
        <v>40460</v>
      </c>
      <c r="B20623" s="2" t="s">
        <v>40461</v>
      </c>
      <c r="C20623" s="2" t="s">
        <v>8059</v>
      </c>
      <c r="D20623" s="2" t="s">
        <v>553</v>
      </c>
      <c r="E20623" s="2" t="str">
        <f>"9781920382902"</f>
        <v>9781920382902</v>
      </c>
      <c r="F20623" s="2" t="str">
        <f>"9781920382919"</f>
        <v>9781920382919</v>
      </c>
    </row>
    <row r="20624" spans="1:6" s="3" customFormat="1" ht="29.1" customHeight="1" x14ac:dyDescent="0.25">
      <c r="A20624" s="2" t="s">
        <v>40462</v>
      </c>
      <c r="B20624" s="2" t="s">
        <v>40463</v>
      </c>
      <c r="C20624" s="2" t="s">
        <v>8059</v>
      </c>
      <c r="D20624" s="2" t="s">
        <v>459</v>
      </c>
      <c r="E20624" s="2" t="str">
        <f>"9781920382742"</f>
        <v>9781920382742</v>
      </c>
      <c r="F20624" s="2" t="str">
        <f>"9781920382759"</f>
        <v>9781920382759</v>
      </c>
    </row>
    <row r="20625" spans="1:6" s="3" customFormat="1" ht="29.1" customHeight="1" x14ac:dyDescent="0.25">
      <c r="A20625" s="2" t="s">
        <v>40464</v>
      </c>
      <c r="B20625" s="2" t="s">
        <v>40465</v>
      </c>
      <c r="C20625" s="2" t="s">
        <v>8059</v>
      </c>
      <c r="D20625" s="2" t="s">
        <v>553</v>
      </c>
      <c r="E20625" s="2" t="str">
        <f>"9781920382629"</f>
        <v>9781920382629</v>
      </c>
      <c r="F20625" s="2" t="str">
        <f>"9781920382636"</f>
        <v>9781920382636</v>
      </c>
    </row>
    <row r="20626" spans="1:6" s="3" customFormat="1" ht="29.1" customHeight="1" x14ac:dyDescent="0.25">
      <c r="A20626" s="2" t="s">
        <v>40466</v>
      </c>
      <c r="B20626" s="2" t="s">
        <v>40467</v>
      </c>
      <c r="C20626" s="2" t="s">
        <v>8059</v>
      </c>
      <c r="D20626" s="2" t="s">
        <v>1162</v>
      </c>
      <c r="E20626" s="2" t="str">
        <f>"9781920382582"</f>
        <v>9781920382582</v>
      </c>
      <c r="F20626" s="2" t="str">
        <f>"9781920382599"</f>
        <v>9781920382599</v>
      </c>
    </row>
    <row r="20627" spans="1:6" s="3" customFormat="1" ht="29.1" customHeight="1" x14ac:dyDescent="0.25">
      <c r="A20627" s="2" t="s">
        <v>40468</v>
      </c>
      <c r="B20627" s="2" t="s">
        <v>40463</v>
      </c>
      <c r="C20627" s="2" t="s">
        <v>8059</v>
      </c>
      <c r="D20627" s="2" t="s">
        <v>459</v>
      </c>
      <c r="E20627" s="2" t="str">
        <f>"9781920382568"</f>
        <v>9781920382568</v>
      </c>
      <c r="F20627" s="2" t="str">
        <f>"9781920382575"</f>
        <v>9781920382575</v>
      </c>
    </row>
    <row r="20628" spans="1:6" s="3" customFormat="1" ht="29.1" customHeight="1" x14ac:dyDescent="0.25">
      <c r="A20628" s="2" t="s">
        <v>40469</v>
      </c>
      <c r="B20628" s="2" t="s">
        <v>40470</v>
      </c>
      <c r="C20628" s="2" t="s">
        <v>8059</v>
      </c>
      <c r="D20628" s="2" t="s">
        <v>1237</v>
      </c>
      <c r="E20628" s="2" t="str">
        <f>"9781920382490"</f>
        <v>9781920382490</v>
      </c>
      <c r="F20628" s="2" t="str">
        <f>"9781920382506"</f>
        <v>9781920382506</v>
      </c>
    </row>
    <row r="20629" spans="1:6" s="3" customFormat="1" ht="29.1" customHeight="1" x14ac:dyDescent="0.25">
      <c r="A20629" s="2" t="s">
        <v>40471</v>
      </c>
      <c r="B20629" s="2" t="s">
        <v>40463</v>
      </c>
      <c r="C20629" s="2" t="s">
        <v>8059</v>
      </c>
      <c r="D20629" s="2" t="s">
        <v>459</v>
      </c>
      <c r="E20629" s="2" t="str">
        <f>"9781920382452"</f>
        <v>9781920382452</v>
      </c>
      <c r="F20629" s="2" t="str">
        <f>"9781920382469"</f>
        <v>9781920382469</v>
      </c>
    </row>
    <row r="20630" spans="1:6" s="3" customFormat="1" ht="29.1" customHeight="1" x14ac:dyDescent="0.25">
      <c r="A20630" s="2" t="s">
        <v>40472</v>
      </c>
      <c r="B20630" s="2" t="s">
        <v>40473</v>
      </c>
      <c r="C20630" s="2" t="s">
        <v>8059</v>
      </c>
      <c r="D20630" s="2" t="s">
        <v>2593</v>
      </c>
      <c r="E20630" s="2" t="str">
        <f>"9781920382438"</f>
        <v>9781920382438</v>
      </c>
      <c r="F20630" s="2" t="str">
        <f>"9781920382445"</f>
        <v>9781920382445</v>
      </c>
    </row>
    <row r="20631" spans="1:6" s="3" customFormat="1" ht="29.1" customHeight="1" x14ac:dyDescent="0.25">
      <c r="A20631" s="2" t="s">
        <v>40474</v>
      </c>
      <c r="B20631" s="2" t="s">
        <v>40475</v>
      </c>
      <c r="C20631" s="2" t="s">
        <v>8059</v>
      </c>
      <c r="D20631" s="2" t="s">
        <v>9894</v>
      </c>
      <c r="E20631" s="2" t="str">
        <f>"9781920382377"</f>
        <v>9781920382377</v>
      </c>
      <c r="F20631" s="2" t="str">
        <f>"9781920382384"</f>
        <v>9781920382384</v>
      </c>
    </row>
    <row r="20632" spans="1:6" s="3" customFormat="1" ht="29.1" customHeight="1" x14ac:dyDescent="0.25">
      <c r="A20632" s="2" t="s">
        <v>40476</v>
      </c>
      <c r="B20632" s="2" t="s">
        <v>40463</v>
      </c>
      <c r="C20632" s="2" t="s">
        <v>8059</v>
      </c>
      <c r="D20632" s="2" t="s">
        <v>459</v>
      </c>
      <c r="E20632" s="2" t="str">
        <f>"9781920382278"</f>
        <v>9781920382278</v>
      </c>
      <c r="F20632" s="2" t="str">
        <f>"9781920382285"</f>
        <v>9781920382285</v>
      </c>
    </row>
    <row r="20633" spans="1:6" s="3" customFormat="1" ht="29.1" customHeight="1" x14ac:dyDescent="0.25">
      <c r="A20633" s="2" t="s">
        <v>40477</v>
      </c>
      <c r="B20633" s="2" t="s">
        <v>40478</v>
      </c>
      <c r="C20633" s="2" t="s">
        <v>8059</v>
      </c>
      <c r="D20633" s="2" t="s">
        <v>10493</v>
      </c>
      <c r="E20633" s="2" t="str">
        <f>"9781920382254"</f>
        <v>9781920382254</v>
      </c>
      <c r="F20633" s="2" t="str">
        <f>"9781920382261"</f>
        <v>9781920382261</v>
      </c>
    </row>
    <row r="20634" spans="1:6" s="3" customFormat="1" ht="29.1" customHeight="1" x14ac:dyDescent="0.25">
      <c r="A20634" s="2" t="s">
        <v>40479</v>
      </c>
      <c r="B20634" s="2" t="s">
        <v>40480</v>
      </c>
      <c r="C20634" s="2" t="s">
        <v>8059</v>
      </c>
      <c r="D20634" s="2" t="s">
        <v>553</v>
      </c>
      <c r="E20634" s="2" t="str">
        <f>"9781920382117"</f>
        <v>9781920382117</v>
      </c>
      <c r="F20634" s="2" t="str">
        <f>"9781920382247"</f>
        <v>9781920382247</v>
      </c>
    </row>
    <row r="20635" spans="1:6" s="3" customFormat="1" ht="29.1" customHeight="1" x14ac:dyDescent="0.25">
      <c r="A20635" s="2" t="s">
        <v>40481</v>
      </c>
      <c r="B20635" s="2" t="s">
        <v>40482</v>
      </c>
      <c r="C20635" s="2" t="s">
        <v>8059</v>
      </c>
      <c r="D20635" s="2" t="s">
        <v>2199</v>
      </c>
      <c r="E20635" s="2" t="str">
        <f>"9781920382292"</f>
        <v>9781920382292</v>
      </c>
      <c r="F20635" s="2" t="str">
        <f>"9781920382230"</f>
        <v>9781920382230</v>
      </c>
    </row>
    <row r="20636" spans="1:6" s="3" customFormat="1" ht="29.1" customHeight="1" x14ac:dyDescent="0.25">
      <c r="A20636" s="2" t="s">
        <v>40483</v>
      </c>
      <c r="B20636" s="2" t="s">
        <v>40484</v>
      </c>
      <c r="C20636" s="2" t="s">
        <v>8059</v>
      </c>
      <c r="D20636" s="2" t="s">
        <v>192</v>
      </c>
      <c r="E20636" s="2" t="str">
        <f>"9781920382216"</f>
        <v>9781920382216</v>
      </c>
      <c r="F20636" s="2" t="str">
        <f>"9781920382223"</f>
        <v>9781920382223</v>
      </c>
    </row>
    <row r="20637" spans="1:6" s="3" customFormat="1" ht="29.1" customHeight="1" x14ac:dyDescent="0.25">
      <c r="A20637" s="2" t="s">
        <v>40485</v>
      </c>
      <c r="B20637" s="2" t="s">
        <v>40487</v>
      </c>
      <c r="C20637" s="2" t="s">
        <v>8059</v>
      </c>
      <c r="D20637" s="2" t="s">
        <v>40486</v>
      </c>
      <c r="E20637" s="2" t="str">
        <f>"9781920382179"</f>
        <v>9781920382179</v>
      </c>
      <c r="F20637" s="2" t="str">
        <f>"9781920382186"</f>
        <v>9781920382186</v>
      </c>
    </row>
    <row r="20638" spans="1:6" s="3" customFormat="1" ht="29.1" customHeight="1" x14ac:dyDescent="0.25">
      <c r="A20638" s="2" t="s">
        <v>40488</v>
      </c>
      <c r="B20638" s="2" t="s">
        <v>40428</v>
      </c>
      <c r="C20638" s="2" t="s">
        <v>8059</v>
      </c>
      <c r="D20638" s="2" t="s">
        <v>11038</v>
      </c>
      <c r="E20638" s="2" t="str">
        <f>"9781920382018"</f>
        <v>9781920382018</v>
      </c>
      <c r="F20638" s="2" t="str">
        <f>"9781920382094"</f>
        <v>9781920382094</v>
      </c>
    </row>
    <row r="20639" spans="1:6" s="3" customFormat="1" ht="29.1" customHeight="1" x14ac:dyDescent="0.25">
      <c r="A20639" s="2" t="s">
        <v>40489</v>
      </c>
      <c r="B20639" s="2" t="s">
        <v>40490</v>
      </c>
      <c r="C20639" s="2" t="s">
        <v>8059</v>
      </c>
      <c r="D20639" s="2" t="s">
        <v>1245</v>
      </c>
      <c r="E20639" s="2" t="str">
        <f>"9781920382001"</f>
        <v>9781920382001</v>
      </c>
      <c r="F20639" s="2" t="str">
        <f>"9781920382087"</f>
        <v>9781920382087</v>
      </c>
    </row>
    <row r="20640" spans="1:6" s="3" customFormat="1" ht="29.1" customHeight="1" x14ac:dyDescent="0.25">
      <c r="A20640" s="2" t="s">
        <v>40491</v>
      </c>
      <c r="B20640" s="2" t="s">
        <v>40492</v>
      </c>
      <c r="C20640" s="2" t="s">
        <v>8059</v>
      </c>
      <c r="D20640" s="2" t="s">
        <v>1245</v>
      </c>
      <c r="E20640" s="2" t="str">
        <f>"9781920383312"</f>
        <v>9781920383312</v>
      </c>
      <c r="F20640" s="2" t="str">
        <f>"9781920382070"</f>
        <v>9781920382070</v>
      </c>
    </row>
    <row r="20641" spans="1:6" s="3" customFormat="1" ht="29.1" customHeight="1" x14ac:dyDescent="0.25">
      <c r="A20641" s="2" t="s">
        <v>40493</v>
      </c>
      <c r="B20641" s="2" t="s">
        <v>40492</v>
      </c>
      <c r="C20641" s="2" t="s">
        <v>8059</v>
      </c>
      <c r="D20641" s="2" t="s">
        <v>1245</v>
      </c>
      <c r="E20641" s="2" t="str">
        <f>"9781920383305"</f>
        <v>9781920383305</v>
      </c>
      <c r="F20641" s="2" t="str">
        <f>"9781920382063"</f>
        <v>9781920382063</v>
      </c>
    </row>
    <row r="20642" spans="1:6" s="3" customFormat="1" ht="29.1" customHeight="1" x14ac:dyDescent="0.25">
      <c r="A20642" s="2" t="s">
        <v>40494</v>
      </c>
      <c r="B20642" s="2" t="s">
        <v>40495</v>
      </c>
      <c r="C20642" s="2" t="s">
        <v>8059</v>
      </c>
      <c r="D20642" s="2" t="s">
        <v>1245</v>
      </c>
      <c r="E20642" s="2" t="str">
        <f>"9781920383299"</f>
        <v>9781920383299</v>
      </c>
      <c r="F20642" s="2" t="str">
        <f>"9781920382056"</f>
        <v>9781920382056</v>
      </c>
    </row>
    <row r="20643" spans="1:6" s="3" customFormat="1" ht="29.1" customHeight="1" x14ac:dyDescent="0.25">
      <c r="A20643" s="2" t="s">
        <v>40496</v>
      </c>
      <c r="B20643" s="2" t="s">
        <v>40497</v>
      </c>
      <c r="C20643" s="2" t="s">
        <v>8059</v>
      </c>
      <c r="D20643" s="2" t="s">
        <v>378</v>
      </c>
      <c r="E20643" s="2" t="str">
        <f>"9781920383282"</f>
        <v>9781920383282</v>
      </c>
      <c r="F20643" s="2" t="str">
        <f>"9781920382049"</f>
        <v>9781920382049</v>
      </c>
    </row>
    <row r="20644" spans="1:6" s="3" customFormat="1" ht="29.1" customHeight="1" x14ac:dyDescent="0.25">
      <c r="A20644" s="2" t="s">
        <v>40498</v>
      </c>
      <c r="B20644" s="2" t="s">
        <v>40499</v>
      </c>
      <c r="C20644" s="2" t="s">
        <v>36</v>
      </c>
      <c r="D20644" s="2" t="s">
        <v>249</v>
      </c>
      <c r="E20644" s="2" t="str">
        <f>"9781447354291"</f>
        <v>9781447354291</v>
      </c>
      <c r="F20644" s="2" t="str">
        <f>"9781447354307"</f>
        <v>9781447354307</v>
      </c>
    </row>
    <row r="20645" spans="1:6" s="3" customFormat="1" ht="29.1" customHeight="1" x14ac:dyDescent="0.25">
      <c r="A20645" s="2" t="s">
        <v>40500</v>
      </c>
      <c r="B20645" s="2" t="s">
        <v>40502</v>
      </c>
      <c r="C20645" s="2" t="s">
        <v>264</v>
      </c>
      <c r="D20645" s="2" t="s">
        <v>40501</v>
      </c>
      <c r="E20645" s="2" t="str">
        <f>"9780367652876"</f>
        <v>9780367652876</v>
      </c>
      <c r="F20645" s="2" t="str">
        <f>"9781000434156"</f>
        <v>9781000434156</v>
      </c>
    </row>
    <row r="20646" spans="1:6" s="3" customFormat="1" ht="29.1" customHeight="1" x14ac:dyDescent="0.25">
      <c r="A20646" s="2" t="s">
        <v>40503</v>
      </c>
      <c r="B20646" s="2" t="s">
        <v>40504</v>
      </c>
      <c r="C20646" s="2" t="s">
        <v>124</v>
      </c>
      <c r="D20646" s="2" t="s">
        <v>2513</v>
      </c>
      <c r="E20646" s="2" t="str">
        <f>"9781032001463"</f>
        <v>9781032001463</v>
      </c>
      <c r="F20646" s="2" t="str">
        <f>"9781000433838"</f>
        <v>9781000433838</v>
      </c>
    </row>
    <row r="20647" spans="1:6" s="3" customFormat="1" ht="29.1" customHeight="1" x14ac:dyDescent="0.25">
      <c r="A20647" s="2" t="s">
        <v>40505</v>
      </c>
      <c r="B20647" s="2" t="s">
        <v>40506</v>
      </c>
      <c r="C20647" s="2" t="s">
        <v>124</v>
      </c>
      <c r="D20647" s="2" t="s">
        <v>5794</v>
      </c>
      <c r="E20647" s="2" t="str">
        <f>"9780367744151"</f>
        <v>9780367744151</v>
      </c>
      <c r="F20647" s="2" t="str">
        <f>"9781000396690"</f>
        <v>9781000396690</v>
      </c>
    </row>
    <row r="20648" spans="1:6" s="3" customFormat="1" ht="29.1" customHeight="1" x14ac:dyDescent="0.25">
      <c r="A20648" s="2" t="s">
        <v>40507</v>
      </c>
      <c r="B20648" s="2" t="s">
        <v>40508</v>
      </c>
      <c r="C20648" s="2" t="s">
        <v>124</v>
      </c>
      <c r="D20648" s="2" t="s">
        <v>60</v>
      </c>
      <c r="E20648" s="2" t="str">
        <f>"9780367520052"</f>
        <v>9780367520052</v>
      </c>
      <c r="F20648" s="2" t="str">
        <f>"9781000435085"</f>
        <v>9781000435085</v>
      </c>
    </row>
    <row r="20649" spans="1:6" s="3" customFormat="1" ht="29.1" customHeight="1" x14ac:dyDescent="0.25">
      <c r="A20649" s="2" t="s">
        <v>40509</v>
      </c>
      <c r="B20649" s="2" t="s">
        <v>40510</v>
      </c>
      <c r="C20649" s="2" t="s">
        <v>124</v>
      </c>
      <c r="D20649" s="2" t="s">
        <v>2307</v>
      </c>
      <c r="E20649" s="2" t="str">
        <f>"9780367769581"</f>
        <v>9780367769581</v>
      </c>
      <c r="F20649" s="2" t="str">
        <f>"9781000431735"</f>
        <v>9781000431735</v>
      </c>
    </row>
    <row r="20650" spans="1:6" s="3" customFormat="1" ht="29.1" customHeight="1" x14ac:dyDescent="0.25">
      <c r="A20650" s="2" t="s">
        <v>40511</v>
      </c>
      <c r="B20650" s="2" t="s">
        <v>40512</v>
      </c>
      <c r="C20650" s="2" t="s">
        <v>124</v>
      </c>
      <c r="D20650" s="2" t="s">
        <v>33184</v>
      </c>
      <c r="E20650" s="2" t="str">
        <f>"9780367721718"</f>
        <v>9780367721718</v>
      </c>
      <c r="F20650" s="2" t="str">
        <f>"9781000401318"</f>
        <v>9781000401318</v>
      </c>
    </row>
    <row r="20651" spans="1:6" s="3" customFormat="1" ht="29.1" customHeight="1" x14ac:dyDescent="0.25">
      <c r="A20651" s="2" t="s">
        <v>40513</v>
      </c>
      <c r="B20651" s="2" t="s">
        <v>40514</v>
      </c>
      <c r="C20651" s="2" t="s">
        <v>124</v>
      </c>
      <c r="D20651" s="2" t="s">
        <v>5383</v>
      </c>
      <c r="E20651" s="2" t="str">
        <f>"9780367431891"</f>
        <v>9780367431891</v>
      </c>
      <c r="F20651" s="2" t="str">
        <f>"9781000385199"</f>
        <v>9781000385199</v>
      </c>
    </row>
    <row r="20652" spans="1:6" s="3" customFormat="1" ht="29.1" customHeight="1" x14ac:dyDescent="0.25">
      <c r="A20652" s="2" t="s">
        <v>40515</v>
      </c>
      <c r="B20652" s="2" t="s">
        <v>40516</v>
      </c>
      <c r="C20652" s="2" t="s">
        <v>149</v>
      </c>
      <c r="D20652" s="2" t="s">
        <v>17547</v>
      </c>
      <c r="E20652" s="2" t="str">
        <f>"9781800640719"</f>
        <v>9781800640719</v>
      </c>
      <c r="F20652" s="2" t="str">
        <f>"9781800640733"</f>
        <v>9781800640733</v>
      </c>
    </row>
    <row r="20653" spans="1:6" s="3" customFormat="1" ht="29.1" customHeight="1" x14ac:dyDescent="0.25">
      <c r="A20653" s="2" t="s">
        <v>40517</v>
      </c>
      <c r="B20653" s="2" t="s">
        <v>40518</v>
      </c>
      <c r="C20653" s="2" t="s">
        <v>149</v>
      </c>
      <c r="D20653" s="2" t="s">
        <v>712</v>
      </c>
      <c r="E20653" s="2" t="str">
        <f>"9781800640597"</f>
        <v>9781800640597</v>
      </c>
      <c r="F20653" s="2" t="str">
        <f>"9781800640610"</f>
        <v>9781800640610</v>
      </c>
    </row>
    <row r="20654" spans="1:6" s="3" customFormat="1" ht="29.1" customHeight="1" x14ac:dyDescent="0.25">
      <c r="A20654" s="2" t="s">
        <v>40519</v>
      </c>
      <c r="B20654" s="2" t="s">
        <v>40520</v>
      </c>
      <c r="C20654" s="2" t="s">
        <v>556</v>
      </c>
      <c r="D20654" s="2" t="s">
        <v>674</v>
      </c>
      <c r="E20654" s="2" t="str">
        <f>"9783837656732"</f>
        <v>9783837656732</v>
      </c>
      <c r="F20654" s="2" t="str">
        <f>"9783839456736"</f>
        <v>9783839456736</v>
      </c>
    </row>
    <row r="20655" spans="1:6" s="3" customFormat="1" ht="29.1" customHeight="1" x14ac:dyDescent="0.25">
      <c r="A20655" s="2" t="s">
        <v>40521</v>
      </c>
      <c r="B20655" s="2" t="s">
        <v>40522</v>
      </c>
      <c r="C20655" s="2" t="s">
        <v>556</v>
      </c>
      <c r="D20655" s="2" t="s">
        <v>1944</v>
      </c>
      <c r="E20655" s="2" t="str">
        <f>"9783837656107"</f>
        <v>9783837656107</v>
      </c>
      <c r="F20655" s="2" t="str">
        <f>"9783839456101"</f>
        <v>9783839456101</v>
      </c>
    </row>
    <row r="20656" spans="1:6" s="3" customFormat="1" ht="29.1" customHeight="1" x14ac:dyDescent="0.25">
      <c r="A20656" s="2" t="s">
        <v>40523</v>
      </c>
      <c r="B20656" s="2" t="s">
        <v>40524</v>
      </c>
      <c r="C20656" s="2" t="s">
        <v>556</v>
      </c>
      <c r="D20656" s="2" t="s">
        <v>1557</v>
      </c>
      <c r="E20656" s="2" t="str">
        <f>"9783837655629"</f>
        <v>9783837655629</v>
      </c>
      <c r="F20656" s="2" t="str">
        <f>"9783839455623"</f>
        <v>9783839455623</v>
      </c>
    </row>
    <row r="20657" spans="1:6" s="3" customFormat="1" ht="29.1" customHeight="1" x14ac:dyDescent="0.25">
      <c r="A20657" s="2" t="s">
        <v>40525</v>
      </c>
      <c r="B20657" s="2" t="s">
        <v>40526</v>
      </c>
      <c r="C20657" s="2" t="s">
        <v>556</v>
      </c>
      <c r="D20657" s="2" t="s">
        <v>302</v>
      </c>
      <c r="E20657" s="2" t="str">
        <f>"9783837655483"</f>
        <v>9783837655483</v>
      </c>
      <c r="F20657" s="2" t="str">
        <f>"9783839455487"</f>
        <v>9783839455487</v>
      </c>
    </row>
    <row r="20658" spans="1:6" s="3" customFormat="1" ht="29.1" customHeight="1" x14ac:dyDescent="0.25">
      <c r="A20658" s="2" t="s">
        <v>40527</v>
      </c>
      <c r="B20658" s="2" t="s">
        <v>40528</v>
      </c>
      <c r="C20658" s="2" t="s">
        <v>556</v>
      </c>
      <c r="D20658" s="2" t="s">
        <v>712</v>
      </c>
      <c r="E20658" s="2" t="str">
        <f>"9783837654967"</f>
        <v>9783837654967</v>
      </c>
      <c r="F20658" s="2" t="str">
        <f>"9783839454961"</f>
        <v>9783839454961</v>
      </c>
    </row>
    <row r="20659" spans="1:6" s="3" customFormat="1" ht="29.1" customHeight="1" x14ac:dyDescent="0.25">
      <c r="A20659" s="2" t="s">
        <v>40529</v>
      </c>
      <c r="B20659" s="2" t="s">
        <v>30650</v>
      </c>
      <c r="C20659" s="2" t="s">
        <v>556</v>
      </c>
      <c r="D20659" s="2" t="s">
        <v>144</v>
      </c>
      <c r="E20659" s="2" t="str">
        <f>"9783837654721"</f>
        <v>9783837654721</v>
      </c>
      <c r="F20659" s="2" t="str">
        <f>"9783839454725"</f>
        <v>9783839454725</v>
      </c>
    </row>
    <row r="20660" spans="1:6" s="3" customFormat="1" ht="29.1" customHeight="1" x14ac:dyDescent="0.25">
      <c r="A20660" s="2" t="s">
        <v>40530</v>
      </c>
      <c r="B20660" s="2" t="s">
        <v>40531</v>
      </c>
      <c r="C20660" s="2" t="s">
        <v>556</v>
      </c>
      <c r="D20660" s="2" t="s">
        <v>2822</v>
      </c>
      <c r="E20660" s="2" t="str">
        <f>"9783837654400"</f>
        <v>9783837654400</v>
      </c>
      <c r="F20660" s="2" t="str">
        <f>"9783839454404"</f>
        <v>9783839454404</v>
      </c>
    </row>
    <row r="20661" spans="1:6" s="3" customFormat="1" ht="29.1" customHeight="1" x14ac:dyDescent="0.25">
      <c r="A20661" s="2" t="s">
        <v>40532</v>
      </c>
      <c r="B20661" s="2" t="s">
        <v>6787</v>
      </c>
      <c r="C20661" s="2" t="s">
        <v>556</v>
      </c>
      <c r="D20661" s="2" t="s">
        <v>37</v>
      </c>
      <c r="E20661" s="2" t="str">
        <f>"9783837652550"</f>
        <v>9783837652550</v>
      </c>
      <c r="F20661" s="2" t="str">
        <f>"9783839452554"</f>
        <v>9783839452554</v>
      </c>
    </row>
    <row r="20662" spans="1:6" s="3" customFormat="1" ht="29.1" customHeight="1" x14ac:dyDescent="0.25">
      <c r="A20662" s="2" t="s">
        <v>40533</v>
      </c>
      <c r="B20662" s="2" t="s">
        <v>40534</v>
      </c>
      <c r="C20662" s="2" t="s">
        <v>595</v>
      </c>
      <c r="D20662" s="2" t="s">
        <v>916</v>
      </c>
      <c r="E20662" s="2" t="str">
        <f>"9783631818589"</f>
        <v>9783631818589</v>
      </c>
      <c r="F20662" s="2" t="str">
        <f>"9783631846636"</f>
        <v>9783631846636</v>
      </c>
    </row>
    <row r="20663" spans="1:6" s="3" customFormat="1" ht="29.1" customHeight="1" x14ac:dyDescent="0.25">
      <c r="A20663" s="2" t="s">
        <v>40535</v>
      </c>
      <c r="B20663" s="2" t="s">
        <v>40537</v>
      </c>
      <c r="C20663" s="2" t="s">
        <v>595</v>
      </c>
      <c r="D20663" s="2" t="s">
        <v>40536</v>
      </c>
      <c r="E20663" s="2" t="str">
        <f>"9783631839812"</f>
        <v>9783631839812</v>
      </c>
      <c r="F20663" s="2" t="str">
        <f>"9783631843949"</f>
        <v>9783631843949</v>
      </c>
    </row>
    <row r="20664" spans="1:6" s="3" customFormat="1" ht="29.1" customHeight="1" x14ac:dyDescent="0.25">
      <c r="A20664" s="2" t="s">
        <v>1298</v>
      </c>
      <c r="B20664" s="2" t="s">
        <v>40538</v>
      </c>
      <c r="C20664" s="2" t="s">
        <v>1070</v>
      </c>
      <c r="D20664" s="2" t="s">
        <v>1299</v>
      </c>
      <c r="E20664" s="2" t="str">
        <f>"9783318068009"</f>
        <v>9783318068009</v>
      </c>
      <c r="F20664" s="2" t="str">
        <f>"9783318068016"</f>
        <v>9783318068016</v>
      </c>
    </row>
    <row r="20665" spans="1:6" s="3" customFormat="1" ht="29.1" customHeight="1" x14ac:dyDescent="0.25">
      <c r="A20665" s="2" t="s">
        <v>40539</v>
      </c>
      <c r="B20665" s="2" t="s">
        <v>40540</v>
      </c>
      <c r="C20665" s="2" t="s">
        <v>327</v>
      </c>
      <c r="D20665" s="2" t="s">
        <v>92</v>
      </c>
      <c r="E20665" s="2" t="str">
        <f>"9788382202885"</f>
        <v>9788382202885</v>
      </c>
      <c r="F20665" s="2" t="str">
        <f>"9788382202892"</f>
        <v>9788382202892</v>
      </c>
    </row>
    <row r="20666" spans="1:6" s="3" customFormat="1" ht="29.1" customHeight="1" x14ac:dyDescent="0.25">
      <c r="A20666" s="2" t="s">
        <v>40541</v>
      </c>
      <c r="B20666" s="2" t="s">
        <v>40542</v>
      </c>
      <c r="C20666" s="2" t="s">
        <v>29</v>
      </c>
      <c r="D20666" s="2" t="s">
        <v>210</v>
      </c>
      <c r="E20666" s="2" t="str">
        <f>"9789024722747"</f>
        <v>9789024722747</v>
      </c>
      <c r="F20666" s="2" t="str">
        <f>"9789401771504"</f>
        <v>9789401771504</v>
      </c>
    </row>
    <row r="20667" spans="1:6" s="3" customFormat="1" ht="29.1" customHeight="1" x14ac:dyDescent="0.25">
      <c r="A20667" s="2" t="s">
        <v>40543</v>
      </c>
      <c r="B20667" s="2" t="s">
        <v>40544</v>
      </c>
      <c r="C20667" s="2" t="s">
        <v>29</v>
      </c>
      <c r="D20667" s="2" t="s">
        <v>210</v>
      </c>
      <c r="E20667" s="2" t="str">
        <f>"9789024717873"</f>
        <v>9789024717873</v>
      </c>
      <c r="F20667" s="2" t="str">
        <f>"9789401749022"</f>
        <v>9789401749022</v>
      </c>
    </row>
    <row r="20668" spans="1:6" s="3" customFormat="1" ht="29.1" customHeight="1" x14ac:dyDescent="0.25">
      <c r="A20668" s="2" t="s">
        <v>40545</v>
      </c>
      <c r="B20668" s="2" t="s">
        <v>40546</v>
      </c>
      <c r="C20668" s="2" t="s">
        <v>29</v>
      </c>
      <c r="D20668" s="2" t="s">
        <v>210</v>
      </c>
      <c r="E20668" s="2" t="str">
        <f>"9789024707812"</f>
        <v>9789024707812</v>
      </c>
      <c r="F20668" s="2" t="str">
        <f>"9789401747103"</f>
        <v>9789401747103</v>
      </c>
    </row>
    <row r="20669" spans="1:6" s="3" customFormat="1" ht="29.1" customHeight="1" x14ac:dyDescent="0.25">
      <c r="A20669" s="2" t="s">
        <v>40547</v>
      </c>
      <c r="B20669" s="2" t="s">
        <v>40548</v>
      </c>
      <c r="C20669" s="2" t="s">
        <v>29</v>
      </c>
      <c r="D20669" s="2" t="s">
        <v>210</v>
      </c>
      <c r="E20669" s="2" t="str">
        <f>"9789024724635"</f>
        <v>9789024724635</v>
      </c>
      <c r="F20669" s="2" t="str">
        <f>"9789401733472"</f>
        <v>9789401733472</v>
      </c>
    </row>
    <row r="20670" spans="1:6" s="3" customFormat="1" ht="29.1" customHeight="1" x14ac:dyDescent="0.25">
      <c r="A20670" s="2" t="s">
        <v>40549</v>
      </c>
      <c r="B20670" s="2" t="s">
        <v>40550</v>
      </c>
      <c r="C20670" s="2" t="s">
        <v>29</v>
      </c>
      <c r="D20670" s="2" t="s">
        <v>4700</v>
      </c>
      <c r="E20670" s="2" t="str">
        <f>"9789024721979"</f>
        <v>9789024721979</v>
      </c>
      <c r="F20670" s="2" t="str">
        <f>"9789401728003"</f>
        <v>9789401728003</v>
      </c>
    </row>
    <row r="20671" spans="1:6" s="3" customFormat="1" ht="29.1" customHeight="1" x14ac:dyDescent="0.25">
      <c r="A20671" s="2" t="s">
        <v>40551</v>
      </c>
      <c r="B20671" s="2" t="s">
        <v>18981</v>
      </c>
      <c r="C20671" s="2" t="s">
        <v>29</v>
      </c>
      <c r="D20671" s="2" t="s">
        <v>210</v>
      </c>
      <c r="E20671" s="2" t="str">
        <f>"9789024718764"</f>
        <v>9789024718764</v>
      </c>
      <c r="F20671" s="2" t="str">
        <f>"9789401571876"</f>
        <v>9789401571876</v>
      </c>
    </row>
    <row r="20672" spans="1:6" s="3" customFormat="1" ht="29.1" customHeight="1" x14ac:dyDescent="0.25">
      <c r="A20672" s="2" t="s">
        <v>40552</v>
      </c>
      <c r="B20672" s="2" t="s">
        <v>40553</v>
      </c>
      <c r="C20672" s="2" t="s">
        <v>29</v>
      </c>
      <c r="D20672" s="2" t="s">
        <v>509</v>
      </c>
      <c r="E20672" s="2" t="str">
        <f>"9789024717163"</f>
        <v>9789024717163</v>
      </c>
      <c r="F20672" s="2" t="str">
        <f>"9789401177849"</f>
        <v>9789401177849</v>
      </c>
    </row>
    <row r="20673" spans="1:6" s="3" customFormat="1" ht="29.1" customHeight="1" x14ac:dyDescent="0.25">
      <c r="A20673" s="2" t="s">
        <v>40554</v>
      </c>
      <c r="B20673" s="2" t="s">
        <v>40555</v>
      </c>
      <c r="C20673" s="2" t="s">
        <v>29</v>
      </c>
      <c r="D20673" s="2" t="s">
        <v>210</v>
      </c>
      <c r="E20673" s="2" t="str">
        <f>"9789024724987"</f>
        <v>9789024724987</v>
      </c>
      <c r="F20673" s="2" t="str">
        <f>"9789401168069"</f>
        <v>9789401168069</v>
      </c>
    </row>
    <row r="20674" spans="1:6" s="3" customFormat="1" ht="29.1" customHeight="1" x14ac:dyDescent="0.25">
      <c r="A20674" s="2" t="s">
        <v>40556</v>
      </c>
      <c r="B20674" s="2" t="s">
        <v>40557</v>
      </c>
      <c r="C20674" s="2" t="s">
        <v>29</v>
      </c>
      <c r="D20674" s="2" t="s">
        <v>12504</v>
      </c>
      <c r="E20674" s="2" t="str">
        <f>"9789086863570"</f>
        <v>9789086863570</v>
      </c>
      <c r="F20674" s="2" t="str">
        <f>"9789086869107"</f>
        <v>9789086869107</v>
      </c>
    </row>
    <row r="20675" spans="1:6" s="3" customFormat="1" ht="29.1" customHeight="1" x14ac:dyDescent="0.25">
      <c r="A20675" s="2" t="s">
        <v>40558</v>
      </c>
      <c r="B20675" s="2" t="s">
        <v>40559</v>
      </c>
      <c r="C20675" s="2" t="s">
        <v>124</v>
      </c>
      <c r="D20675" s="2" t="s">
        <v>1840</v>
      </c>
      <c r="E20675" s="2" t="str">
        <f>"9781032020624"</f>
        <v>9781032020624</v>
      </c>
      <c r="F20675" s="2" t="str">
        <f>"9781000416602"</f>
        <v>9781000416602</v>
      </c>
    </row>
    <row r="20676" spans="1:6" s="3" customFormat="1" ht="29.1" customHeight="1" x14ac:dyDescent="0.25">
      <c r="A20676" s="2" t="s">
        <v>40560</v>
      </c>
      <c r="B20676" s="2" t="s">
        <v>40561</v>
      </c>
      <c r="C20676" s="2" t="s">
        <v>124</v>
      </c>
      <c r="D20676" s="2" t="s">
        <v>694</v>
      </c>
      <c r="E20676" s="2" t="str">
        <f>"9780367682668"</f>
        <v>9780367682668</v>
      </c>
      <c r="F20676" s="2" t="str">
        <f>"9781000432305"</f>
        <v>9781000432305</v>
      </c>
    </row>
    <row r="20677" spans="1:6" s="3" customFormat="1" ht="29.1" customHeight="1" x14ac:dyDescent="0.25">
      <c r="A20677" s="2" t="s">
        <v>40562</v>
      </c>
      <c r="B20677" s="2" t="s">
        <v>40563</v>
      </c>
      <c r="C20677" s="2" t="s">
        <v>124</v>
      </c>
      <c r="D20677" s="2" t="s">
        <v>689</v>
      </c>
      <c r="E20677" s="2" t="str">
        <f>"9780367407148"</f>
        <v>9780367407148</v>
      </c>
      <c r="F20677" s="2" t="str">
        <f>"9780367810153"</f>
        <v>9780367810153</v>
      </c>
    </row>
    <row r="20678" spans="1:6" s="3" customFormat="1" ht="29.1" customHeight="1" x14ac:dyDescent="0.25">
      <c r="A20678" s="2" t="s">
        <v>40564</v>
      </c>
      <c r="B20678" s="2" t="s">
        <v>40565</v>
      </c>
      <c r="C20678" s="2" t="s">
        <v>36</v>
      </c>
      <c r="D20678" s="2" t="s">
        <v>6559</v>
      </c>
      <c r="E20678" s="2" t="str">
        <f>"9781529217285"</f>
        <v>9781529217285</v>
      </c>
      <c r="F20678" s="2" t="str">
        <f>"9781529217315"</f>
        <v>9781529217315</v>
      </c>
    </row>
    <row r="20679" spans="1:6" s="3" customFormat="1" ht="29.1" customHeight="1" x14ac:dyDescent="0.25">
      <c r="A20679" s="2" t="s">
        <v>40566</v>
      </c>
      <c r="B20679" s="2" t="s">
        <v>34303</v>
      </c>
      <c r="C20679" s="2" t="s">
        <v>195</v>
      </c>
      <c r="D20679" s="2" t="s">
        <v>370</v>
      </c>
      <c r="E20679" s="2" t="str">
        <f>"9782759825448"</f>
        <v>9782759825448</v>
      </c>
      <c r="F20679" s="2" t="str">
        <f>"9782759826124"</f>
        <v>9782759826124</v>
      </c>
    </row>
    <row r="20680" spans="1:6" s="3" customFormat="1" ht="29.1" customHeight="1" x14ac:dyDescent="0.25">
      <c r="A20680" s="2" t="s">
        <v>40567</v>
      </c>
      <c r="B20680" s="2" t="s">
        <v>40568</v>
      </c>
      <c r="C20680" s="2" t="s">
        <v>124</v>
      </c>
      <c r="D20680" s="2" t="s">
        <v>1895</v>
      </c>
      <c r="E20680" s="2" t="str">
        <f>"9780367683368"</f>
        <v>9780367683368</v>
      </c>
      <c r="F20680" s="2" t="str">
        <f>"9781000378610"</f>
        <v>9781000378610</v>
      </c>
    </row>
    <row r="20681" spans="1:6" s="3" customFormat="1" ht="29.1" customHeight="1" x14ac:dyDescent="0.25">
      <c r="A20681" s="2" t="s">
        <v>40569</v>
      </c>
      <c r="B20681" s="2" t="s">
        <v>40570</v>
      </c>
      <c r="C20681" s="2" t="s">
        <v>595</v>
      </c>
      <c r="D20681" s="2" t="s">
        <v>324</v>
      </c>
      <c r="E20681" s="2" t="str">
        <f>"9781433172106"</f>
        <v>9781433172106</v>
      </c>
      <c r="F20681" s="2" t="str">
        <f>"9781433172076"</f>
        <v>9781433172076</v>
      </c>
    </row>
    <row r="20682" spans="1:6" s="3" customFormat="1" ht="29.1" customHeight="1" x14ac:dyDescent="0.25">
      <c r="A20682" s="2" t="s">
        <v>40571</v>
      </c>
      <c r="B20682" s="2" t="s">
        <v>40572</v>
      </c>
      <c r="C20682" s="2" t="s">
        <v>556</v>
      </c>
      <c r="D20682" s="2" t="s">
        <v>689</v>
      </c>
      <c r="E20682" s="2" t="str">
        <f>"9783837656725"</f>
        <v>9783837656725</v>
      </c>
      <c r="F20682" s="2" t="str">
        <f>"9783839456729"</f>
        <v>9783839456729</v>
      </c>
    </row>
    <row r="20683" spans="1:6" s="3" customFormat="1" ht="29.1" customHeight="1" x14ac:dyDescent="0.25">
      <c r="A20683" s="2" t="s">
        <v>40573</v>
      </c>
      <c r="B20683" s="2" t="s">
        <v>40574</v>
      </c>
      <c r="C20683" s="2" t="s">
        <v>556</v>
      </c>
      <c r="D20683" s="2" t="s">
        <v>13208</v>
      </c>
      <c r="E20683" s="2" t="str">
        <f>"9783837655780"</f>
        <v>9783837655780</v>
      </c>
      <c r="F20683" s="2" t="str">
        <f>"9783839455784"</f>
        <v>9783839455784</v>
      </c>
    </row>
    <row r="20684" spans="1:6" s="3" customFormat="1" ht="29.1" customHeight="1" x14ac:dyDescent="0.25">
      <c r="A20684" s="2" t="s">
        <v>40575</v>
      </c>
      <c r="B20684" s="2" t="s">
        <v>40576</v>
      </c>
      <c r="C20684" s="2" t="s">
        <v>556</v>
      </c>
      <c r="D20684" s="2" t="s">
        <v>2985</v>
      </c>
      <c r="E20684" s="2" t="str">
        <f>"9783837655605"</f>
        <v>9783837655605</v>
      </c>
      <c r="F20684" s="2" t="str">
        <f>"9783839455609"</f>
        <v>9783839455609</v>
      </c>
    </row>
    <row r="20685" spans="1:6" s="3" customFormat="1" ht="29.1" customHeight="1" x14ac:dyDescent="0.25">
      <c r="A20685" s="2" t="s">
        <v>40577</v>
      </c>
      <c r="B20685" s="2" t="s">
        <v>40578</v>
      </c>
      <c r="C20685" s="2" t="s">
        <v>556</v>
      </c>
      <c r="D20685" s="2" t="s">
        <v>712</v>
      </c>
      <c r="E20685" s="2" t="str">
        <f>"9783837654899"</f>
        <v>9783837654899</v>
      </c>
      <c r="F20685" s="2" t="str">
        <f>"9783839454893"</f>
        <v>9783839454893</v>
      </c>
    </row>
    <row r="20686" spans="1:6" s="3" customFormat="1" ht="29.1" customHeight="1" x14ac:dyDescent="0.25">
      <c r="A20686" s="2" t="s">
        <v>40579</v>
      </c>
      <c r="B20686" s="2" t="s">
        <v>40580</v>
      </c>
      <c r="C20686" s="2" t="s">
        <v>556</v>
      </c>
      <c r="D20686" s="2" t="s">
        <v>636</v>
      </c>
      <c r="E20686" s="2" t="str">
        <f>"9783837651898"</f>
        <v>9783837651898</v>
      </c>
      <c r="F20686" s="2" t="str">
        <f>"9783839451892"</f>
        <v>9783839451892</v>
      </c>
    </row>
    <row r="20687" spans="1:6" s="3" customFormat="1" ht="29.1" customHeight="1" x14ac:dyDescent="0.25">
      <c r="A20687" s="2" t="s">
        <v>40581</v>
      </c>
      <c r="B20687" s="2" t="s">
        <v>40582</v>
      </c>
      <c r="C20687" s="2" t="s">
        <v>149</v>
      </c>
      <c r="D20687" s="2" t="s">
        <v>465</v>
      </c>
      <c r="E20687" s="2" t="str">
        <f>"9781800640238"</f>
        <v>9781800640238</v>
      </c>
      <c r="F20687" s="2" t="str">
        <f>"9781800640252"</f>
        <v>9781800640252</v>
      </c>
    </row>
    <row r="20688" spans="1:6" s="3" customFormat="1" ht="29.1" customHeight="1" x14ac:dyDescent="0.25">
      <c r="A20688" s="2" t="s">
        <v>40583</v>
      </c>
      <c r="B20688" s="2" t="s">
        <v>40584</v>
      </c>
      <c r="C20688" s="2" t="s">
        <v>264</v>
      </c>
      <c r="D20688" s="2" t="s">
        <v>2391</v>
      </c>
      <c r="E20688" s="2" t="str">
        <f>"9781032038308"</f>
        <v>9781032038308</v>
      </c>
      <c r="F20688" s="2" t="str">
        <f>"9781000416008"</f>
        <v>9781000416008</v>
      </c>
    </row>
    <row r="20689" spans="1:6" s="3" customFormat="1" ht="29.1" customHeight="1" x14ac:dyDescent="0.25">
      <c r="A20689" s="2" t="s">
        <v>40585</v>
      </c>
      <c r="B20689" s="2" t="s">
        <v>40586</v>
      </c>
      <c r="C20689" s="2" t="s">
        <v>124</v>
      </c>
      <c r="D20689" s="2" t="s">
        <v>6128</v>
      </c>
      <c r="E20689" s="2" t="str">
        <f>"9780367690762"</f>
        <v>9780367690762</v>
      </c>
      <c r="F20689" s="2" t="str">
        <f>"9781000430325"</f>
        <v>9781000430325</v>
      </c>
    </row>
    <row r="20690" spans="1:6" s="3" customFormat="1" ht="29.1" customHeight="1" x14ac:dyDescent="0.25">
      <c r="A20690" s="2" t="s">
        <v>40587</v>
      </c>
      <c r="B20690" s="2" t="s">
        <v>40588</v>
      </c>
      <c r="C20690" s="2" t="s">
        <v>124</v>
      </c>
      <c r="D20690" s="2" t="s">
        <v>868</v>
      </c>
      <c r="E20690" s="2" t="str">
        <f>"9781032015439"</f>
        <v>9781032015439</v>
      </c>
      <c r="F20690" s="2" t="str">
        <f>"9781000430745"</f>
        <v>9781000430745</v>
      </c>
    </row>
    <row r="20691" spans="1:6" s="3" customFormat="1" ht="29.1" customHeight="1" x14ac:dyDescent="0.25">
      <c r="A20691" s="2" t="s">
        <v>40589</v>
      </c>
      <c r="B20691" s="2" t="s">
        <v>40590</v>
      </c>
      <c r="C20691" s="2" t="s">
        <v>3169</v>
      </c>
      <c r="D20691" s="2" t="s">
        <v>4582</v>
      </c>
      <c r="E20691" s="2" t="str">
        <f>"9781580469814"</f>
        <v>9781580469814</v>
      </c>
      <c r="F20691" s="2" t="str">
        <f>"9781787448322"</f>
        <v>9781787448322</v>
      </c>
    </row>
    <row r="20692" spans="1:6" s="3" customFormat="1" ht="29.1" customHeight="1" x14ac:dyDescent="0.25">
      <c r="A20692" s="2" t="s">
        <v>40591</v>
      </c>
      <c r="B20692" s="2" t="s">
        <v>40592</v>
      </c>
      <c r="C20692" s="2" t="s">
        <v>27396</v>
      </c>
      <c r="D20692" s="2" t="s">
        <v>689</v>
      </c>
      <c r="E20692" s="2" t="str">
        <f>"9783161601200"</f>
        <v>9783161601200</v>
      </c>
      <c r="F20692" s="2" t="str">
        <f>"9783161601217"</f>
        <v>9783161601217</v>
      </c>
    </row>
    <row r="20693" spans="1:6" s="3" customFormat="1" ht="29.1" customHeight="1" x14ac:dyDescent="0.25">
      <c r="A20693" s="2" t="s">
        <v>40593</v>
      </c>
      <c r="B20693" s="2" t="s">
        <v>40594</v>
      </c>
      <c r="C20693" s="2" t="s">
        <v>27396</v>
      </c>
      <c r="D20693" s="2" t="s">
        <v>462</v>
      </c>
      <c r="E20693" s="2" t="str">
        <f>"9783161599569"</f>
        <v>9783161599569</v>
      </c>
      <c r="F20693" s="2" t="str">
        <f>"9783161599576"</f>
        <v>9783161599576</v>
      </c>
    </row>
    <row r="20694" spans="1:6" s="3" customFormat="1" ht="29.1" customHeight="1" x14ac:dyDescent="0.25">
      <c r="A20694" s="2" t="s">
        <v>40595</v>
      </c>
      <c r="B20694" s="2" t="s">
        <v>40594</v>
      </c>
      <c r="C20694" s="2" t="s">
        <v>27396</v>
      </c>
      <c r="D20694" s="2" t="s">
        <v>462</v>
      </c>
      <c r="E20694" s="2" t="str">
        <f>"9783161599583"</f>
        <v>9783161599583</v>
      </c>
      <c r="F20694" s="2" t="str">
        <f>"9783161599590"</f>
        <v>9783161599590</v>
      </c>
    </row>
    <row r="20695" spans="1:6" s="3" customFormat="1" ht="29.1" customHeight="1" x14ac:dyDescent="0.25">
      <c r="A20695" s="2" t="s">
        <v>40596</v>
      </c>
      <c r="B20695" s="2" t="s">
        <v>40597</v>
      </c>
      <c r="C20695" s="2" t="s">
        <v>27396</v>
      </c>
      <c r="D20695" s="2" t="s">
        <v>509</v>
      </c>
      <c r="E20695" s="2" t="str">
        <f>"9783161600395"</f>
        <v>9783161600395</v>
      </c>
      <c r="F20695" s="2" t="str">
        <f>"9783161600401"</f>
        <v>9783161600401</v>
      </c>
    </row>
    <row r="20696" spans="1:6" s="3" customFormat="1" ht="29.1" customHeight="1" x14ac:dyDescent="0.25">
      <c r="A20696" s="2" t="s">
        <v>40598</v>
      </c>
      <c r="B20696" s="2" t="s">
        <v>40599</v>
      </c>
      <c r="C20696" s="2" t="s">
        <v>27396</v>
      </c>
      <c r="D20696" s="2" t="s">
        <v>4071</v>
      </c>
      <c r="E20696" s="2" t="str">
        <f>"9783161593208"</f>
        <v>9783161593208</v>
      </c>
      <c r="F20696" s="2" t="str">
        <f>"9783161601613"</f>
        <v>9783161601613</v>
      </c>
    </row>
    <row r="20697" spans="1:6" s="3" customFormat="1" ht="29.1" customHeight="1" x14ac:dyDescent="0.25">
      <c r="A20697" s="2" t="s">
        <v>40600</v>
      </c>
      <c r="B20697" s="2" t="s">
        <v>40601</v>
      </c>
      <c r="C20697" s="2" t="s">
        <v>2129</v>
      </c>
      <c r="D20697" s="2" t="s">
        <v>215</v>
      </c>
      <c r="E20697" s="2" t="str">
        <f>"9781438486444"</f>
        <v>9781438486444</v>
      </c>
      <c r="F20697" s="2" t="str">
        <f>"9781438486468"</f>
        <v>9781438486468</v>
      </c>
    </row>
    <row r="20698" spans="1:6" s="3" customFormat="1" ht="29.1" customHeight="1" x14ac:dyDescent="0.25">
      <c r="A20698" s="2" t="s">
        <v>40602</v>
      </c>
      <c r="B20698" s="2" t="s">
        <v>40603</v>
      </c>
      <c r="C20698" s="2" t="s">
        <v>62</v>
      </c>
      <c r="D20698" s="2" t="s">
        <v>78</v>
      </c>
      <c r="E20698" s="2" t="str">
        <f>"9783428182008"</f>
        <v>9783428182008</v>
      </c>
      <c r="F20698" s="2" t="str">
        <f>"9783428582006"</f>
        <v>9783428582006</v>
      </c>
    </row>
    <row r="20699" spans="1:6" s="3" customFormat="1" ht="29.1" customHeight="1" x14ac:dyDescent="0.25">
      <c r="A20699" s="2" t="s">
        <v>40604</v>
      </c>
      <c r="B20699" s="2" t="s">
        <v>40605</v>
      </c>
      <c r="C20699" s="2" t="s">
        <v>27396</v>
      </c>
      <c r="D20699" s="2" t="s">
        <v>2551</v>
      </c>
      <c r="E20699" s="2" t="str">
        <f>"9783161601880"</f>
        <v>9783161601880</v>
      </c>
      <c r="F20699" s="2" t="str">
        <f>"9783161601897"</f>
        <v>9783161601897</v>
      </c>
    </row>
    <row r="20700" spans="1:6" s="3" customFormat="1" ht="29.1" customHeight="1" x14ac:dyDescent="0.25">
      <c r="A20700" s="2" t="s">
        <v>40606</v>
      </c>
      <c r="B20700" s="2" t="s">
        <v>40607</v>
      </c>
      <c r="C20700" s="2" t="s">
        <v>195</v>
      </c>
      <c r="D20700" s="2" t="s">
        <v>446</v>
      </c>
      <c r="E20700" s="2" t="str">
        <f>"9783110601237"</f>
        <v>9783110601237</v>
      </c>
      <c r="F20700" s="2" t="str">
        <f>"9783110600377"</f>
        <v>9783110600377</v>
      </c>
    </row>
    <row r="20701" spans="1:6" s="3" customFormat="1" ht="29.1" customHeight="1" x14ac:dyDescent="0.25">
      <c r="A20701" s="2" t="s">
        <v>40608</v>
      </c>
      <c r="B20701" s="2" t="s">
        <v>40609</v>
      </c>
      <c r="C20701" s="2" t="s">
        <v>124</v>
      </c>
      <c r="D20701" s="2" t="s">
        <v>189</v>
      </c>
      <c r="E20701" s="2" t="str">
        <f>"9780367758363"</f>
        <v>9780367758363</v>
      </c>
      <c r="F20701" s="2" t="str">
        <f>"9781000423365"</f>
        <v>9781000423365</v>
      </c>
    </row>
    <row r="20702" spans="1:6" s="3" customFormat="1" ht="29.1" customHeight="1" x14ac:dyDescent="0.25">
      <c r="A20702" s="2" t="s">
        <v>40610</v>
      </c>
      <c r="B20702" s="2" t="s">
        <v>40611</v>
      </c>
      <c r="C20702" s="2" t="s">
        <v>124</v>
      </c>
      <c r="D20702" s="2" t="s">
        <v>2513</v>
      </c>
      <c r="E20702" s="2" t="str">
        <f>"9781032041247"</f>
        <v>9781032041247</v>
      </c>
      <c r="F20702" s="2" t="str">
        <f>"9781000425864"</f>
        <v>9781000425864</v>
      </c>
    </row>
    <row r="20703" spans="1:6" s="3" customFormat="1" ht="29.1" customHeight="1" x14ac:dyDescent="0.25">
      <c r="A20703" s="2" t="s">
        <v>40612</v>
      </c>
      <c r="B20703" s="2" t="s">
        <v>40613</v>
      </c>
      <c r="C20703" s="2" t="s">
        <v>124</v>
      </c>
      <c r="D20703" s="2" t="s">
        <v>81</v>
      </c>
      <c r="E20703" s="2" t="str">
        <f>"9780367767334"</f>
        <v>9780367767334</v>
      </c>
      <c r="F20703" s="2" t="str">
        <f>"9781000424645"</f>
        <v>9781000424645</v>
      </c>
    </row>
    <row r="20704" spans="1:6" s="3" customFormat="1" ht="29.1" customHeight="1" x14ac:dyDescent="0.25">
      <c r="A20704" s="2" t="s">
        <v>40614</v>
      </c>
      <c r="B20704" s="2" t="s">
        <v>12078</v>
      </c>
      <c r="C20704" s="2" t="s">
        <v>124</v>
      </c>
      <c r="D20704" s="2" t="s">
        <v>490</v>
      </c>
      <c r="E20704" s="2" t="str">
        <f>"9780367694548"</f>
        <v>9780367694548</v>
      </c>
      <c r="F20704" s="2" t="str">
        <f>"9781000417111"</f>
        <v>9781000417111</v>
      </c>
    </row>
    <row r="20705" spans="1:6" s="3" customFormat="1" ht="29.1" customHeight="1" x14ac:dyDescent="0.25">
      <c r="A20705" s="2" t="s">
        <v>40615</v>
      </c>
      <c r="B20705" s="2" t="s">
        <v>40616</v>
      </c>
      <c r="C20705" s="2" t="s">
        <v>124</v>
      </c>
      <c r="D20705" s="2" t="s">
        <v>297</v>
      </c>
      <c r="E20705" s="2" t="str">
        <f>"9780367742133"</f>
        <v>9780367742133</v>
      </c>
      <c r="F20705" s="2" t="str">
        <f>"9781000424874"</f>
        <v>9781000424874</v>
      </c>
    </row>
    <row r="20706" spans="1:6" s="3" customFormat="1" ht="29.1" customHeight="1" x14ac:dyDescent="0.25">
      <c r="A20706" s="2" t="s">
        <v>40617</v>
      </c>
      <c r="B20706" s="2" t="s">
        <v>40618</v>
      </c>
      <c r="C20706" s="2" t="s">
        <v>124</v>
      </c>
      <c r="D20706" s="2" t="s">
        <v>378</v>
      </c>
      <c r="E20706" s="2" t="str">
        <f>"9780367749095"</f>
        <v>9780367749095</v>
      </c>
      <c r="F20706" s="2" t="str">
        <f>"9781000418385"</f>
        <v>9781000418385</v>
      </c>
    </row>
    <row r="20707" spans="1:6" s="3" customFormat="1" ht="29.1" customHeight="1" x14ac:dyDescent="0.25">
      <c r="A20707" s="2" t="s">
        <v>40619</v>
      </c>
      <c r="B20707" s="2" t="s">
        <v>40620</v>
      </c>
      <c r="C20707" s="2" t="s">
        <v>124</v>
      </c>
      <c r="D20707" s="2" t="s">
        <v>3155</v>
      </c>
      <c r="E20707" s="2" t="str">
        <f>"9780367639617"</f>
        <v>9780367639617</v>
      </c>
      <c r="F20707" s="2" t="str">
        <f>"9781000421712"</f>
        <v>9781000421712</v>
      </c>
    </row>
    <row r="20708" spans="1:6" s="3" customFormat="1" ht="29.1" customHeight="1" x14ac:dyDescent="0.25">
      <c r="A20708" s="2" t="s">
        <v>40621</v>
      </c>
      <c r="B20708" s="2" t="s">
        <v>40622</v>
      </c>
      <c r="C20708" s="2" t="s">
        <v>149</v>
      </c>
      <c r="D20708" s="2" t="s">
        <v>11274</v>
      </c>
      <c r="E20708" s="2" t="str">
        <f>"9781800641075"</f>
        <v>9781800641075</v>
      </c>
      <c r="F20708" s="2" t="str">
        <f>"9781800641099"</f>
        <v>9781800641099</v>
      </c>
    </row>
    <row r="20709" spans="1:6" s="3" customFormat="1" ht="29.1" customHeight="1" x14ac:dyDescent="0.25">
      <c r="A20709" s="2" t="s">
        <v>40623</v>
      </c>
      <c r="B20709" s="2" t="s">
        <v>40624</v>
      </c>
      <c r="C20709" s="2" t="s">
        <v>36</v>
      </c>
      <c r="D20709" s="2" t="s">
        <v>2587</v>
      </c>
      <c r="E20709" s="2" t="str">
        <f>"9781529204827"</f>
        <v>9781529204827</v>
      </c>
      <c r="F20709" s="2" t="str">
        <f>"9781529204834"</f>
        <v>9781529204834</v>
      </c>
    </row>
    <row r="20710" spans="1:6" s="3" customFormat="1" ht="29.1" customHeight="1" x14ac:dyDescent="0.25">
      <c r="A20710" s="2" t="s">
        <v>40625</v>
      </c>
      <c r="B20710" s="2" t="s">
        <v>40626</v>
      </c>
      <c r="C20710" s="2" t="s">
        <v>927</v>
      </c>
      <c r="D20710" s="2" t="s">
        <v>297</v>
      </c>
      <c r="E20710" s="2" t="str">
        <f>"9780472132362"</f>
        <v>9780472132362</v>
      </c>
      <c r="F20710" s="2" t="str">
        <f>"9780472128570"</f>
        <v>9780472128570</v>
      </c>
    </row>
    <row r="20711" spans="1:6" s="3" customFormat="1" ht="29.1" customHeight="1" x14ac:dyDescent="0.25">
      <c r="A20711" s="2" t="s">
        <v>1291</v>
      </c>
      <c r="B20711" s="2" t="s">
        <v>40627</v>
      </c>
      <c r="C20711" s="2" t="s">
        <v>1070</v>
      </c>
      <c r="D20711" s="2" t="s">
        <v>1292</v>
      </c>
      <c r="E20711" s="2" t="str">
        <f>"9783318068184"</f>
        <v>9783318068184</v>
      </c>
      <c r="F20711" s="2" t="str">
        <f>"9783318068191"</f>
        <v>9783318068191</v>
      </c>
    </row>
    <row r="20712" spans="1:6" s="3" customFormat="1" ht="29.1" customHeight="1" x14ac:dyDescent="0.25">
      <c r="A20712" s="2" t="s">
        <v>1513</v>
      </c>
      <c r="B20712" s="2" t="s">
        <v>40628</v>
      </c>
      <c r="C20712" s="2" t="s">
        <v>1070</v>
      </c>
      <c r="D20712" s="2" t="s">
        <v>1071</v>
      </c>
      <c r="E20712" s="2" t="str">
        <f>"9783318067415"</f>
        <v>9783318067415</v>
      </c>
      <c r="F20712" s="2" t="str">
        <f>"9783318067422"</f>
        <v>9783318067422</v>
      </c>
    </row>
    <row r="20713" spans="1:6" s="3" customFormat="1" ht="29.1" customHeight="1" x14ac:dyDescent="0.25">
      <c r="A20713" s="2" t="s">
        <v>40629</v>
      </c>
      <c r="B20713" s="2" t="s">
        <v>40631</v>
      </c>
      <c r="C20713" s="2" t="s">
        <v>33535</v>
      </c>
      <c r="D20713" s="2" t="s">
        <v>40630</v>
      </c>
      <c r="E20713" s="2" t="str">
        <f>"9781649960573"</f>
        <v>9781649960573</v>
      </c>
      <c r="F20713" s="2" t="str">
        <f>"9781649960771"</f>
        <v>9781649960771</v>
      </c>
    </row>
    <row r="20714" spans="1:6" s="3" customFormat="1" ht="29.1" customHeight="1" x14ac:dyDescent="0.25">
      <c r="A20714" s="2" t="s">
        <v>40632</v>
      </c>
      <c r="B20714" s="2" t="s">
        <v>40634</v>
      </c>
      <c r="C20714" s="2" t="s">
        <v>33535</v>
      </c>
      <c r="D20714" s="2" t="s">
        <v>40633</v>
      </c>
      <c r="E20714" s="2" t="str">
        <f>"9781649960535"</f>
        <v>9781649960535</v>
      </c>
      <c r="F20714" s="2" t="str">
        <f>"9781649960702"</f>
        <v>9781649960702</v>
      </c>
    </row>
    <row r="20715" spans="1:6" s="3" customFormat="1" ht="29.1" customHeight="1" x14ac:dyDescent="0.25">
      <c r="A20715" s="2" t="s">
        <v>40635</v>
      </c>
      <c r="B20715" s="2" t="s">
        <v>40637</v>
      </c>
      <c r="C20715" s="2" t="s">
        <v>33535</v>
      </c>
      <c r="D20715" s="2" t="s">
        <v>40636</v>
      </c>
      <c r="E20715" s="2" t="str">
        <f>"9781649960436"</f>
        <v>9781649960436</v>
      </c>
      <c r="F20715" s="2" t="str">
        <f>"9781649960917"</f>
        <v>9781649960917</v>
      </c>
    </row>
    <row r="20716" spans="1:6" s="3" customFormat="1" ht="29.1" customHeight="1" x14ac:dyDescent="0.25">
      <c r="A20716" s="2" t="s">
        <v>40638</v>
      </c>
      <c r="B20716" s="2" t="s">
        <v>40637</v>
      </c>
      <c r="C20716" s="2" t="s">
        <v>33535</v>
      </c>
      <c r="D20716" s="2" t="s">
        <v>40639</v>
      </c>
      <c r="E20716" s="2" t="str">
        <f>"9781649960344"</f>
        <v>9781649960344</v>
      </c>
      <c r="F20716" s="2" t="str">
        <f>"9781649961082"</f>
        <v>9781649961082</v>
      </c>
    </row>
    <row r="20717" spans="1:6" s="3" customFormat="1" ht="29.1" customHeight="1" x14ac:dyDescent="0.25">
      <c r="A20717" s="2" t="s">
        <v>40640</v>
      </c>
      <c r="B20717" s="2" t="s">
        <v>40641</v>
      </c>
      <c r="C20717" s="2" t="s">
        <v>27396</v>
      </c>
      <c r="D20717" s="2" t="s">
        <v>402</v>
      </c>
      <c r="E20717" s="2" t="str">
        <f>"9783161568909"</f>
        <v>9783161568909</v>
      </c>
      <c r="F20717" s="2" t="str">
        <f>"9783161601019"</f>
        <v>9783161601019</v>
      </c>
    </row>
    <row r="20718" spans="1:6" s="3" customFormat="1" ht="29.1" customHeight="1" x14ac:dyDescent="0.25">
      <c r="A20718" s="2" t="s">
        <v>40642</v>
      </c>
      <c r="B20718" s="2" t="s">
        <v>40643</v>
      </c>
      <c r="C20718" s="2" t="s">
        <v>29</v>
      </c>
      <c r="D20718" s="2" t="s">
        <v>971</v>
      </c>
      <c r="E20718" s="2" t="str">
        <f>"9789004414433"</f>
        <v>9789004414433</v>
      </c>
      <c r="F20718" s="2" t="str">
        <f>"9789004441514"</f>
        <v>9789004441514</v>
      </c>
    </row>
    <row r="20719" spans="1:6" s="3" customFormat="1" ht="29.1" customHeight="1" x14ac:dyDescent="0.25">
      <c r="A20719" s="2" t="s">
        <v>40644</v>
      </c>
      <c r="B20719" s="2" t="s">
        <v>40645</v>
      </c>
      <c r="C20719" s="2" t="s">
        <v>36</v>
      </c>
      <c r="D20719" s="2" t="s">
        <v>2462</v>
      </c>
      <c r="E20719" s="2" t="str">
        <f>"9781447355014"</f>
        <v>9781447355014</v>
      </c>
      <c r="F20719" s="2" t="str">
        <f>"9781447355038"</f>
        <v>9781447355038</v>
      </c>
    </row>
    <row r="20720" spans="1:6" s="3" customFormat="1" ht="29.1" customHeight="1" x14ac:dyDescent="0.25">
      <c r="A20720" s="2" t="s">
        <v>40646</v>
      </c>
      <c r="B20720" s="2" t="s">
        <v>40594</v>
      </c>
      <c r="C20720" s="2" t="s">
        <v>27396</v>
      </c>
      <c r="D20720" s="2" t="s">
        <v>462</v>
      </c>
      <c r="E20720" s="2" t="str">
        <f>"9783161599934"</f>
        <v>9783161599934</v>
      </c>
      <c r="F20720" s="2" t="str">
        <f>"9783161601873"</f>
        <v>9783161601873</v>
      </c>
    </row>
    <row r="20721" spans="1:6" s="3" customFormat="1" ht="29.1" customHeight="1" x14ac:dyDescent="0.25">
      <c r="A20721" s="2" t="s">
        <v>40647</v>
      </c>
      <c r="B20721" s="2" t="s">
        <v>40648</v>
      </c>
      <c r="C20721" s="2" t="s">
        <v>124</v>
      </c>
      <c r="D20721" s="2" t="s">
        <v>2587</v>
      </c>
      <c r="E20721" s="2" t="str">
        <f>"9780367557096"</f>
        <v>9780367557096</v>
      </c>
      <c r="F20721" s="2" t="str">
        <f>"9781000363968"</f>
        <v>9781000363968</v>
      </c>
    </row>
    <row r="20722" spans="1:6" s="3" customFormat="1" ht="29.1" customHeight="1" x14ac:dyDescent="0.25">
      <c r="A20722" s="2" t="s">
        <v>40649</v>
      </c>
      <c r="B20722" s="2" t="s">
        <v>40650</v>
      </c>
      <c r="C20722" s="2" t="s">
        <v>62</v>
      </c>
      <c r="D20722" s="2" t="s">
        <v>1209</v>
      </c>
      <c r="E20722" s="2" t="str">
        <f>"9783428084920"</f>
        <v>9783428084920</v>
      </c>
      <c r="F20722" s="2" t="str">
        <f>"9783428484928"</f>
        <v>9783428484928</v>
      </c>
    </row>
    <row r="20723" spans="1:6" s="3" customFormat="1" ht="29.1" customHeight="1" x14ac:dyDescent="0.25">
      <c r="A20723" s="2" t="s">
        <v>40651</v>
      </c>
      <c r="B20723" s="2" t="s">
        <v>40652</v>
      </c>
      <c r="C20723" s="2" t="s">
        <v>62</v>
      </c>
      <c r="D20723" s="2" t="s">
        <v>3963</v>
      </c>
      <c r="E20723" s="2" t="str">
        <f>"9783428181889"</f>
        <v>9783428181889</v>
      </c>
      <c r="F20723" s="2" t="str">
        <f>"9783428581887"</f>
        <v>9783428581887</v>
      </c>
    </row>
    <row r="20724" spans="1:6" s="3" customFormat="1" ht="29.1" customHeight="1" x14ac:dyDescent="0.25">
      <c r="A20724" s="2" t="s">
        <v>40653</v>
      </c>
      <c r="B20724" s="2" t="s">
        <v>40654</v>
      </c>
      <c r="C20724" s="2" t="s">
        <v>62</v>
      </c>
      <c r="D20724" s="2" t="s">
        <v>1437</v>
      </c>
      <c r="E20724" s="2" t="str">
        <f>"9783428090921"</f>
        <v>9783428090921</v>
      </c>
      <c r="F20724" s="2" t="str">
        <f>"9783428490929"</f>
        <v>9783428490929</v>
      </c>
    </row>
    <row r="20725" spans="1:6" s="3" customFormat="1" ht="29.1" customHeight="1" x14ac:dyDescent="0.25">
      <c r="A20725" s="2" t="s">
        <v>40655</v>
      </c>
      <c r="B20725" s="2" t="s">
        <v>40656</v>
      </c>
      <c r="C20725" s="2" t="s">
        <v>195</v>
      </c>
      <c r="D20725" s="2" t="s">
        <v>175</v>
      </c>
      <c r="E20725" s="2" t="str">
        <f>"9783110718126"</f>
        <v>9783110718126</v>
      </c>
      <c r="F20725" s="2" t="str">
        <f>"9783110718133"</f>
        <v>9783110718133</v>
      </c>
    </row>
    <row r="20726" spans="1:6" s="3" customFormat="1" ht="29.1" customHeight="1" x14ac:dyDescent="0.25">
      <c r="A20726" s="2" t="s">
        <v>40657</v>
      </c>
      <c r="B20726" s="2" t="s">
        <v>40658</v>
      </c>
      <c r="C20726" s="2" t="s">
        <v>195</v>
      </c>
      <c r="D20726" s="2" t="s">
        <v>196</v>
      </c>
      <c r="E20726" s="2" t="str">
        <f>"9783110689952"</f>
        <v>9783110689952</v>
      </c>
      <c r="F20726" s="2" t="str">
        <f>"9783110690101"</f>
        <v>9783110690101</v>
      </c>
    </row>
    <row r="20727" spans="1:6" s="3" customFormat="1" ht="29.1" customHeight="1" x14ac:dyDescent="0.25">
      <c r="A20727" s="2" t="s">
        <v>1515</v>
      </c>
      <c r="B20727" s="2" t="s">
        <v>40659</v>
      </c>
      <c r="C20727" s="2" t="s">
        <v>1070</v>
      </c>
      <c r="D20727" s="2" t="s">
        <v>1265</v>
      </c>
      <c r="E20727" s="2" t="str">
        <f>"9783318067866"</f>
        <v>9783318067866</v>
      </c>
      <c r="F20727" s="2" t="str">
        <f>"9783318067873"</f>
        <v>9783318067873</v>
      </c>
    </row>
    <row r="20728" spans="1:6" s="3" customFormat="1" ht="29.1" customHeight="1" x14ac:dyDescent="0.25">
      <c r="A20728" s="2" t="s">
        <v>40660</v>
      </c>
      <c r="B20728" s="2" t="s">
        <v>40661</v>
      </c>
      <c r="C20728" s="2" t="s">
        <v>124</v>
      </c>
      <c r="D20728" s="2" t="s">
        <v>2005</v>
      </c>
      <c r="E20728" s="2" t="str">
        <f>"9780367754037"</f>
        <v>9780367754037</v>
      </c>
      <c r="F20728" s="2" t="str">
        <f>"9781000381146"</f>
        <v>9781000381146</v>
      </c>
    </row>
    <row r="20729" spans="1:6" s="3" customFormat="1" ht="29.1" customHeight="1" x14ac:dyDescent="0.25">
      <c r="A20729" s="2" t="s">
        <v>40662</v>
      </c>
      <c r="B20729" s="2" t="s">
        <v>40663</v>
      </c>
      <c r="C20729" s="2" t="s">
        <v>29</v>
      </c>
      <c r="D20729" s="2" t="s">
        <v>1712</v>
      </c>
      <c r="E20729" s="2" t="str">
        <f>"9789004426467"</f>
        <v>9789004426467</v>
      </c>
      <c r="F20729" s="2" t="str">
        <f>"9789004426474"</f>
        <v>9789004426474</v>
      </c>
    </row>
    <row r="20730" spans="1:6" s="3" customFormat="1" ht="29.1" customHeight="1" x14ac:dyDescent="0.25">
      <c r="A20730" s="2" t="s">
        <v>40664</v>
      </c>
      <c r="B20730" s="2" t="s">
        <v>40665</v>
      </c>
      <c r="C20730" s="2" t="s">
        <v>15381</v>
      </c>
      <c r="D20730" s="2" t="s">
        <v>5560</v>
      </c>
      <c r="E20730" s="2" t="str">
        <f>"9781469661612"</f>
        <v>9781469661612</v>
      </c>
      <c r="F20730" s="2" t="str">
        <f>"9781469663364"</f>
        <v>9781469663364</v>
      </c>
    </row>
    <row r="20731" spans="1:6" s="3" customFormat="1" ht="29.1" customHeight="1" x14ac:dyDescent="0.25">
      <c r="A20731" s="2" t="s">
        <v>40666</v>
      </c>
      <c r="B20731" s="2" t="s">
        <v>40667</v>
      </c>
      <c r="C20731" s="2" t="s">
        <v>248</v>
      </c>
      <c r="D20731" s="2" t="s">
        <v>75</v>
      </c>
      <c r="E20731" s="2" t="str">
        <f>"9783847424840"</f>
        <v>9783847424840</v>
      </c>
      <c r="F20731" s="2" t="str">
        <f>"9783847416289"</f>
        <v>9783847416289</v>
      </c>
    </row>
    <row r="20732" spans="1:6" s="3" customFormat="1" ht="29.1" customHeight="1" x14ac:dyDescent="0.25">
      <c r="A20732" s="2" t="s">
        <v>40668</v>
      </c>
      <c r="B20732" s="2" t="s">
        <v>40669</v>
      </c>
      <c r="C20732" s="2" t="s">
        <v>149</v>
      </c>
      <c r="D20732" s="2" t="s">
        <v>3993</v>
      </c>
      <c r="E20732" s="2" t="str">
        <f>"9781783749751"</f>
        <v>9781783749751</v>
      </c>
      <c r="F20732" s="2" t="str">
        <f>"9781783749775"</f>
        <v>9781783749775</v>
      </c>
    </row>
    <row r="20733" spans="1:6" s="3" customFormat="1" ht="29.1" customHeight="1" x14ac:dyDescent="0.25">
      <c r="A20733" s="2" t="s">
        <v>40670</v>
      </c>
      <c r="B20733" s="2" t="s">
        <v>40671</v>
      </c>
      <c r="C20733" s="2" t="s">
        <v>124</v>
      </c>
      <c r="D20733" s="2" t="s">
        <v>1697</v>
      </c>
      <c r="E20733" s="2" t="str">
        <f>"9780367478230"</f>
        <v>9780367478230</v>
      </c>
      <c r="F20733" s="2" t="str">
        <f>"9781000418767"</f>
        <v>9781000418767</v>
      </c>
    </row>
    <row r="20734" spans="1:6" s="3" customFormat="1" ht="29.1" customHeight="1" x14ac:dyDescent="0.25">
      <c r="A20734" s="2" t="s">
        <v>40672</v>
      </c>
      <c r="B20734" s="2" t="s">
        <v>40673</v>
      </c>
      <c r="C20734" s="2" t="s">
        <v>327</v>
      </c>
      <c r="D20734" s="2" t="s">
        <v>18446</v>
      </c>
      <c r="E20734" s="2" t="str">
        <f>"9788382202267"</f>
        <v>9788382202267</v>
      </c>
      <c r="F20734" s="2" t="str">
        <f>"9788382202274"</f>
        <v>9788382202274</v>
      </c>
    </row>
    <row r="20735" spans="1:6" s="3" customFormat="1" ht="29.1" customHeight="1" x14ac:dyDescent="0.25">
      <c r="A20735" s="2" t="s">
        <v>40674</v>
      </c>
      <c r="B20735" s="2" t="s">
        <v>40676</v>
      </c>
      <c r="C20735" s="2" t="s">
        <v>327</v>
      </c>
      <c r="D20735" s="2" t="s">
        <v>40675</v>
      </c>
      <c r="E20735" s="2" t="str">
        <f>"9788382201345"</f>
        <v>9788382201345</v>
      </c>
      <c r="F20735" s="2" t="str">
        <f>"9788382201352"</f>
        <v>9788382201352</v>
      </c>
    </row>
    <row r="20736" spans="1:6" s="3" customFormat="1" ht="29.1" customHeight="1" x14ac:dyDescent="0.25">
      <c r="A20736" s="2" t="s">
        <v>40677</v>
      </c>
      <c r="B20736" s="2" t="s">
        <v>40678</v>
      </c>
      <c r="C20736" s="2" t="s">
        <v>327</v>
      </c>
      <c r="D20736" s="2" t="s">
        <v>1854</v>
      </c>
      <c r="E20736" s="2" t="str">
        <f>"9788382201161"</f>
        <v>9788382201161</v>
      </c>
      <c r="F20736" s="2" t="str">
        <f>"9788382201178"</f>
        <v>9788382201178</v>
      </c>
    </row>
    <row r="20737" spans="1:6" s="3" customFormat="1" ht="29.1" customHeight="1" x14ac:dyDescent="0.25">
      <c r="A20737" s="2" t="s">
        <v>40679</v>
      </c>
      <c r="B20737" s="2" t="s">
        <v>40680</v>
      </c>
      <c r="C20737" s="2" t="s">
        <v>327</v>
      </c>
      <c r="D20737" s="2" t="s">
        <v>15858</v>
      </c>
      <c r="E20737" s="2" t="str">
        <f>"9788382200881"</f>
        <v>9788382200881</v>
      </c>
      <c r="F20737" s="2" t="str">
        <f>"9788382200898"</f>
        <v>9788382200898</v>
      </c>
    </row>
    <row r="20738" spans="1:6" s="3" customFormat="1" ht="29.1" customHeight="1" x14ac:dyDescent="0.25">
      <c r="A20738" s="2" t="s">
        <v>40681</v>
      </c>
      <c r="B20738" s="2" t="s">
        <v>40682</v>
      </c>
      <c r="C20738" s="2" t="s">
        <v>264</v>
      </c>
      <c r="D20738" s="2" t="s">
        <v>16102</v>
      </c>
      <c r="E20738" s="2" t="str">
        <f>"9780367646295"</f>
        <v>9780367646295</v>
      </c>
      <c r="F20738" s="2" t="str">
        <f>"9781000415094"</f>
        <v>9781000415094</v>
      </c>
    </row>
    <row r="20739" spans="1:6" s="3" customFormat="1" ht="29.1" customHeight="1" x14ac:dyDescent="0.25">
      <c r="A20739" s="2" t="s">
        <v>40683</v>
      </c>
      <c r="B20739" s="2" t="s">
        <v>40502</v>
      </c>
      <c r="C20739" s="2" t="s">
        <v>264</v>
      </c>
      <c r="D20739" s="2" t="s">
        <v>15055</v>
      </c>
      <c r="E20739" s="2" t="str">
        <f>"9780367652999"</f>
        <v>9780367652999</v>
      </c>
      <c r="F20739" s="2" t="str">
        <f>"9781000416510"</f>
        <v>9781000416510</v>
      </c>
    </row>
    <row r="20740" spans="1:6" s="3" customFormat="1" ht="29.1" customHeight="1" x14ac:dyDescent="0.25">
      <c r="A20740" s="2" t="s">
        <v>40684</v>
      </c>
      <c r="B20740" s="2" t="s">
        <v>40685</v>
      </c>
      <c r="C20740" s="2" t="s">
        <v>124</v>
      </c>
      <c r="D20740" s="2" t="s">
        <v>459</v>
      </c>
      <c r="E20740" s="2" t="str">
        <f>"9780367370220"</f>
        <v>9780367370220</v>
      </c>
      <c r="F20740" s="2" t="str">
        <f>"9780429352362"</f>
        <v>9780429352362</v>
      </c>
    </row>
    <row r="20741" spans="1:6" s="3" customFormat="1" ht="29.1" customHeight="1" x14ac:dyDescent="0.25">
      <c r="A20741" s="2" t="s">
        <v>40686</v>
      </c>
      <c r="B20741" s="2" t="s">
        <v>40687</v>
      </c>
      <c r="C20741" s="2" t="s">
        <v>124</v>
      </c>
      <c r="D20741" s="2" t="s">
        <v>9899</v>
      </c>
      <c r="E20741" s="2" t="str">
        <f>"9780367725280"</f>
        <v>9780367725280</v>
      </c>
      <c r="F20741" s="2" t="str">
        <f>"9781000417562"</f>
        <v>9781000417562</v>
      </c>
    </row>
    <row r="20742" spans="1:6" s="3" customFormat="1" ht="29.1" customHeight="1" x14ac:dyDescent="0.25">
      <c r="A20742" s="2" t="s">
        <v>40688</v>
      </c>
      <c r="B20742" s="2" t="s">
        <v>40689</v>
      </c>
      <c r="C20742" s="2" t="s">
        <v>124</v>
      </c>
      <c r="D20742" s="2" t="s">
        <v>22003</v>
      </c>
      <c r="E20742" s="2" t="str">
        <f>"9780367462994"</f>
        <v>9780367462994</v>
      </c>
      <c r="F20742" s="2" t="str">
        <f>"9781000418729"</f>
        <v>9781000418729</v>
      </c>
    </row>
    <row r="20743" spans="1:6" s="3" customFormat="1" ht="29.1" customHeight="1" x14ac:dyDescent="0.25">
      <c r="A20743" s="2" t="s">
        <v>1296</v>
      </c>
      <c r="B20743" s="2" t="s">
        <v>9752</v>
      </c>
      <c r="C20743" s="2" t="s">
        <v>1070</v>
      </c>
      <c r="D20743" s="2" t="s">
        <v>1275</v>
      </c>
      <c r="E20743" s="2" t="str">
        <f>"9783318066555"</f>
        <v>9783318066555</v>
      </c>
      <c r="F20743" s="2" t="str">
        <f>"9783318066562"</f>
        <v>9783318066562</v>
      </c>
    </row>
    <row r="20744" spans="1:6" s="3" customFormat="1" ht="29.1" customHeight="1" x14ac:dyDescent="0.25">
      <c r="A20744" s="2" t="s">
        <v>40690</v>
      </c>
      <c r="B20744" s="2" t="s">
        <v>40691</v>
      </c>
      <c r="C20744" s="2" t="s">
        <v>9716</v>
      </c>
      <c r="D20744" s="2" t="s">
        <v>270</v>
      </c>
      <c r="E20744" s="2" t="str">
        <f>"9781439920725"</f>
        <v>9781439920725</v>
      </c>
      <c r="F20744" s="2" t="str">
        <f>"9781439920749"</f>
        <v>9781439920749</v>
      </c>
    </row>
    <row r="20745" spans="1:6" s="3" customFormat="1" ht="29.1" customHeight="1" x14ac:dyDescent="0.25">
      <c r="A20745" s="2" t="s">
        <v>40692</v>
      </c>
      <c r="B20745" s="2" t="s">
        <v>40693</v>
      </c>
      <c r="C20745" s="2" t="s">
        <v>62</v>
      </c>
      <c r="D20745" s="2" t="s">
        <v>7978</v>
      </c>
      <c r="E20745" s="2" t="str">
        <f>"9783428180806"</f>
        <v>9783428180806</v>
      </c>
      <c r="F20745" s="2" t="str">
        <f>"9783428580804"</f>
        <v>9783428580804</v>
      </c>
    </row>
    <row r="20746" spans="1:6" s="3" customFormat="1" ht="29.1" customHeight="1" x14ac:dyDescent="0.25">
      <c r="A20746" s="2" t="s">
        <v>1294</v>
      </c>
      <c r="B20746" s="2" t="s">
        <v>40694</v>
      </c>
      <c r="C20746" s="2" t="s">
        <v>1070</v>
      </c>
      <c r="D20746" s="2" t="s">
        <v>1071</v>
      </c>
      <c r="E20746" s="2" t="str">
        <f>"9783318068245"</f>
        <v>9783318068245</v>
      </c>
      <c r="F20746" s="2" t="str">
        <f>"9783318068252"</f>
        <v>9783318068252</v>
      </c>
    </row>
    <row r="20747" spans="1:6" s="3" customFormat="1" ht="29.1" customHeight="1" x14ac:dyDescent="0.25">
      <c r="A20747" s="2" t="s">
        <v>40695</v>
      </c>
      <c r="B20747" s="2" t="s">
        <v>40696</v>
      </c>
      <c r="C20747" s="2" t="s">
        <v>264</v>
      </c>
      <c r="D20747" s="2" t="s">
        <v>19766</v>
      </c>
      <c r="E20747" s="2" t="str">
        <f>"9780367721800"</f>
        <v>9780367721800</v>
      </c>
      <c r="F20747" s="2" t="str">
        <f>"9781000407952"</f>
        <v>9781000407952</v>
      </c>
    </row>
    <row r="20748" spans="1:6" s="3" customFormat="1" ht="29.1" customHeight="1" x14ac:dyDescent="0.25">
      <c r="A20748" s="2" t="s">
        <v>40697</v>
      </c>
      <c r="B20748" s="2" t="s">
        <v>40698</v>
      </c>
      <c r="C20748" s="2" t="s">
        <v>264</v>
      </c>
      <c r="D20748" s="2" t="s">
        <v>2902</v>
      </c>
      <c r="E20748" s="2" t="str">
        <f>"9780367422431"</f>
        <v>9780367422431</v>
      </c>
      <c r="F20748" s="2" t="str">
        <f>"9781000392210"</f>
        <v>9781000392210</v>
      </c>
    </row>
    <row r="20749" spans="1:6" s="3" customFormat="1" ht="29.1" customHeight="1" x14ac:dyDescent="0.25">
      <c r="A20749" s="2" t="s">
        <v>40699</v>
      </c>
      <c r="B20749" s="2" t="s">
        <v>40700</v>
      </c>
      <c r="C20749" s="2" t="s">
        <v>264</v>
      </c>
      <c r="D20749" s="2" t="s">
        <v>5915</v>
      </c>
      <c r="E20749" s="2" t="str">
        <f>"9780367357047"</f>
        <v>9780367357047</v>
      </c>
      <c r="F20749" s="2" t="str">
        <f>"9780429343001"</f>
        <v>9780429343001</v>
      </c>
    </row>
    <row r="20750" spans="1:6" s="3" customFormat="1" ht="29.1" customHeight="1" x14ac:dyDescent="0.25">
      <c r="A20750" s="2" t="s">
        <v>40701</v>
      </c>
      <c r="B20750" s="2" t="s">
        <v>40702</v>
      </c>
      <c r="C20750" s="2" t="s">
        <v>264</v>
      </c>
      <c r="D20750" s="2" t="s">
        <v>5213</v>
      </c>
      <c r="E20750" s="2" t="str">
        <f>"9780367775315"</f>
        <v>9780367775315</v>
      </c>
      <c r="F20750" s="2" t="str">
        <f>"9781000402926"</f>
        <v>9781000402926</v>
      </c>
    </row>
    <row r="20751" spans="1:6" s="3" customFormat="1" ht="29.1" customHeight="1" x14ac:dyDescent="0.25">
      <c r="A20751" s="2" t="s">
        <v>40703</v>
      </c>
      <c r="B20751" s="2" t="s">
        <v>40704</v>
      </c>
      <c r="C20751" s="2" t="s">
        <v>264</v>
      </c>
      <c r="D20751" s="2" t="s">
        <v>12475</v>
      </c>
      <c r="E20751" s="2" t="str">
        <f>"9780367621469"</f>
        <v>9780367621469</v>
      </c>
      <c r="F20751" s="2" t="str">
        <f>"9781000401141"</f>
        <v>9781000401141</v>
      </c>
    </row>
    <row r="20752" spans="1:6" s="3" customFormat="1" ht="29.1" customHeight="1" x14ac:dyDescent="0.25">
      <c r="A20752" s="2" t="s">
        <v>40705</v>
      </c>
      <c r="B20752" s="2" t="s">
        <v>40706</v>
      </c>
      <c r="C20752" s="2" t="s">
        <v>124</v>
      </c>
      <c r="D20752" s="2" t="s">
        <v>270</v>
      </c>
      <c r="E20752" s="2" t="str">
        <f>"9781032004242"</f>
        <v>9781032004242</v>
      </c>
      <c r="F20752" s="2" t="str">
        <f>"9780429466984"</f>
        <v>9780429466984</v>
      </c>
    </row>
    <row r="20753" spans="1:6" s="3" customFormat="1" ht="29.1" customHeight="1" x14ac:dyDescent="0.25">
      <c r="A20753" s="2" t="s">
        <v>40707</v>
      </c>
      <c r="B20753" s="2" t="s">
        <v>40708</v>
      </c>
      <c r="C20753" s="2" t="s">
        <v>124</v>
      </c>
      <c r="D20753" s="2" t="s">
        <v>207</v>
      </c>
      <c r="E20753" s="2" t="str">
        <f>"9780367688035"</f>
        <v>9780367688035</v>
      </c>
      <c r="F20753" s="2" t="str">
        <f>"9781000411515"</f>
        <v>9781000411515</v>
      </c>
    </row>
    <row r="20754" spans="1:6" s="3" customFormat="1" ht="29.1" customHeight="1" x14ac:dyDescent="0.25">
      <c r="A20754" s="2" t="s">
        <v>40709</v>
      </c>
      <c r="B20754" s="2" t="s">
        <v>40710</v>
      </c>
      <c r="C20754" s="2" t="s">
        <v>124</v>
      </c>
      <c r="D20754" s="2" t="s">
        <v>270</v>
      </c>
      <c r="E20754" s="2" t="str">
        <f>"9780367692933"</f>
        <v>9780367692933</v>
      </c>
      <c r="F20754" s="2" t="str">
        <f>"9781000408188"</f>
        <v>9781000408188</v>
      </c>
    </row>
    <row r="20755" spans="1:6" s="3" customFormat="1" ht="29.1" customHeight="1" x14ac:dyDescent="0.25">
      <c r="A20755" s="2" t="s">
        <v>40711</v>
      </c>
      <c r="B20755" s="2" t="s">
        <v>40712</v>
      </c>
      <c r="C20755" s="2" t="s">
        <v>124</v>
      </c>
      <c r="D20755" s="2" t="s">
        <v>6128</v>
      </c>
      <c r="E20755" s="2" t="str">
        <f>"9780367547219"</f>
        <v>9780367547219</v>
      </c>
      <c r="F20755" s="2" t="str">
        <f>"9781000409741"</f>
        <v>9781000409741</v>
      </c>
    </row>
    <row r="20756" spans="1:6" s="3" customFormat="1" ht="29.1" customHeight="1" x14ac:dyDescent="0.25">
      <c r="A20756" s="2" t="s">
        <v>40713</v>
      </c>
      <c r="B20756" s="2" t="s">
        <v>40714</v>
      </c>
      <c r="C20756" s="2" t="s">
        <v>124</v>
      </c>
      <c r="D20756" s="2" t="s">
        <v>270</v>
      </c>
      <c r="E20756" s="2" t="str">
        <f>"9780367679491"</f>
        <v>9780367679491</v>
      </c>
      <c r="F20756" s="2" t="str">
        <f>"9781000413298"</f>
        <v>9781000413298</v>
      </c>
    </row>
    <row r="20757" spans="1:6" s="3" customFormat="1" ht="29.1" customHeight="1" x14ac:dyDescent="0.25">
      <c r="A20757" s="2" t="s">
        <v>40715</v>
      </c>
      <c r="B20757" s="2" t="s">
        <v>40716</v>
      </c>
      <c r="C20757" s="2" t="s">
        <v>124</v>
      </c>
      <c r="D20757" s="2" t="s">
        <v>2433</v>
      </c>
      <c r="E20757" s="2" t="str">
        <f>"9780367512057"</f>
        <v>9780367512057</v>
      </c>
      <c r="F20757" s="2" t="str">
        <f>"9781000397482"</f>
        <v>9781000397482</v>
      </c>
    </row>
    <row r="20758" spans="1:6" s="3" customFormat="1" ht="29.1" customHeight="1" x14ac:dyDescent="0.25">
      <c r="A20758" s="2" t="s">
        <v>40717</v>
      </c>
      <c r="B20758" s="2" t="s">
        <v>40718</v>
      </c>
      <c r="C20758" s="2" t="s">
        <v>124</v>
      </c>
      <c r="D20758" s="2" t="s">
        <v>6123</v>
      </c>
      <c r="E20758" s="2" t="str">
        <f>"9780367544300"</f>
        <v>9780367544300</v>
      </c>
      <c r="F20758" s="2" t="str">
        <f>"9781000411959"</f>
        <v>9781000411959</v>
      </c>
    </row>
    <row r="20759" spans="1:6" s="3" customFormat="1" ht="29.1" customHeight="1" x14ac:dyDescent="0.25">
      <c r="A20759" s="2" t="s">
        <v>40719</v>
      </c>
      <c r="B20759" s="2" t="s">
        <v>38715</v>
      </c>
      <c r="C20759" s="2" t="s">
        <v>124</v>
      </c>
      <c r="D20759" s="2" t="s">
        <v>12134</v>
      </c>
      <c r="E20759" s="2" t="str">
        <f>"9780367557805"</f>
        <v>9780367557805</v>
      </c>
      <c r="F20759" s="2" t="str">
        <f>"9781000412765"</f>
        <v>9781000412765</v>
      </c>
    </row>
    <row r="20760" spans="1:6" s="3" customFormat="1" ht="29.1" customHeight="1" x14ac:dyDescent="0.25">
      <c r="A20760" s="2" t="s">
        <v>40720</v>
      </c>
      <c r="B20760" s="2" t="s">
        <v>40721</v>
      </c>
      <c r="C20760" s="2" t="s">
        <v>124</v>
      </c>
      <c r="D20760" s="2" t="s">
        <v>2086</v>
      </c>
      <c r="E20760" s="2" t="str">
        <f>"9780367898403"</f>
        <v>9780367898403</v>
      </c>
      <c r="F20760" s="2" t="str">
        <f>"9781000401516"</f>
        <v>9781000401516</v>
      </c>
    </row>
    <row r="20761" spans="1:6" s="3" customFormat="1" ht="29.1" customHeight="1" x14ac:dyDescent="0.25">
      <c r="A20761" s="2" t="s">
        <v>40722</v>
      </c>
      <c r="B20761" s="2" t="s">
        <v>40723</v>
      </c>
      <c r="C20761" s="2" t="s">
        <v>124</v>
      </c>
      <c r="D20761" s="2" t="s">
        <v>302</v>
      </c>
      <c r="E20761" s="2" t="str">
        <f>"9781032003627"</f>
        <v>9781032003627</v>
      </c>
      <c r="F20761" s="2" t="str">
        <f>"9781000415445"</f>
        <v>9781000415445</v>
      </c>
    </row>
    <row r="20762" spans="1:6" s="3" customFormat="1" ht="29.1" customHeight="1" x14ac:dyDescent="0.25">
      <c r="A20762" s="2" t="s">
        <v>40724</v>
      </c>
      <c r="B20762" s="2" t="s">
        <v>40725</v>
      </c>
      <c r="C20762" s="2" t="s">
        <v>124</v>
      </c>
      <c r="D20762" s="2" t="s">
        <v>818</v>
      </c>
      <c r="E20762" s="2" t="str">
        <f>"9781350089594"</f>
        <v>9781350089594</v>
      </c>
      <c r="F20762" s="2" t="str">
        <f>"9781000182316"</f>
        <v>9781000182316</v>
      </c>
    </row>
    <row r="20763" spans="1:6" s="3" customFormat="1" ht="29.1" customHeight="1" x14ac:dyDescent="0.25">
      <c r="A20763" s="2" t="s">
        <v>40726</v>
      </c>
      <c r="B20763" s="2" t="s">
        <v>40727</v>
      </c>
      <c r="C20763" s="2" t="s">
        <v>124</v>
      </c>
      <c r="D20763" s="2" t="s">
        <v>868</v>
      </c>
      <c r="E20763" s="2" t="str">
        <f>"9780367752286"</f>
        <v>9780367752286</v>
      </c>
      <c r="F20763" s="2" t="str">
        <f>"9781000409321"</f>
        <v>9781000409321</v>
      </c>
    </row>
    <row r="20764" spans="1:6" s="3" customFormat="1" ht="29.1" customHeight="1" x14ac:dyDescent="0.25">
      <c r="A20764" s="2" t="s">
        <v>40728</v>
      </c>
      <c r="B20764" s="2" t="s">
        <v>40729</v>
      </c>
      <c r="C20764" s="2" t="s">
        <v>124</v>
      </c>
      <c r="D20764" s="2" t="s">
        <v>89</v>
      </c>
      <c r="E20764" s="2" t="str">
        <f>"9780367486440"</f>
        <v>9780367486440</v>
      </c>
      <c r="F20764" s="2" t="str">
        <f>"9780367486457"</f>
        <v>9780367486457</v>
      </c>
    </row>
    <row r="20765" spans="1:6" s="3" customFormat="1" ht="29.1" customHeight="1" x14ac:dyDescent="0.25">
      <c r="A20765" s="2" t="s">
        <v>1517</v>
      </c>
      <c r="B20765" s="2" t="s">
        <v>40730</v>
      </c>
      <c r="C20765" s="2" t="s">
        <v>1070</v>
      </c>
      <c r="D20765" s="2" t="s">
        <v>1265</v>
      </c>
      <c r="E20765" s="2" t="str">
        <f>"9783318068337"</f>
        <v>9783318068337</v>
      </c>
      <c r="F20765" s="2" t="str">
        <f>"9783318068344"</f>
        <v>9783318068344</v>
      </c>
    </row>
    <row r="20766" spans="1:6" s="3" customFormat="1" ht="29.1" customHeight="1" x14ac:dyDescent="0.25">
      <c r="A20766" s="2" t="s">
        <v>1519</v>
      </c>
      <c r="B20766" s="2" t="s">
        <v>40731</v>
      </c>
      <c r="C20766" s="2" t="s">
        <v>1070</v>
      </c>
      <c r="D20766" s="2" t="s">
        <v>1313</v>
      </c>
      <c r="E20766" s="2" t="str">
        <f>"9781912776337"</f>
        <v>9781912776337</v>
      </c>
      <c r="F20766" s="2" t="str">
        <f>"9781912776344"</f>
        <v>9781912776344</v>
      </c>
    </row>
    <row r="20767" spans="1:6" s="3" customFormat="1" ht="29.1" customHeight="1" x14ac:dyDescent="0.25">
      <c r="A20767" s="2" t="s">
        <v>40732</v>
      </c>
      <c r="B20767" s="2" t="s">
        <v>40733</v>
      </c>
      <c r="C20767" s="2" t="s">
        <v>195</v>
      </c>
      <c r="D20767" s="2" t="s">
        <v>215</v>
      </c>
      <c r="E20767" s="2" t="str">
        <f>"9783110692730"</f>
        <v>9783110692730</v>
      </c>
      <c r="F20767" s="2" t="str">
        <f>"9783110693065"</f>
        <v>9783110693065</v>
      </c>
    </row>
    <row r="20768" spans="1:6" s="3" customFormat="1" ht="29.1" customHeight="1" x14ac:dyDescent="0.25">
      <c r="A20768" s="2" t="s">
        <v>40734</v>
      </c>
      <c r="B20768" s="2" t="s">
        <v>40735</v>
      </c>
      <c r="C20768" s="2" t="s">
        <v>605</v>
      </c>
      <c r="D20768" s="2" t="s">
        <v>606</v>
      </c>
      <c r="E20768" s="2" t="str">
        <f>"9789654067218"</f>
        <v>9789654067218</v>
      </c>
      <c r="F20768" s="2" t="str">
        <f>"9789654067249"</f>
        <v>9789654067249</v>
      </c>
    </row>
    <row r="20769" spans="1:6" s="3" customFormat="1" ht="29.1" customHeight="1" x14ac:dyDescent="0.25">
      <c r="A20769" s="2" t="s">
        <v>40736</v>
      </c>
      <c r="B20769" s="2" t="s">
        <v>40735</v>
      </c>
      <c r="C20769" s="2" t="s">
        <v>605</v>
      </c>
      <c r="D20769" s="2" t="s">
        <v>606</v>
      </c>
      <c r="E20769" s="2" t="str">
        <f>"9789654067201"</f>
        <v>9789654067201</v>
      </c>
      <c r="F20769" s="2" t="str">
        <f>"9789654067232"</f>
        <v>9789654067232</v>
      </c>
    </row>
    <row r="20770" spans="1:6" s="3" customFormat="1" ht="29.1" customHeight="1" x14ac:dyDescent="0.25">
      <c r="A20770" s="2" t="s">
        <v>40737</v>
      </c>
      <c r="B20770" s="2" t="s">
        <v>40735</v>
      </c>
      <c r="C20770" s="2" t="s">
        <v>605</v>
      </c>
      <c r="D20770" s="2" t="s">
        <v>606</v>
      </c>
      <c r="E20770" s="2" t="str">
        <f>"9789654067225"</f>
        <v>9789654067225</v>
      </c>
      <c r="F20770" s="2" t="str">
        <f>"9789654067256"</f>
        <v>9789654067256</v>
      </c>
    </row>
    <row r="20771" spans="1:6" s="3" customFormat="1" ht="29.1" customHeight="1" x14ac:dyDescent="0.25">
      <c r="A20771" s="2" t="s">
        <v>40738</v>
      </c>
      <c r="B20771" s="2" t="s">
        <v>40739</v>
      </c>
      <c r="C20771" s="2" t="s">
        <v>36254</v>
      </c>
      <c r="D20771" s="2" t="s">
        <v>2341</v>
      </c>
      <c r="E20771" s="2" t="str">
        <f>"9781928480945"</f>
        <v>9781928480945</v>
      </c>
      <c r="F20771" s="2" t="str">
        <f>"9781928480952"</f>
        <v>9781928480952</v>
      </c>
    </row>
    <row r="20772" spans="1:6" s="3" customFormat="1" ht="29.1" customHeight="1" x14ac:dyDescent="0.25">
      <c r="A20772" s="2" t="s">
        <v>40740</v>
      </c>
      <c r="B20772" s="2" t="s">
        <v>40741</v>
      </c>
      <c r="C20772" s="2" t="s">
        <v>20</v>
      </c>
      <c r="D20772" s="2" t="s">
        <v>1988</v>
      </c>
      <c r="E20772" s="2" t="str">
        <f>"9783763962396"</f>
        <v>9783763962396</v>
      </c>
      <c r="F20772" s="2" t="str">
        <f>"9783763962402"</f>
        <v>9783763962402</v>
      </c>
    </row>
    <row r="20773" spans="1:6" s="3" customFormat="1" ht="29.1" customHeight="1" x14ac:dyDescent="0.25">
      <c r="A20773" s="2" t="s">
        <v>40742</v>
      </c>
      <c r="B20773" s="2" t="s">
        <v>40369</v>
      </c>
      <c r="C20773" s="2" t="s">
        <v>124</v>
      </c>
      <c r="D20773" s="2" t="s">
        <v>984</v>
      </c>
      <c r="E20773" s="2" t="str">
        <f>"9780367342197"</f>
        <v>9780367342197</v>
      </c>
      <c r="F20773" s="2" t="str">
        <f>"9781000367157"</f>
        <v>9781000367157</v>
      </c>
    </row>
    <row r="20774" spans="1:6" s="3" customFormat="1" ht="29.1" customHeight="1" x14ac:dyDescent="0.25">
      <c r="A20774" s="2" t="s">
        <v>40743</v>
      </c>
      <c r="B20774" s="2" t="s">
        <v>40744</v>
      </c>
      <c r="C20774" s="2" t="s">
        <v>124</v>
      </c>
      <c r="D20774" s="2" t="s">
        <v>210</v>
      </c>
      <c r="E20774" s="2" t="str">
        <f>"9780367150341"</f>
        <v>9780367150341</v>
      </c>
      <c r="F20774" s="2" t="str">
        <f>"9780429620140"</f>
        <v>9780429620140</v>
      </c>
    </row>
    <row r="20775" spans="1:6" s="3" customFormat="1" ht="29.1" customHeight="1" x14ac:dyDescent="0.25">
      <c r="A20775" s="2" t="s">
        <v>40745</v>
      </c>
      <c r="B20775" s="2" t="s">
        <v>40746</v>
      </c>
      <c r="C20775" s="2" t="s">
        <v>195</v>
      </c>
      <c r="D20775" s="2" t="s">
        <v>7608</v>
      </c>
      <c r="E20775" s="2" t="str">
        <f>"9783110701807"</f>
        <v>9783110701807</v>
      </c>
      <c r="F20775" s="2" t="str">
        <f>"9783110701906"</f>
        <v>9783110701906</v>
      </c>
    </row>
    <row r="20776" spans="1:6" s="3" customFormat="1" ht="29.1" customHeight="1" x14ac:dyDescent="0.25">
      <c r="A20776" s="2" t="s">
        <v>40747</v>
      </c>
      <c r="B20776" s="2" t="s">
        <v>40748</v>
      </c>
      <c r="C20776" s="2" t="s">
        <v>5</v>
      </c>
      <c r="D20776" s="2" t="s">
        <v>553</v>
      </c>
      <c r="E20776" s="2" t="str">
        <f>"9783658324100"</f>
        <v>9783658324100</v>
      </c>
      <c r="F20776" s="2" t="str">
        <f>"9783658324117"</f>
        <v>9783658324117</v>
      </c>
    </row>
    <row r="20777" spans="1:6" s="3" customFormat="1" ht="29.1" customHeight="1" x14ac:dyDescent="0.25">
      <c r="A20777" s="2" t="s">
        <v>40749</v>
      </c>
      <c r="B20777" s="2" t="s">
        <v>40751</v>
      </c>
      <c r="C20777" s="2" t="s">
        <v>62</v>
      </c>
      <c r="D20777" s="2" t="s">
        <v>40750</v>
      </c>
      <c r="E20777" s="2" t="str">
        <f>"9783428181162"</f>
        <v>9783428181162</v>
      </c>
      <c r="F20777" s="2" t="str">
        <f>"9783428581160"</f>
        <v>9783428581160</v>
      </c>
    </row>
    <row r="20778" spans="1:6" s="3" customFormat="1" ht="29.1" customHeight="1" x14ac:dyDescent="0.25">
      <c r="A20778" s="2" t="s">
        <v>40752</v>
      </c>
      <c r="B20778" s="2" t="s">
        <v>40753</v>
      </c>
      <c r="C20778" s="2" t="s">
        <v>149</v>
      </c>
      <c r="D20778" s="2" t="s">
        <v>324</v>
      </c>
      <c r="E20778" s="2" t="str">
        <f>"9781783749089"</f>
        <v>9781783749089</v>
      </c>
      <c r="F20778" s="2" t="str">
        <f>"9781783749102"</f>
        <v>9781783749102</v>
      </c>
    </row>
    <row r="20779" spans="1:6" s="3" customFormat="1" ht="29.1" customHeight="1" x14ac:dyDescent="0.25">
      <c r="A20779" s="2" t="s">
        <v>40754</v>
      </c>
      <c r="B20779" s="2" t="s">
        <v>40755</v>
      </c>
      <c r="C20779" s="2" t="s">
        <v>149</v>
      </c>
      <c r="D20779" s="2" t="s">
        <v>1141</v>
      </c>
      <c r="E20779" s="2" t="str">
        <f>"9781800640351"</f>
        <v>9781800640351</v>
      </c>
      <c r="F20779" s="2" t="str">
        <f>"9781800640375"</f>
        <v>9781800640375</v>
      </c>
    </row>
    <row r="20780" spans="1:6" s="3" customFormat="1" ht="29.1" customHeight="1" x14ac:dyDescent="0.25">
      <c r="A20780" s="2" t="s">
        <v>40756</v>
      </c>
      <c r="B20780" s="2" t="s">
        <v>40757</v>
      </c>
      <c r="C20780" s="2" t="s">
        <v>149</v>
      </c>
      <c r="D20780" s="2" t="s">
        <v>7645</v>
      </c>
      <c r="E20780" s="2" t="str">
        <f>"9781783749478"</f>
        <v>9781783749478</v>
      </c>
      <c r="F20780" s="2" t="str">
        <f>"9781783749492"</f>
        <v>9781783749492</v>
      </c>
    </row>
    <row r="20781" spans="1:6" s="3" customFormat="1" ht="29.1" customHeight="1" x14ac:dyDescent="0.25">
      <c r="A20781" s="2" t="s">
        <v>40758</v>
      </c>
      <c r="B20781" s="2" t="s">
        <v>40759</v>
      </c>
      <c r="C20781" s="2" t="s">
        <v>927</v>
      </c>
      <c r="D20781" s="2" t="s">
        <v>297</v>
      </c>
      <c r="E20781" s="2" t="str">
        <f>"9780472038251"</f>
        <v>9780472038251</v>
      </c>
      <c r="F20781" s="2" t="str">
        <f>"9780472127849"</f>
        <v>9780472127849</v>
      </c>
    </row>
    <row r="20782" spans="1:6" s="3" customFormat="1" ht="29.1" customHeight="1" x14ac:dyDescent="0.25">
      <c r="A20782" s="2" t="s">
        <v>40760</v>
      </c>
      <c r="B20782" s="2" t="s">
        <v>40761</v>
      </c>
      <c r="C20782" s="2" t="s">
        <v>927</v>
      </c>
      <c r="D20782" s="2" t="s">
        <v>297</v>
      </c>
      <c r="E20782" s="2" t="str">
        <f>"9780939512713"</f>
        <v>9780939512713</v>
      </c>
      <c r="F20782" s="2" t="str">
        <f>"9780472127467"</f>
        <v>9780472127467</v>
      </c>
    </row>
    <row r="20783" spans="1:6" s="3" customFormat="1" ht="29.1" customHeight="1" x14ac:dyDescent="0.25">
      <c r="A20783" s="2" t="s">
        <v>40762</v>
      </c>
      <c r="B20783" s="2" t="s">
        <v>40763</v>
      </c>
      <c r="C20783" s="2" t="s">
        <v>248</v>
      </c>
      <c r="D20783" s="2" t="s">
        <v>249</v>
      </c>
      <c r="E20783" s="2" t="str">
        <f>"9783847424918"</f>
        <v>9783847424918</v>
      </c>
      <c r="F20783" s="2" t="str">
        <f>"9783847416357"</f>
        <v>9783847416357</v>
      </c>
    </row>
    <row r="20784" spans="1:6" s="3" customFormat="1" ht="29.1" customHeight="1" x14ac:dyDescent="0.25">
      <c r="A20784" s="2" t="s">
        <v>40764</v>
      </c>
      <c r="B20784" s="2" t="s">
        <v>40765</v>
      </c>
      <c r="C20784" s="2" t="s">
        <v>124</v>
      </c>
      <c r="D20784" s="2" t="s">
        <v>6123</v>
      </c>
      <c r="E20784" s="2" t="str">
        <f>"9780367442033"</f>
        <v>9780367442033</v>
      </c>
      <c r="F20784" s="2" t="str">
        <f>"9781000361568"</f>
        <v>9781000361568</v>
      </c>
    </row>
    <row r="20785" spans="1:6" s="3" customFormat="1" ht="29.1" customHeight="1" x14ac:dyDescent="0.25">
      <c r="A20785" s="2" t="s">
        <v>40766</v>
      </c>
      <c r="B20785" s="2" t="s">
        <v>40767</v>
      </c>
      <c r="C20785" s="2" t="s">
        <v>264</v>
      </c>
      <c r="D20785" s="2" t="s">
        <v>1390</v>
      </c>
      <c r="E20785" s="2" t="str">
        <f>"9780367533311"</f>
        <v>9780367533311</v>
      </c>
      <c r="F20785" s="2" t="str">
        <f>"9781000262025"</f>
        <v>9781000262025</v>
      </c>
    </row>
    <row r="20786" spans="1:6" s="3" customFormat="1" ht="29.1" customHeight="1" x14ac:dyDescent="0.25">
      <c r="A20786" s="2" t="s">
        <v>40768</v>
      </c>
      <c r="B20786" s="2" t="s">
        <v>40769</v>
      </c>
      <c r="C20786" s="2" t="s">
        <v>595</v>
      </c>
      <c r="D20786" s="2" t="s">
        <v>1560</v>
      </c>
      <c r="E20786" s="2" t="str">
        <f>"9783631832981"</f>
        <v>9783631832981</v>
      </c>
      <c r="F20786" s="2" t="str">
        <f>"9783631841303"</f>
        <v>9783631841303</v>
      </c>
    </row>
    <row r="20787" spans="1:6" s="3" customFormat="1" ht="29.1" customHeight="1" x14ac:dyDescent="0.25">
      <c r="A20787" s="2" t="s">
        <v>40770</v>
      </c>
      <c r="B20787" s="2" t="s">
        <v>40771</v>
      </c>
      <c r="C20787" s="2" t="s">
        <v>595</v>
      </c>
      <c r="D20787" s="2" t="s">
        <v>3852</v>
      </c>
      <c r="E20787" s="2" t="str">
        <f>"9783631831533"</f>
        <v>9783631831533</v>
      </c>
      <c r="F20787" s="2" t="str">
        <f>"9783631836415"</f>
        <v>9783631836415</v>
      </c>
    </row>
    <row r="20788" spans="1:6" s="3" customFormat="1" ht="29.1" customHeight="1" x14ac:dyDescent="0.25">
      <c r="A20788" s="2" t="s">
        <v>40772</v>
      </c>
      <c r="B20788" s="2" t="s">
        <v>40773</v>
      </c>
      <c r="C20788" s="2" t="s">
        <v>124</v>
      </c>
      <c r="D20788" s="2" t="s">
        <v>1557</v>
      </c>
      <c r="E20788" s="2" t="str">
        <f>"9780367687281"</f>
        <v>9780367687281</v>
      </c>
      <c r="F20788" s="2" t="str">
        <f>"9781000357929"</f>
        <v>9781000357929</v>
      </c>
    </row>
    <row r="20789" spans="1:6" s="3" customFormat="1" ht="29.1" customHeight="1" x14ac:dyDescent="0.25">
      <c r="A20789" s="2" t="s">
        <v>40774</v>
      </c>
      <c r="B20789" s="2" t="s">
        <v>40775</v>
      </c>
      <c r="C20789" s="2" t="s">
        <v>195</v>
      </c>
      <c r="D20789" s="2" t="s">
        <v>446</v>
      </c>
      <c r="E20789" s="2" t="str">
        <f>"9783110708707"</f>
        <v>9783110708707</v>
      </c>
      <c r="F20789" s="2" t="str">
        <f>"9783110711516"</f>
        <v>9783110711516</v>
      </c>
    </row>
    <row r="20790" spans="1:6" s="3" customFormat="1" ht="29.1" customHeight="1" x14ac:dyDescent="0.25">
      <c r="A20790" s="2" t="s">
        <v>40776</v>
      </c>
      <c r="B20790" s="2" t="s">
        <v>40777</v>
      </c>
      <c r="C20790" s="2" t="s">
        <v>195</v>
      </c>
      <c r="D20790" s="2" t="s">
        <v>218</v>
      </c>
      <c r="E20790" s="2" t="str">
        <f>"9783110680898"</f>
        <v>9783110680898</v>
      </c>
      <c r="F20790" s="2" t="str">
        <f>"9783110681000"</f>
        <v>9783110681000</v>
      </c>
    </row>
    <row r="20791" spans="1:6" s="3" customFormat="1" ht="29.1" customHeight="1" x14ac:dyDescent="0.25">
      <c r="A20791" s="2" t="s">
        <v>40778</v>
      </c>
      <c r="B20791" s="2" t="s">
        <v>40779</v>
      </c>
      <c r="C20791" s="2" t="s">
        <v>27396</v>
      </c>
      <c r="D20791" s="2" t="s">
        <v>553</v>
      </c>
      <c r="E20791" s="2" t="str">
        <f>"9783161555527"</f>
        <v>9783161555527</v>
      </c>
      <c r="F20791" s="2" t="str">
        <f>"9783161601088"</f>
        <v>9783161601088</v>
      </c>
    </row>
    <row r="20792" spans="1:6" s="3" customFormat="1" ht="29.1" customHeight="1" x14ac:dyDescent="0.25">
      <c r="A20792" s="2" t="s">
        <v>40780</v>
      </c>
      <c r="B20792" s="2" t="s">
        <v>40781</v>
      </c>
      <c r="C20792" s="2" t="s">
        <v>556</v>
      </c>
      <c r="D20792" s="2" t="s">
        <v>636</v>
      </c>
      <c r="E20792" s="2" t="str">
        <f>"9783837656091"</f>
        <v>9783837656091</v>
      </c>
      <c r="F20792" s="2" t="str">
        <f>"9783839456095"</f>
        <v>9783839456095</v>
      </c>
    </row>
    <row r="20793" spans="1:6" s="3" customFormat="1" ht="29.1" customHeight="1" x14ac:dyDescent="0.25">
      <c r="A20793" s="2" t="s">
        <v>40782</v>
      </c>
      <c r="B20793" s="2" t="s">
        <v>40783</v>
      </c>
      <c r="C20793" s="2" t="s">
        <v>556</v>
      </c>
      <c r="D20793" s="2" t="s">
        <v>712</v>
      </c>
      <c r="E20793" s="2" t="str">
        <f>"9783837655858"</f>
        <v>9783837655858</v>
      </c>
      <c r="F20793" s="2" t="str">
        <f>"9783839455852"</f>
        <v>9783839455852</v>
      </c>
    </row>
    <row r="20794" spans="1:6" s="3" customFormat="1" ht="29.1" customHeight="1" x14ac:dyDescent="0.25">
      <c r="A20794" s="2" t="s">
        <v>40784</v>
      </c>
      <c r="B20794" s="2" t="s">
        <v>40785</v>
      </c>
      <c r="C20794" s="2" t="s">
        <v>556</v>
      </c>
      <c r="D20794" s="2" t="s">
        <v>1189</v>
      </c>
      <c r="E20794" s="2" t="str">
        <f>"9783837655377"</f>
        <v>9783837655377</v>
      </c>
      <c r="F20794" s="2" t="str">
        <f>"9783839455371"</f>
        <v>9783839455371</v>
      </c>
    </row>
    <row r="20795" spans="1:6" s="3" customFormat="1" ht="29.1" customHeight="1" x14ac:dyDescent="0.25">
      <c r="A20795" s="2" t="s">
        <v>40786</v>
      </c>
      <c r="B20795" s="2" t="s">
        <v>40788</v>
      </c>
      <c r="C20795" s="2" t="s">
        <v>556</v>
      </c>
      <c r="D20795" s="2" t="s">
        <v>40787</v>
      </c>
      <c r="E20795" s="2" t="str">
        <f>"9783837655018"</f>
        <v>9783837655018</v>
      </c>
      <c r="F20795" s="2" t="str">
        <f>"9783839455012"</f>
        <v>9783839455012</v>
      </c>
    </row>
    <row r="20796" spans="1:6" s="3" customFormat="1" ht="29.1" customHeight="1" x14ac:dyDescent="0.25">
      <c r="A20796" s="2" t="s">
        <v>40789</v>
      </c>
      <c r="B20796" s="2" t="s">
        <v>40790</v>
      </c>
      <c r="C20796" s="2" t="s">
        <v>556</v>
      </c>
      <c r="D20796" s="2" t="s">
        <v>7589</v>
      </c>
      <c r="E20796" s="2" t="str">
        <f>"9783837654981"</f>
        <v>9783837654981</v>
      </c>
      <c r="F20796" s="2" t="str">
        <f>"9783839454985"</f>
        <v>9783839454985</v>
      </c>
    </row>
    <row r="20797" spans="1:6" s="3" customFormat="1" ht="29.1" customHeight="1" x14ac:dyDescent="0.25">
      <c r="A20797" s="2" t="s">
        <v>40791</v>
      </c>
      <c r="B20797" s="2" t="s">
        <v>40792</v>
      </c>
      <c r="C20797" s="2" t="s">
        <v>556</v>
      </c>
      <c r="D20797" s="2" t="s">
        <v>1694</v>
      </c>
      <c r="E20797" s="2" t="str">
        <f>"9783837654974"</f>
        <v>9783837654974</v>
      </c>
      <c r="F20797" s="2" t="str">
        <f>"9783839454978"</f>
        <v>9783839454978</v>
      </c>
    </row>
    <row r="20798" spans="1:6" s="3" customFormat="1" ht="29.1" customHeight="1" x14ac:dyDescent="0.25">
      <c r="A20798" s="2" t="s">
        <v>40793</v>
      </c>
      <c r="B20798" s="2" t="s">
        <v>40794</v>
      </c>
      <c r="C20798" s="2" t="s">
        <v>927</v>
      </c>
      <c r="D20798" s="2" t="s">
        <v>270</v>
      </c>
      <c r="E20798" s="2" t="str">
        <f>"9780472038275"</f>
        <v>9780472038275</v>
      </c>
      <c r="F20798" s="2" t="str">
        <f>"9780472127924"</f>
        <v>9780472127924</v>
      </c>
    </row>
    <row r="20799" spans="1:6" s="3" customFormat="1" ht="29.1" customHeight="1" x14ac:dyDescent="0.25">
      <c r="A20799" s="2" t="s">
        <v>40795</v>
      </c>
      <c r="B20799" s="2" t="s">
        <v>40796</v>
      </c>
      <c r="C20799" s="2" t="s">
        <v>927</v>
      </c>
      <c r="D20799" s="2" t="s">
        <v>297</v>
      </c>
      <c r="E20799" s="2" t="str">
        <f>"9780883864173"</f>
        <v>9780883864173</v>
      </c>
      <c r="F20799" s="2" t="str">
        <f>"9780472128174"</f>
        <v>9780472128174</v>
      </c>
    </row>
    <row r="20800" spans="1:6" s="3" customFormat="1" ht="29.1" customHeight="1" x14ac:dyDescent="0.25">
      <c r="A20800" s="2" t="s">
        <v>40797</v>
      </c>
      <c r="B20800" s="2" t="s">
        <v>40798</v>
      </c>
      <c r="C20800" s="2" t="s">
        <v>927</v>
      </c>
      <c r="D20800" s="2" t="s">
        <v>334</v>
      </c>
      <c r="E20800" s="2" t="str">
        <f>"9780472038039"</f>
        <v>9780472038039</v>
      </c>
      <c r="F20800" s="2" t="str">
        <f>"9780472127443"</f>
        <v>9780472127443</v>
      </c>
    </row>
    <row r="20801" spans="1:6" s="3" customFormat="1" ht="29.1" customHeight="1" x14ac:dyDescent="0.25">
      <c r="A20801" s="2" t="s">
        <v>40799</v>
      </c>
      <c r="B20801" s="2" t="s">
        <v>40800</v>
      </c>
      <c r="C20801" s="2" t="s">
        <v>927</v>
      </c>
      <c r="D20801" s="2" t="s">
        <v>210</v>
      </c>
      <c r="E20801" s="2" t="str">
        <f>"9780472038114"</f>
        <v>9780472038114</v>
      </c>
      <c r="F20801" s="2" t="str">
        <f>"9780472127573"</f>
        <v>9780472127573</v>
      </c>
    </row>
    <row r="20802" spans="1:6" s="3" customFormat="1" ht="29.1" customHeight="1" x14ac:dyDescent="0.25">
      <c r="A20802" s="2" t="s">
        <v>40801</v>
      </c>
      <c r="B20802" s="2" t="s">
        <v>40802</v>
      </c>
      <c r="C20802" s="2" t="s">
        <v>264</v>
      </c>
      <c r="D20802" s="2" t="s">
        <v>850</v>
      </c>
      <c r="E20802" s="2" t="str">
        <f>"9781466513174"</f>
        <v>9781466513174</v>
      </c>
      <c r="F20802" s="2" t="str">
        <f>"9781466591127"</f>
        <v>9781466591127</v>
      </c>
    </row>
    <row r="20803" spans="1:6" s="3" customFormat="1" ht="29.1" customHeight="1" x14ac:dyDescent="0.25">
      <c r="A20803" s="2" t="s">
        <v>40803</v>
      </c>
      <c r="B20803" s="2" t="s">
        <v>40804</v>
      </c>
      <c r="C20803" s="2" t="s">
        <v>927</v>
      </c>
      <c r="D20803" s="2" t="s">
        <v>297</v>
      </c>
      <c r="E20803" s="2" t="str">
        <f>"9780472038312"</f>
        <v>9780472038312</v>
      </c>
      <c r="F20803" s="2" t="str">
        <f>"9780472128020"</f>
        <v>9780472128020</v>
      </c>
    </row>
    <row r="20804" spans="1:6" s="3" customFormat="1" ht="29.1" customHeight="1" x14ac:dyDescent="0.25">
      <c r="A20804" s="2" t="s">
        <v>40805</v>
      </c>
      <c r="B20804" s="2" t="s">
        <v>40806</v>
      </c>
      <c r="C20804" s="2" t="s">
        <v>927</v>
      </c>
      <c r="D20804" s="2" t="s">
        <v>334</v>
      </c>
      <c r="E20804" s="2" t="str">
        <f>"9780891480532"</f>
        <v>9780891480532</v>
      </c>
      <c r="F20804" s="2" t="str">
        <f>"9780472128181"</f>
        <v>9780472128181</v>
      </c>
    </row>
    <row r="20805" spans="1:6" s="3" customFormat="1" ht="29.1" customHeight="1" x14ac:dyDescent="0.25">
      <c r="A20805" s="2" t="s">
        <v>40807</v>
      </c>
      <c r="B20805" s="2" t="s">
        <v>40808</v>
      </c>
      <c r="C20805" s="2" t="s">
        <v>927</v>
      </c>
      <c r="D20805" s="2" t="s">
        <v>297</v>
      </c>
      <c r="E20805" s="2" t="str">
        <f>"9780472038169"</f>
        <v>9780472038169</v>
      </c>
      <c r="F20805" s="2" t="str">
        <f>"9780472127634"</f>
        <v>9780472127634</v>
      </c>
    </row>
    <row r="20806" spans="1:6" s="3" customFormat="1" ht="29.1" customHeight="1" x14ac:dyDescent="0.25">
      <c r="A20806" s="2" t="s">
        <v>40809</v>
      </c>
      <c r="B20806" s="2" t="s">
        <v>40810</v>
      </c>
      <c r="C20806" s="2" t="s">
        <v>927</v>
      </c>
      <c r="D20806" s="2" t="s">
        <v>270</v>
      </c>
      <c r="E20806" s="2" t="str">
        <f>"9780472038480"</f>
        <v>9780472038480</v>
      </c>
      <c r="F20806" s="2" t="str">
        <f>"9780472128563"</f>
        <v>9780472128563</v>
      </c>
    </row>
    <row r="20807" spans="1:6" s="3" customFormat="1" ht="29.1" customHeight="1" x14ac:dyDescent="0.25">
      <c r="A20807" s="2" t="s">
        <v>40811</v>
      </c>
      <c r="B20807" s="2" t="s">
        <v>40812</v>
      </c>
      <c r="C20807" s="2" t="s">
        <v>55</v>
      </c>
      <c r="D20807" s="2" t="s">
        <v>215</v>
      </c>
      <c r="E20807" s="2" t="str">
        <f>"9781526101495"</f>
        <v>9781526101495</v>
      </c>
      <c r="F20807" s="2" t="str">
        <f>"9781526101501"</f>
        <v>9781526101501</v>
      </c>
    </row>
    <row r="20808" spans="1:6" s="3" customFormat="1" ht="29.1" customHeight="1" x14ac:dyDescent="0.25">
      <c r="A20808" s="2" t="s">
        <v>40813</v>
      </c>
      <c r="B20808" s="2" t="s">
        <v>40814</v>
      </c>
      <c r="C20808" s="2" t="s">
        <v>27805</v>
      </c>
      <c r="D20808" s="2" t="s">
        <v>1902</v>
      </c>
      <c r="E20808" s="2" t="str">
        <f>"9783832552329"</f>
        <v>9783832552329</v>
      </c>
      <c r="F20808" s="2" t="str">
        <f>"9783832586232"</f>
        <v>9783832586232</v>
      </c>
    </row>
    <row r="20809" spans="1:6" s="3" customFormat="1" ht="29.1" customHeight="1" x14ac:dyDescent="0.25">
      <c r="A20809" s="2" t="s">
        <v>40815</v>
      </c>
      <c r="B20809" s="2"/>
      <c r="C20809" s="2" t="s">
        <v>7395</v>
      </c>
      <c r="D20809" s="2" t="s">
        <v>40816</v>
      </c>
      <c r="E20809" s="2" t="str">
        <f>"9780295748344"</f>
        <v>9780295748344</v>
      </c>
      <c r="F20809" s="2" t="str">
        <f>"9780295748368"</f>
        <v>9780295748368</v>
      </c>
    </row>
    <row r="20810" spans="1:6" s="3" customFormat="1" ht="29.1" customHeight="1" x14ac:dyDescent="0.25">
      <c r="A20810" s="2" t="s">
        <v>40817</v>
      </c>
      <c r="B20810" s="2" t="s">
        <v>40818</v>
      </c>
      <c r="C20810" s="2" t="s">
        <v>124</v>
      </c>
      <c r="D20810" s="2" t="s">
        <v>6548</v>
      </c>
      <c r="E20810" s="2" t="str">
        <f>"9780367257828"</f>
        <v>9780367257828</v>
      </c>
      <c r="F20810" s="2" t="str">
        <f>"9781000359572"</f>
        <v>9781000359572</v>
      </c>
    </row>
    <row r="20811" spans="1:6" s="3" customFormat="1" ht="29.1" customHeight="1" x14ac:dyDescent="0.25">
      <c r="A20811" s="2" t="s">
        <v>40819</v>
      </c>
      <c r="B20811" s="2" t="s">
        <v>40820</v>
      </c>
      <c r="C20811" s="2" t="s">
        <v>149</v>
      </c>
      <c r="D20811" s="2" t="s">
        <v>1124</v>
      </c>
      <c r="E20811" s="2" t="str">
        <f>"9781783749140"</f>
        <v>9781783749140</v>
      </c>
      <c r="F20811" s="2" t="str">
        <f>"9781783749164"</f>
        <v>9781783749164</v>
      </c>
    </row>
    <row r="20812" spans="1:6" s="3" customFormat="1" ht="29.1" customHeight="1" x14ac:dyDescent="0.25">
      <c r="A20812" s="2" t="s">
        <v>40821</v>
      </c>
      <c r="B20812" s="2" t="s">
        <v>40822</v>
      </c>
      <c r="C20812" s="2" t="s">
        <v>149</v>
      </c>
      <c r="D20812" s="2" t="s">
        <v>712</v>
      </c>
      <c r="E20812" s="2" t="str">
        <f>"9781800640412"</f>
        <v>9781800640412</v>
      </c>
      <c r="F20812" s="2" t="str">
        <f>"9781800640436"</f>
        <v>9781800640436</v>
      </c>
    </row>
    <row r="20813" spans="1:6" s="3" customFormat="1" ht="29.1" customHeight="1" x14ac:dyDescent="0.25">
      <c r="A20813" s="2" t="s">
        <v>40823</v>
      </c>
      <c r="B20813" s="2" t="s">
        <v>40824</v>
      </c>
      <c r="C20813" s="2" t="s">
        <v>124</v>
      </c>
      <c r="D20813" s="2" t="s">
        <v>906</v>
      </c>
      <c r="E20813" s="2" t="str">
        <f>"9781041176664"</f>
        <v>9781041176664</v>
      </c>
      <c r="F20813" s="2" t="str">
        <f>"9781040788424"</f>
        <v>9781040788424</v>
      </c>
    </row>
    <row r="20814" spans="1:6" s="3" customFormat="1" ht="29.1" customHeight="1" x14ac:dyDescent="0.25">
      <c r="A20814" s="2" t="s">
        <v>40825</v>
      </c>
      <c r="B20814" s="2" t="s">
        <v>40826</v>
      </c>
      <c r="C20814" s="2" t="s">
        <v>27396</v>
      </c>
      <c r="D20814" s="2" t="s">
        <v>5021</v>
      </c>
      <c r="E20814" s="2" t="str">
        <f>"9783161598227"</f>
        <v>9783161598227</v>
      </c>
      <c r="F20814" s="2" t="str">
        <f>"9783161598234"</f>
        <v>9783161598234</v>
      </c>
    </row>
    <row r="20815" spans="1:6" s="3" customFormat="1" ht="29.1" customHeight="1" x14ac:dyDescent="0.25">
      <c r="A20815" s="2" t="s">
        <v>40827</v>
      </c>
      <c r="B20815" s="2" t="s">
        <v>40828</v>
      </c>
      <c r="C20815" s="2" t="s">
        <v>27396</v>
      </c>
      <c r="D20815" s="2" t="s">
        <v>3943</v>
      </c>
      <c r="E20815" s="2" t="str">
        <f>"9783161593024"</f>
        <v>9783161593024</v>
      </c>
      <c r="F20815" s="2" t="str">
        <f>"9783161593031"</f>
        <v>9783161593031</v>
      </c>
    </row>
    <row r="20816" spans="1:6" s="3" customFormat="1" ht="29.1" customHeight="1" x14ac:dyDescent="0.25">
      <c r="A20816" s="2" t="s">
        <v>40829</v>
      </c>
      <c r="B20816" s="2" t="s">
        <v>40830</v>
      </c>
      <c r="C20816" s="2" t="s">
        <v>27396</v>
      </c>
      <c r="D20816" s="2" t="s">
        <v>5021</v>
      </c>
      <c r="E20816" s="2" t="str">
        <f>"9783161533228"</f>
        <v>9783161533228</v>
      </c>
      <c r="F20816" s="2" t="str">
        <f>"9783161597312"</f>
        <v>9783161597312</v>
      </c>
    </row>
    <row r="20817" spans="1:6" s="3" customFormat="1" ht="29.1" customHeight="1" x14ac:dyDescent="0.25">
      <c r="A20817" s="2" t="s">
        <v>40831</v>
      </c>
      <c r="B20817" s="2" t="s">
        <v>40832</v>
      </c>
      <c r="C20817" s="2" t="s">
        <v>7395</v>
      </c>
      <c r="D20817" s="2" t="s">
        <v>1733</v>
      </c>
      <c r="E20817" s="2" t="str">
        <f>"9780295748375"</f>
        <v>9780295748375</v>
      </c>
      <c r="F20817" s="2" t="str">
        <f>"9780295748399"</f>
        <v>9780295748399</v>
      </c>
    </row>
    <row r="20818" spans="1:6" s="3" customFormat="1" ht="29.1" customHeight="1" x14ac:dyDescent="0.25">
      <c r="A20818" s="2" t="s">
        <v>40833</v>
      </c>
      <c r="B20818" s="2" t="s">
        <v>40834</v>
      </c>
      <c r="C20818" s="2" t="s">
        <v>2129</v>
      </c>
      <c r="D20818" s="2" t="s">
        <v>1082</v>
      </c>
      <c r="E20818" s="2" t="str">
        <f>"9781438485720"</f>
        <v>9781438485720</v>
      </c>
      <c r="F20818" s="2" t="str">
        <f>"9781438485744"</f>
        <v>9781438485744</v>
      </c>
    </row>
    <row r="20819" spans="1:6" s="3" customFormat="1" ht="29.1" customHeight="1" x14ac:dyDescent="0.25">
      <c r="A20819" s="2" t="s">
        <v>40835</v>
      </c>
      <c r="B20819" s="2" t="s">
        <v>40836</v>
      </c>
      <c r="C20819" s="2" t="s">
        <v>2129</v>
      </c>
      <c r="D20819" s="2" t="s">
        <v>553</v>
      </c>
      <c r="E20819" s="2" t="str">
        <f>"9781438485904"</f>
        <v>9781438485904</v>
      </c>
      <c r="F20819" s="2" t="str">
        <f>"9781438485928"</f>
        <v>9781438485928</v>
      </c>
    </row>
    <row r="20820" spans="1:6" s="3" customFormat="1" ht="29.1" customHeight="1" x14ac:dyDescent="0.25">
      <c r="A20820" s="2" t="s">
        <v>40837</v>
      </c>
      <c r="B20820" s="2" t="s">
        <v>40838</v>
      </c>
      <c r="C20820" s="2" t="s">
        <v>195</v>
      </c>
      <c r="D20820" s="2" t="s">
        <v>446</v>
      </c>
      <c r="E20820" s="2" t="str">
        <f>"9783110713077"</f>
        <v>9783110713077</v>
      </c>
      <c r="F20820" s="2" t="str">
        <f>"9783110713824"</f>
        <v>9783110713824</v>
      </c>
    </row>
    <row r="20821" spans="1:6" s="3" customFormat="1" ht="29.1" customHeight="1" x14ac:dyDescent="0.25">
      <c r="A20821" s="2" t="s">
        <v>40839</v>
      </c>
      <c r="B20821" s="2" t="s">
        <v>40840</v>
      </c>
      <c r="C20821" s="2" t="s">
        <v>8104</v>
      </c>
      <c r="D20821" s="2" t="s">
        <v>1416</v>
      </c>
      <c r="E20821" s="2" t="str">
        <f>"9781789209679"</f>
        <v>9781789209679</v>
      </c>
      <c r="F20821" s="2" t="str">
        <f>"9781789209686"</f>
        <v>9781789209686</v>
      </c>
    </row>
    <row r="20822" spans="1:6" s="3" customFormat="1" ht="29.1" customHeight="1" x14ac:dyDescent="0.25">
      <c r="A20822" s="2" t="s">
        <v>40841</v>
      </c>
      <c r="B20822" s="2" t="s">
        <v>40842</v>
      </c>
      <c r="C20822" s="2" t="s">
        <v>8104</v>
      </c>
      <c r="D20822" s="2" t="s">
        <v>636</v>
      </c>
      <c r="E20822" s="2" t="str">
        <f>"9781800731332"</f>
        <v>9781800731332</v>
      </c>
      <c r="F20822" s="2" t="str">
        <f>"9781800731349"</f>
        <v>9781800731349</v>
      </c>
    </row>
    <row r="20823" spans="1:6" s="3" customFormat="1" ht="29.1" customHeight="1" x14ac:dyDescent="0.25">
      <c r="A20823" s="2" t="s">
        <v>1521</v>
      </c>
      <c r="B20823" s="2" t="s">
        <v>40843</v>
      </c>
      <c r="C20823" s="2" t="s">
        <v>1070</v>
      </c>
      <c r="D20823" s="2" t="s">
        <v>1071</v>
      </c>
      <c r="E20823" s="2" t="str">
        <f>"9781912776733"</f>
        <v>9781912776733</v>
      </c>
      <c r="F20823" s="2" t="str">
        <f>"9781912776740"</f>
        <v>9781912776740</v>
      </c>
    </row>
    <row r="20824" spans="1:6" s="3" customFormat="1" ht="29.1" customHeight="1" x14ac:dyDescent="0.25">
      <c r="A20824" s="2" t="s">
        <v>40844</v>
      </c>
      <c r="B20824" s="2" t="s">
        <v>40845</v>
      </c>
      <c r="C20824" s="2" t="s">
        <v>885</v>
      </c>
      <c r="D20824" s="2" t="s">
        <v>5032</v>
      </c>
      <c r="E20824" s="2" t="str">
        <f>"9781487507701"</f>
        <v>9781487507701</v>
      </c>
      <c r="F20824" s="2" t="str">
        <f>"9781487536770"</f>
        <v>9781487536770</v>
      </c>
    </row>
    <row r="20825" spans="1:6" s="3" customFormat="1" ht="29.1" customHeight="1" x14ac:dyDescent="0.25">
      <c r="A20825" s="2" t="s">
        <v>40846</v>
      </c>
      <c r="B20825" s="2" t="s">
        <v>40847</v>
      </c>
      <c r="C20825" s="2" t="s">
        <v>36</v>
      </c>
      <c r="D20825" s="2" t="s">
        <v>6559</v>
      </c>
      <c r="E20825" s="2" t="str">
        <f>"9781529215311"</f>
        <v>9781529215311</v>
      </c>
      <c r="F20825" s="2" t="str">
        <f>"9781529215335"</f>
        <v>9781529215335</v>
      </c>
    </row>
    <row r="20826" spans="1:6" s="3" customFormat="1" ht="29.1" customHeight="1" x14ac:dyDescent="0.25">
      <c r="A20826" s="2" t="s">
        <v>40848</v>
      </c>
      <c r="B20826" s="2" t="s">
        <v>40849</v>
      </c>
      <c r="C20826" s="2" t="s">
        <v>62</v>
      </c>
      <c r="D20826" s="2" t="s">
        <v>998</v>
      </c>
      <c r="E20826" s="2" t="str">
        <f>"9783428181667"</f>
        <v>9783428181667</v>
      </c>
      <c r="F20826" s="2" t="str">
        <f>"9783428581665"</f>
        <v>9783428581665</v>
      </c>
    </row>
    <row r="20827" spans="1:6" s="3" customFormat="1" ht="29.1" customHeight="1" x14ac:dyDescent="0.25">
      <c r="A20827" s="2" t="s">
        <v>40850</v>
      </c>
      <c r="B20827" s="2" t="s">
        <v>40851</v>
      </c>
      <c r="C20827" s="2" t="s">
        <v>595</v>
      </c>
      <c r="D20827" s="2" t="s">
        <v>210</v>
      </c>
      <c r="E20827" s="2" t="str">
        <f>"9783631825907"</f>
        <v>9783631825907</v>
      </c>
      <c r="F20827" s="2" t="str">
        <f>"9783631835098"</f>
        <v>9783631835098</v>
      </c>
    </row>
    <row r="20828" spans="1:6" s="3" customFormat="1" ht="29.1" customHeight="1" x14ac:dyDescent="0.25">
      <c r="A20828" s="2" t="s">
        <v>40852</v>
      </c>
      <c r="B20828" s="2" t="s">
        <v>40853</v>
      </c>
      <c r="C20828" s="2" t="s">
        <v>927</v>
      </c>
      <c r="D20828" s="2" t="s">
        <v>8788</v>
      </c>
      <c r="E20828" s="2" t="str">
        <f>"9780472038206"</f>
        <v>9780472038206</v>
      </c>
      <c r="F20828" s="2" t="str">
        <f>"9780472127702"</f>
        <v>9780472127702</v>
      </c>
    </row>
    <row r="20829" spans="1:6" s="3" customFormat="1" ht="29.1" customHeight="1" x14ac:dyDescent="0.25">
      <c r="A20829" s="2" t="s">
        <v>40854</v>
      </c>
      <c r="B20829" s="2" t="s">
        <v>40856</v>
      </c>
      <c r="C20829" s="2" t="s">
        <v>4788</v>
      </c>
      <c r="D20829" s="2" t="s">
        <v>40855</v>
      </c>
      <c r="E20829" s="2" t="str">
        <f>"9781474473866"</f>
        <v>9781474473866</v>
      </c>
      <c r="F20829" s="2" t="str">
        <f>"9781474473880"</f>
        <v>9781474473880</v>
      </c>
    </row>
    <row r="20830" spans="1:6" s="3" customFormat="1" ht="29.1" customHeight="1" x14ac:dyDescent="0.25">
      <c r="A20830" s="2" t="s">
        <v>40857</v>
      </c>
      <c r="B20830" s="2" t="s">
        <v>40858</v>
      </c>
      <c r="C20830" s="2" t="s">
        <v>4788</v>
      </c>
      <c r="D20830" s="2" t="s">
        <v>3993</v>
      </c>
      <c r="E20830" s="2" t="str">
        <f>"9781474461443"</f>
        <v>9781474461443</v>
      </c>
      <c r="F20830" s="2" t="str">
        <f>"9781474461467"</f>
        <v>9781474461467</v>
      </c>
    </row>
    <row r="20831" spans="1:6" s="3" customFormat="1" ht="29.1" customHeight="1" x14ac:dyDescent="0.25">
      <c r="A20831" s="2" t="s">
        <v>40859</v>
      </c>
      <c r="B20831" s="2" t="s">
        <v>40860</v>
      </c>
      <c r="C20831" s="2" t="s">
        <v>4788</v>
      </c>
      <c r="D20831" s="2" t="s">
        <v>324</v>
      </c>
      <c r="E20831" s="2" t="str">
        <f>"9781474478397"</f>
        <v>9781474478397</v>
      </c>
      <c r="F20831" s="2" t="str">
        <f>"9781474478427"</f>
        <v>9781474478427</v>
      </c>
    </row>
    <row r="20832" spans="1:6" s="3" customFormat="1" ht="29.1" customHeight="1" x14ac:dyDescent="0.25">
      <c r="A20832" s="2" t="s">
        <v>40861</v>
      </c>
      <c r="B20832" s="2" t="s">
        <v>40862</v>
      </c>
      <c r="C20832" s="2" t="s">
        <v>4788</v>
      </c>
      <c r="D20832" s="2" t="s">
        <v>4700</v>
      </c>
      <c r="E20832" s="2" t="str">
        <f>"9781474451000"</f>
        <v>9781474451000</v>
      </c>
      <c r="F20832" s="2" t="str">
        <f>"9781474451024"</f>
        <v>9781474451024</v>
      </c>
    </row>
    <row r="20833" spans="1:6" s="3" customFormat="1" ht="29.1" customHeight="1" x14ac:dyDescent="0.25">
      <c r="A20833" s="2" t="s">
        <v>40863</v>
      </c>
      <c r="B20833" s="2" t="s">
        <v>40864</v>
      </c>
      <c r="C20833" s="2" t="s">
        <v>8047</v>
      </c>
      <c r="D20833" s="2" t="s">
        <v>29812</v>
      </c>
      <c r="E20833" s="2" t="str">
        <f>"9780271087139"</f>
        <v>9780271087139</v>
      </c>
      <c r="F20833" s="2" t="str">
        <f>"9780271087399"</f>
        <v>9780271087399</v>
      </c>
    </row>
    <row r="20834" spans="1:6" s="3" customFormat="1" ht="29.1" customHeight="1" x14ac:dyDescent="0.25">
      <c r="A20834" s="2" t="s">
        <v>40852</v>
      </c>
      <c r="B20834" s="2" t="s">
        <v>40853</v>
      </c>
      <c r="C20834" s="2" t="s">
        <v>927</v>
      </c>
      <c r="D20834" s="2" t="s">
        <v>8788</v>
      </c>
      <c r="E20834" s="2" t="str">
        <f>"9780472038183"</f>
        <v>9780472038183</v>
      </c>
      <c r="F20834" s="2" t="str">
        <f>"9780472127689"</f>
        <v>9780472127689</v>
      </c>
    </row>
    <row r="20835" spans="1:6" s="3" customFormat="1" ht="29.1" customHeight="1" x14ac:dyDescent="0.25">
      <c r="A20835" s="2" t="s">
        <v>40865</v>
      </c>
      <c r="B20835" s="2" t="s">
        <v>40866</v>
      </c>
      <c r="C20835" s="2" t="s">
        <v>927</v>
      </c>
      <c r="D20835" s="2" t="s">
        <v>297</v>
      </c>
      <c r="E20835" s="2" t="str">
        <f>"9780892640591"</f>
        <v>9780892640591</v>
      </c>
      <c r="F20835" s="2" t="str">
        <f>"9780472127917"</f>
        <v>9780472127917</v>
      </c>
    </row>
    <row r="20836" spans="1:6" s="3" customFormat="1" ht="29.1" customHeight="1" x14ac:dyDescent="0.25">
      <c r="A20836" s="2" t="s">
        <v>40867</v>
      </c>
      <c r="B20836" s="2" t="s">
        <v>40868</v>
      </c>
      <c r="C20836" s="2" t="s">
        <v>927</v>
      </c>
      <c r="D20836" s="2" t="s">
        <v>270</v>
      </c>
      <c r="E20836" s="2" t="str">
        <f>"9780472038398"</f>
        <v>9780472038398</v>
      </c>
      <c r="F20836" s="2" t="str">
        <f>"9780472128204"</f>
        <v>9780472128204</v>
      </c>
    </row>
    <row r="20837" spans="1:6" s="3" customFormat="1" ht="29.1" customHeight="1" x14ac:dyDescent="0.25">
      <c r="A20837" s="2" t="s">
        <v>40869</v>
      </c>
      <c r="B20837" s="2" t="s">
        <v>40870</v>
      </c>
      <c r="C20837" s="2" t="s">
        <v>927</v>
      </c>
      <c r="D20837" s="2" t="s">
        <v>210</v>
      </c>
      <c r="E20837" s="2" t="str">
        <f>"9780472038350"</f>
        <v>9780472038350</v>
      </c>
      <c r="F20837" s="2" t="str">
        <f>"9780472128129"</f>
        <v>9780472128129</v>
      </c>
    </row>
    <row r="20838" spans="1:6" s="3" customFormat="1" ht="29.1" customHeight="1" x14ac:dyDescent="0.25">
      <c r="A20838" s="2" t="s">
        <v>40871</v>
      </c>
      <c r="B20838" s="2" t="s">
        <v>40872</v>
      </c>
      <c r="C20838" s="2" t="s">
        <v>927</v>
      </c>
      <c r="D20838" s="2" t="s">
        <v>297</v>
      </c>
      <c r="E20838" s="2" t="str">
        <f>"9780939512287"</f>
        <v>9780939512287</v>
      </c>
      <c r="F20838" s="2" t="str">
        <f>"9780472880010"</f>
        <v>9780472880010</v>
      </c>
    </row>
    <row r="20839" spans="1:6" s="3" customFormat="1" ht="29.1" customHeight="1" x14ac:dyDescent="0.25">
      <c r="A20839" s="2" t="s">
        <v>40873</v>
      </c>
      <c r="B20839" s="2" t="s">
        <v>40874</v>
      </c>
      <c r="C20839" s="2" t="s">
        <v>927</v>
      </c>
      <c r="D20839" s="2" t="s">
        <v>210</v>
      </c>
      <c r="E20839" s="2" t="str">
        <f>"9780883864913"</f>
        <v>9780883864913</v>
      </c>
      <c r="F20839" s="2" t="str">
        <f>"9780472128280"</f>
        <v>9780472128280</v>
      </c>
    </row>
    <row r="20840" spans="1:6" s="3" customFormat="1" ht="29.1" customHeight="1" x14ac:dyDescent="0.25">
      <c r="A20840" s="2" t="s">
        <v>40875</v>
      </c>
      <c r="B20840" s="2" t="s">
        <v>40876</v>
      </c>
      <c r="C20840" s="2" t="s">
        <v>927</v>
      </c>
      <c r="D20840" s="2" t="s">
        <v>210</v>
      </c>
      <c r="E20840" s="2" t="str">
        <f>"9780472038428"</f>
        <v>9780472038428</v>
      </c>
      <c r="F20840" s="2" t="str">
        <f>"9780472128259"</f>
        <v>9780472128259</v>
      </c>
    </row>
    <row r="20841" spans="1:6" s="3" customFormat="1" ht="29.1" customHeight="1" x14ac:dyDescent="0.25">
      <c r="A20841" s="2" t="s">
        <v>40877</v>
      </c>
      <c r="B20841" s="2" t="s">
        <v>40878</v>
      </c>
      <c r="C20841" s="2" t="s">
        <v>927</v>
      </c>
      <c r="D20841" s="2" t="s">
        <v>210</v>
      </c>
      <c r="E20841" s="2" t="str">
        <f>"9780472038015"</f>
        <v>9780472038015</v>
      </c>
      <c r="F20841" s="2" t="str">
        <f>"9780472127412"</f>
        <v>9780472127412</v>
      </c>
    </row>
    <row r="20842" spans="1:6" s="3" customFormat="1" ht="29.1" customHeight="1" x14ac:dyDescent="0.25">
      <c r="A20842" s="2" t="s">
        <v>40879</v>
      </c>
      <c r="B20842" s="2" t="s">
        <v>40880</v>
      </c>
      <c r="C20842" s="2" t="s">
        <v>927</v>
      </c>
      <c r="D20842" s="2" t="s">
        <v>210</v>
      </c>
      <c r="E20842" s="2" t="str">
        <f>"9780472038268"</f>
        <v>9780472038268</v>
      </c>
      <c r="F20842" s="2" t="str">
        <f>"9780472127900"</f>
        <v>9780472127900</v>
      </c>
    </row>
    <row r="20843" spans="1:6" s="3" customFormat="1" ht="29.1" customHeight="1" x14ac:dyDescent="0.25">
      <c r="A20843" s="2" t="s">
        <v>40881</v>
      </c>
      <c r="B20843" s="2" t="s">
        <v>40882</v>
      </c>
      <c r="C20843" s="2" t="s">
        <v>927</v>
      </c>
      <c r="D20843" s="2" t="s">
        <v>297</v>
      </c>
      <c r="E20843" s="2" t="str">
        <f>"9780891480112"</f>
        <v>9780891480112</v>
      </c>
      <c r="F20843" s="2" t="str">
        <f>"9780472127993"</f>
        <v>9780472127993</v>
      </c>
    </row>
    <row r="20844" spans="1:6" s="3" customFormat="1" ht="29.1" customHeight="1" x14ac:dyDescent="0.25">
      <c r="A20844" s="2" t="s">
        <v>40883</v>
      </c>
      <c r="B20844" s="2" t="s">
        <v>40884</v>
      </c>
      <c r="C20844" s="2" t="s">
        <v>927</v>
      </c>
      <c r="D20844" s="2" t="s">
        <v>12194</v>
      </c>
      <c r="E20844" s="2" t="str">
        <f>"9780891480044"</f>
        <v>9780891480044</v>
      </c>
      <c r="F20844" s="2" t="str">
        <f>"9780472128327"</f>
        <v>9780472128327</v>
      </c>
    </row>
    <row r="20845" spans="1:6" s="3" customFormat="1" ht="29.1" customHeight="1" x14ac:dyDescent="0.25">
      <c r="A20845" s="2" t="s">
        <v>40885</v>
      </c>
      <c r="B20845" s="2" t="s">
        <v>40886</v>
      </c>
      <c r="C20845" s="2" t="s">
        <v>927</v>
      </c>
      <c r="D20845" s="2" t="s">
        <v>210</v>
      </c>
      <c r="E20845" s="2" t="str">
        <f>"9780891480037"</f>
        <v>9780891480037</v>
      </c>
      <c r="F20845" s="2" t="str">
        <f>"9780472128273"</f>
        <v>9780472128273</v>
      </c>
    </row>
    <row r="20846" spans="1:6" s="3" customFormat="1" ht="29.1" customHeight="1" x14ac:dyDescent="0.25">
      <c r="A20846" s="2" t="s">
        <v>40887</v>
      </c>
      <c r="B20846" s="2" t="s">
        <v>40888</v>
      </c>
      <c r="C20846" s="2" t="s">
        <v>927</v>
      </c>
      <c r="D20846" s="2" t="s">
        <v>8788</v>
      </c>
      <c r="E20846" s="2" t="str">
        <f>"9780472038022"</f>
        <v>9780472038022</v>
      </c>
      <c r="F20846" s="2" t="str">
        <f>"9780472127429"</f>
        <v>9780472127429</v>
      </c>
    </row>
    <row r="20847" spans="1:6" s="3" customFormat="1" ht="29.1" customHeight="1" x14ac:dyDescent="0.25">
      <c r="A20847" s="2" t="s">
        <v>40889</v>
      </c>
      <c r="B20847" s="2" t="s">
        <v>40890</v>
      </c>
      <c r="C20847" s="2" t="s">
        <v>927</v>
      </c>
      <c r="D20847" s="2" t="s">
        <v>210</v>
      </c>
      <c r="E20847" s="2" t="str">
        <f>"9780472038435"</f>
        <v>9780472038435</v>
      </c>
      <c r="F20847" s="2" t="str">
        <f>"9780472128266"</f>
        <v>9780472128266</v>
      </c>
    </row>
    <row r="20848" spans="1:6" s="3" customFormat="1" ht="29.1" customHeight="1" x14ac:dyDescent="0.25">
      <c r="A20848" s="2" t="s">
        <v>40891</v>
      </c>
      <c r="B20848" s="2" t="s">
        <v>40892</v>
      </c>
      <c r="C20848" s="2" t="s">
        <v>927</v>
      </c>
      <c r="D20848" s="2" t="s">
        <v>210</v>
      </c>
      <c r="E20848" s="2" t="str">
        <f>"9780472038367"</f>
        <v>9780472038367</v>
      </c>
      <c r="F20848" s="2" t="str">
        <f>"9780472128136"</f>
        <v>9780472128136</v>
      </c>
    </row>
    <row r="20849" spans="1:6" s="3" customFormat="1" ht="29.1" customHeight="1" x14ac:dyDescent="0.25">
      <c r="A20849" s="2" t="s">
        <v>40893</v>
      </c>
      <c r="B20849" s="2" t="s">
        <v>40894</v>
      </c>
      <c r="C20849" s="2" t="s">
        <v>927</v>
      </c>
      <c r="D20849" s="2" t="s">
        <v>12194</v>
      </c>
      <c r="E20849" s="2" t="str">
        <f>"9780472038404"</f>
        <v>9780472038404</v>
      </c>
      <c r="F20849" s="2" t="str">
        <f>"9780472128211"</f>
        <v>9780472128211</v>
      </c>
    </row>
    <row r="20850" spans="1:6" s="3" customFormat="1" ht="29.1" customHeight="1" x14ac:dyDescent="0.25">
      <c r="A20850" s="2" t="s">
        <v>36652</v>
      </c>
      <c r="B20850" s="2" t="s">
        <v>36653</v>
      </c>
      <c r="C20850" s="2" t="s">
        <v>149</v>
      </c>
      <c r="D20850" s="2" t="s">
        <v>2104</v>
      </c>
      <c r="E20850" s="2" t="str">
        <f>"9781783748334"</f>
        <v>9781783748334</v>
      </c>
      <c r="F20850" s="2" t="str">
        <f>"9781783748358"</f>
        <v>9781783748358</v>
      </c>
    </row>
    <row r="20851" spans="1:6" s="3" customFormat="1" ht="29.1" customHeight="1" x14ac:dyDescent="0.25">
      <c r="A20851" s="2" t="s">
        <v>40895</v>
      </c>
      <c r="B20851" s="2" t="s">
        <v>40896</v>
      </c>
      <c r="C20851" s="2" t="s">
        <v>149</v>
      </c>
      <c r="D20851" s="2" t="s">
        <v>2433</v>
      </c>
      <c r="E20851" s="2" t="str">
        <f>"9781783749591"</f>
        <v>9781783749591</v>
      </c>
      <c r="F20851" s="2" t="str">
        <f>"9781783749386"</f>
        <v>9781783749386</v>
      </c>
    </row>
    <row r="20852" spans="1:6" s="3" customFormat="1" ht="29.1" customHeight="1" x14ac:dyDescent="0.25">
      <c r="A20852" s="2" t="s">
        <v>40897</v>
      </c>
      <c r="B20852" s="2" t="s">
        <v>40898</v>
      </c>
      <c r="C20852" s="2" t="s">
        <v>149</v>
      </c>
      <c r="D20852" s="2" t="s">
        <v>12255</v>
      </c>
      <c r="E20852" s="2" t="str">
        <f>"9781800640771"</f>
        <v>9781800640771</v>
      </c>
      <c r="F20852" s="2" t="str">
        <f>"9781800640795"</f>
        <v>9781800640795</v>
      </c>
    </row>
    <row r="20853" spans="1:6" s="3" customFormat="1" ht="29.1" customHeight="1" x14ac:dyDescent="0.25">
      <c r="A20853" s="2" t="s">
        <v>40899</v>
      </c>
      <c r="B20853" s="2" t="s">
        <v>40901</v>
      </c>
      <c r="C20853" s="2" t="s">
        <v>149</v>
      </c>
      <c r="D20853" s="2" t="s">
        <v>40900</v>
      </c>
      <c r="E20853" s="2" t="str">
        <f>"9781800640832"</f>
        <v>9781800640832</v>
      </c>
      <c r="F20853" s="2" t="str">
        <f>"9781800640856"</f>
        <v>9781800640856</v>
      </c>
    </row>
    <row r="20854" spans="1:6" s="3" customFormat="1" ht="29.1" customHeight="1" x14ac:dyDescent="0.25">
      <c r="A20854" s="2" t="s">
        <v>40902</v>
      </c>
      <c r="B20854" s="2" t="s">
        <v>40903</v>
      </c>
      <c r="C20854" s="2" t="s">
        <v>15885</v>
      </c>
      <c r="D20854" s="2" t="s">
        <v>5794</v>
      </c>
      <c r="E20854" s="2" t="str">
        <f>"9781683401681"</f>
        <v>9781683401681</v>
      </c>
      <c r="F20854" s="2" t="str">
        <f>"9781683401988"</f>
        <v>9781683401988</v>
      </c>
    </row>
    <row r="20855" spans="1:6" s="3" customFormat="1" ht="29.1" customHeight="1" x14ac:dyDescent="0.25">
      <c r="A20855" s="2" t="s">
        <v>40904</v>
      </c>
      <c r="B20855" s="2" t="s">
        <v>40905</v>
      </c>
      <c r="C20855" s="2" t="s">
        <v>15181</v>
      </c>
      <c r="D20855" s="2" t="s">
        <v>1669</v>
      </c>
      <c r="E20855" s="2" t="str">
        <f>"9789633863800"</f>
        <v>9789633863800</v>
      </c>
      <c r="F20855" s="2" t="str">
        <f>"9789633863817"</f>
        <v>9789633863817</v>
      </c>
    </row>
    <row r="20856" spans="1:6" s="3" customFormat="1" ht="29.1" customHeight="1" x14ac:dyDescent="0.25">
      <c r="A20856" s="2" t="s">
        <v>40906</v>
      </c>
      <c r="B20856" s="2" t="s">
        <v>40907</v>
      </c>
      <c r="C20856" s="2" t="s">
        <v>264</v>
      </c>
      <c r="D20856" s="2" t="s">
        <v>758</v>
      </c>
      <c r="E20856" s="2" t="str">
        <f>"9780367769864"</f>
        <v>9780367769864</v>
      </c>
      <c r="F20856" s="2" t="str">
        <f>"9781000393460"</f>
        <v>9781000393460</v>
      </c>
    </row>
    <row r="20857" spans="1:6" s="3" customFormat="1" ht="29.1" customHeight="1" x14ac:dyDescent="0.25">
      <c r="A20857" s="2" t="s">
        <v>40908</v>
      </c>
      <c r="B20857" s="2" t="s">
        <v>40909</v>
      </c>
      <c r="C20857" s="2" t="s">
        <v>124</v>
      </c>
      <c r="D20857" s="2" t="s">
        <v>2587</v>
      </c>
      <c r="E20857" s="2" t="str">
        <f>"9780367489489"</f>
        <v>9780367489489</v>
      </c>
      <c r="F20857" s="2" t="str">
        <f>"9781000395570"</f>
        <v>9781000395570</v>
      </c>
    </row>
    <row r="20858" spans="1:6" s="3" customFormat="1" ht="29.1" customHeight="1" x14ac:dyDescent="0.25">
      <c r="A20858" s="2" t="s">
        <v>40910</v>
      </c>
      <c r="B20858" s="2" t="s">
        <v>40911</v>
      </c>
      <c r="C20858" s="2" t="s">
        <v>124</v>
      </c>
      <c r="D20858" s="2" t="s">
        <v>302</v>
      </c>
      <c r="E20858" s="2" t="str">
        <f>"9780367748722"</f>
        <v>9780367748722</v>
      </c>
      <c r="F20858" s="2" t="str">
        <f>"9780367748746"</f>
        <v>9780367748746</v>
      </c>
    </row>
    <row r="20859" spans="1:6" s="3" customFormat="1" ht="29.1" customHeight="1" x14ac:dyDescent="0.25">
      <c r="A20859" s="2" t="s">
        <v>40912</v>
      </c>
      <c r="B20859" s="2" t="s">
        <v>30839</v>
      </c>
      <c r="C20859" s="2" t="s">
        <v>124</v>
      </c>
      <c r="D20859" s="2" t="s">
        <v>1155</v>
      </c>
      <c r="E20859" s="2" t="str">
        <f>"9780367691271"</f>
        <v>9780367691271</v>
      </c>
      <c r="F20859" s="2" t="str">
        <f>"9781000393286"</f>
        <v>9781000393286</v>
      </c>
    </row>
    <row r="20860" spans="1:6" s="3" customFormat="1" ht="29.1" customHeight="1" x14ac:dyDescent="0.25">
      <c r="A20860" s="2" t="s">
        <v>40913</v>
      </c>
      <c r="B20860" s="2" t="s">
        <v>40914</v>
      </c>
      <c r="C20860" s="2" t="s">
        <v>124</v>
      </c>
      <c r="D20860" s="2" t="s">
        <v>14136</v>
      </c>
      <c r="E20860" s="2" t="str">
        <f>"9780367568085"</f>
        <v>9780367568085</v>
      </c>
      <c r="F20860" s="2" t="str">
        <f>"9781000395846"</f>
        <v>9781000395846</v>
      </c>
    </row>
    <row r="20861" spans="1:6" s="3" customFormat="1" ht="29.1" customHeight="1" x14ac:dyDescent="0.25">
      <c r="A20861" s="2" t="s">
        <v>40915</v>
      </c>
      <c r="B20861" s="2" t="s">
        <v>40916</v>
      </c>
      <c r="C20861" s="2" t="s">
        <v>124</v>
      </c>
      <c r="D20861" s="2" t="s">
        <v>12131</v>
      </c>
      <c r="E20861" s="2" t="str">
        <f>"9780367502188"</f>
        <v>9780367502188</v>
      </c>
      <c r="F20861" s="2" t="str">
        <f>"9781000391114"</f>
        <v>9781000391114</v>
      </c>
    </row>
    <row r="20862" spans="1:6" s="3" customFormat="1" ht="29.1" customHeight="1" x14ac:dyDescent="0.25">
      <c r="A20862" s="2" t="s">
        <v>40917</v>
      </c>
      <c r="B20862" s="2" t="s">
        <v>40918</v>
      </c>
      <c r="C20862" s="2" t="s">
        <v>124</v>
      </c>
      <c r="D20862" s="2" t="s">
        <v>56</v>
      </c>
      <c r="E20862" s="2" t="str">
        <f>"9780367764616"</f>
        <v>9780367764616</v>
      </c>
      <c r="F20862" s="2" t="str">
        <f>"9781000388701"</f>
        <v>9781000388701</v>
      </c>
    </row>
    <row r="20863" spans="1:6" s="3" customFormat="1" ht="29.1" customHeight="1" x14ac:dyDescent="0.25">
      <c r="A20863" s="2" t="s">
        <v>40919</v>
      </c>
      <c r="B20863" s="2" t="s">
        <v>40921</v>
      </c>
      <c r="C20863" s="2" t="s">
        <v>124</v>
      </c>
      <c r="D20863" s="2" t="s">
        <v>40920</v>
      </c>
      <c r="E20863" s="2" t="str">
        <f>"9780367741891"</f>
        <v>9780367741891</v>
      </c>
      <c r="F20863" s="2" t="str">
        <f>"9781000388497"</f>
        <v>9781000388497</v>
      </c>
    </row>
    <row r="20864" spans="1:6" s="3" customFormat="1" ht="29.1" customHeight="1" x14ac:dyDescent="0.25">
      <c r="A20864" s="2" t="s">
        <v>40922</v>
      </c>
      <c r="B20864" s="2" t="s">
        <v>40923</v>
      </c>
      <c r="C20864" s="2" t="s">
        <v>124</v>
      </c>
      <c r="D20864" s="2" t="s">
        <v>1560</v>
      </c>
      <c r="E20864" s="2" t="str">
        <f>"9780367641559"</f>
        <v>9780367641559</v>
      </c>
      <c r="F20864" s="2" t="str">
        <f>"9781000389142"</f>
        <v>9781000389142</v>
      </c>
    </row>
    <row r="20865" spans="1:6" s="3" customFormat="1" ht="29.1" customHeight="1" x14ac:dyDescent="0.25">
      <c r="A20865" s="2" t="s">
        <v>40924</v>
      </c>
      <c r="B20865" s="2" t="s">
        <v>40925</v>
      </c>
      <c r="C20865" s="2" t="s">
        <v>124</v>
      </c>
      <c r="D20865" s="2" t="s">
        <v>2168</v>
      </c>
      <c r="E20865" s="2" t="str">
        <f>"9781032010137"</f>
        <v>9781032010137</v>
      </c>
      <c r="F20865" s="2" t="str">
        <f>"9781000393231"</f>
        <v>9781000393231</v>
      </c>
    </row>
    <row r="20866" spans="1:6" s="3" customFormat="1" ht="29.1" customHeight="1" x14ac:dyDescent="0.25">
      <c r="A20866" s="2" t="s">
        <v>40926</v>
      </c>
      <c r="B20866" s="2" t="s">
        <v>2442</v>
      </c>
      <c r="C20866" s="2" t="s">
        <v>124</v>
      </c>
      <c r="D20866" s="2" t="s">
        <v>89</v>
      </c>
      <c r="E20866" s="2" t="str">
        <f>"9780367640132"</f>
        <v>9780367640132</v>
      </c>
      <c r="F20866" s="2" t="str">
        <f>"9781000393941"</f>
        <v>9781000393941</v>
      </c>
    </row>
    <row r="20867" spans="1:6" s="3" customFormat="1" ht="29.1" customHeight="1" x14ac:dyDescent="0.25">
      <c r="A20867" s="2" t="s">
        <v>40927</v>
      </c>
      <c r="B20867" s="2" t="s">
        <v>40928</v>
      </c>
      <c r="C20867" s="2" t="s">
        <v>124</v>
      </c>
      <c r="D20867" s="2" t="s">
        <v>5716</v>
      </c>
      <c r="E20867" s="2" t="str">
        <f>"9780367506858"</f>
        <v>9780367506858</v>
      </c>
      <c r="F20867" s="2" t="str">
        <f>"9781000389968"</f>
        <v>9781000389968</v>
      </c>
    </row>
    <row r="20868" spans="1:6" s="3" customFormat="1" ht="29.1" customHeight="1" x14ac:dyDescent="0.25">
      <c r="A20868" s="2" t="s">
        <v>40929</v>
      </c>
      <c r="B20868" s="2" t="s">
        <v>40930</v>
      </c>
      <c r="C20868" s="2" t="s">
        <v>124</v>
      </c>
      <c r="D20868" s="2" t="s">
        <v>694</v>
      </c>
      <c r="E20868" s="2" t="str">
        <f>"9780367650520"</f>
        <v>9780367650520</v>
      </c>
      <c r="F20868" s="2" t="str">
        <f>"9781000391589"</f>
        <v>9781000391589</v>
      </c>
    </row>
    <row r="20869" spans="1:6" s="3" customFormat="1" ht="29.1" customHeight="1" x14ac:dyDescent="0.25">
      <c r="A20869" s="2" t="s">
        <v>40931</v>
      </c>
      <c r="B20869" s="2" t="s">
        <v>40932</v>
      </c>
      <c r="C20869" s="2" t="s">
        <v>124</v>
      </c>
      <c r="D20869" s="2" t="s">
        <v>5794</v>
      </c>
      <c r="E20869" s="2" t="str">
        <f>"9780367513276"</f>
        <v>9780367513276</v>
      </c>
      <c r="F20869" s="2" t="str">
        <f>"9781000392531"</f>
        <v>9781000392531</v>
      </c>
    </row>
    <row r="20870" spans="1:6" s="3" customFormat="1" ht="29.1" customHeight="1" x14ac:dyDescent="0.25">
      <c r="A20870" s="2" t="s">
        <v>40933</v>
      </c>
      <c r="B20870" s="2" t="s">
        <v>40934</v>
      </c>
      <c r="C20870" s="2" t="s">
        <v>124</v>
      </c>
      <c r="D20870" s="2" t="s">
        <v>347</v>
      </c>
      <c r="E20870" s="2" t="str">
        <f>"9780367622268"</f>
        <v>9780367622268</v>
      </c>
      <c r="F20870" s="2" t="str">
        <f>"9781000392272"</f>
        <v>9781000392272</v>
      </c>
    </row>
    <row r="20871" spans="1:6" s="3" customFormat="1" ht="29.1" customHeight="1" x14ac:dyDescent="0.25">
      <c r="A20871" s="2" t="s">
        <v>40935</v>
      </c>
      <c r="B20871" s="2" t="s">
        <v>40936</v>
      </c>
      <c r="C20871" s="2" t="s">
        <v>124</v>
      </c>
      <c r="D20871" s="2" t="s">
        <v>30</v>
      </c>
      <c r="E20871" s="2" t="str">
        <f>"9780367856830"</f>
        <v>9780367856830</v>
      </c>
      <c r="F20871" s="2" t="str">
        <f>"9781000334074"</f>
        <v>9781000334074</v>
      </c>
    </row>
    <row r="20872" spans="1:6" s="3" customFormat="1" ht="29.1" customHeight="1" x14ac:dyDescent="0.25">
      <c r="A20872" s="2" t="s">
        <v>40937</v>
      </c>
      <c r="B20872" s="2" t="s">
        <v>40938</v>
      </c>
      <c r="C20872" s="2" t="s">
        <v>8104</v>
      </c>
      <c r="D20872" s="2" t="s">
        <v>1466</v>
      </c>
      <c r="E20872" s="2" t="str">
        <f>"9781800739451"</f>
        <v>9781800739451</v>
      </c>
      <c r="F20872" s="2" t="str">
        <f>"9781789201369"</f>
        <v>9781789201369</v>
      </c>
    </row>
    <row r="20873" spans="1:6" s="3" customFormat="1" ht="29.1" customHeight="1" x14ac:dyDescent="0.25">
      <c r="A20873" s="2" t="s">
        <v>40939</v>
      </c>
      <c r="B20873" s="2" t="s">
        <v>40940</v>
      </c>
      <c r="C20873" s="2" t="s">
        <v>124</v>
      </c>
      <c r="D20873" s="2" t="s">
        <v>107</v>
      </c>
      <c r="E20873" s="2" t="str">
        <f>"9781041189343"</f>
        <v>9781041189343</v>
      </c>
      <c r="F20873" s="2" t="str">
        <f>"9781040778920"</f>
        <v>9781040778920</v>
      </c>
    </row>
    <row r="20874" spans="1:6" s="3" customFormat="1" ht="29.1" customHeight="1" x14ac:dyDescent="0.25">
      <c r="A20874" s="2" t="s">
        <v>40941</v>
      </c>
      <c r="B20874" s="2" t="s">
        <v>40942</v>
      </c>
      <c r="C20874" s="2" t="s">
        <v>556</v>
      </c>
      <c r="D20874" s="2" t="s">
        <v>636</v>
      </c>
      <c r="E20874" s="2" t="str">
        <f>"9783837654868"</f>
        <v>9783837654868</v>
      </c>
      <c r="F20874" s="2" t="str">
        <f>"9783839454862"</f>
        <v>9783839454862</v>
      </c>
    </row>
    <row r="20875" spans="1:6" s="3" customFormat="1" ht="29.1" customHeight="1" x14ac:dyDescent="0.25">
      <c r="A20875" s="2" t="s">
        <v>40943</v>
      </c>
      <c r="B20875" s="2" t="s">
        <v>40944</v>
      </c>
      <c r="C20875" s="2" t="s">
        <v>556</v>
      </c>
      <c r="D20875" s="2" t="s">
        <v>162</v>
      </c>
      <c r="E20875" s="2" t="str">
        <f>"9783837654837"</f>
        <v>9783837654837</v>
      </c>
      <c r="F20875" s="2" t="str">
        <f>"9783839454831"</f>
        <v>9783839454831</v>
      </c>
    </row>
    <row r="20876" spans="1:6" s="3" customFormat="1" ht="29.1" customHeight="1" x14ac:dyDescent="0.25">
      <c r="A20876" s="2" t="s">
        <v>40945</v>
      </c>
      <c r="B20876" s="2" t="s">
        <v>40946</v>
      </c>
      <c r="C20876" s="2" t="s">
        <v>556</v>
      </c>
      <c r="D20876" s="2" t="s">
        <v>1411</v>
      </c>
      <c r="E20876" s="2" t="str">
        <f>"9783837654264"</f>
        <v>9783837654264</v>
      </c>
      <c r="F20876" s="2" t="str">
        <f>"9783839454268"</f>
        <v>9783839454268</v>
      </c>
    </row>
    <row r="20877" spans="1:6" s="3" customFormat="1" ht="29.1" customHeight="1" x14ac:dyDescent="0.25">
      <c r="A20877" s="2" t="s">
        <v>40947</v>
      </c>
      <c r="B20877" s="2" t="s">
        <v>40948</v>
      </c>
      <c r="C20877" s="2" t="s">
        <v>556</v>
      </c>
      <c r="D20877" s="2" t="s">
        <v>1752</v>
      </c>
      <c r="E20877" s="2" t="str">
        <f>"9783837653311"</f>
        <v>9783837653311</v>
      </c>
      <c r="F20877" s="2" t="str">
        <f>"9783839453315"</f>
        <v>9783839453315</v>
      </c>
    </row>
    <row r="20878" spans="1:6" s="3" customFormat="1" ht="29.1" customHeight="1" x14ac:dyDescent="0.25">
      <c r="A20878" s="2" t="s">
        <v>40949</v>
      </c>
      <c r="B20878" s="2" t="s">
        <v>40950</v>
      </c>
      <c r="C20878" s="2" t="s">
        <v>556</v>
      </c>
      <c r="D20878" s="2" t="s">
        <v>636</v>
      </c>
      <c r="E20878" s="2" t="str">
        <f>"9783837652741"</f>
        <v>9783837652741</v>
      </c>
      <c r="F20878" s="2" t="str">
        <f>"9783839452745"</f>
        <v>9783839452745</v>
      </c>
    </row>
    <row r="20879" spans="1:6" s="3" customFormat="1" ht="29.1" customHeight="1" x14ac:dyDescent="0.25">
      <c r="A20879" s="2" t="s">
        <v>40951</v>
      </c>
      <c r="B20879" s="2" t="s">
        <v>40952</v>
      </c>
      <c r="C20879" s="2" t="s">
        <v>556</v>
      </c>
      <c r="D20879" s="2" t="s">
        <v>1046</v>
      </c>
      <c r="E20879" s="2" t="str">
        <f>"9783837649420"</f>
        <v>9783837649420</v>
      </c>
      <c r="F20879" s="2" t="str">
        <f>"9783839449424"</f>
        <v>9783839449424</v>
      </c>
    </row>
    <row r="20880" spans="1:6" s="3" customFormat="1" ht="29.1" customHeight="1" x14ac:dyDescent="0.25">
      <c r="A20880" s="2" t="s">
        <v>40953</v>
      </c>
      <c r="B20880" s="2" t="s">
        <v>40954</v>
      </c>
      <c r="C20880" s="2" t="s">
        <v>556</v>
      </c>
      <c r="D20880" s="2" t="s">
        <v>4238</v>
      </c>
      <c r="E20880" s="2" t="str">
        <f>"9783837649390"</f>
        <v>9783837649390</v>
      </c>
      <c r="F20880" s="2" t="str">
        <f>"9783839449394"</f>
        <v>9783839449394</v>
      </c>
    </row>
    <row r="20881" spans="1:6" s="3" customFormat="1" ht="29.1" customHeight="1" x14ac:dyDescent="0.25">
      <c r="A20881" s="2" t="s">
        <v>40955</v>
      </c>
      <c r="B20881" s="2" t="s">
        <v>40956</v>
      </c>
      <c r="C20881" s="2" t="s">
        <v>595</v>
      </c>
      <c r="D20881" s="2" t="s">
        <v>2307</v>
      </c>
      <c r="E20881" s="2" t="str">
        <f>"9783631791615"</f>
        <v>9783631791615</v>
      </c>
      <c r="F20881" s="2" t="str">
        <f>"9783631817469"</f>
        <v>9783631817469</v>
      </c>
    </row>
    <row r="20882" spans="1:6" s="3" customFormat="1" ht="29.1" customHeight="1" x14ac:dyDescent="0.25">
      <c r="A20882" s="2" t="s">
        <v>40957</v>
      </c>
      <c r="B20882" s="2" t="s">
        <v>40958</v>
      </c>
      <c r="C20882" s="2" t="s">
        <v>248</v>
      </c>
      <c r="D20882" s="2" t="s">
        <v>3650</v>
      </c>
      <c r="E20882" s="2" t="str">
        <f>"9783847424598"</f>
        <v>9783847424598</v>
      </c>
      <c r="F20882" s="2" t="str">
        <f>"9783847415923"</f>
        <v>9783847415923</v>
      </c>
    </row>
    <row r="20883" spans="1:6" s="3" customFormat="1" ht="29.1" customHeight="1" x14ac:dyDescent="0.25">
      <c r="A20883" s="2" t="s">
        <v>40959</v>
      </c>
      <c r="B20883" s="2" t="s">
        <v>40960</v>
      </c>
      <c r="C20883" s="2" t="s">
        <v>248</v>
      </c>
      <c r="D20883" s="2" t="s">
        <v>490</v>
      </c>
      <c r="E20883" s="2" t="str">
        <f>"9783847423416"</f>
        <v>9783847423416</v>
      </c>
      <c r="F20883" s="2" t="str">
        <f>"9783847416647"</f>
        <v>9783847416647</v>
      </c>
    </row>
    <row r="20884" spans="1:6" s="3" customFormat="1" ht="29.1" customHeight="1" x14ac:dyDescent="0.25">
      <c r="A20884" s="2" t="s">
        <v>40961</v>
      </c>
      <c r="B20884" s="2" t="s">
        <v>40962</v>
      </c>
      <c r="C20884" s="2" t="s">
        <v>885</v>
      </c>
      <c r="D20884" s="2" t="s">
        <v>1062</v>
      </c>
      <c r="E20884" s="2" t="str">
        <f>"9781487507435"</f>
        <v>9781487507435</v>
      </c>
      <c r="F20884" s="2" t="str">
        <f>"9781487536244"</f>
        <v>9781487536244</v>
      </c>
    </row>
    <row r="20885" spans="1:6" s="3" customFormat="1" ht="29.1" customHeight="1" x14ac:dyDescent="0.25">
      <c r="A20885" s="2" t="s">
        <v>40963</v>
      </c>
      <c r="B20885" s="2" t="s">
        <v>40964</v>
      </c>
      <c r="C20885" s="2" t="s">
        <v>885</v>
      </c>
      <c r="D20885" s="2" t="s">
        <v>1189</v>
      </c>
      <c r="E20885" s="2" t="str">
        <f>"9781487507886"</f>
        <v>9781487507886</v>
      </c>
      <c r="F20885" s="2" t="str">
        <f>"9781487537142"</f>
        <v>9781487537142</v>
      </c>
    </row>
    <row r="20886" spans="1:6" s="3" customFormat="1" ht="29.1" customHeight="1" x14ac:dyDescent="0.25">
      <c r="A20886" s="2" t="s">
        <v>40965</v>
      </c>
      <c r="B20886" s="2" t="s">
        <v>40966</v>
      </c>
      <c r="C20886" s="2" t="s">
        <v>124</v>
      </c>
      <c r="D20886" s="2" t="s">
        <v>15</v>
      </c>
      <c r="E20886" s="2" t="str">
        <f>"9780367185329"</f>
        <v>9780367185329</v>
      </c>
      <c r="F20886" s="2" t="str">
        <f>"9780429196744"</f>
        <v>9780429196744</v>
      </c>
    </row>
    <row r="20887" spans="1:6" s="3" customFormat="1" ht="29.1" customHeight="1" x14ac:dyDescent="0.25">
      <c r="A20887" s="2" t="s">
        <v>40967</v>
      </c>
      <c r="B20887" s="2" t="s">
        <v>40968</v>
      </c>
      <c r="C20887" s="2" t="s">
        <v>62</v>
      </c>
      <c r="D20887" s="2" t="s">
        <v>2551</v>
      </c>
      <c r="E20887" s="2" t="str">
        <f>"9783428181476"</f>
        <v>9783428181476</v>
      </c>
      <c r="F20887" s="2" t="str">
        <f>"9783428581474"</f>
        <v>9783428581474</v>
      </c>
    </row>
    <row r="20888" spans="1:6" s="3" customFormat="1" ht="29.1" customHeight="1" x14ac:dyDescent="0.25">
      <c r="A20888" s="2" t="s">
        <v>40969</v>
      </c>
      <c r="B20888" s="2" t="s">
        <v>40970</v>
      </c>
      <c r="C20888" s="2" t="s">
        <v>62</v>
      </c>
      <c r="D20888" s="2" t="s">
        <v>207</v>
      </c>
      <c r="E20888" s="2" t="str">
        <f>"9783428181469"</f>
        <v>9783428181469</v>
      </c>
      <c r="F20888" s="2" t="str">
        <f>"9783428581467"</f>
        <v>9783428581467</v>
      </c>
    </row>
    <row r="20889" spans="1:6" s="3" customFormat="1" ht="29.1" customHeight="1" x14ac:dyDescent="0.25">
      <c r="A20889" s="2" t="s">
        <v>40971</v>
      </c>
      <c r="B20889" s="2" t="s">
        <v>12014</v>
      </c>
      <c r="C20889" s="2" t="s">
        <v>124</v>
      </c>
      <c r="D20889" s="2" t="s">
        <v>4180</v>
      </c>
      <c r="E20889" s="2" t="str">
        <f>"9780367628345"</f>
        <v>9780367628345</v>
      </c>
      <c r="F20889" s="2" t="str">
        <f>"9781000335873"</f>
        <v>9781000335873</v>
      </c>
    </row>
    <row r="20890" spans="1:6" s="3" customFormat="1" ht="29.1" customHeight="1" x14ac:dyDescent="0.25">
      <c r="A20890" s="2" t="s">
        <v>40972</v>
      </c>
      <c r="B20890" s="2" t="s">
        <v>40973</v>
      </c>
      <c r="C20890" s="2" t="s">
        <v>746</v>
      </c>
      <c r="D20890" s="2" t="s">
        <v>606</v>
      </c>
      <c r="E20890" s="2" t="str">
        <f>"9781789698039"</f>
        <v>9781789698039</v>
      </c>
      <c r="F20890" s="2" t="str">
        <f>"9781789698046"</f>
        <v>9781789698046</v>
      </c>
    </row>
    <row r="20891" spans="1:6" s="3" customFormat="1" ht="29.1" customHeight="1" x14ac:dyDescent="0.25">
      <c r="A20891" s="2" t="s">
        <v>40974</v>
      </c>
      <c r="B20891" s="2" t="s">
        <v>40975</v>
      </c>
      <c r="C20891" s="2" t="s">
        <v>29</v>
      </c>
      <c r="D20891" s="2" t="s">
        <v>484</v>
      </c>
      <c r="E20891" s="2" t="str">
        <f>"9789086863563"</f>
        <v>9789086863563</v>
      </c>
      <c r="F20891" s="2" t="str">
        <f>"9789086869091"</f>
        <v>9789086869091</v>
      </c>
    </row>
    <row r="20892" spans="1:6" s="3" customFormat="1" ht="29.1" customHeight="1" x14ac:dyDescent="0.25">
      <c r="A20892" s="2" t="s">
        <v>40976</v>
      </c>
      <c r="B20892" s="2" t="s">
        <v>40977</v>
      </c>
      <c r="C20892" s="2" t="s">
        <v>124</v>
      </c>
      <c r="D20892" s="2" t="s">
        <v>2433</v>
      </c>
      <c r="E20892" s="2" t="str">
        <f>"9780367695866"</f>
        <v>9780367695866</v>
      </c>
      <c r="F20892" s="2" t="str">
        <f>"9781000335316"</f>
        <v>9781000335316</v>
      </c>
    </row>
    <row r="20893" spans="1:6" s="3" customFormat="1" ht="29.1" customHeight="1" x14ac:dyDescent="0.25">
      <c r="A20893" s="2" t="s">
        <v>40978</v>
      </c>
      <c r="B20893" s="2" t="s">
        <v>40979</v>
      </c>
      <c r="C20893" s="2" t="s">
        <v>595</v>
      </c>
      <c r="D20893" s="2" t="s">
        <v>490</v>
      </c>
      <c r="E20893" s="2" t="str">
        <f>"9783631807545"</f>
        <v>9783631807545</v>
      </c>
      <c r="F20893" s="2" t="str">
        <f>"9783631839126"</f>
        <v>9783631839126</v>
      </c>
    </row>
    <row r="20894" spans="1:6" s="3" customFormat="1" ht="29.1" customHeight="1" x14ac:dyDescent="0.25">
      <c r="A20894" s="2" t="s">
        <v>40980</v>
      </c>
      <c r="B20894" s="2" t="s">
        <v>40981</v>
      </c>
      <c r="C20894" s="2" t="s">
        <v>124</v>
      </c>
      <c r="D20894" s="2" t="s">
        <v>4654</v>
      </c>
      <c r="E20894" s="2" t="str">
        <f>"9780367259068"</f>
        <v>9780367259068</v>
      </c>
      <c r="F20894" s="2" t="str">
        <f>"9781000318210"</f>
        <v>9781000318210</v>
      </c>
    </row>
    <row r="20895" spans="1:6" s="3" customFormat="1" ht="29.1" customHeight="1" x14ac:dyDescent="0.25">
      <c r="A20895" s="2" t="s">
        <v>40982</v>
      </c>
      <c r="B20895" s="2" t="s">
        <v>40983</v>
      </c>
      <c r="C20895" s="2" t="s">
        <v>124</v>
      </c>
      <c r="D20895" s="2" t="s">
        <v>7734</v>
      </c>
      <c r="E20895" s="2" t="str">
        <f>"9780367554637"</f>
        <v>9780367554637</v>
      </c>
      <c r="F20895" s="2" t="str">
        <f>"9781000342727"</f>
        <v>9781000342727</v>
      </c>
    </row>
    <row r="20896" spans="1:6" s="3" customFormat="1" ht="29.1" customHeight="1" x14ac:dyDescent="0.25">
      <c r="A20896" s="2" t="s">
        <v>40984</v>
      </c>
      <c r="B20896" s="2" t="s">
        <v>40794</v>
      </c>
      <c r="C20896" s="2" t="s">
        <v>927</v>
      </c>
      <c r="D20896" s="2" t="s">
        <v>270</v>
      </c>
      <c r="E20896" s="2" t="str">
        <f>"9780472038411"</f>
        <v>9780472038411</v>
      </c>
      <c r="F20896" s="2" t="str">
        <f>"9780472128242"</f>
        <v>9780472128242</v>
      </c>
    </row>
    <row r="20897" spans="1:6" s="3" customFormat="1" ht="29.1" customHeight="1" x14ac:dyDescent="0.25">
      <c r="A20897" s="2" t="s">
        <v>40985</v>
      </c>
      <c r="B20897" s="2" t="s">
        <v>40986</v>
      </c>
      <c r="C20897" s="2" t="s">
        <v>927</v>
      </c>
      <c r="D20897" s="2" t="s">
        <v>297</v>
      </c>
      <c r="E20897" s="2" t="str">
        <f>"9780892640553"</f>
        <v>9780892640553</v>
      </c>
      <c r="F20897" s="2" t="str">
        <f>"9780472127788"</f>
        <v>9780472127788</v>
      </c>
    </row>
    <row r="20898" spans="1:6" s="3" customFormat="1" ht="29.1" customHeight="1" x14ac:dyDescent="0.25">
      <c r="A20898" s="2" t="s">
        <v>40987</v>
      </c>
      <c r="B20898" s="2" t="s">
        <v>40988</v>
      </c>
      <c r="C20898" s="2" t="s">
        <v>124</v>
      </c>
      <c r="D20898" s="2" t="s">
        <v>30</v>
      </c>
      <c r="E20898" s="2" t="str">
        <f>"9780367645724"</f>
        <v>9780367645724</v>
      </c>
      <c r="F20898" s="2" t="str">
        <f>"9781351260787"</f>
        <v>9781351260787</v>
      </c>
    </row>
    <row r="20899" spans="1:6" s="3" customFormat="1" ht="29.1" customHeight="1" x14ac:dyDescent="0.25">
      <c r="A20899" s="2" t="s">
        <v>40989</v>
      </c>
      <c r="B20899" s="2" t="s">
        <v>40990</v>
      </c>
      <c r="C20899" s="2" t="s">
        <v>3248</v>
      </c>
      <c r="D20899" s="2" t="s">
        <v>210</v>
      </c>
      <c r="E20899" s="2" t="str">
        <f>"9781978827318"</f>
        <v>9781978827318</v>
      </c>
      <c r="F20899" s="2" t="str">
        <f>"9781978827332"</f>
        <v>9781978827332</v>
      </c>
    </row>
    <row r="20900" spans="1:6" s="3" customFormat="1" ht="29.1" customHeight="1" x14ac:dyDescent="0.25">
      <c r="A20900" s="2" t="s">
        <v>40992</v>
      </c>
      <c r="B20900" s="2" t="s">
        <v>40993</v>
      </c>
      <c r="C20900" s="2" t="s">
        <v>36</v>
      </c>
      <c r="D20900" s="2" t="s">
        <v>2341</v>
      </c>
      <c r="E20900" s="2" t="str">
        <f>"9781447354390"</f>
        <v>9781447354390</v>
      </c>
      <c r="F20900" s="2" t="str">
        <f>"9781447354437"</f>
        <v>9781447354437</v>
      </c>
    </row>
    <row r="20901" spans="1:6" s="3" customFormat="1" ht="29.1" customHeight="1" x14ac:dyDescent="0.25">
      <c r="A20901" s="2" t="s">
        <v>40994</v>
      </c>
      <c r="B20901" s="2" t="s">
        <v>40995</v>
      </c>
      <c r="C20901" s="2" t="s">
        <v>605</v>
      </c>
      <c r="D20901" s="2" t="s">
        <v>606</v>
      </c>
      <c r="E20901" s="2" t="str">
        <f>"9789654067157"</f>
        <v>9789654067157</v>
      </c>
      <c r="F20901" s="2" t="str">
        <f>"9789654067263"</f>
        <v>9789654067263</v>
      </c>
    </row>
    <row r="20902" spans="1:6" s="3" customFormat="1" ht="29.1" customHeight="1" x14ac:dyDescent="0.25">
      <c r="A20902" s="2" t="s">
        <v>40996</v>
      </c>
      <c r="B20902" s="2" t="s">
        <v>40997</v>
      </c>
      <c r="C20902" s="2" t="s">
        <v>124</v>
      </c>
      <c r="D20902" s="2" t="s">
        <v>8788</v>
      </c>
      <c r="E20902" s="2" t="str">
        <f>"9780367359539"</f>
        <v>9780367359539</v>
      </c>
      <c r="F20902" s="2" t="str">
        <f>"9781000387032"</f>
        <v>9781000387032</v>
      </c>
    </row>
    <row r="20903" spans="1:6" s="3" customFormat="1" ht="29.1" customHeight="1" x14ac:dyDescent="0.25">
      <c r="A20903" s="2" t="s">
        <v>40998</v>
      </c>
      <c r="B20903" s="2" t="s">
        <v>40999</v>
      </c>
      <c r="C20903" s="2" t="s">
        <v>124</v>
      </c>
      <c r="D20903" s="2" t="s">
        <v>1155</v>
      </c>
      <c r="E20903" s="2" t="str">
        <f>"9780367470579"</f>
        <v>9780367470579</v>
      </c>
      <c r="F20903" s="2" t="str">
        <f>"9781000331288"</f>
        <v>9781000331288</v>
      </c>
    </row>
    <row r="20904" spans="1:6" s="3" customFormat="1" ht="29.1" customHeight="1" x14ac:dyDescent="0.25">
      <c r="A20904" s="2" t="s">
        <v>41000</v>
      </c>
      <c r="B20904" s="2" t="s">
        <v>41001</v>
      </c>
      <c r="C20904" s="2" t="s">
        <v>124</v>
      </c>
      <c r="D20904" s="2" t="s">
        <v>791</v>
      </c>
      <c r="E20904" s="2" t="str">
        <f>"9780367434366"</f>
        <v>9780367434366</v>
      </c>
      <c r="F20904" s="2" t="str">
        <f>"9781000320305"</f>
        <v>9781000320305</v>
      </c>
    </row>
    <row r="20905" spans="1:6" s="3" customFormat="1" ht="29.1" customHeight="1" x14ac:dyDescent="0.25">
      <c r="A20905" s="2" t="s">
        <v>41002</v>
      </c>
      <c r="B20905" s="2" t="s">
        <v>30238</v>
      </c>
      <c r="C20905" s="2" t="s">
        <v>62</v>
      </c>
      <c r="D20905" s="2" t="s">
        <v>1162</v>
      </c>
      <c r="E20905" s="2" t="str">
        <f>"9783428174010"</f>
        <v>9783428174010</v>
      </c>
      <c r="F20905" s="2" t="str">
        <f>"9783428574018"</f>
        <v>9783428574018</v>
      </c>
    </row>
    <row r="20906" spans="1:6" s="3" customFormat="1" ht="29.1" customHeight="1" x14ac:dyDescent="0.25">
      <c r="A20906" s="2" t="s">
        <v>41003</v>
      </c>
      <c r="B20906" s="2" t="s">
        <v>33739</v>
      </c>
      <c r="C20906" s="2" t="s">
        <v>124</v>
      </c>
      <c r="D20906" s="2" t="s">
        <v>8788</v>
      </c>
      <c r="E20906" s="2" t="str">
        <f>"9780367243142"</f>
        <v>9780367243142</v>
      </c>
      <c r="F20906" s="2" t="str">
        <f>"9781000289527"</f>
        <v>9781000289527</v>
      </c>
    </row>
    <row r="20907" spans="1:6" s="3" customFormat="1" ht="29.1" customHeight="1" x14ac:dyDescent="0.25">
      <c r="A20907" s="2" t="s">
        <v>41004</v>
      </c>
      <c r="B20907" s="2" t="s">
        <v>41005</v>
      </c>
      <c r="C20907" s="2" t="s">
        <v>327</v>
      </c>
      <c r="D20907" s="2" t="s">
        <v>544</v>
      </c>
      <c r="E20907" s="2" t="str">
        <f>"9788382200126"</f>
        <v>9788382200126</v>
      </c>
      <c r="F20907" s="2" t="str">
        <f>"9788382200133"</f>
        <v>9788382200133</v>
      </c>
    </row>
    <row r="20908" spans="1:6" s="3" customFormat="1" ht="29.1" customHeight="1" x14ac:dyDescent="0.25">
      <c r="A20908" s="2" t="s">
        <v>41006</v>
      </c>
      <c r="B20908" s="2" t="s">
        <v>41007</v>
      </c>
      <c r="C20908" s="2" t="s">
        <v>327</v>
      </c>
      <c r="D20908" s="2" t="s">
        <v>8413</v>
      </c>
      <c r="E20908" s="2" t="str">
        <f>"9788381429849"</f>
        <v>9788381429849</v>
      </c>
      <c r="F20908" s="2" t="str">
        <f>"9788381429856"</f>
        <v>9788381429856</v>
      </c>
    </row>
    <row r="20909" spans="1:6" s="3" customFormat="1" ht="29.1" customHeight="1" x14ac:dyDescent="0.25">
      <c r="A20909" s="2" t="s">
        <v>41008</v>
      </c>
      <c r="B20909" s="2" t="s">
        <v>41009</v>
      </c>
      <c r="C20909" s="2" t="s">
        <v>327</v>
      </c>
      <c r="D20909" s="2" t="s">
        <v>682</v>
      </c>
      <c r="E20909" s="2" t="str">
        <f>"9788381429801"</f>
        <v>9788381429801</v>
      </c>
      <c r="F20909" s="2" t="str">
        <f>"9788381429818"</f>
        <v>9788381429818</v>
      </c>
    </row>
    <row r="20910" spans="1:6" s="3" customFormat="1" ht="29.1" customHeight="1" x14ac:dyDescent="0.25">
      <c r="A20910" s="2" t="s">
        <v>41010</v>
      </c>
      <c r="B20910" s="2" t="s">
        <v>41012</v>
      </c>
      <c r="C20910" s="2" t="s">
        <v>124</v>
      </c>
      <c r="D20910" s="2" t="s">
        <v>41011</v>
      </c>
      <c r="E20910" s="2" t="str">
        <f>"9780367368500"</f>
        <v>9780367368500</v>
      </c>
      <c r="F20910" s="2" t="str">
        <f>"9781000336856"</f>
        <v>9781000336856</v>
      </c>
    </row>
    <row r="20911" spans="1:6" s="3" customFormat="1" ht="29.1" customHeight="1" x14ac:dyDescent="0.25">
      <c r="A20911" s="2" t="s">
        <v>41013</v>
      </c>
      <c r="B20911" s="2" t="s">
        <v>41014</v>
      </c>
      <c r="C20911" s="2" t="s">
        <v>124</v>
      </c>
      <c r="D20911" s="2" t="s">
        <v>9317</v>
      </c>
      <c r="E20911" s="2" t="str">
        <f>"9780367468491"</f>
        <v>9780367468491</v>
      </c>
      <c r="F20911" s="2" t="str">
        <f>"9781000316513"</f>
        <v>9781000316513</v>
      </c>
    </row>
    <row r="20912" spans="1:6" s="3" customFormat="1" ht="29.1" customHeight="1" x14ac:dyDescent="0.25">
      <c r="A20912" s="2" t="s">
        <v>41015</v>
      </c>
      <c r="B20912" s="2" t="s">
        <v>41016</v>
      </c>
      <c r="C20912" s="2" t="s">
        <v>124</v>
      </c>
      <c r="D20912" s="2" t="s">
        <v>313</v>
      </c>
      <c r="E20912" s="2" t="str">
        <f>"9780367134754"</f>
        <v>9780367134754</v>
      </c>
      <c r="F20912" s="2" t="str">
        <f>"9780429026690"</f>
        <v>9780429026690</v>
      </c>
    </row>
    <row r="20913" spans="1:6" s="3" customFormat="1" ht="29.1" customHeight="1" x14ac:dyDescent="0.25">
      <c r="A20913" s="2" t="s">
        <v>41017</v>
      </c>
      <c r="B20913" s="2" t="s">
        <v>41018</v>
      </c>
      <c r="C20913" s="2" t="s">
        <v>927</v>
      </c>
      <c r="D20913" s="2" t="s">
        <v>297</v>
      </c>
      <c r="E20913" s="2" t="str">
        <f>"9780939512218"</f>
        <v>9780939512218</v>
      </c>
      <c r="F20913" s="2" t="str">
        <f>"9780472880096"</f>
        <v>9780472880096</v>
      </c>
    </row>
    <row r="20914" spans="1:6" s="3" customFormat="1" ht="29.1" customHeight="1" x14ac:dyDescent="0.25">
      <c r="A20914" s="2" t="s">
        <v>41019</v>
      </c>
      <c r="B20914" s="2" t="s">
        <v>41020</v>
      </c>
      <c r="C20914" s="2" t="s">
        <v>927</v>
      </c>
      <c r="D20914" s="2" t="s">
        <v>210</v>
      </c>
      <c r="E20914" s="2" t="str">
        <f>"9780891480099"</f>
        <v>9780891480099</v>
      </c>
      <c r="F20914" s="2" t="str">
        <f>"9780472127986"</f>
        <v>9780472127986</v>
      </c>
    </row>
    <row r="20915" spans="1:6" s="3" customFormat="1" ht="29.1" customHeight="1" x14ac:dyDescent="0.25">
      <c r="A20915" s="2" t="s">
        <v>41021</v>
      </c>
      <c r="B20915" s="2" t="s">
        <v>41022</v>
      </c>
      <c r="C20915" s="2" t="s">
        <v>595</v>
      </c>
      <c r="D20915" s="2" t="s">
        <v>210</v>
      </c>
      <c r="E20915" s="2" t="str">
        <f>"9783631833841"</f>
        <v>9783631833841</v>
      </c>
      <c r="F20915" s="2" t="str">
        <f>"9783631840436"</f>
        <v>9783631840436</v>
      </c>
    </row>
    <row r="20916" spans="1:6" s="3" customFormat="1" ht="29.1" customHeight="1" x14ac:dyDescent="0.25">
      <c r="A20916" s="2" t="s">
        <v>41023</v>
      </c>
      <c r="B20916" s="2" t="s">
        <v>41024</v>
      </c>
      <c r="C20916" s="2" t="s">
        <v>595</v>
      </c>
      <c r="D20916" s="2" t="s">
        <v>6896</v>
      </c>
      <c r="E20916" s="2" t="str">
        <f>"9781433179532"</f>
        <v>9781433179532</v>
      </c>
      <c r="F20916" s="2" t="str">
        <f>"9781433180187"</f>
        <v>9781433180187</v>
      </c>
    </row>
    <row r="20917" spans="1:6" s="3" customFormat="1" ht="29.1" customHeight="1" x14ac:dyDescent="0.25">
      <c r="A20917" s="2" t="s">
        <v>41025</v>
      </c>
      <c r="B20917" s="2" t="s">
        <v>41026</v>
      </c>
      <c r="C20917" s="2" t="s">
        <v>29</v>
      </c>
      <c r="D20917" s="2" t="s">
        <v>192</v>
      </c>
      <c r="E20917" s="2" t="str">
        <f>"9789004425637"</f>
        <v>9789004425637</v>
      </c>
      <c r="F20917" s="2" t="str">
        <f>"9789004425651"</f>
        <v>9789004425651</v>
      </c>
    </row>
    <row r="20918" spans="1:6" s="3" customFormat="1" ht="29.1" customHeight="1" x14ac:dyDescent="0.25">
      <c r="A20918" s="2" t="s">
        <v>41027</v>
      </c>
      <c r="B20918" s="2" t="s">
        <v>41028</v>
      </c>
      <c r="C20918" s="2" t="s">
        <v>149</v>
      </c>
      <c r="D20918" s="2" t="s">
        <v>3043</v>
      </c>
      <c r="E20918" s="2" t="str">
        <f>"9781783749812"</f>
        <v>9781783749812</v>
      </c>
      <c r="F20918" s="2" t="str">
        <f>"9781783749836"</f>
        <v>9781783749836</v>
      </c>
    </row>
    <row r="20919" spans="1:6" s="3" customFormat="1" ht="29.1" customHeight="1" x14ac:dyDescent="0.25">
      <c r="A20919" s="2" t="s">
        <v>41029</v>
      </c>
      <c r="B20919" s="2" t="s">
        <v>41030</v>
      </c>
      <c r="C20919" s="2" t="s">
        <v>149</v>
      </c>
      <c r="D20919" s="2" t="s">
        <v>449</v>
      </c>
      <c r="E20919" s="2" t="str">
        <f>"9781783748969"</f>
        <v>9781783748969</v>
      </c>
      <c r="F20919" s="2" t="str">
        <f>"9781783748983"</f>
        <v>9781783748983</v>
      </c>
    </row>
    <row r="20920" spans="1:6" s="3" customFormat="1" ht="29.1" customHeight="1" x14ac:dyDescent="0.25">
      <c r="A20920" s="2" t="s">
        <v>41031</v>
      </c>
      <c r="B20920" s="2" t="s">
        <v>41032</v>
      </c>
      <c r="C20920" s="2" t="s">
        <v>149</v>
      </c>
      <c r="D20920" s="2" t="s">
        <v>324</v>
      </c>
      <c r="E20920" s="2" t="str">
        <f>"9781800640535"</f>
        <v>9781800640535</v>
      </c>
      <c r="F20920" s="2" t="str">
        <f>"9781800640559"</f>
        <v>9781800640559</v>
      </c>
    </row>
    <row r="20921" spans="1:6" s="3" customFormat="1" ht="29.1" customHeight="1" x14ac:dyDescent="0.25">
      <c r="A20921" s="2" t="s">
        <v>41033</v>
      </c>
      <c r="B20921" s="2" t="s">
        <v>41034</v>
      </c>
      <c r="C20921" s="2" t="s">
        <v>248</v>
      </c>
      <c r="D20921" s="2" t="s">
        <v>75</v>
      </c>
      <c r="E20921" s="2" t="str">
        <f>"9783966650205"</f>
        <v>9783966650205</v>
      </c>
      <c r="F20921" s="2" t="str">
        <f>"9783966659727"</f>
        <v>9783966659727</v>
      </c>
    </row>
    <row r="20922" spans="1:6" s="3" customFormat="1" ht="29.1" customHeight="1" x14ac:dyDescent="0.25">
      <c r="A20922" s="2" t="s">
        <v>41035</v>
      </c>
      <c r="B20922" s="2" t="s">
        <v>41036</v>
      </c>
      <c r="C20922" s="2" t="s">
        <v>124</v>
      </c>
      <c r="D20922" s="2" t="s">
        <v>270</v>
      </c>
      <c r="E20922" s="2" t="str">
        <f>"9780367479541"</f>
        <v>9780367479541</v>
      </c>
      <c r="F20922" s="2" t="str">
        <f>"9781000286731"</f>
        <v>9781000286731</v>
      </c>
    </row>
    <row r="20923" spans="1:6" s="3" customFormat="1" ht="29.1" customHeight="1" x14ac:dyDescent="0.25">
      <c r="A20923" s="2" t="s">
        <v>41037</v>
      </c>
      <c r="B20923" s="2" t="s">
        <v>41038</v>
      </c>
      <c r="C20923" s="2" t="s">
        <v>7395</v>
      </c>
      <c r="D20923" s="2" t="s">
        <v>49</v>
      </c>
      <c r="E20923" s="2" t="str">
        <f>"9780295748184"</f>
        <v>9780295748184</v>
      </c>
      <c r="F20923" s="2" t="str">
        <f>"9780295748207"</f>
        <v>9780295748207</v>
      </c>
    </row>
    <row r="20924" spans="1:6" s="3" customFormat="1" ht="29.1" customHeight="1" x14ac:dyDescent="0.25">
      <c r="A20924" s="2" t="s">
        <v>41039</v>
      </c>
      <c r="B20924" s="2" t="s">
        <v>41040</v>
      </c>
      <c r="C20924" s="2" t="s">
        <v>124</v>
      </c>
      <c r="D20924" s="2" t="s">
        <v>2899</v>
      </c>
      <c r="E20924" s="2" t="str">
        <f>"9780367557133"</f>
        <v>9780367557133</v>
      </c>
      <c r="F20924" s="2" t="str">
        <f>"9781000377897"</f>
        <v>9781000377897</v>
      </c>
    </row>
    <row r="20925" spans="1:6" s="3" customFormat="1" ht="29.1" customHeight="1" x14ac:dyDescent="0.25">
      <c r="A20925" s="2" t="s">
        <v>41041</v>
      </c>
      <c r="B20925" s="2" t="s">
        <v>41042</v>
      </c>
      <c r="C20925" s="2" t="s">
        <v>124</v>
      </c>
      <c r="D20925" s="2" t="s">
        <v>2013</v>
      </c>
      <c r="E20925" s="2" t="str">
        <f>"9780367705121"</f>
        <v>9780367705121</v>
      </c>
      <c r="F20925" s="2" t="str">
        <f>"9781000382679"</f>
        <v>9781000382679</v>
      </c>
    </row>
    <row r="20926" spans="1:6" s="3" customFormat="1" ht="29.1" customHeight="1" x14ac:dyDescent="0.25">
      <c r="A20926" s="2" t="s">
        <v>41043</v>
      </c>
      <c r="B20926" s="2" t="s">
        <v>30234</v>
      </c>
      <c r="C20926" s="2" t="s">
        <v>62</v>
      </c>
      <c r="D20926" s="2" t="s">
        <v>1209</v>
      </c>
      <c r="E20926" s="2" t="str">
        <f>"9783428051106"</f>
        <v>9783428051106</v>
      </c>
      <c r="F20926" s="2" t="str">
        <f>"9783428451104"</f>
        <v>9783428451104</v>
      </c>
    </row>
    <row r="20927" spans="1:6" s="3" customFormat="1" ht="29.1" customHeight="1" x14ac:dyDescent="0.25">
      <c r="A20927" s="2" t="s">
        <v>41044</v>
      </c>
      <c r="B20927" s="2" t="s">
        <v>30234</v>
      </c>
      <c r="C20927" s="2" t="s">
        <v>62</v>
      </c>
      <c r="D20927" s="2" t="s">
        <v>1209</v>
      </c>
      <c r="E20927" s="2" t="str">
        <f>"9783428048625"</f>
        <v>9783428048625</v>
      </c>
      <c r="F20927" s="2" t="str">
        <f>"9783428448623"</f>
        <v>9783428448623</v>
      </c>
    </row>
    <row r="20928" spans="1:6" s="3" customFormat="1" ht="29.1" customHeight="1" x14ac:dyDescent="0.25">
      <c r="A20928" s="2" t="s">
        <v>41045</v>
      </c>
      <c r="B20928" s="2" t="s">
        <v>41046</v>
      </c>
      <c r="C20928" s="2" t="s">
        <v>195</v>
      </c>
      <c r="D20928" s="2" t="s">
        <v>459</v>
      </c>
      <c r="E20928" s="2" t="str">
        <f>"9783110708011"</f>
        <v>9783110708011</v>
      </c>
      <c r="F20928" s="2" t="str">
        <f>"9783110708158"</f>
        <v>9783110708158</v>
      </c>
    </row>
    <row r="20929" spans="1:6" s="3" customFormat="1" ht="29.1" customHeight="1" x14ac:dyDescent="0.25">
      <c r="A20929" s="2" t="s">
        <v>41047</v>
      </c>
      <c r="B20929" s="2" t="s">
        <v>41048</v>
      </c>
      <c r="C20929" s="2" t="s">
        <v>327</v>
      </c>
      <c r="D20929" s="2" t="s">
        <v>8413</v>
      </c>
      <c r="E20929" s="2" t="str">
        <f>"9788382200201"</f>
        <v>9788382200201</v>
      </c>
      <c r="F20929" s="2" t="str">
        <f>"9788382200218"</f>
        <v>9788382200218</v>
      </c>
    </row>
    <row r="20930" spans="1:6" s="3" customFormat="1" ht="29.1" customHeight="1" x14ac:dyDescent="0.25">
      <c r="A20930" s="2" t="s">
        <v>41049</v>
      </c>
      <c r="B20930" s="2" t="s">
        <v>41050</v>
      </c>
      <c r="C20930" s="2" t="s">
        <v>327</v>
      </c>
      <c r="D20930" s="2" t="s">
        <v>2411</v>
      </c>
      <c r="E20930" s="2" t="str">
        <f>"9788382200942"</f>
        <v>9788382200942</v>
      </c>
      <c r="F20930" s="2" t="str">
        <f>"9788382200959"</f>
        <v>9788382200959</v>
      </c>
    </row>
    <row r="20931" spans="1:6" s="3" customFormat="1" ht="29.1" customHeight="1" x14ac:dyDescent="0.25">
      <c r="A20931" s="2" t="s">
        <v>41051</v>
      </c>
      <c r="B20931" s="2" t="s">
        <v>41052</v>
      </c>
      <c r="C20931" s="2" t="s">
        <v>327</v>
      </c>
      <c r="D20931" s="2" t="s">
        <v>37</v>
      </c>
      <c r="E20931" s="2" t="str">
        <f>"9788381429788"</f>
        <v>9788381429788</v>
      </c>
      <c r="F20931" s="2" t="str">
        <f>"9788381429795"</f>
        <v>9788381429795</v>
      </c>
    </row>
    <row r="20932" spans="1:6" s="3" customFormat="1" ht="29.1" customHeight="1" x14ac:dyDescent="0.25">
      <c r="A20932" s="2" t="s">
        <v>41053</v>
      </c>
      <c r="B20932" s="2" t="s">
        <v>41054</v>
      </c>
      <c r="C20932" s="2" t="s">
        <v>124</v>
      </c>
      <c r="D20932" s="2" t="s">
        <v>15605</v>
      </c>
      <c r="E20932" s="2" t="str">
        <f>"9780367406011"</f>
        <v>9780367406011</v>
      </c>
      <c r="F20932" s="2" t="str">
        <f>"9781000332650"</f>
        <v>9781000332650</v>
      </c>
    </row>
    <row r="20933" spans="1:6" s="3" customFormat="1" ht="29.1" customHeight="1" x14ac:dyDescent="0.25">
      <c r="A20933" s="2" t="s">
        <v>41055</v>
      </c>
      <c r="B20933" s="2" t="s">
        <v>41056</v>
      </c>
      <c r="C20933" s="2" t="s">
        <v>124</v>
      </c>
      <c r="D20933" s="2" t="s">
        <v>9</v>
      </c>
      <c r="E20933" s="2" t="str">
        <f>"9780367426514"</f>
        <v>9780367426514</v>
      </c>
      <c r="F20933" s="2" t="str">
        <f>"9781000358766"</f>
        <v>9781000358766</v>
      </c>
    </row>
    <row r="20934" spans="1:6" s="3" customFormat="1" ht="29.1" customHeight="1" x14ac:dyDescent="0.25">
      <c r="A20934" s="2" t="s">
        <v>41057</v>
      </c>
      <c r="B20934" s="2" t="s">
        <v>41058</v>
      </c>
      <c r="C20934" s="2" t="s">
        <v>124</v>
      </c>
      <c r="D20934" s="2" t="s">
        <v>8647</v>
      </c>
      <c r="E20934" s="2" t="str">
        <f>"9780367074265"</f>
        <v>9780367074265</v>
      </c>
      <c r="F20934" s="2" t="str">
        <f>"9780429665318"</f>
        <v>9780429665318</v>
      </c>
    </row>
    <row r="20935" spans="1:6" s="3" customFormat="1" ht="29.1" customHeight="1" x14ac:dyDescent="0.25">
      <c r="A20935" s="2" t="s">
        <v>41059</v>
      </c>
      <c r="B20935" s="2" t="s">
        <v>41060</v>
      </c>
      <c r="C20935" s="2" t="s">
        <v>124</v>
      </c>
      <c r="D20935" s="2" t="s">
        <v>353</v>
      </c>
      <c r="E20935" s="2" t="str">
        <f>"9780367333300"</f>
        <v>9780367333300</v>
      </c>
      <c r="F20935" s="2" t="str">
        <f>"9781000289466"</f>
        <v>9781000289466</v>
      </c>
    </row>
    <row r="20936" spans="1:6" s="3" customFormat="1" ht="29.1" customHeight="1" x14ac:dyDescent="0.25">
      <c r="A20936" s="2" t="s">
        <v>41061</v>
      </c>
      <c r="B20936" s="2" t="s">
        <v>41063</v>
      </c>
      <c r="C20936" s="2" t="s">
        <v>124</v>
      </c>
      <c r="D20936" s="2" t="s">
        <v>41062</v>
      </c>
      <c r="E20936" s="2" t="str">
        <f>"9780367414757"</f>
        <v>9780367414757</v>
      </c>
      <c r="F20936" s="2" t="str">
        <f>"9781000213638"</f>
        <v>9781000213638</v>
      </c>
    </row>
    <row r="20937" spans="1:6" s="3" customFormat="1" ht="29.1" customHeight="1" x14ac:dyDescent="0.25">
      <c r="A20937" s="2" t="s">
        <v>41064</v>
      </c>
      <c r="B20937" s="2" t="s">
        <v>41065</v>
      </c>
      <c r="C20937" s="2" t="s">
        <v>124</v>
      </c>
      <c r="D20937" s="2" t="s">
        <v>2086</v>
      </c>
      <c r="E20937" s="2" t="str">
        <f>"9780367429546"</f>
        <v>9780367429546</v>
      </c>
      <c r="F20937" s="2" t="str">
        <f>"9781000213645"</f>
        <v>9781000213645</v>
      </c>
    </row>
    <row r="20938" spans="1:6" s="3" customFormat="1" ht="29.1" customHeight="1" x14ac:dyDescent="0.25">
      <c r="A20938" s="2" t="s">
        <v>41066</v>
      </c>
      <c r="B20938" s="2" t="s">
        <v>41067</v>
      </c>
      <c r="C20938" s="2" t="s">
        <v>124</v>
      </c>
      <c r="D20938" s="2" t="s">
        <v>270</v>
      </c>
      <c r="E20938" s="2" t="str">
        <f>"9780367644536"</f>
        <v>9780367644536</v>
      </c>
      <c r="F20938" s="2" t="str">
        <f>"9781351654005"</f>
        <v>9781351654005</v>
      </c>
    </row>
    <row r="20939" spans="1:6" s="3" customFormat="1" ht="29.1" customHeight="1" x14ac:dyDescent="0.25">
      <c r="A20939" s="2" t="s">
        <v>41068</v>
      </c>
      <c r="B20939" s="2" t="s">
        <v>41069</v>
      </c>
      <c r="C20939" s="2" t="s">
        <v>124</v>
      </c>
      <c r="D20939" s="2" t="s">
        <v>189</v>
      </c>
      <c r="E20939" s="2" t="str">
        <f>"9780367349264"</f>
        <v>9780367349264</v>
      </c>
      <c r="F20939" s="2" t="str">
        <f>"9780429328732"</f>
        <v>9780429328732</v>
      </c>
    </row>
    <row r="20940" spans="1:6" s="3" customFormat="1" ht="29.1" customHeight="1" x14ac:dyDescent="0.25">
      <c r="A20940" s="2" t="s">
        <v>41070</v>
      </c>
      <c r="B20940" s="2" t="s">
        <v>41071</v>
      </c>
      <c r="C20940" s="2" t="s">
        <v>327</v>
      </c>
      <c r="D20940" s="2" t="s">
        <v>682</v>
      </c>
      <c r="E20940" s="2" t="str">
        <f>"9788381429603"</f>
        <v>9788381429603</v>
      </c>
      <c r="F20940" s="2" t="str">
        <f>"9788381429610"</f>
        <v>9788381429610</v>
      </c>
    </row>
    <row r="20941" spans="1:6" s="3" customFormat="1" ht="29.1" customHeight="1" x14ac:dyDescent="0.25">
      <c r="A20941" s="2" t="s">
        <v>41072</v>
      </c>
      <c r="B20941" s="2" t="s">
        <v>40678</v>
      </c>
      <c r="C20941" s="2" t="s">
        <v>327</v>
      </c>
      <c r="D20941" s="2" t="s">
        <v>1854</v>
      </c>
      <c r="E20941" s="2"/>
      <c r="F20941" s="2" t="str">
        <f>"9788381429368"</f>
        <v>9788381429368</v>
      </c>
    </row>
    <row r="20942" spans="1:6" s="3" customFormat="1" ht="29.1" customHeight="1" x14ac:dyDescent="0.25">
      <c r="A20942" s="2" t="s">
        <v>41073</v>
      </c>
      <c r="B20942" s="2" t="s">
        <v>41074</v>
      </c>
      <c r="C20942" s="2" t="s">
        <v>327</v>
      </c>
      <c r="D20942" s="2" t="s">
        <v>1253</v>
      </c>
      <c r="E20942" s="2" t="str">
        <f>"9788381429245"</f>
        <v>9788381429245</v>
      </c>
      <c r="F20942" s="2" t="str">
        <f>"9788381429252"</f>
        <v>9788381429252</v>
      </c>
    </row>
    <row r="20943" spans="1:6" s="3" customFormat="1" ht="29.1" customHeight="1" x14ac:dyDescent="0.25">
      <c r="A20943" s="2" t="s">
        <v>41075</v>
      </c>
      <c r="B20943" s="2" t="s">
        <v>7973</v>
      </c>
      <c r="C20943" s="2" t="s">
        <v>327</v>
      </c>
      <c r="D20943" s="2" t="s">
        <v>903</v>
      </c>
      <c r="E20943" s="2" t="str">
        <f>"9788381429207"</f>
        <v>9788381429207</v>
      </c>
      <c r="F20943" s="2" t="str">
        <f>"9788381429214"</f>
        <v>9788381429214</v>
      </c>
    </row>
    <row r="20944" spans="1:6" s="3" customFormat="1" ht="29.1" customHeight="1" x14ac:dyDescent="0.25">
      <c r="A20944" s="2" t="s">
        <v>41076</v>
      </c>
      <c r="B20944" s="2" t="s">
        <v>41077</v>
      </c>
      <c r="C20944" s="2" t="s">
        <v>8104</v>
      </c>
      <c r="D20944" s="2" t="s">
        <v>8149</v>
      </c>
      <c r="E20944" s="2" t="str">
        <f>"9781800731240"</f>
        <v>9781800731240</v>
      </c>
      <c r="F20944" s="2" t="str">
        <f>"9781800731257"</f>
        <v>9781800731257</v>
      </c>
    </row>
    <row r="20945" spans="1:6" s="3" customFormat="1" ht="29.1" customHeight="1" x14ac:dyDescent="0.25">
      <c r="A20945" s="2" t="s">
        <v>41078</v>
      </c>
      <c r="B20945" s="2" t="s">
        <v>41079</v>
      </c>
      <c r="C20945" s="2" t="s">
        <v>124</v>
      </c>
      <c r="D20945" s="2" t="s">
        <v>818</v>
      </c>
      <c r="E20945" s="2" t="str">
        <f>"9780367644482"</f>
        <v>9780367644482</v>
      </c>
      <c r="F20945" s="2" t="str">
        <f>"9781000182231"</f>
        <v>9781000182231</v>
      </c>
    </row>
    <row r="20946" spans="1:6" s="3" customFormat="1" ht="29.1" customHeight="1" x14ac:dyDescent="0.25">
      <c r="A20946" s="2" t="s">
        <v>41080</v>
      </c>
      <c r="B20946" s="2" t="s">
        <v>41081</v>
      </c>
      <c r="C20946" s="2" t="s">
        <v>29</v>
      </c>
      <c r="D20946" s="2" t="s">
        <v>302</v>
      </c>
      <c r="E20946" s="2" t="str">
        <f>"9789086863549"</f>
        <v>9789086863549</v>
      </c>
      <c r="F20946" s="2" t="str">
        <f>"9789086869077"</f>
        <v>9789086869077</v>
      </c>
    </row>
    <row r="20947" spans="1:6" s="3" customFormat="1" ht="29.1" customHeight="1" x14ac:dyDescent="0.25">
      <c r="A20947" s="2" t="s">
        <v>41082</v>
      </c>
      <c r="B20947" s="2" t="s">
        <v>41083</v>
      </c>
      <c r="C20947" s="2" t="s">
        <v>327</v>
      </c>
      <c r="D20947" s="2" t="s">
        <v>459</v>
      </c>
      <c r="E20947" s="2" t="str">
        <f>"9788381428743"</f>
        <v>9788381428743</v>
      </c>
      <c r="F20947" s="2" t="str">
        <f>"9788382201413"</f>
        <v>9788382201413</v>
      </c>
    </row>
    <row r="20948" spans="1:6" s="3" customFormat="1" ht="29.1" customHeight="1" x14ac:dyDescent="0.25">
      <c r="A20948" s="2" t="s">
        <v>41084</v>
      </c>
      <c r="B20948" s="2" t="s">
        <v>41085</v>
      </c>
      <c r="C20948" s="2" t="s">
        <v>327</v>
      </c>
      <c r="D20948" s="2" t="s">
        <v>4048</v>
      </c>
      <c r="E20948" s="2" t="str">
        <f>"9788382200461"</f>
        <v>9788382200461</v>
      </c>
      <c r="F20948" s="2" t="str">
        <f>"9788382200478"</f>
        <v>9788382200478</v>
      </c>
    </row>
    <row r="20949" spans="1:6" s="3" customFormat="1" ht="29.1" customHeight="1" x14ac:dyDescent="0.25">
      <c r="A20949" s="2" t="s">
        <v>41086</v>
      </c>
      <c r="B20949" s="2" t="s">
        <v>41087</v>
      </c>
      <c r="C20949" s="2" t="s">
        <v>327</v>
      </c>
      <c r="D20949" s="2" t="s">
        <v>553</v>
      </c>
      <c r="E20949" s="2"/>
      <c r="F20949" s="2" t="str">
        <f>"9788381429931"</f>
        <v>9788381429931</v>
      </c>
    </row>
    <row r="20950" spans="1:6" s="3" customFormat="1" ht="29.1" customHeight="1" x14ac:dyDescent="0.25">
      <c r="A20950" s="2" t="s">
        <v>41088</v>
      </c>
      <c r="B20950" s="2" t="s">
        <v>41089</v>
      </c>
      <c r="C20950" s="2" t="s">
        <v>327</v>
      </c>
      <c r="D20950" s="2" t="s">
        <v>727</v>
      </c>
      <c r="E20950" s="2" t="str">
        <f>"9788381428729"</f>
        <v>9788381428729</v>
      </c>
      <c r="F20950" s="2" t="str">
        <f>"9788381428736"</f>
        <v>9788381428736</v>
      </c>
    </row>
    <row r="20951" spans="1:6" s="3" customFormat="1" ht="29.1" customHeight="1" x14ac:dyDescent="0.25">
      <c r="A20951" s="2" t="s">
        <v>41090</v>
      </c>
      <c r="B20951" s="2" t="s">
        <v>41091</v>
      </c>
      <c r="C20951" s="2" t="s">
        <v>124</v>
      </c>
      <c r="D20951" s="2" t="s">
        <v>402</v>
      </c>
      <c r="E20951" s="2" t="str">
        <f>"9780367615048"</f>
        <v>9780367615048</v>
      </c>
      <c r="F20951" s="2" t="str">
        <f>"9781000287127"</f>
        <v>9781000287127</v>
      </c>
    </row>
    <row r="20952" spans="1:6" s="3" customFormat="1" ht="29.1" customHeight="1" x14ac:dyDescent="0.25">
      <c r="A20952" s="2" t="s">
        <v>41092</v>
      </c>
      <c r="B20952" s="2" t="s">
        <v>41093</v>
      </c>
      <c r="C20952" s="2" t="s">
        <v>195</v>
      </c>
      <c r="D20952" s="2" t="s">
        <v>916</v>
      </c>
      <c r="E20952" s="2" t="str">
        <f>"9783110684773"</f>
        <v>9783110684773</v>
      </c>
      <c r="F20952" s="2" t="str">
        <f>"9783110684858"</f>
        <v>9783110684858</v>
      </c>
    </row>
    <row r="20953" spans="1:6" s="3" customFormat="1" ht="29.1" customHeight="1" x14ac:dyDescent="0.25">
      <c r="A20953" s="2" t="s">
        <v>41094</v>
      </c>
      <c r="B20953" s="2" t="s">
        <v>41095</v>
      </c>
      <c r="C20953" s="2" t="s">
        <v>595</v>
      </c>
      <c r="D20953" s="2" t="s">
        <v>6128</v>
      </c>
      <c r="E20953" s="2" t="str">
        <f>"9783631828861"</f>
        <v>9783631828861</v>
      </c>
      <c r="F20953" s="2" t="str">
        <f>"9783631831328"</f>
        <v>9783631831328</v>
      </c>
    </row>
    <row r="20954" spans="1:6" s="3" customFormat="1" ht="29.1" customHeight="1" x14ac:dyDescent="0.25">
      <c r="A20954" s="2" t="s">
        <v>41096</v>
      </c>
      <c r="B20954" s="2" t="s">
        <v>41097</v>
      </c>
      <c r="C20954" s="2" t="s">
        <v>62</v>
      </c>
      <c r="D20954" s="2" t="s">
        <v>2551</v>
      </c>
      <c r="E20954" s="2" t="str">
        <f>"9783428180530"</f>
        <v>9783428180530</v>
      </c>
      <c r="F20954" s="2" t="str">
        <f>"9783428580538"</f>
        <v>9783428580538</v>
      </c>
    </row>
    <row r="20955" spans="1:6" s="3" customFormat="1" ht="29.1" customHeight="1" x14ac:dyDescent="0.25">
      <c r="A20955" s="2" t="s">
        <v>41098</v>
      </c>
      <c r="B20955" s="2" t="s">
        <v>41099</v>
      </c>
      <c r="C20955" s="2" t="s">
        <v>7395</v>
      </c>
      <c r="D20955" s="2" t="s">
        <v>36577</v>
      </c>
      <c r="E20955" s="2" t="str">
        <f>"9780295747712"</f>
        <v>9780295747712</v>
      </c>
      <c r="F20955" s="2" t="str">
        <f>"9780295747736"</f>
        <v>9780295747736</v>
      </c>
    </row>
    <row r="20956" spans="1:6" s="3" customFormat="1" ht="29.1" customHeight="1" x14ac:dyDescent="0.25">
      <c r="A20956" s="2" t="s">
        <v>41100</v>
      </c>
      <c r="B20956" s="2" t="s">
        <v>41101</v>
      </c>
      <c r="C20956" s="2" t="s">
        <v>29</v>
      </c>
      <c r="D20956" s="2" t="s">
        <v>4185</v>
      </c>
      <c r="E20956" s="2" t="str">
        <f>"9789004434905"</f>
        <v>9789004434905</v>
      </c>
      <c r="F20956" s="2" t="str">
        <f>"9789004443457"</f>
        <v>9789004443457</v>
      </c>
    </row>
    <row r="20957" spans="1:6" s="3" customFormat="1" ht="29.1" customHeight="1" x14ac:dyDescent="0.25">
      <c r="A20957" s="2" t="s">
        <v>41102</v>
      </c>
      <c r="B20957" s="2" t="s">
        <v>41103</v>
      </c>
      <c r="C20957" s="2" t="s">
        <v>29</v>
      </c>
      <c r="D20957" s="2" t="s">
        <v>5032</v>
      </c>
      <c r="E20957" s="2" t="str">
        <f>"9789004284791"</f>
        <v>9789004284791</v>
      </c>
      <c r="F20957" s="2" t="str">
        <f>"9789004284807"</f>
        <v>9789004284807</v>
      </c>
    </row>
    <row r="20958" spans="1:6" s="3" customFormat="1" ht="29.1" customHeight="1" x14ac:dyDescent="0.25">
      <c r="A20958" s="2" t="s">
        <v>41104</v>
      </c>
      <c r="B20958" s="2" t="s">
        <v>41105</v>
      </c>
      <c r="C20958" s="2" t="s">
        <v>124</v>
      </c>
      <c r="D20958" s="2" t="s">
        <v>1043</v>
      </c>
      <c r="E20958" s="2" t="str">
        <f>"9780367546304"</f>
        <v>9780367546304</v>
      </c>
      <c r="F20958" s="2" t="str">
        <f>"9781000287721"</f>
        <v>9781000287721</v>
      </c>
    </row>
    <row r="20959" spans="1:6" s="3" customFormat="1" ht="29.1" customHeight="1" x14ac:dyDescent="0.25">
      <c r="A20959" s="2" t="s">
        <v>41106</v>
      </c>
      <c r="B20959" s="2" t="s">
        <v>41107</v>
      </c>
      <c r="C20959" s="2" t="s">
        <v>3169</v>
      </c>
      <c r="D20959" s="2" t="s">
        <v>25255</v>
      </c>
      <c r="E20959" s="2" t="str">
        <f>"9781847012661"</f>
        <v>9781847012661</v>
      </c>
      <c r="F20959" s="2" t="str">
        <f>"9781800101487"</f>
        <v>9781800101487</v>
      </c>
    </row>
    <row r="20960" spans="1:6" s="3" customFormat="1" ht="29.1" customHeight="1" x14ac:dyDescent="0.25">
      <c r="A20960" s="2" t="s">
        <v>41108</v>
      </c>
      <c r="B20960" s="2" t="s">
        <v>41109</v>
      </c>
      <c r="C20960" s="2" t="s">
        <v>264</v>
      </c>
      <c r="D20960" s="2" t="s">
        <v>2542</v>
      </c>
      <c r="E20960" s="2" t="str">
        <f>"9780367474348"</f>
        <v>9780367474348</v>
      </c>
      <c r="F20960" s="2" t="str">
        <f>"9781000377767"</f>
        <v>9781000377767</v>
      </c>
    </row>
    <row r="20961" spans="1:6" s="3" customFormat="1" ht="29.1" customHeight="1" x14ac:dyDescent="0.25">
      <c r="A20961" s="2" t="s">
        <v>41110</v>
      </c>
      <c r="B20961" s="2" t="s">
        <v>41111</v>
      </c>
      <c r="C20961" s="2" t="s">
        <v>264</v>
      </c>
      <c r="D20961" s="2" t="s">
        <v>3304</v>
      </c>
      <c r="E20961" s="2" t="str">
        <f>"9780367758813"</f>
        <v>9780367758813</v>
      </c>
      <c r="F20961" s="2" t="str">
        <f>"9781000376432"</f>
        <v>9781000376432</v>
      </c>
    </row>
    <row r="20962" spans="1:6" s="3" customFormat="1" ht="29.1" customHeight="1" x14ac:dyDescent="0.25">
      <c r="A20962" s="2" t="s">
        <v>41112</v>
      </c>
      <c r="B20962" s="2" t="s">
        <v>41114</v>
      </c>
      <c r="C20962" s="2" t="s">
        <v>124</v>
      </c>
      <c r="D20962" s="2" t="s">
        <v>41113</v>
      </c>
      <c r="E20962" s="2" t="str">
        <f>"9780367503482"</f>
        <v>9780367503482</v>
      </c>
      <c r="F20962" s="2" t="str">
        <f>"9781000343359"</f>
        <v>9781000343359</v>
      </c>
    </row>
    <row r="20963" spans="1:6" s="3" customFormat="1" ht="29.1" customHeight="1" x14ac:dyDescent="0.25">
      <c r="A20963" s="2" t="s">
        <v>41115</v>
      </c>
      <c r="B20963" s="2" t="s">
        <v>41116</v>
      </c>
      <c r="C20963" s="2" t="s">
        <v>124</v>
      </c>
      <c r="D20963" s="2" t="s">
        <v>14507</v>
      </c>
      <c r="E20963" s="2" t="str">
        <f>"9780367757830"</f>
        <v>9780367757830</v>
      </c>
      <c r="F20963" s="2" t="str">
        <f>"9781000374278"</f>
        <v>9781000374278</v>
      </c>
    </row>
    <row r="20964" spans="1:6" s="3" customFormat="1" ht="29.1" customHeight="1" x14ac:dyDescent="0.25">
      <c r="A20964" s="2" t="s">
        <v>41117</v>
      </c>
      <c r="B20964" s="2" t="s">
        <v>41118</v>
      </c>
      <c r="C20964" s="2" t="s">
        <v>124</v>
      </c>
      <c r="D20964" s="2" t="s">
        <v>2587</v>
      </c>
      <c r="E20964" s="2" t="str">
        <f>"9780367677343"</f>
        <v>9780367677343</v>
      </c>
      <c r="F20964" s="2" t="str">
        <f>"9780429452154"</f>
        <v>9780429452154</v>
      </c>
    </row>
    <row r="20965" spans="1:6" s="3" customFormat="1" ht="29.1" customHeight="1" x14ac:dyDescent="0.25">
      <c r="A20965" s="2" t="s">
        <v>41119</v>
      </c>
      <c r="B20965" s="2" t="s">
        <v>41120</v>
      </c>
      <c r="C20965" s="2" t="s">
        <v>124</v>
      </c>
      <c r="D20965" s="2" t="s">
        <v>186</v>
      </c>
      <c r="E20965" s="2" t="str">
        <f>"9780367279752"</f>
        <v>9780367279752</v>
      </c>
      <c r="F20965" s="2" t="str">
        <f>"9780429298998"</f>
        <v>9780429298998</v>
      </c>
    </row>
    <row r="20966" spans="1:6" s="3" customFormat="1" ht="29.1" customHeight="1" x14ac:dyDescent="0.25">
      <c r="A20966" s="2" t="s">
        <v>41121</v>
      </c>
      <c r="B20966" s="2" t="s">
        <v>41122</v>
      </c>
      <c r="C20966" s="2" t="s">
        <v>124</v>
      </c>
      <c r="D20966" s="2" t="s">
        <v>6896</v>
      </c>
      <c r="E20966" s="2" t="str">
        <f>"9780367708542"</f>
        <v>9780367708542</v>
      </c>
      <c r="F20966" s="2" t="str">
        <f>"9781000376258"</f>
        <v>9781000376258</v>
      </c>
    </row>
    <row r="20967" spans="1:6" s="3" customFormat="1" ht="29.1" customHeight="1" x14ac:dyDescent="0.25">
      <c r="A20967" s="2" t="s">
        <v>41123</v>
      </c>
      <c r="B20967" s="2" t="s">
        <v>41125</v>
      </c>
      <c r="C20967" s="2" t="s">
        <v>124</v>
      </c>
      <c r="D20967" s="2" t="s">
        <v>41124</v>
      </c>
      <c r="E20967" s="2" t="str">
        <f>"9780367250812"</f>
        <v>9780367250812</v>
      </c>
      <c r="F20967" s="2" t="str">
        <f>"9780429285912"</f>
        <v>9780429285912</v>
      </c>
    </row>
    <row r="20968" spans="1:6" s="3" customFormat="1" ht="29.1" customHeight="1" x14ac:dyDescent="0.25">
      <c r="A20968" s="2" t="s">
        <v>41126</v>
      </c>
      <c r="B20968" s="2" t="s">
        <v>41127</v>
      </c>
      <c r="C20968" s="2" t="s">
        <v>124</v>
      </c>
      <c r="D20968" s="2" t="s">
        <v>9</v>
      </c>
      <c r="E20968" s="2" t="str">
        <f>"9780367493325"</f>
        <v>9780367493325</v>
      </c>
      <c r="F20968" s="2" t="str">
        <f>"9781000377378"</f>
        <v>9781000377378</v>
      </c>
    </row>
    <row r="20969" spans="1:6" s="3" customFormat="1" ht="29.1" customHeight="1" x14ac:dyDescent="0.25">
      <c r="A20969" s="2" t="s">
        <v>41128</v>
      </c>
      <c r="B20969" s="2" t="s">
        <v>41129</v>
      </c>
      <c r="C20969" s="2" t="s">
        <v>124</v>
      </c>
      <c r="D20969" s="2" t="s">
        <v>86</v>
      </c>
      <c r="E20969" s="2" t="str">
        <f>"9780367419950"</f>
        <v>9780367419950</v>
      </c>
      <c r="F20969" s="2" t="str">
        <f>"9781000370447"</f>
        <v>9781000370447</v>
      </c>
    </row>
    <row r="20970" spans="1:6" s="3" customFormat="1" ht="29.1" customHeight="1" x14ac:dyDescent="0.25">
      <c r="A20970" s="2" t="s">
        <v>41130</v>
      </c>
      <c r="B20970" s="2" t="s">
        <v>41131</v>
      </c>
      <c r="C20970" s="2" t="s">
        <v>124</v>
      </c>
      <c r="D20970" s="2" t="s">
        <v>818</v>
      </c>
      <c r="E20970" s="2" t="str">
        <f>"9781350056121"</f>
        <v>9781350056121</v>
      </c>
      <c r="F20970" s="2" t="str">
        <f>"9781000182156"</f>
        <v>9781000182156</v>
      </c>
    </row>
    <row r="20971" spans="1:6" s="3" customFormat="1" ht="29.1" customHeight="1" x14ac:dyDescent="0.25">
      <c r="A20971" s="2" t="s">
        <v>41132</v>
      </c>
      <c r="B20971" s="2" t="s">
        <v>41134</v>
      </c>
      <c r="C20971" s="2" t="s">
        <v>124</v>
      </c>
      <c r="D20971" s="2" t="s">
        <v>41133</v>
      </c>
      <c r="E20971" s="2" t="str">
        <f>"9780367442200"</f>
        <v>9780367442200</v>
      </c>
      <c r="F20971" s="2" t="str">
        <f>"9781000333411"</f>
        <v>9781000333411</v>
      </c>
    </row>
    <row r="20972" spans="1:6" s="3" customFormat="1" ht="29.1" customHeight="1" x14ac:dyDescent="0.25">
      <c r="A20972" s="2" t="s">
        <v>41135</v>
      </c>
      <c r="B20972" s="2" t="s">
        <v>41136</v>
      </c>
      <c r="C20972" s="2" t="s">
        <v>124</v>
      </c>
      <c r="D20972" s="2" t="s">
        <v>1466</v>
      </c>
      <c r="E20972" s="2" t="str">
        <f>"9780367374129"</f>
        <v>9780367374129</v>
      </c>
      <c r="F20972" s="2" t="str">
        <f>"9780429354243"</f>
        <v>9780429354243</v>
      </c>
    </row>
    <row r="20973" spans="1:6" s="3" customFormat="1" ht="29.1" customHeight="1" x14ac:dyDescent="0.25">
      <c r="A20973" s="2" t="s">
        <v>41137</v>
      </c>
      <c r="B20973" s="2" t="s">
        <v>41138</v>
      </c>
      <c r="C20973" s="2" t="s">
        <v>124</v>
      </c>
      <c r="D20973" s="2" t="s">
        <v>339</v>
      </c>
      <c r="E20973" s="2" t="str">
        <f>"9780367141097"</f>
        <v>9780367141097</v>
      </c>
      <c r="F20973" s="2" t="str">
        <f>"9780429030208"</f>
        <v>9780429030208</v>
      </c>
    </row>
    <row r="20974" spans="1:6" s="3" customFormat="1" ht="29.1" customHeight="1" x14ac:dyDescent="0.25">
      <c r="A20974" s="2" t="s">
        <v>41139</v>
      </c>
      <c r="B20974" s="2" t="s">
        <v>41140</v>
      </c>
      <c r="C20974" s="2" t="s">
        <v>927</v>
      </c>
      <c r="D20974" s="2" t="s">
        <v>1427</v>
      </c>
      <c r="E20974" s="2" t="str">
        <f>"9780891480907"</f>
        <v>9780891480907</v>
      </c>
      <c r="F20974" s="2" t="str">
        <f>"9780472127719"</f>
        <v>9780472127719</v>
      </c>
    </row>
    <row r="20975" spans="1:6" s="3" customFormat="1" ht="29.1" customHeight="1" x14ac:dyDescent="0.25">
      <c r="A20975" s="2" t="s">
        <v>41141</v>
      </c>
      <c r="B20975" s="2" t="s">
        <v>41142</v>
      </c>
      <c r="C20975" s="2" t="s">
        <v>124</v>
      </c>
      <c r="D20975" s="2" t="s">
        <v>2199</v>
      </c>
      <c r="E20975" s="2" t="str">
        <f>"9780367514341"</f>
        <v>9780367514341</v>
      </c>
      <c r="F20975" s="2" t="str">
        <f>"9781000264098"</f>
        <v>9781000264098</v>
      </c>
    </row>
    <row r="20976" spans="1:6" s="3" customFormat="1" ht="29.1" customHeight="1" x14ac:dyDescent="0.25">
      <c r="A20976" s="2" t="s">
        <v>41143</v>
      </c>
      <c r="B20976" s="2" t="s">
        <v>41144</v>
      </c>
      <c r="C20976" s="2" t="s">
        <v>556</v>
      </c>
      <c r="D20976" s="2" t="s">
        <v>712</v>
      </c>
      <c r="E20976" s="2" t="str">
        <f>"9783837654882"</f>
        <v>9783837654882</v>
      </c>
      <c r="F20976" s="2" t="str">
        <f>"9783839454886"</f>
        <v>9783839454886</v>
      </c>
    </row>
    <row r="20977" spans="1:6" s="3" customFormat="1" ht="29.1" customHeight="1" x14ac:dyDescent="0.25">
      <c r="A20977" s="2" t="s">
        <v>41145</v>
      </c>
      <c r="B20977" s="2" t="s">
        <v>41146</v>
      </c>
      <c r="C20977" s="2" t="s">
        <v>556</v>
      </c>
      <c r="D20977" s="2" t="s">
        <v>636</v>
      </c>
      <c r="E20977" s="2" t="str">
        <f>"9783837654769"</f>
        <v>9783837654769</v>
      </c>
      <c r="F20977" s="2" t="str">
        <f>"9783839454763"</f>
        <v>9783839454763</v>
      </c>
    </row>
    <row r="20978" spans="1:6" s="3" customFormat="1" ht="29.1" customHeight="1" x14ac:dyDescent="0.25">
      <c r="A20978" s="2" t="s">
        <v>41147</v>
      </c>
      <c r="B20978" s="2" t="s">
        <v>9138</v>
      </c>
      <c r="C20978" s="2" t="s">
        <v>556</v>
      </c>
      <c r="D20978" s="2" t="s">
        <v>699</v>
      </c>
      <c r="E20978" s="2" t="str">
        <f>"9783837653649"</f>
        <v>9783837653649</v>
      </c>
      <c r="F20978" s="2" t="str">
        <f>"9783839453643"</f>
        <v>9783839453643</v>
      </c>
    </row>
    <row r="20979" spans="1:6" s="3" customFormat="1" ht="29.1" customHeight="1" x14ac:dyDescent="0.25">
      <c r="A20979" s="2" t="s">
        <v>41148</v>
      </c>
      <c r="B20979" s="2" t="s">
        <v>41149</v>
      </c>
      <c r="C20979" s="2" t="s">
        <v>556</v>
      </c>
      <c r="D20979" s="2" t="s">
        <v>636</v>
      </c>
      <c r="E20979" s="2" t="str">
        <f>"9783837653274"</f>
        <v>9783837653274</v>
      </c>
      <c r="F20979" s="2" t="str">
        <f>"9783839453278"</f>
        <v>9783839453278</v>
      </c>
    </row>
    <row r="20980" spans="1:6" s="3" customFormat="1" ht="29.1" customHeight="1" x14ac:dyDescent="0.25">
      <c r="A20980" s="2" t="s">
        <v>41150</v>
      </c>
      <c r="B20980" s="2" t="s">
        <v>41151</v>
      </c>
      <c r="C20980" s="2" t="s">
        <v>556</v>
      </c>
      <c r="D20980" s="2" t="s">
        <v>215</v>
      </c>
      <c r="E20980" s="2" t="str">
        <f>"9783837652277"</f>
        <v>9783837652277</v>
      </c>
      <c r="F20980" s="2" t="str">
        <f>"9783839452271"</f>
        <v>9783839452271</v>
      </c>
    </row>
    <row r="20981" spans="1:6" s="3" customFormat="1" ht="29.1" customHeight="1" x14ac:dyDescent="0.25">
      <c r="A20981" s="2" t="s">
        <v>41152</v>
      </c>
      <c r="B20981" s="2" t="s">
        <v>41153</v>
      </c>
      <c r="C20981" s="2" t="s">
        <v>556</v>
      </c>
      <c r="D20981" s="2" t="s">
        <v>202</v>
      </c>
      <c r="E20981" s="2" t="str">
        <f>"9783837651676"</f>
        <v>9783837651676</v>
      </c>
      <c r="F20981" s="2" t="str">
        <f>"9783839451670"</f>
        <v>9783839451670</v>
      </c>
    </row>
    <row r="20982" spans="1:6" s="3" customFormat="1" ht="29.1" customHeight="1" x14ac:dyDescent="0.25">
      <c r="A20982" s="2" t="s">
        <v>41154</v>
      </c>
      <c r="B20982" s="2" t="s">
        <v>41155</v>
      </c>
      <c r="C20982" s="2" t="s">
        <v>556</v>
      </c>
      <c r="D20982" s="2" t="s">
        <v>712</v>
      </c>
      <c r="E20982" s="2" t="str">
        <f>"9783837643107"</f>
        <v>9783837643107</v>
      </c>
      <c r="F20982" s="2" t="str">
        <f>"9783839443101"</f>
        <v>9783839443101</v>
      </c>
    </row>
    <row r="20983" spans="1:6" s="3" customFormat="1" ht="29.1" customHeight="1" x14ac:dyDescent="0.25">
      <c r="A20983" s="2" t="s">
        <v>41156</v>
      </c>
      <c r="B20983" s="2" t="s">
        <v>41157</v>
      </c>
      <c r="C20983" s="2" t="s">
        <v>149</v>
      </c>
      <c r="D20983" s="2" t="s">
        <v>11603</v>
      </c>
      <c r="E20983" s="2" t="str">
        <f>"9781800640955"</f>
        <v>9781800640955</v>
      </c>
      <c r="F20983" s="2" t="str">
        <f>"9781800640979"</f>
        <v>9781800640979</v>
      </c>
    </row>
    <row r="20984" spans="1:6" s="3" customFormat="1" ht="29.1" customHeight="1" x14ac:dyDescent="0.25">
      <c r="A20984" s="2" t="s">
        <v>41158</v>
      </c>
      <c r="B20984" s="2" t="s">
        <v>41159</v>
      </c>
      <c r="C20984" s="2" t="s">
        <v>149</v>
      </c>
      <c r="D20984" s="2" t="s">
        <v>7296</v>
      </c>
      <c r="E20984" s="2" t="str">
        <f>"9781800640290"</f>
        <v>9781800640290</v>
      </c>
      <c r="F20984" s="2" t="str">
        <f>"9781800640313"</f>
        <v>9781800640313</v>
      </c>
    </row>
    <row r="20985" spans="1:6" s="3" customFormat="1" ht="29.1" customHeight="1" x14ac:dyDescent="0.25">
      <c r="A20985" s="2" t="s">
        <v>41160</v>
      </c>
      <c r="B20985" s="2" t="s">
        <v>27753</v>
      </c>
      <c r="C20985" s="2" t="s">
        <v>124</v>
      </c>
      <c r="D20985" s="2" t="s">
        <v>501</v>
      </c>
      <c r="E20985" s="2" t="str">
        <f>"9780367495671"</f>
        <v>9780367495671</v>
      </c>
      <c r="F20985" s="2" t="str">
        <f>"9781000288315"</f>
        <v>9781000288315</v>
      </c>
    </row>
    <row r="20986" spans="1:6" s="3" customFormat="1" ht="29.1" customHeight="1" x14ac:dyDescent="0.25">
      <c r="A20986" s="2" t="s">
        <v>41161</v>
      </c>
      <c r="B20986" s="2" t="s">
        <v>41162</v>
      </c>
      <c r="C20986" s="2" t="s">
        <v>927</v>
      </c>
      <c r="D20986" s="2" t="s">
        <v>270</v>
      </c>
      <c r="E20986" s="2" t="str">
        <f>"9780472132126"</f>
        <v>9780472132126</v>
      </c>
      <c r="F20986" s="2" t="str">
        <f>"9780472127115"</f>
        <v>9780472127115</v>
      </c>
    </row>
    <row r="20987" spans="1:6" s="3" customFormat="1" ht="29.1" customHeight="1" x14ac:dyDescent="0.25">
      <c r="A20987" s="2" t="s">
        <v>41163</v>
      </c>
      <c r="B20987" s="2" t="s">
        <v>41164</v>
      </c>
      <c r="C20987" s="2" t="s">
        <v>124</v>
      </c>
      <c r="D20987" s="2" t="s">
        <v>2587</v>
      </c>
      <c r="E20987" s="2" t="str">
        <f>"9780367471170"</f>
        <v>9780367471170</v>
      </c>
      <c r="F20987" s="2" t="str">
        <f>"9781000281187"</f>
        <v>9781000281187</v>
      </c>
    </row>
    <row r="20988" spans="1:6" s="3" customFormat="1" ht="29.1" customHeight="1" x14ac:dyDescent="0.25">
      <c r="A20988" s="2" t="s">
        <v>41165</v>
      </c>
      <c r="B20988" s="2" t="s">
        <v>41166</v>
      </c>
      <c r="C20988" s="2" t="s">
        <v>124</v>
      </c>
      <c r="D20988" s="2" t="s">
        <v>818</v>
      </c>
      <c r="E20988" s="2" t="str">
        <f>"9780367652814"</f>
        <v>9780367652814</v>
      </c>
      <c r="F20988" s="2" t="str">
        <f>"9781000182637"</f>
        <v>9781000182637</v>
      </c>
    </row>
    <row r="20989" spans="1:6" s="3" customFormat="1" ht="29.1" customHeight="1" x14ac:dyDescent="0.25">
      <c r="A20989" s="2" t="s">
        <v>41167</v>
      </c>
      <c r="B20989" s="2" t="s">
        <v>41168</v>
      </c>
      <c r="C20989" s="2" t="s">
        <v>124</v>
      </c>
      <c r="D20989" s="2" t="s">
        <v>1823</v>
      </c>
      <c r="E20989" s="2" t="str">
        <f>"9780367409227"</f>
        <v>9780367409227</v>
      </c>
      <c r="F20989" s="2" t="str">
        <f>"9780367809881"</f>
        <v>9780367809881</v>
      </c>
    </row>
    <row r="20990" spans="1:6" s="3" customFormat="1" ht="29.1" customHeight="1" x14ac:dyDescent="0.25">
      <c r="A20990" s="2" t="s">
        <v>41169</v>
      </c>
      <c r="B20990" s="2" t="s">
        <v>41170</v>
      </c>
      <c r="C20990" s="2" t="s">
        <v>595</v>
      </c>
      <c r="D20990" s="2" t="s">
        <v>446</v>
      </c>
      <c r="E20990" s="2" t="str">
        <f>"9783631831823"</f>
        <v>9783631831823</v>
      </c>
      <c r="F20990" s="2" t="str">
        <f>"9783631832172"</f>
        <v>9783631832172</v>
      </c>
    </row>
    <row r="20991" spans="1:6" s="3" customFormat="1" ht="29.1" customHeight="1" x14ac:dyDescent="0.25">
      <c r="A20991" s="2" t="s">
        <v>41171</v>
      </c>
      <c r="B20991" s="2" t="s">
        <v>41172</v>
      </c>
      <c r="C20991" s="2" t="s">
        <v>595</v>
      </c>
      <c r="D20991" s="2" t="s">
        <v>81</v>
      </c>
      <c r="E20991" s="2" t="str">
        <f>"9783631817988"</f>
        <v>9783631817988</v>
      </c>
      <c r="F20991" s="2" t="str">
        <f>"9783631823088"</f>
        <v>9783631823088</v>
      </c>
    </row>
    <row r="20992" spans="1:6" s="3" customFormat="1" ht="29.1" customHeight="1" x14ac:dyDescent="0.25">
      <c r="A20992" s="2" t="s">
        <v>41173</v>
      </c>
      <c r="B20992" s="2" t="s">
        <v>41174</v>
      </c>
      <c r="C20992" s="2" t="s">
        <v>264</v>
      </c>
      <c r="D20992" s="2" t="s">
        <v>342</v>
      </c>
      <c r="E20992" s="2" t="str">
        <f>"9780367644369"</f>
        <v>9780367644369</v>
      </c>
      <c r="F20992" s="2" t="str">
        <f>"9781351255776"</f>
        <v>9781351255776</v>
      </c>
    </row>
    <row r="20993" spans="1:6" s="3" customFormat="1" ht="29.1" customHeight="1" x14ac:dyDescent="0.25">
      <c r="A20993" s="2" t="s">
        <v>41175</v>
      </c>
      <c r="B20993" s="2" t="s">
        <v>41176</v>
      </c>
      <c r="C20993" s="2" t="s">
        <v>195</v>
      </c>
      <c r="D20993" s="2" t="s">
        <v>1248</v>
      </c>
      <c r="E20993" s="2" t="str">
        <f>"9783110685435"</f>
        <v>9783110685435</v>
      </c>
      <c r="F20993" s="2" t="str">
        <f>"9783110685459"</f>
        <v>9783110685459</v>
      </c>
    </row>
    <row r="20994" spans="1:6" s="3" customFormat="1" ht="29.1" customHeight="1" x14ac:dyDescent="0.25">
      <c r="A20994" s="2" t="s">
        <v>41177</v>
      </c>
      <c r="B20994" s="2" t="s">
        <v>41179</v>
      </c>
      <c r="C20994" s="2" t="s">
        <v>27396</v>
      </c>
      <c r="D20994" s="2" t="s">
        <v>41178</v>
      </c>
      <c r="E20994" s="2" t="str">
        <f>"9783161558993"</f>
        <v>9783161558993</v>
      </c>
      <c r="F20994" s="2" t="str">
        <f>"9783161595516"</f>
        <v>9783161595516</v>
      </c>
    </row>
    <row r="20995" spans="1:6" s="3" customFormat="1" ht="29.1" customHeight="1" x14ac:dyDescent="0.25">
      <c r="A20995" s="2" t="s">
        <v>41180</v>
      </c>
      <c r="B20995" s="2" t="s">
        <v>41181</v>
      </c>
      <c r="C20995" s="2" t="s">
        <v>124</v>
      </c>
      <c r="D20995" s="2" t="s">
        <v>647</v>
      </c>
      <c r="E20995" s="2" t="str">
        <f>"9780367491499"</f>
        <v>9780367491499</v>
      </c>
      <c r="F20995" s="2" t="str">
        <f>"9781000369175"</f>
        <v>9781000369175</v>
      </c>
    </row>
    <row r="20996" spans="1:6" s="3" customFormat="1" ht="29.1" customHeight="1" x14ac:dyDescent="0.25">
      <c r="A20996" s="2" t="s">
        <v>41182</v>
      </c>
      <c r="B20996" s="2" t="s">
        <v>41183</v>
      </c>
      <c r="C20996" s="2" t="s">
        <v>124</v>
      </c>
      <c r="D20996" s="2" t="s">
        <v>270</v>
      </c>
      <c r="E20996" s="2" t="str">
        <f>"9780367636791"</f>
        <v>9780367636791</v>
      </c>
      <c r="F20996" s="2" t="str">
        <f>"9781000371680"</f>
        <v>9781000371680</v>
      </c>
    </row>
    <row r="20997" spans="1:6" s="3" customFormat="1" ht="29.1" customHeight="1" x14ac:dyDescent="0.25">
      <c r="A20997" s="2" t="s">
        <v>41184</v>
      </c>
      <c r="B20997" s="2" t="s">
        <v>41185</v>
      </c>
      <c r="C20997" s="2" t="s">
        <v>124</v>
      </c>
      <c r="D20997" s="2" t="s">
        <v>52</v>
      </c>
      <c r="E20997" s="2" t="str">
        <f>"9780367211745"</f>
        <v>9780367211745</v>
      </c>
      <c r="F20997" s="2" t="str">
        <f>"9780429288159"</f>
        <v>9780429288159</v>
      </c>
    </row>
    <row r="20998" spans="1:6" s="3" customFormat="1" ht="29.1" customHeight="1" x14ac:dyDescent="0.25">
      <c r="A20998" s="2" t="s">
        <v>41186</v>
      </c>
      <c r="B20998" s="2" t="s">
        <v>41187</v>
      </c>
      <c r="C20998" s="2" t="s">
        <v>36</v>
      </c>
      <c r="D20998" s="2" t="s">
        <v>72</v>
      </c>
      <c r="E20998" s="2" t="str">
        <f>"9781447357506"</f>
        <v>9781447357506</v>
      </c>
      <c r="F20998" s="2" t="str">
        <f>"9781447357520"</f>
        <v>9781447357520</v>
      </c>
    </row>
    <row r="20999" spans="1:6" s="3" customFormat="1" ht="29.1" customHeight="1" x14ac:dyDescent="0.25">
      <c r="A20999" s="2" t="s">
        <v>41188</v>
      </c>
      <c r="B20999" s="2" t="s">
        <v>41189</v>
      </c>
      <c r="C20999" s="2" t="s">
        <v>36</v>
      </c>
      <c r="D20999" s="2" t="s">
        <v>4190</v>
      </c>
      <c r="E20999" s="2"/>
      <c r="F20999" s="2" t="str">
        <f>"9781529215892"</f>
        <v>9781529215892</v>
      </c>
    </row>
    <row r="21000" spans="1:6" s="3" customFormat="1" ht="29.1" customHeight="1" x14ac:dyDescent="0.25">
      <c r="A21000" s="2" t="s">
        <v>41188</v>
      </c>
      <c r="B21000" s="2" t="s">
        <v>41190</v>
      </c>
      <c r="C21000" s="2" t="s">
        <v>36</v>
      </c>
      <c r="D21000" s="2" t="s">
        <v>4190</v>
      </c>
      <c r="E21000" s="2"/>
      <c r="F21000" s="2" t="str">
        <f>"9781529217278"</f>
        <v>9781529217278</v>
      </c>
    </row>
    <row r="21001" spans="1:6" s="3" customFormat="1" ht="29.1" customHeight="1" x14ac:dyDescent="0.25">
      <c r="A21001" s="2" t="s">
        <v>41191</v>
      </c>
      <c r="B21001" s="2" t="s">
        <v>41192</v>
      </c>
      <c r="C21001" s="2" t="s">
        <v>36254</v>
      </c>
      <c r="D21001" s="2" t="s">
        <v>7734</v>
      </c>
      <c r="E21001" s="2" t="str">
        <f>"9781928314752"</f>
        <v>9781928314752</v>
      </c>
      <c r="F21001" s="2" t="str">
        <f>"9781928314769"</f>
        <v>9781928314769</v>
      </c>
    </row>
    <row r="21002" spans="1:6" s="3" customFormat="1" ht="29.1" customHeight="1" x14ac:dyDescent="0.25">
      <c r="A21002" s="2" t="s">
        <v>41193</v>
      </c>
      <c r="B21002" s="2" t="s">
        <v>41194</v>
      </c>
      <c r="C21002" s="2" t="s">
        <v>149</v>
      </c>
      <c r="D21002" s="2" t="s">
        <v>1725</v>
      </c>
      <c r="E21002" s="2" t="str">
        <f>"9781783749027"</f>
        <v>9781783749027</v>
      </c>
      <c r="F21002" s="2" t="str">
        <f>"9781783749041"</f>
        <v>9781783749041</v>
      </c>
    </row>
    <row r="21003" spans="1:6" s="3" customFormat="1" ht="29.1" customHeight="1" x14ac:dyDescent="0.25">
      <c r="A21003" s="2" t="s">
        <v>41195</v>
      </c>
      <c r="B21003" s="2" t="s">
        <v>30388</v>
      </c>
      <c r="C21003" s="2" t="s">
        <v>62</v>
      </c>
      <c r="D21003" s="2" t="s">
        <v>192</v>
      </c>
      <c r="E21003" s="2" t="str">
        <f>"9783428049042"</f>
        <v>9783428049042</v>
      </c>
      <c r="F21003" s="2" t="str">
        <f>"9783428449040"</f>
        <v>9783428449040</v>
      </c>
    </row>
    <row r="21004" spans="1:6" s="3" customFormat="1" ht="29.1" customHeight="1" x14ac:dyDescent="0.25">
      <c r="A21004" s="2" t="s">
        <v>41196</v>
      </c>
      <c r="B21004" s="2" t="s">
        <v>41197</v>
      </c>
      <c r="C21004" s="2" t="s">
        <v>8104</v>
      </c>
      <c r="D21004" s="2" t="s">
        <v>2142</v>
      </c>
      <c r="E21004" s="2" t="str">
        <f>"9781800730564"</f>
        <v>9781800730564</v>
      </c>
      <c r="F21004" s="2" t="str">
        <f>"9781800730571"</f>
        <v>9781800730571</v>
      </c>
    </row>
    <row r="21005" spans="1:6" s="3" customFormat="1" ht="29.1" customHeight="1" x14ac:dyDescent="0.25">
      <c r="A21005" s="2" t="s">
        <v>41198</v>
      </c>
      <c r="B21005" s="2" t="s">
        <v>41199</v>
      </c>
      <c r="C21005" s="2" t="s">
        <v>15052</v>
      </c>
      <c r="D21005" s="2" t="s">
        <v>1999</v>
      </c>
      <c r="E21005" s="2" t="str">
        <f>"9781503613362"</f>
        <v>9781503613362</v>
      </c>
      <c r="F21005" s="2" t="str">
        <f>"9781503614178"</f>
        <v>9781503614178</v>
      </c>
    </row>
    <row r="21006" spans="1:6" s="3" customFormat="1" ht="29.1" customHeight="1" x14ac:dyDescent="0.25">
      <c r="A21006" s="2" t="s">
        <v>41200</v>
      </c>
      <c r="B21006" s="2" t="s">
        <v>41201</v>
      </c>
      <c r="C21006" s="2" t="s">
        <v>4788</v>
      </c>
      <c r="D21006" s="2" t="s">
        <v>1541</v>
      </c>
      <c r="E21006" s="2" t="str">
        <f>"9781474473705"</f>
        <v>9781474473705</v>
      </c>
      <c r="F21006" s="2" t="str">
        <f>"9781474473729"</f>
        <v>9781474473729</v>
      </c>
    </row>
    <row r="21007" spans="1:6" s="3" customFormat="1" ht="29.1" customHeight="1" x14ac:dyDescent="0.25">
      <c r="A21007" s="2" t="s">
        <v>41202</v>
      </c>
      <c r="B21007" s="2" t="s">
        <v>41204</v>
      </c>
      <c r="C21007" s="2" t="s">
        <v>4788</v>
      </c>
      <c r="D21007" s="2" t="s">
        <v>41203</v>
      </c>
      <c r="E21007" s="2" t="str">
        <f>"9781474447003"</f>
        <v>9781474447003</v>
      </c>
      <c r="F21007" s="2" t="str">
        <f>"9781474447027"</f>
        <v>9781474447027</v>
      </c>
    </row>
    <row r="21008" spans="1:6" s="3" customFormat="1" ht="29.1" customHeight="1" x14ac:dyDescent="0.25">
      <c r="A21008" s="2" t="s">
        <v>41205</v>
      </c>
      <c r="B21008" s="2" t="s">
        <v>41206</v>
      </c>
      <c r="C21008" s="2" t="s">
        <v>124</v>
      </c>
      <c r="D21008" s="2" t="s">
        <v>9395</v>
      </c>
      <c r="E21008" s="2" t="str">
        <f>"9780367488734"</f>
        <v>9780367488734</v>
      </c>
      <c r="F21008" s="2" t="str">
        <f>"9781000367171"</f>
        <v>9781000367171</v>
      </c>
    </row>
    <row r="21009" spans="1:6" s="3" customFormat="1" ht="29.1" customHeight="1" x14ac:dyDescent="0.25">
      <c r="A21009" s="2" t="s">
        <v>41207</v>
      </c>
      <c r="B21009" s="2" t="s">
        <v>41208</v>
      </c>
      <c r="C21009" s="2" t="s">
        <v>124</v>
      </c>
      <c r="D21009" s="2" t="s">
        <v>1253</v>
      </c>
      <c r="E21009" s="2" t="str">
        <f>"9780367557492"</f>
        <v>9780367557492</v>
      </c>
      <c r="F21009" s="2" t="str">
        <f>"9781000365191"</f>
        <v>9781000365191</v>
      </c>
    </row>
    <row r="21010" spans="1:6" s="3" customFormat="1" ht="29.1" customHeight="1" x14ac:dyDescent="0.25">
      <c r="A21010" s="2" t="s">
        <v>41209</v>
      </c>
      <c r="B21010" s="2" t="s">
        <v>41210</v>
      </c>
      <c r="C21010" s="2" t="s">
        <v>124</v>
      </c>
      <c r="D21010" s="2" t="s">
        <v>1183</v>
      </c>
      <c r="E21010" s="2" t="str">
        <f>"9780367345761"</f>
        <v>9780367345761</v>
      </c>
      <c r="F21010" s="2" t="str">
        <f>"9780429326660"</f>
        <v>9780429326660</v>
      </c>
    </row>
    <row r="21011" spans="1:6" s="3" customFormat="1" ht="29.1" customHeight="1" x14ac:dyDescent="0.25">
      <c r="A21011" s="2" t="s">
        <v>41211</v>
      </c>
      <c r="B21011" s="2" t="s">
        <v>41212</v>
      </c>
      <c r="C21011" s="2" t="s">
        <v>124</v>
      </c>
      <c r="D21011" s="2" t="s">
        <v>818</v>
      </c>
      <c r="E21011" s="2" t="str">
        <f>"9780367368470"</f>
        <v>9780367368470</v>
      </c>
      <c r="F21011" s="2" t="str">
        <f>"9780429351730"</f>
        <v>9780429351730</v>
      </c>
    </row>
    <row r="21012" spans="1:6" s="3" customFormat="1" ht="29.1" customHeight="1" x14ac:dyDescent="0.25">
      <c r="A21012" s="2" t="s">
        <v>41213</v>
      </c>
      <c r="B21012" s="2" t="s">
        <v>41214</v>
      </c>
      <c r="C21012" s="2" t="s">
        <v>927</v>
      </c>
      <c r="D21012" s="2" t="s">
        <v>270</v>
      </c>
      <c r="E21012" s="2" t="str">
        <f>"9780472038541"</f>
        <v>9780472038541</v>
      </c>
      <c r="F21012" s="2" t="str">
        <f>"9780472127368"</f>
        <v>9780472127368</v>
      </c>
    </row>
    <row r="21013" spans="1:6" s="3" customFormat="1" ht="29.1" customHeight="1" x14ac:dyDescent="0.25">
      <c r="A21013" s="2" t="s">
        <v>41215</v>
      </c>
      <c r="B21013" s="2" t="s">
        <v>41216</v>
      </c>
      <c r="C21013" s="2" t="s">
        <v>3248</v>
      </c>
      <c r="D21013" s="2" t="s">
        <v>32371</v>
      </c>
      <c r="E21013" s="2" t="str">
        <f>"9781978822276"</f>
        <v>9781978822276</v>
      </c>
      <c r="F21013" s="2" t="str">
        <f>"9781978822290"</f>
        <v>9781978822290</v>
      </c>
    </row>
    <row r="21014" spans="1:6" s="3" customFormat="1" ht="29.1" customHeight="1" x14ac:dyDescent="0.25">
      <c r="A21014" s="2" t="s">
        <v>41217</v>
      </c>
      <c r="B21014" s="2" t="s">
        <v>41218</v>
      </c>
      <c r="C21014" s="2" t="s">
        <v>55</v>
      </c>
      <c r="D21014" s="2" t="s">
        <v>3043</v>
      </c>
      <c r="E21014" s="2" t="str">
        <f>"9789198376869"</f>
        <v>9789198376869</v>
      </c>
      <c r="F21014" s="2" t="str">
        <f>"9789198376876"</f>
        <v>9789198376876</v>
      </c>
    </row>
    <row r="21015" spans="1:6" s="3" customFormat="1" ht="29.1" customHeight="1" x14ac:dyDescent="0.25">
      <c r="A21015" s="2" t="s">
        <v>41219</v>
      </c>
      <c r="B21015" s="2" t="s">
        <v>41220</v>
      </c>
      <c r="C21015" s="2" t="s">
        <v>55</v>
      </c>
      <c r="D21015" s="2" t="s">
        <v>413</v>
      </c>
      <c r="E21015" s="2" t="str">
        <f>"9789198376838"</f>
        <v>9789198376838</v>
      </c>
      <c r="F21015" s="2" t="str">
        <f>"9789198376852"</f>
        <v>9789198376852</v>
      </c>
    </row>
    <row r="21016" spans="1:6" s="3" customFormat="1" ht="29.1" customHeight="1" x14ac:dyDescent="0.25">
      <c r="A21016" s="2" t="s">
        <v>41221</v>
      </c>
      <c r="B21016" s="2" t="s">
        <v>41222</v>
      </c>
      <c r="C21016" s="2" t="s">
        <v>55</v>
      </c>
      <c r="D21016" s="2" t="s">
        <v>1183</v>
      </c>
      <c r="E21016" s="2" t="str">
        <f>"9789198376807"</f>
        <v>9789198376807</v>
      </c>
      <c r="F21016" s="2" t="str">
        <f>"9789198376821"</f>
        <v>9789198376821</v>
      </c>
    </row>
    <row r="21017" spans="1:6" s="3" customFormat="1" ht="29.1" customHeight="1" x14ac:dyDescent="0.25">
      <c r="A21017" s="2" t="s">
        <v>41223</v>
      </c>
      <c r="B21017" s="2" t="s">
        <v>41224</v>
      </c>
      <c r="C21017" s="2" t="s">
        <v>55</v>
      </c>
      <c r="D21017" s="2" t="s">
        <v>183</v>
      </c>
      <c r="E21017" s="2" t="str">
        <f>"9789198469806"</f>
        <v>9789198469806</v>
      </c>
      <c r="F21017" s="2" t="str">
        <f>"9789198469820"</f>
        <v>9789198469820</v>
      </c>
    </row>
    <row r="21018" spans="1:6" s="3" customFormat="1" ht="29.1" customHeight="1" x14ac:dyDescent="0.25">
      <c r="A21018" s="2" t="s">
        <v>41225</v>
      </c>
      <c r="B21018" s="2" t="s">
        <v>30403</v>
      </c>
      <c r="C21018" s="2" t="s">
        <v>62</v>
      </c>
      <c r="D21018" s="2" t="s">
        <v>2005</v>
      </c>
      <c r="E21018" s="2" t="str">
        <f>"9783428071968"</f>
        <v>9783428071968</v>
      </c>
      <c r="F21018" s="2" t="str">
        <f>"9783428471966"</f>
        <v>9783428471966</v>
      </c>
    </row>
    <row r="21019" spans="1:6" s="3" customFormat="1" ht="29.1" customHeight="1" x14ac:dyDescent="0.25">
      <c r="A21019" s="2" t="s">
        <v>41226</v>
      </c>
      <c r="B21019" s="2" t="s">
        <v>41227</v>
      </c>
      <c r="C21019" s="2" t="s">
        <v>124</v>
      </c>
      <c r="D21019" s="2" t="s">
        <v>9</v>
      </c>
      <c r="E21019" s="2" t="str">
        <f>"9780367458874"</f>
        <v>9780367458874</v>
      </c>
      <c r="F21019" s="2" t="str">
        <f>"9781000362930"</f>
        <v>9781000362930</v>
      </c>
    </row>
    <row r="21020" spans="1:6" s="3" customFormat="1" ht="29.1" customHeight="1" x14ac:dyDescent="0.25">
      <c r="A21020" s="2" t="s">
        <v>41228</v>
      </c>
      <c r="B21020" s="2" t="s">
        <v>41229</v>
      </c>
      <c r="C21020" s="2" t="s">
        <v>124</v>
      </c>
      <c r="D21020" s="2" t="s">
        <v>1557</v>
      </c>
      <c r="E21020" s="2" t="str">
        <f>"9780367637156"</f>
        <v>9780367637156</v>
      </c>
      <c r="F21020" s="2" t="str">
        <f>"9781000348729"</f>
        <v>9781000348729</v>
      </c>
    </row>
    <row r="21021" spans="1:6" s="3" customFormat="1" ht="29.1" customHeight="1" x14ac:dyDescent="0.25">
      <c r="A21021" s="2" t="s">
        <v>41230</v>
      </c>
      <c r="B21021" s="2" t="s">
        <v>41231</v>
      </c>
      <c r="C21021" s="2" t="s">
        <v>124</v>
      </c>
      <c r="D21021" s="2" t="s">
        <v>8791</v>
      </c>
      <c r="E21021" s="2" t="str">
        <f>"9780367474195"</f>
        <v>9780367474195</v>
      </c>
      <c r="F21021" s="2" t="str">
        <f>"9781000224115"</f>
        <v>9781000224115</v>
      </c>
    </row>
    <row r="21022" spans="1:6" s="3" customFormat="1" ht="29.1" customHeight="1" x14ac:dyDescent="0.25">
      <c r="A21022" s="2" t="s">
        <v>41232</v>
      </c>
      <c r="B21022" s="2" t="s">
        <v>41233</v>
      </c>
      <c r="C21022" s="2" t="s">
        <v>124</v>
      </c>
      <c r="D21022" s="2" t="s">
        <v>3963</v>
      </c>
      <c r="E21022" s="2" t="str">
        <f>"9780367627324"</f>
        <v>9780367627324</v>
      </c>
      <c r="F21022" s="2" t="str">
        <f>"9781351028844"</f>
        <v>9781351028844</v>
      </c>
    </row>
    <row r="21023" spans="1:6" s="3" customFormat="1" ht="29.1" customHeight="1" x14ac:dyDescent="0.25">
      <c r="A21023" s="2" t="s">
        <v>41234</v>
      </c>
      <c r="B21023" s="2" t="s">
        <v>30398</v>
      </c>
      <c r="C21023" s="2" t="s">
        <v>62</v>
      </c>
      <c r="D21023" s="2" t="s">
        <v>1209</v>
      </c>
      <c r="E21023" s="2" t="str">
        <f>"9783428054503"</f>
        <v>9783428054503</v>
      </c>
      <c r="F21023" s="2" t="str">
        <f>"9783428454501"</f>
        <v>9783428454501</v>
      </c>
    </row>
    <row r="21024" spans="1:6" s="3" customFormat="1" ht="29.1" customHeight="1" x14ac:dyDescent="0.25">
      <c r="A21024" s="2" t="s">
        <v>41235</v>
      </c>
      <c r="B21024" s="2" t="s">
        <v>40650</v>
      </c>
      <c r="C21024" s="2" t="s">
        <v>62</v>
      </c>
      <c r="D21024" s="2" t="s">
        <v>1209</v>
      </c>
      <c r="E21024" s="2" t="str">
        <f>"9783428084586"</f>
        <v>9783428084586</v>
      </c>
      <c r="F21024" s="2" t="str">
        <f>"9783428484584"</f>
        <v>9783428484584</v>
      </c>
    </row>
    <row r="21025" spans="1:6" s="3" customFormat="1" ht="29.1" customHeight="1" x14ac:dyDescent="0.25">
      <c r="A21025" s="2" t="s">
        <v>41236</v>
      </c>
      <c r="B21025" s="2" t="s">
        <v>41237</v>
      </c>
      <c r="C21025" s="2" t="s">
        <v>327</v>
      </c>
      <c r="D21025" s="2" t="s">
        <v>81</v>
      </c>
      <c r="E21025" s="2" t="str">
        <f>"9788381427494"</f>
        <v>9788381427494</v>
      </c>
      <c r="F21025" s="2" t="str">
        <f>"9788381427500"</f>
        <v>9788381427500</v>
      </c>
    </row>
    <row r="21026" spans="1:6" s="3" customFormat="1" ht="29.1" customHeight="1" x14ac:dyDescent="0.25">
      <c r="A21026" s="2" t="s">
        <v>41238</v>
      </c>
      <c r="B21026" s="2" t="s">
        <v>41239</v>
      </c>
      <c r="C21026" s="2" t="s">
        <v>327</v>
      </c>
      <c r="D21026" s="2" t="s">
        <v>1155</v>
      </c>
      <c r="E21026" s="2" t="str">
        <f>"9788382200164"</f>
        <v>9788382200164</v>
      </c>
      <c r="F21026" s="2" t="str">
        <f>"9788382200171"</f>
        <v>9788382200171</v>
      </c>
    </row>
    <row r="21027" spans="1:6" s="3" customFormat="1" ht="29.1" customHeight="1" x14ac:dyDescent="0.25">
      <c r="A21027" s="2" t="s">
        <v>41240</v>
      </c>
      <c r="B21027" s="2" t="s">
        <v>41241</v>
      </c>
      <c r="C21027" s="2" t="s">
        <v>27396</v>
      </c>
      <c r="D21027" s="2" t="s">
        <v>402</v>
      </c>
      <c r="E21027" s="2" t="str">
        <f>"9783161598531"</f>
        <v>9783161598531</v>
      </c>
      <c r="F21027" s="2" t="str">
        <f>"9783161598548"</f>
        <v>9783161598548</v>
      </c>
    </row>
    <row r="21028" spans="1:6" s="3" customFormat="1" ht="29.1" customHeight="1" x14ac:dyDescent="0.25">
      <c r="A21028" s="2" t="s">
        <v>41242</v>
      </c>
      <c r="B21028" s="2" t="s">
        <v>41243</v>
      </c>
      <c r="C21028" s="2" t="s">
        <v>27396</v>
      </c>
      <c r="D21028" s="2" t="s">
        <v>402</v>
      </c>
      <c r="E21028" s="2" t="str">
        <f>"9783161553059"</f>
        <v>9783161553059</v>
      </c>
      <c r="F21028" s="2" t="str">
        <f>"9783161597060"</f>
        <v>9783161597060</v>
      </c>
    </row>
    <row r="21029" spans="1:6" s="3" customFormat="1" ht="29.1" customHeight="1" x14ac:dyDescent="0.25">
      <c r="A21029" s="2" t="s">
        <v>41244</v>
      </c>
      <c r="B21029" s="2" t="s">
        <v>41245</v>
      </c>
      <c r="C21029" s="2" t="s">
        <v>27396</v>
      </c>
      <c r="D21029" s="2" t="s">
        <v>509</v>
      </c>
      <c r="E21029" s="2" t="str">
        <f>"9783161596841"</f>
        <v>9783161596841</v>
      </c>
      <c r="F21029" s="2" t="str">
        <f>"9783161596858"</f>
        <v>9783161596858</v>
      </c>
    </row>
    <row r="21030" spans="1:6" s="3" customFormat="1" ht="29.1" customHeight="1" x14ac:dyDescent="0.25">
      <c r="A21030" s="2" t="s">
        <v>41246</v>
      </c>
      <c r="B21030" s="2" t="s">
        <v>41247</v>
      </c>
      <c r="C21030" s="2" t="s">
        <v>27396</v>
      </c>
      <c r="D21030" s="2" t="s">
        <v>2551</v>
      </c>
      <c r="E21030" s="2" t="str">
        <f>"9783161576959"</f>
        <v>9783161576959</v>
      </c>
      <c r="F21030" s="2" t="str">
        <f>"9783161576966"</f>
        <v>9783161576966</v>
      </c>
    </row>
    <row r="21031" spans="1:6" s="3" customFormat="1" ht="29.1" customHeight="1" x14ac:dyDescent="0.25">
      <c r="A21031" s="2" t="s">
        <v>41248</v>
      </c>
      <c r="B21031" s="2" t="s">
        <v>41249</v>
      </c>
      <c r="C21031" s="2" t="s">
        <v>27396</v>
      </c>
      <c r="D21031" s="2" t="s">
        <v>2551</v>
      </c>
      <c r="E21031" s="2" t="str">
        <f>"9783161596179"</f>
        <v>9783161596179</v>
      </c>
      <c r="F21031" s="2" t="str">
        <f>"9783161596186"</f>
        <v>9783161596186</v>
      </c>
    </row>
    <row r="21032" spans="1:6" s="3" customFormat="1" ht="29.1" customHeight="1" x14ac:dyDescent="0.25">
      <c r="A21032" s="2" t="s">
        <v>41250</v>
      </c>
      <c r="B21032" s="2" t="s">
        <v>41251</v>
      </c>
      <c r="C21032" s="2" t="s">
        <v>27396</v>
      </c>
      <c r="D21032" s="2" t="s">
        <v>4700</v>
      </c>
      <c r="E21032" s="2" t="str">
        <f>"9783161583384"</f>
        <v>9783161583384</v>
      </c>
      <c r="F21032" s="2" t="str">
        <f>"9783161583391"</f>
        <v>9783161583391</v>
      </c>
    </row>
    <row r="21033" spans="1:6" s="3" customFormat="1" ht="29.1" customHeight="1" x14ac:dyDescent="0.25">
      <c r="A21033" s="2" t="s">
        <v>41252</v>
      </c>
      <c r="B21033" s="2" t="s">
        <v>41253</v>
      </c>
      <c r="C21033" s="2" t="s">
        <v>149</v>
      </c>
      <c r="D21033" s="2" t="s">
        <v>78</v>
      </c>
      <c r="E21033" s="2" t="str">
        <f>"9781783749874"</f>
        <v>9781783749874</v>
      </c>
      <c r="F21033" s="2" t="str">
        <f>"9781783749898"</f>
        <v>9781783749898</v>
      </c>
    </row>
    <row r="21034" spans="1:6" s="3" customFormat="1" ht="29.1" customHeight="1" x14ac:dyDescent="0.25">
      <c r="A21034" s="2" t="s">
        <v>41254</v>
      </c>
      <c r="B21034" s="2" t="s">
        <v>41255</v>
      </c>
      <c r="C21034" s="2" t="s">
        <v>149</v>
      </c>
      <c r="D21034" s="2" t="s">
        <v>497</v>
      </c>
      <c r="E21034" s="2" t="str">
        <f>"9781783745753"</f>
        <v>9781783745753</v>
      </c>
      <c r="F21034" s="2" t="str">
        <f>"9781783745777"</f>
        <v>9781783745777</v>
      </c>
    </row>
    <row r="21035" spans="1:6" s="3" customFormat="1" ht="29.1" customHeight="1" x14ac:dyDescent="0.25">
      <c r="A21035" s="2" t="s">
        <v>41256</v>
      </c>
      <c r="B21035" s="2" t="s">
        <v>33023</v>
      </c>
      <c r="C21035" s="2" t="s">
        <v>149</v>
      </c>
      <c r="D21035" s="2" t="s">
        <v>5832</v>
      </c>
      <c r="E21035" s="2" t="str">
        <f>"9781800640054"</f>
        <v>9781800640054</v>
      </c>
      <c r="F21035" s="2" t="str">
        <f>"9781800640078"</f>
        <v>9781800640078</v>
      </c>
    </row>
    <row r="21036" spans="1:6" s="3" customFormat="1" ht="29.1" customHeight="1" x14ac:dyDescent="0.25">
      <c r="A21036" s="2" t="s">
        <v>41257</v>
      </c>
      <c r="B21036" s="2" t="s">
        <v>41258</v>
      </c>
      <c r="C21036" s="2" t="s">
        <v>124</v>
      </c>
      <c r="D21036" s="2" t="s">
        <v>522</v>
      </c>
      <c r="E21036" s="2" t="str">
        <f>"9780367486297"</f>
        <v>9780367486297</v>
      </c>
      <c r="F21036" s="2" t="str">
        <f>"9781000360998"</f>
        <v>9781000360998</v>
      </c>
    </row>
    <row r="21037" spans="1:6" s="3" customFormat="1" ht="29.1" customHeight="1" x14ac:dyDescent="0.25">
      <c r="A21037" s="2" t="s">
        <v>41259</v>
      </c>
      <c r="B21037" s="2" t="s">
        <v>41261</v>
      </c>
      <c r="C21037" s="2" t="s">
        <v>264</v>
      </c>
      <c r="D21037" s="2" t="s">
        <v>41260</v>
      </c>
      <c r="E21037" s="2" t="str">
        <f>"9780367677428"</f>
        <v>9780367677428</v>
      </c>
      <c r="F21037" s="2" t="str">
        <f>"9781000318494"</f>
        <v>9781000318494</v>
      </c>
    </row>
    <row r="21038" spans="1:6" s="3" customFormat="1" ht="29.1" customHeight="1" x14ac:dyDescent="0.25">
      <c r="A21038" s="2" t="s">
        <v>41262</v>
      </c>
      <c r="B21038" s="2" t="s">
        <v>41263</v>
      </c>
      <c r="C21038" s="2" t="s">
        <v>124</v>
      </c>
      <c r="D21038" s="2" t="s">
        <v>6128</v>
      </c>
      <c r="E21038" s="2" t="str">
        <f>"9780367629328"</f>
        <v>9780367629328</v>
      </c>
      <c r="F21038" s="2" t="str">
        <f>"9781000284997"</f>
        <v>9781000284997</v>
      </c>
    </row>
    <row r="21039" spans="1:6" s="3" customFormat="1" ht="29.1" customHeight="1" x14ac:dyDescent="0.25">
      <c r="A21039" s="2" t="s">
        <v>41264</v>
      </c>
      <c r="B21039" s="2" t="s">
        <v>41265</v>
      </c>
      <c r="C21039" s="2" t="s">
        <v>124</v>
      </c>
      <c r="D21039" s="2" t="s">
        <v>183</v>
      </c>
      <c r="E21039" s="2" t="str">
        <f>"9780367626501"</f>
        <v>9780367626501</v>
      </c>
      <c r="F21039" s="2" t="str">
        <f>"9781000223897"</f>
        <v>9781000223897</v>
      </c>
    </row>
    <row r="21040" spans="1:6" s="3" customFormat="1" ht="29.1" customHeight="1" x14ac:dyDescent="0.25">
      <c r="A21040" s="2" t="s">
        <v>41266</v>
      </c>
      <c r="B21040" s="2" t="s">
        <v>41268</v>
      </c>
      <c r="C21040" s="2" t="s">
        <v>124</v>
      </c>
      <c r="D21040" s="2" t="s">
        <v>41267</v>
      </c>
      <c r="E21040" s="2" t="str">
        <f>"9781041187561"</f>
        <v>9781041187561</v>
      </c>
      <c r="F21040" s="2" t="str">
        <f>"9781040772881"</f>
        <v>9781040772881</v>
      </c>
    </row>
    <row r="21041" spans="1:6" s="3" customFormat="1" ht="29.1" customHeight="1" x14ac:dyDescent="0.25">
      <c r="A21041" s="2" t="s">
        <v>41269</v>
      </c>
      <c r="B21041" s="2" t="s">
        <v>41270</v>
      </c>
      <c r="C21041" s="2" t="s">
        <v>195</v>
      </c>
      <c r="D21041" s="2" t="s">
        <v>218</v>
      </c>
      <c r="E21041" s="2" t="str">
        <f>"9783110683004"</f>
        <v>9783110683004</v>
      </c>
      <c r="F21041" s="2" t="str">
        <f>"9783110683103"</f>
        <v>9783110683103</v>
      </c>
    </row>
    <row r="21042" spans="1:6" s="3" customFormat="1" ht="29.1" customHeight="1" x14ac:dyDescent="0.25">
      <c r="A21042" s="2" t="s">
        <v>41271</v>
      </c>
      <c r="B21042" s="2" t="s">
        <v>41272</v>
      </c>
      <c r="C21042" s="2" t="s">
        <v>195</v>
      </c>
      <c r="D21042" s="2" t="s">
        <v>218</v>
      </c>
      <c r="E21042" s="2" t="str">
        <f>"9783110682984"</f>
        <v>9783110682984</v>
      </c>
      <c r="F21042" s="2" t="str">
        <f>"9783110683080"</f>
        <v>9783110683080</v>
      </c>
    </row>
    <row r="21043" spans="1:6" s="3" customFormat="1" ht="29.1" customHeight="1" x14ac:dyDescent="0.25">
      <c r="A21043" s="2" t="s">
        <v>41273</v>
      </c>
      <c r="B21043" s="2" t="s">
        <v>41274</v>
      </c>
      <c r="C21043" s="2" t="s">
        <v>195</v>
      </c>
      <c r="D21043" s="2" t="s">
        <v>465</v>
      </c>
      <c r="E21043" s="2" t="str">
        <f>"9783110668827"</f>
        <v>9783110668827</v>
      </c>
      <c r="F21043" s="2" t="str">
        <f>"9783110668902"</f>
        <v>9783110668902</v>
      </c>
    </row>
    <row r="21044" spans="1:6" s="3" customFormat="1" ht="29.1" customHeight="1" x14ac:dyDescent="0.25">
      <c r="A21044" s="2" t="s">
        <v>41275</v>
      </c>
      <c r="B21044" s="2" t="s">
        <v>41276</v>
      </c>
      <c r="C21044" s="2" t="s">
        <v>195</v>
      </c>
      <c r="D21044" s="2" t="s">
        <v>509</v>
      </c>
      <c r="E21044" s="2" t="str">
        <f>"9783110416367"</f>
        <v>9783110416367</v>
      </c>
      <c r="F21044" s="2" t="str">
        <f>"9783110416411"</f>
        <v>9783110416411</v>
      </c>
    </row>
    <row r="21045" spans="1:6" s="3" customFormat="1" ht="29.1" customHeight="1" x14ac:dyDescent="0.25">
      <c r="A21045" s="2" t="s">
        <v>41277</v>
      </c>
      <c r="B21045" s="2" t="s">
        <v>40162</v>
      </c>
      <c r="C21045" s="2" t="s">
        <v>124</v>
      </c>
      <c r="D21045" s="2" t="s">
        <v>428</v>
      </c>
      <c r="E21045" s="2" t="str">
        <f>"9780367820886"</f>
        <v>9780367820886</v>
      </c>
      <c r="F21045" s="2" t="str">
        <f>"9781000201611"</f>
        <v>9781000201611</v>
      </c>
    </row>
    <row r="21046" spans="1:6" s="3" customFormat="1" ht="29.1" customHeight="1" x14ac:dyDescent="0.25">
      <c r="A21046" s="2" t="s">
        <v>41278</v>
      </c>
      <c r="B21046" s="2" t="s">
        <v>41279</v>
      </c>
      <c r="C21046" s="2" t="s">
        <v>124</v>
      </c>
      <c r="D21046" s="2" t="s">
        <v>818</v>
      </c>
      <c r="E21046" s="2" t="str">
        <f>"9780367473419"</f>
        <v>9780367473419</v>
      </c>
      <c r="F21046" s="2" t="str">
        <f>"9781000353150"</f>
        <v>9781000353150</v>
      </c>
    </row>
    <row r="21047" spans="1:6" s="3" customFormat="1" ht="29.1" customHeight="1" x14ac:dyDescent="0.25">
      <c r="A21047" s="2" t="s">
        <v>41280</v>
      </c>
      <c r="B21047" s="2" t="s">
        <v>41281</v>
      </c>
      <c r="C21047" s="2" t="s">
        <v>5</v>
      </c>
      <c r="D21047" s="2" t="s">
        <v>547</v>
      </c>
      <c r="E21047" s="2" t="str">
        <f>"9783319681511"</f>
        <v>9783319681511</v>
      </c>
      <c r="F21047" s="2" t="str">
        <f>"9783319681528"</f>
        <v>9783319681528</v>
      </c>
    </row>
    <row r="21048" spans="1:6" s="3" customFormat="1" ht="29.1" customHeight="1" x14ac:dyDescent="0.25">
      <c r="A21048" s="2" t="s">
        <v>41282</v>
      </c>
      <c r="B21048" s="2" t="s">
        <v>41283</v>
      </c>
      <c r="C21048" s="2" t="s">
        <v>36</v>
      </c>
      <c r="D21048" s="2" t="s">
        <v>15136</v>
      </c>
      <c r="E21048" s="2" t="str">
        <f>"9781529211290"</f>
        <v>9781529211290</v>
      </c>
      <c r="F21048" s="2" t="str">
        <f>"9781529211306"</f>
        <v>9781529211306</v>
      </c>
    </row>
    <row r="21049" spans="1:6" s="3" customFormat="1" ht="29.1" customHeight="1" x14ac:dyDescent="0.25">
      <c r="A21049" s="2" t="s">
        <v>41284</v>
      </c>
      <c r="B21049" s="2" t="s">
        <v>41285</v>
      </c>
      <c r="C21049" s="2" t="s">
        <v>248</v>
      </c>
      <c r="D21049" s="2" t="s">
        <v>72</v>
      </c>
      <c r="E21049" s="2" t="str">
        <f>"9783966650229"</f>
        <v>9783966650229</v>
      </c>
      <c r="F21049" s="2" t="str">
        <f>"9783966659925"</f>
        <v>9783966659925</v>
      </c>
    </row>
    <row r="21050" spans="1:6" s="3" customFormat="1" ht="29.1" customHeight="1" x14ac:dyDescent="0.25">
      <c r="A21050" s="2" t="s">
        <v>41286</v>
      </c>
      <c r="B21050" s="2" t="s">
        <v>41288</v>
      </c>
      <c r="C21050" s="2" t="s">
        <v>34257</v>
      </c>
      <c r="D21050" s="2" t="s">
        <v>41287</v>
      </c>
      <c r="E21050" s="2" t="str">
        <f>"9780745341484"</f>
        <v>9780745341484</v>
      </c>
      <c r="F21050" s="2" t="str">
        <f>"9781786807526"</f>
        <v>9781786807526</v>
      </c>
    </row>
    <row r="21051" spans="1:6" s="3" customFormat="1" ht="29.1" customHeight="1" x14ac:dyDescent="0.25">
      <c r="A21051" s="2" t="s">
        <v>41289</v>
      </c>
      <c r="B21051" s="2" t="s">
        <v>41290</v>
      </c>
      <c r="C21051" s="2" t="s">
        <v>4788</v>
      </c>
      <c r="D21051" s="2" t="s">
        <v>3130</v>
      </c>
      <c r="E21051" s="2" t="str">
        <f>"9781474461610"</f>
        <v>9781474461610</v>
      </c>
      <c r="F21051" s="2" t="str">
        <f>"9781474461634"</f>
        <v>9781474461634</v>
      </c>
    </row>
    <row r="21052" spans="1:6" s="3" customFormat="1" ht="29.1" customHeight="1" x14ac:dyDescent="0.25">
      <c r="A21052" s="2" t="s">
        <v>41291</v>
      </c>
      <c r="B21052" s="2" t="s">
        <v>27331</v>
      </c>
      <c r="C21052" s="2" t="s">
        <v>264</v>
      </c>
      <c r="D21052" s="2" t="s">
        <v>863</v>
      </c>
      <c r="E21052" s="2" t="str">
        <f>"9780367676452"</f>
        <v>9780367676452</v>
      </c>
      <c r="F21052" s="2" t="str">
        <f>"9781000300390"</f>
        <v>9781000300390</v>
      </c>
    </row>
    <row r="21053" spans="1:6" s="3" customFormat="1" ht="29.1" customHeight="1" x14ac:dyDescent="0.25">
      <c r="A21053" s="2" t="s">
        <v>41292</v>
      </c>
      <c r="B21053" s="2" t="s">
        <v>41293</v>
      </c>
      <c r="C21053" s="2" t="s">
        <v>5</v>
      </c>
      <c r="D21053" s="2" t="s">
        <v>553</v>
      </c>
      <c r="E21053" s="2" t="str">
        <f>"9783030505547"</f>
        <v>9783030505547</v>
      </c>
      <c r="F21053" s="2" t="str">
        <f>"9783030505554"</f>
        <v>9783030505554</v>
      </c>
    </row>
    <row r="21054" spans="1:6" s="3" customFormat="1" ht="29.1" customHeight="1" x14ac:dyDescent="0.25">
      <c r="A21054" s="2" t="s">
        <v>41294</v>
      </c>
      <c r="B21054" s="2" t="s">
        <v>41295</v>
      </c>
      <c r="C21054" s="2" t="s">
        <v>27396</v>
      </c>
      <c r="D21054" s="2" t="s">
        <v>689</v>
      </c>
      <c r="E21054" s="2" t="str">
        <f>"9783161591976"</f>
        <v>9783161591976</v>
      </c>
      <c r="F21054" s="2" t="str">
        <f>"9783161591983"</f>
        <v>9783161591983</v>
      </c>
    </row>
    <row r="21055" spans="1:6" s="3" customFormat="1" ht="29.1" customHeight="1" x14ac:dyDescent="0.25">
      <c r="A21055" s="2" t="s">
        <v>41296</v>
      </c>
      <c r="B21055" s="2" t="s">
        <v>41297</v>
      </c>
      <c r="C21055" s="2" t="s">
        <v>27396</v>
      </c>
      <c r="D21055" s="2" t="s">
        <v>186</v>
      </c>
      <c r="E21055" s="2" t="str">
        <f>"9783161582257"</f>
        <v>9783161582257</v>
      </c>
      <c r="F21055" s="2" t="str">
        <f>"9783161582264"</f>
        <v>9783161582264</v>
      </c>
    </row>
    <row r="21056" spans="1:6" s="3" customFormat="1" ht="29.1" customHeight="1" x14ac:dyDescent="0.25">
      <c r="A21056" s="2" t="s">
        <v>41298</v>
      </c>
      <c r="B21056" s="2" t="s">
        <v>41299</v>
      </c>
      <c r="C21056" s="2" t="s">
        <v>36</v>
      </c>
      <c r="D21056" s="2" t="s">
        <v>791</v>
      </c>
      <c r="E21056" s="2" t="str">
        <f>"9781529208511"</f>
        <v>9781529208511</v>
      </c>
      <c r="F21056" s="2" t="str">
        <f>"9781529208528"</f>
        <v>9781529208528</v>
      </c>
    </row>
    <row r="21057" spans="1:6" s="3" customFormat="1" ht="29.1" customHeight="1" x14ac:dyDescent="0.25">
      <c r="A21057" s="2" t="s">
        <v>41300</v>
      </c>
      <c r="B21057" s="2" t="s">
        <v>41301</v>
      </c>
      <c r="C21057" s="2" t="s">
        <v>264</v>
      </c>
      <c r="D21057" s="2" t="s">
        <v>4500</v>
      </c>
      <c r="E21057" s="2" t="str">
        <f>"9781138499874"</f>
        <v>9781138499874</v>
      </c>
      <c r="F21057" s="2" t="str">
        <f>"9781351007948"</f>
        <v>9781351007948</v>
      </c>
    </row>
    <row r="21058" spans="1:6" s="3" customFormat="1" ht="29.1" customHeight="1" x14ac:dyDescent="0.25">
      <c r="A21058" s="2" t="s">
        <v>41302</v>
      </c>
      <c r="B21058" s="2" t="s">
        <v>41304</v>
      </c>
      <c r="C21058" s="2" t="s">
        <v>149</v>
      </c>
      <c r="D21058" s="2" t="s">
        <v>41303</v>
      </c>
      <c r="E21058" s="2" t="str">
        <f>"9781800640177"</f>
        <v>9781800640177</v>
      </c>
      <c r="F21058" s="2" t="str">
        <f>"9781800640191"</f>
        <v>9781800640191</v>
      </c>
    </row>
    <row r="21059" spans="1:6" s="3" customFormat="1" ht="29.1" customHeight="1" x14ac:dyDescent="0.25">
      <c r="A21059" s="2" t="s">
        <v>41305</v>
      </c>
      <c r="B21059" s="2" t="s">
        <v>41306</v>
      </c>
      <c r="C21059" s="2" t="s">
        <v>149</v>
      </c>
      <c r="D21059" s="2" t="s">
        <v>17048</v>
      </c>
      <c r="E21059" s="2" t="str">
        <f>"9781783747320"</f>
        <v>9781783747320</v>
      </c>
      <c r="F21059" s="2" t="str">
        <f>"9781783747344"</f>
        <v>9781783747344</v>
      </c>
    </row>
    <row r="21060" spans="1:6" s="3" customFormat="1" ht="29.1" customHeight="1" x14ac:dyDescent="0.25">
      <c r="A21060" s="2" t="s">
        <v>41307</v>
      </c>
      <c r="B21060" s="2" t="s">
        <v>41308</v>
      </c>
      <c r="C21060" s="2" t="s">
        <v>124</v>
      </c>
      <c r="D21060" s="2" t="s">
        <v>8788</v>
      </c>
      <c r="E21060" s="2" t="str">
        <f>"9780367628062"</f>
        <v>9780367628062</v>
      </c>
      <c r="F21060" s="2" t="str">
        <f>"9780429837463"</f>
        <v>9780429837463</v>
      </c>
    </row>
    <row r="21061" spans="1:6" s="3" customFormat="1" ht="29.1" customHeight="1" x14ac:dyDescent="0.25">
      <c r="A21061" s="2" t="s">
        <v>41309</v>
      </c>
      <c r="B21061" s="2" t="s">
        <v>41310</v>
      </c>
      <c r="C21061" s="2" t="s">
        <v>124</v>
      </c>
      <c r="D21061" s="2" t="s">
        <v>1411</v>
      </c>
      <c r="E21061" s="2" t="str">
        <f>"9780367492625"</f>
        <v>9780367492625</v>
      </c>
      <c r="F21061" s="2" t="str">
        <f>"9781000223835"</f>
        <v>9781000223835</v>
      </c>
    </row>
    <row r="21062" spans="1:6" s="3" customFormat="1" ht="29.1" customHeight="1" x14ac:dyDescent="0.25">
      <c r="A21062" s="2" t="s">
        <v>41311</v>
      </c>
      <c r="B21062" s="2" t="s">
        <v>41312</v>
      </c>
      <c r="C21062" s="2" t="s">
        <v>124</v>
      </c>
      <c r="D21062" s="2" t="s">
        <v>2019</v>
      </c>
      <c r="E21062" s="2" t="str">
        <f>"9780367419844"</f>
        <v>9780367419844</v>
      </c>
      <c r="F21062" s="2" t="str">
        <f>"9780367817084"</f>
        <v>9780367817084</v>
      </c>
    </row>
    <row r="21063" spans="1:6" s="3" customFormat="1" ht="29.1" customHeight="1" x14ac:dyDescent="0.25">
      <c r="A21063" s="2" t="s">
        <v>41313</v>
      </c>
      <c r="B21063" s="2" t="s">
        <v>41272</v>
      </c>
      <c r="C21063" s="2" t="s">
        <v>195</v>
      </c>
      <c r="D21063" s="2" t="s">
        <v>218</v>
      </c>
      <c r="E21063" s="2" t="str">
        <f>"9783110682991"</f>
        <v>9783110682991</v>
      </c>
      <c r="F21063" s="2" t="str">
        <f>"9783110683097"</f>
        <v>9783110683097</v>
      </c>
    </row>
    <row r="21064" spans="1:6" s="3" customFormat="1" ht="29.1" customHeight="1" x14ac:dyDescent="0.25">
      <c r="A21064" s="2" t="s">
        <v>41314</v>
      </c>
      <c r="B21064" s="2" t="s">
        <v>41315</v>
      </c>
      <c r="C21064" s="2" t="s">
        <v>195</v>
      </c>
      <c r="D21064" s="2" t="s">
        <v>1654</v>
      </c>
      <c r="E21064" s="2" t="str">
        <f>"9783110693287"</f>
        <v>9783110693287</v>
      </c>
      <c r="F21064" s="2" t="str">
        <f>"9783110695359"</f>
        <v>9783110695359</v>
      </c>
    </row>
    <row r="21065" spans="1:6" s="3" customFormat="1" ht="29.1" customHeight="1" x14ac:dyDescent="0.25">
      <c r="A21065" s="2" t="s">
        <v>41316</v>
      </c>
      <c r="B21065" s="2" t="s">
        <v>41317</v>
      </c>
      <c r="C21065" s="2" t="s">
        <v>195</v>
      </c>
      <c r="D21065" s="2" t="s">
        <v>1630</v>
      </c>
      <c r="E21065" s="2" t="str">
        <f>"9783110632439"</f>
        <v>9783110632439</v>
      </c>
      <c r="F21065" s="2" t="str">
        <f>"9783110632620"</f>
        <v>9783110632620</v>
      </c>
    </row>
    <row r="21066" spans="1:6" s="3" customFormat="1" ht="29.1" customHeight="1" x14ac:dyDescent="0.25">
      <c r="A21066" s="2" t="s">
        <v>41318</v>
      </c>
      <c r="B21066" s="2" t="s">
        <v>40650</v>
      </c>
      <c r="C21066" s="2" t="s">
        <v>62</v>
      </c>
      <c r="D21066" s="2" t="s">
        <v>1209</v>
      </c>
      <c r="E21066" s="2" t="str">
        <f>"9783428075355"</f>
        <v>9783428075355</v>
      </c>
      <c r="F21066" s="2" t="str">
        <f>"9783428475353"</f>
        <v>9783428475353</v>
      </c>
    </row>
    <row r="21067" spans="1:6" s="3" customFormat="1" ht="29.1" customHeight="1" x14ac:dyDescent="0.25">
      <c r="A21067" s="2" t="s">
        <v>41319</v>
      </c>
      <c r="B21067" s="2" t="s">
        <v>30398</v>
      </c>
      <c r="C21067" s="2" t="s">
        <v>62</v>
      </c>
      <c r="D21067" s="2" t="s">
        <v>1209</v>
      </c>
      <c r="E21067" s="2" t="str">
        <f>"9783428058242"</f>
        <v>9783428058242</v>
      </c>
      <c r="F21067" s="2" t="str">
        <f>"9783428458240"</f>
        <v>9783428458240</v>
      </c>
    </row>
    <row r="21068" spans="1:6" s="3" customFormat="1" ht="29.1" customHeight="1" x14ac:dyDescent="0.25">
      <c r="A21068" s="2" t="s">
        <v>41320</v>
      </c>
      <c r="B21068" s="2" t="s">
        <v>30398</v>
      </c>
      <c r="C21068" s="2" t="s">
        <v>62</v>
      </c>
      <c r="D21068" s="2" t="s">
        <v>1209</v>
      </c>
      <c r="E21068" s="2" t="str">
        <f>"9783428064281"</f>
        <v>9783428064281</v>
      </c>
      <c r="F21068" s="2" t="str">
        <f>"9783428464289"</f>
        <v>9783428464289</v>
      </c>
    </row>
    <row r="21069" spans="1:6" s="3" customFormat="1" ht="29.1" customHeight="1" x14ac:dyDescent="0.25">
      <c r="A21069" s="2" t="s">
        <v>41321</v>
      </c>
      <c r="B21069" s="2" t="s">
        <v>40650</v>
      </c>
      <c r="C21069" s="2" t="s">
        <v>62</v>
      </c>
      <c r="D21069" s="2" t="s">
        <v>1209</v>
      </c>
      <c r="E21069" s="2" t="str">
        <f>"9783428078615"</f>
        <v>9783428078615</v>
      </c>
      <c r="F21069" s="2" t="str">
        <f>"9783428478613"</f>
        <v>9783428478613</v>
      </c>
    </row>
    <row r="21070" spans="1:6" s="3" customFormat="1" ht="29.1" customHeight="1" x14ac:dyDescent="0.25">
      <c r="A21070" s="2" t="s">
        <v>41322</v>
      </c>
      <c r="B21070" s="2" t="s">
        <v>30398</v>
      </c>
      <c r="C21070" s="2" t="s">
        <v>62</v>
      </c>
      <c r="D21070" s="2" t="s">
        <v>1209</v>
      </c>
      <c r="E21070" s="2" t="str">
        <f>"9783428069866"</f>
        <v>9783428069866</v>
      </c>
      <c r="F21070" s="2" t="str">
        <f>"9783428469864"</f>
        <v>9783428469864</v>
      </c>
    </row>
    <row r="21071" spans="1:6" s="3" customFormat="1" ht="29.1" customHeight="1" x14ac:dyDescent="0.25">
      <c r="A21071" s="2" t="s">
        <v>41323</v>
      </c>
      <c r="B21071" s="2" t="s">
        <v>30398</v>
      </c>
      <c r="C21071" s="2" t="s">
        <v>62</v>
      </c>
      <c r="D21071" s="2" t="s">
        <v>1209</v>
      </c>
      <c r="E21071" s="2" t="str">
        <f>"9783428059133"</f>
        <v>9783428059133</v>
      </c>
      <c r="F21071" s="2" t="str">
        <f>"9783428459131"</f>
        <v>9783428459131</v>
      </c>
    </row>
    <row r="21072" spans="1:6" s="3" customFormat="1" ht="29.1" customHeight="1" x14ac:dyDescent="0.25">
      <c r="A21072" s="2" t="s">
        <v>41324</v>
      </c>
      <c r="B21072" s="2" t="s">
        <v>41325</v>
      </c>
      <c r="C21072" s="2" t="s">
        <v>124</v>
      </c>
      <c r="D21072" s="2" t="s">
        <v>270</v>
      </c>
      <c r="E21072" s="2" t="str">
        <f>"9780367187668"</f>
        <v>9780367187668</v>
      </c>
      <c r="F21072" s="2" t="str">
        <f>"9780429198144"</f>
        <v>9780429198144</v>
      </c>
    </row>
    <row r="21073" spans="1:6" s="3" customFormat="1" ht="29.1" customHeight="1" x14ac:dyDescent="0.25">
      <c r="A21073" s="2" t="s">
        <v>41326</v>
      </c>
      <c r="B21073" s="2" t="s">
        <v>41327</v>
      </c>
      <c r="C21073" s="2" t="s">
        <v>264</v>
      </c>
      <c r="D21073" s="2" t="s">
        <v>4739</v>
      </c>
      <c r="E21073" s="2" t="str">
        <f>"9780367459154"</f>
        <v>9780367459154</v>
      </c>
      <c r="F21073" s="2" t="str">
        <f>"9781000064056"</f>
        <v>9781000064056</v>
      </c>
    </row>
    <row r="21074" spans="1:6" s="3" customFormat="1" ht="29.1" customHeight="1" x14ac:dyDescent="0.25">
      <c r="A21074" s="2" t="s">
        <v>41326</v>
      </c>
      <c r="B21074" s="2" t="s">
        <v>41328</v>
      </c>
      <c r="C21074" s="2" t="s">
        <v>264</v>
      </c>
      <c r="D21074" s="2" t="s">
        <v>4739</v>
      </c>
      <c r="E21074" s="2" t="str">
        <f>"9781498765510"</f>
        <v>9781498765510</v>
      </c>
      <c r="F21074" s="2" t="str">
        <f>"9780429532023"</f>
        <v>9780429532023</v>
      </c>
    </row>
    <row r="21075" spans="1:6" s="3" customFormat="1" ht="29.1" customHeight="1" x14ac:dyDescent="0.25">
      <c r="A21075" s="2" t="s">
        <v>41329</v>
      </c>
      <c r="B21075" s="2" t="s">
        <v>30421</v>
      </c>
      <c r="C21075" s="2" t="s">
        <v>62</v>
      </c>
      <c r="D21075" s="2" t="s">
        <v>791</v>
      </c>
      <c r="E21075" s="2" t="str">
        <f>"9783428064496"</f>
        <v>9783428064496</v>
      </c>
      <c r="F21075" s="2" t="str">
        <f>"9783428464494"</f>
        <v>9783428464494</v>
      </c>
    </row>
    <row r="21076" spans="1:6" s="3" customFormat="1" ht="29.1" customHeight="1" x14ac:dyDescent="0.25">
      <c r="A21076" s="2" t="s">
        <v>41330</v>
      </c>
      <c r="B21076" s="2" t="s">
        <v>30412</v>
      </c>
      <c r="C21076" s="2" t="s">
        <v>62</v>
      </c>
      <c r="D21076" s="2" t="s">
        <v>16704</v>
      </c>
      <c r="E21076" s="2" t="str">
        <f>"9783428063154"</f>
        <v>9783428063154</v>
      </c>
      <c r="F21076" s="2" t="str">
        <f>"9783428463152"</f>
        <v>9783428463152</v>
      </c>
    </row>
    <row r="21077" spans="1:6" s="3" customFormat="1" ht="29.1" customHeight="1" x14ac:dyDescent="0.25">
      <c r="A21077" s="2" t="s">
        <v>41331</v>
      </c>
      <c r="B21077" s="2" t="s">
        <v>41332</v>
      </c>
      <c r="C21077" s="2" t="s">
        <v>31902</v>
      </c>
      <c r="D21077" s="2" t="s">
        <v>1932</v>
      </c>
      <c r="E21077" s="2" t="str">
        <f>"9782759806249"</f>
        <v>9782759806249</v>
      </c>
      <c r="F21077" s="2" t="str">
        <f>"9782759824823"</f>
        <v>9782759824823</v>
      </c>
    </row>
    <row r="21078" spans="1:6" s="3" customFormat="1" ht="29.1" customHeight="1" x14ac:dyDescent="0.25">
      <c r="A21078" s="2" t="s">
        <v>41333</v>
      </c>
      <c r="B21078" s="2" t="s">
        <v>41334</v>
      </c>
      <c r="C21078" s="2" t="s">
        <v>195</v>
      </c>
      <c r="D21078" s="2" t="s">
        <v>196</v>
      </c>
      <c r="E21078" s="2" t="str">
        <f>"9783110690002"</f>
        <v>9783110690002</v>
      </c>
      <c r="F21078" s="2" t="str">
        <f>"9783110690132"</f>
        <v>9783110690132</v>
      </c>
    </row>
    <row r="21079" spans="1:6" s="3" customFormat="1" ht="29.1" customHeight="1" x14ac:dyDescent="0.25">
      <c r="A21079" s="2" t="s">
        <v>41335</v>
      </c>
      <c r="B21079" s="2" t="s">
        <v>41336</v>
      </c>
      <c r="C21079" s="2" t="s">
        <v>124</v>
      </c>
      <c r="D21079" s="2" t="s">
        <v>501</v>
      </c>
      <c r="E21079" s="2" t="str">
        <f>"9780367356170"</f>
        <v>9780367356170</v>
      </c>
      <c r="F21079" s="2" t="str">
        <f>"9780429340703"</f>
        <v>9780429340703</v>
      </c>
    </row>
    <row r="21080" spans="1:6" s="3" customFormat="1" ht="29.1" customHeight="1" x14ac:dyDescent="0.25">
      <c r="A21080" s="2" t="s">
        <v>41337</v>
      </c>
      <c r="B21080" s="2" t="s">
        <v>41338</v>
      </c>
      <c r="C21080" s="2" t="s">
        <v>124</v>
      </c>
      <c r="D21080" s="2" t="s">
        <v>186</v>
      </c>
      <c r="E21080" s="2" t="str">
        <f>"9780367322106"</f>
        <v>9780367322106</v>
      </c>
      <c r="F21080" s="2" t="str">
        <f>"9781000224092"</f>
        <v>9781000224092</v>
      </c>
    </row>
    <row r="21081" spans="1:6" s="3" customFormat="1" ht="29.1" customHeight="1" x14ac:dyDescent="0.25">
      <c r="A21081" s="2" t="s">
        <v>41339</v>
      </c>
      <c r="B21081" s="2" t="s">
        <v>41340</v>
      </c>
      <c r="C21081" s="2" t="s">
        <v>124</v>
      </c>
      <c r="D21081" s="2" t="s">
        <v>107</v>
      </c>
      <c r="E21081" s="2" t="str">
        <f>"9781041181095"</f>
        <v>9781041181095</v>
      </c>
      <c r="F21081" s="2" t="str">
        <f>"9781040779354"</f>
        <v>9781040779354</v>
      </c>
    </row>
    <row r="21082" spans="1:6" s="3" customFormat="1" ht="29.1" customHeight="1" x14ac:dyDescent="0.25">
      <c r="A21082" s="2" t="s">
        <v>41341</v>
      </c>
      <c r="B21082" s="2" t="s">
        <v>41342</v>
      </c>
      <c r="C21082" s="2" t="s">
        <v>36</v>
      </c>
      <c r="D21082" s="2" t="s">
        <v>2271</v>
      </c>
      <c r="E21082" s="2" t="str">
        <f>"9781529208290"</f>
        <v>9781529208290</v>
      </c>
      <c r="F21082" s="2" t="str">
        <f>"9781529208313"</f>
        <v>9781529208313</v>
      </c>
    </row>
    <row r="21083" spans="1:6" s="3" customFormat="1" ht="29.1" customHeight="1" x14ac:dyDescent="0.25">
      <c r="A21083" s="2" t="s">
        <v>1289</v>
      </c>
      <c r="B21083" s="2" t="s">
        <v>41343</v>
      </c>
      <c r="C21083" s="2" t="s">
        <v>1070</v>
      </c>
      <c r="D21083" s="2" t="s">
        <v>1275</v>
      </c>
      <c r="E21083" s="2" t="str">
        <f>"9783318066241"</f>
        <v>9783318066241</v>
      </c>
      <c r="F21083" s="2" t="str">
        <f>"9783318066258"</f>
        <v>9783318066258</v>
      </c>
    </row>
    <row r="21084" spans="1:6" s="3" customFormat="1" ht="29.1" customHeight="1" x14ac:dyDescent="0.25">
      <c r="A21084" s="2" t="s">
        <v>41344</v>
      </c>
      <c r="B21084" s="2" t="s">
        <v>41345</v>
      </c>
      <c r="C21084" s="2" t="s">
        <v>3169</v>
      </c>
      <c r="D21084" s="2" t="s">
        <v>6896</v>
      </c>
      <c r="E21084" s="2" t="str">
        <f>"9781847012388"</f>
        <v>9781847012388</v>
      </c>
      <c r="F21084" s="2" t="str">
        <f>"9781787448582"</f>
        <v>9781787448582</v>
      </c>
    </row>
    <row r="21085" spans="1:6" s="3" customFormat="1" ht="29.1" customHeight="1" x14ac:dyDescent="0.25">
      <c r="A21085" s="2" t="s">
        <v>41326</v>
      </c>
      <c r="B21085" s="2" t="s">
        <v>41327</v>
      </c>
      <c r="C21085" s="2" t="s">
        <v>264</v>
      </c>
      <c r="D21085" s="2" t="s">
        <v>4739</v>
      </c>
      <c r="E21085" s="2" t="str">
        <f>"9780367459178"</f>
        <v>9780367459178</v>
      </c>
      <c r="F21085" s="2" t="str">
        <f>"9781000064094"</f>
        <v>9781000064094</v>
      </c>
    </row>
    <row r="21086" spans="1:6" s="3" customFormat="1" ht="29.1" customHeight="1" x14ac:dyDescent="0.25">
      <c r="A21086" s="2" t="s">
        <v>41346</v>
      </c>
      <c r="B21086" s="2" t="s">
        <v>41347</v>
      </c>
      <c r="C21086" s="2" t="s">
        <v>124</v>
      </c>
      <c r="D21086" s="2" t="s">
        <v>1913</v>
      </c>
      <c r="E21086" s="2" t="str">
        <f>"9781041176336"</f>
        <v>9781041176336</v>
      </c>
      <c r="F21086" s="2" t="str">
        <f>"9781040788042"</f>
        <v>9781040788042</v>
      </c>
    </row>
    <row r="21087" spans="1:6" s="3" customFormat="1" ht="29.1" customHeight="1" x14ac:dyDescent="0.25">
      <c r="A21087" s="2" t="s">
        <v>41348</v>
      </c>
      <c r="B21087" s="2" t="s">
        <v>41349</v>
      </c>
      <c r="C21087" s="2" t="s">
        <v>595</v>
      </c>
      <c r="D21087" s="2" t="s">
        <v>2713</v>
      </c>
      <c r="E21087" s="2" t="str">
        <f>"9783631827758"</f>
        <v>9783631827758</v>
      </c>
      <c r="F21087" s="2" t="str">
        <f>"9783631827857"</f>
        <v>9783631827857</v>
      </c>
    </row>
    <row r="21088" spans="1:6" s="3" customFormat="1" ht="29.1" customHeight="1" x14ac:dyDescent="0.25">
      <c r="A21088" s="2" t="s">
        <v>41350</v>
      </c>
      <c r="B21088" s="2" t="s">
        <v>41351</v>
      </c>
      <c r="C21088" s="2" t="s">
        <v>595</v>
      </c>
      <c r="D21088" s="2" t="s">
        <v>210</v>
      </c>
      <c r="E21088" s="2" t="str">
        <f>"9783631783412"</f>
        <v>9783631783412</v>
      </c>
      <c r="F21088" s="2" t="str">
        <f>"9783631710029"</f>
        <v>9783631710029</v>
      </c>
    </row>
    <row r="21089" spans="1:6" s="3" customFormat="1" ht="29.1" customHeight="1" x14ac:dyDescent="0.25">
      <c r="A21089" s="2" t="s">
        <v>41352</v>
      </c>
      <c r="B21089" s="2" t="s">
        <v>41353</v>
      </c>
      <c r="C21089" s="2" t="s">
        <v>927</v>
      </c>
      <c r="D21089" s="2" t="s">
        <v>297</v>
      </c>
      <c r="E21089" s="2" t="str">
        <f>"9780892640409"</f>
        <v>9780892640409</v>
      </c>
      <c r="F21089" s="2" t="str">
        <f>"9780472127528"</f>
        <v>9780472127528</v>
      </c>
    </row>
    <row r="21090" spans="1:6" s="3" customFormat="1" ht="29.1" customHeight="1" x14ac:dyDescent="0.25">
      <c r="A21090" s="2" t="s">
        <v>41354</v>
      </c>
      <c r="B21090" s="2" t="s">
        <v>41355</v>
      </c>
      <c r="C21090" s="2" t="s">
        <v>927</v>
      </c>
      <c r="D21090" s="2" t="s">
        <v>297</v>
      </c>
      <c r="E21090" s="2" t="str">
        <f>"9781929280667"</f>
        <v>9781929280667</v>
      </c>
      <c r="F21090" s="2" t="str">
        <f>"9780472127658"</f>
        <v>9780472127658</v>
      </c>
    </row>
    <row r="21091" spans="1:6" s="3" customFormat="1" ht="29.1" customHeight="1" x14ac:dyDescent="0.25">
      <c r="A21091" s="2" t="s">
        <v>41356</v>
      </c>
      <c r="B21091" s="2" t="s">
        <v>41357</v>
      </c>
      <c r="C21091" s="2" t="s">
        <v>927</v>
      </c>
      <c r="D21091" s="2" t="s">
        <v>297</v>
      </c>
      <c r="E21091" s="2" t="str">
        <f>"9780892640263"</f>
        <v>9780892640263</v>
      </c>
      <c r="F21091" s="2" t="str">
        <f>"9780472128143"</f>
        <v>9780472128143</v>
      </c>
    </row>
    <row r="21092" spans="1:6" s="3" customFormat="1" ht="29.1" customHeight="1" x14ac:dyDescent="0.25">
      <c r="A21092" s="2" t="s">
        <v>41358</v>
      </c>
      <c r="B21092" s="2" t="s">
        <v>41359</v>
      </c>
      <c r="C21092" s="2" t="s">
        <v>927</v>
      </c>
      <c r="D21092" s="2" t="s">
        <v>334</v>
      </c>
      <c r="E21092" s="2" t="str">
        <f>"9780472038213"</f>
        <v>9780472038213</v>
      </c>
      <c r="F21092" s="2" t="str">
        <f>"9780472127771"</f>
        <v>9780472127771</v>
      </c>
    </row>
    <row r="21093" spans="1:6" s="3" customFormat="1" ht="29.1" customHeight="1" x14ac:dyDescent="0.25">
      <c r="A21093" s="2" t="s">
        <v>41360</v>
      </c>
      <c r="B21093" s="2"/>
      <c r="C21093" s="2" t="s">
        <v>927</v>
      </c>
      <c r="D21093" s="2" t="s">
        <v>297</v>
      </c>
      <c r="E21093" s="2" t="str">
        <f>"9780939512805"</f>
        <v>9780939512805</v>
      </c>
      <c r="F21093" s="2" t="str">
        <f>"9780472127450"</f>
        <v>9780472127450</v>
      </c>
    </row>
    <row r="21094" spans="1:6" s="3" customFormat="1" ht="29.1" customHeight="1" x14ac:dyDescent="0.25">
      <c r="A21094" s="2" t="s">
        <v>41361</v>
      </c>
      <c r="B21094" s="2" t="s">
        <v>41362</v>
      </c>
      <c r="C21094" s="2" t="s">
        <v>927</v>
      </c>
      <c r="D21094" s="2" t="s">
        <v>297</v>
      </c>
      <c r="E21094" s="2" t="str">
        <f>"9780892640485"</f>
        <v>9780892640485</v>
      </c>
      <c r="F21094" s="2" t="str">
        <f>"9780472128235"</f>
        <v>9780472128235</v>
      </c>
    </row>
    <row r="21095" spans="1:6" s="3" customFormat="1" ht="29.1" customHeight="1" x14ac:dyDescent="0.25">
      <c r="A21095" s="2" t="s">
        <v>41363</v>
      </c>
      <c r="B21095" s="2" t="s">
        <v>41364</v>
      </c>
      <c r="C21095" s="2" t="s">
        <v>927</v>
      </c>
      <c r="D21095" s="2" t="s">
        <v>334</v>
      </c>
      <c r="E21095" s="2" t="str">
        <f>"9780472038374"</f>
        <v>9780472038374</v>
      </c>
      <c r="F21095" s="2" t="str">
        <f>"9780472128150"</f>
        <v>9780472128150</v>
      </c>
    </row>
    <row r="21096" spans="1:6" s="3" customFormat="1" ht="29.1" customHeight="1" x14ac:dyDescent="0.25">
      <c r="A21096" s="2" t="s">
        <v>41365</v>
      </c>
      <c r="B21096" s="2" t="s">
        <v>41366</v>
      </c>
      <c r="C21096" s="2" t="s">
        <v>927</v>
      </c>
      <c r="D21096" s="2" t="s">
        <v>297</v>
      </c>
      <c r="E21096" s="2" t="str">
        <f>"9780891480648"</f>
        <v>9780891480648</v>
      </c>
      <c r="F21096" s="2" t="str">
        <f>"9780472127733"</f>
        <v>9780472127733</v>
      </c>
    </row>
    <row r="21097" spans="1:6" s="3" customFormat="1" ht="29.1" customHeight="1" x14ac:dyDescent="0.25">
      <c r="A21097" s="2" t="s">
        <v>40852</v>
      </c>
      <c r="B21097" s="2" t="s">
        <v>40853</v>
      </c>
      <c r="C21097" s="2" t="s">
        <v>927</v>
      </c>
      <c r="D21097" s="2" t="s">
        <v>8788</v>
      </c>
      <c r="E21097" s="2" t="str">
        <f>"9780891480341"</f>
        <v>9780891480341</v>
      </c>
      <c r="F21097" s="2" t="str">
        <f>"9780472127696"</f>
        <v>9780472127696</v>
      </c>
    </row>
    <row r="21098" spans="1:6" s="3" customFormat="1" ht="29.1" customHeight="1" x14ac:dyDescent="0.25">
      <c r="A21098" s="2" t="s">
        <v>41367</v>
      </c>
      <c r="B21098" s="2" t="s">
        <v>41368</v>
      </c>
      <c r="C21098" s="2" t="s">
        <v>927</v>
      </c>
      <c r="D21098" s="2" t="s">
        <v>297</v>
      </c>
      <c r="E21098" s="2" t="str">
        <f>"9780891480433"</f>
        <v>9780891480433</v>
      </c>
      <c r="F21098" s="2" t="str">
        <f>"9780472128303"</f>
        <v>9780472128303</v>
      </c>
    </row>
    <row r="21099" spans="1:6" s="3" customFormat="1" ht="29.1" customHeight="1" x14ac:dyDescent="0.25">
      <c r="A21099" s="2" t="s">
        <v>41369</v>
      </c>
      <c r="B21099" s="2" t="s">
        <v>41370</v>
      </c>
      <c r="C21099" s="2" t="s">
        <v>927</v>
      </c>
      <c r="D21099" s="2" t="s">
        <v>210</v>
      </c>
      <c r="E21099" s="2" t="str">
        <f>"9780472038145"</f>
        <v>9780472038145</v>
      </c>
      <c r="F21099" s="2" t="str">
        <f>"9780472127603"</f>
        <v>9780472127603</v>
      </c>
    </row>
    <row r="21100" spans="1:6" s="3" customFormat="1" ht="29.1" customHeight="1" x14ac:dyDescent="0.25">
      <c r="A21100" s="2" t="s">
        <v>41371</v>
      </c>
      <c r="B21100" s="2" t="s">
        <v>41372</v>
      </c>
      <c r="C21100" s="2" t="s">
        <v>927</v>
      </c>
      <c r="D21100" s="2" t="s">
        <v>334</v>
      </c>
      <c r="E21100" s="2" t="str">
        <f>"9780472037995"</f>
        <v>9780472037995</v>
      </c>
      <c r="F21100" s="2" t="str">
        <f>"9780472127375"</f>
        <v>9780472127375</v>
      </c>
    </row>
    <row r="21101" spans="1:6" s="3" customFormat="1" ht="29.1" customHeight="1" x14ac:dyDescent="0.25">
      <c r="A21101" s="2" t="s">
        <v>41373</v>
      </c>
      <c r="B21101" s="2" t="s">
        <v>41374</v>
      </c>
      <c r="C21101" s="2" t="s">
        <v>927</v>
      </c>
      <c r="D21101" s="2" t="s">
        <v>334</v>
      </c>
      <c r="E21101" s="2" t="str">
        <f>"9780472038336"</f>
        <v>9780472038336</v>
      </c>
      <c r="F21101" s="2" t="str">
        <f>"9780472128068"</f>
        <v>9780472128068</v>
      </c>
    </row>
    <row r="21102" spans="1:6" s="3" customFormat="1" ht="29.1" customHeight="1" x14ac:dyDescent="0.25">
      <c r="A21102" s="2" t="s">
        <v>41375</v>
      </c>
      <c r="B21102" s="2" t="s">
        <v>41376</v>
      </c>
      <c r="C21102" s="2" t="s">
        <v>927</v>
      </c>
      <c r="D21102" s="2" t="s">
        <v>210</v>
      </c>
      <c r="E21102" s="2" t="str">
        <f>"9781929280490"</f>
        <v>9781929280490</v>
      </c>
      <c r="F21102" s="2" t="str">
        <f>"9780472128006"</f>
        <v>9780472128006</v>
      </c>
    </row>
    <row r="21103" spans="1:6" s="3" customFormat="1" ht="29.1" customHeight="1" x14ac:dyDescent="0.25">
      <c r="A21103" s="2" t="s">
        <v>41377</v>
      </c>
      <c r="B21103" s="2" t="s">
        <v>41378</v>
      </c>
      <c r="C21103" s="2" t="s">
        <v>927</v>
      </c>
      <c r="D21103" s="2" t="s">
        <v>297</v>
      </c>
      <c r="E21103" s="2" t="str">
        <f>"9780891480396"</f>
        <v>9780891480396</v>
      </c>
      <c r="F21103" s="2" t="str">
        <f>"9780472128297"</f>
        <v>9780472128297</v>
      </c>
    </row>
    <row r="21104" spans="1:6" s="3" customFormat="1" ht="29.1" customHeight="1" x14ac:dyDescent="0.25">
      <c r="A21104" s="2" t="s">
        <v>41379</v>
      </c>
      <c r="B21104" s="2" t="s">
        <v>41380</v>
      </c>
      <c r="C21104" s="2" t="s">
        <v>927</v>
      </c>
      <c r="D21104" s="2" t="s">
        <v>334</v>
      </c>
      <c r="E21104" s="2" t="str">
        <f>"9780472038152"</f>
        <v>9780472038152</v>
      </c>
      <c r="F21104" s="2" t="str">
        <f>"9780472127627"</f>
        <v>9780472127627</v>
      </c>
    </row>
    <row r="21105" spans="1:6" s="3" customFormat="1" ht="29.1" customHeight="1" x14ac:dyDescent="0.25">
      <c r="A21105" s="2" t="s">
        <v>41381</v>
      </c>
      <c r="B21105" s="2" t="s">
        <v>41382</v>
      </c>
      <c r="C21105" s="2" t="s">
        <v>927</v>
      </c>
      <c r="D21105" s="2" t="s">
        <v>186</v>
      </c>
      <c r="E21105" s="2" t="str">
        <f>"9780472038077"</f>
        <v>9780472038077</v>
      </c>
      <c r="F21105" s="2" t="str">
        <f>"9780472127511"</f>
        <v>9780472127511</v>
      </c>
    </row>
    <row r="21106" spans="1:6" s="3" customFormat="1" ht="29.1" customHeight="1" x14ac:dyDescent="0.25">
      <c r="A21106" s="2" t="s">
        <v>41383</v>
      </c>
      <c r="B21106" s="2" t="s">
        <v>41384</v>
      </c>
      <c r="C21106" s="2" t="s">
        <v>927</v>
      </c>
      <c r="D21106" s="2" t="s">
        <v>297</v>
      </c>
      <c r="E21106" s="2" t="str">
        <f>"9780892641062"</f>
        <v>9780892641062</v>
      </c>
      <c r="F21106" s="2" t="str">
        <f>"9780472127399"</f>
        <v>9780472127399</v>
      </c>
    </row>
    <row r="21107" spans="1:6" s="3" customFormat="1" ht="29.1" customHeight="1" x14ac:dyDescent="0.25">
      <c r="A21107" s="2" t="s">
        <v>41385</v>
      </c>
      <c r="B21107" s="2" t="s">
        <v>41386</v>
      </c>
      <c r="C21107" s="2" t="s">
        <v>927</v>
      </c>
      <c r="D21107" s="2" t="s">
        <v>297</v>
      </c>
      <c r="E21107" s="2" t="str">
        <f>"9780892640652"</f>
        <v>9780892640652</v>
      </c>
      <c r="F21107" s="2" t="str">
        <f>"9780472127887"</f>
        <v>9780472127887</v>
      </c>
    </row>
    <row r="21108" spans="1:6" s="3" customFormat="1" ht="29.1" customHeight="1" x14ac:dyDescent="0.25">
      <c r="A21108" s="2" t="s">
        <v>41387</v>
      </c>
      <c r="B21108" s="2" t="s">
        <v>41388</v>
      </c>
      <c r="C21108" s="2" t="s">
        <v>927</v>
      </c>
      <c r="D21108" s="2" t="s">
        <v>297</v>
      </c>
      <c r="E21108" s="2" t="str">
        <f>"9780892640249"</f>
        <v>9780892640249</v>
      </c>
      <c r="F21108" s="2" t="str">
        <f>"9780472127870"</f>
        <v>9780472127870</v>
      </c>
    </row>
    <row r="21109" spans="1:6" s="3" customFormat="1" ht="29.1" customHeight="1" x14ac:dyDescent="0.25">
      <c r="A21109" s="2" t="s">
        <v>41389</v>
      </c>
      <c r="B21109" s="2" t="s">
        <v>40868</v>
      </c>
      <c r="C21109" s="2" t="s">
        <v>927</v>
      </c>
      <c r="D21109" s="2" t="s">
        <v>297</v>
      </c>
      <c r="E21109" s="2" t="str">
        <f>"9780892640171"</f>
        <v>9780892640171</v>
      </c>
      <c r="F21109" s="2" t="str">
        <f>"9780472128228"</f>
        <v>9780472128228</v>
      </c>
    </row>
    <row r="21110" spans="1:6" s="3" customFormat="1" ht="29.1" customHeight="1" x14ac:dyDescent="0.25">
      <c r="A21110" s="2" t="s">
        <v>41390</v>
      </c>
      <c r="B21110" s="2" t="s">
        <v>41391</v>
      </c>
      <c r="C21110" s="2" t="s">
        <v>927</v>
      </c>
      <c r="D21110" s="2" t="s">
        <v>297</v>
      </c>
      <c r="E21110" s="2" t="str">
        <f>"9780891480143"</f>
        <v>9780891480143</v>
      </c>
      <c r="F21110" s="2" t="str">
        <f>"9780472127726"</f>
        <v>9780472127726</v>
      </c>
    </row>
    <row r="21111" spans="1:6" s="3" customFormat="1" ht="29.1" customHeight="1" x14ac:dyDescent="0.25">
      <c r="A21111" s="2" t="s">
        <v>41392</v>
      </c>
      <c r="B21111" s="2" t="s">
        <v>41393</v>
      </c>
      <c r="C21111" s="2" t="s">
        <v>927</v>
      </c>
      <c r="D21111" s="2" t="s">
        <v>297</v>
      </c>
      <c r="E21111" s="2" t="str">
        <f>"9780892640300"</f>
        <v>9780892640300</v>
      </c>
      <c r="F21111" s="2" t="str">
        <f>"9780472127436"</f>
        <v>9780472127436</v>
      </c>
    </row>
    <row r="21112" spans="1:6" s="3" customFormat="1" ht="29.1" customHeight="1" x14ac:dyDescent="0.25">
      <c r="A21112" s="2" t="s">
        <v>41394</v>
      </c>
      <c r="B21112" s="2" t="s">
        <v>41395</v>
      </c>
      <c r="C21112" s="2" t="s">
        <v>927</v>
      </c>
      <c r="D21112" s="2" t="s">
        <v>334</v>
      </c>
      <c r="E21112" s="2" t="str">
        <f>"9780472038381"</f>
        <v>9780472038381</v>
      </c>
      <c r="F21112" s="2" t="str">
        <f>"9780472128167"</f>
        <v>9780472128167</v>
      </c>
    </row>
    <row r="21113" spans="1:6" s="3" customFormat="1" ht="29.1" customHeight="1" x14ac:dyDescent="0.25">
      <c r="A21113" s="2" t="s">
        <v>41396</v>
      </c>
      <c r="B21113" s="2" t="s">
        <v>41397</v>
      </c>
      <c r="C21113" s="2" t="s">
        <v>927</v>
      </c>
      <c r="D21113" s="2" t="s">
        <v>297</v>
      </c>
      <c r="E21113" s="2" t="str">
        <f>"9780939512409"</f>
        <v>9780939512409</v>
      </c>
      <c r="F21113" s="2" t="str">
        <f>"9780472128075"</f>
        <v>9780472128075</v>
      </c>
    </row>
    <row r="21114" spans="1:6" s="3" customFormat="1" ht="29.1" customHeight="1" x14ac:dyDescent="0.25">
      <c r="A21114" s="2" t="s">
        <v>41398</v>
      </c>
      <c r="B21114" s="2" t="s">
        <v>41353</v>
      </c>
      <c r="C21114" s="2" t="s">
        <v>927</v>
      </c>
      <c r="D21114" s="2" t="s">
        <v>334</v>
      </c>
      <c r="E21114" s="2" t="str">
        <f>"9780472038237"</f>
        <v>9780472038237</v>
      </c>
      <c r="F21114" s="2" t="str">
        <f>"9780472127801"</f>
        <v>9780472127801</v>
      </c>
    </row>
    <row r="21115" spans="1:6" s="3" customFormat="1" ht="29.1" customHeight="1" x14ac:dyDescent="0.25">
      <c r="A21115" s="2" t="s">
        <v>41399</v>
      </c>
      <c r="B21115" s="2" t="s">
        <v>41400</v>
      </c>
      <c r="C21115" s="2" t="s">
        <v>927</v>
      </c>
      <c r="D21115" s="2" t="s">
        <v>297</v>
      </c>
      <c r="E21115" s="2" t="str">
        <f>"9780892640447"</f>
        <v>9780892640447</v>
      </c>
      <c r="F21115" s="2" t="str">
        <f>"9780472127818"</f>
        <v>9780472127818</v>
      </c>
    </row>
    <row r="21116" spans="1:6" s="3" customFormat="1" ht="29.1" customHeight="1" x14ac:dyDescent="0.25">
      <c r="A21116" s="2" t="s">
        <v>41401</v>
      </c>
      <c r="B21116" s="2" t="s">
        <v>41402</v>
      </c>
      <c r="C21116" s="2" t="s">
        <v>195</v>
      </c>
      <c r="D21116" s="2" t="s">
        <v>462</v>
      </c>
      <c r="E21116" s="2" t="str">
        <f>"9783110689570"</f>
        <v>9783110689570</v>
      </c>
      <c r="F21116" s="2" t="str">
        <f>"9783110689686"</f>
        <v>9783110689686</v>
      </c>
    </row>
    <row r="21117" spans="1:6" s="3" customFormat="1" ht="29.1" customHeight="1" x14ac:dyDescent="0.25">
      <c r="A21117" s="2" t="s">
        <v>41403</v>
      </c>
      <c r="B21117" s="2" t="s">
        <v>41404</v>
      </c>
      <c r="C21117" s="2" t="s">
        <v>927</v>
      </c>
      <c r="D21117" s="2" t="s">
        <v>297</v>
      </c>
      <c r="E21117" s="2" t="str">
        <f>"9780939512188"</f>
        <v>9780939512188</v>
      </c>
      <c r="F21117" s="2" t="str">
        <f>"9780472880003"</f>
        <v>9780472880003</v>
      </c>
    </row>
    <row r="21118" spans="1:6" s="3" customFormat="1" ht="29.1" customHeight="1" x14ac:dyDescent="0.25">
      <c r="A21118" s="2" t="s">
        <v>29393</v>
      </c>
      <c r="B21118" s="2" t="s">
        <v>41405</v>
      </c>
      <c r="C21118" s="2" t="s">
        <v>927</v>
      </c>
      <c r="D21118" s="2" t="s">
        <v>297</v>
      </c>
      <c r="E21118" s="2" t="str">
        <f>"9780472038329"</f>
        <v>9780472038329</v>
      </c>
      <c r="F21118" s="2" t="str">
        <f>"9780472128051"</f>
        <v>9780472128051</v>
      </c>
    </row>
    <row r="21119" spans="1:6" s="3" customFormat="1" ht="29.1" customHeight="1" x14ac:dyDescent="0.25">
      <c r="A21119" s="2" t="s">
        <v>41406</v>
      </c>
      <c r="B21119" s="2" t="s">
        <v>41407</v>
      </c>
      <c r="C21119" s="2" t="s">
        <v>927</v>
      </c>
      <c r="D21119" s="2" t="s">
        <v>334</v>
      </c>
      <c r="E21119" s="2" t="str">
        <f>"9780472038282"</f>
        <v>9780472038282</v>
      </c>
      <c r="F21119" s="2" t="str">
        <f>"9780472127931"</f>
        <v>9780472127931</v>
      </c>
    </row>
    <row r="21120" spans="1:6" s="3" customFormat="1" ht="29.1" customHeight="1" x14ac:dyDescent="0.25">
      <c r="A21120" s="2" t="s">
        <v>41408</v>
      </c>
      <c r="B21120" s="2" t="s">
        <v>41409</v>
      </c>
      <c r="C21120" s="2" t="s">
        <v>927</v>
      </c>
      <c r="D21120" s="2" t="s">
        <v>682</v>
      </c>
      <c r="E21120" s="2" t="str">
        <f>"9780472038138"</f>
        <v>9780472038138</v>
      </c>
      <c r="F21120" s="2" t="str">
        <f>"9780472127597"</f>
        <v>9780472127597</v>
      </c>
    </row>
    <row r="21121" spans="1:6" s="3" customFormat="1" ht="29.1" customHeight="1" x14ac:dyDescent="0.25">
      <c r="A21121" s="2" t="s">
        <v>41410</v>
      </c>
      <c r="B21121" s="2" t="s">
        <v>41411</v>
      </c>
      <c r="C21121" s="2" t="s">
        <v>927</v>
      </c>
      <c r="D21121" s="2" t="s">
        <v>297</v>
      </c>
      <c r="E21121" s="2" t="str">
        <f>"9780892649037"</f>
        <v>9780892649037</v>
      </c>
      <c r="F21121" s="2" t="str">
        <f>"9780472127610"</f>
        <v>9780472127610</v>
      </c>
    </row>
    <row r="21122" spans="1:6" s="3" customFormat="1" ht="29.1" customHeight="1" x14ac:dyDescent="0.25">
      <c r="A21122" s="2" t="s">
        <v>41412</v>
      </c>
      <c r="B21122" s="2" t="s">
        <v>41413</v>
      </c>
      <c r="C21122" s="2" t="s">
        <v>927</v>
      </c>
      <c r="D21122" s="2" t="s">
        <v>334</v>
      </c>
      <c r="E21122" s="2" t="str">
        <f>"9780472038046"</f>
        <v>9780472038046</v>
      </c>
      <c r="F21122" s="2" t="str">
        <f>"9780472127474"</f>
        <v>9780472127474</v>
      </c>
    </row>
    <row r="21123" spans="1:6" s="3" customFormat="1" ht="29.1" customHeight="1" x14ac:dyDescent="0.25">
      <c r="A21123" s="2" t="s">
        <v>41414</v>
      </c>
      <c r="B21123" s="2" t="s">
        <v>41415</v>
      </c>
      <c r="C21123" s="2" t="s">
        <v>927</v>
      </c>
      <c r="D21123" s="2" t="s">
        <v>334</v>
      </c>
      <c r="E21123" s="2" t="str">
        <f>"9780472038176"</f>
        <v>9780472038176</v>
      </c>
      <c r="F21123" s="2" t="str">
        <f>"9780472127641"</f>
        <v>9780472127641</v>
      </c>
    </row>
    <row r="21124" spans="1:6" s="3" customFormat="1" ht="29.1" customHeight="1" x14ac:dyDescent="0.25">
      <c r="A21124" s="2" t="s">
        <v>41416</v>
      </c>
      <c r="B21124" s="2" t="s">
        <v>40800</v>
      </c>
      <c r="C21124" s="2" t="s">
        <v>927</v>
      </c>
      <c r="D21124" s="2" t="s">
        <v>210</v>
      </c>
      <c r="E21124" s="2" t="str">
        <f>"9780472038121"</f>
        <v>9780472038121</v>
      </c>
      <c r="F21124" s="2" t="str">
        <f>"9780472127580"</f>
        <v>9780472127580</v>
      </c>
    </row>
    <row r="21125" spans="1:6" s="3" customFormat="1" ht="29.1" customHeight="1" x14ac:dyDescent="0.25">
      <c r="A21125" s="2" t="s">
        <v>41417</v>
      </c>
      <c r="B21125" s="2" t="s">
        <v>41418</v>
      </c>
      <c r="C21125" s="2" t="s">
        <v>927</v>
      </c>
      <c r="D21125" s="2" t="s">
        <v>334</v>
      </c>
      <c r="E21125" s="2" t="str">
        <f>"9780472038053"</f>
        <v>9780472038053</v>
      </c>
      <c r="F21125" s="2" t="str">
        <f>"9780472127498"</f>
        <v>9780472127498</v>
      </c>
    </row>
    <row r="21126" spans="1:6" s="3" customFormat="1" ht="29.1" customHeight="1" x14ac:dyDescent="0.25">
      <c r="A21126" s="2" t="s">
        <v>41419</v>
      </c>
      <c r="B21126" s="2" t="s">
        <v>41420</v>
      </c>
      <c r="C21126" s="2" t="s">
        <v>927</v>
      </c>
      <c r="D21126" s="2" t="s">
        <v>297</v>
      </c>
      <c r="E21126" s="2" t="str">
        <f>"9781929280605"</f>
        <v>9781929280605</v>
      </c>
      <c r="F21126" s="2" t="str">
        <f>"9780472127481"</f>
        <v>9780472127481</v>
      </c>
    </row>
    <row r="21127" spans="1:6" s="3" customFormat="1" ht="29.1" customHeight="1" x14ac:dyDescent="0.25">
      <c r="A21127" s="2" t="s">
        <v>41421</v>
      </c>
      <c r="B21127" s="2" t="s">
        <v>41422</v>
      </c>
      <c r="C21127" s="2" t="s">
        <v>927</v>
      </c>
      <c r="D21127" s="2" t="s">
        <v>297</v>
      </c>
      <c r="E21127" s="2" t="str">
        <f>"9780891480815"</f>
        <v>9780891480815</v>
      </c>
      <c r="F21127" s="2" t="str">
        <f>"9780472128310"</f>
        <v>9780472128310</v>
      </c>
    </row>
    <row r="21128" spans="1:6" s="3" customFormat="1" ht="29.1" customHeight="1" x14ac:dyDescent="0.25">
      <c r="A21128" s="2" t="s">
        <v>41423</v>
      </c>
      <c r="B21128" s="2" t="s">
        <v>41018</v>
      </c>
      <c r="C21128" s="2" t="s">
        <v>927</v>
      </c>
      <c r="D21128" s="2" t="s">
        <v>297</v>
      </c>
      <c r="E21128" s="2" t="str">
        <f>"9780939512089"</f>
        <v>9780939512089</v>
      </c>
      <c r="F21128" s="2" t="str">
        <f>"9780472880041"</f>
        <v>9780472880041</v>
      </c>
    </row>
    <row r="21129" spans="1:6" s="3" customFormat="1" ht="29.1" customHeight="1" x14ac:dyDescent="0.25">
      <c r="A21129" s="2" t="s">
        <v>41424</v>
      </c>
      <c r="B21129" s="2" t="s">
        <v>41425</v>
      </c>
      <c r="C21129" s="2" t="s">
        <v>927</v>
      </c>
      <c r="D21129" s="2" t="s">
        <v>210</v>
      </c>
      <c r="E21129" s="2" t="str">
        <f>"9780472038244"</f>
        <v>9780472038244</v>
      </c>
      <c r="F21129" s="2" t="str">
        <f>"9780472127825"</f>
        <v>9780472127825</v>
      </c>
    </row>
    <row r="21130" spans="1:6" s="3" customFormat="1" ht="29.1" customHeight="1" x14ac:dyDescent="0.25">
      <c r="A21130" s="2" t="s">
        <v>41426</v>
      </c>
      <c r="B21130" s="2" t="s">
        <v>41427</v>
      </c>
      <c r="C21130" s="2" t="s">
        <v>927</v>
      </c>
      <c r="D21130" s="2" t="s">
        <v>297</v>
      </c>
      <c r="E21130" s="2" t="str">
        <f>"9781929280551"</f>
        <v>9781929280551</v>
      </c>
      <c r="F21130" s="2" t="str">
        <f>"9780472127665"</f>
        <v>9780472127665</v>
      </c>
    </row>
    <row r="21131" spans="1:6" s="3" customFormat="1" ht="29.1" customHeight="1" x14ac:dyDescent="0.25">
      <c r="A21131" s="2" t="s">
        <v>41428</v>
      </c>
      <c r="B21131" s="2" t="s">
        <v>41364</v>
      </c>
      <c r="C21131" s="2" t="s">
        <v>927</v>
      </c>
      <c r="D21131" s="2" t="s">
        <v>297</v>
      </c>
      <c r="E21131" s="2" t="str">
        <f>"9780939512614"</f>
        <v>9780939512614</v>
      </c>
      <c r="F21131" s="2" t="str">
        <f>"9780472128112"</f>
        <v>9780472128112</v>
      </c>
    </row>
    <row r="21132" spans="1:6" s="3" customFormat="1" ht="29.1" customHeight="1" x14ac:dyDescent="0.25">
      <c r="A21132" s="2" t="s">
        <v>41429</v>
      </c>
      <c r="B21132" s="2" t="s">
        <v>41430</v>
      </c>
      <c r="C21132" s="2" t="s">
        <v>927</v>
      </c>
      <c r="D21132" s="2" t="s">
        <v>210</v>
      </c>
      <c r="E21132" s="2" t="str">
        <f>"9780472038220"</f>
        <v>9780472038220</v>
      </c>
      <c r="F21132" s="2" t="str">
        <f>"9780472127795"</f>
        <v>9780472127795</v>
      </c>
    </row>
    <row r="21133" spans="1:6" s="3" customFormat="1" ht="29.1" customHeight="1" x14ac:dyDescent="0.25">
      <c r="A21133" s="2" t="s">
        <v>41431</v>
      </c>
      <c r="B21133" s="2" t="s">
        <v>41432</v>
      </c>
      <c r="C21133" s="2" t="s">
        <v>927</v>
      </c>
      <c r="D21133" s="2" t="s">
        <v>297</v>
      </c>
      <c r="E21133" s="2" t="str">
        <f>"9780939512119"</f>
        <v>9780939512119</v>
      </c>
      <c r="F21133" s="2" t="str">
        <f>"9780472127948"</f>
        <v>9780472127948</v>
      </c>
    </row>
    <row r="21134" spans="1:6" s="3" customFormat="1" ht="29.1" customHeight="1" x14ac:dyDescent="0.25">
      <c r="A21134" s="2" t="s">
        <v>41433</v>
      </c>
      <c r="B21134" s="2" t="s">
        <v>41434</v>
      </c>
      <c r="C21134" s="2" t="s">
        <v>927</v>
      </c>
      <c r="D21134" s="2" t="s">
        <v>210</v>
      </c>
      <c r="E21134" s="2" t="str">
        <f>"9780472038060"</f>
        <v>9780472038060</v>
      </c>
      <c r="F21134" s="2" t="str">
        <f>"9780472127504"</f>
        <v>9780472127504</v>
      </c>
    </row>
    <row r="21135" spans="1:6" s="3" customFormat="1" ht="29.1" customHeight="1" x14ac:dyDescent="0.25">
      <c r="A21135" s="2" t="s">
        <v>41435</v>
      </c>
      <c r="B21135" s="2" t="s">
        <v>41436</v>
      </c>
      <c r="C21135" s="2" t="s">
        <v>927</v>
      </c>
      <c r="D21135" s="2" t="s">
        <v>297</v>
      </c>
      <c r="E21135" s="2" t="str">
        <f>"9780892649495"</f>
        <v>9780892649495</v>
      </c>
      <c r="F21135" s="2" t="str">
        <f>"9780472127832"</f>
        <v>9780472127832</v>
      </c>
    </row>
    <row r="21136" spans="1:6" s="3" customFormat="1" ht="29.1" customHeight="1" x14ac:dyDescent="0.25">
      <c r="A21136" s="2" t="s">
        <v>41437</v>
      </c>
      <c r="B21136" s="2" t="s">
        <v>41438</v>
      </c>
      <c r="C21136" s="2" t="s">
        <v>927</v>
      </c>
      <c r="D21136" s="2" t="s">
        <v>297</v>
      </c>
      <c r="E21136" s="2" t="str">
        <f>"9780939512065"</f>
        <v>9780939512065</v>
      </c>
      <c r="F21136" s="2" t="str">
        <f>"9780472128037"</f>
        <v>9780472128037</v>
      </c>
    </row>
    <row r="21137" spans="1:6" s="3" customFormat="1" ht="29.1" customHeight="1" x14ac:dyDescent="0.25">
      <c r="A21137" s="2" t="s">
        <v>41439</v>
      </c>
      <c r="B21137" s="2" t="s">
        <v>41440</v>
      </c>
      <c r="C21137" s="2" t="s">
        <v>927</v>
      </c>
      <c r="D21137" s="2" t="s">
        <v>334</v>
      </c>
      <c r="E21137" s="2" t="str">
        <f>"9780472038008"</f>
        <v>9780472038008</v>
      </c>
      <c r="F21137" s="2" t="str">
        <f>"9780472127405"</f>
        <v>9780472127405</v>
      </c>
    </row>
    <row r="21138" spans="1:6" s="3" customFormat="1" ht="29.1" customHeight="1" x14ac:dyDescent="0.25">
      <c r="A21138" s="2" t="s">
        <v>41441</v>
      </c>
      <c r="B21138" s="2" t="s">
        <v>41442</v>
      </c>
      <c r="C21138" s="2" t="s">
        <v>927</v>
      </c>
      <c r="D21138" s="2" t="s">
        <v>297</v>
      </c>
      <c r="E21138" s="2" t="str">
        <f>"9780892640904"</f>
        <v>9780892640904</v>
      </c>
      <c r="F21138" s="2" t="str">
        <f>"9780472127863"</f>
        <v>9780472127863</v>
      </c>
    </row>
    <row r="21139" spans="1:6" s="3" customFormat="1" ht="29.1" customHeight="1" x14ac:dyDescent="0.25">
      <c r="A21139" s="2" t="s">
        <v>41443</v>
      </c>
      <c r="B21139" s="2" t="s">
        <v>41444</v>
      </c>
      <c r="C21139" s="2" t="s">
        <v>927</v>
      </c>
      <c r="D21139" s="2" t="s">
        <v>334</v>
      </c>
      <c r="E21139" s="2" t="str">
        <f>"9780472038305"</f>
        <v>9780472038305</v>
      </c>
      <c r="F21139" s="2" t="str">
        <f>"9780472128013"</f>
        <v>9780472128013</v>
      </c>
    </row>
    <row r="21140" spans="1:6" s="3" customFormat="1" ht="29.1" customHeight="1" x14ac:dyDescent="0.25">
      <c r="A21140" s="2" t="s">
        <v>41445</v>
      </c>
      <c r="B21140" s="2" t="s">
        <v>41446</v>
      </c>
      <c r="C21140" s="2" t="s">
        <v>927</v>
      </c>
      <c r="D21140" s="2" t="s">
        <v>297</v>
      </c>
      <c r="E21140" s="2" t="str">
        <f>"9780892640393"</f>
        <v>9780892640393</v>
      </c>
      <c r="F21140" s="2" t="str">
        <f>"9780472127382"</f>
        <v>9780472127382</v>
      </c>
    </row>
    <row r="21141" spans="1:6" s="3" customFormat="1" ht="29.1" customHeight="1" x14ac:dyDescent="0.25">
      <c r="A21141" s="2" t="s">
        <v>41447</v>
      </c>
      <c r="B21141" s="2" t="s">
        <v>41448</v>
      </c>
      <c r="C21141" s="2" t="s">
        <v>927</v>
      </c>
      <c r="D21141" s="2" t="s">
        <v>297</v>
      </c>
      <c r="E21141" s="2" t="str">
        <f>"9780939512959"</f>
        <v>9780939512959</v>
      </c>
      <c r="F21141" s="2" t="str">
        <f>"9780472127962"</f>
        <v>9780472127962</v>
      </c>
    </row>
    <row r="21142" spans="1:6" s="3" customFormat="1" ht="29.1" customHeight="1" x14ac:dyDescent="0.25">
      <c r="A21142" s="2" t="s">
        <v>41449</v>
      </c>
      <c r="B21142" s="2" t="s">
        <v>41018</v>
      </c>
      <c r="C21142" s="2" t="s">
        <v>927</v>
      </c>
      <c r="D21142" s="2" t="s">
        <v>297</v>
      </c>
      <c r="E21142" s="2" t="str">
        <f>"9780939512126"</f>
        <v>9780939512126</v>
      </c>
      <c r="F21142" s="2" t="str">
        <f>"9780472880133"</f>
        <v>9780472880133</v>
      </c>
    </row>
    <row r="21143" spans="1:6" s="3" customFormat="1" ht="29.1" customHeight="1" x14ac:dyDescent="0.25">
      <c r="A21143" s="2" t="s">
        <v>41450</v>
      </c>
      <c r="B21143" s="2" t="s">
        <v>41451</v>
      </c>
      <c r="C21143" s="2" t="s">
        <v>927</v>
      </c>
      <c r="D21143" s="2" t="s">
        <v>297</v>
      </c>
      <c r="E21143" s="2" t="str">
        <f>"9781929280629"</f>
        <v>9781929280629</v>
      </c>
      <c r="F21143" s="2" t="str">
        <f>"9780472127672"</f>
        <v>9780472127672</v>
      </c>
    </row>
    <row r="21144" spans="1:6" s="3" customFormat="1" ht="29.1" customHeight="1" x14ac:dyDescent="0.25">
      <c r="A21144" s="2" t="s">
        <v>41452</v>
      </c>
      <c r="B21144" s="2" t="s">
        <v>41453</v>
      </c>
      <c r="C21144" s="2" t="s">
        <v>927</v>
      </c>
      <c r="D21144" s="2" t="s">
        <v>210</v>
      </c>
      <c r="E21144" s="2" t="str">
        <f>"9780472038299"</f>
        <v>9780472038299</v>
      </c>
      <c r="F21144" s="2" t="str">
        <f>"9780472127955"</f>
        <v>9780472127955</v>
      </c>
    </row>
    <row r="21145" spans="1:6" s="3" customFormat="1" ht="29.1" customHeight="1" x14ac:dyDescent="0.25">
      <c r="A21145" s="2" t="s">
        <v>41454</v>
      </c>
      <c r="B21145" s="2" t="s">
        <v>41455</v>
      </c>
      <c r="C21145" s="2" t="s">
        <v>927</v>
      </c>
      <c r="D21145" s="2" t="s">
        <v>297</v>
      </c>
      <c r="E21145" s="2" t="str">
        <f>"9780891480136"</f>
        <v>9780891480136</v>
      </c>
      <c r="F21145" s="2" t="str">
        <f>"9780472127764"</f>
        <v>9780472127764</v>
      </c>
    </row>
    <row r="21146" spans="1:6" s="3" customFormat="1" ht="29.1" customHeight="1" x14ac:dyDescent="0.25">
      <c r="A21146" s="2" t="s">
        <v>41456</v>
      </c>
      <c r="B21146" s="2" t="s">
        <v>41457</v>
      </c>
      <c r="C21146" s="2" t="s">
        <v>927</v>
      </c>
      <c r="D21146" s="2" t="s">
        <v>297</v>
      </c>
      <c r="E21146" s="2" t="str">
        <f>"9780892640041"</f>
        <v>9780892640041</v>
      </c>
      <c r="F21146" s="2" t="str">
        <f>"9780472128198"</f>
        <v>9780472128198</v>
      </c>
    </row>
    <row r="21147" spans="1:6" s="3" customFormat="1" ht="29.1" customHeight="1" x14ac:dyDescent="0.25">
      <c r="A21147" s="2" t="s">
        <v>41458</v>
      </c>
      <c r="B21147" s="2" t="s">
        <v>41459</v>
      </c>
      <c r="C21147" s="2" t="s">
        <v>927</v>
      </c>
      <c r="D21147" s="2" t="s">
        <v>297</v>
      </c>
      <c r="E21147" s="2" t="str">
        <f>"9780891480525"</f>
        <v>9780891480525</v>
      </c>
      <c r="F21147" s="2" t="str">
        <f>"9780472127740"</f>
        <v>9780472127740</v>
      </c>
    </row>
    <row r="21148" spans="1:6" s="3" customFormat="1" ht="29.1" customHeight="1" x14ac:dyDescent="0.25">
      <c r="A21148" s="2" t="s">
        <v>41460</v>
      </c>
      <c r="B21148" s="2" t="s">
        <v>41461</v>
      </c>
      <c r="C21148" s="2" t="s">
        <v>927</v>
      </c>
      <c r="D21148" s="2" t="s">
        <v>297</v>
      </c>
      <c r="E21148" s="2" t="str">
        <f>"9780939512171"</f>
        <v>9780939512171</v>
      </c>
      <c r="F21148" s="2" t="str">
        <f>"9780472128044"</f>
        <v>9780472128044</v>
      </c>
    </row>
    <row r="21149" spans="1:6" s="3" customFormat="1" ht="29.1" customHeight="1" x14ac:dyDescent="0.25">
      <c r="A21149" s="2" t="s">
        <v>41462</v>
      </c>
      <c r="B21149" s="2" t="s">
        <v>41463</v>
      </c>
      <c r="C21149" s="2" t="s">
        <v>927</v>
      </c>
      <c r="D21149" s="2" t="s">
        <v>210</v>
      </c>
      <c r="E21149" s="2" t="str">
        <f>"9781929280209"</f>
        <v>9781929280209</v>
      </c>
      <c r="F21149" s="2" t="str">
        <f>"9780472127979"</f>
        <v>9780472127979</v>
      </c>
    </row>
    <row r="21150" spans="1:6" s="3" customFormat="1" ht="29.1" customHeight="1" x14ac:dyDescent="0.25">
      <c r="A21150" s="2" t="s">
        <v>41464</v>
      </c>
      <c r="B21150" s="2" t="s">
        <v>41465</v>
      </c>
      <c r="C21150" s="2" t="s">
        <v>927</v>
      </c>
      <c r="D21150" s="2" t="s">
        <v>297</v>
      </c>
      <c r="E21150" s="2" t="str">
        <f>"9780892640065"</f>
        <v>9780892640065</v>
      </c>
      <c r="F21150" s="2" t="str">
        <f>"9780472127894"</f>
        <v>9780472127894</v>
      </c>
    </row>
    <row r="21151" spans="1:6" s="3" customFormat="1" ht="29.1" customHeight="1" x14ac:dyDescent="0.25">
      <c r="A21151" s="2" t="s">
        <v>41466</v>
      </c>
      <c r="B21151" s="2" t="s">
        <v>41467</v>
      </c>
      <c r="C21151" s="2" t="s">
        <v>927</v>
      </c>
      <c r="D21151" s="2" t="s">
        <v>297</v>
      </c>
      <c r="E21151" s="2" t="str">
        <f>"9780892640362"</f>
        <v>9780892640362</v>
      </c>
      <c r="F21151" s="2" t="str">
        <f>"9780472127856"</f>
        <v>9780472127856</v>
      </c>
    </row>
    <row r="21152" spans="1:6" s="3" customFormat="1" ht="29.1" customHeight="1" x14ac:dyDescent="0.25">
      <c r="A21152" s="2" t="s">
        <v>41468</v>
      </c>
      <c r="B21152" s="2" t="s">
        <v>41469</v>
      </c>
      <c r="C21152" s="2" t="s">
        <v>927</v>
      </c>
      <c r="D21152" s="2" t="s">
        <v>270</v>
      </c>
      <c r="E21152" s="2" t="str">
        <f>"9780472038091"</f>
        <v>9780472038091</v>
      </c>
      <c r="F21152" s="2" t="str">
        <f>"9780472127559"</f>
        <v>9780472127559</v>
      </c>
    </row>
    <row r="21153" spans="1:6" s="3" customFormat="1" ht="29.1" customHeight="1" x14ac:dyDescent="0.25">
      <c r="A21153" s="2" t="s">
        <v>41470</v>
      </c>
      <c r="B21153" s="2" t="s">
        <v>41471</v>
      </c>
      <c r="C21153" s="2" t="s">
        <v>927</v>
      </c>
      <c r="D21153" s="2" t="s">
        <v>297</v>
      </c>
      <c r="E21153" s="2" t="str">
        <f>"9780892640331"</f>
        <v>9780892640331</v>
      </c>
      <c r="F21153" s="2" t="str">
        <f>"9780472127542"</f>
        <v>9780472127542</v>
      </c>
    </row>
    <row r="21154" spans="1:6" s="3" customFormat="1" ht="29.1" customHeight="1" x14ac:dyDescent="0.25">
      <c r="A21154" s="2" t="s">
        <v>41472</v>
      </c>
      <c r="B21154" s="2" t="s">
        <v>41473</v>
      </c>
      <c r="C21154" s="2" t="s">
        <v>927</v>
      </c>
      <c r="D21154" s="2" t="s">
        <v>297</v>
      </c>
      <c r="E21154" s="2" t="str">
        <f>"9780891480624"</f>
        <v>9780891480624</v>
      </c>
      <c r="F21154" s="2" t="str">
        <f>"9780472127757"</f>
        <v>9780472127757</v>
      </c>
    </row>
    <row r="21155" spans="1:6" s="3" customFormat="1" ht="29.1" customHeight="1" x14ac:dyDescent="0.25">
      <c r="A21155" s="2" t="s">
        <v>41474</v>
      </c>
      <c r="B21155" s="2" t="s">
        <v>41018</v>
      </c>
      <c r="C21155" s="2" t="s">
        <v>927</v>
      </c>
      <c r="D21155" s="2" t="s">
        <v>297</v>
      </c>
      <c r="E21155" s="2" t="str">
        <f>"9780939512140"</f>
        <v>9780939512140</v>
      </c>
      <c r="F21155" s="2" t="str">
        <f>"9780472880119"</f>
        <v>9780472880119</v>
      </c>
    </row>
    <row r="21156" spans="1:6" s="3" customFormat="1" ht="29.1" customHeight="1" x14ac:dyDescent="0.25">
      <c r="A21156" s="2" t="s">
        <v>41475</v>
      </c>
      <c r="B21156" s="2" t="s">
        <v>41476</v>
      </c>
      <c r="C21156" s="2" t="s">
        <v>927</v>
      </c>
      <c r="D21156" s="2" t="s">
        <v>334</v>
      </c>
      <c r="E21156" s="2" t="str">
        <f>"9780472038107"</f>
        <v>9780472038107</v>
      </c>
      <c r="F21156" s="2" t="str">
        <f>"9780472127566"</f>
        <v>9780472127566</v>
      </c>
    </row>
    <row r="21157" spans="1:6" s="3" customFormat="1" ht="29.1" customHeight="1" x14ac:dyDescent="0.25">
      <c r="A21157" s="2" t="s">
        <v>41477</v>
      </c>
      <c r="B21157" s="2" t="s">
        <v>41465</v>
      </c>
      <c r="C21157" s="2" t="s">
        <v>927</v>
      </c>
      <c r="D21157" s="2" t="s">
        <v>334</v>
      </c>
      <c r="E21157" s="2" t="str">
        <f>"9780472038084"</f>
        <v>9780472038084</v>
      </c>
      <c r="F21157" s="2" t="str">
        <f>"9780472127535"</f>
        <v>9780472127535</v>
      </c>
    </row>
    <row r="21158" spans="1:6" s="3" customFormat="1" ht="29.1" customHeight="1" x14ac:dyDescent="0.25">
      <c r="A21158" s="2" t="s">
        <v>41478</v>
      </c>
      <c r="B21158" s="2" t="s">
        <v>41479</v>
      </c>
      <c r="C21158" s="2" t="s">
        <v>746</v>
      </c>
      <c r="D21158" s="2" t="s">
        <v>606</v>
      </c>
      <c r="E21158" s="2" t="str">
        <f>"9781789694932"</f>
        <v>9781789694932</v>
      </c>
      <c r="F21158" s="2" t="str">
        <f>"9781789694949"</f>
        <v>9781789694949</v>
      </c>
    </row>
    <row r="21159" spans="1:6" s="3" customFormat="1" ht="29.1" customHeight="1" x14ac:dyDescent="0.25">
      <c r="A21159" s="2" t="s">
        <v>41480</v>
      </c>
      <c r="B21159" s="2" t="s">
        <v>41481</v>
      </c>
      <c r="C21159" s="2" t="s">
        <v>195</v>
      </c>
      <c r="D21159" s="2" t="s">
        <v>13055</v>
      </c>
      <c r="E21159" s="2" t="str">
        <f>"9783110625608"</f>
        <v>9783110625608</v>
      </c>
      <c r="F21159" s="2" t="str">
        <f>"9783110625714"</f>
        <v>9783110625714</v>
      </c>
    </row>
    <row r="21160" spans="1:6" s="3" customFormat="1" ht="29.1" customHeight="1" x14ac:dyDescent="0.25">
      <c r="A21160" s="2" t="s">
        <v>41482</v>
      </c>
      <c r="B21160" s="2" t="s">
        <v>41483</v>
      </c>
      <c r="C21160" s="2" t="s">
        <v>195</v>
      </c>
      <c r="D21160" s="2" t="s">
        <v>459</v>
      </c>
      <c r="E21160" s="2" t="str">
        <f>"9781501516856"</f>
        <v>9781501516856</v>
      </c>
      <c r="F21160" s="2" t="str">
        <f>"9781501510021"</f>
        <v>9781501510021</v>
      </c>
    </row>
    <row r="21161" spans="1:6" s="3" customFormat="1" ht="29.1" customHeight="1" x14ac:dyDescent="0.25">
      <c r="A21161" s="2" t="s">
        <v>41484</v>
      </c>
      <c r="B21161" s="2" t="s">
        <v>13815</v>
      </c>
      <c r="C21161" s="2" t="s">
        <v>195</v>
      </c>
      <c r="D21161" s="2" t="s">
        <v>196</v>
      </c>
      <c r="E21161" s="2" t="str">
        <f>"9783110670660"</f>
        <v>9783110670660</v>
      </c>
      <c r="F21161" s="2" t="str">
        <f>"9783110670714"</f>
        <v>9783110670714</v>
      </c>
    </row>
    <row r="21162" spans="1:6" s="3" customFormat="1" ht="29.1" customHeight="1" x14ac:dyDescent="0.25">
      <c r="A21162" s="2" t="s">
        <v>41485</v>
      </c>
      <c r="B21162" s="2" t="s">
        <v>41486</v>
      </c>
      <c r="C21162" s="2" t="s">
        <v>195</v>
      </c>
      <c r="D21162" s="2" t="s">
        <v>459</v>
      </c>
      <c r="E21162" s="2" t="str">
        <f>"9781501516405"</f>
        <v>9781501516405</v>
      </c>
      <c r="F21162" s="2" t="str">
        <f>"9781501507816"</f>
        <v>9781501507816</v>
      </c>
    </row>
    <row r="21163" spans="1:6" s="3" customFormat="1" ht="29.1" customHeight="1" x14ac:dyDescent="0.25">
      <c r="A21163" s="2" t="s">
        <v>41487</v>
      </c>
      <c r="B21163" s="2" t="s">
        <v>41488</v>
      </c>
      <c r="C21163" s="2" t="s">
        <v>124</v>
      </c>
      <c r="D21163" s="2" t="s">
        <v>3445</v>
      </c>
      <c r="E21163" s="2" t="str">
        <f>"9780367365301"</f>
        <v>9780367365301</v>
      </c>
      <c r="F21163" s="2" t="str">
        <f>"9781000217261"</f>
        <v>9781000217261</v>
      </c>
    </row>
    <row r="21164" spans="1:6" s="3" customFormat="1" ht="29.1" customHeight="1" x14ac:dyDescent="0.25">
      <c r="A21164" s="2" t="s">
        <v>41489</v>
      </c>
      <c r="B21164" s="2" t="s">
        <v>41490</v>
      </c>
      <c r="C21164" s="2" t="s">
        <v>124</v>
      </c>
      <c r="D21164" s="2" t="s">
        <v>984</v>
      </c>
      <c r="E21164" s="2" t="str">
        <f>"9780367178611"</f>
        <v>9780367178611</v>
      </c>
      <c r="F21164" s="2" t="str">
        <f>"9780429603471"</f>
        <v>9780429603471</v>
      </c>
    </row>
    <row r="21165" spans="1:6" s="3" customFormat="1" ht="29.1" customHeight="1" x14ac:dyDescent="0.25">
      <c r="A21165" s="2" t="s">
        <v>41491</v>
      </c>
      <c r="B21165" s="2" t="s">
        <v>41492</v>
      </c>
      <c r="C21165" s="2" t="s">
        <v>124</v>
      </c>
      <c r="D21165" s="2" t="s">
        <v>75</v>
      </c>
      <c r="E21165" s="2" t="str">
        <f>"9780367640194"</f>
        <v>9780367640194</v>
      </c>
      <c r="F21165" s="2" t="str">
        <f>"9781351175166"</f>
        <v>9781351175166</v>
      </c>
    </row>
    <row r="21166" spans="1:6" s="3" customFormat="1" ht="29.1" customHeight="1" x14ac:dyDescent="0.25">
      <c r="A21166" s="2" t="s">
        <v>41493</v>
      </c>
      <c r="B21166" s="2" t="s">
        <v>6205</v>
      </c>
      <c r="C21166" s="2" t="s">
        <v>124</v>
      </c>
      <c r="D21166" s="2" t="s">
        <v>297</v>
      </c>
      <c r="E21166" s="2" t="str">
        <f>"9780367672003"</f>
        <v>9780367672003</v>
      </c>
      <c r="F21166" s="2" t="str">
        <f>"9780429014543"</f>
        <v>9780429014543</v>
      </c>
    </row>
    <row r="21167" spans="1:6" s="3" customFormat="1" ht="29.1" customHeight="1" x14ac:dyDescent="0.25">
      <c r="A21167" s="2" t="s">
        <v>41494</v>
      </c>
      <c r="B21167" s="2" t="s">
        <v>41495</v>
      </c>
      <c r="C21167" s="2" t="s">
        <v>124</v>
      </c>
      <c r="D21167" s="2" t="s">
        <v>1198</v>
      </c>
      <c r="E21167" s="2" t="str">
        <f>"9780367508234"</f>
        <v>9780367508234</v>
      </c>
      <c r="F21167" s="2" t="str">
        <f>"9781000092349"</f>
        <v>9781000092349</v>
      </c>
    </row>
    <row r="21168" spans="1:6" s="3" customFormat="1" ht="29.1" customHeight="1" x14ac:dyDescent="0.25">
      <c r="A21168" s="2" t="s">
        <v>41496</v>
      </c>
      <c r="B21168" s="2" t="s">
        <v>41497</v>
      </c>
      <c r="C21168" s="2" t="s">
        <v>124</v>
      </c>
      <c r="D21168" s="2" t="s">
        <v>256</v>
      </c>
      <c r="E21168" s="2" t="str">
        <f>"9780367222369"</f>
        <v>9780367222369</v>
      </c>
      <c r="F21168" s="2" t="str">
        <f>"9781000214208"</f>
        <v>9781000214208</v>
      </c>
    </row>
    <row r="21169" spans="1:6" s="3" customFormat="1" ht="29.1" customHeight="1" x14ac:dyDescent="0.25">
      <c r="A21169" s="2" t="s">
        <v>41498</v>
      </c>
      <c r="B21169" s="2" t="s">
        <v>41499</v>
      </c>
      <c r="C21169" s="2" t="s">
        <v>124</v>
      </c>
      <c r="D21169" s="2" t="s">
        <v>694</v>
      </c>
      <c r="E21169" s="2" t="str">
        <f>"9780367505851"</f>
        <v>9780367505851</v>
      </c>
      <c r="F21169" s="2" t="str">
        <f>"9781000199222"</f>
        <v>9781000199222</v>
      </c>
    </row>
    <row r="21170" spans="1:6" s="3" customFormat="1" ht="29.1" customHeight="1" x14ac:dyDescent="0.25">
      <c r="A21170" s="2" t="s">
        <v>41500</v>
      </c>
      <c r="B21170" s="2" t="s">
        <v>41501</v>
      </c>
      <c r="C21170" s="2" t="s">
        <v>124</v>
      </c>
      <c r="D21170" s="2" t="s">
        <v>2237</v>
      </c>
      <c r="E21170" s="2" t="str">
        <f>"9780367547035"</f>
        <v>9780367547035</v>
      </c>
      <c r="F21170" s="2" t="str">
        <f>"9780429462818"</f>
        <v>9780429462818</v>
      </c>
    </row>
    <row r="21171" spans="1:6" s="3" customFormat="1" ht="29.1" customHeight="1" x14ac:dyDescent="0.25">
      <c r="A21171" s="2" t="s">
        <v>41502</v>
      </c>
      <c r="B21171" s="2" t="s">
        <v>41503</v>
      </c>
      <c r="C21171" s="2" t="s">
        <v>124</v>
      </c>
      <c r="D21171" s="2" t="s">
        <v>687</v>
      </c>
      <c r="E21171" s="2" t="str">
        <f>"9780367403898"</f>
        <v>9780367403898</v>
      </c>
      <c r="F21171" s="2" t="str">
        <f>"9780367815776"</f>
        <v>9780367815776</v>
      </c>
    </row>
    <row r="21172" spans="1:6" s="3" customFormat="1" ht="29.1" customHeight="1" x14ac:dyDescent="0.25">
      <c r="A21172" s="2" t="s">
        <v>41504</v>
      </c>
      <c r="B21172" s="2" t="s">
        <v>41505</v>
      </c>
      <c r="C21172" s="2" t="s">
        <v>124</v>
      </c>
      <c r="D21172" s="2" t="s">
        <v>81</v>
      </c>
      <c r="E21172" s="2" t="str">
        <f>"9780367321727"</f>
        <v>9780367321727</v>
      </c>
      <c r="F21172" s="2" t="str">
        <f>"9781000207668"</f>
        <v>9781000207668</v>
      </c>
    </row>
    <row r="21173" spans="1:6" s="3" customFormat="1" ht="29.1" customHeight="1" x14ac:dyDescent="0.25">
      <c r="A21173" s="2" t="s">
        <v>41506</v>
      </c>
      <c r="B21173" s="2" t="s">
        <v>41507</v>
      </c>
      <c r="C21173" s="2" t="s">
        <v>124</v>
      </c>
      <c r="D21173" s="2" t="s">
        <v>2513</v>
      </c>
      <c r="E21173" s="2" t="str">
        <f>"9781138361553"</f>
        <v>9781138361553</v>
      </c>
      <c r="F21173" s="2" t="str">
        <f>"9780429779756"</f>
        <v>9780429779756</v>
      </c>
    </row>
    <row r="21174" spans="1:6" s="3" customFormat="1" ht="29.1" customHeight="1" x14ac:dyDescent="0.25">
      <c r="A21174" s="2" t="s">
        <v>41508</v>
      </c>
      <c r="B21174" s="2" t="s">
        <v>41509</v>
      </c>
      <c r="C21174" s="2" t="s">
        <v>124</v>
      </c>
      <c r="D21174" s="2" t="s">
        <v>5021</v>
      </c>
      <c r="E21174" s="2" t="str">
        <f>"9780367502850"</f>
        <v>9780367502850</v>
      </c>
      <c r="F21174" s="2" t="str">
        <f>"9781000329063"</f>
        <v>9781000329063</v>
      </c>
    </row>
    <row r="21175" spans="1:6" s="3" customFormat="1" ht="29.1" customHeight="1" x14ac:dyDescent="0.25">
      <c r="A21175" s="2" t="s">
        <v>41510</v>
      </c>
      <c r="B21175" s="2" t="s">
        <v>17565</v>
      </c>
      <c r="C21175" s="2" t="s">
        <v>124</v>
      </c>
      <c r="D21175" s="2" t="s">
        <v>41511</v>
      </c>
      <c r="E21175" s="2" t="str">
        <f>"9780367537760"</f>
        <v>9780367537760</v>
      </c>
      <c r="F21175" s="2" t="str">
        <f>"9781000203318"</f>
        <v>9781000203318</v>
      </c>
    </row>
    <row r="21176" spans="1:6" s="3" customFormat="1" ht="29.1" customHeight="1" x14ac:dyDescent="0.25">
      <c r="A21176" s="2" t="s">
        <v>41512</v>
      </c>
      <c r="B21176" s="2" t="s">
        <v>41513</v>
      </c>
      <c r="C21176" s="2" t="s">
        <v>124</v>
      </c>
      <c r="D21176" s="2" t="s">
        <v>465</v>
      </c>
      <c r="E21176" s="2" t="str">
        <f>"9780367490867"</f>
        <v>9780367490867</v>
      </c>
      <c r="F21176" s="2" t="str">
        <f>"9780429448157"</f>
        <v>9780429448157</v>
      </c>
    </row>
    <row r="21177" spans="1:6" s="3" customFormat="1" ht="29.1" customHeight="1" x14ac:dyDescent="0.25">
      <c r="A21177" s="2" t="s">
        <v>41514</v>
      </c>
      <c r="B21177" s="2" t="s">
        <v>41515</v>
      </c>
      <c r="C21177" s="2" t="s">
        <v>124</v>
      </c>
      <c r="D21177" s="2" t="s">
        <v>186</v>
      </c>
      <c r="E21177" s="2" t="str">
        <f>"9780367368029"</f>
        <v>9780367368029</v>
      </c>
      <c r="F21177" s="2" t="str">
        <f>"9780429355691"</f>
        <v>9780429355691</v>
      </c>
    </row>
    <row r="21178" spans="1:6" s="3" customFormat="1" ht="29.1" customHeight="1" x14ac:dyDescent="0.25">
      <c r="A21178" s="2" t="s">
        <v>41516</v>
      </c>
      <c r="B21178" s="2" t="s">
        <v>41517</v>
      </c>
      <c r="C21178" s="2" t="s">
        <v>124</v>
      </c>
      <c r="D21178" s="2" t="s">
        <v>868</v>
      </c>
      <c r="E21178" s="2" t="str">
        <f>"9780367460976"</f>
        <v>9780367460976</v>
      </c>
      <c r="F21178" s="2" t="str">
        <f>"9781000177275"</f>
        <v>9781000177275</v>
      </c>
    </row>
    <row r="21179" spans="1:6" s="3" customFormat="1" ht="29.1" customHeight="1" x14ac:dyDescent="0.25">
      <c r="A21179" s="2" t="s">
        <v>41518</v>
      </c>
      <c r="B21179" s="2" t="s">
        <v>41519</v>
      </c>
      <c r="C21179" s="2" t="s">
        <v>124</v>
      </c>
      <c r="D21179" s="2" t="s">
        <v>30</v>
      </c>
      <c r="E21179" s="2" t="str">
        <f>"9780367221898"</f>
        <v>9780367221898</v>
      </c>
      <c r="F21179" s="2" t="str">
        <f>"9780429273872"</f>
        <v>9780429273872</v>
      </c>
    </row>
    <row r="21180" spans="1:6" s="3" customFormat="1" ht="29.1" customHeight="1" x14ac:dyDescent="0.25">
      <c r="A21180" s="2" t="s">
        <v>41520</v>
      </c>
      <c r="B21180" s="2" t="s">
        <v>41521</v>
      </c>
      <c r="C21180" s="2" t="s">
        <v>124</v>
      </c>
      <c r="D21180" s="2" t="s">
        <v>3653</v>
      </c>
      <c r="E21180" s="2" t="str">
        <f>"9780367348403"</f>
        <v>9780367348403</v>
      </c>
      <c r="F21180" s="2" t="str">
        <f>"9780429328305"</f>
        <v>9780429328305</v>
      </c>
    </row>
    <row r="21181" spans="1:6" s="3" customFormat="1" ht="29.1" customHeight="1" x14ac:dyDescent="0.25">
      <c r="A21181" s="2" t="s">
        <v>41522</v>
      </c>
      <c r="B21181" s="2" t="s">
        <v>41523</v>
      </c>
      <c r="C21181" s="2" t="s">
        <v>124</v>
      </c>
      <c r="D21181" s="2" t="s">
        <v>78</v>
      </c>
      <c r="E21181" s="2" t="str">
        <f>"9780367233266"</f>
        <v>9780367233266</v>
      </c>
      <c r="F21181" s="2" t="str">
        <f>"9780429279317"</f>
        <v>9780429279317</v>
      </c>
    </row>
    <row r="21182" spans="1:6" s="3" customFormat="1" ht="29.1" customHeight="1" x14ac:dyDescent="0.25">
      <c r="A21182" s="2" t="s">
        <v>41524</v>
      </c>
      <c r="B21182" s="2" t="s">
        <v>41525</v>
      </c>
      <c r="C21182" s="2" t="s">
        <v>124</v>
      </c>
      <c r="D21182" s="2" t="s">
        <v>1617</v>
      </c>
      <c r="E21182" s="2" t="str">
        <f>"9780367356187"</f>
        <v>9780367356187</v>
      </c>
      <c r="F21182" s="2" t="str">
        <f>"9780429340659"</f>
        <v>9780429340659</v>
      </c>
    </row>
    <row r="21183" spans="1:6" s="3" customFormat="1" ht="29.1" customHeight="1" x14ac:dyDescent="0.25">
      <c r="A21183" s="2" t="s">
        <v>41526</v>
      </c>
      <c r="B21183" s="2" t="s">
        <v>41527</v>
      </c>
      <c r="C21183" s="2" t="s">
        <v>124</v>
      </c>
      <c r="D21183" s="2" t="s">
        <v>297</v>
      </c>
      <c r="E21183" s="2" t="str">
        <f>"9780367713294"</f>
        <v>9780367713294</v>
      </c>
      <c r="F21183" s="2" t="str">
        <f>"9780429437748"</f>
        <v>9780429437748</v>
      </c>
    </row>
    <row r="21184" spans="1:6" s="3" customFormat="1" ht="29.1" customHeight="1" x14ac:dyDescent="0.25">
      <c r="A21184" s="2" t="s">
        <v>41528</v>
      </c>
      <c r="B21184" s="2" t="s">
        <v>41529</v>
      </c>
      <c r="C21184" s="2" t="s">
        <v>124</v>
      </c>
      <c r="D21184" s="2" t="s">
        <v>9</v>
      </c>
      <c r="E21184" s="2" t="str">
        <f>"9781032082547"</f>
        <v>9781032082547</v>
      </c>
      <c r="F21184" s="2" t="str">
        <f>"9780429467127"</f>
        <v>9780429467127</v>
      </c>
    </row>
    <row r="21185" spans="1:6" s="3" customFormat="1" ht="29.1" customHeight="1" x14ac:dyDescent="0.25">
      <c r="A21185" s="2" t="s">
        <v>41530</v>
      </c>
      <c r="B21185" s="2" t="s">
        <v>41531</v>
      </c>
      <c r="C21185" s="2" t="s">
        <v>124</v>
      </c>
      <c r="D21185" s="2" t="s">
        <v>95</v>
      </c>
      <c r="E21185" s="2" t="str">
        <f>"9780367463847"</f>
        <v>9780367463847</v>
      </c>
      <c r="F21185" s="2" t="str">
        <f>"9781000178111"</f>
        <v>9781000178111</v>
      </c>
    </row>
    <row r="21186" spans="1:6" s="3" customFormat="1" ht="29.1" customHeight="1" x14ac:dyDescent="0.25">
      <c r="A21186" s="2" t="s">
        <v>41532</v>
      </c>
      <c r="B21186" s="2" t="s">
        <v>41533</v>
      </c>
      <c r="C21186" s="2" t="s">
        <v>124</v>
      </c>
      <c r="D21186" s="2" t="s">
        <v>1669</v>
      </c>
      <c r="E21186" s="2" t="str">
        <f>"9780367279196"</f>
        <v>9780367279196</v>
      </c>
      <c r="F21186" s="2" t="str">
        <f>"9780429298752"</f>
        <v>9780429298752</v>
      </c>
    </row>
    <row r="21187" spans="1:6" s="3" customFormat="1" ht="29.1" customHeight="1" x14ac:dyDescent="0.25">
      <c r="A21187" s="2" t="s">
        <v>41534</v>
      </c>
      <c r="B21187" s="2" t="s">
        <v>41535</v>
      </c>
      <c r="C21187" s="2" t="s">
        <v>124</v>
      </c>
      <c r="D21187" s="2" t="s">
        <v>210</v>
      </c>
      <c r="E21187" s="2" t="str">
        <f>"9780367367305"</f>
        <v>9780367367305</v>
      </c>
      <c r="F21187" s="2" t="str">
        <f>"9780429351020"</f>
        <v>9780429351020</v>
      </c>
    </row>
    <row r="21188" spans="1:6" s="3" customFormat="1" ht="29.1" customHeight="1" x14ac:dyDescent="0.25">
      <c r="A21188" s="2" t="s">
        <v>41536</v>
      </c>
      <c r="B21188" s="2" t="s">
        <v>41537</v>
      </c>
      <c r="C21188" s="2" t="s">
        <v>124</v>
      </c>
      <c r="D21188" s="2" t="s">
        <v>1663</v>
      </c>
      <c r="E21188" s="2" t="str">
        <f>"9780367500610"</f>
        <v>9780367500610</v>
      </c>
      <c r="F21188" s="2" t="str">
        <f>"9780429466175"</f>
        <v>9780429466175</v>
      </c>
    </row>
    <row r="21189" spans="1:6" s="3" customFormat="1" ht="29.1" customHeight="1" x14ac:dyDescent="0.25">
      <c r="A21189" s="2" t="s">
        <v>41538</v>
      </c>
      <c r="B21189" s="2" t="s">
        <v>41539</v>
      </c>
      <c r="C21189" s="2" t="s">
        <v>124</v>
      </c>
      <c r="D21189" s="2" t="s">
        <v>5408</v>
      </c>
      <c r="E21189" s="2" t="str">
        <f>"9780367421335"</f>
        <v>9780367421335</v>
      </c>
      <c r="F21189" s="2" t="str">
        <f>"9781000210538"</f>
        <v>9781000210538</v>
      </c>
    </row>
    <row r="21190" spans="1:6" s="3" customFormat="1" ht="29.1" customHeight="1" x14ac:dyDescent="0.25">
      <c r="A21190" s="2" t="s">
        <v>41540</v>
      </c>
      <c r="B21190" s="2" t="s">
        <v>41541</v>
      </c>
      <c r="C21190" s="2" t="s">
        <v>124</v>
      </c>
      <c r="D21190" s="2" t="s">
        <v>2005</v>
      </c>
      <c r="E21190" s="2" t="str">
        <f>"9780367484934"</f>
        <v>9780367484934</v>
      </c>
      <c r="F21190" s="2" t="str">
        <f>"9781000201017"</f>
        <v>9781000201017</v>
      </c>
    </row>
    <row r="21191" spans="1:6" s="3" customFormat="1" ht="29.1" customHeight="1" x14ac:dyDescent="0.25">
      <c r="A21191" s="2" t="s">
        <v>41542</v>
      </c>
      <c r="B21191" s="2" t="s">
        <v>41543</v>
      </c>
      <c r="C21191" s="2" t="s">
        <v>195</v>
      </c>
      <c r="D21191" s="2" t="s">
        <v>107</v>
      </c>
      <c r="E21191" s="2" t="str">
        <f>"9783110684322"</f>
        <v>9783110684322</v>
      </c>
      <c r="F21191" s="2" t="str">
        <f>"9783110684346"</f>
        <v>9783110684346</v>
      </c>
    </row>
    <row r="21192" spans="1:6" s="3" customFormat="1" ht="29.1" customHeight="1" x14ac:dyDescent="0.25">
      <c r="A21192" s="2" t="s">
        <v>41544</v>
      </c>
      <c r="B21192" s="2" t="s">
        <v>41545</v>
      </c>
      <c r="C21192" s="2" t="s">
        <v>195</v>
      </c>
      <c r="D21192" s="2" t="s">
        <v>118</v>
      </c>
      <c r="E21192" s="2" t="str">
        <f>"9783110695007"</f>
        <v>9783110695007</v>
      </c>
      <c r="F21192" s="2" t="str">
        <f>"9783110695083"</f>
        <v>9783110695083</v>
      </c>
    </row>
    <row r="21193" spans="1:6" s="3" customFormat="1" ht="29.1" customHeight="1" x14ac:dyDescent="0.25">
      <c r="A21193" s="2" t="s">
        <v>41546</v>
      </c>
      <c r="B21193" s="2" t="s">
        <v>41547</v>
      </c>
      <c r="C21193" s="2" t="s">
        <v>195</v>
      </c>
      <c r="D21193" s="2" t="s">
        <v>218</v>
      </c>
      <c r="E21193" s="2" t="str">
        <f>"9783110679793"</f>
        <v>9783110679793</v>
      </c>
      <c r="F21193" s="2" t="str">
        <f>"9783110679861"</f>
        <v>9783110679861</v>
      </c>
    </row>
    <row r="21194" spans="1:6" s="3" customFormat="1" ht="29.1" customHeight="1" x14ac:dyDescent="0.25">
      <c r="A21194" s="2" t="s">
        <v>41548</v>
      </c>
      <c r="B21194" s="2" t="s">
        <v>31285</v>
      </c>
      <c r="C21194" s="2" t="s">
        <v>62</v>
      </c>
      <c r="D21194" s="2" t="s">
        <v>1209</v>
      </c>
      <c r="E21194" s="2" t="str">
        <f>"9783428157549"</f>
        <v>9783428157549</v>
      </c>
      <c r="F21194" s="2" t="str">
        <f>"9783428557547"</f>
        <v>9783428557547</v>
      </c>
    </row>
    <row r="21195" spans="1:6" s="3" customFormat="1" ht="29.1" customHeight="1" x14ac:dyDescent="0.25">
      <c r="A21195" s="2" t="s">
        <v>41549</v>
      </c>
      <c r="B21195" s="2" t="s">
        <v>29943</v>
      </c>
      <c r="C21195" s="2" t="s">
        <v>62</v>
      </c>
      <c r="D21195" s="2" t="s">
        <v>2019</v>
      </c>
      <c r="E21195" s="2" t="str">
        <f>"9783428060849"</f>
        <v>9783428060849</v>
      </c>
      <c r="F21195" s="2" t="str">
        <f>"9783428460847"</f>
        <v>9783428460847</v>
      </c>
    </row>
    <row r="21196" spans="1:6" s="3" customFormat="1" ht="29.1" customHeight="1" x14ac:dyDescent="0.25">
      <c r="A21196" s="2" t="s">
        <v>41550</v>
      </c>
      <c r="B21196" s="2" t="s">
        <v>41551</v>
      </c>
      <c r="C21196" s="2" t="s">
        <v>327</v>
      </c>
      <c r="D21196" s="2" t="s">
        <v>3713</v>
      </c>
      <c r="E21196" s="2" t="str">
        <f>"9788381423175"</f>
        <v>9788381423175</v>
      </c>
      <c r="F21196" s="2" t="str">
        <f>"9788381423182"</f>
        <v>9788381423182</v>
      </c>
    </row>
    <row r="21197" spans="1:6" s="3" customFormat="1" ht="29.1" customHeight="1" x14ac:dyDescent="0.25">
      <c r="A21197" s="2" t="s">
        <v>41552</v>
      </c>
      <c r="B21197" s="2" t="s">
        <v>41553</v>
      </c>
      <c r="C21197" s="2" t="s">
        <v>327</v>
      </c>
      <c r="D21197" s="2" t="s">
        <v>3713</v>
      </c>
      <c r="E21197" s="2" t="str">
        <f>"9788381423151"</f>
        <v>9788381423151</v>
      </c>
      <c r="F21197" s="2" t="str">
        <f>"9788381423168"</f>
        <v>9788381423168</v>
      </c>
    </row>
    <row r="21198" spans="1:6" s="3" customFormat="1" ht="29.1" customHeight="1" x14ac:dyDescent="0.25">
      <c r="A21198" s="2" t="s">
        <v>41554</v>
      </c>
      <c r="B21198" s="2" t="s">
        <v>41553</v>
      </c>
      <c r="C21198" s="2" t="s">
        <v>327</v>
      </c>
      <c r="D21198" s="2" t="s">
        <v>3713</v>
      </c>
      <c r="E21198" s="2" t="str">
        <f>"9788381423137"</f>
        <v>9788381423137</v>
      </c>
      <c r="F21198" s="2" t="str">
        <f>"9788381423144"</f>
        <v>9788381423144</v>
      </c>
    </row>
    <row r="21199" spans="1:6" s="3" customFormat="1" ht="29.1" customHeight="1" x14ac:dyDescent="0.25">
      <c r="A21199" s="2" t="s">
        <v>41555</v>
      </c>
      <c r="B21199" s="2" t="s">
        <v>41556</v>
      </c>
      <c r="C21199" s="2" t="s">
        <v>124</v>
      </c>
      <c r="D21199" s="2" t="s">
        <v>5480</v>
      </c>
      <c r="E21199" s="2" t="str">
        <f>"9780367415341"</f>
        <v>9780367415341</v>
      </c>
      <c r="F21199" s="2" t="str">
        <f>"9780367815134"</f>
        <v>9780367815134</v>
      </c>
    </row>
    <row r="21200" spans="1:6" s="3" customFormat="1" ht="29.1" customHeight="1" x14ac:dyDescent="0.25">
      <c r="A21200" s="2" t="s">
        <v>41557</v>
      </c>
      <c r="B21200" s="2" t="s">
        <v>41558</v>
      </c>
      <c r="C21200" s="2" t="s">
        <v>124</v>
      </c>
      <c r="D21200" s="2" t="s">
        <v>9810</v>
      </c>
      <c r="E21200" s="2" t="str">
        <f>"9780367200909"</f>
        <v>9780367200909</v>
      </c>
      <c r="F21200" s="2" t="str">
        <f>"9780429259555"</f>
        <v>9780429259555</v>
      </c>
    </row>
    <row r="21201" spans="1:6" s="3" customFormat="1" ht="29.1" customHeight="1" x14ac:dyDescent="0.25">
      <c r="A21201" s="2" t="s">
        <v>41559</v>
      </c>
      <c r="B21201" s="2" t="s">
        <v>41560</v>
      </c>
      <c r="C21201" s="2" t="s">
        <v>124</v>
      </c>
      <c r="D21201" s="2" t="s">
        <v>30</v>
      </c>
      <c r="E21201" s="2" t="str">
        <f>"9780367546779"</f>
        <v>9780367546779</v>
      </c>
      <c r="F21201" s="2" t="str">
        <f>"9780429465116"</f>
        <v>9780429465116</v>
      </c>
    </row>
    <row r="21202" spans="1:6" s="3" customFormat="1" ht="29.1" customHeight="1" x14ac:dyDescent="0.25">
      <c r="A21202" s="2" t="s">
        <v>41561</v>
      </c>
      <c r="B21202" s="2" t="s">
        <v>41562</v>
      </c>
      <c r="C21202" s="2" t="s">
        <v>124</v>
      </c>
      <c r="D21202" s="2" t="s">
        <v>2237</v>
      </c>
      <c r="E21202" s="2" t="str">
        <f>"9781032085241"</f>
        <v>9781032085241</v>
      </c>
      <c r="F21202" s="2" t="str">
        <f>"9780429017391"</f>
        <v>9780429017391</v>
      </c>
    </row>
    <row r="21203" spans="1:6" s="3" customFormat="1" ht="29.1" customHeight="1" x14ac:dyDescent="0.25">
      <c r="A21203" s="2" t="s">
        <v>41563</v>
      </c>
      <c r="B21203" s="2" t="s">
        <v>41564</v>
      </c>
      <c r="C21203" s="2" t="s">
        <v>124</v>
      </c>
      <c r="D21203" s="2" t="s">
        <v>4190</v>
      </c>
      <c r="E21203" s="2" t="str">
        <f>"9780367432614"</f>
        <v>9780367432614</v>
      </c>
      <c r="F21203" s="2" t="str">
        <f>"9781000055832"</f>
        <v>9781000055832</v>
      </c>
    </row>
    <row r="21204" spans="1:6" s="3" customFormat="1" ht="29.1" customHeight="1" x14ac:dyDescent="0.25">
      <c r="A21204" s="2" t="s">
        <v>41565</v>
      </c>
      <c r="B21204" s="2" t="s">
        <v>41566</v>
      </c>
      <c r="C21204" s="2" t="s">
        <v>124</v>
      </c>
      <c r="D21204" s="2" t="s">
        <v>40383</v>
      </c>
      <c r="E21204" s="2" t="str">
        <f>"9780367433925"</f>
        <v>9780367433925</v>
      </c>
      <c r="F21204" s="2" t="str">
        <f>"9781000167375"</f>
        <v>9781000167375</v>
      </c>
    </row>
    <row r="21205" spans="1:6" s="3" customFormat="1" ht="29.1" customHeight="1" x14ac:dyDescent="0.25">
      <c r="A21205" s="2" t="s">
        <v>41567</v>
      </c>
      <c r="B21205" s="2" t="s">
        <v>41568</v>
      </c>
      <c r="C21205" s="2" t="s">
        <v>124</v>
      </c>
      <c r="D21205" s="2" t="s">
        <v>11074</v>
      </c>
      <c r="E21205" s="2" t="str">
        <f>"9780367903350"</f>
        <v>9780367903350</v>
      </c>
      <c r="F21205" s="2" t="str">
        <f>"9781000163407"</f>
        <v>9781000163407</v>
      </c>
    </row>
    <row r="21206" spans="1:6" s="3" customFormat="1" ht="29.1" customHeight="1" x14ac:dyDescent="0.25">
      <c r="A21206" s="2" t="s">
        <v>41512</v>
      </c>
      <c r="B21206" s="2" t="s">
        <v>41513</v>
      </c>
      <c r="C21206" s="2" t="s">
        <v>124</v>
      </c>
      <c r="D21206" s="2" t="s">
        <v>1733</v>
      </c>
      <c r="E21206" s="2" t="str">
        <f>"9780367490911"</f>
        <v>9780367490911</v>
      </c>
      <c r="F21206" s="2" t="str">
        <f>"9781000066432"</f>
        <v>9781000066432</v>
      </c>
    </row>
    <row r="21207" spans="1:6" s="3" customFormat="1" ht="29.1" customHeight="1" x14ac:dyDescent="0.25">
      <c r="A21207" s="2" t="s">
        <v>41569</v>
      </c>
      <c r="B21207" s="2" t="s">
        <v>32445</v>
      </c>
      <c r="C21207" s="2" t="s">
        <v>124</v>
      </c>
      <c r="D21207" s="2" t="s">
        <v>81</v>
      </c>
      <c r="E21207" s="2" t="str">
        <f>"9780367900755"</f>
        <v>9780367900755</v>
      </c>
      <c r="F21207" s="2" t="str">
        <f>"9781000062199"</f>
        <v>9781000062199</v>
      </c>
    </row>
    <row r="21208" spans="1:6" s="3" customFormat="1" ht="29.1" customHeight="1" x14ac:dyDescent="0.25">
      <c r="A21208" s="2" t="s">
        <v>41570</v>
      </c>
      <c r="B21208" s="2" t="s">
        <v>41571</v>
      </c>
      <c r="C21208" s="2" t="s">
        <v>124</v>
      </c>
      <c r="D21208" s="2" t="s">
        <v>14352</v>
      </c>
      <c r="E21208" s="2" t="str">
        <f>"9780367209384"</f>
        <v>9780367209384</v>
      </c>
      <c r="F21208" s="2" t="str">
        <f>"9780429264245"</f>
        <v>9780429264245</v>
      </c>
    </row>
    <row r="21209" spans="1:6" s="3" customFormat="1" ht="29.1" customHeight="1" x14ac:dyDescent="0.25">
      <c r="A21209" s="2" t="s">
        <v>41572</v>
      </c>
      <c r="B21209" s="2" t="s">
        <v>41573</v>
      </c>
      <c r="C21209" s="2" t="s">
        <v>124</v>
      </c>
      <c r="D21209" s="2" t="s">
        <v>4172</v>
      </c>
      <c r="E21209" s="2" t="str">
        <f>"9780367464691"</f>
        <v>9780367464691</v>
      </c>
      <c r="F21209" s="2" t="str">
        <f>"9781000180169"</f>
        <v>9781000180169</v>
      </c>
    </row>
    <row r="21210" spans="1:6" s="3" customFormat="1" ht="29.1" customHeight="1" x14ac:dyDescent="0.25">
      <c r="A21210" s="2" t="s">
        <v>41574</v>
      </c>
      <c r="B21210" s="2" t="s">
        <v>21393</v>
      </c>
      <c r="C21210" s="2" t="s">
        <v>124</v>
      </c>
      <c r="D21210" s="2" t="s">
        <v>3445</v>
      </c>
      <c r="E21210" s="2" t="str">
        <f>"9780367477561"</f>
        <v>9780367477561</v>
      </c>
      <c r="F21210" s="2" t="str">
        <f>"9781000070651"</f>
        <v>9781000070651</v>
      </c>
    </row>
    <row r="21211" spans="1:6" s="3" customFormat="1" ht="29.1" customHeight="1" x14ac:dyDescent="0.25">
      <c r="A21211" s="2" t="s">
        <v>41575</v>
      </c>
      <c r="B21211" s="2" t="s">
        <v>41576</v>
      </c>
      <c r="C21211" s="2" t="s">
        <v>124</v>
      </c>
      <c r="D21211" s="2" t="s">
        <v>297</v>
      </c>
      <c r="E21211" s="2" t="str">
        <f>"9780367469573"</f>
        <v>9780367469573</v>
      </c>
      <c r="F21211" s="2" t="str">
        <f>"9781000057591"</f>
        <v>9781000057591</v>
      </c>
    </row>
    <row r="21212" spans="1:6" s="3" customFormat="1" ht="29.1" customHeight="1" x14ac:dyDescent="0.25">
      <c r="A21212" s="2" t="s">
        <v>41577</v>
      </c>
      <c r="B21212" s="2" t="s">
        <v>41578</v>
      </c>
      <c r="C21212" s="2" t="s">
        <v>124</v>
      </c>
      <c r="D21212" s="2" t="s">
        <v>9473</v>
      </c>
      <c r="E21212" s="2" t="str">
        <f>"9780367376420"</f>
        <v>9780367376420</v>
      </c>
      <c r="F21212" s="2" t="str">
        <f>"9781000032505"</f>
        <v>9781000032505</v>
      </c>
    </row>
    <row r="21213" spans="1:6" s="3" customFormat="1" ht="29.1" customHeight="1" x14ac:dyDescent="0.25">
      <c r="A21213" s="2" t="s">
        <v>41579</v>
      </c>
      <c r="B21213" s="2" t="s">
        <v>41580</v>
      </c>
      <c r="C21213" s="2" t="s">
        <v>124</v>
      </c>
      <c r="D21213" s="2" t="s">
        <v>297</v>
      </c>
      <c r="E21213" s="2" t="str">
        <f>"9780367507558"</f>
        <v>9780367507558</v>
      </c>
      <c r="F21213" s="2" t="str">
        <f>"9781000080186"</f>
        <v>9781000080186</v>
      </c>
    </row>
    <row r="21214" spans="1:6" s="3" customFormat="1" ht="29.1" customHeight="1" x14ac:dyDescent="0.25">
      <c r="A21214" s="2" t="s">
        <v>41581</v>
      </c>
      <c r="B21214" s="2" t="s">
        <v>41582</v>
      </c>
      <c r="C21214" s="2" t="s">
        <v>124</v>
      </c>
      <c r="D21214" s="2" t="s">
        <v>72</v>
      </c>
      <c r="E21214" s="2" t="str">
        <f>"9780367440077"</f>
        <v>9780367440077</v>
      </c>
      <c r="F21214" s="2" t="str">
        <f>"9781000076035"</f>
        <v>9781000076035</v>
      </c>
    </row>
    <row r="21215" spans="1:6" s="3" customFormat="1" ht="29.1" customHeight="1" x14ac:dyDescent="0.25">
      <c r="A21215" s="2" t="s">
        <v>41583</v>
      </c>
      <c r="B21215" s="2" t="s">
        <v>41584</v>
      </c>
      <c r="C21215" s="2" t="s">
        <v>124</v>
      </c>
      <c r="D21215" s="2" t="s">
        <v>6128</v>
      </c>
      <c r="E21215" s="2" t="str">
        <f>"9780367409623"</f>
        <v>9780367409623</v>
      </c>
      <c r="F21215" s="2" t="str">
        <f>"9780367810139"</f>
        <v>9780367810139</v>
      </c>
    </row>
    <row r="21216" spans="1:6" s="3" customFormat="1" ht="29.1" customHeight="1" x14ac:dyDescent="0.25">
      <c r="A21216" s="2" t="s">
        <v>41585</v>
      </c>
      <c r="B21216" s="2" t="s">
        <v>41586</v>
      </c>
      <c r="C21216" s="2" t="s">
        <v>124</v>
      </c>
      <c r="D21216" s="2" t="s">
        <v>270</v>
      </c>
      <c r="E21216" s="2" t="str">
        <f>"9780367208431"</f>
        <v>9780367208431</v>
      </c>
      <c r="F21216" s="2" t="str">
        <f>"9780429263736"</f>
        <v>9780429263736</v>
      </c>
    </row>
    <row r="21217" spans="1:6" s="3" customFormat="1" ht="29.1" customHeight="1" x14ac:dyDescent="0.25">
      <c r="A21217" s="2" t="s">
        <v>41587</v>
      </c>
      <c r="B21217" s="2" t="s">
        <v>41588</v>
      </c>
      <c r="C21217" s="2" t="s">
        <v>124</v>
      </c>
      <c r="D21217" s="2" t="s">
        <v>207</v>
      </c>
      <c r="E21217" s="2" t="str">
        <f>"9780367505844"</f>
        <v>9780367505844</v>
      </c>
      <c r="F21217" s="2" t="str">
        <f>"9781000049947"</f>
        <v>9781000049947</v>
      </c>
    </row>
    <row r="21218" spans="1:6" s="3" customFormat="1" ht="29.1" customHeight="1" x14ac:dyDescent="0.25">
      <c r="A21218" s="2" t="s">
        <v>41589</v>
      </c>
      <c r="B21218" s="2" t="s">
        <v>27661</v>
      </c>
      <c r="C21218" s="2" t="s">
        <v>124</v>
      </c>
      <c r="D21218" s="2" t="s">
        <v>6896</v>
      </c>
      <c r="E21218" s="2" t="str">
        <f>"9780367369613"</f>
        <v>9780367369613</v>
      </c>
      <c r="F21218" s="2" t="str">
        <f>"9781000040548"</f>
        <v>9781000040548</v>
      </c>
    </row>
    <row r="21219" spans="1:6" s="3" customFormat="1" ht="29.1" customHeight="1" x14ac:dyDescent="0.25">
      <c r="A21219" s="2" t="s">
        <v>41590</v>
      </c>
      <c r="B21219" s="2" t="s">
        <v>41591</v>
      </c>
      <c r="C21219" s="2" t="s">
        <v>124</v>
      </c>
      <c r="D21219" s="2" t="s">
        <v>189</v>
      </c>
      <c r="E21219" s="2" t="str">
        <f>"9780367492922"</f>
        <v>9780367492922</v>
      </c>
      <c r="F21219" s="2" t="str">
        <f>"9781000168570"</f>
        <v>9781000168570</v>
      </c>
    </row>
    <row r="21220" spans="1:6" s="3" customFormat="1" ht="29.1" customHeight="1" x14ac:dyDescent="0.25">
      <c r="A21220" s="2" t="s">
        <v>41592</v>
      </c>
      <c r="B21220" s="2" t="s">
        <v>41593</v>
      </c>
      <c r="C21220" s="2" t="s">
        <v>124</v>
      </c>
      <c r="D21220" s="2" t="s">
        <v>5799</v>
      </c>
      <c r="E21220" s="2" t="str">
        <f>"9780367271817"</f>
        <v>9780367271817</v>
      </c>
      <c r="F21220" s="2" t="str">
        <f>"9780429295379"</f>
        <v>9780429295379</v>
      </c>
    </row>
    <row r="21221" spans="1:6" s="3" customFormat="1" ht="29.1" customHeight="1" x14ac:dyDescent="0.25">
      <c r="A21221" s="2" t="s">
        <v>41594</v>
      </c>
      <c r="B21221" s="2" t="s">
        <v>41595</v>
      </c>
      <c r="C21221" s="2" t="s">
        <v>124</v>
      </c>
      <c r="D21221" s="2" t="s">
        <v>1043</v>
      </c>
      <c r="E21221" s="2" t="str">
        <f>"9780367538217"</f>
        <v>9780367538217</v>
      </c>
      <c r="F21221" s="2" t="str">
        <f>"9781315100098"</f>
        <v>9781315100098</v>
      </c>
    </row>
    <row r="21222" spans="1:6" s="3" customFormat="1" ht="29.1" customHeight="1" x14ac:dyDescent="0.25">
      <c r="A21222" s="2" t="s">
        <v>41596</v>
      </c>
      <c r="B21222" s="2" t="s">
        <v>41597</v>
      </c>
      <c r="C21222" s="2" t="s">
        <v>124</v>
      </c>
      <c r="D21222" s="2" t="s">
        <v>7079</v>
      </c>
      <c r="E21222" s="2" t="str">
        <f>"9780367431174"</f>
        <v>9780367431174</v>
      </c>
      <c r="F21222" s="2" t="str">
        <f>"9781000163605"</f>
        <v>9781000163605</v>
      </c>
    </row>
    <row r="21223" spans="1:6" s="3" customFormat="1" ht="29.1" customHeight="1" x14ac:dyDescent="0.25">
      <c r="A21223" s="2" t="s">
        <v>41598</v>
      </c>
      <c r="B21223" s="2" t="s">
        <v>41599</v>
      </c>
      <c r="C21223" s="2" t="s">
        <v>124</v>
      </c>
      <c r="D21223" s="2" t="s">
        <v>1598</v>
      </c>
      <c r="E21223" s="2" t="str">
        <f>"9780367343354"</f>
        <v>9780367343354</v>
      </c>
      <c r="F21223" s="2" t="str">
        <f>"9780429325076"</f>
        <v>9780429325076</v>
      </c>
    </row>
    <row r="21224" spans="1:6" s="3" customFormat="1" ht="29.1" customHeight="1" x14ac:dyDescent="0.25">
      <c r="A21224" s="2" t="s">
        <v>41600</v>
      </c>
      <c r="B21224" s="2" t="s">
        <v>41602</v>
      </c>
      <c r="C21224" s="2" t="s">
        <v>124</v>
      </c>
      <c r="D21224" s="2" t="s">
        <v>41601</v>
      </c>
      <c r="E21224" s="2" t="str">
        <f>"9780367226404"</f>
        <v>9780367226404</v>
      </c>
      <c r="F21224" s="2" t="str">
        <f>"9780429276125"</f>
        <v>9780429276125</v>
      </c>
    </row>
    <row r="21225" spans="1:6" s="3" customFormat="1" ht="29.1" customHeight="1" x14ac:dyDescent="0.25">
      <c r="A21225" s="2" t="s">
        <v>41603</v>
      </c>
      <c r="B21225" s="2" t="s">
        <v>41604</v>
      </c>
      <c r="C21225" s="2" t="s">
        <v>124</v>
      </c>
      <c r="D21225" s="2" t="s">
        <v>16084</v>
      </c>
      <c r="E21225" s="2" t="str">
        <f>"9780367417369"</f>
        <v>9780367417369</v>
      </c>
      <c r="F21225" s="2" t="str">
        <f>"9780367824150"</f>
        <v>9780367824150</v>
      </c>
    </row>
    <row r="21226" spans="1:6" s="3" customFormat="1" ht="29.1" customHeight="1" x14ac:dyDescent="0.25">
      <c r="A21226" s="2" t="s">
        <v>41605</v>
      </c>
      <c r="B21226" s="2" t="s">
        <v>41606</v>
      </c>
      <c r="C21226" s="2" t="s">
        <v>124</v>
      </c>
      <c r="D21226" s="2" t="s">
        <v>694</v>
      </c>
      <c r="E21226" s="2" t="str">
        <f>"9780367191511"</f>
        <v>9780367191511</v>
      </c>
      <c r="F21226" s="2" t="str">
        <f>"9780429200724"</f>
        <v>9780429200724</v>
      </c>
    </row>
    <row r="21227" spans="1:6" s="3" customFormat="1" ht="29.1" customHeight="1" x14ac:dyDescent="0.25">
      <c r="A21227" s="2" t="s">
        <v>41607</v>
      </c>
      <c r="B21227" s="2" t="s">
        <v>41608</v>
      </c>
      <c r="C21227" s="2" t="s">
        <v>124</v>
      </c>
      <c r="D21227" s="2" t="s">
        <v>647</v>
      </c>
      <c r="E21227" s="2" t="str">
        <f>"9780367186715"</f>
        <v>9780367186715</v>
      </c>
      <c r="F21227" s="2" t="str">
        <f>"9780429197536"</f>
        <v>9780429197536</v>
      </c>
    </row>
    <row r="21228" spans="1:6" s="3" customFormat="1" ht="29.1" customHeight="1" x14ac:dyDescent="0.25">
      <c r="A21228" s="2" t="s">
        <v>41609</v>
      </c>
      <c r="B21228" s="2" t="s">
        <v>41611</v>
      </c>
      <c r="C21228" s="2" t="s">
        <v>124</v>
      </c>
      <c r="D21228" s="2" t="s">
        <v>41610</v>
      </c>
      <c r="E21228" s="2" t="str">
        <f>"9780367462574"</f>
        <v>9780367462574</v>
      </c>
      <c r="F21228" s="2" t="str">
        <f>"9781000163414"</f>
        <v>9781000163414</v>
      </c>
    </row>
    <row r="21229" spans="1:6" s="3" customFormat="1" ht="29.1" customHeight="1" x14ac:dyDescent="0.25">
      <c r="A21229" s="2" t="s">
        <v>41612</v>
      </c>
      <c r="B21229" s="2" t="s">
        <v>41613</v>
      </c>
      <c r="C21229" s="2" t="s">
        <v>124</v>
      </c>
      <c r="D21229" s="2" t="s">
        <v>107</v>
      </c>
      <c r="E21229" s="2" t="str">
        <f>"9780367493110"</f>
        <v>9780367493110</v>
      </c>
      <c r="F21229" s="2" t="str">
        <f>"9781000096668"</f>
        <v>9781000096668</v>
      </c>
    </row>
    <row r="21230" spans="1:6" s="3" customFormat="1" ht="29.1" customHeight="1" x14ac:dyDescent="0.25">
      <c r="A21230" s="2" t="s">
        <v>41614</v>
      </c>
      <c r="B21230" s="2" t="s">
        <v>41615</v>
      </c>
      <c r="C21230" s="2" t="s">
        <v>124</v>
      </c>
      <c r="D21230" s="2" t="s">
        <v>281</v>
      </c>
      <c r="E21230" s="2" t="str">
        <f>"9780367524265"</f>
        <v>9780367524265</v>
      </c>
      <c r="F21230" s="2" t="str">
        <f>"9781000095197"</f>
        <v>9781000095197</v>
      </c>
    </row>
    <row r="21231" spans="1:6" s="3" customFormat="1" ht="29.1" customHeight="1" x14ac:dyDescent="0.25">
      <c r="A21231" s="2" t="s">
        <v>41616</v>
      </c>
      <c r="B21231" s="2" t="s">
        <v>41617</v>
      </c>
      <c r="C21231" s="2" t="s">
        <v>124</v>
      </c>
      <c r="D21231" s="2" t="s">
        <v>297</v>
      </c>
      <c r="E21231" s="2" t="str">
        <f>"9780367425968"</f>
        <v>9780367425968</v>
      </c>
      <c r="F21231" s="2" t="str">
        <f>"9781000061727"</f>
        <v>9781000061727</v>
      </c>
    </row>
    <row r="21232" spans="1:6" s="3" customFormat="1" ht="29.1" customHeight="1" x14ac:dyDescent="0.25">
      <c r="A21232" s="2" t="s">
        <v>41618</v>
      </c>
      <c r="B21232" s="2" t="s">
        <v>41619</v>
      </c>
      <c r="C21232" s="2" t="s">
        <v>124</v>
      </c>
      <c r="D21232" s="2" t="s">
        <v>636</v>
      </c>
      <c r="E21232" s="2" t="str">
        <f>"9780367376857"</f>
        <v>9780367376857</v>
      </c>
      <c r="F21232" s="2" t="str">
        <f>"9781000093117"</f>
        <v>9781000093117</v>
      </c>
    </row>
    <row r="21233" spans="1:6" s="3" customFormat="1" ht="29.1" customHeight="1" x14ac:dyDescent="0.25">
      <c r="A21233" s="2" t="s">
        <v>41620</v>
      </c>
      <c r="B21233" s="2" t="s">
        <v>41621</v>
      </c>
      <c r="C21233" s="2" t="s">
        <v>124</v>
      </c>
      <c r="D21233" s="2" t="s">
        <v>818</v>
      </c>
      <c r="E21233" s="2" t="str">
        <f>"9780367189594"</f>
        <v>9780367189594</v>
      </c>
      <c r="F21233" s="2" t="str">
        <f>"9780429199547"</f>
        <v>9780429199547</v>
      </c>
    </row>
    <row r="21234" spans="1:6" s="3" customFormat="1" ht="29.1" customHeight="1" x14ac:dyDescent="0.25">
      <c r="A21234" s="2" t="s">
        <v>41622</v>
      </c>
      <c r="B21234" s="2" t="s">
        <v>41623</v>
      </c>
      <c r="C21234" s="2" t="s">
        <v>124</v>
      </c>
      <c r="D21234" s="2" t="s">
        <v>9</v>
      </c>
      <c r="E21234" s="2" t="str">
        <f>"9780415839044"</f>
        <v>9780415839044</v>
      </c>
      <c r="F21234" s="2" t="str">
        <f>"9780203774977"</f>
        <v>9780203774977</v>
      </c>
    </row>
    <row r="21235" spans="1:6" s="3" customFormat="1" ht="29.1" customHeight="1" x14ac:dyDescent="0.25">
      <c r="A21235" s="2" t="s">
        <v>41624</v>
      </c>
      <c r="B21235" s="2" t="s">
        <v>41625</v>
      </c>
      <c r="C21235" s="2" t="s">
        <v>124</v>
      </c>
      <c r="D21235" s="2" t="s">
        <v>2361</v>
      </c>
      <c r="E21235" s="2" t="str">
        <f>"9780367409944"</f>
        <v>9780367409944</v>
      </c>
      <c r="F21235" s="2" t="str">
        <f>"9780367810399"</f>
        <v>9780367810399</v>
      </c>
    </row>
    <row r="21236" spans="1:6" s="3" customFormat="1" ht="29.1" customHeight="1" x14ac:dyDescent="0.25">
      <c r="A21236" s="2" t="s">
        <v>41626</v>
      </c>
      <c r="B21236" s="2" t="s">
        <v>41627</v>
      </c>
      <c r="C21236" s="2" t="s">
        <v>124</v>
      </c>
      <c r="D21236" s="2" t="s">
        <v>34930</v>
      </c>
      <c r="E21236" s="2" t="str">
        <f>"9780367898557"</f>
        <v>9780367898557</v>
      </c>
      <c r="F21236" s="2" t="str">
        <f>"9781000095876"</f>
        <v>9781000095876</v>
      </c>
    </row>
    <row r="21237" spans="1:6" s="3" customFormat="1" ht="29.1" customHeight="1" x14ac:dyDescent="0.25">
      <c r="A21237" s="2" t="s">
        <v>41628</v>
      </c>
      <c r="B21237" s="2" t="s">
        <v>41629</v>
      </c>
      <c r="C21237" s="2" t="s">
        <v>124</v>
      </c>
      <c r="D21237" s="2" t="s">
        <v>189</v>
      </c>
      <c r="E21237" s="2" t="str">
        <f>"9780367513559"</f>
        <v>9780367513559</v>
      </c>
      <c r="F21237" s="2" t="str">
        <f>"9781000088328"</f>
        <v>9781000088328</v>
      </c>
    </row>
    <row r="21238" spans="1:6" s="3" customFormat="1" ht="29.1" customHeight="1" x14ac:dyDescent="0.25">
      <c r="A21238" s="2" t="s">
        <v>41630</v>
      </c>
      <c r="B21238" s="2" t="s">
        <v>41631</v>
      </c>
      <c r="C21238" s="2" t="s">
        <v>124</v>
      </c>
      <c r="D21238" s="2" t="s">
        <v>5716</v>
      </c>
      <c r="E21238" s="2" t="str">
        <f>"9780367181864"</f>
        <v>9780367181864</v>
      </c>
      <c r="F21238" s="2" t="str">
        <f>"9780429198304"</f>
        <v>9780429198304</v>
      </c>
    </row>
    <row r="21239" spans="1:6" s="3" customFormat="1" ht="29.1" customHeight="1" x14ac:dyDescent="0.25">
      <c r="A21239" s="2" t="s">
        <v>41632</v>
      </c>
      <c r="B21239" s="2" t="s">
        <v>41633</v>
      </c>
      <c r="C21239" s="2" t="s">
        <v>124</v>
      </c>
      <c r="D21239" s="2" t="s">
        <v>297</v>
      </c>
      <c r="E21239" s="2" t="str">
        <f>"9780367460181"</f>
        <v>9780367460181</v>
      </c>
      <c r="F21239" s="2" t="str">
        <f>"9781000054910"</f>
        <v>9781000054910</v>
      </c>
    </row>
    <row r="21240" spans="1:6" s="3" customFormat="1" ht="29.1" customHeight="1" x14ac:dyDescent="0.25">
      <c r="A21240" s="2" t="s">
        <v>41634</v>
      </c>
      <c r="B21240" s="2" t="s">
        <v>41635</v>
      </c>
      <c r="C21240" s="2" t="s">
        <v>124</v>
      </c>
      <c r="D21240" s="2" t="s">
        <v>462</v>
      </c>
      <c r="E21240" s="2" t="str">
        <f>"9780367543518"</f>
        <v>9780367543518</v>
      </c>
      <c r="F21240" s="2" t="str">
        <f>"9781000056228"</f>
        <v>9781000056228</v>
      </c>
    </row>
    <row r="21241" spans="1:6" s="3" customFormat="1" ht="29.1" customHeight="1" x14ac:dyDescent="0.25">
      <c r="A21241" s="2" t="s">
        <v>41636</v>
      </c>
      <c r="B21241" s="2" t="s">
        <v>41637</v>
      </c>
      <c r="C21241" s="2" t="s">
        <v>124</v>
      </c>
      <c r="D21241" s="2" t="s">
        <v>2086</v>
      </c>
      <c r="E21241" s="2" t="str">
        <f>"9780367488703"</f>
        <v>9780367488703</v>
      </c>
      <c r="F21241" s="2" t="str">
        <f>"9781000074000"</f>
        <v>9781000074000</v>
      </c>
    </row>
    <row r="21242" spans="1:6" s="3" customFormat="1" ht="29.1" customHeight="1" x14ac:dyDescent="0.25">
      <c r="A21242" s="2" t="s">
        <v>41638</v>
      </c>
      <c r="B21242" s="2" t="s">
        <v>41639</v>
      </c>
      <c r="C21242" s="2" t="s">
        <v>124</v>
      </c>
      <c r="D21242" s="2" t="s">
        <v>619</v>
      </c>
      <c r="E21242" s="2" t="str">
        <f>"9780367457242"</f>
        <v>9780367457242</v>
      </c>
      <c r="F21242" s="2" t="str">
        <f>"9781000191370"</f>
        <v>9781000191370</v>
      </c>
    </row>
    <row r="21243" spans="1:6" s="3" customFormat="1" ht="29.1" customHeight="1" x14ac:dyDescent="0.25">
      <c r="A21243" s="2" t="s">
        <v>41640</v>
      </c>
      <c r="B21243" s="2" t="s">
        <v>41641</v>
      </c>
      <c r="C21243" s="2" t="s">
        <v>195</v>
      </c>
      <c r="D21243" s="2" t="s">
        <v>297</v>
      </c>
      <c r="E21243" s="2" t="str">
        <f>"9783110663808"</f>
        <v>9783110663808</v>
      </c>
      <c r="F21243" s="2" t="str">
        <f>"9783110663815"</f>
        <v>9783110663815</v>
      </c>
    </row>
    <row r="21244" spans="1:6" s="3" customFormat="1" ht="29.1" customHeight="1" x14ac:dyDescent="0.25">
      <c r="A21244" s="2" t="s">
        <v>41642</v>
      </c>
      <c r="B21244" s="2" t="s">
        <v>41644</v>
      </c>
      <c r="C21244" s="2" t="s">
        <v>124</v>
      </c>
      <c r="D21244" s="2" t="s">
        <v>41643</v>
      </c>
      <c r="E21244" s="2" t="str">
        <f>"9780367557744"</f>
        <v>9780367557744</v>
      </c>
      <c r="F21244" s="2" t="str">
        <f>"9781315225234"</f>
        <v>9781315225234</v>
      </c>
    </row>
    <row r="21245" spans="1:6" s="3" customFormat="1" ht="29.1" customHeight="1" x14ac:dyDescent="0.25">
      <c r="A21245" s="2" t="s">
        <v>41645</v>
      </c>
      <c r="B21245" s="2" t="s">
        <v>41646</v>
      </c>
      <c r="C21245" s="2" t="s">
        <v>124</v>
      </c>
      <c r="D21245" s="2" t="s">
        <v>984</v>
      </c>
      <c r="E21245" s="2" t="str">
        <f>"9780815371564"</f>
        <v>9780815371564</v>
      </c>
      <c r="F21245" s="2" t="str">
        <f>"9781351110617"</f>
        <v>9781351110617</v>
      </c>
    </row>
    <row r="21246" spans="1:6" s="3" customFormat="1" ht="29.1" customHeight="1" x14ac:dyDescent="0.25">
      <c r="A21246" s="2" t="s">
        <v>41647</v>
      </c>
      <c r="B21246" s="2" t="s">
        <v>41649</v>
      </c>
      <c r="C21246" s="2" t="s">
        <v>124</v>
      </c>
      <c r="D21246" s="2" t="s">
        <v>41648</v>
      </c>
      <c r="E21246" s="2" t="str">
        <f>"9781138549531"</f>
        <v>9781138549531</v>
      </c>
      <c r="F21246" s="2" t="str">
        <f>"9781351000215"</f>
        <v>9781351000215</v>
      </c>
    </row>
    <row r="21247" spans="1:6" s="3" customFormat="1" ht="29.1" customHeight="1" x14ac:dyDescent="0.25">
      <c r="A21247" s="2" t="s">
        <v>41650</v>
      </c>
      <c r="B21247" s="2" t="s">
        <v>41651</v>
      </c>
      <c r="C21247" s="2" t="s">
        <v>124</v>
      </c>
      <c r="D21247" s="2" t="s">
        <v>2877</v>
      </c>
      <c r="E21247" s="2" t="str">
        <f>"9781138479753"</f>
        <v>9781138479753</v>
      </c>
      <c r="F21247" s="2" t="str">
        <f>"9781351064767"</f>
        <v>9781351064767</v>
      </c>
    </row>
    <row r="21248" spans="1:6" s="3" customFormat="1" ht="29.1" customHeight="1" x14ac:dyDescent="0.25">
      <c r="A21248" s="2" t="s">
        <v>41652</v>
      </c>
      <c r="B21248" s="2" t="s">
        <v>41653</v>
      </c>
      <c r="C21248" s="2" t="s">
        <v>124</v>
      </c>
      <c r="D21248" s="2" t="s">
        <v>462</v>
      </c>
      <c r="E21248" s="2" t="str">
        <f>"9780367432362"</f>
        <v>9780367432362</v>
      </c>
      <c r="F21248" s="2" t="str">
        <f>"9781315446585"</f>
        <v>9781315446585</v>
      </c>
    </row>
    <row r="21249" spans="1:6" s="3" customFormat="1" ht="29.1" customHeight="1" x14ac:dyDescent="0.25">
      <c r="A21249" s="2" t="s">
        <v>41654</v>
      </c>
      <c r="B21249" s="2" t="s">
        <v>41655</v>
      </c>
      <c r="C21249" s="2" t="s">
        <v>124</v>
      </c>
      <c r="D21249" s="2" t="s">
        <v>3328</v>
      </c>
      <c r="E21249" s="2" t="str">
        <f>"9781032082028"</f>
        <v>9781032082028</v>
      </c>
      <c r="F21249" s="2" t="str">
        <f>"9781315201030"</f>
        <v>9781315201030</v>
      </c>
    </row>
    <row r="21250" spans="1:6" s="3" customFormat="1" ht="29.1" customHeight="1" x14ac:dyDescent="0.25">
      <c r="A21250" s="2" t="s">
        <v>41656</v>
      </c>
      <c r="B21250" s="2" t="s">
        <v>41657</v>
      </c>
      <c r="C21250" s="2" t="s">
        <v>124</v>
      </c>
      <c r="D21250" s="2" t="s">
        <v>15855</v>
      </c>
      <c r="E21250" s="2" t="str">
        <f>"9781138715851"</f>
        <v>9781138715851</v>
      </c>
      <c r="F21250" s="2" t="str">
        <f>"9781315197289"</f>
        <v>9781315197289</v>
      </c>
    </row>
    <row r="21251" spans="1:6" s="3" customFormat="1" ht="29.1" customHeight="1" x14ac:dyDescent="0.25">
      <c r="A21251" s="2" t="s">
        <v>41658</v>
      </c>
      <c r="B21251" s="2" t="s">
        <v>41659</v>
      </c>
      <c r="C21251" s="2" t="s">
        <v>124</v>
      </c>
      <c r="D21251" s="2" t="s">
        <v>459</v>
      </c>
      <c r="E21251" s="2" t="str">
        <f>"9781138295513"</f>
        <v>9781138295513</v>
      </c>
      <c r="F21251" s="2" t="str">
        <f>"9781315100630"</f>
        <v>9781315100630</v>
      </c>
    </row>
    <row r="21252" spans="1:6" s="3" customFormat="1" ht="29.1" customHeight="1" x14ac:dyDescent="0.25">
      <c r="A21252" s="2" t="s">
        <v>41660</v>
      </c>
      <c r="B21252" s="2" t="s">
        <v>41661</v>
      </c>
      <c r="C21252" s="2" t="s">
        <v>124</v>
      </c>
      <c r="D21252" s="2" t="s">
        <v>818</v>
      </c>
      <c r="E21252" s="2" t="str">
        <f>"9781350002340"</f>
        <v>9781350002340</v>
      </c>
      <c r="F21252" s="2" t="str">
        <f>"9781000181975"</f>
        <v>9781000181975</v>
      </c>
    </row>
    <row r="21253" spans="1:6" s="3" customFormat="1" ht="29.1" customHeight="1" x14ac:dyDescent="0.25">
      <c r="A21253" s="2" t="s">
        <v>41662</v>
      </c>
      <c r="B21253" s="2" t="s">
        <v>41663</v>
      </c>
      <c r="C21253" s="2" t="s">
        <v>149</v>
      </c>
      <c r="D21253" s="2" t="s">
        <v>3245</v>
      </c>
      <c r="E21253" s="2" t="str">
        <f>"9781783749676"</f>
        <v>9781783749676</v>
      </c>
      <c r="F21253" s="2" t="str">
        <f>"9781783749690"</f>
        <v>9781783749690</v>
      </c>
    </row>
    <row r="21254" spans="1:6" s="3" customFormat="1" ht="29.1" customHeight="1" x14ac:dyDescent="0.25">
      <c r="A21254" s="2" t="s">
        <v>41664</v>
      </c>
      <c r="B21254" s="2" t="s">
        <v>41665</v>
      </c>
      <c r="C21254" s="2" t="s">
        <v>149</v>
      </c>
      <c r="D21254" s="2" t="s">
        <v>7608</v>
      </c>
      <c r="E21254" s="2" t="str">
        <f>"9781783749997"</f>
        <v>9781783749997</v>
      </c>
      <c r="F21254" s="2" t="str">
        <f>"9781800640016"</f>
        <v>9781800640016</v>
      </c>
    </row>
    <row r="21255" spans="1:6" s="3" customFormat="1" ht="29.1" customHeight="1" x14ac:dyDescent="0.25">
      <c r="A21255" s="2" t="s">
        <v>41664</v>
      </c>
      <c r="B21255" s="2" t="s">
        <v>41665</v>
      </c>
      <c r="C21255" s="2" t="s">
        <v>149</v>
      </c>
      <c r="D21255" s="2" t="s">
        <v>7608</v>
      </c>
      <c r="E21255" s="2" t="str">
        <f>"9781783749232"</f>
        <v>9781783749232</v>
      </c>
      <c r="F21255" s="2" t="str">
        <f>"9781783749256"</f>
        <v>9781783749256</v>
      </c>
    </row>
    <row r="21256" spans="1:6" s="3" customFormat="1" ht="29.1" customHeight="1" x14ac:dyDescent="0.25">
      <c r="A21256" s="2" t="s">
        <v>41666</v>
      </c>
      <c r="B21256" s="2" t="s">
        <v>41667</v>
      </c>
      <c r="C21256" s="2" t="s">
        <v>149</v>
      </c>
      <c r="D21256" s="2" t="s">
        <v>509</v>
      </c>
      <c r="E21256" s="2" t="str">
        <f>"9781783746934"</f>
        <v>9781783746934</v>
      </c>
      <c r="F21256" s="2" t="str">
        <f>"9781783746958"</f>
        <v>9781783746958</v>
      </c>
    </row>
    <row r="21257" spans="1:6" s="3" customFormat="1" ht="29.1" customHeight="1" x14ac:dyDescent="0.25">
      <c r="A21257" s="2" t="s">
        <v>41668</v>
      </c>
      <c r="B21257" s="2" t="s">
        <v>41669</v>
      </c>
      <c r="C21257" s="2" t="s">
        <v>2129</v>
      </c>
      <c r="D21257" s="2" t="s">
        <v>636</v>
      </c>
      <c r="E21257" s="2" t="str">
        <f>"9781438484099"</f>
        <v>9781438484099</v>
      </c>
      <c r="F21257" s="2" t="str">
        <f>"9781438484112"</f>
        <v>9781438484112</v>
      </c>
    </row>
    <row r="21258" spans="1:6" s="3" customFormat="1" ht="29.1" customHeight="1" x14ac:dyDescent="0.25">
      <c r="A21258" s="2" t="s">
        <v>41670</v>
      </c>
      <c r="B21258" s="2" t="s">
        <v>41671</v>
      </c>
      <c r="C21258" s="2" t="s">
        <v>2129</v>
      </c>
      <c r="D21258" s="2" t="s">
        <v>17411</v>
      </c>
      <c r="E21258" s="2" t="str">
        <f>"9781438482460"</f>
        <v>9781438482460</v>
      </c>
      <c r="F21258" s="2" t="str">
        <f>"9781438482484"</f>
        <v>9781438482484</v>
      </c>
    </row>
    <row r="21259" spans="1:6" s="3" customFormat="1" ht="29.1" customHeight="1" x14ac:dyDescent="0.25">
      <c r="A21259" s="2" t="s">
        <v>41672</v>
      </c>
      <c r="B21259" s="2" t="s">
        <v>41673</v>
      </c>
      <c r="C21259" s="2" t="s">
        <v>2129</v>
      </c>
      <c r="D21259" s="2" t="s">
        <v>3245</v>
      </c>
      <c r="E21259" s="2" t="str">
        <f>"9781438483283"</f>
        <v>9781438483283</v>
      </c>
      <c r="F21259" s="2" t="str">
        <f>"9781438483306"</f>
        <v>9781438483306</v>
      </c>
    </row>
    <row r="21260" spans="1:6" s="3" customFormat="1" ht="29.1" customHeight="1" x14ac:dyDescent="0.25">
      <c r="A21260" s="2" t="s">
        <v>41674</v>
      </c>
      <c r="B21260" s="2" t="s">
        <v>41675</v>
      </c>
      <c r="C21260" s="2" t="s">
        <v>2129</v>
      </c>
      <c r="D21260" s="2" t="s">
        <v>3993</v>
      </c>
      <c r="E21260" s="2" t="str">
        <f>"9781438482880"</f>
        <v>9781438482880</v>
      </c>
      <c r="F21260" s="2" t="str">
        <f>"9781438482903"</f>
        <v>9781438482903</v>
      </c>
    </row>
    <row r="21261" spans="1:6" s="3" customFormat="1" ht="29.1" customHeight="1" x14ac:dyDescent="0.25">
      <c r="A21261" s="2" t="s">
        <v>41676</v>
      </c>
      <c r="B21261" s="2" t="s">
        <v>41677</v>
      </c>
      <c r="C21261" s="2" t="s">
        <v>595</v>
      </c>
      <c r="D21261" s="2" t="s">
        <v>210</v>
      </c>
      <c r="E21261" s="2" t="str">
        <f>"9783631809907"</f>
        <v>9783631809907</v>
      </c>
      <c r="F21261" s="2" t="str">
        <f>"9783631813713"</f>
        <v>9783631813713</v>
      </c>
    </row>
    <row r="21262" spans="1:6" s="3" customFormat="1" ht="29.1" customHeight="1" x14ac:dyDescent="0.25">
      <c r="A21262" s="2" t="s">
        <v>41678</v>
      </c>
      <c r="B21262" s="2" t="s">
        <v>41679</v>
      </c>
      <c r="C21262" s="2" t="s">
        <v>29</v>
      </c>
      <c r="D21262" s="2" t="s">
        <v>9146</v>
      </c>
      <c r="E21262" s="2" t="str">
        <f>"9789004407664"</f>
        <v>9789004407664</v>
      </c>
      <c r="F21262" s="2" t="str">
        <f>"9789004407671"</f>
        <v>9789004407671</v>
      </c>
    </row>
    <row r="21263" spans="1:6" s="3" customFormat="1" ht="29.1" customHeight="1" x14ac:dyDescent="0.25">
      <c r="A21263" s="2" t="s">
        <v>41680</v>
      </c>
      <c r="B21263" s="2" t="s">
        <v>41681</v>
      </c>
      <c r="C21263" s="2" t="s">
        <v>556</v>
      </c>
      <c r="D21263" s="2" t="s">
        <v>175</v>
      </c>
      <c r="E21263" s="2" t="str">
        <f>"9783837650440"</f>
        <v>9783837650440</v>
      </c>
      <c r="F21263" s="2" t="str">
        <f>"9783839450444"</f>
        <v>9783839450444</v>
      </c>
    </row>
    <row r="21264" spans="1:6" s="3" customFormat="1" ht="29.1" customHeight="1" x14ac:dyDescent="0.25">
      <c r="A21264" s="2" t="s">
        <v>41682</v>
      </c>
      <c r="B21264" s="2" t="s">
        <v>41683</v>
      </c>
      <c r="C21264" s="2" t="s">
        <v>556</v>
      </c>
      <c r="D21264" s="2" t="s">
        <v>636</v>
      </c>
      <c r="E21264" s="2" t="str">
        <f>"9783837645156"</f>
        <v>9783837645156</v>
      </c>
      <c r="F21264" s="2" t="str">
        <f>"9783839445150"</f>
        <v>9783839445150</v>
      </c>
    </row>
    <row r="21265" spans="1:6" s="3" customFormat="1" ht="29.1" customHeight="1" x14ac:dyDescent="0.25">
      <c r="A21265" s="2" t="s">
        <v>41684</v>
      </c>
      <c r="B21265" s="2" t="s">
        <v>41685</v>
      </c>
      <c r="C21265" s="2" t="s">
        <v>29</v>
      </c>
      <c r="D21265" s="2" t="s">
        <v>6958</v>
      </c>
      <c r="E21265" s="2" t="str">
        <f>"9789004406919"</f>
        <v>9789004406919</v>
      </c>
      <c r="F21265" s="2" t="str">
        <f>"9789004411029"</f>
        <v>9789004411029</v>
      </c>
    </row>
    <row r="21266" spans="1:6" s="3" customFormat="1" ht="29.1" customHeight="1" x14ac:dyDescent="0.25">
      <c r="A21266" s="2" t="s">
        <v>41686</v>
      </c>
      <c r="B21266" s="2" t="s">
        <v>41687</v>
      </c>
      <c r="C21266" s="2" t="s">
        <v>264</v>
      </c>
      <c r="D21266" s="2" t="s">
        <v>5276</v>
      </c>
      <c r="E21266" s="2" t="str">
        <f>"9781138444553"</f>
        <v>9781138444553</v>
      </c>
      <c r="F21266" s="2" t="str">
        <f>"9781000192407"</f>
        <v>9781000192407</v>
      </c>
    </row>
    <row r="21267" spans="1:6" s="3" customFormat="1" ht="29.1" customHeight="1" x14ac:dyDescent="0.25">
      <c r="A21267" s="2" t="s">
        <v>41688</v>
      </c>
      <c r="B21267" s="2" t="s">
        <v>41689</v>
      </c>
      <c r="C21267" s="2" t="s">
        <v>195</v>
      </c>
      <c r="D21267" s="2" t="s">
        <v>218</v>
      </c>
      <c r="E21267" s="2" t="str">
        <f>"9783110681918"</f>
        <v>9783110681918</v>
      </c>
      <c r="F21267" s="2" t="str">
        <f>"9783110682113"</f>
        <v>9783110682113</v>
      </c>
    </row>
    <row r="21268" spans="1:6" s="3" customFormat="1" ht="29.1" customHeight="1" x14ac:dyDescent="0.25">
      <c r="A21268" s="2" t="s">
        <v>41690</v>
      </c>
      <c r="B21268" s="2" t="s">
        <v>41691</v>
      </c>
      <c r="C21268" s="2" t="s">
        <v>195</v>
      </c>
      <c r="D21268" s="2" t="s">
        <v>916</v>
      </c>
      <c r="E21268" s="2" t="str">
        <f>"9783110676372"</f>
        <v>9783110676372</v>
      </c>
      <c r="F21268" s="2" t="str">
        <f>"9783110676488"</f>
        <v>9783110676488</v>
      </c>
    </row>
    <row r="21269" spans="1:6" s="3" customFormat="1" ht="29.1" customHeight="1" x14ac:dyDescent="0.25">
      <c r="A21269" s="2" t="s">
        <v>41692</v>
      </c>
      <c r="B21269" s="2" t="s">
        <v>41693</v>
      </c>
      <c r="C21269" s="2" t="s">
        <v>27396</v>
      </c>
      <c r="D21269" s="2" t="s">
        <v>3943</v>
      </c>
      <c r="E21269" s="2" t="str">
        <f>"9783161592058"</f>
        <v>9783161592058</v>
      </c>
      <c r="F21269" s="2" t="str">
        <f>"9783161592065"</f>
        <v>9783161592065</v>
      </c>
    </row>
    <row r="21270" spans="1:6" s="3" customFormat="1" ht="29.1" customHeight="1" x14ac:dyDescent="0.25">
      <c r="A21270" s="2" t="s">
        <v>41694</v>
      </c>
      <c r="B21270" s="2" t="s">
        <v>41695</v>
      </c>
      <c r="C21270" s="2" t="s">
        <v>27396</v>
      </c>
      <c r="D21270" s="2" t="s">
        <v>512</v>
      </c>
      <c r="E21270" s="2" t="str">
        <f>"9783161575372"</f>
        <v>9783161575372</v>
      </c>
      <c r="F21270" s="2" t="str">
        <f>"9783161593529"</f>
        <v>9783161593529</v>
      </c>
    </row>
    <row r="21271" spans="1:6" s="3" customFormat="1" ht="29.1" customHeight="1" x14ac:dyDescent="0.25">
      <c r="A21271" s="2" t="s">
        <v>41696</v>
      </c>
      <c r="B21271" s="2" t="s">
        <v>41697</v>
      </c>
      <c r="C21271" s="2" t="s">
        <v>27396</v>
      </c>
      <c r="D21271" s="2" t="s">
        <v>553</v>
      </c>
      <c r="E21271" s="2" t="str">
        <f>"9783161591006"</f>
        <v>9783161591006</v>
      </c>
      <c r="F21271" s="2" t="str">
        <f>"9783161591013"</f>
        <v>9783161591013</v>
      </c>
    </row>
    <row r="21272" spans="1:6" s="3" customFormat="1" ht="29.1" customHeight="1" x14ac:dyDescent="0.25">
      <c r="A21272" s="2" t="s">
        <v>41698</v>
      </c>
      <c r="B21272" s="2" t="s">
        <v>41699</v>
      </c>
      <c r="C21272" s="2" t="s">
        <v>27396</v>
      </c>
      <c r="D21272" s="2" t="s">
        <v>5021</v>
      </c>
      <c r="E21272" s="2" t="str">
        <f>"9783161595387"</f>
        <v>9783161595387</v>
      </c>
      <c r="F21272" s="2" t="str">
        <f>"9783161595394"</f>
        <v>9783161595394</v>
      </c>
    </row>
    <row r="21273" spans="1:6" s="3" customFormat="1" ht="29.1" customHeight="1" x14ac:dyDescent="0.25">
      <c r="A21273" s="2" t="s">
        <v>41700</v>
      </c>
      <c r="B21273" s="2" t="s">
        <v>41701</v>
      </c>
      <c r="C21273" s="2" t="s">
        <v>556</v>
      </c>
      <c r="D21273" s="2" t="s">
        <v>324</v>
      </c>
      <c r="E21273" s="2" t="str">
        <f>"9783837628982"</f>
        <v>9783837628982</v>
      </c>
      <c r="F21273" s="2" t="str">
        <f>"9783732828982"</f>
        <v>9783732828982</v>
      </c>
    </row>
    <row r="21274" spans="1:6" s="3" customFormat="1" ht="29.1" customHeight="1" x14ac:dyDescent="0.25">
      <c r="A21274" s="2" t="s">
        <v>41702</v>
      </c>
      <c r="B21274" s="2" t="s">
        <v>41703</v>
      </c>
      <c r="C21274" s="2" t="s">
        <v>8040</v>
      </c>
      <c r="D21274" s="2" t="s">
        <v>24</v>
      </c>
      <c r="E21274" s="2" t="str">
        <f>"9781788929585"</f>
        <v>9781788929585</v>
      </c>
      <c r="F21274" s="2" t="str">
        <f>"9781788929608"</f>
        <v>9781788929608</v>
      </c>
    </row>
    <row r="21275" spans="1:6" s="3" customFormat="1" ht="29.1" customHeight="1" x14ac:dyDescent="0.25">
      <c r="A21275" s="2" t="s">
        <v>41704</v>
      </c>
      <c r="B21275" s="2" t="s">
        <v>6562</v>
      </c>
      <c r="C21275" s="2" t="s">
        <v>36</v>
      </c>
      <c r="D21275" s="2" t="s">
        <v>1209</v>
      </c>
      <c r="E21275" s="2" t="str">
        <f>"9781529209099"</f>
        <v>9781529209099</v>
      </c>
      <c r="F21275" s="2" t="str">
        <f>"9781529215793"</f>
        <v>9781529215793</v>
      </c>
    </row>
    <row r="21276" spans="1:6" s="3" customFormat="1" ht="29.1" customHeight="1" x14ac:dyDescent="0.25">
      <c r="A21276" s="2" t="s">
        <v>41705</v>
      </c>
      <c r="B21276" s="2" t="s">
        <v>41706</v>
      </c>
      <c r="C21276" s="2" t="s">
        <v>7395</v>
      </c>
      <c r="D21276" s="2" t="s">
        <v>49</v>
      </c>
      <c r="E21276" s="2" t="str">
        <f>"9780295747330"</f>
        <v>9780295747330</v>
      </c>
      <c r="F21276" s="2" t="str">
        <f>"9780295747347"</f>
        <v>9780295747347</v>
      </c>
    </row>
    <row r="21277" spans="1:6" s="3" customFormat="1" ht="29.1" customHeight="1" x14ac:dyDescent="0.25">
      <c r="A21277" s="2" t="s">
        <v>41707</v>
      </c>
      <c r="B21277" s="2" t="s">
        <v>41708</v>
      </c>
      <c r="C21277" s="2" t="s">
        <v>1070</v>
      </c>
      <c r="D21277" s="2" t="s">
        <v>1275</v>
      </c>
      <c r="E21277" s="2"/>
      <c r="F21277" s="2" t="str">
        <f>"9783318067620"</f>
        <v>9783318067620</v>
      </c>
    </row>
    <row r="21278" spans="1:6" s="3" customFormat="1" ht="29.1" customHeight="1" x14ac:dyDescent="0.25">
      <c r="A21278" s="2" t="s">
        <v>41709</v>
      </c>
      <c r="B21278" s="2" t="s">
        <v>41710</v>
      </c>
      <c r="C21278" s="2" t="s">
        <v>1070</v>
      </c>
      <c r="D21278" s="2" t="s">
        <v>1071</v>
      </c>
      <c r="E21278" s="2" t="str">
        <f>"9781912776672"</f>
        <v>9781912776672</v>
      </c>
      <c r="F21278" s="2" t="str">
        <f>"9781912776689"</f>
        <v>9781912776689</v>
      </c>
    </row>
    <row r="21279" spans="1:6" s="3" customFormat="1" ht="29.1" customHeight="1" x14ac:dyDescent="0.25">
      <c r="A21279" s="2" t="s">
        <v>41711</v>
      </c>
      <c r="B21279" s="2" t="s">
        <v>26206</v>
      </c>
      <c r="C21279" s="2" t="s">
        <v>62</v>
      </c>
      <c r="D21279" s="2" t="s">
        <v>5758</v>
      </c>
      <c r="E21279" s="2" t="str">
        <f>"9783428180837"</f>
        <v>9783428180837</v>
      </c>
      <c r="F21279" s="2" t="str">
        <f>"9783428580835"</f>
        <v>9783428580835</v>
      </c>
    </row>
    <row r="21280" spans="1:6" s="3" customFormat="1" ht="29.1" customHeight="1" x14ac:dyDescent="0.25">
      <c r="A21280" s="2" t="s">
        <v>41712</v>
      </c>
      <c r="B21280" s="2" t="s">
        <v>30238</v>
      </c>
      <c r="C21280" s="2" t="s">
        <v>62</v>
      </c>
      <c r="D21280" s="2" t="s">
        <v>12164</v>
      </c>
      <c r="E21280" s="2" t="str">
        <f>"9783428174515"</f>
        <v>9783428174515</v>
      </c>
      <c r="F21280" s="2" t="str">
        <f>"9783428574513"</f>
        <v>9783428574513</v>
      </c>
    </row>
    <row r="21281" spans="1:6" s="3" customFormat="1" ht="29.1" customHeight="1" x14ac:dyDescent="0.25">
      <c r="A21281" s="2" t="s">
        <v>41713</v>
      </c>
      <c r="B21281" s="2" t="s">
        <v>41714</v>
      </c>
      <c r="C21281" s="2" t="s">
        <v>8104</v>
      </c>
      <c r="D21281" s="2" t="s">
        <v>636</v>
      </c>
      <c r="E21281" s="2" t="str">
        <f>"9781789209792"</f>
        <v>9781789209792</v>
      </c>
      <c r="F21281" s="2" t="str">
        <f>"9781789209808"</f>
        <v>9781789209808</v>
      </c>
    </row>
    <row r="21282" spans="1:6" s="3" customFormat="1" ht="29.1" customHeight="1" x14ac:dyDescent="0.25">
      <c r="A21282" s="2" t="s">
        <v>41715</v>
      </c>
      <c r="B21282" s="2" t="s">
        <v>41716</v>
      </c>
      <c r="C21282" s="2" t="s">
        <v>8104</v>
      </c>
      <c r="D21282" s="2" t="s">
        <v>636</v>
      </c>
      <c r="E21282" s="2" t="str">
        <f>"9781789209150"</f>
        <v>9781789209150</v>
      </c>
      <c r="F21282" s="2" t="str">
        <f>"9781789209167"</f>
        <v>9781789209167</v>
      </c>
    </row>
    <row r="21283" spans="1:6" s="3" customFormat="1" ht="29.1" customHeight="1" x14ac:dyDescent="0.25">
      <c r="A21283" s="2" t="s">
        <v>41717</v>
      </c>
      <c r="B21283" s="2" t="s">
        <v>30920</v>
      </c>
      <c r="C21283" s="2" t="s">
        <v>62</v>
      </c>
      <c r="D21283" s="2" t="s">
        <v>72</v>
      </c>
      <c r="E21283" s="2" t="str">
        <f>"9783428175437"</f>
        <v>9783428175437</v>
      </c>
      <c r="F21283" s="2" t="str">
        <f>"9783428575435"</f>
        <v>9783428575435</v>
      </c>
    </row>
    <row r="21284" spans="1:6" s="3" customFormat="1" ht="29.1" customHeight="1" x14ac:dyDescent="0.25">
      <c r="A21284" s="2" t="s">
        <v>41718</v>
      </c>
      <c r="B21284" s="2" t="s">
        <v>41719</v>
      </c>
      <c r="C21284" s="2" t="s">
        <v>195</v>
      </c>
      <c r="D21284" s="2" t="s">
        <v>7460</v>
      </c>
      <c r="E21284" s="2" t="str">
        <f>"9783110687194"</f>
        <v>9783110687194</v>
      </c>
      <c r="F21284" s="2" t="str">
        <f>"9783110687224"</f>
        <v>9783110687224</v>
      </c>
    </row>
    <row r="21285" spans="1:6" s="3" customFormat="1" ht="29.1" customHeight="1" x14ac:dyDescent="0.25">
      <c r="A21285" s="2" t="s">
        <v>41720</v>
      </c>
      <c r="B21285" s="2" t="s">
        <v>41721</v>
      </c>
      <c r="C21285" s="2" t="s">
        <v>595</v>
      </c>
      <c r="D21285" s="2" t="s">
        <v>9</v>
      </c>
      <c r="E21285" s="2" t="str">
        <f>"9783034321976"</f>
        <v>9783034321976</v>
      </c>
      <c r="F21285" s="2" t="str">
        <f>"9783034339100"</f>
        <v>9783034339100</v>
      </c>
    </row>
    <row r="21286" spans="1:6" s="3" customFormat="1" ht="29.1" customHeight="1" x14ac:dyDescent="0.25">
      <c r="A21286" s="2" t="s">
        <v>41722</v>
      </c>
      <c r="B21286" s="2" t="s">
        <v>41723</v>
      </c>
      <c r="C21286" s="2" t="s">
        <v>149</v>
      </c>
      <c r="D21286" s="2" t="s">
        <v>183</v>
      </c>
      <c r="E21286" s="2" t="str">
        <f>"9781783748518"</f>
        <v>9781783748518</v>
      </c>
      <c r="F21286" s="2" t="str">
        <f>"9781783748532"</f>
        <v>9781783748532</v>
      </c>
    </row>
    <row r="21287" spans="1:6" s="3" customFormat="1" ht="29.1" customHeight="1" x14ac:dyDescent="0.25">
      <c r="A21287" s="2" t="s">
        <v>1069</v>
      </c>
      <c r="B21287" s="2" t="s">
        <v>41724</v>
      </c>
      <c r="C21287" s="2" t="s">
        <v>1070</v>
      </c>
      <c r="D21287" s="2" t="s">
        <v>1898</v>
      </c>
      <c r="E21287" s="2" t="str">
        <f>"9783318065879"</f>
        <v>9783318065879</v>
      </c>
      <c r="F21287" s="2" t="str">
        <f>"9783318065886"</f>
        <v>9783318065886</v>
      </c>
    </row>
    <row r="21288" spans="1:6" s="3" customFormat="1" ht="29.1" customHeight="1" x14ac:dyDescent="0.25">
      <c r="A21288" s="2" t="s">
        <v>41725</v>
      </c>
      <c r="B21288" s="2" t="s">
        <v>41726</v>
      </c>
      <c r="C21288" s="2" t="s">
        <v>195</v>
      </c>
      <c r="D21288" s="2" t="s">
        <v>459</v>
      </c>
      <c r="E21288" s="2" t="str">
        <f>"9783110668001"</f>
        <v>9783110668001</v>
      </c>
      <c r="F21288" s="2" t="str">
        <f>"9783110668193"</f>
        <v>9783110668193</v>
      </c>
    </row>
    <row r="21289" spans="1:6" s="3" customFormat="1" ht="29.1" customHeight="1" x14ac:dyDescent="0.25">
      <c r="A21289" s="2" t="s">
        <v>41727</v>
      </c>
      <c r="B21289" s="2" t="s">
        <v>41728</v>
      </c>
      <c r="C21289" s="2" t="s">
        <v>195</v>
      </c>
      <c r="D21289" s="2" t="s">
        <v>218</v>
      </c>
      <c r="E21289" s="2" t="str">
        <f>"9783110615975"</f>
        <v>9783110615975</v>
      </c>
      <c r="F21289" s="2" t="str">
        <f>"9783110616323"</f>
        <v>9783110616323</v>
      </c>
    </row>
    <row r="21290" spans="1:6" s="3" customFormat="1" ht="29.1" customHeight="1" x14ac:dyDescent="0.25">
      <c r="A21290" s="2" t="s">
        <v>41729</v>
      </c>
      <c r="B21290" s="2" t="s">
        <v>41730</v>
      </c>
      <c r="C21290" s="2" t="s">
        <v>149</v>
      </c>
      <c r="D21290" s="2" t="s">
        <v>63</v>
      </c>
      <c r="E21290" s="2" t="str">
        <f>"9781783748150"</f>
        <v>9781783748150</v>
      </c>
      <c r="F21290" s="2" t="str">
        <f>"9781783748174"</f>
        <v>9781783748174</v>
      </c>
    </row>
    <row r="21291" spans="1:6" s="3" customFormat="1" ht="29.1" customHeight="1" x14ac:dyDescent="0.25">
      <c r="A21291" s="2" t="s">
        <v>41731</v>
      </c>
      <c r="B21291" s="2" t="s">
        <v>8016</v>
      </c>
      <c r="C21291" s="2" t="s">
        <v>195</v>
      </c>
      <c r="D21291" s="2" t="s">
        <v>118</v>
      </c>
      <c r="E21291" s="2" t="str">
        <f>"9783110671650"</f>
        <v>9783110671650</v>
      </c>
      <c r="F21291" s="2" t="str">
        <f>"9783110677072"</f>
        <v>9783110677072</v>
      </c>
    </row>
    <row r="21292" spans="1:6" s="3" customFormat="1" ht="29.1" customHeight="1" x14ac:dyDescent="0.25">
      <c r="A21292" s="2" t="s">
        <v>41732</v>
      </c>
      <c r="B21292" s="2" t="s">
        <v>9766</v>
      </c>
      <c r="C21292" s="2" t="s">
        <v>149</v>
      </c>
      <c r="D21292" s="2" t="s">
        <v>4670</v>
      </c>
      <c r="E21292" s="2" t="str">
        <f>"9781800640115"</f>
        <v>9781800640115</v>
      </c>
      <c r="F21292" s="2" t="str">
        <f>"9781800640139"</f>
        <v>9781800640139</v>
      </c>
    </row>
    <row r="21293" spans="1:6" s="3" customFormat="1" ht="29.1" customHeight="1" x14ac:dyDescent="0.25">
      <c r="A21293" s="2" t="s">
        <v>41733</v>
      </c>
      <c r="B21293" s="2" t="s">
        <v>41734</v>
      </c>
      <c r="C21293" s="2" t="s">
        <v>248</v>
      </c>
      <c r="D21293" s="2" t="s">
        <v>1025</v>
      </c>
      <c r="E21293" s="2" t="str">
        <f>"9783847422891"</f>
        <v>9783847422891</v>
      </c>
      <c r="F21293" s="2" t="str">
        <f>"9783847413134"</f>
        <v>9783847413134</v>
      </c>
    </row>
    <row r="21294" spans="1:6" s="3" customFormat="1" ht="29.1" customHeight="1" x14ac:dyDescent="0.25">
      <c r="A21294" s="2" t="s">
        <v>41735</v>
      </c>
      <c r="B21294" s="2" t="s">
        <v>41736</v>
      </c>
      <c r="C21294" s="2" t="s">
        <v>2129</v>
      </c>
      <c r="D21294" s="2" t="s">
        <v>121</v>
      </c>
      <c r="E21294" s="2" t="str">
        <f>"9781438480114"</f>
        <v>9781438480114</v>
      </c>
      <c r="F21294" s="2" t="str">
        <f>"9781438480138"</f>
        <v>9781438480138</v>
      </c>
    </row>
    <row r="21295" spans="1:6" s="3" customFormat="1" ht="29.1" customHeight="1" x14ac:dyDescent="0.25">
      <c r="A21295" s="2" t="s">
        <v>41737</v>
      </c>
      <c r="B21295" s="2" t="s">
        <v>41738</v>
      </c>
      <c r="C21295" s="2" t="s">
        <v>595</v>
      </c>
      <c r="D21295" s="2" t="s">
        <v>15682</v>
      </c>
      <c r="E21295" s="2" t="str">
        <f>"9783631823545"</f>
        <v>9783631823545</v>
      </c>
      <c r="F21295" s="2" t="str">
        <f>"9783631825617"</f>
        <v>9783631825617</v>
      </c>
    </row>
    <row r="21296" spans="1:6" s="3" customFormat="1" ht="29.1" customHeight="1" x14ac:dyDescent="0.25">
      <c r="A21296" s="2" t="s">
        <v>41739</v>
      </c>
      <c r="B21296" s="2" t="s">
        <v>37019</v>
      </c>
      <c r="C21296" s="2" t="s">
        <v>556</v>
      </c>
      <c r="D21296" s="2" t="s">
        <v>9968</v>
      </c>
      <c r="E21296" s="2" t="str">
        <f>"9783837650556"</f>
        <v>9783837650556</v>
      </c>
      <c r="F21296" s="2" t="str">
        <f>"9783839450550"</f>
        <v>9783839450550</v>
      </c>
    </row>
    <row r="21297" spans="1:6" s="3" customFormat="1" ht="29.1" customHeight="1" x14ac:dyDescent="0.25">
      <c r="A21297" s="2" t="s">
        <v>41740</v>
      </c>
      <c r="B21297" s="2" t="s">
        <v>41741</v>
      </c>
      <c r="C21297" s="2" t="s">
        <v>595</v>
      </c>
      <c r="D21297" s="2" t="s">
        <v>965</v>
      </c>
      <c r="E21297" s="2" t="str">
        <f>"9783631812150"</f>
        <v>9783631812150</v>
      </c>
      <c r="F21297" s="2" t="str">
        <f>"9783631822890"</f>
        <v>9783631822890</v>
      </c>
    </row>
    <row r="21298" spans="1:6" s="3" customFormat="1" ht="29.1" customHeight="1" x14ac:dyDescent="0.25">
      <c r="A21298" s="2" t="s">
        <v>41742</v>
      </c>
      <c r="B21298" s="2" t="s">
        <v>41743</v>
      </c>
      <c r="C21298" s="2" t="s">
        <v>248</v>
      </c>
      <c r="D21298" s="2" t="s">
        <v>186</v>
      </c>
      <c r="E21298" s="2" t="str">
        <f>"9783847423591"</f>
        <v>9783847423591</v>
      </c>
      <c r="F21298" s="2" t="str">
        <f>"9783847414841"</f>
        <v>9783847414841</v>
      </c>
    </row>
    <row r="21299" spans="1:6" s="3" customFormat="1" ht="29.1" customHeight="1" x14ac:dyDescent="0.25">
      <c r="A21299" s="2" t="s">
        <v>41744</v>
      </c>
      <c r="B21299" s="2" t="s">
        <v>41745</v>
      </c>
      <c r="C21299" s="2" t="s">
        <v>1953</v>
      </c>
      <c r="D21299" s="2" t="s">
        <v>12450</v>
      </c>
      <c r="E21299" s="2"/>
      <c r="F21299" s="2" t="str">
        <f>"9781536181388"</f>
        <v>9781536181388</v>
      </c>
    </row>
    <row r="21300" spans="1:6" s="3" customFormat="1" ht="29.1" customHeight="1" x14ac:dyDescent="0.25">
      <c r="A21300" s="2" t="s">
        <v>41746</v>
      </c>
      <c r="B21300" s="2" t="s">
        <v>40340</v>
      </c>
      <c r="C21300" s="2" t="s">
        <v>149</v>
      </c>
      <c r="D21300" s="2" t="s">
        <v>175</v>
      </c>
      <c r="E21300" s="2" t="str">
        <f>"9781783749355"</f>
        <v>9781783749355</v>
      </c>
      <c r="F21300" s="2" t="str">
        <f>"9781783749379"</f>
        <v>9781783749379</v>
      </c>
    </row>
    <row r="21301" spans="1:6" s="3" customFormat="1" ht="29.1" customHeight="1" x14ac:dyDescent="0.25">
      <c r="A21301" s="2" t="s">
        <v>41747</v>
      </c>
      <c r="B21301" s="2" t="s">
        <v>17174</v>
      </c>
      <c r="C21301" s="2" t="s">
        <v>62</v>
      </c>
      <c r="D21301" s="2" t="s">
        <v>5032</v>
      </c>
      <c r="E21301" s="2" t="str">
        <f>"9783428087280"</f>
        <v>9783428087280</v>
      </c>
      <c r="F21301" s="2" t="str">
        <f>"9783428487288"</f>
        <v>9783428487288</v>
      </c>
    </row>
    <row r="21302" spans="1:6" s="3" customFormat="1" ht="29.1" customHeight="1" x14ac:dyDescent="0.25">
      <c r="A21302" s="2" t="s">
        <v>41748</v>
      </c>
      <c r="B21302" s="2" t="s">
        <v>41749</v>
      </c>
      <c r="C21302" s="2" t="s">
        <v>62</v>
      </c>
      <c r="D21302" s="2" t="s">
        <v>16704</v>
      </c>
      <c r="E21302" s="2" t="str">
        <f>"9783428042395"</f>
        <v>9783428042395</v>
      </c>
      <c r="F21302" s="2" t="str">
        <f>"9783428442393"</f>
        <v>9783428442393</v>
      </c>
    </row>
    <row r="21303" spans="1:6" s="3" customFormat="1" ht="29.1" customHeight="1" x14ac:dyDescent="0.25">
      <c r="A21303" s="2" t="s">
        <v>41750</v>
      </c>
      <c r="B21303" s="2" t="s">
        <v>41751</v>
      </c>
      <c r="C21303" s="2" t="s">
        <v>62</v>
      </c>
      <c r="D21303" s="2" t="s">
        <v>2048</v>
      </c>
      <c r="E21303" s="2" t="str">
        <f>"9783428098729"</f>
        <v>9783428098729</v>
      </c>
      <c r="F21303" s="2" t="str">
        <f>"9783428498727"</f>
        <v>9783428498727</v>
      </c>
    </row>
    <row r="21304" spans="1:6" s="3" customFormat="1" ht="29.1" customHeight="1" x14ac:dyDescent="0.25">
      <c r="A21304" s="2" t="s">
        <v>41752</v>
      </c>
      <c r="B21304" s="2" t="s">
        <v>41753</v>
      </c>
      <c r="C21304" s="2" t="s">
        <v>62</v>
      </c>
      <c r="D21304" s="2" t="s">
        <v>72</v>
      </c>
      <c r="E21304" s="2" t="str">
        <f>"9783428094073"</f>
        <v>9783428094073</v>
      </c>
      <c r="F21304" s="2" t="str">
        <f>"9783428494071"</f>
        <v>9783428494071</v>
      </c>
    </row>
    <row r="21305" spans="1:6" s="3" customFormat="1" ht="29.1" customHeight="1" x14ac:dyDescent="0.25">
      <c r="A21305" s="2" t="s">
        <v>41754</v>
      </c>
      <c r="B21305" s="2" t="s">
        <v>41755</v>
      </c>
      <c r="C21305" s="2" t="s">
        <v>62</v>
      </c>
      <c r="D21305" s="2" t="s">
        <v>21</v>
      </c>
      <c r="E21305" s="2" t="str">
        <f>"9783428073443"</f>
        <v>9783428073443</v>
      </c>
      <c r="F21305" s="2" t="str">
        <f>"9783428473441"</f>
        <v>9783428473441</v>
      </c>
    </row>
    <row r="21306" spans="1:6" s="3" customFormat="1" ht="29.1" customHeight="1" x14ac:dyDescent="0.25">
      <c r="A21306" s="2" t="s">
        <v>41756</v>
      </c>
      <c r="B21306" s="2" t="s">
        <v>30455</v>
      </c>
      <c r="C21306" s="2" t="s">
        <v>62</v>
      </c>
      <c r="D21306" s="2" t="s">
        <v>16704</v>
      </c>
      <c r="E21306" s="2" t="str">
        <f>"9783428050147"</f>
        <v>9783428050147</v>
      </c>
      <c r="F21306" s="2" t="str">
        <f>"9783428450145"</f>
        <v>9783428450145</v>
      </c>
    </row>
    <row r="21307" spans="1:6" s="3" customFormat="1" ht="29.1" customHeight="1" x14ac:dyDescent="0.25">
      <c r="A21307" s="2" t="s">
        <v>41757</v>
      </c>
      <c r="B21307" s="2" t="s">
        <v>41758</v>
      </c>
      <c r="C21307" s="2" t="s">
        <v>149</v>
      </c>
      <c r="D21307" s="2" t="s">
        <v>459</v>
      </c>
      <c r="E21307" s="2" t="str">
        <f>"9781783749294"</f>
        <v>9781783749294</v>
      </c>
      <c r="F21307" s="2" t="str">
        <f>"9781783749317"</f>
        <v>9781783749317</v>
      </c>
    </row>
    <row r="21308" spans="1:6" s="3" customFormat="1" ht="29.1" customHeight="1" x14ac:dyDescent="0.25">
      <c r="A21308" s="2" t="s">
        <v>41759</v>
      </c>
      <c r="B21308" s="2" t="s">
        <v>41760</v>
      </c>
      <c r="C21308" s="2" t="s">
        <v>149</v>
      </c>
      <c r="D21308" s="2" t="s">
        <v>175</v>
      </c>
      <c r="E21308" s="2" t="str">
        <f>"9781783746804"</f>
        <v>9781783746804</v>
      </c>
      <c r="F21308" s="2" t="str">
        <f>"9781783746828"</f>
        <v>9781783746828</v>
      </c>
    </row>
    <row r="21309" spans="1:6" s="3" customFormat="1" ht="29.1" customHeight="1" x14ac:dyDescent="0.25">
      <c r="A21309" s="2" t="s">
        <v>41761</v>
      </c>
      <c r="B21309" s="2" t="s">
        <v>41762</v>
      </c>
      <c r="C21309" s="2" t="s">
        <v>149</v>
      </c>
      <c r="D21309" s="2" t="s">
        <v>547</v>
      </c>
      <c r="E21309" s="2" t="str">
        <f>"9781783748037"</f>
        <v>9781783748037</v>
      </c>
      <c r="F21309" s="2" t="str">
        <f>"9781783748051"</f>
        <v>9781783748051</v>
      </c>
    </row>
    <row r="21310" spans="1:6" s="3" customFormat="1" ht="29.1" customHeight="1" x14ac:dyDescent="0.25">
      <c r="A21310" s="2" t="s">
        <v>41763</v>
      </c>
      <c r="B21310" s="2" t="s">
        <v>41764</v>
      </c>
      <c r="C21310" s="2" t="s">
        <v>927</v>
      </c>
      <c r="D21310" s="2" t="s">
        <v>8788</v>
      </c>
      <c r="E21310" s="2" t="str">
        <f>"9780472054503"</f>
        <v>9780472054503</v>
      </c>
      <c r="F21310" s="2" t="str">
        <f>"9780472126781"</f>
        <v>9780472126781</v>
      </c>
    </row>
    <row r="21311" spans="1:6" s="3" customFormat="1" ht="29.1" customHeight="1" x14ac:dyDescent="0.25">
      <c r="A21311" s="2" t="s">
        <v>41765</v>
      </c>
      <c r="B21311" s="2" t="s">
        <v>41766</v>
      </c>
      <c r="C21311" s="2" t="s">
        <v>1070</v>
      </c>
      <c r="D21311" s="2" t="s">
        <v>1299</v>
      </c>
      <c r="E21311" s="2" t="str">
        <f>"9783318067583"</f>
        <v>9783318067583</v>
      </c>
      <c r="F21311" s="2" t="str">
        <f>"9783318067590"</f>
        <v>9783318067590</v>
      </c>
    </row>
    <row r="21312" spans="1:6" s="3" customFormat="1" ht="29.1" customHeight="1" x14ac:dyDescent="0.25">
      <c r="A21312" s="2" t="s">
        <v>41767</v>
      </c>
      <c r="B21312" s="2" t="s">
        <v>41768</v>
      </c>
      <c r="C21312" s="2" t="s">
        <v>264</v>
      </c>
      <c r="D21312" s="2" t="s">
        <v>22070</v>
      </c>
      <c r="E21312" s="2" t="str">
        <f>"9781138718890"</f>
        <v>9781138718890</v>
      </c>
      <c r="F21312" s="2" t="str">
        <f>"9781351764575"</f>
        <v>9781351764575</v>
      </c>
    </row>
    <row r="21313" spans="1:6" s="3" customFormat="1" ht="29.1" customHeight="1" x14ac:dyDescent="0.25">
      <c r="A21313" s="2" t="s">
        <v>41769</v>
      </c>
      <c r="B21313" s="2" t="s">
        <v>41771</v>
      </c>
      <c r="C21313" s="2" t="s">
        <v>327</v>
      </c>
      <c r="D21313" s="2" t="s">
        <v>41770</v>
      </c>
      <c r="E21313" s="2" t="str">
        <f>"9788381428026"</f>
        <v>9788381428026</v>
      </c>
      <c r="F21313" s="2" t="str">
        <f>"9788381428033"</f>
        <v>9788381428033</v>
      </c>
    </row>
    <row r="21314" spans="1:6" s="3" customFormat="1" ht="29.1" customHeight="1" x14ac:dyDescent="0.25">
      <c r="A21314" s="2" t="s">
        <v>41772</v>
      </c>
      <c r="B21314" s="2" t="s">
        <v>41048</v>
      </c>
      <c r="C21314" s="2" t="s">
        <v>327</v>
      </c>
      <c r="D21314" s="2" t="s">
        <v>1669</v>
      </c>
      <c r="E21314" s="2" t="str">
        <f>"9788381428491"</f>
        <v>9788381428491</v>
      </c>
      <c r="F21314" s="2" t="str">
        <f>"9788381428507"</f>
        <v>9788381428507</v>
      </c>
    </row>
    <row r="21315" spans="1:6" s="3" customFormat="1" ht="29.1" customHeight="1" x14ac:dyDescent="0.25">
      <c r="A21315" s="2" t="s">
        <v>41773</v>
      </c>
      <c r="B21315" s="2" t="s">
        <v>41048</v>
      </c>
      <c r="C21315" s="2" t="s">
        <v>327</v>
      </c>
      <c r="D21315" s="2" t="s">
        <v>1669</v>
      </c>
      <c r="E21315" s="2" t="str">
        <f>"9788381428422"</f>
        <v>9788381428422</v>
      </c>
      <c r="F21315" s="2" t="str">
        <f>"9788381428439"</f>
        <v>9788381428439</v>
      </c>
    </row>
    <row r="21316" spans="1:6" s="3" customFormat="1" ht="29.1" customHeight="1" x14ac:dyDescent="0.25">
      <c r="A21316" s="2" t="s">
        <v>41774</v>
      </c>
      <c r="B21316" s="2" t="s">
        <v>41775</v>
      </c>
      <c r="C21316" s="2" t="s">
        <v>327</v>
      </c>
      <c r="D21316" s="2" t="s">
        <v>431</v>
      </c>
      <c r="E21316" s="2" t="str">
        <f>"9788381427272"</f>
        <v>9788381427272</v>
      </c>
      <c r="F21316" s="2" t="str">
        <f>"9788381427289"</f>
        <v>9788381427289</v>
      </c>
    </row>
    <row r="21317" spans="1:6" s="3" customFormat="1" ht="29.1" customHeight="1" x14ac:dyDescent="0.25">
      <c r="A21317" s="2" t="s">
        <v>41776</v>
      </c>
      <c r="B21317" s="2" t="s">
        <v>41777</v>
      </c>
      <c r="C21317" s="2" t="s">
        <v>327</v>
      </c>
      <c r="D21317" s="2" t="s">
        <v>1759</v>
      </c>
      <c r="E21317" s="2" t="str">
        <f>"9788381424691"</f>
        <v>9788381424691</v>
      </c>
      <c r="F21317" s="2" t="str">
        <f>"9788381424707"</f>
        <v>9788381424707</v>
      </c>
    </row>
    <row r="21318" spans="1:6" s="3" customFormat="1" ht="29.1" customHeight="1" x14ac:dyDescent="0.25">
      <c r="A21318" s="2" t="s">
        <v>41778</v>
      </c>
      <c r="B21318" s="2" t="s">
        <v>41779</v>
      </c>
      <c r="C21318" s="2" t="s">
        <v>327</v>
      </c>
      <c r="D21318" s="2" t="s">
        <v>186</v>
      </c>
      <c r="E21318" s="2" t="str">
        <f>"9788381420549"</f>
        <v>9788381420549</v>
      </c>
      <c r="F21318" s="2" t="str">
        <f>"9788381420556"</f>
        <v>9788381420556</v>
      </c>
    </row>
    <row r="21319" spans="1:6" s="3" customFormat="1" ht="29.1" customHeight="1" x14ac:dyDescent="0.25">
      <c r="A21319" s="2" t="s">
        <v>41780</v>
      </c>
      <c r="B21319" s="2" t="s">
        <v>41781</v>
      </c>
      <c r="C21319" s="2" t="s">
        <v>595</v>
      </c>
      <c r="D21319" s="2" t="s">
        <v>24</v>
      </c>
      <c r="E21319" s="2" t="str">
        <f>"9783631779682"</f>
        <v>9783631779682</v>
      </c>
      <c r="F21319" s="2" t="str">
        <f>"9783631815106"</f>
        <v>9783631815106</v>
      </c>
    </row>
    <row r="21320" spans="1:6" s="3" customFormat="1" ht="29.1" customHeight="1" x14ac:dyDescent="0.25">
      <c r="A21320" s="2" t="s">
        <v>41782</v>
      </c>
      <c r="B21320" s="2" t="s">
        <v>41783</v>
      </c>
      <c r="C21320" s="2" t="s">
        <v>595</v>
      </c>
      <c r="D21320" s="2" t="s">
        <v>459</v>
      </c>
      <c r="E21320" s="2" t="str">
        <f>"9783631800560"</f>
        <v>9783631800560</v>
      </c>
      <c r="F21320" s="2" t="str">
        <f>"9783631805800"</f>
        <v>9783631805800</v>
      </c>
    </row>
    <row r="21321" spans="1:6" s="3" customFormat="1" ht="29.1" customHeight="1" x14ac:dyDescent="0.25">
      <c r="A21321" s="2" t="s">
        <v>41784</v>
      </c>
      <c r="B21321" s="2" t="s">
        <v>41785</v>
      </c>
      <c r="C21321" s="2" t="s">
        <v>195</v>
      </c>
      <c r="D21321" s="2" t="s">
        <v>107</v>
      </c>
      <c r="E21321" s="2" t="str">
        <f>"9783110683318"</f>
        <v>9783110683318</v>
      </c>
      <c r="F21321" s="2" t="str">
        <f>"9783110683554"</f>
        <v>9783110683554</v>
      </c>
    </row>
    <row r="21322" spans="1:6" s="3" customFormat="1" ht="29.1" customHeight="1" x14ac:dyDescent="0.25">
      <c r="A21322" s="2" t="s">
        <v>41786</v>
      </c>
      <c r="B21322" s="2" t="s">
        <v>41787</v>
      </c>
      <c r="C21322" s="2" t="s">
        <v>885</v>
      </c>
      <c r="D21322" s="2" t="s">
        <v>553</v>
      </c>
      <c r="E21322" s="2" t="str">
        <f>"9781487504380"</f>
        <v>9781487504380</v>
      </c>
      <c r="F21322" s="2" t="str">
        <f>"9781487530044"</f>
        <v>9781487530044</v>
      </c>
    </row>
    <row r="21323" spans="1:6" s="3" customFormat="1" ht="29.1" customHeight="1" x14ac:dyDescent="0.25">
      <c r="A21323" s="2" t="s">
        <v>41788</v>
      </c>
      <c r="B21323" s="2" t="s">
        <v>41789</v>
      </c>
      <c r="C21323" s="2" t="s">
        <v>11220</v>
      </c>
      <c r="D21323" s="2" t="s">
        <v>270</v>
      </c>
      <c r="E21323" s="2" t="str">
        <f>"9780814774694"</f>
        <v>9780814774694</v>
      </c>
      <c r="F21323" s="2" t="str">
        <f>"9780814776636"</f>
        <v>9780814776636</v>
      </c>
    </row>
    <row r="21324" spans="1:6" s="3" customFormat="1" ht="29.1" customHeight="1" x14ac:dyDescent="0.25">
      <c r="A21324" s="2" t="s">
        <v>41790</v>
      </c>
      <c r="B21324" s="2" t="s">
        <v>41791</v>
      </c>
      <c r="C21324" s="2" t="s">
        <v>11220</v>
      </c>
      <c r="D21324" s="2" t="s">
        <v>855</v>
      </c>
      <c r="E21324" s="2" t="str">
        <f>"9781479877584"</f>
        <v>9781479877584</v>
      </c>
      <c r="F21324" s="2" t="str">
        <f>"9781479868148"</f>
        <v>9781479868148</v>
      </c>
    </row>
    <row r="21325" spans="1:6" s="3" customFormat="1" ht="29.1" customHeight="1" x14ac:dyDescent="0.25">
      <c r="A21325" s="2" t="s">
        <v>41792</v>
      </c>
      <c r="B21325" s="2" t="s">
        <v>41793</v>
      </c>
      <c r="C21325" s="2" t="s">
        <v>11220</v>
      </c>
      <c r="D21325" s="2" t="s">
        <v>2336</v>
      </c>
      <c r="E21325" s="2" t="str">
        <f>"9781479881642"</f>
        <v>9781479881642</v>
      </c>
      <c r="F21325" s="2" t="str">
        <f>"9781479897520"</f>
        <v>9781479897520</v>
      </c>
    </row>
    <row r="21326" spans="1:6" s="3" customFormat="1" ht="29.1" customHeight="1" x14ac:dyDescent="0.25">
      <c r="A21326" s="2" t="s">
        <v>41794</v>
      </c>
      <c r="B21326" s="2" t="s">
        <v>41789</v>
      </c>
      <c r="C21326" s="2" t="s">
        <v>11220</v>
      </c>
      <c r="D21326" s="2" t="s">
        <v>270</v>
      </c>
      <c r="E21326" s="2" t="str">
        <f>"9780814774632"</f>
        <v>9780814774632</v>
      </c>
      <c r="F21326" s="2" t="str">
        <f>"9780814769423"</f>
        <v>9780814769423</v>
      </c>
    </row>
    <row r="21327" spans="1:6" s="3" customFormat="1" ht="29.1" customHeight="1" x14ac:dyDescent="0.25">
      <c r="A21327" s="2" t="s">
        <v>41795</v>
      </c>
      <c r="B21327" s="2" t="s">
        <v>41796</v>
      </c>
      <c r="C21327" s="2" t="s">
        <v>8059</v>
      </c>
      <c r="D21327" s="2" t="s">
        <v>6609</v>
      </c>
      <c r="E21327" s="2" t="str">
        <f>"9781928424383"</f>
        <v>9781928424383</v>
      </c>
      <c r="F21327" s="2" t="str">
        <f>"9781928424390"</f>
        <v>9781928424390</v>
      </c>
    </row>
    <row r="21328" spans="1:6" s="3" customFormat="1" ht="29.1" customHeight="1" x14ac:dyDescent="0.25">
      <c r="A21328" s="2" t="s">
        <v>41797</v>
      </c>
      <c r="B21328" s="2" t="s">
        <v>41798</v>
      </c>
      <c r="C21328" s="2" t="s">
        <v>8059</v>
      </c>
      <c r="D21328" s="2" t="s">
        <v>6559</v>
      </c>
      <c r="E21328" s="2" t="str">
        <f>"9781928424369"</f>
        <v>9781928424369</v>
      </c>
      <c r="F21328" s="2" t="str">
        <f>"9781928424376"</f>
        <v>9781928424376</v>
      </c>
    </row>
    <row r="21329" spans="1:6" s="3" customFormat="1" ht="29.1" customHeight="1" x14ac:dyDescent="0.25">
      <c r="A21329" s="2" t="s">
        <v>41799</v>
      </c>
      <c r="B21329" s="2" t="s">
        <v>40440</v>
      </c>
      <c r="C21329" s="2" t="s">
        <v>8059</v>
      </c>
      <c r="D21329" s="2" t="s">
        <v>16437</v>
      </c>
      <c r="E21329" s="2" t="str">
        <f>"9781928424406"</f>
        <v>9781928424406</v>
      </c>
      <c r="F21329" s="2" t="str">
        <f>"9781928424413"</f>
        <v>9781928424413</v>
      </c>
    </row>
    <row r="21330" spans="1:6" s="3" customFormat="1" ht="29.1" customHeight="1" x14ac:dyDescent="0.25">
      <c r="A21330" s="2" t="s">
        <v>41800</v>
      </c>
      <c r="B21330" s="2" t="s">
        <v>41801</v>
      </c>
      <c r="C21330" s="2" t="s">
        <v>8059</v>
      </c>
      <c r="D21330" s="2" t="s">
        <v>29546</v>
      </c>
      <c r="E21330" s="2" t="str">
        <f>"9781928424062"</f>
        <v>9781928424062</v>
      </c>
      <c r="F21330" s="2" t="str">
        <f>"9781928424079"</f>
        <v>9781928424079</v>
      </c>
    </row>
    <row r="21331" spans="1:6" s="3" customFormat="1" ht="29.1" customHeight="1" x14ac:dyDescent="0.25">
      <c r="A21331" s="2" t="s">
        <v>41802</v>
      </c>
      <c r="B21331" s="2" t="s">
        <v>41803</v>
      </c>
      <c r="C21331" s="2" t="s">
        <v>8059</v>
      </c>
      <c r="D21331" s="2" t="s">
        <v>3445</v>
      </c>
      <c r="E21331" s="2" t="str">
        <f>"9781928424109"</f>
        <v>9781928424109</v>
      </c>
      <c r="F21331" s="2" t="str">
        <f>"9781928424116"</f>
        <v>9781928424116</v>
      </c>
    </row>
    <row r="21332" spans="1:6" s="3" customFormat="1" ht="29.1" customHeight="1" x14ac:dyDescent="0.25">
      <c r="A21332" s="2" t="s">
        <v>41804</v>
      </c>
      <c r="B21332" s="2" t="s">
        <v>41805</v>
      </c>
      <c r="C21332" s="2" t="s">
        <v>8059</v>
      </c>
      <c r="D21332" s="2" t="s">
        <v>183</v>
      </c>
      <c r="E21332" s="2" t="str">
        <f>"9781928424147"</f>
        <v>9781928424147</v>
      </c>
      <c r="F21332" s="2" t="str">
        <f>"9781928424154"</f>
        <v>9781928424154</v>
      </c>
    </row>
    <row r="21333" spans="1:6" s="3" customFormat="1" ht="29.1" customHeight="1" x14ac:dyDescent="0.25">
      <c r="A21333" s="2" t="s">
        <v>41806</v>
      </c>
      <c r="B21333" s="2" t="s">
        <v>41807</v>
      </c>
      <c r="C21333" s="2" t="s">
        <v>8059</v>
      </c>
      <c r="D21333" s="2" t="s">
        <v>175</v>
      </c>
      <c r="E21333" s="2" t="str">
        <f>"9781928424123"</f>
        <v>9781928424123</v>
      </c>
      <c r="F21333" s="2" t="str">
        <f>"9781928424130"</f>
        <v>9781928424130</v>
      </c>
    </row>
    <row r="21334" spans="1:6" s="3" customFormat="1" ht="29.1" customHeight="1" x14ac:dyDescent="0.25">
      <c r="A21334" s="2" t="s">
        <v>41808</v>
      </c>
      <c r="B21334" s="2" t="s">
        <v>41809</v>
      </c>
      <c r="C21334" s="2" t="s">
        <v>264</v>
      </c>
      <c r="D21334" s="2" t="s">
        <v>12465</v>
      </c>
      <c r="E21334" s="2" t="str">
        <f>"9781138299733"</f>
        <v>9781138299733</v>
      </c>
      <c r="F21334" s="2" t="str">
        <f>"9781351578554"</f>
        <v>9781351578554</v>
      </c>
    </row>
    <row r="21335" spans="1:6" s="3" customFormat="1" ht="29.1" customHeight="1" x14ac:dyDescent="0.25">
      <c r="A21335" s="2" t="s">
        <v>41810</v>
      </c>
      <c r="B21335" s="2" t="s">
        <v>41811</v>
      </c>
      <c r="C21335" s="2" t="s">
        <v>264</v>
      </c>
      <c r="D21335" s="2" t="s">
        <v>12465</v>
      </c>
      <c r="E21335" s="2" t="str">
        <f>"9788770220880"</f>
        <v>9788770220880</v>
      </c>
      <c r="F21335" s="2" t="str">
        <f>"9781000792188"</f>
        <v>9781000792188</v>
      </c>
    </row>
    <row r="21336" spans="1:6" s="3" customFormat="1" ht="29.1" customHeight="1" x14ac:dyDescent="0.25">
      <c r="A21336" s="2" t="s">
        <v>41812</v>
      </c>
      <c r="B21336" s="2" t="s">
        <v>41813</v>
      </c>
      <c r="C21336" s="2" t="s">
        <v>264</v>
      </c>
      <c r="D21336" s="2" t="s">
        <v>12465</v>
      </c>
      <c r="E21336" s="2" t="str">
        <f>"9788793609495"</f>
        <v>9788793609495</v>
      </c>
      <c r="F21336" s="2" t="str">
        <f>"9781000791310"</f>
        <v>9781000791310</v>
      </c>
    </row>
    <row r="21337" spans="1:6" s="3" customFormat="1" ht="29.1" customHeight="1" x14ac:dyDescent="0.25">
      <c r="A21337" s="2" t="s">
        <v>41814</v>
      </c>
      <c r="B21337" s="2" t="s">
        <v>41815</v>
      </c>
      <c r="C21337" s="2" t="s">
        <v>264</v>
      </c>
      <c r="D21337" s="2" t="s">
        <v>12465</v>
      </c>
      <c r="E21337" s="2" t="str">
        <f>"9788770220767"</f>
        <v>9788770220767</v>
      </c>
      <c r="F21337" s="2" t="str">
        <f>"9781000792492"</f>
        <v>9781000792492</v>
      </c>
    </row>
    <row r="21338" spans="1:6" s="3" customFormat="1" ht="29.1" customHeight="1" x14ac:dyDescent="0.25">
      <c r="A21338" s="2" t="s">
        <v>41816</v>
      </c>
      <c r="B21338" s="2" t="s">
        <v>41817</v>
      </c>
      <c r="C21338" s="2" t="s">
        <v>264</v>
      </c>
      <c r="D21338" s="2" t="s">
        <v>12465</v>
      </c>
      <c r="E21338" s="2" t="str">
        <f>"9788770220415"</f>
        <v>9788770220415</v>
      </c>
      <c r="F21338" s="2" t="str">
        <f>"9781000791204"</f>
        <v>9781000791204</v>
      </c>
    </row>
    <row r="21339" spans="1:6" s="3" customFormat="1" ht="29.1" customHeight="1" x14ac:dyDescent="0.25">
      <c r="A21339" s="2" t="s">
        <v>41818</v>
      </c>
      <c r="B21339" s="2" t="s">
        <v>30401</v>
      </c>
      <c r="C21339" s="2" t="s">
        <v>62</v>
      </c>
      <c r="D21339" s="2" t="s">
        <v>1717</v>
      </c>
      <c r="E21339" s="2" t="str">
        <f>"9783428062867"</f>
        <v>9783428062867</v>
      </c>
      <c r="F21339" s="2" t="str">
        <f>"9783428462865"</f>
        <v>9783428462865</v>
      </c>
    </row>
    <row r="21340" spans="1:6" s="3" customFormat="1" ht="29.1" customHeight="1" x14ac:dyDescent="0.25">
      <c r="A21340" s="2" t="s">
        <v>41819</v>
      </c>
      <c r="B21340" s="2" t="s">
        <v>41820</v>
      </c>
      <c r="C21340" s="2" t="s">
        <v>3169</v>
      </c>
      <c r="D21340" s="2" t="s">
        <v>916</v>
      </c>
      <c r="E21340" s="2" t="str">
        <f>"9781648250040"</f>
        <v>9781648250040</v>
      </c>
      <c r="F21340" s="2" t="str">
        <f>"9781787449428"</f>
        <v>9781787449428</v>
      </c>
    </row>
    <row r="21341" spans="1:6" s="3" customFormat="1" ht="29.1" customHeight="1" x14ac:dyDescent="0.25">
      <c r="A21341" s="2" t="s">
        <v>1287</v>
      </c>
      <c r="B21341" s="2" t="s">
        <v>8464</v>
      </c>
      <c r="C21341" s="2" t="s">
        <v>1070</v>
      </c>
      <c r="D21341" s="2" t="s">
        <v>1265</v>
      </c>
      <c r="E21341" s="2" t="str">
        <f>"9781910797914"</f>
        <v>9781910797914</v>
      </c>
      <c r="F21341" s="2" t="str">
        <f>"9781910797921"</f>
        <v>9781910797921</v>
      </c>
    </row>
    <row r="21342" spans="1:6" s="3" customFormat="1" ht="29.1" customHeight="1" x14ac:dyDescent="0.25">
      <c r="A21342" s="2" t="s">
        <v>41821</v>
      </c>
      <c r="B21342" s="2" t="s">
        <v>41822</v>
      </c>
      <c r="C21342" s="2" t="s">
        <v>556</v>
      </c>
      <c r="D21342" s="2" t="s">
        <v>689</v>
      </c>
      <c r="E21342" s="2" t="str">
        <f>"9783837652147"</f>
        <v>9783837652147</v>
      </c>
      <c r="F21342" s="2" t="str">
        <f>"9783839452141"</f>
        <v>9783839452141</v>
      </c>
    </row>
    <row r="21343" spans="1:6" s="3" customFormat="1" ht="29.1" customHeight="1" x14ac:dyDescent="0.25">
      <c r="A21343" s="2" t="s">
        <v>41823</v>
      </c>
      <c r="B21343" s="2" t="s">
        <v>41824</v>
      </c>
      <c r="C21343" s="2" t="s">
        <v>556</v>
      </c>
      <c r="D21343" s="2" t="s">
        <v>183</v>
      </c>
      <c r="E21343" s="2" t="str">
        <f>"9783837650358"</f>
        <v>9783837650358</v>
      </c>
      <c r="F21343" s="2" t="str">
        <f>"9783839450352"</f>
        <v>9783839450352</v>
      </c>
    </row>
    <row r="21344" spans="1:6" s="3" customFormat="1" ht="29.1" customHeight="1" x14ac:dyDescent="0.25">
      <c r="A21344" s="2" t="s">
        <v>41825</v>
      </c>
      <c r="B21344" s="2" t="s">
        <v>41826</v>
      </c>
      <c r="C21344" s="2" t="s">
        <v>595</v>
      </c>
      <c r="D21344" s="2" t="s">
        <v>446</v>
      </c>
      <c r="E21344" s="2" t="str">
        <f>"9783631792018"</f>
        <v>9783631792018</v>
      </c>
      <c r="F21344" s="2" t="str">
        <f>"9783631821961"</f>
        <v>9783631821961</v>
      </c>
    </row>
    <row r="21345" spans="1:6" s="3" customFormat="1" ht="29.1" customHeight="1" x14ac:dyDescent="0.25">
      <c r="A21345" s="2" t="s">
        <v>41827</v>
      </c>
      <c r="B21345" s="2" t="s">
        <v>41828</v>
      </c>
      <c r="C21345" s="2" t="s">
        <v>595</v>
      </c>
      <c r="D21345" s="2" t="s">
        <v>210</v>
      </c>
      <c r="E21345" s="2" t="str">
        <f>"9783631809471"</f>
        <v>9783631809471</v>
      </c>
      <c r="F21345" s="2" t="str">
        <f>"9783631816141"</f>
        <v>9783631816141</v>
      </c>
    </row>
    <row r="21346" spans="1:6" s="3" customFormat="1" ht="29.1" customHeight="1" x14ac:dyDescent="0.25">
      <c r="A21346" s="2" t="s">
        <v>41829</v>
      </c>
      <c r="B21346" s="2" t="s">
        <v>41830</v>
      </c>
      <c r="C21346" s="2" t="s">
        <v>1070</v>
      </c>
      <c r="D21346" s="2" t="s">
        <v>1310</v>
      </c>
      <c r="E21346" s="2" t="str">
        <f>"9781912776085"</f>
        <v>9781912776085</v>
      </c>
      <c r="F21346" s="2" t="str">
        <f>"9781912776092"</f>
        <v>9781912776092</v>
      </c>
    </row>
    <row r="21347" spans="1:6" s="3" customFormat="1" ht="29.1" customHeight="1" x14ac:dyDescent="0.25">
      <c r="A21347" s="2" t="s">
        <v>41831</v>
      </c>
      <c r="B21347" s="2" t="s">
        <v>41766</v>
      </c>
      <c r="C21347" s="2" t="s">
        <v>1070</v>
      </c>
      <c r="D21347" s="2" t="s">
        <v>1299</v>
      </c>
      <c r="E21347" s="2" t="str">
        <f>"9781912776641"</f>
        <v>9781912776641</v>
      </c>
      <c r="F21347" s="2" t="str">
        <f>"9781912776658"</f>
        <v>9781912776658</v>
      </c>
    </row>
    <row r="21348" spans="1:6" s="3" customFormat="1" ht="29.1" customHeight="1" x14ac:dyDescent="0.25">
      <c r="A21348" s="2" t="s">
        <v>41832</v>
      </c>
      <c r="B21348" s="2" t="s">
        <v>41833</v>
      </c>
      <c r="C21348" s="2" t="s">
        <v>1070</v>
      </c>
      <c r="D21348" s="2" t="s">
        <v>1071</v>
      </c>
      <c r="E21348" s="2" t="str">
        <f>"9781912776368"</f>
        <v>9781912776368</v>
      </c>
      <c r="F21348" s="2" t="str">
        <f>"9781912776375"</f>
        <v>9781912776375</v>
      </c>
    </row>
    <row r="21349" spans="1:6" s="3" customFormat="1" ht="29.1" customHeight="1" x14ac:dyDescent="0.25">
      <c r="A21349" s="2" t="s">
        <v>41834</v>
      </c>
      <c r="B21349" s="2" t="s">
        <v>41835</v>
      </c>
      <c r="C21349" s="2" t="s">
        <v>62</v>
      </c>
      <c r="D21349" s="2" t="s">
        <v>2019</v>
      </c>
      <c r="E21349" s="2" t="str">
        <f>"9783428017898"</f>
        <v>9783428017898</v>
      </c>
      <c r="F21349" s="2" t="str">
        <f>"9783428417896"</f>
        <v>9783428417896</v>
      </c>
    </row>
    <row r="21350" spans="1:6" s="3" customFormat="1" ht="29.1" customHeight="1" x14ac:dyDescent="0.25">
      <c r="A21350" s="2" t="s">
        <v>1284</v>
      </c>
      <c r="B21350" s="2" t="s">
        <v>41836</v>
      </c>
      <c r="C21350" s="2" t="s">
        <v>1070</v>
      </c>
      <c r="D21350" s="2" t="s">
        <v>1285</v>
      </c>
      <c r="E21350" s="2" t="str">
        <f>"9783318066661"</f>
        <v>9783318066661</v>
      </c>
      <c r="F21350" s="2" t="str">
        <f>"9783318066678"</f>
        <v>9783318066678</v>
      </c>
    </row>
    <row r="21351" spans="1:6" s="3" customFormat="1" ht="29.1" customHeight="1" x14ac:dyDescent="0.25">
      <c r="A21351" s="2" t="s">
        <v>41837</v>
      </c>
      <c r="B21351" s="2" t="s">
        <v>41838</v>
      </c>
      <c r="C21351" s="2" t="s">
        <v>149</v>
      </c>
      <c r="D21351" s="2" t="s">
        <v>6067</v>
      </c>
      <c r="E21351" s="2" t="str">
        <f>"9781783748815"</f>
        <v>9781783748815</v>
      </c>
      <c r="F21351" s="2" t="str">
        <f>"9781783748839"</f>
        <v>9781783748839</v>
      </c>
    </row>
    <row r="21352" spans="1:6" s="3" customFormat="1" ht="29.1" customHeight="1" x14ac:dyDescent="0.25">
      <c r="A21352" s="2" t="s">
        <v>41839</v>
      </c>
      <c r="B21352" s="2" t="s">
        <v>15707</v>
      </c>
      <c r="C21352" s="2" t="s">
        <v>149</v>
      </c>
      <c r="D21352" s="2" t="s">
        <v>2086</v>
      </c>
      <c r="E21352" s="2" t="str">
        <f>"9781783748457"</f>
        <v>9781783748457</v>
      </c>
      <c r="F21352" s="2" t="str">
        <f>"9781783748471"</f>
        <v>9781783748471</v>
      </c>
    </row>
    <row r="21353" spans="1:6" s="3" customFormat="1" ht="29.1" customHeight="1" x14ac:dyDescent="0.25">
      <c r="A21353" s="2" t="s">
        <v>41840</v>
      </c>
      <c r="B21353" s="2" t="s">
        <v>41841</v>
      </c>
      <c r="C21353" s="2" t="s">
        <v>36</v>
      </c>
      <c r="D21353" s="2" t="s">
        <v>72</v>
      </c>
      <c r="E21353" s="2" t="str">
        <f>"9781447352860"</f>
        <v>9781447352860</v>
      </c>
      <c r="F21353" s="2" t="str">
        <f>"9781447354109"</f>
        <v>9781447354109</v>
      </c>
    </row>
    <row r="21354" spans="1:6" s="3" customFormat="1" ht="29.1" customHeight="1" x14ac:dyDescent="0.25">
      <c r="A21354" s="2" t="s">
        <v>41842</v>
      </c>
      <c r="B21354" s="2" t="s">
        <v>41843</v>
      </c>
      <c r="C21354" s="2" t="s">
        <v>15885</v>
      </c>
      <c r="D21354" s="2" t="s">
        <v>2462</v>
      </c>
      <c r="E21354" s="2" t="str">
        <f>"9780813066417"</f>
        <v>9780813066417</v>
      </c>
      <c r="F21354" s="2" t="str">
        <f>"9780813070032"</f>
        <v>9780813070032</v>
      </c>
    </row>
    <row r="21355" spans="1:6" s="3" customFormat="1" ht="29.1" customHeight="1" x14ac:dyDescent="0.25">
      <c r="A21355" s="2" t="s">
        <v>41844</v>
      </c>
      <c r="B21355" s="2" t="s">
        <v>41845</v>
      </c>
      <c r="C21355" s="2" t="s">
        <v>248</v>
      </c>
      <c r="D21355" s="2" t="s">
        <v>2142</v>
      </c>
      <c r="E21355" s="2" t="str">
        <f>"9783847420248"</f>
        <v>9783847420248</v>
      </c>
      <c r="F21355" s="2" t="str">
        <f>"9783847415862"</f>
        <v>9783847415862</v>
      </c>
    </row>
    <row r="21356" spans="1:6" s="3" customFormat="1" ht="29.1" customHeight="1" x14ac:dyDescent="0.25">
      <c r="A21356" s="2" t="s">
        <v>41846</v>
      </c>
      <c r="B21356" s="2" t="s">
        <v>41847</v>
      </c>
      <c r="C21356" s="2" t="s">
        <v>248</v>
      </c>
      <c r="D21356" s="2" t="s">
        <v>818</v>
      </c>
      <c r="E21356" s="2" t="str">
        <f>"9783966650090"</f>
        <v>9783966650090</v>
      </c>
      <c r="F21356" s="2" t="str">
        <f>"9783966659833"</f>
        <v>9783966659833</v>
      </c>
    </row>
    <row r="21357" spans="1:6" s="3" customFormat="1" ht="29.1" customHeight="1" x14ac:dyDescent="0.25">
      <c r="A21357" s="2" t="s">
        <v>41848</v>
      </c>
      <c r="B21357" s="2" t="s">
        <v>27481</v>
      </c>
      <c r="C21357" s="2" t="s">
        <v>327</v>
      </c>
      <c r="D21357" s="2" t="s">
        <v>41849</v>
      </c>
      <c r="E21357" s="2" t="str">
        <f>"9788381428149"</f>
        <v>9788381428149</v>
      </c>
      <c r="F21357" s="2" t="str">
        <f>"9788381428156"</f>
        <v>9788381428156</v>
      </c>
    </row>
    <row r="21358" spans="1:6" s="3" customFormat="1" ht="29.1" customHeight="1" x14ac:dyDescent="0.25">
      <c r="A21358" s="2" t="s">
        <v>41851</v>
      </c>
      <c r="B21358" s="2" t="s">
        <v>41852</v>
      </c>
      <c r="C21358" s="2" t="s">
        <v>327</v>
      </c>
      <c r="D21358" s="2" t="s">
        <v>66</v>
      </c>
      <c r="E21358" s="2" t="str">
        <f>"9788381426626"</f>
        <v>9788381426626</v>
      </c>
      <c r="F21358" s="2" t="str">
        <f>"9788381426633"</f>
        <v>9788381426633</v>
      </c>
    </row>
    <row r="21359" spans="1:6" s="3" customFormat="1" ht="29.1" customHeight="1" x14ac:dyDescent="0.25">
      <c r="A21359" s="2" t="s">
        <v>41853</v>
      </c>
      <c r="B21359" s="2" t="s">
        <v>7960</v>
      </c>
      <c r="C21359" s="2" t="s">
        <v>327</v>
      </c>
      <c r="D21359" s="2" t="s">
        <v>528</v>
      </c>
      <c r="E21359" s="2" t="str">
        <f>"9788381426428"</f>
        <v>9788381426428</v>
      </c>
      <c r="F21359" s="2" t="str">
        <f>"9788381426435"</f>
        <v>9788381426435</v>
      </c>
    </row>
    <row r="21360" spans="1:6" s="3" customFormat="1" ht="29.1" customHeight="1" x14ac:dyDescent="0.25">
      <c r="A21360" s="2" t="s">
        <v>41854</v>
      </c>
      <c r="B21360" s="2" t="s">
        <v>41855</v>
      </c>
      <c r="C21360" s="2" t="s">
        <v>327</v>
      </c>
      <c r="D21360" s="2" t="s">
        <v>1253</v>
      </c>
      <c r="E21360" s="2" t="str">
        <f>"9788381426312"</f>
        <v>9788381426312</v>
      </c>
      <c r="F21360" s="2" t="str">
        <f>"9788381426329"</f>
        <v>9788381426329</v>
      </c>
    </row>
    <row r="21361" spans="1:6" s="3" customFormat="1" ht="29.1" customHeight="1" x14ac:dyDescent="0.25">
      <c r="A21361" s="2" t="s">
        <v>41856</v>
      </c>
      <c r="B21361" s="2" t="s">
        <v>34236</v>
      </c>
      <c r="C21361" s="2" t="s">
        <v>950</v>
      </c>
      <c r="D21361" s="2" t="s">
        <v>3969</v>
      </c>
      <c r="E21361" s="2"/>
      <c r="F21361" s="2" t="str">
        <f>"9788413247069"</f>
        <v>9788413247069</v>
      </c>
    </row>
    <row r="21362" spans="1:6" s="3" customFormat="1" ht="29.1" customHeight="1" x14ac:dyDescent="0.25">
      <c r="A21362" s="2" t="s">
        <v>41857</v>
      </c>
      <c r="B21362" s="2" t="s">
        <v>41858</v>
      </c>
      <c r="C21362" s="2" t="s">
        <v>264</v>
      </c>
      <c r="D21362" s="2" t="s">
        <v>764</v>
      </c>
      <c r="E21362" s="2" t="str">
        <f>"9780367228811"</f>
        <v>9780367228811</v>
      </c>
      <c r="F21362" s="2" t="str">
        <f>"9781000090062"</f>
        <v>9781000090062</v>
      </c>
    </row>
    <row r="21363" spans="1:6" s="3" customFormat="1" ht="29.1" customHeight="1" x14ac:dyDescent="0.25">
      <c r="A21363" s="2" t="s">
        <v>41256</v>
      </c>
      <c r="B21363" s="2" t="s">
        <v>33023</v>
      </c>
      <c r="C21363" s="2" t="s">
        <v>149</v>
      </c>
      <c r="D21363" s="2" t="s">
        <v>41859</v>
      </c>
      <c r="E21363" s="2" t="str">
        <f>"9781783748693"</f>
        <v>9781783748693</v>
      </c>
      <c r="F21363" s="2" t="str">
        <f>"9781783748716"</f>
        <v>9781783748716</v>
      </c>
    </row>
    <row r="21364" spans="1:6" s="3" customFormat="1" ht="29.1" customHeight="1" x14ac:dyDescent="0.25">
      <c r="A21364" s="2" t="s">
        <v>41860</v>
      </c>
      <c r="B21364" s="2" t="s">
        <v>41861</v>
      </c>
      <c r="C21364" s="2" t="s">
        <v>124</v>
      </c>
      <c r="D21364" s="2" t="s">
        <v>2727</v>
      </c>
      <c r="E21364" s="2" t="str">
        <f>"9780367227852"</f>
        <v>9780367227852</v>
      </c>
      <c r="F21364" s="2" t="str">
        <f>"9780429276842"</f>
        <v>9780429276842</v>
      </c>
    </row>
    <row r="21365" spans="1:6" s="3" customFormat="1" ht="29.1" customHeight="1" x14ac:dyDescent="0.25">
      <c r="A21365" s="2" t="s">
        <v>41862</v>
      </c>
      <c r="B21365" s="2" t="s">
        <v>41863</v>
      </c>
      <c r="C21365" s="2" t="s">
        <v>124</v>
      </c>
      <c r="D21365" s="2" t="s">
        <v>1127</v>
      </c>
      <c r="E21365" s="2" t="str">
        <f>"9780367371289"</f>
        <v>9780367371289</v>
      </c>
      <c r="F21365" s="2" t="str">
        <f>"9780429352775"</f>
        <v>9780429352775</v>
      </c>
    </row>
    <row r="21366" spans="1:6" s="3" customFormat="1" ht="29.1" customHeight="1" x14ac:dyDescent="0.25">
      <c r="A21366" s="2" t="s">
        <v>41864</v>
      </c>
      <c r="B21366" s="2" t="s">
        <v>41865</v>
      </c>
      <c r="C21366" s="2" t="s">
        <v>124</v>
      </c>
      <c r="D21366" s="2" t="s">
        <v>1823</v>
      </c>
      <c r="E21366" s="2" t="str">
        <f>"9780367433666"</f>
        <v>9780367433666</v>
      </c>
      <c r="F21366" s="2" t="str">
        <f>"9781000079685"</f>
        <v>9781000079685</v>
      </c>
    </row>
    <row r="21367" spans="1:6" s="3" customFormat="1" ht="29.1" customHeight="1" x14ac:dyDescent="0.25">
      <c r="A21367" s="2" t="s">
        <v>41866</v>
      </c>
      <c r="B21367" s="2" t="s">
        <v>41867</v>
      </c>
      <c r="C21367" s="2" t="s">
        <v>124</v>
      </c>
      <c r="D21367" s="2" t="s">
        <v>9</v>
      </c>
      <c r="E21367" s="2" t="str">
        <f>"9780367507299"</f>
        <v>9780367507299</v>
      </c>
      <c r="F21367" s="2" t="str">
        <f>"9781315161686"</f>
        <v>9781315161686</v>
      </c>
    </row>
    <row r="21368" spans="1:6" s="3" customFormat="1" ht="29.1" customHeight="1" x14ac:dyDescent="0.25">
      <c r="A21368" s="2" t="s">
        <v>41868</v>
      </c>
      <c r="B21368" s="2" t="s">
        <v>41869</v>
      </c>
      <c r="C21368" s="2" t="s">
        <v>11220</v>
      </c>
      <c r="D21368" s="2" t="s">
        <v>75</v>
      </c>
      <c r="E21368" s="2" t="str">
        <f>"9780814711774"</f>
        <v>9780814711774</v>
      </c>
      <c r="F21368" s="2" t="str">
        <f>"9780814725078"</f>
        <v>9780814725078</v>
      </c>
    </row>
    <row r="21369" spans="1:6" s="3" customFormat="1" ht="29.1" customHeight="1" x14ac:dyDescent="0.25">
      <c r="A21369" s="2" t="s">
        <v>30125</v>
      </c>
      <c r="B21369" s="2" t="s">
        <v>30126</v>
      </c>
      <c r="C21369" s="2" t="s">
        <v>62</v>
      </c>
      <c r="D21369" s="2" t="s">
        <v>6692</v>
      </c>
      <c r="E21369" s="2" t="str">
        <f>"9783428014415"</f>
        <v>9783428014415</v>
      </c>
      <c r="F21369" s="2" t="str">
        <f>"9783428414413"</f>
        <v>9783428414413</v>
      </c>
    </row>
    <row r="21370" spans="1:6" s="3" customFormat="1" ht="29.1" customHeight="1" x14ac:dyDescent="0.25">
      <c r="A21370" s="2" t="s">
        <v>41870</v>
      </c>
      <c r="B21370" s="2" t="s">
        <v>41871</v>
      </c>
      <c r="C21370" s="2" t="s">
        <v>950</v>
      </c>
      <c r="D21370" s="2" t="s">
        <v>63</v>
      </c>
      <c r="E21370" s="2"/>
      <c r="F21370" s="2" t="str">
        <f>"9788413246239"</f>
        <v>9788413246239</v>
      </c>
    </row>
    <row r="21371" spans="1:6" s="3" customFormat="1" ht="29.1" customHeight="1" x14ac:dyDescent="0.25">
      <c r="A21371" s="2" t="s">
        <v>41872</v>
      </c>
      <c r="B21371" s="2" t="s">
        <v>4206</v>
      </c>
      <c r="C21371" s="2" t="s">
        <v>950</v>
      </c>
      <c r="D21371" s="2" t="s">
        <v>9</v>
      </c>
      <c r="E21371" s="2"/>
      <c r="F21371" s="2" t="str">
        <f>"9788413244747"</f>
        <v>9788413244747</v>
      </c>
    </row>
    <row r="21372" spans="1:6" s="3" customFormat="1" ht="29.1" customHeight="1" x14ac:dyDescent="0.25">
      <c r="A21372" s="2" t="s">
        <v>41873</v>
      </c>
      <c r="B21372" s="2" t="s">
        <v>41874</v>
      </c>
      <c r="C21372" s="2" t="s">
        <v>8104</v>
      </c>
      <c r="D21372" s="2" t="s">
        <v>2266</v>
      </c>
      <c r="E21372" s="2" t="str">
        <f>"9781789209099"</f>
        <v>9781789209099</v>
      </c>
      <c r="F21372" s="2" t="str">
        <f>"9781789209105"</f>
        <v>9781789209105</v>
      </c>
    </row>
    <row r="21373" spans="1:6" s="3" customFormat="1" ht="29.1" customHeight="1" x14ac:dyDescent="0.25">
      <c r="A21373" s="2" t="s">
        <v>41875</v>
      </c>
      <c r="B21373" s="2" t="s">
        <v>41876</v>
      </c>
      <c r="C21373" s="2" t="s">
        <v>8104</v>
      </c>
      <c r="D21373" s="2" t="s">
        <v>636</v>
      </c>
      <c r="E21373" s="2" t="str">
        <f>"9781789208542"</f>
        <v>9781789208542</v>
      </c>
      <c r="F21373" s="2" t="str">
        <f>"9781789208559"</f>
        <v>9781789208559</v>
      </c>
    </row>
    <row r="21374" spans="1:6" s="3" customFormat="1" ht="29.1" customHeight="1" x14ac:dyDescent="0.25">
      <c r="A21374" s="2" t="s">
        <v>41877</v>
      </c>
      <c r="B21374" s="2" t="s">
        <v>41878</v>
      </c>
      <c r="C21374" s="2" t="s">
        <v>15381</v>
      </c>
      <c r="D21374" s="2" t="s">
        <v>3889</v>
      </c>
      <c r="E21374" s="2" t="str">
        <f>"9781469656281"</f>
        <v>9781469656281</v>
      </c>
      <c r="F21374" s="2" t="str">
        <f>"9781469656311"</f>
        <v>9781469656311</v>
      </c>
    </row>
    <row r="21375" spans="1:6" s="3" customFormat="1" ht="29.1" customHeight="1" x14ac:dyDescent="0.25">
      <c r="A21375" s="2" t="s">
        <v>41879</v>
      </c>
      <c r="B21375" s="2" t="s">
        <v>41880</v>
      </c>
      <c r="C21375" s="2" t="s">
        <v>36</v>
      </c>
      <c r="D21375" s="2" t="s">
        <v>72</v>
      </c>
      <c r="E21375" s="2"/>
      <c r="F21375" s="2" t="str">
        <f>"9781447353546"</f>
        <v>9781447353546</v>
      </c>
    </row>
    <row r="21376" spans="1:6" s="3" customFormat="1" ht="29.1" customHeight="1" x14ac:dyDescent="0.25">
      <c r="A21376" s="2" t="s">
        <v>41881</v>
      </c>
      <c r="B21376" s="2" t="s">
        <v>41882</v>
      </c>
      <c r="C21376" s="2" t="s">
        <v>15381</v>
      </c>
      <c r="D21376" s="2" t="s">
        <v>4789</v>
      </c>
      <c r="E21376" s="2" t="str">
        <f>"9781469659466"</f>
        <v>9781469659466</v>
      </c>
      <c r="F21376" s="2" t="str">
        <f>"9781469659497"</f>
        <v>9781469659497</v>
      </c>
    </row>
    <row r="21377" spans="1:6" s="3" customFormat="1" ht="29.1" customHeight="1" x14ac:dyDescent="0.25">
      <c r="A21377" s="2" t="s">
        <v>41883</v>
      </c>
      <c r="B21377" s="2" t="s">
        <v>41884</v>
      </c>
      <c r="C21377" s="2" t="s">
        <v>15381</v>
      </c>
      <c r="D21377" s="2" t="s">
        <v>33876</v>
      </c>
      <c r="E21377" s="2" t="str">
        <f>"9781469660202"</f>
        <v>9781469660202</v>
      </c>
      <c r="F21377" s="2" t="str">
        <f>"9781469660233"</f>
        <v>9781469660233</v>
      </c>
    </row>
    <row r="21378" spans="1:6" s="3" customFormat="1" ht="29.1" customHeight="1" x14ac:dyDescent="0.25">
      <c r="A21378" s="2" t="s">
        <v>41885</v>
      </c>
      <c r="B21378" s="2" t="s">
        <v>41886</v>
      </c>
      <c r="C21378" s="2" t="s">
        <v>595</v>
      </c>
      <c r="D21378" s="2" t="s">
        <v>2307</v>
      </c>
      <c r="E21378" s="2" t="str">
        <f>"9783631771143"</f>
        <v>9783631771143</v>
      </c>
      <c r="F21378" s="2" t="str">
        <f>"9783631816226"</f>
        <v>9783631816226</v>
      </c>
    </row>
    <row r="21379" spans="1:6" s="3" customFormat="1" ht="29.1" customHeight="1" x14ac:dyDescent="0.25">
      <c r="A21379" s="2" t="s">
        <v>41887</v>
      </c>
      <c r="B21379" s="2" t="s">
        <v>41888</v>
      </c>
      <c r="C21379" s="2" t="s">
        <v>595</v>
      </c>
      <c r="D21379" s="2" t="s">
        <v>210</v>
      </c>
      <c r="E21379" s="2" t="str">
        <f>"9783631795330"</f>
        <v>9783631795330</v>
      </c>
      <c r="F21379" s="2" t="str">
        <f>"9783631795347"</f>
        <v>9783631795347</v>
      </c>
    </row>
    <row r="21380" spans="1:6" s="3" customFormat="1" ht="29.1" customHeight="1" x14ac:dyDescent="0.25">
      <c r="A21380" s="2" t="s">
        <v>1282</v>
      </c>
      <c r="B21380" s="2" t="s">
        <v>41889</v>
      </c>
      <c r="C21380" s="2" t="s">
        <v>1070</v>
      </c>
      <c r="D21380" s="2" t="s">
        <v>101</v>
      </c>
      <c r="E21380" s="2" t="str">
        <f>"9783318067071"</f>
        <v>9783318067071</v>
      </c>
      <c r="F21380" s="2" t="str">
        <f>"9783318067088"</f>
        <v>9783318067088</v>
      </c>
    </row>
    <row r="21381" spans="1:6" s="3" customFormat="1" ht="29.1" customHeight="1" x14ac:dyDescent="0.25">
      <c r="A21381" s="2" t="s">
        <v>41890</v>
      </c>
      <c r="B21381" s="2" t="s">
        <v>41891</v>
      </c>
      <c r="C21381" s="2" t="s">
        <v>264</v>
      </c>
      <c r="D21381" s="2" t="s">
        <v>321</v>
      </c>
      <c r="E21381" s="2" t="str">
        <f>"9780367903565"</f>
        <v>9780367903565</v>
      </c>
      <c r="F21381" s="2" t="str">
        <f>"9781000038262"</f>
        <v>9781000038262</v>
      </c>
    </row>
    <row r="21382" spans="1:6" s="3" customFormat="1" ht="29.1" customHeight="1" x14ac:dyDescent="0.25">
      <c r="A21382" s="2" t="s">
        <v>41892</v>
      </c>
      <c r="B21382" s="2" t="s">
        <v>30314</v>
      </c>
      <c r="C21382" s="2" t="s">
        <v>62</v>
      </c>
      <c r="D21382" s="2" t="s">
        <v>1437</v>
      </c>
      <c r="E21382" s="2" t="str">
        <f>"9783428048731"</f>
        <v>9783428048731</v>
      </c>
      <c r="F21382" s="2" t="str">
        <f>"9783428448739"</f>
        <v>9783428448739</v>
      </c>
    </row>
    <row r="21383" spans="1:6" s="3" customFormat="1" ht="29.1" customHeight="1" x14ac:dyDescent="0.25">
      <c r="A21383" s="2" t="s">
        <v>41893</v>
      </c>
      <c r="B21383" s="2" t="s">
        <v>41894</v>
      </c>
      <c r="C21383" s="2" t="s">
        <v>4788</v>
      </c>
      <c r="D21383" s="2" t="s">
        <v>16057</v>
      </c>
      <c r="E21383" s="2" t="str">
        <f>"9781474447461"</f>
        <v>9781474447461</v>
      </c>
      <c r="F21383" s="2" t="str">
        <f>"9781474447492"</f>
        <v>9781474447492</v>
      </c>
    </row>
    <row r="21384" spans="1:6" s="3" customFormat="1" ht="29.1" customHeight="1" x14ac:dyDescent="0.25">
      <c r="A21384" s="2" t="s">
        <v>41895</v>
      </c>
      <c r="B21384" s="2" t="s">
        <v>41896</v>
      </c>
      <c r="C21384" s="2" t="s">
        <v>4788</v>
      </c>
      <c r="D21384" s="2" t="s">
        <v>501</v>
      </c>
      <c r="E21384" s="2" t="str">
        <f>"9781474454766"</f>
        <v>9781474454766</v>
      </c>
      <c r="F21384" s="2" t="str">
        <f>"9781474454780"</f>
        <v>9781474454780</v>
      </c>
    </row>
    <row r="21385" spans="1:6" s="3" customFormat="1" ht="29.1" customHeight="1" x14ac:dyDescent="0.25">
      <c r="A21385" s="2" t="s">
        <v>41897</v>
      </c>
      <c r="B21385" s="2" t="s">
        <v>41898</v>
      </c>
      <c r="C21385" s="2" t="s">
        <v>29</v>
      </c>
      <c r="D21385" s="2" t="s">
        <v>19208</v>
      </c>
      <c r="E21385" s="2" t="str">
        <f>"9789004424067"</f>
        <v>9789004424067</v>
      </c>
      <c r="F21385" s="2" t="str">
        <f>"9789004424074"</f>
        <v>9789004424074</v>
      </c>
    </row>
    <row r="21386" spans="1:6" s="3" customFormat="1" ht="29.1" customHeight="1" x14ac:dyDescent="0.25">
      <c r="A21386" s="2" t="s">
        <v>41899</v>
      </c>
      <c r="B21386" s="2" t="s">
        <v>41900</v>
      </c>
      <c r="C21386" s="2" t="s">
        <v>149</v>
      </c>
      <c r="D21386" s="2" t="s">
        <v>689</v>
      </c>
      <c r="E21386" s="2" t="str">
        <f>"9781783748754"</f>
        <v>9781783748754</v>
      </c>
      <c r="F21386" s="2" t="str">
        <f>"9781783748778"</f>
        <v>9781783748778</v>
      </c>
    </row>
    <row r="21387" spans="1:6" s="3" customFormat="1" ht="29.1" customHeight="1" x14ac:dyDescent="0.25">
      <c r="A21387" s="2" t="s">
        <v>41901</v>
      </c>
      <c r="B21387" s="2" t="s">
        <v>27716</v>
      </c>
      <c r="C21387" s="2" t="s">
        <v>29</v>
      </c>
      <c r="D21387" s="2" t="s">
        <v>4013</v>
      </c>
      <c r="E21387" s="2" t="str">
        <f>"9789004426023"</f>
        <v>9789004426023</v>
      </c>
      <c r="F21387" s="2" t="str">
        <f>"9789004426863"</f>
        <v>9789004426863</v>
      </c>
    </row>
    <row r="21388" spans="1:6" s="3" customFormat="1" ht="29.1" customHeight="1" x14ac:dyDescent="0.25">
      <c r="A21388" s="2" t="s">
        <v>41902</v>
      </c>
      <c r="B21388" s="2" t="s">
        <v>41903</v>
      </c>
      <c r="C21388" s="2" t="s">
        <v>36</v>
      </c>
      <c r="D21388" s="2" t="s">
        <v>674</v>
      </c>
      <c r="E21388" s="2" t="str">
        <f>"9781447350378"</f>
        <v>9781447350378</v>
      </c>
      <c r="F21388" s="2" t="str">
        <f>"9781447350415"</f>
        <v>9781447350415</v>
      </c>
    </row>
    <row r="21389" spans="1:6" s="3" customFormat="1" ht="29.1" customHeight="1" x14ac:dyDescent="0.25">
      <c r="A21389" s="2" t="s">
        <v>41904</v>
      </c>
      <c r="B21389" s="2" t="s">
        <v>41905</v>
      </c>
      <c r="C21389" s="2" t="s">
        <v>36</v>
      </c>
      <c r="D21389" s="2" t="s">
        <v>968</v>
      </c>
      <c r="E21389" s="2" t="str">
        <f>"9781447351252"</f>
        <v>9781447351252</v>
      </c>
      <c r="F21389" s="2" t="str">
        <f>"9781447351269"</f>
        <v>9781447351269</v>
      </c>
    </row>
    <row r="21390" spans="1:6" s="3" customFormat="1" ht="29.1" customHeight="1" x14ac:dyDescent="0.25">
      <c r="A21390" s="2" t="s">
        <v>41906</v>
      </c>
      <c r="B21390" s="2" t="s">
        <v>26861</v>
      </c>
      <c r="C21390" s="2" t="s">
        <v>149</v>
      </c>
      <c r="D21390" s="2" t="s">
        <v>1651</v>
      </c>
      <c r="E21390" s="2" t="str">
        <f>"9781783749201"</f>
        <v>9781783749201</v>
      </c>
      <c r="F21390" s="2" t="str">
        <f>"9781783749225"</f>
        <v>9781783749225</v>
      </c>
    </row>
    <row r="21391" spans="1:6" s="3" customFormat="1" ht="29.1" customHeight="1" x14ac:dyDescent="0.25">
      <c r="A21391" s="2" t="s">
        <v>41907</v>
      </c>
      <c r="B21391" s="2" t="s">
        <v>26861</v>
      </c>
      <c r="C21391" s="2" t="s">
        <v>149</v>
      </c>
      <c r="D21391" s="2" t="s">
        <v>1651</v>
      </c>
      <c r="E21391" s="2" t="str">
        <f>"9781783748921"</f>
        <v>9781783748921</v>
      </c>
      <c r="F21391" s="2" t="str">
        <f>"9781783748945"</f>
        <v>9781783748945</v>
      </c>
    </row>
    <row r="21392" spans="1:6" s="3" customFormat="1" ht="29.1" customHeight="1" x14ac:dyDescent="0.25">
      <c r="A21392" s="2" t="s">
        <v>41908</v>
      </c>
      <c r="B21392" s="2" t="s">
        <v>41910</v>
      </c>
      <c r="C21392" s="2" t="s">
        <v>124</v>
      </c>
      <c r="D21392" s="2" t="s">
        <v>41909</v>
      </c>
      <c r="E21392" s="2" t="str">
        <f>"9781138601598"</f>
        <v>9781138601598</v>
      </c>
      <c r="F21392" s="2" t="str">
        <f>"9780429470035"</f>
        <v>9780429470035</v>
      </c>
    </row>
    <row r="21393" spans="1:6" s="3" customFormat="1" ht="29.1" customHeight="1" x14ac:dyDescent="0.25">
      <c r="A21393" s="2" t="s">
        <v>41911</v>
      </c>
      <c r="B21393" s="2" t="s">
        <v>41912</v>
      </c>
      <c r="C21393" s="2" t="s">
        <v>124</v>
      </c>
      <c r="D21393" s="2" t="s">
        <v>2332</v>
      </c>
      <c r="E21393" s="2" t="str">
        <f>"9780367503604"</f>
        <v>9780367503604</v>
      </c>
      <c r="F21393" s="2" t="str">
        <f>"9781000075069"</f>
        <v>9781000075069</v>
      </c>
    </row>
    <row r="21394" spans="1:6" s="3" customFormat="1" ht="29.1" customHeight="1" x14ac:dyDescent="0.25">
      <c r="A21394" s="2" t="s">
        <v>41913</v>
      </c>
      <c r="B21394" s="2" t="s">
        <v>41914</v>
      </c>
      <c r="C21394" s="2" t="s">
        <v>149</v>
      </c>
      <c r="D21394" s="2" t="s">
        <v>4386</v>
      </c>
      <c r="E21394" s="2" t="str">
        <f>"9781783748877"</f>
        <v>9781783748877</v>
      </c>
      <c r="F21394" s="2" t="str">
        <f>"9781783748600"</f>
        <v>9781783748600</v>
      </c>
    </row>
    <row r="21395" spans="1:6" s="3" customFormat="1" ht="29.1" customHeight="1" x14ac:dyDescent="0.25">
      <c r="A21395" s="2" t="s">
        <v>41915</v>
      </c>
      <c r="B21395" s="2" t="s">
        <v>41916</v>
      </c>
      <c r="C21395" s="2" t="s">
        <v>124</v>
      </c>
      <c r="D21395" s="2" t="s">
        <v>4180</v>
      </c>
      <c r="E21395" s="2" t="str">
        <f>"9780367178413"</f>
        <v>9780367178413</v>
      </c>
      <c r="F21395" s="2" t="str">
        <f>"9780429057984"</f>
        <v>9780429057984</v>
      </c>
    </row>
    <row r="21396" spans="1:6" s="3" customFormat="1" ht="29.1" customHeight="1" x14ac:dyDescent="0.25">
      <c r="A21396" s="2" t="s">
        <v>41917</v>
      </c>
      <c r="B21396" s="2" t="s">
        <v>41918</v>
      </c>
      <c r="C21396" s="2" t="s">
        <v>131</v>
      </c>
      <c r="D21396" s="2" t="s">
        <v>459</v>
      </c>
      <c r="E21396" s="2" t="str">
        <f>"9789027205070"</f>
        <v>9789027205070</v>
      </c>
      <c r="F21396" s="2" t="str">
        <f>"9789027261441"</f>
        <v>9789027261441</v>
      </c>
    </row>
    <row r="21397" spans="1:6" s="3" customFormat="1" ht="29.1" customHeight="1" x14ac:dyDescent="0.25">
      <c r="A21397" s="2" t="s">
        <v>41919</v>
      </c>
      <c r="B21397" s="2" t="s">
        <v>41920</v>
      </c>
      <c r="C21397" s="2" t="s">
        <v>124</v>
      </c>
      <c r="D21397" s="2" t="s">
        <v>509</v>
      </c>
      <c r="E21397" s="2" t="str">
        <f>"9780367148355"</f>
        <v>9780367148355</v>
      </c>
      <c r="F21397" s="2" t="str">
        <f>"9780429053542"</f>
        <v>9780429053542</v>
      </c>
    </row>
    <row r="21398" spans="1:6" s="3" customFormat="1" ht="29.1" customHeight="1" x14ac:dyDescent="0.25">
      <c r="A21398" s="2" t="s">
        <v>41921</v>
      </c>
      <c r="B21398" s="2" t="s">
        <v>39318</v>
      </c>
      <c r="C21398" s="2" t="s">
        <v>124</v>
      </c>
      <c r="D21398" s="2" t="s">
        <v>210</v>
      </c>
      <c r="E21398" s="2" t="str">
        <f>"9780367512606"</f>
        <v>9780367512606</v>
      </c>
      <c r="F21398" s="2" t="str">
        <f>"9780203703045"</f>
        <v>9780203703045</v>
      </c>
    </row>
    <row r="21399" spans="1:6" s="3" customFormat="1" ht="29.1" customHeight="1" x14ac:dyDescent="0.25">
      <c r="A21399" s="2" t="s">
        <v>41922</v>
      </c>
      <c r="B21399" s="2" t="s">
        <v>41923</v>
      </c>
      <c r="C21399" s="2" t="s">
        <v>4788</v>
      </c>
      <c r="D21399" s="2" t="s">
        <v>1201</v>
      </c>
      <c r="E21399" s="2" t="str">
        <f>"9781474427852"</f>
        <v>9781474427852</v>
      </c>
      <c r="F21399" s="2" t="str">
        <f>"9781474427869"</f>
        <v>9781474427869</v>
      </c>
    </row>
    <row r="21400" spans="1:6" s="3" customFormat="1" ht="29.1" customHeight="1" x14ac:dyDescent="0.25">
      <c r="A21400" s="2" t="s">
        <v>41924</v>
      </c>
      <c r="B21400" s="2" t="s">
        <v>41925</v>
      </c>
      <c r="C21400" s="2" t="s">
        <v>4788</v>
      </c>
      <c r="D21400" s="2" t="s">
        <v>3993</v>
      </c>
      <c r="E21400" s="2" t="str">
        <f>"9781474455589"</f>
        <v>9781474455589</v>
      </c>
      <c r="F21400" s="2" t="str">
        <f>"9781474455602"</f>
        <v>9781474455602</v>
      </c>
    </row>
    <row r="21401" spans="1:6" s="3" customFormat="1" ht="29.1" customHeight="1" x14ac:dyDescent="0.25">
      <c r="A21401" s="2" t="s">
        <v>41926</v>
      </c>
      <c r="B21401" s="2" t="s">
        <v>41927</v>
      </c>
      <c r="C21401" s="2" t="s">
        <v>4788</v>
      </c>
      <c r="D21401" s="2" t="s">
        <v>3130</v>
      </c>
      <c r="E21401" s="2" t="str">
        <f>"9781474456203"</f>
        <v>9781474456203</v>
      </c>
      <c r="F21401" s="2" t="str">
        <f>"9781474456234"</f>
        <v>9781474456234</v>
      </c>
    </row>
    <row r="21402" spans="1:6" s="3" customFormat="1" ht="29.1" customHeight="1" x14ac:dyDescent="0.25">
      <c r="A21402" s="2" t="s">
        <v>41928</v>
      </c>
      <c r="B21402" s="2" t="s">
        <v>41929</v>
      </c>
      <c r="C21402" s="2" t="s">
        <v>4788</v>
      </c>
      <c r="D21402" s="2" t="s">
        <v>1201</v>
      </c>
      <c r="E21402" s="2" t="str">
        <f>"9781474440684"</f>
        <v>9781474440684</v>
      </c>
      <c r="F21402" s="2" t="str">
        <f>"9781474440707"</f>
        <v>9781474440707</v>
      </c>
    </row>
    <row r="21403" spans="1:6" s="3" customFormat="1" ht="29.1" customHeight="1" x14ac:dyDescent="0.25">
      <c r="A21403" s="2" t="s">
        <v>41930</v>
      </c>
      <c r="B21403" s="2" t="s">
        <v>41931</v>
      </c>
      <c r="C21403" s="2" t="s">
        <v>4788</v>
      </c>
      <c r="D21403" s="2" t="s">
        <v>1419</v>
      </c>
      <c r="E21403" s="2" t="str">
        <f>"9781474456128"</f>
        <v>9781474456128</v>
      </c>
      <c r="F21403" s="2" t="str">
        <f>"9781474456142"</f>
        <v>9781474456142</v>
      </c>
    </row>
    <row r="21404" spans="1:6" s="3" customFormat="1" ht="29.1" customHeight="1" x14ac:dyDescent="0.25">
      <c r="A21404" s="2" t="s">
        <v>41932</v>
      </c>
      <c r="B21404" s="2" t="s">
        <v>41933</v>
      </c>
      <c r="C21404" s="2" t="s">
        <v>4788</v>
      </c>
      <c r="D21404" s="2" t="s">
        <v>1201</v>
      </c>
      <c r="E21404" s="2" t="str">
        <f>"9781474410632"</f>
        <v>9781474410632</v>
      </c>
      <c r="F21404" s="2" t="str">
        <f>"9781474410649"</f>
        <v>9781474410649</v>
      </c>
    </row>
    <row r="21405" spans="1:6" s="3" customFormat="1" ht="29.1" customHeight="1" x14ac:dyDescent="0.25">
      <c r="A21405" s="2" t="s">
        <v>41934</v>
      </c>
      <c r="B21405" s="2" t="s">
        <v>41935</v>
      </c>
      <c r="C21405" s="2" t="s">
        <v>4788</v>
      </c>
      <c r="D21405" s="2" t="s">
        <v>3172</v>
      </c>
      <c r="E21405" s="2" t="str">
        <f>"9781474455428"</f>
        <v>9781474455428</v>
      </c>
      <c r="F21405" s="2" t="str">
        <f>"9781474455459"</f>
        <v>9781474455459</v>
      </c>
    </row>
    <row r="21406" spans="1:6" s="3" customFormat="1" ht="29.1" customHeight="1" x14ac:dyDescent="0.25">
      <c r="A21406" s="2" t="s">
        <v>41936</v>
      </c>
      <c r="B21406" s="2" t="s">
        <v>41937</v>
      </c>
      <c r="C21406" s="2" t="s">
        <v>62</v>
      </c>
      <c r="D21406" s="2" t="s">
        <v>7978</v>
      </c>
      <c r="E21406" s="2" t="str">
        <f>"9783428159451"</f>
        <v>9783428159451</v>
      </c>
      <c r="F21406" s="2" t="str">
        <f>"9783428559459"</f>
        <v>9783428559459</v>
      </c>
    </row>
    <row r="21407" spans="1:6" s="3" customFormat="1" ht="29.1" customHeight="1" x14ac:dyDescent="0.25">
      <c r="A21407" s="2" t="s">
        <v>41938</v>
      </c>
      <c r="B21407" s="2" t="s">
        <v>41939</v>
      </c>
      <c r="C21407" s="2" t="s">
        <v>248</v>
      </c>
      <c r="D21407" s="2" t="s">
        <v>249</v>
      </c>
      <c r="E21407" s="2" t="str">
        <f>"9783847424000"</f>
        <v>9783847424000</v>
      </c>
      <c r="F21407" s="2" t="str">
        <f>"9783847415848"</f>
        <v>9783847415848</v>
      </c>
    </row>
    <row r="21408" spans="1:6" s="3" customFormat="1" ht="29.1" customHeight="1" x14ac:dyDescent="0.25">
      <c r="A21408" s="2" t="s">
        <v>41940</v>
      </c>
      <c r="B21408" s="2" t="s">
        <v>41941</v>
      </c>
      <c r="C21408" s="2" t="s">
        <v>248</v>
      </c>
      <c r="D21408" s="2" t="s">
        <v>2593</v>
      </c>
      <c r="E21408" s="2" t="str">
        <f>"9783847423942"</f>
        <v>9783847423942</v>
      </c>
      <c r="F21408" s="2" t="str">
        <f>"9783847415527"</f>
        <v>9783847415527</v>
      </c>
    </row>
    <row r="21409" spans="1:6" s="3" customFormat="1" ht="29.1" customHeight="1" x14ac:dyDescent="0.25">
      <c r="A21409" s="2" t="s">
        <v>41942</v>
      </c>
      <c r="B21409" s="2" t="s">
        <v>41943</v>
      </c>
      <c r="C21409" s="2" t="s">
        <v>595</v>
      </c>
      <c r="D21409" s="2" t="s">
        <v>2307</v>
      </c>
      <c r="E21409" s="2" t="str">
        <f>"9783631808498"</f>
        <v>9783631808498</v>
      </c>
      <c r="F21409" s="2" t="str">
        <f>"9783631814499"</f>
        <v>9783631814499</v>
      </c>
    </row>
    <row r="21410" spans="1:6" s="3" customFormat="1" ht="29.1" customHeight="1" x14ac:dyDescent="0.25">
      <c r="A21410" s="2" t="s">
        <v>41944</v>
      </c>
      <c r="B21410" s="2" t="s">
        <v>41945</v>
      </c>
      <c r="C21410" s="2" t="s">
        <v>3169</v>
      </c>
      <c r="D21410" s="2" t="s">
        <v>879</v>
      </c>
      <c r="E21410" s="2" t="str">
        <f>"9781580469845"</f>
        <v>9781580469845</v>
      </c>
      <c r="F21410" s="2" t="str">
        <f>"9781787447202"</f>
        <v>9781787447202</v>
      </c>
    </row>
    <row r="21411" spans="1:6" s="3" customFormat="1" ht="29.1" customHeight="1" x14ac:dyDescent="0.25">
      <c r="A21411" s="2" t="s">
        <v>41946</v>
      </c>
      <c r="B21411" s="2" t="s">
        <v>41947</v>
      </c>
      <c r="C21411" s="2" t="s">
        <v>5</v>
      </c>
      <c r="D21411" s="2" t="s">
        <v>11063</v>
      </c>
      <c r="E21411" s="2" t="str">
        <f>"9781681737096"</f>
        <v>9781681737096</v>
      </c>
      <c r="F21411" s="2" t="str">
        <f>"9781681737102"</f>
        <v>9781681737102</v>
      </c>
    </row>
    <row r="21412" spans="1:6" s="3" customFormat="1" ht="29.1" customHeight="1" x14ac:dyDescent="0.25">
      <c r="A21412" s="2" t="s">
        <v>41948</v>
      </c>
      <c r="B21412" s="2" t="s">
        <v>41949</v>
      </c>
      <c r="C21412" s="2" t="s">
        <v>195</v>
      </c>
      <c r="D21412" s="2" t="s">
        <v>3963</v>
      </c>
      <c r="E21412" s="2" t="str">
        <f>"9783110678680"</f>
        <v>9783110678680</v>
      </c>
      <c r="F21412" s="2" t="str">
        <f>"9783110678956"</f>
        <v>9783110678956</v>
      </c>
    </row>
    <row r="21413" spans="1:6" s="3" customFormat="1" ht="29.1" customHeight="1" x14ac:dyDescent="0.25">
      <c r="A21413" s="2" t="s">
        <v>41950</v>
      </c>
      <c r="B21413" s="2" t="s">
        <v>41951</v>
      </c>
      <c r="C21413" s="2" t="s">
        <v>195</v>
      </c>
      <c r="D21413" s="2" t="s">
        <v>509</v>
      </c>
      <c r="E21413" s="2" t="str">
        <f>"9783110661088"</f>
        <v>9783110661088</v>
      </c>
      <c r="F21413" s="2" t="str">
        <f>"9783110664713"</f>
        <v>9783110664713</v>
      </c>
    </row>
    <row r="21414" spans="1:6" s="3" customFormat="1" ht="29.1" customHeight="1" x14ac:dyDescent="0.25">
      <c r="A21414" s="2" t="s">
        <v>41952</v>
      </c>
      <c r="B21414" s="2" t="s">
        <v>41953</v>
      </c>
      <c r="C21414" s="2" t="s">
        <v>62</v>
      </c>
      <c r="D21414" s="2" t="s">
        <v>509</v>
      </c>
      <c r="E21414" s="2" t="str">
        <f>"9783428091805"</f>
        <v>9783428091805</v>
      </c>
      <c r="F21414" s="2" t="str">
        <f>"9783428491803"</f>
        <v>9783428491803</v>
      </c>
    </row>
    <row r="21415" spans="1:6" s="3" customFormat="1" ht="29.1" customHeight="1" x14ac:dyDescent="0.25">
      <c r="A21415" s="2" t="s">
        <v>41954</v>
      </c>
      <c r="B21415" s="2" t="s">
        <v>41955</v>
      </c>
      <c r="C21415" s="2" t="s">
        <v>11220</v>
      </c>
      <c r="D21415" s="2" t="s">
        <v>36342</v>
      </c>
      <c r="E21415" s="2" t="str">
        <f>"9781479851331"</f>
        <v>9781479851331</v>
      </c>
      <c r="F21415" s="2" t="str">
        <f>"9781479821419"</f>
        <v>9781479821419</v>
      </c>
    </row>
    <row r="21416" spans="1:6" s="3" customFormat="1" ht="29.1" customHeight="1" x14ac:dyDescent="0.25">
      <c r="A21416" s="2" t="s">
        <v>1523</v>
      </c>
      <c r="B21416" s="2" t="s">
        <v>41956</v>
      </c>
      <c r="C21416" s="2" t="s">
        <v>1070</v>
      </c>
      <c r="D21416" s="2" t="s">
        <v>1265</v>
      </c>
      <c r="E21416" s="2" t="str">
        <f>"9781912776795"</f>
        <v>9781912776795</v>
      </c>
      <c r="F21416" s="2" t="str">
        <f>"9781912776801"</f>
        <v>9781912776801</v>
      </c>
    </row>
    <row r="21417" spans="1:6" s="3" customFormat="1" ht="29.1" customHeight="1" x14ac:dyDescent="0.25">
      <c r="A21417" s="2" t="s">
        <v>1703</v>
      </c>
      <c r="B21417" s="2" t="s">
        <v>1704</v>
      </c>
      <c r="C21417" s="2" t="s">
        <v>1070</v>
      </c>
      <c r="D21417" s="2" t="s">
        <v>1272</v>
      </c>
      <c r="E21417" s="2"/>
      <c r="F21417" s="2" t="str">
        <f>"9783318066302"</f>
        <v>9783318066302</v>
      </c>
    </row>
    <row r="21418" spans="1:6" s="3" customFormat="1" ht="29.1" customHeight="1" x14ac:dyDescent="0.25">
      <c r="A21418" s="2" t="s">
        <v>41957</v>
      </c>
      <c r="B21418" s="2" t="s">
        <v>41958</v>
      </c>
      <c r="C21418" s="2" t="s">
        <v>36</v>
      </c>
      <c r="D21418" s="2" t="s">
        <v>1717</v>
      </c>
      <c r="E21418" s="2" t="str">
        <f>"9781447353126"</f>
        <v>9781447353126</v>
      </c>
      <c r="F21418" s="2" t="str">
        <f>"9781447354093"</f>
        <v>9781447354093</v>
      </c>
    </row>
    <row r="21419" spans="1:6" s="3" customFormat="1" ht="29.1" customHeight="1" x14ac:dyDescent="0.25">
      <c r="A21419" s="2" t="s">
        <v>41959</v>
      </c>
      <c r="B21419" s="2" t="s">
        <v>41960</v>
      </c>
      <c r="C21419" s="2" t="s">
        <v>36</v>
      </c>
      <c r="D21419" s="2" t="s">
        <v>34460</v>
      </c>
      <c r="E21419" s="2" t="str">
        <f>"9781447354017"</f>
        <v>9781447354017</v>
      </c>
      <c r="F21419" s="2" t="str">
        <f>"9781447354024"</f>
        <v>9781447354024</v>
      </c>
    </row>
    <row r="21420" spans="1:6" s="3" customFormat="1" ht="29.1" customHeight="1" x14ac:dyDescent="0.25">
      <c r="A21420" s="2" t="s">
        <v>1280</v>
      </c>
      <c r="B21420" s="2" t="s">
        <v>41961</v>
      </c>
      <c r="C21420" s="2" t="s">
        <v>1070</v>
      </c>
      <c r="D21420" s="2" t="s">
        <v>1071</v>
      </c>
      <c r="E21420" s="2" t="str">
        <f>"9781910797679"</f>
        <v>9781910797679</v>
      </c>
      <c r="F21420" s="2" t="str">
        <f>"9781910797686"</f>
        <v>9781910797686</v>
      </c>
    </row>
    <row r="21421" spans="1:6" s="3" customFormat="1" ht="29.1" customHeight="1" x14ac:dyDescent="0.25">
      <c r="A21421" s="2" t="s">
        <v>41962</v>
      </c>
      <c r="B21421" s="2" t="s">
        <v>41963</v>
      </c>
      <c r="C21421" s="2" t="s">
        <v>1070</v>
      </c>
      <c r="D21421" s="2" t="s">
        <v>1530</v>
      </c>
      <c r="E21421" s="2" t="str">
        <f>"9783318066357"</f>
        <v>9783318066357</v>
      </c>
      <c r="F21421" s="2" t="str">
        <f>"9783318066364"</f>
        <v>9783318066364</v>
      </c>
    </row>
    <row r="21422" spans="1:6" s="3" customFormat="1" ht="29.1" customHeight="1" x14ac:dyDescent="0.25">
      <c r="A21422" s="2" t="s">
        <v>1525</v>
      </c>
      <c r="B21422" s="2" t="s">
        <v>41964</v>
      </c>
      <c r="C21422" s="2" t="s">
        <v>1070</v>
      </c>
      <c r="D21422" s="2" t="s">
        <v>1265</v>
      </c>
      <c r="E21422" s="2" t="str">
        <f>"9783318066326"</f>
        <v>9783318066326</v>
      </c>
      <c r="F21422" s="2" t="str">
        <f>"9783318066333"</f>
        <v>9783318066333</v>
      </c>
    </row>
    <row r="21423" spans="1:6" s="3" customFormat="1" ht="29.1" customHeight="1" x14ac:dyDescent="0.25">
      <c r="A21423" s="2" t="s">
        <v>41965</v>
      </c>
      <c r="B21423" s="2" t="s">
        <v>41966</v>
      </c>
      <c r="C21423" s="2" t="s">
        <v>1070</v>
      </c>
      <c r="D21423" s="2" t="s">
        <v>1071</v>
      </c>
      <c r="E21423" s="2" t="str">
        <f>"9781912776702"</f>
        <v>9781912776702</v>
      </c>
      <c r="F21423" s="2" t="str">
        <f>"9781912776719"</f>
        <v>9781912776719</v>
      </c>
    </row>
    <row r="21424" spans="1:6" s="3" customFormat="1" ht="29.1" customHeight="1" x14ac:dyDescent="0.25">
      <c r="A21424" s="2" t="s">
        <v>1527</v>
      </c>
      <c r="B21424" s="2" t="s">
        <v>41967</v>
      </c>
      <c r="C21424" s="2" t="s">
        <v>1070</v>
      </c>
      <c r="D21424" s="2" t="s">
        <v>1272</v>
      </c>
      <c r="E21424" s="2" t="str">
        <f>"9781912776115"</f>
        <v>9781912776115</v>
      </c>
      <c r="F21424" s="2" t="str">
        <f>"9781912776122"</f>
        <v>9781912776122</v>
      </c>
    </row>
    <row r="21425" spans="1:6" s="3" customFormat="1" ht="29.1" customHeight="1" x14ac:dyDescent="0.25">
      <c r="A21425" s="2" t="s">
        <v>1529</v>
      </c>
      <c r="B21425" s="2" t="s">
        <v>41968</v>
      </c>
      <c r="C21425" s="2" t="s">
        <v>1070</v>
      </c>
      <c r="D21425" s="2" t="s">
        <v>1530</v>
      </c>
      <c r="E21425" s="2" t="str">
        <f>"9781912776214"</f>
        <v>9781912776214</v>
      </c>
      <c r="F21425" s="2" t="str">
        <f>"9781912776221"</f>
        <v>9781912776221</v>
      </c>
    </row>
    <row r="21426" spans="1:6" s="3" customFormat="1" ht="29.1" customHeight="1" x14ac:dyDescent="0.25">
      <c r="A21426" s="2" t="s">
        <v>41969</v>
      </c>
      <c r="B21426" s="2" t="s">
        <v>41970</v>
      </c>
      <c r="C21426" s="2" t="s">
        <v>927</v>
      </c>
      <c r="D21426" s="2" t="s">
        <v>270</v>
      </c>
      <c r="E21426" s="2" t="str">
        <f>"9780472131747"</f>
        <v>9780472131747</v>
      </c>
      <c r="F21426" s="2" t="str">
        <f>"9780472126439"</f>
        <v>9780472126439</v>
      </c>
    </row>
    <row r="21427" spans="1:6" s="3" customFormat="1" ht="29.1" customHeight="1" x14ac:dyDescent="0.25">
      <c r="A21427" s="2" t="s">
        <v>1532</v>
      </c>
      <c r="B21427" s="2" t="s">
        <v>41971</v>
      </c>
      <c r="C21427" s="2" t="s">
        <v>1070</v>
      </c>
      <c r="D21427" s="2" t="s">
        <v>1265</v>
      </c>
      <c r="E21427" s="2" t="str">
        <f>"9781910797594"</f>
        <v>9781910797594</v>
      </c>
      <c r="F21427" s="2" t="str">
        <f>"9781910797600"</f>
        <v>9781910797600</v>
      </c>
    </row>
    <row r="21428" spans="1:6" s="3" customFormat="1" ht="29.1" customHeight="1" x14ac:dyDescent="0.25">
      <c r="A21428" s="2" t="s">
        <v>41972</v>
      </c>
      <c r="B21428" s="2" t="s">
        <v>41973</v>
      </c>
      <c r="C21428" s="2" t="s">
        <v>4104</v>
      </c>
      <c r="D21428" s="2" t="s">
        <v>23725</v>
      </c>
      <c r="E21428" s="2" t="str">
        <f>"9781789620177"</f>
        <v>9781789620177</v>
      </c>
      <c r="F21428" s="2" t="str">
        <f>"9781789624342"</f>
        <v>9781789624342</v>
      </c>
    </row>
    <row r="21429" spans="1:6" s="3" customFormat="1" ht="29.1" customHeight="1" x14ac:dyDescent="0.25">
      <c r="A21429" s="2" t="s">
        <v>41974</v>
      </c>
      <c r="B21429" s="2" t="s">
        <v>41976</v>
      </c>
      <c r="C21429" s="2" t="s">
        <v>4104</v>
      </c>
      <c r="D21429" s="2" t="s">
        <v>41975</v>
      </c>
      <c r="E21429" s="2" t="str">
        <f>"9781789620801"</f>
        <v>9781789620801</v>
      </c>
      <c r="F21429" s="2" t="str">
        <f>"9781789624915"</f>
        <v>9781789624915</v>
      </c>
    </row>
    <row r="21430" spans="1:6" s="3" customFormat="1" ht="29.1" customHeight="1" x14ac:dyDescent="0.25">
      <c r="A21430" s="2" t="s">
        <v>41977</v>
      </c>
      <c r="B21430" s="2" t="s">
        <v>41978</v>
      </c>
      <c r="C21430" s="2" t="s">
        <v>20</v>
      </c>
      <c r="D21430" s="2" t="s">
        <v>17658</v>
      </c>
      <c r="E21430" s="2" t="str">
        <f>"9783763960712"</f>
        <v>9783763960712</v>
      </c>
      <c r="F21430" s="2" t="str">
        <f>"9783763960729"</f>
        <v>9783763960729</v>
      </c>
    </row>
    <row r="21431" spans="1:6" s="3" customFormat="1" ht="29.1" customHeight="1" x14ac:dyDescent="0.25">
      <c r="A21431" s="2" t="s">
        <v>41979</v>
      </c>
      <c r="B21431" s="2" t="s">
        <v>41980</v>
      </c>
      <c r="C21431" s="2" t="s">
        <v>195</v>
      </c>
      <c r="D21431" s="2" t="s">
        <v>446</v>
      </c>
      <c r="E21431" s="2" t="str">
        <f>"9783110683301"</f>
        <v>9783110683301</v>
      </c>
      <c r="F21431" s="2" t="str">
        <f>"9783110683363"</f>
        <v>9783110683363</v>
      </c>
    </row>
    <row r="21432" spans="1:6" s="3" customFormat="1" ht="29.1" customHeight="1" x14ac:dyDescent="0.25">
      <c r="A21432" s="2" t="s">
        <v>41981</v>
      </c>
      <c r="B21432" s="2" t="s">
        <v>41982</v>
      </c>
      <c r="C21432" s="2" t="s">
        <v>327</v>
      </c>
      <c r="D21432" s="2" t="s">
        <v>465</v>
      </c>
      <c r="E21432" s="2" t="str">
        <f>"9788381426800"</f>
        <v>9788381426800</v>
      </c>
      <c r="F21432" s="2" t="str">
        <f>"9788381426817"</f>
        <v>9788381426817</v>
      </c>
    </row>
    <row r="21433" spans="1:6" s="3" customFormat="1" ht="29.1" customHeight="1" x14ac:dyDescent="0.25">
      <c r="A21433" s="2" t="s">
        <v>41983</v>
      </c>
      <c r="B21433" s="2" t="s">
        <v>41984</v>
      </c>
      <c r="C21433" s="2" t="s">
        <v>327</v>
      </c>
      <c r="D21433" s="2" t="s">
        <v>28277</v>
      </c>
      <c r="E21433" s="2" t="str">
        <f>"9788381426534"</f>
        <v>9788381426534</v>
      </c>
      <c r="F21433" s="2" t="str">
        <f>"9788381426541"</f>
        <v>9788381426541</v>
      </c>
    </row>
    <row r="21434" spans="1:6" s="3" customFormat="1" ht="29.1" customHeight="1" x14ac:dyDescent="0.25">
      <c r="A21434" s="2" t="s">
        <v>41985</v>
      </c>
      <c r="B21434" s="2" t="s">
        <v>41986</v>
      </c>
      <c r="C21434" s="2" t="s">
        <v>327</v>
      </c>
      <c r="D21434" s="2" t="s">
        <v>2411</v>
      </c>
      <c r="E21434" s="2" t="str">
        <f>"9788381426190"</f>
        <v>9788381426190</v>
      </c>
      <c r="F21434" s="2" t="str">
        <f>"9788381426206"</f>
        <v>9788381426206</v>
      </c>
    </row>
    <row r="21435" spans="1:6" s="3" customFormat="1" ht="29.1" customHeight="1" x14ac:dyDescent="0.25">
      <c r="A21435" s="2" t="s">
        <v>41987</v>
      </c>
      <c r="B21435" s="2" t="s">
        <v>41988</v>
      </c>
      <c r="C21435" s="2" t="s">
        <v>327</v>
      </c>
      <c r="D21435" s="2" t="s">
        <v>490</v>
      </c>
      <c r="E21435" s="2" t="str">
        <f>"9788381425681"</f>
        <v>9788381425681</v>
      </c>
      <c r="F21435" s="2" t="str">
        <f>"9788381425698"</f>
        <v>9788381425698</v>
      </c>
    </row>
    <row r="21436" spans="1:6" s="3" customFormat="1" ht="29.1" customHeight="1" x14ac:dyDescent="0.25">
      <c r="A21436" s="2" t="s">
        <v>41989</v>
      </c>
      <c r="B21436" s="2" t="s">
        <v>41990</v>
      </c>
      <c r="C21436" s="2" t="s">
        <v>327</v>
      </c>
      <c r="D21436" s="2" t="s">
        <v>7555</v>
      </c>
      <c r="E21436" s="2" t="str">
        <f>"9788381424530"</f>
        <v>9788381424530</v>
      </c>
      <c r="F21436" s="2" t="str">
        <f>"9788381424547"</f>
        <v>9788381424547</v>
      </c>
    </row>
    <row r="21437" spans="1:6" s="3" customFormat="1" ht="29.1" customHeight="1" x14ac:dyDescent="0.25">
      <c r="A21437" s="2" t="s">
        <v>41991</v>
      </c>
      <c r="B21437" s="2" t="s">
        <v>41992</v>
      </c>
      <c r="C21437" s="2" t="s">
        <v>595</v>
      </c>
      <c r="D21437" s="2" t="s">
        <v>1927</v>
      </c>
      <c r="E21437" s="2" t="str">
        <f>"9782807613515"</f>
        <v>9782807613515</v>
      </c>
      <c r="F21437" s="2" t="str">
        <f>"9782807613522"</f>
        <v>9782807613522</v>
      </c>
    </row>
    <row r="21438" spans="1:6" s="3" customFormat="1" ht="29.1" customHeight="1" x14ac:dyDescent="0.25">
      <c r="A21438" s="2" t="s">
        <v>41993</v>
      </c>
      <c r="B21438" s="2" t="s">
        <v>41994</v>
      </c>
      <c r="C21438" s="2" t="s">
        <v>595</v>
      </c>
      <c r="D21438" s="2" t="s">
        <v>459</v>
      </c>
      <c r="E21438" s="2" t="str">
        <f>"9783631804414"</f>
        <v>9783631804414</v>
      </c>
      <c r="F21438" s="2" t="str">
        <f>"9783631804711"</f>
        <v>9783631804711</v>
      </c>
    </row>
    <row r="21439" spans="1:6" s="3" customFormat="1" ht="29.1" customHeight="1" x14ac:dyDescent="0.25">
      <c r="A21439" s="2" t="s">
        <v>41995</v>
      </c>
      <c r="B21439" s="2" t="s">
        <v>41996</v>
      </c>
      <c r="C21439" s="2" t="s">
        <v>556</v>
      </c>
      <c r="D21439" s="2" t="s">
        <v>11537</v>
      </c>
      <c r="E21439" s="2" t="str">
        <f>"9783837648027"</f>
        <v>9783837648027</v>
      </c>
      <c r="F21439" s="2" t="str">
        <f>"9783839448021"</f>
        <v>9783839448021</v>
      </c>
    </row>
    <row r="21440" spans="1:6" s="3" customFormat="1" ht="29.1" customHeight="1" x14ac:dyDescent="0.25">
      <c r="A21440" s="2" t="s">
        <v>41997</v>
      </c>
      <c r="B21440" s="2" t="s">
        <v>41998</v>
      </c>
      <c r="C21440" s="2" t="s">
        <v>556</v>
      </c>
      <c r="D21440" s="2" t="s">
        <v>446</v>
      </c>
      <c r="E21440" s="2" t="str">
        <f>"9783837647204"</f>
        <v>9783837647204</v>
      </c>
      <c r="F21440" s="2" t="str">
        <f>"9783839447208"</f>
        <v>9783839447208</v>
      </c>
    </row>
    <row r="21441" spans="1:6" s="3" customFormat="1" ht="29.1" customHeight="1" x14ac:dyDescent="0.25">
      <c r="A21441" s="2" t="s">
        <v>41999</v>
      </c>
      <c r="B21441" s="2" t="s">
        <v>42000</v>
      </c>
      <c r="C21441" s="2" t="s">
        <v>29</v>
      </c>
      <c r="D21441" s="2" t="s">
        <v>24</v>
      </c>
      <c r="E21441" s="2" t="str">
        <f>"9789004425309"</f>
        <v>9789004425309</v>
      </c>
      <c r="F21441" s="2" t="str">
        <f>"9789004425316"</f>
        <v>9789004425316</v>
      </c>
    </row>
    <row r="21442" spans="1:6" s="3" customFormat="1" ht="29.1" customHeight="1" x14ac:dyDescent="0.25">
      <c r="A21442" s="2" t="s">
        <v>42001</v>
      </c>
      <c r="B21442" s="2" t="s">
        <v>42002</v>
      </c>
      <c r="C21442" s="2" t="s">
        <v>605</v>
      </c>
      <c r="D21442" s="2" t="s">
        <v>606</v>
      </c>
      <c r="E21442" s="2" t="str">
        <f>"9789654067072"</f>
        <v>9789654067072</v>
      </c>
      <c r="F21442" s="2" t="str">
        <f>"9789654067089"</f>
        <v>9789654067089</v>
      </c>
    </row>
    <row r="21443" spans="1:6" s="3" customFormat="1" ht="29.1" customHeight="1" x14ac:dyDescent="0.25">
      <c r="A21443" s="2" t="s">
        <v>42003</v>
      </c>
      <c r="B21443" s="2" t="s">
        <v>15288</v>
      </c>
      <c r="C21443" s="2" t="s">
        <v>149</v>
      </c>
      <c r="D21443" s="2" t="s">
        <v>11621</v>
      </c>
      <c r="E21443" s="2" t="str">
        <f>"9781783748570"</f>
        <v>9781783748570</v>
      </c>
      <c r="F21443" s="2" t="str">
        <f>"9781783748594"</f>
        <v>9781783748594</v>
      </c>
    </row>
    <row r="21444" spans="1:6" s="3" customFormat="1" ht="29.1" customHeight="1" x14ac:dyDescent="0.25">
      <c r="A21444" s="2" t="s">
        <v>42004</v>
      </c>
      <c r="B21444" s="2" t="s">
        <v>15288</v>
      </c>
      <c r="C21444" s="2" t="s">
        <v>149</v>
      </c>
      <c r="D21444" s="2" t="s">
        <v>11621</v>
      </c>
      <c r="E21444" s="2" t="str">
        <f>"9781783746750"</f>
        <v>9781783746750</v>
      </c>
      <c r="F21444" s="2" t="str">
        <f>"9781783746774"</f>
        <v>9781783746774</v>
      </c>
    </row>
    <row r="21445" spans="1:6" s="3" customFormat="1" ht="29.1" customHeight="1" x14ac:dyDescent="0.25">
      <c r="A21445" s="2" t="s">
        <v>42005</v>
      </c>
      <c r="B21445" s="2" t="s">
        <v>42006</v>
      </c>
      <c r="C21445" s="2" t="s">
        <v>124</v>
      </c>
      <c r="D21445" s="2" t="s">
        <v>9810</v>
      </c>
      <c r="E21445" s="2" t="str">
        <f>"9781041182955"</f>
        <v>9781041182955</v>
      </c>
      <c r="F21445" s="2" t="str">
        <f>"9781040773390"</f>
        <v>9781040773390</v>
      </c>
    </row>
    <row r="21446" spans="1:6" s="3" customFormat="1" ht="29.1" customHeight="1" x14ac:dyDescent="0.25">
      <c r="A21446" s="2" t="s">
        <v>42007</v>
      </c>
      <c r="B21446" s="2" t="s">
        <v>42008</v>
      </c>
      <c r="C21446" s="2" t="s">
        <v>15381</v>
      </c>
      <c r="D21446" s="2" t="s">
        <v>11528</v>
      </c>
      <c r="E21446" s="2" t="str">
        <f>"9781469655222"</f>
        <v>9781469655222</v>
      </c>
      <c r="F21446" s="2" t="str">
        <f>"9781469655246"</f>
        <v>9781469655246</v>
      </c>
    </row>
    <row r="21447" spans="1:6" s="3" customFormat="1" ht="29.1" customHeight="1" x14ac:dyDescent="0.25">
      <c r="A21447" s="2" t="s">
        <v>42009</v>
      </c>
      <c r="B21447" s="2" t="s">
        <v>42010</v>
      </c>
      <c r="C21447" s="2" t="s">
        <v>2516</v>
      </c>
      <c r="D21447" s="2" t="s">
        <v>20797</v>
      </c>
      <c r="E21447" s="2" t="str">
        <f>"9788021094543"</f>
        <v>9788021094543</v>
      </c>
      <c r="F21447" s="2" t="str">
        <f>"9788021094550"</f>
        <v>9788021094550</v>
      </c>
    </row>
    <row r="21448" spans="1:6" s="3" customFormat="1" ht="29.1" customHeight="1" x14ac:dyDescent="0.25">
      <c r="A21448" s="2" t="s">
        <v>42011</v>
      </c>
      <c r="B21448" s="2" t="s">
        <v>42012</v>
      </c>
      <c r="C21448" s="2" t="s">
        <v>927</v>
      </c>
      <c r="D21448" s="2" t="s">
        <v>33</v>
      </c>
      <c r="E21448" s="2" t="str">
        <f>"9780472131792"</f>
        <v>9780472131792</v>
      </c>
      <c r="F21448" s="2" t="str">
        <f>"9780472126514"</f>
        <v>9780472126514</v>
      </c>
    </row>
    <row r="21449" spans="1:6" s="3" customFormat="1" ht="29.1" customHeight="1" x14ac:dyDescent="0.25">
      <c r="A21449" s="2" t="s">
        <v>42013</v>
      </c>
      <c r="B21449" s="2" t="s">
        <v>42014</v>
      </c>
      <c r="C21449" s="2" t="s">
        <v>316</v>
      </c>
      <c r="D21449" s="2" t="s">
        <v>317</v>
      </c>
      <c r="E21449" s="2" t="str">
        <f>"9783035714029"</f>
        <v>9783035714029</v>
      </c>
      <c r="F21449" s="2" t="str">
        <f>"9783035734027"</f>
        <v>9783035734027</v>
      </c>
    </row>
    <row r="21450" spans="1:6" s="3" customFormat="1" ht="29.1" customHeight="1" x14ac:dyDescent="0.25">
      <c r="A21450" s="2" t="s">
        <v>42015</v>
      </c>
      <c r="B21450" s="2" t="s">
        <v>42016</v>
      </c>
      <c r="C21450" s="2" t="s">
        <v>248</v>
      </c>
      <c r="D21450" s="2" t="s">
        <v>3523</v>
      </c>
      <c r="E21450" s="2" t="str">
        <f>"9783847423775"</f>
        <v>9783847423775</v>
      </c>
      <c r="F21450" s="2" t="str">
        <f>"9783847415145"</f>
        <v>9783847415145</v>
      </c>
    </row>
    <row r="21451" spans="1:6" s="3" customFormat="1" ht="29.1" customHeight="1" x14ac:dyDescent="0.25">
      <c r="A21451" s="2" t="s">
        <v>42017</v>
      </c>
      <c r="B21451" s="2" t="s">
        <v>42018</v>
      </c>
      <c r="C21451" s="2" t="s">
        <v>15885</v>
      </c>
      <c r="D21451" s="2" t="s">
        <v>606</v>
      </c>
      <c r="E21451" s="2"/>
      <c r="F21451" s="2" t="str">
        <f>"9781947372337"</f>
        <v>9781947372337</v>
      </c>
    </row>
    <row r="21452" spans="1:6" s="3" customFormat="1" ht="29.1" customHeight="1" x14ac:dyDescent="0.25">
      <c r="A21452" s="2" t="s">
        <v>42019</v>
      </c>
      <c r="B21452" s="2" t="s">
        <v>42020</v>
      </c>
      <c r="C21452" s="2" t="s">
        <v>15885</v>
      </c>
      <c r="D21452" s="2" t="s">
        <v>818</v>
      </c>
      <c r="E21452" s="2"/>
      <c r="F21452" s="2" t="str">
        <f>"9781947372016"</f>
        <v>9781947372016</v>
      </c>
    </row>
    <row r="21453" spans="1:6" s="3" customFormat="1" ht="29.1" customHeight="1" x14ac:dyDescent="0.25">
      <c r="A21453" s="2" t="s">
        <v>42021</v>
      </c>
      <c r="B21453" s="2" t="s">
        <v>42022</v>
      </c>
      <c r="C21453" s="2" t="s">
        <v>15885</v>
      </c>
      <c r="D21453" s="2" t="s">
        <v>5571</v>
      </c>
      <c r="E21453" s="2"/>
      <c r="F21453" s="2" t="str">
        <f>"9781947372399"</f>
        <v>9781947372399</v>
      </c>
    </row>
    <row r="21454" spans="1:6" s="3" customFormat="1" ht="29.1" customHeight="1" x14ac:dyDescent="0.25">
      <c r="A21454" s="2" t="s">
        <v>42023</v>
      </c>
      <c r="B21454" s="2" t="s">
        <v>42024</v>
      </c>
      <c r="C21454" s="2" t="s">
        <v>15885</v>
      </c>
      <c r="D21454" s="2" t="s">
        <v>5571</v>
      </c>
      <c r="E21454" s="2"/>
      <c r="F21454" s="2" t="str">
        <f>"9781947372269"</f>
        <v>9781947372269</v>
      </c>
    </row>
    <row r="21455" spans="1:6" s="3" customFormat="1" ht="29.1" customHeight="1" x14ac:dyDescent="0.25">
      <c r="A21455" s="2" t="s">
        <v>42025</v>
      </c>
      <c r="B21455" s="2" t="s">
        <v>42026</v>
      </c>
      <c r="C21455" s="2" t="s">
        <v>15885</v>
      </c>
      <c r="D21455" s="2" t="s">
        <v>606</v>
      </c>
      <c r="E21455" s="2" t="str">
        <f>"9781947372702"</f>
        <v>9781947372702</v>
      </c>
      <c r="F21455" s="2" t="str">
        <f>"9781947372719"</f>
        <v>9781947372719</v>
      </c>
    </row>
    <row r="21456" spans="1:6" s="3" customFormat="1" ht="29.1" customHeight="1" x14ac:dyDescent="0.25">
      <c r="A21456" s="2" t="s">
        <v>42027</v>
      </c>
      <c r="B21456" s="2" t="s">
        <v>42028</v>
      </c>
      <c r="C21456" s="2" t="s">
        <v>15885</v>
      </c>
      <c r="D21456" s="2" t="s">
        <v>5571</v>
      </c>
      <c r="E21456" s="2"/>
      <c r="F21456" s="2" t="str">
        <f>"9781947372696"</f>
        <v>9781947372696</v>
      </c>
    </row>
    <row r="21457" spans="1:6" s="3" customFormat="1" ht="29.1" customHeight="1" x14ac:dyDescent="0.25">
      <c r="A21457" s="2" t="s">
        <v>42029</v>
      </c>
      <c r="B21457" s="2" t="s">
        <v>42031</v>
      </c>
      <c r="C21457" s="2" t="s">
        <v>15885</v>
      </c>
      <c r="D21457" s="2" t="s">
        <v>42030</v>
      </c>
      <c r="E21457" s="2"/>
      <c r="F21457" s="2" t="str">
        <f>"9781947372238"</f>
        <v>9781947372238</v>
      </c>
    </row>
    <row r="21458" spans="1:6" s="3" customFormat="1" ht="29.1" customHeight="1" x14ac:dyDescent="0.25">
      <c r="A21458" s="2" t="s">
        <v>42032</v>
      </c>
      <c r="B21458" s="2" t="s">
        <v>42033</v>
      </c>
      <c r="C21458" s="2" t="s">
        <v>15885</v>
      </c>
      <c r="D21458" s="2" t="s">
        <v>5571</v>
      </c>
      <c r="E21458" s="2"/>
      <c r="F21458" s="2" t="str">
        <f>"9781947372054"</f>
        <v>9781947372054</v>
      </c>
    </row>
    <row r="21459" spans="1:6" s="3" customFormat="1" ht="29.1" customHeight="1" x14ac:dyDescent="0.25">
      <c r="A21459" s="2" t="s">
        <v>42034</v>
      </c>
      <c r="B21459" s="2" t="s">
        <v>42035</v>
      </c>
      <c r="C21459" s="2" t="s">
        <v>15885</v>
      </c>
      <c r="D21459" s="2" t="s">
        <v>5571</v>
      </c>
      <c r="E21459" s="2"/>
      <c r="F21459" s="2" t="str">
        <f>"9781947372658"</f>
        <v>9781947372658</v>
      </c>
    </row>
    <row r="21460" spans="1:6" s="3" customFormat="1" ht="29.1" customHeight="1" x14ac:dyDescent="0.25">
      <c r="A21460" s="2" t="s">
        <v>42036</v>
      </c>
      <c r="B21460" s="2" t="s">
        <v>42037</v>
      </c>
      <c r="C21460" s="2" t="s">
        <v>15885</v>
      </c>
      <c r="D21460" s="2" t="s">
        <v>5571</v>
      </c>
      <c r="E21460" s="2"/>
      <c r="F21460" s="2" t="str">
        <f>"9781947372375"</f>
        <v>9781947372375</v>
      </c>
    </row>
    <row r="21461" spans="1:6" s="3" customFormat="1" ht="29.1" customHeight="1" x14ac:dyDescent="0.25">
      <c r="A21461" s="2" t="s">
        <v>42038</v>
      </c>
      <c r="B21461" s="2" t="s">
        <v>42039</v>
      </c>
      <c r="C21461" s="2" t="s">
        <v>15885</v>
      </c>
      <c r="D21461" s="2" t="s">
        <v>8388</v>
      </c>
      <c r="E21461" s="2"/>
      <c r="F21461" s="2" t="str">
        <f>"9781947372610"</f>
        <v>9781947372610</v>
      </c>
    </row>
    <row r="21462" spans="1:6" s="3" customFormat="1" ht="29.1" customHeight="1" x14ac:dyDescent="0.25">
      <c r="A21462" s="2" t="s">
        <v>42040</v>
      </c>
      <c r="B21462" s="2" t="s">
        <v>42041</v>
      </c>
      <c r="C21462" s="2" t="s">
        <v>15885</v>
      </c>
      <c r="D21462" s="2" t="s">
        <v>5571</v>
      </c>
      <c r="E21462" s="2"/>
      <c r="F21462" s="2" t="str">
        <f>"9781947372535"</f>
        <v>9781947372535</v>
      </c>
    </row>
    <row r="21463" spans="1:6" s="3" customFormat="1" ht="29.1" customHeight="1" x14ac:dyDescent="0.25">
      <c r="A21463" s="2" t="s">
        <v>42042</v>
      </c>
      <c r="B21463" s="2" t="s">
        <v>42043</v>
      </c>
      <c r="C21463" s="2" t="s">
        <v>15885</v>
      </c>
      <c r="D21463" s="2" t="s">
        <v>5571</v>
      </c>
      <c r="E21463" s="2"/>
      <c r="F21463" s="2" t="str">
        <f>"9781947372290"</f>
        <v>9781947372290</v>
      </c>
    </row>
    <row r="21464" spans="1:6" s="3" customFormat="1" ht="29.1" customHeight="1" x14ac:dyDescent="0.25">
      <c r="A21464" s="2" t="s">
        <v>42044</v>
      </c>
      <c r="B21464" s="2" t="s">
        <v>42045</v>
      </c>
      <c r="C21464" s="2" t="s">
        <v>15885</v>
      </c>
      <c r="D21464" s="2" t="s">
        <v>5571</v>
      </c>
      <c r="E21464" s="2" t="str">
        <f>"9781947372665"</f>
        <v>9781947372665</v>
      </c>
      <c r="F21464" s="2" t="str">
        <f>"9781947372672"</f>
        <v>9781947372672</v>
      </c>
    </row>
    <row r="21465" spans="1:6" s="3" customFormat="1" ht="29.1" customHeight="1" x14ac:dyDescent="0.25">
      <c r="A21465" s="2" t="s">
        <v>42046</v>
      </c>
      <c r="B21465" s="2" t="s">
        <v>42047</v>
      </c>
      <c r="C21465" s="2" t="s">
        <v>15885</v>
      </c>
      <c r="D21465" s="2" t="s">
        <v>5571</v>
      </c>
      <c r="E21465" s="2"/>
      <c r="F21465" s="2" t="str">
        <f>"9781947372474"</f>
        <v>9781947372474</v>
      </c>
    </row>
    <row r="21466" spans="1:6" s="3" customFormat="1" ht="29.1" customHeight="1" x14ac:dyDescent="0.25">
      <c r="A21466" s="2" t="s">
        <v>42048</v>
      </c>
      <c r="B21466" s="2" t="s">
        <v>42049</v>
      </c>
      <c r="C21466" s="2" t="s">
        <v>15885</v>
      </c>
      <c r="D21466" s="2" t="s">
        <v>17791</v>
      </c>
      <c r="E21466" s="2"/>
      <c r="F21466" s="2" t="str">
        <f>"9781947372498"</f>
        <v>9781947372498</v>
      </c>
    </row>
    <row r="21467" spans="1:6" s="3" customFormat="1" ht="29.1" customHeight="1" x14ac:dyDescent="0.25">
      <c r="A21467" s="2" t="s">
        <v>42050</v>
      </c>
      <c r="B21467" s="2" t="s">
        <v>42051</v>
      </c>
      <c r="C21467" s="2" t="s">
        <v>15885</v>
      </c>
      <c r="D21467" s="2" t="s">
        <v>5571</v>
      </c>
      <c r="E21467" s="2"/>
      <c r="F21467" s="2" t="str">
        <f>"9781947372177"</f>
        <v>9781947372177</v>
      </c>
    </row>
    <row r="21468" spans="1:6" s="3" customFormat="1" ht="29.1" customHeight="1" x14ac:dyDescent="0.25">
      <c r="A21468" s="2" t="s">
        <v>42052</v>
      </c>
      <c r="B21468" s="2" t="s">
        <v>42053</v>
      </c>
      <c r="C21468" s="2" t="s">
        <v>15885</v>
      </c>
      <c r="D21468" s="2" t="s">
        <v>5571</v>
      </c>
      <c r="E21468" s="2"/>
      <c r="F21468" s="2" t="str">
        <f>"9781947372436"</f>
        <v>9781947372436</v>
      </c>
    </row>
    <row r="21469" spans="1:6" s="3" customFormat="1" ht="29.1" customHeight="1" x14ac:dyDescent="0.25">
      <c r="A21469" s="2" t="s">
        <v>42054</v>
      </c>
      <c r="B21469" s="2" t="s">
        <v>42055</v>
      </c>
      <c r="C21469" s="2" t="s">
        <v>15885</v>
      </c>
      <c r="D21469" s="2" t="s">
        <v>5571</v>
      </c>
      <c r="E21469" s="2"/>
      <c r="F21469" s="2" t="str">
        <f>"9781947372092"</f>
        <v>9781947372092</v>
      </c>
    </row>
    <row r="21470" spans="1:6" s="3" customFormat="1" ht="29.1" customHeight="1" x14ac:dyDescent="0.25">
      <c r="A21470" s="2" t="s">
        <v>42056</v>
      </c>
      <c r="B21470" s="2" t="s">
        <v>42057</v>
      </c>
      <c r="C21470" s="2" t="s">
        <v>15885</v>
      </c>
      <c r="D21470" s="2" t="s">
        <v>5571</v>
      </c>
      <c r="E21470" s="2"/>
      <c r="F21470" s="2" t="str">
        <f>"9781947372771"</f>
        <v>9781947372771</v>
      </c>
    </row>
    <row r="21471" spans="1:6" s="3" customFormat="1" ht="29.1" customHeight="1" x14ac:dyDescent="0.25">
      <c r="A21471" s="2" t="s">
        <v>42058</v>
      </c>
      <c r="B21471" s="2" t="s">
        <v>42059</v>
      </c>
      <c r="C21471" s="2" t="s">
        <v>15885</v>
      </c>
      <c r="D21471" s="2" t="s">
        <v>5571</v>
      </c>
      <c r="E21471" s="2"/>
      <c r="F21471" s="2" t="str">
        <f>"9781947372146"</f>
        <v>9781947372146</v>
      </c>
    </row>
    <row r="21472" spans="1:6" s="3" customFormat="1" ht="29.1" customHeight="1" x14ac:dyDescent="0.25">
      <c r="A21472" s="2" t="s">
        <v>42060</v>
      </c>
      <c r="B21472" s="2" t="s">
        <v>42026</v>
      </c>
      <c r="C21472" s="2" t="s">
        <v>15885</v>
      </c>
      <c r="D21472" s="2" t="s">
        <v>5571</v>
      </c>
      <c r="E21472" s="2"/>
      <c r="F21472" s="2" t="str">
        <f>"9781947372450"</f>
        <v>9781947372450</v>
      </c>
    </row>
    <row r="21473" spans="1:6" s="3" customFormat="1" ht="29.1" customHeight="1" x14ac:dyDescent="0.25">
      <c r="A21473" s="2" t="s">
        <v>42061</v>
      </c>
      <c r="B21473" s="2" t="s">
        <v>42062</v>
      </c>
      <c r="C21473" s="2" t="s">
        <v>15885</v>
      </c>
      <c r="D21473" s="2" t="s">
        <v>5571</v>
      </c>
      <c r="E21473" s="2"/>
      <c r="F21473" s="2" t="str">
        <f>"9781947372412"</f>
        <v>9781947372412</v>
      </c>
    </row>
    <row r="21474" spans="1:6" s="3" customFormat="1" ht="29.1" customHeight="1" x14ac:dyDescent="0.25">
      <c r="A21474" s="2" t="s">
        <v>42063</v>
      </c>
      <c r="B21474" s="2" t="s">
        <v>42064</v>
      </c>
      <c r="C21474" s="2" t="s">
        <v>15885</v>
      </c>
      <c r="D21474" s="2" t="s">
        <v>5571</v>
      </c>
      <c r="E21474" s="2"/>
      <c r="F21474" s="2" t="str">
        <f>"9781947372078"</f>
        <v>9781947372078</v>
      </c>
    </row>
    <row r="21475" spans="1:6" s="3" customFormat="1" ht="29.1" customHeight="1" x14ac:dyDescent="0.25">
      <c r="A21475" s="2" t="s">
        <v>42065</v>
      </c>
      <c r="B21475" s="2" t="s">
        <v>42066</v>
      </c>
      <c r="C21475" s="2" t="s">
        <v>15885</v>
      </c>
      <c r="D21475" s="2" t="s">
        <v>5571</v>
      </c>
      <c r="E21475" s="2"/>
      <c r="F21475" s="2" t="str">
        <f>"9781947372559"</f>
        <v>9781947372559</v>
      </c>
    </row>
    <row r="21476" spans="1:6" s="3" customFormat="1" ht="29.1" customHeight="1" x14ac:dyDescent="0.25">
      <c r="A21476" s="2" t="s">
        <v>42067</v>
      </c>
      <c r="B21476" s="2" t="s">
        <v>42068</v>
      </c>
      <c r="C21476" s="2" t="s">
        <v>15885</v>
      </c>
      <c r="D21476" s="2" t="s">
        <v>5571</v>
      </c>
      <c r="E21476" s="2"/>
      <c r="F21476" s="2" t="str">
        <f>"9781947372634"</f>
        <v>9781947372634</v>
      </c>
    </row>
    <row r="21477" spans="1:6" s="3" customFormat="1" ht="29.1" customHeight="1" x14ac:dyDescent="0.25">
      <c r="A21477" s="2" t="s">
        <v>42069</v>
      </c>
      <c r="B21477" s="2" t="s">
        <v>42070</v>
      </c>
      <c r="C21477" s="2" t="s">
        <v>15885</v>
      </c>
      <c r="D21477" s="2" t="s">
        <v>5571</v>
      </c>
      <c r="E21477" s="2"/>
      <c r="F21477" s="2" t="str">
        <f>"9781947372160"</f>
        <v>9781947372160</v>
      </c>
    </row>
    <row r="21478" spans="1:6" s="3" customFormat="1" ht="29.1" customHeight="1" x14ac:dyDescent="0.25">
      <c r="A21478" s="2" t="s">
        <v>42071</v>
      </c>
      <c r="B21478" s="2" t="s">
        <v>42072</v>
      </c>
      <c r="C21478" s="2" t="s">
        <v>15885</v>
      </c>
      <c r="D21478" s="2" t="s">
        <v>5571</v>
      </c>
      <c r="E21478" s="2"/>
      <c r="F21478" s="2" t="str">
        <f>"9781947372573"</f>
        <v>9781947372573</v>
      </c>
    </row>
    <row r="21479" spans="1:6" s="3" customFormat="1" ht="29.1" customHeight="1" x14ac:dyDescent="0.25">
      <c r="A21479" s="2" t="s">
        <v>42073</v>
      </c>
      <c r="B21479" s="2" t="s">
        <v>42074</v>
      </c>
      <c r="C21479" s="2" t="s">
        <v>15885</v>
      </c>
      <c r="D21479" s="2" t="s">
        <v>5571</v>
      </c>
      <c r="E21479" s="2" t="str">
        <f>"9781947372191"</f>
        <v>9781947372191</v>
      </c>
      <c r="F21479" s="2" t="str">
        <f>"9781947372221"</f>
        <v>9781947372221</v>
      </c>
    </row>
    <row r="21480" spans="1:6" s="3" customFormat="1" ht="29.1" customHeight="1" x14ac:dyDescent="0.25">
      <c r="A21480" s="2" t="s">
        <v>42075</v>
      </c>
      <c r="B21480" s="2" t="s">
        <v>42076</v>
      </c>
      <c r="C21480" s="2" t="s">
        <v>15885</v>
      </c>
      <c r="D21480" s="2" t="s">
        <v>5571</v>
      </c>
      <c r="E21480" s="2"/>
      <c r="F21480" s="2" t="str">
        <f>"9781947372207"</f>
        <v>9781947372207</v>
      </c>
    </row>
    <row r="21481" spans="1:6" s="3" customFormat="1" ht="29.1" customHeight="1" x14ac:dyDescent="0.25">
      <c r="A21481" s="2" t="s">
        <v>42077</v>
      </c>
      <c r="B21481" s="2" t="s">
        <v>42078</v>
      </c>
      <c r="C21481" s="2" t="s">
        <v>15885</v>
      </c>
      <c r="D21481" s="2" t="s">
        <v>5571</v>
      </c>
      <c r="E21481" s="2"/>
      <c r="F21481" s="2" t="str">
        <f>"9781947372511"</f>
        <v>9781947372511</v>
      </c>
    </row>
    <row r="21482" spans="1:6" s="3" customFormat="1" ht="29.1" customHeight="1" x14ac:dyDescent="0.25">
      <c r="A21482" s="2" t="s">
        <v>42079</v>
      </c>
      <c r="B21482" s="2" t="s">
        <v>42080</v>
      </c>
      <c r="C21482" s="2" t="s">
        <v>15885</v>
      </c>
      <c r="D21482" s="2" t="s">
        <v>5571</v>
      </c>
      <c r="E21482" s="2"/>
      <c r="F21482" s="2" t="str">
        <f>"9781947372351"</f>
        <v>9781947372351</v>
      </c>
    </row>
    <row r="21483" spans="1:6" s="3" customFormat="1" ht="29.1" customHeight="1" x14ac:dyDescent="0.25">
      <c r="A21483" s="2" t="s">
        <v>42081</v>
      </c>
      <c r="B21483" s="2" t="s">
        <v>42082</v>
      </c>
      <c r="C21483" s="2" t="s">
        <v>15885</v>
      </c>
      <c r="D21483" s="2" t="s">
        <v>5571</v>
      </c>
      <c r="E21483" s="2"/>
      <c r="F21483" s="2" t="str">
        <f>"9781947372115"</f>
        <v>9781947372115</v>
      </c>
    </row>
    <row r="21484" spans="1:6" s="3" customFormat="1" ht="29.1" customHeight="1" x14ac:dyDescent="0.25">
      <c r="A21484" s="2" t="s">
        <v>42083</v>
      </c>
      <c r="B21484" s="2" t="s">
        <v>42084</v>
      </c>
      <c r="C21484" s="2" t="s">
        <v>15885</v>
      </c>
      <c r="D21484" s="2" t="s">
        <v>33876</v>
      </c>
      <c r="E21484" s="2"/>
      <c r="F21484" s="2" t="str">
        <f>"9781947372757"</f>
        <v>9781947372757</v>
      </c>
    </row>
    <row r="21485" spans="1:6" s="3" customFormat="1" ht="29.1" customHeight="1" x14ac:dyDescent="0.25">
      <c r="A21485" s="2" t="s">
        <v>42085</v>
      </c>
      <c r="B21485" s="2" t="s">
        <v>42086</v>
      </c>
      <c r="C21485" s="2" t="s">
        <v>15885</v>
      </c>
      <c r="D21485" s="2" t="s">
        <v>5571</v>
      </c>
      <c r="E21485" s="2"/>
      <c r="F21485" s="2" t="str">
        <f>"9781947372283"</f>
        <v>9781947372283</v>
      </c>
    </row>
    <row r="21486" spans="1:6" s="3" customFormat="1" ht="29.1" customHeight="1" x14ac:dyDescent="0.25">
      <c r="A21486" s="2" t="s">
        <v>42087</v>
      </c>
      <c r="B21486" s="2" t="s">
        <v>42088</v>
      </c>
      <c r="C21486" s="2" t="s">
        <v>15885</v>
      </c>
      <c r="D21486" s="2" t="s">
        <v>5571</v>
      </c>
      <c r="E21486" s="2"/>
      <c r="F21486" s="2" t="str">
        <f>"9781947372320"</f>
        <v>9781947372320</v>
      </c>
    </row>
    <row r="21487" spans="1:6" s="3" customFormat="1" ht="29.1" customHeight="1" x14ac:dyDescent="0.25">
      <c r="A21487" s="2" t="s">
        <v>42089</v>
      </c>
      <c r="B21487" s="2" t="s">
        <v>42090</v>
      </c>
      <c r="C21487" s="2" t="s">
        <v>15885</v>
      </c>
      <c r="D21487" s="2" t="s">
        <v>33876</v>
      </c>
      <c r="E21487" s="2"/>
      <c r="F21487" s="2" t="str">
        <f>"9781947372733"</f>
        <v>9781947372733</v>
      </c>
    </row>
    <row r="21488" spans="1:6" s="3" customFormat="1" ht="29.1" customHeight="1" x14ac:dyDescent="0.25">
      <c r="A21488" s="2" t="s">
        <v>42091</v>
      </c>
      <c r="B21488" s="2" t="s">
        <v>42092</v>
      </c>
      <c r="C21488" s="2" t="s">
        <v>15885</v>
      </c>
      <c r="D21488" s="2" t="s">
        <v>5571</v>
      </c>
      <c r="E21488" s="2"/>
      <c r="F21488" s="2" t="str">
        <f>"9781947372597"</f>
        <v>9781947372597</v>
      </c>
    </row>
    <row r="21489" spans="1:6" s="3" customFormat="1" ht="29.1" customHeight="1" x14ac:dyDescent="0.25">
      <c r="A21489" s="2" t="s">
        <v>42093</v>
      </c>
      <c r="B21489" s="2" t="s">
        <v>42094</v>
      </c>
      <c r="C21489" s="2" t="s">
        <v>15885</v>
      </c>
      <c r="D21489" s="2" t="s">
        <v>5571</v>
      </c>
      <c r="E21489" s="2"/>
      <c r="F21489" s="2" t="str">
        <f>"9781947372030"</f>
        <v>9781947372030</v>
      </c>
    </row>
    <row r="21490" spans="1:6" s="3" customFormat="1" ht="29.1" customHeight="1" x14ac:dyDescent="0.25">
      <c r="A21490" s="2" t="s">
        <v>42095</v>
      </c>
      <c r="B21490" s="2" t="s">
        <v>42096</v>
      </c>
      <c r="C21490" s="2" t="s">
        <v>556</v>
      </c>
      <c r="D21490" s="2" t="s">
        <v>3889</v>
      </c>
      <c r="E21490" s="2" t="str">
        <f>"9783837650938"</f>
        <v>9783837650938</v>
      </c>
      <c r="F21490" s="2" t="str">
        <f>"9783839450932"</f>
        <v>9783839450932</v>
      </c>
    </row>
    <row r="21491" spans="1:6" s="3" customFormat="1" ht="29.1" customHeight="1" x14ac:dyDescent="0.25">
      <c r="A21491" s="2" t="s">
        <v>42097</v>
      </c>
      <c r="B21491" s="2" t="s">
        <v>42098</v>
      </c>
      <c r="C21491" s="2" t="s">
        <v>556</v>
      </c>
      <c r="D21491" s="2" t="s">
        <v>636</v>
      </c>
      <c r="E21491" s="2" t="str">
        <f>"9783837650563"</f>
        <v>9783837650563</v>
      </c>
      <c r="F21491" s="2" t="str">
        <f>"9783839450567"</f>
        <v>9783839450567</v>
      </c>
    </row>
    <row r="21492" spans="1:6" s="3" customFormat="1" ht="29.1" customHeight="1" x14ac:dyDescent="0.25">
      <c r="A21492" s="2" t="s">
        <v>42099</v>
      </c>
      <c r="B21492" s="2" t="s">
        <v>42100</v>
      </c>
      <c r="C21492" s="2" t="s">
        <v>556</v>
      </c>
      <c r="D21492" s="2" t="s">
        <v>324</v>
      </c>
      <c r="E21492" s="2" t="str">
        <f>"9783837647907"</f>
        <v>9783837647907</v>
      </c>
      <c r="F21492" s="2" t="str">
        <f>"9783839447901"</f>
        <v>9783839447901</v>
      </c>
    </row>
    <row r="21493" spans="1:6" s="3" customFormat="1" ht="29.1" customHeight="1" x14ac:dyDescent="0.25">
      <c r="A21493" s="2" t="s">
        <v>42101</v>
      </c>
      <c r="B21493" s="2" t="s">
        <v>42102</v>
      </c>
      <c r="C21493" s="2" t="s">
        <v>264</v>
      </c>
      <c r="D21493" s="2" t="s">
        <v>4739</v>
      </c>
      <c r="E21493" s="2" t="str">
        <f>"9781138360716"</f>
        <v>9781138360716</v>
      </c>
      <c r="F21493" s="2" t="str">
        <f>"9780429432965"</f>
        <v>9780429432965</v>
      </c>
    </row>
    <row r="21494" spans="1:6" s="3" customFormat="1" ht="29.1" customHeight="1" x14ac:dyDescent="0.25">
      <c r="A21494" s="2" t="s">
        <v>42103</v>
      </c>
      <c r="B21494" s="2" t="s">
        <v>42104</v>
      </c>
      <c r="C21494" s="2" t="s">
        <v>595</v>
      </c>
      <c r="D21494" s="2" t="s">
        <v>1999</v>
      </c>
      <c r="E21494" s="2" t="str">
        <f>"9783631801529"</f>
        <v>9783631801529</v>
      </c>
      <c r="F21494" s="2" t="str">
        <f>"9783631808290"</f>
        <v>9783631808290</v>
      </c>
    </row>
    <row r="21495" spans="1:6" s="3" customFormat="1" ht="29.1" customHeight="1" x14ac:dyDescent="0.25">
      <c r="A21495" s="2" t="s">
        <v>42105</v>
      </c>
      <c r="B21495" s="2" t="s">
        <v>17277</v>
      </c>
      <c r="C21495" s="2" t="s">
        <v>595</v>
      </c>
      <c r="D21495" s="2" t="s">
        <v>17048</v>
      </c>
      <c r="E21495" s="2" t="str">
        <f>"9783631770658"</f>
        <v>9783631770658</v>
      </c>
      <c r="F21495" s="2" t="str">
        <f>"9783631797976"</f>
        <v>9783631797976</v>
      </c>
    </row>
    <row r="21496" spans="1:6" s="3" customFormat="1" ht="29.1" customHeight="1" x14ac:dyDescent="0.25">
      <c r="A21496" s="2" t="s">
        <v>42106</v>
      </c>
      <c r="B21496" s="2" t="s">
        <v>41022</v>
      </c>
      <c r="C21496" s="2" t="s">
        <v>595</v>
      </c>
      <c r="D21496" s="2" t="s">
        <v>210</v>
      </c>
      <c r="E21496" s="2" t="str">
        <f>"9783631801802"</f>
        <v>9783631801802</v>
      </c>
      <c r="F21496" s="2" t="str">
        <f>"9783631801819"</f>
        <v>9783631801819</v>
      </c>
    </row>
    <row r="21497" spans="1:6" s="3" customFormat="1" ht="29.1" customHeight="1" x14ac:dyDescent="0.25">
      <c r="A21497" s="2" t="s">
        <v>42107</v>
      </c>
      <c r="B21497" s="2" t="s">
        <v>42108</v>
      </c>
      <c r="C21497" s="2" t="s">
        <v>595</v>
      </c>
      <c r="D21497" s="2" t="s">
        <v>69</v>
      </c>
      <c r="E21497" s="2" t="str">
        <f>"9783631780374"</f>
        <v>9783631780374</v>
      </c>
      <c r="F21497" s="2" t="str">
        <f>"9783631801093"</f>
        <v>9783631801093</v>
      </c>
    </row>
    <row r="21498" spans="1:6" s="3" customFormat="1" ht="29.1" customHeight="1" x14ac:dyDescent="0.25">
      <c r="A21498" s="2" t="s">
        <v>42109</v>
      </c>
      <c r="B21498" s="2" t="s">
        <v>42110</v>
      </c>
      <c r="C21498" s="2" t="s">
        <v>595</v>
      </c>
      <c r="D21498" s="2" t="s">
        <v>175</v>
      </c>
      <c r="E21498" s="2" t="str">
        <f>"9783631770115"</f>
        <v>9783631770115</v>
      </c>
      <c r="F21498" s="2" t="str">
        <f>"9783631806043"</f>
        <v>9783631806043</v>
      </c>
    </row>
    <row r="21499" spans="1:6" s="3" customFormat="1" ht="29.1" customHeight="1" x14ac:dyDescent="0.25">
      <c r="A21499" s="2" t="s">
        <v>42111</v>
      </c>
      <c r="B21499" s="2" t="s">
        <v>42112</v>
      </c>
      <c r="C21499" s="2" t="s">
        <v>595</v>
      </c>
      <c r="D21499" s="2" t="s">
        <v>7000</v>
      </c>
      <c r="E21499" s="2" t="str">
        <f>"9783631803882"</f>
        <v>9783631803882</v>
      </c>
      <c r="F21499" s="2" t="str">
        <f>"9783631806012"</f>
        <v>9783631806012</v>
      </c>
    </row>
    <row r="21500" spans="1:6" s="3" customFormat="1" ht="29.1" customHeight="1" x14ac:dyDescent="0.25">
      <c r="A21500" s="2" t="s">
        <v>42113</v>
      </c>
      <c r="B21500" s="2" t="s">
        <v>42114</v>
      </c>
      <c r="C21500" s="2" t="s">
        <v>595</v>
      </c>
      <c r="D21500" s="2" t="s">
        <v>334</v>
      </c>
      <c r="E21500" s="2" t="str">
        <f>"9783631802892"</f>
        <v>9783631802892</v>
      </c>
      <c r="F21500" s="2" t="str">
        <f>"9783631805152"</f>
        <v>9783631805152</v>
      </c>
    </row>
    <row r="21501" spans="1:6" s="3" customFormat="1" ht="29.1" customHeight="1" x14ac:dyDescent="0.25">
      <c r="A21501" s="2" t="s">
        <v>42115</v>
      </c>
      <c r="B21501" s="2" t="s">
        <v>42116</v>
      </c>
      <c r="C21501" s="2" t="s">
        <v>595</v>
      </c>
      <c r="D21501" s="2" t="s">
        <v>339</v>
      </c>
      <c r="E21501" s="2" t="str">
        <f>"9783631715949"</f>
        <v>9783631715949</v>
      </c>
      <c r="F21501" s="2" t="str">
        <f>"9783631715956"</f>
        <v>9783631715956</v>
      </c>
    </row>
    <row r="21502" spans="1:6" s="3" customFormat="1" ht="29.1" customHeight="1" x14ac:dyDescent="0.25">
      <c r="A21502" s="2" t="s">
        <v>42117</v>
      </c>
      <c r="B21502" s="2" t="s">
        <v>42118</v>
      </c>
      <c r="C21502" s="2" t="s">
        <v>885</v>
      </c>
      <c r="D21502" s="2" t="s">
        <v>1669</v>
      </c>
      <c r="E21502" s="2" t="str">
        <f>"9781487504496"</f>
        <v>9781487504496</v>
      </c>
      <c r="F21502" s="2" t="str">
        <f>"9781487530297"</f>
        <v>9781487530297</v>
      </c>
    </row>
    <row r="21503" spans="1:6" s="3" customFormat="1" ht="29.1" customHeight="1" x14ac:dyDescent="0.25">
      <c r="A21503" s="2" t="s">
        <v>42119</v>
      </c>
      <c r="B21503" s="2" t="s">
        <v>42120</v>
      </c>
      <c r="C21503" s="2" t="s">
        <v>885</v>
      </c>
      <c r="D21503" s="2" t="s">
        <v>118</v>
      </c>
      <c r="E21503" s="2" t="str">
        <f>"9781487532017"</f>
        <v>9781487532017</v>
      </c>
      <c r="F21503" s="2" t="str">
        <f>"9781487532031"</f>
        <v>9781487532031</v>
      </c>
    </row>
    <row r="21504" spans="1:6" s="3" customFormat="1" ht="29.1" customHeight="1" x14ac:dyDescent="0.25">
      <c r="A21504" s="2" t="s">
        <v>42121</v>
      </c>
      <c r="B21504" s="2" t="s">
        <v>42122</v>
      </c>
      <c r="C21504" s="2" t="s">
        <v>885</v>
      </c>
      <c r="D21504" s="2" t="s">
        <v>270</v>
      </c>
      <c r="E21504" s="2" t="str">
        <f>"9781487503123"</f>
        <v>9781487503123</v>
      </c>
      <c r="F21504" s="2" t="str">
        <f>"9781487517236"</f>
        <v>9781487517236</v>
      </c>
    </row>
    <row r="21505" spans="1:6" s="3" customFormat="1" ht="29.1" customHeight="1" x14ac:dyDescent="0.25">
      <c r="A21505" s="2" t="s">
        <v>42123</v>
      </c>
      <c r="B21505" s="2" t="s">
        <v>42124</v>
      </c>
      <c r="C21505" s="2" t="s">
        <v>927</v>
      </c>
      <c r="D21505" s="2" t="s">
        <v>270</v>
      </c>
      <c r="E21505" s="2" t="str">
        <f>"9780472131716"</f>
        <v>9780472131716</v>
      </c>
      <c r="F21505" s="2" t="str">
        <f>"9780472126385"</f>
        <v>9780472126385</v>
      </c>
    </row>
    <row r="21506" spans="1:6" s="3" customFormat="1" ht="29.1" customHeight="1" x14ac:dyDescent="0.25">
      <c r="A21506" s="2" t="s">
        <v>42125</v>
      </c>
      <c r="B21506" s="2" t="s">
        <v>42126</v>
      </c>
      <c r="C21506" s="2" t="s">
        <v>124</v>
      </c>
      <c r="D21506" s="2" t="s">
        <v>764</v>
      </c>
      <c r="E21506" s="2" t="str">
        <f>"9781041191001"</f>
        <v>9781041191001</v>
      </c>
      <c r="F21506" s="2" t="str">
        <f>"9781040798430"</f>
        <v>9781040798430</v>
      </c>
    </row>
    <row r="21507" spans="1:6" s="3" customFormat="1" ht="29.1" customHeight="1" x14ac:dyDescent="0.25">
      <c r="A21507" s="2" t="s">
        <v>42127</v>
      </c>
      <c r="B21507" s="2" t="s">
        <v>42128</v>
      </c>
      <c r="C21507" s="2" t="s">
        <v>124</v>
      </c>
      <c r="D21507" s="2" t="s">
        <v>1463</v>
      </c>
      <c r="E21507" s="2" t="str">
        <f>"9781041183013"</f>
        <v>9781041183013</v>
      </c>
      <c r="F21507" s="2" t="str">
        <f>"9781040776803"</f>
        <v>9781040776803</v>
      </c>
    </row>
    <row r="21508" spans="1:6" s="3" customFormat="1" ht="29.1" customHeight="1" x14ac:dyDescent="0.25">
      <c r="A21508" s="2" t="s">
        <v>42129</v>
      </c>
      <c r="B21508" s="2" t="s">
        <v>27557</v>
      </c>
      <c r="C21508" s="2" t="s">
        <v>149</v>
      </c>
      <c r="D21508" s="2" t="s">
        <v>3166</v>
      </c>
      <c r="E21508" s="2" t="str">
        <f>"9781783748273"</f>
        <v>9781783748273</v>
      </c>
      <c r="F21508" s="2" t="str">
        <f>"9781783748297"</f>
        <v>9781783748297</v>
      </c>
    </row>
    <row r="21509" spans="1:6" s="3" customFormat="1" ht="29.1" customHeight="1" x14ac:dyDescent="0.25">
      <c r="A21509" s="2" t="s">
        <v>42130</v>
      </c>
      <c r="B21509" s="2" t="s">
        <v>42131</v>
      </c>
      <c r="C21509" s="2" t="s">
        <v>149</v>
      </c>
      <c r="D21509" s="2" t="s">
        <v>1823</v>
      </c>
      <c r="E21509" s="2" t="str">
        <f>"9781783748396"</f>
        <v>9781783748396</v>
      </c>
      <c r="F21509" s="2" t="str">
        <f>"9781783748419"</f>
        <v>9781783748419</v>
      </c>
    </row>
    <row r="21510" spans="1:6" s="3" customFormat="1" ht="29.1" customHeight="1" x14ac:dyDescent="0.25">
      <c r="A21510" s="2" t="s">
        <v>42132</v>
      </c>
      <c r="B21510" s="2" t="s">
        <v>42133</v>
      </c>
      <c r="C21510" s="2" t="s">
        <v>195</v>
      </c>
      <c r="D21510" s="2" t="s">
        <v>107</v>
      </c>
      <c r="E21510" s="2" t="str">
        <f>"9783110585100"</f>
        <v>9783110585100</v>
      </c>
      <c r="F21510" s="2" t="str">
        <f>"9783110599022"</f>
        <v>9783110599022</v>
      </c>
    </row>
    <row r="21511" spans="1:6" s="3" customFormat="1" ht="29.1" customHeight="1" x14ac:dyDescent="0.25">
      <c r="A21511" s="2" t="s">
        <v>42134</v>
      </c>
      <c r="B21511" s="2" t="s">
        <v>42135</v>
      </c>
      <c r="C21511" s="2" t="s">
        <v>27805</v>
      </c>
      <c r="D21511" s="2" t="s">
        <v>9</v>
      </c>
      <c r="E21511" s="2" t="str">
        <f>"9783832550202"</f>
        <v>9783832550202</v>
      </c>
      <c r="F21511" s="2" t="str">
        <f>"9783832588434"</f>
        <v>9783832588434</v>
      </c>
    </row>
    <row r="21512" spans="1:6" s="3" customFormat="1" ht="29.1" customHeight="1" x14ac:dyDescent="0.25">
      <c r="A21512" s="2" t="s">
        <v>42136</v>
      </c>
      <c r="B21512" s="2" t="s">
        <v>42137</v>
      </c>
      <c r="C21512" s="2" t="s">
        <v>248</v>
      </c>
      <c r="D21512" s="2" t="s">
        <v>1013</v>
      </c>
      <c r="E21512" s="2" t="str">
        <f>"9783847424192"</f>
        <v>9783847424192</v>
      </c>
      <c r="F21512" s="2" t="str">
        <f>"9783847415510"</f>
        <v>9783847415510</v>
      </c>
    </row>
    <row r="21513" spans="1:6" s="3" customFormat="1" ht="29.1" customHeight="1" x14ac:dyDescent="0.25">
      <c r="A21513" s="2" t="s">
        <v>42138</v>
      </c>
      <c r="B21513" s="2" t="s">
        <v>42139</v>
      </c>
      <c r="C21513" s="2" t="s">
        <v>927</v>
      </c>
      <c r="D21513" s="2" t="s">
        <v>270</v>
      </c>
      <c r="E21513" s="2" t="str">
        <f>"9780472131648"</f>
        <v>9780472131648</v>
      </c>
      <c r="F21513" s="2" t="str">
        <f>"9780472126200"</f>
        <v>9780472126200</v>
      </c>
    </row>
    <row r="21514" spans="1:6" s="3" customFormat="1" ht="29.1" customHeight="1" x14ac:dyDescent="0.25">
      <c r="A21514" s="2" t="s">
        <v>42140</v>
      </c>
      <c r="B21514" s="2" t="s">
        <v>42141</v>
      </c>
      <c r="C21514" s="2" t="s">
        <v>62</v>
      </c>
      <c r="D21514" s="2" t="s">
        <v>1437</v>
      </c>
      <c r="E21514" s="2" t="str">
        <f>"9783428158836"</f>
        <v>9783428158836</v>
      </c>
      <c r="F21514" s="2" t="str">
        <f>"9783428558834"</f>
        <v>9783428558834</v>
      </c>
    </row>
    <row r="21515" spans="1:6" s="3" customFormat="1" ht="29.1" customHeight="1" x14ac:dyDescent="0.25">
      <c r="A21515" s="2" t="s">
        <v>42142</v>
      </c>
      <c r="B21515" s="2" t="s">
        <v>42143</v>
      </c>
      <c r="C21515" s="2" t="s">
        <v>29</v>
      </c>
      <c r="D21515" s="2" t="s">
        <v>689</v>
      </c>
      <c r="E21515" s="2" t="str">
        <f>"9789004423657"</f>
        <v>9789004423657</v>
      </c>
      <c r="F21515" s="2" t="str">
        <f>"9789004423664"</f>
        <v>9789004423664</v>
      </c>
    </row>
    <row r="21516" spans="1:6" s="3" customFormat="1" ht="29.1" customHeight="1" x14ac:dyDescent="0.25">
      <c r="A21516" s="2" t="s">
        <v>42144</v>
      </c>
      <c r="B21516" s="2" t="s">
        <v>42145</v>
      </c>
      <c r="C21516" s="2" t="s">
        <v>36</v>
      </c>
      <c r="D21516" s="2" t="s">
        <v>270</v>
      </c>
      <c r="E21516" s="2" t="str">
        <f>"9781529202168"</f>
        <v>9781529202168</v>
      </c>
      <c r="F21516" s="2" t="str">
        <f>"9781529202175"</f>
        <v>9781529202175</v>
      </c>
    </row>
    <row r="21517" spans="1:6" s="3" customFormat="1" ht="29.1" customHeight="1" x14ac:dyDescent="0.25">
      <c r="A21517" s="2" t="s">
        <v>1473</v>
      </c>
      <c r="B21517" s="2" t="s">
        <v>8351</v>
      </c>
      <c r="C21517" s="2" t="s">
        <v>1070</v>
      </c>
      <c r="D21517" s="2" t="s">
        <v>1265</v>
      </c>
      <c r="E21517" s="2" t="str">
        <f>"9781910797884"</f>
        <v>9781910797884</v>
      </c>
      <c r="F21517" s="2" t="str">
        <f>"9781910797891"</f>
        <v>9781910797891</v>
      </c>
    </row>
    <row r="21518" spans="1:6" s="3" customFormat="1" ht="29.1" customHeight="1" x14ac:dyDescent="0.25">
      <c r="A21518" s="2" t="s">
        <v>1277</v>
      </c>
      <c r="B21518" s="2" t="s">
        <v>42146</v>
      </c>
      <c r="C21518" s="2" t="s">
        <v>1070</v>
      </c>
      <c r="D21518" s="2" t="s">
        <v>1278</v>
      </c>
      <c r="E21518" s="2" t="str">
        <f>"9781910797365"</f>
        <v>9781910797365</v>
      </c>
      <c r="F21518" s="2" t="str">
        <f>"9781912776146"</f>
        <v>9781912776146</v>
      </c>
    </row>
    <row r="21519" spans="1:6" s="3" customFormat="1" ht="29.1" customHeight="1" x14ac:dyDescent="0.25">
      <c r="A21519" s="2" t="s">
        <v>42147</v>
      </c>
      <c r="B21519" s="2" t="s">
        <v>42148</v>
      </c>
      <c r="C21519" s="2" t="s">
        <v>1953</v>
      </c>
      <c r="D21519" s="2" t="s">
        <v>1275</v>
      </c>
      <c r="E21519" s="2"/>
      <c r="F21519" s="2" t="str">
        <f>"9781536174984"</f>
        <v>9781536174984</v>
      </c>
    </row>
    <row r="21520" spans="1:6" s="3" customFormat="1" ht="29.1" customHeight="1" x14ac:dyDescent="0.25">
      <c r="A21520" s="2" t="s">
        <v>42149</v>
      </c>
      <c r="B21520" s="2" t="s">
        <v>42150</v>
      </c>
      <c r="C21520" s="2" t="s">
        <v>327</v>
      </c>
      <c r="D21520" s="2" t="s">
        <v>8413</v>
      </c>
      <c r="E21520" s="2" t="str">
        <f>"9788381425896"</f>
        <v>9788381425896</v>
      </c>
      <c r="F21520" s="2" t="str">
        <f>"9788381425902"</f>
        <v>9788381425902</v>
      </c>
    </row>
    <row r="21521" spans="1:6" s="3" customFormat="1" ht="29.1" customHeight="1" x14ac:dyDescent="0.25">
      <c r="A21521" s="2" t="s">
        <v>42151</v>
      </c>
      <c r="B21521" s="2" t="s">
        <v>42152</v>
      </c>
      <c r="C21521" s="2" t="s">
        <v>556</v>
      </c>
      <c r="D21521" s="2" t="s">
        <v>1944</v>
      </c>
      <c r="E21521" s="2" t="str">
        <f>"9783837649895"</f>
        <v>9783837649895</v>
      </c>
      <c r="F21521" s="2" t="str">
        <f>"9783839449899"</f>
        <v>9783839449899</v>
      </c>
    </row>
    <row r="21522" spans="1:6" s="3" customFormat="1" ht="29.1" customHeight="1" x14ac:dyDescent="0.25">
      <c r="A21522" s="2" t="s">
        <v>42153</v>
      </c>
      <c r="B21522" s="2" t="s">
        <v>42154</v>
      </c>
      <c r="C21522" s="2" t="s">
        <v>8104</v>
      </c>
      <c r="D21522" s="2" t="s">
        <v>636</v>
      </c>
      <c r="E21522" s="2" t="str">
        <f>"9781789207415"</f>
        <v>9781789207415</v>
      </c>
      <c r="F21522" s="2" t="str">
        <f>"9781789207422"</f>
        <v>9781789207422</v>
      </c>
    </row>
    <row r="21523" spans="1:6" s="3" customFormat="1" ht="29.1" customHeight="1" x14ac:dyDescent="0.25">
      <c r="A21523" s="2" t="s">
        <v>42155</v>
      </c>
      <c r="B21523" s="2" t="s">
        <v>42156</v>
      </c>
      <c r="C21523" s="2" t="s">
        <v>8104</v>
      </c>
      <c r="D21523" s="2" t="s">
        <v>1056</v>
      </c>
      <c r="E21523" s="2" t="str">
        <f>"9781789200140"</f>
        <v>9781789200140</v>
      </c>
      <c r="F21523" s="2" t="str">
        <f>"9781789201116"</f>
        <v>9781789201116</v>
      </c>
    </row>
    <row r="21524" spans="1:6" s="3" customFormat="1" ht="29.1" customHeight="1" x14ac:dyDescent="0.25">
      <c r="A21524" s="2" t="s">
        <v>42157</v>
      </c>
      <c r="B21524" s="2" t="s">
        <v>42158</v>
      </c>
      <c r="C21524" s="2" t="s">
        <v>149</v>
      </c>
      <c r="D21524" s="2" t="s">
        <v>3878</v>
      </c>
      <c r="E21524" s="2" t="str">
        <f>"9781783747917"</f>
        <v>9781783747917</v>
      </c>
      <c r="F21524" s="2" t="str">
        <f>"9781783747931"</f>
        <v>9781783747931</v>
      </c>
    </row>
    <row r="21525" spans="1:6" s="3" customFormat="1" ht="29.1" customHeight="1" x14ac:dyDescent="0.25">
      <c r="A21525" s="2" t="s">
        <v>42159</v>
      </c>
      <c r="B21525" s="2" t="s">
        <v>42160</v>
      </c>
      <c r="C21525" s="2" t="s">
        <v>248</v>
      </c>
      <c r="D21525" s="2" t="s">
        <v>249</v>
      </c>
      <c r="E21525" s="2" t="str">
        <f>"9783847423508"</f>
        <v>9783847423508</v>
      </c>
      <c r="F21525" s="2" t="str">
        <f>"9783847415480"</f>
        <v>9783847415480</v>
      </c>
    </row>
    <row r="21526" spans="1:6" s="3" customFormat="1" ht="29.1" customHeight="1" x14ac:dyDescent="0.25">
      <c r="A21526" s="2" t="s">
        <v>42161</v>
      </c>
      <c r="B21526" s="2" t="s">
        <v>42162</v>
      </c>
      <c r="C21526" s="2" t="s">
        <v>27396</v>
      </c>
      <c r="D21526" s="2" t="s">
        <v>428</v>
      </c>
      <c r="E21526" s="2" t="str">
        <f>"9783161563379"</f>
        <v>9783161563379</v>
      </c>
      <c r="F21526" s="2" t="str">
        <f>"9783161563386"</f>
        <v>9783161563386</v>
      </c>
    </row>
    <row r="21527" spans="1:6" s="3" customFormat="1" ht="29.1" customHeight="1" x14ac:dyDescent="0.25">
      <c r="A21527" s="2" t="s">
        <v>42163</v>
      </c>
      <c r="B21527" s="2" t="s">
        <v>42164</v>
      </c>
      <c r="C21527" s="2" t="s">
        <v>27396</v>
      </c>
      <c r="D21527" s="2" t="s">
        <v>402</v>
      </c>
      <c r="E21527" s="2" t="str">
        <f>"9783161569623"</f>
        <v>9783161569623</v>
      </c>
      <c r="F21527" s="2" t="str">
        <f>"9783161569630"</f>
        <v>9783161569630</v>
      </c>
    </row>
    <row r="21528" spans="1:6" s="3" customFormat="1" ht="29.1" customHeight="1" x14ac:dyDescent="0.25">
      <c r="A21528" s="2" t="s">
        <v>42165</v>
      </c>
      <c r="B21528" s="2" t="s">
        <v>39920</v>
      </c>
      <c r="C21528" s="2" t="s">
        <v>27396</v>
      </c>
      <c r="D21528" s="2" t="s">
        <v>402</v>
      </c>
      <c r="E21528" s="2" t="str">
        <f>"9783161537950"</f>
        <v>9783161537950</v>
      </c>
      <c r="F21528" s="2" t="str">
        <f>"9783161537967"</f>
        <v>9783161537967</v>
      </c>
    </row>
    <row r="21529" spans="1:6" s="3" customFormat="1" ht="29.1" customHeight="1" x14ac:dyDescent="0.25">
      <c r="A21529" s="2" t="s">
        <v>42166</v>
      </c>
      <c r="B21529" s="2" t="s">
        <v>42167</v>
      </c>
      <c r="C21529" s="2" t="s">
        <v>27396</v>
      </c>
      <c r="D21529" s="2" t="s">
        <v>402</v>
      </c>
      <c r="E21529" s="2" t="str">
        <f>"9783161527258"</f>
        <v>9783161527258</v>
      </c>
      <c r="F21529" s="2" t="str">
        <f>"9783161527586"</f>
        <v>9783161527586</v>
      </c>
    </row>
    <row r="21530" spans="1:6" s="3" customFormat="1" ht="29.1" customHeight="1" x14ac:dyDescent="0.25">
      <c r="A21530" s="2" t="s">
        <v>42168</v>
      </c>
      <c r="B21530" s="2" t="s">
        <v>42169</v>
      </c>
      <c r="C21530" s="2" t="s">
        <v>27396</v>
      </c>
      <c r="D21530" s="2" t="s">
        <v>402</v>
      </c>
      <c r="E21530" s="2" t="str">
        <f>"9783161505126"</f>
        <v>9783161505126</v>
      </c>
      <c r="F21530" s="2" t="str">
        <f>"9783161516429"</f>
        <v>9783161516429</v>
      </c>
    </row>
    <row r="21531" spans="1:6" s="3" customFormat="1" ht="29.1" customHeight="1" x14ac:dyDescent="0.25">
      <c r="A21531" s="2" t="s">
        <v>42170</v>
      </c>
      <c r="B21531" s="2" t="s">
        <v>42171</v>
      </c>
      <c r="C21531" s="2" t="s">
        <v>27396</v>
      </c>
      <c r="D21531" s="2" t="s">
        <v>402</v>
      </c>
      <c r="E21531" s="2" t="str">
        <f>"9783161499692"</f>
        <v>9783161499692</v>
      </c>
      <c r="F21531" s="2" t="str">
        <f>"9783161516047"</f>
        <v>9783161516047</v>
      </c>
    </row>
    <row r="21532" spans="1:6" s="3" customFormat="1" ht="29.1" customHeight="1" x14ac:dyDescent="0.25">
      <c r="A21532" s="2" t="s">
        <v>42172</v>
      </c>
      <c r="B21532" s="2" t="s">
        <v>42173</v>
      </c>
      <c r="C21532" s="2" t="s">
        <v>27396</v>
      </c>
      <c r="D21532" s="2" t="s">
        <v>462</v>
      </c>
      <c r="E21532" s="2" t="str">
        <f>"9783161550157"</f>
        <v>9783161550157</v>
      </c>
      <c r="F21532" s="2" t="str">
        <f>"9783161550164"</f>
        <v>9783161550164</v>
      </c>
    </row>
    <row r="21533" spans="1:6" s="3" customFormat="1" ht="29.1" customHeight="1" x14ac:dyDescent="0.25">
      <c r="A21533" s="2" t="s">
        <v>42174</v>
      </c>
      <c r="B21533" s="2" t="s">
        <v>42169</v>
      </c>
      <c r="C21533" s="2" t="s">
        <v>27396</v>
      </c>
      <c r="D21533" s="2" t="s">
        <v>402</v>
      </c>
      <c r="E21533" s="2" t="str">
        <f>"9783161550072"</f>
        <v>9783161550072</v>
      </c>
      <c r="F21533" s="2" t="str">
        <f>"9783161552045"</f>
        <v>9783161552045</v>
      </c>
    </row>
    <row r="21534" spans="1:6" s="3" customFormat="1" ht="29.1" customHeight="1" x14ac:dyDescent="0.25">
      <c r="A21534" s="2" t="s">
        <v>42175</v>
      </c>
      <c r="B21534" s="2" t="s">
        <v>42176</v>
      </c>
      <c r="C21534" s="2" t="s">
        <v>27396</v>
      </c>
      <c r="D21534" s="2" t="s">
        <v>402</v>
      </c>
      <c r="E21534" s="2" t="str">
        <f>"9783161507823"</f>
        <v>9783161507823</v>
      </c>
      <c r="F21534" s="2" t="str">
        <f>"9783161527968"</f>
        <v>9783161527968</v>
      </c>
    </row>
    <row r="21535" spans="1:6" s="3" customFormat="1" ht="29.1" customHeight="1" x14ac:dyDescent="0.25">
      <c r="A21535" s="2" t="s">
        <v>42177</v>
      </c>
      <c r="B21535" s="2" t="s">
        <v>42178</v>
      </c>
      <c r="C21535" s="2" t="s">
        <v>27396</v>
      </c>
      <c r="D21535" s="2" t="s">
        <v>512</v>
      </c>
      <c r="E21535" s="2" t="str">
        <f>"9783161497780"</f>
        <v>9783161497780</v>
      </c>
      <c r="F21535" s="2" t="str">
        <f>"9783161515217"</f>
        <v>9783161515217</v>
      </c>
    </row>
    <row r="21536" spans="1:6" s="3" customFormat="1" ht="29.1" customHeight="1" x14ac:dyDescent="0.25">
      <c r="A21536" s="2" t="s">
        <v>42179</v>
      </c>
      <c r="B21536" s="2" t="s">
        <v>42180</v>
      </c>
      <c r="C21536" s="2" t="s">
        <v>27396</v>
      </c>
      <c r="D21536" s="2" t="s">
        <v>178</v>
      </c>
      <c r="E21536" s="2" t="str">
        <f>"9783161582769"</f>
        <v>9783161582769</v>
      </c>
      <c r="F21536" s="2" t="str">
        <f>"9783161582776"</f>
        <v>9783161582776</v>
      </c>
    </row>
    <row r="21537" spans="1:6" s="3" customFormat="1" ht="29.1" customHeight="1" x14ac:dyDescent="0.25">
      <c r="A21537" s="2" t="s">
        <v>42181</v>
      </c>
      <c r="B21537" s="2" t="s">
        <v>42182</v>
      </c>
      <c r="C21537" s="2" t="s">
        <v>27396</v>
      </c>
      <c r="D21537" s="2" t="s">
        <v>4071</v>
      </c>
      <c r="E21537" s="2" t="str">
        <f>"9783161506475"</f>
        <v>9783161506475</v>
      </c>
      <c r="F21537" s="2" t="str">
        <f>"9783161514722"</f>
        <v>9783161514722</v>
      </c>
    </row>
    <row r="21538" spans="1:6" s="3" customFormat="1" ht="29.1" customHeight="1" x14ac:dyDescent="0.25">
      <c r="A21538" s="2" t="s">
        <v>42183</v>
      </c>
      <c r="B21538" s="2" t="s">
        <v>42184</v>
      </c>
      <c r="C21538" s="2" t="s">
        <v>27396</v>
      </c>
      <c r="D21538" s="2" t="s">
        <v>402</v>
      </c>
      <c r="E21538" s="2" t="str">
        <f>"9783161498718"</f>
        <v>9783161498718</v>
      </c>
      <c r="F21538" s="2" t="str">
        <f>"9783161514609"</f>
        <v>9783161514609</v>
      </c>
    </row>
    <row r="21539" spans="1:6" s="3" customFormat="1" ht="29.1" customHeight="1" x14ac:dyDescent="0.25">
      <c r="A21539" s="2" t="s">
        <v>42185</v>
      </c>
      <c r="B21539" s="2" t="s">
        <v>41249</v>
      </c>
      <c r="C21539" s="2" t="s">
        <v>27396</v>
      </c>
      <c r="D21539" s="2" t="s">
        <v>22003</v>
      </c>
      <c r="E21539" s="2" t="str">
        <f>"9783161551352"</f>
        <v>9783161551352</v>
      </c>
      <c r="F21539" s="2" t="str">
        <f>"9783161553295"</f>
        <v>9783161553295</v>
      </c>
    </row>
    <row r="21540" spans="1:6" s="3" customFormat="1" ht="29.1" customHeight="1" x14ac:dyDescent="0.25">
      <c r="A21540" s="2" t="s">
        <v>42186</v>
      </c>
      <c r="B21540" s="2" t="s">
        <v>42187</v>
      </c>
      <c r="C21540" s="2" t="s">
        <v>27396</v>
      </c>
      <c r="D21540" s="2" t="s">
        <v>178</v>
      </c>
      <c r="E21540" s="2" t="str">
        <f>"9783161559358"</f>
        <v>9783161559358</v>
      </c>
      <c r="F21540" s="2" t="str">
        <f>"9783161559365"</f>
        <v>9783161559365</v>
      </c>
    </row>
    <row r="21541" spans="1:6" s="3" customFormat="1" ht="29.1" customHeight="1" x14ac:dyDescent="0.25">
      <c r="A21541" s="2" t="s">
        <v>42188</v>
      </c>
      <c r="B21541" s="2" t="s">
        <v>42189</v>
      </c>
      <c r="C21541" s="2" t="s">
        <v>27396</v>
      </c>
      <c r="D21541" s="2" t="s">
        <v>339</v>
      </c>
      <c r="E21541" s="2" t="str">
        <f>"9783161551567"</f>
        <v>9783161551567</v>
      </c>
      <c r="F21541" s="2" t="str">
        <f>"9783161555664"</f>
        <v>9783161555664</v>
      </c>
    </row>
    <row r="21542" spans="1:6" s="3" customFormat="1" ht="29.1" customHeight="1" x14ac:dyDescent="0.25">
      <c r="A21542" s="2" t="s">
        <v>42190</v>
      </c>
      <c r="B21542" s="2" t="s">
        <v>42191</v>
      </c>
      <c r="C21542" s="2" t="s">
        <v>27396</v>
      </c>
      <c r="D21542" s="2" t="s">
        <v>3943</v>
      </c>
      <c r="E21542" s="2" t="str">
        <f>"9783161567889"</f>
        <v>9783161567889</v>
      </c>
      <c r="F21542" s="2" t="str">
        <f>"9783161567896"</f>
        <v>9783161567896</v>
      </c>
    </row>
    <row r="21543" spans="1:6" s="3" customFormat="1" ht="29.1" customHeight="1" x14ac:dyDescent="0.25">
      <c r="A21543" s="2" t="s">
        <v>42192</v>
      </c>
      <c r="B21543" s="2" t="s">
        <v>42193</v>
      </c>
      <c r="C21543" s="2" t="s">
        <v>27396</v>
      </c>
      <c r="D21543" s="2" t="s">
        <v>509</v>
      </c>
      <c r="E21543" s="2" t="str">
        <f>"9783161589805"</f>
        <v>9783161589805</v>
      </c>
      <c r="F21543" s="2" t="str">
        <f>"9783161589812"</f>
        <v>9783161589812</v>
      </c>
    </row>
    <row r="21544" spans="1:6" s="3" customFormat="1" ht="29.1" customHeight="1" x14ac:dyDescent="0.25">
      <c r="A21544" s="2" t="s">
        <v>42194</v>
      </c>
      <c r="B21544" s="2" t="s">
        <v>42195</v>
      </c>
      <c r="C21544" s="2" t="s">
        <v>27396</v>
      </c>
      <c r="D21544" s="2" t="s">
        <v>553</v>
      </c>
      <c r="E21544" s="2" t="str">
        <f>"9783161576386"</f>
        <v>9783161576386</v>
      </c>
      <c r="F21544" s="2" t="str">
        <f>"9783161581618"</f>
        <v>9783161581618</v>
      </c>
    </row>
    <row r="21545" spans="1:6" s="3" customFormat="1" ht="29.1" customHeight="1" x14ac:dyDescent="0.25">
      <c r="A21545" s="2" t="s">
        <v>42196</v>
      </c>
      <c r="B21545" s="2" t="s">
        <v>42197</v>
      </c>
      <c r="C21545" s="2" t="s">
        <v>27396</v>
      </c>
      <c r="D21545" s="2" t="s">
        <v>553</v>
      </c>
      <c r="E21545" s="2" t="str">
        <f>"9783161549618"</f>
        <v>9783161549618</v>
      </c>
      <c r="F21545" s="2" t="str">
        <f>"9783161582844"</f>
        <v>9783161582844</v>
      </c>
    </row>
    <row r="21546" spans="1:6" s="3" customFormat="1" ht="29.1" customHeight="1" x14ac:dyDescent="0.25">
      <c r="A21546" s="2" t="s">
        <v>42198</v>
      </c>
      <c r="B21546" s="2" t="s">
        <v>42199</v>
      </c>
      <c r="C21546" s="2" t="s">
        <v>27396</v>
      </c>
      <c r="D21546" s="2" t="s">
        <v>339</v>
      </c>
      <c r="E21546" s="2" t="str">
        <f>"9783161569333"</f>
        <v>9783161569333</v>
      </c>
      <c r="F21546" s="2" t="str">
        <f>"9783161569340"</f>
        <v>9783161569340</v>
      </c>
    </row>
    <row r="21547" spans="1:6" s="3" customFormat="1" ht="29.1" customHeight="1" x14ac:dyDescent="0.25">
      <c r="A21547" s="2" t="s">
        <v>42200</v>
      </c>
      <c r="B21547" s="2" t="s">
        <v>42201</v>
      </c>
      <c r="C21547" s="2" t="s">
        <v>27396</v>
      </c>
      <c r="D21547" s="2" t="s">
        <v>553</v>
      </c>
      <c r="E21547" s="2" t="str">
        <f>"9783161539534"</f>
        <v>9783161539534</v>
      </c>
      <c r="F21547" s="2" t="str">
        <f>"9783161568565"</f>
        <v>9783161568565</v>
      </c>
    </row>
    <row r="21548" spans="1:6" s="3" customFormat="1" ht="29.1" customHeight="1" x14ac:dyDescent="0.25">
      <c r="A21548" s="2" t="s">
        <v>42202</v>
      </c>
      <c r="B21548" s="2" t="s">
        <v>42203</v>
      </c>
      <c r="C21548" s="2" t="s">
        <v>27396</v>
      </c>
      <c r="D21548" s="2" t="s">
        <v>553</v>
      </c>
      <c r="E21548" s="2" t="str">
        <f>"9783161538193"</f>
        <v>9783161538193</v>
      </c>
      <c r="F21548" s="2" t="str">
        <f>"9783161564253"</f>
        <v>9783161564253</v>
      </c>
    </row>
    <row r="21549" spans="1:6" s="3" customFormat="1" ht="29.1" customHeight="1" x14ac:dyDescent="0.25">
      <c r="A21549" s="2" t="s">
        <v>42204</v>
      </c>
      <c r="B21549" s="2" t="s">
        <v>42205</v>
      </c>
      <c r="C21549" s="2" t="s">
        <v>27396</v>
      </c>
      <c r="D21549" s="2" t="s">
        <v>3966</v>
      </c>
      <c r="E21549" s="2" t="str">
        <f>"9783161570308"</f>
        <v>9783161570308</v>
      </c>
      <c r="F21549" s="2" t="str">
        <f>"9783161570315"</f>
        <v>9783161570315</v>
      </c>
    </row>
    <row r="21550" spans="1:6" s="3" customFormat="1" ht="29.1" customHeight="1" x14ac:dyDescent="0.25">
      <c r="A21550" s="2" t="s">
        <v>42206</v>
      </c>
      <c r="B21550" s="2" t="s">
        <v>42207</v>
      </c>
      <c r="C21550" s="2" t="s">
        <v>27396</v>
      </c>
      <c r="D21550" s="2" t="s">
        <v>509</v>
      </c>
      <c r="E21550" s="2" t="str">
        <f>"9783161577253"</f>
        <v>9783161577253</v>
      </c>
      <c r="F21550" s="2" t="str">
        <f>"9783161577260"</f>
        <v>9783161577260</v>
      </c>
    </row>
    <row r="21551" spans="1:6" s="3" customFormat="1" ht="29.1" customHeight="1" x14ac:dyDescent="0.25">
      <c r="A21551" s="2" t="s">
        <v>42208</v>
      </c>
      <c r="B21551" s="2" t="s">
        <v>42209</v>
      </c>
      <c r="C21551" s="2" t="s">
        <v>27396</v>
      </c>
      <c r="D21551" s="2" t="s">
        <v>509</v>
      </c>
      <c r="E21551" s="2" t="str">
        <f>"9783161569319"</f>
        <v>9783161569319</v>
      </c>
      <c r="F21551" s="2" t="str">
        <f>"9783161569326"</f>
        <v>9783161569326</v>
      </c>
    </row>
    <row r="21552" spans="1:6" s="3" customFormat="1" ht="29.1" customHeight="1" x14ac:dyDescent="0.25">
      <c r="A21552" s="2" t="s">
        <v>42210</v>
      </c>
      <c r="B21552" s="2" t="s">
        <v>42211</v>
      </c>
      <c r="C21552" s="2" t="s">
        <v>27396</v>
      </c>
      <c r="D21552" s="2" t="s">
        <v>339</v>
      </c>
      <c r="E21552" s="2" t="str">
        <f>"9783161563690"</f>
        <v>9783161563690</v>
      </c>
      <c r="F21552" s="2" t="str">
        <f>"9783161563706"</f>
        <v>9783161563706</v>
      </c>
    </row>
    <row r="21553" spans="1:6" s="3" customFormat="1" ht="29.1" customHeight="1" x14ac:dyDescent="0.25">
      <c r="A21553" s="2" t="s">
        <v>42212</v>
      </c>
      <c r="B21553" s="2" t="s">
        <v>42213</v>
      </c>
      <c r="C21553" s="2" t="s">
        <v>27396</v>
      </c>
      <c r="D21553" s="2" t="s">
        <v>339</v>
      </c>
      <c r="E21553" s="2" t="str">
        <f>"9783161559501"</f>
        <v>9783161559501</v>
      </c>
      <c r="F21553" s="2" t="str">
        <f>"9783161559518"</f>
        <v>9783161559518</v>
      </c>
    </row>
    <row r="21554" spans="1:6" s="3" customFormat="1" ht="29.1" customHeight="1" x14ac:dyDescent="0.25">
      <c r="A21554" s="2" t="s">
        <v>42214</v>
      </c>
      <c r="B21554" s="2" t="s">
        <v>42215</v>
      </c>
      <c r="C21554" s="2" t="s">
        <v>27396</v>
      </c>
      <c r="D21554" s="2" t="s">
        <v>339</v>
      </c>
      <c r="E21554" s="2" t="str">
        <f>"9783161556654"</f>
        <v>9783161556654</v>
      </c>
      <c r="F21554" s="2" t="str">
        <f>"9783161556661"</f>
        <v>9783161556661</v>
      </c>
    </row>
    <row r="21555" spans="1:6" s="3" customFormat="1" ht="29.1" customHeight="1" x14ac:dyDescent="0.25">
      <c r="A21555" s="2" t="s">
        <v>42216</v>
      </c>
      <c r="B21555" s="2" t="s">
        <v>42217</v>
      </c>
      <c r="C21555" s="2" t="s">
        <v>27396</v>
      </c>
      <c r="D21555" s="2" t="s">
        <v>512</v>
      </c>
      <c r="E21555" s="2" t="str">
        <f>"9783161554414"</f>
        <v>9783161554414</v>
      </c>
      <c r="F21555" s="2" t="str">
        <f>"9783161554421"</f>
        <v>9783161554421</v>
      </c>
    </row>
    <row r="21556" spans="1:6" s="3" customFormat="1" ht="29.1" customHeight="1" x14ac:dyDescent="0.25">
      <c r="A21556" s="2" t="s">
        <v>42218</v>
      </c>
      <c r="B21556" s="2" t="s">
        <v>42219</v>
      </c>
      <c r="C21556" s="2" t="s">
        <v>27396</v>
      </c>
      <c r="D21556" s="2" t="s">
        <v>636</v>
      </c>
      <c r="E21556" s="2" t="str">
        <f>"9783161551581"</f>
        <v>9783161551581</v>
      </c>
      <c r="F21556" s="2" t="str">
        <f>"9783161551970"</f>
        <v>9783161551970</v>
      </c>
    </row>
    <row r="21557" spans="1:6" s="3" customFormat="1" ht="29.1" customHeight="1" x14ac:dyDescent="0.25">
      <c r="A21557" s="2" t="s">
        <v>42220</v>
      </c>
      <c r="B21557" s="2" t="s">
        <v>42221</v>
      </c>
      <c r="C21557" s="2" t="s">
        <v>27396</v>
      </c>
      <c r="D21557" s="2" t="s">
        <v>689</v>
      </c>
      <c r="E21557" s="2" t="str">
        <f>"9783161546891"</f>
        <v>9783161546891</v>
      </c>
      <c r="F21557" s="2" t="str">
        <f>"9783161547515"</f>
        <v>9783161547515</v>
      </c>
    </row>
    <row r="21558" spans="1:6" s="3" customFormat="1" ht="29.1" customHeight="1" x14ac:dyDescent="0.25">
      <c r="A21558" s="2" t="s">
        <v>42222</v>
      </c>
      <c r="B21558" s="2" t="s">
        <v>40594</v>
      </c>
      <c r="C21558" s="2" t="s">
        <v>27396</v>
      </c>
      <c r="D21558" s="2" t="s">
        <v>462</v>
      </c>
      <c r="E21558" s="2" t="str">
        <f>"9783161545382"</f>
        <v>9783161545382</v>
      </c>
      <c r="F21558" s="2" t="str">
        <f>"9783161545399"</f>
        <v>9783161545399</v>
      </c>
    </row>
    <row r="21559" spans="1:6" s="3" customFormat="1" ht="29.1" customHeight="1" x14ac:dyDescent="0.25">
      <c r="A21559" s="2" t="s">
        <v>42223</v>
      </c>
      <c r="B21559" s="2" t="s">
        <v>42224</v>
      </c>
      <c r="C21559" s="2" t="s">
        <v>27396</v>
      </c>
      <c r="D21559" s="2" t="s">
        <v>462</v>
      </c>
      <c r="E21559" s="2" t="str">
        <f>"9783161589140"</f>
        <v>9783161589140</v>
      </c>
      <c r="F21559" s="2" t="str">
        <f>"9783161589157"</f>
        <v>9783161589157</v>
      </c>
    </row>
    <row r="21560" spans="1:6" s="3" customFormat="1" ht="29.1" customHeight="1" x14ac:dyDescent="0.25">
      <c r="A21560" s="2" t="s">
        <v>42225</v>
      </c>
      <c r="B21560" s="2" t="s">
        <v>42226</v>
      </c>
      <c r="C21560" s="2" t="s">
        <v>27396</v>
      </c>
      <c r="D21560" s="2" t="s">
        <v>3966</v>
      </c>
      <c r="E21560" s="2" t="str">
        <f>"9783161551925"</f>
        <v>9783161551925</v>
      </c>
      <c r="F21560" s="2" t="str">
        <f>"9783161551932"</f>
        <v>9783161551932</v>
      </c>
    </row>
    <row r="21561" spans="1:6" s="3" customFormat="1" ht="29.1" customHeight="1" x14ac:dyDescent="0.25">
      <c r="A21561" s="2" t="s">
        <v>42227</v>
      </c>
      <c r="B21561" s="2" t="s">
        <v>42228</v>
      </c>
      <c r="C21561" s="2" t="s">
        <v>27396</v>
      </c>
      <c r="D21561" s="2" t="s">
        <v>178</v>
      </c>
      <c r="E21561" s="2" t="str">
        <f>"9783161562884"</f>
        <v>9783161562884</v>
      </c>
      <c r="F21561" s="2" t="str">
        <f>"9783161562891"</f>
        <v>9783161562891</v>
      </c>
    </row>
    <row r="21562" spans="1:6" s="3" customFormat="1" ht="29.1" customHeight="1" x14ac:dyDescent="0.25">
      <c r="A21562" s="2" t="s">
        <v>42229</v>
      </c>
      <c r="B21562" s="2" t="s">
        <v>42230</v>
      </c>
      <c r="C21562" s="2" t="s">
        <v>27396</v>
      </c>
      <c r="D21562" s="2" t="s">
        <v>4700</v>
      </c>
      <c r="E21562" s="2" t="str">
        <f>"9783161533563"</f>
        <v>9783161533563</v>
      </c>
      <c r="F21562" s="2" t="str">
        <f>"9783161533570"</f>
        <v>9783161533570</v>
      </c>
    </row>
    <row r="21563" spans="1:6" s="3" customFormat="1" ht="29.1" customHeight="1" x14ac:dyDescent="0.25">
      <c r="A21563" s="2" t="s">
        <v>42231</v>
      </c>
      <c r="B21563" s="2" t="s">
        <v>42232</v>
      </c>
      <c r="C21563" s="2" t="s">
        <v>27396</v>
      </c>
      <c r="D21563" s="2" t="s">
        <v>4700</v>
      </c>
      <c r="E21563" s="2" t="str">
        <f>"9783161505898"</f>
        <v>9783161505898</v>
      </c>
      <c r="F21563" s="2" t="str">
        <f>"9783161512971"</f>
        <v>9783161512971</v>
      </c>
    </row>
    <row r="21564" spans="1:6" s="3" customFormat="1" ht="29.1" customHeight="1" x14ac:dyDescent="0.25">
      <c r="A21564" s="2" t="s">
        <v>42233</v>
      </c>
      <c r="B21564" s="2" t="s">
        <v>42234</v>
      </c>
      <c r="C21564" s="2" t="s">
        <v>27396</v>
      </c>
      <c r="D21564" s="2" t="s">
        <v>5021</v>
      </c>
      <c r="E21564" s="2" t="str">
        <f>"9783161504440"</f>
        <v>9783161504440</v>
      </c>
      <c r="F21564" s="2" t="str">
        <f>"9783161512964"</f>
        <v>9783161512964</v>
      </c>
    </row>
    <row r="21565" spans="1:6" s="3" customFormat="1" ht="29.1" customHeight="1" x14ac:dyDescent="0.25">
      <c r="A21565" s="2" t="s">
        <v>42235</v>
      </c>
      <c r="B21565" s="2" t="s">
        <v>42236</v>
      </c>
      <c r="C21565" s="2" t="s">
        <v>27396</v>
      </c>
      <c r="D21565" s="2" t="s">
        <v>3943</v>
      </c>
      <c r="E21565" s="2" t="str">
        <f>"9783161536977"</f>
        <v>9783161536977</v>
      </c>
      <c r="F21565" s="2" t="str">
        <f>"9783161536984"</f>
        <v>9783161536984</v>
      </c>
    </row>
    <row r="21566" spans="1:6" s="3" customFormat="1" ht="29.1" customHeight="1" x14ac:dyDescent="0.25">
      <c r="A21566" s="2" t="s">
        <v>42237</v>
      </c>
      <c r="B21566" s="2" t="s">
        <v>42238</v>
      </c>
      <c r="C21566" s="2" t="s">
        <v>27396</v>
      </c>
      <c r="D21566" s="2" t="s">
        <v>3943</v>
      </c>
      <c r="E21566" s="2" t="str">
        <f>"9783161471711"</f>
        <v>9783161471711</v>
      </c>
      <c r="F21566" s="2" t="str">
        <f>"9783161580758"</f>
        <v>9783161580758</v>
      </c>
    </row>
    <row r="21567" spans="1:6" s="3" customFormat="1" ht="29.1" customHeight="1" x14ac:dyDescent="0.25">
      <c r="A21567" s="2" t="s">
        <v>42239</v>
      </c>
      <c r="B21567" s="2" t="s">
        <v>42240</v>
      </c>
      <c r="C21567" s="2" t="s">
        <v>27396</v>
      </c>
      <c r="D21567" s="2" t="s">
        <v>178</v>
      </c>
      <c r="E21567" s="2" t="str">
        <f>"9783161545870"</f>
        <v>9783161545870</v>
      </c>
      <c r="F21567" s="2" t="str">
        <f>"9783161545887"</f>
        <v>9783161545887</v>
      </c>
    </row>
    <row r="21568" spans="1:6" s="3" customFormat="1" ht="29.1" customHeight="1" x14ac:dyDescent="0.25">
      <c r="A21568" s="2" t="s">
        <v>42241</v>
      </c>
      <c r="B21568" s="2" t="s">
        <v>42242</v>
      </c>
      <c r="C21568" s="2" t="s">
        <v>27396</v>
      </c>
      <c r="D21568" s="2" t="s">
        <v>2551</v>
      </c>
      <c r="E21568" s="2" t="str">
        <f>"9783161518935"</f>
        <v>9783161518935</v>
      </c>
      <c r="F21568" s="2" t="str">
        <f>"9783161521621"</f>
        <v>9783161521621</v>
      </c>
    </row>
    <row r="21569" spans="1:6" s="3" customFormat="1" ht="29.1" customHeight="1" x14ac:dyDescent="0.25">
      <c r="A21569" s="2" t="s">
        <v>42243</v>
      </c>
      <c r="B21569" s="2" t="s">
        <v>42244</v>
      </c>
      <c r="C21569" s="2" t="s">
        <v>27396</v>
      </c>
      <c r="D21569" s="2" t="s">
        <v>5021</v>
      </c>
      <c r="E21569" s="2" t="str">
        <f>"9783161568121"</f>
        <v>9783161568121</v>
      </c>
      <c r="F21569" s="2" t="str">
        <f>"9783161568138"</f>
        <v>9783161568138</v>
      </c>
    </row>
    <row r="21570" spans="1:6" s="3" customFormat="1" ht="29.1" customHeight="1" x14ac:dyDescent="0.25">
      <c r="A21570" s="2" t="s">
        <v>42245</v>
      </c>
      <c r="B21570" s="2" t="s">
        <v>42246</v>
      </c>
      <c r="C21570" s="2" t="s">
        <v>27396</v>
      </c>
      <c r="D21570" s="2" t="s">
        <v>3943</v>
      </c>
      <c r="E21570" s="2" t="str">
        <f>"9783161556142"</f>
        <v>9783161556142</v>
      </c>
      <c r="F21570" s="2" t="str">
        <f>"9783161556159"</f>
        <v>9783161556159</v>
      </c>
    </row>
    <row r="21571" spans="1:6" s="3" customFormat="1" ht="29.1" customHeight="1" x14ac:dyDescent="0.25">
      <c r="A21571" s="2" t="s">
        <v>42247</v>
      </c>
      <c r="B21571" s="2" t="s">
        <v>42248</v>
      </c>
      <c r="C21571" s="2" t="s">
        <v>27396</v>
      </c>
      <c r="D21571" s="2" t="s">
        <v>5021</v>
      </c>
      <c r="E21571" s="2" t="str">
        <f>"9783161554766"</f>
        <v>9783161554766</v>
      </c>
      <c r="F21571" s="2" t="str">
        <f>"9783161554773"</f>
        <v>9783161554773</v>
      </c>
    </row>
    <row r="21572" spans="1:6" s="3" customFormat="1" ht="29.1" customHeight="1" x14ac:dyDescent="0.25">
      <c r="A21572" s="2" t="s">
        <v>42249</v>
      </c>
      <c r="B21572" s="2" t="s">
        <v>42250</v>
      </c>
      <c r="C21572" s="2" t="s">
        <v>27396</v>
      </c>
      <c r="D21572" s="2" t="s">
        <v>5021</v>
      </c>
      <c r="E21572" s="2" t="str">
        <f>"9783161559600"</f>
        <v>9783161559600</v>
      </c>
      <c r="F21572" s="2" t="str">
        <f>"9783161559976"</f>
        <v>9783161559976</v>
      </c>
    </row>
    <row r="21573" spans="1:6" s="3" customFormat="1" ht="29.1" customHeight="1" x14ac:dyDescent="0.25">
      <c r="A21573" s="2" t="s">
        <v>42251</v>
      </c>
      <c r="B21573" s="2" t="s">
        <v>42252</v>
      </c>
      <c r="C21573" s="2" t="s">
        <v>27396</v>
      </c>
      <c r="D21573" s="2" t="s">
        <v>5021</v>
      </c>
      <c r="E21573" s="2" t="str">
        <f>"9783161518263"</f>
        <v>9783161518263</v>
      </c>
      <c r="F21573" s="2" t="str">
        <f>"9783161566561"</f>
        <v>9783161566561</v>
      </c>
    </row>
    <row r="21574" spans="1:6" s="3" customFormat="1" ht="29.1" customHeight="1" x14ac:dyDescent="0.25">
      <c r="A21574" s="2" t="s">
        <v>42253</v>
      </c>
      <c r="B21574" s="2" t="s">
        <v>42254</v>
      </c>
      <c r="C21574" s="2" t="s">
        <v>27396</v>
      </c>
      <c r="D21574" s="2" t="s">
        <v>462</v>
      </c>
      <c r="E21574" s="2" t="str">
        <f>"9783161561115"</f>
        <v>9783161561115</v>
      </c>
      <c r="F21574" s="2" t="str">
        <f>"9783161561382"</f>
        <v>9783161561382</v>
      </c>
    </row>
    <row r="21575" spans="1:6" s="3" customFormat="1" ht="29.1" customHeight="1" x14ac:dyDescent="0.25">
      <c r="A21575" s="2" t="s">
        <v>42255</v>
      </c>
      <c r="B21575" s="2" t="s">
        <v>42256</v>
      </c>
      <c r="C21575" s="2" t="s">
        <v>27396</v>
      </c>
      <c r="D21575" s="2" t="s">
        <v>5021</v>
      </c>
      <c r="E21575" s="2" t="str">
        <f>"9783161588860"</f>
        <v>9783161588860</v>
      </c>
      <c r="F21575" s="2" t="str">
        <f>"9783161588877"</f>
        <v>9783161588877</v>
      </c>
    </row>
    <row r="21576" spans="1:6" s="3" customFormat="1" ht="29.1" customHeight="1" x14ac:dyDescent="0.25">
      <c r="A21576" s="2" t="s">
        <v>42257</v>
      </c>
      <c r="B21576" s="2" t="s">
        <v>42258</v>
      </c>
      <c r="C21576" s="2" t="s">
        <v>27396</v>
      </c>
      <c r="D21576" s="2" t="s">
        <v>2551</v>
      </c>
      <c r="E21576" s="2" t="str">
        <f>"9783161562051"</f>
        <v>9783161562051</v>
      </c>
      <c r="F21576" s="2" t="str">
        <f>"9783161562068"</f>
        <v>9783161562068</v>
      </c>
    </row>
    <row r="21577" spans="1:6" s="3" customFormat="1" ht="29.1" customHeight="1" x14ac:dyDescent="0.25">
      <c r="A21577" s="2" t="s">
        <v>42259</v>
      </c>
      <c r="B21577" s="2" t="s">
        <v>42260</v>
      </c>
      <c r="C21577" s="2" t="s">
        <v>27396</v>
      </c>
      <c r="D21577" s="2" t="s">
        <v>178</v>
      </c>
      <c r="E21577" s="2" t="str">
        <f>"9783161562075"</f>
        <v>9783161562075</v>
      </c>
      <c r="F21577" s="2" t="str">
        <f>"9783161562082"</f>
        <v>9783161562082</v>
      </c>
    </row>
    <row r="21578" spans="1:6" s="3" customFormat="1" ht="29.1" customHeight="1" x14ac:dyDescent="0.25">
      <c r="A21578" s="2" t="s">
        <v>12853</v>
      </c>
      <c r="B21578" s="2" t="s">
        <v>42261</v>
      </c>
      <c r="C21578" s="2" t="s">
        <v>27396</v>
      </c>
      <c r="D21578" s="2" t="s">
        <v>5021</v>
      </c>
      <c r="E21578" s="2" t="str">
        <f>"9783161562112"</f>
        <v>9783161562112</v>
      </c>
      <c r="F21578" s="2" t="str">
        <f>"9783161562129"</f>
        <v>9783161562129</v>
      </c>
    </row>
    <row r="21579" spans="1:6" s="3" customFormat="1" ht="29.1" customHeight="1" x14ac:dyDescent="0.25">
      <c r="A21579" s="2" t="s">
        <v>42262</v>
      </c>
      <c r="B21579" s="2" t="s">
        <v>42263</v>
      </c>
      <c r="C21579" s="2" t="s">
        <v>27396</v>
      </c>
      <c r="D21579" s="2" t="s">
        <v>5021</v>
      </c>
      <c r="E21579" s="2" t="str">
        <f>"9783161562099"</f>
        <v>9783161562099</v>
      </c>
      <c r="F21579" s="2" t="str">
        <f>"9783161562105"</f>
        <v>9783161562105</v>
      </c>
    </row>
    <row r="21580" spans="1:6" s="3" customFormat="1" ht="29.1" customHeight="1" x14ac:dyDescent="0.25">
      <c r="A21580" s="2" t="s">
        <v>42264</v>
      </c>
      <c r="B21580" s="2" t="s">
        <v>42265</v>
      </c>
      <c r="C21580" s="2" t="s">
        <v>27396</v>
      </c>
      <c r="D21580" s="2" t="s">
        <v>3943</v>
      </c>
      <c r="E21580" s="2" t="str">
        <f>"9783161549854"</f>
        <v>9783161549854</v>
      </c>
      <c r="F21580" s="2" t="str">
        <f>"9783161549861"</f>
        <v>9783161549861</v>
      </c>
    </row>
    <row r="21581" spans="1:6" s="3" customFormat="1" ht="29.1" customHeight="1" x14ac:dyDescent="0.25">
      <c r="A21581" s="2" t="s">
        <v>42266</v>
      </c>
      <c r="B21581" s="2" t="s">
        <v>42267</v>
      </c>
      <c r="C21581" s="2" t="s">
        <v>27396</v>
      </c>
      <c r="D21581" s="2" t="s">
        <v>2551</v>
      </c>
      <c r="E21581" s="2" t="str">
        <f>"9783161549496"</f>
        <v>9783161549496</v>
      </c>
      <c r="F21581" s="2" t="str">
        <f>"9783161549502"</f>
        <v>9783161549502</v>
      </c>
    </row>
    <row r="21582" spans="1:6" s="3" customFormat="1" ht="29.1" customHeight="1" x14ac:dyDescent="0.25">
      <c r="A21582" s="2" t="s">
        <v>42268</v>
      </c>
      <c r="B21582" s="2" t="s">
        <v>42269</v>
      </c>
      <c r="C21582" s="2" t="s">
        <v>27396</v>
      </c>
      <c r="D21582" s="2" t="s">
        <v>2551</v>
      </c>
      <c r="E21582" s="2" t="str">
        <f>"9783161534232"</f>
        <v>9783161534232</v>
      </c>
      <c r="F21582" s="2" t="str">
        <f>"9783161534966"</f>
        <v>9783161534966</v>
      </c>
    </row>
    <row r="21583" spans="1:6" s="3" customFormat="1" ht="29.1" customHeight="1" x14ac:dyDescent="0.25">
      <c r="A21583" s="2" t="s">
        <v>42270</v>
      </c>
      <c r="B21583" s="2" t="s">
        <v>42271</v>
      </c>
      <c r="C21583" s="2" t="s">
        <v>27396</v>
      </c>
      <c r="D21583" s="2" t="s">
        <v>2005</v>
      </c>
      <c r="E21583" s="2" t="str">
        <f>"9783161522727"</f>
        <v>9783161522727</v>
      </c>
      <c r="F21583" s="2" t="str">
        <f>"9783161524974"</f>
        <v>9783161524974</v>
      </c>
    </row>
    <row r="21584" spans="1:6" s="3" customFormat="1" ht="29.1" customHeight="1" x14ac:dyDescent="0.25">
      <c r="A21584" s="2" t="s">
        <v>42272</v>
      </c>
      <c r="B21584" s="2" t="s">
        <v>42273</v>
      </c>
      <c r="C21584" s="2" t="s">
        <v>27396</v>
      </c>
      <c r="D21584" s="2" t="s">
        <v>178</v>
      </c>
      <c r="E21584" s="2" t="str">
        <f>"9783161569104"</f>
        <v>9783161569104</v>
      </c>
      <c r="F21584" s="2" t="str">
        <f>"9783161569111"</f>
        <v>9783161569111</v>
      </c>
    </row>
    <row r="21585" spans="1:6" s="3" customFormat="1" ht="29.1" customHeight="1" x14ac:dyDescent="0.25">
      <c r="A21585" s="2" t="s">
        <v>42274</v>
      </c>
      <c r="B21585" s="2" t="s">
        <v>42275</v>
      </c>
      <c r="C21585" s="2" t="s">
        <v>27396</v>
      </c>
      <c r="D21585" s="2" t="s">
        <v>186</v>
      </c>
      <c r="E21585" s="2" t="str">
        <f>"9783161518942"</f>
        <v>9783161518942</v>
      </c>
      <c r="F21585" s="2" t="str">
        <f>"9783161535123"</f>
        <v>9783161535123</v>
      </c>
    </row>
    <row r="21586" spans="1:6" s="3" customFormat="1" ht="29.1" customHeight="1" x14ac:dyDescent="0.25">
      <c r="A21586" s="2" t="s">
        <v>42276</v>
      </c>
      <c r="B21586" s="2" t="s">
        <v>42277</v>
      </c>
      <c r="C21586" s="2" t="s">
        <v>27396</v>
      </c>
      <c r="D21586" s="2" t="s">
        <v>2130</v>
      </c>
      <c r="E21586" s="2" t="str">
        <f>"9783161541377"</f>
        <v>9783161541377</v>
      </c>
      <c r="F21586" s="2" t="str">
        <f>"9783161544309"</f>
        <v>9783161544309</v>
      </c>
    </row>
    <row r="21587" spans="1:6" s="3" customFormat="1" ht="29.1" customHeight="1" x14ac:dyDescent="0.25">
      <c r="A21587" s="2" t="s">
        <v>42278</v>
      </c>
      <c r="B21587" s="2" t="s">
        <v>42279</v>
      </c>
      <c r="C21587" s="2" t="s">
        <v>36</v>
      </c>
      <c r="D21587" s="2" t="s">
        <v>9</v>
      </c>
      <c r="E21587" s="2" t="str">
        <f>"9781447350361"</f>
        <v>9781447350361</v>
      </c>
      <c r="F21587" s="2" t="str">
        <f>"9781447350668"</f>
        <v>9781447350668</v>
      </c>
    </row>
    <row r="21588" spans="1:6" s="3" customFormat="1" ht="29.1" customHeight="1" x14ac:dyDescent="0.25">
      <c r="A21588" s="2" t="s">
        <v>42280</v>
      </c>
      <c r="B21588" s="2" t="s">
        <v>10310</v>
      </c>
      <c r="C21588" s="2" t="s">
        <v>29</v>
      </c>
      <c r="D21588" s="2" t="s">
        <v>192</v>
      </c>
      <c r="E21588" s="2" t="str">
        <f>"9789004415805"</f>
        <v>9789004415805</v>
      </c>
      <c r="F21588" s="2" t="str">
        <f>"9789004415829"</f>
        <v>9789004415829</v>
      </c>
    </row>
    <row r="21589" spans="1:6" s="3" customFormat="1" ht="29.1" customHeight="1" x14ac:dyDescent="0.25">
      <c r="A21589" s="2" t="s">
        <v>42281</v>
      </c>
      <c r="B21589" s="2" t="s">
        <v>42282</v>
      </c>
      <c r="C21589" s="2" t="s">
        <v>195</v>
      </c>
      <c r="D21589" s="2" t="s">
        <v>1630</v>
      </c>
      <c r="E21589" s="2" t="str">
        <f>"9783110654608"</f>
        <v>9783110654608</v>
      </c>
      <c r="F21589" s="2" t="str">
        <f>"9783110655032"</f>
        <v>9783110655032</v>
      </c>
    </row>
    <row r="21590" spans="1:6" s="3" customFormat="1" ht="29.1" customHeight="1" x14ac:dyDescent="0.25">
      <c r="A21590" s="2" t="s">
        <v>42283</v>
      </c>
      <c r="B21590" s="2" t="s">
        <v>42284</v>
      </c>
      <c r="C21590" s="2" t="s">
        <v>195</v>
      </c>
      <c r="D21590" s="2" t="s">
        <v>1183</v>
      </c>
      <c r="E21590" s="2" t="str">
        <f>"9783110645828"</f>
        <v>9783110645828</v>
      </c>
      <c r="F21590" s="2" t="str">
        <f>"9783110632835"</f>
        <v>9783110632835</v>
      </c>
    </row>
    <row r="21591" spans="1:6" s="3" customFormat="1" ht="29.1" customHeight="1" x14ac:dyDescent="0.25">
      <c r="A21591" s="2" t="s">
        <v>42285</v>
      </c>
      <c r="B21591" s="2" t="s">
        <v>42286</v>
      </c>
      <c r="C21591" s="2" t="s">
        <v>195</v>
      </c>
      <c r="D21591" s="2" t="s">
        <v>1183</v>
      </c>
      <c r="E21591" s="2" t="str">
        <f>"9783110645392"</f>
        <v>9783110645392</v>
      </c>
      <c r="F21591" s="2" t="str">
        <f>"9783110609189"</f>
        <v>9783110609189</v>
      </c>
    </row>
    <row r="21592" spans="1:6" s="3" customFormat="1" ht="29.1" customHeight="1" x14ac:dyDescent="0.25">
      <c r="A21592" s="2" t="s">
        <v>42287</v>
      </c>
      <c r="B21592" s="2" t="s">
        <v>42288</v>
      </c>
      <c r="C21592" s="2" t="s">
        <v>195</v>
      </c>
      <c r="D21592" s="2" t="s">
        <v>196</v>
      </c>
      <c r="E21592" s="2" t="str">
        <f>"9783110641363"</f>
        <v>9783110641363</v>
      </c>
      <c r="F21592" s="2" t="str">
        <f>"9783110641691"</f>
        <v>9783110641691</v>
      </c>
    </row>
    <row r="21593" spans="1:6" s="3" customFormat="1" ht="29.1" customHeight="1" x14ac:dyDescent="0.25">
      <c r="A21593" s="2" t="s">
        <v>42289</v>
      </c>
      <c r="B21593" s="2" t="s">
        <v>42290</v>
      </c>
      <c r="C21593" s="2" t="s">
        <v>195</v>
      </c>
      <c r="D21593" s="2" t="s">
        <v>1585</v>
      </c>
      <c r="E21593" s="2" t="str">
        <f>"9783110605884"</f>
        <v>9783110605884</v>
      </c>
      <c r="F21593" s="2" t="str">
        <f>"9783110605969"</f>
        <v>9783110605969</v>
      </c>
    </row>
    <row r="21594" spans="1:6" s="3" customFormat="1" ht="29.1" customHeight="1" x14ac:dyDescent="0.25">
      <c r="A21594" s="2" t="s">
        <v>42291</v>
      </c>
      <c r="B21594" s="2" t="s">
        <v>42292</v>
      </c>
      <c r="C21594" s="2" t="s">
        <v>195</v>
      </c>
      <c r="D21594" s="2" t="s">
        <v>118</v>
      </c>
      <c r="E21594" s="2" t="str">
        <f>"9783110655322"</f>
        <v>9783110655322</v>
      </c>
      <c r="F21594" s="2" t="str">
        <f>"9783110655711"</f>
        <v>9783110655711</v>
      </c>
    </row>
    <row r="21595" spans="1:6" s="3" customFormat="1" ht="29.1" customHeight="1" x14ac:dyDescent="0.25">
      <c r="A21595" s="2" t="s">
        <v>42293</v>
      </c>
      <c r="B21595" s="2" t="s">
        <v>42294</v>
      </c>
      <c r="C21595" s="2" t="s">
        <v>195</v>
      </c>
      <c r="D21595" s="2" t="s">
        <v>107</v>
      </c>
      <c r="E21595" s="2" t="str">
        <f>"9783110618914"</f>
        <v>9783110618914</v>
      </c>
      <c r="F21595" s="2" t="str">
        <f>"9783110619171"</f>
        <v>9783110619171</v>
      </c>
    </row>
    <row r="21596" spans="1:6" s="3" customFormat="1" ht="29.1" customHeight="1" x14ac:dyDescent="0.25">
      <c r="A21596" s="2" t="s">
        <v>42295</v>
      </c>
      <c r="B21596" s="2" t="s">
        <v>42296</v>
      </c>
      <c r="C21596" s="2" t="s">
        <v>264</v>
      </c>
      <c r="D21596" s="2" t="s">
        <v>2880</v>
      </c>
      <c r="E21596" s="2" t="str">
        <f>"9781138353169"</f>
        <v>9781138353169</v>
      </c>
      <c r="F21596" s="2" t="str">
        <f>"9780429784736"</f>
        <v>9780429784736</v>
      </c>
    </row>
    <row r="21597" spans="1:6" s="3" customFormat="1" ht="29.1" customHeight="1" x14ac:dyDescent="0.25">
      <c r="A21597" s="2" t="s">
        <v>42297</v>
      </c>
      <c r="B21597" s="2" t="s">
        <v>42298</v>
      </c>
      <c r="C21597" s="2" t="s">
        <v>149</v>
      </c>
      <c r="D21597" s="2" t="s">
        <v>553</v>
      </c>
      <c r="E21597" s="2" t="str">
        <f>"9781783748099"</f>
        <v>9781783748099</v>
      </c>
      <c r="F21597" s="2" t="str">
        <f>"9781783748112"</f>
        <v>9781783748112</v>
      </c>
    </row>
    <row r="21598" spans="1:6" s="3" customFormat="1" ht="29.1" customHeight="1" x14ac:dyDescent="0.25">
      <c r="A21598" s="2" t="s">
        <v>42299</v>
      </c>
      <c r="B21598" s="2" t="s">
        <v>42300</v>
      </c>
      <c r="C21598" s="2" t="s">
        <v>595</v>
      </c>
      <c r="D21598" s="2" t="s">
        <v>465</v>
      </c>
      <c r="E21598" s="2" t="str">
        <f>"9783631804582"</f>
        <v>9783631804582</v>
      </c>
      <c r="F21598" s="2" t="str">
        <f>"9783631804681"</f>
        <v>9783631804681</v>
      </c>
    </row>
    <row r="21599" spans="1:6" s="3" customFormat="1" ht="29.1" customHeight="1" x14ac:dyDescent="0.25">
      <c r="A21599" s="2" t="s">
        <v>42301</v>
      </c>
      <c r="B21599" s="2" t="s">
        <v>42302</v>
      </c>
      <c r="C21599" s="2" t="s">
        <v>595</v>
      </c>
      <c r="D21599" s="2" t="s">
        <v>1256</v>
      </c>
      <c r="E21599" s="2" t="str">
        <f>"9783631800256"</f>
        <v>9783631800256</v>
      </c>
      <c r="F21599" s="2" t="str">
        <f>"9783631800263"</f>
        <v>9783631800263</v>
      </c>
    </row>
    <row r="21600" spans="1:6" s="3" customFormat="1" ht="29.1" customHeight="1" x14ac:dyDescent="0.25">
      <c r="A21600" s="2" t="s">
        <v>42303</v>
      </c>
      <c r="B21600" s="2" t="s">
        <v>42304</v>
      </c>
      <c r="C21600" s="2" t="s">
        <v>595</v>
      </c>
      <c r="D21600" s="2" t="s">
        <v>1823</v>
      </c>
      <c r="E21600" s="2" t="str">
        <f>"9783631796481"</f>
        <v>9783631796481</v>
      </c>
      <c r="F21600" s="2" t="str">
        <f>"9783631796597"</f>
        <v>9783631796597</v>
      </c>
    </row>
    <row r="21601" spans="1:6" s="3" customFormat="1" ht="29.1" customHeight="1" x14ac:dyDescent="0.25">
      <c r="A21601" s="2" t="s">
        <v>42305</v>
      </c>
      <c r="B21601" s="2" t="s">
        <v>42306</v>
      </c>
      <c r="C21601" s="2" t="s">
        <v>595</v>
      </c>
      <c r="D21601" s="2" t="s">
        <v>465</v>
      </c>
      <c r="E21601" s="2" t="str">
        <f>"9783631780442"</f>
        <v>9783631780442</v>
      </c>
      <c r="F21601" s="2" t="str">
        <f>"9783631788912"</f>
        <v>9783631788912</v>
      </c>
    </row>
    <row r="21602" spans="1:6" s="3" customFormat="1" ht="29.1" customHeight="1" x14ac:dyDescent="0.25">
      <c r="A21602" s="2" t="s">
        <v>42307</v>
      </c>
      <c r="B21602" s="2" t="s">
        <v>42308</v>
      </c>
      <c r="C21602" s="2" t="s">
        <v>8104</v>
      </c>
      <c r="D21602" s="2" t="s">
        <v>2168</v>
      </c>
      <c r="E21602" s="2" t="str">
        <f>"9781789207514"</f>
        <v>9781789207514</v>
      </c>
      <c r="F21602" s="2" t="str">
        <f>"9781789207521"</f>
        <v>9781789207521</v>
      </c>
    </row>
    <row r="21603" spans="1:6" s="3" customFormat="1" ht="29.1" customHeight="1" x14ac:dyDescent="0.25">
      <c r="A21603" s="2" t="s">
        <v>42309</v>
      </c>
      <c r="B21603" s="2" t="s">
        <v>42310</v>
      </c>
      <c r="C21603" s="2" t="s">
        <v>8104</v>
      </c>
      <c r="D21603" s="2" t="s">
        <v>5032</v>
      </c>
      <c r="E21603" s="2" t="str">
        <f>"9781785338106"</f>
        <v>9781785338106</v>
      </c>
      <c r="F21603" s="2" t="str">
        <f>"9781785339011"</f>
        <v>9781785339011</v>
      </c>
    </row>
    <row r="21604" spans="1:6" s="3" customFormat="1" ht="29.1" customHeight="1" x14ac:dyDescent="0.25">
      <c r="A21604" s="2" t="s">
        <v>42311</v>
      </c>
      <c r="B21604" s="2" t="s">
        <v>42312</v>
      </c>
      <c r="C21604" s="2" t="s">
        <v>29</v>
      </c>
      <c r="D21604" s="2" t="s">
        <v>906</v>
      </c>
      <c r="E21604" s="2" t="str">
        <f>"9789004388437"</f>
        <v>9789004388437</v>
      </c>
      <c r="F21604" s="2" t="str">
        <f>"9789004388444"</f>
        <v>9789004388444</v>
      </c>
    </row>
    <row r="21605" spans="1:6" s="3" customFormat="1" ht="29.1" customHeight="1" x14ac:dyDescent="0.25">
      <c r="A21605" s="2" t="s">
        <v>42313</v>
      </c>
      <c r="B21605" s="2" t="s">
        <v>42314</v>
      </c>
      <c r="C21605" s="2" t="s">
        <v>29</v>
      </c>
      <c r="D21605" s="2" t="s">
        <v>192</v>
      </c>
      <c r="E21605" s="2" t="str">
        <f>"9789004382480"</f>
        <v>9789004382480</v>
      </c>
      <c r="F21605" s="2" t="str">
        <f>"9789004417021"</f>
        <v>9789004417021</v>
      </c>
    </row>
    <row r="21606" spans="1:6" s="3" customFormat="1" ht="29.1" customHeight="1" x14ac:dyDescent="0.25">
      <c r="A21606" s="2" t="s">
        <v>42315</v>
      </c>
      <c r="B21606" s="2" t="s">
        <v>42316</v>
      </c>
      <c r="C21606" s="2" t="s">
        <v>29</v>
      </c>
      <c r="D21606" s="2" t="s">
        <v>25147</v>
      </c>
      <c r="E21606" s="2" t="str">
        <f>"9789004415836"</f>
        <v>9789004415836</v>
      </c>
      <c r="F21606" s="2" t="str">
        <f>"9789004416642"</f>
        <v>9789004416642</v>
      </c>
    </row>
    <row r="21607" spans="1:6" s="3" customFormat="1" ht="29.1" customHeight="1" x14ac:dyDescent="0.25">
      <c r="A21607" s="2" t="s">
        <v>42317</v>
      </c>
      <c r="B21607" s="2" t="s">
        <v>42318</v>
      </c>
      <c r="C21607" s="2" t="s">
        <v>556</v>
      </c>
      <c r="D21607" s="2" t="s">
        <v>175</v>
      </c>
      <c r="E21607" s="2" t="str">
        <f>"9783837651379"</f>
        <v>9783837651379</v>
      </c>
      <c r="F21607" s="2" t="str">
        <f>"9783839451373"</f>
        <v>9783839451373</v>
      </c>
    </row>
    <row r="21608" spans="1:6" s="3" customFormat="1" ht="29.1" customHeight="1" x14ac:dyDescent="0.25">
      <c r="A21608" s="2" t="s">
        <v>42319</v>
      </c>
      <c r="B21608" s="2" t="s">
        <v>42320</v>
      </c>
      <c r="C21608" s="2" t="s">
        <v>195</v>
      </c>
      <c r="D21608" s="2" t="s">
        <v>196</v>
      </c>
      <c r="E21608" s="2" t="str">
        <f>"9783110641752"</f>
        <v>9783110641752</v>
      </c>
      <c r="F21608" s="2" t="str">
        <f>"9783110642162"</f>
        <v>9783110642162</v>
      </c>
    </row>
    <row r="21609" spans="1:6" s="3" customFormat="1" ht="29.1" customHeight="1" x14ac:dyDescent="0.25">
      <c r="A21609" s="2" t="s">
        <v>42321</v>
      </c>
      <c r="B21609" s="2" t="s">
        <v>42322</v>
      </c>
      <c r="C21609" s="2" t="s">
        <v>195</v>
      </c>
      <c r="D21609" s="2" t="s">
        <v>462</v>
      </c>
      <c r="E21609" s="2" t="str">
        <f>"9783110619232"</f>
        <v>9783110619232</v>
      </c>
      <c r="F21609" s="2" t="str">
        <f>"9783110619676"</f>
        <v>9783110619676</v>
      </c>
    </row>
    <row r="21610" spans="1:6" s="3" customFormat="1" ht="29.1" customHeight="1" x14ac:dyDescent="0.25">
      <c r="A21610" s="2" t="s">
        <v>42323</v>
      </c>
      <c r="B21610" s="2" t="s">
        <v>42324</v>
      </c>
      <c r="C21610" s="2" t="s">
        <v>195</v>
      </c>
      <c r="D21610" s="2" t="s">
        <v>210</v>
      </c>
      <c r="E21610" s="2" t="str">
        <f>"9783110632736"</f>
        <v>9783110632736</v>
      </c>
      <c r="F21610" s="2" t="str">
        <f>"9783110632774"</f>
        <v>9783110632774</v>
      </c>
    </row>
    <row r="21611" spans="1:6" s="3" customFormat="1" ht="29.1" customHeight="1" x14ac:dyDescent="0.25">
      <c r="A21611" s="2" t="s">
        <v>42325</v>
      </c>
      <c r="B21611" s="2" t="s">
        <v>42326</v>
      </c>
      <c r="C21611" s="2" t="s">
        <v>124</v>
      </c>
      <c r="D21611" s="2" t="s">
        <v>462</v>
      </c>
      <c r="E21611" s="2" t="str">
        <f>"9781138328679"</f>
        <v>9781138328679</v>
      </c>
      <c r="F21611" s="2" t="str">
        <f>"9780429827891"</f>
        <v>9780429827891</v>
      </c>
    </row>
    <row r="21612" spans="1:6" s="3" customFormat="1" ht="29.1" customHeight="1" x14ac:dyDescent="0.25">
      <c r="A21612" s="2" t="s">
        <v>42327</v>
      </c>
      <c r="B21612" s="2" t="s">
        <v>42328</v>
      </c>
      <c r="C21612" s="2" t="s">
        <v>124</v>
      </c>
      <c r="D21612" s="2" t="s">
        <v>619</v>
      </c>
      <c r="E21612" s="2" t="str">
        <f>"9780367367565"</f>
        <v>9780367367565</v>
      </c>
      <c r="F21612" s="2" t="str">
        <f>"9780429351211"</f>
        <v>9780429351211</v>
      </c>
    </row>
    <row r="21613" spans="1:6" s="3" customFormat="1" ht="29.1" customHeight="1" x14ac:dyDescent="0.25">
      <c r="A21613" s="2" t="s">
        <v>42329</v>
      </c>
      <c r="B21613" s="2" t="s">
        <v>42330</v>
      </c>
      <c r="C21613" s="2" t="s">
        <v>124</v>
      </c>
      <c r="D21613" s="2" t="s">
        <v>210</v>
      </c>
      <c r="E21613" s="2" t="str">
        <f>"9781138388376"</f>
        <v>9781138388376</v>
      </c>
      <c r="F21613" s="2" t="str">
        <f>"9780429758461"</f>
        <v>9780429758461</v>
      </c>
    </row>
    <row r="21614" spans="1:6" s="3" customFormat="1" ht="29.1" customHeight="1" x14ac:dyDescent="0.25">
      <c r="A21614" s="2" t="s">
        <v>42331</v>
      </c>
      <c r="B21614" s="2" t="s">
        <v>42332</v>
      </c>
      <c r="C21614" s="2" t="s">
        <v>124</v>
      </c>
      <c r="D21614" s="2" t="s">
        <v>10941</v>
      </c>
      <c r="E21614" s="2" t="str">
        <f>"9781138393530"</f>
        <v>9781138393530</v>
      </c>
      <c r="F21614" s="2" t="str">
        <f>"9780429686634"</f>
        <v>9780429686634</v>
      </c>
    </row>
    <row r="21615" spans="1:6" s="3" customFormat="1" ht="29.1" customHeight="1" x14ac:dyDescent="0.25">
      <c r="A21615" s="2" t="s">
        <v>42333</v>
      </c>
      <c r="B21615" s="2" t="s">
        <v>42334</v>
      </c>
      <c r="C21615" s="2" t="s">
        <v>248</v>
      </c>
      <c r="D21615" s="2" t="s">
        <v>9003</v>
      </c>
      <c r="E21615" s="2" t="str">
        <f>"9783966650045"</f>
        <v>9783966650045</v>
      </c>
      <c r="F21615" s="2" t="str">
        <f>"9783966659796"</f>
        <v>9783966659796</v>
      </c>
    </row>
    <row r="21616" spans="1:6" s="3" customFormat="1" ht="29.1" customHeight="1" x14ac:dyDescent="0.25">
      <c r="A21616" s="2" t="s">
        <v>42335</v>
      </c>
      <c r="B21616" s="2" t="s">
        <v>42336</v>
      </c>
      <c r="C21616" s="2" t="s">
        <v>124</v>
      </c>
      <c r="D21616" s="2" t="s">
        <v>818</v>
      </c>
      <c r="E21616" s="2" t="str">
        <f>"9781350051386"</f>
        <v>9781350051386</v>
      </c>
      <c r="F21616" s="2" t="str">
        <f>"9781350051409"</f>
        <v>9781350051409</v>
      </c>
    </row>
    <row r="21617" spans="1:6" s="3" customFormat="1" ht="29.1" customHeight="1" x14ac:dyDescent="0.25">
      <c r="A21617" s="2" t="s">
        <v>42337</v>
      </c>
      <c r="B21617" s="2" t="s">
        <v>42338</v>
      </c>
      <c r="C21617" s="2" t="s">
        <v>124</v>
      </c>
      <c r="D21617" s="2" t="s">
        <v>2086</v>
      </c>
      <c r="E21617" s="2" t="str">
        <f>"9781032083933"</f>
        <v>9781032083933</v>
      </c>
      <c r="F21617" s="2" t="str">
        <f>"9780429801389"</f>
        <v>9780429801389</v>
      </c>
    </row>
    <row r="21618" spans="1:6" s="3" customFormat="1" ht="29.1" customHeight="1" x14ac:dyDescent="0.25">
      <c r="A21618" s="2" t="s">
        <v>42339</v>
      </c>
      <c r="B21618" s="2" t="s">
        <v>42340</v>
      </c>
      <c r="C21618" s="2" t="s">
        <v>746</v>
      </c>
      <c r="D21618" s="2" t="s">
        <v>606</v>
      </c>
      <c r="E21618" s="2" t="str">
        <f>"9781789692525"</f>
        <v>9781789692525</v>
      </c>
      <c r="F21618" s="2" t="str">
        <f>"9781789692532"</f>
        <v>9781789692532</v>
      </c>
    </row>
    <row r="21619" spans="1:6" s="3" customFormat="1" ht="29.1" customHeight="1" x14ac:dyDescent="0.25">
      <c r="A21619" s="2" t="s">
        <v>42341</v>
      </c>
      <c r="B21619" s="2" t="s">
        <v>42342</v>
      </c>
      <c r="C21619" s="2" t="s">
        <v>746</v>
      </c>
      <c r="D21619" s="2" t="s">
        <v>606</v>
      </c>
      <c r="E21619" s="2" t="str">
        <f>"9781784916770"</f>
        <v>9781784916770</v>
      </c>
      <c r="F21619" s="2" t="str">
        <f>"9781784916787"</f>
        <v>9781784916787</v>
      </c>
    </row>
    <row r="21620" spans="1:6" s="3" customFormat="1" ht="29.1" customHeight="1" x14ac:dyDescent="0.25">
      <c r="A21620" s="2" t="s">
        <v>42343</v>
      </c>
      <c r="B21620" s="2" t="s">
        <v>42344</v>
      </c>
      <c r="C21620" s="2" t="s">
        <v>124</v>
      </c>
      <c r="D21620" s="2" t="s">
        <v>210</v>
      </c>
      <c r="E21620" s="2" t="str">
        <f>"9780367185619"</f>
        <v>9780367185619</v>
      </c>
      <c r="F21620" s="2" t="str">
        <f>"9780429198588"</f>
        <v>9780429198588</v>
      </c>
    </row>
    <row r="21621" spans="1:6" s="3" customFormat="1" ht="29.1" customHeight="1" x14ac:dyDescent="0.25">
      <c r="A21621" s="2" t="s">
        <v>42345</v>
      </c>
      <c r="B21621" s="2" t="s">
        <v>42346</v>
      </c>
      <c r="C21621" s="2" t="s">
        <v>149</v>
      </c>
      <c r="D21621" s="2" t="s">
        <v>10578</v>
      </c>
      <c r="E21621" s="2" t="str">
        <f>"9781783748211"</f>
        <v>9781783748211</v>
      </c>
      <c r="F21621" s="2" t="str">
        <f>"9781783748235"</f>
        <v>9781783748235</v>
      </c>
    </row>
    <row r="21622" spans="1:6" s="3" customFormat="1" ht="29.1" customHeight="1" x14ac:dyDescent="0.25">
      <c r="A21622" s="2" t="s">
        <v>42347</v>
      </c>
      <c r="B21622" s="2" t="s">
        <v>31266</v>
      </c>
      <c r="C21622" s="2" t="s">
        <v>327</v>
      </c>
      <c r="D21622" s="2" t="s">
        <v>4783</v>
      </c>
      <c r="E21622" s="2" t="str">
        <f>"9788381426039"</f>
        <v>9788381426039</v>
      </c>
      <c r="F21622" s="2" t="str">
        <f>"9788381426046"</f>
        <v>9788381426046</v>
      </c>
    </row>
    <row r="21623" spans="1:6" s="3" customFormat="1" ht="29.1" customHeight="1" x14ac:dyDescent="0.25">
      <c r="A21623" s="2" t="s">
        <v>42348</v>
      </c>
      <c r="B21623" s="2" t="s">
        <v>42349</v>
      </c>
      <c r="C21623" s="2" t="s">
        <v>3248</v>
      </c>
      <c r="D21623" s="2" t="s">
        <v>210</v>
      </c>
      <c r="E21623" s="2" t="str">
        <f>"9781978813021"</f>
        <v>9781978813021</v>
      </c>
      <c r="F21623" s="2" t="str">
        <f>"9781978813038"</f>
        <v>9781978813038</v>
      </c>
    </row>
    <row r="21624" spans="1:6" s="3" customFormat="1" ht="29.1" customHeight="1" x14ac:dyDescent="0.25">
      <c r="A21624" s="2" t="s">
        <v>42350</v>
      </c>
      <c r="B21624" s="2" t="s">
        <v>42351</v>
      </c>
      <c r="C21624" s="2" t="s">
        <v>195</v>
      </c>
      <c r="D21624" s="2" t="s">
        <v>459</v>
      </c>
      <c r="E21624" s="2" t="str">
        <f>"9781501511585"</f>
        <v>9781501511585</v>
      </c>
      <c r="F21624" s="2" t="str">
        <f>"9781501503382"</f>
        <v>9781501503382</v>
      </c>
    </row>
    <row r="21625" spans="1:6" s="3" customFormat="1" ht="29.1" customHeight="1" x14ac:dyDescent="0.25">
      <c r="A21625" s="2" t="s">
        <v>42352</v>
      </c>
      <c r="B21625" s="2" t="s">
        <v>42353</v>
      </c>
      <c r="C21625" s="2" t="s">
        <v>885</v>
      </c>
      <c r="D21625" s="2" t="s">
        <v>95</v>
      </c>
      <c r="E21625" s="2" t="str">
        <f>"9781487503352"</f>
        <v>9781487503352</v>
      </c>
      <c r="F21625" s="2" t="str">
        <f>"9781487517762"</f>
        <v>9781487517762</v>
      </c>
    </row>
    <row r="21626" spans="1:6" s="3" customFormat="1" ht="29.1" customHeight="1" x14ac:dyDescent="0.25">
      <c r="A21626" s="2" t="s">
        <v>42354</v>
      </c>
      <c r="B21626" s="2" t="s">
        <v>42355</v>
      </c>
      <c r="C21626" s="2" t="s">
        <v>4104</v>
      </c>
      <c r="D21626" s="2" t="s">
        <v>6678</v>
      </c>
      <c r="E21626" s="2" t="str">
        <f>"9781789620375"</f>
        <v>9781789620375</v>
      </c>
      <c r="F21626" s="2" t="str">
        <f>"9781789624540"</f>
        <v>9781789624540</v>
      </c>
    </row>
    <row r="21627" spans="1:6" s="3" customFormat="1" ht="29.1" customHeight="1" x14ac:dyDescent="0.25">
      <c r="A21627" s="2" t="s">
        <v>42356</v>
      </c>
      <c r="B21627" s="2" t="s">
        <v>42357</v>
      </c>
      <c r="C21627" s="2" t="s">
        <v>124</v>
      </c>
      <c r="D21627" s="2" t="s">
        <v>92</v>
      </c>
      <c r="E21627" s="2" t="str">
        <f>"9780367421403"</f>
        <v>9780367421403</v>
      </c>
      <c r="F21627" s="2" t="str">
        <f>"9781000733105"</f>
        <v>9781000733105</v>
      </c>
    </row>
    <row r="21628" spans="1:6" s="3" customFormat="1" ht="29.1" customHeight="1" x14ac:dyDescent="0.25">
      <c r="A21628" s="2" t="s">
        <v>42358</v>
      </c>
      <c r="B21628" s="2" t="s">
        <v>42359</v>
      </c>
      <c r="C21628" s="2" t="s">
        <v>1070</v>
      </c>
      <c r="D21628" s="2" t="s">
        <v>1265</v>
      </c>
      <c r="E21628" s="2" t="str">
        <f>"9781912776979"</f>
        <v>9781912776979</v>
      </c>
      <c r="F21628" s="2" t="str">
        <f>"9781912776986"</f>
        <v>9781912776986</v>
      </c>
    </row>
    <row r="21629" spans="1:6" s="3" customFormat="1" ht="29.1" customHeight="1" x14ac:dyDescent="0.25">
      <c r="A21629" s="2" t="s">
        <v>42360</v>
      </c>
      <c r="B21629" s="2" t="s">
        <v>42359</v>
      </c>
      <c r="C21629" s="2" t="s">
        <v>1070</v>
      </c>
      <c r="D21629" s="2" t="s">
        <v>1265</v>
      </c>
      <c r="E21629" s="2" t="str">
        <f>"9781912776948"</f>
        <v>9781912776948</v>
      </c>
      <c r="F21629" s="2" t="str">
        <f>"9781912776955"</f>
        <v>9781912776955</v>
      </c>
    </row>
    <row r="21630" spans="1:6" s="3" customFormat="1" ht="29.1" customHeight="1" x14ac:dyDescent="0.25">
      <c r="A21630" s="2" t="s">
        <v>1534</v>
      </c>
      <c r="B21630" s="2" t="s">
        <v>8351</v>
      </c>
      <c r="C21630" s="2" t="s">
        <v>1070</v>
      </c>
      <c r="D21630" s="2" t="s">
        <v>1265</v>
      </c>
      <c r="E21630" s="2" t="str">
        <f>"9781912776825"</f>
        <v>9781912776825</v>
      </c>
      <c r="F21630" s="2" t="str">
        <f>"9781912776832"</f>
        <v>9781912776832</v>
      </c>
    </row>
    <row r="21631" spans="1:6" s="3" customFormat="1" ht="29.1" customHeight="1" x14ac:dyDescent="0.25">
      <c r="A21631" s="2" t="s">
        <v>42361</v>
      </c>
      <c r="B21631" s="2" t="s">
        <v>42359</v>
      </c>
      <c r="C21631" s="2" t="s">
        <v>1070</v>
      </c>
      <c r="D21631" s="2" t="s">
        <v>1265</v>
      </c>
      <c r="E21631" s="2" t="str">
        <f>"9783318065626"</f>
        <v>9783318065626</v>
      </c>
      <c r="F21631" s="2" t="str">
        <f>"9783318065633"</f>
        <v>9783318065633</v>
      </c>
    </row>
    <row r="21632" spans="1:6" s="3" customFormat="1" ht="29.1" customHeight="1" x14ac:dyDescent="0.25">
      <c r="A21632" s="2" t="s">
        <v>1274</v>
      </c>
      <c r="B21632" s="2" t="s">
        <v>9788</v>
      </c>
      <c r="C21632" s="2" t="s">
        <v>1070</v>
      </c>
      <c r="D21632" s="2" t="s">
        <v>1275</v>
      </c>
      <c r="E21632" s="2" t="str">
        <f>"9783318065411"</f>
        <v>9783318065411</v>
      </c>
      <c r="F21632" s="2" t="str">
        <f>"9783318065428"</f>
        <v>9783318065428</v>
      </c>
    </row>
    <row r="21633" spans="1:6" s="3" customFormat="1" ht="29.1" customHeight="1" x14ac:dyDescent="0.25">
      <c r="A21633" s="2" t="s">
        <v>42362</v>
      </c>
      <c r="B21633" s="2" t="s">
        <v>8351</v>
      </c>
      <c r="C21633" s="2" t="s">
        <v>1070</v>
      </c>
      <c r="D21633" s="2" t="s">
        <v>1265</v>
      </c>
      <c r="E21633" s="2" t="str">
        <f>"9781912776917"</f>
        <v>9781912776917</v>
      </c>
      <c r="F21633" s="2" t="str">
        <f>"9781912776924"</f>
        <v>9781912776924</v>
      </c>
    </row>
    <row r="21634" spans="1:6" s="3" customFormat="1" ht="29.1" customHeight="1" x14ac:dyDescent="0.25">
      <c r="A21634" s="2" t="s">
        <v>42363</v>
      </c>
      <c r="B21634" s="2" t="s">
        <v>42359</v>
      </c>
      <c r="C21634" s="2" t="s">
        <v>1070</v>
      </c>
      <c r="D21634" s="2" t="s">
        <v>1265</v>
      </c>
      <c r="E21634" s="2" t="str">
        <f>"9781912776764"</f>
        <v>9781912776764</v>
      </c>
      <c r="F21634" s="2" t="str">
        <f>"9781912776771"</f>
        <v>9781912776771</v>
      </c>
    </row>
    <row r="21635" spans="1:6" s="3" customFormat="1" ht="29.1" customHeight="1" x14ac:dyDescent="0.25">
      <c r="A21635" s="2" t="s">
        <v>9782</v>
      </c>
      <c r="B21635" s="2" t="s">
        <v>8351</v>
      </c>
      <c r="C21635" s="2" t="s">
        <v>1070</v>
      </c>
      <c r="D21635" s="2" t="s">
        <v>1265</v>
      </c>
      <c r="E21635" s="2" t="str">
        <f>"9781912776887"</f>
        <v>9781912776887</v>
      </c>
      <c r="F21635" s="2" t="str">
        <f>"9781912776894"</f>
        <v>9781912776894</v>
      </c>
    </row>
    <row r="21636" spans="1:6" s="3" customFormat="1" ht="29.1" customHeight="1" x14ac:dyDescent="0.25">
      <c r="A21636" s="2" t="s">
        <v>9783</v>
      </c>
      <c r="B21636" s="2" t="s">
        <v>8351</v>
      </c>
      <c r="C21636" s="2" t="s">
        <v>1070</v>
      </c>
      <c r="D21636" s="2" t="s">
        <v>1265</v>
      </c>
      <c r="E21636" s="2" t="str">
        <f>"9781912776856"</f>
        <v>9781912776856</v>
      </c>
      <c r="F21636" s="2" t="str">
        <f>"9781912776863"</f>
        <v>9781912776863</v>
      </c>
    </row>
    <row r="21637" spans="1:6" s="3" customFormat="1" ht="29.1" customHeight="1" x14ac:dyDescent="0.25">
      <c r="A21637" s="2" t="s">
        <v>42364</v>
      </c>
      <c r="B21637" s="2" t="s">
        <v>42365</v>
      </c>
      <c r="C21637" s="2" t="s">
        <v>124</v>
      </c>
      <c r="D21637" s="2" t="s">
        <v>270</v>
      </c>
      <c r="E21637" s="2" t="str">
        <f>"9781138493803"</f>
        <v>9781138493803</v>
      </c>
      <c r="F21637" s="2" t="str">
        <f>"9780429939259"</f>
        <v>9780429939259</v>
      </c>
    </row>
    <row r="21638" spans="1:6" s="3" customFormat="1" ht="29.1" customHeight="1" x14ac:dyDescent="0.25">
      <c r="A21638" s="2" t="s">
        <v>42366</v>
      </c>
      <c r="B21638" s="2" t="s">
        <v>42367</v>
      </c>
      <c r="C21638" s="2" t="s">
        <v>124</v>
      </c>
      <c r="D21638" s="2" t="s">
        <v>1806</v>
      </c>
      <c r="E21638" s="2" t="str">
        <f>"9780367410285"</f>
        <v>9780367410285</v>
      </c>
      <c r="F21638" s="2" t="str">
        <f>"9781000740653"</f>
        <v>9781000740653</v>
      </c>
    </row>
    <row r="21639" spans="1:6" s="3" customFormat="1" ht="29.1" customHeight="1" x14ac:dyDescent="0.25">
      <c r="A21639" s="2" t="s">
        <v>42368</v>
      </c>
      <c r="B21639" s="2" t="s">
        <v>42369</v>
      </c>
      <c r="C21639" s="2" t="s">
        <v>746</v>
      </c>
      <c r="D21639" s="2" t="s">
        <v>606</v>
      </c>
      <c r="E21639" s="2" t="str">
        <f>"9781789690439"</f>
        <v>9781789690439</v>
      </c>
      <c r="F21639" s="2" t="str">
        <f>"9781789690446"</f>
        <v>9781789690446</v>
      </c>
    </row>
    <row r="21640" spans="1:6" s="3" customFormat="1" ht="29.1" customHeight="1" x14ac:dyDescent="0.25">
      <c r="A21640" s="2" t="s">
        <v>42370</v>
      </c>
      <c r="B21640" s="2" t="s">
        <v>42371</v>
      </c>
      <c r="C21640" s="2" t="s">
        <v>746</v>
      </c>
      <c r="D21640" s="2" t="s">
        <v>606</v>
      </c>
      <c r="E21640" s="2" t="str">
        <f>"9781789690330"</f>
        <v>9781789690330</v>
      </c>
      <c r="F21640" s="2" t="str">
        <f>"9781789690347"</f>
        <v>9781789690347</v>
      </c>
    </row>
    <row r="21641" spans="1:6" s="3" customFormat="1" ht="29.1" customHeight="1" x14ac:dyDescent="0.25">
      <c r="A21641" s="2" t="s">
        <v>42372</v>
      </c>
      <c r="B21641" s="2" t="s">
        <v>42373</v>
      </c>
      <c r="C21641" s="2" t="s">
        <v>746</v>
      </c>
      <c r="D21641" s="2" t="s">
        <v>606</v>
      </c>
      <c r="E21641" s="2" t="str">
        <f>"9781789693065"</f>
        <v>9781789693065</v>
      </c>
      <c r="F21641" s="2" t="str">
        <f>"9781789693072"</f>
        <v>9781789693072</v>
      </c>
    </row>
    <row r="21642" spans="1:6" s="3" customFormat="1" ht="29.1" customHeight="1" x14ac:dyDescent="0.25">
      <c r="A21642" s="2" t="s">
        <v>42374</v>
      </c>
      <c r="B21642" s="2" t="s">
        <v>42375</v>
      </c>
      <c r="C21642" s="2" t="s">
        <v>746</v>
      </c>
      <c r="D21642" s="2" t="s">
        <v>606</v>
      </c>
      <c r="E21642" s="2" t="str">
        <f>"9781789692808"</f>
        <v>9781789692808</v>
      </c>
      <c r="F21642" s="2" t="str">
        <f>"9781789692815"</f>
        <v>9781789692815</v>
      </c>
    </row>
    <row r="21643" spans="1:6" s="3" customFormat="1" ht="29.1" customHeight="1" x14ac:dyDescent="0.25">
      <c r="A21643" s="2" t="s">
        <v>42376</v>
      </c>
      <c r="B21643" s="2" t="s">
        <v>42377</v>
      </c>
      <c r="C21643" s="2" t="s">
        <v>746</v>
      </c>
      <c r="D21643" s="2" t="s">
        <v>606</v>
      </c>
      <c r="E21643" s="2" t="str">
        <f>"9781784918439"</f>
        <v>9781784918439</v>
      </c>
      <c r="F21643" s="2" t="str">
        <f>"9781784918446"</f>
        <v>9781784918446</v>
      </c>
    </row>
    <row r="21644" spans="1:6" s="3" customFormat="1" ht="29.1" customHeight="1" x14ac:dyDescent="0.25">
      <c r="A21644" s="2" t="s">
        <v>42378</v>
      </c>
      <c r="B21644" s="2" t="s">
        <v>42379</v>
      </c>
      <c r="C21644" s="2" t="s">
        <v>746</v>
      </c>
      <c r="D21644" s="2" t="s">
        <v>606</v>
      </c>
      <c r="E21644" s="2" t="str">
        <f>"9781789692686"</f>
        <v>9781789692686</v>
      </c>
      <c r="F21644" s="2" t="str">
        <f>"9781789692693"</f>
        <v>9781789692693</v>
      </c>
    </row>
    <row r="21645" spans="1:6" s="3" customFormat="1" ht="29.1" customHeight="1" x14ac:dyDescent="0.25">
      <c r="A21645" s="2" t="s">
        <v>42380</v>
      </c>
      <c r="B21645" s="2" t="s">
        <v>42381</v>
      </c>
      <c r="C21645" s="2" t="s">
        <v>746</v>
      </c>
      <c r="D21645" s="2" t="s">
        <v>606</v>
      </c>
      <c r="E21645" s="2" t="str">
        <f>"9781789690668"</f>
        <v>9781789690668</v>
      </c>
      <c r="F21645" s="2" t="str">
        <f>"9781789690675"</f>
        <v>9781789690675</v>
      </c>
    </row>
    <row r="21646" spans="1:6" s="3" customFormat="1" ht="29.1" customHeight="1" x14ac:dyDescent="0.25">
      <c r="A21646" s="2" t="s">
        <v>42382</v>
      </c>
      <c r="B21646" s="2" t="s">
        <v>27457</v>
      </c>
      <c r="C21646" s="2" t="s">
        <v>746</v>
      </c>
      <c r="D21646" s="2" t="s">
        <v>606</v>
      </c>
      <c r="E21646" s="2" t="str">
        <f>"9781789691863"</f>
        <v>9781789691863</v>
      </c>
      <c r="F21646" s="2" t="str">
        <f>"9781789691870"</f>
        <v>9781789691870</v>
      </c>
    </row>
    <row r="21647" spans="1:6" s="3" customFormat="1" ht="29.1" customHeight="1" x14ac:dyDescent="0.25">
      <c r="A21647" s="2" t="s">
        <v>42383</v>
      </c>
      <c r="B21647" s="2" t="s">
        <v>42384</v>
      </c>
      <c r="C21647" s="2" t="s">
        <v>746</v>
      </c>
      <c r="D21647" s="2" t="s">
        <v>606</v>
      </c>
      <c r="E21647" s="2" t="str">
        <f>"9781784910129"</f>
        <v>9781784910129</v>
      </c>
      <c r="F21647" s="2" t="str">
        <f>"9781784910136"</f>
        <v>9781784910136</v>
      </c>
    </row>
    <row r="21648" spans="1:6" s="3" customFormat="1" ht="29.1" customHeight="1" x14ac:dyDescent="0.25">
      <c r="A21648" s="2" t="s">
        <v>42385</v>
      </c>
      <c r="B21648" s="2" t="s">
        <v>42386</v>
      </c>
      <c r="C21648" s="2" t="s">
        <v>746</v>
      </c>
      <c r="D21648" s="2" t="s">
        <v>606</v>
      </c>
      <c r="E21648" s="2" t="str">
        <f>"9781789693157"</f>
        <v>9781789693157</v>
      </c>
      <c r="F21648" s="2" t="str">
        <f>"9781789693164"</f>
        <v>9781789693164</v>
      </c>
    </row>
    <row r="21649" spans="1:6" s="3" customFormat="1" ht="29.1" customHeight="1" x14ac:dyDescent="0.25">
      <c r="A21649" s="2" t="s">
        <v>42387</v>
      </c>
      <c r="B21649" s="2" t="s">
        <v>42388</v>
      </c>
      <c r="C21649" s="2" t="s">
        <v>746</v>
      </c>
      <c r="D21649" s="2" t="s">
        <v>606</v>
      </c>
      <c r="E21649" s="2" t="str">
        <f>"9781789692242"</f>
        <v>9781789692242</v>
      </c>
      <c r="F21649" s="2" t="str">
        <f>"9781789692259"</f>
        <v>9781789692259</v>
      </c>
    </row>
    <row r="21650" spans="1:6" s="3" customFormat="1" ht="29.1" customHeight="1" x14ac:dyDescent="0.25">
      <c r="A21650" s="2" t="s">
        <v>42389</v>
      </c>
      <c r="B21650" s="2" t="s">
        <v>42390</v>
      </c>
      <c r="C21650" s="2" t="s">
        <v>746</v>
      </c>
      <c r="D21650" s="2" t="s">
        <v>606</v>
      </c>
      <c r="E21650" s="2" t="str">
        <f>"9781789693119"</f>
        <v>9781789693119</v>
      </c>
      <c r="F21650" s="2" t="str">
        <f>"9781789693126"</f>
        <v>9781789693126</v>
      </c>
    </row>
    <row r="21651" spans="1:6" s="3" customFormat="1" ht="29.1" customHeight="1" x14ac:dyDescent="0.25">
      <c r="A21651" s="2" t="s">
        <v>42391</v>
      </c>
      <c r="B21651" s="2" t="s">
        <v>42392</v>
      </c>
      <c r="C21651" s="2" t="s">
        <v>746</v>
      </c>
      <c r="D21651" s="2" t="s">
        <v>606</v>
      </c>
      <c r="E21651" s="2" t="str">
        <f>"9781784917302"</f>
        <v>9781784917302</v>
      </c>
      <c r="F21651" s="2" t="str">
        <f>"9781784917319"</f>
        <v>9781784917319</v>
      </c>
    </row>
    <row r="21652" spans="1:6" s="3" customFormat="1" ht="29.1" customHeight="1" x14ac:dyDescent="0.25">
      <c r="A21652" s="2" t="s">
        <v>42393</v>
      </c>
      <c r="B21652" s="2" t="s">
        <v>33250</v>
      </c>
      <c r="C21652" s="2" t="s">
        <v>746</v>
      </c>
      <c r="D21652" s="2" t="s">
        <v>606</v>
      </c>
      <c r="E21652" s="2" t="str">
        <f>"9781784911478"</f>
        <v>9781784911478</v>
      </c>
      <c r="F21652" s="2" t="str">
        <f>"9781784911485"</f>
        <v>9781784911485</v>
      </c>
    </row>
    <row r="21653" spans="1:6" s="3" customFormat="1" ht="29.1" customHeight="1" x14ac:dyDescent="0.25">
      <c r="A21653" s="2" t="s">
        <v>42394</v>
      </c>
      <c r="B21653" s="2" t="s">
        <v>42395</v>
      </c>
      <c r="C21653" s="2" t="s">
        <v>746</v>
      </c>
      <c r="D21653" s="2" t="s">
        <v>606</v>
      </c>
      <c r="E21653" s="2" t="str">
        <f>"9781789691962"</f>
        <v>9781789691962</v>
      </c>
      <c r="F21653" s="2" t="str">
        <f>"9781789691979"</f>
        <v>9781789691979</v>
      </c>
    </row>
    <row r="21654" spans="1:6" s="3" customFormat="1" ht="29.1" customHeight="1" x14ac:dyDescent="0.25">
      <c r="A21654" s="2" t="s">
        <v>42396</v>
      </c>
      <c r="B21654" s="2" t="s">
        <v>42397</v>
      </c>
      <c r="C21654" s="2" t="s">
        <v>746</v>
      </c>
      <c r="D21654" s="2" t="s">
        <v>606</v>
      </c>
      <c r="E21654" s="2" t="str">
        <f>"9781789690705"</f>
        <v>9781789690705</v>
      </c>
      <c r="F21654" s="2" t="str">
        <f>"9781789690712"</f>
        <v>9781789690712</v>
      </c>
    </row>
    <row r="21655" spans="1:6" s="3" customFormat="1" ht="29.1" customHeight="1" x14ac:dyDescent="0.25">
      <c r="A21655" s="2" t="s">
        <v>42398</v>
      </c>
      <c r="B21655" s="2" t="s">
        <v>42399</v>
      </c>
      <c r="C21655" s="2" t="s">
        <v>746</v>
      </c>
      <c r="D21655" s="2" t="s">
        <v>606</v>
      </c>
      <c r="E21655" s="2" t="str">
        <f>"9781789691948"</f>
        <v>9781789691948</v>
      </c>
      <c r="F21655" s="2" t="str">
        <f>"9781789691955"</f>
        <v>9781789691955</v>
      </c>
    </row>
    <row r="21656" spans="1:6" s="3" customFormat="1" ht="29.1" customHeight="1" x14ac:dyDescent="0.25">
      <c r="A21656" s="2" t="s">
        <v>1705</v>
      </c>
      <c r="B21656" s="2" t="s">
        <v>1704</v>
      </c>
      <c r="C21656" s="2" t="s">
        <v>1070</v>
      </c>
      <c r="D21656" s="2" t="s">
        <v>1272</v>
      </c>
      <c r="E21656" s="2"/>
      <c r="F21656" s="2" t="str">
        <f>"9783318066142"</f>
        <v>9783318066142</v>
      </c>
    </row>
    <row r="21657" spans="1:6" s="3" customFormat="1" ht="29.1" customHeight="1" x14ac:dyDescent="0.25">
      <c r="A21657" s="2" t="s">
        <v>1271</v>
      </c>
      <c r="B21657" s="2" t="s">
        <v>42400</v>
      </c>
      <c r="C21657" s="2" t="s">
        <v>1070</v>
      </c>
      <c r="D21657" s="2" t="s">
        <v>1272</v>
      </c>
      <c r="E21657" s="2" t="str">
        <f>"9781912776276"</f>
        <v>9781912776276</v>
      </c>
      <c r="F21657" s="2" t="str">
        <f>"9781912776283"</f>
        <v>9781912776283</v>
      </c>
    </row>
    <row r="21658" spans="1:6" s="3" customFormat="1" ht="29.1" customHeight="1" x14ac:dyDescent="0.25">
      <c r="A21658" s="2" t="s">
        <v>1269</v>
      </c>
      <c r="B21658" s="2" t="s">
        <v>42401</v>
      </c>
      <c r="C21658" s="2" t="s">
        <v>1070</v>
      </c>
      <c r="D21658" s="2" t="s">
        <v>1071</v>
      </c>
      <c r="E21658" s="2" t="str">
        <f>"9781910797822"</f>
        <v>9781910797822</v>
      </c>
      <c r="F21658" s="2" t="str">
        <f>"9781912776160"</f>
        <v>9781912776160</v>
      </c>
    </row>
    <row r="21659" spans="1:6" s="3" customFormat="1" ht="29.1" customHeight="1" x14ac:dyDescent="0.25">
      <c r="A21659" s="2" t="s">
        <v>1360</v>
      </c>
      <c r="B21659" s="2" t="s">
        <v>42402</v>
      </c>
      <c r="C21659" s="2" t="s">
        <v>1070</v>
      </c>
      <c r="D21659" s="2" t="s">
        <v>1265</v>
      </c>
      <c r="E21659" s="2" t="str">
        <f>"9781910797945"</f>
        <v>9781910797945</v>
      </c>
      <c r="F21659" s="2" t="str">
        <f>"9781910797952"</f>
        <v>9781910797952</v>
      </c>
    </row>
    <row r="21660" spans="1:6" s="3" customFormat="1" ht="29.1" customHeight="1" x14ac:dyDescent="0.25">
      <c r="A21660" s="2" t="s">
        <v>1536</v>
      </c>
      <c r="B21660" s="2" t="s">
        <v>42403</v>
      </c>
      <c r="C21660" s="2" t="s">
        <v>1070</v>
      </c>
      <c r="D21660" s="2" t="s">
        <v>1265</v>
      </c>
      <c r="E21660" s="2" t="str">
        <f>"9781912776184"</f>
        <v>9781912776184</v>
      </c>
      <c r="F21660" s="2" t="str">
        <f>"9781912776191"</f>
        <v>9781912776191</v>
      </c>
    </row>
    <row r="21661" spans="1:6" s="3" customFormat="1" ht="29.1" customHeight="1" x14ac:dyDescent="0.25">
      <c r="A21661" s="2" t="s">
        <v>1267</v>
      </c>
      <c r="B21661" s="2" t="s">
        <v>42404</v>
      </c>
      <c r="C21661" s="2" t="s">
        <v>1070</v>
      </c>
      <c r="D21661" s="2" t="s">
        <v>1265</v>
      </c>
      <c r="E21661" s="2" t="str">
        <f>"9781910797792"</f>
        <v>9781910797792</v>
      </c>
      <c r="F21661" s="2" t="str">
        <f>"9781910797808"</f>
        <v>9781910797808</v>
      </c>
    </row>
    <row r="21662" spans="1:6" s="3" customFormat="1" ht="29.1" customHeight="1" x14ac:dyDescent="0.25">
      <c r="A21662" s="2" t="s">
        <v>1319</v>
      </c>
      <c r="B21662" s="2" t="s">
        <v>42405</v>
      </c>
      <c r="C21662" s="2" t="s">
        <v>1070</v>
      </c>
      <c r="D21662" s="2" t="s">
        <v>1265</v>
      </c>
      <c r="E21662" s="2" t="str">
        <f>"9781910797839"</f>
        <v>9781910797839</v>
      </c>
      <c r="F21662" s="2" t="str">
        <f>"9781910797846"</f>
        <v>9781910797846</v>
      </c>
    </row>
    <row r="21663" spans="1:6" s="3" customFormat="1" ht="29.1" customHeight="1" x14ac:dyDescent="0.25">
      <c r="A21663" s="2" t="s">
        <v>1468</v>
      </c>
      <c r="B21663" s="2" t="s">
        <v>4102</v>
      </c>
      <c r="C21663" s="2" t="s">
        <v>1070</v>
      </c>
      <c r="D21663" s="2" t="s">
        <v>1265</v>
      </c>
      <c r="E21663" s="2" t="str">
        <f>"9781912776306"</f>
        <v>9781912776306</v>
      </c>
      <c r="F21663" s="2" t="str">
        <f>"9781912776313"</f>
        <v>9781912776313</v>
      </c>
    </row>
    <row r="21664" spans="1:6" s="3" customFormat="1" ht="29.1" customHeight="1" x14ac:dyDescent="0.25">
      <c r="A21664" s="2" t="s">
        <v>9784</v>
      </c>
      <c r="B21664" s="2" t="s">
        <v>9785</v>
      </c>
      <c r="C21664" s="2" t="s">
        <v>1070</v>
      </c>
      <c r="D21664" s="2" t="s">
        <v>1071</v>
      </c>
      <c r="E21664" s="2"/>
      <c r="F21664" s="2" t="str">
        <f>"9783318065855"</f>
        <v>9783318065855</v>
      </c>
    </row>
    <row r="21665" spans="1:6" s="3" customFormat="1" ht="29.1" customHeight="1" x14ac:dyDescent="0.25">
      <c r="A21665" s="2" t="s">
        <v>42406</v>
      </c>
      <c r="B21665" s="2" t="s">
        <v>42407</v>
      </c>
      <c r="C21665" s="2" t="s">
        <v>131</v>
      </c>
      <c r="D21665" s="2" t="s">
        <v>1248</v>
      </c>
      <c r="E21665" s="2" t="str">
        <f>"9789027204691"</f>
        <v>9789027204691</v>
      </c>
      <c r="F21665" s="2" t="str">
        <f>"9789027261779"</f>
        <v>9789027261779</v>
      </c>
    </row>
    <row r="21666" spans="1:6" s="3" customFormat="1" ht="29.1" customHeight="1" x14ac:dyDescent="0.25">
      <c r="A21666" s="2" t="s">
        <v>42408</v>
      </c>
      <c r="B21666" s="2" t="s">
        <v>42409</v>
      </c>
      <c r="C21666" s="2" t="s">
        <v>195</v>
      </c>
      <c r="D21666" s="2" t="s">
        <v>5671</v>
      </c>
      <c r="E21666" s="2" t="str">
        <f>"9783110639650"</f>
        <v>9783110639650</v>
      </c>
      <c r="F21666" s="2" t="str">
        <f>"9783110642179"</f>
        <v>9783110642179</v>
      </c>
    </row>
    <row r="21667" spans="1:6" s="3" customFormat="1" ht="29.1" customHeight="1" x14ac:dyDescent="0.25">
      <c r="A21667" s="2" t="s">
        <v>42410</v>
      </c>
      <c r="B21667" s="2" t="s">
        <v>42412</v>
      </c>
      <c r="C21667" s="2" t="s">
        <v>195</v>
      </c>
      <c r="D21667" s="2" t="s">
        <v>42411</v>
      </c>
      <c r="E21667" s="2" t="str">
        <f>"9783110650785"</f>
        <v>9783110650785</v>
      </c>
      <c r="F21667" s="2" t="str">
        <f>"9783110651362"</f>
        <v>9783110651362</v>
      </c>
    </row>
    <row r="21668" spans="1:6" s="3" customFormat="1" ht="29.1" customHeight="1" x14ac:dyDescent="0.25">
      <c r="A21668" s="2" t="s">
        <v>42413</v>
      </c>
      <c r="B21668" s="2" t="s">
        <v>42414</v>
      </c>
      <c r="C21668" s="2" t="s">
        <v>124</v>
      </c>
      <c r="D21668" s="2" t="s">
        <v>196</v>
      </c>
      <c r="E21668" s="2" t="str">
        <f>"9781041190325"</f>
        <v>9781041190325</v>
      </c>
      <c r="F21668" s="2" t="str">
        <f>"9781040798072"</f>
        <v>9781040798072</v>
      </c>
    </row>
    <row r="21669" spans="1:6" s="3" customFormat="1" ht="29.1" customHeight="1" x14ac:dyDescent="0.25">
      <c r="A21669" s="2" t="s">
        <v>42415</v>
      </c>
      <c r="B21669" s="2" t="s">
        <v>42416</v>
      </c>
      <c r="C21669" s="2" t="s">
        <v>124</v>
      </c>
      <c r="D21669" s="2" t="s">
        <v>1198</v>
      </c>
      <c r="E21669" s="2" t="str">
        <f>"9781041181491"</f>
        <v>9781041181491</v>
      </c>
      <c r="F21669" s="2" t="str">
        <f>"9781040792926"</f>
        <v>9781040792926</v>
      </c>
    </row>
    <row r="21670" spans="1:6" s="3" customFormat="1" ht="29.1" customHeight="1" x14ac:dyDescent="0.25">
      <c r="A21670" s="2" t="s">
        <v>42417</v>
      </c>
      <c r="B21670" s="2" t="s">
        <v>42418</v>
      </c>
      <c r="C21670" s="2" t="s">
        <v>124</v>
      </c>
      <c r="D21670" s="2" t="s">
        <v>1617</v>
      </c>
      <c r="E21670" s="2" t="str">
        <f>"9781041181361"</f>
        <v>9781041181361</v>
      </c>
      <c r="F21670" s="2" t="str">
        <f>"9781040776780"</f>
        <v>9781040776780</v>
      </c>
    </row>
    <row r="21671" spans="1:6" s="3" customFormat="1" ht="29.1" customHeight="1" x14ac:dyDescent="0.25">
      <c r="A21671" s="2" t="s">
        <v>42419</v>
      </c>
      <c r="B21671" s="2" t="s">
        <v>42420</v>
      </c>
      <c r="C21671" s="2" t="s">
        <v>124</v>
      </c>
      <c r="D21671" s="2" t="s">
        <v>791</v>
      </c>
      <c r="E21671" s="2" t="str">
        <f>"9781041176824"</f>
        <v>9781041176824</v>
      </c>
      <c r="F21671" s="2" t="str">
        <f>"9781040788417"</f>
        <v>9781040788417</v>
      </c>
    </row>
    <row r="21672" spans="1:6" s="3" customFormat="1" ht="29.1" customHeight="1" x14ac:dyDescent="0.25">
      <c r="A21672" s="2" t="s">
        <v>42421</v>
      </c>
      <c r="B21672" s="2" t="s">
        <v>42422</v>
      </c>
      <c r="C21672" s="2" t="s">
        <v>248</v>
      </c>
      <c r="D21672" s="2" t="s">
        <v>24</v>
      </c>
      <c r="E21672" s="2" t="str">
        <f>"9783847423454"</f>
        <v>9783847423454</v>
      </c>
      <c r="F21672" s="2" t="str">
        <f>"9783847415183"</f>
        <v>9783847415183</v>
      </c>
    </row>
    <row r="21673" spans="1:6" s="3" customFormat="1" ht="29.1" customHeight="1" x14ac:dyDescent="0.25">
      <c r="A21673" s="2" t="s">
        <v>42423</v>
      </c>
      <c r="B21673" s="2" t="s">
        <v>42424</v>
      </c>
      <c r="C21673" s="2" t="s">
        <v>20</v>
      </c>
      <c r="D21673" s="2" t="s">
        <v>21</v>
      </c>
      <c r="E21673" s="2" t="str">
        <f>"9783763960804"</f>
        <v>9783763960804</v>
      </c>
      <c r="F21673" s="2" t="str">
        <f>"9783763960811"</f>
        <v>9783763960811</v>
      </c>
    </row>
    <row r="21674" spans="1:6" s="3" customFormat="1" ht="29.1" customHeight="1" x14ac:dyDescent="0.25">
      <c r="A21674" s="2" t="s">
        <v>42425</v>
      </c>
      <c r="B21674" s="2" t="s">
        <v>42426</v>
      </c>
      <c r="C21674" s="2" t="s">
        <v>2129</v>
      </c>
      <c r="D21674" s="2" t="s">
        <v>11669</v>
      </c>
      <c r="E21674" s="2" t="str">
        <f>"9781438476490"</f>
        <v>9781438476490</v>
      </c>
      <c r="F21674" s="2" t="str">
        <f>"9781438476506"</f>
        <v>9781438476506</v>
      </c>
    </row>
    <row r="21675" spans="1:6" s="3" customFormat="1" ht="29.1" customHeight="1" x14ac:dyDescent="0.25">
      <c r="A21675" s="2" t="s">
        <v>42427</v>
      </c>
      <c r="B21675" s="2" t="s">
        <v>42428</v>
      </c>
      <c r="C21675" s="2" t="s">
        <v>195</v>
      </c>
      <c r="D21675" s="2" t="s">
        <v>196</v>
      </c>
      <c r="E21675" s="2" t="str">
        <f>"9783110639698"</f>
        <v>9783110639698</v>
      </c>
      <c r="F21675" s="2" t="str">
        <f>"9783110619775"</f>
        <v>9783110619775</v>
      </c>
    </row>
    <row r="21676" spans="1:6" s="3" customFormat="1" ht="29.1" customHeight="1" x14ac:dyDescent="0.25">
      <c r="A21676" s="2" t="s">
        <v>42429</v>
      </c>
      <c r="B21676" s="2" t="s">
        <v>42430</v>
      </c>
      <c r="C21676" s="2" t="s">
        <v>124</v>
      </c>
      <c r="D21676" s="2" t="s">
        <v>678</v>
      </c>
      <c r="E21676" s="2" t="str">
        <f>"9781138574205"</f>
        <v>9781138574205</v>
      </c>
      <c r="F21676" s="2" t="str">
        <f>"9781351329866"</f>
        <v>9781351329866</v>
      </c>
    </row>
    <row r="21677" spans="1:6" s="3" customFormat="1" ht="29.1" customHeight="1" x14ac:dyDescent="0.25">
      <c r="A21677" s="2" t="s">
        <v>42431</v>
      </c>
      <c r="B21677" s="2" t="s">
        <v>42432</v>
      </c>
      <c r="C21677" s="2" t="s">
        <v>149</v>
      </c>
      <c r="D21677" s="2" t="s">
        <v>2870</v>
      </c>
      <c r="E21677" s="2" t="str">
        <f>"9781783747764"</f>
        <v>9781783747764</v>
      </c>
      <c r="F21677" s="2" t="str">
        <f>"9781783747771"</f>
        <v>9781783747771</v>
      </c>
    </row>
    <row r="21678" spans="1:6" s="3" customFormat="1" ht="29.1" customHeight="1" x14ac:dyDescent="0.25">
      <c r="A21678" s="2" t="s">
        <v>42433</v>
      </c>
      <c r="B21678" s="2" t="s">
        <v>30417</v>
      </c>
      <c r="C21678" s="2" t="s">
        <v>62</v>
      </c>
      <c r="D21678" s="2" t="s">
        <v>694</v>
      </c>
      <c r="E21678" s="2" t="str">
        <f>"9783428066636"</f>
        <v>9783428066636</v>
      </c>
      <c r="F21678" s="2" t="str">
        <f>"9783428466634"</f>
        <v>9783428466634</v>
      </c>
    </row>
    <row r="21679" spans="1:6" s="3" customFormat="1" ht="29.1" customHeight="1" x14ac:dyDescent="0.25">
      <c r="A21679" s="2" t="s">
        <v>42434</v>
      </c>
      <c r="B21679" s="2" t="s">
        <v>30421</v>
      </c>
      <c r="C21679" s="2" t="s">
        <v>62</v>
      </c>
      <c r="D21679" s="2" t="s">
        <v>791</v>
      </c>
      <c r="E21679" s="2" t="str">
        <f>"9783428066216"</f>
        <v>9783428066216</v>
      </c>
      <c r="F21679" s="2" t="str">
        <f>"9783428466214"</f>
        <v>9783428466214</v>
      </c>
    </row>
    <row r="21680" spans="1:6" s="3" customFormat="1" ht="29.1" customHeight="1" x14ac:dyDescent="0.25">
      <c r="A21680" s="2" t="s">
        <v>42435</v>
      </c>
      <c r="B21680" s="2" t="s">
        <v>42436</v>
      </c>
      <c r="C21680" s="2" t="s">
        <v>62</v>
      </c>
      <c r="D21680" s="2" t="s">
        <v>1437</v>
      </c>
      <c r="E21680" s="2" t="str">
        <f>"9783428066001"</f>
        <v>9783428066001</v>
      </c>
      <c r="F21680" s="2" t="str">
        <f>"9783428466009"</f>
        <v>9783428466009</v>
      </c>
    </row>
    <row r="21681" spans="1:6" s="3" customFormat="1" ht="29.1" customHeight="1" x14ac:dyDescent="0.25">
      <c r="A21681" s="2" t="s">
        <v>42437</v>
      </c>
      <c r="B21681" s="2" t="s">
        <v>30408</v>
      </c>
      <c r="C21681" s="2" t="s">
        <v>62</v>
      </c>
      <c r="D21681" s="2" t="s">
        <v>13096</v>
      </c>
      <c r="E21681" s="2" t="str">
        <f>"9783428065882"</f>
        <v>9783428065882</v>
      </c>
      <c r="F21681" s="2" t="str">
        <f>"9783428465880"</f>
        <v>9783428465880</v>
      </c>
    </row>
    <row r="21682" spans="1:6" s="3" customFormat="1" ht="29.1" customHeight="1" x14ac:dyDescent="0.25">
      <c r="A21682" s="2" t="s">
        <v>42438</v>
      </c>
      <c r="B21682" s="2" t="s">
        <v>32594</v>
      </c>
      <c r="C21682" s="2" t="s">
        <v>62</v>
      </c>
      <c r="D21682" s="2" t="s">
        <v>4205</v>
      </c>
      <c r="E21682" s="2" t="str">
        <f>"9783428065417"</f>
        <v>9783428065417</v>
      </c>
      <c r="F21682" s="2" t="str">
        <f>"9783428465415"</f>
        <v>9783428465415</v>
      </c>
    </row>
    <row r="21683" spans="1:6" s="3" customFormat="1" ht="29.1" customHeight="1" x14ac:dyDescent="0.25">
      <c r="A21683" s="2" t="s">
        <v>42439</v>
      </c>
      <c r="B21683" s="2" t="s">
        <v>42440</v>
      </c>
      <c r="C21683" s="2" t="s">
        <v>5059</v>
      </c>
      <c r="D21683" s="2" t="s">
        <v>72</v>
      </c>
      <c r="E21683" s="2" t="str">
        <f>"9781743325377"</f>
        <v>9781743325377</v>
      </c>
      <c r="F21683" s="2" t="str">
        <f>"9781743325360"</f>
        <v>9781743325360</v>
      </c>
    </row>
    <row r="21684" spans="1:6" s="3" customFormat="1" ht="29.1" customHeight="1" x14ac:dyDescent="0.25">
      <c r="A21684" s="2" t="s">
        <v>42441</v>
      </c>
      <c r="B21684" s="2" t="s">
        <v>42442</v>
      </c>
      <c r="C21684" s="2" t="s">
        <v>124</v>
      </c>
      <c r="D21684" s="2" t="s">
        <v>192</v>
      </c>
      <c r="E21684" s="2" t="str">
        <f>"9780367146610"</f>
        <v>9780367146610</v>
      </c>
      <c r="F21684" s="2" t="str">
        <f>"9780429628016"</f>
        <v>9780429628016</v>
      </c>
    </row>
    <row r="21685" spans="1:6" s="3" customFormat="1" ht="29.1" customHeight="1" x14ac:dyDescent="0.25">
      <c r="A21685" s="2" t="s">
        <v>42443</v>
      </c>
      <c r="B21685" s="2" t="s">
        <v>42444</v>
      </c>
      <c r="C21685" s="2" t="s">
        <v>124</v>
      </c>
      <c r="D21685" s="2" t="s">
        <v>4210</v>
      </c>
      <c r="E21685" s="2" t="str">
        <f>"9780367330705"</f>
        <v>9780367330705</v>
      </c>
      <c r="F21685" s="2" t="str">
        <f>"9780429317866"</f>
        <v>9780429317866</v>
      </c>
    </row>
    <row r="21686" spans="1:6" s="3" customFormat="1" ht="29.1" customHeight="1" x14ac:dyDescent="0.25">
      <c r="A21686" s="2" t="s">
        <v>42445</v>
      </c>
      <c r="B21686" s="2" t="s">
        <v>42447</v>
      </c>
      <c r="C21686" s="2" t="s">
        <v>124</v>
      </c>
      <c r="D21686" s="2" t="s">
        <v>42446</v>
      </c>
      <c r="E21686" s="2" t="str">
        <f>"9780367137908"</f>
        <v>9780367137908</v>
      </c>
      <c r="F21686" s="2" t="str">
        <f>"9780429639784"</f>
        <v>9780429639784</v>
      </c>
    </row>
    <row r="21687" spans="1:6" s="3" customFormat="1" ht="29.1" customHeight="1" x14ac:dyDescent="0.25">
      <c r="A21687" s="2" t="s">
        <v>42448</v>
      </c>
      <c r="B21687" s="2" t="s">
        <v>42449</v>
      </c>
      <c r="C21687" s="2" t="s">
        <v>124</v>
      </c>
      <c r="D21687" s="2" t="s">
        <v>186</v>
      </c>
      <c r="E21687" s="2" t="str">
        <f>"9781138603844"</f>
        <v>9781138603844</v>
      </c>
      <c r="F21687" s="2" t="str">
        <f>"9780429850301"</f>
        <v>9780429850301</v>
      </c>
    </row>
    <row r="21688" spans="1:6" s="3" customFormat="1" ht="29.1" customHeight="1" x14ac:dyDescent="0.25">
      <c r="A21688" s="2" t="s">
        <v>42450</v>
      </c>
      <c r="B21688" s="2" t="s">
        <v>36311</v>
      </c>
      <c r="C21688" s="2" t="s">
        <v>124</v>
      </c>
      <c r="D21688" s="2" t="s">
        <v>9395</v>
      </c>
      <c r="E21688" s="2" t="str">
        <f>"9780367178154"</f>
        <v>9780367178154</v>
      </c>
      <c r="F21688" s="2" t="str">
        <f>"9780429603723"</f>
        <v>9780429603723</v>
      </c>
    </row>
    <row r="21689" spans="1:6" s="3" customFormat="1" ht="29.1" customHeight="1" x14ac:dyDescent="0.25">
      <c r="A21689" s="2" t="s">
        <v>42451</v>
      </c>
      <c r="B21689" s="2" t="s">
        <v>42452</v>
      </c>
      <c r="C21689" s="2" t="s">
        <v>27805</v>
      </c>
      <c r="D21689" s="2" t="s">
        <v>4789</v>
      </c>
      <c r="E21689" s="2" t="str">
        <f>"9783832549404"</f>
        <v>9783832549404</v>
      </c>
      <c r="F21689" s="2" t="str">
        <f>"9783832588540"</f>
        <v>9783832588540</v>
      </c>
    </row>
    <row r="21690" spans="1:6" s="3" customFormat="1" ht="29.1" customHeight="1" x14ac:dyDescent="0.25">
      <c r="A21690" s="2" t="s">
        <v>42453</v>
      </c>
      <c r="B21690" s="2" t="s">
        <v>42454</v>
      </c>
      <c r="C21690" s="2" t="s">
        <v>124</v>
      </c>
      <c r="D21690" s="2" t="s">
        <v>5832</v>
      </c>
      <c r="E21690" s="2" t="str">
        <f>"9780367150327"</f>
        <v>9780367150327</v>
      </c>
      <c r="F21690" s="2" t="str">
        <f>"9780429619892"</f>
        <v>9780429619892</v>
      </c>
    </row>
    <row r="21691" spans="1:6" s="3" customFormat="1" ht="29.1" customHeight="1" x14ac:dyDescent="0.25">
      <c r="A21691" s="2" t="s">
        <v>42455</v>
      </c>
      <c r="B21691" s="2" t="s">
        <v>42456</v>
      </c>
      <c r="C21691" s="2" t="s">
        <v>124</v>
      </c>
      <c r="D21691" s="2" t="s">
        <v>81</v>
      </c>
      <c r="E21691" s="2" t="str">
        <f>"9780367410322"</f>
        <v>9780367410322</v>
      </c>
      <c r="F21691" s="2" t="str">
        <f>"9781000028157"</f>
        <v>9781000028157</v>
      </c>
    </row>
    <row r="21692" spans="1:6" s="3" customFormat="1" ht="29.1" customHeight="1" x14ac:dyDescent="0.25">
      <c r="A21692" s="2" t="s">
        <v>42457</v>
      </c>
      <c r="B21692" s="2" t="s">
        <v>42458</v>
      </c>
      <c r="C21692" s="2" t="s">
        <v>124</v>
      </c>
      <c r="D21692" s="2" t="s">
        <v>302</v>
      </c>
      <c r="E21692" s="2" t="str">
        <f>"9780367183585"</f>
        <v>9780367183585</v>
      </c>
      <c r="F21692" s="2" t="str">
        <f>"9780429061028"</f>
        <v>9780429061028</v>
      </c>
    </row>
    <row r="21693" spans="1:6" s="3" customFormat="1" ht="29.1" customHeight="1" x14ac:dyDescent="0.25">
      <c r="A21693" s="2" t="s">
        <v>42459</v>
      </c>
      <c r="B21693" s="2" t="s">
        <v>42460</v>
      </c>
      <c r="C21693" s="2" t="s">
        <v>124</v>
      </c>
      <c r="D21693" s="2" t="s">
        <v>1043</v>
      </c>
      <c r="E21693" s="2" t="str">
        <f>"9780367257859"</f>
        <v>9780367257859</v>
      </c>
      <c r="F21693" s="2" t="str">
        <f>"9781000741025"</f>
        <v>9781000741025</v>
      </c>
    </row>
    <row r="21694" spans="1:6" s="3" customFormat="1" ht="29.1" customHeight="1" x14ac:dyDescent="0.25">
      <c r="A21694" s="2" t="s">
        <v>42461</v>
      </c>
      <c r="B21694" s="2" t="s">
        <v>42462</v>
      </c>
      <c r="C21694" s="2" t="s">
        <v>124</v>
      </c>
      <c r="D21694" s="2" t="s">
        <v>210</v>
      </c>
      <c r="E21694" s="2" t="str">
        <f>"9780367280505"</f>
        <v>9780367280505</v>
      </c>
      <c r="F21694" s="2" t="str">
        <f>"9780429299407"</f>
        <v>9780429299407</v>
      </c>
    </row>
    <row r="21695" spans="1:6" s="3" customFormat="1" ht="29.1" customHeight="1" x14ac:dyDescent="0.25">
      <c r="A21695" s="2" t="s">
        <v>42463</v>
      </c>
      <c r="B21695" s="2" t="s">
        <v>23283</v>
      </c>
      <c r="C21695" s="2" t="s">
        <v>124</v>
      </c>
      <c r="D21695" s="2" t="s">
        <v>2462</v>
      </c>
      <c r="E21695" s="2" t="str">
        <f>"9780367232962"</f>
        <v>9780367232962</v>
      </c>
      <c r="F21695" s="2" t="str">
        <f>"9781000732207"</f>
        <v>9781000732207</v>
      </c>
    </row>
    <row r="21696" spans="1:6" s="3" customFormat="1" ht="29.1" customHeight="1" x14ac:dyDescent="0.25">
      <c r="A21696" s="2" t="s">
        <v>42464</v>
      </c>
      <c r="B21696" s="2" t="s">
        <v>42465</v>
      </c>
      <c r="C21696" s="2" t="s">
        <v>124</v>
      </c>
      <c r="D21696" s="2" t="s">
        <v>459</v>
      </c>
      <c r="E21696" s="2" t="str">
        <f>"9780367203153"</f>
        <v>9780367203153</v>
      </c>
      <c r="F21696" s="2" t="str">
        <f>"9780429522956"</f>
        <v>9780429522956</v>
      </c>
    </row>
    <row r="21697" spans="1:6" s="3" customFormat="1" ht="29.1" customHeight="1" x14ac:dyDescent="0.25">
      <c r="A21697" s="2" t="s">
        <v>42466</v>
      </c>
      <c r="B21697" s="2" t="s">
        <v>42467</v>
      </c>
      <c r="C21697" s="2" t="s">
        <v>124</v>
      </c>
      <c r="D21697" s="2" t="s">
        <v>1895</v>
      </c>
      <c r="E21697" s="2" t="str">
        <f>"9780367422066"</f>
        <v>9780367422066</v>
      </c>
      <c r="F21697" s="2" t="str">
        <f>"9780367822712"</f>
        <v>9780367822712</v>
      </c>
    </row>
    <row r="21698" spans="1:6" s="3" customFormat="1" ht="29.1" customHeight="1" x14ac:dyDescent="0.25">
      <c r="A21698" s="2" t="s">
        <v>42468</v>
      </c>
      <c r="B21698" s="2" t="s">
        <v>42469</v>
      </c>
      <c r="C21698" s="2" t="s">
        <v>124</v>
      </c>
      <c r="D21698" s="2" t="s">
        <v>156</v>
      </c>
      <c r="E21698" s="2" t="str">
        <f>"9780367252472"</f>
        <v>9780367252472</v>
      </c>
      <c r="F21698" s="2" t="str">
        <f>"9781000699937"</f>
        <v>9781000699937</v>
      </c>
    </row>
    <row r="21699" spans="1:6" s="3" customFormat="1" ht="29.1" customHeight="1" x14ac:dyDescent="0.25">
      <c r="A21699" s="2" t="s">
        <v>42470</v>
      </c>
      <c r="B21699" s="2" t="s">
        <v>42471</v>
      </c>
      <c r="C21699" s="2" t="s">
        <v>124</v>
      </c>
      <c r="D21699" s="2" t="s">
        <v>528</v>
      </c>
      <c r="E21699" s="2" t="str">
        <f>"9781032082585"</f>
        <v>9781032082585</v>
      </c>
      <c r="F21699" s="2" t="str">
        <f>"9780429340338"</f>
        <v>9780429340338</v>
      </c>
    </row>
    <row r="21700" spans="1:6" s="3" customFormat="1" ht="29.1" customHeight="1" x14ac:dyDescent="0.25">
      <c r="A21700" s="2" t="s">
        <v>42472</v>
      </c>
      <c r="B21700" s="2" t="s">
        <v>42473</v>
      </c>
      <c r="C21700" s="2" t="s">
        <v>124</v>
      </c>
      <c r="D21700" s="2" t="s">
        <v>297</v>
      </c>
      <c r="E21700" s="2" t="str">
        <f>"9780367358686"</f>
        <v>9780367358686</v>
      </c>
      <c r="F21700" s="2" t="str">
        <f>"9780367823825"</f>
        <v>9780367823825</v>
      </c>
    </row>
    <row r="21701" spans="1:6" s="3" customFormat="1" ht="29.1" customHeight="1" x14ac:dyDescent="0.25">
      <c r="A21701" s="2" t="s">
        <v>42474</v>
      </c>
      <c r="B21701" s="2" t="s">
        <v>42475</v>
      </c>
      <c r="C21701" s="2" t="s">
        <v>124</v>
      </c>
      <c r="D21701" s="2" t="s">
        <v>606</v>
      </c>
      <c r="E21701" s="2" t="str">
        <f>"9781032173788"</f>
        <v>9781032173788</v>
      </c>
      <c r="F21701" s="2" t="str">
        <f>"9780203730942"</f>
        <v>9780203730942</v>
      </c>
    </row>
    <row r="21702" spans="1:6" s="3" customFormat="1" ht="29.1" customHeight="1" x14ac:dyDescent="0.25">
      <c r="A21702" s="2" t="s">
        <v>42476</v>
      </c>
      <c r="B21702" s="2" t="s">
        <v>42477</v>
      </c>
      <c r="C21702" s="2" t="s">
        <v>124</v>
      </c>
      <c r="D21702" s="2" t="s">
        <v>15625</v>
      </c>
      <c r="E21702" s="2" t="str">
        <f>"9780367259730"</f>
        <v>9780367259730</v>
      </c>
      <c r="F21702" s="2" t="str">
        <f>"9781000731255"</f>
        <v>9781000731255</v>
      </c>
    </row>
    <row r="21703" spans="1:6" s="3" customFormat="1" ht="29.1" customHeight="1" x14ac:dyDescent="0.25">
      <c r="A21703" s="2" t="s">
        <v>42478</v>
      </c>
      <c r="B21703" s="2" t="s">
        <v>42479</v>
      </c>
      <c r="C21703" s="2" t="s">
        <v>124</v>
      </c>
      <c r="D21703" s="2" t="s">
        <v>18161</v>
      </c>
      <c r="E21703" s="2" t="str">
        <f>"9780367139001"</f>
        <v>9780367139001</v>
      </c>
      <c r="F21703" s="2" t="str">
        <f>"9780429639586"</f>
        <v>9780429639586</v>
      </c>
    </row>
    <row r="21704" spans="1:6" s="3" customFormat="1" ht="29.1" customHeight="1" x14ac:dyDescent="0.25">
      <c r="A21704" s="2" t="s">
        <v>42480</v>
      </c>
      <c r="B21704" s="2" t="s">
        <v>42481</v>
      </c>
      <c r="C21704" s="2" t="s">
        <v>124</v>
      </c>
      <c r="D21704" s="2" t="s">
        <v>501</v>
      </c>
      <c r="E21704" s="2" t="str">
        <f>"9780367321666"</f>
        <v>9780367321666</v>
      </c>
      <c r="F21704" s="2" t="str">
        <f>"9781000706932"</f>
        <v>9781000706932</v>
      </c>
    </row>
    <row r="21705" spans="1:6" s="3" customFormat="1" ht="29.1" customHeight="1" x14ac:dyDescent="0.25">
      <c r="A21705" s="2" t="s">
        <v>42482</v>
      </c>
      <c r="B21705" s="2" t="s">
        <v>42483</v>
      </c>
      <c r="C21705" s="2" t="s">
        <v>124</v>
      </c>
      <c r="D21705" s="2" t="s">
        <v>501</v>
      </c>
      <c r="E21705" s="2" t="str">
        <f>"9781138392076"</f>
        <v>9781138392076</v>
      </c>
      <c r="F21705" s="2" t="str">
        <f>"9780429748837"</f>
        <v>9780429748837</v>
      </c>
    </row>
    <row r="21706" spans="1:6" s="3" customFormat="1" ht="29.1" customHeight="1" x14ac:dyDescent="0.25">
      <c r="A21706" s="2" t="s">
        <v>16050</v>
      </c>
      <c r="B21706" s="2" t="s">
        <v>16051</v>
      </c>
      <c r="C21706" s="2" t="s">
        <v>124</v>
      </c>
      <c r="D21706" s="2" t="s">
        <v>339</v>
      </c>
      <c r="E21706" s="2" t="str">
        <f>"9780367203108"</f>
        <v>9780367203108</v>
      </c>
      <c r="F21706" s="2" t="str">
        <f>"9781000769760"</f>
        <v>9781000769760</v>
      </c>
    </row>
    <row r="21707" spans="1:6" s="3" customFormat="1" ht="29.1" customHeight="1" x14ac:dyDescent="0.25">
      <c r="A21707" s="2" t="s">
        <v>42484</v>
      </c>
      <c r="B21707" s="2" t="s">
        <v>42485</v>
      </c>
      <c r="C21707" s="2" t="s">
        <v>124</v>
      </c>
      <c r="D21707" s="2" t="s">
        <v>791</v>
      </c>
      <c r="E21707" s="2" t="str">
        <f>"9780367418625"</f>
        <v>9780367418625</v>
      </c>
      <c r="F21707" s="2" t="str">
        <f>"9781000750713"</f>
        <v>9781000750713</v>
      </c>
    </row>
    <row r="21708" spans="1:6" s="3" customFormat="1" ht="29.1" customHeight="1" x14ac:dyDescent="0.25">
      <c r="A21708" s="2" t="s">
        <v>42486</v>
      </c>
      <c r="B21708" s="2" t="s">
        <v>42487</v>
      </c>
      <c r="C21708" s="2" t="s">
        <v>124</v>
      </c>
      <c r="D21708" s="2" t="s">
        <v>2332</v>
      </c>
      <c r="E21708" s="2" t="str">
        <f>"9780367339685"</f>
        <v>9780367339685</v>
      </c>
      <c r="F21708" s="2" t="str">
        <f>"9781000705690"</f>
        <v>9781000705690</v>
      </c>
    </row>
    <row r="21709" spans="1:6" s="3" customFormat="1" ht="29.1" customHeight="1" x14ac:dyDescent="0.25">
      <c r="A21709" s="2" t="s">
        <v>42488</v>
      </c>
      <c r="B21709" s="2" t="s">
        <v>42489</v>
      </c>
      <c r="C21709" s="2" t="s">
        <v>124</v>
      </c>
      <c r="D21709" s="2" t="s">
        <v>81</v>
      </c>
      <c r="E21709" s="2" t="str">
        <f>"9780367373825"</f>
        <v>9780367373825</v>
      </c>
      <c r="F21709" s="2" t="str">
        <f>"9781000743579"</f>
        <v>9781000743579</v>
      </c>
    </row>
    <row r="21710" spans="1:6" s="3" customFormat="1" ht="29.1" customHeight="1" x14ac:dyDescent="0.25">
      <c r="A21710" s="2" t="s">
        <v>42490</v>
      </c>
      <c r="B21710" s="2" t="s">
        <v>42491</v>
      </c>
      <c r="C21710" s="2" t="s">
        <v>124</v>
      </c>
      <c r="D21710" s="2" t="s">
        <v>6128</v>
      </c>
      <c r="E21710" s="2" t="str">
        <f>"9781138625051"</f>
        <v>9781138625051</v>
      </c>
      <c r="F21710" s="2" t="str">
        <f>"9780429863066"</f>
        <v>9780429863066</v>
      </c>
    </row>
    <row r="21711" spans="1:6" s="3" customFormat="1" ht="29.1" customHeight="1" x14ac:dyDescent="0.25">
      <c r="A21711" s="2" t="s">
        <v>42492</v>
      </c>
      <c r="B21711" s="2" t="s">
        <v>42493</v>
      </c>
      <c r="C21711" s="2" t="s">
        <v>595</v>
      </c>
      <c r="D21711" s="2" t="s">
        <v>7350</v>
      </c>
      <c r="E21711" s="2" t="str">
        <f>"9783631791950"</f>
        <v>9783631791950</v>
      </c>
      <c r="F21711" s="2" t="str">
        <f>"9783631799130"</f>
        <v>9783631799130</v>
      </c>
    </row>
    <row r="21712" spans="1:6" s="3" customFormat="1" ht="29.1" customHeight="1" x14ac:dyDescent="0.25">
      <c r="A21712" s="2" t="s">
        <v>42494</v>
      </c>
      <c r="B21712" s="2" t="s">
        <v>42495</v>
      </c>
      <c r="C21712" s="2" t="s">
        <v>595</v>
      </c>
      <c r="D21712" s="2" t="s">
        <v>33</v>
      </c>
      <c r="E21712" s="2" t="str">
        <f>"9783631783801"</f>
        <v>9783631783801</v>
      </c>
      <c r="F21712" s="2" t="str">
        <f>"9783631786512"</f>
        <v>9783631786512</v>
      </c>
    </row>
    <row r="21713" spans="1:6" s="3" customFormat="1" ht="29.1" customHeight="1" x14ac:dyDescent="0.25">
      <c r="A21713" s="2" t="s">
        <v>42496</v>
      </c>
      <c r="B21713" s="2" t="s">
        <v>4747</v>
      </c>
      <c r="C21713" s="2" t="s">
        <v>34257</v>
      </c>
      <c r="D21713" s="2" t="s">
        <v>413</v>
      </c>
      <c r="E21713" s="2" t="str">
        <f>"9780745339993"</f>
        <v>9780745339993</v>
      </c>
      <c r="F21713" s="2" t="str">
        <f>"9781786805171"</f>
        <v>9781786805171</v>
      </c>
    </row>
    <row r="21714" spans="1:6" s="3" customFormat="1" ht="29.1" customHeight="1" x14ac:dyDescent="0.25">
      <c r="A21714" s="2" t="s">
        <v>42497</v>
      </c>
      <c r="B21714" s="2" t="s">
        <v>42498</v>
      </c>
      <c r="C21714" s="2" t="s">
        <v>264</v>
      </c>
      <c r="D21714" s="2" t="s">
        <v>16437</v>
      </c>
      <c r="E21714" s="2" t="str">
        <f>"9780367346195"</f>
        <v>9780367346195</v>
      </c>
      <c r="F21714" s="2" t="str">
        <f>"9781000707700"</f>
        <v>9781000707700</v>
      </c>
    </row>
    <row r="21715" spans="1:6" s="3" customFormat="1" ht="29.1" customHeight="1" x14ac:dyDescent="0.25">
      <c r="A21715" s="2" t="s">
        <v>42499</v>
      </c>
      <c r="B21715" s="2" t="s">
        <v>42500</v>
      </c>
      <c r="C21715" s="2" t="s">
        <v>746</v>
      </c>
      <c r="D21715" s="2" t="s">
        <v>606</v>
      </c>
      <c r="E21715" s="2" t="str">
        <f>"9781789691542"</f>
        <v>9781789691542</v>
      </c>
      <c r="F21715" s="2" t="str">
        <f>"9781789691559"</f>
        <v>9781789691559</v>
      </c>
    </row>
    <row r="21716" spans="1:6" s="3" customFormat="1" ht="29.1" customHeight="1" x14ac:dyDescent="0.25">
      <c r="A21716" s="2" t="s">
        <v>42501</v>
      </c>
      <c r="B21716" s="2" t="s">
        <v>42502</v>
      </c>
      <c r="C21716" s="2" t="s">
        <v>746</v>
      </c>
      <c r="D21716" s="2" t="s">
        <v>606</v>
      </c>
      <c r="E21716" s="2" t="str">
        <f>"9781789690194"</f>
        <v>9781789690194</v>
      </c>
      <c r="F21716" s="2" t="str">
        <f>"9781789690200"</f>
        <v>9781789690200</v>
      </c>
    </row>
    <row r="21717" spans="1:6" s="3" customFormat="1" ht="29.1" customHeight="1" x14ac:dyDescent="0.25">
      <c r="A21717" s="2" t="s">
        <v>42503</v>
      </c>
      <c r="B21717" s="2" t="s">
        <v>42504</v>
      </c>
      <c r="C21717" s="2" t="s">
        <v>9716</v>
      </c>
      <c r="D21717" s="2" t="s">
        <v>33</v>
      </c>
      <c r="E21717" s="2" t="str">
        <f>"9781439915721"</f>
        <v>9781439915721</v>
      </c>
      <c r="F21717" s="2" t="str">
        <f>"9781439915745"</f>
        <v>9781439915745</v>
      </c>
    </row>
    <row r="21718" spans="1:6" s="3" customFormat="1" ht="29.1" customHeight="1" x14ac:dyDescent="0.25">
      <c r="A21718" s="2" t="s">
        <v>42505</v>
      </c>
      <c r="B21718" s="2" t="s">
        <v>42506</v>
      </c>
      <c r="C21718" s="2" t="s">
        <v>248</v>
      </c>
      <c r="D21718" s="2" t="s">
        <v>75</v>
      </c>
      <c r="E21718" s="2" t="str">
        <f>"9783847405498"</f>
        <v>9783847405498</v>
      </c>
      <c r="F21718" s="2" t="str">
        <f>"9783847409489"</f>
        <v>9783847409489</v>
      </c>
    </row>
    <row r="21719" spans="1:6" s="3" customFormat="1" ht="29.1" customHeight="1" x14ac:dyDescent="0.25">
      <c r="A21719" s="2" t="s">
        <v>42507</v>
      </c>
      <c r="B21719" s="2" t="s">
        <v>42508</v>
      </c>
      <c r="C21719" s="2" t="s">
        <v>149</v>
      </c>
      <c r="D21719" s="2" t="s">
        <v>2013</v>
      </c>
      <c r="E21719" s="2" t="str">
        <f>"9781783747795"</f>
        <v>9781783747795</v>
      </c>
      <c r="F21719" s="2" t="str">
        <f>"9781783747818"</f>
        <v>9781783747818</v>
      </c>
    </row>
    <row r="21720" spans="1:6" s="3" customFormat="1" ht="29.1" customHeight="1" x14ac:dyDescent="0.25">
      <c r="A21720" s="2" t="s">
        <v>42509</v>
      </c>
      <c r="B21720" s="2" t="s">
        <v>42510</v>
      </c>
      <c r="C21720" s="2" t="s">
        <v>327</v>
      </c>
      <c r="D21720" s="2" t="s">
        <v>4045</v>
      </c>
      <c r="E21720" s="2" t="str">
        <f>"9788381425148"</f>
        <v>9788381425148</v>
      </c>
      <c r="F21720" s="2" t="str">
        <f>"9788381425155"</f>
        <v>9788381425155</v>
      </c>
    </row>
    <row r="21721" spans="1:6" s="3" customFormat="1" ht="29.1" customHeight="1" x14ac:dyDescent="0.25">
      <c r="A21721" s="2" t="s">
        <v>42511</v>
      </c>
      <c r="B21721" s="2" t="s">
        <v>42512</v>
      </c>
      <c r="C21721" s="2" t="s">
        <v>327</v>
      </c>
      <c r="D21721" s="2" t="s">
        <v>6128</v>
      </c>
      <c r="E21721" s="2" t="str">
        <f>"9788381422857"</f>
        <v>9788381422857</v>
      </c>
      <c r="F21721" s="2" t="str">
        <f>"9788381424905"</f>
        <v>9788381424905</v>
      </c>
    </row>
    <row r="21722" spans="1:6" s="3" customFormat="1" ht="29.1" customHeight="1" x14ac:dyDescent="0.25">
      <c r="A21722" s="2" t="s">
        <v>42513</v>
      </c>
      <c r="B21722" s="2" t="s">
        <v>42514</v>
      </c>
      <c r="C21722" s="2" t="s">
        <v>327</v>
      </c>
      <c r="D21722" s="2" t="s">
        <v>72</v>
      </c>
      <c r="E21722" s="2"/>
      <c r="F21722" s="2" t="str">
        <f>"9788381423861"</f>
        <v>9788381423861</v>
      </c>
    </row>
    <row r="21723" spans="1:6" s="3" customFormat="1" ht="29.1" customHeight="1" x14ac:dyDescent="0.25">
      <c r="A21723" s="2" t="s">
        <v>42515</v>
      </c>
      <c r="B21723" s="2" t="s">
        <v>42516</v>
      </c>
      <c r="C21723" s="2" t="s">
        <v>327</v>
      </c>
      <c r="D21723" s="2" t="s">
        <v>501</v>
      </c>
      <c r="E21723" s="2" t="str">
        <f>"9788381422871"</f>
        <v>9788381422871</v>
      </c>
      <c r="F21723" s="2" t="str">
        <f>"9788381422888"</f>
        <v>9788381422888</v>
      </c>
    </row>
    <row r="21724" spans="1:6" s="3" customFormat="1" ht="29.1" customHeight="1" x14ac:dyDescent="0.25">
      <c r="A21724" s="2" t="s">
        <v>42517</v>
      </c>
      <c r="B21724" s="2" t="s">
        <v>7960</v>
      </c>
      <c r="C21724" s="2" t="s">
        <v>327</v>
      </c>
      <c r="D21724" s="2" t="s">
        <v>3043</v>
      </c>
      <c r="E21724" s="2" t="str">
        <f>"9788381422734"</f>
        <v>9788381422734</v>
      </c>
      <c r="F21724" s="2" t="str">
        <f>"9788381422741"</f>
        <v>9788381422741</v>
      </c>
    </row>
    <row r="21725" spans="1:6" s="3" customFormat="1" ht="29.1" customHeight="1" x14ac:dyDescent="0.25">
      <c r="A21725" s="2" t="s">
        <v>42518</v>
      </c>
      <c r="B21725" s="2" t="s">
        <v>42519</v>
      </c>
      <c r="C21725" s="2" t="s">
        <v>327</v>
      </c>
      <c r="D21725" s="2" t="s">
        <v>72</v>
      </c>
      <c r="E21725" s="2" t="str">
        <f>"9788380889507"</f>
        <v>9788380889507</v>
      </c>
      <c r="F21725" s="2" t="str">
        <f>"9788380889514"</f>
        <v>9788380889514</v>
      </c>
    </row>
    <row r="21726" spans="1:6" s="3" customFormat="1" ht="29.1" customHeight="1" x14ac:dyDescent="0.25">
      <c r="A21726" s="2" t="s">
        <v>41850</v>
      </c>
      <c r="B21726" s="2" t="s">
        <v>27481</v>
      </c>
      <c r="C21726" s="2" t="s">
        <v>327</v>
      </c>
      <c r="D21726" s="2" t="s">
        <v>27480</v>
      </c>
      <c r="E21726" s="2" t="str">
        <f>"9788379690176"</f>
        <v>9788379690176</v>
      </c>
      <c r="F21726" s="2" t="str">
        <f>"9788379692439"</f>
        <v>9788379692439</v>
      </c>
    </row>
    <row r="21727" spans="1:6" s="3" customFormat="1" ht="29.1" customHeight="1" x14ac:dyDescent="0.25">
      <c r="A21727" s="2" t="s">
        <v>42520</v>
      </c>
      <c r="B21727" s="2" t="s">
        <v>42521</v>
      </c>
      <c r="C21727" s="2" t="s">
        <v>248</v>
      </c>
      <c r="D21727" s="2" t="s">
        <v>501</v>
      </c>
      <c r="E21727" s="2" t="str">
        <f>"9783847423287"</f>
        <v>9783847423287</v>
      </c>
      <c r="F21727" s="2" t="str">
        <f>"9783847414971"</f>
        <v>9783847414971</v>
      </c>
    </row>
    <row r="21728" spans="1:6" s="3" customFormat="1" ht="29.1" customHeight="1" x14ac:dyDescent="0.25">
      <c r="A21728" s="2" t="s">
        <v>42522</v>
      </c>
      <c r="B21728" s="2" t="s">
        <v>42523</v>
      </c>
      <c r="C21728" s="2" t="s">
        <v>149</v>
      </c>
      <c r="D21728" s="2" t="s">
        <v>1585</v>
      </c>
      <c r="E21728" s="2" t="str">
        <f>"9781783747979"</f>
        <v>9781783747979</v>
      </c>
      <c r="F21728" s="2" t="str">
        <f>"9781783747993"</f>
        <v>9781783747993</v>
      </c>
    </row>
    <row r="21729" spans="1:6" s="3" customFormat="1" ht="29.1" customHeight="1" x14ac:dyDescent="0.25">
      <c r="A21729" s="2" t="s">
        <v>42524</v>
      </c>
      <c r="B21729" s="2" t="s">
        <v>42525</v>
      </c>
      <c r="C21729" s="2" t="s">
        <v>4104</v>
      </c>
      <c r="D21729" s="2" t="s">
        <v>20003</v>
      </c>
      <c r="E21729" s="2" t="str">
        <f>"9781789620757"</f>
        <v>9781789620757</v>
      </c>
      <c r="F21729" s="2" t="str">
        <f>"9781789624953"</f>
        <v>9781789624953</v>
      </c>
    </row>
    <row r="21730" spans="1:6" s="3" customFormat="1" ht="29.1" customHeight="1" x14ac:dyDescent="0.25">
      <c r="A21730" s="2" t="s">
        <v>42526</v>
      </c>
      <c r="B21730" s="2" t="s">
        <v>42527</v>
      </c>
      <c r="C21730" s="2" t="s">
        <v>4104</v>
      </c>
      <c r="D21730" s="2" t="s">
        <v>1112</v>
      </c>
      <c r="E21730" s="2" t="str">
        <f>"9781786941701"</f>
        <v>9781786941701</v>
      </c>
      <c r="F21730" s="2" t="str">
        <f>"9781786949639"</f>
        <v>9781786949639</v>
      </c>
    </row>
    <row r="21731" spans="1:6" s="3" customFormat="1" ht="29.1" customHeight="1" x14ac:dyDescent="0.25">
      <c r="A21731" s="2" t="s">
        <v>42528</v>
      </c>
      <c r="B21731" s="2" t="s">
        <v>42529</v>
      </c>
      <c r="C21731" s="2" t="s">
        <v>124</v>
      </c>
      <c r="D21731" s="2" t="s">
        <v>150</v>
      </c>
      <c r="E21731" s="2" t="str">
        <f>"9780367028718"</f>
        <v>9780367028718</v>
      </c>
      <c r="F21731" s="2" t="str">
        <f>"9780429671548"</f>
        <v>9780429671548</v>
      </c>
    </row>
    <row r="21732" spans="1:6" s="3" customFormat="1" ht="29.1" customHeight="1" x14ac:dyDescent="0.25">
      <c r="A21732" s="2" t="s">
        <v>42530</v>
      </c>
      <c r="B21732" s="2" t="s">
        <v>42531</v>
      </c>
      <c r="C21732" s="2" t="s">
        <v>124</v>
      </c>
      <c r="D21732" s="2" t="s">
        <v>462</v>
      </c>
      <c r="E21732" s="2" t="str">
        <f>"9781138480193"</f>
        <v>9781138480193</v>
      </c>
      <c r="F21732" s="2" t="str">
        <f>"9781351063487"</f>
        <v>9781351063487</v>
      </c>
    </row>
    <row r="21733" spans="1:6" s="3" customFormat="1" ht="29.1" customHeight="1" x14ac:dyDescent="0.25">
      <c r="A21733" s="2" t="s">
        <v>42532</v>
      </c>
      <c r="B21733" s="2" t="s">
        <v>11624</v>
      </c>
      <c r="C21733" s="2" t="s">
        <v>124</v>
      </c>
      <c r="D21733" s="2" t="s">
        <v>2336</v>
      </c>
      <c r="E21733" s="2" t="str">
        <f>"9780367226237"</f>
        <v>9780367226237</v>
      </c>
      <c r="F21733" s="2" t="str">
        <f>"9781000725858"</f>
        <v>9781000725858</v>
      </c>
    </row>
    <row r="21734" spans="1:6" s="3" customFormat="1" ht="29.1" customHeight="1" x14ac:dyDescent="0.25">
      <c r="A21734" s="2" t="s">
        <v>42533</v>
      </c>
      <c r="B21734" s="2" t="s">
        <v>42534</v>
      </c>
      <c r="C21734" s="2" t="s">
        <v>29</v>
      </c>
      <c r="D21734" s="2" t="s">
        <v>5032</v>
      </c>
      <c r="E21734" s="2" t="str">
        <f>"9789004340152"</f>
        <v>9789004340152</v>
      </c>
      <c r="F21734" s="2" t="str">
        <f>"9789004340176"</f>
        <v>9789004340176</v>
      </c>
    </row>
    <row r="21735" spans="1:6" s="3" customFormat="1" ht="29.1" customHeight="1" x14ac:dyDescent="0.25">
      <c r="A21735" s="2" t="s">
        <v>42535</v>
      </c>
      <c r="B21735" s="2"/>
      <c r="C21735" s="2" t="s">
        <v>59</v>
      </c>
      <c r="D21735" s="2" t="s">
        <v>2086</v>
      </c>
      <c r="E21735" s="2"/>
      <c r="F21735" s="2" t="str">
        <f>"9782759230105"</f>
        <v>9782759230105</v>
      </c>
    </row>
    <row r="21736" spans="1:6" s="3" customFormat="1" ht="29.1" customHeight="1" x14ac:dyDescent="0.25">
      <c r="A21736" s="2" t="s">
        <v>42536</v>
      </c>
      <c r="B21736" s="2" t="s">
        <v>42537</v>
      </c>
      <c r="C21736" s="2" t="s">
        <v>195</v>
      </c>
      <c r="D21736" s="2" t="s">
        <v>1864</v>
      </c>
      <c r="E21736" s="2" t="str">
        <f>"9783110128871"</f>
        <v>9783110128871</v>
      </c>
      <c r="F21736" s="2" t="str">
        <f>"9783110870114"</f>
        <v>9783110870114</v>
      </c>
    </row>
    <row r="21737" spans="1:6" s="3" customFormat="1" ht="29.1" customHeight="1" x14ac:dyDescent="0.25">
      <c r="A21737" s="2" t="s">
        <v>42538</v>
      </c>
      <c r="B21737" s="2" t="s">
        <v>42539</v>
      </c>
      <c r="C21737" s="2" t="s">
        <v>195</v>
      </c>
      <c r="D21737" s="2" t="s">
        <v>98</v>
      </c>
      <c r="E21737" s="2" t="str">
        <f>"9783110122374"</f>
        <v>9783110122374</v>
      </c>
      <c r="F21737" s="2" t="str">
        <f>"9783110862843"</f>
        <v>9783110862843</v>
      </c>
    </row>
    <row r="21738" spans="1:6" s="3" customFormat="1" ht="29.1" customHeight="1" x14ac:dyDescent="0.25">
      <c r="A21738" s="2" t="s">
        <v>42540</v>
      </c>
      <c r="B21738" s="2" t="s">
        <v>42541</v>
      </c>
      <c r="C21738" s="2" t="s">
        <v>195</v>
      </c>
      <c r="D21738" s="2" t="s">
        <v>1390</v>
      </c>
      <c r="E21738" s="2" t="str">
        <f>"9783110101775"</f>
        <v>9783110101775</v>
      </c>
      <c r="F21738" s="2" t="str">
        <f>"9783110860559"</f>
        <v>9783110860559</v>
      </c>
    </row>
    <row r="21739" spans="1:6" s="3" customFormat="1" ht="29.1" customHeight="1" x14ac:dyDescent="0.25">
      <c r="A21739" s="2" t="s">
        <v>42542</v>
      </c>
      <c r="B21739" s="2" t="s">
        <v>42543</v>
      </c>
      <c r="C21739" s="2" t="s">
        <v>195</v>
      </c>
      <c r="D21739" s="2" t="s">
        <v>186</v>
      </c>
      <c r="E21739" s="2" t="str">
        <f>"9783110081510"</f>
        <v>9783110081510</v>
      </c>
      <c r="F21739" s="2" t="str">
        <f>"9783110868098"</f>
        <v>9783110868098</v>
      </c>
    </row>
    <row r="21740" spans="1:6" s="3" customFormat="1" ht="29.1" customHeight="1" x14ac:dyDescent="0.25">
      <c r="A21740" s="2" t="s">
        <v>42544</v>
      </c>
      <c r="B21740" s="2" t="s">
        <v>42545</v>
      </c>
      <c r="C21740" s="2" t="s">
        <v>195</v>
      </c>
      <c r="D21740" s="2" t="s">
        <v>186</v>
      </c>
      <c r="E21740" s="2" t="str">
        <f>"9783110069143"</f>
        <v>9783110069143</v>
      </c>
      <c r="F21740" s="2" t="str">
        <f>"9783110867015"</f>
        <v>9783110867015</v>
      </c>
    </row>
    <row r="21741" spans="1:6" s="3" customFormat="1" ht="29.1" customHeight="1" x14ac:dyDescent="0.25">
      <c r="A21741" s="2" t="s">
        <v>42546</v>
      </c>
      <c r="B21741" s="2" t="s">
        <v>42547</v>
      </c>
      <c r="C21741" s="2" t="s">
        <v>195</v>
      </c>
      <c r="D21741" s="2" t="s">
        <v>402</v>
      </c>
      <c r="E21741" s="2" t="str">
        <f>"9789027978844"</f>
        <v>9789027978844</v>
      </c>
      <c r="F21741" s="2" t="str">
        <f>"9783110801842"</f>
        <v>9783110801842</v>
      </c>
    </row>
    <row r="21742" spans="1:6" s="3" customFormat="1" ht="29.1" customHeight="1" x14ac:dyDescent="0.25">
      <c r="A21742" s="2" t="s">
        <v>42548</v>
      </c>
      <c r="B21742" s="2" t="s">
        <v>37093</v>
      </c>
      <c r="C21742" s="2" t="s">
        <v>556</v>
      </c>
      <c r="D21742" s="2" t="s">
        <v>689</v>
      </c>
      <c r="E21742" s="2" t="str">
        <f>"9783899425314"</f>
        <v>9783899425314</v>
      </c>
      <c r="F21742" s="2" t="str">
        <f>"9783839405314"</f>
        <v>9783839405314</v>
      </c>
    </row>
    <row r="21743" spans="1:6" s="3" customFormat="1" ht="29.1" customHeight="1" x14ac:dyDescent="0.25">
      <c r="A21743" s="2" t="s">
        <v>42549</v>
      </c>
      <c r="B21743" s="2" t="s">
        <v>37093</v>
      </c>
      <c r="C21743" s="2" t="s">
        <v>556</v>
      </c>
      <c r="D21743" s="2" t="s">
        <v>378</v>
      </c>
      <c r="E21743" s="2" t="str">
        <f>"9783899424317"</f>
        <v>9783899424317</v>
      </c>
      <c r="F21743" s="2" t="str">
        <f>"9783839404317"</f>
        <v>9783839404317</v>
      </c>
    </row>
    <row r="21744" spans="1:6" s="3" customFormat="1" ht="29.1" customHeight="1" x14ac:dyDescent="0.25">
      <c r="A21744" s="2" t="s">
        <v>42550</v>
      </c>
      <c r="B21744" s="2" t="s">
        <v>42551</v>
      </c>
      <c r="C21744" s="2" t="s">
        <v>556</v>
      </c>
      <c r="D21744" s="2" t="s">
        <v>2326</v>
      </c>
      <c r="E21744" s="2" t="str">
        <f>"9783933127754"</f>
        <v>9783933127754</v>
      </c>
      <c r="F21744" s="2" t="str">
        <f>"9783839400753"</f>
        <v>9783839400753</v>
      </c>
    </row>
    <row r="21745" spans="1:6" s="3" customFormat="1" ht="29.1" customHeight="1" x14ac:dyDescent="0.25">
      <c r="A21745" s="2" t="s">
        <v>42552</v>
      </c>
      <c r="B21745" s="2" t="s">
        <v>42553</v>
      </c>
      <c r="C21745" s="2" t="s">
        <v>556</v>
      </c>
      <c r="D21745" s="2" t="s">
        <v>5568</v>
      </c>
      <c r="E21745" s="2" t="str">
        <f>"9783899429985"</f>
        <v>9783899429985</v>
      </c>
      <c r="F21745" s="2" t="str">
        <f>"9783839409985"</f>
        <v>9783839409985</v>
      </c>
    </row>
    <row r="21746" spans="1:6" s="3" customFormat="1" ht="29.1" customHeight="1" x14ac:dyDescent="0.25">
      <c r="A21746" s="2" t="s">
        <v>42554</v>
      </c>
      <c r="B21746" s="2" t="s">
        <v>42555</v>
      </c>
      <c r="C21746" s="2" t="s">
        <v>556</v>
      </c>
      <c r="D21746" s="2" t="s">
        <v>2326</v>
      </c>
      <c r="E21746" s="2" t="str">
        <f>"9783899428476"</f>
        <v>9783899428476</v>
      </c>
      <c r="F21746" s="2" t="str">
        <f>"9783839408476"</f>
        <v>9783839408476</v>
      </c>
    </row>
    <row r="21747" spans="1:6" s="3" customFormat="1" ht="29.1" customHeight="1" x14ac:dyDescent="0.25">
      <c r="A21747" s="2" t="s">
        <v>42556</v>
      </c>
      <c r="B21747" s="2" t="s">
        <v>42557</v>
      </c>
      <c r="C21747" s="2" t="s">
        <v>556</v>
      </c>
      <c r="D21747" s="2" t="s">
        <v>1944</v>
      </c>
      <c r="E21747" s="2" t="str">
        <f>"9783899427882"</f>
        <v>9783899427882</v>
      </c>
      <c r="F21747" s="2" t="str">
        <f>"9783839407882"</f>
        <v>9783839407882</v>
      </c>
    </row>
    <row r="21748" spans="1:6" s="3" customFormat="1" ht="29.1" customHeight="1" x14ac:dyDescent="0.25">
      <c r="A21748" s="2" t="s">
        <v>42558</v>
      </c>
      <c r="B21748" s="2" t="s">
        <v>42559</v>
      </c>
      <c r="C21748" s="2" t="s">
        <v>556</v>
      </c>
      <c r="D21748" s="2" t="s">
        <v>2326</v>
      </c>
      <c r="E21748" s="2" t="str">
        <f>"9783899427097"</f>
        <v>9783899427097</v>
      </c>
      <c r="F21748" s="2" t="str">
        <f>"9783839407097"</f>
        <v>9783839407097</v>
      </c>
    </row>
    <row r="21749" spans="1:6" s="3" customFormat="1" ht="29.1" customHeight="1" x14ac:dyDescent="0.25">
      <c r="A21749" s="2" t="s">
        <v>42560</v>
      </c>
      <c r="B21749" s="2" t="s">
        <v>42561</v>
      </c>
      <c r="C21749" s="2" t="s">
        <v>556</v>
      </c>
      <c r="D21749" s="2" t="s">
        <v>4030</v>
      </c>
      <c r="E21749" s="2" t="str">
        <f>"9783899426861"</f>
        <v>9783899426861</v>
      </c>
      <c r="F21749" s="2" t="str">
        <f>"9783839406861"</f>
        <v>9783839406861</v>
      </c>
    </row>
    <row r="21750" spans="1:6" s="3" customFormat="1" ht="29.1" customHeight="1" x14ac:dyDescent="0.25">
      <c r="A21750" s="2" t="s">
        <v>42562</v>
      </c>
      <c r="B21750" s="2" t="s">
        <v>42563</v>
      </c>
      <c r="C21750" s="2" t="s">
        <v>556</v>
      </c>
      <c r="D21750" s="2" t="s">
        <v>3345</v>
      </c>
      <c r="E21750" s="2" t="str">
        <f>"9783899426205"</f>
        <v>9783899426205</v>
      </c>
      <c r="F21750" s="2" t="str">
        <f>"9783839406205"</f>
        <v>9783839406205</v>
      </c>
    </row>
    <row r="21751" spans="1:6" s="3" customFormat="1" ht="29.1" customHeight="1" x14ac:dyDescent="0.25">
      <c r="A21751" s="2" t="s">
        <v>42564</v>
      </c>
      <c r="B21751" s="2" t="s">
        <v>30709</v>
      </c>
      <c r="C21751" s="2" t="s">
        <v>556</v>
      </c>
      <c r="D21751" s="2" t="s">
        <v>512</v>
      </c>
      <c r="E21751" s="2" t="str">
        <f>"9783899425369"</f>
        <v>9783899425369</v>
      </c>
      <c r="F21751" s="2" t="str">
        <f>"9783839405369"</f>
        <v>9783839405369</v>
      </c>
    </row>
    <row r="21752" spans="1:6" s="3" customFormat="1" ht="29.1" customHeight="1" x14ac:dyDescent="0.25">
      <c r="A21752" s="2" t="s">
        <v>42565</v>
      </c>
      <c r="B21752" s="2" t="s">
        <v>31975</v>
      </c>
      <c r="C21752" s="2" t="s">
        <v>556</v>
      </c>
      <c r="D21752" s="2" t="s">
        <v>1162</v>
      </c>
      <c r="E21752" s="2" t="str">
        <f>"9783899424942"</f>
        <v>9783899424942</v>
      </c>
      <c r="F21752" s="2" t="str">
        <f>"9783839404942"</f>
        <v>9783839404942</v>
      </c>
    </row>
    <row r="21753" spans="1:6" s="3" customFormat="1" ht="29.1" customHeight="1" x14ac:dyDescent="0.25">
      <c r="A21753" s="2" t="s">
        <v>42566</v>
      </c>
      <c r="B21753" s="2" t="s">
        <v>42567</v>
      </c>
      <c r="C21753" s="2" t="s">
        <v>556</v>
      </c>
      <c r="D21753" s="2" t="s">
        <v>378</v>
      </c>
      <c r="E21753" s="2" t="str">
        <f>"9783899424751"</f>
        <v>9783899424751</v>
      </c>
      <c r="F21753" s="2" t="str">
        <f>"9783839404751"</f>
        <v>9783839404751</v>
      </c>
    </row>
    <row r="21754" spans="1:6" s="3" customFormat="1" ht="29.1" customHeight="1" x14ac:dyDescent="0.25">
      <c r="A21754" s="2" t="s">
        <v>42568</v>
      </c>
      <c r="B21754" s="2" t="s">
        <v>42569</v>
      </c>
      <c r="C21754" s="2" t="s">
        <v>556</v>
      </c>
      <c r="D21754" s="2" t="s">
        <v>6683</v>
      </c>
      <c r="E21754" s="2" t="str">
        <f>"9783899424560"</f>
        <v>9783899424560</v>
      </c>
      <c r="F21754" s="2" t="str">
        <f>"9783839404560"</f>
        <v>9783839404560</v>
      </c>
    </row>
    <row r="21755" spans="1:6" s="3" customFormat="1" ht="29.1" customHeight="1" x14ac:dyDescent="0.25">
      <c r="A21755" s="2" t="s">
        <v>42570</v>
      </c>
      <c r="B21755" s="2" t="s">
        <v>42571</v>
      </c>
      <c r="C21755" s="2" t="s">
        <v>556</v>
      </c>
      <c r="D21755" s="2" t="s">
        <v>3345</v>
      </c>
      <c r="E21755" s="2" t="str">
        <f>"9783899423679"</f>
        <v>9783899423679</v>
      </c>
      <c r="F21755" s="2" t="str">
        <f>"9783839403679"</f>
        <v>9783839403679</v>
      </c>
    </row>
    <row r="21756" spans="1:6" s="3" customFormat="1" ht="29.1" customHeight="1" x14ac:dyDescent="0.25">
      <c r="A21756" s="2" t="s">
        <v>42572</v>
      </c>
      <c r="B21756" s="2" t="s">
        <v>42573</v>
      </c>
      <c r="C21756" s="2" t="s">
        <v>556</v>
      </c>
      <c r="D21756" s="2" t="s">
        <v>636</v>
      </c>
      <c r="E21756" s="2" t="str">
        <f>"9783899423006"</f>
        <v>9783899423006</v>
      </c>
      <c r="F21756" s="2" t="str">
        <f>"9783839403006"</f>
        <v>9783839403006</v>
      </c>
    </row>
    <row r="21757" spans="1:6" s="3" customFormat="1" ht="29.1" customHeight="1" x14ac:dyDescent="0.25">
      <c r="A21757" s="2" t="s">
        <v>42574</v>
      </c>
      <c r="B21757" s="2" t="s">
        <v>42551</v>
      </c>
      <c r="C21757" s="2" t="s">
        <v>556</v>
      </c>
      <c r="D21757" s="2" t="s">
        <v>324</v>
      </c>
      <c r="E21757" s="2" t="str">
        <f>"9783899422115"</f>
        <v>9783899422115</v>
      </c>
      <c r="F21757" s="2" t="str">
        <f>"9783839402115"</f>
        <v>9783839402115</v>
      </c>
    </row>
    <row r="21758" spans="1:6" s="3" customFormat="1" ht="29.1" customHeight="1" x14ac:dyDescent="0.25">
      <c r="A21758" s="2" t="s">
        <v>42575</v>
      </c>
      <c r="B21758" s="2" t="s">
        <v>42576</v>
      </c>
      <c r="C21758" s="2" t="s">
        <v>556</v>
      </c>
      <c r="D21758" s="2" t="s">
        <v>712</v>
      </c>
      <c r="E21758" s="2" t="str">
        <f>"9783899421590"</f>
        <v>9783899421590</v>
      </c>
      <c r="F21758" s="2" t="str">
        <f>"9783839401590"</f>
        <v>9783839401590</v>
      </c>
    </row>
    <row r="21759" spans="1:6" s="3" customFormat="1" ht="29.1" customHeight="1" x14ac:dyDescent="0.25">
      <c r="A21759" s="2" t="s">
        <v>42577</v>
      </c>
      <c r="B21759" s="2" t="s">
        <v>42578</v>
      </c>
      <c r="C21759" s="2" t="s">
        <v>556</v>
      </c>
      <c r="D21759" s="2" t="s">
        <v>689</v>
      </c>
      <c r="E21759" s="2" t="str">
        <f>"9783899421248"</f>
        <v>9783899421248</v>
      </c>
      <c r="F21759" s="2" t="str">
        <f>"9783839401248"</f>
        <v>9783839401248</v>
      </c>
    </row>
    <row r="21760" spans="1:6" s="3" customFormat="1" ht="29.1" customHeight="1" x14ac:dyDescent="0.25">
      <c r="A21760" s="2" t="s">
        <v>42579</v>
      </c>
      <c r="B21760" s="2" t="s">
        <v>37043</v>
      </c>
      <c r="C21760" s="2" t="s">
        <v>556</v>
      </c>
      <c r="D21760" s="2" t="s">
        <v>9052</v>
      </c>
      <c r="E21760" s="2" t="str">
        <f>"9783899421231"</f>
        <v>9783899421231</v>
      </c>
      <c r="F21760" s="2" t="str">
        <f>"9783839401231"</f>
        <v>9783839401231</v>
      </c>
    </row>
    <row r="21761" spans="1:6" s="3" customFormat="1" ht="29.1" customHeight="1" x14ac:dyDescent="0.25">
      <c r="A21761" s="2" t="s">
        <v>42580</v>
      </c>
      <c r="B21761" s="2" t="s">
        <v>42581</v>
      </c>
      <c r="C21761" s="2" t="s">
        <v>556</v>
      </c>
      <c r="D21761" s="2" t="s">
        <v>699</v>
      </c>
      <c r="E21761" s="2" t="str">
        <f>"9783899421217"</f>
        <v>9783899421217</v>
      </c>
      <c r="F21761" s="2" t="str">
        <f>"9783839401217"</f>
        <v>9783839401217</v>
      </c>
    </row>
    <row r="21762" spans="1:6" s="3" customFormat="1" ht="29.1" customHeight="1" x14ac:dyDescent="0.25">
      <c r="A21762" s="2" t="s">
        <v>42582</v>
      </c>
      <c r="B21762" s="2" t="s">
        <v>37019</v>
      </c>
      <c r="C21762" s="2" t="s">
        <v>556</v>
      </c>
      <c r="D21762" s="2" t="s">
        <v>14816</v>
      </c>
      <c r="E21762" s="2" t="str">
        <f>"9783837649284"</f>
        <v>9783837649284</v>
      </c>
      <c r="F21762" s="2" t="str">
        <f>"9783839449288"</f>
        <v>9783839449288</v>
      </c>
    </row>
    <row r="21763" spans="1:6" s="3" customFormat="1" ht="29.1" customHeight="1" x14ac:dyDescent="0.25">
      <c r="A21763" s="2" t="s">
        <v>42583</v>
      </c>
      <c r="B21763" s="2" t="s">
        <v>42584</v>
      </c>
      <c r="C21763" s="2" t="s">
        <v>556</v>
      </c>
      <c r="D21763" s="2" t="s">
        <v>378</v>
      </c>
      <c r="E21763" s="2" t="str">
        <f>"9783837648829"</f>
        <v>9783837648829</v>
      </c>
      <c r="F21763" s="2" t="str">
        <f>"9783839448823"</f>
        <v>9783839448823</v>
      </c>
    </row>
    <row r="21764" spans="1:6" s="3" customFormat="1" ht="29.1" customHeight="1" x14ac:dyDescent="0.25">
      <c r="A21764" s="2" t="s">
        <v>42585</v>
      </c>
      <c r="B21764" s="2" t="s">
        <v>42586</v>
      </c>
      <c r="C21764" s="2" t="s">
        <v>556</v>
      </c>
      <c r="D21764" s="2" t="s">
        <v>183</v>
      </c>
      <c r="E21764" s="2" t="str">
        <f>"9783837647334"</f>
        <v>9783837647334</v>
      </c>
      <c r="F21764" s="2" t="str">
        <f>"9783839447338"</f>
        <v>9783839447338</v>
      </c>
    </row>
    <row r="21765" spans="1:6" s="3" customFormat="1" ht="29.1" customHeight="1" x14ac:dyDescent="0.25">
      <c r="A21765" s="2" t="s">
        <v>42587</v>
      </c>
      <c r="B21765" s="2" t="s">
        <v>42588</v>
      </c>
      <c r="C21765" s="2" t="s">
        <v>556</v>
      </c>
      <c r="D21765" s="2" t="s">
        <v>712</v>
      </c>
      <c r="E21765" s="2" t="str">
        <f>"9783837647136"</f>
        <v>9783837647136</v>
      </c>
      <c r="F21765" s="2" t="str">
        <f>"9783839447130"</f>
        <v>9783839447130</v>
      </c>
    </row>
    <row r="21766" spans="1:6" s="3" customFormat="1" ht="29.1" customHeight="1" x14ac:dyDescent="0.25">
      <c r="A21766" s="2" t="s">
        <v>42589</v>
      </c>
      <c r="B21766" s="2" t="s">
        <v>42590</v>
      </c>
      <c r="C21766" s="2" t="s">
        <v>556</v>
      </c>
      <c r="D21766" s="2" t="s">
        <v>5706</v>
      </c>
      <c r="E21766" s="2" t="str">
        <f>"9783837616453"</f>
        <v>9783837616453</v>
      </c>
      <c r="F21766" s="2" t="str">
        <f>"9783839416457"</f>
        <v>9783839416457</v>
      </c>
    </row>
    <row r="21767" spans="1:6" s="3" customFormat="1" ht="29.1" customHeight="1" x14ac:dyDescent="0.25">
      <c r="A21767" s="2" t="s">
        <v>42591</v>
      </c>
      <c r="B21767" s="2" t="s">
        <v>42592</v>
      </c>
      <c r="C21767" s="2" t="s">
        <v>556</v>
      </c>
      <c r="D21767" s="2" t="s">
        <v>484</v>
      </c>
      <c r="E21767" s="2" t="str">
        <f>"9783837615609"</f>
        <v>9783837615609</v>
      </c>
      <c r="F21767" s="2" t="str">
        <f>"9783839415603"</f>
        <v>9783839415603</v>
      </c>
    </row>
    <row r="21768" spans="1:6" s="3" customFormat="1" ht="29.1" customHeight="1" x14ac:dyDescent="0.25">
      <c r="A21768" s="2" t="s">
        <v>42593</v>
      </c>
      <c r="B21768" s="2" t="s">
        <v>42594</v>
      </c>
      <c r="C21768" s="2" t="s">
        <v>556</v>
      </c>
      <c r="D21768" s="2" t="s">
        <v>1557</v>
      </c>
      <c r="E21768" s="2" t="str">
        <f>"9783837615111"</f>
        <v>9783837615111</v>
      </c>
      <c r="F21768" s="2" t="str">
        <f>"9783839415115"</f>
        <v>9783839415115</v>
      </c>
    </row>
    <row r="21769" spans="1:6" s="3" customFormat="1" ht="29.1" customHeight="1" x14ac:dyDescent="0.25">
      <c r="A21769" s="2" t="s">
        <v>42595</v>
      </c>
      <c r="B21769" s="2" t="s">
        <v>42596</v>
      </c>
      <c r="C21769" s="2" t="s">
        <v>556</v>
      </c>
      <c r="D21769" s="2" t="s">
        <v>636</v>
      </c>
      <c r="E21769" s="2" t="str">
        <f>"9783837614480"</f>
        <v>9783837614480</v>
      </c>
      <c r="F21769" s="2" t="str">
        <f>"9783839414484"</f>
        <v>9783839414484</v>
      </c>
    </row>
    <row r="21770" spans="1:6" s="3" customFormat="1" ht="29.1" customHeight="1" x14ac:dyDescent="0.25">
      <c r="A21770" s="2" t="s">
        <v>42597</v>
      </c>
      <c r="B21770" s="2" t="s">
        <v>42598</v>
      </c>
      <c r="C21770" s="2" t="s">
        <v>556</v>
      </c>
      <c r="D21770" s="2" t="s">
        <v>21</v>
      </c>
      <c r="E21770" s="2" t="str">
        <f>"9783837613704"</f>
        <v>9783837613704</v>
      </c>
      <c r="F21770" s="2" t="str">
        <f>"9783839413708"</f>
        <v>9783839413708</v>
      </c>
    </row>
    <row r="21771" spans="1:6" s="3" customFormat="1" ht="29.1" customHeight="1" x14ac:dyDescent="0.25">
      <c r="A21771" s="2" t="s">
        <v>42599</v>
      </c>
      <c r="B21771" s="2" t="s">
        <v>42600</v>
      </c>
      <c r="C21771" s="2" t="s">
        <v>556</v>
      </c>
      <c r="D21771" s="2" t="s">
        <v>689</v>
      </c>
      <c r="E21771" s="2" t="str">
        <f>"9783837613667"</f>
        <v>9783837613667</v>
      </c>
      <c r="F21771" s="2" t="str">
        <f>"9783839413661"</f>
        <v>9783839413661</v>
      </c>
    </row>
    <row r="21772" spans="1:6" s="3" customFormat="1" ht="29.1" customHeight="1" x14ac:dyDescent="0.25">
      <c r="A21772" s="2" t="s">
        <v>42601</v>
      </c>
      <c r="B21772" s="2" t="s">
        <v>42602</v>
      </c>
      <c r="C21772" s="2" t="s">
        <v>556</v>
      </c>
      <c r="D21772" s="2" t="s">
        <v>2851</v>
      </c>
      <c r="E21772" s="2" t="str">
        <f>"9783837613209"</f>
        <v>9783837613209</v>
      </c>
      <c r="F21772" s="2" t="str">
        <f>"9783839413203"</f>
        <v>9783839413203</v>
      </c>
    </row>
    <row r="21773" spans="1:6" s="3" customFormat="1" ht="29.1" customHeight="1" x14ac:dyDescent="0.25">
      <c r="A21773" s="2" t="s">
        <v>42603</v>
      </c>
      <c r="B21773" s="2" t="s">
        <v>42604</v>
      </c>
      <c r="C21773" s="2" t="s">
        <v>556</v>
      </c>
      <c r="D21773" s="2" t="s">
        <v>639</v>
      </c>
      <c r="E21773" s="2" t="str">
        <f>"9783837612752"</f>
        <v>9783837612752</v>
      </c>
      <c r="F21773" s="2" t="str">
        <f>"9783839412756"</f>
        <v>9783839412756</v>
      </c>
    </row>
    <row r="21774" spans="1:6" s="3" customFormat="1" ht="29.1" customHeight="1" x14ac:dyDescent="0.25">
      <c r="A21774" s="2" t="s">
        <v>42605</v>
      </c>
      <c r="B21774" s="2" t="s">
        <v>42606</v>
      </c>
      <c r="C21774" s="2" t="s">
        <v>556</v>
      </c>
      <c r="D21774" s="2" t="s">
        <v>522</v>
      </c>
      <c r="E21774" s="2" t="str">
        <f>"9783837612684"</f>
        <v>9783837612684</v>
      </c>
      <c r="F21774" s="2" t="str">
        <f>"9783839412688"</f>
        <v>9783839412688</v>
      </c>
    </row>
    <row r="21775" spans="1:6" s="3" customFormat="1" ht="29.1" customHeight="1" x14ac:dyDescent="0.25">
      <c r="A21775" s="2" t="s">
        <v>42607</v>
      </c>
      <c r="B21775" s="2" t="s">
        <v>42608</v>
      </c>
      <c r="C21775" s="2" t="s">
        <v>556</v>
      </c>
      <c r="D21775" s="2" t="s">
        <v>28277</v>
      </c>
      <c r="E21775" s="2" t="str">
        <f>"9783837612332"</f>
        <v>9783837612332</v>
      </c>
      <c r="F21775" s="2" t="str">
        <f>"9783839412336"</f>
        <v>9783839412336</v>
      </c>
    </row>
    <row r="21776" spans="1:6" s="3" customFormat="1" ht="29.1" customHeight="1" x14ac:dyDescent="0.25">
      <c r="A21776" s="2" t="s">
        <v>42609</v>
      </c>
      <c r="B21776" s="2" t="s">
        <v>42610</v>
      </c>
      <c r="C21776" s="2" t="s">
        <v>556</v>
      </c>
      <c r="D21776" s="2" t="s">
        <v>1944</v>
      </c>
      <c r="E21776" s="2" t="str">
        <f>"9783837612097"</f>
        <v>9783837612097</v>
      </c>
      <c r="F21776" s="2" t="str">
        <f>"9783839412091"</f>
        <v>9783839412091</v>
      </c>
    </row>
    <row r="21777" spans="1:6" s="3" customFormat="1" ht="29.1" customHeight="1" x14ac:dyDescent="0.25">
      <c r="A21777" s="2" t="s">
        <v>42611</v>
      </c>
      <c r="B21777" s="2" t="s">
        <v>42612</v>
      </c>
      <c r="C21777" s="2" t="s">
        <v>556</v>
      </c>
      <c r="D21777" s="2" t="s">
        <v>22290</v>
      </c>
      <c r="E21777" s="2" t="str">
        <f>"9783837611632"</f>
        <v>9783837611632</v>
      </c>
      <c r="F21777" s="2" t="str">
        <f>"9783839411636"</f>
        <v>9783839411636</v>
      </c>
    </row>
    <row r="21778" spans="1:6" s="3" customFormat="1" ht="29.1" customHeight="1" x14ac:dyDescent="0.25">
      <c r="A21778" s="2" t="s">
        <v>42613</v>
      </c>
      <c r="B21778" s="2" t="s">
        <v>42614</v>
      </c>
      <c r="C21778" s="2" t="s">
        <v>556</v>
      </c>
      <c r="D21778" s="2" t="s">
        <v>712</v>
      </c>
      <c r="E21778" s="2" t="str">
        <f>"9783837611595"</f>
        <v>9783837611595</v>
      </c>
      <c r="F21778" s="2" t="str">
        <f>"9783839411599"</f>
        <v>9783839411599</v>
      </c>
    </row>
    <row r="21779" spans="1:6" s="3" customFormat="1" ht="29.1" customHeight="1" x14ac:dyDescent="0.25">
      <c r="A21779" s="2" t="s">
        <v>42615</v>
      </c>
      <c r="B21779" s="2" t="s">
        <v>32538</v>
      </c>
      <c r="C21779" s="2" t="s">
        <v>62</v>
      </c>
      <c r="D21779" s="2" t="s">
        <v>5480</v>
      </c>
      <c r="E21779" s="2" t="str">
        <f>"9783428073887"</f>
        <v>9783428073887</v>
      </c>
      <c r="F21779" s="2" t="str">
        <f>"9783428473885"</f>
        <v>9783428473885</v>
      </c>
    </row>
    <row r="21780" spans="1:6" s="3" customFormat="1" ht="29.1" customHeight="1" x14ac:dyDescent="0.25">
      <c r="A21780" s="2" t="s">
        <v>42616</v>
      </c>
      <c r="B21780" s="2" t="s">
        <v>42617</v>
      </c>
      <c r="C21780" s="2" t="s">
        <v>8040</v>
      </c>
      <c r="D21780" s="2" t="s">
        <v>1245</v>
      </c>
      <c r="E21780" s="2" t="str">
        <f>"9781788924993"</f>
        <v>9781788924993</v>
      </c>
      <c r="F21780" s="2" t="str">
        <f>"9781788925006"</f>
        <v>9781788925006</v>
      </c>
    </row>
    <row r="21781" spans="1:6" s="3" customFormat="1" ht="29.1" customHeight="1" x14ac:dyDescent="0.25">
      <c r="A21781" s="2" t="s">
        <v>42618</v>
      </c>
      <c r="B21781" s="2" t="s">
        <v>42619</v>
      </c>
      <c r="C21781" s="2" t="s">
        <v>124</v>
      </c>
      <c r="D21781" s="2" t="s">
        <v>712</v>
      </c>
      <c r="E21781" s="2" t="str">
        <f>"9781138577480"</f>
        <v>9781138577480</v>
      </c>
      <c r="F21781" s="2" t="str">
        <f>"9781351247399"</f>
        <v>9781351247399</v>
      </c>
    </row>
    <row r="21782" spans="1:6" s="3" customFormat="1" ht="29.1" customHeight="1" x14ac:dyDescent="0.25">
      <c r="A21782" s="2" t="s">
        <v>42620</v>
      </c>
      <c r="B21782" s="2" t="s">
        <v>42622</v>
      </c>
      <c r="C21782" s="2" t="s">
        <v>149</v>
      </c>
      <c r="D21782" s="2" t="s">
        <v>42621</v>
      </c>
      <c r="E21782" s="2" t="str">
        <f>"9781783747566"</f>
        <v>9781783747566</v>
      </c>
      <c r="F21782" s="2" t="str">
        <f>"9781783747580"</f>
        <v>9781783747580</v>
      </c>
    </row>
    <row r="21783" spans="1:6" s="3" customFormat="1" ht="29.1" customHeight="1" x14ac:dyDescent="0.25">
      <c r="A21783" s="2" t="s">
        <v>42623</v>
      </c>
      <c r="B21783" s="2" t="s">
        <v>42624</v>
      </c>
      <c r="C21783" s="2" t="s">
        <v>8059</v>
      </c>
      <c r="D21783" s="2" t="s">
        <v>1717</v>
      </c>
      <c r="E21783" s="2" t="str">
        <f>"9781928424345"</f>
        <v>9781928424345</v>
      </c>
      <c r="F21783" s="2" t="str">
        <f>"9781928424352"</f>
        <v>9781928424352</v>
      </c>
    </row>
    <row r="21784" spans="1:6" s="3" customFormat="1" ht="29.1" customHeight="1" x14ac:dyDescent="0.25">
      <c r="A21784" s="2" t="s">
        <v>42625</v>
      </c>
      <c r="B21784" s="2" t="s">
        <v>42626</v>
      </c>
      <c r="C21784" s="2" t="s">
        <v>8059</v>
      </c>
      <c r="D21784" s="2" t="s">
        <v>459</v>
      </c>
      <c r="E21784" s="2" t="str">
        <f>"9781928424321"</f>
        <v>9781928424321</v>
      </c>
      <c r="F21784" s="2" t="str">
        <f>"9781928424338"</f>
        <v>9781928424338</v>
      </c>
    </row>
    <row r="21785" spans="1:6" s="3" customFormat="1" ht="29.1" customHeight="1" x14ac:dyDescent="0.25">
      <c r="A21785" s="2" t="s">
        <v>42627</v>
      </c>
      <c r="B21785" s="2" t="s">
        <v>42628</v>
      </c>
      <c r="C21785" s="2" t="s">
        <v>36254</v>
      </c>
      <c r="D21785" s="2" t="s">
        <v>5983</v>
      </c>
      <c r="E21785" s="2" t="str">
        <f>"9781928357704"</f>
        <v>9781928357704</v>
      </c>
      <c r="F21785" s="2" t="str">
        <f>"9781928357711"</f>
        <v>9781928357711</v>
      </c>
    </row>
    <row r="21786" spans="1:6" s="3" customFormat="1" ht="29.1" customHeight="1" x14ac:dyDescent="0.25">
      <c r="A21786" s="2" t="s">
        <v>42629</v>
      </c>
      <c r="B21786" s="2" t="s">
        <v>42630</v>
      </c>
      <c r="C21786" s="2" t="s">
        <v>36254</v>
      </c>
      <c r="D21786" s="2" t="s">
        <v>3523</v>
      </c>
      <c r="E21786" s="2" t="str">
        <f>"9781920689568"</f>
        <v>9781920689568</v>
      </c>
      <c r="F21786" s="2" t="str">
        <f>"9781920689575"</f>
        <v>9781920689575</v>
      </c>
    </row>
    <row r="21787" spans="1:6" s="3" customFormat="1" ht="29.1" customHeight="1" x14ac:dyDescent="0.25">
      <c r="A21787" s="2" t="s">
        <v>42631</v>
      </c>
      <c r="B21787" s="2" t="s">
        <v>42632</v>
      </c>
      <c r="C21787" s="2" t="s">
        <v>36254</v>
      </c>
      <c r="D21787" s="2" t="s">
        <v>2336</v>
      </c>
      <c r="E21787" s="2" t="str">
        <f>"9781928357582"</f>
        <v>9781928357582</v>
      </c>
      <c r="F21787" s="2" t="str">
        <f>"9781928357599"</f>
        <v>9781928357599</v>
      </c>
    </row>
    <row r="21788" spans="1:6" s="3" customFormat="1" ht="29.1" customHeight="1" x14ac:dyDescent="0.25">
      <c r="A21788" s="2" t="s">
        <v>42633</v>
      </c>
      <c r="B21788" s="2" t="s">
        <v>42634</v>
      </c>
      <c r="C21788" s="2" t="s">
        <v>36254</v>
      </c>
      <c r="D21788" s="2" t="s">
        <v>4670</v>
      </c>
      <c r="E21788" s="2" t="str">
        <f>"9780987009630"</f>
        <v>9780987009630</v>
      </c>
      <c r="F21788" s="2" t="str">
        <f>"9780992180614"</f>
        <v>9780992180614</v>
      </c>
    </row>
    <row r="21789" spans="1:6" s="3" customFormat="1" ht="29.1" customHeight="1" x14ac:dyDescent="0.25">
      <c r="A21789" s="2" t="s">
        <v>42635</v>
      </c>
      <c r="B21789" s="2" t="s">
        <v>42636</v>
      </c>
      <c r="C21789" s="2" t="s">
        <v>36254</v>
      </c>
      <c r="D21789" s="2" t="s">
        <v>175</v>
      </c>
      <c r="E21789" s="2" t="str">
        <f>"9781928357292"</f>
        <v>9781928357292</v>
      </c>
      <c r="F21789" s="2" t="str">
        <f>"9781928357308"</f>
        <v>9781928357308</v>
      </c>
    </row>
    <row r="21790" spans="1:6" s="3" customFormat="1" ht="29.1" customHeight="1" x14ac:dyDescent="0.25">
      <c r="A21790" s="2" t="s">
        <v>42637</v>
      </c>
      <c r="B21790" s="2" t="s">
        <v>42638</v>
      </c>
      <c r="C21790" s="2" t="s">
        <v>36254</v>
      </c>
      <c r="D21790" s="2" t="s">
        <v>12</v>
      </c>
      <c r="E21790" s="2" t="str">
        <f>"9781920109516"</f>
        <v>9781920109516</v>
      </c>
      <c r="F21790" s="2" t="str">
        <f>"9781920109561"</f>
        <v>9781920109561</v>
      </c>
    </row>
    <row r="21791" spans="1:6" s="3" customFormat="1" ht="29.1" customHeight="1" x14ac:dyDescent="0.25">
      <c r="A21791" s="2" t="s">
        <v>42639</v>
      </c>
      <c r="B21791" s="2" t="s">
        <v>42640</v>
      </c>
      <c r="C21791" s="2" t="s">
        <v>36254</v>
      </c>
      <c r="D21791" s="2" t="s">
        <v>2336</v>
      </c>
      <c r="E21791" s="2" t="str">
        <f>"9781928355120"</f>
        <v>9781928355120</v>
      </c>
      <c r="F21791" s="2" t="str">
        <f>"9781928355137"</f>
        <v>9781928355137</v>
      </c>
    </row>
    <row r="21792" spans="1:6" s="3" customFormat="1" ht="29.1" customHeight="1" x14ac:dyDescent="0.25">
      <c r="A21792" s="2" t="s">
        <v>42641</v>
      </c>
      <c r="B21792" s="2" t="s">
        <v>42642</v>
      </c>
      <c r="C21792" s="2" t="s">
        <v>36254</v>
      </c>
      <c r="D21792" s="2" t="s">
        <v>218</v>
      </c>
      <c r="E21792" s="2" t="str">
        <f>"9781928357254"</f>
        <v>9781928357254</v>
      </c>
      <c r="F21792" s="2" t="str">
        <f>"9781928357261"</f>
        <v>9781928357261</v>
      </c>
    </row>
    <row r="21793" spans="1:6" s="3" customFormat="1" ht="29.1" customHeight="1" x14ac:dyDescent="0.25">
      <c r="A21793" s="2" t="s">
        <v>42643</v>
      </c>
      <c r="B21793" s="2" t="s">
        <v>42644</v>
      </c>
      <c r="C21793" s="2" t="s">
        <v>36254</v>
      </c>
      <c r="D21793" s="2" t="s">
        <v>818</v>
      </c>
      <c r="E21793" s="2" t="str">
        <f>"9781928355069"</f>
        <v>9781928355069</v>
      </c>
      <c r="F21793" s="2" t="str">
        <f>"9781928355076"</f>
        <v>9781928355076</v>
      </c>
    </row>
    <row r="21794" spans="1:6" s="3" customFormat="1" ht="29.1" customHeight="1" x14ac:dyDescent="0.25">
      <c r="A21794" s="2" t="s">
        <v>42645</v>
      </c>
      <c r="B21794" s="2" t="s">
        <v>42646</v>
      </c>
      <c r="C21794" s="2" t="s">
        <v>8059</v>
      </c>
      <c r="D21794" s="2" t="s">
        <v>1256</v>
      </c>
      <c r="E21794" s="2" t="str">
        <f>"9781928424222"</f>
        <v>9781928424222</v>
      </c>
      <c r="F21794" s="2" t="str">
        <f>"9781928424239"</f>
        <v>9781928424239</v>
      </c>
    </row>
    <row r="21795" spans="1:6" s="3" customFormat="1" ht="29.1" customHeight="1" x14ac:dyDescent="0.25">
      <c r="A21795" s="2" t="s">
        <v>42647</v>
      </c>
      <c r="B21795" s="2" t="s">
        <v>42648</v>
      </c>
      <c r="C21795" s="2" t="s">
        <v>8059</v>
      </c>
      <c r="D21795" s="2" t="s">
        <v>1867</v>
      </c>
      <c r="E21795" s="2" t="str">
        <f>"9781920382025"</f>
        <v>9781920382025</v>
      </c>
      <c r="F21795" s="2" t="str">
        <f>"9781920382360"</f>
        <v>9781920382360</v>
      </c>
    </row>
    <row r="21796" spans="1:6" s="3" customFormat="1" ht="29.1" customHeight="1" x14ac:dyDescent="0.25">
      <c r="A21796" s="2" t="s">
        <v>42649</v>
      </c>
      <c r="B21796" s="2" t="s">
        <v>42650</v>
      </c>
      <c r="C21796" s="2" t="s">
        <v>36254</v>
      </c>
      <c r="D21796" s="2" t="s">
        <v>553</v>
      </c>
      <c r="E21796" s="2" t="str">
        <f>"9781928357216"</f>
        <v>9781928357216</v>
      </c>
      <c r="F21796" s="2" t="str">
        <f>"9781928357223"</f>
        <v>9781928357223</v>
      </c>
    </row>
    <row r="21797" spans="1:6" s="3" customFormat="1" ht="29.1" customHeight="1" x14ac:dyDescent="0.25">
      <c r="A21797" s="2" t="s">
        <v>42651</v>
      </c>
      <c r="B21797" s="2" t="s">
        <v>42652</v>
      </c>
      <c r="C21797" s="2" t="s">
        <v>36254</v>
      </c>
      <c r="D21797" s="2" t="s">
        <v>3445</v>
      </c>
      <c r="E21797" s="2" t="str">
        <f>"9781928355144"</f>
        <v>9781928355144</v>
      </c>
      <c r="F21797" s="2" t="str">
        <f>"9781928355151"</f>
        <v>9781928355151</v>
      </c>
    </row>
    <row r="21798" spans="1:6" s="3" customFormat="1" ht="29.1" customHeight="1" x14ac:dyDescent="0.25">
      <c r="A21798" s="2" t="s">
        <v>42653</v>
      </c>
      <c r="B21798" s="2" t="s">
        <v>42654</v>
      </c>
      <c r="C21798" s="2" t="s">
        <v>36254</v>
      </c>
      <c r="D21798" s="2" t="s">
        <v>553</v>
      </c>
      <c r="E21798" s="2" t="str">
        <f>"9781928357544"</f>
        <v>9781928357544</v>
      </c>
      <c r="F21798" s="2" t="str">
        <f>"9781928357551"</f>
        <v>9781928357551</v>
      </c>
    </row>
    <row r="21799" spans="1:6" s="3" customFormat="1" ht="29.1" customHeight="1" x14ac:dyDescent="0.25">
      <c r="A21799" s="2" t="s">
        <v>42655</v>
      </c>
      <c r="B21799" s="2" t="s">
        <v>42656</v>
      </c>
      <c r="C21799" s="2" t="s">
        <v>8059</v>
      </c>
      <c r="D21799" s="2" t="s">
        <v>218</v>
      </c>
      <c r="E21799" s="2" t="str">
        <f>"9781920382704"</f>
        <v>9781920382704</v>
      </c>
      <c r="F21799" s="2" t="str">
        <f>"9781920382711"</f>
        <v>9781920382711</v>
      </c>
    </row>
    <row r="21800" spans="1:6" s="3" customFormat="1" ht="29.1" customHeight="1" x14ac:dyDescent="0.25">
      <c r="A21800" s="2" t="s">
        <v>42657</v>
      </c>
      <c r="B21800" s="2" t="s">
        <v>36269</v>
      </c>
      <c r="C21800" s="2" t="s">
        <v>36254</v>
      </c>
      <c r="D21800" s="2" t="s">
        <v>15257</v>
      </c>
      <c r="E21800" s="2" t="str">
        <f>"9781928314257"</f>
        <v>9781928314257</v>
      </c>
      <c r="F21800" s="2" t="str">
        <f>"9781928314264"</f>
        <v>9781928314264</v>
      </c>
    </row>
    <row r="21801" spans="1:6" s="3" customFormat="1" ht="29.1" customHeight="1" x14ac:dyDescent="0.25">
      <c r="A21801" s="2" t="s">
        <v>42658</v>
      </c>
      <c r="B21801" s="2" t="s">
        <v>36269</v>
      </c>
      <c r="C21801" s="2" t="s">
        <v>36254</v>
      </c>
      <c r="D21801" s="2" t="s">
        <v>15257</v>
      </c>
      <c r="E21801" s="2" t="str">
        <f>"9781928314233"</f>
        <v>9781928314233</v>
      </c>
      <c r="F21801" s="2" t="str">
        <f>"9781928314240"</f>
        <v>9781928314240</v>
      </c>
    </row>
    <row r="21802" spans="1:6" s="3" customFormat="1" ht="29.1" customHeight="1" x14ac:dyDescent="0.25">
      <c r="A21802" s="2" t="s">
        <v>42659</v>
      </c>
      <c r="B21802" s="2" t="s">
        <v>36271</v>
      </c>
      <c r="C21802" s="2" t="s">
        <v>36254</v>
      </c>
      <c r="D21802" s="2" t="s">
        <v>42660</v>
      </c>
      <c r="E21802" s="2" t="str">
        <f>"9781928314363"</f>
        <v>9781928314363</v>
      </c>
      <c r="F21802" s="2" t="str">
        <f>"9781928314370"</f>
        <v>9781928314370</v>
      </c>
    </row>
    <row r="21803" spans="1:6" s="3" customFormat="1" ht="29.1" customHeight="1" x14ac:dyDescent="0.25">
      <c r="A21803" s="2" t="s">
        <v>42661</v>
      </c>
      <c r="B21803" s="2" t="s">
        <v>42662</v>
      </c>
      <c r="C21803" s="2" t="s">
        <v>36254</v>
      </c>
      <c r="D21803" s="2" t="s">
        <v>4742</v>
      </c>
      <c r="E21803" s="2" t="str">
        <f>"9781920338848"</f>
        <v>9781920338848</v>
      </c>
      <c r="F21803" s="2" t="str">
        <f>"9781920338855"</f>
        <v>9781920338855</v>
      </c>
    </row>
    <row r="21804" spans="1:6" s="3" customFormat="1" ht="29.1" customHeight="1" x14ac:dyDescent="0.25">
      <c r="A21804" s="2" t="s">
        <v>42663</v>
      </c>
      <c r="B21804" s="2" t="s">
        <v>42664</v>
      </c>
      <c r="C21804" s="2" t="s">
        <v>36254</v>
      </c>
      <c r="D21804" s="2" t="s">
        <v>2178</v>
      </c>
      <c r="E21804" s="2" t="str">
        <f>"9781928357964"</f>
        <v>9781928357964</v>
      </c>
      <c r="F21804" s="2" t="str">
        <f>"9781928357971"</f>
        <v>9781928357971</v>
      </c>
    </row>
    <row r="21805" spans="1:6" s="3" customFormat="1" ht="29.1" customHeight="1" x14ac:dyDescent="0.25">
      <c r="A21805" s="2" t="s">
        <v>42665</v>
      </c>
      <c r="B21805" s="2" t="s">
        <v>42667</v>
      </c>
      <c r="C21805" s="2" t="s">
        <v>36254</v>
      </c>
      <c r="D21805" s="2" t="s">
        <v>42666</v>
      </c>
      <c r="E21805" s="2" t="str">
        <f>"9781928314301"</f>
        <v>9781928314301</v>
      </c>
      <c r="F21805" s="2" t="str">
        <f>"9781928314318"</f>
        <v>9781928314318</v>
      </c>
    </row>
    <row r="21806" spans="1:6" s="3" customFormat="1" ht="29.1" customHeight="1" x14ac:dyDescent="0.25">
      <c r="A21806" s="2" t="s">
        <v>42668</v>
      </c>
      <c r="B21806" s="2" t="s">
        <v>42669</v>
      </c>
      <c r="C21806" s="2" t="s">
        <v>8059</v>
      </c>
      <c r="D21806" s="2" t="s">
        <v>110</v>
      </c>
      <c r="E21806" s="2" t="str">
        <f>"9781928424260"</f>
        <v>9781928424260</v>
      </c>
      <c r="F21806" s="2" t="str">
        <f>"9781928424277"</f>
        <v>9781928424277</v>
      </c>
    </row>
    <row r="21807" spans="1:6" s="3" customFormat="1" ht="29.1" customHeight="1" x14ac:dyDescent="0.25">
      <c r="A21807" s="2" t="s">
        <v>42670</v>
      </c>
      <c r="B21807" s="2" t="s">
        <v>42671</v>
      </c>
      <c r="C21807" s="2" t="s">
        <v>8059</v>
      </c>
      <c r="D21807" s="2" t="s">
        <v>9146</v>
      </c>
      <c r="E21807" s="2" t="str">
        <f>"9781920382889"</f>
        <v>9781920382889</v>
      </c>
      <c r="F21807" s="2" t="str">
        <f>"9781920382896"</f>
        <v>9781920382896</v>
      </c>
    </row>
    <row r="21808" spans="1:6" s="3" customFormat="1" ht="29.1" customHeight="1" x14ac:dyDescent="0.25">
      <c r="A21808" s="2" t="s">
        <v>42672</v>
      </c>
      <c r="B21808" s="2" t="s">
        <v>36494</v>
      </c>
      <c r="C21808" s="2" t="s">
        <v>36254</v>
      </c>
      <c r="D21808" s="2" t="s">
        <v>553</v>
      </c>
      <c r="E21808" s="2" t="str">
        <f>"9781928357230"</f>
        <v>9781928357230</v>
      </c>
      <c r="F21808" s="2" t="str">
        <f>"9781928357247"</f>
        <v>9781928357247</v>
      </c>
    </row>
    <row r="21809" spans="1:6" s="3" customFormat="1" ht="29.1" customHeight="1" x14ac:dyDescent="0.25">
      <c r="A21809" s="2" t="s">
        <v>42673</v>
      </c>
      <c r="B21809" s="2" t="s">
        <v>42674</v>
      </c>
      <c r="C21809" s="2" t="s">
        <v>36254</v>
      </c>
      <c r="D21809" s="2" t="s">
        <v>7847</v>
      </c>
      <c r="E21809" s="2" t="str">
        <f>"9781928357117"</f>
        <v>9781928357117</v>
      </c>
      <c r="F21809" s="2" t="str">
        <f>"9781928357124"</f>
        <v>9781928357124</v>
      </c>
    </row>
    <row r="21810" spans="1:6" s="3" customFormat="1" ht="29.1" customHeight="1" x14ac:dyDescent="0.25">
      <c r="A21810" s="2" t="s">
        <v>42675</v>
      </c>
      <c r="B21810" s="2" t="s">
        <v>42676</v>
      </c>
      <c r="C21810" s="2" t="s">
        <v>8059</v>
      </c>
      <c r="D21810" s="2" t="s">
        <v>6243</v>
      </c>
      <c r="E21810" s="2" t="str">
        <f>"9781928424024"</f>
        <v>9781928424024</v>
      </c>
      <c r="F21810" s="2" t="str">
        <f>"9781928424031"</f>
        <v>9781928424031</v>
      </c>
    </row>
    <row r="21811" spans="1:6" s="3" customFormat="1" ht="29.1" customHeight="1" x14ac:dyDescent="0.25">
      <c r="A21811" s="2" t="s">
        <v>42677</v>
      </c>
      <c r="B21811" s="2" t="s">
        <v>42679</v>
      </c>
      <c r="C21811" s="2" t="s">
        <v>8059</v>
      </c>
      <c r="D21811" s="2" t="s">
        <v>42678</v>
      </c>
      <c r="E21811" s="2" t="str">
        <f>"9781920382964"</f>
        <v>9781920382964</v>
      </c>
      <c r="F21811" s="2" t="str">
        <f>"9781920382971"</f>
        <v>9781920382971</v>
      </c>
    </row>
    <row r="21812" spans="1:6" s="3" customFormat="1" ht="29.1" customHeight="1" x14ac:dyDescent="0.25">
      <c r="A21812" s="2" t="s">
        <v>42680</v>
      </c>
      <c r="B21812" s="2" t="s">
        <v>42681</v>
      </c>
      <c r="C21812" s="2" t="s">
        <v>36254</v>
      </c>
      <c r="D21812" s="2" t="s">
        <v>1245</v>
      </c>
      <c r="E21812" s="2" t="str">
        <f>"9781920689896"</f>
        <v>9781920689896</v>
      </c>
      <c r="F21812" s="2" t="str">
        <f>"9781920689902"</f>
        <v>9781920689902</v>
      </c>
    </row>
    <row r="21813" spans="1:6" s="3" customFormat="1" ht="29.1" customHeight="1" x14ac:dyDescent="0.25">
      <c r="A21813" s="2" t="s">
        <v>42682</v>
      </c>
      <c r="B21813" s="2" t="s">
        <v>42662</v>
      </c>
      <c r="C21813" s="2" t="s">
        <v>36254</v>
      </c>
      <c r="D21813" s="2" t="s">
        <v>4742</v>
      </c>
      <c r="E21813" s="2" t="str">
        <f>"9781920689728"</f>
        <v>9781920689728</v>
      </c>
      <c r="F21813" s="2" t="str">
        <f>"9781920689735"</f>
        <v>9781920689735</v>
      </c>
    </row>
    <row r="21814" spans="1:6" s="3" customFormat="1" ht="29.1" customHeight="1" x14ac:dyDescent="0.25">
      <c r="A21814" s="2" t="s">
        <v>42683</v>
      </c>
      <c r="B21814" s="2" t="s">
        <v>42684</v>
      </c>
      <c r="C21814" s="2" t="s">
        <v>8059</v>
      </c>
      <c r="D21814" s="2" t="s">
        <v>553</v>
      </c>
      <c r="E21814" s="2" t="str">
        <f>"9781920382605"</f>
        <v>9781920382605</v>
      </c>
      <c r="F21814" s="2" t="str">
        <f>"9781920382612"</f>
        <v>9781920382612</v>
      </c>
    </row>
    <row r="21815" spans="1:6" s="3" customFormat="1" ht="29.1" customHeight="1" x14ac:dyDescent="0.25">
      <c r="A21815" s="2" t="s">
        <v>42685</v>
      </c>
      <c r="B21815" s="2" t="s">
        <v>42686</v>
      </c>
      <c r="C21815" s="2" t="s">
        <v>36254</v>
      </c>
      <c r="D21815" s="2" t="s">
        <v>15260</v>
      </c>
      <c r="E21815" s="2" t="str">
        <f>"9781928314349"</f>
        <v>9781928314349</v>
      </c>
      <c r="F21815" s="2" t="str">
        <f>"9781928314356"</f>
        <v>9781928314356</v>
      </c>
    </row>
    <row r="21816" spans="1:6" s="3" customFormat="1" ht="29.1" customHeight="1" x14ac:dyDescent="0.25">
      <c r="A21816" s="2" t="s">
        <v>42687</v>
      </c>
      <c r="B21816" s="2" t="s">
        <v>41805</v>
      </c>
      <c r="C21816" s="2" t="s">
        <v>8059</v>
      </c>
      <c r="D21816" s="2" t="s">
        <v>183</v>
      </c>
      <c r="E21816" s="2" t="str">
        <f>"9781928424185"</f>
        <v>9781928424185</v>
      </c>
      <c r="F21816" s="2" t="str">
        <f>"9781928424192"</f>
        <v>9781928424192</v>
      </c>
    </row>
    <row r="21817" spans="1:6" s="3" customFormat="1" ht="29.1" customHeight="1" x14ac:dyDescent="0.25">
      <c r="A21817" s="2" t="s">
        <v>42688</v>
      </c>
      <c r="B21817" s="2" t="s">
        <v>42689</v>
      </c>
      <c r="C21817" s="2" t="s">
        <v>36254</v>
      </c>
      <c r="D21817" s="2" t="s">
        <v>183</v>
      </c>
      <c r="E21817" s="2" t="str">
        <f>"9781928357629"</f>
        <v>9781928357629</v>
      </c>
      <c r="F21817" s="2" t="str">
        <f>"9781928357636"</f>
        <v>9781928357636</v>
      </c>
    </row>
    <row r="21818" spans="1:6" s="3" customFormat="1" ht="29.1" customHeight="1" x14ac:dyDescent="0.25">
      <c r="A21818" s="2" t="s">
        <v>42690</v>
      </c>
      <c r="B21818" s="2" t="s">
        <v>42691</v>
      </c>
      <c r="C21818" s="2" t="s">
        <v>36254</v>
      </c>
      <c r="D21818" s="2" t="s">
        <v>490</v>
      </c>
      <c r="E21818" s="2" t="str">
        <f>"9781928357353"</f>
        <v>9781928357353</v>
      </c>
      <c r="F21818" s="2" t="str">
        <f>"9781928357360"</f>
        <v>9781928357360</v>
      </c>
    </row>
    <row r="21819" spans="1:6" s="3" customFormat="1" ht="29.1" customHeight="1" x14ac:dyDescent="0.25">
      <c r="A21819" s="2" t="s">
        <v>42692</v>
      </c>
      <c r="B21819" s="2" t="s">
        <v>42693</v>
      </c>
      <c r="C21819" s="2" t="s">
        <v>8059</v>
      </c>
      <c r="D21819" s="2" t="s">
        <v>1245</v>
      </c>
      <c r="E21819" s="2" t="str">
        <f>"9781928424246"</f>
        <v>9781928424246</v>
      </c>
      <c r="F21819" s="2" t="str">
        <f>"9781928424253"</f>
        <v>9781928424253</v>
      </c>
    </row>
    <row r="21820" spans="1:6" s="3" customFormat="1" ht="29.1" customHeight="1" x14ac:dyDescent="0.25">
      <c r="A21820" s="2" t="s">
        <v>42694</v>
      </c>
      <c r="B21820" s="2" t="s">
        <v>42695</v>
      </c>
      <c r="C21820" s="2" t="s">
        <v>8059</v>
      </c>
      <c r="D21820" s="2" t="s">
        <v>2326</v>
      </c>
      <c r="E21820" s="2" t="str">
        <f>"9781920382780"</f>
        <v>9781920382780</v>
      </c>
      <c r="F21820" s="2" t="str">
        <f>"9781920382797"</f>
        <v>9781920382797</v>
      </c>
    </row>
    <row r="21821" spans="1:6" s="3" customFormat="1" ht="29.1" customHeight="1" x14ac:dyDescent="0.25">
      <c r="A21821" s="2" t="s">
        <v>42696</v>
      </c>
      <c r="B21821" s="2" t="s">
        <v>42697</v>
      </c>
      <c r="C21821" s="2" t="s">
        <v>36254</v>
      </c>
      <c r="D21821" s="2" t="s">
        <v>183</v>
      </c>
      <c r="E21821" s="2" t="str">
        <f>"9781928480181"</f>
        <v>9781928480181</v>
      </c>
      <c r="F21821" s="2" t="str">
        <f>"9781928480198"</f>
        <v>9781928480198</v>
      </c>
    </row>
    <row r="21822" spans="1:6" s="3" customFormat="1" ht="29.1" customHeight="1" x14ac:dyDescent="0.25">
      <c r="A21822" s="2" t="s">
        <v>42698</v>
      </c>
      <c r="B21822" s="2" t="s">
        <v>42699</v>
      </c>
      <c r="C21822" s="2" t="s">
        <v>8059</v>
      </c>
      <c r="D21822" s="2" t="s">
        <v>553</v>
      </c>
      <c r="E21822" s="2" t="str">
        <f>"9781928424086"</f>
        <v>9781928424086</v>
      </c>
      <c r="F21822" s="2" t="str">
        <f>"9781928424093"</f>
        <v>9781928424093</v>
      </c>
    </row>
    <row r="21823" spans="1:6" s="3" customFormat="1" ht="29.1" customHeight="1" x14ac:dyDescent="0.25">
      <c r="A21823" s="2" t="s">
        <v>42700</v>
      </c>
      <c r="B21823" s="2" t="s">
        <v>42701</v>
      </c>
      <c r="C21823" s="2" t="s">
        <v>36254</v>
      </c>
      <c r="D21823" s="2" t="s">
        <v>553</v>
      </c>
      <c r="E21823" s="2" t="str">
        <f>"9780992236076"</f>
        <v>9780992236076</v>
      </c>
      <c r="F21823" s="2" t="str">
        <f>"9780992236083"</f>
        <v>9780992236083</v>
      </c>
    </row>
    <row r="21824" spans="1:6" s="3" customFormat="1" ht="29.1" customHeight="1" x14ac:dyDescent="0.25">
      <c r="A21824" s="2" t="s">
        <v>42702</v>
      </c>
      <c r="B21824" s="2" t="s">
        <v>42703</v>
      </c>
      <c r="C21824" s="2" t="s">
        <v>36254</v>
      </c>
      <c r="D21824" s="2" t="s">
        <v>553</v>
      </c>
      <c r="E21824" s="2" t="str">
        <f>"9781928357414"</f>
        <v>9781928357414</v>
      </c>
      <c r="F21824" s="2" t="str">
        <f>"9781928357421"</f>
        <v>9781928357421</v>
      </c>
    </row>
    <row r="21825" spans="1:6" s="3" customFormat="1" ht="29.1" customHeight="1" x14ac:dyDescent="0.25">
      <c r="A21825" s="2" t="s">
        <v>42704</v>
      </c>
      <c r="B21825" s="2" t="s">
        <v>42705</v>
      </c>
      <c r="C21825" s="2" t="s">
        <v>8059</v>
      </c>
      <c r="D21825" s="2" t="s">
        <v>879</v>
      </c>
      <c r="E21825" s="2" t="str">
        <f>"9781920382766"</f>
        <v>9781920382766</v>
      </c>
      <c r="F21825" s="2" t="str">
        <f>"9781920382773"</f>
        <v>9781920382773</v>
      </c>
    </row>
    <row r="21826" spans="1:6" s="3" customFormat="1" ht="29.1" customHeight="1" x14ac:dyDescent="0.25">
      <c r="A21826" s="2" t="s">
        <v>42706</v>
      </c>
      <c r="B21826" s="2" t="s">
        <v>42707</v>
      </c>
      <c r="C21826" s="2" t="s">
        <v>36254</v>
      </c>
      <c r="D21826" s="2" t="s">
        <v>132</v>
      </c>
      <c r="E21826" s="2" t="str">
        <f>"9781928357483"</f>
        <v>9781928357483</v>
      </c>
      <c r="F21826" s="2" t="str">
        <f>"9781928357490"</f>
        <v>9781928357490</v>
      </c>
    </row>
    <row r="21827" spans="1:6" s="3" customFormat="1" ht="29.1" customHeight="1" x14ac:dyDescent="0.25">
      <c r="A21827" s="2" t="s">
        <v>42708</v>
      </c>
      <c r="B21827" s="2" t="s">
        <v>42709</v>
      </c>
      <c r="C21827" s="2" t="s">
        <v>8059</v>
      </c>
      <c r="D21827" s="2" t="s">
        <v>6571</v>
      </c>
      <c r="E21827" s="2" t="str">
        <f>"9781928424000"</f>
        <v>9781928424000</v>
      </c>
      <c r="F21827" s="2" t="str">
        <f>"9781928424017"</f>
        <v>9781928424017</v>
      </c>
    </row>
    <row r="21828" spans="1:6" s="3" customFormat="1" ht="29.1" customHeight="1" x14ac:dyDescent="0.25">
      <c r="A21828" s="2" t="s">
        <v>42710</v>
      </c>
      <c r="B21828" s="2" t="s">
        <v>42711</v>
      </c>
      <c r="C21828" s="2" t="s">
        <v>36254</v>
      </c>
      <c r="D21828" s="2" t="s">
        <v>553</v>
      </c>
      <c r="E21828" s="2" t="str">
        <f>"9781928357803"</f>
        <v>9781928357803</v>
      </c>
      <c r="F21828" s="2" t="str">
        <f>"9781928357810"</f>
        <v>9781928357810</v>
      </c>
    </row>
    <row r="21829" spans="1:6" s="3" customFormat="1" ht="29.1" customHeight="1" x14ac:dyDescent="0.25">
      <c r="A21829" s="2" t="s">
        <v>42712</v>
      </c>
      <c r="B21829" s="2" t="s">
        <v>42713</v>
      </c>
      <c r="C21829" s="2" t="s">
        <v>8059</v>
      </c>
      <c r="D21829" s="2" t="s">
        <v>537</v>
      </c>
      <c r="E21829" s="2" t="str">
        <f>"9781920382841"</f>
        <v>9781920382841</v>
      </c>
      <c r="F21829" s="2" t="str">
        <f>"9781920382858"</f>
        <v>9781920382858</v>
      </c>
    </row>
    <row r="21830" spans="1:6" s="3" customFormat="1" ht="29.1" customHeight="1" x14ac:dyDescent="0.25">
      <c r="A21830" s="2" t="s">
        <v>42714</v>
      </c>
      <c r="B21830" s="2" t="s">
        <v>36469</v>
      </c>
      <c r="C21830" s="2" t="s">
        <v>36254</v>
      </c>
      <c r="D21830" s="2" t="s">
        <v>490</v>
      </c>
      <c r="E21830" s="2" t="str">
        <f>"9781920689827"</f>
        <v>9781920689827</v>
      </c>
      <c r="F21830" s="2" t="str">
        <f>"9781920689834"</f>
        <v>9781920689834</v>
      </c>
    </row>
    <row r="21831" spans="1:6" s="3" customFormat="1" ht="29.1" customHeight="1" x14ac:dyDescent="0.25">
      <c r="A21831" s="2" t="s">
        <v>42715</v>
      </c>
      <c r="B21831" s="2" t="s">
        <v>42716</v>
      </c>
      <c r="C21831" s="2" t="s">
        <v>36254</v>
      </c>
      <c r="D21831" s="2" t="s">
        <v>553</v>
      </c>
      <c r="E21831" s="2" t="str">
        <f>"9781920689681"</f>
        <v>9781920689681</v>
      </c>
      <c r="F21831" s="2" t="str">
        <f>"9781920689698"</f>
        <v>9781920689698</v>
      </c>
    </row>
    <row r="21832" spans="1:6" s="3" customFormat="1" ht="29.1" customHeight="1" x14ac:dyDescent="0.25">
      <c r="A21832" s="2" t="s">
        <v>42717</v>
      </c>
      <c r="B21832" s="2" t="s">
        <v>42718</v>
      </c>
      <c r="C21832" s="2" t="s">
        <v>36254</v>
      </c>
      <c r="D21832" s="2" t="s">
        <v>3567</v>
      </c>
      <c r="E21832" s="2"/>
      <c r="F21832" s="2" t="str">
        <f>"9781920689148"</f>
        <v>9781920689148</v>
      </c>
    </row>
    <row r="21833" spans="1:6" s="3" customFormat="1" ht="29.1" customHeight="1" x14ac:dyDescent="0.25">
      <c r="A21833" s="2" t="s">
        <v>42719</v>
      </c>
      <c r="B21833" s="2" t="s">
        <v>42720</v>
      </c>
      <c r="C21833" s="2" t="s">
        <v>36254</v>
      </c>
      <c r="D21833" s="2" t="s">
        <v>8199</v>
      </c>
      <c r="E21833" s="2" t="str">
        <f>"9781928355106"</f>
        <v>9781928355106</v>
      </c>
      <c r="F21833" s="2" t="str">
        <f>"9781928355113"</f>
        <v>9781928355113</v>
      </c>
    </row>
    <row r="21834" spans="1:6" s="3" customFormat="1" ht="29.1" customHeight="1" x14ac:dyDescent="0.25">
      <c r="A21834" s="2" t="s">
        <v>42721</v>
      </c>
      <c r="B21834" s="2" t="s">
        <v>36277</v>
      </c>
      <c r="C21834" s="2" t="s">
        <v>36254</v>
      </c>
      <c r="D21834" s="2" t="s">
        <v>189</v>
      </c>
      <c r="E21834" s="2" t="str">
        <f>"9781928357568"</f>
        <v>9781928357568</v>
      </c>
      <c r="F21834" s="2" t="str">
        <f>"9781928357575"</f>
        <v>9781928357575</v>
      </c>
    </row>
    <row r="21835" spans="1:6" s="3" customFormat="1" ht="29.1" customHeight="1" x14ac:dyDescent="0.25">
      <c r="A21835" s="2" t="s">
        <v>42722</v>
      </c>
      <c r="B21835" s="2" t="s">
        <v>42723</v>
      </c>
      <c r="C21835" s="2" t="s">
        <v>8059</v>
      </c>
      <c r="D21835" s="2" t="s">
        <v>2391</v>
      </c>
      <c r="E21835" s="2" t="str">
        <f>"9781920382193"</f>
        <v>9781920382193</v>
      </c>
      <c r="F21835" s="2" t="str">
        <f>"9781920382209"</f>
        <v>9781920382209</v>
      </c>
    </row>
    <row r="21836" spans="1:6" s="3" customFormat="1" ht="29.1" customHeight="1" x14ac:dyDescent="0.25">
      <c r="A21836" s="2" t="s">
        <v>42724</v>
      </c>
      <c r="B21836" s="2" t="s">
        <v>42726</v>
      </c>
      <c r="C21836" s="2" t="s">
        <v>36254</v>
      </c>
      <c r="D21836" s="2" t="s">
        <v>42725</v>
      </c>
      <c r="E21836" s="2" t="str">
        <f>"9781928357605"</f>
        <v>9781928357605</v>
      </c>
      <c r="F21836" s="2" t="str">
        <f>"9781928357612"</f>
        <v>9781928357612</v>
      </c>
    </row>
    <row r="21837" spans="1:6" s="3" customFormat="1" ht="29.1" customHeight="1" x14ac:dyDescent="0.25">
      <c r="A21837" s="2" t="s">
        <v>42727</v>
      </c>
      <c r="B21837" s="2" t="s">
        <v>42728</v>
      </c>
      <c r="C21837" s="2" t="s">
        <v>8059</v>
      </c>
      <c r="D21837" s="2" t="s">
        <v>689</v>
      </c>
      <c r="E21837" s="2" t="str">
        <f>"9781928424161"</f>
        <v>9781928424161</v>
      </c>
      <c r="F21837" s="2" t="str">
        <f>"9781928424178"</f>
        <v>9781928424178</v>
      </c>
    </row>
    <row r="21838" spans="1:6" s="3" customFormat="1" ht="29.1" customHeight="1" x14ac:dyDescent="0.25">
      <c r="A21838" s="2" t="s">
        <v>42729</v>
      </c>
      <c r="B21838" s="2" t="s">
        <v>42730</v>
      </c>
      <c r="C21838" s="2" t="s">
        <v>36254</v>
      </c>
      <c r="D21838" s="2" t="s">
        <v>150</v>
      </c>
      <c r="E21838" s="2" t="str">
        <f>"9781928355182"</f>
        <v>9781928355182</v>
      </c>
      <c r="F21838" s="2" t="str">
        <f>"9781928355199"</f>
        <v>9781928355199</v>
      </c>
    </row>
    <row r="21839" spans="1:6" s="3" customFormat="1" ht="29.1" customHeight="1" x14ac:dyDescent="0.25">
      <c r="A21839" s="2" t="s">
        <v>42731</v>
      </c>
      <c r="B21839" s="2" t="s">
        <v>38288</v>
      </c>
      <c r="C21839" s="2" t="s">
        <v>36254</v>
      </c>
      <c r="D21839" s="2" t="s">
        <v>636</v>
      </c>
      <c r="E21839" s="2" t="str">
        <f>"9781920689995"</f>
        <v>9781920689995</v>
      </c>
      <c r="F21839" s="2" t="str">
        <f>"9781928357452"</f>
        <v>9781928357452</v>
      </c>
    </row>
    <row r="21840" spans="1:6" s="3" customFormat="1" ht="29.1" customHeight="1" x14ac:dyDescent="0.25">
      <c r="A21840" s="2" t="s">
        <v>42732</v>
      </c>
      <c r="B21840" s="2" t="s">
        <v>42733</v>
      </c>
      <c r="C21840" s="2" t="s">
        <v>8059</v>
      </c>
      <c r="D21840" s="2" t="s">
        <v>5480</v>
      </c>
      <c r="E21840" s="2" t="str">
        <f>"9781920382803"</f>
        <v>9781920382803</v>
      </c>
      <c r="F21840" s="2" t="str">
        <f>"9781920382810"</f>
        <v>9781920382810</v>
      </c>
    </row>
    <row r="21841" spans="1:6" s="3" customFormat="1" ht="29.1" customHeight="1" x14ac:dyDescent="0.25">
      <c r="A21841" s="2" t="s">
        <v>42734</v>
      </c>
      <c r="B21841" s="2" t="s">
        <v>42735</v>
      </c>
      <c r="C21841" s="2" t="s">
        <v>36254</v>
      </c>
      <c r="D21841" s="2" t="s">
        <v>1591</v>
      </c>
      <c r="E21841" s="2" t="str">
        <f>"9781928480006"</f>
        <v>9781928480006</v>
      </c>
      <c r="F21841" s="2" t="str">
        <f>"9781928480013"</f>
        <v>9781928480013</v>
      </c>
    </row>
    <row r="21842" spans="1:6" s="3" customFormat="1" ht="29.1" customHeight="1" x14ac:dyDescent="0.25">
      <c r="A21842" s="2" t="s">
        <v>42736</v>
      </c>
      <c r="B21842" s="2" t="s">
        <v>42737</v>
      </c>
      <c r="C21842" s="2" t="s">
        <v>36254</v>
      </c>
      <c r="D21842" s="2" t="s">
        <v>1155</v>
      </c>
      <c r="E21842" s="2" t="str">
        <f>"9781928314059"</f>
        <v>9781928314059</v>
      </c>
      <c r="F21842" s="2" t="str">
        <f>"9781928314066"</f>
        <v>9781928314066</v>
      </c>
    </row>
    <row r="21843" spans="1:6" s="3" customFormat="1" ht="29.1" customHeight="1" x14ac:dyDescent="0.25">
      <c r="A21843" s="2" t="s">
        <v>42738</v>
      </c>
      <c r="B21843" s="2" t="s">
        <v>42739</v>
      </c>
      <c r="C21843" s="2" t="s">
        <v>36254</v>
      </c>
      <c r="D21843" s="2" t="s">
        <v>5983</v>
      </c>
      <c r="E21843" s="2" t="str">
        <f>"9781928357339"</f>
        <v>9781928357339</v>
      </c>
      <c r="F21843" s="2" t="str">
        <f>"9781928357346"</f>
        <v>9781928357346</v>
      </c>
    </row>
    <row r="21844" spans="1:6" s="3" customFormat="1" ht="29.1" customHeight="1" x14ac:dyDescent="0.25">
      <c r="A21844" s="2" t="s">
        <v>42740</v>
      </c>
      <c r="B21844" s="2" t="s">
        <v>42741</v>
      </c>
      <c r="C21844" s="2" t="s">
        <v>8059</v>
      </c>
      <c r="D21844" s="2" t="s">
        <v>3445</v>
      </c>
      <c r="E21844" s="2" t="str">
        <f>"9781920383107"</f>
        <v>9781920383107</v>
      </c>
      <c r="F21844" s="2" t="str">
        <f>"9781920383213"</f>
        <v>9781920383213</v>
      </c>
    </row>
    <row r="21845" spans="1:6" s="3" customFormat="1" ht="29.1" customHeight="1" x14ac:dyDescent="0.25">
      <c r="A21845" s="2" t="s">
        <v>42742</v>
      </c>
      <c r="B21845" s="2" t="s">
        <v>42743</v>
      </c>
      <c r="C21845" s="2" t="s">
        <v>36254</v>
      </c>
      <c r="D21845" s="2" t="s">
        <v>1253</v>
      </c>
      <c r="E21845" s="2" t="str">
        <f>"9781928314400"</f>
        <v>9781928314400</v>
      </c>
      <c r="F21845" s="2" t="str">
        <f>"9781928314417"</f>
        <v>9781928314417</v>
      </c>
    </row>
    <row r="21846" spans="1:6" s="3" customFormat="1" ht="29.1" customHeight="1" x14ac:dyDescent="0.25">
      <c r="A21846" s="2" t="s">
        <v>42744</v>
      </c>
      <c r="B21846" s="2" t="s">
        <v>42745</v>
      </c>
      <c r="C21846" s="2" t="s">
        <v>8059</v>
      </c>
      <c r="D21846" s="2" t="s">
        <v>2391</v>
      </c>
      <c r="E21846" s="2" t="str">
        <f>"9781920382681"</f>
        <v>9781920382681</v>
      </c>
      <c r="F21846" s="2" t="str">
        <f>"9781920382698"</f>
        <v>9781920382698</v>
      </c>
    </row>
    <row r="21847" spans="1:6" s="3" customFormat="1" ht="29.1" customHeight="1" x14ac:dyDescent="0.25">
      <c r="A21847" s="2" t="s">
        <v>42746</v>
      </c>
      <c r="B21847" s="2" t="s">
        <v>42747</v>
      </c>
      <c r="C21847" s="2" t="s">
        <v>8059</v>
      </c>
      <c r="D21847" s="2" t="s">
        <v>553</v>
      </c>
      <c r="E21847" s="2" t="str">
        <f>"9781920382940"</f>
        <v>9781920382940</v>
      </c>
      <c r="F21847" s="2" t="str">
        <f>"9781920382957"</f>
        <v>9781920382957</v>
      </c>
    </row>
    <row r="21848" spans="1:6" s="3" customFormat="1" ht="29.1" customHeight="1" x14ac:dyDescent="0.25">
      <c r="A21848" s="2" t="s">
        <v>42748</v>
      </c>
      <c r="B21848" s="2" t="s">
        <v>42749</v>
      </c>
      <c r="C21848" s="2" t="s">
        <v>36254</v>
      </c>
      <c r="D21848" s="2" t="s">
        <v>3407</v>
      </c>
      <c r="E21848" s="2" t="str">
        <f>"9781928357438"</f>
        <v>9781928357438</v>
      </c>
      <c r="F21848" s="2" t="str">
        <f>"9781928357445"</f>
        <v>9781928357445</v>
      </c>
    </row>
    <row r="21849" spans="1:6" s="3" customFormat="1" ht="29.1" customHeight="1" x14ac:dyDescent="0.25">
      <c r="A21849" s="2" t="s">
        <v>42750</v>
      </c>
      <c r="B21849" s="2" t="s">
        <v>42751</v>
      </c>
      <c r="C21849" s="2" t="s">
        <v>8059</v>
      </c>
      <c r="D21849" s="2" t="s">
        <v>56</v>
      </c>
      <c r="E21849" s="2" t="str">
        <f>"9781920382643"</f>
        <v>9781920382643</v>
      </c>
      <c r="F21849" s="2" t="str">
        <f>"9781920382650"</f>
        <v>9781920382650</v>
      </c>
    </row>
    <row r="21850" spans="1:6" s="3" customFormat="1" ht="29.1" customHeight="1" x14ac:dyDescent="0.25">
      <c r="A21850" s="2" t="s">
        <v>42752</v>
      </c>
      <c r="B21850" s="2" t="s">
        <v>7878</v>
      </c>
      <c r="C21850" s="2" t="s">
        <v>36254</v>
      </c>
      <c r="D21850" s="2" t="s">
        <v>3445</v>
      </c>
      <c r="E21850" s="2" t="str">
        <f>"9781920689063"</f>
        <v>9781920689063</v>
      </c>
      <c r="F21850" s="2" t="str">
        <f>"9781920689070"</f>
        <v>9781920689070</v>
      </c>
    </row>
    <row r="21851" spans="1:6" s="3" customFormat="1" ht="29.1" customHeight="1" x14ac:dyDescent="0.25">
      <c r="A21851" s="2" t="s">
        <v>42753</v>
      </c>
      <c r="B21851" s="2" t="s">
        <v>11039</v>
      </c>
      <c r="C21851" s="2" t="s">
        <v>36254</v>
      </c>
      <c r="D21851" s="2" t="s">
        <v>5536</v>
      </c>
      <c r="E21851" s="2" t="str">
        <f>"9781928357827"</f>
        <v>9781928357827</v>
      </c>
      <c r="F21851" s="2" t="str">
        <f>"9781928357834"</f>
        <v>9781928357834</v>
      </c>
    </row>
    <row r="21852" spans="1:6" s="3" customFormat="1" ht="29.1" customHeight="1" x14ac:dyDescent="0.25">
      <c r="A21852" s="2" t="s">
        <v>42754</v>
      </c>
      <c r="B21852" s="2" t="s">
        <v>42755</v>
      </c>
      <c r="C21852" s="2" t="s">
        <v>36254</v>
      </c>
      <c r="D21852" s="2" t="s">
        <v>10938</v>
      </c>
      <c r="E21852" s="2" t="str">
        <f>"9781928314097"</f>
        <v>9781928314097</v>
      </c>
      <c r="F21852" s="2" t="str">
        <f>"9781928314103"</f>
        <v>9781928314103</v>
      </c>
    </row>
    <row r="21853" spans="1:6" s="3" customFormat="1" ht="29.1" customHeight="1" x14ac:dyDescent="0.25">
      <c r="A21853" s="2" t="s">
        <v>42756</v>
      </c>
      <c r="B21853" s="2" t="s">
        <v>42707</v>
      </c>
      <c r="C21853" s="2" t="s">
        <v>36254</v>
      </c>
      <c r="D21853" s="2" t="s">
        <v>1245</v>
      </c>
      <c r="E21853" s="2" t="str">
        <f>"9781928314158"</f>
        <v>9781928314158</v>
      </c>
      <c r="F21853" s="2" t="str">
        <f>"9781928314165"</f>
        <v>9781928314165</v>
      </c>
    </row>
    <row r="21854" spans="1:6" s="3" customFormat="1" ht="29.1" customHeight="1" x14ac:dyDescent="0.25">
      <c r="A21854" s="2" t="s">
        <v>42757</v>
      </c>
      <c r="B21854" s="2" t="s">
        <v>42758</v>
      </c>
      <c r="C21854" s="2" t="s">
        <v>36254</v>
      </c>
      <c r="D21854" s="2" t="s">
        <v>2752</v>
      </c>
      <c r="E21854" s="2" t="str">
        <f>"9781928355021"</f>
        <v>9781928355021</v>
      </c>
      <c r="F21854" s="2" t="str">
        <f>"9781928355038"</f>
        <v>9781928355038</v>
      </c>
    </row>
    <row r="21855" spans="1:6" s="3" customFormat="1" ht="29.1" customHeight="1" x14ac:dyDescent="0.25">
      <c r="A21855" s="2" t="s">
        <v>42759</v>
      </c>
      <c r="B21855" s="2" t="s">
        <v>42760</v>
      </c>
      <c r="C21855" s="2" t="s">
        <v>8059</v>
      </c>
      <c r="D21855" s="2" t="s">
        <v>1109</v>
      </c>
      <c r="E21855" s="2" t="str">
        <f>"9781920382988"</f>
        <v>9781920382988</v>
      </c>
      <c r="F21855" s="2" t="str">
        <f>"9781920382995"</f>
        <v>9781920382995</v>
      </c>
    </row>
    <row r="21856" spans="1:6" s="3" customFormat="1" ht="29.1" customHeight="1" x14ac:dyDescent="0.25">
      <c r="A21856" s="2" t="s">
        <v>42761</v>
      </c>
      <c r="B21856" s="2" t="s">
        <v>42762</v>
      </c>
      <c r="C21856" s="2" t="s">
        <v>36254</v>
      </c>
      <c r="D21856" s="2" t="s">
        <v>2488</v>
      </c>
      <c r="E21856" s="2" t="str">
        <f>"9781928357094"</f>
        <v>9781928357094</v>
      </c>
      <c r="F21856" s="2" t="str">
        <f>"9781928357100"</f>
        <v>9781928357100</v>
      </c>
    </row>
    <row r="21857" spans="1:6" s="3" customFormat="1" ht="29.1" customHeight="1" x14ac:dyDescent="0.25">
      <c r="A21857" s="2" t="s">
        <v>42763</v>
      </c>
      <c r="B21857" s="2" t="s">
        <v>42755</v>
      </c>
      <c r="C21857" s="2" t="s">
        <v>36254</v>
      </c>
      <c r="D21857" s="2" t="s">
        <v>6128</v>
      </c>
      <c r="E21857" s="2" t="str">
        <f>"9781928357469"</f>
        <v>9781928357469</v>
      </c>
      <c r="F21857" s="2" t="str">
        <f>"9781928357476"</f>
        <v>9781928357476</v>
      </c>
    </row>
    <row r="21858" spans="1:6" s="3" customFormat="1" ht="29.1" customHeight="1" x14ac:dyDescent="0.25">
      <c r="A21858" s="2" t="s">
        <v>42764</v>
      </c>
      <c r="B21858" s="2" t="s">
        <v>42765</v>
      </c>
      <c r="C21858" s="2" t="s">
        <v>36254</v>
      </c>
      <c r="D21858" s="2" t="s">
        <v>183</v>
      </c>
      <c r="E21858" s="2" t="str">
        <f>"9781928357841"</f>
        <v>9781928357841</v>
      </c>
      <c r="F21858" s="2" t="str">
        <f>"9781928357858"</f>
        <v>9781928357858</v>
      </c>
    </row>
    <row r="21859" spans="1:6" s="3" customFormat="1" ht="29.1" customHeight="1" x14ac:dyDescent="0.25">
      <c r="A21859" s="2" t="s">
        <v>42766</v>
      </c>
      <c r="B21859" s="2" t="s">
        <v>42709</v>
      </c>
      <c r="C21859" s="2" t="s">
        <v>8059</v>
      </c>
      <c r="D21859" s="2" t="s">
        <v>6571</v>
      </c>
      <c r="E21859" s="2" t="str">
        <f>"9781920382728"</f>
        <v>9781920382728</v>
      </c>
      <c r="F21859" s="2" t="str">
        <f>"9781920382735"</f>
        <v>9781920382735</v>
      </c>
    </row>
    <row r="21860" spans="1:6" s="3" customFormat="1" ht="29.1" customHeight="1" x14ac:dyDescent="0.25">
      <c r="A21860" s="2" t="s">
        <v>42767</v>
      </c>
      <c r="B21860" s="2" t="s">
        <v>42768</v>
      </c>
      <c r="C21860" s="2" t="s">
        <v>36254</v>
      </c>
      <c r="D21860" s="2" t="s">
        <v>5806</v>
      </c>
      <c r="E21860" s="2" t="str">
        <f>"9781920689612"</f>
        <v>9781920689612</v>
      </c>
      <c r="F21860" s="2" t="str">
        <f>"9781920689629"</f>
        <v>9781920689629</v>
      </c>
    </row>
    <row r="21861" spans="1:6" s="3" customFormat="1" ht="29.1" customHeight="1" x14ac:dyDescent="0.25">
      <c r="A21861" s="2" t="s">
        <v>42769</v>
      </c>
      <c r="B21861" s="2" t="s">
        <v>42770</v>
      </c>
      <c r="C21861" s="2" t="s">
        <v>36254</v>
      </c>
      <c r="D21861" s="2" t="s">
        <v>40816</v>
      </c>
      <c r="E21861" s="2" t="str">
        <f>"9781928314172"</f>
        <v>9781928314172</v>
      </c>
      <c r="F21861" s="2" t="str">
        <f>"9781928314295"</f>
        <v>9781928314295</v>
      </c>
    </row>
    <row r="21862" spans="1:6" s="3" customFormat="1" ht="29.1" customHeight="1" x14ac:dyDescent="0.25">
      <c r="A21862" s="2" t="s">
        <v>42771</v>
      </c>
      <c r="B21862" s="2" t="s">
        <v>42773</v>
      </c>
      <c r="C21862" s="2" t="s">
        <v>8059</v>
      </c>
      <c r="D21862" s="2" t="s">
        <v>42772</v>
      </c>
      <c r="E21862" s="2" t="str">
        <f>"9781920382476"</f>
        <v>9781920382476</v>
      </c>
      <c r="F21862" s="2" t="str">
        <f>"9781920382483"</f>
        <v>9781920382483</v>
      </c>
    </row>
    <row r="21863" spans="1:6" s="3" customFormat="1" ht="29.1" customHeight="1" x14ac:dyDescent="0.25">
      <c r="A21863" s="2" t="s">
        <v>42774</v>
      </c>
      <c r="B21863" s="2" t="s">
        <v>42775</v>
      </c>
      <c r="C21863" s="2" t="s">
        <v>8059</v>
      </c>
      <c r="D21863" s="2" t="s">
        <v>1768</v>
      </c>
      <c r="E21863" s="2" t="str">
        <f>"9781920382131"</f>
        <v>9781920382131</v>
      </c>
      <c r="F21863" s="2" t="str">
        <f>"9781920382148"</f>
        <v>9781920382148</v>
      </c>
    </row>
    <row r="21864" spans="1:6" s="3" customFormat="1" ht="29.1" customHeight="1" x14ac:dyDescent="0.25">
      <c r="A21864" s="2" t="s">
        <v>42776</v>
      </c>
      <c r="B21864" s="2" t="s">
        <v>42777</v>
      </c>
      <c r="C21864" s="2" t="s">
        <v>8059</v>
      </c>
      <c r="D21864" s="2" t="s">
        <v>1768</v>
      </c>
      <c r="E21864" s="2" t="str">
        <f>"9781920383138"</f>
        <v>9781920383138</v>
      </c>
      <c r="F21864" s="2" t="str">
        <f>"9781920383237"</f>
        <v>9781920383237</v>
      </c>
    </row>
    <row r="21865" spans="1:6" s="3" customFormat="1" ht="29.1" customHeight="1" x14ac:dyDescent="0.25">
      <c r="A21865" s="2" t="s">
        <v>42778</v>
      </c>
      <c r="B21865" s="2" t="s">
        <v>42779</v>
      </c>
      <c r="C21865" s="2" t="s">
        <v>36254</v>
      </c>
      <c r="D21865" s="2" t="s">
        <v>553</v>
      </c>
      <c r="E21865" s="2" t="str">
        <f>"9781928357506"</f>
        <v>9781928357506</v>
      </c>
      <c r="F21865" s="2" t="str">
        <f>"9781928357513"</f>
        <v>9781928357513</v>
      </c>
    </row>
    <row r="21866" spans="1:6" s="3" customFormat="1" ht="29.1" customHeight="1" x14ac:dyDescent="0.25">
      <c r="A21866" s="2" t="s">
        <v>42780</v>
      </c>
      <c r="B21866" s="2" t="s">
        <v>42781</v>
      </c>
      <c r="C21866" s="2" t="s">
        <v>36254</v>
      </c>
      <c r="D21866" s="2" t="s">
        <v>4582</v>
      </c>
      <c r="E21866" s="2" t="str">
        <f>"9781928357278"</f>
        <v>9781928357278</v>
      </c>
      <c r="F21866" s="2" t="str">
        <f>"9781928357285"</f>
        <v>9781928357285</v>
      </c>
    </row>
    <row r="21867" spans="1:6" s="3" customFormat="1" ht="29.1" customHeight="1" x14ac:dyDescent="0.25">
      <c r="A21867" s="2" t="s">
        <v>42782</v>
      </c>
      <c r="B21867" s="2" t="s">
        <v>36315</v>
      </c>
      <c r="C21867" s="2" t="s">
        <v>36254</v>
      </c>
      <c r="D21867" s="2" t="s">
        <v>218</v>
      </c>
      <c r="E21867" s="2" t="str">
        <f>"9781928314325"</f>
        <v>9781928314325</v>
      </c>
      <c r="F21867" s="2" t="str">
        <f>"9781928314332"</f>
        <v>9781928314332</v>
      </c>
    </row>
    <row r="21868" spans="1:6" s="3" customFormat="1" ht="29.1" customHeight="1" x14ac:dyDescent="0.25">
      <c r="A21868" s="2" t="s">
        <v>42783</v>
      </c>
      <c r="B21868" s="2" t="s">
        <v>42773</v>
      </c>
      <c r="C21868" s="2" t="s">
        <v>8059</v>
      </c>
      <c r="D21868" s="2" t="s">
        <v>2019</v>
      </c>
      <c r="E21868" s="2" t="str">
        <f>"9781920382124"</f>
        <v>9781920382124</v>
      </c>
      <c r="F21868" s="2" t="str">
        <f>"9781920382155"</f>
        <v>9781920382155</v>
      </c>
    </row>
    <row r="21869" spans="1:6" s="3" customFormat="1" ht="29.1" customHeight="1" x14ac:dyDescent="0.25">
      <c r="A21869" s="2" t="s">
        <v>42784</v>
      </c>
      <c r="B21869" s="2" t="s">
        <v>42785</v>
      </c>
      <c r="C21869" s="2" t="s">
        <v>36254</v>
      </c>
      <c r="D21869" s="2" t="s">
        <v>1245</v>
      </c>
      <c r="E21869" s="2" t="str">
        <f>"9781928357988"</f>
        <v>9781928357988</v>
      </c>
      <c r="F21869" s="2" t="str">
        <f>"9781928357995"</f>
        <v>9781928357995</v>
      </c>
    </row>
    <row r="21870" spans="1:6" s="3" customFormat="1" ht="29.1" customHeight="1" x14ac:dyDescent="0.25">
      <c r="A21870" s="2" t="s">
        <v>42786</v>
      </c>
      <c r="B21870" s="2" t="s">
        <v>42787</v>
      </c>
      <c r="C21870" s="2" t="s">
        <v>36254</v>
      </c>
      <c r="D21870" s="2" t="s">
        <v>5832</v>
      </c>
      <c r="E21870" s="2" t="str">
        <f>"9781928314547"</f>
        <v>9781928314547</v>
      </c>
      <c r="F21870" s="2" t="str">
        <f>"9781928314554"</f>
        <v>9781928314554</v>
      </c>
    </row>
    <row r="21871" spans="1:6" s="3" customFormat="1" ht="29.1" customHeight="1" x14ac:dyDescent="0.25">
      <c r="A21871" s="2" t="s">
        <v>42788</v>
      </c>
      <c r="B21871" s="2" t="s">
        <v>36261</v>
      </c>
      <c r="C21871" s="2" t="s">
        <v>36254</v>
      </c>
      <c r="D21871" s="2" t="s">
        <v>3958</v>
      </c>
      <c r="E21871" s="2" t="str">
        <f>"9781919980867"</f>
        <v>9781919980867</v>
      </c>
      <c r="F21871" s="2" t="str">
        <f>"9781920689292"</f>
        <v>9781920689292</v>
      </c>
    </row>
    <row r="21872" spans="1:6" s="3" customFormat="1" ht="29.1" customHeight="1" x14ac:dyDescent="0.25">
      <c r="A21872" s="2" t="s">
        <v>42789</v>
      </c>
      <c r="B21872" s="2" t="s">
        <v>42741</v>
      </c>
      <c r="C21872" s="2" t="s">
        <v>8059</v>
      </c>
      <c r="D21872" s="2" t="s">
        <v>5536</v>
      </c>
      <c r="E21872" s="2" t="str">
        <f>"9781920382667"</f>
        <v>9781920382667</v>
      </c>
      <c r="F21872" s="2" t="str">
        <f>"9781920382674"</f>
        <v>9781920382674</v>
      </c>
    </row>
    <row r="21873" spans="1:6" s="3" customFormat="1" ht="29.1" customHeight="1" x14ac:dyDescent="0.25">
      <c r="A21873" s="2" t="s">
        <v>42790</v>
      </c>
      <c r="B21873" s="2" t="s">
        <v>42792</v>
      </c>
      <c r="C21873" s="2" t="s">
        <v>36254</v>
      </c>
      <c r="D21873" s="2" t="s">
        <v>42791</v>
      </c>
      <c r="E21873" s="2" t="str">
        <f>"9781920689872"</f>
        <v>9781920689872</v>
      </c>
      <c r="F21873" s="2" t="str">
        <f>"9781920689889"</f>
        <v>9781920689889</v>
      </c>
    </row>
    <row r="21874" spans="1:6" s="3" customFormat="1" ht="29.1" customHeight="1" x14ac:dyDescent="0.25">
      <c r="A21874" s="2" t="s">
        <v>42793</v>
      </c>
      <c r="B21874" s="2" t="s">
        <v>42794</v>
      </c>
      <c r="C21874" s="2" t="s">
        <v>29</v>
      </c>
      <c r="D21874" s="2" t="s">
        <v>658</v>
      </c>
      <c r="E21874" s="2" t="str">
        <f>"9789004411371"</f>
        <v>9789004411371</v>
      </c>
      <c r="F21874" s="2" t="str">
        <f>"9789004411401"</f>
        <v>9789004411401</v>
      </c>
    </row>
    <row r="21875" spans="1:6" s="3" customFormat="1" ht="29.1" customHeight="1" x14ac:dyDescent="0.25">
      <c r="A21875" s="2" t="s">
        <v>42795</v>
      </c>
      <c r="B21875" s="2" t="s">
        <v>42796</v>
      </c>
      <c r="C21875" s="2" t="s">
        <v>26676</v>
      </c>
      <c r="D21875" s="2" t="s">
        <v>14574</v>
      </c>
      <c r="E21875" s="2" t="str">
        <f>"9781644691281"</f>
        <v>9781644691281</v>
      </c>
      <c r="F21875" s="2" t="str">
        <f>"9781644691304"</f>
        <v>9781644691304</v>
      </c>
    </row>
    <row r="21876" spans="1:6" s="3" customFormat="1" ht="29.1" customHeight="1" x14ac:dyDescent="0.25">
      <c r="A21876" s="2" t="s">
        <v>42797</v>
      </c>
      <c r="B21876" s="2" t="s">
        <v>42798</v>
      </c>
      <c r="C21876" s="2" t="s">
        <v>20</v>
      </c>
      <c r="D21876" s="2" t="s">
        <v>5408</v>
      </c>
      <c r="E21876" s="2" t="str">
        <f>"9783763960057"</f>
        <v>9783763960057</v>
      </c>
      <c r="F21876" s="2" t="str">
        <f>"9783763960064"</f>
        <v>9783763960064</v>
      </c>
    </row>
    <row r="21877" spans="1:6" s="3" customFormat="1" ht="29.1" customHeight="1" x14ac:dyDescent="0.25">
      <c r="A21877" s="2" t="s">
        <v>42799</v>
      </c>
      <c r="B21877" s="2" t="s">
        <v>42800</v>
      </c>
      <c r="C21877" s="2" t="s">
        <v>248</v>
      </c>
      <c r="D21877" s="2" t="s">
        <v>1043</v>
      </c>
      <c r="E21877" s="2" t="str">
        <f>"9783863888190"</f>
        <v>9783863888190</v>
      </c>
      <c r="F21877" s="2" t="str">
        <f>"9783863884536"</f>
        <v>9783863884536</v>
      </c>
    </row>
    <row r="21878" spans="1:6" s="3" customFormat="1" ht="29.1" customHeight="1" x14ac:dyDescent="0.25">
      <c r="A21878" s="2" t="s">
        <v>42801</v>
      </c>
      <c r="B21878" s="2" t="s">
        <v>42802</v>
      </c>
      <c r="C21878" s="2" t="s">
        <v>62</v>
      </c>
      <c r="D21878" s="2" t="s">
        <v>4210</v>
      </c>
      <c r="E21878" s="2" t="str">
        <f>"9783428091058"</f>
        <v>9783428091058</v>
      </c>
      <c r="F21878" s="2" t="str">
        <f>"9783428491056"</f>
        <v>9783428491056</v>
      </c>
    </row>
    <row r="21879" spans="1:6" s="3" customFormat="1" ht="29.1" customHeight="1" x14ac:dyDescent="0.25">
      <c r="A21879" s="2" t="s">
        <v>42803</v>
      </c>
      <c r="B21879" s="2" t="s">
        <v>33205</v>
      </c>
      <c r="C21879" s="2" t="s">
        <v>62</v>
      </c>
      <c r="D21879" s="2" t="s">
        <v>4210</v>
      </c>
      <c r="E21879" s="2" t="str">
        <f>"9783428086153"</f>
        <v>9783428086153</v>
      </c>
      <c r="F21879" s="2" t="str">
        <f>"9783428486151"</f>
        <v>9783428486151</v>
      </c>
    </row>
    <row r="21880" spans="1:6" s="3" customFormat="1" ht="29.1" customHeight="1" x14ac:dyDescent="0.25">
      <c r="A21880" s="2" t="s">
        <v>42804</v>
      </c>
      <c r="B21880" s="2" t="s">
        <v>42806</v>
      </c>
      <c r="C21880" s="2" t="s">
        <v>124</v>
      </c>
      <c r="D21880" s="2" t="s">
        <v>42805</v>
      </c>
      <c r="E21880" s="2" t="str">
        <f>"9781041178118"</f>
        <v>9781041178118</v>
      </c>
      <c r="F21880" s="2" t="str">
        <f>"9781040780190"</f>
        <v>9781040780190</v>
      </c>
    </row>
    <row r="21881" spans="1:6" s="3" customFormat="1" ht="29.1" customHeight="1" x14ac:dyDescent="0.25">
      <c r="A21881" s="2" t="s">
        <v>42807</v>
      </c>
      <c r="B21881" s="2" t="s">
        <v>42808</v>
      </c>
      <c r="C21881" s="2" t="s">
        <v>2129</v>
      </c>
      <c r="D21881" s="2" t="s">
        <v>758</v>
      </c>
      <c r="E21881" s="2" t="str">
        <f>"9781438475639"</f>
        <v>9781438475639</v>
      </c>
      <c r="F21881" s="2" t="str">
        <f>"9781438475653"</f>
        <v>9781438475653</v>
      </c>
    </row>
    <row r="21882" spans="1:6" s="3" customFormat="1" ht="29.1" customHeight="1" x14ac:dyDescent="0.25">
      <c r="A21882" s="2" t="s">
        <v>42809</v>
      </c>
      <c r="B21882" s="2" t="s">
        <v>42810</v>
      </c>
      <c r="C21882" s="2" t="s">
        <v>327</v>
      </c>
      <c r="D21882" s="2" t="s">
        <v>2602</v>
      </c>
      <c r="E21882" s="2" t="str">
        <f>"9788381424752"</f>
        <v>9788381424752</v>
      </c>
      <c r="F21882" s="2" t="str">
        <f>"9788381424769"</f>
        <v>9788381424769</v>
      </c>
    </row>
    <row r="21883" spans="1:6" s="3" customFormat="1" ht="29.1" customHeight="1" x14ac:dyDescent="0.25">
      <c r="A21883" s="2" t="s">
        <v>42811</v>
      </c>
      <c r="B21883" s="2" t="s">
        <v>42812</v>
      </c>
      <c r="C21883" s="2" t="s">
        <v>327</v>
      </c>
      <c r="D21883" s="2" t="s">
        <v>175</v>
      </c>
      <c r="E21883" s="2" t="str">
        <f>"9788381423847"</f>
        <v>9788381423847</v>
      </c>
      <c r="F21883" s="2" t="str">
        <f>"9788381423854"</f>
        <v>9788381423854</v>
      </c>
    </row>
    <row r="21884" spans="1:6" s="3" customFormat="1" ht="29.1" customHeight="1" x14ac:dyDescent="0.25">
      <c r="A21884" s="2" t="s">
        <v>42813</v>
      </c>
      <c r="B21884" s="2" t="s">
        <v>42814</v>
      </c>
      <c r="C21884" s="2" t="s">
        <v>327</v>
      </c>
      <c r="D21884" s="2" t="s">
        <v>2139</v>
      </c>
      <c r="E21884" s="2" t="str">
        <f>"9788381423038"</f>
        <v>9788381423038</v>
      </c>
      <c r="F21884" s="2" t="str">
        <f>"9788381420709"</f>
        <v>9788381420709</v>
      </c>
    </row>
    <row r="21885" spans="1:6" s="3" customFormat="1" ht="29.1" customHeight="1" x14ac:dyDescent="0.25">
      <c r="A21885" s="2" t="s">
        <v>42815</v>
      </c>
      <c r="B21885" s="2" t="s">
        <v>42816</v>
      </c>
      <c r="C21885" s="2" t="s">
        <v>264</v>
      </c>
      <c r="D21885" s="2" t="s">
        <v>12465</v>
      </c>
      <c r="E21885" s="2" t="str">
        <f>"9788793519787"</f>
        <v>9788793519787</v>
      </c>
      <c r="F21885" s="2" t="str">
        <f>"9788793519770"</f>
        <v>9788793519770</v>
      </c>
    </row>
    <row r="21886" spans="1:6" s="3" customFormat="1" ht="29.1" customHeight="1" x14ac:dyDescent="0.25">
      <c r="A21886" s="2" t="s">
        <v>42817</v>
      </c>
      <c r="B21886" s="2" t="s">
        <v>42818</v>
      </c>
      <c r="C21886" s="2" t="s">
        <v>124</v>
      </c>
      <c r="D21886" s="2" t="s">
        <v>33</v>
      </c>
      <c r="E21886" s="2" t="str">
        <f>"9780815384649"</f>
        <v>9780815384649</v>
      </c>
      <c r="F21886" s="2" t="str">
        <f>"9781351203654"</f>
        <v>9781351203654</v>
      </c>
    </row>
    <row r="21887" spans="1:6" s="3" customFormat="1" ht="29.1" customHeight="1" x14ac:dyDescent="0.25">
      <c r="A21887" s="2" t="s">
        <v>42819</v>
      </c>
      <c r="B21887" s="2" t="s">
        <v>42821</v>
      </c>
      <c r="C21887" s="2" t="s">
        <v>248</v>
      </c>
      <c r="D21887" s="2" t="s">
        <v>42820</v>
      </c>
      <c r="E21887" s="2" t="str">
        <f>"9783847422600"</f>
        <v>9783847422600</v>
      </c>
      <c r="F21887" s="2" t="str">
        <f>"9783847415022"</f>
        <v>9783847415022</v>
      </c>
    </row>
    <row r="21888" spans="1:6" s="3" customFormat="1" ht="29.1" customHeight="1" x14ac:dyDescent="0.25">
      <c r="A21888" s="2" t="s">
        <v>42822</v>
      </c>
      <c r="B21888" s="2" t="s">
        <v>42823</v>
      </c>
      <c r="C21888" s="2" t="s">
        <v>124</v>
      </c>
      <c r="D21888" s="2" t="s">
        <v>29820</v>
      </c>
      <c r="E21888" s="2" t="str">
        <f>"9781041175254"</f>
        <v>9781041175254</v>
      </c>
      <c r="F21888" s="2" t="str">
        <f>"9781040798027"</f>
        <v>9781040798027</v>
      </c>
    </row>
    <row r="21889" spans="1:6" s="3" customFormat="1" ht="29.1" customHeight="1" x14ac:dyDescent="0.25">
      <c r="A21889" s="2" t="s">
        <v>42824</v>
      </c>
      <c r="B21889" s="2" t="s">
        <v>42826</v>
      </c>
      <c r="C21889" s="2" t="s">
        <v>605</v>
      </c>
      <c r="D21889" s="2" t="s">
        <v>42825</v>
      </c>
      <c r="E21889" s="2" t="str">
        <f>"9789654066921"</f>
        <v>9789654066921</v>
      </c>
      <c r="F21889" s="2" t="str">
        <f>"9789654066938"</f>
        <v>9789654066938</v>
      </c>
    </row>
    <row r="21890" spans="1:6" s="3" customFormat="1" ht="29.1" customHeight="1" x14ac:dyDescent="0.25">
      <c r="A21890" s="2" t="s">
        <v>42827</v>
      </c>
      <c r="B21890" s="2" t="s">
        <v>42828</v>
      </c>
      <c r="C21890" s="2" t="s">
        <v>605</v>
      </c>
      <c r="D21890" s="2" t="s">
        <v>1419</v>
      </c>
      <c r="E21890" s="2" t="str">
        <f>"9789654066945"</f>
        <v>9789654066945</v>
      </c>
      <c r="F21890" s="2" t="str">
        <f>"9789654066952"</f>
        <v>9789654066952</v>
      </c>
    </row>
    <row r="21891" spans="1:6" s="3" customFormat="1" ht="29.1" customHeight="1" x14ac:dyDescent="0.25">
      <c r="A21891" s="2" t="s">
        <v>42829</v>
      </c>
      <c r="B21891" s="2" t="s">
        <v>42830</v>
      </c>
      <c r="C21891" s="2" t="s">
        <v>195</v>
      </c>
      <c r="D21891" s="2" t="s">
        <v>28990</v>
      </c>
      <c r="E21891" s="2" t="str">
        <f>"9783110111101"</f>
        <v>9783110111101</v>
      </c>
      <c r="F21891" s="2" t="str">
        <f>"9783111640426"</f>
        <v>9783111640426</v>
      </c>
    </row>
    <row r="21892" spans="1:6" s="3" customFormat="1" ht="29.1" customHeight="1" x14ac:dyDescent="0.25">
      <c r="A21892" s="2" t="s">
        <v>42831</v>
      </c>
      <c r="B21892" s="2"/>
      <c r="C21892" s="2" t="s">
        <v>195</v>
      </c>
      <c r="D21892" s="2" t="s">
        <v>33</v>
      </c>
      <c r="E21892" s="2" t="str">
        <f>"9783111079462"</f>
        <v>9783111079462</v>
      </c>
      <c r="F21892" s="2" t="str">
        <f>"9783111446226"</f>
        <v>9783111446226</v>
      </c>
    </row>
    <row r="21893" spans="1:6" s="3" customFormat="1" ht="29.1" customHeight="1" x14ac:dyDescent="0.25">
      <c r="A21893" s="2" t="s">
        <v>42832</v>
      </c>
      <c r="B21893" s="2" t="s">
        <v>42833</v>
      </c>
      <c r="C21893" s="2" t="s">
        <v>195</v>
      </c>
      <c r="D21893" s="2" t="s">
        <v>3564</v>
      </c>
      <c r="E21893" s="2" t="str">
        <f>"9783110112788"</f>
        <v>9783110112788</v>
      </c>
      <c r="F21893" s="2" t="str">
        <f>"9783110848151"</f>
        <v>9783110848151</v>
      </c>
    </row>
    <row r="21894" spans="1:6" s="3" customFormat="1" ht="29.1" customHeight="1" x14ac:dyDescent="0.25">
      <c r="A21894" s="2" t="s">
        <v>42834</v>
      </c>
      <c r="B21894" s="2" t="s">
        <v>42835</v>
      </c>
      <c r="C21894" s="2" t="s">
        <v>195</v>
      </c>
      <c r="D21894" s="2" t="s">
        <v>339</v>
      </c>
      <c r="E21894" s="2" t="str">
        <f>"9783110100617"</f>
        <v>9783110100617</v>
      </c>
      <c r="F21894" s="2" t="str">
        <f>"9783110861518"</f>
        <v>9783110861518</v>
      </c>
    </row>
    <row r="21895" spans="1:6" s="3" customFormat="1" ht="29.1" customHeight="1" x14ac:dyDescent="0.25">
      <c r="A21895" s="2" t="s">
        <v>42836</v>
      </c>
      <c r="B21895" s="2" t="s">
        <v>42837</v>
      </c>
      <c r="C21895" s="2" t="s">
        <v>195</v>
      </c>
      <c r="D21895" s="2" t="s">
        <v>689</v>
      </c>
      <c r="E21895" s="2" t="str">
        <f>"9783110087482"</f>
        <v>9783110087482</v>
      </c>
      <c r="F21895" s="2" t="str">
        <f>"9783110856231"</f>
        <v>9783110856231</v>
      </c>
    </row>
    <row r="21896" spans="1:6" s="3" customFormat="1" ht="29.1" customHeight="1" x14ac:dyDescent="0.25">
      <c r="A21896" s="2" t="s">
        <v>42838</v>
      </c>
      <c r="B21896" s="2" t="s">
        <v>42839</v>
      </c>
      <c r="C21896" s="2" t="s">
        <v>195</v>
      </c>
      <c r="D21896" s="2" t="s">
        <v>81</v>
      </c>
      <c r="E21896" s="2" t="str">
        <f>"9783110128888"</f>
        <v>9783110128888</v>
      </c>
      <c r="F21896" s="2" t="str">
        <f>"9783110894851"</f>
        <v>9783110894851</v>
      </c>
    </row>
    <row r="21897" spans="1:6" s="3" customFormat="1" ht="29.1" customHeight="1" x14ac:dyDescent="0.25">
      <c r="A21897" s="2" t="s">
        <v>42840</v>
      </c>
      <c r="B21897" s="2" t="s">
        <v>42841</v>
      </c>
      <c r="C21897" s="2" t="s">
        <v>195</v>
      </c>
      <c r="D21897" s="2" t="s">
        <v>196</v>
      </c>
      <c r="E21897" s="2" t="str">
        <f>"9783110632705"</f>
        <v>9783110632705</v>
      </c>
      <c r="F21897" s="2" t="str">
        <f>"9783110632873"</f>
        <v>9783110632873</v>
      </c>
    </row>
    <row r="21898" spans="1:6" s="3" customFormat="1" ht="29.1" customHeight="1" x14ac:dyDescent="0.25">
      <c r="A21898" s="2" t="s">
        <v>42842</v>
      </c>
      <c r="B21898" s="2" t="s">
        <v>42843</v>
      </c>
      <c r="C21898" s="2" t="s">
        <v>195</v>
      </c>
      <c r="D21898" s="2" t="s">
        <v>1183</v>
      </c>
      <c r="E21898" s="2" t="str">
        <f>"9783110633429"</f>
        <v>9783110633429</v>
      </c>
      <c r="F21898" s="2" t="str">
        <f>"9783110633498"</f>
        <v>9783110633498</v>
      </c>
    </row>
    <row r="21899" spans="1:6" s="3" customFormat="1" ht="29.1" customHeight="1" x14ac:dyDescent="0.25">
      <c r="A21899" s="2" t="s">
        <v>42844</v>
      </c>
      <c r="B21899" s="2" t="s">
        <v>42845</v>
      </c>
      <c r="C21899" s="2" t="s">
        <v>195</v>
      </c>
      <c r="D21899" s="2" t="s">
        <v>334</v>
      </c>
      <c r="E21899" s="2" t="str">
        <f>"9783111176543"</f>
        <v>9783111176543</v>
      </c>
      <c r="F21899" s="2" t="str">
        <f>"9783111544946"</f>
        <v>9783111544946</v>
      </c>
    </row>
    <row r="21900" spans="1:6" s="3" customFormat="1" ht="29.1" customHeight="1" x14ac:dyDescent="0.25">
      <c r="A21900" s="2" t="s">
        <v>42846</v>
      </c>
      <c r="B21900" s="2" t="s">
        <v>42847</v>
      </c>
      <c r="C21900" s="2" t="s">
        <v>195</v>
      </c>
      <c r="D21900" s="2" t="s">
        <v>81</v>
      </c>
      <c r="E21900" s="2" t="str">
        <f>"9783111211329"</f>
        <v>9783111211329</v>
      </c>
      <c r="F21900" s="2" t="str">
        <f>"9783111584621"</f>
        <v>9783111584621</v>
      </c>
    </row>
    <row r="21901" spans="1:6" s="3" customFormat="1" ht="29.1" customHeight="1" x14ac:dyDescent="0.25">
      <c r="A21901" s="2" t="s">
        <v>42848</v>
      </c>
      <c r="B21901" s="2" t="s">
        <v>42849</v>
      </c>
      <c r="C21901" s="2" t="s">
        <v>195</v>
      </c>
      <c r="D21901" s="2" t="s">
        <v>462</v>
      </c>
      <c r="E21901" s="2" t="str">
        <f>"9783111148045"</f>
        <v>9783111148045</v>
      </c>
      <c r="F21901" s="2" t="str">
        <f>"9783111515878"</f>
        <v>9783111515878</v>
      </c>
    </row>
    <row r="21902" spans="1:6" s="3" customFormat="1" ht="29.1" customHeight="1" x14ac:dyDescent="0.25">
      <c r="A21902" s="2" t="s">
        <v>42850</v>
      </c>
      <c r="B21902" s="2" t="s">
        <v>42851</v>
      </c>
      <c r="C21902" s="2" t="s">
        <v>195</v>
      </c>
      <c r="D21902" s="2" t="s">
        <v>186</v>
      </c>
      <c r="E21902" s="2" t="str">
        <f>"9783111050805"</f>
        <v>9783111050805</v>
      </c>
      <c r="F21902" s="2" t="str">
        <f>"9783111414799"</f>
        <v>9783111414799</v>
      </c>
    </row>
    <row r="21903" spans="1:6" s="3" customFormat="1" ht="29.1" customHeight="1" x14ac:dyDescent="0.25">
      <c r="A21903" s="2" t="s">
        <v>42852</v>
      </c>
      <c r="B21903" s="2" t="s">
        <v>42853</v>
      </c>
      <c r="C21903" s="2" t="s">
        <v>195</v>
      </c>
      <c r="D21903" s="2" t="s">
        <v>210</v>
      </c>
      <c r="E21903" s="2" t="str">
        <f>"9783111134246"</f>
        <v>9783111134246</v>
      </c>
      <c r="F21903" s="2" t="str">
        <f>"9783111500270"</f>
        <v>9783111500270</v>
      </c>
    </row>
    <row r="21904" spans="1:6" s="3" customFormat="1" ht="29.1" customHeight="1" x14ac:dyDescent="0.25">
      <c r="A21904" s="2" t="s">
        <v>42854</v>
      </c>
      <c r="B21904" s="2" t="s">
        <v>42855</v>
      </c>
      <c r="C21904" s="2" t="s">
        <v>195</v>
      </c>
      <c r="D21904" s="2" t="s">
        <v>462</v>
      </c>
      <c r="E21904" s="2" t="str">
        <f>"9783110601596"</f>
        <v>9783110601596</v>
      </c>
      <c r="F21904" s="2" t="str">
        <f>"9783110602357"</f>
        <v>9783110602357</v>
      </c>
    </row>
    <row r="21905" spans="1:6" s="3" customFormat="1" ht="29.1" customHeight="1" x14ac:dyDescent="0.25">
      <c r="A21905" s="2" t="s">
        <v>42856</v>
      </c>
      <c r="B21905" s="2" t="s">
        <v>42857</v>
      </c>
      <c r="C21905" s="2" t="s">
        <v>195</v>
      </c>
      <c r="D21905" s="2" t="s">
        <v>33</v>
      </c>
      <c r="E21905" s="2" t="str">
        <f>"9783111244273"</f>
        <v>9783111244273</v>
      </c>
      <c r="F21905" s="2" t="str">
        <f>"9783111621258"</f>
        <v>9783111621258</v>
      </c>
    </row>
    <row r="21906" spans="1:6" s="3" customFormat="1" ht="29.1" customHeight="1" x14ac:dyDescent="0.25">
      <c r="A21906" s="2" t="s">
        <v>42858</v>
      </c>
      <c r="B21906" s="2" t="s">
        <v>42859</v>
      </c>
      <c r="C21906" s="2" t="s">
        <v>327</v>
      </c>
      <c r="D21906" s="2" t="s">
        <v>10336</v>
      </c>
      <c r="E21906" s="2" t="str">
        <f>"9788375259711"</f>
        <v>9788375259711</v>
      </c>
      <c r="F21906" s="2"/>
    </row>
    <row r="21907" spans="1:6" s="3" customFormat="1" ht="29.1" customHeight="1" x14ac:dyDescent="0.25">
      <c r="A21907" s="2" t="s">
        <v>42860</v>
      </c>
      <c r="B21907" s="2" t="s">
        <v>42861</v>
      </c>
      <c r="C21907" s="2" t="s">
        <v>327</v>
      </c>
      <c r="D21907" s="2" t="s">
        <v>5417</v>
      </c>
      <c r="E21907" s="2" t="str">
        <f>"9788381423915"</f>
        <v>9788381423915</v>
      </c>
      <c r="F21907" s="2" t="str">
        <f>"9788381423922"</f>
        <v>9788381423922</v>
      </c>
    </row>
    <row r="21908" spans="1:6" s="3" customFormat="1" ht="29.1" customHeight="1" x14ac:dyDescent="0.25">
      <c r="A21908" s="2" t="s">
        <v>42862</v>
      </c>
      <c r="B21908" s="2" t="s">
        <v>42861</v>
      </c>
      <c r="C21908" s="2" t="s">
        <v>327</v>
      </c>
      <c r="D21908" s="2" t="s">
        <v>5417</v>
      </c>
      <c r="E21908" s="2" t="str">
        <f>"9788381423892"</f>
        <v>9788381423892</v>
      </c>
      <c r="F21908" s="2" t="str">
        <f>"9788381423908"</f>
        <v>9788381423908</v>
      </c>
    </row>
    <row r="21909" spans="1:6" s="3" customFormat="1" ht="29.1" customHeight="1" x14ac:dyDescent="0.25">
      <c r="A21909" s="2" t="s">
        <v>42863</v>
      </c>
      <c r="B21909" s="2" t="s">
        <v>42864</v>
      </c>
      <c r="C21909" s="2" t="s">
        <v>327</v>
      </c>
      <c r="D21909" s="2" t="s">
        <v>465</v>
      </c>
      <c r="E21909" s="2" t="str">
        <f>"9788381422574"</f>
        <v>9788381422574</v>
      </c>
      <c r="F21909" s="2" t="str">
        <f>"9788381422581"</f>
        <v>9788381422581</v>
      </c>
    </row>
    <row r="21910" spans="1:6" s="3" customFormat="1" ht="29.1" customHeight="1" x14ac:dyDescent="0.25">
      <c r="A21910" s="2" t="s">
        <v>42865</v>
      </c>
      <c r="B21910" s="2" t="s">
        <v>42866</v>
      </c>
      <c r="C21910" s="2" t="s">
        <v>327</v>
      </c>
      <c r="D21910" s="2" t="s">
        <v>4742</v>
      </c>
      <c r="E21910" s="2" t="str">
        <f>"9788381422451"</f>
        <v>9788381422451</v>
      </c>
      <c r="F21910" s="2" t="str">
        <f>"9788381422468"</f>
        <v>9788381422468</v>
      </c>
    </row>
    <row r="21911" spans="1:6" s="3" customFormat="1" ht="29.1" customHeight="1" x14ac:dyDescent="0.25">
      <c r="A21911" s="2" t="s">
        <v>42867</v>
      </c>
      <c r="B21911" s="2" t="s">
        <v>42869</v>
      </c>
      <c r="C21911" s="2" t="s">
        <v>327</v>
      </c>
      <c r="D21911" s="2" t="s">
        <v>42868</v>
      </c>
      <c r="E21911" s="2" t="str">
        <f>"9788375258950"</f>
        <v>9788375258950</v>
      </c>
      <c r="F21911" s="2" t="str">
        <f>"9788379692538"</f>
        <v>9788379692538</v>
      </c>
    </row>
    <row r="21912" spans="1:6" s="3" customFormat="1" ht="29.1" customHeight="1" x14ac:dyDescent="0.25">
      <c r="A21912" s="2" t="s">
        <v>42870</v>
      </c>
      <c r="B21912" s="2" t="s">
        <v>42871</v>
      </c>
      <c r="C21912" s="2" t="s">
        <v>124</v>
      </c>
      <c r="D21912" s="2" t="s">
        <v>183</v>
      </c>
      <c r="E21912" s="2" t="str">
        <f>"9780367275068"</f>
        <v>9780367275068</v>
      </c>
      <c r="F21912" s="2" t="str">
        <f>"9781000650112"</f>
        <v>9781000650112</v>
      </c>
    </row>
    <row r="21913" spans="1:6" s="3" customFormat="1" ht="29.1" customHeight="1" x14ac:dyDescent="0.25">
      <c r="A21913" s="2" t="s">
        <v>42872</v>
      </c>
      <c r="B21913" s="2" t="s">
        <v>42873</v>
      </c>
      <c r="C21913" s="2" t="s">
        <v>556</v>
      </c>
      <c r="D21913" s="2" t="s">
        <v>490</v>
      </c>
      <c r="E21913" s="2" t="str">
        <f>"9783837647389"</f>
        <v>9783837647389</v>
      </c>
      <c r="F21913" s="2" t="str">
        <f>"9783839447383"</f>
        <v>9783839447383</v>
      </c>
    </row>
    <row r="21914" spans="1:6" s="3" customFormat="1" ht="29.1" customHeight="1" x14ac:dyDescent="0.25">
      <c r="A21914" s="2" t="s">
        <v>42874</v>
      </c>
      <c r="B21914" s="2" t="s">
        <v>42875</v>
      </c>
      <c r="C21914" s="2" t="s">
        <v>556</v>
      </c>
      <c r="D21914" s="2" t="s">
        <v>712</v>
      </c>
      <c r="E21914" s="2" t="str">
        <f>"9783837647303"</f>
        <v>9783837647303</v>
      </c>
      <c r="F21914" s="2" t="str">
        <f>"9783839447307"</f>
        <v>9783839447307</v>
      </c>
    </row>
    <row r="21915" spans="1:6" s="3" customFormat="1" ht="29.1" customHeight="1" x14ac:dyDescent="0.25">
      <c r="A21915" s="2" t="s">
        <v>42876</v>
      </c>
      <c r="B21915" s="2" t="s">
        <v>42877</v>
      </c>
      <c r="C21915" s="2" t="s">
        <v>124</v>
      </c>
      <c r="D21915" s="2" t="s">
        <v>1189</v>
      </c>
      <c r="E21915" s="2" t="str">
        <f>"9781138856943"</f>
        <v>9781138856943</v>
      </c>
      <c r="F21915" s="2" t="str">
        <f>"9781317514749"</f>
        <v>9781317514749</v>
      </c>
    </row>
    <row r="21916" spans="1:6" s="3" customFormat="1" ht="29.1" customHeight="1" x14ac:dyDescent="0.25">
      <c r="A21916" s="2" t="s">
        <v>42878</v>
      </c>
      <c r="B21916" s="2" t="s">
        <v>42879</v>
      </c>
      <c r="C21916" s="2" t="s">
        <v>124</v>
      </c>
      <c r="D21916" s="2" t="s">
        <v>12063</v>
      </c>
      <c r="E21916" s="2" t="str">
        <f>"9781138608979"</f>
        <v>9781138608979</v>
      </c>
      <c r="F21916" s="2" t="str">
        <f>"9780429881558"</f>
        <v>9780429881558</v>
      </c>
    </row>
    <row r="21917" spans="1:6" s="3" customFormat="1" ht="29.1" customHeight="1" x14ac:dyDescent="0.25">
      <c r="A21917" s="2" t="s">
        <v>42880</v>
      </c>
      <c r="B21917" s="2" t="s">
        <v>42881</v>
      </c>
      <c r="C21917" s="2" t="s">
        <v>8104</v>
      </c>
      <c r="D21917" s="2" t="s">
        <v>7000</v>
      </c>
      <c r="E21917" s="2" t="str">
        <f>"9781789206579"</f>
        <v>9781789206579</v>
      </c>
      <c r="F21917" s="2" t="str">
        <f>"9781789206586"</f>
        <v>9781789206586</v>
      </c>
    </row>
    <row r="21918" spans="1:6" s="3" customFormat="1" ht="29.1" customHeight="1" x14ac:dyDescent="0.25">
      <c r="A21918" s="2" t="s">
        <v>42882</v>
      </c>
      <c r="B21918" s="2" t="s">
        <v>42883</v>
      </c>
      <c r="C21918" s="2" t="s">
        <v>595</v>
      </c>
      <c r="D21918" s="2" t="s">
        <v>3105</v>
      </c>
      <c r="E21918" s="2" t="str">
        <f>"9783631793176"</f>
        <v>9783631793176</v>
      </c>
      <c r="F21918" s="2" t="str">
        <f>"9783631793305"</f>
        <v>9783631793305</v>
      </c>
    </row>
    <row r="21919" spans="1:6" s="3" customFormat="1" ht="29.1" customHeight="1" x14ac:dyDescent="0.25">
      <c r="A21919" s="2" t="s">
        <v>42884</v>
      </c>
      <c r="B21919" s="2" t="s">
        <v>42885</v>
      </c>
      <c r="C21919" s="2" t="s">
        <v>36</v>
      </c>
      <c r="D21919" s="2" t="s">
        <v>15</v>
      </c>
      <c r="E21919" s="2" t="str">
        <f>"9781447349303"</f>
        <v>9781447349303</v>
      </c>
      <c r="F21919" s="2" t="str">
        <f>"9781447349310"</f>
        <v>9781447349310</v>
      </c>
    </row>
    <row r="21920" spans="1:6" s="3" customFormat="1" ht="29.1" customHeight="1" x14ac:dyDescent="0.25">
      <c r="A21920" s="2" t="s">
        <v>42886</v>
      </c>
      <c r="B21920" s="2" t="s">
        <v>42887</v>
      </c>
      <c r="C21920" s="2" t="s">
        <v>20</v>
      </c>
      <c r="D21920" s="2" t="s">
        <v>5686</v>
      </c>
      <c r="E21920" s="2" t="str">
        <f>"9783763954650"</f>
        <v>9783763954650</v>
      </c>
      <c r="F21920" s="2" t="str">
        <f>"9783763954667"</f>
        <v>9783763954667</v>
      </c>
    </row>
    <row r="21921" spans="1:6" s="3" customFormat="1" ht="29.1" customHeight="1" x14ac:dyDescent="0.25">
      <c r="A21921" s="2" t="s">
        <v>42888</v>
      </c>
      <c r="B21921" s="2" t="s">
        <v>42889</v>
      </c>
      <c r="C21921" s="2" t="s">
        <v>124</v>
      </c>
      <c r="D21921" s="2" t="s">
        <v>1752</v>
      </c>
      <c r="E21921" s="2" t="str">
        <f>"9780367181871"</f>
        <v>9780367181871</v>
      </c>
      <c r="F21921" s="2" t="str">
        <f>"9780429582271"</f>
        <v>9780429582271</v>
      </c>
    </row>
    <row r="21922" spans="1:6" s="3" customFormat="1" ht="29.1" customHeight="1" x14ac:dyDescent="0.25">
      <c r="A21922" s="2" t="s">
        <v>42890</v>
      </c>
      <c r="B21922" s="2" t="s">
        <v>42891</v>
      </c>
      <c r="C21922" s="2" t="s">
        <v>124</v>
      </c>
      <c r="D21922" s="2" t="s">
        <v>1127</v>
      </c>
      <c r="E21922" s="2" t="str">
        <f>"9781032085234"</f>
        <v>9781032085234</v>
      </c>
      <c r="F21922" s="2" t="str">
        <f>"9780429450174"</f>
        <v>9780429450174</v>
      </c>
    </row>
    <row r="21923" spans="1:6" s="3" customFormat="1" ht="29.1" customHeight="1" x14ac:dyDescent="0.25">
      <c r="A21923" s="2" t="s">
        <v>42892</v>
      </c>
      <c r="B21923" s="2" t="s">
        <v>42893</v>
      </c>
      <c r="C21923" s="2" t="s">
        <v>124</v>
      </c>
      <c r="D21923" s="2" t="s">
        <v>2178</v>
      </c>
      <c r="E21923" s="2" t="str">
        <f>"9780367262259"</f>
        <v>9780367262259</v>
      </c>
      <c r="F21923" s="2" t="str">
        <f>"9781000617443"</f>
        <v>9781000617443</v>
      </c>
    </row>
    <row r="21924" spans="1:6" s="3" customFormat="1" ht="29.1" customHeight="1" x14ac:dyDescent="0.25">
      <c r="A21924" s="2" t="s">
        <v>42894</v>
      </c>
      <c r="B21924" s="2" t="s">
        <v>42895</v>
      </c>
      <c r="C21924" s="2" t="s">
        <v>195</v>
      </c>
      <c r="D21924" s="2" t="s">
        <v>462</v>
      </c>
      <c r="E21924" s="2" t="str">
        <f>"9783110643275"</f>
        <v>9783110643275</v>
      </c>
      <c r="F21924" s="2" t="str">
        <f>"9783110644326"</f>
        <v>9783110644326</v>
      </c>
    </row>
    <row r="21925" spans="1:6" s="3" customFormat="1" ht="29.1" customHeight="1" x14ac:dyDescent="0.25">
      <c r="A21925" s="2" t="s">
        <v>42896</v>
      </c>
      <c r="B21925" s="2" t="s">
        <v>42897</v>
      </c>
      <c r="C21925" s="2" t="s">
        <v>885</v>
      </c>
      <c r="D21925" s="2" t="s">
        <v>324</v>
      </c>
      <c r="E21925" s="2" t="str">
        <f>"9781487505462"</f>
        <v>9781487505462</v>
      </c>
      <c r="F21925" s="2" t="str">
        <f>"9781487532147"</f>
        <v>9781487532147</v>
      </c>
    </row>
    <row r="21926" spans="1:6" s="3" customFormat="1" ht="29.1" customHeight="1" x14ac:dyDescent="0.25">
      <c r="A21926" s="2" t="s">
        <v>42898</v>
      </c>
      <c r="B21926" s="2" t="s">
        <v>42899</v>
      </c>
      <c r="C21926" s="2" t="s">
        <v>149</v>
      </c>
      <c r="D21926" s="2" t="s">
        <v>1245</v>
      </c>
      <c r="E21926" s="2" t="str">
        <f>"9781783747047"</f>
        <v>9781783747047</v>
      </c>
      <c r="F21926" s="2" t="str">
        <f>"9781783747061"</f>
        <v>9781783747061</v>
      </c>
    </row>
    <row r="21927" spans="1:6" s="3" customFormat="1" ht="29.1" customHeight="1" x14ac:dyDescent="0.25">
      <c r="A21927" s="2" t="s">
        <v>42900</v>
      </c>
      <c r="B21927" s="2" t="s">
        <v>42901</v>
      </c>
      <c r="C21927" s="2" t="s">
        <v>8104</v>
      </c>
      <c r="D21927" s="2" t="s">
        <v>436</v>
      </c>
      <c r="E21927" s="2" t="str">
        <f>"9781789200058"</f>
        <v>9781789200058</v>
      </c>
      <c r="F21927" s="2" t="str">
        <f>"9781789200119"</f>
        <v>9781789200119</v>
      </c>
    </row>
    <row r="21928" spans="1:6" s="3" customFormat="1" ht="29.1" customHeight="1" x14ac:dyDescent="0.25">
      <c r="A21928" s="2" t="s">
        <v>42902</v>
      </c>
      <c r="B21928" s="2" t="s">
        <v>42903</v>
      </c>
      <c r="C21928" s="2" t="s">
        <v>8104</v>
      </c>
      <c r="D21928" s="2" t="s">
        <v>436</v>
      </c>
      <c r="E21928" s="2" t="str">
        <f>"9781785334559"</f>
        <v>9781785334559</v>
      </c>
      <c r="F21928" s="2" t="str">
        <f>"9781785334566"</f>
        <v>9781785334566</v>
      </c>
    </row>
    <row r="21929" spans="1:6" s="3" customFormat="1" ht="29.1" customHeight="1" x14ac:dyDescent="0.25">
      <c r="A21929" s="2" t="s">
        <v>42904</v>
      </c>
      <c r="B21929" s="2" t="s">
        <v>42905</v>
      </c>
      <c r="C21929" s="2" t="s">
        <v>8104</v>
      </c>
      <c r="D21929" s="2" t="s">
        <v>15682</v>
      </c>
      <c r="E21929" s="2" t="str">
        <f>"9781789200300"</f>
        <v>9781789200300</v>
      </c>
      <c r="F21929" s="2" t="str">
        <f>"9781789201123"</f>
        <v>9781789201123</v>
      </c>
    </row>
    <row r="21930" spans="1:6" s="3" customFormat="1" ht="29.1" customHeight="1" x14ac:dyDescent="0.25">
      <c r="A21930" s="2" t="s">
        <v>42906</v>
      </c>
      <c r="B21930" s="2" t="s">
        <v>42907</v>
      </c>
      <c r="C21930" s="2" t="s">
        <v>59</v>
      </c>
      <c r="D21930" s="2" t="s">
        <v>479</v>
      </c>
      <c r="E21930" s="2"/>
      <c r="F21930" s="2" t="str">
        <f>"9782759227068"</f>
        <v>9782759227068</v>
      </c>
    </row>
    <row r="21931" spans="1:6" s="3" customFormat="1" ht="29.1" customHeight="1" x14ac:dyDescent="0.25">
      <c r="A21931" s="2" t="s">
        <v>42908</v>
      </c>
      <c r="B21931" s="2" t="s">
        <v>42909</v>
      </c>
      <c r="C21931" s="2" t="s">
        <v>4788</v>
      </c>
      <c r="D21931" s="2" t="s">
        <v>17411</v>
      </c>
      <c r="E21931" s="2" t="str">
        <f>"9781474438995"</f>
        <v>9781474438995</v>
      </c>
      <c r="F21931" s="2" t="str">
        <f>"9781474439015"</f>
        <v>9781474439015</v>
      </c>
    </row>
    <row r="21932" spans="1:6" s="3" customFormat="1" ht="29.1" customHeight="1" x14ac:dyDescent="0.25">
      <c r="A21932" s="2" t="s">
        <v>42910</v>
      </c>
      <c r="B21932" s="2"/>
      <c r="C21932" s="2" t="s">
        <v>59</v>
      </c>
      <c r="D21932" s="2" t="s">
        <v>479</v>
      </c>
      <c r="E21932" s="2" t="str">
        <f>"9782759218585"</f>
        <v>9782759218585</v>
      </c>
      <c r="F21932" s="2" t="str">
        <f>"9782759219445"</f>
        <v>9782759219445</v>
      </c>
    </row>
    <row r="21933" spans="1:6" s="3" customFormat="1" ht="29.1" customHeight="1" x14ac:dyDescent="0.25">
      <c r="A21933" s="2" t="s">
        <v>42911</v>
      </c>
      <c r="B21933" s="2" t="s">
        <v>42912</v>
      </c>
      <c r="C21933" s="2" t="s">
        <v>59</v>
      </c>
      <c r="D21933" s="2" t="s">
        <v>479</v>
      </c>
      <c r="E21933" s="2"/>
      <c r="F21933" s="2" t="str">
        <f>"9782759209866"</f>
        <v>9782759209866</v>
      </c>
    </row>
    <row r="21934" spans="1:6" s="3" customFormat="1" ht="29.1" customHeight="1" x14ac:dyDescent="0.25">
      <c r="A21934" s="2" t="s">
        <v>42913</v>
      </c>
      <c r="B21934" s="2"/>
      <c r="C21934" s="2" t="s">
        <v>59</v>
      </c>
      <c r="D21934" s="2" t="s">
        <v>297</v>
      </c>
      <c r="E21934" s="2" t="str">
        <f>"9782738011169"</f>
        <v>9782738011169</v>
      </c>
      <c r="F21934" s="2" t="str">
        <f>"9782759215218"</f>
        <v>9782759215218</v>
      </c>
    </row>
    <row r="21935" spans="1:6" s="3" customFormat="1" ht="29.1" customHeight="1" x14ac:dyDescent="0.25">
      <c r="A21935" s="2" t="s">
        <v>42914</v>
      </c>
      <c r="B21935" s="2"/>
      <c r="C21935" s="2" t="s">
        <v>59</v>
      </c>
      <c r="D21935" s="2" t="s">
        <v>479</v>
      </c>
      <c r="E21935" s="2"/>
      <c r="F21935" s="2" t="str">
        <f>"9782759222674"</f>
        <v>9782759222674</v>
      </c>
    </row>
    <row r="21936" spans="1:6" s="3" customFormat="1" ht="29.1" customHeight="1" x14ac:dyDescent="0.25">
      <c r="A21936" s="2" t="s">
        <v>42915</v>
      </c>
      <c r="B21936" s="2"/>
      <c r="C21936" s="2" t="s">
        <v>59</v>
      </c>
      <c r="D21936" s="2" t="s">
        <v>2702</v>
      </c>
      <c r="E21936" s="2" t="str">
        <f>"9782759219681"</f>
        <v>9782759219681</v>
      </c>
      <c r="F21936" s="2" t="str">
        <f>"9782759219698"</f>
        <v>9782759219698</v>
      </c>
    </row>
    <row r="21937" spans="1:6" s="3" customFormat="1" ht="29.1" customHeight="1" x14ac:dyDescent="0.25">
      <c r="A21937" s="2" t="s">
        <v>42916</v>
      </c>
      <c r="B21937" s="2" t="s">
        <v>42917</v>
      </c>
      <c r="C21937" s="2" t="s">
        <v>59</v>
      </c>
      <c r="D21937" s="2" t="s">
        <v>297</v>
      </c>
      <c r="E21937" s="2" t="str">
        <f>"9782759216840"</f>
        <v>9782759216840</v>
      </c>
      <c r="F21937" s="2" t="str">
        <f>"9782759216857"</f>
        <v>9782759216857</v>
      </c>
    </row>
    <row r="21938" spans="1:6" s="3" customFormat="1" ht="29.1" customHeight="1" x14ac:dyDescent="0.25">
      <c r="A21938" s="2" t="s">
        <v>42918</v>
      </c>
      <c r="B21938" s="2" t="s">
        <v>42919</v>
      </c>
      <c r="C21938" s="2" t="s">
        <v>59</v>
      </c>
      <c r="D21938" s="2" t="s">
        <v>297</v>
      </c>
      <c r="E21938" s="2"/>
      <c r="F21938" s="2" t="str">
        <f>"9782759210312"</f>
        <v>9782759210312</v>
      </c>
    </row>
    <row r="21939" spans="1:6" s="3" customFormat="1" ht="29.1" customHeight="1" x14ac:dyDescent="0.25">
      <c r="A21939" s="2" t="s">
        <v>42920</v>
      </c>
      <c r="B21939" s="2" t="s">
        <v>42921</v>
      </c>
      <c r="C21939" s="2" t="s">
        <v>59</v>
      </c>
      <c r="D21939" s="2" t="s">
        <v>2086</v>
      </c>
      <c r="E21939" s="2"/>
      <c r="F21939" s="2" t="str">
        <f>"9782759201846"</f>
        <v>9782759201846</v>
      </c>
    </row>
    <row r="21940" spans="1:6" s="3" customFormat="1" ht="29.1" customHeight="1" x14ac:dyDescent="0.25">
      <c r="A21940" s="2" t="s">
        <v>42922</v>
      </c>
      <c r="B21940" s="2" t="s">
        <v>42923</v>
      </c>
      <c r="C21940" s="2" t="s">
        <v>59</v>
      </c>
      <c r="D21940" s="2" t="s">
        <v>1806</v>
      </c>
      <c r="E21940" s="2"/>
      <c r="F21940" s="2" t="str">
        <f>"9782759207589"</f>
        <v>9782759207589</v>
      </c>
    </row>
    <row r="21941" spans="1:6" s="3" customFormat="1" ht="29.1" customHeight="1" x14ac:dyDescent="0.25">
      <c r="A21941" s="2" t="s">
        <v>42924</v>
      </c>
      <c r="B21941" s="2" t="s">
        <v>42925</v>
      </c>
      <c r="C21941" s="2" t="s">
        <v>59</v>
      </c>
      <c r="D21941" s="2" t="s">
        <v>1806</v>
      </c>
      <c r="E21941" s="2"/>
      <c r="F21941" s="2" t="str">
        <f>"9782759207763"</f>
        <v>9782759207763</v>
      </c>
    </row>
    <row r="21942" spans="1:6" s="3" customFormat="1" ht="29.1" customHeight="1" x14ac:dyDescent="0.25">
      <c r="A21942" s="2" t="s">
        <v>42926</v>
      </c>
      <c r="B21942" s="2" t="s">
        <v>42923</v>
      </c>
      <c r="C21942" s="2" t="s">
        <v>59</v>
      </c>
      <c r="D21942" s="2" t="s">
        <v>1806</v>
      </c>
      <c r="E21942" s="2"/>
      <c r="F21942" s="2" t="str">
        <f>"9782759207862"</f>
        <v>9782759207862</v>
      </c>
    </row>
    <row r="21943" spans="1:6" s="3" customFormat="1" ht="29.1" customHeight="1" x14ac:dyDescent="0.25">
      <c r="A21943" s="2" t="s">
        <v>42927</v>
      </c>
      <c r="B21943" s="2" t="s">
        <v>42925</v>
      </c>
      <c r="C21943" s="2" t="s">
        <v>59</v>
      </c>
      <c r="D21943" s="2" t="s">
        <v>1806</v>
      </c>
      <c r="E21943" s="2"/>
      <c r="F21943" s="2" t="str">
        <f>"9782759206490"</f>
        <v>9782759206490</v>
      </c>
    </row>
    <row r="21944" spans="1:6" s="3" customFormat="1" ht="29.1" customHeight="1" x14ac:dyDescent="0.25">
      <c r="A21944" s="2" t="s">
        <v>42928</v>
      </c>
      <c r="B21944" s="2" t="s">
        <v>42929</v>
      </c>
      <c r="C21944" s="2" t="s">
        <v>59</v>
      </c>
      <c r="D21944" s="2" t="s">
        <v>297</v>
      </c>
      <c r="E21944" s="2" t="str">
        <f>"9782759205103"</f>
        <v>9782759205103</v>
      </c>
      <c r="F21944" s="2" t="str">
        <f>"9782759205110"</f>
        <v>9782759205110</v>
      </c>
    </row>
    <row r="21945" spans="1:6" s="3" customFormat="1" ht="29.1" customHeight="1" x14ac:dyDescent="0.25">
      <c r="A21945" s="2" t="s">
        <v>17757</v>
      </c>
      <c r="B21945" s="2" t="s">
        <v>17758</v>
      </c>
      <c r="C21945" s="2" t="s">
        <v>59</v>
      </c>
      <c r="D21945" s="2" t="s">
        <v>1806</v>
      </c>
      <c r="E21945" s="2"/>
      <c r="F21945" s="2" t="str">
        <f>"9782759208371"</f>
        <v>9782759208371</v>
      </c>
    </row>
    <row r="21946" spans="1:6" s="3" customFormat="1" ht="29.1" customHeight="1" x14ac:dyDescent="0.25">
      <c r="A21946" s="2" t="s">
        <v>42930</v>
      </c>
      <c r="B21946" s="2" t="s">
        <v>42931</v>
      </c>
      <c r="C21946" s="2" t="s">
        <v>59</v>
      </c>
      <c r="D21946" s="2" t="s">
        <v>1806</v>
      </c>
      <c r="E21946" s="2"/>
      <c r="F21946" s="2" t="str">
        <f>"9782759208210"</f>
        <v>9782759208210</v>
      </c>
    </row>
    <row r="21947" spans="1:6" s="3" customFormat="1" ht="29.1" customHeight="1" x14ac:dyDescent="0.25">
      <c r="A21947" s="2" t="s">
        <v>42932</v>
      </c>
      <c r="B21947" s="2"/>
      <c r="C21947" s="2" t="s">
        <v>59</v>
      </c>
      <c r="D21947" s="2" t="s">
        <v>1806</v>
      </c>
      <c r="E21947" s="2"/>
      <c r="F21947" s="2" t="str">
        <f>"9782759207749"</f>
        <v>9782759207749</v>
      </c>
    </row>
    <row r="21948" spans="1:6" s="3" customFormat="1" ht="29.1" customHeight="1" x14ac:dyDescent="0.25">
      <c r="A21948" s="2" t="s">
        <v>42933</v>
      </c>
      <c r="B21948" s="2"/>
      <c r="C21948" s="2" t="s">
        <v>59</v>
      </c>
      <c r="D21948" s="2" t="s">
        <v>1806</v>
      </c>
      <c r="E21948" s="2"/>
      <c r="F21948" s="2" t="str">
        <f>"9782759212118"</f>
        <v>9782759212118</v>
      </c>
    </row>
    <row r="21949" spans="1:6" s="3" customFormat="1" ht="29.1" customHeight="1" x14ac:dyDescent="0.25">
      <c r="A21949" s="2" t="s">
        <v>42934</v>
      </c>
      <c r="B21949" s="2" t="s">
        <v>42935</v>
      </c>
      <c r="C21949" s="2" t="s">
        <v>195</v>
      </c>
      <c r="D21949" s="2" t="s">
        <v>196</v>
      </c>
      <c r="E21949" s="2" t="str">
        <f>"9783110638837"</f>
        <v>9783110638837</v>
      </c>
      <c r="F21949" s="2" t="str">
        <f>"9783110639414"</f>
        <v>9783110639414</v>
      </c>
    </row>
    <row r="21950" spans="1:6" s="3" customFormat="1" ht="29.1" customHeight="1" x14ac:dyDescent="0.25">
      <c r="A21950" s="2" t="s">
        <v>42936</v>
      </c>
      <c r="B21950" s="2" t="s">
        <v>42937</v>
      </c>
      <c r="C21950" s="2" t="s">
        <v>131</v>
      </c>
      <c r="D21950" s="2" t="s">
        <v>1248</v>
      </c>
      <c r="E21950" s="2" t="str">
        <f>"9789027203489"</f>
        <v>9789027203489</v>
      </c>
      <c r="F21950" s="2" t="str">
        <f>"9789027262257"</f>
        <v>9789027262257</v>
      </c>
    </row>
    <row r="21951" spans="1:6" s="3" customFormat="1" ht="29.1" customHeight="1" x14ac:dyDescent="0.25">
      <c r="A21951" s="2" t="s">
        <v>42938</v>
      </c>
      <c r="B21951" s="2" t="s">
        <v>42939</v>
      </c>
      <c r="C21951" s="2" t="s">
        <v>248</v>
      </c>
      <c r="D21951" s="2" t="s">
        <v>855</v>
      </c>
      <c r="E21951" s="2" t="str">
        <f>"9783847421870"</f>
        <v>9783847421870</v>
      </c>
      <c r="F21951" s="2" t="str">
        <f>"9783847412137"</f>
        <v>9783847412137</v>
      </c>
    </row>
    <row r="21952" spans="1:6" s="3" customFormat="1" ht="29.1" customHeight="1" x14ac:dyDescent="0.25">
      <c r="A21952" s="2" t="s">
        <v>42940</v>
      </c>
      <c r="B21952" s="2" t="s">
        <v>42941</v>
      </c>
      <c r="C21952" s="2" t="s">
        <v>1953</v>
      </c>
      <c r="D21952" s="2" t="s">
        <v>2542</v>
      </c>
      <c r="E21952" s="2"/>
      <c r="F21952" s="2" t="str">
        <f>"9781536161595"</f>
        <v>9781536161595</v>
      </c>
    </row>
    <row r="21953" spans="1:6" s="3" customFormat="1" ht="29.1" customHeight="1" x14ac:dyDescent="0.25">
      <c r="A21953" s="2" t="s">
        <v>42942</v>
      </c>
      <c r="B21953" s="2" t="s">
        <v>42943</v>
      </c>
      <c r="C21953" s="2" t="s">
        <v>149</v>
      </c>
      <c r="D21953" s="2" t="s">
        <v>509</v>
      </c>
      <c r="E21953" s="2" t="str">
        <f>"9781783740222"</f>
        <v>9781783740222</v>
      </c>
      <c r="F21953" s="2" t="str">
        <f>"9781783740246"</f>
        <v>9781783740246</v>
      </c>
    </row>
    <row r="21954" spans="1:6" s="3" customFormat="1" ht="29.1" customHeight="1" x14ac:dyDescent="0.25">
      <c r="A21954" s="2" t="s">
        <v>42944</v>
      </c>
      <c r="B21954" s="2" t="s">
        <v>42945</v>
      </c>
      <c r="C21954" s="2" t="s">
        <v>8104</v>
      </c>
      <c r="D21954" s="2" t="s">
        <v>1466</v>
      </c>
      <c r="E21954" s="2" t="str">
        <f>"9781800737327"</f>
        <v>9781800737327</v>
      </c>
      <c r="F21954" s="2" t="str">
        <f>"9781789206609"</f>
        <v>9781789206609</v>
      </c>
    </row>
    <row r="21955" spans="1:6" s="3" customFormat="1" ht="29.1" customHeight="1" x14ac:dyDescent="0.25">
      <c r="A21955" s="2" t="s">
        <v>42946</v>
      </c>
      <c r="B21955" s="2" t="s">
        <v>42947</v>
      </c>
      <c r="C21955" s="2" t="s">
        <v>248</v>
      </c>
      <c r="D21955" s="2" t="s">
        <v>249</v>
      </c>
      <c r="E21955" s="2" t="str">
        <f>"9783847421719"</f>
        <v>9783847421719</v>
      </c>
      <c r="F21955" s="2" t="str">
        <f>"9783847411956"</f>
        <v>9783847411956</v>
      </c>
    </row>
    <row r="21956" spans="1:6" s="3" customFormat="1" ht="29.1" customHeight="1" x14ac:dyDescent="0.25">
      <c r="A21956" s="2" t="s">
        <v>42948</v>
      </c>
      <c r="B21956" s="2" t="s">
        <v>42949</v>
      </c>
      <c r="C21956" s="2" t="s">
        <v>8104</v>
      </c>
      <c r="D21956" s="2" t="s">
        <v>636</v>
      </c>
      <c r="E21956" s="2" t="str">
        <f>"9781789202281"</f>
        <v>9781789202281</v>
      </c>
      <c r="F21956" s="2" t="str">
        <f>"9781789202298"</f>
        <v>9781789202298</v>
      </c>
    </row>
    <row r="21957" spans="1:6" s="3" customFormat="1" ht="29.1" customHeight="1" x14ac:dyDescent="0.25">
      <c r="A21957" s="2" t="s">
        <v>42950</v>
      </c>
      <c r="B21957" s="2" t="s">
        <v>42951</v>
      </c>
      <c r="C21957" s="2" t="s">
        <v>248</v>
      </c>
      <c r="D21957" s="2" t="s">
        <v>636</v>
      </c>
      <c r="E21957" s="2" t="str">
        <f>"9783847421337"</f>
        <v>9783847421337</v>
      </c>
      <c r="F21957" s="2" t="str">
        <f>"9783847411246"</f>
        <v>9783847411246</v>
      </c>
    </row>
    <row r="21958" spans="1:6" s="3" customFormat="1" ht="29.1" customHeight="1" x14ac:dyDescent="0.25">
      <c r="A21958" s="2" t="s">
        <v>42952</v>
      </c>
      <c r="B21958" s="2" t="s">
        <v>42953</v>
      </c>
      <c r="C21958" s="2" t="s">
        <v>195</v>
      </c>
      <c r="D21958" s="2" t="s">
        <v>52</v>
      </c>
      <c r="E21958" s="2" t="str">
        <f>"9783110625486"</f>
        <v>9783110625486</v>
      </c>
      <c r="F21958" s="2" t="str">
        <f>"9783110625783"</f>
        <v>9783110625783</v>
      </c>
    </row>
    <row r="21959" spans="1:6" s="3" customFormat="1" ht="29.1" customHeight="1" x14ac:dyDescent="0.25">
      <c r="A21959" s="2" t="s">
        <v>42954</v>
      </c>
      <c r="B21959" s="2" t="s">
        <v>42955</v>
      </c>
      <c r="C21959" s="2" t="s">
        <v>248</v>
      </c>
      <c r="D21959" s="2" t="s">
        <v>270</v>
      </c>
      <c r="E21959" s="2" t="str">
        <f>"9783847423324"</f>
        <v>9783847423324</v>
      </c>
      <c r="F21959" s="2" t="str">
        <f>"9783847414889"</f>
        <v>9783847414889</v>
      </c>
    </row>
    <row r="21960" spans="1:6" s="3" customFormat="1" ht="29.1" customHeight="1" x14ac:dyDescent="0.25">
      <c r="A21960" s="2" t="s">
        <v>42956</v>
      </c>
      <c r="B21960" s="2" t="s">
        <v>42957</v>
      </c>
      <c r="C21960" s="2" t="s">
        <v>8104</v>
      </c>
      <c r="D21960" s="2" t="s">
        <v>1411</v>
      </c>
      <c r="E21960" s="2" t="str">
        <f>"9781789205558"</f>
        <v>9781789205558</v>
      </c>
      <c r="F21960" s="2" t="str">
        <f>"9781789205565"</f>
        <v>9781789205565</v>
      </c>
    </row>
    <row r="21961" spans="1:6" s="3" customFormat="1" ht="29.1" customHeight="1" x14ac:dyDescent="0.25">
      <c r="A21961" s="2" t="s">
        <v>42958</v>
      </c>
      <c r="B21961" s="2" t="s">
        <v>42959</v>
      </c>
      <c r="C21961" s="2" t="s">
        <v>36</v>
      </c>
      <c r="D21961" s="2" t="s">
        <v>855</v>
      </c>
      <c r="E21961" s="2" t="str">
        <f>"9781529201512"</f>
        <v>9781529201512</v>
      </c>
      <c r="F21961" s="2" t="str">
        <f>"9781529201529"</f>
        <v>9781529201529</v>
      </c>
    </row>
    <row r="21962" spans="1:6" s="3" customFormat="1" ht="29.1" customHeight="1" x14ac:dyDescent="0.25">
      <c r="A21962" s="2" t="s">
        <v>42960</v>
      </c>
      <c r="B21962" s="2" t="s">
        <v>42961</v>
      </c>
      <c r="C21962" s="2" t="s">
        <v>3513</v>
      </c>
      <c r="D21962" s="2" t="s">
        <v>4670</v>
      </c>
      <c r="E21962" s="2" t="str">
        <f>"9788366199033"</f>
        <v>9788366199033</v>
      </c>
      <c r="F21962" s="2" t="str">
        <f>"9788366199378"</f>
        <v>9788366199378</v>
      </c>
    </row>
    <row r="21963" spans="1:6" s="3" customFormat="1" ht="29.1" customHeight="1" x14ac:dyDescent="0.25">
      <c r="A21963" s="2" t="s">
        <v>42962</v>
      </c>
      <c r="B21963" s="2" t="s">
        <v>42963</v>
      </c>
      <c r="C21963" s="2" t="s">
        <v>149</v>
      </c>
      <c r="D21963" s="2" t="s">
        <v>3993</v>
      </c>
      <c r="E21963" s="2" t="str">
        <f>"9781783747108"</f>
        <v>9781783747108</v>
      </c>
      <c r="F21963" s="2" t="str">
        <f>"9781783747122"</f>
        <v>9781783747122</v>
      </c>
    </row>
    <row r="21964" spans="1:6" s="3" customFormat="1" ht="29.1" customHeight="1" x14ac:dyDescent="0.25">
      <c r="A21964" s="2" t="s">
        <v>42964</v>
      </c>
      <c r="B21964" s="2" t="s">
        <v>42965</v>
      </c>
      <c r="C21964" s="2" t="s">
        <v>124</v>
      </c>
      <c r="D21964" s="2" t="s">
        <v>4291</v>
      </c>
      <c r="E21964" s="2" t="str">
        <f>"9781032082226"</f>
        <v>9781032082226</v>
      </c>
      <c r="F21964" s="2" t="str">
        <f>"9780429456558"</f>
        <v>9780429456558</v>
      </c>
    </row>
    <row r="21965" spans="1:6" s="3" customFormat="1" ht="29.1" customHeight="1" x14ac:dyDescent="0.25">
      <c r="A21965" s="2" t="s">
        <v>42966</v>
      </c>
      <c r="B21965" s="2" t="s">
        <v>42967</v>
      </c>
      <c r="C21965" s="2" t="s">
        <v>124</v>
      </c>
      <c r="D21965" s="2" t="s">
        <v>110</v>
      </c>
      <c r="E21965" s="2" t="str">
        <f>"9780367027551"</f>
        <v>9780367027551</v>
      </c>
      <c r="F21965" s="2" t="str">
        <f>"9780429397981"</f>
        <v>9780429397981</v>
      </c>
    </row>
    <row r="21966" spans="1:6" s="3" customFormat="1" ht="29.1" customHeight="1" x14ac:dyDescent="0.25">
      <c r="A21966" s="2" t="s">
        <v>42968</v>
      </c>
      <c r="B21966" s="2" t="s">
        <v>42969</v>
      </c>
      <c r="C21966" s="2" t="s">
        <v>124</v>
      </c>
      <c r="D21966" s="2" t="s">
        <v>647</v>
      </c>
      <c r="E21966" s="2" t="str">
        <f>"9780367148065"</f>
        <v>9780367148065</v>
      </c>
      <c r="F21966" s="2" t="str">
        <f>"9780429053511"</f>
        <v>9780429053511</v>
      </c>
    </row>
    <row r="21967" spans="1:6" s="3" customFormat="1" ht="29.1" customHeight="1" x14ac:dyDescent="0.25">
      <c r="A21967" s="2" t="s">
        <v>42970</v>
      </c>
      <c r="B21967" s="2" t="s">
        <v>42971</v>
      </c>
      <c r="C21967" s="2" t="s">
        <v>556</v>
      </c>
      <c r="D21967" s="2" t="s">
        <v>484</v>
      </c>
      <c r="E21967" s="2" t="str">
        <f>"9783837646467"</f>
        <v>9783837646467</v>
      </c>
      <c r="F21967" s="2" t="str">
        <f>"9783839446461"</f>
        <v>9783839446461</v>
      </c>
    </row>
    <row r="21968" spans="1:6" s="3" customFormat="1" ht="29.1" customHeight="1" x14ac:dyDescent="0.25">
      <c r="A21968" s="2" t="s">
        <v>42972</v>
      </c>
      <c r="B21968" s="2" t="s">
        <v>42973</v>
      </c>
      <c r="C21968" s="2" t="s">
        <v>124</v>
      </c>
      <c r="D21968" s="2" t="s">
        <v>210</v>
      </c>
      <c r="E21968" s="2" t="str">
        <f>"9780367367060"</f>
        <v>9780367367060</v>
      </c>
      <c r="F21968" s="2" t="str">
        <f>"9781000708080"</f>
        <v>9781000708080</v>
      </c>
    </row>
    <row r="21969" spans="1:6" s="3" customFormat="1" ht="29.1" customHeight="1" x14ac:dyDescent="0.25">
      <c r="A21969" s="2" t="s">
        <v>42974</v>
      </c>
      <c r="B21969" s="2" t="s">
        <v>42975</v>
      </c>
      <c r="C21969" s="2" t="s">
        <v>124</v>
      </c>
      <c r="D21969" s="2" t="s">
        <v>75</v>
      </c>
      <c r="E21969" s="2" t="str">
        <f>"9780367660574"</f>
        <v>9780367660574</v>
      </c>
      <c r="F21969" s="2" t="str">
        <f>"9781351245609"</f>
        <v>9781351245609</v>
      </c>
    </row>
    <row r="21970" spans="1:6" s="3" customFormat="1" ht="29.1" customHeight="1" x14ac:dyDescent="0.25">
      <c r="A21970" s="2" t="s">
        <v>42976</v>
      </c>
      <c r="B21970" s="2" t="s">
        <v>42978</v>
      </c>
      <c r="C21970" s="2" t="s">
        <v>124</v>
      </c>
      <c r="D21970" s="2" t="s">
        <v>42977</v>
      </c>
      <c r="E21970" s="2" t="str">
        <f>"9780367726768"</f>
        <v>9780367726768</v>
      </c>
      <c r="F21970" s="2" t="str">
        <f>"9781351233378"</f>
        <v>9781351233378</v>
      </c>
    </row>
    <row r="21971" spans="1:6" s="3" customFormat="1" ht="29.1" customHeight="1" x14ac:dyDescent="0.25">
      <c r="A21971" s="2" t="s">
        <v>42979</v>
      </c>
      <c r="B21971" s="2" t="s">
        <v>42980</v>
      </c>
      <c r="C21971" s="2" t="s">
        <v>124</v>
      </c>
      <c r="D21971" s="2" t="s">
        <v>7766</v>
      </c>
      <c r="E21971" s="2" t="str">
        <f>"9781032083124"</f>
        <v>9781032083124</v>
      </c>
      <c r="F21971" s="2" t="str">
        <f>"9780429769726"</f>
        <v>9780429769726</v>
      </c>
    </row>
    <row r="21972" spans="1:6" s="3" customFormat="1" ht="29.1" customHeight="1" x14ac:dyDescent="0.25">
      <c r="A21972" s="2" t="s">
        <v>42981</v>
      </c>
      <c r="B21972" s="2" t="s">
        <v>42982</v>
      </c>
      <c r="C21972" s="2" t="s">
        <v>124</v>
      </c>
      <c r="D21972" s="2" t="s">
        <v>297</v>
      </c>
      <c r="E21972" s="2" t="str">
        <f>"9781032085821"</f>
        <v>9781032085821</v>
      </c>
      <c r="F21972" s="2" t="str">
        <f>"9780429885129"</f>
        <v>9780429885129</v>
      </c>
    </row>
    <row r="21973" spans="1:6" s="3" customFormat="1" ht="29.1" customHeight="1" x14ac:dyDescent="0.25">
      <c r="A21973" s="2" t="s">
        <v>42983</v>
      </c>
      <c r="B21973" s="2" t="s">
        <v>42984</v>
      </c>
      <c r="C21973" s="2" t="s">
        <v>124</v>
      </c>
      <c r="D21973" s="2" t="s">
        <v>2147</v>
      </c>
      <c r="E21973" s="2" t="str">
        <f>"9780367370077"</f>
        <v>9780367370077</v>
      </c>
      <c r="F21973" s="2" t="str">
        <f>"9781000730180"</f>
        <v>9781000730180</v>
      </c>
    </row>
    <row r="21974" spans="1:6" s="3" customFormat="1" ht="29.1" customHeight="1" x14ac:dyDescent="0.25">
      <c r="A21974" s="2" t="s">
        <v>42985</v>
      </c>
      <c r="B21974" s="2" t="s">
        <v>42986</v>
      </c>
      <c r="C21974" s="2" t="s">
        <v>124</v>
      </c>
      <c r="D21974" s="2" t="s">
        <v>159</v>
      </c>
      <c r="E21974" s="2" t="str">
        <f>"9780367355722"</f>
        <v>9780367355722</v>
      </c>
      <c r="F21974" s="2" t="str">
        <f>"9781000710120"</f>
        <v>9781000710120</v>
      </c>
    </row>
    <row r="21975" spans="1:6" s="3" customFormat="1" ht="29.1" customHeight="1" x14ac:dyDescent="0.25">
      <c r="A21975" s="2" t="s">
        <v>42987</v>
      </c>
      <c r="B21975" s="2" t="s">
        <v>42988</v>
      </c>
      <c r="C21975" s="2" t="s">
        <v>124</v>
      </c>
      <c r="D21975" s="2" t="s">
        <v>459</v>
      </c>
      <c r="E21975" s="2" t="str">
        <f>"9780367337926"</f>
        <v>9780367337926</v>
      </c>
      <c r="F21975" s="2" t="str">
        <f>"9781000711790"</f>
        <v>9781000711790</v>
      </c>
    </row>
    <row r="21976" spans="1:6" s="3" customFormat="1" ht="29.1" customHeight="1" x14ac:dyDescent="0.25">
      <c r="A21976" s="2" t="s">
        <v>42989</v>
      </c>
      <c r="B21976" s="2" t="s">
        <v>42990</v>
      </c>
      <c r="C21976" s="2" t="s">
        <v>124</v>
      </c>
      <c r="D21976" s="2" t="s">
        <v>210</v>
      </c>
      <c r="E21976" s="2" t="str">
        <f>"9781138505070"</f>
        <v>9781138505070</v>
      </c>
      <c r="F21976" s="2" t="str">
        <f>"9781351379922"</f>
        <v>9781351379922</v>
      </c>
    </row>
    <row r="21977" spans="1:6" s="3" customFormat="1" ht="29.1" customHeight="1" x14ac:dyDescent="0.25">
      <c r="A21977" s="2" t="s">
        <v>42991</v>
      </c>
      <c r="B21977" s="2" t="s">
        <v>42992</v>
      </c>
      <c r="C21977" s="2" t="s">
        <v>124</v>
      </c>
      <c r="D21977" s="2" t="s">
        <v>1109</v>
      </c>
      <c r="E21977" s="2" t="str">
        <f>"9780815372981"</f>
        <v>9780815372981</v>
      </c>
      <c r="F21977" s="2" t="str">
        <f>"9781351244497"</f>
        <v>9781351244497</v>
      </c>
    </row>
    <row r="21978" spans="1:6" s="3" customFormat="1" ht="29.1" customHeight="1" x14ac:dyDescent="0.25">
      <c r="A21978" s="2" t="s">
        <v>42993</v>
      </c>
      <c r="B21978" s="2" t="s">
        <v>14008</v>
      </c>
      <c r="C21978" s="2" t="s">
        <v>264</v>
      </c>
      <c r="D21978" s="2" t="s">
        <v>4002</v>
      </c>
      <c r="E21978" s="2" t="str">
        <f>"9780367408756"</f>
        <v>9780367408756</v>
      </c>
      <c r="F21978" s="2" t="str">
        <f>"9781351116565"</f>
        <v>9781351116565</v>
      </c>
    </row>
    <row r="21979" spans="1:6" s="3" customFormat="1" ht="29.1" customHeight="1" x14ac:dyDescent="0.25">
      <c r="A21979" s="2" t="s">
        <v>42994</v>
      </c>
      <c r="B21979" s="2" t="s">
        <v>42995</v>
      </c>
      <c r="C21979" s="2" t="s">
        <v>264</v>
      </c>
      <c r="D21979" s="2" t="s">
        <v>3567</v>
      </c>
      <c r="E21979" s="2" t="str">
        <f>"9781138477452"</f>
        <v>9781138477452</v>
      </c>
      <c r="F21979" s="2" t="str">
        <f>"9780429355738"</f>
        <v>9780429355738</v>
      </c>
    </row>
    <row r="21980" spans="1:6" s="3" customFormat="1" ht="29.1" customHeight="1" x14ac:dyDescent="0.25">
      <c r="A21980" s="2" t="s">
        <v>42996</v>
      </c>
      <c r="B21980" s="2" t="s">
        <v>42997</v>
      </c>
      <c r="C21980" s="2" t="s">
        <v>29</v>
      </c>
      <c r="D21980" s="2" t="s">
        <v>937</v>
      </c>
      <c r="E21980" s="2" t="str">
        <f>"9789004339910"</f>
        <v>9789004339910</v>
      </c>
      <c r="F21980" s="2" t="str">
        <f>"9789004340206"</f>
        <v>9789004340206</v>
      </c>
    </row>
    <row r="21981" spans="1:6" s="3" customFormat="1" ht="29.1" customHeight="1" x14ac:dyDescent="0.25">
      <c r="A21981" s="2" t="s">
        <v>42998</v>
      </c>
      <c r="B21981" s="2" t="s">
        <v>43000</v>
      </c>
      <c r="C21981" s="2" t="s">
        <v>62</v>
      </c>
      <c r="D21981" s="2" t="s">
        <v>42999</v>
      </c>
      <c r="E21981" s="2" t="str">
        <f>"9783428154234"</f>
        <v>9783428154234</v>
      </c>
      <c r="F21981" s="2" t="str">
        <f>"9783428554232"</f>
        <v>9783428554232</v>
      </c>
    </row>
    <row r="21982" spans="1:6" s="3" customFormat="1" ht="29.1" customHeight="1" x14ac:dyDescent="0.25">
      <c r="A21982" s="2" t="s">
        <v>43001</v>
      </c>
      <c r="B21982" s="2" t="s">
        <v>43002</v>
      </c>
      <c r="C21982" s="2" t="s">
        <v>248</v>
      </c>
      <c r="D21982" s="2" t="s">
        <v>1043</v>
      </c>
      <c r="E21982" s="2" t="str">
        <f>"9783863888176"</f>
        <v>9783863888176</v>
      </c>
      <c r="F21982" s="2" t="str">
        <f>"9783863884451"</f>
        <v>9783863884451</v>
      </c>
    </row>
    <row r="21983" spans="1:6" s="3" customFormat="1" ht="29.1" customHeight="1" x14ac:dyDescent="0.25">
      <c r="A21983" s="2" t="s">
        <v>43003</v>
      </c>
      <c r="B21983" s="2" t="s">
        <v>43004</v>
      </c>
      <c r="C21983" s="2" t="s">
        <v>248</v>
      </c>
      <c r="D21983" s="2" t="s">
        <v>553</v>
      </c>
      <c r="E21983" s="2" t="str">
        <f>"9783847423010"</f>
        <v>9783847423010</v>
      </c>
      <c r="F21983" s="2" t="str">
        <f>"9783847414919"</f>
        <v>9783847414919</v>
      </c>
    </row>
    <row r="21984" spans="1:6" s="3" customFormat="1" ht="29.1" customHeight="1" x14ac:dyDescent="0.25">
      <c r="A21984" s="2" t="s">
        <v>43005</v>
      </c>
      <c r="B21984" s="2" t="s">
        <v>43006</v>
      </c>
      <c r="C21984" s="2" t="s">
        <v>2129</v>
      </c>
      <c r="D21984" s="2" t="s">
        <v>1162</v>
      </c>
      <c r="E21984" s="2" t="str">
        <f>"9781438475431"</f>
        <v>9781438475431</v>
      </c>
      <c r="F21984" s="2" t="str">
        <f>"9781438475448"</f>
        <v>9781438475448</v>
      </c>
    </row>
    <row r="21985" spans="1:6" s="3" customFormat="1" ht="29.1" customHeight="1" x14ac:dyDescent="0.25">
      <c r="A21985" s="2" t="s">
        <v>43007</v>
      </c>
      <c r="B21985" s="2" t="s">
        <v>43008</v>
      </c>
      <c r="C21985" s="2" t="s">
        <v>62</v>
      </c>
      <c r="D21985" s="2" t="s">
        <v>1183</v>
      </c>
      <c r="E21985" s="2" t="str">
        <f>"9783428111169"</f>
        <v>9783428111169</v>
      </c>
      <c r="F21985" s="2" t="str">
        <f>"9783428511167"</f>
        <v>9783428511167</v>
      </c>
    </row>
    <row r="21986" spans="1:6" s="3" customFormat="1" ht="29.1" customHeight="1" x14ac:dyDescent="0.25">
      <c r="A21986" s="2" t="s">
        <v>43009</v>
      </c>
      <c r="B21986" s="2" t="s">
        <v>43010</v>
      </c>
      <c r="C21986" s="2" t="s">
        <v>195</v>
      </c>
      <c r="D21986" s="2" t="s">
        <v>459</v>
      </c>
      <c r="E21986" s="2" t="str">
        <f>"9789027930507"</f>
        <v>9789027930507</v>
      </c>
      <c r="F21986" s="2" t="str">
        <f>"9783110828771"</f>
        <v>9783110828771</v>
      </c>
    </row>
    <row r="21987" spans="1:6" s="3" customFormat="1" ht="29.1" customHeight="1" x14ac:dyDescent="0.25">
      <c r="A21987" s="2" t="s">
        <v>43011</v>
      </c>
      <c r="B21987" s="2" t="s">
        <v>43012</v>
      </c>
      <c r="C21987" s="2" t="s">
        <v>195</v>
      </c>
      <c r="D21987" s="2" t="s">
        <v>402</v>
      </c>
      <c r="E21987" s="2" t="str">
        <f>"9783110089608"</f>
        <v>9783110089608</v>
      </c>
      <c r="F21987" s="2" t="str">
        <f>"9783110871449"</f>
        <v>9783110871449</v>
      </c>
    </row>
    <row r="21988" spans="1:6" s="3" customFormat="1" ht="29.1" customHeight="1" x14ac:dyDescent="0.25">
      <c r="A21988" s="2" t="s">
        <v>43013</v>
      </c>
      <c r="B21988" s="2" t="s">
        <v>43014</v>
      </c>
      <c r="C21988" s="2" t="s">
        <v>195</v>
      </c>
      <c r="D21988" s="2" t="s">
        <v>186</v>
      </c>
      <c r="E21988" s="2" t="str">
        <f>"9783110087833"</f>
        <v>9783110087833</v>
      </c>
      <c r="F21988" s="2" t="str">
        <f>"9783110857252"</f>
        <v>9783110857252</v>
      </c>
    </row>
    <row r="21989" spans="1:6" s="3" customFormat="1" ht="29.1" customHeight="1" x14ac:dyDescent="0.25">
      <c r="A21989" s="2" t="s">
        <v>43015</v>
      </c>
      <c r="B21989" s="2"/>
      <c r="C21989" s="2" t="s">
        <v>195</v>
      </c>
      <c r="D21989" s="2" t="s">
        <v>4739</v>
      </c>
      <c r="E21989" s="2" t="str">
        <f>"9783110067842"</f>
        <v>9783110067842</v>
      </c>
      <c r="F21989" s="2" t="str">
        <f>"9783110855883"</f>
        <v>9783110855883</v>
      </c>
    </row>
    <row r="21990" spans="1:6" s="3" customFormat="1" ht="29.1" customHeight="1" x14ac:dyDescent="0.25">
      <c r="A21990" s="2" t="s">
        <v>43016</v>
      </c>
      <c r="B21990" s="2" t="s">
        <v>43017</v>
      </c>
      <c r="C21990" s="2" t="s">
        <v>195</v>
      </c>
      <c r="D21990" s="2" t="s">
        <v>4739</v>
      </c>
      <c r="E21990" s="2" t="str">
        <f>"9783110104158"</f>
        <v>9783110104158</v>
      </c>
      <c r="F21990" s="2" t="str">
        <f>"9783111460765"</f>
        <v>9783111460765</v>
      </c>
    </row>
    <row r="21991" spans="1:6" s="3" customFormat="1" ht="29.1" customHeight="1" x14ac:dyDescent="0.25">
      <c r="A21991" s="2" t="s">
        <v>43018</v>
      </c>
      <c r="B21991" s="2" t="s">
        <v>43019</v>
      </c>
      <c r="C21991" s="2" t="s">
        <v>195</v>
      </c>
      <c r="D21991" s="2" t="s">
        <v>1390</v>
      </c>
      <c r="E21991" s="2" t="str">
        <f>"9783111089287"</f>
        <v>9783111089287</v>
      </c>
      <c r="F21991" s="2" t="str">
        <f>"9783111456706"</f>
        <v>9783111456706</v>
      </c>
    </row>
    <row r="21992" spans="1:6" s="3" customFormat="1" ht="29.1" customHeight="1" x14ac:dyDescent="0.25">
      <c r="A21992" s="2" t="s">
        <v>43020</v>
      </c>
      <c r="B21992" s="2" t="s">
        <v>43021</v>
      </c>
      <c r="C21992" s="2" t="s">
        <v>195</v>
      </c>
      <c r="D21992" s="2" t="s">
        <v>402</v>
      </c>
      <c r="E21992" s="2" t="str">
        <f>"9783111185200"</f>
        <v>9783111185200</v>
      </c>
      <c r="F21992" s="2" t="str">
        <f>"9783111554921"</f>
        <v>9783111554921</v>
      </c>
    </row>
    <row r="21993" spans="1:6" s="3" customFormat="1" ht="29.1" customHeight="1" x14ac:dyDescent="0.25">
      <c r="A21993" s="2" t="s">
        <v>43022</v>
      </c>
      <c r="B21993" s="2" t="s">
        <v>43023</v>
      </c>
      <c r="C21993" s="2" t="s">
        <v>195</v>
      </c>
      <c r="D21993" s="2" t="s">
        <v>462</v>
      </c>
      <c r="E21993" s="2" t="str">
        <f>"9783111185095"</f>
        <v>9783111185095</v>
      </c>
      <c r="F21993" s="2" t="str">
        <f>"9783111554815"</f>
        <v>9783111554815</v>
      </c>
    </row>
    <row r="21994" spans="1:6" s="3" customFormat="1" ht="29.1" customHeight="1" x14ac:dyDescent="0.25">
      <c r="A21994" s="2" t="s">
        <v>43024</v>
      </c>
      <c r="B21994" s="2" t="s">
        <v>43025</v>
      </c>
      <c r="C21994" s="2" t="s">
        <v>195</v>
      </c>
      <c r="D21994" s="2" t="s">
        <v>210</v>
      </c>
      <c r="E21994" s="2" t="str">
        <f>"9783111303239"</f>
        <v>9783111303239</v>
      </c>
      <c r="F21994" s="2" t="str">
        <f>"9783111690681"</f>
        <v>9783111690681</v>
      </c>
    </row>
    <row r="21995" spans="1:6" s="3" customFormat="1" ht="29.1" customHeight="1" x14ac:dyDescent="0.25">
      <c r="A21995" s="2" t="s">
        <v>43026</v>
      </c>
      <c r="B21995" s="2" t="s">
        <v>43027</v>
      </c>
      <c r="C21995" s="2" t="s">
        <v>195</v>
      </c>
      <c r="D21995" s="2" t="s">
        <v>33</v>
      </c>
      <c r="E21995" s="2" t="str">
        <f>"9783111113463"</f>
        <v>9783111113463</v>
      </c>
      <c r="F21995" s="2" t="str">
        <f>"9783111727127"</f>
        <v>9783111727127</v>
      </c>
    </row>
    <row r="21996" spans="1:6" s="3" customFormat="1" ht="29.1" customHeight="1" x14ac:dyDescent="0.25">
      <c r="A21996" s="2" t="s">
        <v>43028</v>
      </c>
      <c r="B21996" s="2" t="s">
        <v>43029</v>
      </c>
      <c r="C21996" s="2" t="s">
        <v>195</v>
      </c>
      <c r="D21996" s="2" t="s">
        <v>339</v>
      </c>
      <c r="E21996" s="2" t="str">
        <f>"9783111090276"</f>
        <v>9783111090276</v>
      </c>
      <c r="F21996" s="2" t="str">
        <f>"9783111457635"</f>
        <v>9783111457635</v>
      </c>
    </row>
    <row r="21997" spans="1:6" s="3" customFormat="1" ht="29.1" customHeight="1" x14ac:dyDescent="0.25">
      <c r="A21997" s="2" t="s">
        <v>43030</v>
      </c>
      <c r="B21997" s="2" t="s">
        <v>43031</v>
      </c>
      <c r="C21997" s="2" t="s">
        <v>195</v>
      </c>
      <c r="D21997" s="2" t="s">
        <v>459</v>
      </c>
      <c r="E21997" s="2" t="str">
        <f>"9789027930057"</f>
        <v>9789027930057</v>
      </c>
      <c r="F21997" s="2" t="str">
        <f>"9783111352237"</f>
        <v>9783111352237</v>
      </c>
    </row>
    <row r="21998" spans="1:6" s="3" customFormat="1" ht="29.1" customHeight="1" x14ac:dyDescent="0.25">
      <c r="A21998" s="2" t="s">
        <v>43032</v>
      </c>
      <c r="B21998" s="2" t="s">
        <v>43033</v>
      </c>
      <c r="C21998" s="2" t="s">
        <v>195</v>
      </c>
      <c r="D21998" s="2" t="s">
        <v>210</v>
      </c>
      <c r="E21998" s="2" t="str">
        <f>"9783111111025"</f>
        <v>9783111111025</v>
      </c>
      <c r="F21998" s="2" t="str">
        <f>"9783111478029"</f>
        <v>9783111478029</v>
      </c>
    </row>
    <row r="21999" spans="1:6" s="3" customFormat="1" ht="29.1" customHeight="1" x14ac:dyDescent="0.25">
      <c r="A21999" s="2" t="s">
        <v>43034</v>
      </c>
      <c r="B21999" s="2" t="s">
        <v>43035</v>
      </c>
      <c r="C21999" s="2" t="s">
        <v>195</v>
      </c>
      <c r="D21999" s="2" t="s">
        <v>210</v>
      </c>
      <c r="E21999" s="2" t="str">
        <f>"9783110113723"</f>
        <v>9783110113723</v>
      </c>
      <c r="F21999" s="2" t="str">
        <f>"9783110863673"</f>
        <v>9783110863673</v>
      </c>
    </row>
    <row r="22000" spans="1:6" s="3" customFormat="1" ht="29.1" customHeight="1" x14ac:dyDescent="0.25">
      <c r="A22000" s="2" t="s">
        <v>43036</v>
      </c>
      <c r="B22000" s="2" t="s">
        <v>43037</v>
      </c>
      <c r="C22000" s="2" t="s">
        <v>195</v>
      </c>
      <c r="D22000" s="2" t="s">
        <v>186</v>
      </c>
      <c r="E22000" s="2" t="str">
        <f>"9783110107869"</f>
        <v>9783110107869</v>
      </c>
      <c r="F22000" s="2" t="str">
        <f>"9783110860092"</f>
        <v>9783110860092</v>
      </c>
    </row>
    <row r="22001" spans="1:6" s="3" customFormat="1" ht="29.1" customHeight="1" x14ac:dyDescent="0.25">
      <c r="A22001" s="2" t="s">
        <v>43038</v>
      </c>
      <c r="B22001" s="2" t="s">
        <v>43039</v>
      </c>
      <c r="C22001" s="2" t="s">
        <v>195</v>
      </c>
      <c r="D22001" s="2" t="s">
        <v>186</v>
      </c>
      <c r="E22001" s="2" t="str">
        <f>"9783110102932"</f>
        <v>9783110102932</v>
      </c>
      <c r="F22001" s="2" t="str">
        <f>"9783110860825"</f>
        <v>9783110860825</v>
      </c>
    </row>
    <row r="22002" spans="1:6" s="3" customFormat="1" ht="29.1" customHeight="1" x14ac:dyDescent="0.25">
      <c r="A22002" s="2" t="s">
        <v>43040</v>
      </c>
      <c r="B22002" s="2" t="s">
        <v>43041</v>
      </c>
      <c r="C22002" s="2" t="s">
        <v>195</v>
      </c>
      <c r="D22002" s="2" t="s">
        <v>186</v>
      </c>
      <c r="E22002" s="2" t="str">
        <f>"9783110074116"</f>
        <v>9783110074116</v>
      </c>
      <c r="F22002" s="2" t="str">
        <f>"9783110841015"</f>
        <v>9783110841015</v>
      </c>
    </row>
    <row r="22003" spans="1:6" s="3" customFormat="1" ht="29.1" customHeight="1" x14ac:dyDescent="0.25">
      <c r="A22003" s="2" t="s">
        <v>43042</v>
      </c>
      <c r="B22003" s="2" t="s">
        <v>43043</v>
      </c>
      <c r="C22003" s="2" t="s">
        <v>195</v>
      </c>
      <c r="D22003" s="2" t="s">
        <v>186</v>
      </c>
      <c r="E22003" s="2" t="str">
        <f>"9783110066760"</f>
        <v>9783110066760</v>
      </c>
      <c r="F22003" s="2" t="str">
        <f>"9783110837148"</f>
        <v>9783110837148</v>
      </c>
    </row>
    <row r="22004" spans="1:6" s="3" customFormat="1" ht="29.1" customHeight="1" x14ac:dyDescent="0.25">
      <c r="A22004" s="2" t="s">
        <v>43044</v>
      </c>
      <c r="B22004" s="2" t="s">
        <v>43045</v>
      </c>
      <c r="C22004" s="2" t="s">
        <v>195</v>
      </c>
      <c r="D22004" s="2" t="s">
        <v>459</v>
      </c>
      <c r="E22004" s="2" t="str">
        <f>"9783110057416"</f>
        <v>9783110057416</v>
      </c>
      <c r="F22004" s="2" t="str">
        <f>"9783110839609"</f>
        <v>9783110839609</v>
      </c>
    </row>
    <row r="22005" spans="1:6" s="3" customFormat="1" ht="29.1" customHeight="1" x14ac:dyDescent="0.25">
      <c r="A22005" s="2" t="s">
        <v>43046</v>
      </c>
      <c r="B22005" s="2" t="s">
        <v>43047</v>
      </c>
      <c r="C22005" s="2" t="s">
        <v>195</v>
      </c>
      <c r="D22005" s="2" t="s">
        <v>459</v>
      </c>
      <c r="E22005" s="2" t="str">
        <f>"9789027979155"</f>
        <v>9789027979155</v>
      </c>
      <c r="F22005" s="2" t="str">
        <f>"9783110804843"</f>
        <v>9783110804843</v>
      </c>
    </row>
    <row r="22006" spans="1:6" s="3" customFormat="1" ht="29.1" customHeight="1" x14ac:dyDescent="0.25">
      <c r="A22006" s="2" t="s">
        <v>43048</v>
      </c>
      <c r="B22006" s="2" t="s">
        <v>43049</v>
      </c>
      <c r="C22006" s="2" t="s">
        <v>124</v>
      </c>
      <c r="D22006" s="2" t="s">
        <v>2877</v>
      </c>
      <c r="E22006" s="2" t="str">
        <f>"9781138580046"</f>
        <v>9781138580046</v>
      </c>
      <c r="F22006" s="2" t="str">
        <f>"9780429017605"</f>
        <v>9780429017605</v>
      </c>
    </row>
    <row r="22007" spans="1:6" s="3" customFormat="1" ht="29.1" customHeight="1" x14ac:dyDescent="0.25">
      <c r="A22007" s="2" t="s">
        <v>43050</v>
      </c>
      <c r="B22007" s="2" t="s">
        <v>43051</v>
      </c>
      <c r="C22007" s="2" t="s">
        <v>327</v>
      </c>
      <c r="D22007" s="2" t="s">
        <v>1913</v>
      </c>
      <c r="E22007" s="2"/>
      <c r="F22007" s="2" t="str">
        <f>"9788381424004"</f>
        <v>9788381424004</v>
      </c>
    </row>
    <row r="22008" spans="1:6" s="3" customFormat="1" ht="29.1" customHeight="1" x14ac:dyDescent="0.25">
      <c r="A22008" s="2" t="s">
        <v>43052</v>
      </c>
      <c r="B22008" s="2" t="s">
        <v>43053</v>
      </c>
      <c r="C22008" s="2" t="s">
        <v>327</v>
      </c>
      <c r="D22008" s="2" t="s">
        <v>1245</v>
      </c>
      <c r="E22008" s="2" t="str">
        <f>"9788381423298"</f>
        <v>9788381423298</v>
      </c>
      <c r="F22008" s="2" t="str">
        <f>"9788381423304"</f>
        <v>9788381423304</v>
      </c>
    </row>
    <row r="22009" spans="1:6" s="3" customFormat="1" ht="29.1" customHeight="1" x14ac:dyDescent="0.25">
      <c r="A22009" s="2" t="s">
        <v>43054</v>
      </c>
      <c r="B22009" s="2" t="s">
        <v>43055</v>
      </c>
      <c r="C22009" s="2" t="s">
        <v>327</v>
      </c>
      <c r="D22009" s="2" t="s">
        <v>2150</v>
      </c>
      <c r="E22009" s="2" t="str">
        <f>"9788381421928"</f>
        <v>9788381421928</v>
      </c>
      <c r="F22009" s="2" t="str">
        <f>"9788381421935"</f>
        <v>9788381421935</v>
      </c>
    </row>
    <row r="22010" spans="1:6" s="3" customFormat="1" ht="29.1" customHeight="1" x14ac:dyDescent="0.25">
      <c r="A22010" s="2" t="s">
        <v>43056</v>
      </c>
      <c r="B22010" s="2" t="s">
        <v>43057</v>
      </c>
      <c r="C22010" s="2" t="s">
        <v>124</v>
      </c>
      <c r="D22010" s="2" t="s">
        <v>2086</v>
      </c>
      <c r="E22010" s="2" t="str">
        <f>"9781138600478"</f>
        <v>9781138600478</v>
      </c>
      <c r="F22010" s="2" t="str">
        <f>"9780429895128"</f>
        <v>9780429895128</v>
      </c>
    </row>
    <row r="22011" spans="1:6" s="3" customFormat="1" ht="29.1" customHeight="1" x14ac:dyDescent="0.25">
      <c r="A22011" s="2" t="s">
        <v>43058</v>
      </c>
      <c r="B22011" s="2" t="s">
        <v>43059</v>
      </c>
      <c r="C22011" s="2" t="s">
        <v>124</v>
      </c>
      <c r="D22011" s="2" t="s">
        <v>210</v>
      </c>
      <c r="E22011" s="2" t="str">
        <f>"9780815361602"</f>
        <v>9780815361602</v>
      </c>
      <c r="F22011" s="2" t="str">
        <f>"9781351116008"</f>
        <v>9781351116008</v>
      </c>
    </row>
    <row r="22012" spans="1:6" s="3" customFormat="1" ht="29.1" customHeight="1" x14ac:dyDescent="0.25">
      <c r="A22012" s="2" t="s">
        <v>43060</v>
      </c>
      <c r="B22012" s="2" t="s">
        <v>43062</v>
      </c>
      <c r="C22012" s="2" t="s">
        <v>43061</v>
      </c>
      <c r="D22012" s="2" t="s">
        <v>78</v>
      </c>
      <c r="E22012" s="2" t="str">
        <f>"9783737606486"</f>
        <v>9783737606486</v>
      </c>
      <c r="F22012" s="2" t="str">
        <f>"9783737606493"</f>
        <v>9783737606493</v>
      </c>
    </row>
    <row r="22013" spans="1:6" s="3" customFormat="1" ht="29.1" customHeight="1" x14ac:dyDescent="0.25">
      <c r="A22013" s="2" t="s">
        <v>43063</v>
      </c>
      <c r="B22013" s="2" t="s">
        <v>43064</v>
      </c>
      <c r="C22013" s="2" t="s">
        <v>43061</v>
      </c>
      <c r="D22013" s="2" t="s">
        <v>9899</v>
      </c>
      <c r="E22013" s="2" t="str">
        <f>"9783737606806"</f>
        <v>9783737606806</v>
      </c>
      <c r="F22013" s="2" t="str">
        <f>"9783737606813"</f>
        <v>9783737606813</v>
      </c>
    </row>
    <row r="22014" spans="1:6" s="3" customFormat="1" ht="29.1" customHeight="1" x14ac:dyDescent="0.25">
      <c r="A22014" s="2" t="s">
        <v>43065</v>
      </c>
      <c r="B22014" s="2" t="s">
        <v>43067</v>
      </c>
      <c r="C22014" s="2" t="s">
        <v>149</v>
      </c>
      <c r="D22014" s="2" t="s">
        <v>43066</v>
      </c>
      <c r="E22014" s="2" t="str">
        <f>"9781783746996"</f>
        <v>9781783746996</v>
      </c>
      <c r="F22014" s="2" t="str">
        <f>"9781783747016"</f>
        <v>9781783747016</v>
      </c>
    </row>
    <row r="22015" spans="1:6" s="3" customFormat="1" ht="29.1" customHeight="1" x14ac:dyDescent="0.25">
      <c r="A22015" s="2" t="s">
        <v>43068</v>
      </c>
      <c r="B22015" s="2" t="s">
        <v>40898</v>
      </c>
      <c r="C22015" s="2" t="s">
        <v>149</v>
      </c>
      <c r="D22015" s="2" t="s">
        <v>1669</v>
      </c>
      <c r="E22015" s="2" t="str">
        <f>"9781783747443"</f>
        <v>9781783747443</v>
      </c>
      <c r="F22015" s="2" t="str">
        <f>"9781783747467"</f>
        <v>9781783747467</v>
      </c>
    </row>
    <row r="22016" spans="1:6" s="3" customFormat="1" ht="29.1" customHeight="1" x14ac:dyDescent="0.25">
      <c r="A22016" s="2" t="s">
        <v>43069</v>
      </c>
      <c r="B22016" s="2" t="s">
        <v>43070</v>
      </c>
      <c r="C22016" s="2" t="s">
        <v>149</v>
      </c>
      <c r="D22016" s="2" t="s">
        <v>553</v>
      </c>
      <c r="E22016" s="2" t="str">
        <f>"9781783746682"</f>
        <v>9781783746682</v>
      </c>
      <c r="F22016" s="2" t="str">
        <f>"9781783746705"</f>
        <v>9781783746705</v>
      </c>
    </row>
    <row r="22017" spans="1:6" s="3" customFormat="1" ht="29.1" customHeight="1" x14ac:dyDescent="0.25">
      <c r="A22017" s="2" t="s">
        <v>43071</v>
      </c>
      <c r="B22017" s="2" t="s">
        <v>43072</v>
      </c>
      <c r="C22017" s="2" t="s">
        <v>195</v>
      </c>
      <c r="D22017" s="2" t="s">
        <v>196</v>
      </c>
      <c r="E22017" s="2" t="str">
        <f>"9783110641370"</f>
        <v>9783110641370</v>
      </c>
      <c r="F22017" s="2" t="str">
        <f>"9783110641684"</f>
        <v>9783110641684</v>
      </c>
    </row>
    <row r="22018" spans="1:6" s="3" customFormat="1" ht="29.1" customHeight="1" x14ac:dyDescent="0.25">
      <c r="A22018" s="2" t="s">
        <v>43073</v>
      </c>
      <c r="B22018" s="2" t="s">
        <v>43074</v>
      </c>
      <c r="C22018" s="2" t="s">
        <v>195</v>
      </c>
      <c r="D22018" s="2" t="s">
        <v>879</v>
      </c>
      <c r="E22018" s="2" t="str">
        <f>"9783110638868"</f>
        <v>9783110638868</v>
      </c>
      <c r="F22018" s="2" t="str">
        <f>"9783110639384"</f>
        <v>9783110639384</v>
      </c>
    </row>
    <row r="22019" spans="1:6" s="3" customFormat="1" ht="29.1" customHeight="1" x14ac:dyDescent="0.25">
      <c r="A22019" s="2" t="s">
        <v>43075</v>
      </c>
      <c r="B22019" s="2"/>
      <c r="C22019" s="2" t="s">
        <v>59</v>
      </c>
      <c r="D22019" s="2" t="s">
        <v>11558</v>
      </c>
      <c r="E22019" s="2" t="str">
        <f>"9782759230563"</f>
        <v>9782759230563</v>
      </c>
      <c r="F22019" s="2" t="str">
        <f>"9782759230570"</f>
        <v>9782759230570</v>
      </c>
    </row>
    <row r="22020" spans="1:6" s="3" customFormat="1" ht="29.1" customHeight="1" x14ac:dyDescent="0.25">
      <c r="A22020" s="2" t="s">
        <v>43076</v>
      </c>
      <c r="B22020" s="2"/>
      <c r="C22020" s="2" t="s">
        <v>59</v>
      </c>
      <c r="D22020" s="2" t="s">
        <v>3661</v>
      </c>
      <c r="E22020" s="2" t="str">
        <f>"9782759229970"</f>
        <v>9782759229970</v>
      </c>
      <c r="F22020" s="2" t="str">
        <f>"9782759229987"</f>
        <v>9782759229987</v>
      </c>
    </row>
    <row r="22021" spans="1:6" s="3" customFormat="1" ht="29.1" customHeight="1" x14ac:dyDescent="0.25">
      <c r="A22021" s="2" t="s">
        <v>43077</v>
      </c>
      <c r="B22021" s="2"/>
      <c r="C22021" s="2" t="s">
        <v>59</v>
      </c>
      <c r="D22021" s="2" t="s">
        <v>1924</v>
      </c>
      <c r="E22021" s="2"/>
      <c r="F22021" s="2" t="str">
        <f>"9782759230594"</f>
        <v>9782759230594</v>
      </c>
    </row>
    <row r="22022" spans="1:6" s="3" customFormat="1" ht="29.1" customHeight="1" x14ac:dyDescent="0.25">
      <c r="A22022" s="2" t="s">
        <v>43078</v>
      </c>
      <c r="B22022" s="2" t="s">
        <v>43080</v>
      </c>
      <c r="C22022" s="2" t="s">
        <v>595</v>
      </c>
      <c r="D22022" s="2" t="s">
        <v>43079</v>
      </c>
      <c r="E22022" s="2" t="str">
        <f>"9783631771723"</f>
        <v>9783631771723</v>
      </c>
      <c r="F22022" s="2" t="str">
        <f>"9783631778524"</f>
        <v>9783631778524</v>
      </c>
    </row>
    <row r="22023" spans="1:6" s="3" customFormat="1" ht="29.1" customHeight="1" x14ac:dyDescent="0.25">
      <c r="A22023" s="2" t="s">
        <v>43081</v>
      </c>
      <c r="B22023" s="2" t="s">
        <v>43082</v>
      </c>
      <c r="C22023" s="2" t="s">
        <v>124</v>
      </c>
      <c r="D22023" s="2" t="s">
        <v>636</v>
      </c>
      <c r="E22023" s="2" t="str">
        <f>"9780367338145"</f>
        <v>9780367338145</v>
      </c>
      <c r="F22023" s="2" t="str">
        <f>"9781000698169"</f>
        <v>9781000698169</v>
      </c>
    </row>
    <row r="22024" spans="1:6" s="3" customFormat="1" ht="29.1" customHeight="1" x14ac:dyDescent="0.25">
      <c r="A22024" s="2" t="s">
        <v>43083</v>
      </c>
      <c r="B22024" s="2" t="s">
        <v>43084</v>
      </c>
      <c r="C22024" s="2" t="s">
        <v>124</v>
      </c>
      <c r="D22024" s="2" t="s">
        <v>210</v>
      </c>
      <c r="E22024" s="2" t="str">
        <f>"9780367363123"</f>
        <v>9780367363123</v>
      </c>
      <c r="F22024" s="2" t="str">
        <f>"9781000692921"</f>
        <v>9781000692921</v>
      </c>
    </row>
    <row r="22025" spans="1:6" s="3" customFormat="1" ht="29.1" customHeight="1" x14ac:dyDescent="0.25">
      <c r="A22025" s="2" t="s">
        <v>43085</v>
      </c>
      <c r="B22025" s="2" t="s">
        <v>43086</v>
      </c>
      <c r="C22025" s="2" t="s">
        <v>124</v>
      </c>
      <c r="D22025" s="2" t="s">
        <v>1245</v>
      </c>
      <c r="E22025" s="2" t="str">
        <f>"9781138237469"</f>
        <v>9781138237469</v>
      </c>
      <c r="F22025" s="2" t="str">
        <f>"9781000652079"</f>
        <v>9781000652079</v>
      </c>
    </row>
    <row r="22026" spans="1:6" s="3" customFormat="1" ht="29.1" customHeight="1" x14ac:dyDescent="0.25">
      <c r="A22026" s="2" t="s">
        <v>43087</v>
      </c>
      <c r="B22026" s="2" t="s">
        <v>43088</v>
      </c>
      <c r="C22026" s="2" t="s">
        <v>124</v>
      </c>
      <c r="D22026" s="2" t="s">
        <v>9</v>
      </c>
      <c r="E22026" s="2" t="str">
        <f>"9781138385511"</f>
        <v>9781138385511</v>
      </c>
      <c r="F22026" s="2" t="str">
        <f>"9780429762826"</f>
        <v>9780429762826</v>
      </c>
    </row>
    <row r="22027" spans="1:6" s="3" customFormat="1" ht="29.1" customHeight="1" x14ac:dyDescent="0.25">
      <c r="A22027" s="2" t="s">
        <v>43089</v>
      </c>
      <c r="B22027" s="2" t="s">
        <v>43090</v>
      </c>
      <c r="C22027" s="2" t="s">
        <v>36</v>
      </c>
      <c r="D22027" s="2" t="s">
        <v>78</v>
      </c>
      <c r="E22027" s="2" t="str">
        <f>"9781529201970"</f>
        <v>9781529201970</v>
      </c>
      <c r="F22027" s="2" t="str">
        <f>"9781529201987"</f>
        <v>9781529201987</v>
      </c>
    </row>
    <row r="22028" spans="1:6" s="3" customFormat="1" ht="29.1" customHeight="1" x14ac:dyDescent="0.25">
      <c r="A22028" s="2" t="s">
        <v>43091</v>
      </c>
      <c r="B22028" s="2" t="s">
        <v>42141</v>
      </c>
      <c r="C22028" s="2" t="s">
        <v>62</v>
      </c>
      <c r="D22028" s="2" t="s">
        <v>1463</v>
      </c>
      <c r="E22028" s="2" t="str">
        <f>"9783428157266"</f>
        <v>9783428157266</v>
      </c>
      <c r="F22028" s="2" t="str">
        <f>"9783428557264"</f>
        <v>9783428557264</v>
      </c>
    </row>
    <row r="22029" spans="1:6" s="3" customFormat="1" ht="29.1" customHeight="1" x14ac:dyDescent="0.25">
      <c r="A22029" s="2" t="s">
        <v>43092</v>
      </c>
      <c r="B22029" s="2" t="s">
        <v>43093</v>
      </c>
      <c r="C22029" s="2" t="s">
        <v>62</v>
      </c>
      <c r="D22029" s="2" t="s">
        <v>6622</v>
      </c>
      <c r="E22029" s="2" t="str">
        <f>"9783428156061"</f>
        <v>9783428156061</v>
      </c>
      <c r="F22029" s="2" t="str">
        <f>"9783428556069"</f>
        <v>9783428556069</v>
      </c>
    </row>
    <row r="22030" spans="1:6" s="3" customFormat="1" ht="29.1" customHeight="1" x14ac:dyDescent="0.25">
      <c r="A22030" s="2" t="s">
        <v>43094</v>
      </c>
      <c r="B22030" s="2" t="s">
        <v>31285</v>
      </c>
      <c r="C22030" s="2" t="s">
        <v>62</v>
      </c>
      <c r="D22030" s="2" t="s">
        <v>2005</v>
      </c>
      <c r="E22030" s="2" t="str">
        <f>"9783428153404"</f>
        <v>9783428153404</v>
      </c>
      <c r="F22030" s="2" t="str">
        <f>"9783428553402"</f>
        <v>9783428553402</v>
      </c>
    </row>
    <row r="22031" spans="1:6" s="3" customFormat="1" ht="29.1" customHeight="1" x14ac:dyDescent="0.25">
      <c r="A22031" s="2" t="s">
        <v>43095</v>
      </c>
      <c r="B22031" s="2" t="s">
        <v>43096</v>
      </c>
      <c r="C22031" s="2" t="s">
        <v>62</v>
      </c>
      <c r="D22031" s="2" t="s">
        <v>916</v>
      </c>
      <c r="E22031" s="2" t="str">
        <f>"9783428133666"</f>
        <v>9783428133666</v>
      </c>
      <c r="F22031" s="2" t="str">
        <f>"9783428533664"</f>
        <v>9783428533664</v>
      </c>
    </row>
    <row r="22032" spans="1:6" s="3" customFormat="1" ht="29.1" customHeight="1" x14ac:dyDescent="0.25">
      <c r="A22032" s="2" t="s">
        <v>43097</v>
      </c>
      <c r="B22032" s="2" t="s">
        <v>43098</v>
      </c>
      <c r="C22032" s="2" t="s">
        <v>62</v>
      </c>
      <c r="D22032" s="2" t="s">
        <v>218</v>
      </c>
      <c r="E22032" s="2" t="str">
        <f>"9783428130955"</f>
        <v>9783428130955</v>
      </c>
      <c r="F22032" s="2" t="str">
        <f>"9783428530953"</f>
        <v>9783428530953</v>
      </c>
    </row>
    <row r="22033" spans="1:6" s="3" customFormat="1" ht="29.1" customHeight="1" x14ac:dyDescent="0.25">
      <c r="A22033" s="2" t="s">
        <v>43099</v>
      </c>
      <c r="B22033" s="2" t="s">
        <v>43100</v>
      </c>
      <c r="C22033" s="2" t="s">
        <v>62</v>
      </c>
      <c r="D22033" s="2" t="s">
        <v>218</v>
      </c>
      <c r="E22033" s="2" t="str">
        <f>"9783428129447"</f>
        <v>9783428129447</v>
      </c>
      <c r="F22033" s="2" t="str">
        <f>"9783428529445"</f>
        <v>9783428529445</v>
      </c>
    </row>
    <row r="22034" spans="1:6" s="3" customFormat="1" ht="29.1" customHeight="1" x14ac:dyDescent="0.25">
      <c r="A22034" s="2" t="s">
        <v>43101</v>
      </c>
      <c r="B22034" s="2" t="s">
        <v>43102</v>
      </c>
      <c r="C22034" s="2" t="s">
        <v>62</v>
      </c>
      <c r="D22034" s="2" t="s">
        <v>1809</v>
      </c>
      <c r="E22034" s="2" t="str">
        <f>"9783428126309"</f>
        <v>9783428126309</v>
      </c>
      <c r="F22034" s="2" t="str">
        <f>"9783428526307"</f>
        <v>9783428526307</v>
      </c>
    </row>
    <row r="22035" spans="1:6" s="3" customFormat="1" ht="29.1" customHeight="1" x14ac:dyDescent="0.25">
      <c r="A22035" s="2" t="s">
        <v>43103</v>
      </c>
      <c r="B22035" s="2" t="s">
        <v>43105</v>
      </c>
      <c r="C22035" s="2" t="s">
        <v>62</v>
      </c>
      <c r="D22035" s="2" t="s">
        <v>43104</v>
      </c>
      <c r="E22035" s="2" t="str">
        <f>"9783428125210"</f>
        <v>9783428125210</v>
      </c>
      <c r="F22035" s="2" t="str">
        <f>"9783428525218"</f>
        <v>9783428525218</v>
      </c>
    </row>
    <row r="22036" spans="1:6" s="3" customFormat="1" ht="29.1" customHeight="1" x14ac:dyDescent="0.25">
      <c r="A22036" s="2" t="s">
        <v>43106</v>
      </c>
      <c r="B22036" s="2" t="s">
        <v>43107</v>
      </c>
      <c r="C22036" s="2" t="s">
        <v>62</v>
      </c>
      <c r="D22036" s="2" t="s">
        <v>72</v>
      </c>
      <c r="E22036" s="2" t="str">
        <f>"9783428123612"</f>
        <v>9783428123612</v>
      </c>
      <c r="F22036" s="2" t="str">
        <f>"9783428523610"</f>
        <v>9783428523610</v>
      </c>
    </row>
    <row r="22037" spans="1:6" s="3" customFormat="1" ht="29.1" customHeight="1" x14ac:dyDescent="0.25">
      <c r="A22037" s="2" t="s">
        <v>43108</v>
      </c>
      <c r="B22037" s="2" t="s">
        <v>43109</v>
      </c>
      <c r="C22037" s="2" t="s">
        <v>62</v>
      </c>
      <c r="D22037" s="2" t="s">
        <v>1463</v>
      </c>
      <c r="E22037" s="2" t="str">
        <f>"9783428122905"</f>
        <v>9783428122905</v>
      </c>
      <c r="F22037" s="2" t="str">
        <f>"9783428522903"</f>
        <v>9783428522903</v>
      </c>
    </row>
    <row r="22038" spans="1:6" s="3" customFormat="1" ht="29.1" customHeight="1" x14ac:dyDescent="0.25">
      <c r="A22038" s="2" t="s">
        <v>43110</v>
      </c>
      <c r="B22038" s="2" t="s">
        <v>43111</v>
      </c>
      <c r="C22038" s="2" t="s">
        <v>62</v>
      </c>
      <c r="D22038" s="2" t="s">
        <v>218</v>
      </c>
      <c r="E22038" s="2" t="str">
        <f>"9783428122899"</f>
        <v>9783428122899</v>
      </c>
      <c r="F22038" s="2" t="str">
        <f>"9783428522897"</f>
        <v>9783428522897</v>
      </c>
    </row>
    <row r="22039" spans="1:6" s="3" customFormat="1" ht="29.1" customHeight="1" x14ac:dyDescent="0.25">
      <c r="A22039" s="2" t="s">
        <v>43112</v>
      </c>
      <c r="B22039" s="2" t="s">
        <v>43113</v>
      </c>
      <c r="C22039" s="2" t="s">
        <v>62</v>
      </c>
      <c r="D22039" s="2" t="s">
        <v>1437</v>
      </c>
      <c r="E22039" s="2" t="str">
        <f>"9783428122783"</f>
        <v>9783428122783</v>
      </c>
      <c r="F22039" s="2" t="str">
        <f>"9783428522781"</f>
        <v>9783428522781</v>
      </c>
    </row>
    <row r="22040" spans="1:6" s="3" customFormat="1" ht="29.1" customHeight="1" x14ac:dyDescent="0.25">
      <c r="A22040" s="2" t="s">
        <v>43114</v>
      </c>
      <c r="B22040" s="2" t="s">
        <v>26345</v>
      </c>
      <c r="C22040" s="2" t="s">
        <v>62</v>
      </c>
      <c r="D22040" s="2" t="s">
        <v>218</v>
      </c>
      <c r="E22040" s="2" t="str">
        <f>"9783428118687"</f>
        <v>9783428118687</v>
      </c>
      <c r="F22040" s="2" t="str">
        <f>"9783428518685"</f>
        <v>9783428518685</v>
      </c>
    </row>
    <row r="22041" spans="1:6" s="3" customFormat="1" ht="29.1" customHeight="1" x14ac:dyDescent="0.25">
      <c r="A22041" s="2" t="s">
        <v>43115</v>
      </c>
      <c r="B22041" s="2" t="s">
        <v>33201</v>
      </c>
      <c r="C22041" s="2" t="s">
        <v>62</v>
      </c>
      <c r="D22041" s="2" t="s">
        <v>16704</v>
      </c>
      <c r="E22041" s="2" t="str">
        <f>"9783428083275"</f>
        <v>9783428083275</v>
      </c>
      <c r="F22041" s="2" t="str">
        <f>"9783428483273"</f>
        <v>9783428483273</v>
      </c>
    </row>
    <row r="22042" spans="1:6" s="3" customFormat="1" ht="29.1" customHeight="1" x14ac:dyDescent="0.25">
      <c r="A22042" s="2" t="s">
        <v>43116</v>
      </c>
      <c r="B22042" s="2" t="s">
        <v>32589</v>
      </c>
      <c r="C22042" s="2" t="s">
        <v>62</v>
      </c>
      <c r="D22042" s="2" t="s">
        <v>2548</v>
      </c>
      <c r="E22042" s="2" t="str">
        <f>"9783428070886"</f>
        <v>9783428070886</v>
      </c>
      <c r="F22042" s="2" t="str">
        <f>"9783428470884"</f>
        <v>9783428470884</v>
      </c>
    </row>
    <row r="22043" spans="1:6" s="3" customFormat="1" ht="29.1" customHeight="1" x14ac:dyDescent="0.25">
      <c r="A22043" s="2" t="s">
        <v>43117</v>
      </c>
      <c r="B22043" s="2" t="s">
        <v>43118</v>
      </c>
      <c r="C22043" s="2" t="s">
        <v>62</v>
      </c>
      <c r="D22043" s="2" t="s">
        <v>984</v>
      </c>
      <c r="E22043" s="2" t="str">
        <f>"9783428069965"</f>
        <v>9783428069965</v>
      </c>
      <c r="F22043" s="2" t="str">
        <f>"9783428469963"</f>
        <v>9783428469963</v>
      </c>
    </row>
    <row r="22044" spans="1:6" s="3" customFormat="1" ht="29.1" customHeight="1" x14ac:dyDescent="0.25">
      <c r="A22044" s="2" t="s">
        <v>43119</v>
      </c>
      <c r="B22044" s="2" t="s">
        <v>29943</v>
      </c>
      <c r="C22044" s="2" t="s">
        <v>62</v>
      </c>
      <c r="D22044" s="2" t="s">
        <v>1544</v>
      </c>
      <c r="E22044" s="2" t="str">
        <f>"9783428065387"</f>
        <v>9783428065387</v>
      </c>
      <c r="F22044" s="2" t="str">
        <f>"9783428465385"</f>
        <v>9783428465385</v>
      </c>
    </row>
    <row r="22045" spans="1:6" s="3" customFormat="1" ht="29.1" customHeight="1" x14ac:dyDescent="0.25">
      <c r="A22045" s="2" t="s">
        <v>43120</v>
      </c>
      <c r="B22045" s="2" t="s">
        <v>29943</v>
      </c>
      <c r="C22045" s="2" t="s">
        <v>62</v>
      </c>
      <c r="D22045" s="2" t="s">
        <v>5758</v>
      </c>
      <c r="E22045" s="2" t="str">
        <f>"9783428026241"</f>
        <v>9783428026241</v>
      </c>
      <c r="F22045" s="2" t="str">
        <f>"9783428426249"</f>
        <v>9783428426249</v>
      </c>
    </row>
    <row r="22046" spans="1:6" s="3" customFormat="1" ht="29.1" customHeight="1" x14ac:dyDescent="0.25">
      <c r="A22046" s="2" t="s">
        <v>43121</v>
      </c>
      <c r="B22046" s="2" t="s">
        <v>43122</v>
      </c>
      <c r="C22046" s="2" t="s">
        <v>195</v>
      </c>
      <c r="D22046" s="2" t="s">
        <v>525</v>
      </c>
      <c r="E22046" s="2" t="str">
        <f>"9783110623741"</f>
        <v>9783110623741</v>
      </c>
      <c r="F22046" s="2" t="str">
        <f>"9783110623758"</f>
        <v>9783110623758</v>
      </c>
    </row>
    <row r="22047" spans="1:6" s="3" customFormat="1" ht="29.1" customHeight="1" x14ac:dyDescent="0.25">
      <c r="A22047" s="2" t="s">
        <v>43123</v>
      </c>
      <c r="B22047" s="2" t="s">
        <v>43124</v>
      </c>
      <c r="C22047" s="2" t="s">
        <v>264</v>
      </c>
      <c r="D22047" s="2" t="s">
        <v>758</v>
      </c>
      <c r="E22047" s="2" t="str">
        <f>"9780367341268"</f>
        <v>9780367341268</v>
      </c>
      <c r="F22047" s="2" t="str">
        <f>"9781000692211"</f>
        <v>9781000692211</v>
      </c>
    </row>
    <row r="22048" spans="1:6" s="3" customFormat="1" ht="29.1" customHeight="1" x14ac:dyDescent="0.25">
      <c r="A22048" s="2" t="s">
        <v>43125</v>
      </c>
      <c r="B22048" s="2" t="s">
        <v>43126</v>
      </c>
      <c r="C22048" s="2" t="s">
        <v>556</v>
      </c>
      <c r="D22048" s="2" t="s">
        <v>324</v>
      </c>
      <c r="E22048" s="2" t="str">
        <f>"9783837647587"</f>
        <v>9783837647587</v>
      </c>
      <c r="F22048" s="2" t="str">
        <f>"9783839447581"</f>
        <v>9783839447581</v>
      </c>
    </row>
    <row r="22049" spans="1:6" s="3" customFormat="1" ht="29.1" customHeight="1" x14ac:dyDescent="0.25">
      <c r="A22049" s="2" t="s">
        <v>43127</v>
      </c>
      <c r="B22049" s="2" t="s">
        <v>43128</v>
      </c>
      <c r="C22049" s="2" t="s">
        <v>4104</v>
      </c>
      <c r="D22049" s="2" t="s">
        <v>1416</v>
      </c>
      <c r="E22049" s="2" t="str">
        <f>"9781786941763"</f>
        <v>9781786941763</v>
      </c>
      <c r="F22049" s="2" t="str">
        <f>"9781786949684"</f>
        <v>9781786949684</v>
      </c>
    </row>
    <row r="22050" spans="1:6" s="3" customFormat="1" ht="29.1" customHeight="1" x14ac:dyDescent="0.25">
      <c r="A22050" s="2" t="s">
        <v>43129</v>
      </c>
      <c r="B22050" s="2" t="s">
        <v>43130</v>
      </c>
      <c r="C22050" s="2" t="s">
        <v>124</v>
      </c>
      <c r="D22050" s="2" t="s">
        <v>818</v>
      </c>
      <c r="E22050" s="2" t="str">
        <f>"9781350045422"</f>
        <v>9781350045422</v>
      </c>
      <c r="F22050" s="2" t="str">
        <f>"9781350045446"</f>
        <v>9781350045446</v>
      </c>
    </row>
    <row r="22051" spans="1:6" s="3" customFormat="1" ht="29.1" customHeight="1" x14ac:dyDescent="0.25">
      <c r="A22051" s="2" t="s">
        <v>43131</v>
      </c>
      <c r="B22051" s="2" t="s">
        <v>43132</v>
      </c>
      <c r="C22051" s="2" t="s">
        <v>62</v>
      </c>
      <c r="D22051" s="2" t="s">
        <v>364</v>
      </c>
      <c r="E22051" s="2" t="str">
        <f>"9783428150991"</f>
        <v>9783428150991</v>
      </c>
      <c r="F22051" s="2" t="str">
        <f>"9783428550999"</f>
        <v>9783428550999</v>
      </c>
    </row>
    <row r="22052" spans="1:6" s="3" customFormat="1" ht="29.1" customHeight="1" x14ac:dyDescent="0.25">
      <c r="A22052" s="2" t="s">
        <v>43133</v>
      </c>
      <c r="B22052" s="2" t="s">
        <v>43134</v>
      </c>
      <c r="C22052" s="2" t="s">
        <v>62</v>
      </c>
      <c r="D22052" s="2" t="s">
        <v>694</v>
      </c>
      <c r="E22052" s="2" t="str">
        <f>"9783428149889"</f>
        <v>9783428149889</v>
      </c>
      <c r="F22052" s="2" t="str">
        <f>"9783428549887"</f>
        <v>9783428549887</v>
      </c>
    </row>
    <row r="22053" spans="1:6" s="3" customFormat="1" ht="29.1" customHeight="1" x14ac:dyDescent="0.25">
      <c r="A22053" s="2" t="s">
        <v>43135</v>
      </c>
      <c r="B22053" s="2" t="s">
        <v>42141</v>
      </c>
      <c r="C22053" s="2" t="s">
        <v>62</v>
      </c>
      <c r="D22053" s="2" t="s">
        <v>2005</v>
      </c>
      <c r="E22053" s="2" t="str">
        <f>"9783428147885"</f>
        <v>9783428147885</v>
      </c>
      <c r="F22053" s="2" t="str">
        <f>"9783428547883"</f>
        <v>9783428547883</v>
      </c>
    </row>
    <row r="22054" spans="1:6" s="3" customFormat="1" ht="29.1" customHeight="1" x14ac:dyDescent="0.25">
      <c r="A22054" s="2" t="s">
        <v>43136</v>
      </c>
      <c r="B22054" s="2" t="s">
        <v>43137</v>
      </c>
      <c r="C22054" s="2" t="s">
        <v>62</v>
      </c>
      <c r="D22054" s="2" t="s">
        <v>7978</v>
      </c>
      <c r="E22054" s="2" t="str">
        <f>"9783428174942"</f>
        <v>9783428174942</v>
      </c>
      <c r="F22054" s="2" t="str">
        <f>"9783428574940"</f>
        <v>9783428574940</v>
      </c>
    </row>
    <row r="22055" spans="1:6" s="3" customFormat="1" ht="29.1" customHeight="1" x14ac:dyDescent="0.25">
      <c r="A22055" s="2" t="s">
        <v>43138</v>
      </c>
      <c r="B22055" s="2" t="s">
        <v>43139</v>
      </c>
      <c r="C22055" s="2" t="s">
        <v>62</v>
      </c>
      <c r="D22055" s="2" t="s">
        <v>7436</v>
      </c>
      <c r="E22055" s="2" t="str">
        <f>"9783428174928"</f>
        <v>9783428174928</v>
      </c>
      <c r="F22055" s="2" t="str">
        <f>"9783428574926"</f>
        <v>9783428574926</v>
      </c>
    </row>
    <row r="22056" spans="1:6" s="3" customFormat="1" ht="29.1" customHeight="1" x14ac:dyDescent="0.25">
      <c r="A22056" s="2" t="s">
        <v>43140</v>
      </c>
      <c r="B22056" s="2" t="s">
        <v>43141</v>
      </c>
      <c r="C22056" s="2" t="s">
        <v>62</v>
      </c>
      <c r="D22056" s="2" t="s">
        <v>7978</v>
      </c>
      <c r="E22056" s="2" t="str">
        <f>"9783428174867"</f>
        <v>9783428174867</v>
      </c>
      <c r="F22056" s="2" t="str">
        <f>"9783428574865"</f>
        <v>9783428574865</v>
      </c>
    </row>
    <row r="22057" spans="1:6" s="3" customFormat="1" ht="29.1" customHeight="1" x14ac:dyDescent="0.25">
      <c r="A22057" s="2" t="s">
        <v>43142</v>
      </c>
      <c r="B22057" s="2" t="s">
        <v>43143</v>
      </c>
      <c r="C22057" s="2" t="s">
        <v>62</v>
      </c>
      <c r="D22057" s="2" t="s">
        <v>15324</v>
      </c>
      <c r="E22057" s="2" t="str">
        <f>"9783428174843"</f>
        <v>9783428174843</v>
      </c>
      <c r="F22057" s="2" t="str">
        <f>"9783428574841"</f>
        <v>9783428574841</v>
      </c>
    </row>
    <row r="22058" spans="1:6" s="3" customFormat="1" ht="29.1" customHeight="1" x14ac:dyDescent="0.25">
      <c r="A22058" s="2" t="s">
        <v>43144</v>
      </c>
      <c r="B22058" s="2" t="s">
        <v>43145</v>
      </c>
      <c r="C22058" s="2" t="s">
        <v>62</v>
      </c>
      <c r="D22058" s="2" t="s">
        <v>15324</v>
      </c>
      <c r="E22058" s="2" t="str">
        <f>"9783428164233"</f>
        <v>9783428164233</v>
      </c>
      <c r="F22058" s="2" t="str">
        <f>"9783428564231"</f>
        <v>9783428564231</v>
      </c>
    </row>
    <row r="22059" spans="1:6" s="3" customFormat="1" ht="29.1" customHeight="1" x14ac:dyDescent="0.25">
      <c r="A22059" s="2" t="s">
        <v>43146</v>
      </c>
      <c r="B22059" s="2" t="s">
        <v>43147</v>
      </c>
      <c r="C22059" s="2" t="s">
        <v>62</v>
      </c>
      <c r="D22059" s="2" t="s">
        <v>218</v>
      </c>
      <c r="E22059" s="2" t="str">
        <f>"9783428154838"</f>
        <v>9783428154838</v>
      </c>
      <c r="F22059" s="2" t="str">
        <f>"9783428554836"</f>
        <v>9783428554836</v>
      </c>
    </row>
    <row r="22060" spans="1:6" s="3" customFormat="1" ht="29.1" customHeight="1" x14ac:dyDescent="0.25">
      <c r="A22060" s="2" t="s">
        <v>43148</v>
      </c>
      <c r="B22060" s="2" t="s">
        <v>43149</v>
      </c>
      <c r="C22060" s="2" t="s">
        <v>62</v>
      </c>
      <c r="D22060" s="2" t="s">
        <v>6542</v>
      </c>
      <c r="E22060" s="2" t="str">
        <f>"9783428154548"</f>
        <v>9783428154548</v>
      </c>
      <c r="F22060" s="2" t="str">
        <f>"9783428554546"</f>
        <v>9783428554546</v>
      </c>
    </row>
    <row r="22061" spans="1:6" s="3" customFormat="1" ht="29.1" customHeight="1" x14ac:dyDescent="0.25">
      <c r="A22061" s="2" t="s">
        <v>43150</v>
      </c>
      <c r="B22061" s="2" t="s">
        <v>43151</v>
      </c>
      <c r="C22061" s="2" t="s">
        <v>62</v>
      </c>
      <c r="D22061" s="2" t="s">
        <v>27252</v>
      </c>
      <c r="E22061" s="2" t="str">
        <f>"9783428153855"</f>
        <v>9783428153855</v>
      </c>
      <c r="F22061" s="2" t="str">
        <f>"9783428553853"</f>
        <v>9783428553853</v>
      </c>
    </row>
    <row r="22062" spans="1:6" s="3" customFormat="1" ht="29.1" customHeight="1" x14ac:dyDescent="0.25">
      <c r="A22062" s="2" t="s">
        <v>43152</v>
      </c>
      <c r="B22062" s="2" t="s">
        <v>43153</v>
      </c>
      <c r="C22062" s="2" t="s">
        <v>62</v>
      </c>
      <c r="D22062" s="2" t="s">
        <v>1209</v>
      </c>
      <c r="E22062" s="2" t="str">
        <f>"9783428152162"</f>
        <v>9783428152162</v>
      </c>
      <c r="F22062" s="2" t="str">
        <f>"9783428552160"</f>
        <v>9783428552160</v>
      </c>
    </row>
    <row r="22063" spans="1:6" s="3" customFormat="1" ht="29.1" customHeight="1" x14ac:dyDescent="0.25">
      <c r="A22063" s="2" t="s">
        <v>43154</v>
      </c>
      <c r="B22063" s="2" t="s">
        <v>43155</v>
      </c>
      <c r="C22063" s="2" t="s">
        <v>62</v>
      </c>
      <c r="D22063" s="2" t="s">
        <v>196</v>
      </c>
      <c r="E22063" s="2" t="str">
        <f>"9783428149360"</f>
        <v>9783428149360</v>
      </c>
      <c r="F22063" s="2" t="str">
        <f>"9783428549368"</f>
        <v>9783428549368</v>
      </c>
    </row>
    <row r="22064" spans="1:6" s="3" customFormat="1" ht="29.1" customHeight="1" x14ac:dyDescent="0.25">
      <c r="A22064" s="2" t="s">
        <v>43156</v>
      </c>
      <c r="B22064" s="2" t="s">
        <v>43157</v>
      </c>
      <c r="C22064" s="2" t="s">
        <v>62</v>
      </c>
      <c r="D22064" s="2" t="s">
        <v>509</v>
      </c>
      <c r="E22064" s="2" t="str">
        <f>"9783428147847"</f>
        <v>9783428147847</v>
      </c>
      <c r="F22064" s="2" t="str">
        <f>"9783428547845"</f>
        <v>9783428547845</v>
      </c>
    </row>
    <row r="22065" spans="1:6" s="3" customFormat="1" ht="29.1" customHeight="1" x14ac:dyDescent="0.25">
      <c r="A22065" s="2" t="s">
        <v>43158</v>
      </c>
      <c r="B22065" s="2" t="s">
        <v>30256</v>
      </c>
      <c r="C22065" s="2" t="s">
        <v>62</v>
      </c>
      <c r="D22065" s="2" t="s">
        <v>1437</v>
      </c>
      <c r="E22065" s="2" t="str">
        <f>"9783428022380"</f>
        <v>9783428022380</v>
      </c>
      <c r="F22065" s="2" t="str">
        <f>"9783428422388"</f>
        <v>9783428422388</v>
      </c>
    </row>
    <row r="22066" spans="1:6" s="3" customFormat="1" ht="29.1" customHeight="1" x14ac:dyDescent="0.25">
      <c r="A22066" s="2" t="s">
        <v>43159</v>
      </c>
      <c r="B22066" s="2" t="s">
        <v>43160</v>
      </c>
      <c r="C22066" s="2" t="s">
        <v>195</v>
      </c>
      <c r="D22066" s="2" t="s">
        <v>7460</v>
      </c>
      <c r="E22066" s="2" t="str">
        <f>"9783110642728"</f>
        <v>9783110642728</v>
      </c>
      <c r="F22066" s="2" t="str">
        <f>"9783110642766"</f>
        <v>9783110642766</v>
      </c>
    </row>
    <row r="22067" spans="1:6" s="3" customFormat="1" ht="29.1" customHeight="1" x14ac:dyDescent="0.25">
      <c r="A22067" s="2" t="s">
        <v>43161</v>
      </c>
      <c r="B22067" s="2" t="s">
        <v>43162</v>
      </c>
      <c r="C22067" s="2" t="s">
        <v>195</v>
      </c>
      <c r="D22067" s="2" t="s">
        <v>1432</v>
      </c>
      <c r="E22067" s="2" t="str">
        <f>"9783110612219"</f>
        <v>9783110612219</v>
      </c>
      <c r="F22067" s="2" t="str">
        <f>"9783110612431"</f>
        <v>9783110612431</v>
      </c>
    </row>
    <row r="22068" spans="1:6" s="3" customFormat="1" ht="29.1" customHeight="1" x14ac:dyDescent="0.25">
      <c r="A22068" s="2" t="s">
        <v>43163</v>
      </c>
      <c r="B22068" s="2" t="s">
        <v>43164</v>
      </c>
      <c r="C22068" s="2" t="s">
        <v>195</v>
      </c>
      <c r="D22068" s="2" t="s">
        <v>33</v>
      </c>
      <c r="E22068" s="2" t="str">
        <f>"9783111141251"</f>
        <v>9783111141251</v>
      </c>
      <c r="F22068" s="2" t="str">
        <f>"9783111508528"</f>
        <v>9783111508528</v>
      </c>
    </row>
    <row r="22069" spans="1:6" s="3" customFormat="1" ht="29.1" customHeight="1" x14ac:dyDescent="0.25">
      <c r="A22069" s="2" t="s">
        <v>43165</v>
      </c>
      <c r="B22069" s="2" t="s">
        <v>43166</v>
      </c>
      <c r="C22069" s="2" t="s">
        <v>195</v>
      </c>
      <c r="D22069" s="2" t="s">
        <v>33</v>
      </c>
      <c r="E22069" s="2" t="str">
        <f>"9783111307176"</f>
        <v>9783111307176</v>
      </c>
      <c r="F22069" s="2" t="str">
        <f>"9783111695037"</f>
        <v>9783111695037</v>
      </c>
    </row>
    <row r="22070" spans="1:6" s="3" customFormat="1" ht="29.1" customHeight="1" x14ac:dyDescent="0.25">
      <c r="A22070" s="2" t="s">
        <v>43167</v>
      </c>
      <c r="B22070" s="2" t="s">
        <v>43168</v>
      </c>
      <c r="C22070" s="2" t="s">
        <v>195</v>
      </c>
      <c r="D22070" s="2" t="s">
        <v>33</v>
      </c>
      <c r="E22070" s="2" t="str">
        <f>"9783111268989"</f>
        <v>9783111268989</v>
      </c>
      <c r="F22070" s="2" t="str">
        <f>"9783111652863"</f>
        <v>9783111652863</v>
      </c>
    </row>
    <row r="22071" spans="1:6" s="3" customFormat="1" ht="29.1" customHeight="1" x14ac:dyDescent="0.25">
      <c r="A22071" s="2" t="s">
        <v>43169</v>
      </c>
      <c r="B22071" s="2" t="s">
        <v>43170</v>
      </c>
      <c r="C22071" s="2" t="s">
        <v>124</v>
      </c>
      <c r="D22071" s="2" t="s">
        <v>339</v>
      </c>
      <c r="E22071" s="2" t="str">
        <f>"9781032092188"</f>
        <v>9781032092188</v>
      </c>
      <c r="F22071" s="2" t="str">
        <f>"9781315145198"</f>
        <v>9781315145198</v>
      </c>
    </row>
    <row r="22072" spans="1:6" s="3" customFormat="1" ht="29.1" customHeight="1" x14ac:dyDescent="0.25">
      <c r="A22072" s="2" t="s">
        <v>43171</v>
      </c>
      <c r="B22072" s="2" t="s">
        <v>43172</v>
      </c>
      <c r="C22072" s="2" t="s">
        <v>36</v>
      </c>
      <c r="D22072" s="2" t="s">
        <v>101</v>
      </c>
      <c r="E22072" s="2" t="str">
        <f>"9781447344858"</f>
        <v>9781447344858</v>
      </c>
      <c r="F22072" s="2" t="str">
        <f>"9781447344865"</f>
        <v>9781447344865</v>
      </c>
    </row>
    <row r="22073" spans="1:6" s="3" customFormat="1" ht="29.1" customHeight="1" x14ac:dyDescent="0.25">
      <c r="A22073" s="2" t="s">
        <v>43173</v>
      </c>
      <c r="B22073" s="2" t="s">
        <v>43174</v>
      </c>
      <c r="C22073" s="2" t="s">
        <v>8047</v>
      </c>
      <c r="D22073" s="2" t="s">
        <v>3155</v>
      </c>
      <c r="E22073" s="2" t="str">
        <f>"9780271083292"</f>
        <v>9780271083292</v>
      </c>
      <c r="F22073" s="2" t="str">
        <f>"9780271084343"</f>
        <v>9780271084343</v>
      </c>
    </row>
    <row r="22074" spans="1:6" s="3" customFormat="1" ht="29.1" customHeight="1" x14ac:dyDescent="0.25">
      <c r="A22074" s="2" t="s">
        <v>43175</v>
      </c>
      <c r="B22074" s="2" t="s">
        <v>43176</v>
      </c>
      <c r="C22074" s="2" t="s">
        <v>264</v>
      </c>
      <c r="D22074" s="2" t="s">
        <v>2475</v>
      </c>
      <c r="E22074" s="2" t="str">
        <f>"9780367446062"</f>
        <v>9780367446062</v>
      </c>
      <c r="F22074" s="2" t="str">
        <f>"9780429291890"</f>
        <v>9780429291890</v>
      </c>
    </row>
    <row r="22075" spans="1:6" s="3" customFormat="1" ht="29.1" customHeight="1" x14ac:dyDescent="0.25">
      <c r="A22075" s="2" t="s">
        <v>43177</v>
      </c>
      <c r="B22075" s="2" t="s">
        <v>43178</v>
      </c>
      <c r="C22075" s="2" t="s">
        <v>264</v>
      </c>
      <c r="D22075" s="2" t="s">
        <v>850</v>
      </c>
      <c r="E22075" s="2" t="str">
        <f>"9780750308670"</f>
        <v>9780750308670</v>
      </c>
      <c r="F22075" s="2" t="str">
        <f>"9780429525025"</f>
        <v>9780429525025</v>
      </c>
    </row>
    <row r="22076" spans="1:6" s="3" customFormat="1" ht="29.1" customHeight="1" x14ac:dyDescent="0.25">
      <c r="A22076" s="2" t="s">
        <v>43179</v>
      </c>
      <c r="B22076" s="2" t="s">
        <v>43180</v>
      </c>
      <c r="C22076" s="2" t="s">
        <v>248</v>
      </c>
      <c r="D22076" s="2" t="s">
        <v>1927</v>
      </c>
      <c r="E22076" s="2" t="str">
        <f>"9783847423188"</f>
        <v>9783847423188</v>
      </c>
      <c r="F22076" s="2" t="str">
        <f>"9783847414810"</f>
        <v>9783847414810</v>
      </c>
    </row>
    <row r="22077" spans="1:6" s="3" customFormat="1" ht="29.1" customHeight="1" x14ac:dyDescent="0.25">
      <c r="A22077" s="2" t="s">
        <v>43181</v>
      </c>
      <c r="B22077" s="2" t="s">
        <v>43182</v>
      </c>
      <c r="C22077" s="2" t="s">
        <v>316</v>
      </c>
      <c r="D22077" s="2" t="s">
        <v>317</v>
      </c>
      <c r="E22077" s="2" t="str">
        <f>"9783035714371"</f>
        <v>9783035714371</v>
      </c>
      <c r="F22077" s="2" t="str">
        <f>"9783035734379"</f>
        <v>9783035734379</v>
      </c>
    </row>
    <row r="22078" spans="1:6" s="3" customFormat="1" ht="29.1" customHeight="1" x14ac:dyDescent="0.25">
      <c r="A22078" s="2" t="s">
        <v>43183</v>
      </c>
      <c r="B22078" s="2" t="s">
        <v>43184</v>
      </c>
      <c r="C22078" s="2" t="s">
        <v>29</v>
      </c>
      <c r="D22078" s="2" t="s">
        <v>218</v>
      </c>
      <c r="E22078" s="2" t="str">
        <f>"9789004400245"</f>
        <v>9789004400245</v>
      </c>
      <c r="F22078" s="2" t="str">
        <f>"9789004400696"</f>
        <v>9789004400696</v>
      </c>
    </row>
    <row r="22079" spans="1:6" s="3" customFormat="1" ht="29.1" customHeight="1" x14ac:dyDescent="0.25">
      <c r="A22079" s="2" t="s">
        <v>43185</v>
      </c>
      <c r="B22079" s="2" t="s">
        <v>43186</v>
      </c>
      <c r="C22079" s="2" t="s">
        <v>195</v>
      </c>
      <c r="D22079" s="2" t="s">
        <v>339</v>
      </c>
      <c r="E22079" s="2" t="str">
        <f>"9783111013350"</f>
        <v>9783111013350</v>
      </c>
      <c r="F22079" s="2" t="str">
        <f>"9783111370330"</f>
        <v>9783111370330</v>
      </c>
    </row>
    <row r="22080" spans="1:6" s="3" customFormat="1" ht="29.1" customHeight="1" x14ac:dyDescent="0.25">
      <c r="A22080" s="2" t="s">
        <v>43187</v>
      </c>
      <c r="B22080" s="2" t="s">
        <v>43188</v>
      </c>
      <c r="C22080" s="2" t="s">
        <v>195</v>
      </c>
      <c r="D22080" s="2" t="s">
        <v>1390</v>
      </c>
      <c r="E22080" s="2" t="str">
        <f>"9783111004334"</f>
        <v>9783111004334</v>
      </c>
      <c r="F22080" s="2" t="str">
        <f>"9783111361611"</f>
        <v>9783111361611</v>
      </c>
    </row>
    <row r="22081" spans="1:6" s="3" customFormat="1" ht="29.1" customHeight="1" x14ac:dyDescent="0.25">
      <c r="A22081" s="2" t="s">
        <v>43189</v>
      </c>
      <c r="B22081" s="2" t="s">
        <v>43190</v>
      </c>
      <c r="C22081" s="2" t="s">
        <v>195</v>
      </c>
      <c r="D22081" s="2" t="s">
        <v>1816</v>
      </c>
      <c r="E22081" s="2" t="str">
        <f>"9783111019611"</f>
        <v>9783111019611</v>
      </c>
      <c r="F22081" s="2" t="str">
        <f>"9783111377872"</f>
        <v>9783111377872</v>
      </c>
    </row>
    <row r="22082" spans="1:6" s="3" customFormat="1" ht="29.1" customHeight="1" x14ac:dyDescent="0.25">
      <c r="A22082" s="2" t="s">
        <v>39707</v>
      </c>
      <c r="B22082" s="2" t="s">
        <v>39708</v>
      </c>
      <c r="C22082" s="2" t="s">
        <v>195</v>
      </c>
      <c r="D22082" s="2" t="s">
        <v>33</v>
      </c>
      <c r="E22082" s="2" t="str">
        <f>"9783111040288"</f>
        <v>9783111040288</v>
      </c>
      <c r="F22082" s="2" t="str">
        <f>"9783111403731"</f>
        <v>9783111403731</v>
      </c>
    </row>
    <row r="22083" spans="1:6" s="3" customFormat="1" ht="29.1" customHeight="1" x14ac:dyDescent="0.25">
      <c r="A22083" s="2" t="s">
        <v>43191</v>
      </c>
      <c r="B22083" s="2" t="s">
        <v>43192</v>
      </c>
      <c r="C22083" s="2" t="s">
        <v>195</v>
      </c>
      <c r="D22083" s="2" t="s">
        <v>210</v>
      </c>
      <c r="E22083" s="2" t="str">
        <f>"9783111007793"</f>
        <v>9783111007793</v>
      </c>
      <c r="F22083" s="2" t="str">
        <f>"9783111364940"</f>
        <v>9783111364940</v>
      </c>
    </row>
    <row r="22084" spans="1:6" s="3" customFormat="1" ht="29.1" customHeight="1" x14ac:dyDescent="0.25">
      <c r="A22084" s="2" t="s">
        <v>43193</v>
      </c>
      <c r="B22084" s="2" t="s">
        <v>43194</v>
      </c>
      <c r="C22084" s="2" t="s">
        <v>195</v>
      </c>
      <c r="D22084" s="2" t="s">
        <v>4739</v>
      </c>
      <c r="E22084" s="2" t="str">
        <f>"9783111004488"</f>
        <v>9783111004488</v>
      </c>
      <c r="F22084" s="2" t="str">
        <f>"9783111361741"</f>
        <v>9783111361741</v>
      </c>
    </row>
    <row r="22085" spans="1:6" s="3" customFormat="1" ht="29.1" customHeight="1" x14ac:dyDescent="0.25">
      <c r="A22085" s="2" t="s">
        <v>43195</v>
      </c>
      <c r="B22085" s="2" t="s">
        <v>43196</v>
      </c>
      <c r="C22085" s="2" t="s">
        <v>927</v>
      </c>
      <c r="D22085" s="2" t="s">
        <v>186</v>
      </c>
      <c r="E22085" s="2" t="str">
        <f>"9780472116157"</f>
        <v>9780472116157</v>
      </c>
      <c r="F22085" s="2" t="str">
        <f>"9780472126286"</f>
        <v>9780472126286</v>
      </c>
    </row>
    <row r="22086" spans="1:6" s="3" customFormat="1" ht="29.1" customHeight="1" x14ac:dyDescent="0.25">
      <c r="A22086" s="2" t="s">
        <v>43197</v>
      </c>
      <c r="B22086" s="2" t="s">
        <v>43198</v>
      </c>
      <c r="C22086" s="2" t="s">
        <v>149</v>
      </c>
      <c r="D22086" s="2" t="s">
        <v>3043</v>
      </c>
      <c r="E22086" s="2" t="str">
        <f>"9781783747382"</f>
        <v>9781783747382</v>
      </c>
      <c r="F22086" s="2" t="str">
        <f>"9781783747405"</f>
        <v>9781783747405</v>
      </c>
    </row>
    <row r="22087" spans="1:6" s="3" customFormat="1" ht="29.1" customHeight="1" x14ac:dyDescent="0.25">
      <c r="A22087" s="2" t="s">
        <v>43199</v>
      </c>
      <c r="B22087" s="2" t="s">
        <v>43200</v>
      </c>
      <c r="C22087" s="2" t="s">
        <v>8853</v>
      </c>
      <c r="D22087" s="2" t="s">
        <v>1432</v>
      </c>
      <c r="E22087" s="2" t="str">
        <f>"9784866580548"</f>
        <v>9784866580548</v>
      </c>
      <c r="F22087" s="2" t="str">
        <f>"9784866580838"</f>
        <v>9784866580838</v>
      </c>
    </row>
    <row r="22088" spans="1:6" s="3" customFormat="1" ht="29.1" customHeight="1" x14ac:dyDescent="0.25">
      <c r="A22088" s="2" t="s">
        <v>43201</v>
      </c>
      <c r="B22088" s="2" t="s">
        <v>43202</v>
      </c>
      <c r="C22088" s="2" t="s">
        <v>195</v>
      </c>
      <c r="D22088" s="2" t="s">
        <v>3345</v>
      </c>
      <c r="E22088" s="2" t="str">
        <f>"9783110620320"</f>
        <v>9783110620320</v>
      </c>
      <c r="F22088" s="2" t="str">
        <f>"9783110620351"</f>
        <v>9783110620351</v>
      </c>
    </row>
    <row r="22089" spans="1:6" s="3" customFormat="1" ht="29.1" customHeight="1" x14ac:dyDescent="0.25">
      <c r="A22089" s="2" t="s">
        <v>43203</v>
      </c>
      <c r="B22089" s="2" t="s">
        <v>43204</v>
      </c>
      <c r="C22089" s="2" t="s">
        <v>195</v>
      </c>
      <c r="D22089" s="2" t="s">
        <v>9392</v>
      </c>
      <c r="E22089" s="2" t="str">
        <f>"9783110098792"</f>
        <v>9783110098792</v>
      </c>
      <c r="F22089" s="2" t="str">
        <f>"9783111521350"</f>
        <v>9783111521350</v>
      </c>
    </row>
    <row r="22090" spans="1:6" s="3" customFormat="1" ht="29.1" customHeight="1" x14ac:dyDescent="0.25">
      <c r="A22090" s="2" t="s">
        <v>43205</v>
      </c>
      <c r="B22090" s="2" t="s">
        <v>38982</v>
      </c>
      <c r="C22090" s="2" t="s">
        <v>195</v>
      </c>
      <c r="D22090" s="2" t="s">
        <v>462</v>
      </c>
      <c r="E22090" s="2" t="str">
        <f>"9783111067186"</f>
        <v>9783111067186</v>
      </c>
      <c r="F22090" s="2" t="str">
        <f>"9783111432700"</f>
        <v>9783111432700</v>
      </c>
    </row>
    <row r="22091" spans="1:6" s="3" customFormat="1" ht="29.1" customHeight="1" x14ac:dyDescent="0.25">
      <c r="A22091" s="2" t="s">
        <v>43206</v>
      </c>
      <c r="B22091" s="2" t="s">
        <v>43207</v>
      </c>
      <c r="C22091" s="2" t="s">
        <v>195</v>
      </c>
      <c r="D22091" s="2" t="s">
        <v>916</v>
      </c>
      <c r="E22091" s="2" t="str">
        <f>"9783110579239"</f>
        <v>9783110579239</v>
      </c>
      <c r="F22091" s="2" t="str">
        <f>"9783110579482"</f>
        <v>9783110579482</v>
      </c>
    </row>
    <row r="22092" spans="1:6" s="3" customFormat="1" ht="29.1" customHeight="1" x14ac:dyDescent="0.25">
      <c r="A22092" s="2" t="s">
        <v>43208</v>
      </c>
      <c r="B22092" s="2" t="s">
        <v>42444</v>
      </c>
      <c r="C22092" s="2" t="s">
        <v>124</v>
      </c>
      <c r="D22092" s="2" t="s">
        <v>1864</v>
      </c>
      <c r="E22092" s="2" t="str">
        <f>"9780367333430"</f>
        <v>9780367333430</v>
      </c>
      <c r="F22092" s="2" t="str">
        <f>"9781000690644"</f>
        <v>9781000690644</v>
      </c>
    </row>
    <row r="22093" spans="1:6" s="3" customFormat="1" ht="29.1" customHeight="1" x14ac:dyDescent="0.25">
      <c r="A22093" s="2" t="s">
        <v>43209</v>
      </c>
      <c r="B22093" s="2" t="s">
        <v>43210</v>
      </c>
      <c r="C22093" s="2" t="s">
        <v>124</v>
      </c>
      <c r="D22093" s="2" t="s">
        <v>4720</v>
      </c>
      <c r="E22093" s="2" t="str">
        <f>"9781032089959"</f>
        <v>9781032089959</v>
      </c>
      <c r="F22093" s="2" t="str">
        <f>"9780429851957"</f>
        <v>9780429851957</v>
      </c>
    </row>
    <row r="22094" spans="1:6" s="3" customFormat="1" ht="29.1" customHeight="1" x14ac:dyDescent="0.25">
      <c r="A22094" s="2" t="s">
        <v>43211</v>
      </c>
      <c r="B22094" s="2" t="s">
        <v>43212</v>
      </c>
      <c r="C22094" s="2" t="s">
        <v>124</v>
      </c>
      <c r="D22094" s="2" t="s">
        <v>270</v>
      </c>
      <c r="E22094" s="2" t="str">
        <f>"9780815380078"</f>
        <v>9780815380078</v>
      </c>
      <c r="F22094" s="2" t="str">
        <f>"9781351214087"</f>
        <v>9781351214087</v>
      </c>
    </row>
    <row r="22095" spans="1:6" s="3" customFormat="1" ht="29.1" customHeight="1" x14ac:dyDescent="0.25">
      <c r="A22095" s="2" t="s">
        <v>43213</v>
      </c>
      <c r="B22095" s="2" t="s">
        <v>43214</v>
      </c>
      <c r="C22095" s="2" t="s">
        <v>124</v>
      </c>
      <c r="D22095" s="2" t="s">
        <v>353</v>
      </c>
      <c r="E22095" s="2" t="str">
        <f>"9780367189822"</f>
        <v>9780367189822</v>
      </c>
      <c r="F22095" s="2" t="str">
        <f>"9780429199646"</f>
        <v>9780429199646</v>
      </c>
    </row>
    <row r="22096" spans="1:6" s="3" customFormat="1" ht="29.1" customHeight="1" x14ac:dyDescent="0.25">
      <c r="A22096" s="2" t="s">
        <v>43215</v>
      </c>
      <c r="B22096" s="2" t="s">
        <v>43216</v>
      </c>
      <c r="C22096" s="2" t="s">
        <v>15885</v>
      </c>
      <c r="D22096" s="2" t="s">
        <v>3993</v>
      </c>
      <c r="E22096" s="2" t="str">
        <f>"9780813066325"</f>
        <v>9780813066325</v>
      </c>
      <c r="F22096" s="2" t="str">
        <f>"9780813065496"</f>
        <v>9780813065496</v>
      </c>
    </row>
    <row r="22097" spans="1:6" s="3" customFormat="1" ht="29.1" customHeight="1" x14ac:dyDescent="0.25">
      <c r="A22097" s="2" t="s">
        <v>43217</v>
      </c>
      <c r="B22097" s="2" t="s">
        <v>43218</v>
      </c>
      <c r="C22097" s="2" t="s">
        <v>264</v>
      </c>
      <c r="D22097" s="2" t="s">
        <v>4002</v>
      </c>
      <c r="E22097" s="2" t="str">
        <f>"9780367259358"</f>
        <v>9780367259358</v>
      </c>
      <c r="F22097" s="2" t="str">
        <f>"9781000690682"</f>
        <v>9781000690682</v>
      </c>
    </row>
    <row r="22098" spans="1:6" s="3" customFormat="1" ht="29.1" customHeight="1" x14ac:dyDescent="0.25">
      <c r="A22098" s="2" t="s">
        <v>43219</v>
      </c>
      <c r="B22098" s="2" t="s">
        <v>43220</v>
      </c>
      <c r="C22098" s="2" t="s">
        <v>595</v>
      </c>
      <c r="D22098" s="2" t="s">
        <v>8788</v>
      </c>
      <c r="E22098" s="2" t="str">
        <f>"9783034337540"</f>
        <v>9783034337540</v>
      </c>
      <c r="F22098" s="2" t="str">
        <f>"9783034337960"</f>
        <v>9783034337960</v>
      </c>
    </row>
    <row r="22099" spans="1:6" s="3" customFormat="1" ht="29.1" customHeight="1" x14ac:dyDescent="0.25">
      <c r="A22099" s="2" t="s">
        <v>43221</v>
      </c>
      <c r="B22099" s="2" t="s">
        <v>43222</v>
      </c>
      <c r="C22099" s="2" t="s">
        <v>595</v>
      </c>
      <c r="D22099" s="2" t="s">
        <v>6347</v>
      </c>
      <c r="E22099" s="2" t="str">
        <f>"9783034330930"</f>
        <v>9783034330930</v>
      </c>
      <c r="F22099" s="2" t="str">
        <f>"9783034337434"</f>
        <v>9783034337434</v>
      </c>
    </row>
    <row r="22100" spans="1:6" s="3" customFormat="1" ht="29.1" customHeight="1" x14ac:dyDescent="0.25">
      <c r="A22100" s="2" t="s">
        <v>43223</v>
      </c>
      <c r="B22100" s="2" t="s">
        <v>43224</v>
      </c>
      <c r="C22100" s="2" t="s">
        <v>595</v>
      </c>
      <c r="D22100" s="2" t="s">
        <v>446</v>
      </c>
      <c r="E22100" s="2" t="str">
        <f>"9783631785607"</f>
        <v>9783631785607</v>
      </c>
      <c r="F22100" s="2" t="str">
        <f>"9783631786789"</f>
        <v>9783631786789</v>
      </c>
    </row>
    <row r="22101" spans="1:6" s="3" customFormat="1" ht="29.1" customHeight="1" x14ac:dyDescent="0.25">
      <c r="A22101" s="2" t="s">
        <v>43225</v>
      </c>
      <c r="B22101" s="2" t="s">
        <v>43226</v>
      </c>
      <c r="C22101" s="2" t="s">
        <v>124</v>
      </c>
      <c r="D22101" s="2" t="s">
        <v>606</v>
      </c>
      <c r="E22101" s="2" t="str">
        <f>"9781138358980"</f>
        <v>9781138358980</v>
      </c>
      <c r="F22101" s="2" t="str">
        <f>"9780429783500"</f>
        <v>9780429783500</v>
      </c>
    </row>
    <row r="22102" spans="1:6" s="3" customFormat="1" ht="29.1" customHeight="1" x14ac:dyDescent="0.25">
      <c r="A22102" s="2" t="s">
        <v>43227</v>
      </c>
      <c r="B22102" s="2" t="s">
        <v>43228</v>
      </c>
      <c r="C22102" s="2" t="s">
        <v>124</v>
      </c>
      <c r="D22102" s="2" t="s">
        <v>984</v>
      </c>
      <c r="E22102" s="2" t="str">
        <f>"9780367211592"</f>
        <v>9780367211592</v>
      </c>
      <c r="F22102" s="2" t="str">
        <f>"9780429556289"</f>
        <v>9780429556289</v>
      </c>
    </row>
    <row r="22103" spans="1:6" s="3" customFormat="1" ht="29.1" customHeight="1" x14ac:dyDescent="0.25">
      <c r="A22103" s="2" t="s">
        <v>43229</v>
      </c>
      <c r="B22103" s="2" t="s">
        <v>43230</v>
      </c>
      <c r="C22103" s="2" t="s">
        <v>36</v>
      </c>
      <c r="D22103" s="2" t="s">
        <v>3943</v>
      </c>
      <c r="E22103" s="2" t="str">
        <f>"9781447340171"</f>
        <v>9781447340171</v>
      </c>
      <c r="F22103" s="2" t="str">
        <f>"9781447340331"</f>
        <v>9781447340331</v>
      </c>
    </row>
    <row r="22104" spans="1:6" s="3" customFormat="1" ht="29.1" customHeight="1" x14ac:dyDescent="0.25">
      <c r="A22104" s="2" t="s">
        <v>43231</v>
      </c>
      <c r="B22104" s="2" t="s">
        <v>43232</v>
      </c>
      <c r="C22104" s="2" t="s">
        <v>124</v>
      </c>
      <c r="D22104" s="2" t="s">
        <v>2019</v>
      </c>
      <c r="E22104" s="2" t="str">
        <f>"9781138359628"</f>
        <v>9781138359628</v>
      </c>
      <c r="F22104" s="2" t="str">
        <f>"9780429782480"</f>
        <v>9780429782480</v>
      </c>
    </row>
    <row r="22105" spans="1:6" s="3" customFormat="1" ht="29.1" customHeight="1" x14ac:dyDescent="0.25">
      <c r="A22105" s="2" t="s">
        <v>43233</v>
      </c>
      <c r="B22105" s="2" t="s">
        <v>43234</v>
      </c>
      <c r="C22105" s="2" t="s">
        <v>248</v>
      </c>
      <c r="D22105" s="2" t="s">
        <v>249</v>
      </c>
      <c r="E22105" s="2" t="str">
        <f>"9783938094785"</f>
        <v>9783938094785</v>
      </c>
      <c r="F22105" s="2" t="str">
        <f>"9783866498921"</f>
        <v>9783866498921</v>
      </c>
    </row>
    <row r="22106" spans="1:6" s="3" customFormat="1" ht="29.1" customHeight="1" x14ac:dyDescent="0.25">
      <c r="A22106" s="2" t="s">
        <v>43235</v>
      </c>
      <c r="B22106" s="2" t="s">
        <v>43236</v>
      </c>
      <c r="C22106" s="2" t="s">
        <v>248</v>
      </c>
      <c r="D22106" s="2" t="s">
        <v>1560</v>
      </c>
      <c r="E22106" s="2" t="str">
        <f>"9783940755766"</f>
        <v>9783940755766</v>
      </c>
      <c r="F22106" s="2" t="str">
        <f>"9783863884116"</f>
        <v>9783863884116</v>
      </c>
    </row>
    <row r="22107" spans="1:6" s="3" customFormat="1" ht="29.1" customHeight="1" x14ac:dyDescent="0.25">
      <c r="A22107" s="2" t="s">
        <v>43237</v>
      </c>
      <c r="B22107" s="2" t="s">
        <v>43238</v>
      </c>
      <c r="C22107" s="2" t="s">
        <v>124</v>
      </c>
      <c r="D22107" s="2" t="s">
        <v>2587</v>
      </c>
      <c r="E22107" s="2" t="str">
        <f>"9780367199975"</f>
        <v>9780367199975</v>
      </c>
      <c r="F22107" s="2" t="str">
        <f>"9780429244612"</f>
        <v>9780429244612</v>
      </c>
    </row>
    <row r="22108" spans="1:6" s="3" customFormat="1" ht="29.1" customHeight="1" x14ac:dyDescent="0.25">
      <c r="A22108" s="2" t="s">
        <v>43239</v>
      </c>
      <c r="B22108" s="2" t="s">
        <v>15281</v>
      </c>
      <c r="C22108" s="2" t="s">
        <v>124</v>
      </c>
      <c r="D22108" s="2" t="s">
        <v>1082</v>
      </c>
      <c r="E22108" s="2" t="str">
        <f>"9781138585669"</f>
        <v>9781138585669</v>
      </c>
      <c r="F22108" s="2" t="str">
        <f>"9780429999017"</f>
        <v>9780429999017</v>
      </c>
    </row>
    <row r="22109" spans="1:6" s="3" customFormat="1" ht="29.1" customHeight="1" x14ac:dyDescent="0.25">
      <c r="A22109" s="2" t="s">
        <v>43240</v>
      </c>
      <c r="B22109" s="2" t="s">
        <v>43241</v>
      </c>
      <c r="C22109" s="2" t="s">
        <v>264</v>
      </c>
      <c r="D22109" s="2" t="s">
        <v>32346</v>
      </c>
      <c r="E22109" s="2" t="str">
        <f>"9780367336042"</f>
        <v>9780367336042</v>
      </c>
      <c r="F22109" s="2" t="str">
        <f>"9780429320774"</f>
        <v>9780429320774</v>
      </c>
    </row>
    <row r="22110" spans="1:6" s="3" customFormat="1" ht="29.1" customHeight="1" x14ac:dyDescent="0.25">
      <c r="A22110" s="2" t="s">
        <v>43242</v>
      </c>
      <c r="B22110" s="2" t="s">
        <v>43243</v>
      </c>
      <c r="C22110" s="2" t="s">
        <v>124</v>
      </c>
      <c r="D22110" s="2" t="s">
        <v>186</v>
      </c>
      <c r="E22110" s="2" t="str">
        <f>"9780367224448"</f>
        <v>9780367224448</v>
      </c>
      <c r="F22110" s="2" t="str">
        <f>"9781000005264"</f>
        <v>9781000005264</v>
      </c>
    </row>
    <row r="22111" spans="1:6" s="3" customFormat="1" ht="29.1" customHeight="1" x14ac:dyDescent="0.25">
      <c r="A22111" s="2" t="s">
        <v>43244</v>
      </c>
      <c r="B22111" s="2" t="s">
        <v>43245</v>
      </c>
      <c r="C22111" s="2" t="s">
        <v>124</v>
      </c>
      <c r="D22111" s="2" t="s">
        <v>2150</v>
      </c>
      <c r="E22111" s="2" t="str">
        <f>"9780367197476"</f>
        <v>9780367197476</v>
      </c>
      <c r="F22111" s="2" t="str">
        <f>"9780429512766"</f>
        <v>9780429512766</v>
      </c>
    </row>
    <row r="22112" spans="1:6" s="3" customFormat="1" ht="29.1" customHeight="1" x14ac:dyDescent="0.25">
      <c r="A22112" s="2" t="s">
        <v>43246</v>
      </c>
      <c r="B22112" s="2" t="s">
        <v>43247</v>
      </c>
      <c r="C22112" s="2" t="s">
        <v>124</v>
      </c>
      <c r="D22112" s="2" t="s">
        <v>462</v>
      </c>
      <c r="E22112" s="2" t="str">
        <f>"9780367143350"</f>
        <v>9780367143350</v>
      </c>
      <c r="F22112" s="2" t="str">
        <f>"9780429631979"</f>
        <v>9780429631979</v>
      </c>
    </row>
    <row r="22113" spans="1:6" s="3" customFormat="1" ht="29.1" customHeight="1" x14ac:dyDescent="0.25">
      <c r="A22113" s="2" t="s">
        <v>43248</v>
      </c>
      <c r="B22113" s="2" t="s">
        <v>43249</v>
      </c>
      <c r="C22113" s="2" t="s">
        <v>124</v>
      </c>
      <c r="D22113" s="2" t="s">
        <v>3852</v>
      </c>
      <c r="E22113" s="2" t="str">
        <f>"9781138344174"</f>
        <v>9781138344174</v>
      </c>
      <c r="F22113" s="2" t="str">
        <f>"9781000000986"</f>
        <v>9781000000986</v>
      </c>
    </row>
    <row r="22114" spans="1:6" s="3" customFormat="1" ht="29.1" customHeight="1" x14ac:dyDescent="0.25">
      <c r="A22114" s="2" t="s">
        <v>43250</v>
      </c>
      <c r="B22114" s="2" t="s">
        <v>43251</v>
      </c>
      <c r="C22114" s="2" t="s">
        <v>124</v>
      </c>
      <c r="D22114" s="2" t="s">
        <v>186</v>
      </c>
      <c r="E22114" s="2" t="str">
        <f>"9780815358831"</f>
        <v>9780815358831</v>
      </c>
      <c r="F22114" s="2" t="str">
        <f>"9781351121774"</f>
        <v>9781351121774</v>
      </c>
    </row>
    <row r="22115" spans="1:6" s="3" customFormat="1" ht="29.1" customHeight="1" x14ac:dyDescent="0.25">
      <c r="A22115" s="2" t="s">
        <v>43252</v>
      </c>
      <c r="B22115" s="2" t="s">
        <v>43253</v>
      </c>
      <c r="C22115" s="2" t="s">
        <v>124</v>
      </c>
      <c r="D22115" s="2" t="s">
        <v>189</v>
      </c>
      <c r="E22115" s="2" t="str">
        <f>"9780367027230"</f>
        <v>9780367027230</v>
      </c>
      <c r="F22115" s="2" t="str">
        <f>"9780429675348"</f>
        <v>9780429675348</v>
      </c>
    </row>
    <row r="22116" spans="1:6" s="3" customFormat="1" ht="29.1" customHeight="1" x14ac:dyDescent="0.25">
      <c r="A22116" s="2" t="s">
        <v>43254</v>
      </c>
      <c r="B22116" s="2" t="s">
        <v>43255</v>
      </c>
      <c r="C22116" s="2" t="s">
        <v>124</v>
      </c>
      <c r="D22116" s="2" t="s">
        <v>210</v>
      </c>
      <c r="E22116" s="2" t="str">
        <f>"9781472453587"</f>
        <v>9781472453587</v>
      </c>
      <c r="F22116" s="2" t="str">
        <f>"9781317021391"</f>
        <v>9781317021391</v>
      </c>
    </row>
    <row r="22117" spans="1:6" s="3" customFormat="1" ht="29.1" customHeight="1" x14ac:dyDescent="0.25">
      <c r="A22117" s="2" t="s">
        <v>43256</v>
      </c>
      <c r="B22117" s="2" t="s">
        <v>43257</v>
      </c>
      <c r="C22117" s="2" t="s">
        <v>124</v>
      </c>
      <c r="D22117" s="2" t="s">
        <v>81</v>
      </c>
      <c r="E22117" s="2" t="str">
        <f>"9780367189044"</f>
        <v>9780367189044</v>
      </c>
      <c r="F22117" s="2" t="str">
        <f>"9780429581519"</f>
        <v>9780429581519</v>
      </c>
    </row>
    <row r="22118" spans="1:6" s="3" customFormat="1" ht="29.1" customHeight="1" x14ac:dyDescent="0.25">
      <c r="A22118" s="2" t="s">
        <v>43258</v>
      </c>
      <c r="B22118" s="2" t="s">
        <v>43259</v>
      </c>
      <c r="C22118" s="2" t="s">
        <v>124</v>
      </c>
      <c r="D22118" s="2" t="s">
        <v>984</v>
      </c>
      <c r="E22118" s="2" t="str">
        <f>"9780367151195"</f>
        <v>9780367151195</v>
      </c>
      <c r="F22118" s="2" t="str">
        <f>"9780429619601"</f>
        <v>9780429619601</v>
      </c>
    </row>
    <row r="22119" spans="1:6" s="3" customFormat="1" ht="29.1" customHeight="1" x14ac:dyDescent="0.25">
      <c r="A22119" s="2" t="s">
        <v>43260</v>
      </c>
      <c r="B22119" s="2" t="s">
        <v>43261</v>
      </c>
      <c r="C22119" s="2" t="s">
        <v>124</v>
      </c>
      <c r="D22119" s="2" t="s">
        <v>297</v>
      </c>
      <c r="E22119" s="2" t="str">
        <f>"9781138564275"</f>
        <v>9781138564275</v>
      </c>
      <c r="F22119" s="2" t="str">
        <f>"9781351347365"</f>
        <v>9781351347365</v>
      </c>
    </row>
    <row r="22120" spans="1:6" s="3" customFormat="1" ht="29.1" customHeight="1" x14ac:dyDescent="0.25">
      <c r="A22120" s="2" t="s">
        <v>43262</v>
      </c>
      <c r="B22120" s="2" t="s">
        <v>43263</v>
      </c>
      <c r="C22120" s="2" t="s">
        <v>124</v>
      </c>
      <c r="D22120" s="2" t="s">
        <v>9395</v>
      </c>
      <c r="E22120" s="2" t="str">
        <f>"9780367246440"</f>
        <v>9780367246440</v>
      </c>
      <c r="F22120" s="2" t="str">
        <f>"9780429283666"</f>
        <v>9780429283666</v>
      </c>
    </row>
    <row r="22121" spans="1:6" s="3" customFormat="1" ht="29.1" customHeight="1" x14ac:dyDescent="0.25">
      <c r="A22121" s="2" t="s">
        <v>43264</v>
      </c>
      <c r="B22121" s="2" t="s">
        <v>43265</v>
      </c>
      <c r="C22121" s="2" t="s">
        <v>124</v>
      </c>
      <c r="D22121" s="2" t="s">
        <v>11776</v>
      </c>
      <c r="E22121" s="2" t="str">
        <f>"9781138559073"</f>
        <v>9781138559073</v>
      </c>
      <c r="F22121" s="2" t="str">
        <f>"9781351364102"</f>
        <v>9781351364102</v>
      </c>
    </row>
    <row r="22122" spans="1:6" s="3" customFormat="1" ht="29.1" customHeight="1" x14ac:dyDescent="0.25">
      <c r="A22122" s="2" t="s">
        <v>43266</v>
      </c>
      <c r="B22122" s="2" t="s">
        <v>43267</v>
      </c>
      <c r="C22122" s="2" t="s">
        <v>124</v>
      </c>
      <c r="D22122" s="2" t="s">
        <v>270</v>
      </c>
      <c r="E22122" s="2" t="str">
        <f>"9780367174590"</f>
        <v>9780367174590</v>
      </c>
      <c r="F22122" s="2" t="str">
        <f>"9780429614989"</f>
        <v>9780429614989</v>
      </c>
    </row>
    <row r="22123" spans="1:6" s="3" customFormat="1" ht="29.1" customHeight="1" x14ac:dyDescent="0.25">
      <c r="A22123" s="2" t="s">
        <v>43268</v>
      </c>
      <c r="B22123" s="2" t="s">
        <v>43270</v>
      </c>
      <c r="C22123" s="2" t="s">
        <v>7395</v>
      </c>
      <c r="D22123" s="2" t="s">
        <v>43269</v>
      </c>
      <c r="E22123" s="2" t="str">
        <f>"9780295745688"</f>
        <v>9780295745688</v>
      </c>
      <c r="F22123" s="2" t="str">
        <f>"9780295745701"</f>
        <v>9780295745701</v>
      </c>
    </row>
    <row r="22124" spans="1:6" s="3" customFormat="1" ht="29.1" customHeight="1" x14ac:dyDescent="0.25">
      <c r="A22124" s="2" t="s">
        <v>43271</v>
      </c>
      <c r="B22124" s="2" t="s">
        <v>43272</v>
      </c>
      <c r="C22124" s="2" t="s">
        <v>124</v>
      </c>
      <c r="D22124" s="2" t="s">
        <v>297</v>
      </c>
      <c r="E22124" s="2" t="str">
        <f>"9780367150990"</f>
        <v>9780367150990</v>
      </c>
      <c r="F22124" s="2" t="str">
        <f>"9780429198267"</f>
        <v>9780429198267</v>
      </c>
    </row>
    <row r="22125" spans="1:6" s="3" customFormat="1" ht="29.1" customHeight="1" x14ac:dyDescent="0.25">
      <c r="A22125" s="2" t="s">
        <v>43273</v>
      </c>
      <c r="B22125" s="2" t="s">
        <v>43274</v>
      </c>
      <c r="C22125" s="2" t="s">
        <v>124</v>
      </c>
      <c r="D22125" s="2" t="s">
        <v>15</v>
      </c>
      <c r="E22125" s="2" t="str">
        <f>"9781138584792"</f>
        <v>9781138584792</v>
      </c>
      <c r="F22125" s="2" t="str">
        <f>"9780429013188"</f>
        <v>9780429013188</v>
      </c>
    </row>
    <row r="22126" spans="1:6" s="3" customFormat="1" ht="29.1" customHeight="1" x14ac:dyDescent="0.25">
      <c r="A22126" s="2" t="s">
        <v>43275</v>
      </c>
      <c r="B22126" s="2" t="s">
        <v>43276</v>
      </c>
      <c r="C22126" s="2" t="s">
        <v>124</v>
      </c>
      <c r="D22126" s="2" t="s">
        <v>353</v>
      </c>
      <c r="E22126" s="2" t="str">
        <f>"9780367145644"</f>
        <v>9780367145644</v>
      </c>
      <c r="F22126" s="2" t="str">
        <f>"9780429626913"</f>
        <v>9780429626913</v>
      </c>
    </row>
    <row r="22127" spans="1:6" s="3" customFormat="1" ht="29.1" customHeight="1" x14ac:dyDescent="0.25">
      <c r="A22127" s="2" t="s">
        <v>43277</v>
      </c>
      <c r="B22127" s="2" t="s">
        <v>43278</v>
      </c>
      <c r="C22127" s="2" t="s">
        <v>124</v>
      </c>
      <c r="D22127" s="2" t="s">
        <v>553</v>
      </c>
      <c r="E22127" s="2" t="str">
        <f>"9780815385905"</f>
        <v>9780815385905</v>
      </c>
      <c r="F22127" s="2" t="str">
        <f>"9780429582592"</f>
        <v>9780429582592</v>
      </c>
    </row>
    <row r="22128" spans="1:6" s="3" customFormat="1" ht="29.1" customHeight="1" x14ac:dyDescent="0.25">
      <c r="A22128" s="2" t="s">
        <v>43279</v>
      </c>
      <c r="B22128" s="2" t="s">
        <v>43280</v>
      </c>
      <c r="C22128" s="2" t="s">
        <v>124</v>
      </c>
      <c r="D22128" s="2" t="s">
        <v>2513</v>
      </c>
      <c r="E22128" s="2" t="str">
        <f>"9780815392651"</f>
        <v>9780815392651</v>
      </c>
      <c r="F22128" s="2" t="str">
        <f>"9781351190336"</f>
        <v>9781351190336</v>
      </c>
    </row>
    <row r="22129" spans="1:6" s="3" customFormat="1" ht="29.1" customHeight="1" x14ac:dyDescent="0.25">
      <c r="A22129" s="2" t="s">
        <v>43281</v>
      </c>
      <c r="B22129" s="2" t="s">
        <v>43282</v>
      </c>
      <c r="C22129" s="2" t="s">
        <v>36</v>
      </c>
      <c r="D22129" s="2" t="s">
        <v>78</v>
      </c>
      <c r="E22129" s="2" t="str">
        <f>"9781529206180"</f>
        <v>9781529206180</v>
      </c>
      <c r="F22129" s="2" t="str">
        <f>"9781529206197"</f>
        <v>9781529206197</v>
      </c>
    </row>
    <row r="22130" spans="1:6" s="3" customFormat="1" ht="29.1" customHeight="1" x14ac:dyDescent="0.25">
      <c r="A22130" s="2" t="s">
        <v>43283</v>
      </c>
      <c r="B22130" s="2" t="s">
        <v>43284</v>
      </c>
      <c r="C22130" s="2" t="s">
        <v>195</v>
      </c>
      <c r="D22130" s="2" t="s">
        <v>218</v>
      </c>
      <c r="E22130" s="2" t="str">
        <f>"9783110634402"</f>
        <v>9783110634402</v>
      </c>
      <c r="F22130" s="2" t="str">
        <f>"9783110634631"</f>
        <v>9783110634631</v>
      </c>
    </row>
    <row r="22131" spans="1:6" s="3" customFormat="1" ht="29.1" customHeight="1" x14ac:dyDescent="0.25">
      <c r="A22131" s="2" t="s">
        <v>43285</v>
      </c>
      <c r="B22131" s="2" t="s">
        <v>43286</v>
      </c>
      <c r="C22131" s="2" t="s">
        <v>927</v>
      </c>
      <c r="D22131" s="2" t="s">
        <v>342</v>
      </c>
      <c r="E22131" s="2" t="str">
        <f>"9780472131402"</f>
        <v>9780472131402</v>
      </c>
      <c r="F22131" s="2" t="str">
        <f>"9780472125319"</f>
        <v>9780472125319</v>
      </c>
    </row>
    <row r="22132" spans="1:6" s="3" customFormat="1" ht="29.1" customHeight="1" x14ac:dyDescent="0.25">
      <c r="A22132" s="2" t="s">
        <v>43287</v>
      </c>
      <c r="B22132" s="2" t="s">
        <v>43288</v>
      </c>
      <c r="C22132" s="2" t="s">
        <v>556</v>
      </c>
      <c r="D22132" s="2" t="s">
        <v>1944</v>
      </c>
      <c r="E22132" s="2" t="str">
        <f>"9783837648287"</f>
        <v>9783837648287</v>
      </c>
      <c r="F22132" s="2" t="str">
        <f>"9783839448281"</f>
        <v>9783839448281</v>
      </c>
    </row>
    <row r="22133" spans="1:6" s="3" customFormat="1" ht="29.1" customHeight="1" x14ac:dyDescent="0.25">
      <c r="A22133" s="2" t="s">
        <v>43289</v>
      </c>
      <c r="B22133" s="2" t="s">
        <v>43290</v>
      </c>
      <c r="C22133" s="2" t="s">
        <v>556</v>
      </c>
      <c r="D22133" s="2" t="s">
        <v>339</v>
      </c>
      <c r="E22133" s="2" t="str">
        <f>"9783837645903"</f>
        <v>9783837645903</v>
      </c>
      <c r="F22133" s="2" t="str">
        <f>"9783839445907"</f>
        <v>9783839445907</v>
      </c>
    </row>
    <row r="22134" spans="1:6" s="3" customFormat="1" ht="29.1" customHeight="1" x14ac:dyDescent="0.25">
      <c r="A22134" s="2" t="s">
        <v>43291</v>
      </c>
      <c r="B22134" s="2" t="s">
        <v>163</v>
      </c>
      <c r="C22134" s="2" t="s">
        <v>149</v>
      </c>
      <c r="D22134" s="2" t="s">
        <v>405</v>
      </c>
      <c r="E22134" s="2" t="str">
        <f>"9781783746613"</f>
        <v>9781783746613</v>
      </c>
      <c r="F22134" s="2" t="str">
        <f>"9781783746637"</f>
        <v>9781783746637</v>
      </c>
    </row>
    <row r="22135" spans="1:6" s="3" customFormat="1" ht="29.1" customHeight="1" x14ac:dyDescent="0.25">
      <c r="A22135" s="2" t="s">
        <v>43292</v>
      </c>
      <c r="B22135" s="2" t="s">
        <v>43293</v>
      </c>
      <c r="C22135" s="2" t="s">
        <v>149</v>
      </c>
      <c r="D22135" s="2" t="s">
        <v>7147</v>
      </c>
      <c r="E22135" s="2" t="str">
        <f>"9781783747269"</f>
        <v>9781783747269</v>
      </c>
      <c r="F22135" s="2" t="str">
        <f>"9781783747283"</f>
        <v>9781783747283</v>
      </c>
    </row>
    <row r="22136" spans="1:6" s="3" customFormat="1" ht="29.1" customHeight="1" x14ac:dyDescent="0.25">
      <c r="A22136" s="2" t="s">
        <v>43294</v>
      </c>
      <c r="B22136" s="2" t="s">
        <v>43295</v>
      </c>
      <c r="C22136" s="2" t="s">
        <v>7163</v>
      </c>
      <c r="D22136" s="2" t="s">
        <v>7167</v>
      </c>
      <c r="E22136" s="2" t="str">
        <f>"9781611179903"</f>
        <v>9781611179903</v>
      </c>
      <c r="F22136" s="2" t="str">
        <f>"9781611179910"</f>
        <v>9781611179910</v>
      </c>
    </row>
    <row r="22137" spans="1:6" s="3" customFormat="1" ht="29.1" customHeight="1" x14ac:dyDescent="0.25">
      <c r="A22137" s="2" t="s">
        <v>43296</v>
      </c>
      <c r="B22137" s="2" t="s">
        <v>43298</v>
      </c>
      <c r="C22137" s="2" t="s">
        <v>1953</v>
      </c>
      <c r="D22137" s="2" t="s">
        <v>43297</v>
      </c>
      <c r="E22137" s="2"/>
      <c r="F22137" s="2" t="str">
        <f>"9781536149623"</f>
        <v>9781536149623</v>
      </c>
    </row>
    <row r="22138" spans="1:6" s="3" customFormat="1" ht="29.1" customHeight="1" x14ac:dyDescent="0.25">
      <c r="A22138" s="2" t="s">
        <v>43299</v>
      </c>
      <c r="B22138" s="2" t="s">
        <v>43300</v>
      </c>
      <c r="C22138" s="2" t="s">
        <v>124</v>
      </c>
      <c r="D22138" s="2" t="s">
        <v>10410</v>
      </c>
      <c r="E22138" s="2" t="str">
        <f>"9781041181804"</f>
        <v>9781041181804</v>
      </c>
      <c r="F22138" s="2" t="str">
        <f>"9781040781326"</f>
        <v>9781040781326</v>
      </c>
    </row>
    <row r="22139" spans="1:6" s="3" customFormat="1" ht="29.1" customHeight="1" x14ac:dyDescent="0.25">
      <c r="A22139" s="2" t="s">
        <v>43301</v>
      </c>
      <c r="B22139" s="2" t="s">
        <v>43302</v>
      </c>
      <c r="C22139" s="2" t="s">
        <v>327</v>
      </c>
      <c r="D22139" s="2" t="s">
        <v>78</v>
      </c>
      <c r="E22139" s="2" t="str">
        <f>"9788381423601"</f>
        <v>9788381423601</v>
      </c>
      <c r="F22139" s="2" t="str">
        <f>"9788381423618"</f>
        <v>9788381423618</v>
      </c>
    </row>
    <row r="22140" spans="1:6" s="3" customFormat="1" ht="29.1" customHeight="1" x14ac:dyDescent="0.25">
      <c r="A22140" s="2" t="s">
        <v>43303</v>
      </c>
      <c r="B22140" s="2" t="s">
        <v>43304</v>
      </c>
      <c r="C22140" s="2" t="s">
        <v>327</v>
      </c>
      <c r="D22140" s="2" t="s">
        <v>1245</v>
      </c>
      <c r="E22140" s="2" t="str">
        <f>"9788381423823"</f>
        <v>9788381423823</v>
      </c>
      <c r="F22140" s="2" t="str">
        <f>"9788381423830"</f>
        <v>9788381423830</v>
      </c>
    </row>
    <row r="22141" spans="1:6" s="3" customFormat="1" ht="29.1" customHeight="1" x14ac:dyDescent="0.25">
      <c r="A22141" s="2" t="s">
        <v>43305</v>
      </c>
      <c r="B22141" s="2" t="s">
        <v>43306</v>
      </c>
      <c r="C22141" s="2" t="s">
        <v>327</v>
      </c>
      <c r="D22141" s="2" t="s">
        <v>30328</v>
      </c>
      <c r="E22141" s="2" t="str">
        <f>"9788380884700"</f>
        <v>9788380884700</v>
      </c>
      <c r="F22141" s="2" t="str">
        <f>"9788380884717"</f>
        <v>9788380884717</v>
      </c>
    </row>
    <row r="22142" spans="1:6" s="3" customFormat="1" ht="29.1" customHeight="1" x14ac:dyDescent="0.25">
      <c r="A22142" s="2" t="s">
        <v>43307</v>
      </c>
      <c r="B22142" s="2" t="s">
        <v>43308</v>
      </c>
      <c r="C22142" s="2" t="s">
        <v>327</v>
      </c>
      <c r="D22142" s="2" t="s">
        <v>186</v>
      </c>
      <c r="E22142" s="2"/>
      <c r="F22142" s="2" t="str">
        <f>"9788381423977"</f>
        <v>9788381423977</v>
      </c>
    </row>
    <row r="22143" spans="1:6" s="3" customFormat="1" ht="29.1" customHeight="1" x14ac:dyDescent="0.25">
      <c r="A22143" s="2" t="s">
        <v>43309</v>
      </c>
      <c r="B22143" s="2" t="s">
        <v>43310</v>
      </c>
      <c r="C22143" s="2" t="s">
        <v>327</v>
      </c>
      <c r="D22143" s="2" t="s">
        <v>2019</v>
      </c>
      <c r="E22143" s="2" t="str">
        <f>"9788381421300"</f>
        <v>9788381421300</v>
      </c>
      <c r="F22143" s="2" t="str">
        <f>"9788381421317"</f>
        <v>9788381421317</v>
      </c>
    </row>
    <row r="22144" spans="1:6" s="3" customFormat="1" ht="29.1" customHeight="1" x14ac:dyDescent="0.25">
      <c r="A22144" s="2" t="s">
        <v>43311</v>
      </c>
      <c r="B22144" s="2" t="s">
        <v>43312</v>
      </c>
      <c r="C22144" s="2" t="s">
        <v>327</v>
      </c>
      <c r="D22144" s="2" t="s">
        <v>6628</v>
      </c>
      <c r="E22144" s="2" t="str">
        <f>"9788381423250"</f>
        <v>9788381423250</v>
      </c>
      <c r="F22144" s="2" t="str">
        <f>"9788381423267"</f>
        <v>9788381423267</v>
      </c>
    </row>
    <row r="22145" spans="1:6" s="3" customFormat="1" ht="29.1" customHeight="1" x14ac:dyDescent="0.25">
      <c r="A22145" s="2" t="s">
        <v>43313</v>
      </c>
      <c r="B22145" s="2" t="s">
        <v>32369</v>
      </c>
      <c r="C22145" s="2" t="s">
        <v>124</v>
      </c>
      <c r="D22145" s="2" t="s">
        <v>431</v>
      </c>
      <c r="E22145" s="2" t="str">
        <f>"9781138328600"</f>
        <v>9781138328600</v>
      </c>
      <c r="F22145" s="2" t="str">
        <f>"9780429828010"</f>
        <v>9780429828010</v>
      </c>
    </row>
    <row r="22146" spans="1:6" s="3" customFormat="1" ht="29.1" customHeight="1" x14ac:dyDescent="0.25">
      <c r="A22146" s="2" t="s">
        <v>43314</v>
      </c>
      <c r="B22146" s="2" t="s">
        <v>43315</v>
      </c>
      <c r="C22146" s="2" t="s">
        <v>124</v>
      </c>
      <c r="D22146" s="2" t="s">
        <v>33</v>
      </c>
      <c r="E22146" s="2" t="str">
        <f>"9781138370418"</f>
        <v>9781138370418</v>
      </c>
      <c r="F22146" s="2" t="str">
        <f>"9780429655319"</f>
        <v>9780429655319</v>
      </c>
    </row>
    <row r="22147" spans="1:6" s="3" customFormat="1" ht="29.1" customHeight="1" x14ac:dyDescent="0.25">
      <c r="A22147" s="2" t="s">
        <v>43316</v>
      </c>
      <c r="B22147" s="2" t="s">
        <v>38487</v>
      </c>
      <c r="C22147" s="2" t="s">
        <v>5050</v>
      </c>
      <c r="D22147" s="2" t="s">
        <v>35187</v>
      </c>
      <c r="E22147" s="2" t="str">
        <f>"9780824813451"</f>
        <v>9780824813451</v>
      </c>
      <c r="F22147" s="2" t="str">
        <f>"9780824842130"</f>
        <v>9780824842130</v>
      </c>
    </row>
    <row r="22148" spans="1:6" s="3" customFormat="1" ht="29.1" customHeight="1" x14ac:dyDescent="0.25">
      <c r="A22148" s="2" t="s">
        <v>43317</v>
      </c>
      <c r="B22148" s="2" t="s">
        <v>43318</v>
      </c>
      <c r="C22148" s="2" t="s">
        <v>195</v>
      </c>
      <c r="D22148" s="2" t="s">
        <v>183</v>
      </c>
      <c r="E22148" s="2" t="str">
        <f>"9783111295909"</f>
        <v>9783111295909</v>
      </c>
      <c r="F22148" s="2" t="str">
        <f>"9783111682655"</f>
        <v>9783111682655</v>
      </c>
    </row>
    <row r="22149" spans="1:6" s="3" customFormat="1" ht="29.1" customHeight="1" x14ac:dyDescent="0.25">
      <c r="A22149" s="2" t="s">
        <v>43317</v>
      </c>
      <c r="B22149" s="2" t="s">
        <v>43318</v>
      </c>
      <c r="C22149" s="2" t="s">
        <v>195</v>
      </c>
      <c r="D22149" s="2" t="s">
        <v>297</v>
      </c>
      <c r="E22149" s="2" t="str">
        <f>"9783111012827"</f>
        <v>9783111012827</v>
      </c>
      <c r="F22149" s="2" t="str">
        <f>"9783111369839"</f>
        <v>9783111369839</v>
      </c>
    </row>
    <row r="22150" spans="1:6" s="3" customFormat="1" ht="29.1" customHeight="1" x14ac:dyDescent="0.25">
      <c r="A22150" s="2" t="s">
        <v>43319</v>
      </c>
      <c r="B22150" s="2" t="s">
        <v>43320</v>
      </c>
      <c r="C22150" s="2" t="s">
        <v>195</v>
      </c>
      <c r="D22150" s="2" t="s">
        <v>339</v>
      </c>
      <c r="E22150" s="2" t="str">
        <f>"9783111007557"</f>
        <v>9783111007557</v>
      </c>
      <c r="F22150" s="2" t="str">
        <f>"9783111364728"</f>
        <v>9783111364728</v>
      </c>
    </row>
    <row r="22151" spans="1:6" s="3" customFormat="1" ht="29.1" customHeight="1" x14ac:dyDescent="0.25">
      <c r="A22151" s="2" t="s">
        <v>43321</v>
      </c>
      <c r="B22151" s="2" t="s">
        <v>43033</v>
      </c>
      <c r="C22151" s="2" t="s">
        <v>195</v>
      </c>
      <c r="D22151" s="2" t="s">
        <v>183</v>
      </c>
      <c r="E22151" s="2" t="str">
        <f>"9783111251240"</f>
        <v>9783111251240</v>
      </c>
      <c r="F22151" s="2" t="str">
        <f>"9783111629902"</f>
        <v>9783111629902</v>
      </c>
    </row>
    <row r="22152" spans="1:6" s="3" customFormat="1" ht="29.1" customHeight="1" x14ac:dyDescent="0.25">
      <c r="A22152" s="2" t="s">
        <v>43322</v>
      </c>
      <c r="B22152" s="2" t="s">
        <v>43323</v>
      </c>
      <c r="C22152" s="2" t="s">
        <v>195</v>
      </c>
      <c r="D22152" s="2" t="s">
        <v>81</v>
      </c>
      <c r="E22152" s="2" t="str">
        <f>"9783111163550"</f>
        <v>9783111163550</v>
      </c>
      <c r="F22152" s="2" t="str">
        <f>"9783111531564"</f>
        <v>9783111531564</v>
      </c>
    </row>
    <row r="22153" spans="1:6" s="3" customFormat="1" ht="29.1" customHeight="1" x14ac:dyDescent="0.25">
      <c r="A22153" s="2" t="s">
        <v>43324</v>
      </c>
      <c r="B22153" s="2" t="s">
        <v>43325</v>
      </c>
      <c r="C22153" s="2" t="s">
        <v>195</v>
      </c>
      <c r="D22153" s="2" t="s">
        <v>431</v>
      </c>
      <c r="E22153" s="2" t="str">
        <f>"9783111021997"</f>
        <v>9783111021997</v>
      </c>
      <c r="F22153" s="2" t="str">
        <f>"9783111380674"</f>
        <v>9783111380674</v>
      </c>
    </row>
    <row r="22154" spans="1:6" s="3" customFormat="1" ht="29.1" customHeight="1" x14ac:dyDescent="0.25">
      <c r="A22154" s="2" t="s">
        <v>43326</v>
      </c>
      <c r="B22154" s="2" t="s">
        <v>43325</v>
      </c>
      <c r="C22154" s="2" t="s">
        <v>195</v>
      </c>
      <c r="D22154" s="2" t="s">
        <v>431</v>
      </c>
      <c r="E22154" s="2" t="str">
        <f>"9783111021966"</f>
        <v>9783111021966</v>
      </c>
      <c r="F22154" s="2" t="str">
        <f>"9783111380643"</f>
        <v>9783111380643</v>
      </c>
    </row>
    <row r="22155" spans="1:6" s="3" customFormat="1" ht="29.1" customHeight="1" x14ac:dyDescent="0.25">
      <c r="A22155" s="2" t="s">
        <v>43327</v>
      </c>
      <c r="B22155" s="2" t="s">
        <v>43328</v>
      </c>
      <c r="C22155" s="2" t="s">
        <v>195</v>
      </c>
      <c r="D22155" s="2" t="s">
        <v>98</v>
      </c>
      <c r="E22155" s="2" t="str">
        <f>"9783111211985"</f>
        <v>9783111211985</v>
      </c>
      <c r="F22155" s="2" t="str">
        <f>"9783111585321"</f>
        <v>9783111585321</v>
      </c>
    </row>
    <row r="22156" spans="1:6" s="3" customFormat="1" ht="29.1" customHeight="1" x14ac:dyDescent="0.25">
      <c r="A22156" s="2" t="s">
        <v>43329</v>
      </c>
      <c r="B22156" s="2" t="s">
        <v>43330</v>
      </c>
      <c r="C22156" s="2" t="s">
        <v>195</v>
      </c>
      <c r="D22156" s="2" t="s">
        <v>339</v>
      </c>
      <c r="E22156" s="2" t="str">
        <f>"9783110097276"</f>
        <v>9783110097276</v>
      </c>
      <c r="F22156" s="2" t="str">
        <f>"9783110858334"</f>
        <v>9783110858334</v>
      </c>
    </row>
    <row r="22157" spans="1:6" s="3" customFormat="1" ht="29.1" customHeight="1" x14ac:dyDescent="0.25">
      <c r="A22157" s="2" t="s">
        <v>43331</v>
      </c>
      <c r="B22157" s="2" t="s">
        <v>43332</v>
      </c>
      <c r="C22157" s="2" t="s">
        <v>195</v>
      </c>
      <c r="D22157" s="2" t="s">
        <v>1390</v>
      </c>
      <c r="E22157" s="2" t="str">
        <f>"9783110045956"</f>
        <v>9783110045956</v>
      </c>
      <c r="F22157" s="2" t="str">
        <f>"9783110830088"</f>
        <v>9783110830088</v>
      </c>
    </row>
    <row r="22158" spans="1:6" s="3" customFormat="1" ht="29.1" customHeight="1" x14ac:dyDescent="0.25">
      <c r="A22158" s="2" t="s">
        <v>43333</v>
      </c>
      <c r="B22158" s="2" t="s">
        <v>43334</v>
      </c>
      <c r="C22158" s="2" t="s">
        <v>195</v>
      </c>
      <c r="D22158" s="2" t="s">
        <v>459</v>
      </c>
      <c r="E22158" s="2" t="str">
        <f>"9789027900234"</f>
        <v>9789027900234</v>
      </c>
      <c r="F22158" s="2" t="str">
        <f>"9783110814637"</f>
        <v>9783110814637</v>
      </c>
    </row>
    <row r="22159" spans="1:6" s="3" customFormat="1" ht="29.1" customHeight="1" x14ac:dyDescent="0.25">
      <c r="A22159" s="2" t="s">
        <v>43335</v>
      </c>
      <c r="B22159" s="2" t="s">
        <v>43336</v>
      </c>
      <c r="C22159" s="2" t="s">
        <v>195</v>
      </c>
      <c r="D22159" s="2" t="s">
        <v>33</v>
      </c>
      <c r="E22159" s="2" t="str">
        <f>"9783111304632"</f>
        <v>9783111304632</v>
      </c>
      <c r="F22159" s="2" t="str">
        <f>"9783111692197"</f>
        <v>9783111692197</v>
      </c>
    </row>
    <row r="22160" spans="1:6" s="3" customFormat="1" ht="29.1" customHeight="1" x14ac:dyDescent="0.25">
      <c r="A22160" s="2" t="s">
        <v>43337</v>
      </c>
      <c r="B22160" s="2" t="s">
        <v>43338</v>
      </c>
      <c r="C22160" s="2" t="s">
        <v>195</v>
      </c>
      <c r="D22160" s="2" t="s">
        <v>186</v>
      </c>
      <c r="E22160" s="2" t="str">
        <f>"9783111276649"</f>
        <v>9783111276649</v>
      </c>
      <c r="F22160" s="2" t="str">
        <f>"9783111661025"</f>
        <v>9783111661025</v>
      </c>
    </row>
    <row r="22161" spans="1:6" s="3" customFormat="1" ht="29.1" customHeight="1" x14ac:dyDescent="0.25">
      <c r="A22161" s="2" t="s">
        <v>43339</v>
      </c>
      <c r="B22161" s="2" t="s">
        <v>43340</v>
      </c>
      <c r="C22161" s="2" t="s">
        <v>195</v>
      </c>
      <c r="D22161" s="2" t="s">
        <v>459</v>
      </c>
      <c r="E22161" s="2" t="str">
        <f>"9783111297835"</f>
        <v>9783111297835</v>
      </c>
      <c r="F22161" s="2" t="str">
        <f>"9783111684970"</f>
        <v>9783111684970</v>
      </c>
    </row>
    <row r="22162" spans="1:6" s="3" customFormat="1" ht="29.1" customHeight="1" x14ac:dyDescent="0.25">
      <c r="A22162" s="2" t="s">
        <v>43341</v>
      </c>
      <c r="B22162" s="2" t="s">
        <v>43342</v>
      </c>
      <c r="C22162" s="2" t="s">
        <v>195</v>
      </c>
      <c r="D22162" s="2" t="s">
        <v>81</v>
      </c>
      <c r="E22162" s="2" t="str">
        <f>"9783111155821"</f>
        <v>9783111155821</v>
      </c>
      <c r="F22162" s="2" t="str">
        <f>"9783111524221"</f>
        <v>9783111524221</v>
      </c>
    </row>
    <row r="22163" spans="1:6" s="3" customFormat="1" ht="29.1" customHeight="1" x14ac:dyDescent="0.25">
      <c r="A22163" s="2" t="s">
        <v>43343</v>
      </c>
      <c r="B22163" s="2" t="s">
        <v>43344</v>
      </c>
      <c r="C22163" s="2" t="s">
        <v>195</v>
      </c>
      <c r="D22163" s="2" t="s">
        <v>339</v>
      </c>
      <c r="E22163" s="2" t="str">
        <f>"9783111100890"</f>
        <v>9783111100890</v>
      </c>
      <c r="F22163" s="2" t="str">
        <f>"9783111467863"</f>
        <v>9783111467863</v>
      </c>
    </row>
    <row r="22164" spans="1:6" s="3" customFormat="1" ht="29.1" customHeight="1" x14ac:dyDescent="0.25">
      <c r="A22164" s="2" t="s">
        <v>43345</v>
      </c>
      <c r="B22164" s="2" t="s">
        <v>43346</v>
      </c>
      <c r="C22164" s="2" t="s">
        <v>195</v>
      </c>
      <c r="D22164" s="2" t="s">
        <v>462</v>
      </c>
      <c r="E22164" s="2" t="str">
        <f>"9783111261027"</f>
        <v>9783111261027</v>
      </c>
      <c r="F22164" s="2" t="str">
        <f>"9783111643977"</f>
        <v>9783111643977</v>
      </c>
    </row>
    <row r="22165" spans="1:6" s="3" customFormat="1" ht="29.1" customHeight="1" x14ac:dyDescent="0.25">
      <c r="A22165" s="2" t="s">
        <v>43347</v>
      </c>
      <c r="B22165" s="2" t="s">
        <v>43348</v>
      </c>
      <c r="C22165" s="2" t="s">
        <v>195</v>
      </c>
      <c r="D22165" s="2" t="s">
        <v>81</v>
      </c>
      <c r="E22165" s="2" t="str">
        <f>"9783111133621"</f>
        <v>9783111133621</v>
      </c>
      <c r="F22165" s="2" t="str">
        <f>"9783111499697"</f>
        <v>9783111499697</v>
      </c>
    </row>
    <row r="22166" spans="1:6" s="3" customFormat="1" ht="29.1" customHeight="1" x14ac:dyDescent="0.25">
      <c r="A22166" s="2" t="s">
        <v>43349</v>
      </c>
      <c r="B22166" s="2" t="s">
        <v>43350</v>
      </c>
      <c r="C22166" s="2" t="s">
        <v>195</v>
      </c>
      <c r="D22166" s="2" t="s">
        <v>462</v>
      </c>
      <c r="E22166" s="2" t="str">
        <f>"9783111112480"</f>
        <v>9783111112480</v>
      </c>
      <c r="F22166" s="2" t="str">
        <f>"9783111479446"</f>
        <v>9783111479446</v>
      </c>
    </row>
    <row r="22167" spans="1:6" s="3" customFormat="1" ht="29.1" customHeight="1" x14ac:dyDescent="0.25">
      <c r="A22167" s="2" t="s">
        <v>43351</v>
      </c>
      <c r="B22167" s="2" t="s">
        <v>43352</v>
      </c>
      <c r="C22167" s="2" t="s">
        <v>195</v>
      </c>
      <c r="D22167" s="2" t="s">
        <v>431</v>
      </c>
      <c r="E22167" s="2" t="str">
        <f>"9783111221243"</f>
        <v>9783111221243</v>
      </c>
      <c r="F22167" s="2" t="str">
        <f>"9783111596235"</f>
        <v>9783111596235</v>
      </c>
    </row>
    <row r="22168" spans="1:6" s="3" customFormat="1" ht="29.1" customHeight="1" x14ac:dyDescent="0.25">
      <c r="A22168" s="2" t="s">
        <v>43353</v>
      </c>
      <c r="B22168" s="2" t="s">
        <v>43354</v>
      </c>
      <c r="C22168" s="2" t="s">
        <v>195</v>
      </c>
      <c r="D22168" s="2" t="s">
        <v>186</v>
      </c>
      <c r="E22168" s="2" t="str">
        <f>"9783111050881"</f>
        <v>9783111050881</v>
      </c>
      <c r="F22168" s="2" t="str">
        <f>"9783111414867"</f>
        <v>9783111414867</v>
      </c>
    </row>
    <row r="22169" spans="1:6" s="3" customFormat="1" ht="29.1" customHeight="1" x14ac:dyDescent="0.25">
      <c r="A22169" s="2" t="s">
        <v>43355</v>
      </c>
      <c r="B22169" s="2" t="s">
        <v>43356</v>
      </c>
      <c r="C22169" s="2" t="s">
        <v>195</v>
      </c>
      <c r="D22169" s="2" t="s">
        <v>186</v>
      </c>
      <c r="E22169" s="2" t="str">
        <f>"9783111294360"</f>
        <v>9783111294360</v>
      </c>
      <c r="F22169" s="2" t="str">
        <f>"9783111680613"</f>
        <v>9783111680613</v>
      </c>
    </row>
    <row r="22170" spans="1:6" s="3" customFormat="1" ht="29.1" customHeight="1" x14ac:dyDescent="0.25">
      <c r="A22170" s="2" t="s">
        <v>43357</v>
      </c>
      <c r="B22170" s="2" t="s">
        <v>43194</v>
      </c>
      <c r="C22170" s="2" t="s">
        <v>195</v>
      </c>
      <c r="D22170" s="2" t="s">
        <v>4739</v>
      </c>
      <c r="E22170" s="2" t="str">
        <f>"9783111004518"</f>
        <v>9783111004518</v>
      </c>
      <c r="F22170" s="2" t="str">
        <f>"9783111361765"</f>
        <v>9783111361765</v>
      </c>
    </row>
    <row r="22171" spans="1:6" s="3" customFormat="1" ht="29.1" customHeight="1" x14ac:dyDescent="0.25">
      <c r="A22171" s="2" t="s">
        <v>43358</v>
      </c>
      <c r="B22171" s="2" t="s">
        <v>43359</v>
      </c>
      <c r="C22171" s="2" t="s">
        <v>195</v>
      </c>
      <c r="D22171" s="2" t="s">
        <v>1390</v>
      </c>
      <c r="E22171" s="2" t="str">
        <f>"9783110080759"</f>
        <v>9783110080759</v>
      </c>
      <c r="F22171" s="2" t="str">
        <f>"9783111599403"</f>
        <v>9783111599403</v>
      </c>
    </row>
    <row r="22172" spans="1:6" s="3" customFormat="1" ht="29.1" customHeight="1" x14ac:dyDescent="0.25">
      <c r="A22172" s="2" t="s">
        <v>43360</v>
      </c>
      <c r="B22172" s="2" t="s">
        <v>43361</v>
      </c>
      <c r="C22172" s="2" t="s">
        <v>195</v>
      </c>
      <c r="D22172" s="2" t="s">
        <v>30</v>
      </c>
      <c r="E22172" s="2" t="str">
        <f>"9783110040234"</f>
        <v>9783110040234</v>
      </c>
      <c r="F22172" s="2" t="str">
        <f>"9783111369990"</f>
        <v>9783111369990</v>
      </c>
    </row>
    <row r="22173" spans="1:6" s="3" customFormat="1" ht="29.1" customHeight="1" x14ac:dyDescent="0.25">
      <c r="A22173" s="2" t="s">
        <v>43362</v>
      </c>
      <c r="B22173" s="2" t="s">
        <v>43363</v>
      </c>
      <c r="C22173" s="2" t="s">
        <v>195</v>
      </c>
      <c r="D22173" s="2" t="s">
        <v>186</v>
      </c>
      <c r="E22173" s="2" t="str">
        <f>"9783111050898"</f>
        <v>9783111050898</v>
      </c>
      <c r="F22173" s="2" t="str">
        <f>"9783111414874"</f>
        <v>9783111414874</v>
      </c>
    </row>
    <row r="22174" spans="1:6" s="3" customFormat="1" ht="29.1" customHeight="1" x14ac:dyDescent="0.25">
      <c r="A22174" s="2" t="s">
        <v>43364</v>
      </c>
      <c r="B22174" s="2" t="s">
        <v>43365</v>
      </c>
      <c r="C22174" s="2" t="s">
        <v>195</v>
      </c>
      <c r="D22174" s="2" t="s">
        <v>402</v>
      </c>
      <c r="E22174" s="2" t="str">
        <f>"9783110128192"</f>
        <v>9783110128192</v>
      </c>
      <c r="F22174" s="2" t="str">
        <f>"9783110886191"</f>
        <v>9783110886191</v>
      </c>
    </row>
    <row r="22175" spans="1:6" s="3" customFormat="1" ht="29.1" customHeight="1" x14ac:dyDescent="0.25">
      <c r="A22175" s="2" t="s">
        <v>43366</v>
      </c>
      <c r="B22175" s="2" t="s">
        <v>43367</v>
      </c>
      <c r="C22175" s="2" t="s">
        <v>195</v>
      </c>
      <c r="D22175" s="2" t="s">
        <v>7460</v>
      </c>
      <c r="E22175" s="2" t="str">
        <f>"9783110114065"</f>
        <v>9783110114065</v>
      </c>
      <c r="F22175" s="2" t="str">
        <f>"9783110857375"</f>
        <v>9783110857375</v>
      </c>
    </row>
    <row r="22176" spans="1:6" s="3" customFormat="1" ht="29.1" customHeight="1" x14ac:dyDescent="0.25">
      <c r="A22176" s="2" t="s">
        <v>39260</v>
      </c>
      <c r="B22176" s="2" t="s">
        <v>43368</v>
      </c>
      <c r="C22176" s="2" t="s">
        <v>195</v>
      </c>
      <c r="D22176" s="2" t="s">
        <v>402</v>
      </c>
      <c r="E22176" s="2" t="str">
        <f>"9783110062939"</f>
        <v>9783110062939</v>
      </c>
      <c r="F22176" s="2" t="str">
        <f>"9783110841527"</f>
        <v>9783110841527</v>
      </c>
    </row>
    <row r="22177" spans="1:6" s="3" customFormat="1" ht="29.1" customHeight="1" x14ac:dyDescent="0.25">
      <c r="A22177" s="2" t="s">
        <v>43369</v>
      </c>
      <c r="B22177" s="2" t="s">
        <v>43370</v>
      </c>
      <c r="C22177" s="2" t="s">
        <v>195</v>
      </c>
      <c r="D22177" s="2" t="s">
        <v>4739</v>
      </c>
      <c r="E22177" s="2" t="str">
        <f>"9783110062151"</f>
        <v>9783110062151</v>
      </c>
      <c r="F22177" s="2" t="str">
        <f>"9783110852288"</f>
        <v>9783110852288</v>
      </c>
    </row>
    <row r="22178" spans="1:6" s="3" customFormat="1" ht="29.1" customHeight="1" x14ac:dyDescent="0.25">
      <c r="A22178" s="2" t="s">
        <v>43371</v>
      </c>
      <c r="B22178" s="2" t="s">
        <v>43372</v>
      </c>
      <c r="C22178" s="2" t="s">
        <v>195</v>
      </c>
      <c r="D22178" s="2" t="s">
        <v>196</v>
      </c>
      <c r="E22178" s="2" t="str">
        <f>"9783771502133"</f>
        <v>9783771502133</v>
      </c>
      <c r="F22178" s="2" t="str">
        <f>"9783110841862"</f>
        <v>9783110841862</v>
      </c>
    </row>
    <row r="22179" spans="1:6" s="3" customFormat="1" ht="29.1" customHeight="1" x14ac:dyDescent="0.25">
      <c r="A22179" s="2" t="s">
        <v>43373</v>
      </c>
      <c r="B22179" s="2" t="s">
        <v>43374</v>
      </c>
      <c r="C22179" s="2" t="s">
        <v>195</v>
      </c>
      <c r="D22179" s="2" t="s">
        <v>186</v>
      </c>
      <c r="E22179" s="2" t="str">
        <f>"9783110019049"</f>
        <v>9783110019049</v>
      </c>
      <c r="F22179" s="2" t="str">
        <f>"9783110822335"</f>
        <v>9783110822335</v>
      </c>
    </row>
    <row r="22180" spans="1:6" s="3" customFormat="1" ht="29.1" customHeight="1" x14ac:dyDescent="0.25">
      <c r="A22180" s="2" t="s">
        <v>43375</v>
      </c>
      <c r="B22180" s="2" t="s">
        <v>43376</v>
      </c>
      <c r="C22180" s="2" t="s">
        <v>195</v>
      </c>
      <c r="D22180" s="2" t="s">
        <v>33</v>
      </c>
      <c r="E22180" s="2" t="str">
        <f>"9783110003918"</f>
        <v>9783110003918</v>
      </c>
      <c r="F22180" s="2" t="str">
        <f>"9783110818093"</f>
        <v>9783110818093</v>
      </c>
    </row>
    <row r="22181" spans="1:6" s="3" customFormat="1" ht="29.1" customHeight="1" x14ac:dyDescent="0.25">
      <c r="A22181" s="2" t="s">
        <v>43377</v>
      </c>
      <c r="B22181" s="2" t="s">
        <v>43378</v>
      </c>
      <c r="C22181" s="2" t="s">
        <v>195</v>
      </c>
      <c r="D22181" s="2" t="s">
        <v>459</v>
      </c>
      <c r="E22181" s="2" t="str">
        <f>"9789027921871"</f>
        <v>9789027921871</v>
      </c>
      <c r="F22181" s="2" t="str">
        <f>"9783110822144"</f>
        <v>9783110822144</v>
      </c>
    </row>
    <row r="22182" spans="1:6" s="3" customFormat="1" ht="29.1" customHeight="1" x14ac:dyDescent="0.25">
      <c r="A22182" s="2" t="s">
        <v>43379</v>
      </c>
      <c r="B22182" s="2" t="s">
        <v>43380</v>
      </c>
      <c r="C22182" s="2" t="s">
        <v>195</v>
      </c>
      <c r="D22182" s="2" t="s">
        <v>459</v>
      </c>
      <c r="E22182" s="2" t="str">
        <f>"9789027924315"</f>
        <v>9789027924315</v>
      </c>
      <c r="F22182" s="2" t="str">
        <f>"9783110811636"</f>
        <v>9783110811636</v>
      </c>
    </row>
    <row r="22183" spans="1:6" s="3" customFormat="1" ht="29.1" customHeight="1" x14ac:dyDescent="0.25">
      <c r="A22183" s="2" t="s">
        <v>43381</v>
      </c>
      <c r="B22183" s="2" t="s">
        <v>43382</v>
      </c>
      <c r="C22183" s="2" t="s">
        <v>195</v>
      </c>
      <c r="D22183" s="2" t="s">
        <v>183</v>
      </c>
      <c r="E22183" s="2" t="str">
        <f>"9783110109412"</f>
        <v>9783110109412</v>
      </c>
      <c r="F22183" s="2" t="str">
        <f>"9783110900262"</f>
        <v>9783110900262</v>
      </c>
    </row>
    <row r="22184" spans="1:6" s="3" customFormat="1" ht="29.1" customHeight="1" x14ac:dyDescent="0.25">
      <c r="A22184" s="2" t="s">
        <v>43383</v>
      </c>
      <c r="B22184" s="2" t="s">
        <v>43384</v>
      </c>
      <c r="C22184" s="2" t="s">
        <v>195</v>
      </c>
      <c r="D22184" s="2" t="s">
        <v>431</v>
      </c>
      <c r="E22184" s="2" t="str">
        <f>"9783111136387"</f>
        <v>9783111136387</v>
      </c>
      <c r="F22184" s="2" t="str">
        <f>"9783111502908"</f>
        <v>9783111502908</v>
      </c>
    </row>
    <row r="22185" spans="1:6" s="3" customFormat="1" ht="29.1" customHeight="1" x14ac:dyDescent="0.25">
      <c r="A22185" s="2" t="s">
        <v>43385</v>
      </c>
      <c r="B22185" s="2" t="s">
        <v>43386</v>
      </c>
      <c r="C22185" s="2" t="s">
        <v>195</v>
      </c>
      <c r="D22185" s="2" t="s">
        <v>186</v>
      </c>
      <c r="E22185" s="2" t="str">
        <f>"9783828252905"</f>
        <v>9783828252905</v>
      </c>
      <c r="F22185" s="2" t="str">
        <f>"9783110511086"</f>
        <v>9783110511086</v>
      </c>
    </row>
    <row r="22186" spans="1:6" s="3" customFormat="1" ht="29.1" customHeight="1" x14ac:dyDescent="0.25">
      <c r="A22186" s="2" t="s">
        <v>43387</v>
      </c>
      <c r="B22186" s="2" t="s">
        <v>43388</v>
      </c>
      <c r="C22186" s="2" t="s">
        <v>195</v>
      </c>
      <c r="D22186" s="2" t="s">
        <v>210</v>
      </c>
      <c r="E22186" s="2" t="str">
        <f>"9783486587265"</f>
        <v>9783486587265</v>
      </c>
      <c r="F22186" s="2" t="str">
        <f>"9783110651393"</f>
        <v>9783110651393</v>
      </c>
    </row>
    <row r="22187" spans="1:6" s="3" customFormat="1" ht="29.1" customHeight="1" x14ac:dyDescent="0.25">
      <c r="A22187" s="2" t="s">
        <v>43389</v>
      </c>
      <c r="B22187" s="2" t="s">
        <v>43390</v>
      </c>
      <c r="C22187" s="2" t="s">
        <v>29</v>
      </c>
      <c r="D22187" s="2" t="s">
        <v>689</v>
      </c>
      <c r="E22187" s="2" t="str">
        <f>"9789004396715"</f>
        <v>9789004396715</v>
      </c>
      <c r="F22187" s="2" t="str">
        <f>"9789004396722"</f>
        <v>9789004396722</v>
      </c>
    </row>
    <row r="22188" spans="1:6" s="3" customFormat="1" ht="29.1" customHeight="1" x14ac:dyDescent="0.25">
      <c r="A22188" s="2" t="s">
        <v>43391</v>
      </c>
      <c r="B22188" s="2"/>
      <c r="C22188" s="2" t="s">
        <v>59</v>
      </c>
      <c r="D22188" s="2" t="s">
        <v>5032</v>
      </c>
      <c r="E22188" s="2" t="str">
        <f>"9782759229918"</f>
        <v>9782759229918</v>
      </c>
      <c r="F22188" s="2" t="str">
        <f>"9782759229925"</f>
        <v>9782759229925</v>
      </c>
    </row>
    <row r="22189" spans="1:6" s="3" customFormat="1" ht="29.1" customHeight="1" x14ac:dyDescent="0.25">
      <c r="A22189" s="2" t="s">
        <v>43392</v>
      </c>
      <c r="B22189" s="2" t="s">
        <v>43393</v>
      </c>
      <c r="C22189" s="2" t="s">
        <v>239</v>
      </c>
      <c r="D22189" s="2" t="s">
        <v>462</v>
      </c>
      <c r="E22189" s="2" t="str">
        <f>"9780520300378"</f>
        <v>9780520300378</v>
      </c>
      <c r="F22189" s="2" t="str">
        <f>"9780520971806"</f>
        <v>9780520971806</v>
      </c>
    </row>
    <row r="22190" spans="1:6" s="3" customFormat="1" ht="29.1" customHeight="1" x14ac:dyDescent="0.25">
      <c r="A22190" s="2" t="s">
        <v>43394</v>
      </c>
      <c r="B22190" s="2" t="s">
        <v>43395</v>
      </c>
      <c r="C22190" s="2" t="s">
        <v>36</v>
      </c>
      <c r="D22190" s="2" t="s">
        <v>2234</v>
      </c>
      <c r="E22190" s="2" t="str">
        <f>"9781529202205"</f>
        <v>9781529202205</v>
      </c>
      <c r="F22190" s="2" t="str">
        <f>"9781529202212"</f>
        <v>9781529202212</v>
      </c>
    </row>
    <row r="22191" spans="1:6" s="3" customFormat="1" ht="29.1" customHeight="1" x14ac:dyDescent="0.25">
      <c r="A22191" s="2" t="s">
        <v>43396</v>
      </c>
      <c r="B22191" s="2" t="s">
        <v>43397</v>
      </c>
      <c r="C22191" s="2" t="s">
        <v>5</v>
      </c>
      <c r="D22191" s="2" t="s">
        <v>350</v>
      </c>
      <c r="E22191" s="2" t="str">
        <f>"9783030127077"</f>
        <v>9783030127077</v>
      </c>
      <c r="F22191" s="2" t="str">
        <f>"9783030127084"</f>
        <v>9783030127084</v>
      </c>
    </row>
    <row r="22192" spans="1:6" s="3" customFormat="1" ht="29.1" customHeight="1" x14ac:dyDescent="0.25">
      <c r="A22192" s="2" t="s">
        <v>43398</v>
      </c>
      <c r="B22192" s="2" t="s">
        <v>43399</v>
      </c>
      <c r="C22192" s="2" t="s">
        <v>556</v>
      </c>
      <c r="D22192" s="2" t="s">
        <v>636</v>
      </c>
      <c r="E22192" s="2" t="str">
        <f>"9783837646832"</f>
        <v>9783837646832</v>
      </c>
      <c r="F22192" s="2" t="str">
        <f>"9783839446836"</f>
        <v>9783839446836</v>
      </c>
    </row>
    <row r="22193" spans="1:6" s="3" customFormat="1" ht="29.1" customHeight="1" x14ac:dyDescent="0.25">
      <c r="A22193" s="2" t="s">
        <v>43400</v>
      </c>
      <c r="B22193" s="2" t="s">
        <v>18400</v>
      </c>
      <c r="C22193" s="2" t="s">
        <v>556</v>
      </c>
      <c r="D22193" s="2" t="s">
        <v>207</v>
      </c>
      <c r="E22193" s="2" t="str">
        <f>"9783837646788"</f>
        <v>9783837646788</v>
      </c>
      <c r="F22193" s="2" t="str">
        <f>"9783839446782"</f>
        <v>9783839446782</v>
      </c>
    </row>
    <row r="22194" spans="1:6" s="3" customFormat="1" ht="29.1" customHeight="1" x14ac:dyDescent="0.25">
      <c r="A22194" s="2" t="s">
        <v>43401</v>
      </c>
      <c r="B22194" s="2" t="s">
        <v>43402</v>
      </c>
      <c r="C22194" s="2" t="s">
        <v>556</v>
      </c>
      <c r="D22194" s="2" t="s">
        <v>183</v>
      </c>
      <c r="E22194" s="2" t="str">
        <f>"9783837644944"</f>
        <v>9783837644944</v>
      </c>
      <c r="F22194" s="2" t="str">
        <f>"9783839444948"</f>
        <v>9783839444948</v>
      </c>
    </row>
    <row r="22195" spans="1:6" s="3" customFormat="1" ht="29.1" customHeight="1" x14ac:dyDescent="0.25">
      <c r="A22195" s="2" t="s">
        <v>43403</v>
      </c>
      <c r="B22195" s="2" t="s">
        <v>43404</v>
      </c>
      <c r="C22195" s="2" t="s">
        <v>195</v>
      </c>
      <c r="D22195" s="2" t="s">
        <v>436</v>
      </c>
      <c r="E22195" s="2" t="str">
        <f>"9783110567298"</f>
        <v>9783110567298</v>
      </c>
      <c r="F22195" s="2" t="str">
        <f>"9783110567540"</f>
        <v>9783110567540</v>
      </c>
    </row>
    <row r="22196" spans="1:6" s="3" customFormat="1" ht="29.1" customHeight="1" x14ac:dyDescent="0.25">
      <c r="A22196" s="2" t="s">
        <v>43405</v>
      </c>
      <c r="B22196" s="2" t="s">
        <v>43406</v>
      </c>
      <c r="C22196" s="2" t="s">
        <v>316</v>
      </c>
      <c r="D22196" s="2" t="s">
        <v>317</v>
      </c>
      <c r="E22196" s="2" t="str">
        <f>"9783035712438"</f>
        <v>9783035712438</v>
      </c>
      <c r="F22196" s="2" t="str">
        <f>"9783035732436"</f>
        <v>9783035732436</v>
      </c>
    </row>
    <row r="22197" spans="1:6" s="3" customFormat="1" ht="29.1" customHeight="1" x14ac:dyDescent="0.25">
      <c r="A22197" s="2" t="s">
        <v>43407</v>
      </c>
      <c r="B22197" s="2" t="s">
        <v>43408</v>
      </c>
      <c r="C22197" s="2" t="s">
        <v>927</v>
      </c>
      <c r="D22197" s="2" t="s">
        <v>342</v>
      </c>
      <c r="E22197" s="2" t="str">
        <f>"9780472054152"</f>
        <v>9780472054152</v>
      </c>
      <c r="F22197" s="2" t="str">
        <f>"9780472125272"</f>
        <v>9780472125272</v>
      </c>
    </row>
    <row r="22198" spans="1:6" s="3" customFormat="1" ht="29.1" customHeight="1" x14ac:dyDescent="0.25">
      <c r="A22198" s="2" t="s">
        <v>43409</v>
      </c>
      <c r="B22198" s="2" t="s">
        <v>43410</v>
      </c>
      <c r="C22198" s="2" t="s">
        <v>927</v>
      </c>
      <c r="D22198" s="2" t="s">
        <v>66</v>
      </c>
      <c r="E22198" s="2" t="str">
        <f>"9780472032389"</f>
        <v>9780472032389</v>
      </c>
      <c r="F22198" s="2" t="str">
        <f>"9780472022274"</f>
        <v>9780472022274</v>
      </c>
    </row>
    <row r="22199" spans="1:6" s="3" customFormat="1" ht="29.1" customHeight="1" x14ac:dyDescent="0.25">
      <c r="A22199" s="2" t="s">
        <v>43411</v>
      </c>
      <c r="B22199" s="2" t="s">
        <v>43412</v>
      </c>
      <c r="C22199" s="2" t="s">
        <v>195</v>
      </c>
      <c r="D22199" s="2" t="s">
        <v>431</v>
      </c>
      <c r="E22199" s="2" t="str">
        <f>"9783794025183"</f>
        <v>9783794025183</v>
      </c>
      <c r="F22199" s="2" t="str">
        <f>"9783111590813"</f>
        <v>9783111590813</v>
      </c>
    </row>
    <row r="22200" spans="1:6" s="3" customFormat="1" ht="29.1" customHeight="1" x14ac:dyDescent="0.25">
      <c r="A22200" s="2" t="s">
        <v>43413</v>
      </c>
      <c r="B22200" s="2" t="s">
        <v>43414</v>
      </c>
      <c r="C22200" s="2" t="s">
        <v>195</v>
      </c>
      <c r="D22200" s="2" t="s">
        <v>682</v>
      </c>
      <c r="E22200" s="2" t="str">
        <f>"9783794025237"</f>
        <v>9783794025237</v>
      </c>
      <c r="F22200" s="2" t="str">
        <f>"9783111590820"</f>
        <v>9783111590820</v>
      </c>
    </row>
    <row r="22201" spans="1:6" s="3" customFormat="1" ht="29.1" customHeight="1" x14ac:dyDescent="0.25">
      <c r="A22201" s="2" t="s">
        <v>43415</v>
      </c>
      <c r="B22201" s="2" t="s">
        <v>43416</v>
      </c>
      <c r="C22201" s="2" t="s">
        <v>195</v>
      </c>
      <c r="D22201" s="2" t="s">
        <v>446</v>
      </c>
      <c r="E22201" s="2" t="str">
        <f>"9783110042450"</f>
        <v>9783110042450</v>
      </c>
      <c r="F22201" s="2" t="str">
        <f>"9783110836394"</f>
        <v>9783110836394</v>
      </c>
    </row>
    <row r="22202" spans="1:6" s="3" customFormat="1" ht="29.1" customHeight="1" x14ac:dyDescent="0.25">
      <c r="A22202" s="2" t="s">
        <v>43417</v>
      </c>
      <c r="B22202" s="2" t="s">
        <v>43418</v>
      </c>
      <c r="C22202" s="2" t="s">
        <v>195</v>
      </c>
      <c r="D22202" s="2" t="s">
        <v>446</v>
      </c>
      <c r="E22202" s="2" t="str">
        <f>"9783110036183"</f>
        <v>9783110036183</v>
      </c>
      <c r="F22202" s="2" t="str">
        <f>"9783110865523"</f>
        <v>9783110865523</v>
      </c>
    </row>
    <row r="22203" spans="1:6" s="3" customFormat="1" ht="29.1" customHeight="1" x14ac:dyDescent="0.25">
      <c r="A22203" s="2" t="s">
        <v>43419</v>
      </c>
      <c r="B22203" s="2" t="s">
        <v>43420</v>
      </c>
      <c r="C22203" s="2" t="s">
        <v>195</v>
      </c>
      <c r="D22203" s="2" t="s">
        <v>186</v>
      </c>
      <c r="E22203" s="2" t="str">
        <f>"9783828202573"</f>
        <v>9783828202573</v>
      </c>
      <c r="F22203" s="2" t="str">
        <f>"9783110503371"</f>
        <v>9783110503371</v>
      </c>
    </row>
    <row r="22204" spans="1:6" s="3" customFormat="1" ht="29.1" customHeight="1" x14ac:dyDescent="0.25">
      <c r="A22204" s="2" t="s">
        <v>43421</v>
      </c>
      <c r="B22204" s="2" t="s">
        <v>43422</v>
      </c>
      <c r="C22204" s="2" t="s">
        <v>195</v>
      </c>
      <c r="D22204" s="2" t="s">
        <v>4429</v>
      </c>
      <c r="E22204" s="2" t="str">
        <f>"9783110591569"</f>
        <v>9783110591569</v>
      </c>
      <c r="F22204" s="2" t="str">
        <f>"9783110591767"</f>
        <v>9783110591767</v>
      </c>
    </row>
    <row r="22205" spans="1:6" s="3" customFormat="1" ht="29.1" customHeight="1" x14ac:dyDescent="0.25">
      <c r="A22205" s="2" t="s">
        <v>43423</v>
      </c>
      <c r="B22205" s="2" t="s">
        <v>43424</v>
      </c>
      <c r="C22205" s="2" t="s">
        <v>195</v>
      </c>
      <c r="D22205" s="2" t="s">
        <v>210</v>
      </c>
      <c r="E22205" s="2" t="str">
        <f>"9783486718607"</f>
        <v>9783486718607</v>
      </c>
      <c r="F22205" s="2" t="str">
        <f>"9783110446760"</f>
        <v>9783110446760</v>
      </c>
    </row>
    <row r="22206" spans="1:6" s="3" customFormat="1" ht="29.1" customHeight="1" x14ac:dyDescent="0.25">
      <c r="A22206" s="2" t="s">
        <v>43425</v>
      </c>
      <c r="B22206" s="2" t="s">
        <v>43426</v>
      </c>
      <c r="C22206" s="2" t="s">
        <v>195</v>
      </c>
      <c r="D22206" s="2" t="s">
        <v>210</v>
      </c>
      <c r="E22206" s="2" t="str">
        <f>"9783486704457"</f>
        <v>9783486704457</v>
      </c>
      <c r="F22206" s="2" t="str">
        <f>"9783110446647"</f>
        <v>9783110446647</v>
      </c>
    </row>
    <row r="22207" spans="1:6" s="3" customFormat="1" ht="29.1" customHeight="1" x14ac:dyDescent="0.25">
      <c r="A22207" s="2" t="s">
        <v>43427</v>
      </c>
      <c r="B22207" s="2" t="s">
        <v>43428</v>
      </c>
      <c r="C22207" s="2" t="s">
        <v>195</v>
      </c>
      <c r="D22207" s="2" t="s">
        <v>210</v>
      </c>
      <c r="E22207" s="2" t="str">
        <f>"9783486714210"</f>
        <v>9783486714210</v>
      </c>
      <c r="F22207" s="2" t="str">
        <f>"9783110446777"</f>
        <v>9783110446777</v>
      </c>
    </row>
    <row r="22208" spans="1:6" s="3" customFormat="1" ht="29.1" customHeight="1" x14ac:dyDescent="0.25">
      <c r="A22208" s="2" t="s">
        <v>43429</v>
      </c>
      <c r="B22208" s="2" t="s">
        <v>43430</v>
      </c>
      <c r="C22208" s="2" t="s">
        <v>595</v>
      </c>
      <c r="D22208" s="2" t="s">
        <v>3149</v>
      </c>
      <c r="E22208" s="2" t="str">
        <f>"9783631777084"</f>
        <v>9783631777084</v>
      </c>
      <c r="F22208" s="2" t="str">
        <f>"9783631777091"</f>
        <v>9783631777091</v>
      </c>
    </row>
    <row r="22209" spans="1:6" s="3" customFormat="1" ht="29.1" customHeight="1" x14ac:dyDescent="0.25">
      <c r="A22209" s="2" t="s">
        <v>43431</v>
      </c>
      <c r="B22209" s="2" t="s">
        <v>43432</v>
      </c>
      <c r="C22209" s="2" t="s">
        <v>595</v>
      </c>
      <c r="D22209" s="2" t="s">
        <v>509</v>
      </c>
      <c r="E22209" s="2" t="str">
        <f>"9783631770368"</f>
        <v>9783631770368</v>
      </c>
      <c r="F22209" s="2" t="str">
        <f>"9783631776469"</f>
        <v>9783631776469</v>
      </c>
    </row>
    <row r="22210" spans="1:6" s="3" customFormat="1" ht="29.1" customHeight="1" x14ac:dyDescent="0.25">
      <c r="A22210" s="2" t="s">
        <v>43433</v>
      </c>
      <c r="B22210" s="2" t="s">
        <v>43434</v>
      </c>
      <c r="C22210" s="2" t="s">
        <v>124</v>
      </c>
      <c r="D22210" s="2" t="s">
        <v>459</v>
      </c>
      <c r="E22210" s="2" t="str">
        <f>"9781138308794"</f>
        <v>9781138308794</v>
      </c>
      <c r="F22210" s="2" t="str">
        <f>"9781351389587"</f>
        <v>9781351389587</v>
      </c>
    </row>
    <row r="22211" spans="1:6" s="3" customFormat="1" ht="29.1" customHeight="1" x14ac:dyDescent="0.25">
      <c r="A22211" s="2" t="s">
        <v>43435</v>
      </c>
      <c r="B22211" s="2" t="s">
        <v>43436</v>
      </c>
      <c r="C22211" s="2" t="s">
        <v>36</v>
      </c>
      <c r="D22211" s="2" t="s">
        <v>674</v>
      </c>
      <c r="E22211" s="2"/>
      <c r="F22211" s="2" t="str">
        <f>"9781447349860"</f>
        <v>9781447349860</v>
      </c>
    </row>
    <row r="22212" spans="1:6" s="3" customFormat="1" ht="29.1" customHeight="1" x14ac:dyDescent="0.25">
      <c r="A22212" s="2" t="s">
        <v>43437</v>
      </c>
      <c r="B22212" s="2" t="s">
        <v>43438</v>
      </c>
      <c r="C22212" s="2" t="s">
        <v>248</v>
      </c>
      <c r="D22212" s="2" t="s">
        <v>249</v>
      </c>
      <c r="E22212" s="2" t="str">
        <f>"9783847422303"</f>
        <v>9783847422303</v>
      </c>
      <c r="F22212" s="2" t="str">
        <f>"9783847412557"</f>
        <v>9783847412557</v>
      </c>
    </row>
    <row r="22213" spans="1:6" s="3" customFormat="1" ht="29.1" customHeight="1" x14ac:dyDescent="0.25">
      <c r="A22213" s="2" t="s">
        <v>43439</v>
      </c>
      <c r="B22213" s="2" t="s">
        <v>43440</v>
      </c>
      <c r="C22213" s="2" t="s">
        <v>149</v>
      </c>
      <c r="D22213" s="2" t="s">
        <v>2781</v>
      </c>
      <c r="E22213" s="2" t="str">
        <f>"9781783745494"</f>
        <v>9781783745494</v>
      </c>
      <c r="F22213" s="2" t="str">
        <f>"9781783745517"</f>
        <v>9781783745517</v>
      </c>
    </row>
    <row r="22214" spans="1:6" s="3" customFormat="1" ht="29.1" customHeight="1" x14ac:dyDescent="0.25">
      <c r="A22214" s="2" t="s">
        <v>43441</v>
      </c>
      <c r="B22214" s="2" t="s">
        <v>43442</v>
      </c>
      <c r="C22214" s="2" t="s">
        <v>124</v>
      </c>
      <c r="D22214" s="2" t="s">
        <v>553</v>
      </c>
      <c r="E22214" s="2" t="str">
        <f>"9789463726702"</f>
        <v>9789463726702</v>
      </c>
      <c r="F22214" s="2" t="str">
        <f>"9781040778722"</f>
        <v>9781040778722</v>
      </c>
    </row>
    <row r="22215" spans="1:6" s="3" customFormat="1" ht="29.1" customHeight="1" x14ac:dyDescent="0.25">
      <c r="A22215" s="2" t="s">
        <v>43443</v>
      </c>
      <c r="B22215" s="2" t="s">
        <v>34321</v>
      </c>
      <c r="C22215" s="2" t="s">
        <v>31902</v>
      </c>
      <c r="D22215" s="2" t="s">
        <v>12641</v>
      </c>
      <c r="E22215" s="2" t="str">
        <f>"9782759823017"</f>
        <v>9782759823017</v>
      </c>
      <c r="F22215" s="2" t="str">
        <f>"9782759823444"</f>
        <v>9782759823444</v>
      </c>
    </row>
    <row r="22216" spans="1:6" s="3" customFormat="1" ht="29.1" customHeight="1" x14ac:dyDescent="0.25">
      <c r="A22216" s="2" t="s">
        <v>43444</v>
      </c>
      <c r="B22216" s="2" t="s">
        <v>43445</v>
      </c>
      <c r="C22216" s="2" t="s">
        <v>885</v>
      </c>
      <c r="D22216" s="2" t="s">
        <v>886</v>
      </c>
      <c r="E22216" s="2" t="str">
        <f>"9781487523244"</f>
        <v>9781487523244</v>
      </c>
      <c r="F22216" s="2" t="str">
        <f>"9781487519865"</f>
        <v>9781487519865</v>
      </c>
    </row>
    <row r="22217" spans="1:6" s="3" customFormat="1" ht="29.1" customHeight="1" x14ac:dyDescent="0.25">
      <c r="A22217" s="2" t="s">
        <v>43446</v>
      </c>
      <c r="B22217" s="2" t="s">
        <v>43447</v>
      </c>
      <c r="C22217" s="2" t="s">
        <v>605</v>
      </c>
      <c r="D22217" s="2" t="s">
        <v>606</v>
      </c>
      <c r="E22217" s="2" t="str">
        <f>"9789654060363"</f>
        <v>9789654060363</v>
      </c>
      <c r="F22217" s="2" t="str">
        <f>"9789654065504"</f>
        <v>9789654065504</v>
      </c>
    </row>
    <row r="22218" spans="1:6" s="3" customFormat="1" ht="29.1" customHeight="1" x14ac:dyDescent="0.25">
      <c r="A22218" s="2" t="s">
        <v>43448</v>
      </c>
      <c r="B22218" s="2" t="s">
        <v>43449</v>
      </c>
      <c r="C22218" s="2" t="s">
        <v>316</v>
      </c>
      <c r="D22218" s="2" t="s">
        <v>317</v>
      </c>
      <c r="E22218" s="2" t="str">
        <f>"9783035714951"</f>
        <v>9783035714951</v>
      </c>
      <c r="F22218" s="2" t="str">
        <f>"9783035734959"</f>
        <v>9783035734959</v>
      </c>
    </row>
    <row r="22219" spans="1:6" s="3" customFormat="1" ht="29.1" customHeight="1" x14ac:dyDescent="0.25">
      <c r="A22219" s="2" t="s">
        <v>43450</v>
      </c>
      <c r="B22219" s="2" t="s">
        <v>43451</v>
      </c>
      <c r="C22219" s="2" t="s">
        <v>124</v>
      </c>
      <c r="D22219" s="2" t="s">
        <v>297</v>
      </c>
      <c r="E22219" s="2" t="str">
        <f>"9781138293670"</f>
        <v>9781138293670</v>
      </c>
      <c r="F22219" s="2" t="str">
        <f>"9781351866668"</f>
        <v>9781351866668</v>
      </c>
    </row>
    <row r="22220" spans="1:6" s="3" customFormat="1" ht="29.1" customHeight="1" x14ac:dyDescent="0.25">
      <c r="A22220" s="2" t="s">
        <v>43452</v>
      </c>
      <c r="B22220" s="2" t="s">
        <v>43453</v>
      </c>
      <c r="C22220" s="2" t="s">
        <v>124</v>
      </c>
      <c r="D22220" s="2" t="s">
        <v>297</v>
      </c>
      <c r="E22220" s="2" t="str">
        <f>"9780815347439"</f>
        <v>9780815347439</v>
      </c>
      <c r="F22220" s="2" t="str">
        <f>"9781351169141"</f>
        <v>9781351169141</v>
      </c>
    </row>
    <row r="22221" spans="1:6" s="3" customFormat="1" ht="29.1" customHeight="1" x14ac:dyDescent="0.25">
      <c r="A22221" s="2" t="s">
        <v>43454</v>
      </c>
      <c r="B22221" s="2" t="s">
        <v>43455</v>
      </c>
      <c r="C22221" s="2" t="s">
        <v>264</v>
      </c>
      <c r="D22221" s="2" t="s">
        <v>2237</v>
      </c>
      <c r="E22221" s="2" t="str">
        <f>"9781842143285"</f>
        <v>9781842143285</v>
      </c>
      <c r="F22221" s="2" t="str">
        <f>"9780203018873"</f>
        <v>9780203018873</v>
      </c>
    </row>
    <row r="22222" spans="1:6" s="3" customFormat="1" ht="29.1" customHeight="1" x14ac:dyDescent="0.25">
      <c r="A22222" s="2" t="s">
        <v>43456</v>
      </c>
      <c r="B22222" s="2" t="s">
        <v>43457</v>
      </c>
      <c r="C22222" s="2" t="s">
        <v>264</v>
      </c>
      <c r="D22222" s="2" t="s">
        <v>2237</v>
      </c>
      <c r="E22222" s="2" t="str">
        <f>"9781138448094"</f>
        <v>9781138448094</v>
      </c>
      <c r="F22222" s="2" t="str">
        <f>"9781785230080"</f>
        <v>9781785230080</v>
      </c>
    </row>
    <row r="22223" spans="1:6" s="3" customFormat="1" ht="29.1" customHeight="1" x14ac:dyDescent="0.25">
      <c r="A22223" s="2" t="s">
        <v>43458</v>
      </c>
      <c r="B22223" s="2" t="s">
        <v>43459</v>
      </c>
      <c r="C22223" s="2" t="s">
        <v>3169</v>
      </c>
      <c r="D22223" s="2" t="s">
        <v>7734</v>
      </c>
      <c r="E22223" s="2" t="str">
        <f>"9781847011695"</f>
        <v>9781847011695</v>
      </c>
      <c r="F22223" s="2" t="str">
        <f>"9781787440579"</f>
        <v>9781787440579</v>
      </c>
    </row>
    <row r="22224" spans="1:6" s="3" customFormat="1" ht="29.1" customHeight="1" x14ac:dyDescent="0.25">
      <c r="A22224" s="2" t="s">
        <v>43460</v>
      </c>
      <c r="B22224" s="2" t="s">
        <v>43461</v>
      </c>
      <c r="C22224" s="2" t="s">
        <v>248</v>
      </c>
      <c r="D22224" s="2" t="s">
        <v>75</v>
      </c>
      <c r="E22224" s="2" t="str">
        <f>"9783847422778"</f>
        <v>9783847422778</v>
      </c>
      <c r="F22224" s="2" t="str">
        <f>"9783847413103"</f>
        <v>9783847413103</v>
      </c>
    </row>
    <row r="22225" spans="1:6" s="3" customFormat="1" ht="29.1" customHeight="1" x14ac:dyDescent="0.25">
      <c r="A22225" s="2" t="s">
        <v>43462</v>
      </c>
      <c r="B22225" s="2" t="s">
        <v>43463</v>
      </c>
      <c r="C22225" s="2" t="s">
        <v>149</v>
      </c>
      <c r="D22225" s="2" t="s">
        <v>8553</v>
      </c>
      <c r="E22225" s="2" t="str">
        <f>"9781783746484"</f>
        <v>9781783746484</v>
      </c>
      <c r="F22225" s="2" t="str">
        <f>"9781783746507"</f>
        <v>9781783746507</v>
      </c>
    </row>
    <row r="22226" spans="1:6" s="3" customFormat="1" ht="29.1" customHeight="1" x14ac:dyDescent="0.25">
      <c r="A22226" s="2" t="s">
        <v>43464</v>
      </c>
      <c r="B22226" s="2" t="s">
        <v>43465</v>
      </c>
      <c r="C22226" s="2" t="s">
        <v>149</v>
      </c>
      <c r="D22226" s="2" t="s">
        <v>78</v>
      </c>
      <c r="E22226" s="2" t="str">
        <f>"9781783745654"</f>
        <v>9781783745654</v>
      </c>
      <c r="F22226" s="2" t="str">
        <f>"9781783745678"</f>
        <v>9781783745678</v>
      </c>
    </row>
    <row r="22227" spans="1:6" s="3" customFormat="1" ht="29.1" customHeight="1" x14ac:dyDescent="0.25">
      <c r="A22227" s="2" t="s">
        <v>43466</v>
      </c>
      <c r="B22227" s="2" t="s">
        <v>15053</v>
      </c>
      <c r="C22227" s="2" t="s">
        <v>15052</v>
      </c>
      <c r="D22227" s="2" t="s">
        <v>3993</v>
      </c>
      <c r="E22227" s="2" t="str">
        <f>"9781503606999"</f>
        <v>9781503606999</v>
      </c>
      <c r="F22227" s="2" t="str">
        <f>"9781503609372"</f>
        <v>9781503609372</v>
      </c>
    </row>
    <row r="22228" spans="1:6" s="3" customFormat="1" ht="29.1" customHeight="1" x14ac:dyDescent="0.25">
      <c r="A22228" s="2" t="s">
        <v>43467</v>
      </c>
      <c r="B22228" s="2" t="s">
        <v>43468</v>
      </c>
      <c r="C22228" s="2" t="s">
        <v>4104</v>
      </c>
      <c r="D22228" s="2" t="s">
        <v>1712</v>
      </c>
      <c r="E22228" s="2" t="str">
        <f>"9781786941886"</f>
        <v>9781786941886</v>
      </c>
      <c r="F22228" s="2" t="str">
        <f>"9781786949936"</f>
        <v>9781786949936</v>
      </c>
    </row>
    <row r="22229" spans="1:6" s="3" customFormat="1" ht="29.1" customHeight="1" x14ac:dyDescent="0.25">
      <c r="A22229" s="2" t="s">
        <v>43469</v>
      </c>
      <c r="B22229" s="2" t="s">
        <v>43470</v>
      </c>
      <c r="C22229" s="2" t="s">
        <v>4104</v>
      </c>
      <c r="D22229" s="2" t="s">
        <v>8388</v>
      </c>
      <c r="E22229" s="2" t="str">
        <f>"9781786941633"</f>
        <v>9781786941633</v>
      </c>
      <c r="F22229" s="2" t="str">
        <f>"9781786949561"</f>
        <v>9781786949561</v>
      </c>
    </row>
    <row r="22230" spans="1:6" s="3" customFormat="1" ht="29.1" customHeight="1" x14ac:dyDescent="0.25">
      <c r="A22230" s="2" t="s">
        <v>43471</v>
      </c>
      <c r="B22230" s="2" t="s">
        <v>43472</v>
      </c>
      <c r="C22230" s="2" t="s">
        <v>124</v>
      </c>
      <c r="D22230" s="2" t="s">
        <v>210</v>
      </c>
      <c r="E22230" s="2" t="str">
        <f>"9780367206659"</f>
        <v>9780367206659</v>
      </c>
      <c r="F22230" s="2" t="str">
        <f>"9780429553370"</f>
        <v>9780429553370</v>
      </c>
    </row>
    <row r="22231" spans="1:6" s="3" customFormat="1" ht="29.1" customHeight="1" x14ac:dyDescent="0.25">
      <c r="A22231" s="2" t="s">
        <v>43473</v>
      </c>
      <c r="B22231" s="2" t="s">
        <v>43474</v>
      </c>
      <c r="C22231" s="2" t="s">
        <v>124</v>
      </c>
      <c r="D22231" s="2" t="s">
        <v>2587</v>
      </c>
      <c r="E22231" s="2" t="str">
        <f>"9780367730772"</f>
        <v>9780367730772</v>
      </c>
      <c r="F22231" s="2" t="str">
        <f>"9780429460289"</f>
        <v>9780429460289</v>
      </c>
    </row>
    <row r="22232" spans="1:6" s="3" customFormat="1" ht="29.1" customHeight="1" x14ac:dyDescent="0.25">
      <c r="A22232" s="2" t="s">
        <v>29384</v>
      </c>
      <c r="B22232" s="2" t="s">
        <v>43475</v>
      </c>
      <c r="C22232" s="2" t="s">
        <v>264</v>
      </c>
      <c r="D22232" s="2" t="s">
        <v>44</v>
      </c>
      <c r="E22232" s="2" t="str">
        <f>"9780367134150"</f>
        <v>9780367134150</v>
      </c>
      <c r="F22232" s="2" t="str">
        <f>"9780429640391"</f>
        <v>9780429640391</v>
      </c>
    </row>
    <row r="22233" spans="1:6" s="3" customFormat="1" ht="29.1" customHeight="1" x14ac:dyDescent="0.25">
      <c r="A22233" s="2" t="s">
        <v>43476</v>
      </c>
      <c r="B22233" s="2" t="s">
        <v>43477</v>
      </c>
      <c r="C22233" s="2" t="s">
        <v>248</v>
      </c>
      <c r="D22233" s="2" t="s">
        <v>249</v>
      </c>
      <c r="E22233" s="2" t="str">
        <f>"9783863888121"</f>
        <v>9783863888121</v>
      </c>
      <c r="F22233" s="2" t="str">
        <f>"9783863884505"</f>
        <v>9783863884505</v>
      </c>
    </row>
    <row r="22234" spans="1:6" s="3" customFormat="1" ht="29.1" customHeight="1" x14ac:dyDescent="0.25">
      <c r="A22234" s="2" t="s">
        <v>43478</v>
      </c>
      <c r="B22234" s="2" t="s">
        <v>5051</v>
      </c>
      <c r="C22234" s="2" t="s">
        <v>195</v>
      </c>
      <c r="D22234" s="2" t="s">
        <v>196</v>
      </c>
      <c r="E22234" s="2" t="str">
        <f>"9783110641356"</f>
        <v>9783110641356</v>
      </c>
      <c r="F22234" s="2" t="str">
        <f>"9783110641660"</f>
        <v>9783110641660</v>
      </c>
    </row>
    <row r="22235" spans="1:6" s="3" customFormat="1" ht="29.1" customHeight="1" x14ac:dyDescent="0.25">
      <c r="A22235" s="2" t="s">
        <v>43479</v>
      </c>
      <c r="B22235" s="2" t="s">
        <v>43480</v>
      </c>
      <c r="C22235" s="2" t="s">
        <v>195</v>
      </c>
      <c r="D22235" s="2" t="s">
        <v>125</v>
      </c>
      <c r="E22235" s="2" t="str">
        <f>"9783110644548"</f>
        <v>9783110644548</v>
      </c>
      <c r="F22235" s="2" t="str">
        <f>"9783110644661"</f>
        <v>9783110644661</v>
      </c>
    </row>
    <row r="22236" spans="1:6" s="3" customFormat="1" ht="29.1" customHeight="1" x14ac:dyDescent="0.25">
      <c r="A22236" s="2" t="s">
        <v>43481</v>
      </c>
      <c r="B22236" s="2" t="s">
        <v>43482</v>
      </c>
      <c r="C22236" s="2" t="s">
        <v>195</v>
      </c>
      <c r="D22236" s="2" t="s">
        <v>33</v>
      </c>
      <c r="E22236" s="2" t="str">
        <f>"9783110583090"</f>
        <v>9783110583090</v>
      </c>
      <c r="F22236" s="2" t="str">
        <f>"9783110585698"</f>
        <v>9783110585698</v>
      </c>
    </row>
    <row r="22237" spans="1:6" s="3" customFormat="1" ht="29.1" customHeight="1" x14ac:dyDescent="0.25">
      <c r="A22237" s="2" t="s">
        <v>18192</v>
      </c>
      <c r="B22237" s="2" t="s">
        <v>43483</v>
      </c>
      <c r="C22237" s="2" t="s">
        <v>29</v>
      </c>
      <c r="D22237" s="2" t="s">
        <v>210</v>
      </c>
      <c r="E22237" s="2" t="str">
        <f>"9789004385627"</f>
        <v>9789004385627</v>
      </c>
      <c r="F22237" s="2" t="str">
        <f>"9789004387287"</f>
        <v>9789004387287</v>
      </c>
    </row>
    <row r="22238" spans="1:6" s="3" customFormat="1" ht="29.1" customHeight="1" x14ac:dyDescent="0.25">
      <c r="A22238" s="2" t="s">
        <v>43484</v>
      </c>
      <c r="B22238" s="2" t="s">
        <v>43485</v>
      </c>
      <c r="C22238" s="2" t="s">
        <v>29</v>
      </c>
      <c r="D22238" s="2" t="s">
        <v>9</v>
      </c>
      <c r="E22238" s="2" t="str">
        <f>"9789463511995"</f>
        <v>9789463511995</v>
      </c>
      <c r="F22238" s="2" t="str">
        <f>"9789463512008"</f>
        <v>9789463512008</v>
      </c>
    </row>
    <row r="22239" spans="1:6" s="3" customFormat="1" ht="29.1" customHeight="1" x14ac:dyDescent="0.25">
      <c r="A22239" s="2" t="s">
        <v>43486</v>
      </c>
      <c r="B22239" s="2" t="s">
        <v>43487</v>
      </c>
      <c r="C22239" s="2" t="s">
        <v>11220</v>
      </c>
      <c r="D22239" s="2" t="s">
        <v>5888</v>
      </c>
      <c r="E22239" s="2" t="str">
        <f>"9781479820375"</f>
        <v>9781479820375</v>
      </c>
      <c r="F22239" s="2" t="str">
        <f>"9781479811908"</f>
        <v>9781479811908</v>
      </c>
    </row>
    <row r="22240" spans="1:6" s="3" customFormat="1" ht="29.1" customHeight="1" x14ac:dyDescent="0.25">
      <c r="A22240" s="2" t="s">
        <v>16551</v>
      </c>
      <c r="B22240" s="2" t="s">
        <v>16552</v>
      </c>
      <c r="C22240" s="2" t="s">
        <v>11220</v>
      </c>
      <c r="D22240" s="2" t="s">
        <v>5888</v>
      </c>
      <c r="E22240" s="2" t="str">
        <f>"9781479892464"</f>
        <v>9781479892464</v>
      </c>
      <c r="F22240" s="2" t="str">
        <f>"9781479807185"</f>
        <v>9781479807185</v>
      </c>
    </row>
    <row r="22241" spans="1:6" s="3" customFormat="1" ht="29.1" customHeight="1" x14ac:dyDescent="0.25">
      <c r="A22241" s="2" t="s">
        <v>43488</v>
      </c>
      <c r="B22241" s="2" t="s">
        <v>43489</v>
      </c>
      <c r="C22241" s="2" t="s">
        <v>124</v>
      </c>
      <c r="D22241" s="2" t="s">
        <v>183</v>
      </c>
      <c r="E22241" s="2" t="str">
        <f>"9789462984028"</f>
        <v>9789462984028</v>
      </c>
      <c r="F22241" s="2" t="str">
        <f>"9781040779712"</f>
        <v>9781040779712</v>
      </c>
    </row>
    <row r="22242" spans="1:6" s="3" customFormat="1" ht="29.1" customHeight="1" x14ac:dyDescent="0.25">
      <c r="A22242" s="2" t="s">
        <v>43490</v>
      </c>
      <c r="B22242" s="2" t="s">
        <v>43491</v>
      </c>
      <c r="C22242" s="2" t="s">
        <v>124</v>
      </c>
      <c r="D22242" s="2" t="s">
        <v>818</v>
      </c>
      <c r="E22242" s="2" t="str">
        <f>"9780367187743"</f>
        <v>9780367187743</v>
      </c>
      <c r="F22242" s="2" t="str">
        <f>"9780429582400"</f>
        <v>9780429582400</v>
      </c>
    </row>
    <row r="22243" spans="1:6" s="3" customFormat="1" ht="29.1" customHeight="1" x14ac:dyDescent="0.25">
      <c r="A22243" s="2" t="s">
        <v>43492</v>
      </c>
      <c r="B22243" s="2" t="s">
        <v>43493</v>
      </c>
      <c r="C22243" s="2" t="s">
        <v>36</v>
      </c>
      <c r="D22243" s="2" t="s">
        <v>5806</v>
      </c>
      <c r="E22243" s="2"/>
      <c r="F22243" s="2" t="str">
        <f>"9781447348368"</f>
        <v>9781447348368</v>
      </c>
    </row>
    <row r="22244" spans="1:6" s="3" customFormat="1" ht="29.1" customHeight="1" x14ac:dyDescent="0.25">
      <c r="A22244" s="2" t="s">
        <v>43494</v>
      </c>
      <c r="B22244" s="2" t="s">
        <v>43495</v>
      </c>
      <c r="C22244" s="2" t="s">
        <v>248</v>
      </c>
      <c r="D22244" s="2" t="s">
        <v>1043</v>
      </c>
      <c r="E22244" s="2" t="str">
        <f>"9783847421658"</f>
        <v>9783847421658</v>
      </c>
      <c r="F22244" s="2" t="str">
        <f>"9783847411871"</f>
        <v>9783847411871</v>
      </c>
    </row>
    <row r="22245" spans="1:6" s="3" customFormat="1" ht="29.1" customHeight="1" x14ac:dyDescent="0.25">
      <c r="A22245" s="2" t="s">
        <v>43496</v>
      </c>
      <c r="B22245" s="2"/>
      <c r="C22245" s="2" t="s">
        <v>59</v>
      </c>
      <c r="D22245" s="2" t="s">
        <v>2086</v>
      </c>
      <c r="E22245" s="2" t="str">
        <f>"9782759229376"</f>
        <v>9782759229376</v>
      </c>
      <c r="F22245" s="2" t="str">
        <f>"9782759229383"</f>
        <v>9782759229383</v>
      </c>
    </row>
    <row r="22246" spans="1:6" s="3" customFormat="1" ht="29.1" customHeight="1" x14ac:dyDescent="0.25">
      <c r="A22246" s="2" t="s">
        <v>43497</v>
      </c>
      <c r="B22246" s="2" t="s">
        <v>43498</v>
      </c>
      <c r="C22246" s="2" t="s">
        <v>59</v>
      </c>
      <c r="D22246" s="2" t="s">
        <v>2086</v>
      </c>
      <c r="E22246" s="2" t="str">
        <f>"9782759229406"</f>
        <v>9782759229406</v>
      </c>
      <c r="F22246" s="2" t="str">
        <f>"9782759229413"</f>
        <v>9782759229413</v>
      </c>
    </row>
    <row r="22247" spans="1:6" s="3" customFormat="1" ht="29.1" customHeight="1" x14ac:dyDescent="0.25">
      <c r="A22247" s="2" t="s">
        <v>43499</v>
      </c>
      <c r="B22247" s="2"/>
      <c r="C22247" s="2" t="s">
        <v>59</v>
      </c>
      <c r="D22247" s="2" t="s">
        <v>1806</v>
      </c>
      <c r="E22247" s="2" t="str">
        <f>"9782759229192"</f>
        <v>9782759229192</v>
      </c>
      <c r="F22247" s="2" t="str">
        <f>"9782759229208"</f>
        <v>9782759229208</v>
      </c>
    </row>
    <row r="22248" spans="1:6" s="3" customFormat="1" ht="29.1" customHeight="1" x14ac:dyDescent="0.25">
      <c r="A22248" s="2" t="s">
        <v>43500</v>
      </c>
      <c r="B22248" s="2" t="s">
        <v>43501</v>
      </c>
      <c r="C22248" s="2" t="s">
        <v>59</v>
      </c>
      <c r="D22248" s="2" t="s">
        <v>8189</v>
      </c>
      <c r="E22248" s="2"/>
      <c r="F22248" s="2" t="str">
        <f>"9782759229062"</f>
        <v>9782759229062</v>
      </c>
    </row>
    <row r="22249" spans="1:6" s="3" customFormat="1" ht="29.1" customHeight="1" x14ac:dyDescent="0.25">
      <c r="A22249" s="2" t="s">
        <v>43502</v>
      </c>
      <c r="B22249" s="2" t="s">
        <v>43503</v>
      </c>
      <c r="C22249" s="2" t="s">
        <v>124</v>
      </c>
      <c r="D22249" s="2" t="s">
        <v>12134</v>
      </c>
      <c r="E22249" s="2" t="str">
        <f>"9780367173814"</f>
        <v>9780367173814</v>
      </c>
      <c r="F22249" s="2" t="str">
        <f>"9780429508677"</f>
        <v>9780429508677</v>
      </c>
    </row>
    <row r="22250" spans="1:6" s="3" customFormat="1" ht="29.1" customHeight="1" x14ac:dyDescent="0.25">
      <c r="A22250" s="2" t="s">
        <v>43504</v>
      </c>
      <c r="B22250" s="2" t="s">
        <v>43505</v>
      </c>
      <c r="C22250" s="2" t="s">
        <v>55</v>
      </c>
      <c r="D22250" s="2" t="s">
        <v>9163</v>
      </c>
      <c r="E22250" s="2" t="str">
        <f>"9781526121592"</f>
        <v>9781526121592</v>
      </c>
      <c r="F22250" s="2" t="str">
        <f>"9781526121608"</f>
        <v>9781526121608</v>
      </c>
    </row>
    <row r="22251" spans="1:6" s="3" customFormat="1" ht="29.1" customHeight="1" x14ac:dyDescent="0.25">
      <c r="A22251" s="2" t="s">
        <v>43506</v>
      </c>
      <c r="B22251" s="2" t="s">
        <v>43507</v>
      </c>
      <c r="C22251" s="2" t="s">
        <v>55</v>
      </c>
      <c r="D22251" s="2" t="s">
        <v>156</v>
      </c>
      <c r="E22251" s="2" t="str">
        <f>"9781526100702"</f>
        <v>9781526100702</v>
      </c>
      <c r="F22251" s="2" t="str">
        <f>"9781526136862"</f>
        <v>9781526136862</v>
      </c>
    </row>
    <row r="22252" spans="1:6" s="3" customFormat="1" ht="29.1" customHeight="1" x14ac:dyDescent="0.25">
      <c r="A22252" s="2" t="s">
        <v>43508</v>
      </c>
      <c r="B22252" s="2" t="s">
        <v>43509</v>
      </c>
      <c r="C22252" s="2" t="s">
        <v>595</v>
      </c>
      <c r="D22252" s="2" t="s">
        <v>30</v>
      </c>
      <c r="E22252" s="2" t="str">
        <f>"9783631774243"</f>
        <v>9783631774243</v>
      </c>
      <c r="F22252" s="2" t="str">
        <f>"9783631779323"</f>
        <v>9783631779323</v>
      </c>
    </row>
    <row r="22253" spans="1:6" s="3" customFormat="1" ht="29.1" customHeight="1" x14ac:dyDescent="0.25">
      <c r="A22253" s="2" t="s">
        <v>43510</v>
      </c>
      <c r="B22253" s="2" t="s">
        <v>43511</v>
      </c>
      <c r="C22253" s="2" t="s">
        <v>595</v>
      </c>
      <c r="D22253" s="2" t="s">
        <v>1654</v>
      </c>
      <c r="E22253" s="2" t="str">
        <f>"9783631774250"</f>
        <v>9783631774250</v>
      </c>
      <c r="F22253" s="2" t="str">
        <f>"9783631779088"</f>
        <v>9783631779088</v>
      </c>
    </row>
    <row r="22254" spans="1:6" s="3" customFormat="1" ht="29.1" customHeight="1" x14ac:dyDescent="0.25">
      <c r="A22254" s="2" t="s">
        <v>43512</v>
      </c>
      <c r="B22254" s="2" t="s">
        <v>43513</v>
      </c>
      <c r="C22254" s="2" t="s">
        <v>595</v>
      </c>
      <c r="D22254" s="2" t="s">
        <v>2713</v>
      </c>
      <c r="E22254" s="2" t="str">
        <f>"9783631771891"</f>
        <v>9783631771891</v>
      </c>
      <c r="F22254" s="2" t="str">
        <f>"9783631773482"</f>
        <v>9783631773482</v>
      </c>
    </row>
    <row r="22255" spans="1:6" s="3" customFormat="1" ht="29.1" customHeight="1" x14ac:dyDescent="0.25">
      <c r="A22255" s="2" t="s">
        <v>43514</v>
      </c>
      <c r="B22255" s="2" t="s">
        <v>43515</v>
      </c>
      <c r="C22255" s="2" t="s">
        <v>327</v>
      </c>
      <c r="D22255" s="2" t="s">
        <v>1913</v>
      </c>
      <c r="E22255" s="2" t="str">
        <f>"9788381422338"</f>
        <v>9788381422338</v>
      </c>
      <c r="F22255" s="2" t="str">
        <f>"9788381422345"</f>
        <v>9788381422345</v>
      </c>
    </row>
    <row r="22256" spans="1:6" s="3" customFormat="1" ht="29.1" customHeight="1" x14ac:dyDescent="0.25">
      <c r="A22256" s="2" t="s">
        <v>43516</v>
      </c>
      <c r="B22256" s="2" t="s">
        <v>43517</v>
      </c>
      <c r="C22256" s="2" t="s">
        <v>327</v>
      </c>
      <c r="D22256" s="2" t="s">
        <v>405</v>
      </c>
      <c r="E22256" s="2" t="str">
        <f>"9788381421591"</f>
        <v>9788381421591</v>
      </c>
      <c r="F22256" s="2" t="str">
        <f>"9788381421607"</f>
        <v>9788381421607</v>
      </c>
    </row>
    <row r="22257" spans="1:6" s="3" customFormat="1" ht="29.1" customHeight="1" x14ac:dyDescent="0.25">
      <c r="A22257" s="2" t="s">
        <v>43518</v>
      </c>
      <c r="B22257" s="2" t="s">
        <v>43519</v>
      </c>
      <c r="C22257" s="2" t="s">
        <v>327</v>
      </c>
      <c r="D22257" s="2" t="s">
        <v>20744</v>
      </c>
      <c r="E22257" s="2" t="str">
        <f>"9788381422994"</f>
        <v>9788381422994</v>
      </c>
      <c r="F22257" s="2" t="str">
        <f>"9788381423007"</f>
        <v>9788381423007</v>
      </c>
    </row>
    <row r="22258" spans="1:6" s="3" customFormat="1" ht="29.1" customHeight="1" x14ac:dyDescent="0.25">
      <c r="A22258" s="2" t="s">
        <v>43520</v>
      </c>
      <c r="B22258" s="2" t="s">
        <v>43521</v>
      </c>
      <c r="C22258" s="2" t="s">
        <v>327</v>
      </c>
      <c r="D22258" s="2" t="s">
        <v>6578</v>
      </c>
      <c r="E22258" s="2" t="str">
        <f>"9788381421577"</f>
        <v>9788381421577</v>
      </c>
      <c r="F22258" s="2" t="str">
        <f>"9788381421584"</f>
        <v>9788381421584</v>
      </c>
    </row>
    <row r="22259" spans="1:6" s="3" customFormat="1" ht="29.1" customHeight="1" x14ac:dyDescent="0.25">
      <c r="A22259" s="2" t="s">
        <v>43522</v>
      </c>
      <c r="B22259" s="2" t="s">
        <v>43523</v>
      </c>
      <c r="C22259" s="2" t="s">
        <v>327</v>
      </c>
      <c r="D22259" s="2" t="s">
        <v>5758</v>
      </c>
      <c r="E22259" s="2" t="str">
        <f>"9788380888753"</f>
        <v>9788380888753</v>
      </c>
      <c r="F22259" s="2" t="str">
        <f>"9788380888760"</f>
        <v>9788380888760</v>
      </c>
    </row>
    <row r="22260" spans="1:6" s="3" customFormat="1" ht="29.1" customHeight="1" x14ac:dyDescent="0.25">
      <c r="A22260" s="2" t="s">
        <v>43524</v>
      </c>
      <c r="B22260" s="2" t="s">
        <v>43525</v>
      </c>
      <c r="C22260" s="2" t="s">
        <v>327</v>
      </c>
      <c r="D22260" s="2" t="s">
        <v>465</v>
      </c>
      <c r="E22260" s="2" t="str">
        <f>"9788381422475"</f>
        <v>9788381422475</v>
      </c>
      <c r="F22260" s="2" t="str">
        <f>"9788381422482"</f>
        <v>9788381422482</v>
      </c>
    </row>
    <row r="22261" spans="1:6" s="3" customFormat="1" ht="29.1" customHeight="1" x14ac:dyDescent="0.25">
      <c r="A22261" s="2" t="s">
        <v>43526</v>
      </c>
      <c r="B22261" s="2" t="s">
        <v>43527</v>
      </c>
      <c r="C22261" s="2" t="s">
        <v>327</v>
      </c>
      <c r="D22261" s="2" t="s">
        <v>183</v>
      </c>
      <c r="E22261" s="2" t="str">
        <f>"9788381422536"</f>
        <v>9788381422536</v>
      </c>
      <c r="F22261" s="2" t="str">
        <f>"9788381422543"</f>
        <v>9788381422543</v>
      </c>
    </row>
    <row r="22262" spans="1:6" s="3" customFormat="1" ht="29.1" customHeight="1" x14ac:dyDescent="0.25">
      <c r="A22262" s="2" t="s">
        <v>43528</v>
      </c>
      <c r="B22262" s="2" t="s">
        <v>43529</v>
      </c>
      <c r="C22262" s="2" t="s">
        <v>327</v>
      </c>
      <c r="D22262" s="2" t="s">
        <v>8413</v>
      </c>
      <c r="E22262" s="2" t="str">
        <f>"9788381421027"</f>
        <v>9788381421027</v>
      </c>
      <c r="F22262" s="2" t="str">
        <f>"9788381421034"</f>
        <v>9788381421034</v>
      </c>
    </row>
    <row r="22263" spans="1:6" s="3" customFormat="1" ht="29.1" customHeight="1" x14ac:dyDescent="0.25">
      <c r="A22263" s="2" t="s">
        <v>43530</v>
      </c>
      <c r="B22263" s="2" t="s">
        <v>43531</v>
      </c>
      <c r="C22263" s="2" t="s">
        <v>327</v>
      </c>
      <c r="D22263" s="2" t="s">
        <v>175</v>
      </c>
      <c r="E22263" s="2" t="str">
        <f>"9788381420600"</f>
        <v>9788381420600</v>
      </c>
      <c r="F22263" s="2" t="str">
        <f>"9788381420617"</f>
        <v>9788381420617</v>
      </c>
    </row>
    <row r="22264" spans="1:6" s="3" customFormat="1" ht="29.1" customHeight="1" x14ac:dyDescent="0.25">
      <c r="A22264" s="2" t="s">
        <v>43532</v>
      </c>
      <c r="B22264" s="2" t="s">
        <v>43533</v>
      </c>
      <c r="C22264" s="2" t="s">
        <v>327</v>
      </c>
      <c r="D22264" s="2" t="s">
        <v>5758</v>
      </c>
      <c r="E22264" s="2" t="str">
        <f>"9788381420587"</f>
        <v>9788381420587</v>
      </c>
      <c r="F22264" s="2" t="str">
        <f>"9788381420594"</f>
        <v>9788381420594</v>
      </c>
    </row>
    <row r="22265" spans="1:6" s="3" customFormat="1" ht="29.1" customHeight="1" x14ac:dyDescent="0.25">
      <c r="A22265" s="2" t="s">
        <v>43534</v>
      </c>
      <c r="B22265" s="2" t="s">
        <v>43535</v>
      </c>
      <c r="C22265" s="2" t="s">
        <v>195</v>
      </c>
      <c r="D22265" s="2" t="s">
        <v>218</v>
      </c>
      <c r="E22265" s="2" t="str">
        <f>"9783110641165"</f>
        <v>9783110641165</v>
      </c>
      <c r="F22265" s="2" t="str">
        <f>"9783110651812"</f>
        <v>9783110651812</v>
      </c>
    </row>
    <row r="22266" spans="1:6" s="3" customFormat="1" ht="29.1" customHeight="1" x14ac:dyDescent="0.25">
      <c r="A22266" s="2" t="s">
        <v>43536</v>
      </c>
      <c r="B22266" s="2" t="s">
        <v>43537</v>
      </c>
      <c r="C22266" s="2" t="s">
        <v>195</v>
      </c>
      <c r="D22266" s="2" t="s">
        <v>118</v>
      </c>
      <c r="E22266" s="2" t="str">
        <f>"9783110635973"</f>
        <v>9783110635973</v>
      </c>
      <c r="F22266" s="2" t="str">
        <f>"9783110636390"</f>
        <v>9783110636390</v>
      </c>
    </row>
    <row r="22267" spans="1:6" s="3" customFormat="1" ht="29.1" customHeight="1" x14ac:dyDescent="0.25">
      <c r="A22267" s="2" t="s">
        <v>43538</v>
      </c>
      <c r="B22267" s="2" t="s">
        <v>41949</v>
      </c>
      <c r="C22267" s="2" t="s">
        <v>195</v>
      </c>
      <c r="D22267" s="2" t="s">
        <v>3963</v>
      </c>
      <c r="E22267" s="2" t="str">
        <f>"9783110643381"</f>
        <v>9783110643381</v>
      </c>
      <c r="F22267" s="2" t="str">
        <f>"9783110644258"</f>
        <v>9783110644258</v>
      </c>
    </row>
    <row r="22268" spans="1:6" s="3" customFormat="1" ht="29.1" customHeight="1" x14ac:dyDescent="0.25">
      <c r="A22268" s="2" t="s">
        <v>43539</v>
      </c>
      <c r="B22268" s="2" t="s">
        <v>43540</v>
      </c>
      <c r="C22268" s="2" t="s">
        <v>195</v>
      </c>
      <c r="D22268" s="2" t="s">
        <v>33</v>
      </c>
      <c r="E22268" s="2" t="str">
        <f>"9783110060515"</f>
        <v>9783110060515</v>
      </c>
      <c r="F22268" s="2" t="str">
        <f>"9783110843606"</f>
        <v>9783110843606</v>
      </c>
    </row>
    <row r="22269" spans="1:6" s="3" customFormat="1" ht="29.1" customHeight="1" x14ac:dyDescent="0.25">
      <c r="A22269" s="2" t="s">
        <v>43541</v>
      </c>
      <c r="B22269" s="2" t="s">
        <v>43542</v>
      </c>
      <c r="C22269" s="2" t="s">
        <v>195</v>
      </c>
      <c r="D22269" s="2" t="s">
        <v>33</v>
      </c>
      <c r="E22269" s="2" t="str">
        <f>"9789027932815"</f>
        <v>9789027932815</v>
      </c>
      <c r="F22269" s="2" t="str">
        <f>"9783110812732"</f>
        <v>9783110812732</v>
      </c>
    </row>
    <row r="22270" spans="1:6" s="3" customFormat="1" ht="29.1" customHeight="1" x14ac:dyDescent="0.25">
      <c r="A22270" s="2" t="s">
        <v>43543</v>
      </c>
      <c r="B22270" s="2" t="s">
        <v>43544</v>
      </c>
      <c r="C22270" s="2" t="s">
        <v>195</v>
      </c>
      <c r="D22270" s="2" t="s">
        <v>33</v>
      </c>
      <c r="E22270" s="2" t="str">
        <f>"9789027920089"</f>
        <v>9789027920089</v>
      </c>
      <c r="F22270" s="2" t="str">
        <f>"9783110810608"</f>
        <v>9783110810608</v>
      </c>
    </row>
    <row r="22271" spans="1:6" s="3" customFormat="1" ht="29.1" customHeight="1" x14ac:dyDescent="0.25">
      <c r="A22271" s="2" t="s">
        <v>43545</v>
      </c>
      <c r="B22271" s="2" t="s">
        <v>43546</v>
      </c>
      <c r="C22271" s="2" t="s">
        <v>195</v>
      </c>
      <c r="D22271" s="2" t="s">
        <v>459</v>
      </c>
      <c r="E22271" s="2" t="str">
        <f>"9789027919656"</f>
        <v>9789027919656</v>
      </c>
      <c r="F22271" s="2" t="str">
        <f>"9783110812398"</f>
        <v>9783110812398</v>
      </c>
    </row>
    <row r="22272" spans="1:6" s="3" customFormat="1" ht="29.1" customHeight="1" x14ac:dyDescent="0.25">
      <c r="A22272" s="2" t="s">
        <v>43547</v>
      </c>
      <c r="B22272" s="2" t="s">
        <v>43548</v>
      </c>
      <c r="C22272" s="2" t="s">
        <v>195</v>
      </c>
      <c r="D22272" s="2" t="s">
        <v>459</v>
      </c>
      <c r="E22272" s="2" t="str">
        <f>"9789027934031"</f>
        <v>9789027934031</v>
      </c>
      <c r="F22272" s="2" t="str">
        <f>"9783110820560"</f>
        <v>9783110820560</v>
      </c>
    </row>
    <row r="22273" spans="1:6" s="3" customFormat="1" ht="29.1" customHeight="1" x14ac:dyDescent="0.25">
      <c r="A22273" s="2" t="s">
        <v>43549</v>
      </c>
      <c r="B22273" s="2" t="s">
        <v>43550</v>
      </c>
      <c r="C22273" s="2" t="s">
        <v>195</v>
      </c>
      <c r="D22273" s="2" t="s">
        <v>682</v>
      </c>
      <c r="E22273" s="2" t="str">
        <f>"9783110000047"</f>
        <v>9783110000047</v>
      </c>
      <c r="F22273" s="2" t="str">
        <f>"9783110882643"</f>
        <v>9783110882643</v>
      </c>
    </row>
    <row r="22274" spans="1:6" s="3" customFormat="1" ht="29.1" customHeight="1" x14ac:dyDescent="0.25">
      <c r="A22274" s="2" t="s">
        <v>43551</v>
      </c>
      <c r="B22274" s="2" t="s">
        <v>43552</v>
      </c>
      <c r="C22274" s="2" t="s">
        <v>195</v>
      </c>
      <c r="D22274" s="2" t="s">
        <v>183</v>
      </c>
      <c r="E22274" s="2" t="str">
        <f>"9789027979353"</f>
        <v>9789027979353</v>
      </c>
      <c r="F22274" s="2" t="str">
        <f>"9783110880120"</f>
        <v>9783110880120</v>
      </c>
    </row>
    <row r="22275" spans="1:6" s="3" customFormat="1" ht="29.1" customHeight="1" x14ac:dyDescent="0.25">
      <c r="A22275" s="2" t="s">
        <v>43553</v>
      </c>
      <c r="B22275" s="2" t="s">
        <v>43554</v>
      </c>
      <c r="C22275" s="2" t="s">
        <v>605</v>
      </c>
      <c r="D22275" s="2" t="s">
        <v>606</v>
      </c>
      <c r="E22275" s="2" t="str">
        <f>"9789654061445"</f>
        <v>9789654061445</v>
      </c>
      <c r="F22275" s="2" t="str">
        <f>"9789654065542"</f>
        <v>9789654065542</v>
      </c>
    </row>
    <row r="22276" spans="1:6" s="3" customFormat="1" ht="29.1" customHeight="1" x14ac:dyDescent="0.25">
      <c r="A22276" s="2" t="s">
        <v>43555</v>
      </c>
      <c r="B22276" s="2" t="s">
        <v>43556</v>
      </c>
      <c r="C22276" s="2" t="s">
        <v>605</v>
      </c>
      <c r="D22276" s="2" t="s">
        <v>606</v>
      </c>
      <c r="E22276" s="2" t="str">
        <f>"9789654061414"</f>
        <v>9789654061414</v>
      </c>
      <c r="F22276" s="2" t="str">
        <f>"9789654065535"</f>
        <v>9789654065535</v>
      </c>
    </row>
    <row r="22277" spans="1:6" s="3" customFormat="1" ht="29.1" customHeight="1" x14ac:dyDescent="0.25">
      <c r="A22277" s="2" t="s">
        <v>43557</v>
      </c>
      <c r="B22277" s="2" t="s">
        <v>43558</v>
      </c>
      <c r="C22277" s="2" t="s">
        <v>605</v>
      </c>
      <c r="D22277" s="2" t="s">
        <v>606</v>
      </c>
      <c r="E22277" s="2" t="str">
        <f>"9789654061421"</f>
        <v>9789654061421</v>
      </c>
      <c r="F22277" s="2" t="str">
        <f>"9789654065528"</f>
        <v>9789654065528</v>
      </c>
    </row>
    <row r="22278" spans="1:6" s="3" customFormat="1" ht="29.1" customHeight="1" x14ac:dyDescent="0.25">
      <c r="A22278" s="2" t="s">
        <v>43559</v>
      </c>
      <c r="B22278" s="2" t="s">
        <v>43560</v>
      </c>
      <c r="C22278" s="2" t="s">
        <v>605</v>
      </c>
      <c r="D22278" s="2" t="s">
        <v>606</v>
      </c>
      <c r="E22278" s="2" t="str">
        <f>"9789654060769"</f>
        <v>9789654060769</v>
      </c>
      <c r="F22278" s="2" t="str">
        <f>"9789654065511"</f>
        <v>9789654065511</v>
      </c>
    </row>
    <row r="22279" spans="1:6" s="3" customFormat="1" ht="29.1" customHeight="1" x14ac:dyDescent="0.25">
      <c r="A22279" s="2" t="s">
        <v>43561</v>
      </c>
      <c r="B22279" s="2" t="s">
        <v>43562</v>
      </c>
      <c r="C22279" s="2" t="s">
        <v>644</v>
      </c>
      <c r="D22279" s="2" t="s">
        <v>284</v>
      </c>
      <c r="E22279" s="2" t="str">
        <f>"9781478001843"</f>
        <v>9781478001843</v>
      </c>
      <c r="F22279" s="2" t="str">
        <f>"9781478003342"</f>
        <v>9781478003342</v>
      </c>
    </row>
    <row r="22280" spans="1:6" s="3" customFormat="1" ht="29.1" customHeight="1" x14ac:dyDescent="0.25">
      <c r="A22280" s="2" t="s">
        <v>43563</v>
      </c>
      <c r="B22280" s="2" t="s">
        <v>43564</v>
      </c>
      <c r="C22280" s="2" t="s">
        <v>124</v>
      </c>
      <c r="D22280" s="2" t="s">
        <v>1806</v>
      </c>
      <c r="E22280" s="2" t="str">
        <f>"9780815357742"</f>
        <v>9780815357742</v>
      </c>
      <c r="F22280" s="2" t="str">
        <f>"9781351123846"</f>
        <v>9781351123846</v>
      </c>
    </row>
    <row r="22281" spans="1:6" s="3" customFormat="1" ht="29.1" customHeight="1" x14ac:dyDescent="0.25">
      <c r="A22281" s="2" t="s">
        <v>43565</v>
      </c>
      <c r="B22281" s="2" t="s">
        <v>43566</v>
      </c>
      <c r="C22281" s="2" t="s">
        <v>124</v>
      </c>
      <c r="D22281" s="2" t="s">
        <v>270</v>
      </c>
      <c r="E22281" s="2" t="str">
        <f>"9781138683099"</f>
        <v>9781138683099</v>
      </c>
      <c r="F22281" s="2" t="str">
        <f>"9781134830367"</f>
        <v>9781134830367</v>
      </c>
    </row>
    <row r="22282" spans="1:6" s="3" customFormat="1" ht="29.1" customHeight="1" x14ac:dyDescent="0.25">
      <c r="A22282" s="2" t="s">
        <v>43567</v>
      </c>
      <c r="B22282" s="2" t="s">
        <v>43568</v>
      </c>
      <c r="C22282" s="2" t="s">
        <v>927</v>
      </c>
      <c r="D22282" s="2" t="s">
        <v>8788</v>
      </c>
      <c r="E22282" s="2" t="str">
        <f>"9780472069842"</f>
        <v>9780472069842</v>
      </c>
      <c r="F22282" s="2" t="str">
        <f>"9780472125043"</f>
        <v>9780472125043</v>
      </c>
    </row>
    <row r="22283" spans="1:6" s="3" customFormat="1" ht="29.1" customHeight="1" x14ac:dyDescent="0.25">
      <c r="A22283" s="2" t="s">
        <v>43569</v>
      </c>
      <c r="B22283" s="2" t="s">
        <v>30969</v>
      </c>
      <c r="C22283" s="2" t="s">
        <v>149</v>
      </c>
      <c r="D22283" s="2" t="s">
        <v>5493</v>
      </c>
      <c r="E22283" s="2" t="str">
        <f>"9781783745395"</f>
        <v>9781783745395</v>
      </c>
      <c r="F22283" s="2" t="str">
        <f>"9781783745418"</f>
        <v>9781783745418</v>
      </c>
    </row>
    <row r="22284" spans="1:6" s="3" customFormat="1" ht="29.1" customHeight="1" x14ac:dyDescent="0.25">
      <c r="A22284" s="2" t="s">
        <v>43570</v>
      </c>
      <c r="B22284" s="2" t="s">
        <v>43571</v>
      </c>
      <c r="C22284" s="2" t="s">
        <v>149</v>
      </c>
      <c r="D22284" s="2" t="s">
        <v>3144</v>
      </c>
      <c r="E22284" s="2" t="str">
        <f>"9781783746552"</f>
        <v>9781783746552</v>
      </c>
      <c r="F22284" s="2" t="str">
        <f>"9781783746576"</f>
        <v>9781783746576</v>
      </c>
    </row>
    <row r="22285" spans="1:6" s="3" customFormat="1" ht="29.1" customHeight="1" x14ac:dyDescent="0.25">
      <c r="A22285" s="2" t="s">
        <v>43572</v>
      </c>
      <c r="B22285" s="2" t="s">
        <v>43573</v>
      </c>
      <c r="C22285" s="2" t="s">
        <v>149</v>
      </c>
      <c r="D22285" s="2" t="s">
        <v>7079</v>
      </c>
      <c r="E22285" s="2" t="str">
        <f>"9781783745951"</f>
        <v>9781783745951</v>
      </c>
      <c r="F22285" s="2" t="str">
        <f>"9781783745975"</f>
        <v>9781783745975</v>
      </c>
    </row>
    <row r="22286" spans="1:6" s="3" customFormat="1" ht="29.1" customHeight="1" x14ac:dyDescent="0.25">
      <c r="A22286" s="2" t="s">
        <v>43574</v>
      </c>
      <c r="B22286" s="2" t="s">
        <v>43575</v>
      </c>
      <c r="C22286" s="2" t="s">
        <v>149</v>
      </c>
      <c r="D22286" s="2" t="s">
        <v>636</v>
      </c>
      <c r="E22286" s="2" t="str">
        <f>"9781783745449"</f>
        <v>9781783745449</v>
      </c>
      <c r="F22286" s="2" t="str">
        <f>"9781783745463"</f>
        <v>9781783745463</v>
      </c>
    </row>
    <row r="22287" spans="1:6" s="3" customFormat="1" ht="29.1" customHeight="1" x14ac:dyDescent="0.25">
      <c r="A22287" s="2" t="s">
        <v>43576</v>
      </c>
      <c r="B22287" s="2" t="s">
        <v>29891</v>
      </c>
      <c r="C22287" s="2" t="s">
        <v>149</v>
      </c>
      <c r="D22287" s="2" t="s">
        <v>11465</v>
      </c>
      <c r="E22287" s="2" t="str">
        <f>"9781783745593"</f>
        <v>9781783745593</v>
      </c>
      <c r="F22287" s="2" t="str">
        <f>"9781783745616"</f>
        <v>9781783745616</v>
      </c>
    </row>
    <row r="22288" spans="1:6" s="3" customFormat="1" ht="29.1" customHeight="1" x14ac:dyDescent="0.25">
      <c r="A22288" s="2" t="s">
        <v>43577</v>
      </c>
      <c r="B22288" s="2" t="s">
        <v>43578</v>
      </c>
      <c r="C22288" s="2" t="s">
        <v>149</v>
      </c>
      <c r="D22288" s="2" t="s">
        <v>118</v>
      </c>
      <c r="E22288" s="2" t="str">
        <f>"9781783746002"</f>
        <v>9781783746002</v>
      </c>
      <c r="F22288" s="2" t="str">
        <f>"9781783746026"</f>
        <v>9781783746026</v>
      </c>
    </row>
    <row r="22289" spans="1:6" s="3" customFormat="1" ht="29.1" customHeight="1" x14ac:dyDescent="0.25">
      <c r="A22289" s="2" t="s">
        <v>43579</v>
      </c>
      <c r="B22289" s="2" t="s">
        <v>43580</v>
      </c>
      <c r="C22289" s="2" t="s">
        <v>927</v>
      </c>
      <c r="D22289" s="2" t="s">
        <v>342</v>
      </c>
      <c r="E22289" s="2" t="str">
        <f>"9780472131273"</f>
        <v>9780472131273</v>
      </c>
      <c r="F22289" s="2" t="str">
        <f>"9780472125005"</f>
        <v>9780472125005</v>
      </c>
    </row>
    <row r="22290" spans="1:6" s="3" customFormat="1" ht="29.1" customHeight="1" x14ac:dyDescent="0.25">
      <c r="A22290" s="2" t="s">
        <v>43581</v>
      </c>
      <c r="B22290" s="2" t="s">
        <v>43582</v>
      </c>
      <c r="C22290" s="2" t="s">
        <v>15381</v>
      </c>
      <c r="D22290" s="2" t="s">
        <v>4754</v>
      </c>
      <c r="E22290" s="2" t="str">
        <f>"9781469649597"</f>
        <v>9781469649597</v>
      </c>
      <c r="F22290" s="2" t="str">
        <f>"9781469649610"</f>
        <v>9781469649610</v>
      </c>
    </row>
    <row r="22291" spans="1:6" s="3" customFormat="1" ht="29.1" customHeight="1" x14ac:dyDescent="0.25">
      <c r="A22291" s="2" t="s">
        <v>43583</v>
      </c>
      <c r="B22291" s="2" t="s">
        <v>43584</v>
      </c>
      <c r="C22291" s="2" t="s">
        <v>195</v>
      </c>
      <c r="D22291" s="2" t="s">
        <v>12194</v>
      </c>
      <c r="E22291" s="2" t="str">
        <f>"9783111140322"</f>
        <v>9783111140322</v>
      </c>
      <c r="F22291" s="2" t="str">
        <f>"9783111507484"</f>
        <v>9783111507484</v>
      </c>
    </row>
    <row r="22292" spans="1:6" s="3" customFormat="1" ht="29.1" customHeight="1" x14ac:dyDescent="0.25">
      <c r="A22292" s="2" t="s">
        <v>43585</v>
      </c>
      <c r="B22292" s="2" t="s">
        <v>43586</v>
      </c>
      <c r="C22292" s="2" t="s">
        <v>195</v>
      </c>
      <c r="D22292" s="2" t="s">
        <v>186</v>
      </c>
      <c r="E22292" s="2" t="str">
        <f>"9783111052038"</f>
        <v>9783111052038</v>
      </c>
      <c r="F22292" s="2" t="str">
        <f>"9783111416113"</f>
        <v>9783111416113</v>
      </c>
    </row>
    <row r="22293" spans="1:6" s="3" customFormat="1" ht="29.1" customHeight="1" x14ac:dyDescent="0.25">
      <c r="A22293" s="2" t="s">
        <v>43587</v>
      </c>
      <c r="B22293" s="2" t="s">
        <v>43588</v>
      </c>
      <c r="C22293" s="2" t="s">
        <v>195</v>
      </c>
      <c r="D22293" s="2" t="s">
        <v>9392</v>
      </c>
      <c r="E22293" s="2" t="str">
        <f>"9783111277127"</f>
        <v>9783111277127</v>
      </c>
      <c r="F22293" s="2" t="str">
        <f>"9783111661490"</f>
        <v>9783111661490</v>
      </c>
    </row>
    <row r="22294" spans="1:6" s="3" customFormat="1" ht="29.1" customHeight="1" x14ac:dyDescent="0.25">
      <c r="A22294" s="2" t="s">
        <v>43589</v>
      </c>
      <c r="B22294" s="2" t="s">
        <v>43591</v>
      </c>
      <c r="C22294" s="2" t="s">
        <v>195</v>
      </c>
      <c r="D22294" s="2" t="s">
        <v>43590</v>
      </c>
      <c r="E22294" s="2" t="str">
        <f>"9783111281100"</f>
        <v>9783111281100</v>
      </c>
      <c r="F22294" s="2" t="str">
        <f>"9783111665849"</f>
        <v>9783111665849</v>
      </c>
    </row>
    <row r="22295" spans="1:6" s="3" customFormat="1" ht="29.1" customHeight="1" x14ac:dyDescent="0.25">
      <c r="A22295" s="2" t="s">
        <v>43592</v>
      </c>
      <c r="B22295" s="2"/>
      <c r="C22295" s="2" t="s">
        <v>195</v>
      </c>
      <c r="D22295" s="2" t="s">
        <v>98</v>
      </c>
      <c r="E22295" s="2" t="str">
        <f>"9783110041484"</f>
        <v>9783110041484</v>
      </c>
      <c r="F22295" s="2" t="str">
        <f>"9783110838336"</f>
        <v>9783110838336</v>
      </c>
    </row>
    <row r="22296" spans="1:6" s="3" customFormat="1" ht="29.1" customHeight="1" x14ac:dyDescent="0.25">
      <c r="A22296" s="2" t="s">
        <v>43593</v>
      </c>
      <c r="B22296" s="2" t="s">
        <v>35436</v>
      </c>
      <c r="C22296" s="2" t="s">
        <v>195</v>
      </c>
      <c r="D22296" s="2" t="s">
        <v>210</v>
      </c>
      <c r="E22296" s="2" t="str">
        <f>"9783486561715"</f>
        <v>9783486561715</v>
      </c>
      <c r="F22296" s="2" t="str">
        <f>"9783486594331"</f>
        <v>9783486594331</v>
      </c>
    </row>
    <row r="22297" spans="1:6" s="3" customFormat="1" ht="29.1" customHeight="1" x14ac:dyDescent="0.25">
      <c r="A22297" s="2" t="s">
        <v>43594</v>
      </c>
      <c r="B22297" s="2" t="s">
        <v>43595</v>
      </c>
      <c r="C22297" s="2" t="s">
        <v>124</v>
      </c>
      <c r="D22297" s="2" t="s">
        <v>101</v>
      </c>
      <c r="E22297" s="2" t="str">
        <f>"9780367709457"</f>
        <v>9780367709457</v>
      </c>
      <c r="F22297" s="2" t="str">
        <f>"9781351050173"</f>
        <v>9781351050173</v>
      </c>
    </row>
    <row r="22298" spans="1:6" s="3" customFormat="1" ht="29.1" customHeight="1" x14ac:dyDescent="0.25">
      <c r="A22298" s="2" t="s">
        <v>43596</v>
      </c>
      <c r="B22298" s="2" t="s">
        <v>43597</v>
      </c>
      <c r="C22298" s="2" t="s">
        <v>124</v>
      </c>
      <c r="D22298" s="2" t="s">
        <v>313</v>
      </c>
      <c r="E22298" s="2" t="str">
        <f>"9781041185567"</f>
        <v>9781041185567</v>
      </c>
      <c r="F22298" s="2" t="str">
        <f>"9781040790588"</f>
        <v>9781040790588</v>
      </c>
    </row>
    <row r="22299" spans="1:6" s="3" customFormat="1" ht="29.1" customHeight="1" x14ac:dyDescent="0.25">
      <c r="A22299" s="2" t="s">
        <v>43598</v>
      </c>
      <c r="B22299" s="2" t="s">
        <v>43599</v>
      </c>
      <c r="C22299" s="2" t="s">
        <v>124</v>
      </c>
      <c r="D22299" s="2" t="s">
        <v>431</v>
      </c>
      <c r="E22299" s="2" t="str">
        <f>"9780815370031"</f>
        <v>9780815370031</v>
      </c>
      <c r="F22299" s="2" t="str">
        <f>"9781351250900"</f>
        <v>9781351250900</v>
      </c>
    </row>
    <row r="22300" spans="1:6" s="3" customFormat="1" ht="29.1" customHeight="1" x14ac:dyDescent="0.25">
      <c r="A22300" s="2" t="s">
        <v>43600</v>
      </c>
      <c r="B22300" s="2" t="s">
        <v>43601</v>
      </c>
      <c r="C22300" s="2" t="s">
        <v>124</v>
      </c>
      <c r="D22300" s="2" t="s">
        <v>15</v>
      </c>
      <c r="E22300" s="2" t="str">
        <f>"9780367026165"</f>
        <v>9780367026165</v>
      </c>
      <c r="F22300" s="2" t="str">
        <f>"9780429676901"</f>
        <v>9780429676901</v>
      </c>
    </row>
    <row r="22301" spans="1:6" s="3" customFormat="1" ht="29.1" customHeight="1" x14ac:dyDescent="0.25">
      <c r="A22301" s="2" t="s">
        <v>43602</v>
      </c>
      <c r="B22301" s="2" t="s">
        <v>43603</v>
      </c>
      <c r="C22301" s="2" t="s">
        <v>15381</v>
      </c>
      <c r="D22301" s="2" t="s">
        <v>3155</v>
      </c>
      <c r="E22301" s="2" t="str">
        <f>"9781469649474"</f>
        <v>9781469649474</v>
      </c>
      <c r="F22301" s="2" t="str">
        <f>"9781469649498"</f>
        <v>9781469649498</v>
      </c>
    </row>
    <row r="22302" spans="1:6" s="3" customFormat="1" ht="29.1" customHeight="1" x14ac:dyDescent="0.25">
      <c r="A22302" s="2" t="s">
        <v>43604</v>
      </c>
      <c r="B22302" s="2" t="s">
        <v>43605</v>
      </c>
      <c r="C22302" s="2" t="s">
        <v>124</v>
      </c>
      <c r="D22302" s="2" t="s">
        <v>1198</v>
      </c>
      <c r="E22302" s="2" t="str">
        <f>"9789089647535"</f>
        <v>9789089647535</v>
      </c>
      <c r="F22302" s="2" t="str">
        <f>"9781040781234"</f>
        <v>9781040781234</v>
      </c>
    </row>
    <row r="22303" spans="1:6" s="3" customFormat="1" ht="29.1" customHeight="1" x14ac:dyDescent="0.25">
      <c r="A22303" s="2" t="s">
        <v>43606</v>
      </c>
      <c r="B22303" s="2" t="s">
        <v>43607</v>
      </c>
      <c r="C22303" s="2" t="s">
        <v>4104</v>
      </c>
      <c r="D22303" s="2" t="s">
        <v>965</v>
      </c>
      <c r="E22303" s="2" t="str">
        <f>"9781786941343"</f>
        <v>9781786941343</v>
      </c>
      <c r="F22303" s="2" t="str">
        <f>"9781786949363"</f>
        <v>9781786949363</v>
      </c>
    </row>
    <row r="22304" spans="1:6" s="3" customFormat="1" ht="29.1" customHeight="1" x14ac:dyDescent="0.25">
      <c r="A22304" s="2" t="s">
        <v>43608</v>
      </c>
      <c r="B22304" s="2" t="s">
        <v>43609</v>
      </c>
      <c r="C22304" s="2" t="s">
        <v>124</v>
      </c>
      <c r="D22304" s="2" t="s">
        <v>107</v>
      </c>
      <c r="E22304" s="2" t="str">
        <f>"9781041185451"</f>
        <v>9781041185451</v>
      </c>
      <c r="F22304" s="2" t="str">
        <f>"9781040790915"</f>
        <v>9781040790915</v>
      </c>
    </row>
    <row r="22305" spans="1:6" s="3" customFormat="1" ht="29.1" customHeight="1" x14ac:dyDescent="0.25">
      <c r="A22305" s="2" t="s">
        <v>43610</v>
      </c>
      <c r="B22305" s="2" t="s">
        <v>43612</v>
      </c>
      <c r="C22305" s="2" t="s">
        <v>556</v>
      </c>
      <c r="D22305" s="2" t="s">
        <v>43611</v>
      </c>
      <c r="E22305" s="2" t="str">
        <f>"9783837640595"</f>
        <v>9783837640595</v>
      </c>
      <c r="F22305" s="2" t="str">
        <f>"9783839440599"</f>
        <v>9783839440599</v>
      </c>
    </row>
    <row r="22306" spans="1:6" s="3" customFormat="1" ht="29.1" customHeight="1" x14ac:dyDescent="0.25">
      <c r="A22306" s="2" t="s">
        <v>43613</v>
      </c>
      <c r="B22306" s="2" t="s">
        <v>43614</v>
      </c>
      <c r="C22306" s="2" t="s">
        <v>195</v>
      </c>
      <c r="D22306" s="2" t="s">
        <v>210</v>
      </c>
      <c r="E22306" s="2" t="str">
        <f>"9783486200157"</f>
        <v>9783486200157</v>
      </c>
      <c r="F22306" s="2" t="str">
        <f>"9783486594133"</f>
        <v>9783486594133</v>
      </c>
    </row>
    <row r="22307" spans="1:6" s="3" customFormat="1" ht="29.1" customHeight="1" x14ac:dyDescent="0.25">
      <c r="A22307" s="2" t="s">
        <v>43615</v>
      </c>
      <c r="B22307" s="2" t="s">
        <v>43616</v>
      </c>
      <c r="C22307" s="2" t="s">
        <v>195</v>
      </c>
      <c r="D22307" s="2" t="s">
        <v>459</v>
      </c>
      <c r="E22307" s="2" t="str">
        <f>"9781501516863"</f>
        <v>9781501516863</v>
      </c>
      <c r="F22307" s="2" t="str">
        <f>"9781501509933"</f>
        <v>9781501509933</v>
      </c>
    </row>
    <row r="22308" spans="1:6" s="3" customFormat="1" ht="29.1" customHeight="1" x14ac:dyDescent="0.25">
      <c r="A22308" s="2" t="s">
        <v>43617</v>
      </c>
      <c r="B22308" s="2" t="s">
        <v>43618</v>
      </c>
      <c r="C22308" s="2" t="s">
        <v>195</v>
      </c>
      <c r="D22308" s="2" t="s">
        <v>210</v>
      </c>
      <c r="E22308" s="2" t="str">
        <f>"9783486580570"</f>
        <v>9783486580570</v>
      </c>
      <c r="F22308" s="2" t="str">
        <f>"9783486594720"</f>
        <v>9783486594720</v>
      </c>
    </row>
    <row r="22309" spans="1:6" s="3" customFormat="1" ht="29.1" customHeight="1" x14ac:dyDescent="0.25">
      <c r="A22309" s="2" t="s">
        <v>43619</v>
      </c>
      <c r="B22309" s="2" t="s">
        <v>43620</v>
      </c>
      <c r="C22309" s="2" t="s">
        <v>195</v>
      </c>
      <c r="D22309" s="2" t="s">
        <v>210</v>
      </c>
      <c r="E22309" s="2" t="str">
        <f>"9783486580068"</f>
        <v>9783486580068</v>
      </c>
      <c r="F22309" s="2" t="str">
        <f>"9783486594713"</f>
        <v>9783486594713</v>
      </c>
    </row>
    <row r="22310" spans="1:6" s="3" customFormat="1" ht="29.1" customHeight="1" x14ac:dyDescent="0.25">
      <c r="A22310" s="2" t="s">
        <v>43621</v>
      </c>
      <c r="B22310" s="2" t="s">
        <v>43622</v>
      </c>
      <c r="C22310" s="2" t="s">
        <v>195</v>
      </c>
      <c r="D22310" s="2" t="s">
        <v>210</v>
      </c>
      <c r="E22310" s="2" t="str">
        <f>"9783486579055"</f>
        <v>9783486579055</v>
      </c>
      <c r="F22310" s="2" t="str">
        <f>"9783486594676"</f>
        <v>9783486594676</v>
      </c>
    </row>
    <row r="22311" spans="1:6" s="3" customFormat="1" ht="29.1" customHeight="1" x14ac:dyDescent="0.25">
      <c r="A22311" s="2" t="s">
        <v>43623</v>
      </c>
      <c r="B22311" s="2" t="s">
        <v>43624</v>
      </c>
      <c r="C22311" s="2" t="s">
        <v>195</v>
      </c>
      <c r="D22311" s="2" t="s">
        <v>210</v>
      </c>
      <c r="E22311" s="2" t="str">
        <f>"9783486581478"</f>
        <v>9783486581478</v>
      </c>
      <c r="F22311" s="2" t="str">
        <f>"9783110446470"</f>
        <v>9783110446470</v>
      </c>
    </row>
    <row r="22312" spans="1:6" s="3" customFormat="1" ht="29.1" customHeight="1" x14ac:dyDescent="0.25">
      <c r="A22312" s="2" t="s">
        <v>43625</v>
      </c>
      <c r="B22312" s="2" t="s">
        <v>43626</v>
      </c>
      <c r="C22312" s="2" t="s">
        <v>195</v>
      </c>
      <c r="D22312" s="2" t="s">
        <v>210</v>
      </c>
      <c r="E22312" s="2" t="str">
        <f>"9783486597073"</f>
        <v>9783486597073</v>
      </c>
      <c r="F22312" s="2" t="str">
        <f>"9783110446739"</f>
        <v>9783110446739</v>
      </c>
    </row>
    <row r="22313" spans="1:6" s="3" customFormat="1" ht="29.1" customHeight="1" x14ac:dyDescent="0.25">
      <c r="A22313" s="2" t="s">
        <v>43627</v>
      </c>
      <c r="B22313" s="2" t="s">
        <v>26389</v>
      </c>
      <c r="C22313" s="2" t="s">
        <v>195</v>
      </c>
      <c r="D22313" s="2" t="s">
        <v>210</v>
      </c>
      <c r="E22313" s="2" t="str">
        <f>"9783486581508"</f>
        <v>9783486581508</v>
      </c>
      <c r="F22313" s="2" t="str">
        <f>"9783110446487"</f>
        <v>9783110446487</v>
      </c>
    </row>
    <row r="22314" spans="1:6" s="3" customFormat="1" ht="29.1" customHeight="1" x14ac:dyDescent="0.25">
      <c r="A22314" s="2" t="s">
        <v>43628</v>
      </c>
      <c r="B22314" s="2" t="s">
        <v>43629</v>
      </c>
      <c r="C22314" s="2" t="s">
        <v>195</v>
      </c>
      <c r="D22314" s="2" t="s">
        <v>210</v>
      </c>
      <c r="E22314" s="2" t="str">
        <f>"9783486581065"</f>
        <v>9783486581065</v>
      </c>
      <c r="F22314" s="2" t="str">
        <f>"9783110446340"</f>
        <v>9783110446340</v>
      </c>
    </row>
    <row r="22315" spans="1:6" s="3" customFormat="1" ht="29.1" customHeight="1" x14ac:dyDescent="0.25">
      <c r="A22315" s="2" t="s">
        <v>43630</v>
      </c>
      <c r="B22315" s="2" t="s">
        <v>43631</v>
      </c>
      <c r="C22315" s="2" t="s">
        <v>195</v>
      </c>
      <c r="D22315" s="2" t="s">
        <v>210</v>
      </c>
      <c r="E22315" s="2" t="str">
        <f>"9783486578737"</f>
        <v>9783486578737</v>
      </c>
      <c r="F22315" s="2" t="str">
        <f>"9783486596359"</f>
        <v>9783486596359</v>
      </c>
    </row>
    <row r="22316" spans="1:6" s="3" customFormat="1" ht="29.1" customHeight="1" x14ac:dyDescent="0.25">
      <c r="A22316" s="2" t="s">
        <v>43632</v>
      </c>
      <c r="B22316" s="2" t="s">
        <v>43633</v>
      </c>
      <c r="C22316" s="2" t="s">
        <v>124</v>
      </c>
      <c r="D22316" s="2" t="s">
        <v>1717</v>
      </c>
      <c r="E22316" s="2" t="str">
        <f>"9789462984905"</f>
        <v>9789462984905</v>
      </c>
      <c r="F22316" s="2" t="str">
        <f>"9781040778098"</f>
        <v>9781040778098</v>
      </c>
    </row>
    <row r="22317" spans="1:6" s="3" customFormat="1" ht="29.1" customHeight="1" x14ac:dyDescent="0.25">
      <c r="A22317" s="2" t="s">
        <v>43634</v>
      </c>
      <c r="B22317" s="2" t="s">
        <v>43635</v>
      </c>
      <c r="C22317" s="2" t="s">
        <v>124</v>
      </c>
      <c r="D22317" s="2" t="s">
        <v>18544</v>
      </c>
      <c r="E22317" s="2" t="str">
        <f>"9781041181293"</f>
        <v>9781041181293</v>
      </c>
      <c r="F22317" s="2" t="str">
        <f>"9781040799543"</f>
        <v>9781040799543</v>
      </c>
    </row>
    <row r="22318" spans="1:6" s="3" customFormat="1" ht="29.1" customHeight="1" x14ac:dyDescent="0.25">
      <c r="A22318" s="2" t="s">
        <v>43636</v>
      </c>
      <c r="B22318" s="2" t="s">
        <v>43637</v>
      </c>
      <c r="C22318" s="2" t="s">
        <v>927</v>
      </c>
      <c r="D22318" s="2" t="s">
        <v>342</v>
      </c>
      <c r="E22318" s="2" t="str">
        <f>"9780472131112"</f>
        <v>9780472131112</v>
      </c>
      <c r="F22318" s="2" t="str">
        <f>"9780472124558"</f>
        <v>9780472124558</v>
      </c>
    </row>
    <row r="22319" spans="1:6" s="3" customFormat="1" ht="29.1" customHeight="1" x14ac:dyDescent="0.25">
      <c r="A22319" s="2" t="s">
        <v>43638</v>
      </c>
      <c r="B22319" s="2" t="s">
        <v>43639</v>
      </c>
      <c r="C22319" s="2" t="s">
        <v>927</v>
      </c>
      <c r="D22319" s="2" t="s">
        <v>9</v>
      </c>
      <c r="E22319" s="2" t="str">
        <f>"9780472037384"</f>
        <v>9780472037384</v>
      </c>
      <c r="F22319" s="2" t="str">
        <f>"9780472124817"</f>
        <v>9780472124817</v>
      </c>
    </row>
    <row r="22320" spans="1:6" s="3" customFormat="1" ht="29.1" customHeight="1" x14ac:dyDescent="0.25">
      <c r="A22320" s="2" t="s">
        <v>43640</v>
      </c>
      <c r="B22320" s="2" t="s">
        <v>43641</v>
      </c>
      <c r="C22320" s="2" t="s">
        <v>4788</v>
      </c>
      <c r="D22320" s="2" t="s">
        <v>501</v>
      </c>
      <c r="E22320" s="2" t="str">
        <f>"9781474437479"</f>
        <v>9781474437479</v>
      </c>
      <c r="F22320" s="2" t="str">
        <f>"9781474437493"</f>
        <v>9781474437493</v>
      </c>
    </row>
    <row r="22321" spans="1:6" s="3" customFormat="1" ht="29.1" customHeight="1" x14ac:dyDescent="0.25">
      <c r="A22321" s="2" t="s">
        <v>43642</v>
      </c>
      <c r="B22321" s="2" t="s">
        <v>43644</v>
      </c>
      <c r="C22321" s="2" t="s">
        <v>124</v>
      </c>
      <c r="D22321" s="2" t="s">
        <v>43643</v>
      </c>
      <c r="E22321" s="2" t="str">
        <f>"9789462988095"</f>
        <v>9789462988095</v>
      </c>
      <c r="F22321" s="2" t="str">
        <f>"9781040772904"</f>
        <v>9781040772904</v>
      </c>
    </row>
    <row r="22322" spans="1:6" s="3" customFormat="1" ht="29.1" customHeight="1" x14ac:dyDescent="0.25">
      <c r="A22322" s="2" t="s">
        <v>43645</v>
      </c>
      <c r="B22322" s="2" t="s">
        <v>43646</v>
      </c>
      <c r="C22322" s="2" t="s">
        <v>124</v>
      </c>
      <c r="D22322" s="2" t="s">
        <v>791</v>
      </c>
      <c r="E22322" s="2" t="str">
        <f>"9780367660710"</f>
        <v>9780367660710</v>
      </c>
      <c r="F22322" s="2" t="str">
        <f>"9780429858765"</f>
        <v>9780429858765</v>
      </c>
    </row>
    <row r="22323" spans="1:6" s="3" customFormat="1" ht="29.1" customHeight="1" x14ac:dyDescent="0.25">
      <c r="A22323" s="2" t="s">
        <v>43647</v>
      </c>
      <c r="B22323" s="2" t="s">
        <v>43648</v>
      </c>
      <c r="C22323" s="2" t="s">
        <v>556</v>
      </c>
      <c r="D22323" s="2" t="s">
        <v>183</v>
      </c>
      <c r="E22323" s="2" t="str">
        <f>"9783837626117"</f>
        <v>9783837626117</v>
      </c>
      <c r="F22323" s="2" t="str">
        <f>"9783839426111"</f>
        <v>9783839426111</v>
      </c>
    </row>
    <row r="22324" spans="1:6" s="3" customFormat="1" ht="29.1" customHeight="1" x14ac:dyDescent="0.25">
      <c r="A22324" s="2" t="s">
        <v>43649</v>
      </c>
      <c r="B22324" s="2" t="s">
        <v>43650</v>
      </c>
      <c r="C22324" s="2" t="s">
        <v>2183</v>
      </c>
      <c r="D22324" s="2" t="s">
        <v>428</v>
      </c>
      <c r="E22324" s="2" t="str">
        <f>"9781942401599"</f>
        <v>9781942401599</v>
      </c>
      <c r="F22324" s="2" t="str">
        <f>"9781942401605"</f>
        <v>9781942401605</v>
      </c>
    </row>
    <row r="22325" spans="1:6" s="3" customFormat="1" ht="29.1" customHeight="1" x14ac:dyDescent="0.25">
      <c r="A22325" s="2" t="s">
        <v>43651</v>
      </c>
      <c r="B22325" s="2" t="s">
        <v>43652</v>
      </c>
      <c r="C22325" s="2" t="s">
        <v>2183</v>
      </c>
      <c r="D22325" s="2" t="s">
        <v>1432</v>
      </c>
      <c r="E22325" s="2" t="str">
        <f>"9781942401001"</f>
        <v>9781942401001</v>
      </c>
      <c r="F22325" s="2" t="str">
        <f>"9781942401018"</f>
        <v>9781942401018</v>
      </c>
    </row>
    <row r="22326" spans="1:6" s="3" customFormat="1" ht="29.1" customHeight="1" x14ac:dyDescent="0.25">
      <c r="A22326" s="2" t="s">
        <v>43653</v>
      </c>
      <c r="B22326" s="2" t="s">
        <v>43654</v>
      </c>
      <c r="C22326" s="2" t="s">
        <v>248</v>
      </c>
      <c r="D22326" s="2" t="s">
        <v>9003</v>
      </c>
      <c r="E22326" s="2" t="str">
        <f>"9783863888107"</f>
        <v>9783863888107</v>
      </c>
      <c r="F22326" s="2" t="str">
        <f>"9783863884048"</f>
        <v>9783863884048</v>
      </c>
    </row>
    <row r="22327" spans="1:6" s="3" customFormat="1" ht="29.1" customHeight="1" x14ac:dyDescent="0.25">
      <c r="A22327" s="2" t="s">
        <v>43655</v>
      </c>
      <c r="B22327" s="2" t="s">
        <v>43656</v>
      </c>
      <c r="C22327" s="2" t="s">
        <v>131</v>
      </c>
      <c r="D22327" s="2" t="s">
        <v>1248</v>
      </c>
      <c r="E22327" s="2" t="str">
        <f>"9789027202475"</f>
        <v>9789027202475</v>
      </c>
      <c r="F22327" s="2" t="str">
        <f>"9789027262707"</f>
        <v>9789027262707</v>
      </c>
    </row>
    <row r="22328" spans="1:6" s="3" customFormat="1" ht="29.1" customHeight="1" x14ac:dyDescent="0.25">
      <c r="A22328" s="2" t="s">
        <v>43657</v>
      </c>
      <c r="B22328" s="2" t="s">
        <v>43658</v>
      </c>
      <c r="C22328" s="2" t="s">
        <v>4104</v>
      </c>
      <c r="D22328" s="2" t="s">
        <v>8388</v>
      </c>
      <c r="E22328" s="2" t="str">
        <f>"9781786941503"</f>
        <v>9781786941503</v>
      </c>
      <c r="F22328" s="2" t="str">
        <f>"9781786949509"</f>
        <v>9781786949509</v>
      </c>
    </row>
    <row r="22329" spans="1:6" s="3" customFormat="1" ht="29.1" customHeight="1" x14ac:dyDescent="0.25">
      <c r="A22329" s="2" t="s">
        <v>43659</v>
      </c>
      <c r="B22329" s="2" t="s">
        <v>43660</v>
      </c>
      <c r="C22329" s="2" t="s">
        <v>595</v>
      </c>
      <c r="D22329" s="2" t="s">
        <v>4517</v>
      </c>
      <c r="E22329" s="2" t="str">
        <f>"9783034337007"</f>
        <v>9783034337007</v>
      </c>
      <c r="F22329" s="2" t="str">
        <f>"9783034337014"</f>
        <v>9783034337014</v>
      </c>
    </row>
    <row r="22330" spans="1:6" s="3" customFormat="1" ht="29.1" customHeight="1" x14ac:dyDescent="0.25">
      <c r="A22330" s="2" t="s">
        <v>43661</v>
      </c>
      <c r="B22330" s="2" t="s">
        <v>43662</v>
      </c>
      <c r="C22330" s="2" t="s">
        <v>595</v>
      </c>
      <c r="D22330" s="2" t="s">
        <v>24</v>
      </c>
      <c r="E22330" s="2" t="str">
        <f>"9783631763407"</f>
        <v>9783631763407</v>
      </c>
      <c r="F22330" s="2" t="str">
        <f>"9783631767719"</f>
        <v>9783631767719</v>
      </c>
    </row>
    <row r="22331" spans="1:6" s="3" customFormat="1" ht="29.1" customHeight="1" x14ac:dyDescent="0.25">
      <c r="A22331" s="2" t="s">
        <v>43663</v>
      </c>
      <c r="B22331" s="2" t="s">
        <v>43664</v>
      </c>
      <c r="C22331" s="2" t="s">
        <v>595</v>
      </c>
      <c r="D22331" s="2" t="s">
        <v>339</v>
      </c>
      <c r="E22331" s="2" t="str">
        <f>"9783631626986"</f>
        <v>9783631626986</v>
      </c>
      <c r="F22331" s="2" t="str">
        <f>"9783631698044"</f>
        <v>9783631698044</v>
      </c>
    </row>
    <row r="22332" spans="1:6" s="3" customFormat="1" ht="29.1" customHeight="1" x14ac:dyDescent="0.25">
      <c r="A22332" s="2" t="s">
        <v>43665</v>
      </c>
      <c r="B22332" s="2" t="s">
        <v>43666</v>
      </c>
      <c r="C22332" s="2" t="s">
        <v>124</v>
      </c>
      <c r="D22332" s="2" t="s">
        <v>6128</v>
      </c>
      <c r="E22332" s="2" t="str">
        <f>"9780367661090"</f>
        <v>9780367661090</v>
      </c>
      <c r="F22332" s="2" t="str">
        <f>"9781351013734"</f>
        <v>9781351013734</v>
      </c>
    </row>
    <row r="22333" spans="1:6" s="3" customFormat="1" ht="29.1" customHeight="1" x14ac:dyDescent="0.25">
      <c r="A22333" s="2" t="s">
        <v>43667</v>
      </c>
      <c r="B22333" s="2" t="s">
        <v>43668</v>
      </c>
      <c r="C22333" s="2" t="s">
        <v>264</v>
      </c>
      <c r="D22333" s="2" t="s">
        <v>9656</v>
      </c>
      <c r="E22333" s="2" t="str">
        <f>"9781138590526"</f>
        <v>9781138590526</v>
      </c>
      <c r="F22333" s="2" t="str">
        <f>"9780429956508"</f>
        <v>9780429956508</v>
      </c>
    </row>
    <row r="22334" spans="1:6" s="3" customFormat="1" ht="29.1" customHeight="1" x14ac:dyDescent="0.25">
      <c r="A22334" s="2" t="s">
        <v>43669</v>
      </c>
      <c r="B22334" s="2" t="s">
        <v>43670</v>
      </c>
      <c r="C22334" s="2" t="s">
        <v>124</v>
      </c>
      <c r="D22334" s="2" t="s">
        <v>6123</v>
      </c>
      <c r="E22334" s="2" t="str">
        <f>"9781041186267"</f>
        <v>9781041186267</v>
      </c>
      <c r="F22334" s="2" t="str">
        <f>"9781040780756"</f>
        <v>9781040780756</v>
      </c>
    </row>
    <row r="22335" spans="1:6" s="3" customFormat="1" ht="29.1" customHeight="1" x14ac:dyDescent="0.25">
      <c r="A22335" s="2" t="s">
        <v>43671</v>
      </c>
      <c r="B22335" s="2" t="s">
        <v>43672</v>
      </c>
      <c r="C22335" s="2" t="s">
        <v>605</v>
      </c>
      <c r="D22335" s="2" t="s">
        <v>7766</v>
      </c>
      <c r="E22335" s="2" t="str">
        <f>"9789654061643"</f>
        <v>9789654061643</v>
      </c>
      <c r="F22335" s="2" t="str">
        <f>"9789654065597"</f>
        <v>9789654065597</v>
      </c>
    </row>
    <row r="22336" spans="1:6" s="3" customFormat="1" ht="29.1" customHeight="1" x14ac:dyDescent="0.25">
      <c r="A22336" s="2" t="s">
        <v>43673</v>
      </c>
      <c r="B22336" s="2" t="s">
        <v>43674</v>
      </c>
      <c r="C22336" s="2" t="s">
        <v>605</v>
      </c>
      <c r="D22336" s="2" t="s">
        <v>1419</v>
      </c>
      <c r="E22336" s="2" t="str">
        <f>"9789654061506"</f>
        <v>9789654061506</v>
      </c>
      <c r="F22336" s="2" t="str">
        <f>"9789654065566"</f>
        <v>9789654065566</v>
      </c>
    </row>
    <row r="22337" spans="1:6" s="3" customFormat="1" ht="29.1" customHeight="1" x14ac:dyDescent="0.25">
      <c r="A22337" s="2" t="s">
        <v>43675</v>
      </c>
      <c r="B22337" s="2" t="s">
        <v>43676</v>
      </c>
      <c r="C22337" s="2" t="s">
        <v>605</v>
      </c>
      <c r="D22337" s="2" t="s">
        <v>606</v>
      </c>
      <c r="E22337" s="2" t="str">
        <f>"9789654061544"</f>
        <v>9789654061544</v>
      </c>
      <c r="F22337" s="2" t="str">
        <f>"9789654065580"</f>
        <v>9789654065580</v>
      </c>
    </row>
    <row r="22338" spans="1:6" s="3" customFormat="1" ht="29.1" customHeight="1" x14ac:dyDescent="0.25">
      <c r="A22338" s="2" t="s">
        <v>43677</v>
      </c>
      <c r="B22338" s="2" t="s">
        <v>42002</v>
      </c>
      <c r="C22338" s="2" t="s">
        <v>605</v>
      </c>
      <c r="D22338" s="2" t="s">
        <v>1419</v>
      </c>
      <c r="E22338" s="2" t="str">
        <f>"9789654061568"</f>
        <v>9789654061568</v>
      </c>
      <c r="F22338" s="2" t="str">
        <f>"9789654065573"</f>
        <v>9789654065573</v>
      </c>
    </row>
    <row r="22339" spans="1:6" s="3" customFormat="1" ht="29.1" customHeight="1" x14ac:dyDescent="0.25">
      <c r="A22339" s="2" t="s">
        <v>43678</v>
      </c>
      <c r="B22339" s="2" t="s">
        <v>43679</v>
      </c>
      <c r="C22339" s="2" t="s">
        <v>605</v>
      </c>
      <c r="D22339" s="2" t="s">
        <v>1419</v>
      </c>
      <c r="E22339" s="2" t="str">
        <f>"9789654061391"</f>
        <v>9789654061391</v>
      </c>
      <c r="F22339" s="2" t="str">
        <f>"9789654065559"</f>
        <v>9789654065559</v>
      </c>
    </row>
    <row r="22340" spans="1:6" s="3" customFormat="1" ht="29.1" customHeight="1" x14ac:dyDescent="0.25">
      <c r="A22340" s="2" t="s">
        <v>43680</v>
      </c>
      <c r="B22340" s="2" t="s">
        <v>43681</v>
      </c>
      <c r="C22340" s="2" t="s">
        <v>124</v>
      </c>
      <c r="D22340" s="2" t="s">
        <v>3852</v>
      </c>
      <c r="E22340" s="2" t="str">
        <f>"9780367146047"</f>
        <v>9780367146047</v>
      </c>
      <c r="F22340" s="2" t="str">
        <f>"9780429590054"</f>
        <v>9780429590054</v>
      </c>
    </row>
    <row r="22341" spans="1:6" s="3" customFormat="1" ht="29.1" customHeight="1" x14ac:dyDescent="0.25">
      <c r="A22341" s="2" t="s">
        <v>43682</v>
      </c>
      <c r="B22341" s="2" t="s">
        <v>43683</v>
      </c>
      <c r="C22341" s="2" t="s">
        <v>124</v>
      </c>
      <c r="D22341" s="2" t="s">
        <v>297</v>
      </c>
      <c r="E22341" s="2" t="str">
        <f>"9780815377436"</f>
        <v>9780815377436</v>
      </c>
      <c r="F22341" s="2" t="str">
        <f>"9781351234122"</f>
        <v>9781351234122</v>
      </c>
    </row>
    <row r="22342" spans="1:6" s="3" customFormat="1" ht="29.1" customHeight="1" x14ac:dyDescent="0.25">
      <c r="A22342" s="2" t="s">
        <v>43684</v>
      </c>
      <c r="B22342" s="2" t="s">
        <v>33608</v>
      </c>
      <c r="C22342" s="2" t="s">
        <v>248</v>
      </c>
      <c r="D22342" s="2" t="s">
        <v>2462</v>
      </c>
      <c r="E22342" s="2" t="str">
        <f>"9783847422211"</f>
        <v>9783847422211</v>
      </c>
      <c r="F22342" s="2" t="str">
        <f>"9783847412496"</f>
        <v>9783847412496</v>
      </c>
    </row>
    <row r="22343" spans="1:6" s="3" customFormat="1" ht="29.1" customHeight="1" x14ac:dyDescent="0.25">
      <c r="A22343" s="2" t="s">
        <v>43685</v>
      </c>
      <c r="B22343" s="2" t="s">
        <v>43686</v>
      </c>
      <c r="C22343" s="2" t="s">
        <v>644</v>
      </c>
      <c r="D22343" s="2" t="s">
        <v>1259</v>
      </c>
      <c r="E22343" s="2" t="str">
        <f>"9781478001317"</f>
        <v>9781478001317</v>
      </c>
      <c r="F22343" s="2" t="str">
        <f>"9781478002741"</f>
        <v>9781478002741</v>
      </c>
    </row>
    <row r="22344" spans="1:6" s="3" customFormat="1" ht="29.1" customHeight="1" x14ac:dyDescent="0.25">
      <c r="A22344" s="2" t="s">
        <v>43687</v>
      </c>
      <c r="B22344" s="2" t="s">
        <v>43688</v>
      </c>
      <c r="C22344" s="2" t="s">
        <v>29</v>
      </c>
      <c r="D22344" s="2" t="s">
        <v>758</v>
      </c>
      <c r="E22344" s="2" t="str">
        <f>"9789086863310"</f>
        <v>9789086863310</v>
      </c>
      <c r="F22344" s="2" t="str">
        <f>"9789086868810"</f>
        <v>9789086868810</v>
      </c>
    </row>
    <row r="22345" spans="1:6" s="3" customFormat="1" ht="29.1" customHeight="1" x14ac:dyDescent="0.25">
      <c r="A22345" s="2" t="s">
        <v>43689</v>
      </c>
      <c r="B22345" s="2" t="s">
        <v>43690</v>
      </c>
      <c r="C22345" s="2" t="s">
        <v>264</v>
      </c>
      <c r="D22345" s="2" t="s">
        <v>1585</v>
      </c>
      <c r="E22345" s="2" t="str">
        <f>"9788793609853"</f>
        <v>9788793609853</v>
      </c>
      <c r="F22345" s="2" t="str">
        <f>"9788793609846"</f>
        <v>9788793609846</v>
      </c>
    </row>
    <row r="22346" spans="1:6" s="3" customFormat="1" ht="29.1" customHeight="1" x14ac:dyDescent="0.25">
      <c r="A22346" s="2" t="s">
        <v>43691</v>
      </c>
      <c r="B22346" s="2" t="s">
        <v>43692</v>
      </c>
      <c r="C22346" s="2" t="s">
        <v>15381</v>
      </c>
      <c r="D22346" s="2" t="s">
        <v>4754</v>
      </c>
      <c r="E22346" s="2" t="str">
        <f>"9781469648668"</f>
        <v>9781469648668</v>
      </c>
      <c r="F22346" s="2" t="str">
        <f>"9781469648699"</f>
        <v>9781469648699</v>
      </c>
    </row>
    <row r="22347" spans="1:6" s="3" customFormat="1" ht="29.1" customHeight="1" x14ac:dyDescent="0.25">
      <c r="A22347" s="2" t="s">
        <v>43693</v>
      </c>
      <c r="B22347" s="2" t="s">
        <v>43694</v>
      </c>
      <c r="C22347" s="2" t="s">
        <v>195</v>
      </c>
      <c r="D22347" s="2" t="s">
        <v>218</v>
      </c>
      <c r="E22347" s="2" t="str">
        <f>"9783110626766"</f>
        <v>9783110626766</v>
      </c>
      <c r="F22347" s="2" t="str">
        <f>"9783110626889"</f>
        <v>9783110626889</v>
      </c>
    </row>
    <row r="22348" spans="1:6" s="3" customFormat="1" ht="29.1" customHeight="1" x14ac:dyDescent="0.25">
      <c r="A22348" s="2" t="s">
        <v>43695</v>
      </c>
      <c r="B22348" s="2" t="s">
        <v>43696</v>
      </c>
      <c r="C22348" s="2" t="s">
        <v>195</v>
      </c>
      <c r="D22348" s="2" t="s">
        <v>210</v>
      </c>
      <c r="E22348" s="2" t="str">
        <f>"9783486513714"</f>
        <v>9783486513714</v>
      </c>
      <c r="F22348" s="2" t="str">
        <f>"9783110446319"</f>
        <v>9783110446319</v>
      </c>
    </row>
    <row r="22349" spans="1:6" s="3" customFormat="1" ht="29.1" customHeight="1" x14ac:dyDescent="0.25">
      <c r="A22349" s="2" t="s">
        <v>43697</v>
      </c>
      <c r="B22349" s="2" t="s">
        <v>43698</v>
      </c>
      <c r="C22349" s="2" t="s">
        <v>195</v>
      </c>
      <c r="D22349" s="2" t="s">
        <v>81</v>
      </c>
      <c r="E22349" s="2" t="str">
        <f>"9783110579888"</f>
        <v>9783110579888</v>
      </c>
      <c r="F22349" s="2" t="str">
        <f>"9783110580105"</f>
        <v>9783110580105</v>
      </c>
    </row>
    <row r="22350" spans="1:6" s="3" customFormat="1" ht="29.1" customHeight="1" x14ac:dyDescent="0.25">
      <c r="A22350" s="2" t="s">
        <v>43699</v>
      </c>
      <c r="B22350" s="2" t="s">
        <v>43700</v>
      </c>
      <c r="C22350" s="2" t="s">
        <v>195</v>
      </c>
      <c r="D22350" s="2" t="s">
        <v>459</v>
      </c>
      <c r="E22350" s="2" t="str">
        <f>"9781501513398"</f>
        <v>9781501513398</v>
      </c>
      <c r="F22350" s="2" t="str">
        <f>"9781501504761"</f>
        <v>9781501504761</v>
      </c>
    </row>
    <row r="22351" spans="1:6" s="3" customFormat="1" ht="29.1" customHeight="1" x14ac:dyDescent="0.25">
      <c r="A22351" s="2" t="s">
        <v>43701</v>
      </c>
      <c r="B22351" s="2" t="s">
        <v>43702</v>
      </c>
      <c r="C22351" s="2" t="s">
        <v>195</v>
      </c>
      <c r="D22351" s="2" t="s">
        <v>3345</v>
      </c>
      <c r="E22351" s="2" t="str">
        <f>"9783110194777"</f>
        <v>9783110194777</v>
      </c>
      <c r="F22351" s="2" t="str">
        <f>"9783110216943"</f>
        <v>9783110216943</v>
      </c>
    </row>
    <row r="22352" spans="1:6" s="3" customFormat="1" ht="29.1" customHeight="1" x14ac:dyDescent="0.25">
      <c r="A22352" s="2" t="s">
        <v>43703</v>
      </c>
      <c r="B22352" s="2" t="s">
        <v>43704</v>
      </c>
      <c r="C22352" s="2" t="s">
        <v>20</v>
      </c>
      <c r="D22352" s="2" t="s">
        <v>4045</v>
      </c>
      <c r="E22352" s="2" t="str">
        <f>"9783763941285"</f>
        <v>9783763941285</v>
      </c>
      <c r="F22352" s="2" t="str">
        <f>"9783763941292"</f>
        <v>9783763941292</v>
      </c>
    </row>
    <row r="22353" spans="1:6" s="3" customFormat="1" ht="29.1" customHeight="1" x14ac:dyDescent="0.25">
      <c r="A22353" s="2" t="s">
        <v>43705</v>
      </c>
      <c r="B22353" s="2" t="s">
        <v>43706</v>
      </c>
      <c r="C22353" s="2" t="s">
        <v>124</v>
      </c>
      <c r="D22353" s="2" t="s">
        <v>2086</v>
      </c>
      <c r="E22353" s="2" t="str">
        <f>"9780367661823"</f>
        <v>9780367661823</v>
      </c>
      <c r="F22353" s="2" t="str">
        <f>"9780429994364"</f>
        <v>9780429994364</v>
      </c>
    </row>
    <row r="22354" spans="1:6" s="3" customFormat="1" ht="29.1" customHeight="1" x14ac:dyDescent="0.25">
      <c r="A22354" s="2" t="s">
        <v>43707</v>
      </c>
      <c r="B22354" s="2" t="s">
        <v>43708</v>
      </c>
      <c r="C22354" s="2" t="s">
        <v>8047</v>
      </c>
      <c r="D22354" s="2" t="s">
        <v>6678</v>
      </c>
      <c r="E22354" s="2" t="str">
        <f>"9780271082455"</f>
        <v>9780271082455</v>
      </c>
      <c r="F22354" s="2" t="str">
        <f>"9780271084428"</f>
        <v>9780271084428</v>
      </c>
    </row>
    <row r="22355" spans="1:6" s="3" customFormat="1" ht="29.1" customHeight="1" x14ac:dyDescent="0.25">
      <c r="A22355" s="2" t="s">
        <v>43709</v>
      </c>
      <c r="B22355" s="2" t="s">
        <v>43710</v>
      </c>
      <c r="C22355" s="2" t="s">
        <v>327</v>
      </c>
      <c r="D22355" s="2" t="s">
        <v>2005</v>
      </c>
      <c r="E22355" s="2" t="str">
        <f>"9788380889774"</f>
        <v>9788380889774</v>
      </c>
      <c r="F22355" s="2" t="str">
        <f>"9788380889781"</f>
        <v>9788380889781</v>
      </c>
    </row>
    <row r="22356" spans="1:6" s="3" customFormat="1" ht="29.1" customHeight="1" x14ac:dyDescent="0.25">
      <c r="A22356" s="2" t="s">
        <v>43711</v>
      </c>
      <c r="B22356" s="2" t="s">
        <v>43712</v>
      </c>
      <c r="C22356" s="2" t="s">
        <v>327</v>
      </c>
      <c r="D22356" s="2" t="s">
        <v>4582</v>
      </c>
      <c r="E22356" s="2" t="str">
        <f>"9788381421539"</f>
        <v>9788381421539</v>
      </c>
      <c r="F22356" s="2" t="str">
        <f>"9788381421546"</f>
        <v>9788381421546</v>
      </c>
    </row>
    <row r="22357" spans="1:6" s="3" customFormat="1" ht="29.1" customHeight="1" x14ac:dyDescent="0.25">
      <c r="A22357" s="2" t="s">
        <v>43713</v>
      </c>
      <c r="B22357" s="2" t="s">
        <v>43714</v>
      </c>
      <c r="C22357" s="2" t="s">
        <v>29</v>
      </c>
      <c r="D22357" s="2" t="s">
        <v>1541</v>
      </c>
      <c r="E22357" s="2" t="str">
        <f>"9789004365803"</f>
        <v>9789004365803</v>
      </c>
      <c r="F22357" s="2" t="str">
        <f>"9789004388079"</f>
        <v>9789004388079</v>
      </c>
    </row>
    <row r="22358" spans="1:6" s="3" customFormat="1" ht="29.1" customHeight="1" x14ac:dyDescent="0.25">
      <c r="A22358" s="2" t="s">
        <v>43715</v>
      </c>
      <c r="B22358" s="2" t="s">
        <v>43716</v>
      </c>
      <c r="C22358" s="2" t="s">
        <v>195</v>
      </c>
      <c r="D22358" s="2" t="s">
        <v>118</v>
      </c>
      <c r="E22358" s="2" t="str">
        <f>"9783110598360"</f>
        <v>9783110598360</v>
      </c>
      <c r="F22358" s="2" t="str">
        <f>"9783110598902"</f>
        <v>9783110598902</v>
      </c>
    </row>
    <row r="22359" spans="1:6" s="3" customFormat="1" ht="29.1" customHeight="1" x14ac:dyDescent="0.25">
      <c r="A22359" s="2" t="s">
        <v>43717</v>
      </c>
      <c r="B22359" s="2" t="s">
        <v>43718</v>
      </c>
      <c r="C22359" s="2" t="s">
        <v>195</v>
      </c>
      <c r="D22359" s="2" t="s">
        <v>4429</v>
      </c>
      <c r="E22359" s="2" t="str">
        <f>"9783110555776"</f>
        <v>9783110555776</v>
      </c>
      <c r="F22359" s="2" t="str">
        <f>"9783110555875"</f>
        <v>9783110555875</v>
      </c>
    </row>
    <row r="22360" spans="1:6" s="3" customFormat="1" ht="29.1" customHeight="1" x14ac:dyDescent="0.25">
      <c r="A22360" s="2" t="s">
        <v>43719</v>
      </c>
      <c r="B22360" s="2" t="s">
        <v>43720</v>
      </c>
      <c r="C22360" s="2" t="s">
        <v>195</v>
      </c>
      <c r="D22360" s="2" t="s">
        <v>13055</v>
      </c>
      <c r="E22360" s="2" t="str">
        <f>"9783110557121"</f>
        <v>9783110557121</v>
      </c>
      <c r="F22360" s="2" t="str">
        <f>"9783110557169"</f>
        <v>9783110557169</v>
      </c>
    </row>
    <row r="22361" spans="1:6" s="3" customFormat="1" ht="29.1" customHeight="1" x14ac:dyDescent="0.25">
      <c r="A22361" s="2" t="s">
        <v>43721</v>
      </c>
      <c r="B22361" s="2" t="s">
        <v>43722</v>
      </c>
      <c r="C22361" s="2" t="s">
        <v>556</v>
      </c>
      <c r="D22361" s="2" t="s">
        <v>855</v>
      </c>
      <c r="E22361" s="2" t="str">
        <f>"9783837643039"</f>
        <v>9783837643039</v>
      </c>
      <c r="F22361" s="2" t="str">
        <f>"9783839443033"</f>
        <v>9783839443033</v>
      </c>
    </row>
    <row r="22362" spans="1:6" s="3" customFormat="1" ht="29.1" customHeight="1" x14ac:dyDescent="0.25">
      <c r="A22362" s="2" t="s">
        <v>43723</v>
      </c>
      <c r="B22362" s="2" t="s">
        <v>43724</v>
      </c>
      <c r="C22362" s="2" t="s">
        <v>124</v>
      </c>
      <c r="D22362" s="2" t="s">
        <v>501</v>
      </c>
      <c r="E22362" s="2" t="str">
        <f>"9781138577503"</f>
        <v>9781138577503</v>
      </c>
      <c r="F22362" s="2" t="str">
        <f>"9781351266789"</f>
        <v>9781351266789</v>
      </c>
    </row>
    <row r="22363" spans="1:6" s="3" customFormat="1" ht="29.1" customHeight="1" x14ac:dyDescent="0.25">
      <c r="A22363" s="2" t="s">
        <v>43725</v>
      </c>
      <c r="B22363" s="2" t="s">
        <v>43726</v>
      </c>
      <c r="C22363" s="2" t="s">
        <v>34257</v>
      </c>
      <c r="D22363" s="2" t="s">
        <v>3394</v>
      </c>
      <c r="E22363" s="2" t="str">
        <f>"9780745337876"</f>
        <v>9780745337876</v>
      </c>
      <c r="F22363" s="2" t="str">
        <f>"9781786803863"</f>
        <v>9781786803863</v>
      </c>
    </row>
    <row r="22364" spans="1:6" s="3" customFormat="1" ht="29.1" customHeight="1" x14ac:dyDescent="0.25">
      <c r="A22364" s="2" t="s">
        <v>43727</v>
      </c>
      <c r="B22364" s="2" t="s">
        <v>43728</v>
      </c>
      <c r="C22364" s="2" t="s">
        <v>885</v>
      </c>
      <c r="D22364" s="2" t="s">
        <v>465</v>
      </c>
      <c r="E22364" s="2" t="str">
        <f>"9781487503673"</f>
        <v>9781487503673</v>
      </c>
      <c r="F22364" s="2" t="str">
        <f>"9781487518486"</f>
        <v>9781487518486</v>
      </c>
    </row>
    <row r="22365" spans="1:6" s="3" customFormat="1" ht="29.1" customHeight="1" x14ac:dyDescent="0.25">
      <c r="A22365" s="2" t="s">
        <v>43729</v>
      </c>
      <c r="B22365" s="2" t="s">
        <v>43730</v>
      </c>
      <c r="C22365" s="2" t="s">
        <v>248</v>
      </c>
      <c r="D22365" s="2" t="s">
        <v>9003</v>
      </c>
      <c r="E22365" s="2" t="str">
        <f>"9783847422174"</f>
        <v>9783847422174</v>
      </c>
      <c r="F22365" s="2" t="str">
        <f>"9783847412434"</f>
        <v>9783847412434</v>
      </c>
    </row>
    <row r="22366" spans="1:6" s="3" customFormat="1" ht="29.1" customHeight="1" x14ac:dyDescent="0.25">
      <c r="A22366" s="2" t="s">
        <v>43731</v>
      </c>
      <c r="B22366" s="2" t="s">
        <v>19209</v>
      </c>
      <c r="C22366" s="2" t="s">
        <v>2129</v>
      </c>
      <c r="D22366" s="2" t="s">
        <v>339</v>
      </c>
      <c r="E22366" s="2" t="str">
        <f>"9781438472478"</f>
        <v>9781438472478</v>
      </c>
      <c r="F22366" s="2" t="str">
        <f>"9781438472485"</f>
        <v>9781438472485</v>
      </c>
    </row>
    <row r="22367" spans="1:6" s="3" customFormat="1" ht="29.1" customHeight="1" x14ac:dyDescent="0.25">
      <c r="A22367" s="2" t="s">
        <v>43732</v>
      </c>
      <c r="B22367" s="2" t="s">
        <v>43733</v>
      </c>
      <c r="C22367" s="2" t="s">
        <v>248</v>
      </c>
      <c r="D22367" s="2" t="s">
        <v>2045</v>
      </c>
      <c r="E22367" s="2" t="str">
        <f>"9783847422068"</f>
        <v>9783847422068</v>
      </c>
      <c r="F22367" s="2" t="str">
        <f>"9783847412328"</f>
        <v>9783847412328</v>
      </c>
    </row>
    <row r="22368" spans="1:6" s="3" customFormat="1" ht="29.1" customHeight="1" x14ac:dyDescent="0.25">
      <c r="A22368" s="2" t="s">
        <v>43734</v>
      </c>
      <c r="B22368" s="2" t="s">
        <v>43735</v>
      </c>
      <c r="C22368" s="2" t="s">
        <v>248</v>
      </c>
      <c r="D22368" s="2" t="s">
        <v>24</v>
      </c>
      <c r="E22368" s="2" t="str">
        <f>"9783847422044"</f>
        <v>9783847422044</v>
      </c>
      <c r="F22368" s="2" t="str">
        <f>"9783847412304"</f>
        <v>9783847412304</v>
      </c>
    </row>
    <row r="22369" spans="1:6" s="3" customFormat="1" ht="29.1" customHeight="1" x14ac:dyDescent="0.25">
      <c r="A22369" s="2" t="s">
        <v>43736</v>
      </c>
      <c r="B22369" s="2" t="s">
        <v>43737</v>
      </c>
      <c r="C22369" s="2" t="s">
        <v>124</v>
      </c>
      <c r="D22369" s="2" t="s">
        <v>818</v>
      </c>
      <c r="E22369" s="2" t="str">
        <f>"9781138616677"</f>
        <v>9781138616677</v>
      </c>
      <c r="F22369" s="2" t="str">
        <f>"9780429868078"</f>
        <v>9780429868078</v>
      </c>
    </row>
    <row r="22370" spans="1:6" s="3" customFormat="1" ht="29.1" customHeight="1" x14ac:dyDescent="0.25">
      <c r="A22370" s="2" t="s">
        <v>43738</v>
      </c>
      <c r="B22370" s="2" t="s">
        <v>43739</v>
      </c>
      <c r="C22370" s="2" t="s">
        <v>3169</v>
      </c>
      <c r="D22370" s="2" t="s">
        <v>6354</v>
      </c>
      <c r="E22370" s="2" t="str">
        <f>"9781580469470"</f>
        <v>9781580469470</v>
      </c>
      <c r="F22370" s="2" t="str">
        <f>"9781787444461"</f>
        <v>9781787444461</v>
      </c>
    </row>
    <row r="22371" spans="1:6" s="3" customFormat="1" ht="29.1" customHeight="1" x14ac:dyDescent="0.25">
      <c r="A22371" s="2" t="s">
        <v>43740</v>
      </c>
      <c r="B22371" s="2" t="s">
        <v>43741</v>
      </c>
      <c r="C22371" s="2" t="s">
        <v>20</v>
      </c>
      <c r="D22371" s="2" t="s">
        <v>1133</v>
      </c>
      <c r="E22371" s="2" t="str">
        <f>"9783763959747"</f>
        <v>9783763959747</v>
      </c>
      <c r="F22371" s="2" t="str">
        <f>"9783763959754"</f>
        <v>9783763959754</v>
      </c>
    </row>
    <row r="22372" spans="1:6" s="3" customFormat="1" ht="29.1" customHeight="1" x14ac:dyDescent="0.25">
      <c r="A22372" s="2" t="s">
        <v>43742</v>
      </c>
      <c r="B22372" s="2" t="s">
        <v>43741</v>
      </c>
      <c r="C22372" s="2" t="s">
        <v>20</v>
      </c>
      <c r="D22372" s="2" t="s">
        <v>836</v>
      </c>
      <c r="E22372" s="2" t="str">
        <f>"9783763959723"</f>
        <v>9783763959723</v>
      </c>
      <c r="F22372" s="2" t="str">
        <f>"9783763959730"</f>
        <v>9783763959730</v>
      </c>
    </row>
    <row r="22373" spans="1:6" s="3" customFormat="1" ht="29.1" customHeight="1" x14ac:dyDescent="0.25">
      <c r="A22373" s="2" t="s">
        <v>43743</v>
      </c>
      <c r="B22373" s="2" t="s">
        <v>43744</v>
      </c>
      <c r="C22373" s="2" t="s">
        <v>605</v>
      </c>
      <c r="D22373" s="2" t="s">
        <v>10407</v>
      </c>
      <c r="E22373" s="2" t="str">
        <f>"9789654061797"</f>
        <v>9789654061797</v>
      </c>
      <c r="F22373" s="2" t="str">
        <f>"9789654065634"</f>
        <v>9789654065634</v>
      </c>
    </row>
    <row r="22374" spans="1:6" s="3" customFormat="1" ht="29.1" customHeight="1" x14ac:dyDescent="0.25">
      <c r="A22374" s="2" t="s">
        <v>43745</v>
      </c>
      <c r="B22374" s="2" t="s">
        <v>43746</v>
      </c>
      <c r="C22374" s="2" t="s">
        <v>605</v>
      </c>
      <c r="D22374" s="2" t="s">
        <v>606</v>
      </c>
      <c r="E22374" s="2" t="str">
        <f>"9789654061780"</f>
        <v>9789654061780</v>
      </c>
      <c r="F22374" s="2" t="str">
        <f>"9789654065627"</f>
        <v>9789654065627</v>
      </c>
    </row>
    <row r="22375" spans="1:6" s="3" customFormat="1" ht="29.1" customHeight="1" x14ac:dyDescent="0.25">
      <c r="A22375" s="2" t="s">
        <v>43747</v>
      </c>
      <c r="B22375" s="2" t="s">
        <v>43748</v>
      </c>
      <c r="C22375" s="2" t="s">
        <v>605</v>
      </c>
      <c r="D22375" s="2" t="s">
        <v>606</v>
      </c>
      <c r="E22375" s="2" t="str">
        <f>"9789654061735"</f>
        <v>9789654061735</v>
      </c>
      <c r="F22375" s="2" t="str">
        <f>"9789654065610"</f>
        <v>9789654065610</v>
      </c>
    </row>
    <row r="22376" spans="1:6" s="3" customFormat="1" ht="29.1" customHeight="1" x14ac:dyDescent="0.25">
      <c r="A22376" s="2" t="s">
        <v>43749</v>
      </c>
      <c r="B22376" s="2" t="s">
        <v>43750</v>
      </c>
      <c r="C22376" s="2" t="s">
        <v>605</v>
      </c>
      <c r="D22376" s="2" t="s">
        <v>606</v>
      </c>
      <c r="E22376" s="2" t="str">
        <f>"9789654061698"</f>
        <v>9789654061698</v>
      </c>
      <c r="F22376" s="2" t="str">
        <f>"9789654065603"</f>
        <v>9789654065603</v>
      </c>
    </row>
    <row r="22377" spans="1:6" s="3" customFormat="1" ht="29.1" customHeight="1" x14ac:dyDescent="0.25">
      <c r="A22377" s="2" t="s">
        <v>43751</v>
      </c>
      <c r="B22377" s="2" t="s">
        <v>43752</v>
      </c>
      <c r="C22377" s="2" t="s">
        <v>195</v>
      </c>
      <c r="D22377" s="2" t="s">
        <v>1183</v>
      </c>
      <c r="E22377" s="2" t="str">
        <f>"9783110621884"</f>
        <v>9783110621884</v>
      </c>
      <c r="F22377" s="2" t="str">
        <f>"9783110621891"</f>
        <v>9783110621891</v>
      </c>
    </row>
    <row r="22378" spans="1:6" s="3" customFormat="1" ht="29.1" customHeight="1" x14ac:dyDescent="0.25">
      <c r="A22378" s="2" t="s">
        <v>43753</v>
      </c>
      <c r="B22378" s="2" t="s">
        <v>43754</v>
      </c>
      <c r="C22378" s="2" t="s">
        <v>264</v>
      </c>
      <c r="D22378" s="2" t="s">
        <v>850</v>
      </c>
      <c r="E22378" s="2" t="str">
        <f>"9780750302814"</f>
        <v>9780750302814</v>
      </c>
      <c r="F22378" s="2" t="str">
        <f>"9781351436991"</f>
        <v>9781351436991</v>
      </c>
    </row>
    <row r="22379" spans="1:6" s="3" customFormat="1" ht="29.1" customHeight="1" x14ac:dyDescent="0.25">
      <c r="A22379" s="2" t="s">
        <v>43755</v>
      </c>
      <c r="B22379" s="2" t="s">
        <v>6966</v>
      </c>
      <c r="C22379" s="2" t="s">
        <v>34257</v>
      </c>
      <c r="D22379" s="2" t="s">
        <v>1840</v>
      </c>
      <c r="E22379" s="2" t="str">
        <f>"9780745338620"</f>
        <v>9780745338620</v>
      </c>
      <c r="F22379" s="2" t="str">
        <f>"9781786803924"</f>
        <v>9781786803924</v>
      </c>
    </row>
    <row r="22380" spans="1:6" s="3" customFormat="1" ht="29.1" customHeight="1" x14ac:dyDescent="0.25">
      <c r="A22380" s="2" t="s">
        <v>43756</v>
      </c>
      <c r="B22380" s="2" t="s">
        <v>9819</v>
      </c>
      <c r="C22380" s="2" t="s">
        <v>59</v>
      </c>
      <c r="D22380" s="2" t="s">
        <v>2086</v>
      </c>
      <c r="E22380" s="2" t="str">
        <f>"9782759229161"</f>
        <v>9782759229161</v>
      </c>
      <c r="F22380" s="2" t="str">
        <f>"9782759229178"</f>
        <v>9782759229178</v>
      </c>
    </row>
    <row r="22381" spans="1:6" s="3" customFormat="1" ht="29.1" customHeight="1" x14ac:dyDescent="0.25">
      <c r="A22381" s="2" t="s">
        <v>43757</v>
      </c>
      <c r="B22381" s="2" t="s">
        <v>43758</v>
      </c>
      <c r="C22381" s="2" t="s">
        <v>59</v>
      </c>
      <c r="D22381" s="2" t="s">
        <v>297</v>
      </c>
      <c r="E22381" s="2" t="str">
        <f>"9782759228225"</f>
        <v>9782759228225</v>
      </c>
      <c r="F22381" s="2" t="str">
        <f>"9782759228249"</f>
        <v>9782759228249</v>
      </c>
    </row>
    <row r="22382" spans="1:6" s="3" customFormat="1" ht="29.1" customHeight="1" x14ac:dyDescent="0.25">
      <c r="A22382" s="2" t="s">
        <v>43759</v>
      </c>
      <c r="B22382" s="2" t="s">
        <v>43760</v>
      </c>
      <c r="C22382" s="2" t="s">
        <v>5050</v>
      </c>
      <c r="D22382" s="2" t="s">
        <v>841</v>
      </c>
      <c r="E22382" s="2" t="str">
        <f>"9780824876708"</f>
        <v>9780824876708</v>
      </c>
      <c r="F22382" s="2" t="str">
        <f>"9780824879570"</f>
        <v>9780824879570</v>
      </c>
    </row>
    <row r="22383" spans="1:6" s="3" customFormat="1" ht="29.1" customHeight="1" x14ac:dyDescent="0.25">
      <c r="A22383" s="2" t="s">
        <v>43761</v>
      </c>
      <c r="B22383" s="2" t="s">
        <v>43762</v>
      </c>
      <c r="C22383" s="2" t="s">
        <v>248</v>
      </c>
      <c r="D22383" s="2" t="s">
        <v>249</v>
      </c>
      <c r="E22383" s="2" t="str">
        <f>"9783938094723"</f>
        <v>9783938094723</v>
      </c>
      <c r="F22383" s="2" t="str">
        <f>"9783866497504"</f>
        <v>9783866497504</v>
      </c>
    </row>
    <row r="22384" spans="1:6" s="3" customFormat="1" ht="29.1" customHeight="1" x14ac:dyDescent="0.25">
      <c r="A22384" s="2" t="s">
        <v>43763</v>
      </c>
      <c r="B22384" s="2" t="s">
        <v>43764</v>
      </c>
      <c r="C22384" s="2" t="s">
        <v>248</v>
      </c>
      <c r="D22384" s="2" t="s">
        <v>249</v>
      </c>
      <c r="E22384" s="2" t="str">
        <f>"9783938094815"</f>
        <v>9783938094815</v>
      </c>
      <c r="F22384" s="2" t="str">
        <f>"9783847412946"</f>
        <v>9783847412946</v>
      </c>
    </row>
    <row r="22385" spans="1:6" s="3" customFormat="1" ht="29.1" customHeight="1" x14ac:dyDescent="0.25">
      <c r="A22385" s="2" t="s">
        <v>43765</v>
      </c>
      <c r="B22385" s="2" t="s">
        <v>43766</v>
      </c>
      <c r="C22385" s="2" t="s">
        <v>248</v>
      </c>
      <c r="D22385" s="2" t="s">
        <v>9003</v>
      </c>
      <c r="E22385" s="2" t="str">
        <f>"9783866494091"</f>
        <v>9783866494091</v>
      </c>
      <c r="F22385" s="2" t="str">
        <f>"9783866495708"</f>
        <v>9783866495708</v>
      </c>
    </row>
    <row r="22386" spans="1:6" s="3" customFormat="1" ht="29.1" customHeight="1" x14ac:dyDescent="0.25">
      <c r="A22386" s="2" t="s">
        <v>43767</v>
      </c>
      <c r="B22386" s="2" t="s">
        <v>43768</v>
      </c>
      <c r="C22386" s="2" t="s">
        <v>7395</v>
      </c>
      <c r="D22386" s="2" t="s">
        <v>49</v>
      </c>
      <c r="E22386" s="2" t="str">
        <f>"9780295743790"</f>
        <v>9780295743790</v>
      </c>
      <c r="F22386" s="2" t="str">
        <f>"9780295743813"</f>
        <v>9780295743813</v>
      </c>
    </row>
    <row r="22387" spans="1:6" s="3" customFormat="1" ht="29.1" customHeight="1" x14ac:dyDescent="0.25">
      <c r="A22387" s="2" t="s">
        <v>43769</v>
      </c>
      <c r="B22387" s="2" t="s">
        <v>43770</v>
      </c>
      <c r="C22387" s="2" t="s">
        <v>124</v>
      </c>
      <c r="D22387" s="2" t="s">
        <v>270</v>
      </c>
      <c r="E22387" s="2" t="str">
        <f>"9780815347323"</f>
        <v>9780815347323</v>
      </c>
      <c r="F22387" s="2" t="str">
        <f>"9781351169424"</f>
        <v>9781351169424</v>
      </c>
    </row>
    <row r="22388" spans="1:6" s="3" customFormat="1" ht="29.1" customHeight="1" x14ac:dyDescent="0.25">
      <c r="A22388" s="2" t="s">
        <v>43771</v>
      </c>
      <c r="B22388" s="2" t="s">
        <v>43772</v>
      </c>
      <c r="C22388" s="2" t="s">
        <v>124</v>
      </c>
      <c r="D22388" s="2" t="s">
        <v>981</v>
      </c>
      <c r="E22388" s="2" t="str">
        <f>"9781138353251"</f>
        <v>9781138353251</v>
      </c>
      <c r="F22388" s="2" t="str">
        <f>"9780429784583"</f>
        <v>9780429784583</v>
      </c>
    </row>
    <row r="22389" spans="1:6" s="3" customFormat="1" ht="29.1" customHeight="1" x14ac:dyDescent="0.25">
      <c r="A22389" s="2" t="s">
        <v>43773</v>
      </c>
      <c r="B22389" s="2" t="s">
        <v>43774</v>
      </c>
      <c r="C22389" s="2" t="s">
        <v>124</v>
      </c>
      <c r="D22389" s="2" t="s">
        <v>1189</v>
      </c>
      <c r="E22389" s="2" t="str">
        <f>"9789462984356"</f>
        <v>9789462984356</v>
      </c>
      <c r="F22389" s="2" t="str">
        <f>"9781040798409"</f>
        <v>9781040798409</v>
      </c>
    </row>
    <row r="22390" spans="1:6" s="3" customFormat="1" ht="29.1" customHeight="1" x14ac:dyDescent="0.25">
      <c r="A22390" s="2" t="s">
        <v>43775</v>
      </c>
      <c r="B22390" s="2" t="s">
        <v>43776</v>
      </c>
      <c r="C22390" s="2" t="s">
        <v>124</v>
      </c>
      <c r="D22390" s="2" t="s">
        <v>1432</v>
      </c>
      <c r="E22390" s="2" t="str">
        <f>"9789462983298"</f>
        <v>9789462983298</v>
      </c>
      <c r="F22390" s="2" t="str">
        <f>"9781040799659"</f>
        <v>9781040799659</v>
      </c>
    </row>
    <row r="22391" spans="1:6" s="3" customFormat="1" ht="29.1" customHeight="1" x14ac:dyDescent="0.25">
      <c r="A22391" s="2" t="s">
        <v>43777</v>
      </c>
      <c r="B22391" s="2" t="s">
        <v>43778</v>
      </c>
      <c r="C22391" s="2" t="s">
        <v>4104</v>
      </c>
      <c r="D22391" s="2" t="s">
        <v>1999</v>
      </c>
      <c r="E22391" s="2" t="str">
        <f>"9781786941497"</f>
        <v>9781786941497</v>
      </c>
      <c r="F22391" s="2" t="str">
        <f>"9781786949493"</f>
        <v>9781786949493</v>
      </c>
    </row>
    <row r="22392" spans="1:6" s="3" customFormat="1" ht="29.1" customHeight="1" x14ac:dyDescent="0.25">
      <c r="A22392" s="2" t="s">
        <v>43779</v>
      </c>
      <c r="B22392" s="2" t="s">
        <v>43780</v>
      </c>
      <c r="C22392" s="2" t="s">
        <v>124</v>
      </c>
      <c r="D22392" s="2" t="s">
        <v>297</v>
      </c>
      <c r="E22392" s="2" t="str">
        <f>"9781138497603"</f>
        <v>9781138497603</v>
      </c>
      <c r="F22392" s="2" t="str">
        <f>"9781351018241"</f>
        <v>9781351018241</v>
      </c>
    </row>
    <row r="22393" spans="1:6" s="3" customFormat="1" ht="29.1" customHeight="1" x14ac:dyDescent="0.25">
      <c r="A22393" s="2" t="s">
        <v>43781</v>
      </c>
      <c r="B22393" s="2" t="s">
        <v>43782</v>
      </c>
      <c r="C22393" s="2" t="s">
        <v>595</v>
      </c>
      <c r="D22393" s="2" t="s">
        <v>210</v>
      </c>
      <c r="E22393" s="2" t="str">
        <f>"9783631678466"</f>
        <v>9783631678466</v>
      </c>
      <c r="F22393" s="2" t="str">
        <f>"9783631712207"</f>
        <v>9783631712207</v>
      </c>
    </row>
    <row r="22394" spans="1:6" s="3" customFormat="1" ht="29.1" customHeight="1" x14ac:dyDescent="0.25">
      <c r="A22394" s="2" t="s">
        <v>43783</v>
      </c>
      <c r="B22394" s="2" t="s">
        <v>41022</v>
      </c>
      <c r="C22394" s="2" t="s">
        <v>595</v>
      </c>
      <c r="D22394" s="2" t="s">
        <v>210</v>
      </c>
      <c r="E22394" s="2" t="str">
        <f>"9783631759943"</f>
        <v>9783631759943</v>
      </c>
      <c r="F22394" s="2" t="str">
        <f>"9783631759950"</f>
        <v>9783631759950</v>
      </c>
    </row>
    <row r="22395" spans="1:6" s="3" customFormat="1" ht="29.1" customHeight="1" x14ac:dyDescent="0.25">
      <c r="A22395" s="2" t="s">
        <v>43784</v>
      </c>
      <c r="B22395" s="2" t="s">
        <v>43785</v>
      </c>
      <c r="C22395" s="2" t="s">
        <v>595</v>
      </c>
      <c r="D22395" s="2" t="s">
        <v>459</v>
      </c>
      <c r="E22395" s="2" t="str">
        <f>"9783631733592"</f>
        <v>9783631733592</v>
      </c>
      <c r="F22395" s="2" t="str">
        <f>"9783631753231"</f>
        <v>9783631753231</v>
      </c>
    </row>
    <row r="22396" spans="1:6" s="3" customFormat="1" ht="29.1" customHeight="1" x14ac:dyDescent="0.25">
      <c r="A22396" s="2" t="s">
        <v>43786</v>
      </c>
      <c r="B22396" s="2" t="s">
        <v>43787</v>
      </c>
      <c r="C22396" s="2" t="s">
        <v>124</v>
      </c>
      <c r="D22396" s="2" t="s">
        <v>12</v>
      </c>
      <c r="E22396" s="2" t="str">
        <f>"9781472487544"</f>
        <v>9781472487544</v>
      </c>
      <c r="F22396" s="2" t="str">
        <f>"9780429755194"</f>
        <v>9780429755194</v>
      </c>
    </row>
    <row r="22397" spans="1:6" s="3" customFormat="1" ht="29.1" customHeight="1" x14ac:dyDescent="0.25">
      <c r="A22397" s="2" t="s">
        <v>43788</v>
      </c>
      <c r="B22397" s="2" t="s">
        <v>43789</v>
      </c>
      <c r="C22397" s="2" t="s">
        <v>124</v>
      </c>
      <c r="D22397" s="2" t="s">
        <v>210</v>
      </c>
      <c r="E22397" s="2" t="str">
        <f>"9780367786564"</f>
        <v>9780367786564</v>
      </c>
      <c r="F22397" s="2" t="str">
        <f>"9781315122946"</f>
        <v>9781315122946</v>
      </c>
    </row>
    <row r="22398" spans="1:6" s="3" customFormat="1" ht="29.1" customHeight="1" x14ac:dyDescent="0.25">
      <c r="A22398" s="2" t="s">
        <v>43790</v>
      </c>
      <c r="B22398" s="2" t="s">
        <v>34538</v>
      </c>
      <c r="C22398" s="2" t="s">
        <v>264</v>
      </c>
      <c r="D22398" s="2" t="s">
        <v>12465</v>
      </c>
      <c r="E22398" s="2" t="str">
        <f>"9788770220088"</f>
        <v>9788770220088</v>
      </c>
      <c r="F22398" s="2" t="str">
        <f>"9788770220071"</f>
        <v>9788770220071</v>
      </c>
    </row>
    <row r="22399" spans="1:6" s="3" customFormat="1" ht="29.1" customHeight="1" x14ac:dyDescent="0.25">
      <c r="A22399" s="2" t="s">
        <v>43791</v>
      </c>
      <c r="B22399" s="2" t="s">
        <v>43792</v>
      </c>
      <c r="C22399" s="2" t="s">
        <v>605</v>
      </c>
      <c r="D22399" s="2" t="s">
        <v>6267</v>
      </c>
      <c r="E22399" s="2" t="str">
        <f>"9789654061971"</f>
        <v>9789654061971</v>
      </c>
      <c r="F22399" s="2" t="str">
        <f>"9789654065689"</f>
        <v>9789654065689</v>
      </c>
    </row>
    <row r="22400" spans="1:6" s="3" customFormat="1" ht="29.1" customHeight="1" x14ac:dyDescent="0.25">
      <c r="A22400" s="2" t="s">
        <v>43793</v>
      </c>
      <c r="B22400" s="2" t="s">
        <v>43794</v>
      </c>
      <c r="C22400" s="2" t="s">
        <v>605</v>
      </c>
      <c r="D22400" s="2" t="s">
        <v>1419</v>
      </c>
      <c r="E22400" s="2" t="str">
        <f>"9789654061919"</f>
        <v>9789654061919</v>
      </c>
      <c r="F22400" s="2" t="str">
        <f>"9789654065672"</f>
        <v>9789654065672</v>
      </c>
    </row>
    <row r="22401" spans="1:6" s="3" customFormat="1" ht="29.1" customHeight="1" x14ac:dyDescent="0.25">
      <c r="A22401" s="2" t="s">
        <v>43795</v>
      </c>
      <c r="B22401" s="2" t="s">
        <v>43796</v>
      </c>
      <c r="C22401" s="2" t="s">
        <v>605</v>
      </c>
      <c r="D22401" s="2" t="s">
        <v>1419</v>
      </c>
      <c r="E22401" s="2" t="str">
        <f>"9789654061865"</f>
        <v>9789654061865</v>
      </c>
      <c r="F22401" s="2" t="str">
        <f>"9789654065665"</f>
        <v>9789654065665</v>
      </c>
    </row>
    <row r="22402" spans="1:6" s="3" customFormat="1" ht="29.1" customHeight="1" x14ac:dyDescent="0.25">
      <c r="A22402" s="2" t="s">
        <v>43797</v>
      </c>
      <c r="B22402" s="2" t="s">
        <v>43798</v>
      </c>
      <c r="C22402" s="2" t="s">
        <v>605</v>
      </c>
      <c r="D22402" s="2" t="s">
        <v>606</v>
      </c>
      <c r="E22402" s="2" t="str">
        <f>"9789654061841"</f>
        <v>9789654061841</v>
      </c>
      <c r="F22402" s="2" t="str">
        <f>"9789654065658"</f>
        <v>9789654065658</v>
      </c>
    </row>
    <row r="22403" spans="1:6" s="3" customFormat="1" ht="29.1" customHeight="1" x14ac:dyDescent="0.25">
      <c r="A22403" s="2" t="s">
        <v>43799</v>
      </c>
      <c r="B22403" s="2" t="s">
        <v>43800</v>
      </c>
      <c r="C22403" s="2" t="s">
        <v>605</v>
      </c>
      <c r="D22403" s="2" t="s">
        <v>42825</v>
      </c>
      <c r="E22403" s="2" t="str">
        <f>"9789654061803"</f>
        <v>9789654061803</v>
      </c>
      <c r="F22403" s="2" t="str">
        <f>"9789654065641"</f>
        <v>9789654065641</v>
      </c>
    </row>
    <row r="22404" spans="1:6" s="3" customFormat="1" ht="29.1" customHeight="1" x14ac:dyDescent="0.25">
      <c r="A22404" s="2" t="s">
        <v>43801</v>
      </c>
      <c r="B22404" s="2" t="s">
        <v>43802</v>
      </c>
      <c r="C22404" s="2" t="s">
        <v>264</v>
      </c>
      <c r="D22404" s="2" t="s">
        <v>5213</v>
      </c>
      <c r="E22404" s="2" t="str">
        <f>"9781138505551"</f>
        <v>9781138505551</v>
      </c>
      <c r="F22404" s="2" t="str">
        <f>"9781351379083"</f>
        <v>9781351379083</v>
      </c>
    </row>
    <row r="22405" spans="1:6" s="3" customFormat="1" ht="29.1" customHeight="1" x14ac:dyDescent="0.25">
      <c r="A22405" s="2" t="s">
        <v>43803</v>
      </c>
      <c r="B22405" s="2" t="s">
        <v>43804</v>
      </c>
      <c r="C22405" s="2" t="s">
        <v>124</v>
      </c>
      <c r="D22405" s="2" t="s">
        <v>791</v>
      </c>
      <c r="E22405" s="2" t="str">
        <f>"9780367663285"</f>
        <v>9780367663285</v>
      </c>
      <c r="F22405" s="2" t="str">
        <f>"9781351127240"</f>
        <v>9781351127240</v>
      </c>
    </row>
    <row r="22406" spans="1:6" s="3" customFormat="1" ht="29.1" customHeight="1" x14ac:dyDescent="0.25">
      <c r="A22406" s="2" t="s">
        <v>43805</v>
      </c>
      <c r="B22406" s="2" t="s">
        <v>43806</v>
      </c>
      <c r="C22406" s="2" t="s">
        <v>8047</v>
      </c>
      <c r="D22406" s="2" t="s">
        <v>1663</v>
      </c>
      <c r="E22406" s="2" t="str">
        <f>"9780271081182"</f>
        <v>9780271081182</v>
      </c>
      <c r="F22406" s="2" t="str">
        <f>"9780271082790"</f>
        <v>9780271082790</v>
      </c>
    </row>
    <row r="22407" spans="1:6" s="3" customFormat="1" ht="29.1" customHeight="1" x14ac:dyDescent="0.25">
      <c r="A22407" s="2" t="s">
        <v>43807</v>
      </c>
      <c r="B22407" s="2" t="s">
        <v>20146</v>
      </c>
      <c r="C22407" s="2" t="s">
        <v>316</v>
      </c>
      <c r="D22407" s="2" t="s">
        <v>650</v>
      </c>
      <c r="E22407" s="2" t="str">
        <f>"9783035713107"</f>
        <v>9783035713107</v>
      </c>
      <c r="F22407" s="2" t="str">
        <f>"9783035733105"</f>
        <v>9783035733105</v>
      </c>
    </row>
    <row r="22408" spans="1:6" s="3" customFormat="1" ht="29.1" customHeight="1" x14ac:dyDescent="0.25">
      <c r="A22408" s="2" t="s">
        <v>899</v>
      </c>
      <c r="B22408" s="2" t="s">
        <v>43808</v>
      </c>
      <c r="C22408" s="2" t="s">
        <v>124</v>
      </c>
      <c r="D22408" s="2" t="s">
        <v>900</v>
      </c>
      <c r="E22408" s="2" t="str">
        <f>"9781041186960"</f>
        <v>9781041186960</v>
      </c>
      <c r="F22408" s="2" t="str">
        <f>"9781040790519"</f>
        <v>9781040790519</v>
      </c>
    </row>
    <row r="22409" spans="1:6" s="3" customFormat="1" ht="29.1" customHeight="1" x14ac:dyDescent="0.25">
      <c r="A22409" s="2" t="s">
        <v>43809</v>
      </c>
      <c r="B22409" s="2" t="s">
        <v>43810</v>
      </c>
      <c r="C22409" s="2" t="s">
        <v>124</v>
      </c>
      <c r="D22409" s="2" t="s">
        <v>342</v>
      </c>
      <c r="E22409" s="2" t="str">
        <f>"9789089647153"</f>
        <v>9789089647153</v>
      </c>
      <c r="F22409" s="2" t="str">
        <f>"9781003690405"</f>
        <v>9781003690405</v>
      </c>
    </row>
    <row r="22410" spans="1:6" s="3" customFormat="1" ht="29.1" customHeight="1" x14ac:dyDescent="0.25">
      <c r="A22410" s="2" t="s">
        <v>43811</v>
      </c>
      <c r="B22410" s="2" t="s">
        <v>25749</v>
      </c>
      <c r="C22410" s="2" t="s">
        <v>124</v>
      </c>
      <c r="D22410" s="2" t="s">
        <v>1712</v>
      </c>
      <c r="E22410" s="2" t="str">
        <f>"9789462983427"</f>
        <v>9789462983427</v>
      </c>
      <c r="F22410" s="2" t="str">
        <f>"9781040775387"</f>
        <v>9781040775387</v>
      </c>
    </row>
    <row r="22411" spans="1:6" s="3" customFormat="1" ht="29.1" customHeight="1" x14ac:dyDescent="0.25">
      <c r="A22411" s="2" t="s">
        <v>43812</v>
      </c>
      <c r="B22411" s="2" t="s">
        <v>43813</v>
      </c>
      <c r="C22411" s="2" t="s">
        <v>124</v>
      </c>
      <c r="D22411" s="2" t="s">
        <v>1183</v>
      </c>
      <c r="E22411" s="2" t="str">
        <f>"9789089648532"</f>
        <v>9789089648532</v>
      </c>
      <c r="F22411" s="2" t="str">
        <f>"9781040788240"</f>
        <v>9781040788240</v>
      </c>
    </row>
    <row r="22412" spans="1:6" s="3" customFormat="1" ht="29.1" customHeight="1" x14ac:dyDescent="0.25">
      <c r="A22412" s="2" t="s">
        <v>43814</v>
      </c>
      <c r="B22412" s="2" t="s">
        <v>43815</v>
      </c>
      <c r="C22412" s="2" t="s">
        <v>124</v>
      </c>
      <c r="D22412" s="2" t="s">
        <v>509</v>
      </c>
      <c r="E22412" s="2" t="str">
        <f>"9789462984325"</f>
        <v>9789462984325</v>
      </c>
      <c r="F22412" s="2" t="str">
        <f>"9781040788530"</f>
        <v>9781040788530</v>
      </c>
    </row>
    <row r="22413" spans="1:6" s="3" customFormat="1" ht="29.1" customHeight="1" x14ac:dyDescent="0.25">
      <c r="A22413" s="2" t="s">
        <v>43816</v>
      </c>
      <c r="B22413" s="2" t="s">
        <v>43817</v>
      </c>
      <c r="C22413" s="2" t="s">
        <v>124</v>
      </c>
      <c r="D22413" s="2" t="s">
        <v>339</v>
      </c>
      <c r="E22413" s="2" t="str">
        <f>"9789462987401"</f>
        <v>9789462987401</v>
      </c>
      <c r="F22413" s="2" t="str">
        <f>"9781040793381"</f>
        <v>9781040793381</v>
      </c>
    </row>
    <row r="22414" spans="1:6" s="3" customFormat="1" ht="29.1" customHeight="1" x14ac:dyDescent="0.25">
      <c r="A22414" s="2" t="s">
        <v>43818</v>
      </c>
      <c r="B22414" s="2" t="s">
        <v>43819</v>
      </c>
      <c r="C22414" s="2" t="s">
        <v>124</v>
      </c>
      <c r="D22414" s="2" t="s">
        <v>1198</v>
      </c>
      <c r="E22414" s="2" t="str">
        <f>"9789462981904"</f>
        <v>9789462981904</v>
      </c>
      <c r="F22414" s="2" t="str">
        <f>"9781040793138"</f>
        <v>9781040793138</v>
      </c>
    </row>
    <row r="22415" spans="1:6" s="3" customFormat="1" ht="29.1" customHeight="1" x14ac:dyDescent="0.25">
      <c r="A22415" s="2" t="s">
        <v>43820</v>
      </c>
      <c r="B22415" s="2" t="s">
        <v>43821</v>
      </c>
      <c r="C22415" s="2" t="s">
        <v>124</v>
      </c>
      <c r="D22415" s="2" t="s">
        <v>636</v>
      </c>
      <c r="E22415" s="2" t="str">
        <f>"9781041183747"</f>
        <v>9781041183747</v>
      </c>
      <c r="F22415" s="2" t="str">
        <f>"9781040781333"</f>
        <v>9781040781333</v>
      </c>
    </row>
    <row r="22416" spans="1:6" s="3" customFormat="1" ht="29.1" customHeight="1" x14ac:dyDescent="0.25">
      <c r="A22416" s="2" t="s">
        <v>43822</v>
      </c>
      <c r="B22416" s="2" t="s">
        <v>43823</v>
      </c>
      <c r="C22416" s="2" t="s">
        <v>195</v>
      </c>
      <c r="D22416" s="2" t="s">
        <v>1466</v>
      </c>
      <c r="E22416" s="2" t="str">
        <f>"9783110529067"</f>
        <v>9783110529067</v>
      </c>
      <c r="F22416" s="2" t="str">
        <f>"9783110529265"</f>
        <v>9783110529265</v>
      </c>
    </row>
    <row r="22417" spans="1:6" s="3" customFormat="1" ht="29.1" customHeight="1" x14ac:dyDescent="0.25">
      <c r="A22417" s="2" t="s">
        <v>43824</v>
      </c>
      <c r="B22417" s="2" t="s">
        <v>43825</v>
      </c>
      <c r="C22417" s="2" t="s">
        <v>195</v>
      </c>
      <c r="D22417" s="2" t="s">
        <v>14686</v>
      </c>
      <c r="E22417" s="2" t="str">
        <f>"9783110477450"</f>
        <v>9783110477450</v>
      </c>
      <c r="F22417" s="2" t="str">
        <f>"9783110477467"</f>
        <v>9783110477467</v>
      </c>
    </row>
    <row r="22418" spans="1:6" s="3" customFormat="1" ht="29.1" customHeight="1" x14ac:dyDescent="0.25">
      <c r="A22418" s="2" t="s">
        <v>43826</v>
      </c>
      <c r="B22418" s="2" t="s">
        <v>43827</v>
      </c>
      <c r="C22418" s="2" t="s">
        <v>195</v>
      </c>
      <c r="D22418" s="2" t="s">
        <v>1183</v>
      </c>
      <c r="E22418" s="2" t="str">
        <f>"9783110529135"</f>
        <v>9783110529135</v>
      </c>
      <c r="F22418" s="2" t="str">
        <f>"9783110529234"</f>
        <v>9783110529234</v>
      </c>
    </row>
    <row r="22419" spans="1:6" s="3" customFormat="1" ht="29.1" customHeight="1" x14ac:dyDescent="0.25">
      <c r="A22419" s="2" t="s">
        <v>43828</v>
      </c>
      <c r="B22419" s="2" t="s">
        <v>43829</v>
      </c>
      <c r="C22419" s="2" t="s">
        <v>124</v>
      </c>
      <c r="D22419" s="2" t="s">
        <v>297</v>
      </c>
      <c r="E22419" s="2" t="str">
        <f>"9781138234505"</f>
        <v>9781138234505</v>
      </c>
      <c r="F22419" s="2" t="str">
        <f>"9781315306742"</f>
        <v>9781315306742</v>
      </c>
    </row>
    <row r="22420" spans="1:6" s="3" customFormat="1" ht="29.1" customHeight="1" x14ac:dyDescent="0.25">
      <c r="A22420" s="2" t="s">
        <v>43830</v>
      </c>
      <c r="B22420" s="2" t="s">
        <v>43831</v>
      </c>
      <c r="C22420" s="2" t="s">
        <v>124</v>
      </c>
      <c r="D22420" s="2" t="s">
        <v>2019</v>
      </c>
      <c r="E22420" s="2" t="str">
        <f>"9781138320895"</f>
        <v>9781138320895</v>
      </c>
      <c r="F22420" s="2" t="str">
        <f>"9780429841422"</f>
        <v>9780429841422</v>
      </c>
    </row>
    <row r="22421" spans="1:6" s="3" customFormat="1" ht="29.1" customHeight="1" x14ac:dyDescent="0.25">
      <c r="A22421" s="2" t="s">
        <v>43569</v>
      </c>
      <c r="B22421" s="2" t="s">
        <v>30969</v>
      </c>
      <c r="C22421" s="2" t="s">
        <v>149</v>
      </c>
      <c r="D22421" s="2" t="s">
        <v>3166</v>
      </c>
      <c r="E22421" s="2" t="str">
        <f>"9781783745210"</f>
        <v>9781783745210</v>
      </c>
      <c r="F22421" s="2" t="str">
        <f>"9781783745234"</f>
        <v>9781783745234</v>
      </c>
    </row>
    <row r="22422" spans="1:6" s="3" customFormat="1" ht="29.1" customHeight="1" x14ac:dyDescent="0.25">
      <c r="A22422" s="2" t="s">
        <v>43569</v>
      </c>
      <c r="B22422" s="2" t="s">
        <v>30969</v>
      </c>
      <c r="C22422" s="2" t="s">
        <v>149</v>
      </c>
      <c r="D22422" s="2" t="s">
        <v>5493</v>
      </c>
      <c r="E22422" s="2" t="str">
        <f>"9781783745296"</f>
        <v>9781783745296</v>
      </c>
      <c r="F22422" s="2" t="str">
        <f>"9781783745319"</f>
        <v>9781783745319</v>
      </c>
    </row>
    <row r="22423" spans="1:6" s="3" customFormat="1" ht="29.1" customHeight="1" x14ac:dyDescent="0.25">
      <c r="A22423" s="2" t="s">
        <v>43569</v>
      </c>
      <c r="B22423" s="2" t="s">
        <v>30969</v>
      </c>
      <c r="C22423" s="2" t="s">
        <v>149</v>
      </c>
      <c r="D22423" s="2" t="s">
        <v>3166</v>
      </c>
      <c r="E22423" s="2" t="str">
        <f>"9781783745340"</f>
        <v>9781783745340</v>
      </c>
      <c r="F22423" s="2" t="str">
        <f>"9781783745364"</f>
        <v>9781783745364</v>
      </c>
    </row>
    <row r="22424" spans="1:6" s="3" customFormat="1" ht="29.1" customHeight="1" x14ac:dyDescent="0.25">
      <c r="A22424" s="2" t="s">
        <v>43832</v>
      </c>
      <c r="B22424" s="2" t="s">
        <v>43833</v>
      </c>
      <c r="C22424" s="2" t="s">
        <v>149</v>
      </c>
      <c r="D22424" s="2" t="s">
        <v>118</v>
      </c>
      <c r="E22424" s="2" t="str">
        <f>"9781783745890"</f>
        <v>9781783745890</v>
      </c>
      <c r="F22424" s="2" t="str">
        <f>"9781783745913"</f>
        <v>9781783745913</v>
      </c>
    </row>
    <row r="22425" spans="1:6" s="3" customFormat="1" ht="29.1" customHeight="1" x14ac:dyDescent="0.25">
      <c r="A22425" s="2" t="s">
        <v>43834</v>
      </c>
      <c r="B22425" s="2" t="s">
        <v>43835</v>
      </c>
      <c r="C22425" s="2" t="s">
        <v>149</v>
      </c>
      <c r="D22425" s="2" t="s">
        <v>6067</v>
      </c>
      <c r="E22425" s="2" t="str">
        <f>"9781783745548"</f>
        <v>9781783745548</v>
      </c>
      <c r="F22425" s="2" t="str">
        <f>"9781783745562"</f>
        <v>9781783745562</v>
      </c>
    </row>
    <row r="22426" spans="1:6" s="3" customFormat="1" ht="29.1" customHeight="1" x14ac:dyDescent="0.25">
      <c r="A22426" s="2" t="s">
        <v>43836</v>
      </c>
      <c r="B22426" s="2" t="s">
        <v>43837</v>
      </c>
      <c r="C22426" s="2" t="s">
        <v>149</v>
      </c>
      <c r="D22426" s="2" t="s">
        <v>4059</v>
      </c>
      <c r="E22426" s="2" t="str">
        <f>"9781783744947"</f>
        <v>9781783744947</v>
      </c>
      <c r="F22426" s="2" t="str">
        <f>"9781783744961"</f>
        <v>9781783744961</v>
      </c>
    </row>
    <row r="22427" spans="1:6" s="3" customFormat="1" ht="29.1" customHeight="1" x14ac:dyDescent="0.25">
      <c r="A22427" s="2" t="s">
        <v>43838</v>
      </c>
      <c r="B22427" s="2" t="s">
        <v>43839</v>
      </c>
      <c r="C22427" s="2" t="s">
        <v>149</v>
      </c>
      <c r="D22427" s="2" t="s">
        <v>5032</v>
      </c>
      <c r="E22427" s="2" t="str">
        <f>"9781783745111"</f>
        <v>9781783745111</v>
      </c>
      <c r="F22427" s="2" t="str">
        <f>"9781783745135"</f>
        <v>9781783745135</v>
      </c>
    </row>
    <row r="22428" spans="1:6" s="3" customFormat="1" ht="29.1" customHeight="1" x14ac:dyDescent="0.25">
      <c r="A22428" s="2" t="s">
        <v>43840</v>
      </c>
      <c r="B22428" s="2" t="s">
        <v>43841</v>
      </c>
      <c r="C22428" s="2" t="s">
        <v>149</v>
      </c>
      <c r="D22428" s="2" t="s">
        <v>183</v>
      </c>
      <c r="E22428" s="2" t="str">
        <f>"9781783745807"</f>
        <v>9781783745807</v>
      </c>
      <c r="F22428" s="2" t="str">
        <f>"9781783745821"</f>
        <v>9781783745821</v>
      </c>
    </row>
    <row r="22429" spans="1:6" s="3" customFormat="1" ht="29.1" customHeight="1" x14ac:dyDescent="0.25">
      <c r="A22429" s="2" t="s">
        <v>43842</v>
      </c>
      <c r="B22429" s="2" t="s">
        <v>33023</v>
      </c>
      <c r="C22429" s="2" t="s">
        <v>149</v>
      </c>
      <c r="D22429" s="2" t="s">
        <v>3713</v>
      </c>
      <c r="E22429" s="2" t="str">
        <f>"9781783745005"</f>
        <v>9781783745005</v>
      </c>
      <c r="F22429" s="2" t="str">
        <f>"9781783745029"</f>
        <v>9781783745029</v>
      </c>
    </row>
    <row r="22430" spans="1:6" s="3" customFormat="1" ht="29.1" customHeight="1" x14ac:dyDescent="0.25">
      <c r="A22430" s="2" t="s">
        <v>43843</v>
      </c>
      <c r="B22430" s="2" t="s">
        <v>43844</v>
      </c>
      <c r="C22430" s="2" t="s">
        <v>124</v>
      </c>
      <c r="D22430" s="2" t="s">
        <v>3445</v>
      </c>
      <c r="E22430" s="2" t="str">
        <f>"9780367582432"</f>
        <v>9780367582432</v>
      </c>
      <c r="F22430" s="2" t="str">
        <f>"9780429423093"</f>
        <v>9780429423093</v>
      </c>
    </row>
    <row r="22431" spans="1:6" s="3" customFormat="1" ht="29.1" customHeight="1" x14ac:dyDescent="0.25">
      <c r="A22431" s="2" t="s">
        <v>43845</v>
      </c>
      <c r="B22431" s="2" t="s">
        <v>43846</v>
      </c>
      <c r="C22431" s="2" t="s">
        <v>124</v>
      </c>
      <c r="D22431" s="2" t="s">
        <v>81</v>
      </c>
      <c r="E22431" s="2" t="str">
        <f>"9781138590373"</f>
        <v>9781138590373</v>
      </c>
      <c r="F22431" s="2" t="str">
        <f>"9780429491078"</f>
        <v>9780429491078</v>
      </c>
    </row>
    <row r="22432" spans="1:6" s="3" customFormat="1" ht="29.1" customHeight="1" x14ac:dyDescent="0.25">
      <c r="A22432" s="2" t="s">
        <v>43847</v>
      </c>
      <c r="B22432" s="2" t="s">
        <v>43848</v>
      </c>
      <c r="C22432" s="2" t="s">
        <v>29</v>
      </c>
      <c r="D22432" s="2" t="s">
        <v>192</v>
      </c>
      <c r="E22432" s="2" t="str">
        <f>"9789004342224"</f>
        <v>9789004342224</v>
      </c>
      <c r="F22432" s="2" t="str">
        <f>"9789004342217"</f>
        <v>9789004342217</v>
      </c>
    </row>
    <row r="22433" spans="1:6" s="3" customFormat="1" ht="29.1" customHeight="1" x14ac:dyDescent="0.25">
      <c r="A22433" s="2" t="s">
        <v>43849</v>
      </c>
      <c r="B22433" s="2" t="s">
        <v>43850</v>
      </c>
      <c r="C22433" s="2" t="s">
        <v>4788</v>
      </c>
      <c r="D22433" s="2" t="s">
        <v>324</v>
      </c>
      <c r="E22433" s="2" t="str">
        <f>"9781474429993"</f>
        <v>9781474429993</v>
      </c>
      <c r="F22433" s="2" t="str">
        <f>"9781474437158"</f>
        <v>9781474437158</v>
      </c>
    </row>
    <row r="22434" spans="1:6" s="3" customFormat="1" ht="29.1" customHeight="1" x14ac:dyDescent="0.25">
      <c r="A22434" s="2" t="s">
        <v>43851</v>
      </c>
      <c r="B22434" s="2" t="s">
        <v>43852</v>
      </c>
      <c r="C22434" s="2" t="s">
        <v>4788</v>
      </c>
      <c r="D22434" s="2" t="s">
        <v>12120</v>
      </c>
      <c r="E22434" s="2" t="str">
        <f>"9781474442527"</f>
        <v>9781474442527</v>
      </c>
      <c r="F22434" s="2" t="str">
        <f>"9781474442541"</f>
        <v>9781474442541</v>
      </c>
    </row>
    <row r="22435" spans="1:6" s="3" customFormat="1" ht="29.1" customHeight="1" x14ac:dyDescent="0.25">
      <c r="A22435" s="2" t="s">
        <v>43853</v>
      </c>
      <c r="B22435" s="2" t="s">
        <v>36935</v>
      </c>
      <c r="C22435" s="2" t="s">
        <v>556</v>
      </c>
      <c r="D22435" s="2" t="s">
        <v>4789</v>
      </c>
      <c r="E22435" s="2" t="str">
        <f>"9783837646009"</f>
        <v>9783837646009</v>
      </c>
      <c r="F22435" s="2" t="str">
        <f>"9783839446003"</f>
        <v>9783839446003</v>
      </c>
    </row>
    <row r="22436" spans="1:6" s="3" customFormat="1" ht="29.1" customHeight="1" x14ac:dyDescent="0.25">
      <c r="A22436" s="2" t="s">
        <v>43854</v>
      </c>
      <c r="B22436" s="2" t="s">
        <v>43855</v>
      </c>
      <c r="C22436" s="2" t="s">
        <v>556</v>
      </c>
      <c r="D22436" s="2" t="s">
        <v>712</v>
      </c>
      <c r="E22436" s="2" t="str">
        <f>"9783837645972"</f>
        <v>9783837645972</v>
      </c>
      <c r="F22436" s="2" t="str">
        <f>"9783839445976"</f>
        <v>9783839445976</v>
      </c>
    </row>
    <row r="22437" spans="1:6" s="3" customFormat="1" ht="29.1" customHeight="1" x14ac:dyDescent="0.25">
      <c r="A22437" s="2" t="s">
        <v>43856</v>
      </c>
      <c r="B22437" s="2" t="s">
        <v>43857</v>
      </c>
      <c r="C22437" s="2" t="s">
        <v>556</v>
      </c>
      <c r="D22437" s="2" t="s">
        <v>4789</v>
      </c>
      <c r="E22437" s="2" t="str">
        <f>"9783837645026"</f>
        <v>9783837645026</v>
      </c>
      <c r="F22437" s="2" t="str">
        <f>"9783839445020"</f>
        <v>9783839445020</v>
      </c>
    </row>
    <row r="22438" spans="1:6" s="3" customFormat="1" ht="29.1" customHeight="1" x14ac:dyDescent="0.25">
      <c r="A22438" s="2" t="s">
        <v>43858</v>
      </c>
      <c r="B22438" s="2" t="s">
        <v>42561</v>
      </c>
      <c r="C22438" s="2" t="s">
        <v>556</v>
      </c>
      <c r="D22438" s="2" t="s">
        <v>183</v>
      </c>
      <c r="E22438" s="2" t="str">
        <f>"9783837644838"</f>
        <v>9783837644838</v>
      </c>
      <c r="F22438" s="2" t="str">
        <f>"9783732844838"</f>
        <v>9783732844838</v>
      </c>
    </row>
    <row r="22439" spans="1:6" s="3" customFormat="1" ht="29.1" customHeight="1" x14ac:dyDescent="0.25">
      <c r="A22439" s="2" t="s">
        <v>43859</v>
      </c>
      <c r="B22439" s="2" t="s">
        <v>43860</v>
      </c>
      <c r="C22439" s="2" t="s">
        <v>556</v>
      </c>
      <c r="D22439" s="2" t="s">
        <v>75</v>
      </c>
      <c r="E22439" s="2" t="str">
        <f>"9783837630206"</f>
        <v>9783837630206</v>
      </c>
      <c r="F22439" s="2" t="str">
        <f>"9783839430200"</f>
        <v>9783839430200</v>
      </c>
    </row>
    <row r="22440" spans="1:6" s="3" customFormat="1" ht="29.1" customHeight="1" x14ac:dyDescent="0.25">
      <c r="A22440" s="2" t="s">
        <v>43861</v>
      </c>
      <c r="B22440" s="2" t="s">
        <v>43862</v>
      </c>
      <c r="C22440" s="2" t="s">
        <v>4104</v>
      </c>
      <c r="D22440" s="2" t="s">
        <v>4634</v>
      </c>
      <c r="E22440" s="2" t="str">
        <f>"9781786941190"</f>
        <v>9781786941190</v>
      </c>
      <c r="F22440" s="2" t="str">
        <f>"9781786948731"</f>
        <v>9781786948731</v>
      </c>
    </row>
    <row r="22441" spans="1:6" s="3" customFormat="1" ht="29.1" customHeight="1" x14ac:dyDescent="0.25">
      <c r="A22441" s="2" t="s">
        <v>43863</v>
      </c>
      <c r="B22441" s="2" t="s">
        <v>43864</v>
      </c>
      <c r="C22441" s="2" t="s">
        <v>124</v>
      </c>
      <c r="D22441" s="2" t="s">
        <v>2086</v>
      </c>
      <c r="E22441" s="2" t="str">
        <f>"9781138479319"</f>
        <v>9781138479319</v>
      </c>
      <c r="F22441" s="2" t="str">
        <f>"9781351066006"</f>
        <v>9781351066006</v>
      </c>
    </row>
    <row r="22442" spans="1:6" s="3" customFormat="1" ht="29.1" customHeight="1" x14ac:dyDescent="0.25">
      <c r="A22442" s="2" t="s">
        <v>43865</v>
      </c>
      <c r="B22442" s="2" t="s">
        <v>43866</v>
      </c>
      <c r="C22442" s="2" t="s">
        <v>124</v>
      </c>
      <c r="D22442" s="2" t="s">
        <v>8788</v>
      </c>
      <c r="E22442" s="2" t="str">
        <f>"9781138586260"</f>
        <v>9781138586260</v>
      </c>
      <c r="F22442" s="2" t="str">
        <f>"9780429997730"</f>
        <v>9780429997730</v>
      </c>
    </row>
    <row r="22443" spans="1:6" s="3" customFormat="1" ht="29.1" customHeight="1" x14ac:dyDescent="0.25">
      <c r="A22443" s="2" t="s">
        <v>43867</v>
      </c>
      <c r="B22443" s="2" t="s">
        <v>43868</v>
      </c>
      <c r="C22443" s="2" t="s">
        <v>927</v>
      </c>
      <c r="D22443" s="2" t="s">
        <v>270</v>
      </c>
      <c r="E22443" s="2" t="str">
        <f>"9780472131020"</f>
        <v>9780472131020</v>
      </c>
      <c r="F22443" s="2" t="str">
        <f>"9780472124305"</f>
        <v>9780472124305</v>
      </c>
    </row>
    <row r="22444" spans="1:6" s="3" customFormat="1" ht="29.1" customHeight="1" x14ac:dyDescent="0.25">
      <c r="A22444" s="2" t="s">
        <v>43869</v>
      </c>
      <c r="B22444" s="2" t="s">
        <v>43870</v>
      </c>
      <c r="C22444" s="2" t="s">
        <v>264</v>
      </c>
      <c r="D22444" s="2" t="s">
        <v>724</v>
      </c>
      <c r="E22444" s="2" t="str">
        <f>"9788793102941"</f>
        <v>9788793102941</v>
      </c>
      <c r="F22444" s="2" t="str">
        <f>"9788793102958"</f>
        <v>9788793102958</v>
      </c>
    </row>
    <row r="22445" spans="1:6" s="3" customFormat="1" ht="29.1" customHeight="1" x14ac:dyDescent="0.25">
      <c r="A22445" s="2" t="s">
        <v>43871</v>
      </c>
      <c r="B22445" s="2" t="s">
        <v>43872</v>
      </c>
      <c r="C22445" s="2" t="s">
        <v>264</v>
      </c>
      <c r="D22445" s="2" t="s">
        <v>724</v>
      </c>
      <c r="E22445" s="2" t="str">
        <f>"9788793237131"</f>
        <v>9788793237131</v>
      </c>
      <c r="F22445" s="2" t="str">
        <f>"9788793237148"</f>
        <v>9788793237148</v>
      </c>
    </row>
    <row r="22446" spans="1:6" s="3" customFormat="1" ht="29.1" customHeight="1" x14ac:dyDescent="0.25">
      <c r="A22446" s="2" t="s">
        <v>43873</v>
      </c>
      <c r="B22446" s="2" t="s">
        <v>43874</v>
      </c>
      <c r="C22446" s="2" t="s">
        <v>264</v>
      </c>
      <c r="D22446" s="2" t="s">
        <v>6212</v>
      </c>
      <c r="E22446" s="2" t="str">
        <f>"9788793237094"</f>
        <v>9788793237094</v>
      </c>
      <c r="F22446" s="2" t="str">
        <f>"9788793237100"</f>
        <v>9788793237100</v>
      </c>
    </row>
    <row r="22447" spans="1:6" s="3" customFormat="1" ht="29.1" customHeight="1" x14ac:dyDescent="0.25">
      <c r="A22447" s="2" t="s">
        <v>43875</v>
      </c>
      <c r="B22447" s="2" t="s">
        <v>43876</v>
      </c>
      <c r="C22447" s="2" t="s">
        <v>264</v>
      </c>
      <c r="D22447" s="2" t="s">
        <v>2985</v>
      </c>
      <c r="E22447" s="2" t="str">
        <f>"9788793237032"</f>
        <v>9788793237032</v>
      </c>
      <c r="F22447" s="2" t="str">
        <f>"9788793237049"</f>
        <v>9788793237049</v>
      </c>
    </row>
    <row r="22448" spans="1:6" s="3" customFormat="1" ht="29.1" customHeight="1" x14ac:dyDescent="0.25">
      <c r="A22448" s="2" t="s">
        <v>43877</v>
      </c>
      <c r="B22448" s="2" t="s">
        <v>43870</v>
      </c>
      <c r="C22448" s="2" t="s">
        <v>264</v>
      </c>
      <c r="D22448" s="2" t="s">
        <v>1902</v>
      </c>
      <c r="E22448" s="2" t="str">
        <f>"9788793237995"</f>
        <v>9788793237995</v>
      </c>
      <c r="F22448" s="2" t="str">
        <f>"9788793237988"</f>
        <v>9788793237988</v>
      </c>
    </row>
    <row r="22449" spans="1:6" s="3" customFormat="1" ht="29.1" customHeight="1" x14ac:dyDescent="0.25">
      <c r="A22449" s="2" t="s">
        <v>43878</v>
      </c>
      <c r="B22449" s="2" t="s">
        <v>43879</v>
      </c>
      <c r="C22449" s="2" t="s">
        <v>264</v>
      </c>
      <c r="D22449" s="2" t="s">
        <v>19481</v>
      </c>
      <c r="E22449" s="2" t="str">
        <f>"9788793237537"</f>
        <v>9788793237537</v>
      </c>
      <c r="F22449" s="2" t="str">
        <f>"9788793237544"</f>
        <v>9788793237544</v>
      </c>
    </row>
    <row r="22450" spans="1:6" s="3" customFormat="1" ht="29.1" customHeight="1" x14ac:dyDescent="0.25">
      <c r="A22450" s="2" t="s">
        <v>43880</v>
      </c>
      <c r="B22450" s="2" t="s">
        <v>34538</v>
      </c>
      <c r="C22450" s="2" t="s">
        <v>264</v>
      </c>
      <c r="D22450" s="2" t="s">
        <v>5115</v>
      </c>
      <c r="E22450" s="2" t="str">
        <f>"9788770220064"</f>
        <v>9788770220064</v>
      </c>
      <c r="F22450" s="2" t="str">
        <f>"9788770220057"</f>
        <v>9788770220057</v>
      </c>
    </row>
    <row r="22451" spans="1:6" s="3" customFormat="1" ht="29.1" customHeight="1" x14ac:dyDescent="0.25">
      <c r="A22451" s="2" t="s">
        <v>43881</v>
      </c>
      <c r="B22451" s="2" t="s">
        <v>43882</v>
      </c>
      <c r="C22451" s="2" t="s">
        <v>264</v>
      </c>
      <c r="D22451" s="2" t="s">
        <v>487</v>
      </c>
      <c r="E22451" s="2" t="str">
        <f>"9788770220163"</f>
        <v>9788770220163</v>
      </c>
      <c r="F22451" s="2" t="str">
        <f>"9788770220156"</f>
        <v>9788770220156</v>
      </c>
    </row>
    <row r="22452" spans="1:6" s="3" customFormat="1" ht="29.1" customHeight="1" x14ac:dyDescent="0.25">
      <c r="A22452" s="2" t="s">
        <v>43883</v>
      </c>
      <c r="B22452" s="2" t="s">
        <v>43884</v>
      </c>
      <c r="C22452" s="2" t="s">
        <v>327</v>
      </c>
      <c r="D22452" s="2" t="s">
        <v>3958</v>
      </c>
      <c r="E22452" s="2" t="str">
        <f>"9788381422390"</f>
        <v>9788381422390</v>
      </c>
      <c r="F22452" s="2" t="str">
        <f>"9788381422406"</f>
        <v>9788381422406</v>
      </c>
    </row>
    <row r="22453" spans="1:6" s="3" customFormat="1" ht="29.1" customHeight="1" x14ac:dyDescent="0.25">
      <c r="A22453" s="2" t="s">
        <v>43885</v>
      </c>
      <c r="B22453" s="2" t="s">
        <v>43886</v>
      </c>
      <c r="C22453" s="2" t="s">
        <v>327</v>
      </c>
      <c r="D22453" s="2" t="s">
        <v>1162</v>
      </c>
      <c r="E22453" s="2"/>
      <c r="F22453" s="2" t="str">
        <f>"9788380889149"</f>
        <v>9788380889149</v>
      </c>
    </row>
    <row r="22454" spans="1:6" s="3" customFormat="1" ht="29.1" customHeight="1" x14ac:dyDescent="0.25">
      <c r="A22454" s="2" t="s">
        <v>43887</v>
      </c>
      <c r="B22454" s="2" t="s">
        <v>43888</v>
      </c>
      <c r="C22454" s="2" t="s">
        <v>29</v>
      </c>
      <c r="D22454" s="2" t="s">
        <v>7460</v>
      </c>
      <c r="E22454" s="2" t="str">
        <f>"9789004089860"</f>
        <v>9789004089860</v>
      </c>
      <c r="F22454" s="2" t="str">
        <f>"9789004312753"</f>
        <v>9789004312753</v>
      </c>
    </row>
    <row r="22455" spans="1:6" s="3" customFormat="1" ht="29.1" customHeight="1" x14ac:dyDescent="0.25">
      <c r="A22455" s="2" t="s">
        <v>43889</v>
      </c>
      <c r="B22455" s="2" t="s">
        <v>43890</v>
      </c>
      <c r="C22455" s="2" t="s">
        <v>29</v>
      </c>
      <c r="D22455" s="2" t="s">
        <v>210</v>
      </c>
      <c r="E22455" s="2" t="str">
        <f>"9789004342675"</f>
        <v>9789004342675</v>
      </c>
      <c r="F22455" s="2" t="str">
        <f>"9789004375765"</f>
        <v>9789004375765</v>
      </c>
    </row>
    <row r="22456" spans="1:6" s="3" customFormat="1" ht="29.1" customHeight="1" x14ac:dyDescent="0.25">
      <c r="A22456" s="2" t="s">
        <v>43887</v>
      </c>
      <c r="B22456" s="2" t="s">
        <v>43891</v>
      </c>
      <c r="C22456" s="2" t="s">
        <v>29</v>
      </c>
      <c r="D22456" s="2" t="s">
        <v>4071</v>
      </c>
      <c r="E22456" s="2" t="str">
        <f>"9789004116825"</f>
        <v>9789004116825</v>
      </c>
      <c r="F22456" s="2" t="str">
        <f>"9789004313231"</f>
        <v>9789004313231</v>
      </c>
    </row>
    <row r="22457" spans="1:6" s="3" customFormat="1" ht="29.1" customHeight="1" x14ac:dyDescent="0.25">
      <c r="A22457" s="2" t="s">
        <v>43892</v>
      </c>
      <c r="B22457" s="2" t="s">
        <v>43893</v>
      </c>
      <c r="C22457" s="2" t="s">
        <v>29</v>
      </c>
      <c r="D22457" s="2" t="s">
        <v>192</v>
      </c>
      <c r="E22457" s="2" t="str">
        <f>"9789004329300"</f>
        <v>9789004329300</v>
      </c>
      <c r="F22457" s="2" t="str">
        <f>"9789004329317"</f>
        <v>9789004329317</v>
      </c>
    </row>
    <row r="22458" spans="1:6" s="3" customFormat="1" ht="29.1" customHeight="1" x14ac:dyDescent="0.25">
      <c r="A22458" s="2" t="s">
        <v>43894</v>
      </c>
      <c r="B22458" s="2" t="s">
        <v>43895</v>
      </c>
      <c r="C22458" s="2" t="s">
        <v>29</v>
      </c>
      <c r="D22458" s="2" t="s">
        <v>509</v>
      </c>
      <c r="E22458" s="2" t="str">
        <f>"9789004095243"</f>
        <v>9789004095243</v>
      </c>
      <c r="F22458" s="2" t="str">
        <f>"9789004246799"</f>
        <v>9789004246799</v>
      </c>
    </row>
    <row r="22459" spans="1:6" s="3" customFormat="1" ht="29.1" customHeight="1" x14ac:dyDescent="0.25">
      <c r="A22459" s="2" t="s">
        <v>43896</v>
      </c>
      <c r="B22459" s="2" t="s">
        <v>43897</v>
      </c>
      <c r="C22459" s="2" t="s">
        <v>29</v>
      </c>
      <c r="D22459" s="2" t="s">
        <v>63</v>
      </c>
      <c r="E22459" s="2" t="str">
        <f>"9789004319134"</f>
        <v>9789004319134</v>
      </c>
      <c r="F22459" s="2" t="str">
        <f>"9789004321199"</f>
        <v>9789004321199</v>
      </c>
    </row>
    <row r="22460" spans="1:6" s="3" customFormat="1" ht="29.1" customHeight="1" x14ac:dyDescent="0.25">
      <c r="A22460" s="2" t="s">
        <v>43898</v>
      </c>
      <c r="B22460" s="2" t="s">
        <v>43899</v>
      </c>
      <c r="C22460" s="2" t="s">
        <v>29</v>
      </c>
      <c r="D22460" s="2" t="s">
        <v>2002</v>
      </c>
      <c r="E22460" s="2" t="str">
        <f>"9789004103719"</f>
        <v>9789004103719</v>
      </c>
      <c r="F22460" s="2" t="str">
        <f>"9789004247208"</f>
        <v>9789004247208</v>
      </c>
    </row>
    <row r="22461" spans="1:6" s="3" customFormat="1" ht="29.1" customHeight="1" x14ac:dyDescent="0.25">
      <c r="A22461" s="2" t="s">
        <v>43900</v>
      </c>
      <c r="B22461" s="2" t="s">
        <v>43901</v>
      </c>
      <c r="C22461" s="2" t="s">
        <v>195</v>
      </c>
      <c r="D22461" s="2" t="s">
        <v>210</v>
      </c>
      <c r="E22461" s="2" t="str">
        <f>"9783486567687"</f>
        <v>9783486567687</v>
      </c>
      <c r="F22461" s="2" t="str">
        <f>"9783486594607"</f>
        <v>9783486594607</v>
      </c>
    </row>
    <row r="22462" spans="1:6" s="3" customFormat="1" ht="29.1" customHeight="1" x14ac:dyDescent="0.25">
      <c r="A22462" s="2" t="s">
        <v>43902</v>
      </c>
      <c r="B22462" s="2" t="s">
        <v>43903</v>
      </c>
      <c r="C22462" s="2" t="s">
        <v>15181</v>
      </c>
      <c r="D22462" s="2" t="s">
        <v>210</v>
      </c>
      <c r="E22462" s="2" t="str">
        <f>"9789462988255"</f>
        <v>9789462988255</v>
      </c>
      <c r="F22462" s="2" t="str">
        <f>"9789048540273"</f>
        <v>9789048540273</v>
      </c>
    </row>
    <row r="22463" spans="1:6" s="3" customFormat="1" ht="29.1" customHeight="1" x14ac:dyDescent="0.25">
      <c r="A22463" s="2" t="s">
        <v>43904</v>
      </c>
      <c r="B22463" s="2" t="s">
        <v>43905</v>
      </c>
      <c r="C22463" s="2" t="s">
        <v>124</v>
      </c>
      <c r="D22463" s="2" t="s">
        <v>1198</v>
      </c>
      <c r="E22463" s="2" t="str">
        <f>"9789462986510"</f>
        <v>9789462986510</v>
      </c>
      <c r="F22463" s="2" t="str">
        <f>"9781040778654"</f>
        <v>9781040778654</v>
      </c>
    </row>
    <row r="22464" spans="1:6" s="3" customFormat="1" ht="29.1" customHeight="1" x14ac:dyDescent="0.25">
      <c r="A22464" s="2" t="s">
        <v>43906</v>
      </c>
      <c r="B22464" s="2" t="s">
        <v>43907</v>
      </c>
      <c r="C22464" s="2" t="s">
        <v>124</v>
      </c>
      <c r="D22464" s="2" t="s">
        <v>3172</v>
      </c>
      <c r="E22464" s="2" t="str">
        <f>"9780815346524"</f>
        <v>9780815346524</v>
      </c>
      <c r="F22464" s="2" t="str">
        <f>"9781351170345"</f>
        <v>9781351170345</v>
      </c>
    </row>
    <row r="22465" spans="1:6" s="3" customFormat="1" ht="29.1" customHeight="1" x14ac:dyDescent="0.25">
      <c r="A22465" s="2" t="s">
        <v>43908</v>
      </c>
      <c r="B22465" s="2" t="s">
        <v>43909</v>
      </c>
      <c r="C22465" s="2" t="s">
        <v>124</v>
      </c>
      <c r="D22465" s="2" t="s">
        <v>210</v>
      </c>
      <c r="E22465" s="2" t="str">
        <f>"9781138742215"</f>
        <v>9781138742215</v>
      </c>
      <c r="F22465" s="2" t="str">
        <f>"9780429508653"</f>
        <v>9780429508653</v>
      </c>
    </row>
    <row r="22466" spans="1:6" s="3" customFormat="1" ht="29.1" customHeight="1" x14ac:dyDescent="0.25">
      <c r="A22466" s="2" t="s">
        <v>43910</v>
      </c>
      <c r="B22466" s="2" t="s">
        <v>43911</v>
      </c>
      <c r="C22466" s="2" t="s">
        <v>195</v>
      </c>
      <c r="D22466" s="2" t="s">
        <v>342</v>
      </c>
      <c r="E22466" s="2" t="str">
        <f>"9783110036688"</f>
        <v>9783110036688</v>
      </c>
      <c r="F22466" s="2" t="str">
        <f>"9783111669489"</f>
        <v>9783111669489</v>
      </c>
    </row>
    <row r="22467" spans="1:6" s="3" customFormat="1" ht="29.1" customHeight="1" x14ac:dyDescent="0.25">
      <c r="A22467" s="2" t="s">
        <v>43912</v>
      </c>
      <c r="B22467" s="2" t="s">
        <v>43913</v>
      </c>
      <c r="C22467" s="2" t="s">
        <v>195</v>
      </c>
      <c r="D22467" s="2" t="s">
        <v>210</v>
      </c>
      <c r="E22467" s="2" t="str">
        <f>"9783486560039"</f>
        <v>9783486560039</v>
      </c>
      <c r="F22467" s="2" t="str">
        <f>"9783486707892"</f>
        <v>9783486707892</v>
      </c>
    </row>
    <row r="22468" spans="1:6" s="3" customFormat="1" ht="29.1" customHeight="1" x14ac:dyDescent="0.25">
      <c r="A22468" s="2" t="s">
        <v>43914</v>
      </c>
      <c r="B22468" s="2" t="s">
        <v>43915</v>
      </c>
      <c r="C22468" s="2" t="s">
        <v>327</v>
      </c>
      <c r="D22468" s="2" t="s">
        <v>2019</v>
      </c>
      <c r="E22468" s="2" t="str">
        <f>"9788380884328"</f>
        <v>9788380884328</v>
      </c>
      <c r="F22468" s="2" t="str">
        <f>"9788380884335"</f>
        <v>9788380884335</v>
      </c>
    </row>
    <row r="22469" spans="1:6" s="3" customFormat="1" ht="29.1" customHeight="1" x14ac:dyDescent="0.25">
      <c r="A22469" s="2" t="s">
        <v>43916</v>
      </c>
      <c r="B22469" s="2" t="s">
        <v>43886</v>
      </c>
      <c r="C22469" s="2" t="s">
        <v>327</v>
      </c>
      <c r="D22469" s="2" t="s">
        <v>8413</v>
      </c>
      <c r="E22469" s="2" t="str">
        <f>"9788380889118"</f>
        <v>9788380889118</v>
      </c>
      <c r="F22469" s="2" t="str">
        <f>"9788380889125"</f>
        <v>9788380889125</v>
      </c>
    </row>
    <row r="22470" spans="1:6" s="3" customFormat="1" ht="29.1" customHeight="1" x14ac:dyDescent="0.25">
      <c r="A22470" s="2" t="s">
        <v>43917</v>
      </c>
      <c r="B22470" s="2" t="s">
        <v>43918</v>
      </c>
      <c r="C22470" s="2" t="s">
        <v>327</v>
      </c>
      <c r="D22470" s="2" t="s">
        <v>175</v>
      </c>
      <c r="E22470" s="2" t="str">
        <f>"9788381421614"</f>
        <v>9788381421614</v>
      </c>
      <c r="F22470" s="2" t="str">
        <f>"9788381421621"</f>
        <v>9788381421621</v>
      </c>
    </row>
    <row r="22471" spans="1:6" s="3" customFormat="1" ht="29.1" customHeight="1" x14ac:dyDescent="0.25">
      <c r="A22471" s="2" t="s">
        <v>43919</v>
      </c>
      <c r="B22471" s="2" t="s">
        <v>43920</v>
      </c>
      <c r="C22471" s="2" t="s">
        <v>605</v>
      </c>
      <c r="D22471" s="2" t="s">
        <v>606</v>
      </c>
      <c r="E22471" s="2" t="str">
        <f>"9789654062121"</f>
        <v>9789654062121</v>
      </c>
      <c r="F22471" s="2" t="str">
        <f>"9789654065733"</f>
        <v>9789654065733</v>
      </c>
    </row>
    <row r="22472" spans="1:6" s="3" customFormat="1" ht="29.1" customHeight="1" x14ac:dyDescent="0.25">
      <c r="A22472" s="2" t="s">
        <v>43921</v>
      </c>
      <c r="B22472" s="2" t="s">
        <v>43922</v>
      </c>
      <c r="C22472" s="2" t="s">
        <v>605</v>
      </c>
      <c r="D22472" s="2" t="s">
        <v>606</v>
      </c>
      <c r="E22472" s="2" t="str">
        <f>"9789654062015"</f>
        <v>9789654062015</v>
      </c>
      <c r="F22472" s="2" t="str">
        <f>"9789654065719"</f>
        <v>9789654065719</v>
      </c>
    </row>
    <row r="22473" spans="1:6" s="3" customFormat="1" ht="29.1" customHeight="1" x14ac:dyDescent="0.25">
      <c r="A22473" s="2" t="s">
        <v>43923</v>
      </c>
      <c r="B22473" s="2" t="s">
        <v>43924</v>
      </c>
      <c r="C22473" s="2" t="s">
        <v>605</v>
      </c>
      <c r="D22473" s="2" t="s">
        <v>606</v>
      </c>
      <c r="E22473" s="2" t="str">
        <f>"9789654062145"</f>
        <v>9789654062145</v>
      </c>
      <c r="F22473" s="2" t="str">
        <f>"9789654065740"</f>
        <v>9789654065740</v>
      </c>
    </row>
    <row r="22474" spans="1:6" s="3" customFormat="1" ht="29.1" customHeight="1" x14ac:dyDescent="0.25">
      <c r="A22474" s="2" t="s">
        <v>43925</v>
      </c>
      <c r="B22474" s="2" t="s">
        <v>43926</v>
      </c>
      <c r="C22474" s="2" t="s">
        <v>605</v>
      </c>
      <c r="D22474" s="2" t="s">
        <v>606</v>
      </c>
      <c r="E22474" s="2"/>
      <c r="F22474" s="2" t="str">
        <f>"9789654066174"</f>
        <v>9789654066174</v>
      </c>
    </row>
    <row r="22475" spans="1:6" s="3" customFormat="1" ht="29.1" customHeight="1" x14ac:dyDescent="0.25">
      <c r="A22475" s="2" t="s">
        <v>43927</v>
      </c>
      <c r="B22475" s="2" t="s">
        <v>43928</v>
      </c>
      <c r="C22475" s="2" t="s">
        <v>605</v>
      </c>
      <c r="D22475" s="2" t="s">
        <v>1419</v>
      </c>
      <c r="E22475" s="2" t="str">
        <f>"9789654062046"</f>
        <v>9789654062046</v>
      </c>
      <c r="F22475" s="2" t="str">
        <f>"9789654065726"</f>
        <v>9789654065726</v>
      </c>
    </row>
    <row r="22476" spans="1:6" s="3" customFormat="1" ht="29.1" customHeight="1" x14ac:dyDescent="0.25">
      <c r="A22476" s="2" t="s">
        <v>43929</v>
      </c>
      <c r="B22476" s="2" t="s">
        <v>43930</v>
      </c>
      <c r="C22476" s="2" t="s">
        <v>605</v>
      </c>
      <c r="D22476" s="2" t="s">
        <v>606</v>
      </c>
      <c r="E22476" s="2" t="str">
        <f>"9789654062022"</f>
        <v>9789654062022</v>
      </c>
      <c r="F22476" s="2" t="str">
        <f>"9789654065702"</f>
        <v>9789654065702</v>
      </c>
    </row>
    <row r="22477" spans="1:6" s="3" customFormat="1" ht="29.1" customHeight="1" x14ac:dyDescent="0.25">
      <c r="A22477" s="2" t="s">
        <v>43931</v>
      </c>
      <c r="B22477" s="2" t="s">
        <v>43932</v>
      </c>
      <c r="C22477" s="2" t="s">
        <v>605</v>
      </c>
      <c r="D22477" s="2" t="s">
        <v>606</v>
      </c>
      <c r="E22477" s="2"/>
      <c r="F22477" s="2" t="str">
        <f>"9789654061988"</f>
        <v>9789654061988</v>
      </c>
    </row>
    <row r="22478" spans="1:6" s="3" customFormat="1" ht="29.1" customHeight="1" x14ac:dyDescent="0.25">
      <c r="A22478" s="2" t="s">
        <v>43933</v>
      </c>
      <c r="B22478" s="2" t="s">
        <v>43934</v>
      </c>
      <c r="C22478" s="2" t="s">
        <v>124</v>
      </c>
      <c r="D22478" s="2" t="s">
        <v>1198</v>
      </c>
      <c r="E22478" s="2" t="str">
        <f>"9789463725002"</f>
        <v>9789463725002</v>
      </c>
      <c r="F22478" s="2" t="str">
        <f>"9781040783047"</f>
        <v>9781040783047</v>
      </c>
    </row>
    <row r="22479" spans="1:6" s="3" customFormat="1" ht="29.1" customHeight="1" x14ac:dyDescent="0.25">
      <c r="A22479" s="2" t="s">
        <v>43935</v>
      </c>
      <c r="B22479" s="2" t="s">
        <v>43936</v>
      </c>
      <c r="C22479" s="2" t="s">
        <v>124</v>
      </c>
      <c r="D22479" s="2" t="s">
        <v>1198</v>
      </c>
      <c r="E22479" s="2" t="str">
        <f>"9781041179382"</f>
        <v>9781041179382</v>
      </c>
      <c r="F22479" s="2" t="str">
        <f>"9781040775431"</f>
        <v>9781040775431</v>
      </c>
    </row>
    <row r="22480" spans="1:6" s="3" customFormat="1" ht="29.1" customHeight="1" x14ac:dyDescent="0.25">
      <c r="A22480" s="2" t="s">
        <v>43937</v>
      </c>
      <c r="B22480" s="2" t="s">
        <v>43938</v>
      </c>
      <c r="C22480" s="2" t="s">
        <v>124</v>
      </c>
      <c r="D22480" s="2" t="s">
        <v>1127</v>
      </c>
      <c r="E22480" s="2" t="str">
        <f>"9781041177029"</f>
        <v>9781041177029</v>
      </c>
      <c r="F22480" s="2" t="str">
        <f>"9781040776551"</f>
        <v>9781040776551</v>
      </c>
    </row>
    <row r="22481" spans="1:6" s="3" customFormat="1" ht="29.1" customHeight="1" x14ac:dyDescent="0.25">
      <c r="A22481" s="2" t="s">
        <v>43939</v>
      </c>
      <c r="B22481" s="2" t="s">
        <v>43940</v>
      </c>
      <c r="C22481" s="2" t="s">
        <v>927</v>
      </c>
      <c r="D22481" s="2" t="s">
        <v>270</v>
      </c>
      <c r="E22481" s="2" t="str">
        <f>"9780472131013"</f>
        <v>9780472131013</v>
      </c>
      <c r="F22481" s="2" t="str">
        <f>"9780472124299"</f>
        <v>9780472124299</v>
      </c>
    </row>
    <row r="22482" spans="1:6" s="3" customFormat="1" ht="29.1" customHeight="1" x14ac:dyDescent="0.25">
      <c r="A22482" s="2" t="s">
        <v>43941</v>
      </c>
      <c r="B22482" s="2" t="s">
        <v>43942</v>
      </c>
      <c r="C22482" s="2" t="s">
        <v>124</v>
      </c>
      <c r="D22482" s="2" t="s">
        <v>69</v>
      </c>
      <c r="E22482" s="2" t="str">
        <f>"9789462981393"</f>
        <v>9789462981393</v>
      </c>
      <c r="F22482" s="2" t="str">
        <f>"9781040777459"</f>
        <v>9781040777459</v>
      </c>
    </row>
    <row r="22483" spans="1:6" s="3" customFormat="1" ht="29.1" customHeight="1" x14ac:dyDescent="0.25">
      <c r="A22483" s="2" t="s">
        <v>43943</v>
      </c>
      <c r="B22483" s="2" t="s">
        <v>43944</v>
      </c>
      <c r="C22483" s="2" t="s">
        <v>124</v>
      </c>
      <c r="D22483" s="2" t="s">
        <v>1198</v>
      </c>
      <c r="E22483" s="2" t="str">
        <f>"9789462983007"</f>
        <v>9789462983007</v>
      </c>
      <c r="F22483" s="2" t="str">
        <f>"9781040788196"</f>
        <v>9781040788196</v>
      </c>
    </row>
    <row r="22484" spans="1:6" s="3" customFormat="1" ht="29.1" customHeight="1" x14ac:dyDescent="0.25">
      <c r="A22484" s="2" t="s">
        <v>43945</v>
      </c>
      <c r="B22484" s="2" t="s">
        <v>43946</v>
      </c>
      <c r="C22484" s="2" t="s">
        <v>8047</v>
      </c>
      <c r="D22484" s="2" t="s">
        <v>14288</v>
      </c>
      <c r="E22484" s="2" t="str">
        <f>"9780271082035"</f>
        <v>9780271082035</v>
      </c>
      <c r="F22484" s="2" t="str">
        <f>"9780271083094"</f>
        <v>9780271083094</v>
      </c>
    </row>
    <row r="22485" spans="1:6" s="3" customFormat="1" ht="29.1" customHeight="1" x14ac:dyDescent="0.25">
      <c r="A22485" s="2" t="s">
        <v>43947</v>
      </c>
      <c r="B22485" s="2" t="s">
        <v>43948</v>
      </c>
      <c r="C22485" s="2" t="s">
        <v>131</v>
      </c>
      <c r="D22485" s="2" t="s">
        <v>459</v>
      </c>
      <c r="E22485" s="2" t="str">
        <f>"9789027201898"</f>
        <v>9789027201898</v>
      </c>
      <c r="F22485" s="2" t="str">
        <f>"9789027263186"</f>
        <v>9789027263186</v>
      </c>
    </row>
    <row r="22486" spans="1:6" s="3" customFormat="1" ht="29.1" customHeight="1" x14ac:dyDescent="0.25">
      <c r="A22486" s="2" t="s">
        <v>43949</v>
      </c>
      <c r="B22486" s="2" t="s">
        <v>43950</v>
      </c>
      <c r="C22486" s="2" t="s">
        <v>7163</v>
      </c>
      <c r="D22486" s="2" t="s">
        <v>162</v>
      </c>
      <c r="E22486" s="2" t="str">
        <f>"9781611179620"</f>
        <v>9781611179620</v>
      </c>
      <c r="F22486" s="2" t="str">
        <f>"9781611179637"</f>
        <v>9781611179637</v>
      </c>
    </row>
    <row r="22487" spans="1:6" s="3" customFormat="1" ht="29.1" customHeight="1" x14ac:dyDescent="0.25">
      <c r="A22487" s="2" t="s">
        <v>43951</v>
      </c>
      <c r="B22487" s="2" t="s">
        <v>43952</v>
      </c>
      <c r="C22487" s="2" t="s">
        <v>124</v>
      </c>
      <c r="D22487" s="2" t="s">
        <v>916</v>
      </c>
      <c r="E22487" s="2" t="str">
        <f>"9789462986602"</f>
        <v>9789462986602</v>
      </c>
      <c r="F22487" s="2" t="str">
        <f>"9781040785874"</f>
        <v>9781040785874</v>
      </c>
    </row>
    <row r="22488" spans="1:6" s="3" customFormat="1" ht="29.1" customHeight="1" x14ac:dyDescent="0.25">
      <c r="A22488" s="2" t="s">
        <v>43953</v>
      </c>
      <c r="B22488" s="2" t="s">
        <v>43954</v>
      </c>
      <c r="C22488" s="2" t="s">
        <v>195</v>
      </c>
      <c r="D22488" s="2" t="s">
        <v>1183</v>
      </c>
      <c r="E22488" s="2" t="str">
        <f>"9783110604238"</f>
        <v>9783110604238</v>
      </c>
      <c r="F22488" s="2" t="str">
        <f>"9783110604863"</f>
        <v>9783110604863</v>
      </c>
    </row>
    <row r="22489" spans="1:6" s="3" customFormat="1" ht="29.1" customHeight="1" x14ac:dyDescent="0.25">
      <c r="A22489" s="2" t="s">
        <v>43955</v>
      </c>
      <c r="B22489" s="2" t="s">
        <v>43956</v>
      </c>
      <c r="C22489" s="2" t="s">
        <v>195</v>
      </c>
      <c r="D22489" s="2" t="s">
        <v>218</v>
      </c>
      <c r="E22489" s="2" t="str">
        <f>"9783110602333"</f>
        <v>9783110602333</v>
      </c>
      <c r="F22489" s="2" t="str">
        <f>"9783110602777"</f>
        <v>9783110602777</v>
      </c>
    </row>
    <row r="22490" spans="1:6" s="3" customFormat="1" ht="29.1" customHeight="1" x14ac:dyDescent="0.25">
      <c r="A22490" s="2" t="s">
        <v>43957</v>
      </c>
      <c r="B22490" s="2" t="s">
        <v>43958</v>
      </c>
      <c r="C22490" s="2" t="s">
        <v>195</v>
      </c>
      <c r="D22490" s="2" t="s">
        <v>1183</v>
      </c>
      <c r="E22490" s="2" t="str">
        <f>"9783110595666"</f>
        <v>9783110595666</v>
      </c>
      <c r="F22490" s="2" t="str">
        <f>"9783110594379"</f>
        <v>9783110594379</v>
      </c>
    </row>
    <row r="22491" spans="1:6" s="3" customFormat="1" ht="29.1" customHeight="1" x14ac:dyDescent="0.25">
      <c r="A22491" s="2" t="s">
        <v>43959</v>
      </c>
      <c r="B22491" s="2" t="s">
        <v>43960</v>
      </c>
      <c r="C22491" s="2" t="s">
        <v>195</v>
      </c>
      <c r="D22491" s="2" t="s">
        <v>1183</v>
      </c>
      <c r="E22491" s="2" t="str">
        <f>"9783110570120"</f>
        <v>9783110570120</v>
      </c>
      <c r="F22491" s="2" t="str">
        <f>"9783110570236"</f>
        <v>9783110570236</v>
      </c>
    </row>
    <row r="22492" spans="1:6" s="3" customFormat="1" ht="29.1" customHeight="1" x14ac:dyDescent="0.25">
      <c r="A22492" s="2" t="s">
        <v>43961</v>
      </c>
      <c r="B22492" s="2" t="s">
        <v>43962</v>
      </c>
      <c r="C22492" s="2" t="s">
        <v>195</v>
      </c>
      <c r="D22492" s="2" t="s">
        <v>1669</v>
      </c>
      <c r="E22492" s="2" t="str">
        <f>"9783110545470"</f>
        <v>9783110545470</v>
      </c>
      <c r="F22492" s="2" t="str">
        <f>"9783110546576"</f>
        <v>9783110546576</v>
      </c>
    </row>
    <row r="22493" spans="1:6" s="3" customFormat="1" ht="29.1" customHeight="1" x14ac:dyDescent="0.25">
      <c r="A22493" s="2" t="s">
        <v>43963</v>
      </c>
      <c r="B22493" s="2" t="s">
        <v>43964</v>
      </c>
      <c r="C22493" s="2" t="s">
        <v>195</v>
      </c>
      <c r="D22493" s="2" t="s">
        <v>1183</v>
      </c>
      <c r="E22493" s="2" t="str">
        <f>"9783110528817"</f>
        <v>9783110528817</v>
      </c>
      <c r="F22493" s="2" t="str">
        <f>"9783110530148"</f>
        <v>9783110530148</v>
      </c>
    </row>
    <row r="22494" spans="1:6" s="3" customFormat="1" ht="29.1" customHeight="1" x14ac:dyDescent="0.25">
      <c r="A22494" s="2" t="s">
        <v>43965</v>
      </c>
      <c r="B22494" s="2" t="s">
        <v>43966</v>
      </c>
      <c r="C22494" s="2" t="s">
        <v>195</v>
      </c>
      <c r="D22494" s="2" t="s">
        <v>3245</v>
      </c>
      <c r="E22494" s="2" t="str">
        <f>"9783110595451"</f>
        <v>9783110595451</v>
      </c>
      <c r="F22494" s="2" t="str">
        <f>"9783110593082"</f>
        <v>9783110593082</v>
      </c>
    </row>
    <row r="22495" spans="1:6" s="3" customFormat="1" ht="29.1" customHeight="1" x14ac:dyDescent="0.25">
      <c r="A22495" s="2" t="s">
        <v>43967</v>
      </c>
      <c r="B22495" s="2" t="s">
        <v>43968</v>
      </c>
      <c r="C22495" s="2" t="s">
        <v>195</v>
      </c>
      <c r="D22495" s="2" t="s">
        <v>210</v>
      </c>
      <c r="E22495" s="2" t="str">
        <f>"9783486718584"</f>
        <v>9783486718584</v>
      </c>
      <c r="F22495" s="2" t="str">
        <f>"9783110446791"</f>
        <v>9783110446791</v>
      </c>
    </row>
    <row r="22496" spans="1:6" s="3" customFormat="1" ht="29.1" customHeight="1" x14ac:dyDescent="0.25">
      <c r="A22496" s="2" t="s">
        <v>43969</v>
      </c>
      <c r="B22496" s="2" t="s">
        <v>43970</v>
      </c>
      <c r="C22496" s="2" t="s">
        <v>124</v>
      </c>
      <c r="D22496" s="2" t="s">
        <v>2593</v>
      </c>
      <c r="E22496" s="2" t="str">
        <f>"9781138493957"</f>
        <v>9781138493957</v>
      </c>
      <c r="F22496" s="2" t="str">
        <f>"9781351026963"</f>
        <v>9781351026963</v>
      </c>
    </row>
    <row r="22497" spans="1:6" s="3" customFormat="1" ht="29.1" customHeight="1" x14ac:dyDescent="0.25">
      <c r="A22497" s="2" t="s">
        <v>43971</v>
      </c>
      <c r="B22497" s="2" t="s">
        <v>43972</v>
      </c>
      <c r="C22497" s="2" t="s">
        <v>124</v>
      </c>
      <c r="D22497" s="2" t="s">
        <v>876</v>
      </c>
      <c r="E22497" s="2" t="str">
        <f>"9780815357407"</f>
        <v>9780815357407</v>
      </c>
      <c r="F22497" s="2" t="str">
        <f>"9781351124461"</f>
        <v>9781351124461</v>
      </c>
    </row>
    <row r="22498" spans="1:6" s="3" customFormat="1" ht="29.1" customHeight="1" x14ac:dyDescent="0.25">
      <c r="A22498" s="2" t="s">
        <v>43973</v>
      </c>
      <c r="B22498" s="2" t="s">
        <v>43974</v>
      </c>
      <c r="C22498" s="2" t="s">
        <v>124</v>
      </c>
      <c r="D22498" s="2" t="s">
        <v>210</v>
      </c>
      <c r="E22498" s="2" t="str">
        <f>"9781138846210"</f>
        <v>9781138846210</v>
      </c>
      <c r="F22498" s="2" t="str">
        <f>"9780429763151"</f>
        <v>9780429763151</v>
      </c>
    </row>
    <row r="22499" spans="1:6" s="3" customFormat="1" ht="29.1" customHeight="1" x14ac:dyDescent="0.25">
      <c r="A22499" s="2" t="s">
        <v>43975</v>
      </c>
      <c r="B22499" s="2" t="s">
        <v>43976</v>
      </c>
      <c r="C22499" s="2" t="s">
        <v>124</v>
      </c>
      <c r="D22499" s="2" t="s">
        <v>15880</v>
      </c>
      <c r="E22499" s="2" t="str">
        <f>"9780367732899"</f>
        <v>9780367732899</v>
      </c>
      <c r="F22499" s="2" t="str">
        <f>"9781315158020"</f>
        <v>9781315158020</v>
      </c>
    </row>
    <row r="22500" spans="1:6" s="3" customFormat="1" ht="29.1" customHeight="1" x14ac:dyDescent="0.25">
      <c r="A22500" s="2" t="s">
        <v>43977</v>
      </c>
      <c r="B22500" s="2" t="s">
        <v>43978</v>
      </c>
      <c r="C22500" s="2" t="s">
        <v>124</v>
      </c>
      <c r="D22500" s="2" t="s">
        <v>297</v>
      </c>
      <c r="E22500" s="2" t="str">
        <f>"9780367556136"</f>
        <v>9780367556136</v>
      </c>
      <c r="F22500" s="2" t="str">
        <f>"9781315226835"</f>
        <v>9781315226835</v>
      </c>
    </row>
    <row r="22501" spans="1:6" s="3" customFormat="1" ht="29.1" customHeight="1" x14ac:dyDescent="0.25">
      <c r="A22501" s="2" t="s">
        <v>43979</v>
      </c>
      <c r="B22501" s="2" t="s">
        <v>43980</v>
      </c>
      <c r="C22501" s="2" t="s">
        <v>124</v>
      </c>
      <c r="D22501" s="2" t="s">
        <v>210</v>
      </c>
      <c r="E22501" s="2" t="str">
        <f>"9781138057975"</f>
        <v>9781138057975</v>
      </c>
      <c r="F22501" s="2" t="str">
        <f>"9781351674478"</f>
        <v>9781351674478</v>
      </c>
    </row>
    <row r="22502" spans="1:6" s="3" customFormat="1" ht="29.1" customHeight="1" x14ac:dyDescent="0.25">
      <c r="A22502" s="2" t="s">
        <v>43981</v>
      </c>
      <c r="B22502" s="2" t="s">
        <v>43982</v>
      </c>
      <c r="C22502" s="2" t="s">
        <v>124</v>
      </c>
      <c r="D22502" s="2" t="s">
        <v>2019</v>
      </c>
      <c r="E22502" s="2" t="str">
        <f>"9781138480032"</f>
        <v>9781138480032</v>
      </c>
      <c r="F22502" s="2" t="str">
        <f>"9781351061520"</f>
        <v>9781351061520</v>
      </c>
    </row>
    <row r="22503" spans="1:6" s="3" customFormat="1" ht="29.1" customHeight="1" x14ac:dyDescent="0.25">
      <c r="A22503" s="2" t="s">
        <v>43983</v>
      </c>
      <c r="B22503" s="2" t="s">
        <v>43984</v>
      </c>
      <c r="C22503" s="2" t="s">
        <v>124</v>
      </c>
      <c r="D22503" s="2" t="s">
        <v>297</v>
      </c>
      <c r="E22503" s="2" t="str">
        <f>"9780367487034"</f>
        <v>9780367487034</v>
      </c>
      <c r="F22503" s="2" t="str">
        <f>"9781351781411"</f>
        <v>9781351781411</v>
      </c>
    </row>
    <row r="22504" spans="1:6" s="3" customFormat="1" ht="29.1" customHeight="1" x14ac:dyDescent="0.25">
      <c r="A22504" s="2" t="s">
        <v>43985</v>
      </c>
      <c r="B22504" s="2" t="s">
        <v>43986</v>
      </c>
      <c r="C22504" s="2" t="s">
        <v>124</v>
      </c>
      <c r="D22504" s="2" t="s">
        <v>868</v>
      </c>
      <c r="E22504" s="2" t="str">
        <f>"9781138386525"</f>
        <v>9781138386525</v>
      </c>
      <c r="F22504" s="2" t="str">
        <f>"9780429761980"</f>
        <v>9780429761980</v>
      </c>
    </row>
    <row r="22505" spans="1:6" s="3" customFormat="1" ht="29.1" customHeight="1" x14ac:dyDescent="0.25">
      <c r="A22505" s="2" t="s">
        <v>43987</v>
      </c>
      <c r="B22505" s="2" t="s">
        <v>43988</v>
      </c>
      <c r="C22505" s="2" t="s">
        <v>2129</v>
      </c>
      <c r="D22505" s="2" t="s">
        <v>1895</v>
      </c>
      <c r="E22505" s="2" t="str">
        <f>"9781438471815"</f>
        <v>9781438471815</v>
      </c>
      <c r="F22505" s="2" t="str">
        <f>"9781438471822"</f>
        <v>9781438471822</v>
      </c>
    </row>
    <row r="22506" spans="1:6" s="3" customFormat="1" ht="29.1" customHeight="1" x14ac:dyDescent="0.25">
      <c r="A22506" s="2" t="s">
        <v>43989</v>
      </c>
      <c r="B22506" s="2" t="s">
        <v>43990</v>
      </c>
      <c r="C22506" s="2" t="s">
        <v>29</v>
      </c>
      <c r="D22506" s="2" t="s">
        <v>192</v>
      </c>
      <c r="E22506" s="2" t="str">
        <f>"9789004342187"</f>
        <v>9789004342187</v>
      </c>
      <c r="F22506" s="2" t="str">
        <f>"9789004342194"</f>
        <v>9789004342194</v>
      </c>
    </row>
    <row r="22507" spans="1:6" s="3" customFormat="1" ht="29.1" customHeight="1" x14ac:dyDescent="0.25">
      <c r="A22507" s="2" t="s">
        <v>29638</v>
      </c>
      <c r="B22507" s="2" t="s">
        <v>43991</v>
      </c>
      <c r="C22507" s="2" t="s">
        <v>29</v>
      </c>
      <c r="D22507" s="2" t="s">
        <v>606</v>
      </c>
      <c r="E22507" s="2" t="str">
        <f>"9789004386495"</f>
        <v>9789004386495</v>
      </c>
      <c r="F22507" s="2" t="str">
        <f>"9789004386501"</f>
        <v>9789004386501</v>
      </c>
    </row>
    <row r="22508" spans="1:6" s="3" customFormat="1" ht="29.1" customHeight="1" x14ac:dyDescent="0.25">
      <c r="A22508" s="2" t="s">
        <v>43992</v>
      </c>
      <c r="B22508" s="2" t="s">
        <v>43993</v>
      </c>
      <c r="C22508" s="2" t="s">
        <v>29</v>
      </c>
      <c r="D22508" s="2" t="s">
        <v>18866</v>
      </c>
      <c r="E22508" s="2" t="str">
        <f>"9789004377721"</f>
        <v>9789004377721</v>
      </c>
      <c r="F22508" s="2" t="str">
        <f>"9789004377844"</f>
        <v>9789004377844</v>
      </c>
    </row>
    <row r="22509" spans="1:6" s="3" customFormat="1" ht="29.1" customHeight="1" x14ac:dyDescent="0.25">
      <c r="A22509" s="2" t="s">
        <v>43994</v>
      </c>
      <c r="B22509" s="2" t="s">
        <v>43995</v>
      </c>
      <c r="C22509" s="2" t="s">
        <v>4788</v>
      </c>
      <c r="D22509" s="2" t="s">
        <v>202</v>
      </c>
      <c r="E22509" s="2" t="str">
        <f>"9781474425261"</f>
        <v>9781474425261</v>
      </c>
      <c r="F22509" s="2" t="str">
        <f>"9781474425278"</f>
        <v>9781474425278</v>
      </c>
    </row>
    <row r="22510" spans="1:6" s="3" customFormat="1" ht="29.1" customHeight="1" x14ac:dyDescent="0.25">
      <c r="A22510" s="2" t="s">
        <v>43996</v>
      </c>
      <c r="B22510" s="2" t="s">
        <v>43997</v>
      </c>
      <c r="C22510" s="2" t="s">
        <v>4788</v>
      </c>
      <c r="D22510" s="2" t="s">
        <v>33</v>
      </c>
      <c r="E22510" s="2" t="str">
        <f>"9781474423939"</f>
        <v>9781474423939</v>
      </c>
      <c r="F22510" s="2" t="str">
        <f>"9781474423946"</f>
        <v>9781474423946</v>
      </c>
    </row>
    <row r="22511" spans="1:6" s="3" customFormat="1" ht="29.1" customHeight="1" x14ac:dyDescent="0.25">
      <c r="A22511" s="2" t="s">
        <v>43998</v>
      </c>
      <c r="B22511" s="2" t="s">
        <v>43999</v>
      </c>
      <c r="C22511" s="2" t="s">
        <v>4788</v>
      </c>
      <c r="D22511" s="2" t="s">
        <v>10410</v>
      </c>
      <c r="E22511" s="2" t="str">
        <f>"9780748697656"</f>
        <v>9780748697656</v>
      </c>
      <c r="F22511" s="2" t="str">
        <f>"9780748697663"</f>
        <v>9780748697663</v>
      </c>
    </row>
    <row r="22512" spans="1:6" s="3" customFormat="1" ht="29.1" customHeight="1" x14ac:dyDescent="0.25">
      <c r="A22512" s="2" t="s">
        <v>44000</v>
      </c>
      <c r="B22512" s="2" t="s">
        <v>44001</v>
      </c>
      <c r="C22512" s="2" t="s">
        <v>4788</v>
      </c>
      <c r="D22512" s="2" t="s">
        <v>5104</v>
      </c>
      <c r="E22512" s="2" t="str">
        <f>"9781474425223"</f>
        <v>9781474425223</v>
      </c>
      <c r="F22512" s="2" t="str">
        <f>"9781474425247"</f>
        <v>9781474425247</v>
      </c>
    </row>
    <row r="22513" spans="1:6" s="3" customFormat="1" ht="29.1" customHeight="1" x14ac:dyDescent="0.25">
      <c r="A22513" s="2" t="s">
        <v>44002</v>
      </c>
      <c r="B22513" s="2" t="s">
        <v>44003</v>
      </c>
      <c r="C22513" s="2" t="s">
        <v>4788</v>
      </c>
      <c r="D22513" s="2" t="s">
        <v>7132</v>
      </c>
      <c r="E22513" s="2" t="str">
        <f>"9781474410458"</f>
        <v>9781474410458</v>
      </c>
      <c r="F22513" s="2" t="str">
        <f>"9781474410465"</f>
        <v>9781474410465</v>
      </c>
    </row>
    <row r="22514" spans="1:6" s="3" customFormat="1" ht="29.1" customHeight="1" x14ac:dyDescent="0.25">
      <c r="A22514" s="2" t="s">
        <v>44004</v>
      </c>
      <c r="B22514" s="2" t="s">
        <v>44005</v>
      </c>
      <c r="C22514" s="2" t="s">
        <v>248</v>
      </c>
      <c r="D22514" s="2" t="s">
        <v>21</v>
      </c>
      <c r="E22514" s="2" t="str">
        <f>"9783863887650"</f>
        <v>9783863887650</v>
      </c>
      <c r="F22514" s="2" t="str">
        <f>"9783863883478"</f>
        <v>9783863883478</v>
      </c>
    </row>
    <row r="22515" spans="1:6" s="3" customFormat="1" ht="29.1" customHeight="1" x14ac:dyDescent="0.25">
      <c r="A22515" s="2" t="s">
        <v>44006</v>
      </c>
      <c r="B22515" s="2" t="s">
        <v>44007</v>
      </c>
      <c r="C22515" s="2" t="s">
        <v>248</v>
      </c>
      <c r="D22515" s="2" t="s">
        <v>490</v>
      </c>
      <c r="E22515" s="2" t="str">
        <f>"9783847422259"</f>
        <v>9783847422259</v>
      </c>
      <c r="F22515" s="2" t="str">
        <f>"9783847412526"</f>
        <v>9783847412526</v>
      </c>
    </row>
    <row r="22516" spans="1:6" s="3" customFormat="1" ht="29.1" customHeight="1" x14ac:dyDescent="0.25">
      <c r="A22516" s="2" t="s">
        <v>44008</v>
      </c>
      <c r="B22516" s="2" t="s">
        <v>44009</v>
      </c>
      <c r="C22516" s="2" t="s">
        <v>248</v>
      </c>
      <c r="D22516" s="2" t="s">
        <v>4172</v>
      </c>
      <c r="E22516" s="2" t="str">
        <f>"9783847407294"</f>
        <v>9783847407294</v>
      </c>
      <c r="F22516" s="2" t="str">
        <f>"9783847408741"</f>
        <v>9783847408741</v>
      </c>
    </row>
    <row r="22517" spans="1:6" s="3" customFormat="1" ht="29.1" customHeight="1" x14ac:dyDescent="0.25">
      <c r="A22517" s="2" t="s">
        <v>44010</v>
      </c>
      <c r="B22517" s="2" t="s">
        <v>44011</v>
      </c>
      <c r="C22517" s="2" t="s">
        <v>248</v>
      </c>
      <c r="D22517" s="2" t="s">
        <v>75</v>
      </c>
      <c r="E22517" s="2" t="str">
        <f>"9783847421832"</f>
        <v>9783847421832</v>
      </c>
      <c r="F22517" s="2" t="str">
        <f>"9783847412113"</f>
        <v>9783847412113</v>
      </c>
    </row>
    <row r="22518" spans="1:6" s="3" customFormat="1" ht="29.1" customHeight="1" x14ac:dyDescent="0.25">
      <c r="A22518" s="2" t="s">
        <v>44012</v>
      </c>
      <c r="B22518" s="2" t="s">
        <v>44013</v>
      </c>
      <c r="C22518" s="2" t="s">
        <v>248</v>
      </c>
      <c r="D22518" s="2" t="s">
        <v>2752</v>
      </c>
      <c r="E22518" s="2" t="str">
        <f>"9783847422310"</f>
        <v>9783847422310</v>
      </c>
      <c r="F22518" s="2" t="str">
        <f>"9783847412595"</f>
        <v>9783847412595</v>
      </c>
    </row>
    <row r="22519" spans="1:6" s="3" customFormat="1" ht="29.1" customHeight="1" x14ac:dyDescent="0.25">
      <c r="A22519" s="2" t="s">
        <v>44014</v>
      </c>
      <c r="B22519" s="2" t="s">
        <v>44015</v>
      </c>
      <c r="C22519" s="2" t="s">
        <v>124</v>
      </c>
      <c r="D22519" s="2" t="s">
        <v>210</v>
      </c>
      <c r="E22519" s="2" t="str">
        <f>"9781138345355"</f>
        <v>9781138345355</v>
      </c>
      <c r="F22519" s="2" t="str">
        <f>"9780429795527"</f>
        <v>9780429795527</v>
      </c>
    </row>
    <row r="22520" spans="1:6" s="3" customFormat="1" ht="29.1" customHeight="1" x14ac:dyDescent="0.25">
      <c r="A22520" s="2" t="s">
        <v>44016</v>
      </c>
      <c r="B22520" s="2" t="s">
        <v>44017</v>
      </c>
      <c r="C22520" s="2" t="s">
        <v>124</v>
      </c>
      <c r="D22520" s="2" t="s">
        <v>98</v>
      </c>
      <c r="E22520" s="2" t="str">
        <f>"9780367026073"</f>
        <v>9780367026073</v>
      </c>
      <c r="F22520" s="2" t="str">
        <f>"9780429398759"</f>
        <v>9780429398759</v>
      </c>
    </row>
    <row r="22521" spans="1:6" s="3" customFormat="1" ht="29.1" customHeight="1" x14ac:dyDescent="0.25">
      <c r="A22521" s="2" t="s">
        <v>44018</v>
      </c>
      <c r="B22521" s="2" t="s">
        <v>44019</v>
      </c>
      <c r="C22521" s="2" t="s">
        <v>124</v>
      </c>
      <c r="D22521" s="2" t="s">
        <v>186</v>
      </c>
      <c r="E22521" s="2" t="str">
        <f>"9781138203334"</f>
        <v>9781138203334</v>
      </c>
      <c r="F22521" s="2" t="str">
        <f>"9781315471914"</f>
        <v>9781315471914</v>
      </c>
    </row>
    <row r="22522" spans="1:6" s="3" customFormat="1" ht="29.1" customHeight="1" x14ac:dyDescent="0.25">
      <c r="A22522" s="2" t="s">
        <v>44020</v>
      </c>
      <c r="B22522" s="2" t="s">
        <v>44021</v>
      </c>
      <c r="C22522" s="2" t="s">
        <v>124</v>
      </c>
      <c r="D22522" s="2" t="s">
        <v>1256</v>
      </c>
      <c r="E22522" s="2" t="str">
        <f>"9781138304055"</f>
        <v>9781138304055</v>
      </c>
      <c r="F22522" s="2" t="str">
        <f>"9781351395458"</f>
        <v>9781351395458</v>
      </c>
    </row>
    <row r="22523" spans="1:6" s="3" customFormat="1" ht="29.1" customHeight="1" x14ac:dyDescent="0.25">
      <c r="A22523" s="2" t="s">
        <v>44022</v>
      </c>
      <c r="B22523" s="2"/>
      <c r="C22523" s="2" t="s">
        <v>59</v>
      </c>
      <c r="D22523" s="2" t="s">
        <v>1806</v>
      </c>
      <c r="E22523" s="2" t="str">
        <f>"9782759228799"</f>
        <v>9782759228799</v>
      </c>
      <c r="F22523" s="2" t="str">
        <f>"9782759228805"</f>
        <v>9782759228805</v>
      </c>
    </row>
    <row r="22524" spans="1:6" s="3" customFormat="1" ht="29.1" customHeight="1" x14ac:dyDescent="0.25">
      <c r="A22524" s="2" t="s">
        <v>44023</v>
      </c>
      <c r="B22524" s="2"/>
      <c r="C22524" s="2" t="s">
        <v>59</v>
      </c>
      <c r="D22524" s="2" t="s">
        <v>454</v>
      </c>
      <c r="E22524" s="2" t="str">
        <f>"9782759228706"</f>
        <v>9782759228706</v>
      </c>
      <c r="F22524" s="2" t="str">
        <f>"9782759228713"</f>
        <v>9782759228713</v>
      </c>
    </row>
    <row r="22525" spans="1:6" s="3" customFormat="1" ht="29.1" customHeight="1" x14ac:dyDescent="0.25">
      <c r="A22525" s="2" t="s">
        <v>44024</v>
      </c>
      <c r="B22525" s="2" t="s">
        <v>44025</v>
      </c>
      <c r="C22525" s="2" t="s">
        <v>4104</v>
      </c>
      <c r="D22525" s="2" t="s">
        <v>4789</v>
      </c>
      <c r="E22525" s="2" t="str">
        <f>"9781786941329"</f>
        <v>9781786941329</v>
      </c>
      <c r="F22525" s="2" t="str">
        <f>"9781786949356"</f>
        <v>9781786949356</v>
      </c>
    </row>
    <row r="22526" spans="1:6" s="3" customFormat="1" ht="29.1" customHeight="1" x14ac:dyDescent="0.25">
      <c r="A22526" s="2" t="s">
        <v>44026</v>
      </c>
      <c r="B22526" s="2" t="s">
        <v>30006</v>
      </c>
      <c r="C22526" s="2" t="s">
        <v>4104</v>
      </c>
      <c r="D22526" s="2" t="s">
        <v>1049</v>
      </c>
      <c r="E22526" s="2" t="str">
        <f>"9781786941008"</f>
        <v>9781786941008</v>
      </c>
      <c r="F22526" s="2" t="str">
        <f>"9781786949370"</f>
        <v>9781786949370</v>
      </c>
    </row>
    <row r="22527" spans="1:6" s="3" customFormat="1" ht="29.1" customHeight="1" x14ac:dyDescent="0.25">
      <c r="A22527" s="2" t="s">
        <v>44027</v>
      </c>
      <c r="B22527" s="2" t="s">
        <v>44028</v>
      </c>
      <c r="C22527" s="2" t="s">
        <v>264</v>
      </c>
      <c r="D22527" s="2" t="s">
        <v>12465</v>
      </c>
      <c r="E22527" s="2" t="str">
        <f>"9788793609662"</f>
        <v>9788793609662</v>
      </c>
      <c r="F22527" s="2" t="str">
        <f>"9788793609655"</f>
        <v>9788793609655</v>
      </c>
    </row>
    <row r="22528" spans="1:6" s="3" customFormat="1" ht="29.1" customHeight="1" x14ac:dyDescent="0.25">
      <c r="A22528" s="2" t="s">
        <v>44029</v>
      </c>
      <c r="B22528" s="2" t="s">
        <v>44030</v>
      </c>
      <c r="C22528" s="2" t="s">
        <v>124</v>
      </c>
      <c r="D22528" s="2" t="s">
        <v>818</v>
      </c>
      <c r="E22528" s="2" t="str">
        <f>"9781138598379"</f>
        <v>9781138598379</v>
      </c>
      <c r="F22528" s="2" t="str">
        <f>"9780429942860"</f>
        <v>9780429942860</v>
      </c>
    </row>
    <row r="22529" spans="1:6" s="3" customFormat="1" ht="29.1" customHeight="1" x14ac:dyDescent="0.25">
      <c r="A22529" s="2" t="s">
        <v>44031</v>
      </c>
      <c r="B22529" s="2" t="s">
        <v>44032</v>
      </c>
      <c r="C22529" s="2" t="s">
        <v>36</v>
      </c>
      <c r="D22529" s="2" t="s">
        <v>6113</v>
      </c>
      <c r="E22529" s="2" t="str">
        <f>"9781447347132"</f>
        <v>9781447347132</v>
      </c>
      <c r="F22529" s="2" t="str">
        <f>"9781447347163"</f>
        <v>9781447347163</v>
      </c>
    </row>
    <row r="22530" spans="1:6" s="3" customFormat="1" ht="29.1" customHeight="1" x14ac:dyDescent="0.25">
      <c r="A22530" s="2" t="s">
        <v>44033</v>
      </c>
      <c r="B22530" s="2" t="s">
        <v>44034</v>
      </c>
      <c r="C22530" s="2" t="s">
        <v>29</v>
      </c>
      <c r="D22530" s="2" t="s">
        <v>14843</v>
      </c>
      <c r="E22530" s="2" t="str">
        <f>"9789004355354"</f>
        <v>9789004355354</v>
      </c>
      <c r="F22530" s="2" t="str">
        <f>"9789004358980"</f>
        <v>9789004358980</v>
      </c>
    </row>
    <row r="22531" spans="1:6" s="3" customFormat="1" ht="29.1" customHeight="1" x14ac:dyDescent="0.25">
      <c r="A22531" s="2" t="s">
        <v>44035</v>
      </c>
      <c r="B22531" s="2" t="s">
        <v>44036</v>
      </c>
      <c r="C22531" s="2" t="s">
        <v>7395</v>
      </c>
      <c r="D22531" s="2" t="s">
        <v>1043</v>
      </c>
      <c r="E22531" s="2" t="str">
        <f>"9780295744094"</f>
        <v>9780295744094</v>
      </c>
      <c r="F22531" s="2" t="str">
        <f>"9780295744117"</f>
        <v>9780295744117</v>
      </c>
    </row>
    <row r="22532" spans="1:6" s="3" customFormat="1" ht="29.1" customHeight="1" x14ac:dyDescent="0.25">
      <c r="A22532" s="2" t="s">
        <v>44037</v>
      </c>
      <c r="B22532" s="2" t="s">
        <v>44038</v>
      </c>
      <c r="C22532" s="2" t="s">
        <v>7395</v>
      </c>
      <c r="D22532" s="2" t="s">
        <v>16588</v>
      </c>
      <c r="E22532" s="2" t="str">
        <f>"9780295743868"</f>
        <v>9780295743868</v>
      </c>
      <c r="F22532" s="2" t="str">
        <f>"9780295743875"</f>
        <v>9780295743875</v>
      </c>
    </row>
    <row r="22533" spans="1:6" s="3" customFormat="1" ht="29.1" customHeight="1" x14ac:dyDescent="0.25">
      <c r="A22533" s="2" t="s">
        <v>44039</v>
      </c>
      <c r="B22533" s="2" t="s">
        <v>44041</v>
      </c>
      <c r="C22533" s="2" t="s">
        <v>29</v>
      </c>
      <c r="D22533" s="2" t="s">
        <v>44040</v>
      </c>
      <c r="E22533" s="2" t="str">
        <f>"9789004363977"</f>
        <v>9789004363977</v>
      </c>
      <c r="F22533" s="2" t="str">
        <f>"9789004380271"</f>
        <v>9789004380271</v>
      </c>
    </row>
    <row r="22534" spans="1:6" s="3" customFormat="1" ht="29.1" customHeight="1" x14ac:dyDescent="0.25">
      <c r="A22534" s="2" t="s">
        <v>44042</v>
      </c>
      <c r="B22534" s="2" t="s">
        <v>44043</v>
      </c>
      <c r="C22534" s="2" t="s">
        <v>29</v>
      </c>
      <c r="D22534" s="2" t="s">
        <v>509</v>
      </c>
      <c r="E22534" s="2" t="str">
        <f>"9789004367654"</f>
        <v>9789004367654</v>
      </c>
      <c r="F22534" s="2" t="str">
        <f>"9789004371309"</f>
        <v>9789004371309</v>
      </c>
    </row>
    <row r="22535" spans="1:6" s="3" customFormat="1" ht="29.1" customHeight="1" x14ac:dyDescent="0.25">
      <c r="A22535" s="2" t="s">
        <v>44044</v>
      </c>
      <c r="B22535" s="2" t="s">
        <v>44045</v>
      </c>
      <c r="C22535" s="2" t="s">
        <v>29</v>
      </c>
      <c r="D22535" s="2" t="s">
        <v>402</v>
      </c>
      <c r="E22535" s="2" t="str">
        <f>"9789004358850"</f>
        <v>9789004358850</v>
      </c>
      <c r="F22535" s="2" t="str">
        <f>"9789004369900"</f>
        <v>9789004369900</v>
      </c>
    </row>
    <row r="22536" spans="1:6" s="3" customFormat="1" ht="29.1" customHeight="1" x14ac:dyDescent="0.25">
      <c r="A22536" s="2" t="s">
        <v>44046</v>
      </c>
      <c r="B22536" s="2" t="s">
        <v>44047</v>
      </c>
      <c r="C22536" s="2" t="s">
        <v>195</v>
      </c>
      <c r="D22536" s="2" t="s">
        <v>33</v>
      </c>
      <c r="E22536" s="2" t="str">
        <f>"9783110582635"</f>
        <v>9783110582635</v>
      </c>
      <c r="F22536" s="2" t="str">
        <f>"9783110584110"</f>
        <v>9783110584110</v>
      </c>
    </row>
    <row r="22537" spans="1:6" s="3" customFormat="1" ht="29.1" customHeight="1" x14ac:dyDescent="0.25">
      <c r="A22537" s="2" t="s">
        <v>44048</v>
      </c>
      <c r="B22537" s="2" t="s">
        <v>44050</v>
      </c>
      <c r="C22537" s="2" t="s">
        <v>44049</v>
      </c>
      <c r="D22537" s="2" t="s">
        <v>20797</v>
      </c>
      <c r="E22537" s="2" t="str">
        <f>"9780823228423"</f>
        <v>9780823228423</v>
      </c>
      <c r="F22537" s="2" t="str">
        <f>"9780823283071"</f>
        <v>9780823283071</v>
      </c>
    </row>
    <row r="22538" spans="1:6" s="3" customFormat="1" ht="29.1" customHeight="1" x14ac:dyDescent="0.25">
      <c r="A22538" s="2" t="s">
        <v>44051</v>
      </c>
      <c r="B22538" s="2" t="s">
        <v>41376</v>
      </c>
      <c r="C22538" s="2" t="s">
        <v>5050</v>
      </c>
      <c r="D22538" s="2" t="s">
        <v>1259</v>
      </c>
      <c r="E22538" s="2" t="str">
        <f>"9780824876609"</f>
        <v>9780824876609</v>
      </c>
      <c r="F22538" s="2" t="str">
        <f>"9780824878504"</f>
        <v>9780824878504</v>
      </c>
    </row>
    <row r="22539" spans="1:6" s="3" customFormat="1" ht="29.1" customHeight="1" x14ac:dyDescent="0.25">
      <c r="A22539" s="2" t="s">
        <v>44052</v>
      </c>
      <c r="B22539" s="2" t="s">
        <v>44054</v>
      </c>
      <c r="C22539" s="2" t="s">
        <v>11220</v>
      </c>
      <c r="D22539" s="2" t="s">
        <v>44053</v>
      </c>
      <c r="E22539" s="2" t="str">
        <f>"9781479830435"</f>
        <v>9781479830435</v>
      </c>
      <c r="F22539" s="2" t="str">
        <f>"9781479821273"</f>
        <v>9781479821273</v>
      </c>
    </row>
    <row r="22540" spans="1:6" s="3" customFormat="1" ht="29.1" customHeight="1" x14ac:dyDescent="0.25">
      <c r="A22540" s="2" t="s">
        <v>16581</v>
      </c>
      <c r="B22540" s="2" t="s">
        <v>16582</v>
      </c>
      <c r="C22540" s="2" t="s">
        <v>11220</v>
      </c>
      <c r="D22540" s="2" t="s">
        <v>81</v>
      </c>
      <c r="E22540" s="2" t="str">
        <f>"9781479895274"</f>
        <v>9781479895274</v>
      </c>
      <c r="F22540" s="2" t="str">
        <f>"9781479832637"</f>
        <v>9781479832637</v>
      </c>
    </row>
    <row r="22541" spans="1:6" s="3" customFormat="1" ht="29.1" customHeight="1" x14ac:dyDescent="0.25">
      <c r="A22541" s="2" t="s">
        <v>44055</v>
      </c>
      <c r="B22541" s="2" t="s">
        <v>44056</v>
      </c>
      <c r="C22541" s="2" t="s">
        <v>5</v>
      </c>
      <c r="D22541" s="2" t="s">
        <v>2749</v>
      </c>
      <c r="E22541" s="2" t="str">
        <f>"9783319975436"</f>
        <v>9783319975436</v>
      </c>
      <c r="F22541" s="2" t="str">
        <f>"9783319975443"</f>
        <v>9783319975443</v>
      </c>
    </row>
    <row r="22542" spans="1:6" s="3" customFormat="1" ht="29.1" customHeight="1" x14ac:dyDescent="0.25">
      <c r="A22542" s="2" t="s">
        <v>44057</v>
      </c>
      <c r="B22542" s="2" t="s">
        <v>44058</v>
      </c>
      <c r="C22542" s="2" t="s">
        <v>556</v>
      </c>
      <c r="D22542" s="2" t="s">
        <v>11897</v>
      </c>
      <c r="E22542" s="2" t="str">
        <f>"9783837645439"</f>
        <v>9783837645439</v>
      </c>
      <c r="F22542" s="2" t="str">
        <f>"9783839445433"</f>
        <v>9783839445433</v>
      </c>
    </row>
    <row r="22543" spans="1:6" s="3" customFormat="1" ht="29.1" customHeight="1" x14ac:dyDescent="0.25">
      <c r="A22543" s="2" t="s">
        <v>44059</v>
      </c>
      <c r="B22543" s="2" t="s">
        <v>44060</v>
      </c>
      <c r="C22543" s="2" t="s">
        <v>556</v>
      </c>
      <c r="D22543" s="2" t="s">
        <v>636</v>
      </c>
      <c r="E22543" s="2" t="str">
        <f>"9783837644265"</f>
        <v>9783837644265</v>
      </c>
      <c r="F22543" s="2" t="str">
        <f>"9783839444269"</f>
        <v>9783839444269</v>
      </c>
    </row>
    <row r="22544" spans="1:6" s="3" customFormat="1" ht="29.1" customHeight="1" x14ac:dyDescent="0.25">
      <c r="A22544" s="2" t="s">
        <v>44061</v>
      </c>
      <c r="B22544" s="2" t="s">
        <v>44062</v>
      </c>
      <c r="C22544" s="2" t="s">
        <v>556</v>
      </c>
      <c r="D22544" s="2" t="s">
        <v>1262</v>
      </c>
      <c r="E22544" s="2" t="str">
        <f>"9783837643404"</f>
        <v>9783837643404</v>
      </c>
      <c r="F22544" s="2" t="str">
        <f>"9783839443408"</f>
        <v>9783839443408</v>
      </c>
    </row>
    <row r="22545" spans="1:6" s="3" customFormat="1" ht="29.1" customHeight="1" x14ac:dyDescent="0.25">
      <c r="A22545" s="2" t="s">
        <v>44063</v>
      </c>
      <c r="B22545" s="2" t="s">
        <v>44064</v>
      </c>
      <c r="C22545" s="2" t="s">
        <v>124</v>
      </c>
      <c r="D22545" s="2" t="s">
        <v>56</v>
      </c>
      <c r="E22545" s="2" t="str">
        <f>"9781138543430"</f>
        <v>9781138543430</v>
      </c>
      <c r="F22545" s="2" t="str">
        <f>"9781351006804"</f>
        <v>9781351006804</v>
      </c>
    </row>
    <row r="22546" spans="1:6" s="3" customFormat="1" ht="29.1" customHeight="1" x14ac:dyDescent="0.25">
      <c r="A22546" s="2" t="s">
        <v>44065</v>
      </c>
      <c r="B22546" s="2" t="s">
        <v>44066</v>
      </c>
      <c r="C22546" s="2" t="s">
        <v>195</v>
      </c>
      <c r="D22546" s="2" t="s">
        <v>1466</v>
      </c>
      <c r="E22546" s="2" t="str">
        <f>"9783110559804"</f>
        <v>9783110559804</v>
      </c>
      <c r="F22546" s="2" t="str">
        <f>"9783110560138"</f>
        <v>9783110560138</v>
      </c>
    </row>
    <row r="22547" spans="1:6" s="3" customFormat="1" ht="29.1" customHeight="1" x14ac:dyDescent="0.25">
      <c r="A22547" s="2" t="s">
        <v>44067</v>
      </c>
      <c r="B22547" s="2" t="s">
        <v>44068</v>
      </c>
      <c r="C22547" s="2" t="s">
        <v>5050</v>
      </c>
      <c r="D22547" s="2" t="s">
        <v>636</v>
      </c>
      <c r="E22547" s="2" t="str">
        <f>"9780824875268"</f>
        <v>9780824875268</v>
      </c>
      <c r="F22547" s="2" t="str">
        <f>"9780824877545"</f>
        <v>9780824877545</v>
      </c>
    </row>
    <row r="22548" spans="1:6" s="3" customFormat="1" ht="29.1" customHeight="1" x14ac:dyDescent="0.25">
      <c r="A22548" s="2" t="s">
        <v>44069</v>
      </c>
      <c r="B22548" s="2" t="s">
        <v>44070</v>
      </c>
      <c r="C22548" s="2" t="s">
        <v>5050</v>
      </c>
      <c r="D22548" s="2" t="s">
        <v>636</v>
      </c>
      <c r="E22548" s="2" t="str">
        <f>"9780824878030"</f>
        <v>9780824878030</v>
      </c>
      <c r="F22548" s="2" t="str">
        <f>"9780824893033"</f>
        <v>9780824893033</v>
      </c>
    </row>
    <row r="22549" spans="1:6" s="3" customFormat="1" ht="29.1" customHeight="1" x14ac:dyDescent="0.25">
      <c r="A22549" s="2" t="s">
        <v>44071</v>
      </c>
      <c r="B22549" s="2" t="s">
        <v>44072</v>
      </c>
      <c r="C22549" s="2" t="s">
        <v>5050</v>
      </c>
      <c r="D22549" s="2" t="s">
        <v>49</v>
      </c>
      <c r="E22549" s="2" t="str">
        <f>"9780824875251"</f>
        <v>9780824875251</v>
      </c>
      <c r="F22549" s="2" t="str">
        <f>"9780824893019"</f>
        <v>9780824893019</v>
      </c>
    </row>
    <row r="22550" spans="1:6" s="3" customFormat="1" ht="29.1" customHeight="1" x14ac:dyDescent="0.25">
      <c r="A22550" s="2" t="s">
        <v>44073</v>
      </c>
      <c r="B22550" s="2" t="s">
        <v>44074</v>
      </c>
      <c r="C22550" s="2" t="s">
        <v>124</v>
      </c>
      <c r="D22550" s="2" t="s">
        <v>297</v>
      </c>
      <c r="E22550" s="2" t="str">
        <f>"9781138048720"</f>
        <v>9781138048720</v>
      </c>
      <c r="F22550" s="2" t="str">
        <f>"9781351690607"</f>
        <v>9781351690607</v>
      </c>
    </row>
    <row r="22551" spans="1:6" s="3" customFormat="1" ht="29.1" customHeight="1" x14ac:dyDescent="0.25">
      <c r="A22551" s="2" t="s">
        <v>44075</v>
      </c>
      <c r="B22551" s="2" t="s">
        <v>44076</v>
      </c>
      <c r="C22551" s="2" t="s">
        <v>2129</v>
      </c>
      <c r="D22551" s="2" t="s">
        <v>1177</v>
      </c>
      <c r="E22551" s="2" t="str">
        <f>"9781438471310"</f>
        <v>9781438471310</v>
      </c>
      <c r="F22551" s="2" t="str">
        <f>"9781438471327"</f>
        <v>9781438471327</v>
      </c>
    </row>
    <row r="22552" spans="1:6" s="3" customFormat="1" ht="29.1" customHeight="1" x14ac:dyDescent="0.25">
      <c r="A22552" s="2" t="s">
        <v>44077</v>
      </c>
      <c r="B22552" s="2" t="s">
        <v>44078</v>
      </c>
      <c r="C22552" s="2" t="s">
        <v>4788</v>
      </c>
      <c r="D22552" s="2" t="s">
        <v>4160</v>
      </c>
      <c r="E22552" s="2" t="str">
        <f>"9781474437073"</f>
        <v>9781474437073</v>
      </c>
      <c r="F22552" s="2" t="str">
        <f>"9781474437097"</f>
        <v>9781474437097</v>
      </c>
    </row>
    <row r="22553" spans="1:6" s="3" customFormat="1" ht="29.1" customHeight="1" x14ac:dyDescent="0.25">
      <c r="A22553" s="2" t="s">
        <v>44079</v>
      </c>
      <c r="B22553" s="2" t="s">
        <v>44080</v>
      </c>
      <c r="C22553" s="2" t="s">
        <v>327</v>
      </c>
      <c r="D22553" s="2" t="s">
        <v>4582</v>
      </c>
      <c r="E22553" s="2" t="str">
        <f>"9788380889460"</f>
        <v>9788380889460</v>
      </c>
      <c r="F22553" s="2" t="str">
        <f>"9788380889477"</f>
        <v>9788380889477</v>
      </c>
    </row>
    <row r="22554" spans="1:6" s="3" customFormat="1" ht="29.1" customHeight="1" x14ac:dyDescent="0.25">
      <c r="A22554" s="2" t="s">
        <v>44081</v>
      </c>
      <c r="B22554" s="2" t="s">
        <v>44082</v>
      </c>
      <c r="C22554" s="2" t="s">
        <v>327</v>
      </c>
      <c r="D22554" s="2" t="s">
        <v>3523</v>
      </c>
      <c r="E22554" s="2"/>
      <c r="F22554" s="2" t="str">
        <f>"9788380888364"</f>
        <v>9788380888364</v>
      </c>
    </row>
    <row r="22555" spans="1:6" s="3" customFormat="1" ht="29.1" customHeight="1" x14ac:dyDescent="0.25">
      <c r="A22555" s="2" t="s">
        <v>44083</v>
      </c>
      <c r="B22555" s="2" t="s">
        <v>44084</v>
      </c>
      <c r="C22555" s="2" t="s">
        <v>327</v>
      </c>
      <c r="D22555" s="2" t="s">
        <v>86</v>
      </c>
      <c r="E22555" s="2" t="str">
        <f>"9788380888395"</f>
        <v>9788380888395</v>
      </c>
      <c r="F22555" s="2" t="str">
        <f>"9788380888401"</f>
        <v>9788380888401</v>
      </c>
    </row>
    <row r="22556" spans="1:6" s="3" customFormat="1" ht="29.1" customHeight="1" x14ac:dyDescent="0.25">
      <c r="A22556" s="2" t="s">
        <v>44085</v>
      </c>
      <c r="B22556" s="2" t="s">
        <v>44086</v>
      </c>
      <c r="C22556" s="2" t="s">
        <v>4788</v>
      </c>
      <c r="D22556" s="2" t="s">
        <v>1162</v>
      </c>
      <c r="E22556" s="2" t="str">
        <f>"9781474437950"</f>
        <v>9781474437950</v>
      </c>
      <c r="F22556" s="2" t="str">
        <f>"9781474437974"</f>
        <v>9781474437974</v>
      </c>
    </row>
    <row r="22557" spans="1:6" s="3" customFormat="1" ht="29.1" customHeight="1" x14ac:dyDescent="0.25">
      <c r="A22557" s="2" t="s">
        <v>44087</v>
      </c>
      <c r="B22557" s="2" t="s">
        <v>44088</v>
      </c>
      <c r="C22557" s="2" t="s">
        <v>4788</v>
      </c>
      <c r="D22557" s="2" t="s">
        <v>12120</v>
      </c>
      <c r="E22557" s="2" t="str">
        <f>"9781474427456"</f>
        <v>9781474427456</v>
      </c>
      <c r="F22557" s="2" t="str">
        <f>"9781474427470"</f>
        <v>9781474427470</v>
      </c>
    </row>
    <row r="22558" spans="1:6" s="3" customFormat="1" ht="29.1" customHeight="1" x14ac:dyDescent="0.25">
      <c r="A22558" s="2" t="s">
        <v>44089</v>
      </c>
      <c r="B22558" s="2" t="s">
        <v>44090</v>
      </c>
      <c r="C22558" s="2" t="s">
        <v>327</v>
      </c>
      <c r="D22558" s="2" t="s">
        <v>175</v>
      </c>
      <c r="E22558" s="2" t="str">
        <f>"9788381420754"</f>
        <v>9788381420754</v>
      </c>
      <c r="F22558" s="2" t="str">
        <f>"9788381420761"</f>
        <v>9788381420761</v>
      </c>
    </row>
    <row r="22559" spans="1:6" s="3" customFormat="1" ht="29.1" customHeight="1" x14ac:dyDescent="0.25">
      <c r="A22559" s="2" t="s">
        <v>44091</v>
      </c>
      <c r="B22559" s="2" t="s">
        <v>44092</v>
      </c>
      <c r="C22559" s="2" t="s">
        <v>327</v>
      </c>
      <c r="D22559" s="2" t="s">
        <v>1155</v>
      </c>
      <c r="E22559" s="2" t="str">
        <f>"9788381421362"</f>
        <v>9788381421362</v>
      </c>
      <c r="F22559" s="2" t="str">
        <f>"9788381421379"</f>
        <v>9788381421379</v>
      </c>
    </row>
    <row r="22560" spans="1:6" s="3" customFormat="1" ht="29.1" customHeight="1" x14ac:dyDescent="0.25">
      <c r="A22560" s="2" t="s">
        <v>44093</v>
      </c>
      <c r="B22560" s="2" t="s">
        <v>44094</v>
      </c>
      <c r="C22560" s="2" t="s">
        <v>327</v>
      </c>
      <c r="D22560" s="2" t="s">
        <v>6564</v>
      </c>
      <c r="E22560" s="2" t="str">
        <f>"9788380887855"</f>
        <v>9788380887855</v>
      </c>
      <c r="F22560" s="2" t="str">
        <f>"9788380887862"</f>
        <v>9788380887862</v>
      </c>
    </row>
    <row r="22561" spans="1:6" s="3" customFormat="1" ht="29.1" customHeight="1" x14ac:dyDescent="0.25">
      <c r="A22561" s="2" t="s">
        <v>44095</v>
      </c>
      <c r="B22561" s="2" t="s">
        <v>44096</v>
      </c>
      <c r="C22561" s="2" t="s">
        <v>15381</v>
      </c>
      <c r="D22561" s="2" t="s">
        <v>16597</v>
      </c>
      <c r="E22561" s="2" t="str">
        <f>"9781469643304"</f>
        <v>9781469643304</v>
      </c>
      <c r="F22561" s="2" t="str">
        <f>"9781469643588"</f>
        <v>9781469643588</v>
      </c>
    </row>
    <row r="22562" spans="1:6" s="3" customFormat="1" ht="29.1" customHeight="1" x14ac:dyDescent="0.25">
      <c r="A22562" s="2" t="s">
        <v>44097</v>
      </c>
      <c r="B22562" s="2" t="s">
        <v>44098</v>
      </c>
      <c r="C22562" s="2" t="s">
        <v>124</v>
      </c>
      <c r="D22562" s="2" t="s">
        <v>353</v>
      </c>
      <c r="E22562" s="2" t="str">
        <f>"9781138573789"</f>
        <v>9781138573789</v>
      </c>
      <c r="F22562" s="2" t="str">
        <f>"9780203701393"</f>
        <v>9780203701393</v>
      </c>
    </row>
    <row r="22563" spans="1:6" s="3" customFormat="1" ht="29.1" customHeight="1" x14ac:dyDescent="0.25">
      <c r="A22563" s="2" t="s">
        <v>44099</v>
      </c>
      <c r="B22563" s="2" t="s">
        <v>44100</v>
      </c>
      <c r="C22563" s="2" t="s">
        <v>26676</v>
      </c>
      <c r="D22563" s="2" t="s">
        <v>3245</v>
      </c>
      <c r="E22563" s="2" t="str">
        <f>"9781618119513"</f>
        <v>9781618119513</v>
      </c>
      <c r="F22563" s="2" t="str">
        <f>"9781618119520"</f>
        <v>9781618119520</v>
      </c>
    </row>
    <row r="22564" spans="1:6" s="3" customFormat="1" ht="29.1" customHeight="1" x14ac:dyDescent="0.25">
      <c r="A22564" s="2" t="s">
        <v>44101</v>
      </c>
      <c r="B22564" s="2" t="s">
        <v>44102</v>
      </c>
      <c r="C22564" s="2" t="s">
        <v>124</v>
      </c>
      <c r="D22564" s="2" t="s">
        <v>1694</v>
      </c>
      <c r="E22564" s="2" t="str">
        <f>"9789462987555"</f>
        <v>9789462987555</v>
      </c>
      <c r="F22564" s="2" t="str">
        <f>"9781040790793"</f>
        <v>9781040790793</v>
      </c>
    </row>
    <row r="22565" spans="1:6" s="3" customFormat="1" ht="29.1" customHeight="1" x14ac:dyDescent="0.25">
      <c r="A22565" s="2" t="s">
        <v>44103</v>
      </c>
      <c r="B22565" s="2" t="s">
        <v>44104</v>
      </c>
      <c r="C22565" s="2" t="s">
        <v>124</v>
      </c>
      <c r="D22565" s="2" t="s">
        <v>49</v>
      </c>
      <c r="E22565" s="2" t="str">
        <f>"9781041186588"</f>
        <v>9781041186588</v>
      </c>
      <c r="F22565" s="2" t="str">
        <f>"9781040795682"</f>
        <v>9781040795682</v>
      </c>
    </row>
    <row r="22566" spans="1:6" s="3" customFormat="1" ht="29.1" customHeight="1" x14ac:dyDescent="0.25">
      <c r="A22566" s="2" t="s">
        <v>44105</v>
      </c>
      <c r="B22566" s="2" t="s">
        <v>44106</v>
      </c>
      <c r="C22566" s="2" t="s">
        <v>124</v>
      </c>
      <c r="D22566" s="2" t="s">
        <v>49</v>
      </c>
      <c r="E22566" s="2" t="str">
        <f>"9781041180814"</f>
        <v>9781041180814</v>
      </c>
      <c r="F22566" s="2" t="str">
        <f>"9781040779545"</f>
        <v>9781040779545</v>
      </c>
    </row>
    <row r="22567" spans="1:6" s="3" customFormat="1" ht="29.1" customHeight="1" x14ac:dyDescent="0.25">
      <c r="A22567" s="2" t="s">
        <v>44107</v>
      </c>
      <c r="B22567" s="2" t="s">
        <v>44108</v>
      </c>
      <c r="C22567" s="2" t="s">
        <v>124</v>
      </c>
      <c r="D22567" s="2" t="s">
        <v>906</v>
      </c>
      <c r="E22567" s="2" t="str">
        <f>"9781041176909"</f>
        <v>9781041176909</v>
      </c>
      <c r="F22567" s="2" t="str">
        <f>"9781040790366"</f>
        <v>9781040790366</v>
      </c>
    </row>
    <row r="22568" spans="1:6" s="3" customFormat="1" ht="29.1" customHeight="1" x14ac:dyDescent="0.25">
      <c r="A22568" s="2" t="s">
        <v>44109</v>
      </c>
      <c r="B22568" s="2" t="s">
        <v>44110</v>
      </c>
      <c r="C22568" s="2" t="s">
        <v>2129</v>
      </c>
      <c r="D22568" s="2" t="s">
        <v>339</v>
      </c>
      <c r="E22568" s="2" t="str">
        <f>"9781438471457"</f>
        <v>9781438471457</v>
      </c>
      <c r="F22568" s="2" t="str">
        <f>"9781438471471"</f>
        <v>9781438471471</v>
      </c>
    </row>
    <row r="22569" spans="1:6" s="3" customFormat="1" ht="29.1" customHeight="1" x14ac:dyDescent="0.25">
      <c r="A22569" s="2" t="s">
        <v>44111</v>
      </c>
      <c r="B22569" s="2" t="s">
        <v>44112</v>
      </c>
      <c r="C22569" s="2" t="s">
        <v>55</v>
      </c>
      <c r="D22569" s="2" t="s">
        <v>3523</v>
      </c>
      <c r="E22569" s="2" t="str">
        <f>"9781526127679"</f>
        <v>9781526127679</v>
      </c>
      <c r="F22569" s="2" t="str">
        <f>"9781526127686"</f>
        <v>9781526127686</v>
      </c>
    </row>
    <row r="22570" spans="1:6" s="3" customFormat="1" ht="29.1" customHeight="1" x14ac:dyDescent="0.25">
      <c r="A22570" s="2" t="s">
        <v>44113</v>
      </c>
      <c r="B22570" s="2" t="s">
        <v>44114</v>
      </c>
      <c r="C22570" s="2" t="s">
        <v>34257</v>
      </c>
      <c r="D22570" s="2" t="s">
        <v>27340</v>
      </c>
      <c r="E22570" s="2" t="str">
        <f>"9780745337593"</f>
        <v>9780745337593</v>
      </c>
      <c r="F22570" s="2" t="str">
        <f>"9781786803245"</f>
        <v>9781786803245</v>
      </c>
    </row>
    <row r="22571" spans="1:6" s="3" customFormat="1" ht="29.1" customHeight="1" x14ac:dyDescent="0.25">
      <c r="A22571" s="2" t="s">
        <v>44115</v>
      </c>
      <c r="B22571" s="2" t="s">
        <v>44116</v>
      </c>
      <c r="C22571" s="2" t="s">
        <v>316</v>
      </c>
      <c r="D22571" s="2" t="s">
        <v>317</v>
      </c>
      <c r="E22571" s="2" t="str">
        <f>"9783035711974"</f>
        <v>9783035711974</v>
      </c>
      <c r="F22571" s="2" t="str">
        <f>"9783035731972"</f>
        <v>9783035731972</v>
      </c>
    </row>
    <row r="22572" spans="1:6" s="3" customFormat="1" ht="29.1" customHeight="1" x14ac:dyDescent="0.25">
      <c r="A22572" s="2" t="s">
        <v>44117</v>
      </c>
      <c r="B22572" s="2" t="s">
        <v>44098</v>
      </c>
      <c r="C22572" s="2" t="s">
        <v>124</v>
      </c>
      <c r="D22572" s="2" t="s">
        <v>353</v>
      </c>
      <c r="E22572" s="2" t="str">
        <f>"9780367585860"</f>
        <v>9780367585860</v>
      </c>
      <c r="F22572" s="2" t="str">
        <f>"9780203701386"</f>
        <v>9780203701386</v>
      </c>
    </row>
    <row r="22573" spans="1:6" s="3" customFormat="1" ht="29.1" customHeight="1" x14ac:dyDescent="0.25">
      <c r="A22573" s="2" t="s">
        <v>44118</v>
      </c>
      <c r="B22573" s="2" t="s">
        <v>44119</v>
      </c>
      <c r="C22573" s="2" t="s">
        <v>124</v>
      </c>
      <c r="D22573" s="2" t="s">
        <v>712</v>
      </c>
      <c r="E22573" s="2" t="str">
        <f>"9781041184744"</f>
        <v>9781041184744</v>
      </c>
      <c r="F22573" s="2" t="str">
        <f>"9781040799857"</f>
        <v>9781040799857</v>
      </c>
    </row>
    <row r="22574" spans="1:6" s="3" customFormat="1" ht="29.1" customHeight="1" x14ac:dyDescent="0.25">
      <c r="A22574" s="2" t="s">
        <v>44120</v>
      </c>
      <c r="B22574" s="2" t="s">
        <v>44121</v>
      </c>
      <c r="C22574" s="2" t="s">
        <v>124</v>
      </c>
      <c r="D22574" s="2" t="s">
        <v>501</v>
      </c>
      <c r="E22574" s="2" t="str">
        <f>"9781041177227"</f>
        <v>9781041177227</v>
      </c>
      <c r="F22574" s="2" t="str">
        <f>"9781040781425"</f>
        <v>9781040781425</v>
      </c>
    </row>
    <row r="22575" spans="1:6" s="3" customFormat="1" ht="29.1" customHeight="1" x14ac:dyDescent="0.25">
      <c r="A22575" s="2" t="s">
        <v>44122</v>
      </c>
      <c r="B22575" s="2" t="s">
        <v>44123</v>
      </c>
      <c r="C22575" s="2" t="s">
        <v>124</v>
      </c>
      <c r="D22575" s="2" t="s">
        <v>81</v>
      </c>
      <c r="E22575" s="2" t="str">
        <f>"9781041175551"</f>
        <v>9781041175551</v>
      </c>
      <c r="F22575" s="2" t="str">
        <f>"9781040798621"</f>
        <v>9781040798621</v>
      </c>
    </row>
    <row r="22576" spans="1:6" s="3" customFormat="1" ht="29.1" customHeight="1" x14ac:dyDescent="0.25">
      <c r="A22576" s="2" t="s">
        <v>44124</v>
      </c>
      <c r="B22576" s="2" t="s">
        <v>44125</v>
      </c>
      <c r="C22576" s="2" t="s">
        <v>264</v>
      </c>
      <c r="D22576" s="2" t="s">
        <v>6243</v>
      </c>
      <c r="E22576" s="2" t="str">
        <f>"9780367715052"</f>
        <v>9780367715052</v>
      </c>
      <c r="F22576" s="2" t="str">
        <f>"9781351645997"</f>
        <v>9781351645997</v>
      </c>
    </row>
    <row r="22577" spans="1:6" s="3" customFormat="1" ht="29.1" customHeight="1" x14ac:dyDescent="0.25">
      <c r="A22577" s="2" t="s">
        <v>44126</v>
      </c>
      <c r="B22577" s="2" t="s">
        <v>44127</v>
      </c>
      <c r="C22577" s="2" t="s">
        <v>927</v>
      </c>
      <c r="D22577" s="2" t="s">
        <v>270</v>
      </c>
      <c r="E22577" s="2" t="str">
        <f>"9780472131006"</f>
        <v>9780472131006</v>
      </c>
      <c r="F22577" s="2" t="str">
        <f>"9780472124282"</f>
        <v>9780472124282</v>
      </c>
    </row>
    <row r="22578" spans="1:6" s="3" customFormat="1" ht="29.1" customHeight="1" x14ac:dyDescent="0.25">
      <c r="A22578" s="2" t="s">
        <v>44128</v>
      </c>
      <c r="B22578" s="2" t="s">
        <v>44129</v>
      </c>
      <c r="C22578" s="2" t="s">
        <v>26676</v>
      </c>
      <c r="D22578" s="2" t="s">
        <v>4429</v>
      </c>
      <c r="E22578" s="2" t="str">
        <f>"9781618115966"</f>
        <v>9781618115966</v>
      </c>
      <c r="F22578" s="2" t="str">
        <f>"9781618115973"</f>
        <v>9781618115973</v>
      </c>
    </row>
    <row r="22579" spans="1:6" s="3" customFormat="1" ht="29.1" customHeight="1" x14ac:dyDescent="0.25">
      <c r="A22579" s="2" t="s">
        <v>44130</v>
      </c>
      <c r="B22579" s="2" t="s">
        <v>44131</v>
      </c>
      <c r="C22579" s="2" t="s">
        <v>124</v>
      </c>
      <c r="D22579" s="2" t="s">
        <v>2086</v>
      </c>
      <c r="E22579" s="2" t="str">
        <f>"9781138345416"</f>
        <v>9781138345416</v>
      </c>
      <c r="F22579" s="2" t="str">
        <f>"9780429795404"</f>
        <v>9780429795404</v>
      </c>
    </row>
    <row r="22580" spans="1:6" s="3" customFormat="1" ht="29.1" customHeight="1" x14ac:dyDescent="0.25">
      <c r="A22580" s="2" t="s">
        <v>44132</v>
      </c>
      <c r="B22580" s="2" t="s">
        <v>44133</v>
      </c>
      <c r="C22580" s="2" t="s">
        <v>124</v>
      </c>
      <c r="D22580" s="2" t="s">
        <v>501</v>
      </c>
      <c r="E22580" s="2" t="str">
        <f>"9781138569898"</f>
        <v>9781138569898</v>
      </c>
      <c r="F22580" s="2" t="str">
        <f>"9781351336932"</f>
        <v>9781351336932</v>
      </c>
    </row>
    <row r="22581" spans="1:6" s="3" customFormat="1" ht="29.1" customHeight="1" x14ac:dyDescent="0.25">
      <c r="A22581" s="2" t="s">
        <v>44134</v>
      </c>
      <c r="B22581" s="2" t="s">
        <v>44135</v>
      </c>
      <c r="C22581" s="2" t="s">
        <v>124</v>
      </c>
      <c r="D22581" s="2" t="s">
        <v>791</v>
      </c>
      <c r="E22581" s="2" t="str">
        <f>"9781138069633"</f>
        <v>9781138069633</v>
      </c>
      <c r="F22581" s="2" t="str">
        <f>"9781351631105"</f>
        <v>9781351631105</v>
      </c>
    </row>
    <row r="22582" spans="1:6" s="3" customFormat="1" ht="29.1" customHeight="1" x14ac:dyDescent="0.25">
      <c r="A22582" s="2" t="s">
        <v>44136</v>
      </c>
      <c r="B22582" s="2" t="s">
        <v>44137</v>
      </c>
      <c r="C22582" s="2" t="s">
        <v>124</v>
      </c>
      <c r="D22582" s="2" t="s">
        <v>210</v>
      </c>
      <c r="E22582" s="2" t="str">
        <f>"9781138187337"</f>
        <v>9781138187337</v>
      </c>
      <c r="F22582" s="2" t="str">
        <f>"9781317285335"</f>
        <v>9781317285335</v>
      </c>
    </row>
    <row r="22583" spans="1:6" s="3" customFormat="1" ht="29.1" customHeight="1" x14ac:dyDescent="0.25">
      <c r="A22583" s="2" t="s">
        <v>44138</v>
      </c>
      <c r="B22583" s="2" t="s">
        <v>44139</v>
      </c>
      <c r="C22583" s="2" t="s">
        <v>124</v>
      </c>
      <c r="D22583" s="2" t="s">
        <v>210</v>
      </c>
      <c r="E22583" s="2" t="str">
        <f>"9781138718364"</f>
        <v>9781138718364</v>
      </c>
      <c r="F22583" s="2" t="str">
        <f>"9780429796425"</f>
        <v>9780429796425</v>
      </c>
    </row>
    <row r="22584" spans="1:6" s="3" customFormat="1" ht="29.1" customHeight="1" x14ac:dyDescent="0.25">
      <c r="A22584" s="2" t="s">
        <v>44140</v>
      </c>
      <c r="B22584" s="2" t="s">
        <v>44141</v>
      </c>
      <c r="C22584" s="2" t="s">
        <v>124</v>
      </c>
      <c r="D22584" s="2" t="s">
        <v>1240</v>
      </c>
      <c r="E22584" s="2" t="str">
        <f>"9781138318663"</f>
        <v>9781138318663</v>
      </c>
      <c r="F22584" s="2" t="str">
        <f>"9780429845697"</f>
        <v>9780429845697</v>
      </c>
    </row>
    <row r="22585" spans="1:6" s="3" customFormat="1" ht="29.1" customHeight="1" x14ac:dyDescent="0.25">
      <c r="A22585" s="2" t="s">
        <v>44142</v>
      </c>
      <c r="B22585" s="2" t="s">
        <v>44143</v>
      </c>
      <c r="C22585" s="2" t="s">
        <v>124</v>
      </c>
      <c r="D22585" s="2" t="s">
        <v>1121</v>
      </c>
      <c r="E22585" s="2" t="str">
        <f>"9781138676305"</f>
        <v>9781138676305</v>
      </c>
      <c r="F22585" s="2" t="str">
        <f>"9781317197430"</f>
        <v>9781317197430</v>
      </c>
    </row>
    <row r="22586" spans="1:6" s="3" customFormat="1" ht="29.1" customHeight="1" x14ac:dyDescent="0.25">
      <c r="A22586" s="2" t="s">
        <v>44144</v>
      </c>
      <c r="B22586" s="2" t="s">
        <v>44145</v>
      </c>
      <c r="C22586" s="2" t="s">
        <v>195</v>
      </c>
      <c r="D22586" s="2" t="s">
        <v>7460</v>
      </c>
      <c r="E22586" s="2" t="str">
        <f>"9783110604467"</f>
        <v>9783110604467</v>
      </c>
      <c r="F22586" s="2" t="str">
        <f>"9783110617177"</f>
        <v>9783110617177</v>
      </c>
    </row>
    <row r="22587" spans="1:6" s="3" customFormat="1" ht="29.1" customHeight="1" x14ac:dyDescent="0.25">
      <c r="A22587" s="2" t="s">
        <v>44146</v>
      </c>
      <c r="B22587" s="2" t="s">
        <v>44147</v>
      </c>
      <c r="C22587" s="2" t="s">
        <v>195</v>
      </c>
      <c r="D22587" s="2" t="s">
        <v>1183</v>
      </c>
      <c r="E22587" s="2" t="str">
        <f>"9783110595659"</f>
        <v>9783110595659</v>
      </c>
      <c r="F22587" s="2" t="str">
        <f>"9783110594362"</f>
        <v>9783110594362</v>
      </c>
    </row>
    <row r="22588" spans="1:6" s="3" customFormat="1" ht="29.1" customHeight="1" x14ac:dyDescent="0.25">
      <c r="A22588" s="2" t="s">
        <v>44148</v>
      </c>
      <c r="B22588" s="2" t="s">
        <v>44149</v>
      </c>
      <c r="C22588" s="2" t="s">
        <v>195</v>
      </c>
      <c r="D22588" s="2" t="s">
        <v>118</v>
      </c>
      <c r="E22588" s="2" t="str">
        <f>"9783110589597"</f>
        <v>9783110589597</v>
      </c>
      <c r="F22588" s="2" t="str">
        <f>"9783110597561"</f>
        <v>9783110597561</v>
      </c>
    </row>
    <row r="22589" spans="1:6" s="3" customFormat="1" ht="29.1" customHeight="1" x14ac:dyDescent="0.25">
      <c r="A22589" s="2" t="s">
        <v>44150</v>
      </c>
      <c r="B22589" s="2" t="s">
        <v>44151</v>
      </c>
      <c r="C22589" s="2" t="s">
        <v>195</v>
      </c>
      <c r="D22589" s="2" t="s">
        <v>118</v>
      </c>
      <c r="E22589" s="2" t="str">
        <f>"9783110572551"</f>
        <v>9783110572551</v>
      </c>
      <c r="F22589" s="2" t="str">
        <f>"9783110572674"</f>
        <v>9783110572674</v>
      </c>
    </row>
    <row r="22590" spans="1:6" s="3" customFormat="1" ht="29.1" customHeight="1" x14ac:dyDescent="0.25">
      <c r="A22590" s="2" t="s">
        <v>44152</v>
      </c>
      <c r="B22590" s="2" t="s">
        <v>44153</v>
      </c>
      <c r="C22590" s="2" t="s">
        <v>195</v>
      </c>
      <c r="D22590" s="2" t="s">
        <v>107</v>
      </c>
      <c r="E22590" s="2" t="str">
        <f>"9783110597011"</f>
        <v>9783110597011</v>
      </c>
      <c r="F22590" s="2" t="str">
        <f>"9783110597202"</f>
        <v>9783110597202</v>
      </c>
    </row>
    <row r="22591" spans="1:6" s="3" customFormat="1" ht="29.1" customHeight="1" x14ac:dyDescent="0.25">
      <c r="A22591" s="2" t="s">
        <v>44154</v>
      </c>
      <c r="B22591" s="2" t="s">
        <v>44155</v>
      </c>
      <c r="C22591" s="2" t="s">
        <v>195</v>
      </c>
      <c r="D22591" s="2" t="s">
        <v>33</v>
      </c>
      <c r="E22591" s="2" t="str">
        <f>"9783110589924"</f>
        <v>9783110589924</v>
      </c>
      <c r="F22591" s="2" t="str">
        <f>"9783110590036"</f>
        <v>9783110590036</v>
      </c>
    </row>
    <row r="22592" spans="1:6" s="3" customFormat="1" ht="29.1" customHeight="1" x14ac:dyDescent="0.25">
      <c r="A22592" s="2" t="s">
        <v>44156</v>
      </c>
      <c r="B22592" s="2" t="s">
        <v>44157</v>
      </c>
      <c r="C22592" s="2" t="s">
        <v>195</v>
      </c>
      <c r="D22592" s="2" t="s">
        <v>3852</v>
      </c>
      <c r="E22592" s="2" t="str">
        <f>"9783110590821"</f>
        <v>9783110590821</v>
      </c>
      <c r="F22592" s="2" t="str">
        <f>"9783110590890"</f>
        <v>9783110590890</v>
      </c>
    </row>
    <row r="22593" spans="1:6" s="3" customFormat="1" ht="29.1" customHeight="1" x14ac:dyDescent="0.25">
      <c r="A22593" s="2" t="s">
        <v>44158</v>
      </c>
      <c r="B22593" s="2" t="s">
        <v>44159</v>
      </c>
      <c r="C22593" s="2" t="s">
        <v>195</v>
      </c>
      <c r="D22593" s="2" t="s">
        <v>428</v>
      </c>
      <c r="E22593" s="2" t="str">
        <f>"9783110579871"</f>
        <v>9783110579871</v>
      </c>
      <c r="F22593" s="2" t="str">
        <f>"9783110580136"</f>
        <v>9783110580136</v>
      </c>
    </row>
    <row r="22594" spans="1:6" s="3" customFormat="1" ht="29.1" customHeight="1" x14ac:dyDescent="0.25">
      <c r="A22594" s="2" t="s">
        <v>44160</v>
      </c>
      <c r="B22594" s="2" t="s">
        <v>44161</v>
      </c>
      <c r="C22594" s="2" t="s">
        <v>195</v>
      </c>
      <c r="D22594" s="2" t="s">
        <v>446</v>
      </c>
      <c r="E22594" s="2" t="str">
        <f>"9783110568714"</f>
        <v>9783110568714</v>
      </c>
      <c r="F22594" s="2" t="str">
        <f>"9783110574500"</f>
        <v>9783110574500</v>
      </c>
    </row>
    <row r="22595" spans="1:6" s="3" customFormat="1" ht="29.1" customHeight="1" x14ac:dyDescent="0.25">
      <c r="A22595" s="2" t="s">
        <v>44162</v>
      </c>
      <c r="B22595" s="2" t="s">
        <v>44163</v>
      </c>
      <c r="C22595" s="2" t="s">
        <v>195</v>
      </c>
      <c r="D22595" s="2" t="s">
        <v>33</v>
      </c>
      <c r="E22595" s="2" t="str">
        <f>"9783110582024"</f>
        <v>9783110582024</v>
      </c>
      <c r="F22595" s="2" t="str">
        <f>"9783110582178"</f>
        <v>9783110582178</v>
      </c>
    </row>
    <row r="22596" spans="1:6" s="3" customFormat="1" ht="29.1" customHeight="1" x14ac:dyDescent="0.25">
      <c r="A22596" s="2" t="s">
        <v>44164</v>
      </c>
      <c r="B22596" s="2" t="s">
        <v>44165</v>
      </c>
      <c r="C22596" s="2" t="s">
        <v>195</v>
      </c>
      <c r="D22596" s="2" t="s">
        <v>297</v>
      </c>
      <c r="E22596" s="2" t="str">
        <f>"9783110569728"</f>
        <v>9783110569728</v>
      </c>
      <c r="F22596" s="2" t="str">
        <f>"9783110571042"</f>
        <v>9783110571042</v>
      </c>
    </row>
    <row r="22597" spans="1:6" s="3" customFormat="1" ht="29.1" customHeight="1" x14ac:dyDescent="0.25">
      <c r="A22597" s="2" t="s">
        <v>44166</v>
      </c>
      <c r="B22597" s="2" t="s">
        <v>44167</v>
      </c>
      <c r="C22597" s="2" t="s">
        <v>195</v>
      </c>
      <c r="D22597" s="2" t="s">
        <v>33</v>
      </c>
      <c r="E22597" s="2" t="str">
        <f>"9783110565867"</f>
        <v>9783110565867</v>
      </c>
      <c r="F22597" s="2" t="str">
        <f>"9783110579758"</f>
        <v>9783110579758</v>
      </c>
    </row>
    <row r="22598" spans="1:6" s="3" customFormat="1" ht="29.1" customHeight="1" x14ac:dyDescent="0.25">
      <c r="A22598" s="2" t="s">
        <v>44168</v>
      </c>
      <c r="B22598" s="2" t="s">
        <v>44169</v>
      </c>
      <c r="C22598" s="2" t="s">
        <v>264</v>
      </c>
      <c r="D22598" s="2" t="s">
        <v>1071</v>
      </c>
      <c r="E22598" s="2" t="str">
        <f>"9781138553880"</f>
        <v>9781138553880</v>
      </c>
      <c r="F22598" s="2" t="str">
        <f>"9781351372480"</f>
        <v>9781351372480</v>
      </c>
    </row>
    <row r="22599" spans="1:6" s="3" customFormat="1" ht="29.1" customHeight="1" x14ac:dyDescent="0.25">
      <c r="A22599" s="2" t="s">
        <v>44170</v>
      </c>
      <c r="B22599" s="2" t="s">
        <v>44171</v>
      </c>
      <c r="C22599" s="2" t="s">
        <v>264</v>
      </c>
      <c r="D22599" s="2" t="s">
        <v>6511</v>
      </c>
      <c r="E22599" s="2" t="str">
        <f>"9780815386827"</f>
        <v>9780815386827</v>
      </c>
      <c r="F22599" s="2" t="str">
        <f>"9781351174640"</f>
        <v>9781351174640</v>
      </c>
    </row>
    <row r="22600" spans="1:6" s="3" customFormat="1" ht="29.1" customHeight="1" x14ac:dyDescent="0.25">
      <c r="A22600" s="2" t="s">
        <v>44172</v>
      </c>
      <c r="B22600" s="2" t="s">
        <v>44173</v>
      </c>
      <c r="C22600" s="2" t="s">
        <v>124</v>
      </c>
      <c r="D22600" s="2" t="s">
        <v>15324</v>
      </c>
      <c r="E22600" s="2" t="str">
        <f>"9781138339200"</f>
        <v>9781138339200</v>
      </c>
      <c r="F22600" s="2" t="str">
        <f>"9780429805349"</f>
        <v>9780429805349</v>
      </c>
    </row>
    <row r="22601" spans="1:6" s="3" customFormat="1" ht="29.1" customHeight="1" x14ac:dyDescent="0.25">
      <c r="A22601" s="2" t="s">
        <v>44174</v>
      </c>
      <c r="B22601" s="2" t="s">
        <v>44175</v>
      </c>
      <c r="C22601" s="2" t="s">
        <v>124</v>
      </c>
      <c r="D22601" s="2" t="s">
        <v>334</v>
      </c>
      <c r="E22601" s="2" t="str">
        <f>"9781138298163"</f>
        <v>9781138298163</v>
      </c>
      <c r="F22601" s="2" t="str">
        <f>"9781351581172"</f>
        <v>9781351581172</v>
      </c>
    </row>
    <row r="22602" spans="1:6" s="3" customFormat="1" ht="29.1" customHeight="1" x14ac:dyDescent="0.25">
      <c r="A22602" s="2" t="s">
        <v>44176</v>
      </c>
      <c r="B22602" s="2" t="s">
        <v>44177</v>
      </c>
      <c r="C22602" s="2" t="s">
        <v>124</v>
      </c>
      <c r="D22602" s="2" t="s">
        <v>9</v>
      </c>
      <c r="E22602" s="2" t="str">
        <f>"9780815351894"</f>
        <v>9780815351894</v>
      </c>
      <c r="F22602" s="2" t="str">
        <f>"9781351139908"</f>
        <v>9781351139908</v>
      </c>
    </row>
    <row r="22603" spans="1:6" s="3" customFormat="1" ht="29.1" customHeight="1" x14ac:dyDescent="0.25">
      <c r="A22603" s="2" t="s">
        <v>44178</v>
      </c>
      <c r="B22603" s="2" t="s">
        <v>44179</v>
      </c>
      <c r="C22603" s="2" t="s">
        <v>124</v>
      </c>
      <c r="D22603" s="2" t="s">
        <v>459</v>
      </c>
      <c r="E22603" s="2" t="str">
        <f>"9781138563650"</f>
        <v>9781138563650</v>
      </c>
      <c r="F22603" s="2" t="str">
        <f>"9781351348713"</f>
        <v>9781351348713</v>
      </c>
    </row>
    <row r="22604" spans="1:6" s="3" customFormat="1" ht="29.1" customHeight="1" x14ac:dyDescent="0.25">
      <c r="A22604" s="2" t="s">
        <v>44180</v>
      </c>
      <c r="B22604" s="2" t="s">
        <v>44181</v>
      </c>
      <c r="C22604" s="2" t="s">
        <v>2129</v>
      </c>
      <c r="D22604" s="2" t="s">
        <v>33</v>
      </c>
      <c r="E22604" s="2" t="str">
        <f>"9781438471488"</f>
        <v>9781438471488</v>
      </c>
      <c r="F22604" s="2" t="str">
        <f>"9781438471501"</f>
        <v>9781438471501</v>
      </c>
    </row>
    <row r="22605" spans="1:6" s="3" customFormat="1" ht="29.1" customHeight="1" x14ac:dyDescent="0.25">
      <c r="A22605" s="2" t="s">
        <v>44182</v>
      </c>
      <c r="B22605" s="2" t="s">
        <v>44183</v>
      </c>
      <c r="C22605" s="2" t="s">
        <v>29</v>
      </c>
      <c r="D22605" s="2" t="s">
        <v>755</v>
      </c>
      <c r="E22605" s="2" t="str">
        <f>"9789086863150"</f>
        <v>9789086863150</v>
      </c>
      <c r="F22605" s="2" t="str">
        <f>"9789086868636"</f>
        <v>9789086868636</v>
      </c>
    </row>
    <row r="22606" spans="1:6" s="3" customFormat="1" ht="29.1" customHeight="1" x14ac:dyDescent="0.25">
      <c r="A22606" s="2" t="s">
        <v>44184</v>
      </c>
      <c r="B22606" s="2" t="s">
        <v>44185</v>
      </c>
      <c r="C22606" s="2" t="s">
        <v>29</v>
      </c>
      <c r="D22606" s="2" t="s">
        <v>2587</v>
      </c>
      <c r="E22606" s="2" t="str">
        <f>"9789086863273"</f>
        <v>9789086863273</v>
      </c>
      <c r="F22606" s="2" t="str">
        <f>"9789086868735"</f>
        <v>9789086868735</v>
      </c>
    </row>
    <row r="22607" spans="1:6" s="3" customFormat="1" ht="29.1" customHeight="1" x14ac:dyDescent="0.25">
      <c r="A22607" s="2" t="s">
        <v>44186</v>
      </c>
      <c r="B22607" s="2" t="s">
        <v>44187</v>
      </c>
      <c r="C22607" s="2" t="s">
        <v>29</v>
      </c>
      <c r="D22607" s="2" t="s">
        <v>755</v>
      </c>
      <c r="E22607" s="2" t="str">
        <f>"9789086863242"</f>
        <v>9789086863242</v>
      </c>
      <c r="F22607" s="2" t="str">
        <f>"9789086868759"</f>
        <v>9789086868759</v>
      </c>
    </row>
    <row r="22608" spans="1:6" s="3" customFormat="1" ht="29.1" customHeight="1" x14ac:dyDescent="0.25">
      <c r="A22608" s="2" t="s">
        <v>44188</v>
      </c>
      <c r="B22608" s="2" t="s">
        <v>44189</v>
      </c>
      <c r="C22608" s="2" t="s">
        <v>644</v>
      </c>
      <c r="D22608" s="2" t="s">
        <v>4789</v>
      </c>
      <c r="E22608" s="2" t="str">
        <f>"9781478001300"</f>
        <v>9781478001300</v>
      </c>
      <c r="F22608" s="2" t="str">
        <f>"9781478002734"</f>
        <v>9781478002734</v>
      </c>
    </row>
    <row r="22609" spans="1:6" s="3" customFormat="1" ht="29.1" customHeight="1" x14ac:dyDescent="0.25">
      <c r="A22609" s="2" t="s">
        <v>44190</v>
      </c>
      <c r="B22609" s="2" t="s">
        <v>44191</v>
      </c>
      <c r="C22609" s="2" t="s">
        <v>124</v>
      </c>
      <c r="D22609" s="2" t="s">
        <v>2291</v>
      </c>
      <c r="E22609" s="2" t="str">
        <f>"9789462985568"</f>
        <v>9789462985568</v>
      </c>
      <c r="F22609" s="2" t="str">
        <f>"9781040777640"</f>
        <v>9781040777640</v>
      </c>
    </row>
    <row r="22610" spans="1:6" s="3" customFormat="1" ht="29.1" customHeight="1" x14ac:dyDescent="0.25">
      <c r="A22610" s="2" t="s">
        <v>44192</v>
      </c>
      <c r="B22610" s="2" t="s">
        <v>44193</v>
      </c>
      <c r="C22610" s="2" t="s">
        <v>124</v>
      </c>
      <c r="D22610" s="2" t="s">
        <v>202</v>
      </c>
      <c r="E22610" s="2" t="str">
        <f>"9789462985841"</f>
        <v>9789462985841</v>
      </c>
      <c r="F22610" s="2" t="str">
        <f>"9781040774908"</f>
        <v>9781040774908</v>
      </c>
    </row>
    <row r="22611" spans="1:6" s="3" customFormat="1" ht="29.1" customHeight="1" x14ac:dyDescent="0.25">
      <c r="A22611" s="2" t="s">
        <v>44194</v>
      </c>
      <c r="B22611" s="2" t="s">
        <v>44195</v>
      </c>
      <c r="C22611" s="2" t="s">
        <v>124</v>
      </c>
      <c r="D22611" s="2" t="s">
        <v>107</v>
      </c>
      <c r="E22611" s="2" t="str">
        <f>"9781041178767"</f>
        <v>9781041178767</v>
      </c>
      <c r="F22611" s="2" t="str">
        <f>"9781040777503"</f>
        <v>9781040777503</v>
      </c>
    </row>
    <row r="22612" spans="1:6" s="3" customFormat="1" ht="29.1" customHeight="1" x14ac:dyDescent="0.25">
      <c r="A22612" s="2" t="s">
        <v>44196</v>
      </c>
      <c r="B22612" s="2" t="s">
        <v>44197</v>
      </c>
      <c r="C22612" s="2" t="s">
        <v>124</v>
      </c>
      <c r="D22612" s="2" t="s">
        <v>8642</v>
      </c>
      <c r="E22612" s="2" t="str">
        <f>"9789462986930"</f>
        <v>9789462986930</v>
      </c>
      <c r="F22612" s="2" t="str">
        <f>"9781040773369"</f>
        <v>9781040773369</v>
      </c>
    </row>
    <row r="22613" spans="1:6" s="3" customFormat="1" ht="29.1" customHeight="1" x14ac:dyDescent="0.25">
      <c r="A22613" s="2" t="s">
        <v>44198</v>
      </c>
      <c r="B22613" s="2" t="s">
        <v>44199</v>
      </c>
      <c r="C22613" s="2" t="s">
        <v>195</v>
      </c>
      <c r="D22613" s="2" t="s">
        <v>3043</v>
      </c>
      <c r="E22613" s="2" t="str">
        <f>"9783110595000"</f>
        <v>9783110595000</v>
      </c>
      <c r="F22613" s="2" t="str">
        <f>"9783110594478"</f>
        <v>9783110594478</v>
      </c>
    </row>
    <row r="22614" spans="1:6" s="3" customFormat="1" ht="29.1" customHeight="1" x14ac:dyDescent="0.25">
      <c r="A22614" s="2" t="s">
        <v>44200</v>
      </c>
      <c r="B22614" s="2" t="s">
        <v>44201</v>
      </c>
      <c r="C22614" s="2" t="s">
        <v>195</v>
      </c>
      <c r="D22614" s="2" t="s">
        <v>210</v>
      </c>
      <c r="E22614" s="2" t="str">
        <f>"9783486561937"</f>
        <v>9783486561937</v>
      </c>
      <c r="F22614" s="2" t="str">
        <f>"9783486594355"</f>
        <v>9783486594355</v>
      </c>
    </row>
    <row r="22615" spans="1:6" s="3" customFormat="1" ht="29.1" customHeight="1" x14ac:dyDescent="0.25">
      <c r="A22615" s="2" t="s">
        <v>44202</v>
      </c>
      <c r="B22615" s="2" t="s">
        <v>44203</v>
      </c>
      <c r="C22615" s="2" t="s">
        <v>195</v>
      </c>
      <c r="D22615" s="2" t="s">
        <v>210</v>
      </c>
      <c r="E22615" s="2" t="str">
        <f>"9783486558401"</f>
        <v>9783486558401</v>
      </c>
      <c r="F22615" s="2" t="str">
        <f>"9783486595628"</f>
        <v>9783486595628</v>
      </c>
    </row>
    <row r="22616" spans="1:6" s="3" customFormat="1" ht="29.1" customHeight="1" x14ac:dyDescent="0.25">
      <c r="A22616" s="2" t="s">
        <v>44204</v>
      </c>
      <c r="B22616" s="2" t="s">
        <v>44205</v>
      </c>
      <c r="C22616" s="2" t="s">
        <v>195</v>
      </c>
      <c r="D22616" s="2" t="s">
        <v>210</v>
      </c>
      <c r="E22616" s="2" t="str">
        <f>"9783486540215"</f>
        <v>9783486540215</v>
      </c>
      <c r="F22616" s="2" t="str">
        <f>"9783486595482"</f>
        <v>9783486595482</v>
      </c>
    </row>
    <row r="22617" spans="1:6" s="3" customFormat="1" ht="29.1" customHeight="1" x14ac:dyDescent="0.25">
      <c r="A22617" s="2" t="s">
        <v>44206</v>
      </c>
      <c r="B22617" s="2" t="s">
        <v>44207</v>
      </c>
      <c r="C22617" s="2" t="s">
        <v>195</v>
      </c>
      <c r="D22617" s="2" t="s">
        <v>436</v>
      </c>
      <c r="E22617" s="2" t="str">
        <f>"9783110528039"</f>
        <v>9783110528039</v>
      </c>
      <c r="F22617" s="2" t="str">
        <f>"9783110528275"</f>
        <v>9783110528275</v>
      </c>
    </row>
    <row r="22618" spans="1:6" s="3" customFormat="1" ht="29.1" customHeight="1" x14ac:dyDescent="0.25">
      <c r="A22618" s="2" t="s">
        <v>44208</v>
      </c>
      <c r="B22618" s="2" t="s">
        <v>44209</v>
      </c>
      <c r="C22618" s="2" t="s">
        <v>195</v>
      </c>
      <c r="D22618" s="2" t="s">
        <v>210</v>
      </c>
      <c r="E22618" s="2" t="str">
        <f>"9783486560275"</f>
        <v>9783486560275</v>
      </c>
      <c r="F22618" s="2" t="str">
        <f>"9783486594232"</f>
        <v>9783486594232</v>
      </c>
    </row>
    <row r="22619" spans="1:6" s="3" customFormat="1" ht="29.1" customHeight="1" x14ac:dyDescent="0.25">
      <c r="A22619" s="2" t="s">
        <v>44210</v>
      </c>
      <c r="B22619" s="2" t="s">
        <v>44211</v>
      </c>
      <c r="C22619" s="2" t="s">
        <v>195</v>
      </c>
      <c r="D22619" s="2" t="s">
        <v>210</v>
      </c>
      <c r="E22619" s="2" t="str">
        <f>"9783486716115"</f>
        <v>9783486716115</v>
      </c>
      <c r="F22619" s="2" t="str">
        <f>"9783110446807"</f>
        <v>9783110446807</v>
      </c>
    </row>
    <row r="22620" spans="1:6" s="3" customFormat="1" ht="29.1" customHeight="1" x14ac:dyDescent="0.25">
      <c r="A22620" s="2" t="s">
        <v>44212</v>
      </c>
      <c r="B22620" s="2" t="s">
        <v>44213</v>
      </c>
      <c r="C22620" s="2" t="s">
        <v>124</v>
      </c>
      <c r="D22620" s="2" t="s">
        <v>509</v>
      </c>
      <c r="E22620" s="2" t="str">
        <f>"9789462984448"</f>
        <v>9789462984448</v>
      </c>
      <c r="F22620" s="2" t="str">
        <f>"9781040778210"</f>
        <v>9781040778210</v>
      </c>
    </row>
    <row r="22621" spans="1:6" s="3" customFormat="1" ht="29.1" customHeight="1" x14ac:dyDescent="0.25">
      <c r="A22621" s="2" t="s">
        <v>44214</v>
      </c>
      <c r="B22621" s="2" t="s">
        <v>44215</v>
      </c>
      <c r="C22621" s="2" t="s">
        <v>124</v>
      </c>
      <c r="D22621" s="2" t="s">
        <v>69</v>
      </c>
      <c r="E22621" s="2" t="str">
        <f>"9781041177012"</f>
        <v>9781041177012</v>
      </c>
      <c r="F22621" s="2" t="str">
        <f>"9781040778814"</f>
        <v>9781040778814</v>
      </c>
    </row>
    <row r="22622" spans="1:6" s="3" customFormat="1" ht="29.1" customHeight="1" x14ac:dyDescent="0.25">
      <c r="A22622" s="2" t="s">
        <v>44216</v>
      </c>
      <c r="B22622" s="2" t="s">
        <v>44217</v>
      </c>
      <c r="C22622" s="2" t="s">
        <v>4788</v>
      </c>
      <c r="D22622" s="2" t="s">
        <v>5104</v>
      </c>
      <c r="E22622" s="2" t="str">
        <f>"9781474430654"</f>
        <v>9781474430654</v>
      </c>
      <c r="F22622" s="2" t="str">
        <f>"9781474430678"</f>
        <v>9781474430678</v>
      </c>
    </row>
    <row r="22623" spans="1:6" s="3" customFormat="1" ht="29.1" customHeight="1" x14ac:dyDescent="0.25">
      <c r="A22623" s="2" t="s">
        <v>44218</v>
      </c>
      <c r="B22623" s="2" t="s">
        <v>44219</v>
      </c>
      <c r="C22623" s="2" t="s">
        <v>59</v>
      </c>
      <c r="D22623" s="2" t="s">
        <v>2086</v>
      </c>
      <c r="E22623" s="2"/>
      <c r="F22623" s="2" t="str">
        <f>"9782759200375"</f>
        <v>9782759200375</v>
      </c>
    </row>
    <row r="22624" spans="1:6" s="3" customFormat="1" ht="29.1" customHeight="1" x14ac:dyDescent="0.25">
      <c r="A22624" s="2" t="s">
        <v>44220</v>
      </c>
      <c r="B22624" s="2" t="s">
        <v>44221</v>
      </c>
      <c r="C22624" s="2" t="s">
        <v>59</v>
      </c>
      <c r="D22624" s="2" t="s">
        <v>2086</v>
      </c>
      <c r="E22624" s="2" t="str">
        <f>"9782759222025"</f>
        <v>9782759222025</v>
      </c>
      <c r="F22624" s="2" t="str">
        <f>"9782759222032"</f>
        <v>9782759222032</v>
      </c>
    </row>
    <row r="22625" spans="1:6" s="3" customFormat="1" ht="29.1" customHeight="1" x14ac:dyDescent="0.25">
      <c r="A22625" s="2" t="s">
        <v>44222</v>
      </c>
      <c r="B22625" s="2" t="s">
        <v>44223</v>
      </c>
      <c r="C22625" s="2" t="s">
        <v>27805</v>
      </c>
      <c r="D22625" s="2" t="s">
        <v>2237</v>
      </c>
      <c r="E22625" s="2" t="str">
        <f>"9783832547189"</f>
        <v>9783832547189</v>
      </c>
      <c r="F22625" s="2" t="str">
        <f>"9783832590628"</f>
        <v>9783832590628</v>
      </c>
    </row>
    <row r="22626" spans="1:6" s="3" customFormat="1" ht="29.1" customHeight="1" x14ac:dyDescent="0.25">
      <c r="A22626" s="2" t="s">
        <v>44224</v>
      </c>
      <c r="B22626" s="2" t="s">
        <v>44225</v>
      </c>
      <c r="C22626" s="2" t="s">
        <v>124</v>
      </c>
      <c r="D22626" s="2" t="s">
        <v>4639</v>
      </c>
      <c r="E22626" s="2" t="str">
        <f>"9789089649591"</f>
        <v>9789089649591</v>
      </c>
      <c r="F22626" s="2" t="str">
        <f>"9781040773093"</f>
        <v>9781040773093</v>
      </c>
    </row>
    <row r="22627" spans="1:6" s="3" customFormat="1" ht="29.1" customHeight="1" x14ac:dyDescent="0.25">
      <c r="A22627" s="2" t="s">
        <v>44226</v>
      </c>
      <c r="B22627" s="2" t="s">
        <v>44227</v>
      </c>
      <c r="C22627" s="2" t="s">
        <v>124</v>
      </c>
      <c r="D22627" s="2" t="s">
        <v>4238</v>
      </c>
      <c r="E22627" s="2" t="str">
        <f>"9789089648341"</f>
        <v>9789089648341</v>
      </c>
      <c r="F22627" s="2" t="str">
        <f>"9781040791028"</f>
        <v>9781040791028</v>
      </c>
    </row>
    <row r="22628" spans="1:6" s="3" customFormat="1" ht="29.1" customHeight="1" x14ac:dyDescent="0.25">
      <c r="A22628" s="2" t="s">
        <v>44228</v>
      </c>
      <c r="B22628" s="2" t="s">
        <v>44229</v>
      </c>
      <c r="C22628" s="2" t="s">
        <v>124</v>
      </c>
      <c r="D22628" s="2" t="s">
        <v>29812</v>
      </c>
      <c r="E22628" s="2" t="str">
        <f>"9781041184812"</f>
        <v>9781041184812</v>
      </c>
      <c r="F22628" s="2" t="str">
        <f>"9781040778739"</f>
        <v>9781040778739</v>
      </c>
    </row>
    <row r="22629" spans="1:6" s="3" customFormat="1" ht="29.1" customHeight="1" x14ac:dyDescent="0.25">
      <c r="A22629" s="2" t="s">
        <v>44230</v>
      </c>
      <c r="B22629" s="2" t="s">
        <v>44231</v>
      </c>
      <c r="C22629" s="2" t="s">
        <v>124</v>
      </c>
      <c r="D22629" s="2" t="s">
        <v>1198</v>
      </c>
      <c r="E22629" s="2" t="str">
        <f>"9781041183419"</f>
        <v>9781041183419</v>
      </c>
      <c r="F22629" s="2" t="str">
        <f>"9781040795804"</f>
        <v>9781040795804</v>
      </c>
    </row>
    <row r="22630" spans="1:6" s="3" customFormat="1" ht="29.1" customHeight="1" x14ac:dyDescent="0.25">
      <c r="A22630" s="2" t="s">
        <v>44232</v>
      </c>
      <c r="B22630" s="2" t="s">
        <v>44233</v>
      </c>
      <c r="C22630" s="2" t="s">
        <v>124</v>
      </c>
      <c r="D22630" s="2" t="s">
        <v>5319</v>
      </c>
      <c r="E22630" s="2" t="str">
        <f>"9781041183358"</f>
        <v>9781041183358</v>
      </c>
      <c r="F22630" s="2" t="str">
        <f>"9781040782521"</f>
        <v>9781040782521</v>
      </c>
    </row>
    <row r="22631" spans="1:6" s="3" customFormat="1" ht="29.1" customHeight="1" x14ac:dyDescent="0.25">
      <c r="A22631" s="2" t="s">
        <v>44234</v>
      </c>
      <c r="B22631" s="2" t="s">
        <v>44235</v>
      </c>
      <c r="C22631" s="2" t="s">
        <v>124</v>
      </c>
      <c r="D22631" s="2" t="s">
        <v>1541</v>
      </c>
      <c r="E22631" s="2" t="str">
        <f>"9781041182597"</f>
        <v>9781041182597</v>
      </c>
      <c r="F22631" s="2" t="str">
        <f>"9781040800256"</f>
        <v>9781040800256</v>
      </c>
    </row>
    <row r="22632" spans="1:6" s="3" customFormat="1" ht="29.1" customHeight="1" x14ac:dyDescent="0.25">
      <c r="A22632" s="2" t="s">
        <v>44236</v>
      </c>
      <c r="B22632" s="2" t="s">
        <v>44237</v>
      </c>
      <c r="C22632" s="2" t="s">
        <v>124</v>
      </c>
      <c r="D22632" s="2" t="s">
        <v>69</v>
      </c>
      <c r="E22632" s="2" t="str">
        <f>"9781041182160"</f>
        <v>9781041182160</v>
      </c>
      <c r="F22632" s="2" t="str">
        <f>"9781040790397"</f>
        <v>9781040790397</v>
      </c>
    </row>
    <row r="22633" spans="1:6" s="3" customFormat="1" ht="29.1" customHeight="1" x14ac:dyDescent="0.25">
      <c r="A22633" s="2" t="s">
        <v>44238</v>
      </c>
      <c r="B22633" s="2" t="s">
        <v>44239</v>
      </c>
      <c r="C22633" s="2" t="s">
        <v>124</v>
      </c>
      <c r="D22633" s="2" t="s">
        <v>6123</v>
      </c>
      <c r="E22633" s="2" t="str">
        <f>"9781041179832"</f>
        <v>9781041179832</v>
      </c>
      <c r="F22633" s="2" t="str">
        <f>"9781040777756"</f>
        <v>9781040777756</v>
      </c>
    </row>
    <row r="22634" spans="1:6" s="3" customFormat="1" ht="29.1" customHeight="1" x14ac:dyDescent="0.25">
      <c r="A22634" s="2" t="s">
        <v>44240</v>
      </c>
      <c r="B22634" s="2" t="s">
        <v>44241</v>
      </c>
      <c r="C22634" s="2" t="s">
        <v>124</v>
      </c>
      <c r="D22634" s="2" t="s">
        <v>5060</v>
      </c>
      <c r="E22634" s="2" t="str">
        <f>"9781041178699"</f>
        <v>9781041178699</v>
      </c>
      <c r="F22634" s="2" t="str">
        <f>"9781003694694"</f>
        <v>9781003694694</v>
      </c>
    </row>
    <row r="22635" spans="1:6" s="3" customFormat="1" ht="29.1" customHeight="1" x14ac:dyDescent="0.25">
      <c r="A22635" s="2" t="s">
        <v>44242</v>
      </c>
      <c r="B22635" s="2" t="s">
        <v>44243</v>
      </c>
      <c r="C22635" s="2" t="s">
        <v>124</v>
      </c>
      <c r="D22635" s="2" t="s">
        <v>1722</v>
      </c>
      <c r="E22635" s="2" t="str">
        <f>"9781041177470"</f>
        <v>9781041177470</v>
      </c>
      <c r="F22635" s="2" t="str">
        <f>"9781040790618"</f>
        <v>9781040790618</v>
      </c>
    </row>
    <row r="22636" spans="1:6" s="3" customFormat="1" ht="29.1" customHeight="1" x14ac:dyDescent="0.25">
      <c r="A22636" s="2" t="s">
        <v>44244</v>
      </c>
      <c r="B22636" s="2" t="s">
        <v>44245</v>
      </c>
      <c r="C22636" s="2" t="s">
        <v>124</v>
      </c>
      <c r="D22636" s="2" t="s">
        <v>49</v>
      </c>
      <c r="E22636" s="2" t="str">
        <f>"9781041176831"</f>
        <v>9781041176831</v>
      </c>
      <c r="F22636" s="2" t="str">
        <f>"9781040780916"</f>
        <v>9781040780916</v>
      </c>
    </row>
    <row r="22637" spans="1:6" s="3" customFormat="1" ht="29.1" customHeight="1" x14ac:dyDescent="0.25">
      <c r="A22637" s="2" t="s">
        <v>44246</v>
      </c>
      <c r="B22637" s="2" t="s">
        <v>44247</v>
      </c>
      <c r="C22637" s="2" t="s">
        <v>927</v>
      </c>
      <c r="D22637" s="2" t="s">
        <v>66</v>
      </c>
      <c r="E22637" s="2" t="str">
        <f>"9780472130917"</f>
        <v>9780472130917</v>
      </c>
      <c r="F22637" s="2" t="str">
        <f>"9780472124060"</f>
        <v>9780472124060</v>
      </c>
    </row>
    <row r="22638" spans="1:6" s="3" customFormat="1" ht="29.1" customHeight="1" x14ac:dyDescent="0.25">
      <c r="A22638" s="2" t="s">
        <v>44248</v>
      </c>
      <c r="B22638" s="2" t="s">
        <v>44249</v>
      </c>
      <c r="C22638" s="2" t="s">
        <v>605</v>
      </c>
      <c r="D22638" s="2" t="s">
        <v>7766</v>
      </c>
      <c r="E22638" s="2" t="str">
        <f>"9789654062305"</f>
        <v>9789654062305</v>
      </c>
      <c r="F22638" s="2" t="str">
        <f>"9789654065788"</f>
        <v>9789654065788</v>
      </c>
    </row>
    <row r="22639" spans="1:6" s="3" customFormat="1" ht="29.1" customHeight="1" x14ac:dyDescent="0.25">
      <c r="A22639" s="2" t="s">
        <v>44251</v>
      </c>
      <c r="B22639" s="2" t="s">
        <v>44252</v>
      </c>
      <c r="C22639" s="2" t="s">
        <v>605</v>
      </c>
      <c r="D22639" s="2" t="s">
        <v>606</v>
      </c>
      <c r="E22639" s="2" t="str">
        <f>"9789654062237"</f>
        <v>9789654062237</v>
      </c>
      <c r="F22639" s="2" t="str">
        <f>"9789654065771"</f>
        <v>9789654065771</v>
      </c>
    </row>
    <row r="22640" spans="1:6" s="3" customFormat="1" ht="29.1" customHeight="1" x14ac:dyDescent="0.25">
      <c r="A22640" s="2" t="s">
        <v>44250</v>
      </c>
      <c r="B22640" s="2" t="s">
        <v>44253</v>
      </c>
      <c r="C22640" s="2" t="s">
        <v>605</v>
      </c>
      <c r="D22640" s="2" t="s">
        <v>606</v>
      </c>
      <c r="E22640" s="2" t="str">
        <f>"9789654062220"</f>
        <v>9789654062220</v>
      </c>
      <c r="F22640" s="2" t="str">
        <f>"9789654065764"</f>
        <v>9789654065764</v>
      </c>
    </row>
    <row r="22641" spans="1:6" s="3" customFormat="1" ht="29.1" customHeight="1" x14ac:dyDescent="0.25">
      <c r="A22641" s="2" t="s">
        <v>44250</v>
      </c>
      <c r="B22641" s="2" t="s">
        <v>44254</v>
      </c>
      <c r="C22641" s="2" t="s">
        <v>605</v>
      </c>
      <c r="D22641" s="2" t="s">
        <v>462</v>
      </c>
      <c r="E22641" s="2" t="str">
        <f>"9789654062152"</f>
        <v>9789654062152</v>
      </c>
      <c r="F22641" s="2" t="str">
        <f>"9789654065757"</f>
        <v>9789654065757</v>
      </c>
    </row>
    <row r="22642" spans="1:6" s="3" customFormat="1" ht="29.1" customHeight="1" x14ac:dyDescent="0.25">
      <c r="A22642" s="2" t="s">
        <v>44255</v>
      </c>
      <c r="B22642" s="2" t="s">
        <v>44256</v>
      </c>
      <c r="C22642" s="2" t="s">
        <v>195</v>
      </c>
      <c r="D22642" s="2" t="s">
        <v>1466</v>
      </c>
      <c r="E22642" s="2" t="str">
        <f>"9783110526783"</f>
        <v>9783110526783</v>
      </c>
      <c r="F22642" s="2" t="str">
        <f>"9783110526820"</f>
        <v>9783110526820</v>
      </c>
    </row>
    <row r="22643" spans="1:6" s="3" customFormat="1" ht="29.1" customHeight="1" x14ac:dyDescent="0.25">
      <c r="A22643" s="2" t="s">
        <v>44257</v>
      </c>
      <c r="B22643" s="2" t="s">
        <v>44258</v>
      </c>
      <c r="C22643" s="2" t="s">
        <v>124</v>
      </c>
      <c r="D22643" s="2" t="s">
        <v>408</v>
      </c>
      <c r="E22643" s="2" t="str">
        <f>"9781041183891"</f>
        <v>9781041183891</v>
      </c>
      <c r="F22643" s="2" t="str">
        <f>"9781003701057"</f>
        <v>9781003701057</v>
      </c>
    </row>
    <row r="22644" spans="1:6" s="3" customFormat="1" ht="29.1" customHeight="1" x14ac:dyDescent="0.25">
      <c r="A22644" s="2" t="s">
        <v>44259</v>
      </c>
      <c r="B22644" s="2" t="s">
        <v>44260</v>
      </c>
      <c r="C22644" s="2" t="s">
        <v>4104</v>
      </c>
      <c r="D22644" s="2" t="s">
        <v>156</v>
      </c>
      <c r="E22644" s="2" t="str">
        <f>"9781786941251"</f>
        <v>9781786941251</v>
      </c>
      <c r="F22644" s="2" t="str">
        <f>"9781786948809"</f>
        <v>9781786948809</v>
      </c>
    </row>
    <row r="22645" spans="1:6" s="3" customFormat="1" ht="29.1" customHeight="1" x14ac:dyDescent="0.25">
      <c r="A22645" s="2" t="s">
        <v>44261</v>
      </c>
      <c r="B22645" s="2" t="s">
        <v>44262</v>
      </c>
      <c r="C22645" s="2" t="s">
        <v>124</v>
      </c>
      <c r="D22645" s="2" t="s">
        <v>1189</v>
      </c>
      <c r="E22645" s="2" t="str">
        <f>"9780367587567"</f>
        <v>9780367587567</v>
      </c>
      <c r="F22645" s="2" t="str">
        <f>"9781315191195"</f>
        <v>9781315191195</v>
      </c>
    </row>
    <row r="22646" spans="1:6" s="3" customFormat="1" ht="29.1" customHeight="1" x14ac:dyDescent="0.25">
      <c r="A22646" s="2" t="s">
        <v>44263</v>
      </c>
      <c r="B22646" s="2" t="s">
        <v>44264</v>
      </c>
      <c r="C22646" s="2" t="s">
        <v>124</v>
      </c>
      <c r="D22646" s="2" t="s">
        <v>210</v>
      </c>
      <c r="E22646" s="2" t="str">
        <f>"9781138065215"</f>
        <v>9781138065215</v>
      </c>
      <c r="F22646" s="2" t="str">
        <f>"9781351660921"</f>
        <v>9781351660921</v>
      </c>
    </row>
    <row r="22647" spans="1:6" s="3" customFormat="1" ht="29.1" customHeight="1" x14ac:dyDescent="0.25">
      <c r="A22647" s="2" t="s">
        <v>44265</v>
      </c>
      <c r="B22647" s="2" t="s">
        <v>44266</v>
      </c>
      <c r="C22647" s="2" t="s">
        <v>26676</v>
      </c>
      <c r="D22647" s="2" t="s">
        <v>40383</v>
      </c>
      <c r="E22647" s="2" t="str">
        <f>"9781618116161"</f>
        <v>9781618116161</v>
      </c>
      <c r="F22647" s="2" t="str">
        <f>"9781618116178"</f>
        <v>9781618116178</v>
      </c>
    </row>
    <row r="22648" spans="1:6" s="3" customFormat="1" ht="29.1" customHeight="1" x14ac:dyDescent="0.25">
      <c r="A22648" s="2" t="s">
        <v>44267</v>
      </c>
      <c r="B22648" s="2" t="s">
        <v>44268</v>
      </c>
      <c r="C22648" s="2" t="s">
        <v>26676</v>
      </c>
      <c r="D22648" s="2" t="s">
        <v>9894</v>
      </c>
      <c r="E22648" s="2" t="str">
        <f>"9781618117533"</f>
        <v>9781618117533</v>
      </c>
      <c r="F22648" s="2" t="str">
        <f>"9781618117540"</f>
        <v>9781618117540</v>
      </c>
    </row>
    <row r="22649" spans="1:6" s="3" customFormat="1" ht="29.1" customHeight="1" x14ac:dyDescent="0.25">
      <c r="A22649" s="2" t="s">
        <v>44269</v>
      </c>
      <c r="B22649" s="2" t="s">
        <v>44270</v>
      </c>
      <c r="C22649" s="2" t="s">
        <v>59</v>
      </c>
      <c r="D22649" s="2" t="s">
        <v>2086</v>
      </c>
      <c r="E22649" s="2" t="str">
        <f>"9782759227563"</f>
        <v>9782759227563</v>
      </c>
      <c r="F22649" s="2" t="str">
        <f>"9782759227570"</f>
        <v>9782759227570</v>
      </c>
    </row>
    <row r="22650" spans="1:6" s="3" customFormat="1" ht="29.1" customHeight="1" x14ac:dyDescent="0.25">
      <c r="A22650" s="2" t="s">
        <v>44271</v>
      </c>
      <c r="B22650" s="2" t="s">
        <v>44272</v>
      </c>
      <c r="C22650" s="2" t="s">
        <v>59</v>
      </c>
      <c r="D22650" s="2" t="s">
        <v>1806</v>
      </c>
      <c r="E22650" s="2" t="str">
        <f>"9782759228126"</f>
        <v>9782759228126</v>
      </c>
      <c r="F22650" s="2" t="str">
        <f>"9782759228133"</f>
        <v>9782759228133</v>
      </c>
    </row>
    <row r="22651" spans="1:6" s="3" customFormat="1" ht="29.1" customHeight="1" x14ac:dyDescent="0.25">
      <c r="A22651" s="2" t="s">
        <v>44273</v>
      </c>
      <c r="B22651" s="2" t="s">
        <v>44275</v>
      </c>
      <c r="C22651" s="2" t="s">
        <v>124</v>
      </c>
      <c r="D22651" s="2" t="s">
        <v>44274</v>
      </c>
      <c r="E22651" s="2" t="str">
        <f>"9781138691094"</f>
        <v>9781138691094</v>
      </c>
      <c r="F22651" s="2" t="str">
        <f>"9781315536118"</f>
        <v>9781315536118</v>
      </c>
    </row>
    <row r="22652" spans="1:6" s="3" customFormat="1" ht="29.1" customHeight="1" x14ac:dyDescent="0.25">
      <c r="A22652" s="2" t="s">
        <v>44276</v>
      </c>
      <c r="B22652" s="2" t="s">
        <v>44277</v>
      </c>
      <c r="C22652" s="2" t="s">
        <v>124</v>
      </c>
      <c r="D22652" s="2" t="s">
        <v>297</v>
      </c>
      <c r="E22652" s="2" t="str">
        <f>"9781138091870"</f>
        <v>9781138091870</v>
      </c>
      <c r="F22652" s="2" t="str">
        <f>"9781351608169"</f>
        <v>9781351608169</v>
      </c>
    </row>
    <row r="22653" spans="1:6" s="3" customFormat="1" ht="29.1" customHeight="1" x14ac:dyDescent="0.25">
      <c r="A22653" s="2" t="s">
        <v>44278</v>
      </c>
      <c r="B22653" s="2" t="s">
        <v>44279</v>
      </c>
      <c r="C22653" s="2" t="s">
        <v>36</v>
      </c>
      <c r="D22653" s="2" t="s">
        <v>34460</v>
      </c>
      <c r="E22653" s="2"/>
      <c r="F22653" s="2" t="str">
        <f>"9781447347545"</f>
        <v>9781447347545</v>
      </c>
    </row>
    <row r="22654" spans="1:6" s="3" customFormat="1" ht="29.1" customHeight="1" x14ac:dyDescent="0.25">
      <c r="A22654" s="2" t="s">
        <v>44280</v>
      </c>
      <c r="B22654" s="2" t="s">
        <v>44281</v>
      </c>
      <c r="C22654" s="2" t="s">
        <v>36</v>
      </c>
      <c r="D22654" s="2" t="s">
        <v>183</v>
      </c>
      <c r="E22654" s="2"/>
      <c r="F22654" s="2" t="str">
        <f>"9781447340638"</f>
        <v>9781447340638</v>
      </c>
    </row>
    <row r="22655" spans="1:6" s="3" customFormat="1" ht="29.1" customHeight="1" x14ac:dyDescent="0.25">
      <c r="A22655" s="2" t="s">
        <v>44282</v>
      </c>
      <c r="B22655" s="2" t="s">
        <v>44283</v>
      </c>
      <c r="C22655" s="2" t="s">
        <v>264</v>
      </c>
      <c r="D22655" s="2" t="s">
        <v>20678</v>
      </c>
      <c r="E22655" s="2" t="str">
        <f>"9788793609693"</f>
        <v>9788793609693</v>
      </c>
      <c r="F22655" s="2" t="str">
        <f>"9788770220804"</f>
        <v>9788770220804</v>
      </c>
    </row>
    <row r="22656" spans="1:6" s="3" customFormat="1" ht="29.1" customHeight="1" x14ac:dyDescent="0.25">
      <c r="A22656" s="2" t="s">
        <v>44284</v>
      </c>
      <c r="B22656" s="2" t="s">
        <v>44285</v>
      </c>
      <c r="C22656" s="2" t="s">
        <v>264</v>
      </c>
      <c r="D22656" s="2" t="s">
        <v>12465</v>
      </c>
      <c r="E22656" s="2" t="str">
        <f>"9788793519725"</f>
        <v>9788793519725</v>
      </c>
      <c r="F22656" s="2" t="str">
        <f>"9788793519718"</f>
        <v>9788793519718</v>
      </c>
    </row>
    <row r="22657" spans="1:6" s="3" customFormat="1" ht="29.1" customHeight="1" x14ac:dyDescent="0.25">
      <c r="A22657" s="2" t="s">
        <v>44286</v>
      </c>
      <c r="B22657" s="2" t="s">
        <v>44287</v>
      </c>
      <c r="C22657" s="2" t="s">
        <v>7395</v>
      </c>
      <c r="D22657" s="2" t="s">
        <v>49</v>
      </c>
      <c r="E22657" s="2" t="str">
        <f>"9780295742519"</f>
        <v>9780295742519</v>
      </c>
      <c r="F22657" s="2" t="str">
        <f>"9780295742533"</f>
        <v>9780295742533</v>
      </c>
    </row>
    <row r="22658" spans="1:6" s="3" customFormat="1" ht="29.1" customHeight="1" x14ac:dyDescent="0.25">
      <c r="A22658" s="2" t="s">
        <v>44288</v>
      </c>
      <c r="B22658" s="2" t="s">
        <v>44289</v>
      </c>
      <c r="C22658" s="2" t="s">
        <v>195</v>
      </c>
      <c r="D22658" s="2" t="s">
        <v>107</v>
      </c>
      <c r="E22658" s="2" t="str">
        <f>"9783486560695"</f>
        <v>9783486560695</v>
      </c>
      <c r="F22658" s="2" t="str">
        <f>"9783486594294"</f>
        <v>9783486594294</v>
      </c>
    </row>
    <row r="22659" spans="1:6" s="3" customFormat="1" ht="29.1" customHeight="1" x14ac:dyDescent="0.25">
      <c r="A22659" s="2" t="s">
        <v>44290</v>
      </c>
      <c r="B22659" s="2" t="s">
        <v>44291</v>
      </c>
      <c r="C22659" s="2" t="s">
        <v>34257</v>
      </c>
      <c r="D22659" s="2" t="s">
        <v>278</v>
      </c>
      <c r="E22659" s="2" t="str">
        <f>"9780745338200"</f>
        <v>9780745338200</v>
      </c>
      <c r="F22659" s="2" t="str">
        <f>"9781786803153"</f>
        <v>9781786803153</v>
      </c>
    </row>
    <row r="22660" spans="1:6" s="3" customFormat="1" ht="29.1" customHeight="1" x14ac:dyDescent="0.25">
      <c r="A22660" s="2" t="s">
        <v>36652</v>
      </c>
      <c r="B22660" s="2" t="s">
        <v>44292</v>
      </c>
      <c r="C22660" s="2" t="s">
        <v>149</v>
      </c>
      <c r="D22660" s="2" t="s">
        <v>758</v>
      </c>
      <c r="E22660" s="2" t="str">
        <f>"9781783744282"</f>
        <v>9781783744282</v>
      </c>
      <c r="F22660" s="2" t="str">
        <f>"9781783744305"</f>
        <v>9781783744305</v>
      </c>
    </row>
    <row r="22661" spans="1:6" s="3" customFormat="1" ht="29.1" customHeight="1" x14ac:dyDescent="0.25">
      <c r="A22661" s="2" t="s">
        <v>43569</v>
      </c>
      <c r="B22661" s="2" t="s">
        <v>30969</v>
      </c>
      <c r="C22661" s="2" t="s">
        <v>149</v>
      </c>
      <c r="D22661" s="2" t="s">
        <v>25933</v>
      </c>
      <c r="E22661" s="2" t="str">
        <f>"9781783745067"</f>
        <v>9781783745067</v>
      </c>
      <c r="F22661" s="2" t="str">
        <f>"9781783745081"</f>
        <v>9781783745081</v>
      </c>
    </row>
    <row r="22662" spans="1:6" s="3" customFormat="1" ht="29.1" customHeight="1" x14ac:dyDescent="0.25">
      <c r="A22662" s="2" t="s">
        <v>44293</v>
      </c>
      <c r="B22662" s="2" t="s">
        <v>44294</v>
      </c>
      <c r="C22662" s="2" t="s">
        <v>149</v>
      </c>
      <c r="D22662" s="2" t="s">
        <v>29734</v>
      </c>
      <c r="E22662" s="2" t="str">
        <f>"9781783744411"</f>
        <v>9781783744411</v>
      </c>
      <c r="F22662" s="2" t="str">
        <f>"9781783744435"</f>
        <v>9781783744435</v>
      </c>
    </row>
    <row r="22663" spans="1:6" s="3" customFormat="1" ht="29.1" customHeight="1" x14ac:dyDescent="0.25">
      <c r="A22663" s="2" t="s">
        <v>44295</v>
      </c>
      <c r="B22663" s="2" t="s">
        <v>44296</v>
      </c>
      <c r="C22663" s="2" t="s">
        <v>149</v>
      </c>
      <c r="D22663" s="2" t="s">
        <v>36101</v>
      </c>
      <c r="E22663" s="2" t="str">
        <f>"9781783744466"</f>
        <v>9781783744466</v>
      </c>
      <c r="F22663" s="2" t="str">
        <f>"9781783744480"</f>
        <v>9781783744480</v>
      </c>
    </row>
    <row r="22664" spans="1:6" s="3" customFormat="1" ht="29.1" customHeight="1" x14ac:dyDescent="0.25">
      <c r="A22664" s="2" t="s">
        <v>43569</v>
      </c>
      <c r="B22664" s="2" t="s">
        <v>30969</v>
      </c>
      <c r="C22664" s="2" t="s">
        <v>149</v>
      </c>
      <c r="D22664" s="2" t="s">
        <v>25933</v>
      </c>
      <c r="E22664" s="2" t="str">
        <f>"9781783744336"</f>
        <v>9781783744336</v>
      </c>
      <c r="F22664" s="2" t="str">
        <f>"9781783744350"</f>
        <v>9781783744350</v>
      </c>
    </row>
    <row r="22665" spans="1:6" s="3" customFormat="1" ht="29.1" customHeight="1" x14ac:dyDescent="0.25">
      <c r="A22665" s="2" t="s">
        <v>44297</v>
      </c>
      <c r="B22665" s="2" t="s">
        <v>44298</v>
      </c>
      <c r="C22665" s="2" t="s">
        <v>149</v>
      </c>
      <c r="D22665" s="2" t="s">
        <v>2142</v>
      </c>
      <c r="E22665" s="2" t="str">
        <f>"9781783744787"</f>
        <v>9781783744787</v>
      </c>
      <c r="F22665" s="2" t="str">
        <f>"9781783744800"</f>
        <v>9781783744800</v>
      </c>
    </row>
    <row r="22666" spans="1:6" s="3" customFormat="1" ht="29.1" customHeight="1" x14ac:dyDescent="0.25">
      <c r="A22666" s="2" t="s">
        <v>44299</v>
      </c>
      <c r="B22666" s="2" t="s">
        <v>44300</v>
      </c>
      <c r="C22666" s="2" t="s">
        <v>149</v>
      </c>
      <c r="D22666" s="2" t="s">
        <v>465</v>
      </c>
      <c r="E22666" s="2" t="str">
        <f>"9781783743933"</f>
        <v>9781783743933</v>
      </c>
      <c r="F22666" s="2" t="str">
        <f>"9781783743957"</f>
        <v>9781783743957</v>
      </c>
    </row>
    <row r="22667" spans="1:6" s="3" customFormat="1" ht="29.1" customHeight="1" x14ac:dyDescent="0.25">
      <c r="A22667" s="2" t="s">
        <v>44301</v>
      </c>
      <c r="B22667" s="2" t="s">
        <v>44302</v>
      </c>
      <c r="C22667" s="2" t="s">
        <v>4788</v>
      </c>
      <c r="D22667" s="2" t="s">
        <v>29812</v>
      </c>
      <c r="E22667" s="2" t="str">
        <f>"9781474414661"</f>
        <v>9781474414661</v>
      </c>
      <c r="F22667" s="2" t="str">
        <f>"9781474414678"</f>
        <v>9781474414678</v>
      </c>
    </row>
    <row r="22668" spans="1:6" s="3" customFormat="1" ht="29.1" customHeight="1" x14ac:dyDescent="0.25">
      <c r="A22668" s="2" t="s">
        <v>44303</v>
      </c>
      <c r="B22668" s="2" t="s">
        <v>44304</v>
      </c>
      <c r="C22668" s="2" t="s">
        <v>4788</v>
      </c>
      <c r="D22668" s="2" t="s">
        <v>12120</v>
      </c>
      <c r="E22668" s="2" t="str">
        <f>"9781474432870"</f>
        <v>9781474432870</v>
      </c>
      <c r="F22668" s="2" t="str">
        <f>"9781474432894"</f>
        <v>9781474432894</v>
      </c>
    </row>
    <row r="22669" spans="1:6" s="3" customFormat="1" ht="29.1" customHeight="1" x14ac:dyDescent="0.25">
      <c r="A22669" s="2" t="s">
        <v>44305</v>
      </c>
      <c r="B22669" s="2" t="s">
        <v>44306</v>
      </c>
      <c r="C22669" s="2" t="s">
        <v>605</v>
      </c>
      <c r="D22669" s="2" t="s">
        <v>606</v>
      </c>
      <c r="E22669" s="2" t="str">
        <f>"9789654062343"</f>
        <v>9789654062343</v>
      </c>
      <c r="F22669" s="2" t="str">
        <f>"9789654065825"</f>
        <v>9789654065825</v>
      </c>
    </row>
    <row r="22670" spans="1:6" s="3" customFormat="1" ht="29.1" customHeight="1" x14ac:dyDescent="0.25">
      <c r="A22670" s="2" t="s">
        <v>44307</v>
      </c>
      <c r="B22670" s="2" t="s">
        <v>44308</v>
      </c>
      <c r="C22670" s="2" t="s">
        <v>605</v>
      </c>
      <c r="D22670" s="2" t="s">
        <v>462</v>
      </c>
      <c r="E22670" s="2" t="str">
        <f>"9789654062268"</f>
        <v>9789654062268</v>
      </c>
      <c r="F22670" s="2" t="str">
        <f>"9789654065795"</f>
        <v>9789654065795</v>
      </c>
    </row>
    <row r="22671" spans="1:6" s="3" customFormat="1" ht="29.1" customHeight="1" x14ac:dyDescent="0.25">
      <c r="A22671" s="2" t="s">
        <v>44309</v>
      </c>
      <c r="B22671" s="2" t="s">
        <v>44310</v>
      </c>
      <c r="C22671" s="2" t="s">
        <v>605</v>
      </c>
      <c r="D22671" s="2" t="s">
        <v>606</v>
      </c>
      <c r="E22671" s="2" t="str">
        <f>"9789654062350"</f>
        <v>9789654062350</v>
      </c>
      <c r="F22671" s="2" t="str">
        <f>"9789654065832"</f>
        <v>9789654065832</v>
      </c>
    </row>
    <row r="22672" spans="1:6" s="3" customFormat="1" ht="29.1" customHeight="1" x14ac:dyDescent="0.25">
      <c r="A22672" s="2" t="s">
        <v>44311</v>
      </c>
      <c r="B22672" s="2" t="s">
        <v>44312</v>
      </c>
      <c r="C22672" s="2" t="s">
        <v>605</v>
      </c>
      <c r="D22672" s="2" t="s">
        <v>462</v>
      </c>
      <c r="E22672" s="2" t="str">
        <f>"9789654062336"</f>
        <v>9789654062336</v>
      </c>
      <c r="F22672" s="2" t="str">
        <f>"9789654065818"</f>
        <v>9789654065818</v>
      </c>
    </row>
    <row r="22673" spans="1:6" s="3" customFormat="1" ht="29.1" customHeight="1" x14ac:dyDescent="0.25">
      <c r="A22673" s="2" t="s">
        <v>44307</v>
      </c>
      <c r="B22673" s="2" t="s">
        <v>44313</v>
      </c>
      <c r="C22673" s="2" t="s">
        <v>605</v>
      </c>
      <c r="D22673" s="2" t="s">
        <v>462</v>
      </c>
      <c r="E22673" s="2" t="str">
        <f>"9789654062275"</f>
        <v>9789654062275</v>
      </c>
      <c r="F22673" s="2" t="str">
        <f>"9789654065801"</f>
        <v>9789654065801</v>
      </c>
    </row>
    <row r="22674" spans="1:6" s="3" customFormat="1" ht="29.1" customHeight="1" x14ac:dyDescent="0.25">
      <c r="A22674" s="2" t="s">
        <v>44314</v>
      </c>
      <c r="B22674" s="2" t="s">
        <v>44315</v>
      </c>
      <c r="C22674" s="2" t="s">
        <v>195</v>
      </c>
      <c r="D22674" s="2" t="s">
        <v>446</v>
      </c>
      <c r="E22674" s="2" t="str">
        <f>"9783110586879"</f>
        <v>9783110586879</v>
      </c>
      <c r="F22674" s="2" t="str">
        <f>"9783110588835"</f>
        <v>9783110588835</v>
      </c>
    </row>
    <row r="22675" spans="1:6" s="3" customFormat="1" ht="29.1" customHeight="1" x14ac:dyDescent="0.25">
      <c r="A22675" s="2" t="s">
        <v>44316</v>
      </c>
      <c r="B22675" s="2" t="s">
        <v>44317</v>
      </c>
      <c r="C22675" s="2" t="s">
        <v>556</v>
      </c>
      <c r="D22675" s="2" t="s">
        <v>11897</v>
      </c>
      <c r="E22675" s="2" t="str">
        <f>"9783837644418"</f>
        <v>9783837644418</v>
      </c>
      <c r="F22675" s="2" t="str">
        <f>"9783839444412"</f>
        <v>9783839444412</v>
      </c>
    </row>
    <row r="22676" spans="1:6" s="3" customFormat="1" ht="29.1" customHeight="1" x14ac:dyDescent="0.25">
      <c r="A22676" s="2" t="s">
        <v>44318</v>
      </c>
      <c r="B22676" s="2" t="s">
        <v>44319</v>
      </c>
      <c r="C22676" s="2" t="s">
        <v>556</v>
      </c>
      <c r="D22676" s="2" t="s">
        <v>6113</v>
      </c>
      <c r="E22676" s="2" t="str">
        <f>"9783837644340"</f>
        <v>9783837644340</v>
      </c>
      <c r="F22676" s="2" t="str">
        <f>"9783839444344"</f>
        <v>9783839444344</v>
      </c>
    </row>
    <row r="22677" spans="1:6" s="3" customFormat="1" ht="29.1" customHeight="1" x14ac:dyDescent="0.25">
      <c r="A22677" s="2" t="s">
        <v>44320</v>
      </c>
      <c r="B22677" s="2" t="s">
        <v>44321</v>
      </c>
      <c r="C22677" s="2" t="s">
        <v>556</v>
      </c>
      <c r="D22677" s="2" t="s">
        <v>2326</v>
      </c>
      <c r="E22677" s="2" t="str">
        <f>"9783837643220"</f>
        <v>9783837643220</v>
      </c>
      <c r="F22677" s="2" t="str">
        <f>"9783839443224"</f>
        <v>9783839443224</v>
      </c>
    </row>
    <row r="22678" spans="1:6" s="3" customFormat="1" ht="29.1" customHeight="1" x14ac:dyDescent="0.25">
      <c r="A22678" s="2" t="s">
        <v>44322</v>
      </c>
      <c r="B22678" s="2" t="s">
        <v>44323</v>
      </c>
      <c r="C22678" s="2" t="s">
        <v>556</v>
      </c>
      <c r="D22678" s="2" t="s">
        <v>3345</v>
      </c>
      <c r="E22678" s="2" t="str">
        <f>"9783837643176"</f>
        <v>9783837643176</v>
      </c>
      <c r="F22678" s="2" t="str">
        <f>"9783839443170"</f>
        <v>9783839443170</v>
      </c>
    </row>
    <row r="22679" spans="1:6" s="3" customFormat="1" ht="29.1" customHeight="1" x14ac:dyDescent="0.25">
      <c r="A22679" s="2" t="s">
        <v>44324</v>
      </c>
      <c r="B22679" s="2" t="s">
        <v>44325</v>
      </c>
      <c r="C22679" s="2" t="s">
        <v>556</v>
      </c>
      <c r="D22679" s="2" t="s">
        <v>43611</v>
      </c>
      <c r="E22679" s="2" t="str">
        <f>"9783837642094"</f>
        <v>9783837642094</v>
      </c>
      <c r="F22679" s="2" t="str">
        <f>"9783839442098"</f>
        <v>9783839442098</v>
      </c>
    </row>
    <row r="22680" spans="1:6" s="3" customFormat="1" ht="29.1" customHeight="1" x14ac:dyDescent="0.25">
      <c r="A22680" s="2" t="s">
        <v>44326</v>
      </c>
      <c r="B22680" s="2" t="s">
        <v>18400</v>
      </c>
      <c r="C22680" s="2" t="s">
        <v>556</v>
      </c>
      <c r="D22680" s="2" t="s">
        <v>689</v>
      </c>
      <c r="E22680" s="2" t="str">
        <f>"9783837641622"</f>
        <v>9783837641622</v>
      </c>
      <c r="F22680" s="2" t="str">
        <f>"9783839441626"</f>
        <v>9783839441626</v>
      </c>
    </row>
    <row r="22681" spans="1:6" s="3" customFormat="1" ht="29.1" customHeight="1" x14ac:dyDescent="0.25">
      <c r="A22681" s="2" t="s">
        <v>44327</v>
      </c>
      <c r="B22681" s="2" t="s">
        <v>44328</v>
      </c>
      <c r="C22681" s="2" t="s">
        <v>556</v>
      </c>
      <c r="D22681" s="2"/>
      <c r="E22681" s="2" t="str">
        <f>"9783837639346"</f>
        <v>9783837639346</v>
      </c>
      <c r="F22681" s="2" t="str">
        <f>"9783839439340"</f>
        <v>9783839439340</v>
      </c>
    </row>
    <row r="22682" spans="1:6" s="3" customFormat="1" ht="29.1" customHeight="1" x14ac:dyDescent="0.25">
      <c r="A22682" s="2" t="s">
        <v>44329</v>
      </c>
      <c r="B22682" s="2" t="s">
        <v>44330</v>
      </c>
      <c r="C22682" s="2" t="s">
        <v>248</v>
      </c>
      <c r="D22682" s="2" t="s">
        <v>249</v>
      </c>
      <c r="E22682" s="2" t="str">
        <f>"9783847421535"</f>
        <v>9783847421535</v>
      </c>
      <c r="F22682" s="2" t="str">
        <f>"9783847411741"</f>
        <v>9783847411741</v>
      </c>
    </row>
    <row r="22683" spans="1:6" s="3" customFormat="1" ht="29.1" customHeight="1" x14ac:dyDescent="0.25">
      <c r="A22683" s="2" t="s">
        <v>44331</v>
      </c>
      <c r="B22683" s="2" t="s">
        <v>44332</v>
      </c>
      <c r="C22683" s="2" t="s">
        <v>248</v>
      </c>
      <c r="D22683" s="2" t="s">
        <v>501</v>
      </c>
      <c r="E22683" s="2" t="str">
        <f>"9783847420255"</f>
        <v>9783847420255</v>
      </c>
      <c r="F22683" s="2" t="str">
        <f>"9783847410164"</f>
        <v>9783847410164</v>
      </c>
    </row>
    <row r="22684" spans="1:6" s="3" customFormat="1" ht="29.1" customHeight="1" x14ac:dyDescent="0.25">
      <c r="A22684" s="2" t="s">
        <v>44333</v>
      </c>
      <c r="B22684" s="2" t="s">
        <v>44334</v>
      </c>
      <c r="C22684" s="2" t="s">
        <v>36</v>
      </c>
      <c r="D22684" s="2" t="s">
        <v>11489</v>
      </c>
      <c r="E22684" s="2"/>
      <c r="F22684" s="2" t="str">
        <f>"9781447346227"</f>
        <v>9781447346227</v>
      </c>
    </row>
    <row r="22685" spans="1:6" s="3" customFormat="1" ht="29.1" customHeight="1" x14ac:dyDescent="0.25">
      <c r="A22685" s="2" t="s">
        <v>44335</v>
      </c>
      <c r="B22685" s="2" t="s">
        <v>44336</v>
      </c>
      <c r="C22685" s="2" t="s">
        <v>927</v>
      </c>
      <c r="D22685" s="2" t="s">
        <v>33</v>
      </c>
      <c r="E22685" s="2" t="str">
        <f>"9780472054039"</f>
        <v>9780472054039</v>
      </c>
      <c r="F22685" s="2" t="str">
        <f>"9780472124343"</f>
        <v>9780472124343</v>
      </c>
    </row>
    <row r="22686" spans="1:6" s="3" customFormat="1" ht="29.1" customHeight="1" x14ac:dyDescent="0.25">
      <c r="A22686" s="2" t="s">
        <v>44337</v>
      </c>
      <c r="B22686" s="2" t="s">
        <v>44338</v>
      </c>
      <c r="C22686" s="2" t="s">
        <v>316</v>
      </c>
      <c r="D22686" s="2" t="s">
        <v>317</v>
      </c>
      <c r="E22686" s="2" t="str">
        <f>"9783035710557"</f>
        <v>9783035710557</v>
      </c>
      <c r="F22686" s="2" t="str">
        <f>"9783035730555"</f>
        <v>9783035730555</v>
      </c>
    </row>
    <row r="22687" spans="1:6" s="3" customFormat="1" ht="29.1" customHeight="1" x14ac:dyDescent="0.25">
      <c r="A22687" s="2" t="s">
        <v>44339</v>
      </c>
      <c r="B22687" s="2" t="s">
        <v>44340</v>
      </c>
      <c r="C22687" s="2" t="s">
        <v>4788</v>
      </c>
      <c r="D22687" s="2" t="s">
        <v>1201</v>
      </c>
      <c r="E22687" s="2" t="str">
        <f>"9781474430296"</f>
        <v>9781474430296</v>
      </c>
      <c r="F22687" s="2" t="str">
        <f>"9781474430319"</f>
        <v>9781474430319</v>
      </c>
    </row>
    <row r="22688" spans="1:6" s="3" customFormat="1" ht="29.1" customHeight="1" x14ac:dyDescent="0.25">
      <c r="A22688" s="2" t="s">
        <v>44341</v>
      </c>
      <c r="B22688" s="2" t="s">
        <v>44342</v>
      </c>
      <c r="C22688" s="2" t="s">
        <v>26676</v>
      </c>
      <c r="D22688" s="2" t="s">
        <v>4789</v>
      </c>
      <c r="E22688" s="2" t="str">
        <f>"9781618117656"</f>
        <v>9781618117656</v>
      </c>
      <c r="F22688" s="2" t="str">
        <f>"9781618115928"</f>
        <v>9781618115928</v>
      </c>
    </row>
    <row r="22689" spans="1:6" s="3" customFormat="1" ht="29.1" customHeight="1" x14ac:dyDescent="0.25">
      <c r="A22689" s="2" t="s">
        <v>44343</v>
      </c>
      <c r="B22689" s="2" t="s">
        <v>44344</v>
      </c>
      <c r="C22689" s="2" t="s">
        <v>15381</v>
      </c>
      <c r="D22689" s="2" t="s">
        <v>14118</v>
      </c>
      <c r="E22689" s="2" t="str">
        <f>"9781469646374"</f>
        <v>9781469646374</v>
      </c>
      <c r="F22689" s="2" t="str">
        <f>"9781469646398"</f>
        <v>9781469646398</v>
      </c>
    </row>
    <row r="22690" spans="1:6" s="3" customFormat="1" ht="29.1" customHeight="1" x14ac:dyDescent="0.25">
      <c r="A22690" s="2" t="s">
        <v>44345</v>
      </c>
      <c r="B22690" s="2" t="s">
        <v>44346</v>
      </c>
      <c r="C22690" s="2" t="s">
        <v>4788</v>
      </c>
      <c r="D22690" s="2" t="s">
        <v>33</v>
      </c>
      <c r="E22690" s="2" t="str">
        <f>"9781474416238"</f>
        <v>9781474416238</v>
      </c>
      <c r="F22690" s="2" t="str">
        <f>"9781474416245"</f>
        <v>9781474416245</v>
      </c>
    </row>
    <row r="22691" spans="1:6" s="3" customFormat="1" ht="29.1" customHeight="1" x14ac:dyDescent="0.25">
      <c r="A22691" s="2" t="s">
        <v>44347</v>
      </c>
      <c r="B22691" s="2" t="s">
        <v>44348</v>
      </c>
      <c r="C22691" s="2" t="s">
        <v>131</v>
      </c>
      <c r="D22691" s="2" t="s">
        <v>1248</v>
      </c>
      <c r="E22691" s="2" t="str">
        <f>"9789027201386"</f>
        <v>9789027201386</v>
      </c>
      <c r="F22691" s="2" t="str">
        <f>"9789027263599"</f>
        <v>9789027263599</v>
      </c>
    </row>
    <row r="22692" spans="1:6" s="3" customFormat="1" ht="29.1" customHeight="1" x14ac:dyDescent="0.25">
      <c r="A22692" s="2" t="s">
        <v>44349</v>
      </c>
      <c r="B22692" s="2" t="s">
        <v>44350</v>
      </c>
      <c r="C22692" s="2" t="s">
        <v>885</v>
      </c>
      <c r="D22692" s="2" t="s">
        <v>339</v>
      </c>
      <c r="E22692" s="2" t="str">
        <f>"9781487503932"</f>
        <v>9781487503932</v>
      </c>
      <c r="F22692" s="2" t="str">
        <f>"9781487519094"</f>
        <v>9781487519094</v>
      </c>
    </row>
    <row r="22693" spans="1:6" s="3" customFormat="1" ht="29.1" customHeight="1" x14ac:dyDescent="0.25">
      <c r="A22693" s="2" t="s">
        <v>44351</v>
      </c>
      <c r="B22693" s="2" t="s">
        <v>27854</v>
      </c>
      <c r="C22693" s="2" t="s">
        <v>27805</v>
      </c>
      <c r="D22693" s="2" t="s">
        <v>334</v>
      </c>
      <c r="E22693" s="2" t="str">
        <f>"9783832547011"</f>
        <v>9783832547011</v>
      </c>
      <c r="F22693" s="2" t="str">
        <f>"9783832590789"</f>
        <v>9783832590789</v>
      </c>
    </row>
    <row r="22694" spans="1:6" s="3" customFormat="1" ht="29.1" customHeight="1" x14ac:dyDescent="0.25">
      <c r="A22694" s="2" t="s">
        <v>44352</v>
      </c>
      <c r="B22694" s="2" t="s">
        <v>44353</v>
      </c>
      <c r="C22694" s="2" t="s">
        <v>124</v>
      </c>
      <c r="D22694" s="2" t="s">
        <v>183</v>
      </c>
      <c r="E22694" s="2" t="str">
        <f>"9781472482587"</f>
        <v>9781472482587</v>
      </c>
      <c r="F22694" s="2" t="str">
        <f>"9781317133537"</f>
        <v>9781317133537</v>
      </c>
    </row>
    <row r="22695" spans="1:6" s="3" customFormat="1" ht="29.1" customHeight="1" x14ac:dyDescent="0.25">
      <c r="A22695" s="2" t="s">
        <v>44354</v>
      </c>
      <c r="B22695" s="2" t="s">
        <v>44355</v>
      </c>
      <c r="C22695" s="2" t="s">
        <v>2129</v>
      </c>
      <c r="D22695" s="2" t="s">
        <v>4634</v>
      </c>
      <c r="E22695" s="2" t="str">
        <f>"9781438470450"</f>
        <v>9781438470450</v>
      </c>
      <c r="F22695" s="2" t="str">
        <f>"9781438470474"</f>
        <v>9781438470474</v>
      </c>
    </row>
    <row r="22696" spans="1:6" s="3" customFormat="1" ht="29.1" customHeight="1" x14ac:dyDescent="0.25">
      <c r="A22696" s="2" t="s">
        <v>44356</v>
      </c>
      <c r="B22696" s="2" t="s">
        <v>44357</v>
      </c>
      <c r="C22696" s="2" t="s">
        <v>124</v>
      </c>
      <c r="D22696" s="2" t="s">
        <v>334</v>
      </c>
      <c r="E22696" s="2" t="str">
        <f>"9780815373025"</f>
        <v>9780815373025</v>
      </c>
      <c r="F22696" s="2" t="str">
        <f>"9781351244336"</f>
        <v>9781351244336</v>
      </c>
    </row>
    <row r="22697" spans="1:6" s="3" customFormat="1" ht="29.1" customHeight="1" x14ac:dyDescent="0.25">
      <c r="A22697" s="2" t="s">
        <v>44358</v>
      </c>
      <c r="B22697" s="2" t="s">
        <v>44359</v>
      </c>
      <c r="C22697" s="2" t="s">
        <v>124</v>
      </c>
      <c r="D22697" s="2" t="s">
        <v>30</v>
      </c>
      <c r="E22697" s="2" t="str">
        <f>"9781138653153"</f>
        <v>9781138653153</v>
      </c>
      <c r="F22697" s="2" t="str">
        <f>"9781315623788"</f>
        <v>9781315623788</v>
      </c>
    </row>
    <row r="22698" spans="1:6" s="3" customFormat="1" ht="29.1" customHeight="1" x14ac:dyDescent="0.25">
      <c r="A22698" s="2" t="s">
        <v>44360</v>
      </c>
      <c r="B22698" s="2" t="s">
        <v>44361</v>
      </c>
      <c r="C22698" s="2" t="s">
        <v>124</v>
      </c>
      <c r="D22698" s="2" t="s">
        <v>121</v>
      </c>
      <c r="E22698" s="2" t="str">
        <f>"9781032210346"</f>
        <v>9781032210346</v>
      </c>
      <c r="F22698" s="2" t="str">
        <f>"9781315794518"</f>
        <v>9781315794518</v>
      </c>
    </row>
    <row r="22699" spans="1:6" s="3" customFormat="1" ht="29.1" customHeight="1" x14ac:dyDescent="0.25">
      <c r="A22699" s="2" t="s">
        <v>44362</v>
      </c>
      <c r="B22699" s="2" t="s">
        <v>44363</v>
      </c>
      <c r="C22699" s="2" t="s">
        <v>124</v>
      </c>
      <c r="D22699" s="2" t="s">
        <v>159</v>
      </c>
      <c r="E22699" s="2" t="str">
        <f>"9780367584351"</f>
        <v>9780367584351</v>
      </c>
      <c r="F22699" s="2" t="str">
        <f>"9781315309675"</f>
        <v>9781315309675</v>
      </c>
    </row>
    <row r="22700" spans="1:6" s="3" customFormat="1" ht="29.1" customHeight="1" x14ac:dyDescent="0.25">
      <c r="A22700" s="2" t="s">
        <v>44364</v>
      </c>
      <c r="B22700" s="2" t="s">
        <v>44365</v>
      </c>
      <c r="C22700" s="2" t="s">
        <v>327</v>
      </c>
      <c r="D22700" s="2" t="s">
        <v>3943</v>
      </c>
      <c r="E22700" s="2" t="str">
        <f>"9788380889286"</f>
        <v>9788380889286</v>
      </c>
      <c r="F22700" s="2" t="str">
        <f>"9788380889293"</f>
        <v>9788380889293</v>
      </c>
    </row>
    <row r="22701" spans="1:6" s="3" customFormat="1" ht="29.1" customHeight="1" x14ac:dyDescent="0.25">
      <c r="A22701" s="2" t="s">
        <v>44366</v>
      </c>
      <c r="B22701" s="2" t="s">
        <v>44367</v>
      </c>
      <c r="C22701" s="2" t="s">
        <v>327</v>
      </c>
      <c r="D22701" s="2" t="s">
        <v>2602</v>
      </c>
      <c r="E22701" s="2" t="str">
        <f>"9788381420228"</f>
        <v>9788381420228</v>
      </c>
      <c r="F22701" s="2" t="str">
        <f>"9788381420235"</f>
        <v>9788381420235</v>
      </c>
    </row>
    <row r="22702" spans="1:6" s="3" customFormat="1" ht="29.1" customHeight="1" x14ac:dyDescent="0.25">
      <c r="A22702" s="2" t="s">
        <v>44368</v>
      </c>
      <c r="B22702" s="2" t="s">
        <v>44369</v>
      </c>
      <c r="C22702" s="2" t="s">
        <v>248</v>
      </c>
      <c r="D22702" s="2" t="s">
        <v>10725</v>
      </c>
      <c r="E22702" s="2" t="str">
        <f>"9783863887872"</f>
        <v>9783863887872</v>
      </c>
      <c r="F22702" s="2" t="str">
        <f>"9783863883560"</f>
        <v>9783863883560</v>
      </c>
    </row>
    <row r="22703" spans="1:6" s="3" customFormat="1" ht="29.1" customHeight="1" x14ac:dyDescent="0.25">
      <c r="A22703" s="2" t="s">
        <v>44370</v>
      </c>
      <c r="B22703" s="2" t="s">
        <v>44371</v>
      </c>
      <c r="C22703" s="2" t="s">
        <v>20</v>
      </c>
      <c r="D22703" s="2" t="s">
        <v>24</v>
      </c>
      <c r="E22703" s="2" t="str">
        <f>"9783763958597"</f>
        <v>9783763958597</v>
      </c>
      <c r="F22703" s="2" t="str">
        <f>"9783763958603"</f>
        <v>9783763958603</v>
      </c>
    </row>
    <row r="22704" spans="1:6" s="3" customFormat="1" ht="29.1" customHeight="1" x14ac:dyDescent="0.25">
      <c r="A22704" s="2" t="s">
        <v>44372</v>
      </c>
      <c r="B22704" s="2" t="s">
        <v>44373</v>
      </c>
      <c r="C22704" s="2" t="s">
        <v>8104</v>
      </c>
      <c r="D22704" s="2" t="s">
        <v>636</v>
      </c>
      <c r="E22704" s="2" t="str">
        <f>"9781789201390"</f>
        <v>9781789201390</v>
      </c>
      <c r="F22704" s="2" t="str">
        <f>"9781789201413"</f>
        <v>9781789201413</v>
      </c>
    </row>
    <row r="22705" spans="1:6" s="3" customFormat="1" ht="29.1" customHeight="1" x14ac:dyDescent="0.25">
      <c r="A22705" s="2" t="s">
        <v>44374</v>
      </c>
      <c r="B22705" s="2" t="s">
        <v>44375</v>
      </c>
      <c r="C22705" s="2" t="s">
        <v>595</v>
      </c>
      <c r="D22705" s="2" t="s">
        <v>1630</v>
      </c>
      <c r="E22705" s="2" t="str">
        <f>"9782807605640"</f>
        <v>9782807605640</v>
      </c>
      <c r="F22705" s="2" t="str">
        <f>"9782807605695"</f>
        <v>9782807605695</v>
      </c>
    </row>
    <row r="22706" spans="1:6" s="3" customFormat="1" ht="29.1" customHeight="1" x14ac:dyDescent="0.25">
      <c r="A22706" s="2" t="s">
        <v>44376</v>
      </c>
      <c r="B22706" s="2" t="s">
        <v>44377</v>
      </c>
      <c r="C22706" s="2" t="s">
        <v>131</v>
      </c>
      <c r="D22706" s="2" t="s">
        <v>175</v>
      </c>
      <c r="E22706" s="2" t="str">
        <f>"9789027201355"</f>
        <v>9789027201355</v>
      </c>
      <c r="F22706" s="2" t="str">
        <f>"9789027263629"</f>
        <v>9789027263629</v>
      </c>
    </row>
    <row r="22707" spans="1:6" s="3" customFormat="1" ht="29.1" customHeight="1" x14ac:dyDescent="0.25">
      <c r="A22707" s="2" t="s">
        <v>44378</v>
      </c>
      <c r="B22707" s="2" t="s">
        <v>44379</v>
      </c>
      <c r="C22707" s="2" t="s">
        <v>248</v>
      </c>
      <c r="D22707" s="2" t="s">
        <v>6123</v>
      </c>
      <c r="E22707" s="2" t="str">
        <f>"9783847400189"</f>
        <v>9783847400189</v>
      </c>
      <c r="F22707" s="2" t="str">
        <f>"9783866495463"</f>
        <v>9783866495463</v>
      </c>
    </row>
    <row r="22708" spans="1:6" s="3" customFormat="1" ht="29.1" customHeight="1" x14ac:dyDescent="0.25">
      <c r="A22708" s="2" t="s">
        <v>44380</v>
      </c>
      <c r="B22708" s="2" t="s">
        <v>44381</v>
      </c>
      <c r="C22708" s="2" t="s">
        <v>248</v>
      </c>
      <c r="D22708" s="2" t="s">
        <v>270</v>
      </c>
      <c r="E22708" s="2" t="str">
        <f>"9783847400288"</f>
        <v>9783847400288</v>
      </c>
      <c r="F22708" s="2" t="str">
        <f>"9783866495364"</f>
        <v>9783866495364</v>
      </c>
    </row>
    <row r="22709" spans="1:6" s="3" customFormat="1" ht="29.1" customHeight="1" x14ac:dyDescent="0.25">
      <c r="A22709" s="2" t="s">
        <v>44382</v>
      </c>
      <c r="B22709" s="2" t="s">
        <v>44383</v>
      </c>
      <c r="C22709" s="2" t="s">
        <v>248</v>
      </c>
      <c r="D22709" s="2" t="s">
        <v>11572</v>
      </c>
      <c r="E22709" s="2" t="str">
        <f>"9783866494992"</f>
        <v>9783866494992</v>
      </c>
      <c r="F22709" s="2" t="str">
        <f>"9783866495210"</f>
        <v>9783866495210</v>
      </c>
    </row>
    <row r="22710" spans="1:6" s="3" customFormat="1" ht="29.1" customHeight="1" x14ac:dyDescent="0.25">
      <c r="A22710" s="2" t="s">
        <v>13290</v>
      </c>
      <c r="B22710" s="2" t="s">
        <v>44384</v>
      </c>
      <c r="C22710" s="2" t="s">
        <v>248</v>
      </c>
      <c r="D22710" s="2" t="s">
        <v>75</v>
      </c>
      <c r="E22710" s="2" t="str">
        <f>"9783866491045"</f>
        <v>9783866491045</v>
      </c>
      <c r="F22710" s="2" t="str">
        <f>"9783866495258"</f>
        <v>9783866495258</v>
      </c>
    </row>
    <row r="22711" spans="1:6" s="3" customFormat="1" ht="29.1" customHeight="1" x14ac:dyDescent="0.25">
      <c r="A22711" s="2" t="s">
        <v>44385</v>
      </c>
      <c r="B22711" s="2" t="s">
        <v>44386</v>
      </c>
      <c r="C22711" s="2" t="s">
        <v>248</v>
      </c>
      <c r="D22711" s="2" t="s">
        <v>75</v>
      </c>
      <c r="E22711" s="2" t="str">
        <f>"9783847400264"</f>
        <v>9783847400264</v>
      </c>
      <c r="F22711" s="2" t="str">
        <f>"9783866495388"</f>
        <v>9783866495388</v>
      </c>
    </row>
    <row r="22712" spans="1:6" s="3" customFormat="1" ht="29.1" customHeight="1" x14ac:dyDescent="0.25">
      <c r="A22712" s="2" t="s">
        <v>44387</v>
      </c>
      <c r="B22712" s="2" t="s">
        <v>44388</v>
      </c>
      <c r="C22712" s="2" t="s">
        <v>248</v>
      </c>
      <c r="D22712" s="2" t="s">
        <v>1988</v>
      </c>
      <c r="E22712" s="2" t="str">
        <f>"9783847420422"</f>
        <v>9783847420422</v>
      </c>
      <c r="F22712" s="2" t="str">
        <f>"9783847410249"</f>
        <v>9783847410249</v>
      </c>
    </row>
    <row r="22713" spans="1:6" s="3" customFormat="1" ht="29.1" customHeight="1" x14ac:dyDescent="0.25">
      <c r="A22713" s="2" t="s">
        <v>44389</v>
      </c>
      <c r="B22713" s="2" t="s">
        <v>44390</v>
      </c>
      <c r="C22713" s="2" t="s">
        <v>248</v>
      </c>
      <c r="D22713" s="2" t="s">
        <v>9</v>
      </c>
      <c r="E22713" s="2" t="str">
        <f>"9783847421283"</f>
        <v>9783847421283</v>
      </c>
      <c r="F22713" s="2" t="str">
        <f>"9783847411161"</f>
        <v>9783847411161</v>
      </c>
    </row>
    <row r="22714" spans="1:6" s="3" customFormat="1" ht="29.1" customHeight="1" x14ac:dyDescent="0.25">
      <c r="A22714" s="2" t="s">
        <v>44391</v>
      </c>
      <c r="B22714" s="2" t="s">
        <v>44392</v>
      </c>
      <c r="C22714" s="2" t="s">
        <v>248</v>
      </c>
      <c r="D22714" s="2" t="s">
        <v>490</v>
      </c>
      <c r="E22714" s="2" t="str">
        <f>"9783863887766"</f>
        <v>9783863887766</v>
      </c>
      <c r="F22714" s="2" t="str">
        <f>"9783863883362"</f>
        <v>9783863883362</v>
      </c>
    </row>
    <row r="22715" spans="1:6" s="3" customFormat="1" ht="29.1" customHeight="1" x14ac:dyDescent="0.25">
      <c r="A22715" s="2" t="s">
        <v>44393</v>
      </c>
      <c r="B22715" s="2" t="s">
        <v>44394</v>
      </c>
      <c r="C22715" s="2" t="s">
        <v>927</v>
      </c>
      <c r="D22715" s="2" t="s">
        <v>2208</v>
      </c>
      <c r="E22715" s="2" t="str">
        <f>"9780472053810"</f>
        <v>9780472053810</v>
      </c>
      <c r="F22715" s="2" t="str">
        <f>"9780472123919"</f>
        <v>9780472123919</v>
      </c>
    </row>
    <row r="22716" spans="1:6" s="3" customFormat="1" ht="29.1" customHeight="1" x14ac:dyDescent="0.25">
      <c r="A22716" s="2" t="s">
        <v>44395</v>
      </c>
      <c r="B22716" s="2" t="s">
        <v>44396</v>
      </c>
      <c r="C22716" s="2" t="s">
        <v>124</v>
      </c>
      <c r="D22716" s="2" t="s">
        <v>297</v>
      </c>
      <c r="E22716" s="2" t="str">
        <f>"9781138225572"</f>
        <v>9781138225572</v>
      </c>
      <c r="F22716" s="2" t="str">
        <f>"9781315399201"</f>
        <v>9781315399201</v>
      </c>
    </row>
    <row r="22717" spans="1:6" s="3" customFormat="1" ht="29.1" customHeight="1" x14ac:dyDescent="0.25">
      <c r="A22717" s="2" t="s">
        <v>44397</v>
      </c>
      <c r="B22717" s="2" t="s">
        <v>44398</v>
      </c>
      <c r="C22717" s="2" t="s">
        <v>36</v>
      </c>
      <c r="D22717" s="2" t="s">
        <v>294</v>
      </c>
      <c r="E22717" s="2"/>
      <c r="F22717" s="2" t="str">
        <f>"9781447348085"</f>
        <v>9781447348085</v>
      </c>
    </row>
    <row r="22718" spans="1:6" s="3" customFormat="1" ht="29.1" customHeight="1" x14ac:dyDescent="0.25">
      <c r="A22718" s="2" t="s">
        <v>44399</v>
      </c>
      <c r="B22718" s="2" t="s">
        <v>44400</v>
      </c>
      <c r="C22718" s="2" t="s">
        <v>36</v>
      </c>
      <c r="D22718" s="2" t="s">
        <v>6113</v>
      </c>
      <c r="E22718" s="2" t="str">
        <f>"9781447336570"</f>
        <v>9781447336570</v>
      </c>
      <c r="F22718" s="2" t="str">
        <f>"9781447336587"</f>
        <v>9781447336587</v>
      </c>
    </row>
    <row r="22719" spans="1:6" s="3" customFormat="1" ht="29.1" customHeight="1" x14ac:dyDescent="0.25">
      <c r="A22719" s="2" t="s">
        <v>44401</v>
      </c>
      <c r="B22719" s="2" t="s">
        <v>44402</v>
      </c>
      <c r="C22719" s="2" t="s">
        <v>248</v>
      </c>
      <c r="D22719" s="2" t="s">
        <v>596</v>
      </c>
      <c r="E22719" s="2" t="str">
        <f>"9783847407232"</f>
        <v>9783847407232</v>
      </c>
      <c r="F22719" s="2" t="str">
        <f>"9783847408765"</f>
        <v>9783847408765</v>
      </c>
    </row>
    <row r="22720" spans="1:6" s="3" customFormat="1" ht="29.1" customHeight="1" x14ac:dyDescent="0.25">
      <c r="A22720" s="2" t="s">
        <v>44403</v>
      </c>
      <c r="B22720" s="2" t="s">
        <v>44404</v>
      </c>
      <c r="C22720" s="2" t="s">
        <v>248</v>
      </c>
      <c r="D22720" s="2" t="s">
        <v>249</v>
      </c>
      <c r="E22720" s="2" t="str">
        <f>"9783938094792"</f>
        <v>9783938094792</v>
      </c>
      <c r="F22720" s="2" t="str">
        <f>"9783866497825"</f>
        <v>9783866497825</v>
      </c>
    </row>
    <row r="22721" spans="1:6" s="3" customFormat="1" ht="29.1" customHeight="1" x14ac:dyDescent="0.25">
      <c r="A22721" s="2" t="s">
        <v>44405</v>
      </c>
      <c r="B22721" s="2" t="s">
        <v>44406</v>
      </c>
      <c r="C22721" s="2" t="s">
        <v>248</v>
      </c>
      <c r="D22721" s="2" t="s">
        <v>249</v>
      </c>
      <c r="E22721" s="2" t="str">
        <f>"9783938094747"</f>
        <v>9783938094747</v>
      </c>
      <c r="F22721" s="2" t="str">
        <f>"9783866497764"</f>
        <v>9783866497764</v>
      </c>
    </row>
    <row r="22722" spans="1:6" s="3" customFormat="1" ht="29.1" customHeight="1" x14ac:dyDescent="0.25">
      <c r="A22722" s="2" t="s">
        <v>44407</v>
      </c>
      <c r="B22722" s="2" t="s">
        <v>44408</v>
      </c>
      <c r="C22722" s="2" t="s">
        <v>248</v>
      </c>
      <c r="D22722" s="2" t="s">
        <v>5250</v>
      </c>
      <c r="E22722" s="2" t="str">
        <f>"9783866492820"</f>
        <v>9783866492820</v>
      </c>
      <c r="F22722" s="2" t="str">
        <f>"9783866497405"</f>
        <v>9783866497405</v>
      </c>
    </row>
    <row r="22723" spans="1:6" s="3" customFormat="1" ht="29.1" customHeight="1" x14ac:dyDescent="0.25">
      <c r="A22723" s="2" t="s">
        <v>44409</v>
      </c>
      <c r="B22723" s="2" t="s">
        <v>44410</v>
      </c>
      <c r="C22723" s="2" t="s">
        <v>248</v>
      </c>
      <c r="D22723" s="2" t="s">
        <v>249</v>
      </c>
      <c r="E22723" s="2" t="str">
        <f>"9783938094846"</f>
        <v>9783938094846</v>
      </c>
      <c r="F22723" s="2" t="str">
        <f>"9783866496965"</f>
        <v>9783866496965</v>
      </c>
    </row>
    <row r="22724" spans="1:6" s="3" customFormat="1" ht="29.1" customHeight="1" x14ac:dyDescent="0.25">
      <c r="A22724" s="2" t="s">
        <v>44411</v>
      </c>
      <c r="B22724" s="2" t="s">
        <v>44412</v>
      </c>
      <c r="C22724" s="2" t="s">
        <v>248</v>
      </c>
      <c r="D22724" s="2" t="s">
        <v>9</v>
      </c>
      <c r="E22724" s="2" t="str">
        <f>"9783866493353"</f>
        <v>9783866493353</v>
      </c>
      <c r="F22724" s="2" t="str">
        <f>"9783866496873"</f>
        <v>9783866496873</v>
      </c>
    </row>
    <row r="22725" spans="1:6" s="3" customFormat="1" ht="29.1" customHeight="1" x14ac:dyDescent="0.25">
      <c r="A22725" s="2" t="s">
        <v>44413</v>
      </c>
      <c r="B22725" s="2" t="s">
        <v>44414</v>
      </c>
      <c r="C22725" s="2" t="s">
        <v>248</v>
      </c>
      <c r="D22725" s="2" t="s">
        <v>1162</v>
      </c>
      <c r="E22725" s="2" t="str">
        <f>"9783866493643"</f>
        <v>9783866493643</v>
      </c>
      <c r="F22725" s="2" t="str">
        <f>"9783866496859"</f>
        <v>9783866496859</v>
      </c>
    </row>
    <row r="22726" spans="1:6" s="3" customFormat="1" ht="29.1" customHeight="1" x14ac:dyDescent="0.25">
      <c r="A22726" s="2" t="s">
        <v>44415</v>
      </c>
      <c r="B22726" s="2" t="s">
        <v>44416</v>
      </c>
      <c r="C22726" s="2" t="s">
        <v>248</v>
      </c>
      <c r="D22726" s="2" t="s">
        <v>249</v>
      </c>
      <c r="E22726" s="2" t="str">
        <f>"9783938094860"</f>
        <v>9783938094860</v>
      </c>
      <c r="F22726" s="2" t="str">
        <f>"9783866496811"</f>
        <v>9783866496811</v>
      </c>
    </row>
    <row r="22727" spans="1:6" s="3" customFormat="1" ht="29.1" customHeight="1" x14ac:dyDescent="0.25">
      <c r="A22727" s="2" t="s">
        <v>44417</v>
      </c>
      <c r="B22727" s="2" t="s">
        <v>44418</v>
      </c>
      <c r="C22727" s="2" t="s">
        <v>248</v>
      </c>
      <c r="D22727" s="2" t="s">
        <v>78</v>
      </c>
      <c r="E22727" s="2" t="str">
        <f>"9783847400295"</f>
        <v>9783847400295</v>
      </c>
      <c r="F22727" s="2" t="str">
        <f>"9783866495357"</f>
        <v>9783866495357</v>
      </c>
    </row>
    <row r="22728" spans="1:6" s="3" customFormat="1" ht="29.1" customHeight="1" x14ac:dyDescent="0.25">
      <c r="A22728" s="2" t="s">
        <v>44419</v>
      </c>
      <c r="B22728" s="2" t="s">
        <v>3605</v>
      </c>
      <c r="C22728" s="2" t="s">
        <v>248</v>
      </c>
      <c r="D22728" s="2" t="s">
        <v>24</v>
      </c>
      <c r="E22728" s="2" t="str">
        <f>"9783847401001"</f>
        <v>9783847401001</v>
      </c>
      <c r="F22728" s="2" t="str">
        <f>"9783847404941"</f>
        <v>9783847404941</v>
      </c>
    </row>
    <row r="22729" spans="1:6" s="3" customFormat="1" ht="29.1" customHeight="1" x14ac:dyDescent="0.25">
      <c r="A22729" s="2" t="s">
        <v>44420</v>
      </c>
      <c r="B22729" s="2" t="s">
        <v>44421</v>
      </c>
      <c r="C22729" s="2" t="s">
        <v>248</v>
      </c>
      <c r="D22729" s="2" t="s">
        <v>249</v>
      </c>
      <c r="E22729" s="2" t="str">
        <f>"9783847401636"</f>
        <v>9783847401636</v>
      </c>
      <c r="F22729" s="2" t="str">
        <f>"9783847402824"</f>
        <v>9783847402824</v>
      </c>
    </row>
    <row r="22730" spans="1:6" s="3" customFormat="1" ht="29.1" customHeight="1" x14ac:dyDescent="0.25">
      <c r="A22730" s="2" t="s">
        <v>44422</v>
      </c>
      <c r="B22730" s="2" t="s">
        <v>44423</v>
      </c>
      <c r="C22730" s="2" t="s">
        <v>248</v>
      </c>
      <c r="D22730" s="2" t="s">
        <v>183</v>
      </c>
      <c r="E22730" s="2" t="str">
        <f>"9783847406198"</f>
        <v>9783847406198</v>
      </c>
      <c r="F22730" s="2" t="str">
        <f>"9783847402756"</f>
        <v>9783847402756</v>
      </c>
    </row>
    <row r="22731" spans="1:6" s="3" customFormat="1" ht="29.1" customHeight="1" x14ac:dyDescent="0.25">
      <c r="A22731" s="2" t="s">
        <v>44424</v>
      </c>
      <c r="B22731" s="2" t="s">
        <v>44425</v>
      </c>
      <c r="C22731" s="2" t="s">
        <v>248</v>
      </c>
      <c r="D22731" s="2" t="s">
        <v>1717</v>
      </c>
      <c r="E22731" s="2" t="str">
        <f>"9783847406426"</f>
        <v>9783847406426</v>
      </c>
      <c r="F22731" s="2" t="str">
        <f>"9783847402558"</f>
        <v>9783847402558</v>
      </c>
    </row>
    <row r="22732" spans="1:6" s="3" customFormat="1" ht="29.1" customHeight="1" x14ac:dyDescent="0.25">
      <c r="A22732" s="2" t="s">
        <v>44426</v>
      </c>
      <c r="B22732" s="2" t="s">
        <v>44427</v>
      </c>
      <c r="C22732" s="2" t="s">
        <v>248</v>
      </c>
      <c r="D22732" s="2" t="s">
        <v>1228</v>
      </c>
      <c r="E22732" s="2" t="str">
        <f>"9783847406334"</f>
        <v>9783847406334</v>
      </c>
      <c r="F22732" s="2" t="str">
        <f>"9783847408130"</f>
        <v>9783847408130</v>
      </c>
    </row>
    <row r="22733" spans="1:6" s="3" customFormat="1" ht="29.1" customHeight="1" x14ac:dyDescent="0.25">
      <c r="A22733" s="2" t="s">
        <v>44428</v>
      </c>
      <c r="B22733" s="2" t="s">
        <v>44429</v>
      </c>
      <c r="C22733" s="2" t="s">
        <v>248</v>
      </c>
      <c r="D22733" s="2" t="s">
        <v>490</v>
      </c>
      <c r="E22733" s="2" t="str">
        <f>"9783847407416"</f>
        <v>9783847407416</v>
      </c>
      <c r="F22733" s="2" t="str">
        <f>"9783847408789"</f>
        <v>9783847408789</v>
      </c>
    </row>
    <row r="22734" spans="1:6" s="3" customFormat="1" ht="29.1" customHeight="1" x14ac:dyDescent="0.25">
      <c r="A22734" s="2" t="s">
        <v>44430</v>
      </c>
      <c r="B22734" s="2" t="s">
        <v>44386</v>
      </c>
      <c r="C22734" s="2" t="s">
        <v>248</v>
      </c>
      <c r="D22734" s="2" t="s">
        <v>1816</v>
      </c>
      <c r="E22734" s="2" t="str">
        <f>"9783847407096"</f>
        <v>9783847407096</v>
      </c>
      <c r="F22734" s="2" t="str">
        <f>"9783847408581"</f>
        <v>9783847408581</v>
      </c>
    </row>
    <row r="22735" spans="1:6" s="3" customFormat="1" ht="29.1" customHeight="1" x14ac:dyDescent="0.25">
      <c r="A22735" s="2" t="s">
        <v>44431</v>
      </c>
      <c r="B22735" s="2" t="s">
        <v>44432</v>
      </c>
      <c r="C22735" s="2" t="s">
        <v>248</v>
      </c>
      <c r="D22735" s="2" t="s">
        <v>4172</v>
      </c>
      <c r="E22735" s="2" t="str">
        <f>"9783866494534"</f>
        <v>9783866494534</v>
      </c>
      <c r="F22735" s="2" t="str">
        <f>"9783866495807"</f>
        <v>9783866495807</v>
      </c>
    </row>
    <row r="22736" spans="1:6" s="3" customFormat="1" ht="29.1" customHeight="1" x14ac:dyDescent="0.25">
      <c r="A22736" s="2" t="s">
        <v>44433</v>
      </c>
      <c r="B22736" s="2" t="s">
        <v>44434</v>
      </c>
      <c r="C22736" s="2" t="s">
        <v>248</v>
      </c>
      <c r="D22736" s="2" t="s">
        <v>249</v>
      </c>
      <c r="E22736" s="2" t="str">
        <f>"9783847422204"</f>
        <v>9783847422204</v>
      </c>
      <c r="F22736" s="2" t="str">
        <f>"9783847412489"</f>
        <v>9783847412489</v>
      </c>
    </row>
    <row r="22737" spans="1:6" s="3" customFormat="1" ht="29.1" customHeight="1" x14ac:dyDescent="0.25">
      <c r="A22737" s="2" t="s">
        <v>44435</v>
      </c>
      <c r="B22737" s="2" t="s">
        <v>44436</v>
      </c>
      <c r="C22737" s="2" t="s">
        <v>29</v>
      </c>
      <c r="D22737" s="2" t="s">
        <v>33</v>
      </c>
      <c r="E22737" s="2" t="str">
        <f>"9789004365254"</f>
        <v>9789004365254</v>
      </c>
      <c r="F22737" s="2" t="str">
        <f>"9789004365261"</f>
        <v>9789004365261</v>
      </c>
    </row>
    <row r="22738" spans="1:6" s="3" customFormat="1" ht="29.1" customHeight="1" x14ac:dyDescent="0.25">
      <c r="A22738" s="2" t="s">
        <v>44437</v>
      </c>
      <c r="B22738" s="2" t="s">
        <v>44438</v>
      </c>
      <c r="C22738" s="2" t="s">
        <v>29</v>
      </c>
      <c r="D22738" s="2" t="s">
        <v>9739</v>
      </c>
      <c r="E22738" s="2" t="str">
        <f>"9789004366008"</f>
        <v>9789004366008</v>
      </c>
      <c r="F22738" s="2" t="str">
        <f>"9789004366152"</f>
        <v>9789004366152</v>
      </c>
    </row>
    <row r="22739" spans="1:6" s="3" customFormat="1" ht="29.1" customHeight="1" x14ac:dyDescent="0.25">
      <c r="A22739" s="2" t="s">
        <v>44439</v>
      </c>
      <c r="B22739" s="2" t="s">
        <v>14278</v>
      </c>
      <c r="C22739" s="2" t="s">
        <v>29</v>
      </c>
      <c r="D22739" s="2" t="s">
        <v>210</v>
      </c>
      <c r="E22739" s="2" t="str">
        <f>"9789004346352"</f>
        <v>9789004346352</v>
      </c>
      <c r="F22739" s="2" t="str">
        <f>"9789004363618"</f>
        <v>9789004363618</v>
      </c>
    </row>
    <row r="22740" spans="1:6" s="3" customFormat="1" ht="29.1" customHeight="1" x14ac:dyDescent="0.25">
      <c r="A22740" s="2" t="s">
        <v>44440</v>
      </c>
      <c r="B22740" s="2" t="s">
        <v>44441</v>
      </c>
      <c r="C22740" s="2" t="s">
        <v>29</v>
      </c>
      <c r="D22740" s="2" t="s">
        <v>69</v>
      </c>
      <c r="E22740" s="2" t="str">
        <f>"9789004363298"</f>
        <v>9789004363298</v>
      </c>
      <c r="F22740" s="2" t="str">
        <f>"9789004363304"</f>
        <v>9789004363304</v>
      </c>
    </row>
    <row r="22741" spans="1:6" s="3" customFormat="1" ht="29.1" customHeight="1" x14ac:dyDescent="0.25">
      <c r="A22741" s="2" t="s">
        <v>44442</v>
      </c>
      <c r="B22741" s="2" t="s">
        <v>44443</v>
      </c>
      <c r="C22741" s="2" t="s">
        <v>131</v>
      </c>
      <c r="D22741" s="2" t="s">
        <v>1248</v>
      </c>
      <c r="E22741" s="2" t="str">
        <f>"9789027200761"</f>
        <v>9789027200761</v>
      </c>
      <c r="F22741" s="2" t="str">
        <f>"9789027264022"</f>
        <v>9789027264022</v>
      </c>
    </row>
    <row r="22742" spans="1:6" s="3" customFormat="1" ht="29.1" customHeight="1" x14ac:dyDescent="0.25">
      <c r="A22742" s="2" t="s">
        <v>44444</v>
      </c>
      <c r="B22742" s="2" t="s">
        <v>44445</v>
      </c>
      <c r="C22742" s="2" t="s">
        <v>264</v>
      </c>
      <c r="D22742" s="2" t="s">
        <v>12465</v>
      </c>
      <c r="E22742" s="2" t="str">
        <f>"9788793519619"</f>
        <v>9788793519619</v>
      </c>
      <c r="F22742" s="2" t="str">
        <f>"9788793519602"</f>
        <v>9788793519602</v>
      </c>
    </row>
    <row r="22743" spans="1:6" s="3" customFormat="1" ht="29.1" customHeight="1" x14ac:dyDescent="0.25">
      <c r="A22743" s="2" t="s">
        <v>44446</v>
      </c>
      <c r="B22743" s="2" t="s">
        <v>44447</v>
      </c>
      <c r="C22743" s="2" t="s">
        <v>927</v>
      </c>
      <c r="D22743" s="2" t="s">
        <v>33</v>
      </c>
      <c r="E22743" s="2" t="str">
        <f>"9780472130856"</f>
        <v>9780472130856</v>
      </c>
      <c r="F22743" s="2" t="str">
        <f>"9780472123926"</f>
        <v>9780472123926</v>
      </c>
    </row>
    <row r="22744" spans="1:6" s="3" customFormat="1" ht="29.1" customHeight="1" x14ac:dyDescent="0.25">
      <c r="A22744" s="2" t="s">
        <v>44448</v>
      </c>
      <c r="B22744" s="2" t="s">
        <v>44449</v>
      </c>
      <c r="C22744" s="2" t="s">
        <v>605</v>
      </c>
      <c r="D22744" s="2" t="s">
        <v>26187</v>
      </c>
      <c r="E22744" s="2"/>
      <c r="F22744" s="2" t="str">
        <f>"9789654066181"</f>
        <v>9789654066181</v>
      </c>
    </row>
    <row r="22745" spans="1:6" s="3" customFormat="1" ht="29.1" customHeight="1" x14ac:dyDescent="0.25">
      <c r="A22745" s="2" t="s">
        <v>44448</v>
      </c>
      <c r="B22745" s="2" t="s">
        <v>44449</v>
      </c>
      <c r="C22745" s="2" t="s">
        <v>605</v>
      </c>
      <c r="D22745" s="2" t="s">
        <v>26187</v>
      </c>
      <c r="E22745" s="2" t="str">
        <f>"9789654062862"</f>
        <v>9789654062862</v>
      </c>
      <c r="F22745" s="2" t="str">
        <f>"9789654065894"</f>
        <v>9789654065894</v>
      </c>
    </row>
    <row r="22746" spans="1:6" s="3" customFormat="1" ht="29.1" customHeight="1" x14ac:dyDescent="0.25">
      <c r="A22746" s="2" t="s">
        <v>44450</v>
      </c>
      <c r="B22746" s="2" t="s">
        <v>44451</v>
      </c>
      <c r="C22746" s="2" t="s">
        <v>605</v>
      </c>
      <c r="D22746" s="2" t="s">
        <v>606</v>
      </c>
      <c r="E22746" s="2" t="str">
        <f>"9789654062855"</f>
        <v>9789654062855</v>
      </c>
      <c r="F22746" s="2" t="str">
        <f>"9789654065887"</f>
        <v>9789654065887</v>
      </c>
    </row>
    <row r="22747" spans="1:6" s="3" customFormat="1" ht="29.1" customHeight="1" x14ac:dyDescent="0.25">
      <c r="A22747" s="2" t="s">
        <v>44452</v>
      </c>
      <c r="B22747" s="2" t="s">
        <v>44453</v>
      </c>
      <c r="C22747" s="2" t="s">
        <v>605</v>
      </c>
      <c r="D22747" s="2" t="s">
        <v>606</v>
      </c>
      <c r="E22747" s="2" t="str">
        <f>"9789654062831"</f>
        <v>9789654062831</v>
      </c>
      <c r="F22747" s="2" t="str">
        <f>"9789654065870"</f>
        <v>9789654065870</v>
      </c>
    </row>
    <row r="22748" spans="1:6" s="3" customFormat="1" ht="29.1" customHeight="1" x14ac:dyDescent="0.25">
      <c r="A22748" s="2" t="s">
        <v>44454</v>
      </c>
      <c r="B22748" s="2" t="s">
        <v>44455</v>
      </c>
      <c r="C22748" s="2" t="s">
        <v>605</v>
      </c>
      <c r="D22748" s="2" t="s">
        <v>462</v>
      </c>
      <c r="E22748" s="2" t="str">
        <f>"9789654062503"</f>
        <v>9789654062503</v>
      </c>
      <c r="F22748" s="2" t="str">
        <f>"9789654065863"</f>
        <v>9789654065863</v>
      </c>
    </row>
    <row r="22749" spans="1:6" s="3" customFormat="1" ht="29.1" customHeight="1" x14ac:dyDescent="0.25">
      <c r="A22749" s="2" t="s">
        <v>44456</v>
      </c>
      <c r="B22749" s="2" t="s">
        <v>44457</v>
      </c>
      <c r="C22749" s="2" t="s">
        <v>605</v>
      </c>
      <c r="D22749" s="2" t="s">
        <v>2513</v>
      </c>
      <c r="E22749" s="2" t="str">
        <f>"9789654062497"</f>
        <v>9789654062497</v>
      </c>
      <c r="F22749" s="2" t="str">
        <f>"9789654065856"</f>
        <v>9789654065856</v>
      </c>
    </row>
    <row r="22750" spans="1:6" s="3" customFormat="1" ht="29.1" customHeight="1" x14ac:dyDescent="0.25">
      <c r="A22750" s="2" t="s">
        <v>44458</v>
      </c>
      <c r="B22750" s="2" t="s">
        <v>44457</v>
      </c>
      <c r="C22750" s="2" t="s">
        <v>605</v>
      </c>
      <c r="D22750" s="2" t="s">
        <v>606</v>
      </c>
      <c r="E22750" s="2" t="str">
        <f>"9789654062374"</f>
        <v>9789654062374</v>
      </c>
      <c r="F22750" s="2" t="str">
        <f>"9789654065849"</f>
        <v>9789654065849</v>
      </c>
    </row>
    <row r="22751" spans="1:6" s="3" customFormat="1" ht="29.1" customHeight="1" x14ac:dyDescent="0.25">
      <c r="A22751" s="2" t="s">
        <v>44459</v>
      </c>
      <c r="B22751" s="2" t="s">
        <v>44460</v>
      </c>
      <c r="C22751" s="2" t="s">
        <v>55</v>
      </c>
      <c r="D22751" s="2" t="s">
        <v>2005</v>
      </c>
      <c r="E22751" s="2" t="str">
        <f>"9781784992965"</f>
        <v>9781784992965</v>
      </c>
      <c r="F22751" s="2" t="str">
        <f>"9781526121271"</f>
        <v>9781526121271</v>
      </c>
    </row>
    <row r="22752" spans="1:6" s="3" customFormat="1" ht="29.1" customHeight="1" x14ac:dyDescent="0.25">
      <c r="A22752" s="2" t="s">
        <v>44461</v>
      </c>
      <c r="B22752" s="2" t="s">
        <v>44462</v>
      </c>
      <c r="C22752" s="2" t="s">
        <v>55</v>
      </c>
      <c r="D22752" s="2" t="s">
        <v>3185</v>
      </c>
      <c r="E22752" s="2" t="str">
        <f>"9781526119063"</f>
        <v>9781526119063</v>
      </c>
      <c r="F22752" s="2" t="str">
        <f>"9781526119070"</f>
        <v>9781526119070</v>
      </c>
    </row>
    <row r="22753" spans="1:6" s="3" customFormat="1" ht="29.1" customHeight="1" x14ac:dyDescent="0.25">
      <c r="A22753" s="2" t="s">
        <v>44463</v>
      </c>
      <c r="B22753" s="2" t="s">
        <v>44464</v>
      </c>
      <c r="C22753" s="2" t="s">
        <v>55</v>
      </c>
      <c r="D22753" s="2" t="s">
        <v>3993</v>
      </c>
      <c r="E22753" s="2" t="str">
        <f>"9780719080104"</f>
        <v>9780719080104</v>
      </c>
      <c r="F22753" s="2" t="str">
        <f>"9781526130259"</f>
        <v>9781526130259</v>
      </c>
    </row>
    <row r="22754" spans="1:6" s="3" customFormat="1" ht="29.1" customHeight="1" x14ac:dyDescent="0.25">
      <c r="A22754" s="2" t="s">
        <v>44465</v>
      </c>
      <c r="B22754" s="2" t="s">
        <v>44466</v>
      </c>
      <c r="C22754" s="2" t="s">
        <v>55</v>
      </c>
      <c r="D22754" s="2" t="s">
        <v>339</v>
      </c>
      <c r="E22754" s="2" t="str">
        <f>"9781526105073"</f>
        <v>9781526105073</v>
      </c>
      <c r="F22754" s="2" t="str">
        <f>"9781526105097"</f>
        <v>9781526105097</v>
      </c>
    </row>
    <row r="22755" spans="1:6" s="3" customFormat="1" ht="29.1" customHeight="1" x14ac:dyDescent="0.25">
      <c r="A22755" s="2" t="s">
        <v>44467</v>
      </c>
      <c r="B22755" s="2" t="s">
        <v>44468</v>
      </c>
      <c r="C22755" s="2" t="s">
        <v>195</v>
      </c>
      <c r="D22755" s="2" t="s">
        <v>431</v>
      </c>
      <c r="E22755" s="2" t="str">
        <f>"9783110584936"</f>
        <v>9783110584936</v>
      </c>
      <c r="F22755" s="2" t="str">
        <f>"9783110585032"</f>
        <v>9783110585032</v>
      </c>
    </row>
    <row r="22756" spans="1:6" s="3" customFormat="1" ht="29.1" customHeight="1" x14ac:dyDescent="0.25">
      <c r="A22756" s="2" t="s">
        <v>44469</v>
      </c>
      <c r="B22756" s="2" t="s">
        <v>44470</v>
      </c>
      <c r="C22756" s="2" t="s">
        <v>927</v>
      </c>
      <c r="D22756" s="2" t="s">
        <v>297</v>
      </c>
      <c r="E22756" s="2" t="str">
        <f>"9781929280834"</f>
        <v>9781929280834</v>
      </c>
      <c r="F22756" s="2" t="str">
        <f>"9781929280841"</f>
        <v>9781929280841</v>
      </c>
    </row>
    <row r="22757" spans="1:6" s="3" customFormat="1" ht="29.1" customHeight="1" x14ac:dyDescent="0.25">
      <c r="A22757" s="2" t="s">
        <v>44471</v>
      </c>
      <c r="B22757" s="2" t="s">
        <v>44472</v>
      </c>
      <c r="C22757" s="2" t="s">
        <v>195</v>
      </c>
      <c r="D22757" s="2" t="s">
        <v>462</v>
      </c>
      <c r="E22757" s="2" t="str">
        <f>"9783111116846"</f>
        <v>9783111116846</v>
      </c>
      <c r="F22757" s="2" t="str">
        <f>"9783111483641"</f>
        <v>9783111483641</v>
      </c>
    </row>
    <row r="22758" spans="1:6" s="3" customFormat="1" ht="29.1" customHeight="1" x14ac:dyDescent="0.25">
      <c r="A22758" s="2" t="s">
        <v>44473</v>
      </c>
      <c r="B22758" s="2" t="s">
        <v>44474</v>
      </c>
      <c r="C22758" s="2" t="s">
        <v>605</v>
      </c>
      <c r="D22758" s="2" t="s">
        <v>606</v>
      </c>
      <c r="E22758" s="2" t="str">
        <f>"9789654066808"</f>
        <v>9789654066808</v>
      </c>
      <c r="F22758" s="2" t="str">
        <f>"9789654066877"</f>
        <v>9789654066877</v>
      </c>
    </row>
    <row r="22759" spans="1:6" s="3" customFormat="1" ht="29.1" customHeight="1" x14ac:dyDescent="0.25">
      <c r="A22759" s="2" t="s">
        <v>44475</v>
      </c>
      <c r="B22759" s="2" t="s">
        <v>44476</v>
      </c>
      <c r="C22759" s="2" t="s">
        <v>605</v>
      </c>
      <c r="D22759" s="2" t="s">
        <v>606</v>
      </c>
      <c r="E22759" s="2" t="str">
        <f>"9789654062572"</f>
        <v>9789654062572</v>
      </c>
      <c r="F22759" s="2" t="str">
        <f>"9789654066846"</f>
        <v>9789654066846</v>
      </c>
    </row>
    <row r="22760" spans="1:6" s="3" customFormat="1" ht="29.1" customHeight="1" x14ac:dyDescent="0.25">
      <c r="A22760" s="2" t="s">
        <v>44477</v>
      </c>
      <c r="B22760" s="2" t="s">
        <v>40824</v>
      </c>
      <c r="C22760" s="2" t="s">
        <v>124</v>
      </c>
      <c r="D22760" s="2" t="s">
        <v>3166</v>
      </c>
      <c r="E22760" s="2" t="str">
        <f>"9781041180159"</f>
        <v>9781041180159</v>
      </c>
      <c r="F22760" s="2" t="str">
        <f>"9781040785485"</f>
        <v>9781040785485</v>
      </c>
    </row>
    <row r="22761" spans="1:6" s="3" customFormat="1" ht="29.1" customHeight="1" x14ac:dyDescent="0.25">
      <c r="A22761" s="2" t="s">
        <v>44478</v>
      </c>
      <c r="B22761" s="2" t="s">
        <v>44479</v>
      </c>
      <c r="C22761" s="2" t="s">
        <v>124</v>
      </c>
      <c r="D22761" s="2" t="s">
        <v>78</v>
      </c>
      <c r="E22761" s="2" t="str">
        <f>"9781041176343"</f>
        <v>9781041176343</v>
      </c>
      <c r="F22761" s="2" t="str">
        <f>"9781040796245"</f>
        <v>9781040796245</v>
      </c>
    </row>
    <row r="22762" spans="1:6" s="3" customFormat="1" ht="29.1" customHeight="1" x14ac:dyDescent="0.25">
      <c r="A22762" s="2" t="s">
        <v>44480</v>
      </c>
      <c r="B22762" s="2" t="s">
        <v>44481</v>
      </c>
      <c r="C22762" s="2" t="s">
        <v>605</v>
      </c>
      <c r="D22762" s="2" t="s">
        <v>3430</v>
      </c>
      <c r="E22762" s="2"/>
      <c r="F22762" s="2" t="str">
        <f>"9789654065962"</f>
        <v>9789654065962</v>
      </c>
    </row>
    <row r="22763" spans="1:6" s="3" customFormat="1" ht="29.1" customHeight="1" x14ac:dyDescent="0.25">
      <c r="A22763" s="2" t="s">
        <v>44482</v>
      </c>
      <c r="B22763" s="2" t="s">
        <v>44483</v>
      </c>
      <c r="C22763" s="2" t="s">
        <v>124</v>
      </c>
      <c r="D22763" s="2" t="s">
        <v>78</v>
      </c>
      <c r="E22763" s="2" t="str">
        <f>"9789462982765"</f>
        <v>9789462982765</v>
      </c>
      <c r="F22763" s="2" t="str">
        <f>"9781040800287"</f>
        <v>9781040800287</v>
      </c>
    </row>
    <row r="22764" spans="1:6" s="3" customFormat="1" ht="29.1" customHeight="1" x14ac:dyDescent="0.25">
      <c r="A22764" s="2" t="s">
        <v>44484</v>
      </c>
      <c r="B22764" s="2" t="s">
        <v>44485</v>
      </c>
      <c r="C22764" s="2" t="s">
        <v>195</v>
      </c>
      <c r="D22764" s="2" t="s">
        <v>682</v>
      </c>
      <c r="E22764" s="2" t="str">
        <f>"9783110440034"</f>
        <v>9783110440034</v>
      </c>
      <c r="F22764" s="2" t="str">
        <f>"9783110431148"</f>
        <v>9783110431148</v>
      </c>
    </row>
    <row r="22765" spans="1:6" s="3" customFormat="1" ht="29.1" customHeight="1" x14ac:dyDescent="0.25">
      <c r="A22765" s="2" t="s">
        <v>44486</v>
      </c>
      <c r="B22765" s="2" t="s">
        <v>44487</v>
      </c>
      <c r="C22765" s="2" t="s">
        <v>927</v>
      </c>
      <c r="D22765" s="2" t="s">
        <v>210</v>
      </c>
      <c r="E22765" s="2" t="str">
        <f>"9780472130863"</f>
        <v>9780472130863</v>
      </c>
      <c r="F22765" s="2" t="str">
        <f>"9780472123940"</f>
        <v>9780472123940</v>
      </c>
    </row>
    <row r="22766" spans="1:6" s="3" customFormat="1" ht="29.1" customHeight="1" x14ac:dyDescent="0.25">
      <c r="A22766" s="2" t="s">
        <v>44488</v>
      </c>
      <c r="B22766" s="2" t="s">
        <v>44489</v>
      </c>
      <c r="C22766" s="2" t="s">
        <v>239</v>
      </c>
      <c r="D22766" s="2" t="s">
        <v>636</v>
      </c>
      <c r="E22766" s="2" t="str">
        <f>"9780520298408"</f>
        <v>9780520298408</v>
      </c>
      <c r="F22766" s="2" t="str">
        <f>"9780520970533"</f>
        <v>9780520970533</v>
      </c>
    </row>
    <row r="22767" spans="1:6" s="3" customFormat="1" ht="29.1" customHeight="1" x14ac:dyDescent="0.25">
      <c r="A22767" s="2" t="s">
        <v>44490</v>
      </c>
      <c r="B22767" s="2" t="s">
        <v>44491</v>
      </c>
      <c r="C22767" s="2" t="s">
        <v>605</v>
      </c>
      <c r="D22767" s="2" t="s">
        <v>606</v>
      </c>
      <c r="E22767" s="2" t="str">
        <f>"9789654066204"</f>
        <v>9789654066204</v>
      </c>
      <c r="F22767" s="2" t="str">
        <f>"9789654066235"</f>
        <v>9789654066235</v>
      </c>
    </row>
    <row r="22768" spans="1:6" s="3" customFormat="1" ht="29.1" customHeight="1" x14ac:dyDescent="0.25">
      <c r="A22768" s="2" t="s">
        <v>44492</v>
      </c>
      <c r="B22768" s="2" t="s">
        <v>44493</v>
      </c>
      <c r="C22768" s="2" t="s">
        <v>605</v>
      </c>
      <c r="D22768" s="2" t="s">
        <v>606</v>
      </c>
      <c r="E22768" s="2" t="str">
        <f>"9789654065399"</f>
        <v>9789654065399</v>
      </c>
      <c r="F22768" s="2" t="str">
        <f>"9789654066242"</f>
        <v>9789654066242</v>
      </c>
    </row>
    <row r="22769" spans="1:6" s="3" customFormat="1" ht="29.1" customHeight="1" x14ac:dyDescent="0.25">
      <c r="A22769" s="2" t="s">
        <v>44495</v>
      </c>
      <c r="B22769" s="2" t="s">
        <v>44481</v>
      </c>
      <c r="C22769" s="2" t="s">
        <v>605</v>
      </c>
      <c r="D22769" s="2" t="s">
        <v>3430</v>
      </c>
      <c r="E22769" s="2" t="str">
        <f>"9789654065320"</f>
        <v>9789654065320</v>
      </c>
      <c r="F22769" s="2" t="str">
        <f>"9789654066198"</f>
        <v>9789654066198</v>
      </c>
    </row>
    <row r="22770" spans="1:6" s="3" customFormat="1" ht="29.1" customHeight="1" x14ac:dyDescent="0.25">
      <c r="A22770" s="2" t="s">
        <v>44496</v>
      </c>
      <c r="B22770" s="2" t="s">
        <v>44497</v>
      </c>
      <c r="C22770" s="2" t="s">
        <v>605</v>
      </c>
      <c r="D22770" s="2" t="s">
        <v>606</v>
      </c>
      <c r="E22770" s="2" t="str">
        <f>"9789654065214"</f>
        <v>9789654065214</v>
      </c>
      <c r="F22770" s="2" t="str">
        <f>"9789654065955"</f>
        <v>9789654065955</v>
      </c>
    </row>
    <row r="22771" spans="1:6" s="3" customFormat="1" ht="29.1" customHeight="1" x14ac:dyDescent="0.25">
      <c r="A22771" s="2" t="s">
        <v>44494</v>
      </c>
      <c r="B22771" s="2" t="s">
        <v>44498</v>
      </c>
      <c r="C22771" s="2" t="s">
        <v>605</v>
      </c>
      <c r="D22771" s="2" t="s">
        <v>606</v>
      </c>
      <c r="E22771" s="2" t="str">
        <f>"9789654065030"</f>
        <v>9789654065030</v>
      </c>
      <c r="F22771" s="2" t="str">
        <f>"9789654065948"</f>
        <v>9789654065948</v>
      </c>
    </row>
    <row r="22772" spans="1:6" s="3" customFormat="1" ht="29.1" customHeight="1" x14ac:dyDescent="0.25">
      <c r="A22772" s="2" t="s">
        <v>44499</v>
      </c>
      <c r="B22772" s="2" t="s">
        <v>44500</v>
      </c>
      <c r="C22772" s="2" t="s">
        <v>605</v>
      </c>
      <c r="D22772" s="2" t="s">
        <v>606</v>
      </c>
      <c r="E22772" s="2" t="str">
        <f>"9789654064514"</f>
        <v>9789654064514</v>
      </c>
      <c r="F22772" s="2" t="str">
        <f>"9789654065931"</f>
        <v>9789654065931</v>
      </c>
    </row>
    <row r="22773" spans="1:6" s="3" customFormat="1" ht="29.1" customHeight="1" x14ac:dyDescent="0.25">
      <c r="A22773" s="2" t="s">
        <v>44501</v>
      </c>
      <c r="B22773" s="2" t="s">
        <v>44502</v>
      </c>
      <c r="C22773" s="2" t="s">
        <v>605</v>
      </c>
      <c r="D22773" s="2" t="s">
        <v>606</v>
      </c>
      <c r="E22773" s="2" t="str">
        <f>"9789654064507"</f>
        <v>9789654064507</v>
      </c>
      <c r="F22773" s="2" t="str">
        <f>"9789654065924"</f>
        <v>9789654065924</v>
      </c>
    </row>
    <row r="22774" spans="1:6" s="3" customFormat="1" ht="29.1" customHeight="1" x14ac:dyDescent="0.25">
      <c r="A22774" s="2" t="s">
        <v>44503</v>
      </c>
      <c r="B22774" s="2" t="s">
        <v>44504</v>
      </c>
      <c r="C22774" s="2" t="s">
        <v>605</v>
      </c>
      <c r="D22774" s="2" t="s">
        <v>606</v>
      </c>
      <c r="E22774" s="2" t="str">
        <f>"9789654063791"</f>
        <v>9789654063791</v>
      </c>
      <c r="F22774" s="2" t="str">
        <f>"9789654065917"</f>
        <v>9789654065917</v>
      </c>
    </row>
    <row r="22775" spans="1:6" s="3" customFormat="1" ht="29.1" customHeight="1" x14ac:dyDescent="0.25">
      <c r="A22775" s="2" t="s">
        <v>44505</v>
      </c>
      <c r="B22775" s="2" t="s">
        <v>44506</v>
      </c>
      <c r="C22775" s="2" t="s">
        <v>605</v>
      </c>
      <c r="D22775" s="2" t="s">
        <v>606</v>
      </c>
      <c r="E22775" s="2" t="str">
        <f>"9789654063784"</f>
        <v>9789654063784</v>
      </c>
      <c r="F22775" s="2" t="str">
        <f>"9789654065900"</f>
        <v>9789654065900</v>
      </c>
    </row>
    <row r="22776" spans="1:6" s="3" customFormat="1" ht="29.1" customHeight="1" x14ac:dyDescent="0.25">
      <c r="A22776" s="2" t="s">
        <v>44507</v>
      </c>
      <c r="B22776" s="2" t="s">
        <v>44508</v>
      </c>
      <c r="C22776" s="2" t="s">
        <v>927</v>
      </c>
      <c r="D22776" s="2" t="s">
        <v>2208</v>
      </c>
      <c r="E22776" s="2" t="str">
        <f>"9780472130931"</f>
        <v>9780472130931</v>
      </c>
      <c r="F22776" s="2" t="str">
        <f>"9780472124121"</f>
        <v>9780472124121</v>
      </c>
    </row>
    <row r="22777" spans="1:6" s="3" customFormat="1" ht="29.1" customHeight="1" x14ac:dyDescent="0.25">
      <c r="A22777" s="2" t="s">
        <v>44509</v>
      </c>
      <c r="B22777" s="2" t="s">
        <v>44510</v>
      </c>
      <c r="C22777" s="2" t="s">
        <v>55</v>
      </c>
      <c r="D22777" s="2" t="s">
        <v>4789</v>
      </c>
      <c r="E22777" s="2" t="str">
        <f>"9780719074288"</f>
        <v>9780719074288</v>
      </c>
      <c r="F22777" s="2" t="str">
        <f>"9781526126306"</f>
        <v>9781526126306</v>
      </c>
    </row>
    <row r="22778" spans="1:6" s="3" customFormat="1" ht="29.1" customHeight="1" x14ac:dyDescent="0.25">
      <c r="A22778" s="2" t="s">
        <v>44511</v>
      </c>
      <c r="B22778" s="2" t="s">
        <v>44512</v>
      </c>
      <c r="C22778" s="2" t="s">
        <v>124</v>
      </c>
      <c r="D22778" s="2" t="s">
        <v>210</v>
      </c>
      <c r="E22778" s="2" t="str">
        <f>"9780415350266"</f>
        <v>9780415350266</v>
      </c>
      <c r="F22778" s="2" t="str">
        <f>"9781134268696"</f>
        <v>9781134268696</v>
      </c>
    </row>
    <row r="22779" spans="1:6" s="3" customFormat="1" ht="29.1" customHeight="1" x14ac:dyDescent="0.25">
      <c r="A22779" s="2" t="s">
        <v>44513</v>
      </c>
      <c r="B22779" s="2" t="s">
        <v>44514</v>
      </c>
      <c r="C22779" s="2" t="s">
        <v>124</v>
      </c>
      <c r="D22779" s="2" t="s">
        <v>339</v>
      </c>
      <c r="E22779" s="2" t="str">
        <f>"9780367734374"</f>
        <v>9780367734374</v>
      </c>
      <c r="F22779" s="2" t="str">
        <f>"9781315396323"</f>
        <v>9781315396323</v>
      </c>
    </row>
    <row r="22780" spans="1:6" s="3" customFormat="1" ht="29.1" customHeight="1" x14ac:dyDescent="0.25">
      <c r="A22780" s="2" t="s">
        <v>44515</v>
      </c>
      <c r="B22780" s="2" t="s">
        <v>44516</v>
      </c>
      <c r="C22780" s="2" t="s">
        <v>124</v>
      </c>
      <c r="D22780" s="2" t="s">
        <v>297</v>
      </c>
      <c r="E22780" s="2" t="str">
        <f>"9781138222847"</f>
        <v>9781138222847</v>
      </c>
      <c r="F22780" s="2" t="str">
        <f>"9781315406725"</f>
        <v>9781315406725</v>
      </c>
    </row>
    <row r="22781" spans="1:6" s="3" customFormat="1" ht="29.1" customHeight="1" x14ac:dyDescent="0.25">
      <c r="A22781" s="2" t="s">
        <v>44517</v>
      </c>
      <c r="B22781" s="2" t="s">
        <v>44518</v>
      </c>
      <c r="C22781" s="2" t="s">
        <v>327</v>
      </c>
      <c r="D22781" s="2" t="s">
        <v>183</v>
      </c>
      <c r="E22781" s="2" t="str">
        <f>"9788380889170"</f>
        <v>9788380889170</v>
      </c>
      <c r="F22781" s="2" t="str">
        <f>"9788380889187"</f>
        <v>9788380889187</v>
      </c>
    </row>
    <row r="22782" spans="1:6" s="3" customFormat="1" ht="29.1" customHeight="1" x14ac:dyDescent="0.25">
      <c r="A22782" s="2" t="s">
        <v>44519</v>
      </c>
      <c r="B22782" s="2" t="s">
        <v>44520</v>
      </c>
      <c r="C22782" s="2" t="s">
        <v>195</v>
      </c>
      <c r="D22782" s="2" t="s">
        <v>81</v>
      </c>
      <c r="E22782" s="2" t="str">
        <f>"9783110126808"</f>
        <v>9783110126808</v>
      </c>
      <c r="F22782" s="2" t="str">
        <f>"9783110906240"</f>
        <v>9783110906240</v>
      </c>
    </row>
    <row r="22783" spans="1:6" s="3" customFormat="1" ht="29.1" customHeight="1" x14ac:dyDescent="0.25">
      <c r="A22783" s="2" t="s">
        <v>44521</v>
      </c>
      <c r="B22783" s="2" t="s">
        <v>44522</v>
      </c>
      <c r="C22783" s="2" t="s">
        <v>195</v>
      </c>
      <c r="D22783" s="2" t="s">
        <v>1183</v>
      </c>
      <c r="E22783" s="2" t="str">
        <f>"9783110529166"</f>
        <v>9783110529166</v>
      </c>
      <c r="F22783" s="2" t="str">
        <f>"9783110529241"</f>
        <v>9783110529241</v>
      </c>
    </row>
    <row r="22784" spans="1:6" s="3" customFormat="1" ht="29.1" customHeight="1" x14ac:dyDescent="0.25">
      <c r="A22784" s="2" t="s">
        <v>44523</v>
      </c>
      <c r="B22784" s="2" t="s">
        <v>44524</v>
      </c>
      <c r="C22784" s="2" t="s">
        <v>195</v>
      </c>
      <c r="D22784" s="2" t="s">
        <v>210</v>
      </c>
      <c r="E22784" s="2" t="str">
        <f>"9783486566628"</f>
        <v>9783486566628</v>
      </c>
      <c r="F22784" s="2" t="str">
        <f>"9783486594522"</f>
        <v>9783486594522</v>
      </c>
    </row>
    <row r="22785" spans="1:6" s="3" customFormat="1" ht="29.1" customHeight="1" x14ac:dyDescent="0.25">
      <c r="A22785" s="2" t="s">
        <v>44525</v>
      </c>
      <c r="B22785" s="2" t="s">
        <v>44526</v>
      </c>
      <c r="C22785" s="2" t="s">
        <v>55</v>
      </c>
      <c r="D22785" s="2" t="s">
        <v>15625</v>
      </c>
      <c r="E22785" s="2" t="str">
        <f>"9781526114587"</f>
        <v>9781526114587</v>
      </c>
      <c r="F22785" s="2" t="str">
        <f>"9781526114600"</f>
        <v>9781526114600</v>
      </c>
    </row>
    <row r="22786" spans="1:6" s="3" customFormat="1" ht="29.1" customHeight="1" x14ac:dyDescent="0.25">
      <c r="A22786" s="2" t="s">
        <v>44527</v>
      </c>
      <c r="B22786" s="2" t="s">
        <v>44528</v>
      </c>
      <c r="C22786" s="2" t="s">
        <v>124</v>
      </c>
      <c r="D22786" s="2" t="s">
        <v>712</v>
      </c>
      <c r="E22786" s="2" t="str">
        <f>"9789089649669"</f>
        <v>9789089649669</v>
      </c>
      <c r="F22786" s="2" t="str">
        <f>"9781040795897"</f>
        <v>9781040795897</v>
      </c>
    </row>
    <row r="22787" spans="1:6" s="3" customFormat="1" ht="29.1" customHeight="1" x14ac:dyDescent="0.25">
      <c r="A22787" s="2" t="s">
        <v>44529</v>
      </c>
      <c r="B22787" s="2" t="s">
        <v>44530</v>
      </c>
      <c r="C22787" s="2" t="s">
        <v>124</v>
      </c>
      <c r="D22787" s="2" t="s">
        <v>183</v>
      </c>
      <c r="E22787" s="2" t="str">
        <f>"9789089649980"</f>
        <v>9789089649980</v>
      </c>
      <c r="F22787" s="2" t="str">
        <f>"9781040773079"</f>
        <v>9781040773079</v>
      </c>
    </row>
    <row r="22788" spans="1:6" s="3" customFormat="1" ht="29.1" customHeight="1" x14ac:dyDescent="0.25">
      <c r="A22788" s="2" t="s">
        <v>44531</v>
      </c>
      <c r="B22788" s="2" t="s">
        <v>44532</v>
      </c>
      <c r="C22788" s="2" t="s">
        <v>4788</v>
      </c>
      <c r="D22788" s="2" t="s">
        <v>1162</v>
      </c>
      <c r="E22788" s="2" t="str">
        <f>"9781474401142"</f>
        <v>9781474401142</v>
      </c>
      <c r="F22788" s="2" t="str">
        <f>"9781474401159"</f>
        <v>9781474401159</v>
      </c>
    </row>
    <row r="22789" spans="1:6" s="3" customFormat="1" ht="29.1" customHeight="1" x14ac:dyDescent="0.25">
      <c r="A22789" s="2" t="s">
        <v>44533</v>
      </c>
      <c r="B22789" s="2" t="s">
        <v>44534</v>
      </c>
      <c r="C22789" s="2" t="s">
        <v>4788</v>
      </c>
      <c r="D22789" s="2" t="s">
        <v>6548</v>
      </c>
      <c r="E22789" s="2" t="str">
        <f>"9781474426640"</f>
        <v>9781474426640</v>
      </c>
      <c r="F22789" s="2" t="str">
        <f>"9781474426664"</f>
        <v>9781474426664</v>
      </c>
    </row>
    <row r="22790" spans="1:6" s="3" customFormat="1" ht="29.1" customHeight="1" x14ac:dyDescent="0.25">
      <c r="A22790" s="2" t="s">
        <v>44535</v>
      </c>
      <c r="B22790" s="2" t="s">
        <v>44536</v>
      </c>
      <c r="C22790" s="2" t="s">
        <v>4788</v>
      </c>
      <c r="D22790" s="2" t="s">
        <v>501</v>
      </c>
      <c r="E22790" s="2" t="str">
        <f>"9781474434430"</f>
        <v>9781474434430</v>
      </c>
      <c r="F22790" s="2" t="str">
        <f>"9781474434447"</f>
        <v>9781474434447</v>
      </c>
    </row>
    <row r="22791" spans="1:6" s="3" customFormat="1" ht="29.1" customHeight="1" x14ac:dyDescent="0.25">
      <c r="A22791" s="2" t="s">
        <v>44537</v>
      </c>
      <c r="B22791" s="2"/>
      <c r="C22791" s="2" t="s">
        <v>59</v>
      </c>
      <c r="D22791" s="2" t="s">
        <v>8189</v>
      </c>
      <c r="E22791" s="2"/>
      <c r="F22791" s="2" t="str">
        <f>"9782759228355"</f>
        <v>9782759228355</v>
      </c>
    </row>
    <row r="22792" spans="1:6" s="3" customFormat="1" ht="29.1" customHeight="1" x14ac:dyDescent="0.25">
      <c r="A22792" s="2" t="s">
        <v>44538</v>
      </c>
      <c r="B22792" s="2" t="s">
        <v>6544</v>
      </c>
      <c r="C22792" s="2" t="s">
        <v>59</v>
      </c>
      <c r="D22792" s="2" t="s">
        <v>2086</v>
      </c>
      <c r="E22792" s="2" t="str">
        <f>"9782759227778"</f>
        <v>9782759227778</v>
      </c>
      <c r="F22792" s="2" t="str">
        <f>"9782759227785"</f>
        <v>9782759227785</v>
      </c>
    </row>
    <row r="22793" spans="1:6" s="3" customFormat="1" ht="29.1" customHeight="1" x14ac:dyDescent="0.25">
      <c r="A22793" s="2" t="s">
        <v>44539</v>
      </c>
      <c r="B22793" s="2" t="s">
        <v>44540</v>
      </c>
      <c r="C22793" s="2" t="s">
        <v>59</v>
      </c>
      <c r="D22793" s="2" t="s">
        <v>2237</v>
      </c>
      <c r="E22793" s="2" t="str">
        <f>"9782759227464"</f>
        <v>9782759227464</v>
      </c>
      <c r="F22793" s="2" t="str">
        <f>"9782759227471"</f>
        <v>9782759227471</v>
      </c>
    </row>
    <row r="22794" spans="1:6" s="3" customFormat="1" ht="29.1" customHeight="1" x14ac:dyDescent="0.25">
      <c r="A22794" s="2" t="s">
        <v>44541</v>
      </c>
      <c r="B22794" s="2" t="s">
        <v>44542</v>
      </c>
      <c r="C22794" s="2" t="s">
        <v>124</v>
      </c>
      <c r="D22794" s="2" t="s">
        <v>462</v>
      </c>
      <c r="E22794" s="2" t="str">
        <f>"9780815373452"</f>
        <v>9780815373452</v>
      </c>
      <c r="F22794" s="2" t="str">
        <f>"9781351243476"</f>
        <v>9781351243476</v>
      </c>
    </row>
    <row r="22795" spans="1:6" s="3" customFormat="1" ht="29.1" customHeight="1" x14ac:dyDescent="0.25">
      <c r="A22795" s="2" t="s">
        <v>44543</v>
      </c>
      <c r="B22795" s="2" t="s">
        <v>44544</v>
      </c>
      <c r="C22795" s="2" t="s">
        <v>124</v>
      </c>
      <c r="D22795" s="2" t="s">
        <v>270</v>
      </c>
      <c r="E22795" s="2" t="str">
        <f>"9781138746619"</f>
        <v>9781138746619</v>
      </c>
      <c r="F22795" s="2" t="str">
        <f>"9781351719346"</f>
        <v>9781351719346</v>
      </c>
    </row>
    <row r="22796" spans="1:6" s="3" customFormat="1" ht="29.1" customHeight="1" x14ac:dyDescent="0.25">
      <c r="A22796" s="2" t="s">
        <v>44545</v>
      </c>
      <c r="B22796" s="2" t="s">
        <v>44546</v>
      </c>
      <c r="C22796" s="2" t="s">
        <v>4104</v>
      </c>
      <c r="D22796" s="2" t="s">
        <v>1999</v>
      </c>
      <c r="E22796" s="2" t="str">
        <f>"9781786940421"</f>
        <v>9781786940421</v>
      </c>
      <c r="F22796" s="2" t="str">
        <f>"9781786948243"</f>
        <v>9781786948243</v>
      </c>
    </row>
    <row r="22797" spans="1:6" s="3" customFormat="1" ht="29.1" customHeight="1" x14ac:dyDescent="0.25">
      <c r="A22797" s="2" t="s">
        <v>44547</v>
      </c>
      <c r="B22797" s="2" t="s">
        <v>44548</v>
      </c>
      <c r="C22797" s="2" t="s">
        <v>4104</v>
      </c>
      <c r="D22797" s="2" t="s">
        <v>8647</v>
      </c>
      <c r="E22797" s="2" t="str">
        <f>"9781786940780"</f>
        <v>9781786940780</v>
      </c>
      <c r="F22797" s="2" t="str">
        <f>"9781786948441"</f>
        <v>9781786948441</v>
      </c>
    </row>
    <row r="22798" spans="1:6" s="3" customFormat="1" ht="29.1" customHeight="1" x14ac:dyDescent="0.25">
      <c r="A22798" s="2" t="s">
        <v>44549</v>
      </c>
      <c r="B22798" s="2" t="s">
        <v>44550</v>
      </c>
      <c r="C22798" s="2" t="s">
        <v>4104</v>
      </c>
      <c r="D22798" s="2" t="s">
        <v>3993</v>
      </c>
      <c r="E22798" s="2" t="str">
        <f>"9781786940605"</f>
        <v>9781786940605</v>
      </c>
      <c r="F22798" s="2" t="str">
        <f>"9781786948328"</f>
        <v>9781786948328</v>
      </c>
    </row>
    <row r="22799" spans="1:6" s="3" customFormat="1" ht="29.1" customHeight="1" x14ac:dyDescent="0.25">
      <c r="A22799" s="2" t="s">
        <v>44551</v>
      </c>
      <c r="B22799" s="2" t="s">
        <v>44552</v>
      </c>
      <c r="C22799" s="2" t="s">
        <v>8104</v>
      </c>
      <c r="D22799" s="2" t="s">
        <v>2899</v>
      </c>
      <c r="E22799" s="2" t="str">
        <f>"9781789200348"</f>
        <v>9781789200348</v>
      </c>
      <c r="F22799" s="2" t="str">
        <f>"9781789200355"</f>
        <v>9781789200355</v>
      </c>
    </row>
    <row r="22800" spans="1:6" s="3" customFormat="1" ht="29.1" customHeight="1" x14ac:dyDescent="0.25">
      <c r="A22800" s="2" t="s">
        <v>44553</v>
      </c>
      <c r="B22800" s="2" t="s">
        <v>44554</v>
      </c>
      <c r="C22800" s="2" t="s">
        <v>8104</v>
      </c>
      <c r="D22800" s="2" t="s">
        <v>1198</v>
      </c>
      <c r="E22800" s="2" t="str">
        <f>"9781785336416"</f>
        <v>9781785336416</v>
      </c>
      <c r="F22800" s="2" t="str">
        <f>"9781785339028"</f>
        <v>9781785339028</v>
      </c>
    </row>
    <row r="22801" spans="1:6" s="3" customFormat="1" ht="29.1" customHeight="1" x14ac:dyDescent="0.25">
      <c r="A22801" s="2" t="s">
        <v>44555</v>
      </c>
      <c r="B22801" s="2" t="s">
        <v>44556</v>
      </c>
      <c r="C22801" s="2" t="s">
        <v>8104</v>
      </c>
      <c r="D22801" s="2" t="s">
        <v>647</v>
      </c>
      <c r="E22801" s="2" t="str">
        <f>"9781785336430"</f>
        <v>9781785336430</v>
      </c>
      <c r="F22801" s="2" t="str">
        <f>"9781785339035"</f>
        <v>9781785339035</v>
      </c>
    </row>
    <row r="22802" spans="1:6" s="3" customFormat="1" ht="29.1" customHeight="1" x14ac:dyDescent="0.25">
      <c r="A22802" s="2" t="s">
        <v>44557</v>
      </c>
      <c r="B22802" s="2" t="s">
        <v>44558</v>
      </c>
      <c r="C22802" s="2" t="s">
        <v>8047</v>
      </c>
      <c r="D22802" s="2" t="s">
        <v>1240</v>
      </c>
      <c r="E22802" s="2" t="str">
        <f>"9780271080079"</f>
        <v>9780271080079</v>
      </c>
      <c r="F22802" s="2" t="str">
        <f>"9780271081823"</f>
        <v>9780271081823</v>
      </c>
    </row>
    <row r="22803" spans="1:6" s="3" customFormat="1" ht="29.1" customHeight="1" x14ac:dyDescent="0.25">
      <c r="A22803" s="2" t="s">
        <v>44559</v>
      </c>
      <c r="B22803" s="2" t="s">
        <v>44560</v>
      </c>
      <c r="C22803" s="2" t="s">
        <v>34257</v>
      </c>
      <c r="D22803" s="2" t="s">
        <v>2019</v>
      </c>
      <c r="E22803" s="2" t="str">
        <f>"9780745337531"</f>
        <v>9780745337531</v>
      </c>
      <c r="F22803" s="2" t="str">
        <f>"9781786802217"</f>
        <v>9781786802217</v>
      </c>
    </row>
    <row r="22804" spans="1:6" s="3" customFormat="1" ht="29.1" customHeight="1" x14ac:dyDescent="0.25">
      <c r="A22804" s="2" t="s">
        <v>44561</v>
      </c>
      <c r="B22804" s="2" t="s">
        <v>44562</v>
      </c>
      <c r="C22804" s="2" t="s">
        <v>34257</v>
      </c>
      <c r="D22804" s="2" t="s">
        <v>5832</v>
      </c>
      <c r="E22804" s="2" t="str">
        <f>"9780745399287"</f>
        <v>9780745399287</v>
      </c>
      <c r="F22804" s="2" t="str">
        <f>"9781786801890"</f>
        <v>9781786801890</v>
      </c>
    </row>
    <row r="22805" spans="1:6" s="3" customFormat="1" ht="29.1" customHeight="1" x14ac:dyDescent="0.25">
      <c r="A22805" s="2" t="s">
        <v>44563</v>
      </c>
      <c r="B22805" s="2" t="s">
        <v>44564</v>
      </c>
      <c r="C22805" s="2" t="s">
        <v>34257</v>
      </c>
      <c r="D22805" s="2" t="s">
        <v>7000</v>
      </c>
      <c r="E22805" s="2" t="str">
        <f>"9780745399119"</f>
        <v>9780745399119</v>
      </c>
      <c r="F22805" s="2" t="str">
        <f>"9781786801692"</f>
        <v>9781786801692</v>
      </c>
    </row>
    <row r="22806" spans="1:6" s="3" customFormat="1" ht="29.1" customHeight="1" x14ac:dyDescent="0.25">
      <c r="A22806" s="2" t="s">
        <v>44565</v>
      </c>
      <c r="B22806" s="2" t="s">
        <v>44566</v>
      </c>
      <c r="C22806" s="2" t="s">
        <v>124</v>
      </c>
      <c r="D22806" s="2" t="s">
        <v>4019</v>
      </c>
      <c r="E22806" s="2" t="str">
        <f>"9780367487768"</f>
        <v>9780367487768</v>
      </c>
      <c r="F22806" s="2" t="str">
        <f>"9781351362511"</f>
        <v>9781351362511</v>
      </c>
    </row>
    <row r="22807" spans="1:6" s="3" customFormat="1" ht="29.1" customHeight="1" x14ac:dyDescent="0.25">
      <c r="A22807" s="2" t="s">
        <v>44567</v>
      </c>
      <c r="B22807" s="2" t="s">
        <v>44568</v>
      </c>
      <c r="C22807" s="2" t="s">
        <v>195</v>
      </c>
      <c r="D22807" s="2" t="s">
        <v>5671</v>
      </c>
      <c r="E22807" s="2" t="str">
        <f>"9783110562491"</f>
        <v>9783110562491</v>
      </c>
      <c r="F22807" s="2" t="str">
        <f>"9783110562637"</f>
        <v>9783110562637</v>
      </c>
    </row>
    <row r="22808" spans="1:6" s="3" customFormat="1" ht="29.1" customHeight="1" x14ac:dyDescent="0.25">
      <c r="A22808" s="2" t="s">
        <v>44569</v>
      </c>
      <c r="B22808" s="2" t="s">
        <v>11443</v>
      </c>
      <c r="C22808" s="2" t="s">
        <v>885</v>
      </c>
      <c r="D22808" s="2" t="s">
        <v>1049</v>
      </c>
      <c r="E22808" s="2" t="str">
        <f>"9781487502331"</f>
        <v>9781487502331</v>
      </c>
      <c r="F22808" s="2" t="str">
        <f>"9781487515119"</f>
        <v>9781487515119</v>
      </c>
    </row>
    <row r="22809" spans="1:6" s="3" customFormat="1" ht="29.1" customHeight="1" x14ac:dyDescent="0.25">
      <c r="A22809" s="2" t="s">
        <v>44570</v>
      </c>
      <c r="B22809" s="2" t="s">
        <v>44571</v>
      </c>
      <c r="C22809" s="2" t="s">
        <v>264</v>
      </c>
      <c r="D22809" s="2" t="s">
        <v>13341</v>
      </c>
      <c r="E22809" s="2" t="str">
        <f>"9780849326264"</f>
        <v>9780849326264</v>
      </c>
      <c r="F22809" s="2" t="str">
        <f>"9781351431446"</f>
        <v>9781351431446</v>
      </c>
    </row>
    <row r="22810" spans="1:6" s="3" customFormat="1" ht="29.1" customHeight="1" x14ac:dyDescent="0.25">
      <c r="A22810" s="2" t="s">
        <v>44572</v>
      </c>
      <c r="B22810" s="2" t="s">
        <v>44573</v>
      </c>
      <c r="C22810" s="2" t="s">
        <v>195</v>
      </c>
      <c r="D22810" s="2" t="s">
        <v>462</v>
      </c>
      <c r="E22810" s="2" t="str">
        <f>"9783110265927"</f>
        <v>9783110265927</v>
      </c>
      <c r="F22810" s="2" t="str">
        <f>"9783110266412"</f>
        <v>9783110266412</v>
      </c>
    </row>
    <row r="22811" spans="1:6" s="3" customFormat="1" ht="29.1" customHeight="1" x14ac:dyDescent="0.25">
      <c r="A22811" s="2" t="s">
        <v>44574</v>
      </c>
      <c r="B22811" s="2" t="s">
        <v>44575</v>
      </c>
      <c r="C22811" s="2" t="s">
        <v>195</v>
      </c>
      <c r="D22811" s="2" t="s">
        <v>462</v>
      </c>
      <c r="E22811" s="2" t="str">
        <f>"9783110200591"</f>
        <v>9783110200591</v>
      </c>
      <c r="F22811" s="2" t="str">
        <f>"9783110227369"</f>
        <v>9783110227369</v>
      </c>
    </row>
    <row r="22812" spans="1:6" s="3" customFormat="1" ht="29.1" customHeight="1" x14ac:dyDescent="0.25">
      <c r="A22812" s="2" t="s">
        <v>44576</v>
      </c>
      <c r="B22812" s="2" t="s">
        <v>44577</v>
      </c>
      <c r="C22812" s="2" t="s">
        <v>195</v>
      </c>
      <c r="D22812" s="2" t="s">
        <v>436</v>
      </c>
      <c r="E22812" s="2" t="str">
        <f>"9783110320022"</f>
        <v>9783110320022</v>
      </c>
      <c r="F22812" s="2" t="str">
        <f>"9783110320268"</f>
        <v>9783110320268</v>
      </c>
    </row>
    <row r="22813" spans="1:6" s="3" customFormat="1" ht="29.1" customHeight="1" x14ac:dyDescent="0.25">
      <c r="A22813" s="2" t="s">
        <v>44578</v>
      </c>
      <c r="B22813" s="2" t="s">
        <v>44579</v>
      </c>
      <c r="C22813" s="2" t="s">
        <v>195</v>
      </c>
      <c r="D22813" s="2" t="s">
        <v>339</v>
      </c>
      <c r="E22813" s="2" t="str">
        <f>"9783110372700"</f>
        <v>9783110372700</v>
      </c>
      <c r="F22813" s="2" t="str">
        <f>"9783110372717"</f>
        <v>9783110372717</v>
      </c>
    </row>
    <row r="22814" spans="1:6" s="3" customFormat="1" ht="29.1" customHeight="1" x14ac:dyDescent="0.25">
      <c r="A22814" s="2" t="s">
        <v>44580</v>
      </c>
      <c r="B22814" s="2" t="s">
        <v>44581</v>
      </c>
      <c r="C22814" s="2" t="s">
        <v>195</v>
      </c>
      <c r="D22814" s="2" t="s">
        <v>636</v>
      </c>
      <c r="E22814" s="2" t="str">
        <f>"9783110372328"</f>
        <v>9783110372328</v>
      </c>
      <c r="F22814" s="2" t="str">
        <f>"9783110372335"</f>
        <v>9783110372335</v>
      </c>
    </row>
    <row r="22815" spans="1:6" s="3" customFormat="1" ht="29.1" customHeight="1" x14ac:dyDescent="0.25">
      <c r="A22815" s="2" t="s">
        <v>44582</v>
      </c>
      <c r="B22815" s="2" t="s">
        <v>44584</v>
      </c>
      <c r="C22815" s="2" t="s">
        <v>195</v>
      </c>
      <c r="D22815" s="2" t="s">
        <v>44583</v>
      </c>
      <c r="E22815" s="2" t="str">
        <f>"9783110370300"</f>
        <v>9783110370300</v>
      </c>
      <c r="F22815" s="2" t="str">
        <f>"9783110370317"</f>
        <v>9783110370317</v>
      </c>
    </row>
    <row r="22816" spans="1:6" s="3" customFormat="1" ht="29.1" customHeight="1" x14ac:dyDescent="0.25">
      <c r="A22816" s="2" t="s">
        <v>44585</v>
      </c>
      <c r="B22816" s="2" t="s">
        <v>44586</v>
      </c>
      <c r="C22816" s="2" t="s">
        <v>195</v>
      </c>
      <c r="D22816" s="2" t="s">
        <v>353</v>
      </c>
      <c r="E22816" s="2" t="str">
        <f>"9783110370102"</f>
        <v>9783110370102</v>
      </c>
      <c r="F22816" s="2" t="str">
        <f>"9783110370119"</f>
        <v>9783110370119</v>
      </c>
    </row>
    <row r="22817" spans="1:6" s="3" customFormat="1" ht="29.1" customHeight="1" x14ac:dyDescent="0.25">
      <c r="A22817" s="2" t="s">
        <v>44587</v>
      </c>
      <c r="B22817" s="2" t="s">
        <v>44588</v>
      </c>
      <c r="C22817" s="2" t="s">
        <v>195</v>
      </c>
      <c r="D22817" s="2" t="s">
        <v>459</v>
      </c>
      <c r="E22817" s="2" t="str">
        <f>"9788376560908"</f>
        <v>9788376560908</v>
      </c>
      <c r="F22817" s="2" t="str">
        <f>"9783110399318"</f>
        <v>9783110399318</v>
      </c>
    </row>
    <row r="22818" spans="1:6" s="3" customFormat="1" ht="29.1" customHeight="1" x14ac:dyDescent="0.25">
      <c r="A22818" s="2" t="s">
        <v>44589</v>
      </c>
      <c r="B22818" s="2" t="s">
        <v>44588</v>
      </c>
      <c r="C22818" s="2" t="s">
        <v>195</v>
      </c>
      <c r="D22818" s="2" t="s">
        <v>459</v>
      </c>
      <c r="E22818" s="2" t="str">
        <f>"9788376560878"</f>
        <v>9788376560878</v>
      </c>
      <c r="F22818" s="2" t="str">
        <f>"9783110399301"</f>
        <v>9783110399301</v>
      </c>
    </row>
    <row r="22819" spans="1:6" s="3" customFormat="1" ht="29.1" customHeight="1" x14ac:dyDescent="0.25">
      <c r="A22819" s="2" t="s">
        <v>44590</v>
      </c>
      <c r="B22819" s="2" t="s">
        <v>44588</v>
      </c>
      <c r="C22819" s="2" t="s">
        <v>195</v>
      </c>
      <c r="D22819" s="2" t="s">
        <v>459</v>
      </c>
      <c r="E22819" s="2" t="str">
        <f>"9788376560755"</f>
        <v>9788376560755</v>
      </c>
      <c r="F22819" s="2" t="str">
        <f>"9783110399271"</f>
        <v>9783110399271</v>
      </c>
    </row>
    <row r="22820" spans="1:6" s="3" customFormat="1" ht="29.1" customHeight="1" x14ac:dyDescent="0.25">
      <c r="A22820" s="2" t="s">
        <v>44591</v>
      </c>
      <c r="B22820" s="2" t="s">
        <v>44592</v>
      </c>
      <c r="C22820" s="2" t="s">
        <v>195</v>
      </c>
      <c r="D22820" s="2" t="s">
        <v>5092</v>
      </c>
      <c r="E22820" s="2" t="str">
        <f>"9788376560816"</f>
        <v>9788376560816</v>
      </c>
      <c r="F22820" s="2" t="str">
        <f>"9783110399295"</f>
        <v>9783110399295</v>
      </c>
    </row>
    <row r="22821" spans="1:6" s="3" customFormat="1" ht="29.1" customHeight="1" x14ac:dyDescent="0.25">
      <c r="A22821" s="2" t="s">
        <v>44593</v>
      </c>
      <c r="B22821" s="2" t="s">
        <v>44594</v>
      </c>
      <c r="C22821" s="2" t="s">
        <v>195</v>
      </c>
      <c r="D22821" s="2" t="s">
        <v>459</v>
      </c>
      <c r="E22821" s="2" t="str">
        <f>"9788376560786"</f>
        <v>9788376560786</v>
      </c>
      <c r="F22821" s="2" t="str">
        <f>"9783110399288"</f>
        <v>9783110399288</v>
      </c>
    </row>
    <row r="22822" spans="1:6" s="3" customFormat="1" ht="29.1" customHeight="1" x14ac:dyDescent="0.25">
      <c r="A22822" s="2" t="s">
        <v>44595</v>
      </c>
      <c r="B22822" s="2" t="s">
        <v>44596</v>
      </c>
      <c r="C22822" s="2" t="s">
        <v>195</v>
      </c>
      <c r="D22822" s="2" t="s">
        <v>636</v>
      </c>
      <c r="E22822" s="2" t="str">
        <f>"9788376560670"</f>
        <v>9788376560670</v>
      </c>
      <c r="F22822" s="2" t="str">
        <f>"9783110368123"</f>
        <v>9783110368123</v>
      </c>
    </row>
    <row r="22823" spans="1:6" s="3" customFormat="1" ht="29.1" customHeight="1" x14ac:dyDescent="0.25">
      <c r="A22823" s="2" t="s">
        <v>44597</v>
      </c>
      <c r="B22823" s="2" t="s">
        <v>44598</v>
      </c>
      <c r="C22823" s="2" t="s">
        <v>195</v>
      </c>
      <c r="D22823" s="2" t="s">
        <v>3567</v>
      </c>
      <c r="E22823" s="2" t="str">
        <f>"9788376560700"</f>
        <v>9788376560700</v>
      </c>
      <c r="F22823" s="2" t="str">
        <f>"9783110374254"</f>
        <v>9783110374254</v>
      </c>
    </row>
    <row r="22824" spans="1:6" s="3" customFormat="1" ht="29.1" customHeight="1" x14ac:dyDescent="0.25">
      <c r="A22824" s="2" t="s">
        <v>44599</v>
      </c>
      <c r="B22824" s="2" t="s">
        <v>44600</v>
      </c>
      <c r="C22824" s="2" t="s">
        <v>195</v>
      </c>
      <c r="D22824" s="2" t="s">
        <v>4238</v>
      </c>
      <c r="E22824" s="2" t="str">
        <f>"9788376560649"</f>
        <v>9788376560649</v>
      </c>
      <c r="F22824" s="2" t="str">
        <f>"9783110368147"</f>
        <v>9783110368147</v>
      </c>
    </row>
    <row r="22825" spans="1:6" s="3" customFormat="1" ht="29.1" customHeight="1" x14ac:dyDescent="0.25">
      <c r="A22825" s="2" t="s">
        <v>44601</v>
      </c>
      <c r="B22825" s="2" t="s">
        <v>44602</v>
      </c>
      <c r="C22825" s="2" t="s">
        <v>195</v>
      </c>
      <c r="D22825" s="2" t="s">
        <v>183</v>
      </c>
      <c r="E22825" s="2" t="str">
        <f>"9788376560403"</f>
        <v>9788376560403</v>
      </c>
      <c r="F22825" s="2" t="str">
        <f>"9783110399240"</f>
        <v>9783110399240</v>
      </c>
    </row>
    <row r="22826" spans="1:6" s="3" customFormat="1" ht="29.1" customHeight="1" x14ac:dyDescent="0.25">
      <c r="A22826" s="2" t="s">
        <v>44603</v>
      </c>
      <c r="B22826" s="2" t="s">
        <v>44604</v>
      </c>
      <c r="C22826" s="2" t="s">
        <v>195</v>
      </c>
      <c r="D22826" s="2" t="s">
        <v>462</v>
      </c>
      <c r="E22826" s="2" t="str">
        <f>"9788376560281"</f>
        <v>9788376560281</v>
      </c>
      <c r="F22826" s="2" t="str">
        <f>"9783110399356"</f>
        <v>9783110399356</v>
      </c>
    </row>
    <row r="22827" spans="1:6" s="3" customFormat="1" ht="29.1" customHeight="1" x14ac:dyDescent="0.25">
      <c r="A22827" s="2" t="s">
        <v>44605</v>
      </c>
      <c r="B22827" s="2" t="s">
        <v>44606</v>
      </c>
      <c r="C22827" s="2" t="s">
        <v>195</v>
      </c>
      <c r="D22827" s="2" t="s">
        <v>186</v>
      </c>
      <c r="E22827" s="2" t="str">
        <f>"9788376560588"</f>
        <v>9788376560588</v>
      </c>
      <c r="F22827" s="2" t="str">
        <f>"9783110399264"</f>
        <v>9783110399264</v>
      </c>
    </row>
    <row r="22828" spans="1:6" s="3" customFormat="1" ht="29.1" customHeight="1" x14ac:dyDescent="0.25">
      <c r="A22828" s="2" t="s">
        <v>44607</v>
      </c>
      <c r="B22828" s="2" t="s">
        <v>44608</v>
      </c>
      <c r="C22828" s="2" t="s">
        <v>195</v>
      </c>
      <c r="D22828" s="2" t="s">
        <v>462</v>
      </c>
      <c r="E22828" s="2" t="str">
        <f>"9783110288315"</f>
        <v>9783110288315</v>
      </c>
      <c r="F22828" s="2" t="str">
        <f>"9783110288384"</f>
        <v>9783110288384</v>
      </c>
    </row>
    <row r="22829" spans="1:6" s="3" customFormat="1" ht="29.1" customHeight="1" x14ac:dyDescent="0.25">
      <c r="A22829" s="2" t="s">
        <v>44609</v>
      </c>
      <c r="B22829" s="2" t="s">
        <v>39220</v>
      </c>
      <c r="C22829" s="2" t="s">
        <v>195</v>
      </c>
      <c r="D22829" s="2" t="s">
        <v>9600</v>
      </c>
      <c r="E22829" s="2" t="str">
        <f>"9783110444063"</f>
        <v>9783110444063</v>
      </c>
      <c r="F22829" s="2" t="str">
        <f>"9783110453164"</f>
        <v>9783110453164</v>
      </c>
    </row>
    <row r="22830" spans="1:6" s="3" customFormat="1" ht="29.1" customHeight="1" x14ac:dyDescent="0.25">
      <c r="A22830" s="2" t="s">
        <v>44610</v>
      </c>
      <c r="B22830" s="2" t="s">
        <v>44611</v>
      </c>
      <c r="C22830" s="2" t="s">
        <v>195</v>
      </c>
      <c r="D22830" s="2" t="s">
        <v>2005</v>
      </c>
      <c r="E22830" s="2" t="str">
        <f>"9783110455304"</f>
        <v>9783110455304</v>
      </c>
      <c r="F22830" s="2" t="str">
        <f>"9783110455311"</f>
        <v>9783110455311</v>
      </c>
    </row>
    <row r="22831" spans="1:6" s="3" customFormat="1" ht="29.1" customHeight="1" x14ac:dyDescent="0.25">
      <c r="A22831" s="2" t="s">
        <v>44612</v>
      </c>
      <c r="B22831" s="2" t="s">
        <v>44613</v>
      </c>
      <c r="C22831" s="2" t="s">
        <v>195</v>
      </c>
      <c r="D22831" s="2" t="s">
        <v>855</v>
      </c>
      <c r="E22831" s="2" t="str">
        <f>"9783110444124"</f>
        <v>9783110444124</v>
      </c>
      <c r="F22831" s="2" t="str">
        <f>"9783110437041"</f>
        <v>9783110437041</v>
      </c>
    </row>
    <row r="22832" spans="1:6" s="3" customFormat="1" ht="29.1" customHeight="1" x14ac:dyDescent="0.25">
      <c r="A22832" s="2" t="s">
        <v>44614</v>
      </c>
      <c r="B22832" s="2" t="s">
        <v>44615</v>
      </c>
      <c r="C22832" s="2" t="s">
        <v>195</v>
      </c>
      <c r="D22832" s="2" t="s">
        <v>3814</v>
      </c>
      <c r="E22832" s="2" t="str">
        <f>"9783110452433"</f>
        <v>9783110452433</v>
      </c>
      <c r="F22832" s="2" t="str">
        <f>"9783110452440"</f>
        <v>9783110452440</v>
      </c>
    </row>
    <row r="22833" spans="1:6" s="3" customFormat="1" ht="29.1" customHeight="1" x14ac:dyDescent="0.25">
      <c r="A22833" s="2" t="s">
        <v>44616</v>
      </c>
      <c r="B22833" s="2" t="s">
        <v>44617</v>
      </c>
      <c r="C22833" s="2" t="s">
        <v>195</v>
      </c>
      <c r="D22833" s="2" t="s">
        <v>689</v>
      </c>
      <c r="E22833" s="2" t="str">
        <f>"9783110376197"</f>
        <v>9783110376197</v>
      </c>
      <c r="F22833" s="2" t="str">
        <f>"9783110376616"</f>
        <v>9783110376616</v>
      </c>
    </row>
    <row r="22834" spans="1:6" s="3" customFormat="1" ht="29.1" customHeight="1" x14ac:dyDescent="0.25">
      <c r="A22834" s="2" t="s">
        <v>44618</v>
      </c>
      <c r="B22834" s="2" t="s">
        <v>44619</v>
      </c>
      <c r="C22834" s="2" t="s">
        <v>195</v>
      </c>
      <c r="D22834" s="2" t="s">
        <v>459</v>
      </c>
      <c r="E22834" s="2" t="str">
        <f>"9783110426991"</f>
        <v>9783110426991</v>
      </c>
      <c r="F22834" s="2" t="str">
        <f>"9783110423136"</f>
        <v>9783110423136</v>
      </c>
    </row>
    <row r="22835" spans="1:6" s="3" customFormat="1" ht="29.1" customHeight="1" x14ac:dyDescent="0.25">
      <c r="A22835" s="2" t="s">
        <v>44620</v>
      </c>
      <c r="B22835" s="2" t="s">
        <v>44621</v>
      </c>
      <c r="C22835" s="2" t="s">
        <v>195</v>
      </c>
      <c r="D22835" s="2" t="s">
        <v>1725</v>
      </c>
      <c r="E22835" s="2" t="str">
        <f>"9783110419351"</f>
        <v>9783110419351</v>
      </c>
      <c r="F22835" s="2" t="str">
        <f>"9783110418163"</f>
        <v>9783110418163</v>
      </c>
    </row>
    <row r="22836" spans="1:6" s="3" customFormat="1" ht="29.1" customHeight="1" x14ac:dyDescent="0.25">
      <c r="A22836" s="2" t="s">
        <v>44622</v>
      </c>
      <c r="B22836" s="2" t="s">
        <v>44623</v>
      </c>
      <c r="C22836" s="2" t="s">
        <v>195</v>
      </c>
      <c r="D22836" s="2" t="s">
        <v>118</v>
      </c>
      <c r="E22836" s="2" t="str">
        <f>"9783110417937"</f>
        <v>9783110417937</v>
      </c>
      <c r="F22836" s="2" t="str">
        <f>"9783110417944"</f>
        <v>9783110417944</v>
      </c>
    </row>
    <row r="22837" spans="1:6" s="3" customFormat="1" ht="29.1" customHeight="1" x14ac:dyDescent="0.25">
      <c r="A22837" s="2" t="s">
        <v>44624</v>
      </c>
      <c r="B22837" s="2" t="s">
        <v>44625</v>
      </c>
      <c r="C22837" s="2" t="s">
        <v>195</v>
      </c>
      <c r="D22837" s="2" t="s">
        <v>4522</v>
      </c>
      <c r="E22837" s="2" t="str">
        <f>"9783110417913"</f>
        <v>9783110417913</v>
      </c>
      <c r="F22837" s="2" t="str">
        <f>"9783110417920"</f>
        <v>9783110417920</v>
      </c>
    </row>
    <row r="22838" spans="1:6" s="3" customFormat="1" ht="29.1" customHeight="1" x14ac:dyDescent="0.25">
      <c r="A22838" s="2" t="s">
        <v>44626</v>
      </c>
      <c r="B22838" s="2" t="s">
        <v>44627</v>
      </c>
      <c r="C22838" s="2" t="s">
        <v>195</v>
      </c>
      <c r="D22838" s="2" t="s">
        <v>509</v>
      </c>
      <c r="E22838" s="2" t="str">
        <f>"9783110415155"</f>
        <v>9783110415155</v>
      </c>
      <c r="F22838" s="2" t="str">
        <f>"9783110415162"</f>
        <v>9783110415162</v>
      </c>
    </row>
    <row r="22839" spans="1:6" s="3" customFormat="1" ht="29.1" customHeight="1" x14ac:dyDescent="0.25">
      <c r="A22839" s="2" t="s">
        <v>44628</v>
      </c>
      <c r="B22839" s="2" t="s">
        <v>44629</v>
      </c>
      <c r="C22839" s="2" t="s">
        <v>195</v>
      </c>
      <c r="D22839" s="2" t="s">
        <v>118</v>
      </c>
      <c r="E22839" s="2" t="str">
        <f>"9783110414325"</f>
        <v>9783110414325</v>
      </c>
      <c r="F22839" s="2" t="str">
        <f>"9783110419665"</f>
        <v>9783110419665</v>
      </c>
    </row>
    <row r="22840" spans="1:6" s="3" customFormat="1" ht="29.1" customHeight="1" x14ac:dyDescent="0.25">
      <c r="A22840" s="2" t="s">
        <v>44630</v>
      </c>
      <c r="B22840" s="2" t="s">
        <v>34504</v>
      </c>
      <c r="C22840" s="2" t="s">
        <v>195</v>
      </c>
      <c r="D22840" s="2" t="s">
        <v>33</v>
      </c>
      <c r="E22840" s="2" t="str">
        <f>"9783110406511"</f>
        <v>9783110406511</v>
      </c>
      <c r="F22840" s="2" t="str">
        <f>"9783110417883"</f>
        <v>9783110417883</v>
      </c>
    </row>
    <row r="22841" spans="1:6" s="3" customFormat="1" ht="29.1" customHeight="1" x14ac:dyDescent="0.25">
      <c r="A22841" s="2" t="s">
        <v>44631</v>
      </c>
      <c r="B22841" s="2" t="s">
        <v>34504</v>
      </c>
      <c r="C22841" s="2" t="s">
        <v>195</v>
      </c>
      <c r="D22841" s="2" t="s">
        <v>33</v>
      </c>
      <c r="E22841" s="2" t="str">
        <f>"9783110406351"</f>
        <v>9783110406351</v>
      </c>
      <c r="F22841" s="2" t="str">
        <f>"9783110406542"</f>
        <v>9783110406542</v>
      </c>
    </row>
    <row r="22842" spans="1:6" s="3" customFormat="1" ht="29.1" customHeight="1" x14ac:dyDescent="0.25">
      <c r="A22842" s="2" t="s">
        <v>44632</v>
      </c>
      <c r="B22842" s="2" t="s">
        <v>44633</v>
      </c>
      <c r="C22842" s="2" t="s">
        <v>195</v>
      </c>
      <c r="D22842" s="2" t="s">
        <v>462</v>
      </c>
      <c r="E22842" s="2" t="str">
        <f>"9781614513230"</f>
        <v>9781614513230</v>
      </c>
      <c r="F22842" s="2" t="str">
        <f>"9781501500213"</f>
        <v>9781501500213</v>
      </c>
    </row>
    <row r="22843" spans="1:6" s="3" customFormat="1" ht="29.1" customHeight="1" x14ac:dyDescent="0.25">
      <c r="A22843" s="2" t="s">
        <v>44634</v>
      </c>
      <c r="B22843" s="2" t="s">
        <v>44635</v>
      </c>
      <c r="C22843" s="2" t="s">
        <v>195</v>
      </c>
      <c r="D22843" s="2" t="s">
        <v>78</v>
      </c>
      <c r="E22843" s="2" t="str">
        <f>"9783110441109"</f>
        <v>9783110441109</v>
      </c>
      <c r="F22843" s="2" t="str">
        <f>"9783110441116"</f>
        <v>9783110441116</v>
      </c>
    </row>
    <row r="22844" spans="1:6" s="3" customFormat="1" ht="29.1" customHeight="1" x14ac:dyDescent="0.25">
      <c r="A22844" s="2" t="s">
        <v>44636</v>
      </c>
      <c r="B22844" s="2" t="s">
        <v>44637</v>
      </c>
      <c r="C22844" s="2" t="s">
        <v>195</v>
      </c>
      <c r="D22844" s="2" t="s">
        <v>636</v>
      </c>
      <c r="E22844" s="2" t="str">
        <f>"9783110439991"</f>
        <v>9783110439991</v>
      </c>
      <c r="F22844" s="2" t="str">
        <f>"9783110440003"</f>
        <v>9783110440003</v>
      </c>
    </row>
    <row r="22845" spans="1:6" s="3" customFormat="1" ht="29.1" customHeight="1" x14ac:dyDescent="0.25">
      <c r="A22845" s="2" t="s">
        <v>44638</v>
      </c>
      <c r="B22845" s="2" t="s">
        <v>44639</v>
      </c>
      <c r="C22845" s="2" t="s">
        <v>195</v>
      </c>
      <c r="D22845" s="2" t="s">
        <v>10550</v>
      </c>
      <c r="E22845" s="2" t="str">
        <f>"9783110440089"</f>
        <v>9783110440089</v>
      </c>
      <c r="F22845" s="2" t="str">
        <f>"9783110440096"</f>
        <v>9783110440096</v>
      </c>
    </row>
    <row r="22846" spans="1:6" s="3" customFormat="1" ht="29.1" customHeight="1" x14ac:dyDescent="0.25">
      <c r="A22846" s="2" t="s">
        <v>44640</v>
      </c>
      <c r="B22846" s="2" t="s">
        <v>44641</v>
      </c>
      <c r="C22846" s="2" t="s">
        <v>195</v>
      </c>
      <c r="D22846" s="2" t="s">
        <v>10407</v>
      </c>
      <c r="E22846" s="2" t="str">
        <f>"9783110439748"</f>
        <v>9783110439748</v>
      </c>
      <c r="F22846" s="2" t="str">
        <f>"9783110439755"</f>
        <v>9783110439755</v>
      </c>
    </row>
    <row r="22847" spans="1:6" s="3" customFormat="1" ht="29.1" customHeight="1" x14ac:dyDescent="0.25">
      <c r="A22847" s="2" t="s">
        <v>44642</v>
      </c>
      <c r="B22847" s="2" t="s">
        <v>21469</v>
      </c>
      <c r="C22847" s="2" t="s">
        <v>195</v>
      </c>
      <c r="D22847" s="2" t="s">
        <v>606</v>
      </c>
      <c r="E22847" s="2" t="str">
        <f>"9783110439724"</f>
        <v>9783110439724</v>
      </c>
      <c r="F22847" s="2" t="str">
        <f>"9783110439731"</f>
        <v>9783110439731</v>
      </c>
    </row>
    <row r="22848" spans="1:6" s="3" customFormat="1" ht="29.1" customHeight="1" x14ac:dyDescent="0.25">
      <c r="A22848" s="2" t="s">
        <v>44643</v>
      </c>
      <c r="B22848" s="2" t="s">
        <v>44644</v>
      </c>
      <c r="C22848" s="2" t="s">
        <v>195</v>
      </c>
      <c r="D22848" s="2" t="s">
        <v>28511</v>
      </c>
      <c r="E22848" s="2" t="str">
        <f>"9783110438659"</f>
        <v>9783110438659</v>
      </c>
      <c r="F22848" s="2" t="str">
        <f>"9783110438666"</f>
        <v>9783110438666</v>
      </c>
    </row>
    <row r="22849" spans="1:6" s="3" customFormat="1" ht="29.1" customHeight="1" x14ac:dyDescent="0.25">
      <c r="A22849" s="2" t="s">
        <v>44645</v>
      </c>
      <c r="B22849" s="2" t="s">
        <v>44646</v>
      </c>
      <c r="C22849" s="2" t="s">
        <v>195</v>
      </c>
      <c r="D22849" s="2" t="s">
        <v>9441</v>
      </c>
      <c r="E22849" s="2" t="str">
        <f>"9783110438284"</f>
        <v>9783110438284</v>
      </c>
      <c r="F22849" s="2" t="str">
        <f>"9783110438291"</f>
        <v>9783110438291</v>
      </c>
    </row>
    <row r="22850" spans="1:6" s="3" customFormat="1" ht="29.1" customHeight="1" x14ac:dyDescent="0.25">
      <c r="A22850" s="2" t="s">
        <v>44647</v>
      </c>
      <c r="B22850" s="2" t="s">
        <v>44648</v>
      </c>
      <c r="C22850" s="2" t="s">
        <v>195</v>
      </c>
      <c r="D22850" s="2" t="s">
        <v>118</v>
      </c>
      <c r="E22850" s="2" t="str">
        <f>"9783110426410"</f>
        <v>9783110426410</v>
      </c>
      <c r="F22850" s="2" t="str">
        <f>"9783110426427"</f>
        <v>9783110426427</v>
      </c>
    </row>
    <row r="22851" spans="1:6" s="3" customFormat="1" ht="29.1" customHeight="1" x14ac:dyDescent="0.25">
      <c r="A22851" s="2" t="s">
        <v>44649</v>
      </c>
      <c r="B22851" s="2" t="s">
        <v>44650</v>
      </c>
      <c r="C22851" s="2" t="s">
        <v>195</v>
      </c>
      <c r="D22851" s="2" t="s">
        <v>18003</v>
      </c>
      <c r="E22851" s="2" t="str">
        <f>"9783110425253"</f>
        <v>9783110425253</v>
      </c>
      <c r="F22851" s="2" t="str">
        <f>"9783110425260"</f>
        <v>9783110425260</v>
      </c>
    </row>
    <row r="22852" spans="1:6" s="3" customFormat="1" ht="29.1" customHeight="1" x14ac:dyDescent="0.25">
      <c r="A22852" s="2" t="s">
        <v>44651</v>
      </c>
      <c r="B22852" s="2" t="s">
        <v>44652</v>
      </c>
      <c r="C22852" s="2" t="s">
        <v>195</v>
      </c>
      <c r="D22852" s="2" t="s">
        <v>459</v>
      </c>
      <c r="E22852" s="2" t="str">
        <f>"9783110410150"</f>
        <v>9783110410150</v>
      </c>
      <c r="F22852" s="2" t="str">
        <f>"9783110410167"</f>
        <v>9783110410167</v>
      </c>
    </row>
    <row r="22853" spans="1:6" s="3" customFormat="1" ht="29.1" customHeight="1" x14ac:dyDescent="0.25">
      <c r="A22853" s="2" t="s">
        <v>44653</v>
      </c>
      <c r="B22853" s="2" t="s">
        <v>44654</v>
      </c>
      <c r="C22853" s="2" t="s">
        <v>195</v>
      </c>
      <c r="D22853" s="2" t="s">
        <v>462</v>
      </c>
      <c r="E22853" s="2" t="str">
        <f>"9783110371741"</f>
        <v>9783110371741</v>
      </c>
      <c r="F22853" s="2" t="str">
        <f>"9783110371758"</f>
        <v>9783110371758</v>
      </c>
    </row>
    <row r="22854" spans="1:6" s="3" customFormat="1" ht="29.1" customHeight="1" x14ac:dyDescent="0.25">
      <c r="A22854" s="2" t="s">
        <v>44655</v>
      </c>
      <c r="B22854" s="2" t="s">
        <v>44656</v>
      </c>
      <c r="C22854" s="2" t="s">
        <v>195</v>
      </c>
      <c r="D22854" s="2" t="s">
        <v>547</v>
      </c>
      <c r="E22854" s="2" t="str">
        <f>"9783110370164"</f>
        <v>9783110370164</v>
      </c>
      <c r="F22854" s="2" t="str">
        <f>"9783110370195"</f>
        <v>9783110370195</v>
      </c>
    </row>
    <row r="22855" spans="1:6" s="3" customFormat="1" ht="29.1" customHeight="1" x14ac:dyDescent="0.25">
      <c r="A22855" s="2" t="s">
        <v>44657</v>
      </c>
      <c r="B22855" s="2" t="s">
        <v>44659</v>
      </c>
      <c r="C22855" s="2" t="s">
        <v>195</v>
      </c>
      <c r="D22855" s="2" t="s">
        <v>44658</v>
      </c>
      <c r="E22855" s="2" t="str">
        <f>"9783110337181"</f>
        <v>9783110337181</v>
      </c>
      <c r="F22855" s="2" t="str">
        <f>"9783110354324"</f>
        <v>9783110354324</v>
      </c>
    </row>
    <row r="22856" spans="1:6" s="3" customFormat="1" ht="29.1" customHeight="1" x14ac:dyDescent="0.25">
      <c r="A22856" s="2" t="s">
        <v>44660</v>
      </c>
      <c r="B22856" s="2" t="s">
        <v>44661</v>
      </c>
      <c r="C22856" s="2" t="s">
        <v>195</v>
      </c>
      <c r="D22856" s="2" t="s">
        <v>5266</v>
      </c>
      <c r="E22856" s="2" t="str">
        <f>"9783110346466"</f>
        <v>9783110346466</v>
      </c>
      <c r="F22856" s="2" t="str">
        <f>"9783110346473"</f>
        <v>9783110346473</v>
      </c>
    </row>
    <row r="22857" spans="1:6" s="3" customFormat="1" ht="29.1" customHeight="1" x14ac:dyDescent="0.25">
      <c r="A22857" s="2" t="s">
        <v>44662</v>
      </c>
      <c r="B22857" s="2" t="s">
        <v>29563</v>
      </c>
      <c r="C22857" s="2" t="s">
        <v>195</v>
      </c>
      <c r="D22857" s="2" t="s">
        <v>462</v>
      </c>
      <c r="E22857" s="2" t="str">
        <f>"9783110453485"</f>
        <v>9783110453485</v>
      </c>
      <c r="F22857" s="2" t="str">
        <f>"9783110453553"</f>
        <v>9783110453553</v>
      </c>
    </row>
    <row r="22858" spans="1:6" s="3" customFormat="1" ht="29.1" customHeight="1" x14ac:dyDescent="0.25">
      <c r="A22858" s="2" t="s">
        <v>44663</v>
      </c>
      <c r="B22858" s="2" t="s">
        <v>44664</v>
      </c>
      <c r="C22858" s="2" t="s">
        <v>195</v>
      </c>
      <c r="D22858" s="2" t="s">
        <v>1956</v>
      </c>
      <c r="E22858" s="2" t="str">
        <f>"9783110375800"</f>
        <v>9783110375800</v>
      </c>
      <c r="F22858" s="2" t="str">
        <f>"9783110375817"</f>
        <v>9783110375817</v>
      </c>
    </row>
    <row r="22859" spans="1:6" s="3" customFormat="1" ht="29.1" customHeight="1" x14ac:dyDescent="0.25">
      <c r="A22859" s="2" t="s">
        <v>44665</v>
      </c>
      <c r="B22859" s="2" t="s">
        <v>44666</v>
      </c>
      <c r="C22859" s="2" t="s">
        <v>195</v>
      </c>
      <c r="D22859" s="2" t="s">
        <v>459</v>
      </c>
      <c r="E22859" s="2" t="str">
        <f>"9783110228021"</f>
        <v>9783110228021</v>
      </c>
      <c r="F22859" s="2" t="str">
        <f>"9783110260359"</f>
        <v>9783110260359</v>
      </c>
    </row>
    <row r="22860" spans="1:6" s="3" customFormat="1" ht="29.1" customHeight="1" x14ac:dyDescent="0.25">
      <c r="A22860" s="2" t="s">
        <v>44667</v>
      </c>
      <c r="B22860" s="2" t="s">
        <v>44668</v>
      </c>
      <c r="C22860" s="2" t="s">
        <v>195</v>
      </c>
      <c r="D22860" s="2" t="s">
        <v>4739</v>
      </c>
      <c r="E22860" s="2" t="str">
        <f>"9783110426137"</f>
        <v>9783110426137</v>
      </c>
      <c r="F22860" s="2" t="str">
        <f>"9783110426120"</f>
        <v>9783110426120</v>
      </c>
    </row>
    <row r="22861" spans="1:6" s="3" customFormat="1" ht="29.1" customHeight="1" x14ac:dyDescent="0.25">
      <c r="A22861" s="2" t="s">
        <v>44669</v>
      </c>
      <c r="B22861" s="2" t="s">
        <v>44670</v>
      </c>
      <c r="C22861" s="2" t="s">
        <v>195</v>
      </c>
      <c r="D22861" s="2" t="s">
        <v>30</v>
      </c>
      <c r="E22861" s="2" t="str">
        <f>"9783110410235"</f>
        <v>9783110410235</v>
      </c>
      <c r="F22861" s="2" t="str">
        <f>"9783110410242"</f>
        <v>9783110410242</v>
      </c>
    </row>
    <row r="22862" spans="1:6" s="3" customFormat="1" ht="29.1" customHeight="1" x14ac:dyDescent="0.25">
      <c r="A22862" s="2" t="s">
        <v>44671</v>
      </c>
      <c r="B22862" s="2" t="s">
        <v>44673</v>
      </c>
      <c r="C22862" s="2" t="s">
        <v>195</v>
      </c>
      <c r="D22862" s="2" t="s">
        <v>44672</v>
      </c>
      <c r="E22862" s="2" t="str">
        <f>"9788376560526"</f>
        <v>9788376560526</v>
      </c>
      <c r="F22862" s="2" t="str">
        <f>"9783110399257"</f>
        <v>9783110399257</v>
      </c>
    </row>
    <row r="22863" spans="1:6" s="3" customFormat="1" ht="29.1" customHeight="1" x14ac:dyDescent="0.25">
      <c r="A22863" s="2" t="s">
        <v>44674</v>
      </c>
      <c r="B22863" s="2" t="s">
        <v>44675</v>
      </c>
      <c r="C22863" s="2" t="s">
        <v>195</v>
      </c>
      <c r="D22863" s="2" t="s">
        <v>210</v>
      </c>
      <c r="E22863" s="2" t="str">
        <f>"9783110371369"</f>
        <v>9783110371369</v>
      </c>
      <c r="F22863" s="2" t="str">
        <f>"9783110371413"</f>
        <v>9783110371413</v>
      </c>
    </row>
    <row r="22864" spans="1:6" s="3" customFormat="1" ht="29.1" customHeight="1" x14ac:dyDescent="0.25">
      <c r="A22864" s="2" t="s">
        <v>29378</v>
      </c>
      <c r="B22864" s="2" t="s">
        <v>44676</v>
      </c>
      <c r="C22864" s="2" t="s">
        <v>195</v>
      </c>
      <c r="D22864" s="2" t="s">
        <v>210</v>
      </c>
      <c r="E22864" s="2" t="str">
        <f>"9783110371284"</f>
        <v>9783110371284</v>
      </c>
      <c r="F22864" s="2" t="str">
        <f>"9783110371291"</f>
        <v>9783110371291</v>
      </c>
    </row>
    <row r="22865" spans="1:6" s="3" customFormat="1" ht="29.1" customHeight="1" x14ac:dyDescent="0.25">
      <c r="A22865" s="2" t="s">
        <v>44677</v>
      </c>
      <c r="B22865" s="2" t="s">
        <v>44678</v>
      </c>
      <c r="C22865" s="2" t="s">
        <v>195</v>
      </c>
      <c r="D22865" s="2" t="s">
        <v>107</v>
      </c>
      <c r="E22865" s="2" t="str">
        <f>"9783110371239"</f>
        <v>9783110371239</v>
      </c>
      <c r="F22865" s="2" t="str">
        <f>"9783110371222"</f>
        <v>9783110371222</v>
      </c>
    </row>
    <row r="22866" spans="1:6" s="3" customFormat="1" ht="29.1" customHeight="1" x14ac:dyDescent="0.25">
      <c r="A22866" s="2" t="s">
        <v>44679</v>
      </c>
      <c r="B22866" s="2" t="s">
        <v>44680</v>
      </c>
      <c r="C22866" s="2" t="s">
        <v>195</v>
      </c>
      <c r="D22866" s="2" t="s">
        <v>2307</v>
      </c>
      <c r="E22866" s="2" t="str">
        <f>"9783110420067"</f>
        <v>9783110420067</v>
      </c>
      <c r="F22866" s="2" t="str">
        <f>"9783110422504"</f>
        <v>9783110422504</v>
      </c>
    </row>
    <row r="22867" spans="1:6" s="3" customFormat="1" ht="29.1" customHeight="1" x14ac:dyDescent="0.25">
      <c r="A22867" s="2" t="s">
        <v>44681</v>
      </c>
      <c r="B22867" s="2" t="s">
        <v>44682</v>
      </c>
      <c r="C22867" s="2" t="s">
        <v>195</v>
      </c>
      <c r="D22867" s="2" t="s">
        <v>34460</v>
      </c>
      <c r="E22867" s="2" t="str">
        <f>"9783110412765"</f>
        <v>9783110412765</v>
      </c>
      <c r="F22867" s="2" t="str">
        <f>"9783110412772"</f>
        <v>9783110412772</v>
      </c>
    </row>
    <row r="22868" spans="1:6" s="3" customFormat="1" ht="29.1" customHeight="1" x14ac:dyDescent="0.25">
      <c r="A22868" s="2" t="s">
        <v>44683</v>
      </c>
      <c r="B22868" s="2" t="s">
        <v>44684</v>
      </c>
      <c r="C22868" s="2" t="s">
        <v>195</v>
      </c>
      <c r="D22868" s="2" t="s">
        <v>2083</v>
      </c>
      <c r="E22868" s="2" t="str">
        <f>"9783110401493"</f>
        <v>9783110401493</v>
      </c>
      <c r="F22868" s="2" t="str">
        <f>"9783110401509"</f>
        <v>9783110401509</v>
      </c>
    </row>
    <row r="22869" spans="1:6" s="3" customFormat="1" ht="29.1" customHeight="1" x14ac:dyDescent="0.25">
      <c r="A22869" s="2" t="s">
        <v>44685</v>
      </c>
      <c r="B22869" s="2" t="s">
        <v>44686</v>
      </c>
      <c r="C22869" s="2" t="s">
        <v>195</v>
      </c>
      <c r="D22869" s="2" t="s">
        <v>7070</v>
      </c>
      <c r="E22869" s="2" t="str">
        <f>"9783110426038"</f>
        <v>9783110426038</v>
      </c>
      <c r="F22869" s="2" t="str">
        <f>"9783110426045"</f>
        <v>9783110426045</v>
      </c>
    </row>
    <row r="22870" spans="1:6" s="3" customFormat="1" ht="29.1" customHeight="1" x14ac:dyDescent="0.25">
      <c r="A22870" s="2" t="s">
        <v>44687</v>
      </c>
      <c r="B22870" s="2" t="s">
        <v>44688</v>
      </c>
      <c r="C22870" s="2" t="s">
        <v>195</v>
      </c>
      <c r="D22870" s="2" t="s">
        <v>12492</v>
      </c>
      <c r="E22870" s="2" t="str">
        <f>"9783110411324"</f>
        <v>9783110411324</v>
      </c>
      <c r="F22870" s="2" t="str">
        <f>"9783110411331"</f>
        <v>9783110411331</v>
      </c>
    </row>
    <row r="22871" spans="1:6" s="3" customFormat="1" ht="29.1" customHeight="1" x14ac:dyDescent="0.25">
      <c r="A22871" s="2" t="s">
        <v>44689</v>
      </c>
      <c r="B22871" s="2" t="s">
        <v>44690</v>
      </c>
      <c r="C22871" s="2" t="s">
        <v>195</v>
      </c>
      <c r="D22871" s="2" t="s">
        <v>218</v>
      </c>
      <c r="E22871" s="2" t="str">
        <f>"9783110410211"</f>
        <v>9783110410211</v>
      </c>
      <c r="F22871" s="2" t="str">
        <f>"9783110410228"</f>
        <v>9783110410228</v>
      </c>
    </row>
    <row r="22872" spans="1:6" s="3" customFormat="1" ht="29.1" customHeight="1" x14ac:dyDescent="0.25">
      <c r="A22872" s="2" t="s">
        <v>44691</v>
      </c>
      <c r="B22872" s="2" t="s">
        <v>44692</v>
      </c>
      <c r="C22872" s="2" t="s">
        <v>195</v>
      </c>
      <c r="D22872" s="2" t="s">
        <v>4739</v>
      </c>
      <c r="E22872" s="2" t="str">
        <f>"9783110409451"</f>
        <v>9783110409451</v>
      </c>
      <c r="F22872" s="2" t="str">
        <f>"9783110409475"</f>
        <v>9783110409475</v>
      </c>
    </row>
    <row r="22873" spans="1:6" s="3" customFormat="1" ht="29.1" customHeight="1" x14ac:dyDescent="0.25">
      <c r="A22873" s="2" t="s">
        <v>44693</v>
      </c>
      <c r="B22873" s="2" t="s">
        <v>44694</v>
      </c>
      <c r="C22873" s="2" t="s">
        <v>195</v>
      </c>
      <c r="D22873" s="2" t="s">
        <v>431</v>
      </c>
      <c r="E22873" s="2" t="str">
        <f>"9783110310412"</f>
        <v>9783110310412</v>
      </c>
      <c r="F22873" s="2" t="str">
        <f>"9783110310511"</f>
        <v>9783110310511</v>
      </c>
    </row>
    <row r="22874" spans="1:6" s="3" customFormat="1" ht="29.1" customHeight="1" x14ac:dyDescent="0.25">
      <c r="A22874" s="2" t="s">
        <v>44695</v>
      </c>
      <c r="B22874" s="2" t="s">
        <v>44696</v>
      </c>
      <c r="C22874" s="2" t="s">
        <v>195</v>
      </c>
      <c r="D22874" s="2" t="s">
        <v>30</v>
      </c>
      <c r="E22874" s="2" t="str">
        <f>"9783110409673"</f>
        <v>9783110409673</v>
      </c>
      <c r="F22874" s="2" t="str">
        <f>"9783110409697"</f>
        <v>9783110409697</v>
      </c>
    </row>
    <row r="22875" spans="1:6" s="3" customFormat="1" ht="29.1" customHeight="1" x14ac:dyDescent="0.25">
      <c r="A22875" s="2" t="s">
        <v>44697</v>
      </c>
      <c r="B22875" s="2" t="s">
        <v>44698</v>
      </c>
      <c r="C22875" s="2" t="s">
        <v>195</v>
      </c>
      <c r="D22875" s="2" t="s">
        <v>8286</v>
      </c>
      <c r="E22875" s="2" t="str">
        <f>"9783110410174"</f>
        <v>9783110410174</v>
      </c>
      <c r="F22875" s="2" t="str">
        <f>"9783110410181"</f>
        <v>9783110410181</v>
      </c>
    </row>
    <row r="22876" spans="1:6" s="3" customFormat="1" ht="29.1" customHeight="1" x14ac:dyDescent="0.25">
      <c r="A22876" s="2" t="s">
        <v>44699</v>
      </c>
      <c r="B22876" s="2" t="s">
        <v>44700</v>
      </c>
      <c r="C22876" s="2" t="s">
        <v>195</v>
      </c>
      <c r="D22876" s="2" t="s">
        <v>606</v>
      </c>
      <c r="E22876" s="2" t="str">
        <f>"9783110410198"</f>
        <v>9783110410198</v>
      </c>
      <c r="F22876" s="2" t="str">
        <f>"9783110410204"</f>
        <v>9783110410204</v>
      </c>
    </row>
    <row r="22877" spans="1:6" s="3" customFormat="1" ht="29.1" customHeight="1" x14ac:dyDescent="0.25">
      <c r="A22877" s="2" t="s">
        <v>44701</v>
      </c>
      <c r="B22877" s="2" t="s">
        <v>44702</v>
      </c>
      <c r="C22877" s="2" t="s">
        <v>195</v>
      </c>
      <c r="D22877" s="2" t="s">
        <v>4517</v>
      </c>
      <c r="E22877" s="2" t="str">
        <f>"9783110401967"</f>
        <v>9783110401967</v>
      </c>
      <c r="F22877" s="2" t="str">
        <f>"9783110402100"</f>
        <v>9783110402100</v>
      </c>
    </row>
    <row r="22878" spans="1:6" s="3" customFormat="1" ht="29.1" customHeight="1" x14ac:dyDescent="0.25">
      <c r="A22878" s="2" t="s">
        <v>44703</v>
      </c>
      <c r="B22878" s="2" t="s">
        <v>44704</v>
      </c>
      <c r="C22878" s="2" t="s">
        <v>195</v>
      </c>
      <c r="D22878" s="2" t="s">
        <v>1310</v>
      </c>
      <c r="E22878" s="2" t="str">
        <f>"9783110246117"</f>
        <v>9783110246117</v>
      </c>
      <c r="F22878" s="2" t="str">
        <f>"9783110246124"</f>
        <v>9783110246124</v>
      </c>
    </row>
    <row r="22879" spans="1:6" s="3" customFormat="1" ht="29.1" customHeight="1" x14ac:dyDescent="0.25">
      <c r="A22879" s="2" t="s">
        <v>44705</v>
      </c>
      <c r="B22879" s="2" t="s">
        <v>39393</v>
      </c>
      <c r="C22879" s="2" t="s">
        <v>195</v>
      </c>
      <c r="D22879" s="2" t="s">
        <v>69</v>
      </c>
      <c r="E22879" s="2" t="str">
        <f>"9783110465228"</f>
        <v>9783110465228</v>
      </c>
      <c r="F22879" s="2" t="str">
        <f>"9783110466966"</f>
        <v>9783110466966</v>
      </c>
    </row>
    <row r="22880" spans="1:6" s="3" customFormat="1" ht="29.1" customHeight="1" x14ac:dyDescent="0.25">
      <c r="A22880" s="2" t="s">
        <v>44706</v>
      </c>
      <c r="B22880" s="2" t="s">
        <v>44707</v>
      </c>
      <c r="C22880" s="2" t="s">
        <v>195</v>
      </c>
      <c r="D22880" s="2" t="s">
        <v>3963</v>
      </c>
      <c r="E22880" s="2" t="str">
        <f>"9783110341331"</f>
        <v>9783110341331</v>
      </c>
      <c r="F22880" s="2" t="str">
        <f>"9783110341386"</f>
        <v>9783110341386</v>
      </c>
    </row>
    <row r="22881" spans="1:6" s="3" customFormat="1" ht="29.1" customHeight="1" x14ac:dyDescent="0.25">
      <c r="A22881" s="2" t="s">
        <v>44708</v>
      </c>
      <c r="B22881" s="2" t="s">
        <v>44709</v>
      </c>
      <c r="C22881" s="2" t="s">
        <v>195</v>
      </c>
      <c r="D22881" s="2" t="s">
        <v>3430</v>
      </c>
      <c r="E22881" s="2" t="str">
        <f>"9783110265941"</f>
        <v>9783110265941</v>
      </c>
      <c r="F22881" s="2" t="str">
        <f>"9783110266436"</f>
        <v>9783110266436</v>
      </c>
    </row>
    <row r="22882" spans="1:6" s="3" customFormat="1" ht="29.1" customHeight="1" x14ac:dyDescent="0.25">
      <c r="A22882" s="2" t="s">
        <v>44710</v>
      </c>
      <c r="B22882" s="2" t="s">
        <v>44711</v>
      </c>
      <c r="C22882" s="2" t="s">
        <v>195</v>
      </c>
      <c r="D22882" s="2" t="s">
        <v>118</v>
      </c>
      <c r="E22882" s="2" t="str">
        <f>"9783110412055"</f>
        <v>9783110412055</v>
      </c>
      <c r="F22882" s="2" t="str">
        <f>"9783110419207"</f>
        <v>9783110419207</v>
      </c>
    </row>
    <row r="22883" spans="1:6" s="3" customFormat="1" ht="29.1" customHeight="1" x14ac:dyDescent="0.25">
      <c r="A22883" s="2" t="s">
        <v>44712</v>
      </c>
      <c r="B22883" s="2" t="s">
        <v>44713</v>
      </c>
      <c r="C22883" s="2" t="s">
        <v>195</v>
      </c>
      <c r="D22883" s="2" t="s">
        <v>232</v>
      </c>
      <c r="E22883" s="2" t="str">
        <f>"9783110472080"</f>
        <v>9783110472080</v>
      </c>
      <c r="F22883" s="2" t="str">
        <f>"9783110470710"</f>
        <v>9783110470710</v>
      </c>
    </row>
    <row r="22884" spans="1:6" s="3" customFormat="1" ht="29.1" customHeight="1" x14ac:dyDescent="0.25">
      <c r="A22884" s="2" t="s">
        <v>44714</v>
      </c>
      <c r="B22884" s="2" t="s">
        <v>7747</v>
      </c>
      <c r="C22884" s="2" t="s">
        <v>195</v>
      </c>
      <c r="D22884" s="2" t="s">
        <v>270</v>
      </c>
      <c r="E22884" s="2" t="str">
        <f>"9783110471199"</f>
        <v>9783110471199</v>
      </c>
      <c r="F22884" s="2" t="str">
        <f>"9783110471243"</f>
        <v>9783110471243</v>
      </c>
    </row>
    <row r="22885" spans="1:6" s="3" customFormat="1" ht="29.1" customHeight="1" x14ac:dyDescent="0.25">
      <c r="A22885" s="2" t="s">
        <v>44715</v>
      </c>
      <c r="B22885" s="2" t="s">
        <v>44716</v>
      </c>
      <c r="C22885" s="2" t="s">
        <v>195</v>
      </c>
      <c r="D22885" s="2" t="s">
        <v>2692</v>
      </c>
      <c r="E22885" s="2" t="str">
        <f>"9783110470994"</f>
        <v>9783110470994</v>
      </c>
      <c r="F22885" s="2" t="str">
        <f>"9783110471014"</f>
        <v>9783110471014</v>
      </c>
    </row>
    <row r="22886" spans="1:6" s="3" customFormat="1" ht="29.1" customHeight="1" x14ac:dyDescent="0.25">
      <c r="A22886" s="2" t="s">
        <v>44717</v>
      </c>
      <c r="B22886" s="2" t="s">
        <v>44718</v>
      </c>
      <c r="C22886" s="2" t="s">
        <v>195</v>
      </c>
      <c r="D22886" s="2" t="s">
        <v>1466</v>
      </c>
      <c r="E22886" s="2" t="str">
        <f>"9783110469516"</f>
        <v>9783110469516</v>
      </c>
      <c r="F22886" s="2" t="str">
        <f>"9783110469592"</f>
        <v>9783110469592</v>
      </c>
    </row>
    <row r="22887" spans="1:6" s="3" customFormat="1" ht="29.1" customHeight="1" x14ac:dyDescent="0.25">
      <c r="A22887" s="2" t="s">
        <v>44719</v>
      </c>
      <c r="B22887" s="2" t="s">
        <v>44720</v>
      </c>
      <c r="C22887" s="2" t="s">
        <v>195</v>
      </c>
      <c r="D22887" s="2" t="s">
        <v>1902</v>
      </c>
      <c r="E22887" s="2" t="str">
        <f>"9783110469875"</f>
        <v>9783110469875</v>
      </c>
      <c r="F22887" s="2" t="str">
        <f>"9783110469882"</f>
        <v>9783110469882</v>
      </c>
    </row>
    <row r="22888" spans="1:6" s="3" customFormat="1" ht="29.1" customHeight="1" x14ac:dyDescent="0.25">
      <c r="A22888" s="2" t="s">
        <v>44721</v>
      </c>
      <c r="B22888" s="2" t="s">
        <v>44722</v>
      </c>
      <c r="C22888" s="2" t="s">
        <v>195</v>
      </c>
      <c r="D22888" s="2" t="s">
        <v>12513</v>
      </c>
      <c r="E22888" s="2" t="str">
        <f>"9783110468748"</f>
        <v>9783110468748</v>
      </c>
      <c r="F22888" s="2" t="str">
        <f>"9783110468755"</f>
        <v>9783110468755</v>
      </c>
    </row>
    <row r="22889" spans="1:6" s="3" customFormat="1" ht="29.1" customHeight="1" x14ac:dyDescent="0.25">
      <c r="A22889" s="2" t="s">
        <v>44723</v>
      </c>
      <c r="B22889" s="2" t="s">
        <v>44724</v>
      </c>
      <c r="C22889" s="2" t="s">
        <v>195</v>
      </c>
      <c r="D22889" s="2" t="s">
        <v>4071</v>
      </c>
      <c r="E22889" s="2" t="str">
        <f>"9783110468656"</f>
        <v>9783110468656</v>
      </c>
      <c r="F22889" s="2" t="str">
        <f>"9783110468663"</f>
        <v>9783110468663</v>
      </c>
    </row>
    <row r="22890" spans="1:6" s="3" customFormat="1" ht="29.1" customHeight="1" x14ac:dyDescent="0.25">
      <c r="A22890" s="2" t="s">
        <v>44725</v>
      </c>
      <c r="B22890" s="2" t="s">
        <v>44586</v>
      </c>
      <c r="C22890" s="2" t="s">
        <v>195</v>
      </c>
      <c r="D22890" s="2" t="s">
        <v>2391</v>
      </c>
      <c r="E22890" s="2" t="str">
        <f>"9783110468236"</f>
        <v>9783110468236</v>
      </c>
      <c r="F22890" s="2" t="str">
        <f>"9783110468243"</f>
        <v>9783110468243</v>
      </c>
    </row>
    <row r="22891" spans="1:6" s="3" customFormat="1" ht="29.1" customHeight="1" x14ac:dyDescent="0.25">
      <c r="A22891" s="2" t="s">
        <v>44726</v>
      </c>
      <c r="B22891" s="2" t="s">
        <v>44727</v>
      </c>
      <c r="C22891" s="2" t="s">
        <v>195</v>
      </c>
      <c r="D22891" s="2" t="s">
        <v>196</v>
      </c>
      <c r="E22891" s="2" t="str">
        <f>"9783110468274"</f>
        <v>9783110468274</v>
      </c>
      <c r="F22891" s="2" t="str">
        <f>"9783110468298"</f>
        <v>9783110468298</v>
      </c>
    </row>
    <row r="22892" spans="1:6" s="3" customFormat="1" ht="29.1" customHeight="1" x14ac:dyDescent="0.25">
      <c r="A22892" s="2" t="s">
        <v>44728</v>
      </c>
      <c r="B22892" s="2" t="s">
        <v>44729</v>
      </c>
      <c r="C22892" s="2" t="s">
        <v>195</v>
      </c>
      <c r="D22892" s="2" t="s">
        <v>20507</v>
      </c>
      <c r="E22892" s="2" t="str">
        <f>"9783110467994"</f>
        <v>9783110467994</v>
      </c>
      <c r="F22892" s="2" t="str">
        <f>"9783110468007"</f>
        <v>9783110468007</v>
      </c>
    </row>
    <row r="22893" spans="1:6" s="3" customFormat="1" ht="29.1" customHeight="1" x14ac:dyDescent="0.25">
      <c r="A22893" s="2" t="s">
        <v>44730</v>
      </c>
      <c r="B22893" s="2" t="s">
        <v>44731</v>
      </c>
      <c r="C22893" s="2" t="s">
        <v>195</v>
      </c>
      <c r="D22893" s="2" t="s">
        <v>5104</v>
      </c>
      <c r="E22893" s="2" t="str">
        <f>"9783110459623"</f>
        <v>9783110459623</v>
      </c>
      <c r="F22893" s="2" t="str">
        <f>"9783110459630"</f>
        <v>9783110459630</v>
      </c>
    </row>
    <row r="22894" spans="1:6" s="3" customFormat="1" ht="29.1" customHeight="1" x14ac:dyDescent="0.25">
      <c r="A22894" s="2" t="s">
        <v>44732</v>
      </c>
      <c r="B22894" s="2" t="s">
        <v>44733</v>
      </c>
      <c r="C22894" s="2" t="s">
        <v>195</v>
      </c>
      <c r="D22894" s="2" t="s">
        <v>33</v>
      </c>
      <c r="E22894" s="2" t="str">
        <f>"9783110458695"</f>
        <v>9783110458695</v>
      </c>
      <c r="F22894" s="2" t="str">
        <f>"9783110460001"</f>
        <v>9783110460001</v>
      </c>
    </row>
    <row r="22895" spans="1:6" s="3" customFormat="1" ht="29.1" customHeight="1" x14ac:dyDescent="0.25">
      <c r="A22895" s="2" t="s">
        <v>44734</v>
      </c>
      <c r="B22895" s="2" t="s">
        <v>44735</v>
      </c>
      <c r="C22895" s="2" t="s">
        <v>195</v>
      </c>
      <c r="D22895" s="2" t="s">
        <v>479</v>
      </c>
      <c r="E22895" s="2" t="str">
        <f>"9783110455397"</f>
        <v>9783110455397</v>
      </c>
      <c r="F22895" s="2" t="str">
        <f>"9783110455403"</f>
        <v>9783110455403</v>
      </c>
    </row>
    <row r="22896" spans="1:6" s="3" customFormat="1" ht="29.1" customHeight="1" x14ac:dyDescent="0.25">
      <c r="A22896" s="2" t="s">
        <v>44736</v>
      </c>
      <c r="B22896" s="2" t="s">
        <v>44737</v>
      </c>
      <c r="C22896" s="2" t="s">
        <v>195</v>
      </c>
      <c r="D22896" s="2" t="s">
        <v>9052</v>
      </c>
      <c r="E22896" s="2" t="str">
        <f>"9783110450569"</f>
        <v>9783110450569</v>
      </c>
      <c r="F22896" s="2" t="str">
        <f>"9783110450576"</f>
        <v>9783110450576</v>
      </c>
    </row>
    <row r="22897" spans="1:6" s="3" customFormat="1" ht="29.1" customHeight="1" x14ac:dyDescent="0.25">
      <c r="A22897" s="2" t="s">
        <v>44738</v>
      </c>
      <c r="B22897" s="2" t="s">
        <v>44739</v>
      </c>
      <c r="C22897" s="2" t="s">
        <v>195</v>
      </c>
      <c r="D22897" s="2" t="s">
        <v>1013</v>
      </c>
      <c r="E22897" s="2" t="str">
        <f>"9783110450545"</f>
        <v>9783110450545</v>
      </c>
      <c r="F22897" s="2" t="str">
        <f>"9783110450552"</f>
        <v>9783110450552</v>
      </c>
    </row>
    <row r="22898" spans="1:6" s="3" customFormat="1" ht="29.1" customHeight="1" x14ac:dyDescent="0.25">
      <c r="A22898" s="2" t="s">
        <v>44740</v>
      </c>
      <c r="B22898" s="2" t="s">
        <v>44741</v>
      </c>
      <c r="C22898" s="2" t="s">
        <v>195</v>
      </c>
      <c r="D22898" s="2" t="s">
        <v>758</v>
      </c>
      <c r="E22898" s="2" t="str">
        <f>"9783110450491"</f>
        <v>9783110450491</v>
      </c>
      <c r="F22898" s="2" t="str">
        <f>"9783110450507"</f>
        <v>9783110450507</v>
      </c>
    </row>
    <row r="22899" spans="1:6" s="3" customFormat="1" ht="29.1" customHeight="1" x14ac:dyDescent="0.25">
      <c r="A22899" s="2" t="s">
        <v>44742</v>
      </c>
      <c r="B22899" s="2" t="s">
        <v>44743</v>
      </c>
      <c r="C22899" s="2" t="s">
        <v>195</v>
      </c>
      <c r="D22899" s="2" t="s">
        <v>13502</v>
      </c>
      <c r="E22899" s="2" t="str">
        <f>"9783110450514"</f>
        <v>9783110450514</v>
      </c>
      <c r="F22899" s="2" t="str">
        <f>"9783110450521"</f>
        <v>9783110450521</v>
      </c>
    </row>
    <row r="22900" spans="1:6" s="3" customFormat="1" ht="29.1" customHeight="1" x14ac:dyDescent="0.25">
      <c r="A22900" s="2" t="s">
        <v>44744</v>
      </c>
      <c r="B22900" s="2" t="s">
        <v>44745</v>
      </c>
      <c r="C22900" s="2" t="s">
        <v>195</v>
      </c>
      <c r="D22900" s="2" t="s">
        <v>9600</v>
      </c>
      <c r="E22900" s="2" t="str">
        <f>"9783110449440"</f>
        <v>9783110449440</v>
      </c>
      <c r="F22900" s="2" t="str">
        <f>"9783110459302"</f>
        <v>9783110459302</v>
      </c>
    </row>
    <row r="22901" spans="1:6" s="3" customFormat="1" ht="29.1" customHeight="1" x14ac:dyDescent="0.25">
      <c r="A22901" s="2" t="s">
        <v>44746</v>
      </c>
      <c r="B22901" s="2" t="s">
        <v>44747</v>
      </c>
      <c r="C22901" s="2" t="s">
        <v>195</v>
      </c>
      <c r="D22901" s="2" t="s">
        <v>183</v>
      </c>
      <c r="E22901" s="2" t="str">
        <f>"9783110444278"</f>
        <v>9783110444278</v>
      </c>
      <c r="F22901" s="2" t="str">
        <f>"9783110436891"</f>
        <v>9783110436891</v>
      </c>
    </row>
    <row r="22902" spans="1:6" s="3" customFormat="1" ht="29.1" customHeight="1" x14ac:dyDescent="0.25">
      <c r="A22902" s="2" t="s">
        <v>44748</v>
      </c>
      <c r="B22902" s="2" t="s">
        <v>44749</v>
      </c>
      <c r="C22902" s="2" t="s">
        <v>195</v>
      </c>
      <c r="D22902" s="2" t="s">
        <v>132</v>
      </c>
      <c r="E22902" s="2" t="str">
        <f>"9783110443479"</f>
        <v>9783110443479</v>
      </c>
      <c r="F22902" s="2" t="str">
        <f>"9783110435733"</f>
        <v>9783110435733</v>
      </c>
    </row>
    <row r="22903" spans="1:6" s="3" customFormat="1" ht="29.1" customHeight="1" x14ac:dyDescent="0.25">
      <c r="A22903" s="2" t="s">
        <v>44750</v>
      </c>
      <c r="B22903" s="2" t="s">
        <v>38739</v>
      </c>
      <c r="C22903" s="2" t="s">
        <v>195</v>
      </c>
      <c r="D22903" s="2" t="s">
        <v>36577</v>
      </c>
      <c r="E22903" s="2" t="str">
        <f>"9781501510564"</f>
        <v>9781501510564</v>
      </c>
      <c r="F22903" s="2" t="str">
        <f>"9781501501913"</f>
        <v>9781501501913</v>
      </c>
    </row>
    <row r="22904" spans="1:6" s="3" customFormat="1" ht="29.1" customHeight="1" x14ac:dyDescent="0.25">
      <c r="A22904" s="2" t="s">
        <v>44751</v>
      </c>
      <c r="B22904" s="2" t="s">
        <v>44752</v>
      </c>
      <c r="C22904" s="2" t="s">
        <v>195</v>
      </c>
      <c r="D22904" s="2" t="s">
        <v>462</v>
      </c>
      <c r="E22904" s="2" t="str">
        <f>"9783110309232"</f>
        <v>9783110309232</v>
      </c>
      <c r="F22904" s="2" t="str">
        <f>"9783110311198"</f>
        <v>9783110311198</v>
      </c>
    </row>
    <row r="22905" spans="1:6" s="3" customFormat="1" ht="29.1" customHeight="1" x14ac:dyDescent="0.25">
      <c r="A22905" s="2" t="s">
        <v>44753</v>
      </c>
      <c r="B22905" s="2" t="s">
        <v>44754</v>
      </c>
      <c r="C22905" s="2" t="s">
        <v>195</v>
      </c>
      <c r="D22905" s="2" t="s">
        <v>462</v>
      </c>
      <c r="E22905" s="2" t="str">
        <f>"9783110309249"</f>
        <v>9783110309249</v>
      </c>
      <c r="F22905" s="2" t="str">
        <f>"9783110311211"</f>
        <v>9783110311211</v>
      </c>
    </row>
    <row r="22906" spans="1:6" s="3" customFormat="1" ht="29.1" customHeight="1" x14ac:dyDescent="0.25">
      <c r="A22906" s="2" t="s">
        <v>44755</v>
      </c>
      <c r="B22906" s="2" t="s">
        <v>44756</v>
      </c>
      <c r="C22906" s="2" t="s">
        <v>195</v>
      </c>
      <c r="D22906" s="2" t="s">
        <v>43269</v>
      </c>
      <c r="E22906" s="2" t="str">
        <f>"9781614517122"</f>
        <v>9781614517122</v>
      </c>
      <c r="F22906" s="2" t="str">
        <f>"9781501501890"</f>
        <v>9781501501890</v>
      </c>
    </row>
    <row r="22907" spans="1:6" s="3" customFormat="1" ht="29.1" customHeight="1" x14ac:dyDescent="0.25">
      <c r="A22907" s="2" t="s">
        <v>44757</v>
      </c>
      <c r="B22907" s="2" t="s">
        <v>44758</v>
      </c>
      <c r="C22907" s="2" t="s">
        <v>195</v>
      </c>
      <c r="D22907" s="2" t="s">
        <v>2263</v>
      </c>
      <c r="E22907" s="2" t="str">
        <f>"9783110374810"</f>
        <v>9783110374810</v>
      </c>
      <c r="F22907" s="2" t="str">
        <f>"9783110374827"</f>
        <v>9783110374827</v>
      </c>
    </row>
    <row r="22908" spans="1:6" s="3" customFormat="1" ht="29.1" customHeight="1" x14ac:dyDescent="0.25">
      <c r="A22908" s="2" t="s">
        <v>44759</v>
      </c>
      <c r="B22908" s="2" t="s">
        <v>44760</v>
      </c>
      <c r="C22908" s="2" t="s">
        <v>195</v>
      </c>
      <c r="D22908" s="2" t="s">
        <v>41011</v>
      </c>
      <c r="E22908" s="2" t="str">
        <f>"9783110402483"</f>
        <v>9783110402483</v>
      </c>
      <c r="F22908" s="2" t="str">
        <f>"9783110402490"</f>
        <v>9783110402490</v>
      </c>
    </row>
    <row r="22909" spans="1:6" s="3" customFormat="1" ht="29.1" customHeight="1" x14ac:dyDescent="0.25">
      <c r="A22909" s="2" t="s">
        <v>44761</v>
      </c>
      <c r="B22909" s="2" t="s">
        <v>44762</v>
      </c>
      <c r="C22909" s="2" t="s">
        <v>195</v>
      </c>
      <c r="D22909" s="2" t="s">
        <v>1390</v>
      </c>
      <c r="E22909" s="2" t="str">
        <f>"9783110401714"</f>
        <v>9783110401714</v>
      </c>
      <c r="F22909" s="2" t="str">
        <f>"9783110401721"</f>
        <v>9783110401721</v>
      </c>
    </row>
    <row r="22910" spans="1:6" s="3" customFormat="1" ht="29.1" customHeight="1" x14ac:dyDescent="0.25">
      <c r="A22910" s="2" t="s">
        <v>44763</v>
      </c>
      <c r="B22910" s="2" t="s">
        <v>44764</v>
      </c>
      <c r="C22910" s="2" t="s">
        <v>195</v>
      </c>
      <c r="D22910" s="2" t="s">
        <v>3130</v>
      </c>
      <c r="E22910" s="2" t="str">
        <f>"9783110350500"</f>
        <v>9783110350500</v>
      </c>
      <c r="F22910" s="2" t="str">
        <f>"9783110350999"</f>
        <v>9783110350999</v>
      </c>
    </row>
    <row r="22911" spans="1:6" s="3" customFormat="1" ht="29.1" customHeight="1" x14ac:dyDescent="0.25">
      <c r="A22911" s="2" t="s">
        <v>44765</v>
      </c>
      <c r="B22911" s="2" t="s">
        <v>44766</v>
      </c>
      <c r="C22911" s="2" t="s">
        <v>605</v>
      </c>
      <c r="D22911" s="2" t="s">
        <v>606</v>
      </c>
      <c r="E22911" s="2" t="str">
        <f>"9789654060400"</f>
        <v>9789654060400</v>
      </c>
      <c r="F22911" s="2" t="str">
        <f>"9789654065481"</f>
        <v>9789654065481</v>
      </c>
    </row>
    <row r="22912" spans="1:6" s="3" customFormat="1" ht="29.1" customHeight="1" x14ac:dyDescent="0.25">
      <c r="A22912" s="2" t="s">
        <v>44767</v>
      </c>
      <c r="B22912" s="2" t="s">
        <v>44768</v>
      </c>
      <c r="C22912" s="2" t="s">
        <v>605</v>
      </c>
      <c r="D22912" s="2" t="s">
        <v>1419</v>
      </c>
      <c r="E22912" s="2" t="str">
        <f>"9789654060349"</f>
        <v>9789654060349</v>
      </c>
      <c r="F22912" s="2" t="str">
        <f>"9789654065474"</f>
        <v>9789654065474</v>
      </c>
    </row>
    <row r="22913" spans="1:6" s="3" customFormat="1" ht="29.1" customHeight="1" x14ac:dyDescent="0.25">
      <c r="A22913" s="2" t="s">
        <v>44769</v>
      </c>
      <c r="B22913" s="2" t="s">
        <v>44770</v>
      </c>
      <c r="C22913" s="2" t="s">
        <v>605</v>
      </c>
      <c r="D22913" s="2" t="s">
        <v>1419</v>
      </c>
      <c r="E22913" s="2" t="str">
        <f>"9789654060356"</f>
        <v>9789654060356</v>
      </c>
      <c r="F22913" s="2" t="str">
        <f>"9789654065467"</f>
        <v>9789654065467</v>
      </c>
    </row>
    <row r="22914" spans="1:6" s="3" customFormat="1" ht="29.1" customHeight="1" x14ac:dyDescent="0.25">
      <c r="A22914" s="2" t="s">
        <v>44771</v>
      </c>
      <c r="B22914" s="2" t="s">
        <v>44772</v>
      </c>
      <c r="C22914" s="2" t="s">
        <v>605</v>
      </c>
      <c r="D22914" s="2" t="s">
        <v>1419</v>
      </c>
      <c r="E22914" s="2" t="str">
        <f>"9789654060325"</f>
        <v>9789654060325</v>
      </c>
      <c r="F22914" s="2" t="str">
        <f>"9789654065450"</f>
        <v>9789654065450</v>
      </c>
    </row>
    <row r="22915" spans="1:6" s="3" customFormat="1" ht="29.1" customHeight="1" x14ac:dyDescent="0.25">
      <c r="A22915" s="2" t="s">
        <v>44773</v>
      </c>
      <c r="B22915" s="2" t="s">
        <v>44774</v>
      </c>
      <c r="C22915" s="2" t="s">
        <v>605</v>
      </c>
      <c r="D22915" s="2" t="s">
        <v>1419</v>
      </c>
      <c r="E22915" s="2" t="str">
        <f>"9789654060318"</f>
        <v>9789654060318</v>
      </c>
      <c r="F22915" s="2" t="str">
        <f>"9789654065443"</f>
        <v>9789654065443</v>
      </c>
    </row>
    <row r="22916" spans="1:6" s="3" customFormat="1" ht="29.1" customHeight="1" x14ac:dyDescent="0.25">
      <c r="A22916" s="2" t="s">
        <v>44775</v>
      </c>
      <c r="B22916" s="2" t="s">
        <v>44776</v>
      </c>
      <c r="C22916" s="2" t="s">
        <v>605</v>
      </c>
      <c r="D22916" s="2" t="s">
        <v>1419</v>
      </c>
      <c r="E22916" s="2" t="str">
        <f>"9789654060301"</f>
        <v>9789654060301</v>
      </c>
      <c r="F22916" s="2" t="str">
        <f>"9789654065436"</f>
        <v>9789654065436</v>
      </c>
    </row>
    <row r="22917" spans="1:6" s="3" customFormat="1" ht="29.1" customHeight="1" x14ac:dyDescent="0.25">
      <c r="A22917" s="2" t="s">
        <v>44777</v>
      </c>
      <c r="B22917" s="2" t="s">
        <v>44778</v>
      </c>
      <c r="C22917" s="2" t="s">
        <v>605</v>
      </c>
      <c r="D22917" s="2" t="s">
        <v>1419</v>
      </c>
      <c r="E22917" s="2" t="str">
        <f>"9789654060189"</f>
        <v>9789654060189</v>
      </c>
      <c r="F22917" s="2" t="str">
        <f>"9789654065429"</f>
        <v>9789654065429</v>
      </c>
    </row>
    <row r="22918" spans="1:6" s="3" customFormat="1" ht="29.1" customHeight="1" x14ac:dyDescent="0.25">
      <c r="A22918" s="2" t="s">
        <v>44779</v>
      </c>
      <c r="B22918" s="2" t="s">
        <v>44780</v>
      </c>
      <c r="C22918" s="2" t="s">
        <v>124</v>
      </c>
      <c r="D22918" s="2" t="s">
        <v>159</v>
      </c>
      <c r="E22918" s="2" t="str">
        <f>"9781032082523"</f>
        <v>9781032082523</v>
      </c>
      <c r="F22918" s="2" t="str">
        <f>"9781315448060"</f>
        <v>9781315448060</v>
      </c>
    </row>
    <row r="22919" spans="1:6" s="3" customFormat="1" ht="29.1" customHeight="1" x14ac:dyDescent="0.25">
      <c r="A22919" s="2" t="s">
        <v>44781</v>
      </c>
      <c r="B22919" s="2" t="s">
        <v>44782</v>
      </c>
      <c r="C22919" s="2" t="s">
        <v>7163</v>
      </c>
      <c r="D22919" s="2" t="s">
        <v>5571</v>
      </c>
      <c r="E22919" s="2" t="str">
        <f>"9781611178944"</f>
        <v>9781611178944</v>
      </c>
      <c r="F22919" s="2" t="str">
        <f>"9781611178951"</f>
        <v>9781611178951</v>
      </c>
    </row>
    <row r="22920" spans="1:6" s="3" customFormat="1" ht="29.1" customHeight="1" x14ac:dyDescent="0.25">
      <c r="A22920" s="2" t="s">
        <v>44783</v>
      </c>
      <c r="B22920" s="2" t="s">
        <v>44784</v>
      </c>
      <c r="C22920" s="2" t="s">
        <v>124</v>
      </c>
      <c r="D22920" s="2" t="s">
        <v>2086</v>
      </c>
      <c r="E22920" s="2" t="str">
        <f>"9781138580831"</f>
        <v>9781138580831</v>
      </c>
      <c r="F22920" s="2" t="str">
        <f>"9780429016288"</f>
        <v>9780429016288</v>
      </c>
    </row>
    <row r="22921" spans="1:6" s="3" customFormat="1" ht="29.1" customHeight="1" x14ac:dyDescent="0.25">
      <c r="A22921" s="2" t="s">
        <v>44785</v>
      </c>
      <c r="B22921" s="2" t="s">
        <v>44786</v>
      </c>
      <c r="C22921" s="2" t="s">
        <v>264</v>
      </c>
      <c r="D22921" s="2" t="s">
        <v>4739</v>
      </c>
      <c r="E22921" s="2" t="str">
        <f>"9783718603930"</f>
        <v>9783718603930</v>
      </c>
      <c r="F22921" s="2" t="str">
        <f>"9781351446082"</f>
        <v>9781351446082</v>
      </c>
    </row>
    <row r="22922" spans="1:6" s="3" customFormat="1" ht="29.1" customHeight="1" x14ac:dyDescent="0.25">
      <c r="A22922" s="2" t="s">
        <v>44787</v>
      </c>
      <c r="B22922" s="2" t="s">
        <v>44788</v>
      </c>
      <c r="C22922" s="2" t="s">
        <v>605</v>
      </c>
      <c r="D22922" s="2" t="s">
        <v>1419</v>
      </c>
      <c r="E22922" s="2" t="str">
        <f>"9789654066464"</f>
        <v>9789654066464</v>
      </c>
      <c r="F22922" s="2" t="str">
        <f>"9789654066716"</f>
        <v>9789654066716</v>
      </c>
    </row>
    <row r="22923" spans="1:6" s="3" customFormat="1" ht="29.1" customHeight="1" x14ac:dyDescent="0.25">
      <c r="A22923" s="2" t="s">
        <v>44789</v>
      </c>
      <c r="B22923" s="2" t="s">
        <v>44790</v>
      </c>
      <c r="C22923" s="2" t="s">
        <v>264</v>
      </c>
      <c r="D22923" s="2" t="s">
        <v>12465</v>
      </c>
      <c r="E22923" s="2" t="str">
        <f>"9788793609389"</f>
        <v>9788793609389</v>
      </c>
      <c r="F22923" s="2" t="str">
        <f>"9788793609372"</f>
        <v>9788793609372</v>
      </c>
    </row>
    <row r="22924" spans="1:6" s="3" customFormat="1" ht="29.1" customHeight="1" x14ac:dyDescent="0.25">
      <c r="A22924" s="2" t="s">
        <v>44791</v>
      </c>
      <c r="B22924" s="2" t="s">
        <v>44792</v>
      </c>
      <c r="C22924" s="2" t="s">
        <v>264</v>
      </c>
      <c r="D22924" s="2" t="s">
        <v>12465</v>
      </c>
      <c r="E22924" s="2" t="str">
        <f>"9788793609266"</f>
        <v>9788793609266</v>
      </c>
      <c r="F22924" s="2" t="str">
        <f>"9788793609259"</f>
        <v>9788793609259</v>
      </c>
    </row>
    <row r="22925" spans="1:6" s="3" customFormat="1" ht="29.1" customHeight="1" x14ac:dyDescent="0.25">
      <c r="A22925" s="2" t="s">
        <v>44793</v>
      </c>
      <c r="B22925" s="2" t="s">
        <v>40365</v>
      </c>
      <c r="C22925" s="2" t="s">
        <v>264</v>
      </c>
      <c r="D22925" s="2" t="s">
        <v>12465</v>
      </c>
      <c r="E22925" s="2" t="str">
        <f>"9788793609112"</f>
        <v>9788793609112</v>
      </c>
      <c r="F22925" s="2" t="str">
        <f>"9788793609105"</f>
        <v>9788793609105</v>
      </c>
    </row>
    <row r="22926" spans="1:6" s="3" customFormat="1" ht="29.1" customHeight="1" x14ac:dyDescent="0.25">
      <c r="A22926" s="2" t="s">
        <v>44794</v>
      </c>
      <c r="B22926" s="2" t="s">
        <v>44795</v>
      </c>
      <c r="C22926" s="2" t="s">
        <v>264</v>
      </c>
      <c r="D22926" s="2" t="s">
        <v>487</v>
      </c>
      <c r="E22926" s="2" t="str">
        <f>"9788793519824"</f>
        <v>9788793519824</v>
      </c>
      <c r="F22926" s="2" t="str">
        <f>"9788793519817"</f>
        <v>9788793519817</v>
      </c>
    </row>
    <row r="22927" spans="1:6" s="3" customFormat="1" ht="29.1" customHeight="1" x14ac:dyDescent="0.25">
      <c r="A22927" s="2" t="s">
        <v>44796</v>
      </c>
      <c r="B22927" s="2" t="s">
        <v>44797</v>
      </c>
      <c r="C22927" s="2" t="s">
        <v>264</v>
      </c>
      <c r="D22927" s="2" t="s">
        <v>12465</v>
      </c>
      <c r="E22927" s="2" t="str">
        <f>"9788793519633"</f>
        <v>9788793519633</v>
      </c>
      <c r="F22927" s="2" t="str">
        <f>"9788793519626"</f>
        <v>9788793519626</v>
      </c>
    </row>
    <row r="22928" spans="1:6" s="3" customFormat="1" ht="29.1" customHeight="1" x14ac:dyDescent="0.25">
      <c r="A22928" s="2" t="s">
        <v>44798</v>
      </c>
      <c r="B22928" s="2" t="s">
        <v>44799</v>
      </c>
      <c r="C22928" s="2" t="s">
        <v>264</v>
      </c>
      <c r="D22928" s="2" t="s">
        <v>20678</v>
      </c>
      <c r="E22928" s="2" t="str">
        <f>"9788793519565"</f>
        <v>9788793519565</v>
      </c>
      <c r="F22928" s="2" t="str">
        <f>"9788793519558"</f>
        <v>9788793519558</v>
      </c>
    </row>
    <row r="22929" spans="1:6" s="3" customFormat="1" ht="29.1" customHeight="1" x14ac:dyDescent="0.25">
      <c r="A22929" s="2" t="s">
        <v>44800</v>
      </c>
      <c r="B22929" s="2" t="s">
        <v>44801</v>
      </c>
      <c r="C22929" s="2" t="s">
        <v>264</v>
      </c>
      <c r="D22929" s="2" t="s">
        <v>487</v>
      </c>
      <c r="E22929" s="2" t="str">
        <f>"9788793519510"</f>
        <v>9788793519510</v>
      </c>
      <c r="F22929" s="2" t="str">
        <f>"9788793519503"</f>
        <v>9788793519503</v>
      </c>
    </row>
    <row r="22930" spans="1:6" s="3" customFormat="1" ht="29.1" customHeight="1" x14ac:dyDescent="0.25">
      <c r="A22930" s="2" t="s">
        <v>44802</v>
      </c>
      <c r="B22930" s="2" t="s">
        <v>44803</v>
      </c>
      <c r="C22930" s="2" t="s">
        <v>264</v>
      </c>
      <c r="D22930" s="2" t="s">
        <v>12465</v>
      </c>
      <c r="E22930" s="2" t="str">
        <f>"9788793519466"</f>
        <v>9788793519466</v>
      </c>
      <c r="F22930" s="2" t="str">
        <f>"9788793519459"</f>
        <v>9788793519459</v>
      </c>
    </row>
    <row r="22931" spans="1:6" s="3" customFormat="1" ht="29.1" customHeight="1" x14ac:dyDescent="0.25">
      <c r="A22931" s="2" t="s">
        <v>44804</v>
      </c>
      <c r="B22931" s="2" t="s">
        <v>44805</v>
      </c>
      <c r="C22931" s="2" t="s">
        <v>264</v>
      </c>
      <c r="D22931" s="2" t="s">
        <v>12465</v>
      </c>
      <c r="E22931" s="2" t="str">
        <f>"9788793519428"</f>
        <v>9788793519428</v>
      </c>
      <c r="F22931" s="2" t="str">
        <f>"9788793519411"</f>
        <v>9788793519411</v>
      </c>
    </row>
    <row r="22932" spans="1:6" s="3" customFormat="1" ht="29.1" customHeight="1" x14ac:dyDescent="0.25">
      <c r="A22932" s="2" t="s">
        <v>44806</v>
      </c>
      <c r="B22932" s="2" t="s">
        <v>44807</v>
      </c>
      <c r="C22932" s="2" t="s">
        <v>264</v>
      </c>
      <c r="D22932" s="2" t="s">
        <v>487</v>
      </c>
      <c r="E22932" s="2" t="str">
        <f>"9788793519145"</f>
        <v>9788793519145</v>
      </c>
      <c r="F22932" s="2" t="str">
        <f>"9788793519138"</f>
        <v>9788793519138</v>
      </c>
    </row>
    <row r="22933" spans="1:6" s="3" customFormat="1" ht="29.1" customHeight="1" x14ac:dyDescent="0.25">
      <c r="A22933" s="2" t="s">
        <v>44808</v>
      </c>
      <c r="B22933" s="2" t="s">
        <v>44809</v>
      </c>
      <c r="C22933" s="2" t="s">
        <v>264</v>
      </c>
      <c r="D22933" s="2" t="s">
        <v>12063</v>
      </c>
      <c r="E22933" s="2" t="str">
        <f>"9788793519121"</f>
        <v>9788793519121</v>
      </c>
      <c r="F22933" s="2" t="str">
        <f>"9788793519114"</f>
        <v>9788793519114</v>
      </c>
    </row>
    <row r="22934" spans="1:6" s="3" customFormat="1" ht="29.1" customHeight="1" x14ac:dyDescent="0.25">
      <c r="A22934" s="2" t="s">
        <v>44810</v>
      </c>
      <c r="B22934" s="2" t="s">
        <v>44811</v>
      </c>
      <c r="C22934" s="2" t="s">
        <v>264</v>
      </c>
      <c r="D22934" s="2" t="s">
        <v>12465</v>
      </c>
      <c r="E22934" s="2" t="str">
        <f>"9788793519107"</f>
        <v>9788793519107</v>
      </c>
      <c r="F22934" s="2" t="str">
        <f>"9788793519091"</f>
        <v>9788793519091</v>
      </c>
    </row>
    <row r="22935" spans="1:6" s="3" customFormat="1" ht="29.1" customHeight="1" x14ac:dyDescent="0.25">
      <c r="A22935" s="2" t="s">
        <v>44812</v>
      </c>
      <c r="B22935" s="2" t="s">
        <v>44813</v>
      </c>
      <c r="C22935" s="2" t="s">
        <v>264</v>
      </c>
      <c r="D22935" s="2" t="s">
        <v>20678</v>
      </c>
      <c r="E22935" s="2" t="str">
        <f>"9788793519084"</f>
        <v>9788793519084</v>
      </c>
      <c r="F22935" s="2" t="str">
        <f>"9788793519077"</f>
        <v>9788793519077</v>
      </c>
    </row>
    <row r="22936" spans="1:6" s="3" customFormat="1" ht="29.1" customHeight="1" x14ac:dyDescent="0.25">
      <c r="A22936" s="2" t="s">
        <v>44814</v>
      </c>
      <c r="B22936" s="2" t="s">
        <v>44028</v>
      </c>
      <c r="C22936" s="2" t="s">
        <v>264</v>
      </c>
      <c r="D22936" s="2" t="s">
        <v>12465</v>
      </c>
      <c r="E22936" s="2" t="str">
        <f>"9788793519275"</f>
        <v>9788793519275</v>
      </c>
      <c r="F22936" s="2" t="str">
        <f>"9788793519053"</f>
        <v>9788793519053</v>
      </c>
    </row>
    <row r="22937" spans="1:6" s="3" customFormat="1" ht="29.1" customHeight="1" x14ac:dyDescent="0.25">
      <c r="A22937" s="2" t="s">
        <v>44815</v>
      </c>
      <c r="B22937" s="2" t="s">
        <v>16378</v>
      </c>
      <c r="C22937" s="2" t="s">
        <v>264</v>
      </c>
      <c r="D22937" s="2" t="s">
        <v>12465</v>
      </c>
      <c r="E22937" s="2" t="str">
        <f>"9788793519039"</f>
        <v>9788793519039</v>
      </c>
      <c r="F22937" s="2" t="str">
        <f>"9788793519046"</f>
        <v>9788793519046</v>
      </c>
    </row>
    <row r="22938" spans="1:6" s="3" customFormat="1" ht="29.1" customHeight="1" x14ac:dyDescent="0.25">
      <c r="A22938" s="2" t="s">
        <v>44816</v>
      </c>
      <c r="B22938" s="2" t="s">
        <v>44817</v>
      </c>
      <c r="C22938" s="2" t="s">
        <v>264</v>
      </c>
      <c r="D22938" s="2" t="s">
        <v>12465</v>
      </c>
      <c r="E22938" s="2" t="str">
        <f>"9788793379930"</f>
        <v>9788793379930</v>
      </c>
      <c r="F22938" s="2" t="str">
        <f>"9788793519008"</f>
        <v>9788793519008</v>
      </c>
    </row>
    <row r="22939" spans="1:6" s="3" customFormat="1" ht="29.1" customHeight="1" x14ac:dyDescent="0.25">
      <c r="A22939" s="2" t="s">
        <v>44818</v>
      </c>
      <c r="B22939" s="2" t="s">
        <v>43870</v>
      </c>
      <c r="C22939" s="2" t="s">
        <v>264</v>
      </c>
      <c r="D22939" s="2" t="s">
        <v>12465</v>
      </c>
      <c r="E22939" s="2" t="str">
        <f>"9788793379817"</f>
        <v>9788793379817</v>
      </c>
      <c r="F22939" s="2" t="str">
        <f>"9788793379824"</f>
        <v>9788793379824</v>
      </c>
    </row>
    <row r="22940" spans="1:6" s="3" customFormat="1" ht="29.1" customHeight="1" x14ac:dyDescent="0.25">
      <c r="A22940" s="2" t="s">
        <v>44819</v>
      </c>
      <c r="B22940" s="2" t="s">
        <v>43872</v>
      </c>
      <c r="C22940" s="2" t="s">
        <v>264</v>
      </c>
      <c r="D22940" s="2" t="s">
        <v>12465</v>
      </c>
      <c r="E22940" s="2" t="str">
        <f>"9788793379770"</f>
        <v>9788793379770</v>
      </c>
      <c r="F22940" s="2" t="str">
        <f>"9788793379787"</f>
        <v>9788793379787</v>
      </c>
    </row>
    <row r="22941" spans="1:6" s="3" customFormat="1" ht="29.1" customHeight="1" x14ac:dyDescent="0.25">
      <c r="A22941" s="2" t="s">
        <v>44820</v>
      </c>
      <c r="B22941" s="2" t="s">
        <v>44821</v>
      </c>
      <c r="C22941" s="2" t="s">
        <v>264</v>
      </c>
      <c r="D22941" s="2" t="s">
        <v>12465</v>
      </c>
      <c r="E22941" s="2" t="str">
        <f>"9788793379756"</f>
        <v>9788793379756</v>
      </c>
      <c r="F22941" s="2" t="str">
        <f>"9788793379763"</f>
        <v>9788793379763</v>
      </c>
    </row>
    <row r="22942" spans="1:6" s="3" customFormat="1" ht="29.1" customHeight="1" x14ac:dyDescent="0.25">
      <c r="A22942" s="2" t="s">
        <v>44822</v>
      </c>
      <c r="B22942" s="2" t="s">
        <v>44823</v>
      </c>
      <c r="C22942" s="2" t="s">
        <v>264</v>
      </c>
      <c r="D22942" s="2" t="s">
        <v>12465</v>
      </c>
      <c r="E22942" s="2" t="str">
        <f>"9788793379251"</f>
        <v>9788793379251</v>
      </c>
      <c r="F22942" s="2" t="str">
        <f>"9788793379244"</f>
        <v>9788793379244</v>
      </c>
    </row>
    <row r="22943" spans="1:6" s="3" customFormat="1" ht="29.1" customHeight="1" x14ac:dyDescent="0.25">
      <c r="A22943" s="2" t="s">
        <v>44824</v>
      </c>
      <c r="B22943" s="2" t="s">
        <v>44825</v>
      </c>
      <c r="C22943" s="2" t="s">
        <v>264</v>
      </c>
      <c r="D22943" s="2" t="s">
        <v>12465</v>
      </c>
      <c r="E22943" s="2" t="str">
        <f>"9788793379152"</f>
        <v>9788793379152</v>
      </c>
      <c r="F22943" s="2" t="str">
        <f>"9788793379145"</f>
        <v>9788793379145</v>
      </c>
    </row>
    <row r="22944" spans="1:6" s="3" customFormat="1" ht="29.1" customHeight="1" x14ac:dyDescent="0.25">
      <c r="A22944" s="2" t="s">
        <v>44826</v>
      </c>
      <c r="B22944" s="2" t="s">
        <v>44827</v>
      </c>
      <c r="C22944" s="2" t="s">
        <v>149</v>
      </c>
      <c r="D22944" s="2" t="s">
        <v>43269</v>
      </c>
      <c r="E22944" s="2" t="str">
        <f>"9781783744688"</f>
        <v>9781783744688</v>
      </c>
      <c r="F22944" s="2" t="str">
        <f>"9781783744701"</f>
        <v>9781783744701</v>
      </c>
    </row>
    <row r="22945" spans="1:6" s="3" customFormat="1" ht="29.1" customHeight="1" x14ac:dyDescent="0.25">
      <c r="A22945" s="2" t="s">
        <v>44828</v>
      </c>
      <c r="B22945" s="2" t="s">
        <v>44829</v>
      </c>
      <c r="C22945" s="2" t="s">
        <v>149</v>
      </c>
      <c r="D22945" s="2" t="s">
        <v>78</v>
      </c>
      <c r="E22945" s="2" t="str">
        <f>"9781783743339"</f>
        <v>9781783743339</v>
      </c>
      <c r="F22945" s="2" t="str">
        <f>"9781783743353"</f>
        <v>9781783743353</v>
      </c>
    </row>
    <row r="22946" spans="1:6" s="3" customFormat="1" ht="29.1" customHeight="1" x14ac:dyDescent="0.25">
      <c r="A22946" s="2" t="s">
        <v>44830</v>
      </c>
      <c r="B22946" s="2" t="s">
        <v>44831</v>
      </c>
      <c r="C22946" s="2" t="s">
        <v>149</v>
      </c>
      <c r="D22946" s="2" t="s">
        <v>431</v>
      </c>
      <c r="E22946" s="2" t="str">
        <f>"9781783744732"</f>
        <v>9781783744732</v>
      </c>
      <c r="F22946" s="2" t="str">
        <f>"9781783744756"</f>
        <v>9781783744756</v>
      </c>
    </row>
    <row r="22947" spans="1:6" s="3" customFormat="1" ht="29.1" customHeight="1" x14ac:dyDescent="0.25">
      <c r="A22947" s="2" t="s">
        <v>44832</v>
      </c>
      <c r="B22947" s="2" t="s">
        <v>44834</v>
      </c>
      <c r="C22947" s="2" t="s">
        <v>149</v>
      </c>
      <c r="D22947" s="2" t="s">
        <v>44833</v>
      </c>
      <c r="E22947" s="2" t="str">
        <f>"9781783744541"</f>
        <v>9781783744541</v>
      </c>
      <c r="F22947" s="2" t="str">
        <f>"9781783744565"</f>
        <v>9781783744565</v>
      </c>
    </row>
    <row r="22948" spans="1:6" s="3" customFormat="1" ht="29.1" customHeight="1" x14ac:dyDescent="0.25">
      <c r="A22948" s="2" t="s">
        <v>44835</v>
      </c>
      <c r="B22948" s="2" t="s">
        <v>44836</v>
      </c>
      <c r="C22948" s="2" t="s">
        <v>149</v>
      </c>
      <c r="D22948" s="2"/>
      <c r="E22948" s="2" t="str">
        <f>"9781783742981"</f>
        <v>9781783742981</v>
      </c>
      <c r="F22948" s="2" t="str">
        <f>"9781783743001"</f>
        <v>9781783743001</v>
      </c>
    </row>
    <row r="22949" spans="1:6" s="3" customFormat="1" ht="29.1" customHeight="1" x14ac:dyDescent="0.25">
      <c r="A22949" s="2" t="s">
        <v>44837</v>
      </c>
      <c r="B22949" s="2" t="s">
        <v>17166</v>
      </c>
      <c r="C22949" s="2" t="s">
        <v>149</v>
      </c>
      <c r="D22949" s="2" t="s">
        <v>215</v>
      </c>
      <c r="E22949" s="2" t="str">
        <f>"9781783743636"</f>
        <v>9781783743636</v>
      </c>
      <c r="F22949" s="2" t="str">
        <f>"9781783743650"</f>
        <v>9781783743650</v>
      </c>
    </row>
    <row r="22950" spans="1:6" s="3" customFormat="1" ht="29.1" customHeight="1" x14ac:dyDescent="0.25">
      <c r="A22950" s="2" t="s">
        <v>44838</v>
      </c>
      <c r="B22950" s="2" t="s">
        <v>44839</v>
      </c>
      <c r="C22950" s="2" t="s">
        <v>149</v>
      </c>
      <c r="D22950" s="2" t="s">
        <v>6002</v>
      </c>
      <c r="E22950" s="2" t="str">
        <f>"9781783743131"</f>
        <v>9781783743131</v>
      </c>
      <c r="F22950" s="2" t="str">
        <f>"9781783743155"</f>
        <v>9781783743155</v>
      </c>
    </row>
    <row r="22951" spans="1:6" s="3" customFormat="1" ht="29.1" customHeight="1" x14ac:dyDescent="0.25">
      <c r="A22951" s="2" t="s">
        <v>44840</v>
      </c>
      <c r="B22951" s="2" t="s">
        <v>44841</v>
      </c>
      <c r="C22951" s="2" t="s">
        <v>149</v>
      </c>
      <c r="D22951" s="2" t="s">
        <v>1694</v>
      </c>
      <c r="E22951" s="2" t="str">
        <f>"9781783743537"</f>
        <v>9781783743537</v>
      </c>
      <c r="F22951" s="2" t="str">
        <f>"9781783743551"</f>
        <v>9781783743551</v>
      </c>
    </row>
    <row r="22952" spans="1:6" s="3" customFormat="1" ht="29.1" customHeight="1" x14ac:dyDescent="0.25">
      <c r="A22952" s="2" t="s">
        <v>44842</v>
      </c>
      <c r="B22952" s="2" t="s">
        <v>44843</v>
      </c>
      <c r="C22952" s="2" t="s">
        <v>8047</v>
      </c>
      <c r="D22952" s="2" t="s">
        <v>4789</v>
      </c>
      <c r="E22952" s="2" t="str">
        <f>"9780271080055"</f>
        <v>9780271080055</v>
      </c>
      <c r="F22952" s="2" t="str">
        <f>"9780271081670"</f>
        <v>9780271081670</v>
      </c>
    </row>
    <row r="22953" spans="1:6" s="3" customFormat="1" ht="29.1" customHeight="1" x14ac:dyDescent="0.25">
      <c r="A22953" s="2" t="s">
        <v>44844</v>
      </c>
      <c r="B22953" s="2" t="s">
        <v>44845</v>
      </c>
      <c r="C22953" s="2" t="s">
        <v>4104</v>
      </c>
      <c r="D22953" s="2" t="s">
        <v>1198</v>
      </c>
      <c r="E22953" s="2" t="str">
        <f>"9781786940544"</f>
        <v>9781786940544</v>
      </c>
      <c r="F22953" s="2" t="str">
        <f>"9781786948267"</f>
        <v>9781786948267</v>
      </c>
    </row>
    <row r="22954" spans="1:6" s="3" customFormat="1" ht="29.1" customHeight="1" x14ac:dyDescent="0.25">
      <c r="A22954" s="2" t="s">
        <v>44846</v>
      </c>
      <c r="B22954" s="2" t="s">
        <v>44847</v>
      </c>
      <c r="C22954" s="2" t="s">
        <v>248</v>
      </c>
      <c r="D22954" s="2" t="s">
        <v>1155</v>
      </c>
      <c r="E22954" s="2" t="str">
        <f>"9783847421221"</f>
        <v>9783847421221</v>
      </c>
      <c r="F22954" s="2" t="str">
        <f>"9783847411109"</f>
        <v>9783847411109</v>
      </c>
    </row>
    <row r="22955" spans="1:6" s="3" customFormat="1" ht="29.1" customHeight="1" x14ac:dyDescent="0.25">
      <c r="A22955" s="2" t="s">
        <v>44848</v>
      </c>
      <c r="B22955" s="2" t="s">
        <v>44849</v>
      </c>
      <c r="C22955" s="2" t="s">
        <v>11220</v>
      </c>
      <c r="D22955" s="2" t="s">
        <v>4522</v>
      </c>
      <c r="E22955" s="2" t="str">
        <f>"9781479885008"</f>
        <v>9781479885008</v>
      </c>
      <c r="F22955" s="2" t="str">
        <f>"9781479838059"</f>
        <v>9781479838059</v>
      </c>
    </row>
    <row r="22956" spans="1:6" s="3" customFormat="1" ht="29.1" customHeight="1" x14ac:dyDescent="0.25">
      <c r="A22956" s="2" t="s">
        <v>44850</v>
      </c>
      <c r="B22956" s="2" t="s">
        <v>44851</v>
      </c>
      <c r="C22956" s="2" t="s">
        <v>195</v>
      </c>
      <c r="D22956" s="2" t="s">
        <v>210</v>
      </c>
      <c r="E22956" s="2" t="str">
        <f>"9783486564167"</f>
        <v>9783486564167</v>
      </c>
      <c r="F22956" s="2" t="str">
        <f>"9783486594447"</f>
        <v>9783486594447</v>
      </c>
    </row>
    <row r="22957" spans="1:6" s="3" customFormat="1" ht="29.1" customHeight="1" x14ac:dyDescent="0.25">
      <c r="A22957" s="2" t="s">
        <v>44852</v>
      </c>
      <c r="B22957" s="2" t="s">
        <v>44853</v>
      </c>
      <c r="C22957" s="2" t="s">
        <v>195</v>
      </c>
      <c r="D22957" s="2" t="s">
        <v>210</v>
      </c>
      <c r="E22957" s="2" t="str">
        <f>"9783486564969"</f>
        <v>9783486564969</v>
      </c>
      <c r="F22957" s="2" t="str">
        <f>"9783486594461"</f>
        <v>9783486594461</v>
      </c>
    </row>
    <row r="22958" spans="1:6" s="3" customFormat="1" ht="29.1" customHeight="1" x14ac:dyDescent="0.25">
      <c r="A22958" s="2" t="s">
        <v>44854</v>
      </c>
      <c r="B22958" s="2" t="s">
        <v>44855</v>
      </c>
      <c r="C22958" s="2" t="s">
        <v>195</v>
      </c>
      <c r="D22958" s="2" t="s">
        <v>210</v>
      </c>
      <c r="E22958" s="2" t="str">
        <f>"9783486541212"</f>
        <v>9783486541212</v>
      </c>
      <c r="F22958" s="2" t="str">
        <f>"9783486595505"</f>
        <v>9783486595505</v>
      </c>
    </row>
    <row r="22959" spans="1:6" s="3" customFormat="1" ht="29.1" customHeight="1" x14ac:dyDescent="0.25">
      <c r="A22959" s="2" t="s">
        <v>44856</v>
      </c>
      <c r="B22959" s="2" t="s">
        <v>44857</v>
      </c>
      <c r="C22959" s="2" t="s">
        <v>195</v>
      </c>
      <c r="D22959" s="2" t="s">
        <v>210</v>
      </c>
      <c r="E22959" s="2" t="str">
        <f>"9783486563856"</f>
        <v>9783486563856</v>
      </c>
      <c r="F22959" s="2" t="str">
        <f>"9783486596014"</f>
        <v>9783486596014</v>
      </c>
    </row>
    <row r="22960" spans="1:6" s="3" customFormat="1" ht="29.1" customHeight="1" x14ac:dyDescent="0.25">
      <c r="A22960" s="2" t="s">
        <v>44858</v>
      </c>
      <c r="B22960" s="2" t="s">
        <v>44859</v>
      </c>
      <c r="C22960" s="2" t="s">
        <v>195</v>
      </c>
      <c r="D22960" s="2" t="s">
        <v>210</v>
      </c>
      <c r="E22960" s="2" t="str">
        <f>"9783486567304"</f>
        <v>9783486567304</v>
      </c>
      <c r="F22960" s="2" t="str">
        <f>"9783486594577"</f>
        <v>9783486594577</v>
      </c>
    </row>
    <row r="22961" spans="1:6" s="3" customFormat="1" ht="29.1" customHeight="1" x14ac:dyDescent="0.25">
      <c r="A22961" s="2" t="s">
        <v>44860</v>
      </c>
      <c r="B22961" s="2" t="s">
        <v>44861</v>
      </c>
      <c r="C22961" s="2" t="s">
        <v>195</v>
      </c>
      <c r="D22961" s="2" t="s">
        <v>210</v>
      </c>
      <c r="E22961" s="2" t="str">
        <f>"9783486564143"</f>
        <v>9783486564143</v>
      </c>
      <c r="F22961" s="2" t="str">
        <f>"9783486596045"</f>
        <v>9783486596045</v>
      </c>
    </row>
    <row r="22962" spans="1:6" s="3" customFormat="1" ht="29.1" customHeight="1" x14ac:dyDescent="0.25">
      <c r="A22962" s="2" t="s">
        <v>44862</v>
      </c>
      <c r="B22962" s="2" t="s">
        <v>44863</v>
      </c>
      <c r="C22962" s="2" t="s">
        <v>20</v>
      </c>
      <c r="D22962" s="2" t="s">
        <v>24</v>
      </c>
      <c r="E22962" s="2" t="str">
        <f>"9783763911998"</f>
        <v>9783763911998</v>
      </c>
      <c r="F22962" s="2" t="str">
        <f>"9783763912001"</f>
        <v>9783763912001</v>
      </c>
    </row>
    <row r="22963" spans="1:6" s="3" customFormat="1" ht="29.1" customHeight="1" x14ac:dyDescent="0.25">
      <c r="A22963" s="2" t="s">
        <v>44864</v>
      </c>
      <c r="B22963" s="2" t="s">
        <v>44865</v>
      </c>
      <c r="C22963" s="2" t="s">
        <v>31902</v>
      </c>
      <c r="D22963" s="2" t="s">
        <v>2880</v>
      </c>
      <c r="E22963" s="2" t="str">
        <f>"9782759822492"</f>
        <v>9782759822492</v>
      </c>
      <c r="F22963" s="2" t="str">
        <f>"9782759822508"</f>
        <v>9782759822508</v>
      </c>
    </row>
    <row r="22964" spans="1:6" s="3" customFormat="1" ht="29.1" customHeight="1" x14ac:dyDescent="0.25">
      <c r="A22964" s="2" t="s">
        <v>44866</v>
      </c>
      <c r="B22964" s="2" t="s">
        <v>44867</v>
      </c>
      <c r="C22964" s="2" t="s">
        <v>124</v>
      </c>
      <c r="D22964" s="2" t="s">
        <v>1463</v>
      </c>
      <c r="E22964" s="2" t="str">
        <f>"9789089649829"</f>
        <v>9789089649829</v>
      </c>
      <c r="F22964" s="2" t="str">
        <f>"9781040780114"</f>
        <v>9781040780114</v>
      </c>
    </row>
    <row r="22965" spans="1:6" s="3" customFormat="1" ht="29.1" customHeight="1" x14ac:dyDescent="0.25">
      <c r="A22965" s="2" t="s">
        <v>44868</v>
      </c>
      <c r="B22965" s="2" t="s">
        <v>44869</v>
      </c>
      <c r="C22965" s="2" t="s">
        <v>195</v>
      </c>
      <c r="D22965" s="2" t="s">
        <v>11830</v>
      </c>
      <c r="E22965" s="2" t="str">
        <f>"9783110596793"</f>
        <v>9783110596793</v>
      </c>
      <c r="F22965" s="2" t="str">
        <f>"9783110597592"</f>
        <v>9783110597592</v>
      </c>
    </row>
    <row r="22966" spans="1:6" s="3" customFormat="1" ht="29.1" customHeight="1" x14ac:dyDescent="0.25">
      <c r="A22966" s="2" t="s">
        <v>44870</v>
      </c>
      <c r="B22966" s="2" t="s">
        <v>44871</v>
      </c>
      <c r="C22966" s="2" t="s">
        <v>195</v>
      </c>
      <c r="D22966" s="2" t="s">
        <v>436</v>
      </c>
      <c r="E22966" s="2" t="str">
        <f>"9783110521498"</f>
        <v>9783110521498</v>
      </c>
      <c r="F22966" s="2" t="str">
        <f>"9783110521566"</f>
        <v>9783110521566</v>
      </c>
    </row>
    <row r="22967" spans="1:6" s="3" customFormat="1" ht="29.1" customHeight="1" x14ac:dyDescent="0.25">
      <c r="A22967" s="2" t="s">
        <v>44872</v>
      </c>
      <c r="B22967" s="2" t="s">
        <v>44873</v>
      </c>
      <c r="C22967" s="2" t="s">
        <v>36</v>
      </c>
      <c r="D22967" s="2" t="s">
        <v>78</v>
      </c>
      <c r="E22967" s="2" t="str">
        <f>"9781447344476"</f>
        <v>9781447344476</v>
      </c>
      <c r="F22967" s="2" t="str">
        <f>"9781447344506"</f>
        <v>9781447344506</v>
      </c>
    </row>
    <row r="22968" spans="1:6" s="3" customFormat="1" ht="29.1" customHeight="1" x14ac:dyDescent="0.25">
      <c r="A22968" s="2" t="s">
        <v>44874</v>
      </c>
      <c r="B22968" s="2" t="s">
        <v>44875</v>
      </c>
      <c r="C22968" s="2" t="s">
        <v>36</v>
      </c>
      <c r="D22968" s="2" t="s">
        <v>3523</v>
      </c>
      <c r="E22968" s="2"/>
      <c r="F22968" s="2" t="str">
        <f>"9781447340423"</f>
        <v>9781447340423</v>
      </c>
    </row>
    <row r="22969" spans="1:6" s="3" customFormat="1" ht="29.1" customHeight="1" x14ac:dyDescent="0.25">
      <c r="A22969" s="2" t="s">
        <v>44876</v>
      </c>
      <c r="B22969" s="2" t="s">
        <v>44877</v>
      </c>
      <c r="C22969" s="2" t="s">
        <v>36</v>
      </c>
      <c r="D22969" s="2" t="s">
        <v>855</v>
      </c>
      <c r="E22969" s="2"/>
      <c r="F22969" s="2" t="str">
        <f>"9781447333654"</f>
        <v>9781447333654</v>
      </c>
    </row>
    <row r="22970" spans="1:6" s="3" customFormat="1" ht="29.1" customHeight="1" x14ac:dyDescent="0.25">
      <c r="A22970" s="2" t="s">
        <v>44878</v>
      </c>
      <c r="B22970" s="2" t="s">
        <v>44879</v>
      </c>
      <c r="C22970" s="2" t="s">
        <v>36</v>
      </c>
      <c r="D22970" s="2" t="s">
        <v>32371</v>
      </c>
      <c r="E22970" s="2"/>
      <c r="F22970" s="2" t="str">
        <f>"9781447339236"</f>
        <v>9781447339236</v>
      </c>
    </row>
    <row r="22971" spans="1:6" s="3" customFormat="1" ht="29.1" customHeight="1" x14ac:dyDescent="0.25">
      <c r="A22971" s="2" t="s">
        <v>44880</v>
      </c>
      <c r="B22971" s="2" t="s">
        <v>44881</v>
      </c>
      <c r="C22971" s="2" t="s">
        <v>11220</v>
      </c>
      <c r="D22971" s="2" t="s">
        <v>5864</v>
      </c>
      <c r="E22971" s="2" t="str">
        <f>"9781479841516"</f>
        <v>9781479841516</v>
      </c>
      <c r="F22971" s="2" t="str">
        <f>"9781479882281"</f>
        <v>9781479882281</v>
      </c>
    </row>
    <row r="22972" spans="1:6" s="3" customFormat="1" ht="29.1" customHeight="1" x14ac:dyDescent="0.25">
      <c r="A22972" s="2" t="s">
        <v>44882</v>
      </c>
      <c r="B22972" s="2" t="s">
        <v>44883</v>
      </c>
      <c r="C22972" s="2" t="s">
        <v>11220</v>
      </c>
      <c r="D22972" s="2" t="s">
        <v>712</v>
      </c>
      <c r="E22972" s="2" t="str">
        <f>"9781479854110"</f>
        <v>9781479854110</v>
      </c>
      <c r="F22972" s="2" t="str">
        <f>"9781479888788"</f>
        <v>9781479888788</v>
      </c>
    </row>
    <row r="22973" spans="1:6" s="3" customFormat="1" ht="29.1" customHeight="1" x14ac:dyDescent="0.25">
      <c r="A22973" s="2" t="s">
        <v>44884</v>
      </c>
      <c r="B22973" s="2" t="s">
        <v>44885</v>
      </c>
      <c r="C22973" s="2" t="s">
        <v>11220</v>
      </c>
      <c r="D22973" s="2" t="s">
        <v>712</v>
      </c>
      <c r="E22973" s="2" t="str">
        <f>"9781479801923"</f>
        <v>9781479801923</v>
      </c>
      <c r="F22973" s="2" t="str">
        <f>"9781479888900"</f>
        <v>9781479888900</v>
      </c>
    </row>
    <row r="22974" spans="1:6" s="3" customFormat="1" ht="29.1" customHeight="1" x14ac:dyDescent="0.25">
      <c r="A22974" s="2" t="s">
        <v>44886</v>
      </c>
      <c r="B22974" s="2" t="s">
        <v>44887</v>
      </c>
      <c r="C22974" s="2" t="s">
        <v>11220</v>
      </c>
      <c r="D22974" s="2" t="s">
        <v>4244</v>
      </c>
      <c r="E22974" s="2" t="str">
        <f>"9781479883646"</f>
        <v>9781479883646</v>
      </c>
      <c r="F22974" s="2" t="str">
        <f>"9781479840571"</f>
        <v>9781479840571</v>
      </c>
    </row>
    <row r="22975" spans="1:6" s="3" customFormat="1" ht="29.1" customHeight="1" x14ac:dyDescent="0.25">
      <c r="A22975" s="2" t="s">
        <v>44888</v>
      </c>
      <c r="B22975" s="2" t="s">
        <v>30709</v>
      </c>
      <c r="C22975" s="2" t="s">
        <v>556</v>
      </c>
      <c r="D22975" s="2" t="s">
        <v>1557</v>
      </c>
      <c r="E22975" s="2" t="str">
        <f>"9783837642612"</f>
        <v>9783837642612</v>
      </c>
      <c r="F22975" s="2" t="str">
        <f>"9783839442616"</f>
        <v>9783839442616</v>
      </c>
    </row>
    <row r="22976" spans="1:6" s="3" customFormat="1" ht="29.1" customHeight="1" x14ac:dyDescent="0.25">
      <c r="A22976" s="2" t="s">
        <v>44889</v>
      </c>
      <c r="B22976" s="2" t="s">
        <v>44890</v>
      </c>
      <c r="C22976" s="2" t="s">
        <v>556</v>
      </c>
      <c r="D22976" s="2" t="s">
        <v>297</v>
      </c>
      <c r="E22976" s="2" t="str">
        <f>"9783837642513"</f>
        <v>9783837642513</v>
      </c>
      <c r="F22976" s="2" t="str">
        <f>"9783839442517"</f>
        <v>9783839442517</v>
      </c>
    </row>
    <row r="22977" spans="1:6" s="3" customFormat="1" ht="29.1" customHeight="1" x14ac:dyDescent="0.25">
      <c r="A22977" s="2" t="s">
        <v>44891</v>
      </c>
      <c r="B22977" s="2" t="s">
        <v>44892</v>
      </c>
      <c r="C22977" s="2" t="s">
        <v>556</v>
      </c>
      <c r="D22977" s="2" t="s">
        <v>699</v>
      </c>
      <c r="E22977" s="2" t="str">
        <f>"9783837642124"</f>
        <v>9783837642124</v>
      </c>
      <c r="F22977" s="2" t="str">
        <f>"9783839442128"</f>
        <v>9783839442128</v>
      </c>
    </row>
    <row r="22978" spans="1:6" s="3" customFormat="1" ht="29.1" customHeight="1" x14ac:dyDescent="0.25">
      <c r="A22978" s="2" t="s">
        <v>44893</v>
      </c>
      <c r="B22978" s="2" t="s">
        <v>44894</v>
      </c>
      <c r="C22978" s="2" t="s">
        <v>556</v>
      </c>
      <c r="D22978" s="2" t="s">
        <v>28277</v>
      </c>
      <c r="E22978" s="2" t="str">
        <f>"9783837641639"</f>
        <v>9783837641639</v>
      </c>
      <c r="F22978" s="2" t="str">
        <f>"9783839441633"</f>
        <v>9783839441633</v>
      </c>
    </row>
    <row r="22979" spans="1:6" s="3" customFormat="1" ht="29.1" customHeight="1" x14ac:dyDescent="0.25">
      <c r="A22979" s="2" t="s">
        <v>44895</v>
      </c>
      <c r="B22979" s="2" t="s">
        <v>44896</v>
      </c>
      <c r="C22979" s="2" t="s">
        <v>556</v>
      </c>
      <c r="D22979" s="2" t="s">
        <v>3345</v>
      </c>
      <c r="E22979" s="2" t="str">
        <f>"9783837641219"</f>
        <v>9783837641219</v>
      </c>
      <c r="F22979" s="2" t="str">
        <f>"9783839441213"</f>
        <v>9783839441213</v>
      </c>
    </row>
    <row r="22980" spans="1:6" s="3" customFormat="1" ht="29.1" customHeight="1" x14ac:dyDescent="0.25">
      <c r="A22980" s="2" t="s">
        <v>44897</v>
      </c>
      <c r="B22980" s="2" t="s">
        <v>44898</v>
      </c>
      <c r="C22980" s="2" t="s">
        <v>556</v>
      </c>
      <c r="D22980" s="2" t="s">
        <v>324</v>
      </c>
      <c r="E22980" s="2" t="str">
        <f>"9783837638462"</f>
        <v>9783837638462</v>
      </c>
      <c r="F22980" s="2" t="str">
        <f>"9783839438466"</f>
        <v>9783839438466</v>
      </c>
    </row>
    <row r="22981" spans="1:6" s="3" customFormat="1" ht="29.1" customHeight="1" x14ac:dyDescent="0.25">
      <c r="A22981" s="2" t="s">
        <v>44899</v>
      </c>
      <c r="B22981" s="2" t="s">
        <v>44900</v>
      </c>
      <c r="C22981" s="2" t="s">
        <v>26676</v>
      </c>
      <c r="D22981" s="2" t="s">
        <v>8413</v>
      </c>
      <c r="E22981" s="2" t="str">
        <f>"9788395237850"</f>
        <v>9788395237850</v>
      </c>
      <c r="F22981" s="2" t="str">
        <f>"9788394914905"</f>
        <v>9788394914905</v>
      </c>
    </row>
    <row r="22982" spans="1:6" s="3" customFormat="1" ht="29.1" customHeight="1" x14ac:dyDescent="0.25">
      <c r="A22982" s="2" t="s">
        <v>44901</v>
      </c>
      <c r="B22982" s="2" t="s">
        <v>44902</v>
      </c>
      <c r="C22982" s="2" t="s">
        <v>124</v>
      </c>
      <c r="D22982" s="2" t="s">
        <v>3852</v>
      </c>
      <c r="E22982" s="2" t="str">
        <f>"9781138561854"</f>
        <v>9781138561854</v>
      </c>
      <c r="F22982" s="2" t="str">
        <f>"9781351357708"</f>
        <v>9781351357708</v>
      </c>
    </row>
    <row r="22983" spans="1:6" s="3" customFormat="1" ht="29.1" customHeight="1" x14ac:dyDescent="0.25">
      <c r="A22983" s="2" t="s">
        <v>44903</v>
      </c>
      <c r="B22983" s="2" t="s">
        <v>44904</v>
      </c>
      <c r="C22983" s="2" t="s">
        <v>124</v>
      </c>
      <c r="D22983" s="2" t="s">
        <v>270</v>
      </c>
      <c r="E22983" s="2" t="str">
        <f>"9781138202399"</f>
        <v>9781138202399</v>
      </c>
      <c r="F22983" s="2" t="str">
        <f>"9781315474038"</f>
        <v>9781315474038</v>
      </c>
    </row>
    <row r="22984" spans="1:6" s="3" customFormat="1" ht="29.1" customHeight="1" x14ac:dyDescent="0.25">
      <c r="A22984" s="2" t="s">
        <v>44905</v>
      </c>
      <c r="B22984" s="2" t="s">
        <v>44906</v>
      </c>
      <c r="C22984" s="2" t="s">
        <v>124</v>
      </c>
      <c r="D22984" s="2" t="s">
        <v>22003</v>
      </c>
      <c r="E22984" s="2" t="str">
        <f>"9781138555389"</f>
        <v>9781138555389</v>
      </c>
      <c r="F22984" s="2" t="str">
        <f>"9781351370394"</f>
        <v>9781351370394</v>
      </c>
    </row>
    <row r="22985" spans="1:6" s="3" customFormat="1" ht="29.1" customHeight="1" x14ac:dyDescent="0.25">
      <c r="A22985" s="2" t="s">
        <v>44907</v>
      </c>
      <c r="B22985" s="2" t="s">
        <v>44908</v>
      </c>
      <c r="C22985" s="2" t="s">
        <v>124</v>
      </c>
      <c r="D22985" s="2" t="s">
        <v>2587</v>
      </c>
      <c r="E22985" s="2" t="str">
        <f>"9781138718210"</f>
        <v>9781138718210</v>
      </c>
      <c r="F22985" s="2" t="str">
        <f>"9781351765626"</f>
        <v>9781351765626</v>
      </c>
    </row>
    <row r="22986" spans="1:6" s="3" customFormat="1" ht="29.1" customHeight="1" x14ac:dyDescent="0.25">
      <c r="A22986" s="2" t="s">
        <v>44909</v>
      </c>
      <c r="B22986" s="2" t="s">
        <v>44910</v>
      </c>
      <c r="C22986" s="2" t="s">
        <v>124</v>
      </c>
      <c r="D22986" s="2" t="s">
        <v>297</v>
      </c>
      <c r="E22986" s="2" t="str">
        <f>"9781138218383"</f>
        <v>9781138218383</v>
      </c>
      <c r="F22986" s="2" t="str">
        <f>"9781315437798"</f>
        <v>9781315437798</v>
      </c>
    </row>
    <row r="22987" spans="1:6" s="3" customFormat="1" ht="29.1" customHeight="1" x14ac:dyDescent="0.25">
      <c r="A22987" s="2" t="s">
        <v>44911</v>
      </c>
      <c r="B22987" s="2" t="s">
        <v>44912</v>
      </c>
      <c r="C22987" s="2" t="s">
        <v>124</v>
      </c>
      <c r="D22987" s="2" t="s">
        <v>2587</v>
      </c>
      <c r="E22987" s="2" t="str">
        <f>"9781138069312"</f>
        <v>9781138069312</v>
      </c>
      <c r="F22987" s="2" t="str">
        <f>"9781351631648"</f>
        <v>9781351631648</v>
      </c>
    </row>
    <row r="22988" spans="1:6" s="3" customFormat="1" ht="29.1" customHeight="1" x14ac:dyDescent="0.25">
      <c r="A22988" s="2" t="s">
        <v>44913</v>
      </c>
      <c r="B22988" s="2" t="s">
        <v>44914</v>
      </c>
      <c r="C22988" s="2" t="s">
        <v>124</v>
      </c>
      <c r="D22988" s="2" t="s">
        <v>3839</v>
      </c>
      <c r="E22988" s="2" t="str">
        <f>"9781138590809"</f>
        <v>9781138590809</v>
      </c>
      <c r="F22988" s="2" t="str">
        <f>"9780429956027"</f>
        <v>9780429956027</v>
      </c>
    </row>
    <row r="22989" spans="1:6" s="3" customFormat="1" ht="29.1" customHeight="1" x14ac:dyDescent="0.25">
      <c r="A22989" s="2" t="s">
        <v>44915</v>
      </c>
      <c r="B22989" s="2" t="s">
        <v>44916</v>
      </c>
      <c r="C22989" s="2" t="s">
        <v>124</v>
      </c>
      <c r="D22989" s="2" t="s">
        <v>186</v>
      </c>
      <c r="E22989" s="2" t="str">
        <f>"9781138103733"</f>
        <v>9781138103733</v>
      </c>
      <c r="F22989" s="2" t="str">
        <f>"9781351592437"</f>
        <v>9781351592437</v>
      </c>
    </row>
    <row r="22990" spans="1:6" s="3" customFormat="1" ht="29.1" customHeight="1" x14ac:dyDescent="0.25">
      <c r="A22990" s="2" t="s">
        <v>44917</v>
      </c>
      <c r="B22990" s="2" t="s">
        <v>44918</v>
      </c>
      <c r="C22990" s="2" t="s">
        <v>124</v>
      </c>
      <c r="D22990" s="2" t="s">
        <v>297</v>
      </c>
      <c r="E22990" s="2" t="str">
        <f>"9781138740556"</f>
        <v>9781138740556</v>
      </c>
      <c r="F22990" s="2" t="str">
        <f>"9781351728034"</f>
        <v>9781351728034</v>
      </c>
    </row>
    <row r="22991" spans="1:6" s="3" customFormat="1" ht="29.1" customHeight="1" x14ac:dyDescent="0.25">
      <c r="A22991" s="2" t="s">
        <v>44919</v>
      </c>
      <c r="B22991" s="2" t="s">
        <v>44920</v>
      </c>
      <c r="C22991" s="2" t="s">
        <v>124</v>
      </c>
      <c r="D22991" s="2" t="s">
        <v>75</v>
      </c>
      <c r="E22991" s="2" t="str">
        <f>"9781138607019"</f>
        <v>9781138607019</v>
      </c>
      <c r="F22991" s="2" t="str">
        <f>"9780429884436"</f>
        <v>9780429884436</v>
      </c>
    </row>
    <row r="22992" spans="1:6" s="3" customFormat="1" ht="29.1" customHeight="1" x14ac:dyDescent="0.25">
      <c r="A22992" s="2" t="s">
        <v>44921</v>
      </c>
      <c r="B22992" s="2" t="s">
        <v>44923</v>
      </c>
      <c r="C22992" s="2" t="s">
        <v>124</v>
      </c>
      <c r="D22992" s="2" t="s">
        <v>44922</v>
      </c>
      <c r="E22992" s="2" t="str">
        <f>"9781138092334"</f>
        <v>9781138092334</v>
      </c>
      <c r="F22992" s="2" t="str">
        <f>"9781351607353"</f>
        <v>9781351607353</v>
      </c>
    </row>
    <row r="22993" spans="1:6" s="3" customFormat="1" ht="29.1" customHeight="1" x14ac:dyDescent="0.25">
      <c r="A22993" s="2" t="s">
        <v>44924</v>
      </c>
      <c r="B22993" s="2" t="s">
        <v>44925</v>
      </c>
      <c r="C22993" s="2" t="s">
        <v>124</v>
      </c>
      <c r="D22993" s="2" t="s">
        <v>712</v>
      </c>
      <c r="E22993" s="2" t="str">
        <f>"9781138091511"</f>
        <v>9781138091511</v>
      </c>
      <c r="F22993" s="2" t="str">
        <f>"9781351608701"</f>
        <v>9781351608701</v>
      </c>
    </row>
    <row r="22994" spans="1:6" s="3" customFormat="1" ht="29.1" customHeight="1" x14ac:dyDescent="0.25">
      <c r="A22994" s="2" t="s">
        <v>44926</v>
      </c>
      <c r="B22994" s="2" t="s">
        <v>44927</v>
      </c>
      <c r="C22994" s="2" t="s">
        <v>124</v>
      </c>
      <c r="D22994" s="2" t="s">
        <v>270</v>
      </c>
      <c r="E22994" s="2" t="str">
        <f>"9781138557604"</f>
        <v>9781138557604</v>
      </c>
      <c r="F22994" s="2" t="str">
        <f>"9781351365505"</f>
        <v>9781351365505</v>
      </c>
    </row>
    <row r="22995" spans="1:6" s="3" customFormat="1" ht="29.1" customHeight="1" x14ac:dyDescent="0.25">
      <c r="A22995" s="2" t="s">
        <v>44928</v>
      </c>
      <c r="B22995" s="2" t="s">
        <v>44929</v>
      </c>
      <c r="C22995" s="2" t="s">
        <v>124</v>
      </c>
      <c r="D22995" s="2" t="s">
        <v>270</v>
      </c>
      <c r="E22995" s="2" t="str">
        <f>"9781138053250"</f>
        <v>9781138053250</v>
      </c>
      <c r="F22995" s="2" t="str">
        <f>"9781351682572"</f>
        <v>9781351682572</v>
      </c>
    </row>
    <row r="22996" spans="1:6" s="3" customFormat="1" ht="29.1" customHeight="1" x14ac:dyDescent="0.25">
      <c r="A22996" s="2" t="s">
        <v>44930</v>
      </c>
      <c r="B22996" s="2" t="s">
        <v>44931</v>
      </c>
      <c r="C22996" s="2" t="s">
        <v>29</v>
      </c>
      <c r="D22996" s="2" t="s">
        <v>5144</v>
      </c>
      <c r="E22996" s="2" t="str">
        <f>"9789086863167"</f>
        <v>9789086863167</v>
      </c>
      <c r="F22996" s="2" t="str">
        <f>"9789086868643"</f>
        <v>9789086868643</v>
      </c>
    </row>
    <row r="22997" spans="1:6" s="3" customFormat="1" ht="29.1" customHeight="1" x14ac:dyDescent="0.25">
      <c r="A22997" s="2" t="s">
        <v>44932</v>
      </c>
      <c r="B22997" s="2" t="s">
        <v>44933</v>
      </c>
      <c r="C22997" s="2" t="s">
        <v>124</v>
      </c>
      <c r="D22997" s="2" t="s">
        <v>339</v>
      </c>
      <c r="E22997" s="2" t="str">
        <f>"9781138589254"</f>
        <v>9781138589254</v>
      </c>
      <c r="F22997" s="2" t="str">
        <f>"9780429958878"</f>
        <v>9780429958878</v>
      </c>
    </row>
    <row r="22998" spans="1:6" s="3" customFormat="1" ht="29.1" customHeight="1" x14ac:dyDescent="0.25">
      <c r="A22998" s="2" t="s">
        <v>44934</v>
      </c>
      <c r="B22998" s="2" t="s">
        <v>44935</v>
      </c>
      <c r="C22998" s="2" t="s">
        <v>124</v>
      </c>
      <c r="D22998" s="2" t="s">
        <v>81</v>
      </c>
      <c r="E22998" s="2" t="str">
        <f>"9781472486776"</f>
        <v>9781472486776</v>
      </c>
      <c r="F22998" s="2" t="str">
        <f>"9780429994661"</f>
        <v>9780429994661</v>
      </c>
    </row>
    <row r="22999" spans="1:6" s="3" customFormat="1" ht="29.1" customHeight="1" x14ac:dyDescent="0.25">
      <c r="A22999" s="2" t="s">
        <v>44936</v>
      </c>
      <c r="B22999" s="2" t="s">
        <v>44937</v>
      </c>
      <c r="C22999" s="2" t="s">
        <v>124</v>
      </c>
      <c r="D22999" s="2" t="s">
        <v>712</v>
      </c>
      <c r="E22999" s="2" t="str">
        <f>"9781138632684"</f>
        <v>9781138632684</v>
      </c>
      <c r="F22999" s="2" t="str">
        <f>"9781351802550"</f>
        <v>9781351802550</v>
      </c>
    </row>
    <row r="23000" spans="1:6" s="3" customFormat="1" ht="29.1" customHeight="1" x14ac:dyDescent="0.25">
      <c r="A23000" s="2" t="s">
        <v>44938</v>
      </c>
      <c r="B23000" s="2" t="s">
        <v>44939</v>
      </c>
      <c r="C23000" s="2" t="s">
        <v>124</v>
      </c>
      <c r="D23000" s="2" t="s">
        <v>210</v>
      </c>
      <c r="E23000" s="2" t="str">
        <f>"9781138226685"</f>
        <v>9781138226685</v>
      </c>
      <c r="F23000" s="2" t="str">
        <f>"9781315397085"</f>
        <v>9781315397085</v>
      </c>
    </row>
    <row r="23001" spans="1:6" s="3" customFormat="1" ht="29.1" customHeight="1" x14ac:dyDescent="0.25">
      <c r="A23001" s="2" t="s">
        <v>44940</v>
      </c>
      <c r="B23001" s="2" t="s">
        <v>44941</v>
      </c>
      <c r="C23001" s="2" t="s">
        <v>248</v>
      </c>
      <c r="D23001" s="2" t="s">
        <v>1043</v>
      </c>
      <c r="E23001" s="2" t="str">
        <f>"9783847421504"</f>
        <v>9783847421504</v>
      </c>
      <c r="F23001" s="2" t="str">
        <f>"9783847411963"</f>
        <v>9783847411963</v>
      </c>
    </row>
    <row r="23002" spans="1:6" s="3" customFormat="1" ht="29.1" customHeight="1" x14ac:dyDescent="0.25">
      <c r="A23002" s="2" t="s">
        <v>44942</v>
      </c>
      <c r="B23002" s="2" t="s">
        <v>44943</v>
      </c>
      <c r="C23002" s="2" t="s">
        <v>248</v>
      </c>
      <c r="D23002" s="2" t="s">
        <v>249</v>
      </c>
      <c r="E23002" s="2" t="str">
        <f>"9783847421351"</f>
        <v>9783847421351</v>
      </c>
      <c r="F23002" s="2" t="str">
        <f>"9783847411260"</f>
        <v>9783847411260</v>
      </c>
    </row>
    <row r="23003" spans="1:6" s="3" customFormat="1" ht="29.1" customHeight="1" x14ac:dyDescent="0.25">
      <c r="A23003" s="2" t="s">
        <v>44944</v>
      </c>
      <c r="B23003" s="2" t="s">
        <v>44945</v>
      </c>
      <c r="C23003" s="2" t="s">
        <v>248</v>
      </c>
      <c r="D23003" s="2" t="s">
        <v>75</v>
      </c>
      <c r="E23003" s="2" t="str">
        <f>"9783863887889"</f>
        <v>9783863887889</v>
      </c>
      <c r="F23003" s="2" t="str">
        <f>"9783863883591"</f>
        <v>9783863883591</v>
      </c>
    </row>
    <row r="23004" spans="1:6" s="3" customFormat="1" ht="29.1" customHeight="1" x14ac:dyDescent="0.25">
      <c r="A23004" s="2" t="s">
        <v>44946</v>
      </c>
      <c r="B23004" s="2" t="s">
        <v>44947</v>
      </c>
      <c r="C23004" s="2" t="s">
        <v>248</v>
      </c>
      <c r="D23004" s="2" t="s">
        <v>1127</v>
      </c>
      <c r="E23004" s="2" t="str">
        <f>"9783863887834"</f>
        <v>9783863887834</v>
      </c>
      <c r="F23004" s="2" t="str">
        <f>"9783863883577"</f>
        <v>9783863883577</v>
      </c>
    </row>
    <row r="23005" spans="1:6" s="3" customFormat="1" ht="29.1" customHeight="1" x14ac:dyDescent="0.25">
      <c r="A23005" s="2" t="s">
        <v>44948</v>
      </c>
      <c r="B23005" s="2" t="s">
        <v>44950</v>
      </c>
      <c r="C23005" s="2" t="s">
        <v>248</v>
      </c>
      <c r="D23005" s="2" t="s">
        <v>44949</v>
      </c>
      <c r="E23005" s="2" t="str">
        <f>"9783863887865"</f>
        <v>9783863887865</v>
      </c>
      <c r="F23005" s="2" t="str">
        <f>"9783863883522"</f>
        <v>9783863883522</v>
      </c>
    </row>
    <row r="23006" spans="1:6" s="3" customFormat="1" ht="29.1" customHeight="1" x14ac:dyDescent="0.25">
      <c r="A23006" s="2" t="s">
        <v>44951</v>
      </c>
      <c r="B23006" s="2" t="s">
        <v>44952</v>
      </c>
      <c r="C23006" s="2" t="s">
        <v>124</v>
      </c>
      <c r="D23006" s="2" t="s">
        <v>2648</v>
      </c>
      <c r="E23006" s="2" t="str">
        <f>"9781138225053"</f>
        <v>9781138225053</v>
      </c>
      <c r="F23006" s="2" t="str">
        <f>"9781315401089"</f>
        <v>9781315401089</v>
      </c>
    </row>
    <row r="23007" spans="1:6" s="3" customFormat="1" ht="29.1" customHeight="1" x14ac:dyDescent="0.25">
      <c r="A23007" s="2" t="s">
        <v>44953</v>
      </c>
      <c r="B23007" s="2" t="s">
        <v>44954</v>
      </c>
      <c r="C23007" s="2" t="s">
        <v>124</v>
      </c>
      <c r="D23007" s="2" t="s">
        <v>818</v>
      </c>
      <c r="E23007" s="2" t="str">
        <f>"9781138230989"</f>
        <v>9781138230989</v>
      </c>
      <c r="F23007" s="2" t="str">
        <f>"9781315316468"</f>
        <v>9781315316468</v>
      </c>
    </row>
    <row r="23008" spans="1:6" s="3" customFormat="1" ht="29.1" customHeight="1" x14ac:dyDescent="0.25">
      <c r="A23008" s="2" t="s">
        <v>44955</v>
      </c>
      <c r="B23008" s="2" t="s">
        <v>44956</v>
      </c>
      <c r="C23008" s="2" t="s">
        <v>124</v>
      </c>
      <c r="D23008" s="2" t="s">
        <v>30</v>
      </c>
      <c r="E23008" s="2" t="str">
        <f>"9781138193925"</f>
        <v>9781138193925</v>
      </c>
      <c r="F23008" s="2" t="str">
        <f>"9781317272991"</f>
        <v>9781317272991</v>
      </c>
    </row>
    <row r="23009" spans="1:6" s="3" customFormat="1" ht="29.1" customHeight="1" x14ac:dyDescent="0.25">
      <c r="A23009" s="2" t="s">
        <v>44957</v>
      </c>
      <c r="B23009" s="2" t="s">
        <v>44958</v>
      </c>
      <c r="C23009" s="2" t="s">
        <v>124</v>
      </c>
      <c r="D23009" s="2" t="s">
        <v>2462</v>
      </c>
      <c r="E23009" s="2" t="str">
        <f>"9781138695818"</f>
        <v>9781138695818</v>
      </c>
      <c r="F23009" s="2" t="str">
        <f>"9781315526034"</f>
        <v>9781315526034</v>
      </c>
    </row>
    <row r="23010" spans="1:6" s="3" customFormat="1" ht="29.1" customHeight="1" x14ac:dyDescent="0.25">
      <c r="A23010" s="2" t="s">
        <v>44959</v>
      </c>
      <c r="B23010" s="2" t="s">
        <v>44960</v>
      </c>
      <c r="C23010" s="2" t="s">
        <v>124</v>
      </c>
      <c r="D23010" s="2" t="s">
        <v>2822</v>
      </c>
      <c r="E23010" s="2" t="str">
        <f>"9781138100305"</f>
        <v>9781138100305</v>
      </c>
      <c r="F23010" s="2" t="str">
        <f>"9781317328902"</f>
        <v>9781317328902</v>
      </c>
    </row>
    <row r="23011" spans="1:6" s="3" customFormat="1" ht="29.1" customHeight="1" x14ac:dyDescent="0.25">
      <c r="A23011" s="2" t="s">
        <v>44961</v>
      </c>
      <c r="B23011" s="2" t="s">
        <v>44962</v>
      </c>
      <c r="C23011" s="2" t="s">
        <v>264</v>
      </c>
      <c r="D23011" s="2" t="s">
        <v>44</v>
      </c>
      <c r="E23011" s="2" t="str">
        <f>"9780367732318"</f>
        <v>9780367732318</v>
      </c>
      <c r="F23011" s="2" t="str">
        <f>"9780429017247"</f>
        <v>9780429017247</v>
      </c>
    </row>
    <row r="23012" spans="1:6" s="3" customFormat="1" ht="29.1" customHeight="1" x14ac:dyDescent="0.25">
      <c r="A23012" s="2" t="s">
        <v>44963</v>
      </c>
      <c r="B23012" s="2" t="s">
        <v>44964</v>
      </c>
      <c r="C23012" s="2" t="s">
        <v>264</v>
      </c>
      <c r="D23012" s="2" t="s">
        <v>44</v>
      </c>
      <c r="E23012" s="2" t="str">
        <f>"9781138584495"</f>
        <v>9781138584495</v>
      </c>
      <c r="F23012" s="2" t="str">
        <f>"9780429000478"</f>
        <v>9780429000478</v>
      </c>
    </row>
    <row r="23013" spans="1:6" s="3" customFormat="1" ht="29.1" customHeight="1" x14ac:dyDescent="0.25">
      <c r="A23013" s="2" t="s">
        <v>44965</v>
      </c>
      <c r="B23013" s="2" t="s">
        <v>44966</v>
      </c>
      <c r="C23013" s="2" t="s">
        <v>264</v>
      </c>
      <c r="D23013" s="2" t="s">
        <v>504</v>
      </c>
      <c r="E23013" s="2" t="str">
        <f>"9781498781596"</f>
        <v>9781498781596</v>
      </c>
      <c r="F23013" s="2" t="str">
        <f>"9780429957529"</f>
        <v>9780429957529</v>
      </c>
    </row>
    <row r="23014" spans="1:6" s="3" customFormat="1" ht="29.1" customHeight="1" x14ac:dyDescent="0.25">
      <c r="A23014" s="2" t="s">
        <v>44967</v>
      </c>
      <c r="B23014" s="2" t="s">
        <v>44968</v>
      </c>
      <c r="C23014" s="2" t="s">
        <v>264</v>
      </c>
      <c r="D23014" s="2" t="s">
        <v>2271</v>
      </c>
      <c r="E23014" s="2" t="str">
        <f>"9781138054097"</f>
        <v>9781138054097</v>
      </c>
      <c r="F23014" s="2" t="str">
        <f>"9781351680325"</f>
        <v>9781351680325</v>
      </c>
    </row>
    <row r="23015" spans="1:6" s="3" customFormat="1" ht="29.1" customHeight="1" x14ac:dyDescent="0.25">
      <c r="A23015" s="2" t="s">
        <v>44969</v>
      </c>
      <c r="B23015" s="2" t="s">
        <v>44970</v>
      </c>
      <c r="C23015" s="2" t="s">
        <v>264</v>
      </c>
      <c r="D23015" s="2" t="s">
        <v>2237</v>
      </c>
      <c r="E23015" s="2" t="str">
        <f>"9780340974223"</f>
        <v>9780340974223</v>
      </c>
      <c r="F23015" s="2" t="str">
        <f>"9781444128451"</f>
        <v>9781444128451</v>
      </c>
    </row>
    <row r="23016" spans="1:6" s="3" customFormat="1" ht="29.1" customHeight="1" x14ac:dyDescent="0.25">
      <c r="A23016" s="2" t="s">
        <v>44971</v>
      </c>
      <c r="B23016" s="2" t="s">
        <v>44972</v>
      </c>
      <c r="C23016" s="2" t="s">
        <v>264</v>
      </c>
      <c r="D23016" s="2" t="s">
        <v>758</v>
      </c>
      <c r="E23016" s="2" t="str">
        <f>"9781466570092"</f>
        <v>9781466570092</v>
      </c>
      <c r="F23016" s="2" t="str">
        <f>"9781466570108"</f>
        <v>9781466570108</v>
      </c>
    </row>
    <row r="23017" spans="1:6" s="3" customFormat="1" ht="29.1" customHeight="1" x14ac:dyDescent="0.25">
      <c r="A23017" s="2" t="s">
        <v>44973</v>
      </c>
      <c r="B23017" s="2" t="s">
        <v>44974</v>
      </c>
      <c r="C23017" s="2" t="s">
        <v>264</v>
      </c>
      <c r="D23017" s="2" t="s">
        <v>850</v>
      </c>
      <c r="E23017" s="2" t="str">
        <f>"9781420082982"</f>
        <v>9781420082982</v>
      </c>
      <c r="F23017" s="2" t="str">
        <f>"9781420083002"</f>
        <v>9781420083002</v>
      </c>
    </row>
    <row r="23018" spans="1:6" s="3" customFormat="1" ht="29.1" customHeight="1" x14ac:dyDescent="0.25">
      <c r="A23018" s="2" t="s">
        <v>44975</v>
      </c>
      <c r="B23018" s="2" t="s">
        <v>44976</v>
      </c>
      <c r="C23018" s="2" t="s">
        <v>264</v>
      </c>
      <c r="D23018" s="2" t="s">
        <v>850</v>
      </c>
      <c r="E23018" s="2" t="str">
        <f>"9781466513075"</f>
        <v>9781466513075</v>
      </c>
      <c r="F23018" s="2" t="str">
        <f>"9781466513105"</f>
        <v>9781466513105</v>
      </c>
    </row>
    <row r="23019" spans="1:6" s="3" customFormat="1" ht="29.1" customHeight="1" x14ac:dyDescent="0.25">
      <c r="A23019" s="2" t="s">
        <v>44977</v>
      </c>
      <c r="B23019" s="2" t="s">
        <v>44976</v>
      </c>
      <c r="C23019" s="2" t="s">
        <v>264</v>
      </c>
      <c r="D23019" s="2" t="s">
        <v>850</v>
      </c>
      <c r="E23019" s="2" t="str">
        <f>"9781466512993"</f>
        <v>9781466512993</v>
      </c>
      <c r="F23019" s="2" t="str">
        <f>"9781466513020"</f>
        <v>9781466513020</v>
      </c>
    </row>
    <row r="23020" spans="1:6" s="3" customFormat="1" ht="29.1" customHeight="1" x14ac:dyDescent="0.25">
      <c r="A23020" s="2" t="s">
        <v>44978</v>
      </c>
      <c r="B23020" s="2" t="s">
        <v>44979</v>
      </c>
      <c r="C23020" s="2" t="s">
        <v>264</v>
      </c>
      <c r="D23020" s="2" t="s">
        <v>44</v>
      </c>
      <c r="E23020" s="2" t="str">
        <f>"9780415603881"</f>
        <v>9780415603881</v>
      </c>
      <c r="F23020" s="2" t="str">
        <f>"9780203834442"</f>
        <v>9780203834442</v>
      </c>
    </row>
    <row r="23021" spans="1:6" s="3" customFormat="1" ht="29.1" customHeight="1" x14ac:dyDescent="0.25">
      <c r="A23021" s="2" t="s">
        <v>44980</v>
      </c>
      <c r="B23021" s="2" t="s">
        <v>44981</v>
      </c>
      <c r="C23021" s="2" t="s">
        <v>264</v>
      </c>
      <c r="D23021" s="2" t="s">
        <v>12484</v>
      </c>
      <c r="E23021" s="2" t="str">
        <f>"9781439870334"</f>
        <v>9781439870334</v>
      </c>
      <c r="F23021" s="2" t="str">
        <f>"9781439870341"</f>
        <v>9781439870341</v>
      </c>
    </row>
    <row r="23022" spans="1:6" s="3" customFormat="1" ht="29.1" customHeight="1" x14ac:dyDescent="0.25">
      <c r="A23022" s="2" t="s">
        <v>44982</v>
      </c>
      <c r="B23022" s="2" t="s">
        <v>44983</v>
      </c>
      <c r="C23022" s="2" t="s">
        <v>264</v>
      </c>
      <c r="D23022" s="2" t="s">
        <v>850</v>
      </c>
      <c r="E23022" s="2" t="str">
        <f>"9781420078749"</f>
        <v>9781420078749</v>
      </c>
      <c r="F23022" s="2" t="str">
        <f>"9781439895207"</f>
        <v>9781439895207</v>
      </c>
    </row>
    <row r="23023" spans="1:6" s="3" customFormat="1" ht="29.1" customHeight="1" x14ac:dyDescent="0.25">
      <c r="A23023" s="2" t="s">
        <v>44984</v>
      </c>
      <c r="B23023" s="2" t="s">
        <v>44985</v>
      </c>
      <c r="C23023" s="2" t="s">
        <v>264</v>
      </c>
      <c r="D23023" s="2" t="s">
        <v>98</v>
      </c>
      <c r="E23023" s="2" t="str">
        <f>"9781439847466"</f>
        <v>9781439847466</v>
      </c>
      <c r="F23023" s="2" t="str">
        <f>"9781439894125"</f>
        <v>9781439894125</v>
      </c>
    </row>
    <row r="23024" spans="1:6" s="3" customFormat="1" ht="29.1" customHeight="1" x14ac:dyDescent="0.25">
      <c r="A23024" s="2" t="s">
        <v>44986</v>
      </c>
      <c r="B23024" s="2" t="s">
        <v>44987</v>
      </c>
      <c r="C23024" s="2" t="s">
        <v>264</v>
      </c>
      <c r="D23024" s="2" t="s">
        <v>4739</v>
      </c>
      <c r="E23024" s="2" t="str">
        <f>"9781439834725"</f>
        <v>9781439834725</v>
      </c>
      <c r="F23024" s="2" t="str">
        <f>"9781439834732"</f>
        <v>9781439834732</v>
      </c>
    </row>
    <row r="23025" spans="1:6" s="3" customFormat="1" ht="29.1" customHeight="1" x14ac:dyDescent="0.25">
      <c r="A23025" s="2" t="s">
        <v>44988</v>
      </c>
      <c r="B23025" s="2" t="s">
        <v>44989</v>
      </c>
      <c r="C23025" s="2" t="s">
        <v>264</v>
      </c>
      <c r="D23025" s="2" t="s">
        <v>850</v>
      </c>
      <c r="E23025" s="2" t="str">
        <f>"9781466594593"</f>
        <v>9781466594593</v>
      </c>
      <c r="F23025" s="2" t="str">
        <f>"9781466594609"</f>
        <v>9781466594609</v>
      </c>
    </row>
    <row r="23026" spans="1:6" s="3" customFormat="1" ht="29.1" customHeight="1" x14ac:dyDescent="0.25">
      <c r="A23026" s="2" t="s">
        <v>44990</v>
      </c>
      <c r="B23026" s="2" t="s">
        <v>44991</v>
      </c>
      <c r="C23026" s="2" t="s">
        <v>124</v>
      </c>
      <c r="D23026" s="2" t="s">
        <v>30</v>
      </c>
      <c r="E23026" s="2" t="str">
        <f>"9781138123779"</f>
        <v>9781138123779</v>
      </c>
      <c r="F23026" s="2" t="str">
        <f>"9781315648613"</f>
        <v>9781315648613</v>
      </c>
    </row>
    <row r="23027" spans="1:6" s="3" customFormat="1" ht="29.1" customHeight="1" x14ac:dyDescent="0.25">
      <c r="A23027" s="2" t="s">
        <v>44992</v>
      </c>
      <c r="B23027" s="2" t="s">
        <v>44993</v>
      </c>
      <c r="C23027" s="2" t="s">
        <v>316</v>
      </c>
      <c r="D23027" s="2" t="s">
        <v>317</v>
      </c>
      <c r="E23027" s="2" t="str">
        <f>"9783035712971"</f>
        <v>9783035712971</v>
      </c>
      <c r="F23027" s="2" t="str">
        <f>"9783035732979"</f>
        <v>9783035732979</v>
      </c>
    </row>
    <row r="23028" spans="1:6" s="3" customFormat="1" ht="29.1" customHeight="1" x14ac:dyDescent="0.25">
      <c r="A23028" s="2" t="s">
        <v>44994</v>
      </c>
      <c r="B23028" s="2" t="s">
        <v>44995</v>
      </c>
      <c r="C23028" s="2" t="s">
        <v>124</v>
      </c>
      <c r="D23028" s="2" t="s">
        <v>75</v>
      </c>
      <c r="E23028" s="2" t="str">
        <f>"9781138903296"</f>
        <v>9781138903296</v>
      </c>
      <c r="F23028" s="2" t="str">
        <f>"9781317448501"</f>
        <v>9781317448501</v>
      </c>
    </row>
    <row r="23029" spans="1:6" s="3" customFormat="1" ht="29.1" customHeight="1" x14ac:dyDescent="0.25">
      <c r="A23029" s="2" t="s">
        <v>44996</v>
      </c>
      <c r="B23029" s="2" t="s">
        <v>44997</v>
      </c>
      <c r="C23029" s="2" t="s">
        <v>264</v>
      </c>
      <c r="D23029" s="2" t="s">
        <v>6212</v>
      </c>
      <c r="E23029" s="2" t="str">
        <f>"9780367734824"</f>
        <v>9780367734824</v>
      </c>
      <c r="F23029" s="2" t="str">
        <f>"9781351190138"</f>
        <v>9781351190138</v>
      </c>
    </row>
    <row r="23030" spans="1:6" s="3" customFormat="1" ht="29.1" customHeight="1" x14ac:dyDescent="0.25">
      <c r="A23030" s="2" t="s">
        <v>44998</v>
      </c>
      <c r="B23030" s="2" t="s">
        <v>44999</v>
      </c>
      <c r="C23030" s="2" t="s">
        <v>264</v>
      </c>
      <c r="D23030" s="2" t="s">
        <v>44</v>
      </c>
      <c r="E23030" s="2" t="str">
        <f>"9780367779214"</f>
        <v>9780367779214</v>
      </c>
      <c r="F23030" s="2" t="str">
        <f>"9781351046619"</f>
        <v>9781351046619</v>
      </c>
    </row>
    <row r="23031" spans="1:6" s="3" customFormat="1" ht="29.1" customHeight="1" x14ac:dyDescent="0.25">
      <c r="A23031" s="2" t="s">
        <v>45000</v>
      </c>
      <c r="B23031" s="2" t="s">
        <v>45001</v>
      </c>
      <c r="C23031" s="2" t="s">
        <v>124</v>
      </c>
      <c r="D23031" s="2" t="s">
        <v>186</v>
      </c>
      <c r="E23031" s="2" t="str">
        <f>"9781138577015"</f>
        <v>9781138577015</v>
      </c>
      <c r="F23031" s="2" t="str">
        <f>"9781351268141"</f>
        <v>9781351268141</v>
      </c>
    </row>
    <row r="23032" spans="1:6" s="3" customFormat="1" ht="29.1" customHeight="1" x14ac:dyDescent="0.25">
      <c r="A23032" s="2" t="s">
        <v>45002</v>
      </c>
      <c r="B23032" s="2" t="s">
        <v>45003</v>
      </c>
      <c r="C23032" s="2" t="s">
        <v>124</v>
      </c>
      <c r="D23032" s="2" t="s">
        <v>2513</v>
      </c>
      <c r="E23032" s="2" t="str">
        <f>"9780815385424"</f>
        <v>9780815385424</v>
      </c>
      <c r="F23032" s="2" t="str">
        <f>"9781351201179"</f>
        <v>9781351201179</v>
      </c>
    </row>
    <row r="23033" spans="1:6" s="3" customFormat="1" ht="29.1" customHeight="1" x14ac:dyDescent="0.25">
      <c r="A23033" s="2" t="s">
        <v>45004</v>
      </c>
      <c r="B23033" s="2" t="s">
        <v>45005</v>
      </c>
      <c r="C23033" s="2" t="s">
        <v>124</v>
      </c>
      <c r="D23033" s="2" t="s">
        <v>2877</v>
      </c>
      <c r="E23033" s="2" t="str">
        <f>"9780815353393"</f>
        <v>9780815353393</v>
      </c>
      <c r="F23033" s="2" t="str">
        <f>"9781351136488"</f>
        <v>9781351136488</v>
      </c>
    </row>
    <row r="23034" spans="1:6" s="3" customFormat="1" ht="29.1" customHeight="1" x14ac:dyDescent="0.25">
      <c r="A23034" s="2" t="s">
        <v>45006</v>
      </c>
      <c r="B23034" s="2" t="s">
        <v>45007</v>
      </c>
      <c r="C23034" s="2" t="s">
        <v>124</v>
      </c>
      <c r="D23034" s="2" t="s">
        <v>2086</v>
      </c>
      <c r="E23034" s="2" t="str">
        <f>"9780815399841"</f>
        <v>9780815399841</v>
      </c>
      <c r="F23034" s="2" t="str">
        <f>"9781351171229"</f>
        <v>9781351171229</v>
      </c>
    </row>
    <row r="23035" spans="1:6" s="3" customFormat="1" ht="29.1" customHeight="1" x14ac:dyDescent="0.25">
      <c r="A23035" s="2" t="s">
        <v>45008</v>
      </c>
      <c r="B23035" s="2" t="s">
        <v>45009</v>
      </c>
      <c r="C23035" s="2" t="s">
        <v>124</v>
      </c>
      <c r="D23035" s="2" t="s">
        <v>2019</v>
      </c>
      <c r="E23035" s="2" t="str">
        <f>"9780367588083"</f>
        <v>9780367588083</v>
      </c>
      <c r="F23035" s="2" t="str">
        <f>"9781351002066"</f>
        <v>9781351002066</v>
      </c>
    </row>
    <row r="23036" spans="1:6" s="3" customFormat="1" ht="29.1" customHeight="1" x14ac:dyDescent="0.25">
      <c r="A23036" s="2" t="s">
        <v>45010</v>
      </c>
      <c r="B23036" s="2" t="s">
        <v>45011</v>
      </c>
      <c r="C23036" s="2" t="s">
        <v>124</v>
      </c>
      <c r="D23036" s="2" t="s">
        <v>270</v>
      </c>
      <c r="E23036" s="2" t="str">
        <f>"9781138543195"</f>
        <v>9781138543195</v>
      </c>
      <c r="F23036" s="2" t="str">
        <f>"9781351007184"</f>
        <v>9781351007184</v>
      </c>
    </row>
    <row r="23037" spans="1:6" s="3" customFormat="1" ht="29.1" customHeight="1" x14ac:dyDescent="0.25">
      <c r="A23037" s="2" t="s">
        <v>45012</v>
      </c>
      <c r="B23037" s="2" t="s">
        <v>45013</v>
      </c>
      <c r="C23037" s="2" t="s">
        <v>124</v>
      </c>
      <c r="D23037" s="2" t="s">
        <v>334</v>
      </c>
      <c r="E23037" s="2" t="str">
        <f>"9780367589851"</f>
        <v>9780367589851</v>
      </c>
      <c r="F23037" s="2" t="str">
        <f>"9781351049122"</f>
        <v>9781351049122</v>
      </c>
    </row>
    <row r="23038" spans="1:6" s="3" customFormat="1" ht="29.1" customHeight="1" x14ac:dyDescent="0.25">
      <c r="A23038" s="2" t="s">
        <v>45014</v>
      </c>
      <c r="B23038" s="2" t="s">
        <v>45015</v>
      </c>
      <c r="C23038" s="2" t="s">
        <v>124</v>
      </c>
      <c r="D23038" s="2" t="s">
        <v>270</v>
      </c>
      <c r="E23038" s="2" t="str">
        <f>"9780815383604"</f>
        <v>9780815383604</v>
      </c>
      <c r="F23038" s="2" t="str">
        <f>"9781351205733"</f>
        <v>9781351205733</v>
      </c>
    </row>
    <row r="23039" spans="1:6" s="3" customFormat="1" ht="29.1" customHeight="1" x14ac:dyDescent="0.25">
      <c r="A23039" s="2" t="s">
        <v>45016</v>
      </c>
      <c r="B23039" s="2" t="s">
        <v>45017</v>
      </c>
      <c r="C23039" s="2" t="s">
        <v>124</v>
      </c>
      <c r="D23039" s="2" t="s">
        <v>2086</v>
      </c>
      <c r="E23039" s="2" t="str">
        <f>"9780367855888"</f>
        <v>9780367855888</v>
      </c>
      <c r="F23039" s="2" t="str">
        <f>"9781351047982"</f>
        <v>9781351047982</v>
      </c>
    </row>
    <row r="23040" spans="1:6" s="3" customFormat="1" ht="29.1" customHeight="1" x14ac:dyDescent="0.25">
      <c r="A23040" s="2" t="s">
        <v>45018</v>
      </c>
      <c r="B23040" s="2" t="s">
        <v>45019</v>
      </c>
      <c r="C23040" s="2" t="s">
        <v>124</v>
      </c>
      <c r="D23040" s="2" t="s">
        <v>694</v>
      </c>
      <c r="E23040" s="2" t="str">
        <f>"9781138479586"</f>
        <v>9781138479586</v>
      </c>
      <c r="F23040" s="2" t="str">
        <f>"9781351065405"</f>
        <v>9781351065405</v>
      </c>
    </row>
    <row r="23041" spans="1:6" s="3" customFormat="1" ht="29.1" customHeight="1" x14ac:dyDescent="0.25">
      <c r="A23041" s="2" t="s">
        <v>45020</v>
      </c>
      <c r="B23041" s="2" t="s">
        <v>45021</v>
      </c>
      <c r="C23041" s="2" t="s">
        <v>124</v>
      </c>
      <c r="D23041" s="2" t="s">
        <v>818</v>
      </c>
      <c r="E23041" s="2" t="str">
        <f>"9780815356585"</f>
        <v>9780815356585</v>
      </c>
      <c r="F23041" s="2" t="str">
        <f>"9781351127875"</f>
        <v>9781351127875</v>
      </c>
    </row>
    <row r="23042" spans="1:6" s="3" customFormat="1" ht="29.1" customHeight="1" x14ac:dyDescent="0.25">
      <c r="A23042" s="2" t="s">
        <v>45022</v>
      </c>
      <c r="B23042" s="2"/>
      <c r="C23042" s="2" t="s">
        <v>59</v>
      </c>
      <c r="D23042" s="2" t="s">
        <v>2086</v>
      </c>
      <c r="E23042" s="2"/>
      <c r="F23042" s="2" t="str">
        <f>"9782759227914"</f>
        <v>9782759227914</v>
      </c>
    </row>
    <row r="23043" spans="1:6" s="3" customFormat="1" ht="29.1" customHeight="1" x14ac:dyDescent="0.25">
      <c r="A23043" s="2" t="s">
        <v>45023</v>
      </c>
      <c r="B23043" s="2" t="s">
        <v>45024</v>
      </c>
      <c r="C23043" s="2" t="s">
        <v>59</v>
      </c>
      <c r="D23043" s="2" t="s">
        <v>186</v>
      </c>
      <c r="E23043" s="2" t="str">
        <f>"9782759227075"</f>
        <v>9782759227075</v>
      </c>
      <c r="F23043" s="2" t="str">
        <f>"9782759227082"</f>
        <v>9782759227082</v>
      </c>
    </row>
    <row r="23044" spans="1:6" s="3" customFormat="1" ht="29.1" customHeight="1" x14ac:dyDescent="0.25">
      <c r="A23044" s="2" t="s">
        <v>45025</v>
      </c>
      <c r="B23044" s="2" t="s">
        <v>45026</v>
      </c>
      <c r="C23044" s="2" t="s">
        <v>59</v>
      </c>
      <c r="D23044" s="2" t="s">
        <v>2086</v>
      </c>
      <c r="E23044" s="2" t="str">
        <f>"9782759224814"</f>
        <v>9782759224814</v>
      </c>
      <c r="F23044" s="2" t="str">
        <f>"9782759224821"</f>
        <v>9782759224821</v>
      </c>
    </row>
    <row r="23045" spans="1:6" s="3" customFormat="1" ht="29.1" customHeight="1" x14ac:dyDescent="0.25">
      <c r="A23045" s="2" t="s">
        <v>45027</v>
      </c>
      <c r="B23045" s="2" t="s">
        <v>45028</v>
      </c>
      <c r="C23045" s="2" t="s">
        <v>59</v>
      </c>
      <c r="D23045" s="2" t="s">
        <v>6</v>
      </c>
      <c r="E23045" s="2"/>
      <c r="F23045" s="2" t="str">
        <f>"9782759227723"</f>
        <v>9782759227723</v>
      </c>
    </row>
    <row r="23046" spans="1:6" s="3" customFormat="1" ht="29.1" customHeight="1" x14ac:dyDescent="0.25">
      <c r="A23046" s="2" t="s">
        <v>45029</v>
      </c>
      <c r="B23046" s="2" t="s">
        <v>45030</v>
      </c>
      <c r="C23046" s="2" t="s">
        <v>195</v>
      </c>
      <c r="D23046" s="2" t="s">
        <v>1183</v>
      </c>
      <c r="E23046" s="2" t="str">
        <f>"9783110549584"</f>
        <v>9783110549584</v>
      </c>
      <c r="F23046" s="2" t="str">
        <f>"9783110549744"</f>
        <v>9783110549744</v>
      </c>
    </row>
    <row r="23047" spans="1:6" s="3" customFormat="1" ht="29.1" customHeight="1" x14ac:dyDescent="0.25">
      <c r="A23047" s="2" t="s">
        <v>45031</v>
      </c>
      <c r="B23047" s="2" t="s">
        <v>45032</v>
      </c>
      <c r="C23047" s="2" t="s">
        <v>327</v>
      </c>
      <c r="D23047" s="2" t="s">
        <v>49</v>
      </c>
      <c r="E23047" s="2" t="str">
        <f>"9788380886155"</f>
        <v>9788380886155</v>
      </c>
      <c r="F23047" s="2" t="str">
        <f>"9788380888036"</f>
        <v>9788380888036</v>
      </c>
    </row>
    <row r="23048" spans="1:6" s="3" customFormat="1" ht="29.1" customHeight="1" x14ac:dyDescent="0.25">
      <c r="A23048" s="2" t="s">
        <v>45033</v>
      </c>
      <c r="B23048" s="2" t="s">
        <v>45034</v>
      </c>
      <c r="C23048" s="2" t="s">
        <v>124</v>
      </c>
      <c r="D23048" s="2" t="s">
        <v>270</v>
      </c>
      <c r="E23048" s="2" t="str">
        <f>"9781138572300"</f>
        <v>9781138572300</v>
      </c>
      <c r="F23048" s="2" t="str">
        <f>"9781351332576"</f>
        <v>9781351332576</v>
      </c>
    </row>
    <row r="23049" spans="1:6" s="3" customFormat="1" ht="29.1" customHeight="1" x14ac:dyDescent="0.25">
      <c r="A23049" s="2" t="s">
        <v>45035</v>
      </c>
      <c r="B23049" s="2" t="s">
        <v>45036</v>
      </c>
      <c r="C23049" s="2" t="s">
        <v>29</v>
      </c>
      <c r="D23049" s="2" t="s">
        <v>4117</v>
      </c>
      <c r="E23049" s="2" t="str">
        <f>"9789004357358"</f>
        <v>9789004357358</v>
      </c>
      <c r="F23049" s="2" t="str">
        <f>"9789004362475"</f>
        <v>9789004362475</v>
      </c>
    </row>
    <row r="23050" spans="1:6" s="3" customFormat="1" ht="29.1" customHeight="1" x14ac:dyDescent="0.25">
      <c r="A23050" s="2" t="s">
        <v>45037</v>
      </c>
      <c r="B23050" s="2" t="s">
        <v>45038</v>
      </c>
      <c r="C23050" s="2" t="s">
        <v>195</v>
      </c>
      <c r="D23050" s="2" t="s">
        <v>4238</v>
      </c>
      <c r="E23050" s="2" t="str">
        <f>"9783110556490"</f>
        <v>9783110556490</v>
      </c>
      <c r="F23050" s="2" t="str">
        <f>"9783110558678"</f>
        <v>9783110558678</v>
      </c>
    </row>
    <row r="23051" spans="1:6" s="3" customFormat="1" ht="29.1" customHeight="1" x14ac:dyDescent="0.25">
      <c r="A23051" s="2" t="s">
        <v>45039</v>
      </c>
      <c r="B23051" s="2" t="s">
        <v>45040</v>
      </c>
      <c r="C23051" s="2" t="s">
        <v>1070</v>
      </c>
      <c r="D23051" s="2" t="s">
        <v>1272</v>
      </c>
      <c r="E23051" s="2" t="str">
        <f>"9781910797532"</f>
        <v>9781910797532</v>
      </c>
      <c r="F23051" s="2" t="str">
        <f>"9781910797549"</f>
        <v>9781910797549</v>
      </c>
    </row>
    <row r="23052" spans="1:6" s="3" customFormat="1" ht="29.1" customHeight="1" x14ac:dyDescent="0.25">
      <c r="A23052" s="2" t="s">
        <v>45041</v>
      </c>
      <c r="B23052" s="2" t="s">
        <v>45042</v>
      </c>
      <c r="C23052" s="2" t="s">
        <v>124</v>
      </c>
      <c r="D23052" s="2" t="s">
        <v>334</v>
      </c>
      <c r="E23052" s="2" t="str">
        <f>"9780415786126"</f>
        <v>9780415786126</v>
      </c>
      <c r="F23052" s="2" t="str">
        <f>"9781351330107"</f>
        <v>9781351330107</v>
      </c>
    </row>
    <row r="23053" spans="1:6" s="3" customFormat="1" ht="29.1" customHeight="1" x14ac:dyDescent="0.25">
      <c r="A23053" s="2" t="s">
        <v>45043</v>
      </c>
      <c r="B23053" s="2" t="s">
        <v>45044</v>
      </c>
      <c r="C23053" s="2" t="s">
        <v>124</v>
      </c>
      <c r="D23053" s="2" t="s">
        <v>15880</v>
      </c>
      <c r="E23053" s="2" t="str">
        <f>"9781138700116"</f>
        <v>9781138700116</v>
      </c>
      <c r="F23053" s="2" t="str">
        <f>"9781351792561"</f>
        <v>9781351792561</v>
      </c>
    </row>
    <row r="23054" spans="1:6" s="3" customFormat="1" ht="29.1" customHeight="1" x14ac:dyDescent="0.25">
      <c r="A23054" s="2" t="s">
        <v>45045</v>
      </c>
      <c r="B23054" s="2" t="s">
        <v>45046</v>
      </c>
      <c r="C23054" s="2" t="s">
        <v>1070</v>
      </c>
      <c r="D23054" s="2" t="s">
        <v>1898</v>
      </c>
      <c r="E23054" s="2" t="str">
        <f>"9781910797648"</f>
        <v>9781910797648</v>
      </c>
      <c r="F23054" s="2" t="str">
        <f>"9781910797655"</f>
        <v>9781910797655</v>
      </c>
    </row>
    <row r="23055" spans="1:6" s="3" customFormat="1" ht="29.1" customHeight="1" x14ac:dyDescent="0.25">
      <c r="A23055" s="2" t="s">
        <v>45047</v>
      </c>
      <c r="B23055" s="2" t="s">
        <v>45048</v>
      </c>
      <c r="C23055" s="2" t="s">
        <v>124</v>
      </c>
      <c r="D23055" s="2" t="s">
        <v>1104</v>
      </c>
      <c r="E23055" s="2" t="str">
        <f>"9781138630086"</f>
        <v>9781138630086</v>
      </c>
      <c r="F23055" s="2" t="str">
        <f>"9781351807838"</f>
        <v>9781351807838</v>
      </c>
    </row>
    <row r="23056" spans="1:6" s="3" customFormat="1" ht="29.1" customHeight="1" x14ac:dyDescent="0.25">
      <c r="A23056" s="2" t="s">
        <v>45049</v>
      </c>
      <c r="B23056" s="2" t="s">
        <v>45050</v>
      </c>
      <c r="C23056" s="2" t="s">
        <v>27805</v>
      </c>
      <c r="D23056" s="2" t="s">
        <v>1902</v>
      </c>
      <c r="E23056" s="2" t="str">
        <f>"9783832545123"</f>
        <v>9783832545123</v>
      </c>
      <c r="F23056" s="2" t="str">
        <f>"9783832592233"</f>
        <v>9783832592233</v>
      </c>
    </row>
    <row r="23057" spans="1:6" s="3" customFormat="1" ht="29.1" customHeight="1" x14ac:dyDescent="0.25">
      <c r="A23057" s="2" t="s">
        <v>45051</v>
      </c>
      <c r="B23057" s="2" t="s">
        <v>45052</v>
      </c>
      <c r="C23057" s="2" t="s">
        <v>195</v>
      </c>
      <c r="D23057" s="2" t="s">
        <v>210</v>
      </c>
      <c r="E23057" s="2" t="str">
        <f>"9783486563504"</f>
        <v>9783486563504</v>
      </c>
      <c r="F23057" s="2" t="str">
        <f>"9783486595949"</f>
        <v>9783486595949</v>
      </c>
    </row>
    <row r="23058" spans="1:6" s="3" customFormat="1" ht="29.1" customHeight="1" x14ac:dyDescent="0.25">
      <c r="A23058" s="2" t="s">
        <v>45053</v>
      </c>
      <c r="B23058" s="2" t="s">
        <v>45054</v>
      </c>
      <c r="C23058" s="2" t="s">
        <v>195</v>
      </c>
      <c r="D23058" s="2" t="s">
        <v>210</v>
      </c>
      <c r="E23058" s="2" t="str">
        <f>"9783486547719"</f>
        <v>9783486547719</v>
      </c>
      <c r="F23058" s="2" t="str">
        <f>"9783486594171"</f>
        <v>9783486594171</v>
      </c>
    </row>
    <row r="23059" spans="1:6" s="3" customFormat="1" ht="29.1" customHeight="1" x14ac:dyDescent="0.25">
      <c r="A23059" s="2" t="s">
        <v>45055</v>
      </c>
      <c r="B23059" s="2" t="s">
        <v>45056</v>
      </c>
      <c r="C23059" s="2" t="s">
        <v>195</v>
      </c>
      <c r="D23059" s="2" t="s">
        <v>2562</v>
      </c>
      <c r="E23059" s="2" t="str">
        <f>"9783110579574"</f>
        <v>9783110579574</v>
      </c>
      <c r="F23059" s="2" t="str">
        <f>"9783110579833"</f>
        <v>9783110579833</v>
      </c>
    </row>
    <row r="23060" spans="1:6" s="3" customFormat="1" ht="29.1" customHeight="1" x14ac:dyDescent="0.25">
      <c r="A23060" s="2" t="s">
        <v>45057</v>
      </c>
      <c r="B23060" s="2" t="s">
        <v>45058</v>
      </c>
      <c r="C23060" s="2" t="s">
        <v>195</v>
      </c>
      <c r="D23060" s="2" t="s">
        <v>49</v>
      </c>
      <c r="E23060" s="2" t="str">
        <f>"9783110558135"</f>
        <v>9783110558135</v>
      </c>
      <c r="F23060" s="2" t="str">
        <f>"9783110558296"</f>
        <v>9783110558296</v>
      </c>
    </row>
    <row r="23061" spans="1:6" s="3" customFormat="1" ht="29.1" customHeight="1" x14ac:dyDescent="0.25">
      <c r="A23061" s="2" t="s">
        <v>45059</v>
      </c>
      <c r="B23061" s="2" t="s">
        <v>45060</v>
      </c>
      <c r="C23061" s="2" t="s">
        <v>31902</v>
      </c>
      <c r="D23061" s="2" t="s">
        <v>9392</v>
      </c>
      <c r="E23061" s="2"/>
      <c r="F23061" s="2" t="str">
        <f>"9782759822379"</f>
        <v>9782759822379</v>
      </c>
    </row>
    <row r="23062" spans="1:6" s="3" customFormat="1" ht="29.1" customHeight="1" x14ac:dyDescent="0.25">
      <c r="A23062" s="2" t="s">
        <v>45061</v>
      </c>
      <c r="B23062" s="2" t="s">
        <v>34330</v>
      </c>
      <c r="C23062" s="2" t="s">
        <v>31902</v>
      </c>
      <c r="D23062" s="2" t="s">
        <v>12641</v>
      </c>
      <c r="E23062" s="2"/>
      <c r="F23062" s="2" t="str">
        <f>"9782759821655"</f>
        <v>9782759821655</v>
      </c>
    </row>
    <row r="23063" spans="1:6" s="3" customFormat="1" ht="29.1" customHeight="1" x14ac:dyDescent="0.25">
      <c r="A23063" s="2" t="s">
        <v>45062</v>
      </c>
      <c r="B23063" s="2" t="s">
        <v>45063</v>
      </c>
      <c r="C23063" s="2" t="s">
        <v>248</v>
      </c>
      <c r="D23063" s="2" t="s">
        <v>1043</v>
      </c>
      <c r="E23063" s="2" t="str">
        <f>"9783847421948"</f>
        <v>9783847421948</v>
      </c>
      <c r="F23063" s="2" t="str">
        <f>"9783847412205"</f>
        <v>9783847412205</v>
      </c>
    </row>
    <row r="23064" spans="1:6" s="3" customFormat="1" ht="29.1" customHeight="1" x14ac:dyDescent="0.25">
      <c r="A23064" s="2" t="s">
        <v>45064</v>
      </c>
      <c r="B23064" s="2" t="s">
        <v>45065</v>
      </c>
      <c r="C23064" s="2" t="s">
        <v>248</v>
      </c>
      <c r="D23064" s="2" t="s">
        <v>72</v>
      </c>
      <c r="E23064" s="2" t="str">
        <f>"9783847406549"</f>
        <v>9783847406549</v>
      </c>
      <c r="F23064" s="2" t="str">
        <f>"9783847402435"</f>
        <v>9783847402435</v>
      </c>
    </row>
    <row r="23065" spans="1:6" s="3" customFormat="1" ht="29.1" customHeight="1" x14ac:dyDescent="0.25">
      <c r="A23065" s="2" t="s">
        <v>45066</v>
      </c>
      <c r="B23065" s="2" t="s">
        <v>45067</v>
      </c>
      <c r="C23065" s="2" t="s">
        <v>27805</v>
      </c>
      <c r="D23065" s="2" t="s">
        <v>9</v>
      </c>
      <c r="E23065" s="2" t="str">
        <f>"9783832544348"</f>
        <v>9783832544348</v>
      </c>
      <c r="F23065" s="2" t="str">
        <f>"9783832593148"</f>
        <v>9783832593148</v>
      </c>
    </row>
    <row r="23066" spans="1:6" s="3" customFormat="1" ht="29.1" customHeight="1" x14ac:dyDescent="0.25">
      <c r="A23066" s="2" t="s">
        <v>45068</v>
      </c>
      <c r="B23066" s="2" t="s">
        <v>45069</v>
      </c>
      <c r="C23066" s="2" t="s">
        <v>27805</v>
      </c>
      <c r="D23066" s="2" t="s">
        <v>270</v>
      </c>
      <c r="E23066" s="2" t="str">
        <f>"9783832544119"</f>
        <v>9783832544119</v>
      </c>
      <c r="F23066" s="2" t="str">
        <f>"9783832599881"</f>
        <v>9783832599881</v>
      </c>
    </row>
    <row r="23067" spans="1:6" s="3" customFormat="1" ht="29.1" customHeight="1" x14ac:dyDescent="0.25">
      <c r="A23067" s="2" t="s">
        <v>45070</v>
      </c>
      <c r="B23067" s="2" t="s">
        <v>45071</v>
      </c>
      <c r="C23067" s="2" t="s">
        <v>27805</v>
      </c>
      <c r="D23067" s="2" t="s">
        <v>9</v>
      </c>
      <c r="E23067" s="2" t="str">
        <f>"9783832544096"</f>
        <v>9783832544096</v>
      </c>
      <c r="F23067" s="2" t="str">
        <f>"9783832593131"</f>
        <v>9783832593131</v>
      </c>
    </row>
    <row r="23068" spans="1:6" s="3" customFormat="1" ht="29.1" customHeight="1" x14ac:dyDescent="0.25">
      <c r="A23068" s="2" t="s">
        <v>45072</v>
      </c>
      <c r="B23068" s="2" t="s">
        <v>45073</v>
      </c>
      <c r="C23068" s="2" t="s">
        <v>27805</v>
      </c>
      <c r="D23068" s="2" t="s">
        <v>186</v>
      </c>
      <c r="E23068" s="2" t="str">
        <f>"9783832543785"</f>
        <v>9783832543785</v>
      </c>
      <c r="F23068" s="2" t="str">
        <f>"9783832593179"</f>
        <v>9783832593179</v>
      </c>
    </row>
    <row r="23069" spans="1:6" s="3" customFormat="1" ht="29.1" customHeight="1" x14ac:dyDescent="0.25">
      <c r="A23069" s="2" t="s">
        <v>45074</v>
      </c>
      <c r="B23069" s="2" t="s">
        <v>45075</v>
      </c>
      <c r="C23069" s="2" t="s">
        <v>27805</v>
      </c>
      <c r="D23069" s="2" t="s">
        <v>9</v>
      </c>
      <c r="E23069" s="2" t="str">
        <f>"9783832543778"</f>
        <v>9783832543778</v>
      </c>
      <c r="F23069" s="2" t="str">
        <f>"9783832593506"</f>
        <v>9783832593506</v>
      </c>
    </row>
    <row r="23070" spans="1:6" s="3" customFormat="1" ht="29.1" customHeight="1" x14ac:dyDescent="0.25">
      <c r="A23070" s="2" t="s">
        <v>45076</v>
      </c>
      <c r="B23070" s="2" t="s">
        <v>45077</v>
      </c>
      <c r="C23070" s="2" t="s">
        <v>27805</v>
      </c>
      <c r="D23070" s="2" t="s">
        <v>297</v>
      </c>
      <c r="E23070" s="2" t="str">
        <f>"9783832520687"</f>
        <v>9783832520687</v>
      </c>
      <c r="F23070" s="2" t="str">
        <f>"9783832593704"</f>
        <v>9783832593704</v>
      </c>
    </row>
    <row r="23071" spans="1:6" s="3" customFormat="1" ht="29.1" customHeight="1" x14ac:dyDescent="0.25">
      <c r="A23071" s="2" t="s">
        <v>45078</v>
      </c>
      <c r="B23071" s="2" t="s">
        <v>45079</v>
      </c>
      <c r="C23071" s="2" t="s">
        <v>7395</v>
      </c>
      <c r="D23071" s="2" t="s">
        <v>636</v>
      </c>
      <c r="E23071" s="2" t="str">
        <f>"9780295742984"</f>
        <v>9780295742984</v>
      </c>
      <c r="F23071" s="2" t="str">
        <f>"9780295743004"</f>
        <v>9780295743004</v>
      </c>
    </row>
    <row r="23072" spans="1:6" s="3" customFormat="1" ht="29.1" customHeight="1" x14ac:dyDescent="0.25">
      <c r="A23072" s="2" t="s">
        <v>45080</v>
      </c>
      <c r="B23072" s="2" t="s">
        <v>45081</v>
      </c>
      <c r="C23072" s="2" t="s">
        <v>195</v>
      </c>
      <c r="D23072" s="2" t="s">
        <v>2713</v>
      </c>
      <c r="E23072" s="2" t="str">
        <f>"9783110563313"</f>
        <v>9783110563313</v>
      </c>
      <c r="F23072" s="2" t="str">
        <f>"9783110563788"</f>
        <v>9783110563788</v>
      </c>
    </row>
    <row r="23073" spans="1:6" s="3" customFormat="1" ht="29.1" customHeight="1" x14ac:dyDescent="0.25">
      <c r="A23073" s="2" t="s">
        <v>45082</v>
      </c>
      <c r="B23073" s="2" t="s">
        <v>45083</v>
      </c>
      <c r="C23073" s="2" t="s">
        <v>195</v>
      </c>
      <c r="D23073" s="2" t="s">
        <v>459</v>
      </c>
      <c r="E23073" s="2" t="str">
        <f>"9781614517559"</f>
        <v>9781614517559</v>
      </c>
      <c r="F23073" s="2" t="str">
        <f>"9781501500701"</f>
        <v>9781501500701</v>
      </c>
    </row>
    <row r="23074" spans="1:6" s="3" customFormat="1" ht="29.1" customHeight="1" x14ac:dyDescent="0.25">
      <c r="A23074" s="2" t="s">
        <v>45084</v>
      </c>
      <c r="B23074" s="2" t="s">
        <v>45085</v>
      </c>
      <c r="C23074" s="2" t="s">
        <v>5050</v>
      </c>
      <c r="D23074" s="2" t="s">
        <v>636</v>
      </c>
      <c r="E23074" s="2" t="str">
        <f>"9780824876685"</f>
        <v>9780824876685</v>
      </c>
      <c r="F23074" s="2" t="str">
        <f>"9780824882440"</f>
        <v>9780824882440</v>
      </c>
    </row>
    <row r="23075" spans="1:6" s="3" customFormat="1" ht="29.1" customHeight="1" x14ac:dyDescent="0.25">
      <c r="A23075" s="2" t="s">
        <v>45086</v>
      </c>
      <c r="B23075" s="2" t="s">
        <v>45087</v>
      </c>
      <c r="C23075" s="2" t="s">
        <v>5050</v>
      </c>
      <c r="D23075" s="2" t="s">
        <v>9739</v>
      </c>
      <c r="E23075" s="2" t="str">
        <f>"9780824872113"</f>
        <v>9780824872113</v>
      </c>
      <c r="F23075" s="2" t="str">
        <f>"9780824877200"</f>
        <v>9780824877200</v>
      </c>
    </row>
    <row r="23076" spans="1:6" s="3" customFormat="1" ht="29.1" customHeight="1" x14ac:dyDescent="0.25">
      <c r="A23076" s="2" t="s">
        <v>45088</v>
      </c>
      <c r="B23076" s="2" t="s">
        <v>45089</v>
      </c>
      <c r="C23076" s="2" t="s">
        <v>3169</v>
      </c>
      <c r="D23076" s="2" t="s">
        <v>11426</v>
      </c>
      <c r="E23076" s="2" t="str">
        <f>"9781580469302"</f>
        <v>9781580469302</v>
      </c>
      <c r="F23076" s="2" t="str">
        <f>"9781787442849"</f>
        <v>9781787442849</v>
      </c>
    </row>
    <row r="23077" spans="1:6" s="3" customFormat="1" ht="29.1" customHeight="1" x14ac:dyDescent="0.25">
      <c r="A23077" s="2" t="s">
        <v>45090</v>
      </c>
      <c r="B23077" s="2" t="s">
        <v>45091</v>
      </c>
      <c r="C23077" s="2" t="s">
        <v>124</v>
      </c>
      <c r="D23077" s="2" t="s">
        <v>4190</v>
      </c>
      <c r="E23077" s="2" t="str">
        <f>"9781138747159"</f>
        <v>9781138747159</v>
      </c>
      <c r="F23077" s="2" t="str">
        <f>"9781315180250"</f>
        <v>9781315180250</v>
      </c>
    </row>
    <row r="23078" spans="1:6" s="3" customFormat="1" ht="29.1" customHeight="1" x14ac:dyDescent="0.25">
      <c r="A23078" s="2" t="s">
        <v>45092</v>
      </c>
      <c r="B23078" s="2" t="s">
        <v>45093</v>
      </c>
      <c r="C23078" s="2" t="s">
        <v>124</v>
      </c>
      <c r="D23078" s="2" t="s">
        <v>712</v>
      </c>
      <c r="E23078" s="2" t="str">
        <f>"9781138059351"</f>
        <v>9781138059351</v>
      </c>
      <c r="F23078" s="2" t="str">
        <f>"9781351671811"</f>
        <v>9781351671811</v>
      </c>
    </row>
    <row r="23079" spans="1:6" s="3" customFormat="1" ht="29.1" customHeight="1" x14ac:dyDescent="0.25">
      <c r="A23079" s="2" t="s">
        <v>45094</v>
      </c>
      <c r="B23079" s="2" t="s">
        <v>45095</v>
      </c>
      <c r="C23079" s="2" t="s">
        <v>124</v>
      </c>
      <c r="D23079" s="2" t="s">
        <v>186</v>
      </c>
      <c r="E23079" s="2" t="str">
        <f>"9781138821996"</f>
        <v>9781138821996</v>
      </c>
      <c r="F23079" s="2" t="str">
        <f>"9781317587767"</f>
        <v>9781317587767</v>
      </c>
    </row>
    <row r="23080" spans="1:6" s="3" customFormat="1" ht="29.1" customHeight="1" x14ac:dyDescent="0.25">
      <c r="A23080" s="2" t="s">
        <v>45096</v>
      </c>
      <c r="B23080" s="2" t="s">
        <v>45097</v>
      </c>
      <c r="C23080" s="2" t="s">
        <v>124</v>
      </c>
      <c r="D23080" s="2" t="s">
        <v>186</v>
      </c>
      <c r="E23080" s="2" t="str">
        <f>"9780367735180"</f>
        <v>9780367735180</v>
      </c>
      <c r="F23080" s="2" t="str">
        <f>"9781351183604"</f>
        <v>9781351183604</v>
      </c>
    </row>
    <row r="23081" spans="1:6" s="3" customFormat="1" ht="29.1" customHeight="1" x14ac:dyDescent="0.25">
      <c r="A23081" s="2" t="s">
        <v>45098</v>
      </c>
      <c r="B23081" s="2" t="s">
        <v>45099</v>
      </c>
      <c r="C23081" s="2" t="s">
        <v>248</v>
      </c>
      <c r="D23081" s="2" t="s">
        <v>7079</v>
      </c>
      <c r="E23081" s="2" t="str">
        <f>"9783847420460"</f>
        <v>9783847420460</v>
      </c>
      <c r="F23081" s="2" t="str">
        <f>"9783847410676"</f>
        <v>9783847410676</v>
      </c>
    </row>
    <row r="23082" spans="1:6" s="3" customFormat="1" ht="29.1" customHeight="1" x14ac:dyDescent="0.25">
      <c r="A23082" s="2" t="s">
        <v>45100</v>
      </c>
      <c r="B23082" s="2" t="s">
        <v>45101</v>
      </c>
      <c r="C23082" s="2" t="s">
        <v>927</v>
      </c>
      <c r="D23082" s="2" t="s">
        <v>682</v>
      </c>
      <c r="E23082" s="2" t="str">
        <f>"9780472053728"</f>
        <v>9780472053728</v>
      </c>
      <c r="F23082" s="2" t="str">
        <f>"9780472123445"</f>
        <v>9780472123445</v>
      </c>
    </row>
    <row r="23083" spans="1:6" s="3" customFormat="1" ht="29.1" customHeight="1" x14ac:dyDescent="0.25">
      <c r="A23083" s="2" t="s">
        <v>45102</v>
      </c>
      <c r="B23083" s="2" t="s">
        <v>45103</v>
      </c>
      <c r="C23083" s="2" t="s">
        <v>124</v>
      </c>
      <c r="D23083" s="2" t="s">
        <v>297</v>
      </c>
      <c r="E23083" s="2" t="str">
        <f>"9781041182849"</f>
        <v>9781041182849</v>
      </c>
      <c r="F23083" s="2" t="str">
        <f>"9781040790960"</f>
        <v>9781040790960</v>
      </c>
    </row>
    <row r="23084" spans="1:6" s="3" customFormat="1" ht="29.1" customHeight="1" x14ac:dyDescent="0.25">
      <c r="A23084" s="2" t="s">
        <v>45104</v>
      </c>
      <c r="B23084" s="2" t="s">
        <v>45105</v>
      </c>
      <c r="C23084" s="2" t="s">
        <v>195</v>
      </c>
      <c r="D23084" s="2" t="s">
        <v>210</v>
      </c>
      <c r="E23084" s="2" t="str">
        <f>"9783486560848"</f>
        <v>9783486560848</v>
      </c>
      <c r="F23084" s="2" t="str">
        <f>"9783486594300"</f>
        <v>9783486594300</v>
      </c>
    </row>
    <row r="23085" spans="1:6" s="3" customFormat="1" ht="29.1" customHeight="1" x14ac:dyDescent="0.25">
      <c r="A23085" s="2" t="s">
        <v>45106</v>
      </c>
      <c r="B23085" s="2" t="s">
        <v>45107</v>
      </c>
      <c r="C23085" s="2" t="s">
        <v>195</v>
      </c>
      <c r="D23085" s="2" t="s">
        <v>210</v>
      </c>
      <c r="E23085" s="2" t="str">
        <f>"9783486560350"</f>
        <v>9783486560350</v>
      </c>
      <c r="F23085" s="2" t="str">
        <f>"9783486595741"</f>
        <v>9783486595741</v>
      </c>
    </row>
    <row r="23086" spans="1:6" s="3" customFormat="1" ht="29.1" customHeight="1" x14ac:dyDescent="0.25">
      <c r="A23086" s="2" t="s">
        <v>45108</v>
      </c>
      <c r="B23086" s="2" t="s">
        <v>45109</v>
      </c>
      <c r="C23086" s="2" t="s">
        <v>195</v>
      </c>
      <c r="D23086" s="2" t="s">
        <v>210</v>
      </c>
      <c r="E23086" s="2" t="str">
        <f>"9783486562583"</f>
        <v>9783486562583</v>
      </c>
      <c r="F23086" s="2" t="str">
        <f>"9783486595901"</f>
        <v>9783486595901</v>
      </c>
    </row>
    <row r="23087" spans="1:6" s="3" customFormat="1" ht="29.1" customHeight="1" x14ac:dyDescent="0.25">
      <c r="A23087" s="2" t="s">
        <v>45110</v>
      </c>
      <c r="B23087" s="2" t="s">
        <v>45111</v>
      </c>
      <c r="C23087" s="2" t="s">
        <v>195</v>
      </c>
      <c r="D23087" s="2" t="s">
        <v>210</v>
      </c>
      <c r="E23087" s="2" t="str">
        <f>"9783486566109"</f>
        <v>9783486566109</v>
      </c>
      <c r="F23087" s="2" t="str">
        <f>"9783486594485"</f>
        <v>9783486594485</v>
      </c>
    </row>
    <row r="23088" spans="1:6" s="3" customFormat="1" ht="29.1" customHeight="1" x14ac:dyDescent="0.25">
      <c r="A23088" s="2" t="s">
        <v>45112</v>
      </c>
      <c r="B23088" s="2" t="s">
        <v>45113</v>
      </c>
      <c r="C23088" s="2" t="s">
        <v>195</v>
      </c>
      <c r="D23088" s="2" t="s">
        <v>210</v>
      </c>
      <c r="E23088" s="2" t="str">
        <f>"9783486556414"</f>
        <v>9783486556414</v>
      </c>
      <c r="F23088" s="2" t="str">
        <f>"9783486595611"</f>
        <v>9783486595611</v>
      </c>
    </row>
    <row r="23089" spans="1:6" s="3" customFormat="1" ht="29.1" customHeight="1" x14ac:dyDescent="0.25">
      <c r="A23089" s="2" t="s">
        <v>45114</v>
      </c>
      <c r="B23089" s="2" t="s">
        <v>45115</v>
      </c>
      <c r="C23089" s="2" t="s">
        <v>195</v>
      </c>
      <c r="D23089" s="2" t="s">
        <v>1183</v>
      </c>
      <c r="E23089" s="2" t="str">
        <f>"9783110529050"</f>
        <v>9783110529050</v>
      </c>
      <c r="F23089" s="2" t="str">
        <f>"9783110529258"</f>
        <v>9783110529258</v>
      </c>
    </row>
    <row r="23090" spans="1:6" s="3" customFormat="1" ht="29.1" customHeight="1" x14ac:dyDescent="0.25">
      <c r="A23090" s="2" t="s">
        <v>33132</v>
      </c>
      <c r="B23090" s="2" t="s">
        <v>33174</v>
      </c>
      <c r="C23090" s="2" t="s">
        <v>11005</v>
      </c>
      <c r="D23090" s="2" t="s">
        <v>3839</v>
      </c>
      <c r="E23090" s="2" t="str">
        <f>"9783837921595"</f>
        <v>9783837921595</v>
      </c>
      <c r="F23090" s="2" t="str">
        <f>"9783837966800"</f>
        <v>9783837966800</v>
      </c>
    </row>
    <row r="23091" spans="1:6" s="3" customFormat="1" ht="29.1" customHeight="1" x14ac:dyDescent="0.25">
      <c r="A23091" s="2" t="s">
        <v>33132</v>
      </c>
      <c r="B23091" s="2" t="s">
        <v>45116</v>
      </c>
      <c r="C23091" s="2" t="s">
        <v>11005</v>
      </c>
      <c r="D23091" s="2" t="s">
        <v>30</v>
      </c>
      <c r="E23091" s="2" t="str">
        <f>"9783837920444"</f>
        <v>9783837920444</v>
      </c>
      <c r="F23091" s="2" t="str">
        <f>"9783837966947"</f>
        <v>9783837966947</v>
      </c>
    </row>
    <row r="23092" spans="1:6" s="3" customFormat="1" ht="29.1" customHeight="1" x14ac:dyDescent="0.25">
      <c r="A23092" s="2" t="s">
        <v>45117</v>
      </c>
      <c r="B23092" s="2" t="s">
        <v>33197</v>
      </c>
      <c r="C23092" s="2" t="s">
        <v>11005</v>
      </c>
      <c r="D23092" s="2" t="s">
        <v>297</v>
      </c>
      <c r="E23092" s="2" t="str">
        <f>"9783837925197"</f>
        <v>9783837925197</v>
      </c>
      <c r="F23092" s="2" t="str">
        <f>"9783837968460"</f>
        <v>9783837968460</v>
      </c>
    </row>
    <row r="23093" spans="1:6" s="3" customFormat="1" ht="29.1" customHeight="1" x14ac:dyDescent="0.25">
      <c r="A23093" s="2" t="s">
        <v>45118</v>
      </c>
      <c r="B23093" s="2" t="s">
        <v>45119</v>
      </c>
      <c r="C23093" s="2" t="s">
        <v>124</v>
      </c>
      <c r="D23093" s="2" t="s">
        <v>4634</v>
      </c>
      <c r="E23093" s="2" t="str">
        <f>"9789462986213"</f>
        <v>9789462986213</v>
      </c>
      <c r="F23093" s="2" t="str">
        <f>"9781040798324"</f>
        <v>9781040798324</v>
      </c>
    </row>
    <row r="23094" spans="1:6" s="3" customFormat="1" ht="29.1" customHeight="1" x14ac:dyDescent="0.25">
      <c r="A23094" s="2" t="s">
        <v>45120</v>
      </c>
      <c r="B23094" s="2" t="s">
        <v>45121</v>
      </c>
      <c r="C23094" s="2" t="s">
        <v>264</v>
      </c>
      <c r="D23094" s="2" t="s">
        <v>44</v>
      </c>
      <c r="E23094" s="2" t="str">
        <f>"9781138741171"</f>
        <v>9781138741171</v>
      </c>
      <c r="F23094" s="2" t="str">
        <f>"9781351726757"</f>
        <v>9781351726757</v>
      </c>
    </row>
    <row r="23095" spans="1:6" s="3" customFormat="1" ht="29.1" customHeight="1" x14ac:dyDescent="0.25">
      <c r="A23095" s="2" t="s">
        <v>45122</v>
      </c>
      <c r="B23095" s="2"/>
      <c r="C23095" s="2" t="s">
        <v>59</v>
      </c>
      <c r="D23095" s="2" t="s">
        <v>1666</v>
      </c>
      <c r="E23095" s="2" t="str">
        <f>"9782759227365"</f>
        <v>9782759227365</v>
      </c>
      <c r="F23095" s="2" t="str">
        <f>"9782759227372"</f>
        <v>9782759227372</v>
      </c>
    </row>
    <row r="23096" spans="1:6" s="3" customFormat="1" ht="29.1" customHeight="1" x14ac:dyDescent="0.25">
      <c r="A23096" s="2" t="s">
        <v>45123</v>
      </c>
      <c r="B23096" s="2" t="s">
        <v>45124</v>
      </c>
      <c r="C23096" s="2" t="s">
        <v>59</v>
      </c>
      <c r="D23096" s="2" t="s">
        <v>186</v>
      </c>
      <c r="E23096" s="2" t="str">
        <f>"9782759226375"</f>
        <v>9782759226375</v>
      </c>
      <c r="F23096" s="2" t="str">
        <f>"9782759226382"</f>
        <v>9782759226382</v>
      </c>
    </row>
    <row r="23097" spans="1:6" s="3" customFormat="1" ht="29.1" customHeight="1" x14ac:dyDescent="0.25">
      <c r="A23097" s="2" t="s">
        <v>45125</v>
      </c>
      <c r="B23097" s="2" t="s">
        <v>45126</v>
      </c>
      <c r="C23097" s="2" t="s">
        <v>59</v>
      </c>
      <c r="D23097" s="2" t="s">
        <v>1806</v>
      </c>
      <c r="E23097" s="2" t="str">
        <f>"9782759222421"</f>
        <v>9782759222421</v>
      </c>
      <c r="F23097" s="2" t="str">
        <f>"9782759222438"</f>
        <v>9782759222438</v>
      </c>
    </row>
    <row r="23098" spans="1:6" s="3" customFormat="1" ht="29.1" customHeight="1" x14ac:dyDescent="0.25">
      <c r="A23098" s="2" t="s">
        <v>45127</v>
      </c>
      <c r="B23098" s="2" t="s">
        <v>45128</v>
      </c>
      <c r="C23098" s="2" t="s">
        <v>55</v>
      </c>
      <c r="D23098" s="2" t="s">
        <v>1104</v>
      </c>
      <c r="E23098" s="2" t="str">
        <f>"9781526105288"</f>
        <v>9781526105288</v>
      </c>
      <c r="F23098" s="2" t="str">
        <f>"9781526126283"</f>
        <v>9781526126283</v>
      </c>
    </row>
    <row r="23099" spans="1:6" s="3" customFormat="1" ht="29.1" customHeight="1" x14ac:dyDescent="0.25">
      <c r="A23099" s="2" t="s">
        <v>45129</v>
      </c>
      <c r="B23099" s="2" t="s">
        <v>45130</v>
      </c>
      <c r="C23099" s="2" t="s">
        <v>124</v>
      </c>
      <c r="D23099" s="2" t="s">
        <v>9</v>
      </c>
      <c r="E23099" s="2" t="str">
        <f>"9781138089495"</f>
        <v>9781138089495</v>
      </c>
      <c r="F23099" s="2" t="str">
        <f>"9781351612319"</f>
        <v>9781351612319</v>
      </c>
    </row>
    <row r="23100" spans="1:6" s="3" customFormat="1" ht="29.1" customHeight="1" x14ac:dyDescent="0.25">
      <c r="A23100" s="2" t="s">
        <v>45131</v>
      </c>
      <c r="B23100" s="2" t="s">
        <v>45132</v>
      </c>
      <c r="C23100" s="2" t="s">
        <v>124</v>
      </c>
      <c r="D23100" s="2" t="s">
        <v>2086</v>
      </c>
      <c r="E23100" s="2" t="str">
        <f>"9781138574953"</f>
        <v>9781138574953</v>
      </c>
      <c r="F23100" s="2" t="str">
        <f>"9781351272940"</f>
        <v>9781351272940</v>
      </c>
    </row>
    <row r="23101" spans="1:6" s="3" customFormat="1" ht="29.1" customHeight="1" x14ac:dyDescent="0.25">
      <c r="A23101" s="2" t="s">
        <v>45133</v>
      </c>
      <c r="B23101" s="2" t="s">
        <v>45134</v>
      </c>
      <c r="C23101" s="2" t="s">
        <v>124</v>
      </c>
      <c r="D23101" s="2" t="s">
        <v>186</v>
      </c>
      <c r="E23101" s="2" t="str">
        <f>"9780815364313"</f>
        <v>9780815364313</v>
      </c>
      <c r="F23101" s="2" t="str">
        <f>"9781351107273"</f>
        <v>9781351107273</v>
      </c>
    </row>
    <row r="23102" spans="1:6" s="3" customFormat="1" ht="29.1" customHeight="1" x14ac:dyDescent="0.25">
      <c r="A23102" s="2" t="s">
        <v>899</v>
      </c>
      <c r="B23102" s="2" t="s">
        <v>43808</v>
      </c>
      <c r="C23102" s="2" t="s">
        <v>124</v>
      </c>
      <c r="D23102" s="2" t="s">
        <v>2307</v>
      </c>
      <c r="E23102" s="2" t="str">
        <f>"9781041186953"</f>
        <v>9781041186953</v>
      </c>
      <c r="F23102" s="2" t="str">
        <f>"9781040777961"</f>
        <v>9781040777961</v>
      </c>
    </row>
    <row r="23103" spans="1:6" s="3" customFormat="1" ht="29.1" customHeight="1" x14ac:dyDescent="0.25">
      <c r="A23103" s="2" t="s">
        <v>45135</v>
      </c>
      <c r="B23103" s="2" t="s">
        <v>45136</v>
      </c>
      <c r="C23103" s="2" t="s">
        <v>124</v>
      </c>
      <c r="D23103" s="2" t="s">
        <v>636</v>
      </c>
      <c r="E23103" s="2" t="str">
        <f>"9789462981928"</f>
        <v>9789462981928</v>
      </c>
      <c r="F23103" s="2" t="str">
        <f>"9781040778302"</f>
        <v>9781040778302</v>
      </c>
    </row>
    <row r="23104" spans="1:6" s="3" customFormat="1" ht="29.1" customHeight="1" x14ac:dyDescent="0.25">
      <c r="A23104" s="2" t="s">
        <v>45137</v>
      </c>
      <c r="B23104" s="2" t="s">
        <v>45138</v>
      </c>
      <c r="C23104" s="2" t="s">
        <v>124</v>
      </c>
      <c r="D23104" s="2" t="s">
        <v>1801</v>
      </c>
      <c r="E23104" s="2" t="str">
        <f>"9781041182726"</f>
        <v>9781041182726</v>
      </c>
      <c r="F23104" s="2" t="str">
        <f>"9781040793305"</f>
        <v>9781040793305</v>
      </c>
    </row>
    <row r="23105" spans="1:6" s="3" customFormat="1" ht="29.1" customHeight="1" x14ac:dyDescent="0.25">
      <c r="A23105" s="2" t="s">
        <v>45139</v>
      </c>
      <c r="B23105" s="2" t="s">
        <v>45140</v>
      </c>
      <c r="C23105" s="2" t="s">
        <v>124</v>
      </c>
      <c r="D23105" s="2" t="s">
        <v>11440</v>
      </c>
      <c r="E23105" s="2" t="str">
        <f>"9789462986046"</f>
        <v>9789462986046</v>
      </c>
      <c r="F23105" s="2" t="str">
        <f>"9781040774762"</f>
        <v>9781040774762</v>
      </c>
    </row>
    <row r="23106" spans="1:6" s="3" customFormat="1" ht="29.1" customHeight="1" x14ac:dyDescent="0.25">
      <c r="A23106" s="2" t="s">
        <v>45141</v>
      </c>
      <c r="B23106" s="2" t="s">
        <v>45142</v>
      </c>
      <c r="C23106" s="2" t="s">
        <v>195</v>
      </c>
      <c r="D23106" s="2" t="s">
        <v>3345</v>
      </c>
      <c r="E23106" s="2" t="str">
        <f>"9783110543858"</f>
        <v>9783110543858</v>
      </c>
      <c r="F23106" s="2" t="str">
        <f>"9783110543896"</f>
        <v>9783110543896</v>
      </c>
    </row>
    <row r="23107" spans="1:6" s="3" customFormat="1" ht="29.1" customHeight="1" x14ac:dyDescent="0.25">
      <c r="A23107" s="2" t="s">
        <v>45143</v>
      </c>
      <c r="B23107" s="2" t="s">
        <v>45144</v>
      </c>
      <c r="C23107" s="2" t="s">
        <v>8040</v>
      </c>
      <c r="D23107" s="2" t="s">
        <v>2391</v>
      </c>
      <c r="E23107" s="2" t="str">
        <f>"9781845416492"</f>
        <v>9781845416492</v>
      </c>
      <c r="F23107" s="2" t="str">
        <f>"9781845416515"</f>
        <v>9781845416515</v>
      </c>
    </row>
    <row r="23108" spans="1:6" s="3" customFormat="1" ht="29.1" customHeight="1" x14ac:dyDescent="0.25">
      <c r="A23108" s="2" t="s">
        <v>45145</v>
      </c>
      <c r="B23108" s="2" t="s">
        <v>45146</v>
      </c>
      <c r="C23108" s="2" t="s">
        <v>124</v>
      </c>
      <c r="D23108" s="2" t="s">
        <v>1816</v>
      </c>
      <c r="E23108" s="2" t="str">
        <f>"9781138559462"</f>
        <v>9781138559462</v>
      </c>
      <c r="F23108" s="2" t="str">
        <f>"9781351363297"</f>
        <v>9781351363297</v>
      </c>
    </row>
    <row r="23109" spans="1:6" s="3" customFormat="1" ht="29.1" customHeight="1" x14ac:dyDescent="0.25">
      <c r="A23109" s="2" t="s">
        <v>45147</v>
      </c>
      <c r="B23109" s="2" t="s">
        <v>45148</v>
      </c>
      <c r="C23109" s="2" t="s">
        <v>124</v>
      </c>
      <c r="D23109" s="2" t="s">
        <v>270</v>
      </c>
      <c r="E23109" s="2" t="str">
        <f>"9781472461506"</f>
        <v>9781472461506</v>
      </c>
      <c r="F23109" s="2" t="str">
        <f>"9781317136149"</f>
        <v>9781317136149</v>
      </c>
    </row>
    <row r="23110" spans="1:6" s="3" customFormat="1" ht="29.1" customHeight="1" x14ac:dyDescent="0.25">
      <c r="A23110" s="2" t="s">
        <v>45149</v>
      </c>
      <c r="B23110" s="2" t="s">
        <v>45150</v>
      </c>
      <c r="C23110" s="2" t="s">
        <v>124</v>
      </c>
      <c r="D23110" s="2" t="s">
        <v>1198</v>
      </c>
      <c r="E23110" s="2" t="str">
        <f>"9789089647191"</f>
        <v>9789089647191</v>
      </c>
      <c r="F23110" s="2" t="str">
        <f>"9781040777084"</f>
        <v>9781040777084</v>
      </c>
    </row>
    <row r="23111" spans="1:6" s="3" customFormat="1" ht="29.1" customHeight="1" x14ac:dyDescent="0.25">
      <c r="A23111" s="2" t="s">
        <v>45151</v>
      </c>
      <c r="B23111" s="2" t="s">
        <v>45152</v>
      </c>
      <c r="C23111" s="2" t="s">
        <v>124</v>
      </c>
      <c r="D23111" s="2" t="s">
        <v>1390</v>
      </c>
      <c r="E23111" s="2" t="str">
        <f>"9781041183815"</f>
        <v>9781041183815</v>
      </c>
      <c r="F23111" s="2" t="str">
        <f>"9781040773123"</f>
        <v>9781040773123</v>
      </c>
    </row>
    <row r="23112" spans="1:6" s="3" customFormat="1" ht="29.1" customHeight="1" x14ac:dyDescent="0.25">
      <c r="A23112" s="2" t="s">
        <v>45153</v>
      </c>
      <c r="B23112" s="2" t="s">
        <v>45154</v>
      </c>
      <c r="C23112" s="2" t="s">
        <v>124</v>
      </c>
      <c r="D23112" s="2" t="s">
        <v>186</v>
      </c>
      <c r="E23112" s="2" t="str">
        <f>"9789462987166"</f>
        <v>9789462987166</v>
      </c>
      <c r="F23112" s="2" t="str">
        <f>"9781040780169"</f>
        <v>9781040780169</v>
      </c>
    </row>
    <row r="23113" spans="1:6" s="3" customFormat="1" ht="29.1" customHeight="1" x14ac:dyDescent="0.25">
      <c r="A23113" s="2" t="s">
        <v>45155</v>
      </c>
      <c r="B23113" s="2" t="s">
        <v>45156</v>
      </c>
      <c r="C23113" s="2" t="s">
        <v>195</v>
      </c>
      <c r="D23113" s="2" t="s">
        <v>1722</v>
      </c>
      <c r="E23113" s="2" t="str">
        <f>"9783110526660"</f>
        <v>9783110526660</v>
      </c>
      <c r="F23113" s="2" t="str">
        <f>"9783110526738"</f>
        <v>9783110526738</v>
      </c>
    </row>
    <row r="23114" spans="1:6" s="3" customFormat="1" ht="29.1" customHeight="1" x14ac:dyDescent="0.25">
      <c r="A23114" s="2" t="s">
        <v>45157</v>
      </c>
      <c r="B23114" s="2" t="s">
        <v>45158</v>
      </c>
      <c r="C23114" s="2" t="s">
        <v>248</v>
      </c>
      <c r="D23114" s="2" t="s">
        <v>183</v>
      </c>
      <c r="E23114" s="2" t="str">
        <f>"9783863887490"</f>
        <v>9783863887490</v>
      </c>
      <c r="F23114" s="2" t="str">
        <f>"9783863883072"</f>
        <v>9783863883072</v>
      </c>
    </row>
    <row r="23115" spans="1:6" s="3" customFormat="1" ht="29.1" customHeight="1" x14ac:dyDescent="0.25">
      <c r="A23115" s="2" t="s">
        <v>45159</v>
      </c>
      <c r="B23115" s="2" t="s">
        <v>45160</v>
      </c>
      <c r="C23115" s="2" t="s">
        <v>124</v>
      </c>
      <c r="D23115" s="2" t="s">
        <v>243</v>
      </c>
      <c r="E23115" s="2" t="str">
        <f>"9781041185109"</f>
        <v>9781041185109</v>
      </c>
      <c r="F23115" s="2" t="str">
        <f>"9781040776094"</f>
        <v>9781040776094</v>
      </c>
    </row>
    <row r="23116" spans="1:6" s="3" customFormat="1" ht="29.1" customHeight="1" x14ac:dyDescent="0.25">
      <c r="A23116" s="2" t="s">
        <v>45161</v>
      </c>
      <c r="B23116" s="2" t="s">
        <v>45162</v>
      </c>
      <c r="C23116" s="2" t="s">
        <v>124</v>
      </c>
      <c r="D23116" s="2" t="s">
        <v>1432</v>
      </c>
      <c r="E23116" s="2" t="str">
        <f>"9789462984035"</f>
        <v>9789462984035</v>
      </c>
      <c r="F23116" s="2" t="str">
        <f>"9781040775486"</f>
        <v>9781040775486</v>
      </c>
    </row>
    <row r="23117" spans="1:6" s="3" customFormat="1" ht="29.1" customHeight="1" x14ac:dyDescent="0.25">
      <c r="A23117" s="2" t="s">
        <v>45163</v>
      </c>
      <c r="B23117" s="2" t="s">
        <v>45164</v>
      </c>
      <c r="C23117" s="2" t="s">
        <v>124</v>
      </c>
      <c r="D23117" s="2" t="s">
        <v>196</v>
      </c>
      <c r="E23117" s="2" t="str">
        <f>"9781041179160"</f>
        <v>9781041179160</v>
      </c>
      <c r="F23117" s="2" t="str">
        <f>"9781040779224"</f>
        <v>9781040779224</v>
      </c>
    </row>
    <row r="23118" spans="1:6" s="3" customFormat="1" ht="29.1" customHeight="1" x14ac:dyDescent="0.25">
      <c r="A23118" s="2" t="s">
        <v>45165</v>
      </c>
      <c r="B23118" s="2" t="s">
        <v>45166</v>
      </c>
      <c r="C23118" s="2" t="s">
        <v>149</v>
      </c>
      <c r="D23118" s="2" t="s">
        <v>25933</v>
      </c>
      <c r="E23118" s="2" t="str">
        <f>"9781783743582"</f>
        <v>9781783743582</v>
      </c>
      <c r="F23118" s="2" t="str">
        <f>"9781783743605"</f>
        <v>9781783743605</v>
      </c>
    </row>
    <row r="23119" spans="1:6" s="3" customFormat="1" ht="29.1" customHeight="1" x14ac:dyDescent="0.25">
      <c r="A23119" s="2" t="s">
        <v>45167</v>
      </c>
      <c r="B23119" s="2" t="s">
        <v>45168</v>
      </c>
      <c r="C23119" s="2" t="s">
        <v>149</v>
      </c>
      <c r="D23119" s="2" t="s">
        <v>3345</v>
      </c>
      <c r="E23119" s="2" t="str">
        <f>"9781783744107"</f>
        <v>9781783744107</v>
      </c>
      <c r="F23119" s="2" t="str">
        <f>"9781783744121"</f>
        <v>9781783744121</v>
      </c>
    </row>
    <row r="23120" spans="1:6" s="3" customFormat="1" ht="29.1" customHeight="1" x14ac:dyDescent="0.25">
      <c r="A23120" s="2" t="s">
        <v>45169</v>
      </c>
      <c r="B23120" s="2" t="s">
        <v>16226</v>
      </c>
      <c r="C23120" s="2" t="s">
        <v>149</v>
      </c>
      <c r="D23120" s="2" t="s">
        <v>350</v>
      </c>
      <c r="E23120" s="2" t="str">
        <f>"9781783744213"</f>
        <v>9781783744213</v>
      </c>
      <c r="F23120" s="2" t="str">
        <f>"9781783744237"</f>
        <v>9781783744237</v>
      </c>
    </row>
    <row r="23121" spans="1:6" s="3" customFormat="1" ht="29.1" customHeight="1" x14ac:dyDescent="0.25">
      <c r="A23121" s="2" t="s">
        <v>45170</v>
      </c>
      <c r="B23121" s="2" t="s">
        <v>45171</v>
      </c>
      <c r="C23121" s="2" t="s">
        <v>149</v>
      </c>
      <c r="D23121" s="2" t="s">
        <v>159</v>
      </c>
      <c r="E23121" s="2" t="str">
        <f>"9781783743735"</f>
        <v>9781783743735</v>
      </c>
      <c r="F23121" s="2" t="str">
        <f>"9781783743759"</f>
        <v>9781783743759</v>
      </c>
    </row>
    <row r="23122" spans="1:6" s="3" customFormat="1" ht="29.1" customHeight="1" x14ac:dyDescent="0.25">
      <c r="A23122" s="2" t="s">
        <v>45172</v>
      </c>
      <c r="B23122" s="2" t="s">
        <v>45173</v>
      </c>
      <c r="C23122" s="2" t="s">
        <v>149</v>
      </c>
      <c r="D23122" s="2" t="s">
        <v>408</v>
      </c>
      <c r="E23122" s="2" t="str">
        <f>"9781783743384"</f>
        <v>9781783743384</v>
      </c>
      <c r="F23122" s="2" t="str">
        <f>"9781783743407"</f>
        <v>9781783743407</v>
      </c>
    </row>
    <row r="23123" spans="1:6" s="3" customFormat="1" ht="29.1" customHeight="1" x14ac:dyDescent="0.25">
      <c r="A23123" s="2" t="s">
        <v>45174</v>
      </c>
      <c r="B23123" s="2" t="s">
        <v>45175</v>
      </c>
      <c r="C23123" s="2" t="s">
        <v>149</v>
      </c>
      <c r="D23123" s="2" t="s">
        <v>5493</v>
      </c>
      <c r="E23123" s="2" t="str">
        <f>"9781783743834"</f>
        <v>9781783743834</v>
      </c>
      <c r="F23123" s="2" t="str">
        <f>"9781783743858"</f>
        <v>9781783743858</v>
      </c>
    </row>
    <row r="23124" spans="1:6" s="3" customFormat="1" ht="29.1" customHeight="1" x14ac:dyDescent="0.25">
      <c r="A23124" s="2" t="s">
        <v>45176</v>
      </c>
      <c r="B23124" s="2" t="s">
        <v>45177</v>
      </c>
      <c r="C23124" s="2" t="s">
        <v>149</v>
      </c>
      <c r="D23124" s="2"/>
      <c r="E23124" s="2" t="str">
        <f>"9781783742837"</f>
        <v>9781783742837</v>
      </c>
      <c r="F23124" s="2" t="str">
        <f>"9781783742851"</f>
        <v>9781783742851</v>
      </c>
    </row>
    <row r="23125" spans="1:6" s="3" customFormat="1" ht="29.1" customHeight="1" x14ac:dyDescent="0.25">
      <c r="A23125" s="2" t="s">
        <v>45178</v>
      </c>
      <c r="B23125" s="2" t="s">
        <v>45179</v>
      </c>
      <c r="C23125" s="2" t="s">
        <v>124</v>
      </c>
      <c r="D23125" s="2" t="s">
        <v>712</v>
      </c>
      <c r="E23125" s="2" t="str">
        <f>"9789089647566"</f>
        <v>9789089647566</v>
      </c>
      <c r="F23125" s="2" t="str">
        <f>"9789048525317"</f>
        <v>9789048525317</v>
      </c>
    </row>
    <row r="23126" spans="1:6" s="3" customFormat="1" ht="29.1" customHeight="1" x14ac:dyDescent="0.25">
      <c r="A23126" s="2" t="s">
        <v>45180</v>
      </c>
      <c r="B23126" s="2" t="s">
        <v>45181</v>
      </c>
      <c r="C23126" s="2" t="s">
        <v>124</v>
      </c>
      <c r="D23126" s="2" t="s">
        <v>10407</v>
      </c>
      <c r="E23126" s="2" t="str">
        <f>"9781041180968"</f>
        <v>9781041180968</v>
      </c>
      <c r="F23126" s="2" t="str">
        <f>"9781040780657"</f>
        <v>9781040780657</v>
      </c>
    </row>
    <row r="23127" spans="1:6" s="3" customFormat="1" ht="29.1" customHeight="1" x14ac:dyDescent="0.25">
      <c r="A23127" s="2" t="s">
        <v>45182</v>
      </c>
      <c r="B23127" s="2" t="s">
        <v>45183</v>
      </c>
      <c r="C23127" s="2" t="s">
        <v>124</v>
      </c>
      <c r="D23127" s="2" t="s">
        <v>270</v>
      </c>
      <c r="E23127" s="2" t="str">
        <f>"9781041180364"</f>
        <v>9781041180364</v>
      </c>
      <c r="F23127" s="2" t="str">
        <f>"9781040780015"</f>
        <v>9781040780015</v>
      </c>
    </row>
    <row r="23128" spans="1:6" s="3" customFormat="1" ht="29.1" customHeight="1" x14ac:dyDescent="0.25">
      <c r="A23128" s="2" t="s">
        <v>45184</v>
      </c>
      <c r="B23128" s="2" t="s">
        <v>45185</v>
      </c>
      <c r="C23128" s="2" t="s">
        <v>124</v>
      </c>
      <c r="D23128" s="2" t="s">
        <v>1198</v>
      </c>
      <c r="E23128" s="2" t="str">
        <f>"9789089648259"</f>
        <v>9789089648259</v>
      </c>
      <c r="F23128" s="2" t="str">
        <f>"9781040779965"</f>
        <v>9781040779965</v>
      </c>
    </row>
    <row r="23129" spans="1:6" s="3" customFormat="1" ht="29.1" customHeight="1" x14ac:dyDescent="0.25">
      <c r="A23129" s="2" t="s">
        <v>45186</v>
      </c>
      <c r="B23129" s="2" t="s">
        <v>45187</v>
      </c>
      <c r="C23129" s="2" t="s">
        <v>124</v>
      </c>
      <c r="D23129" s="2" t="s">
        <v>3166</v>
      </c>
      <c r="E23129" s="2" t="str">
        <f>"9781041175582"</f>
        <v>9781041175582</v>
      </c>
      <c r="F23129" s="2" t="str">
        <f>"9781040785553"</f>
        <v>9781040785553</v>
      </c>
    </row>
    <row r="23130" spans="1:6" s="3" customFormat="1" ht="29.1" customHeight="1" x14ac:dyDescent="0.25">
      <c r="A23130" s="2" t="s">
        <v>45188</v>
      </c>
      <c r="B23130" s="2" t="s">
        <v>45189</v>
      </c>
      <c r="C23130" s="2" t="s">
        <v>124</v>
      </c>
      <c r="D23130" s="2" t="s">
        <v>81</v>
      </c>
      <c r="E23130" s="2" t="str">
        <f>"9781138220218"</f>
        <v>9781138220218</v>
      </c>
      <c r="F23130" s="2" t="str">
        <f>"9781315413594"</f>
        <v>9781315413594</v>
      </c>
    </row>
    <row r="23131" spans="1:6" s="3" customFormat="1" ht="29.1" customHeight="1" x14ac:dyDescent="0.25">
      <c r="A23131" s="2" t="s">
        <v>45190</v>
      </c>
      <c r="B23131" s="2" t="s">
        <v>45191</v>
      </c>
      <c r="C23131" s="2" t="s">
        <v>195</v>
      </c>
      <c r="D23131" s="2" t="s">
        <v>210</v>
      </c>
      <c r="E23131" s="2" t="str">
        <f>"9783486575729"</f>
        <v>9783486575729</v>
      </c>
      <c r="F23131" s="2" t="str">
        <f>"9783486594638"</f>
        <v>9783486594638</v>
      </c>
    </row>
    <row r="23132" spans="1:6" s="3" customFormat="1" ht="29.1" customHeight="1" x14ac:dyDescent="0.25">
      <c r="A23132" s="2" t="s">
        <v>45192</v>
      </c>
      <c r="B23132" s="2" t="s">
        <v>45105</v>
      </c>
      <c r="C23132" s="2" t="s">
        <v>195</v>
      </c>
      <c r="D23132" s="2" t="s">
        <v>210</v>
      </c>
      <c r="E23132" s="2" t="str">
        <f>"9783486567489"</f>
        <v>9783486567489</v>
      </c>
      <c r="F23132" s="2" t="str">
        <f>"9783486594591"</f>
        <v>9783486594591</v>
      </c>
    </row>
    <row r="23133" spans="1:6" s="3" customFormat="1" ht="29.1" customHeight="1" x14ac:dyDescent="0.25">
      <c r="A23133" s="2" t="s">
        <v>45193</v>
      </c>
      <c r="B23133" s="2" t="s">
        <v>45194</v>
      </c>
      <c r="C23133" s="2" t="s">
        <v>195</v>
      </c>
      <c r="D23133" s="2" t="s">
        <v>210</v>
      </c>
      <c r="E23133" s="2" t="str">
        <f>"9783486567472"</f>
        <v>9783486567472</v>
      </c>
      <c r="F23133" s="2" t="str">
        <f>"9783486594560"</f>
        <v>9783486594560</v>
      </c>
    </row>
    <row r="23134" spans="1:6" s="3" customFormat="1" ht="29.1" customHeight="1" x14ac:dyDescent="0.25">
      <c r="A23134" s="2" t="s">
        <v>45195</v>
      </c>
      <c r="B23134" s="2" t="s">
        <v>45196</v>
      </c>
      <c r="C23134" s="2" t="s">
        <v>5050</v>
      </c>
      <c r="D23134" s="2" t="s">
        <v>1259</v>
      </c>
      <c r="E23134" s="2" t="str">
        <f>"9780824872076"</f>
        <v>9780824872076</v>
      </c>
      <c r="F23134" s="2" t="str">
        <f>"9780824873486"</f>
        <v>9780824873486</v>
      </c>
    </row>
    <row r="23135" spans="1:6" s="3" customFormat="1" ht="29.1" customHeight="1" x14ac:dyDescent="0.25">
      <c r="A23135" s="2" t="s">
        <v>45197</v>
      </c>
      <c r="B23135" s="2" t="s">
        <v>45198</v>
      </c>
      <c r="C23135" s="2" t="s">
        <v>124</v>
      </c>
      <c r="D23135" s="2" t="s">
        <v>33</v>
      </c>
      <c r="E23135" s="2" t="str">
        <f>"9780815352921"</f>
        <v>9780815352921</v>
      </c>
      <c r="F23135" s="2" t="str">
        <f>"9781351137799"</f>
        <v>9781351137799</v>
      </c>
    </row>
    <row r="23136" spans="1:6" s="3" customFormat="1" ht="29.1" customHeight="1" x14ac:dyDescent="0.25">
      <c r="A23136" s="2" t="s">
        <v>45199</v>
      </c>
      <c r="B23136" s="2" t="s">
        <v>45200</v>
      </c>
      <c r="C23136" s="2" t="s">
        <v>15381</v>
      </c>
      <c r="D23136" s="2" t="s">
        <v>4754</v>
      </c>
      <c r="E23136" s="2" t="str">
        <f>"9781469636436"</f>
        <v>9781469636436</v>
      </c>
      <c r="F23136" s="2" t="str">
        <f>"9781469636467"</f>
        <v>9781469636467</v>
      </c>
    </row>
    <row r="23137" spans="1:6" s="3" customFormat="1" ht="29.1" customHeight="1" x14ac:dyDescent="0.25">
      <c r="A23137" s="2" t="s">
        <v>45201</v>
      </c>
      <c r="B23137" s="2" t="s">
        <v>37362</v>
      </c>
      <c r="C23137" s="2" t="s">
        <v>556</v>
      </c>
      <c r="D23137" s="2" t="s">
        <v>1162</v>
      </c>
      <c r="E23137" s="2" t="str">
        <f>"9783837641813"</f>
        <v>9783837641813</v>
      </c>
      <c r="F23137" s="2" t="str">
        <f>"9783839441817"</f>
        <v>9783839441817</v>
      </c>
    </row>
    <row r="23138" spans="1:6" s="3" customFormat="1" ht="29.1" customHeight="1" x14ac:dyDescent="0.25">
      <c r="A23138" s="2" t="s">
        <v>45202</v>
      </c>
      <c r="B23138" s="2" t="s">
        <v>45203</v>
      </c>
      <c r="C23138" s="2" t="s">
        <v>556</v>
      </c>
      <c r="D23138" s="2" t="s">
        <v>324</v>
      </c>
      <c r="E23138" s="2" t="str">
        <f>"9783837641516"</f>
        <v>9783837641516</v>
      </c>
      <c r="F23138" s="2" t="str">
        <f>"9783839441510"</f>
        <v>9783839441510</v>
      </c>
    </row>
    <row r="23139" spans="1:6" s="3" customFormat="1" ht="29.1" customHeight="1" x14ac:dyDescent="0.25">
      <c r="A23139" s="2" t="s">
        <v>45204</v>
      </c>
      <c r="B23139" s="2" t="s">
        <v>45205</v>
      </c>
      <c r="C23139" s="2" t="s">
        <v>556</v>
      </c>
      <c r="D23139" s="2" t="s">
        <v>324</v>
      </c>
      <c r="E23139" s="2" t="str">
        <f>"9783837641202"</f>
        <v>9783837641202</v>
      </c>
      <c r="F23139" s="2" t="str">
        <f>"9783839441206"</f>
        <v>9783839441206</v>
      </c>
    </row>
    <row r="23140" spans="1:6" s="3" customFormat="1" ht="29.1" customHeight="1" x14ac:dyDescent="0.25">
      <c r="A23140" s="2" t="s">
        <v>45206</v>
      </c>
      <c r="B23140" s="2" t="s">
        <v>18372</v>
      </c>
      <c r="C23140" s="2" t="s">
        <v>556</v>
      </c>
      <c r="D23140" s="2" t="s">
        <v>3345</v>
      </c>
      <c r="E23140" s="2" t="str">
        <f>"9783837641004"</f>
        <v>9783837641004</v>
      </c>
      <c r="F23140" s="2" t="str">
        <f>"9783839441008"</f>
        <v>9783839441008</v>
      </c>
    </row>
    <row r="23141" spans="1:6" s="3" customFormat="1" ht="29.1" customHeight="1" x14ac:dyDescent="0.25">
      <c r="A23141" s="2" t="s">
        <v>45207</v>
      </c>
      <c r="B23141" s="2" t="s">
        <v>45208</v>
      </c>
      <c r="C23141" s="2" t="s">
        <v>556</v>
      </c>
      <c r="D23141" s="2" t="s">
        <v>215</v>
      </c>
      <c r="E23141" s="2" t="str">
        <f>"9783837640915"</f>
        <v>9783837640915</v>
      </c>
      <c r="F23141" s="2" t="str">
        <f>"9783839440919"</f>
        <v>9783839440919</v>
      </c>
    </row>
    <row r="23142" spans="1:6" s="3" customFormat="1" ht="29.1" customHeight="1" x14ac:dyDescent="0.25">
      <c r="A23142" s="2" t="s">
        <v>45209</v>
      </c>
      <c r="B23142" s="2" t="s">
        <v>45210</v>
      </c>
      <c r="C23142" s="2" t="s">
        <v>556</v>
      </c>
      <c r="D23142" s="2" t="s">
        <v>1109</v>
      </c>
      <c r="E23142" s="2" t="str">
        <f>"9783837640540"</f>
        <v>9783837640540</v>
      </c>
      <c r="F23142" s="2" t="str">
        <f>"9783839440544"</f>
        <v>9783839440544</v>
      </c>
    </row>
    <row r="23143" spans="1:6" s="3" customFormat="1" ht="29.1" customHeight="1" x14ac:dyDescent="0.25">
      <c r="A23143" s="2" t="s">
        <v>45211</v>
      </c>
      <c r="B23143" s="2" t="s">
        <v>45212</v>
      </c>
      <c r="C23143" s="2" t="s">
        <v>556</v>
      </c>
      <c r="D23143" s="2" t="s">
        <v>32371</v>
      </c>
      <c r="E23143" s="2" t="str">
        <f>"9783837640458"</f>
        <v>9783837640458</v>
      </c>
      <c r="F23143" s="2" t="str">
        <f>"9783839440452"</f>
        <v>9783839440452</v>
      </c>
    </row>
    <row r="23144" spans="1:6" s="3" customFormat="1" ht="29.1" customHeight="1" x14ac:dyDescent="0.25">
      <c r="A23144" s="2" t="s">
        <v>45213</v>
      </c>
      <c r="B23144" s="2" t="s">
        <v>45214</v>
      </c>
      <c r="C23144" s="2" t="s">
        <v>556</v>
      </c>
      <c r="D23144" s="2" t="s">
        <v>11426</v>
      </c>
      <c r="E23144" s="2" t="str">
        <f>"9783837639834"</f>
        <v>9783837639834</v>
      </c>
      <c r="F23144" s="2" t="str">
        <f>"9783839439838"</f>
        <v>9783839439838</v>
      </c>
    </row>
    <row r="23145" spans="1:6" s="3" customFormat="1" ht="29.1" customHeight="1" x14ac:dyDescent="0.25">
      <c r="A23145" s="2" t="s">
        <v>45215</v>
      </c>
      <c r="B23145" s="2" t="s">
        <v>45216</v>
      </c>
      <c r="C23145" s="2" t="s">
        <v>556</v>
      </c>
      <c r="D23145" s="2" t="s">
        <v>1578</v>
      </c>
      <c r="E23145" s="2" t="str">
        <f>"9783837639629"</f>
        <v>9783837639629</v>
      </c>
      <c r="F23145" s="2" t="str">
        <f>"9783839439623"</f>
        <v>9783839439623</v>
      </c>
    </row>
    <row r="23146" spans="1:6" s="3" customFormat="1" ht="29.1" customHeight="1" x14ac:dyDescent="0.25">
      <c r="A23146" s="2" t="s">
        <v>45217</v>
      </c>
      <c r="B23146" s="2" t="s">
        <v>45218</v>
      </c>
      <c r="C23146" s="2" t="s">
        <v>556</v>
      </c>
      <c r="D23146" s="2" t="s">
        <v>1999</v>
      </c>
      <c r="E23146" s="2" t="str">
        <f>"9783837639377"</f>
        <v>9783837639377</v>
      </c>
      <c r="F23146" s="2" t="str">
        <f>"9783839439371"</f>
        <v>9783839439371</v>
      </c>
    </row>
    <row r="23147" spans="1:6" s="3" customFormat="1" ht="29.1" customHeight="1" x14ac:dyDescent="0.25">
      <c r="A23147" s="2" t="s">
        <v>45219</v>
      </c>
      <c r="B23147" s="2" t="s">
        <v>45220</v>
      </c>
      <c r="C23147" s="2" t="s">
        <v>556</v>
      </c>
      <c r="D23147" s="2" t="s">
        <v>674</v>
      </c>
      <c r="E23147" s="2" t="str">
        <f>"9783837638523"</f>
        <v>9783837638523</v>
      </c>
      <c r="F23147" s="2" t="str">
        <f>"9783839438527"</f>
        <v>9783839438527</v>
      </c>
    </row>
    <row r="23148" spans="1:6" s="3" customFormat="1" ht="29.1" customHeight="1" x14ac:dyDescent="0.25">
      <c r="A23148" s="2" t="s">
        <v>45221</v>
      </c>
      <c r="B23148" s="2" t="s">
        <v>45222</v>
      </c>
      <c r="C23148" s="2" t="s">
        <v>556</v>
      </c>
      <c r="D23148" s="2" t="s">
        <v>501</v>
      </c>
      <c r="E23148" s="2" t="str">
        <f>"9783837637557"</f>
        <v>9783837637557</v>
      </c>
      <c r="F23148" s="2" t="str">
        <f>"9783839437551"</f>
        <v>9783839437551</v>
      </c>
    </row>
    <row r="23149" spans="1:6" s="3" customFormat="1" ht="29.1" customHeight="1" x14ac:dyDescent="0.25">
      <c r="A23149" s="2" t="s">
        <v>45223</v>
      </c>
      <c r="B23149" s="2" t="s">
        <v>45224</v>
      </c>
      <c r="C23149" s="2" t="s">
        <v>556</v>
      </c>
      <c r="D23149" s="2" t="s">
        <v>818</v>
      </c>
      <c r="E23149" s="2" t="str">
        <f>"9783837636604"</f>
        <v>9783837636604</v>
      </c>
      <c r="F23149" s="2" t="str">
        <f>"9783839436608"</f>
        <v>9783839436608</v>
      </c>
    </row>
    <row r="23150" spans="1:6" s="3" customFormat="1" ht="29.1" customHeight="1" x14ac:dyDescent="0.25">
      <c r="A23150" s="2" t="s">
        <v>45225</v>
      </c>
      <c r="B23150" s="2" t="s">
        <v>45226</v>
      </c>
      <c r="C23150" s="2" t="s">
        <v>927</v>
      </c>
      <c r="D23150" s="2" t="s">
        <v>297</v>
      </c>
      <c r="E23150" s="2" t="str">
        <f>"9780472053667"</f>
        <v>9780472053667</v>
      </c>
      <c r="F23150" s="2" t="str">
        <f>"9780472123315"</f>
        <v>9780472123315</v>
      </c>
    </row>
    <row r="23151" spans="1:6" s="3" customFormat="1" ht="29.1" customHeight="1" x14ac:dyDescent="0.25">
      <c r="A23151" s="2" t="s">
        <v>45227</v>
      </c>
      <c r="B23151" s="2" t="s">
        <v>45228</v>
      </c>
      <c r="C23151" s="2" t="s">
        <v>2129</v>
      </c>
      <c r="D23151" s="2" t="s">
        <v>202</v>
      </c>
      <c r="E23151" s="2" t="str">
        <f>"9781438467856"</f>
        <v>9781438467856</v>
      </c>
      <c r="F23151" s="2" t="str">
        <f>"9781438467863"</f>
        <v>9781438467863</v>
      </c>
    </row>
    <row r="23152" spans="1:6" s="3" customFormat="1" ht="29.1" customHeight="1" x14ac:dyDescent="0.25">
      <c r="A23152" s="2" t="s">
        <v>45229</v>
      </c>
      <c r="B23152" s="2" t="s">
        <v>45230</v>
      </c>
      <c r="C23152" s="2" t="s">
        <v>264</v>
      </c>
      <c r="D23152" s="2" t="s">
        <v>2880</v>
      </c>
      <c r="E23152" s="2" t="str">
        <f>"9781482229943"</f>
        <v>9781482229943</v>
      </c>
      <c r="F23152" s="2" t="str">
        <f>"9781351831208"</f>
        <v>9781351831208</v>
      </c>
    </row>
    <row r="23153" spans="1:6" s="3" customFormat="1" ht="29.1" customHeight="1" x14ac:dyDescent="0.25">
      <c r="A23153" s="2" t="s">
        <v>45231</v>
      </c>
      <c r="B23153" s="2" t="s">
        <v>45232</v>
      </c>
      <c r="C23153" s="2" t="s">
        <v>43061</v>
      </c>
      <c r="D23153" s="2" t="s">
        <v>5092</v>
      </c>
      <c r="E23153" s="2" t="str">
        <f>"9783737603744"</f>
        <v>9783737603744</v>
      </c>
      <c r="F23153" s="2" t="str">
        <f>"9783737603751"</f>
        <v>9783737603751</v>
      </c>
    </row>
    <row r="23154" spans="1:6" s="3" customFormat="1" ht="29.1" customHeight="1" x14ac:dyDescent="0.25">
      <c r="A23154" s="2" t="s">
        <v>45233</v>
      </c>
      <c r="B23154" s="2" t="s">
        <v>45234</v>
      </c>
      <c r="C23154" s="2" t="s">
        <v>43061</v>
      </c>
      <c r="D23154" s="2" t="s">
        <v>650</v>
      </c>
      <c r="E23154" s="2" t="str">
        <f>"9783737603720"</f>
        <v>9783737603720</v>
      </c>
      <c r="F23154" s="2" t="str">
        <f>"9783737603737"</f>
        <v>9783737603737</v>
      </c>
    </row>
    <row r="23155" spans="1:6" s="3" customFormat="1" ht="29.1" customHeight="1" x14ac:dyDescent="0.25">
      <c r="A23155" s="2" t="s">
        <v>45235</v>
      </c>
      <c r="B23155" s="2" t="s">
        <v>45237</v>
      </c>
      <c r="C23155" s="2" t="s">
        <v>43061</v>
      </c>
      <c r="D23155" s="2" t="s">
        <v>45236</v>
      </c>
      <c r="E23155" s="2" t="str">
        <f>"9783737603829"</f>
        <v>9783737603829</v>
      </c>
      <c r="F23155" s="2" t="str">
        <f>"9783737603836"</f>
        <v>9783737603836</v>
      </c>
    </row>
    <row r="23156" spans="1:6" s="3" customFormat="1" ht="29.1" customHeight="1" x14ac:dyDescent="0.25">
      <c r="A23156" s="2" t="s">
        <v>45238</v>
      </c>
      <c r="B23156" s="2" t="s">
        <v>45239</v>
      </c>
      <c r="C23156" s="2" t="s">
        <v>248</v>
      </c>
      <c r="D23156" s="2" t="s">
        <v>4210</v>
      </c>
      <c r="E23156" s="2" t="str">
        <f>"9783847420316"</f>
        <v>9783847420316</v>
      </c>
      <c r="F23156" s="2" t="str">
        <f>"9783847410171"</f>
        <v>9783847410171</v>
      </c>
    </row>
    <row r="23157" spans="1:6" s="3" customFormat="1" ht="29.1" customHeight="1" x14ac:dyDescent="0.25">
      <c r="A23157" s="2" t="s">
        <v>45240</v>
      </c>
      <c r="B23157" s="2" t="s">
        <v>45241</v>
      </c>
      <c r="C23157" s="2" t="s">
        <v>264</v>
      </c>
      <c r="D23157" s="2" t="s">
        <v>297</v>
      </c>
      <c r="E23157" s="2" t="str">
        <f>"9780367735470"</f>
        <v>9780367735470</v>
      </c>
      <c r="F23157" s="2" t="str">
        <f>"9781315225340"</f>
        <v>9781315225340</v>
      </c>
    </row>
    <row r="23158" spans="1:6" s="3" customFormat="1" ht="29.1" customHeight="1" x14ac:dyDescent="0.25">
      <c r="A23158" s="2" t="s">
        <v>45242</v>
      </c>
      <c r="B23158" s="2" t="s">
        <v>45243</v>
      </c>
      <c r="C23158" s="2" t="s">
        <v>124</v>
      </c>
      <c r="D23158" s="2" t="s">
        <v>5060</v>
      </c>
      <c r="E23158" s="2" t="str">
        <f>"9781138645073"</f>
        <v>9781138645073</v>
      </c>
      <c r="F23158" s="2" t="str">
        <f>"9781317240808"</f>
        <v>9781317240808</v>
      </c>
    </row>
    <row r="23159" spans="1:6" s="3" customFormat="1" ht="29.1" customHeight="1" x14ac:dyDescent="0.25">
      <c r="A23159" s="2" t="s">
        <v>45244</v>
      </c>
      <c r="B23159" s="2" t="s">
        <v>45245</v>
      </c>
      <c r="C23159" s="2" t="s">
        <v>124</v>
      </c>
      <c r="D23159" s="2" t="s">
        <v>7734</v>
      </c>
      <c r="E23159" s="2" t="str">
        <f>"9781138745872"</f>
        <v>9781138745872</v>
      </c>
      <c r="F23159" s="2" t="str">
        <f>"9781351719643"</f>
        <v>9781351719643</v>
      </c>
    </row>
    <row r="23160" spans="1:6" s="3" customFormat="1" ht="29.1" customHeight="1" x14ac:dyDescent="0.25">
      <c r="A23160" s="2" t="s">
        <v>45246</v>
      </c>
      <c r="B23160" s="2" t="s">
        <v>45247</v>
      </c>
      <c r="C23160" s="2" t="s">
        <v>124</v>
      </c>
      <c r="D23160" s="2" t="s">
        <v>339</v>
      </c>
      <c r="E23160" s="2" t="str">
        <f>"9781138283800"</f>
        <v>9781138283800</v>
      </c>
      <c r="F23160" s="2" t="str">
        <f>"9781351980760"</f>
        <v>9781351980760</v>
      </c>
    </row>
    <row r="23161" spans="1:6" s="3" customFormat="1" ht="29.1" customHeight="1" x14ac:dyDescent="0.25">
      <c r="A23161" s="2" t="s">
        <v>45248</v>
      </c>
      <c r="B23161" s="2" t="s">
        <v>45249</v>
      </c>
      <c r="C23161" s="2" t="s">
        <v>2183</v>
      </c>
      <c r="D23161" s="2" t="s">
        <v>5335</v>
      </c>
      <c r="E23161" s="2" t="str">
        <f>"9781942401346"</f>
        <v>9781942401346</v>
      </c>
      <c r="F23161" s="2" t="str">
        <f>"9781942401353"</f>
        <v>9781942401353</v>
      </c>
    </row>
    <row r="23162" spans="1:6" s="3" customFormat="1" ht="29.1" customHeight="1" x14ac:dyDescent="0.25">
      <c r="A23162" s="2" t="s">
        <v>45250</v>
      </c>
      <c r="B23162" s="2" t="s">
        <v>45251</v>
      </c>
      <c r="C23162" s="2" t="s">
        <v>195</v>
      </c>
      <c r="D23162" s="2" t="s">
        <v>210</v>
      </c>
      <c r="E23162" s="2" t="str">
        <f>"9783486562576"</f>
        <v>9783486562576</v>
      </c>
      <c r="F23162" s="2" t="str">
        <f>"9783486595895"</f>
        <v>9783486595895</v>
      </c>
    </row>
    <row r="23163" spans="1:6" s="3" customFormat="1" ht="29.1" customHeight="1" x14ac:dyDescent="0.25">
      <c r="A23163" s="2" t="s">
        <v>45252</v>
      </c>
      <c r="B23163" s="2" t="s">
        <v>45253</v>
      </c>
      <c r="C23163" s="2" t="s">
        <v>195</v>
      </c>
      <c r="D23163" s="2" t="s">
        <v>459</v>
      </c>
      <c r="E23163" s="2" t="str">
        <f>"9781501516337"</f>
        <v>9781501516337</v>
      </c>
      <c r="F23163" s="2" t="str">
        <f>"9781501507755"</f>
        <v>9781501507755</v>
      </c>
    </row>
    <row r="23164" spans="1:6" s="3" customFormat="1" ht="29.1" customHeight="1" x14ac:dyDescent="0.25">
      <c r="A23164" s="2" t="s">
        <v>45254</v>
      </c>
      <c r="B23164" s="2" t="s">
        <v>45255</v>
      </c>
      <c r="C23164" s="2" t="s">
        <v>195</v>
      </c>
      <c r="D23164" s="2" t="s">
        <v>428</v>
      </c>
      <c r="E23164" s="2" t="str">
        <f>"9783110461688"</f>
        <v>9783110461688</v>
      </c>
      <c r="F23164" s="2" t="str">
        <f>"9783110464801"</f>
        <v>9783110464801</v>
      </c>
    </row>
    <row r="23165" spans="1:6" s="3" customFormat="1" ht="29.1" customHeight="1" x14ac:dyDescent="0.25">
      <c r="A23165" s="2" t="s">
        <v>45256</v>
      </c>
      <c r="B23165" s="2" t="s">
        <v>45257</v>
      </c>
      <c r="C23165" s="2" t="s">
        <v>195</v>
      </c>
      <c r="D23165" s="2" t="s">
        <v>210</v>
      </c>
      <c r="E23165" s="2" t="str">
        <f>"9783486566420"</f>
        <v>9783486566420</v>
      </c>
      <c r="F23165" s="2" t="str">
        <f>"9783486594508"</f>
        <v>9783486594508</v>
      </c>
    </row>
    <row r="23166" spans="1:6" s="3" customFormat="1" ht="29.1" customHeight="1" x14ac:dyDescent="0.25">
      <c r="A23166" s="2" t="s">
        <v>45258</v>
      </c>
      <c r="B23166" s="2" t="s">
        <v>45259</v>
      </c>
      <c r="C23166" s="2" t="s">
        <v>124</v>
      </c>
      <c r="D23166" s="2" t="s">
        <v>818</v>
      </c>
      <c r="E23166" s="2" t="str">
        <f>"9781474280280"</f>
        <v>9781474280280</v>
      </c>
      <c r="F23166" s="2" t="str">
        <f>"9781000180527"</f>
        <v>9781000180527</v>
      </c>
    </row>
    <row r="23167" spans="1:6" s="3" customFormat="1" ht="29.1" customHeight="1" x14ac:dyDescent="0.25">
      <c r="A23167" s="2" t="s">
        <v>45260</v>
      </c>
      <c r="B23167" s="2" t="s">
        <v>45261</v>
      </c>
      <c r="C23167" s="2" t="s">
        <v>20</v>
      </c>
      <c r="D23167" s="2" t="s">
        <v>24</v>
      </c>
      <c r="E23167" s="2" t="str">
        <f>"9783763911905"</f>
        <v>9783763911905</v>
      </c>
      <c r="F23167" s="2" t="str">
        <f>"9783763911912"</f>
        <v>9783763911912</v>
      </c>
    </row>
    <row r="23168" spans="1:6" s="3" customFormat="1" ht="29.1" customHeight="1" x14ac:dyDescent="0.25">
      <c r="A23168" s="2" t="s">
        <v>45262</v>
      </c>
      <c r="B23168" s="2" t="s">
        <v>45263</v>
      </c>
      <c r="C23168" s="2" t="s">
        <v>20</v>
      </c>
      <c r="D23168" s="2" t="s">
        <v>24</v>
      </c>
      <c r="E23168" s="2" t="str">
        <f>"9783763959204"</f>
        <v>9783763959204</v>
      </c>
      <c r="F23168" s="2" t="str">
        <f>"9783763959211"</f>
        <v>9783763959211</v>
      </c>
    </row>
    <row r="23169" spans="1:6" s="3" customFormat="1" ht="29.1" customHeight="1" x14ac:dyDescent="0.25">
      <c r="A23169" s="2" t="s">
        <v>45264</v>
      </c>
      <c r="B23169" s="2" t="s">
        <v>45265</v>
      </c>
      <c r="C23169" s="2" t="s">
        <v>9716</v>
      </c>
      <c r="D23169" s="2" t="s">
        <v>297</v>
      </c>
      <c r="E23169" s="2" t="str">
        <f>"9781439914595"</f>
        <v>9781439914595</v>
      </c>
      <c r="F23169" s="2" t="str">
        <f>"9781439914618"</f>
        <v>9781439914618</v>
      </c>
    </row>
    <row r="23170" spans="1:6" s="3" customFormat="1" ht="29.1" customHeight="1" x14ac:dyDescent="0.25">
      <c r="A23170" s="2" t="s">
        <v>45266</v>
      </c>
      <c r="B23170" s="2" t="s">
        <v>45267</v>
      </c>
      <c r="C23170" s="2" t="s">
        <v>885</v>
      </c>
      <c r="D23170" s="2" t="s">
        <v>20003</v>
      </c>
      <c r="E23170" s="2" t="str">
        <f>"9781442644304"</f>
        <v>9781442644304</v>
      </c>
      <c r="F23170" s="2" t="str">
        <f>"9781442699595"</f>
        <v>9781442699595</v>
      </c>
    </row>
    <row r="23171" spans="1:6" s="3" customFormat="1" ht="29.1" customHeight="1" x14ac:dyDescent="0.25">
      <c r="A23171" s="2" t="s">
        <v>45268</v>
      </c>
      <c r="B23171" s="2" t="s">
        <v>45269</v>
      </c>
      <c r="C23171" s="2" t="s">
        <v>264</v>
      </c>
      <c r="D23171" s="2" t="s">
        <v>297</v>
      </c>
      <c r="E23171" s="2" t="str">
        <f>"9780367735494"</f>
        <v>9780367735494</v>
      </c>
      <c r="F23171" s="2" t="str">
        <f>"9781315213620"</f>
        <v>9781315213620</v>
      </c>
    </row>
    <row r="23172" spans="1:6" s="3" customFormat="1" ht="29.1" customHeight="1" x14ac:dyDescent="0.25">
      <c r="A23172" s="2" t="s">
        <v>45270</v>
      </c>
      <c r="B23172" s="2" t="s">
        <v>45271</v>
      </c>
      <c r="C23172" s="2" t="s">
        <v>1070</v>
      </c>
      <c r="D23172" s="2" t="s">
        <v>1071</v>
      </c>
      <c r="E23172" s="2" t="str">
        <f>"9781910797433"</f>
        <v>9781910797433</v>
      </c>
      <c r="F23172" s="2" t="str">
        <f>"9781910797501"</f>
        <v>9781910797501</v>
      </c>
    </row>
    <row r="23173" spans="1:6" s="3" customFormat="1" ht="29.1" customHeight="1" x14ac:dyDescent="0.25">
      <c r="A23173" s="2" t="s">
        <v>45272</v>
      </c>
      <c r="B23173" s="2" t="s">
        <v>45273</v>
      </c>
      <c r="C23173" s="2" t="s">
        <v>1070</v>
      </c>
      <c r="D23173" s="2" t="s">
        <v>1265</v>
      </c>
      <c r="E23173" s="2" t="str">
        <f>"9781910797334"</f>
        <v>9781910797334</v>
      </c>
      <c r="F23173" s="2" t="str">
        <f>"9781910797389"</f>
        <v>9781910797389</v>
      </c>
    </row>
    <row r="23174" spans="1:6" s="3" customFormat="1" ht="29.1" customHeight="1" x14ac:dyDescent="0.25">
      <c r="A23174" s="2" t="s">
        <v>1307</v>
      </c>
      <c r="B23174" s="2" t="s">
        <v>45274</v>
      </c>
      <c r="C23174" s="2" t="s">
        <v>1070</v>
      </c>
      <c r="D23174" s="2" t="s">
        <v>1071</v>
      </c>
      <c r="E23174" s="2" t="str">
        <f>"9781910797709"</f>
        <v>9781910797709</v>
      </c>
      <c r="F23174" s="2" t="str">
        <f>"9781910797716"</f>
        <v>9781910797716</v>
      </c>
    </row>
    <row r="23175" spans="1:6" s="3" customFormat="1" ht="29.1" customHeight="1" x14ac:dyDescent="0.25">
      <c r="A23175" s="2" t="s">
        <v>45275</v>
      </c>
      <c r="B23175" s="2" t="s">
        <v>45276</v>
      </c>
      <c r="C23175" s="2" t="s">
        <v>1070</v>
      </c>
      <c r="D23175" s="2" t="s">
        <v>16423</v>
      </c>
      <c r="E23175" s="2" t="str">
        <f>"9781910797563"</f>
        <v>9781910797563</v>
      </c>
      <c r="F23175" s="2" t="str">
        <f>"9781910797570"</f>
        <v>9781910797570</v>
      </c>
    </row>
    <row r="23176" spans="1:6" s="3" customFormat="1" ht="29.1" customHeight="1" x14ac:dyDescent="0.25">
      <c r="A23176" s="2" t="s">
        <v>45277</v>
      </c>
      <c r="B23176" s="2" t="s">
        <v>45278</v>
      </c>
      <c r="C23176" s="2" t="s">
        <v>1070</v>
      </c>
      <c r="D23176" s="2" t="s">
        <v>1275</v>
      </c>
      <c r="E23176" s="2" t="str">
        <f>"9781908541949"</f>
        <v>9781908541949</v>
      </c>
      <c r="F23176" s="2" t="str">
        <f>"9781910797419"</f>
        <v>9781910797419</v>
      </c>
    </row>
    <row r="23177" spans="1:6" s="3" customFormat="1" ht="29.1" customHeight="1" x14ac:dyDescent="0.25">
      <c r="A23177" s="2" t="s">
        <v>45279</v>
      </c>
      <c r="B23177" s="2" t="s">
        <v>45280</v>
      </c>
      <c r="C23177" s="2" t="s">
        <v>124</v>
      </c>
      <c r="D23177" s="2" t="s">
        <v>2307</v>
      </c>
      <c r="E23177" s="2" t="str">
        <f>"9781907975790"</f>
        <v>9781907975790</v>
      </c>
      <c r="F23177" s="2" t="str">
        <f>"9781351191692"</f>
        <v>9781351191692</v>
      </c>
    </row>
    <row r="23178" spans="1:6" s="3" customFormat="1" ht="29.1" customHeight="1" x14ac:dyDescent="0.25">
      <c r="A23178" s="2" t="s">
        <v>45281</v>
      </c>
      <c r="B23178" s="2" t="s">
        <v>45282</v>
      </c>
      <c r="C23178" s="2" t="s">
        <v>124</v>
      </c>
      <c r="D23178" s="2" t="s">
        <v>2234</v>
      </c>
      <c r="E23178" s="2" t="str">
        <f>"9781138569843"</f>
        <v>9781138569843</v>
      </c>
      <c r="F23178" s="2" t="str">
        <f>"9781351337021"</f>
        <v>9781351337021</v>
      </c>
    </row>
    <row r="23179" spans="1:6" s="3" customFormat="1" ht="29.1" customHeight="1" x14ac:dyDescent="0.25">
      <c r="A23179" s="2" t="s">
        <v>45283</v>
      </c>
      <c r="B23179" s="2" t="s">
        <v>45284</v>
      </c>
      <c r="C23179" s="2" t="s">
        <v>248</v>
      </c>
      <c r="D23179" s="2" t="s">
        <v>501</v>
      </c>
      <c r="E23179" s="2" t="str">
        <f>"9783847421771"</f>
        <v>9783847421771</v>
      </c>
      <c r="F23179" s="2" t="str">
        <f>"9783847412052"</f>
        <v>9783847412052</v>
      </c>
    </row>
    <row r="23180" spans="1:6" s="3" customFormat="1" ht="29.1" customHeight="1" x14ac:dyDescent="0.25">
      <c r="A23180" s="2" t="s">
        <v>45285</v>
      </c>
      <c r="B23180" s="2" t="s">
        <v>45286</v>
      </c>
      <c r="C23180" s="2" t="s">
        <v>248</v>
      </c>
      <c r="D23180" s="2" t="s">
        <v>2234</v>
      </c>
      <c r="E23180" s="2" t="str">
        <f>"9783847407119"</f>
        <v>9783847407119</v>
      </c>
      <c r="F23180" s="2" t="str">
        <f>"9783847408604"</f>
        <v>9783847408604</v>
      </c>
    </row>
    <row r="23181" spans="1:6" s="3" customFormat="1" ht="29.1" customHeight="1" x14ac:dyDescent="0.25">
      <c r="A23181" s="2" t="s">
        <v>45287</v>
      </c>
      <c r="B23181" s="2" t="s">
        <v>45288</v>
      </c>
      <c r="C23181" s="2" t="s">
        <v>248</v>
      </c>
      <c r="D23181" s="2" t="s">
        <v>6123</v>
      </c>
      <c r="E23181" s="2" t="str">
        <f>"9783847421399"</f>
        <v>9783847421399</v>
      </c>
      <c r="F23181" s="2" t="str">
        <f>"9783847411291"</f>
        <v>9783847411291</v>
      </c>
    </row>
    <row r="23182" spans="1:6" s="3" customFormat="1" ht="29.1" customHeight="1" x14ac:dyDescent="0.25">
      <c r="A23182" s="2" t="s">
        <v>45289</v>
      </c>
      <c r="B23182" s="2" t="s">
        <v>45290</v>
      </c>
      <c r="C23182" s="2" t="s">
        <v>248</v>
      </c>
      <c r="D23182" s="2" t="s">
        <v>490</v>
      </c>
      <c r="E23182" s="2" t="str">
        <f>"9783847421788"</f>
        <v>9783847421788</v>
      </c>
      <c r="F23182" s="2" t="str">
        <f>"9783847412069"</f>
        <v>9783847412069</v>
      </c>
    </row>
    <row r="23183" spans="1:6" s="3" customFormat="1" ht="29.1" customHeight="1" x14ac:dyDescent="0.25">
      <c r="A23183" s="2" t="s">
        <v>45291</v>
      </c>
      <c r="B23183" s="2" t="s">
        <v>45292</v>
      </c>
      <c r="C23183" s="2" t="s">
        <v>248</v>
      </c>
      <c r="D23183" s="2" t="s">
        <v>75</v>
      </c>
      <c r="E23183" s="2" t="str">
        <f>"9783863887698"</f>
        <v>9783863887698</v>
      </c>
      <c r="F23183" s="2" t="str">
        <f>"9783863883294"</f>
        <v>9783863883294</v>
      </c>
    </row>
    <row r="23184" spans="1:6" s="3" customFormat="1" ht="29.1" customHeight="1" x14ac:dyDescent="0.25">
      <c r="A23184" s="2" t="s">
        <v>45293</v>
      </c>
      <c r="B23184" s="2" t="s">
        <v>45294</v>
      </c>
      <c r="C23184" s="2" t="s">
        <v>124</v>
      </c>
      <c r="D23184" s="2" t="s">
        <v>270</v>
      </c>
      <c r="E23184" s="2" t="str">
        <f>"9780415792141"</f>
        <v>9780415792141</v>
      </c>
      <c r="F23184" s="2" t="str">
        <f>"9781351814072"</f>
        <v>9781351814072</v>
      </c>
    </row>
    <row r="23185" spans="1:6" s="3" customFormat="1" ht="29.1" customHeight="1" x14ac:dyDescent="0.25">
      <c r="A23185" s="2" t="s">
        <v>45295</v>
      </c>
      <c r="B23185" s="2" t="s">
        <v>45296</v>
      </c>
      <c r="C23185" s="2" t="s">
        <v>195</v>
      </c>
      <c r="D23185" s="2" t="s">
        <v>210</v>
      </c>
      <c r="E23185" s="2" t="str">
        <f>"9783110309065"</f>
        <v>9783110309065</v>
      </c>
      <c r="F23185" s="2" t="str">
        <f>"9783110316117"</f>
        <v>9783110316117</v>
      </c>
    </row>
    <row r="23186" spans="1:6" s="3" customFormat="1" ht="29.1" customHeight="1" x14ac:dyDescent="0.25">
      <c r="A23186" s="2" t="s">
        <v>45297</v>
      </c>
      <c r="B23186" s="2" t="s">
        <v>45298</v>
      </c>
      <c r="C23186" s="2" t="s">
        <v>195</v>
      </c>
      <c r="D23186" s="2" t="s">
        <v>1183</v>
      </c>
      <c r="E23186" s="2" t="str">
        <f>"9783110540888"</f>
        <v>9783110540888</v>
      </c>
      <c r="F23186" s="2" t="str">
        <f>"9783110541755"</f>
        <v>9783110541755</v>
      </c>
    </row>
    <row r="23187" spans="1:6" s="3" customFormat="1" ht="29.1" customHeight="1" x14ac:dyDescent="0.25">
      <c r="A23187" s="2" t="s">
        <v>45299</v>
      </c>
      <c r="B23187" s="2" t="s">
        <v>45300</v>
      </c>
      <c r="C23187" s="2" t="s">
        <v>195</v>
      </c>
      <c r="D23187" s="2" t="s">
        <v>10177</v>
      </c>
      <c r="E23187" s="2" t="str">
        <f>"9783110428353"</f>
        <v>9783110428353</v>
      </c>
      <c r="F23187" s="2" t="str">
        <f>"9783110424584"</f>
        <v>9783110424584</v>
      </c>
    </row>
    <row r="23188" spans="1:6" s="3" customFormat="1" ht="29.1" customHeight="1" x14ac:dyDescent="0.25">
      <c r="A23188" s="2" t="s">
        <v>45301</v>
      </c>
      <c r="B23188" s="2" t="s">
        <v>45302</v>
      </c>
      <c r="C23188" s="2" t="s">
        <v>124</v>
      </c>
      <c r="D23188" s="2" t="s">
        <v>459</v>
      </c>
      <c r="E23188" s="2" t="str">
        <f>"9780415835183"</f>
        <v>9780415835183</v>
      </c>
      <c r="F23188" s="2" t="str">
        <f>"9781351379953"</f>
        <v>9781351379953</v>
      </c>
    </row>
    <row r="23189" spans="1:6" s="3" customFormat="1" ht="29.1" customHeight="1" x14ac:dyDescent="0.25">
      <c r="A23189" s="2" t="s">
        <v>45303</v>
      </c>
      <c r="B23189" s="2" t="s">
        <v>45304</v>
      </c>
      <c r="C23189" s="2" t="s">
        <v>927</v>
      </c>
      <c r="D23189" s="2" t="s">
        <v>9</v>
      </c>
      <c r="E23189" s="2" t="str">
        <f>"9780472053711"</f>
        <v>9780472053711</v>
      </c>
      <c r="F23189" s="2" t="str">
        <f>"9780472123414"</f>
        <v>9780472123414</v>
      </c>
    </row>
    <row r="23190" spans="1:6" s="3" customFormat="1" ht="29.1" customHeight="1" x14ac:dyDescent="0.25">
      <c r="A23190" s="2" t="s">
        <v>45305</v>
      </c>
      <c r="B23190" s="2" t="s">
        <v>45306</v>
      </c>
      <c r="C23190" s="2" t="s">
        <v>556</v>
      </c>
      <c r="D23190" s="2" t="s">
        <v>2326</v>
      </c>
      <c r="E23190" s="2" t="str">
        <f>"9783837640809"</f>
        <v>9783837640809</v>
      </c>
      <c r="F23190" s="2" t="str">
        <f>"9783839440803"</f>
        <v>9783839440803</v>
      </c>
    </row>
    <row r="23191" spans="1:6" s="3" customFormat="1" ht="29.1" customHeight="1" x14ac:dyDescent="0.25">
      <c r="A23191" s="2" t="s">
        <v>45307</v>
      </c>
      <c r="B23191" s="2" t="s">
        <v>45308</v>
      </c>
      <c r="C23191" s="2" t="s">
        <v>556</v>
      </c>
      <c r="D23191" s="2" t="s">
        <v>34178</v>
      </c>
      <c r="E23191" s="2" t="str">
        <f>"9783837640533"</f>
        <v>9783837640533</v>
      </c>
      <c r="F23191" s="2" t="str">
        <f>"9783839440537"</f>
        <v>9783839440537</v>
      </c>
    </row>
    <row r="23192" spans="1:6" s="3" customFormat="1" ht="29.1" customHeight="1" x14ac:dyDescent="0.25">
      <c r="A23192" s="2" t="s">
        <v>45309</v>
      </c>
      <c r="B23192" s="2" t="s">
        <v>45310</v>
      </c>
      <c r="C23192" s="2" t="s">
        <v>556</v>
      </c>
      <c r="D23192" s="2" t="s">
        <v>501</v>
      </c>
      <c r="E23192" s="2" t="str">
        <f>"9783837640373"</f>
        <v>9783837640373</v>
      </c>
      <c r="F23192" s="2" t="str">
        <f>"9783839440377"</f>
        <v>9783839440377</v>
      </c>
    </row>
    <row r="23193" spans="1:6" s="3" customFormat="1" ht="29.1" customHeight="1" x14ac:dyDescent="0.25">
      <c r="A23193" s="2" t="s">
        <v>45311</v>
      </c>
      <c r="B23193" s="2" t="s">
        <v>45312</v>
      </c>
      <c r="C23193" s="2" t="s">
        <v>556</v>
      </c>
      <c r="D23193" s="2" t="s">
        <v>2326</v>
      </c>
      <c r="E23193" s="2" t="str">
        <f>"9783837640052"</f>
        <v>9783837640052</v>
      </c>
      <c r="F23193" s="2" t="str">
        <f>"9783839440056"</f>
        <v>9783839440056</v>
      </c>
    </row>
    <row r="23194" spans="1:6" s="3" customFormat="1" ht="29.1" customHeight="1" x14ac:dyDescent="0.25">
      <c r="A23194" s="2" t="s">
        <v>45313</v>
      </c>
      <c r="B23194" s="2" t="s">
        <v>45314</v>
      </c>
      <c r="C23194" s="2" t="s">
        <v>556</v>
      </c>
      <c r="D23194" s="2" t="s">
        <v>1155</v>
      </c>
      <c r="E23194" s="2" t="str">
        <f>"9783837640045"</f>
        <v>9783837640045</v>
      </c>
      <c r="F23194" s="2" t="str">
        <f>"9783839440049"</f>
        <v>9783839440049</v>
      </c>
    </row>
    <row r="23195" spans="1:6" s="3" customFormat="1" ht="29.1" customHeight="1" x14ac:dyDescent="0.25">
      <c r="A23195" s="2" t="s">
        <v>45315</v>
      </c>
      <c r="B23195" s="2" t="s">
        <v>45316</v>
      </c>
      <c r="C23195" s="2" t="s">
        <v>556</v>
      </c>
      <c r="D23195" s="2" t="s">
        <v>1895</v>
      </c>
      <c r="E23195" s="2" t="str">
        <f>"9783837638721"</f>
        <v>9783837638721</v>
      </c>
      <c r="F23195" s="2" t="str">
        <f>"9783839438725"</f>
        <v>9783839438725</v>
      </c>
    </row>
    <row r="23196" spans="1:6" s="3" customFormat="1" ht="29.1" customHeight="1" x14ac:dyDescent="0.25">
      <c r="A23196" s="2" t="s">
        <v>45317</v>
      </c>
      <c r="B23196" s="2" t="s">
        <v>45318</v>
      </c>
      <c r="C23196" s="2" t="s">
        <v>556</v>
      </c>
      <c r="D23196" s="2" t="s">
        <v>3993</v>
      </c>
      <c r="E23196" s="2" t="str">
        <f>"9783837638349"</f>
        <v>9783837638349</v>
      </c>
      <c r="F23196" s="2" t="str">
        <f>"9783839438343"</f>
        <v>9783839438343</v>
      </c>
    </row>
    <row r="23197" spans="1:6" s="3" customFormat="1" ht="29.1" customHeight="1" x14ac:dyDescent="0.25">
      <c r="A23197" s="2" t="s">
        <v>45319</v>
      </c>
      <c r="B23197" s="2" t="s">
        <v>45320</v>
      </c>
      <c r="C23197" s="2" t="s">
        <v>556</v>
      </c>
      <c r="D23197" s="2" t="s">
        <v>689</v>
      </c>
      <c r="E23197" s="2" t="str">
        <f>"9783837637892"</f>
        <v>9783837637892</v>
      </c>
      <c r="F23197" s="2" t="str">
        <f>"9783839437896"</f>
        <v>9783839437896</v>
      </c>
    </row>
    <row r="23198" spans="1:6" s="3" customFormat="1" ht="29.1" customHeight="1" x14ac:dyDescent="0.25">
      <c r="A23198" s="2" t="s">
        <v>45321</v>
      </c>
      <c r="B23198" s="2" t="s">
        <v>45322</v>
      </c>
      <c r="C23198" s="2" t="s">
        <v>556</v>
      </c>
      <c r="D23198" s="2" t="s">
        <v>3345</v>
      </c>
      <c r="E23198" s="2" t="str">
        <f>"9783837635751"</f>
        <v>9783837635751</v>
      </c>
      <c r="F23198" s="2" t="str">
        <f>"9783732835751"</f>
        <v>9783732835751</v>
      </c>
    </row>
    <row r="23199" spans="1:6" s="3" customFormat="1" ht="29.1" customHeight="1" x14ac:dyDescent="0.25">
      <c r="A23199" s="2" t="s">
        <v>45323</v>
      </c>
      <c r="B23199" s="2" t="s">
        <v>45324</v>
      </c>
      <c r="C23199" s="2" t="s">
        <v>556</v>
      </c>
      <c r="D23199" s="2" t="s">
        <v>1141</v>
      </c>
      <c r="E23199" s="2" t="str">
        <f>"9783837633580"</f>
        <v>9783837633580</v>
      </c>
      <c r="F23199" s="2" t="str">
        <f>"9783839433584"</f>
        <v>9783839433584</v>
      </c>
    </row>
    <row r="23200" spans="1:6" s="3" customFormat="1" ht="29.1" customHeight="1" x14ac:dyDescent="0.25">
      <c r="A23200" s="2" t="s">
        <v>45325</v>
      </c>
      <c r="B23200" s="2" t="s">
        <v>45326</v>
      </c>
      <c r="C23200" s="2" t="s">
        <v>29</v>
      </c>
      <c r="D23200" s="2" t="s">
        <v>3445</v>
      </c>
      <c r="E23200" s="2" t="str">
        <f>"9789004355170"</f>
        <v>9789004355170</v>
      </c>
      <c r="F23200" s="2" t="str">
        <f>"9789004356436"</f>
        <v>9789004356436</v>
      </c>
    </row>
    <row r="23201" spans="1:6" s="3" customFormat="1" ht="29.1" customHeight="1" x14ac:dyDescent="0.25">
      <c r="A23201" s="2" t="s">
        <v>45327</v>
      </c>
      <c r="B23201" s="2" t="s">
        <v>45328</v>
      </c>
      <c r="C23201" s="2" t="s">
        <v>264</v>
      </c>
      <c r="D23201" s="2" t="s">
        <v>297</v>
      </c>
      <c r="E23201" s="2" t="str">
        <f>"9780367735548"</f>
        <v>9780367735548</v>
      </c>
      <c r="F23201" s="2" t="str">
        <f>"9781315223292"</f>
        <v>9781315223292</v>
      </c>
    </row>
    <row r="23202" spans="1:6" s="3" customFormat="1" ht="29.1" customHeight="1" x14ac:dyDescent="0.25">
      <c r="A23202" s="2" t="s">
        <v>45329</v>
      </c>
      <c r="B23202" s="2" t="s">
        <v>45330</v>
      </c>
      <c r="C23202" s="2" t="s">
        <v>124</v>
      </c>
      <c r="D23202" s="2" t="s">
        <v>501</v>
      </c>
      <c r="E23202" s="2" t="str">
        <f>"9781138707436"</f>
        <v>9781138707436</v>
      </c>
      <c r="F23202" s="2" t="str">
        <f>"9781351781862"</f>
        <v>9781351781862</v>
      </c>
    </row>
    <row r="23203" spans="1:6" s="3" customFormat="1" ht="29.1" customHeight="1" x14ac:dyDescent="0.25">
      <c r="A23203" s="2" t="s">
        <v>45331</v>
      </c>
      <c r="B23203" s="2" t="s">
        <v>45332</v>
      </c>
      <c r="C23203" s="2" t="s">
        <v>2129</v>
      </c>
      <c r="D23203" s="2" t="s">
        <v>78</v>
      </c>
      <c r="E23203" s="2" t="str">
        <f>"9781438466873"</f>
        <v>9781438466873</v>
      </c>
      <c r="F23203" s="2" t="str">
        <f>"9781438466897"</f>
        <v>9781438466897</v>
      </c>
    </row>
    <row r="23204" spans="1:6" s="3" customFormat="1" ht="29.1" customHeight="1" x14ac:dyDescent="0.25">
      <c r="A23204" s="2" t="s">
        <v>45333</v>
      </c>
      <c r="B23204" s="2" t="s">
        <v>45334</v>
      </c>
      <c r="C23204" s="2" t="s">
        <v>248</v>
      </c>
      <c r="D23204" s="2" t="s">
        <v>1927</v>
      </c>
      <c r="E23204" s="2" t="str">
        <f>"9783847405597"</f>
        <v>9783847405597</v>
      </c>
      <c r="F23204" s="2" t="str">
        <f>"9783847411901"</f>
        <v>9783847411901</v>
      </c>
    </row>
    <row r="23205" spans="1:6" s="3" customFormat="1" ht="29.1" customHeight="1" x14ac:dyDescent="0.25">
      <c r="A23205" s="2" t="s">
        <v>45335</v>
      </c>
      <c r="B23205" s="2" t="s">
        <v>45336</v>
      </c>
      <c r="C23205" s="2" t="s">
        <v>248</v>
      </c>
      <c r="D23205" s="2" t="s">
        <v>3523</v>
      </c>
      <c r="E23205" s="2" t="str">
        <f>"9783847421139"</f>
        <v>9783847421139</v>
      </c>
      <c r="F23205" s="2" t="str">
        <f>"9783847410973"</f>
        <v>9783847410973</v>
      </c>
    </row>
    <row r="23206" spans="1:6" s="3" customFormat="1" ht="29.1" customHeight="1" x14ac:dyDescent="0.25">
      <c r="A23206" s="2" t="s">
        <v>1354</v>
      </c>
      <c r="B23206" s="2" t="s">
        <v>45337</v>
      </c>
      <c r="C23206" s="2" t="s">
        <v>1070</v>
      </c>
      <c r="D23206" s="2" t="s">
        <v>468</v>
      </c>
      <c r="E23206" s="2" t="str">
        <f>"9781910797525"</f>
        <v>9781910797525</v>
      </c>
      <c r="F23206" s="2" t="str">
        <f>"9781910797624"</f>
        <v>9781910797624</v>
      </c>
    </row>
    <row r="23207" spans="1:6" s="3" customFormat="1" ht="29.1" customHeight="1" x14ac:dyDescent="0.25">
      <c r="A23207" s="2" t="s">
        <v>45338</v>
      </c>
      <c r="B23207" s="2" t="s">
        <v>45339</v>
      </c>
      <c r="C23207" s="2" t="s">
        <v>1070</v>
      </c>
      <c r="D23207" s="2" t="s">
        <v>1272</v>
      </c>
      <c r="E23207" s="2" t="str">
        <f>"9781910797358"</f>
        <v>9781910797358</v>
      </c>
      <c r="F23207" s="2" t="str">
        <f>"9781910797488"</f>
        <v>9781910797488</v>
      </c>
    </row>
    <row r="23208" spans="1:6" s="3" customFormat="1" ht="29.1" customHeight="1" x14ac:dyDescent="0.25">
      <c r="A23208" s="2" t="s">
        <v>45340</v>
      </c>
      <c r="B23208" s="2" t="s">
        <v>45341</v>
      </c>
      <c r="C23208" s="2" t="s">
        <v>195</v>
      </c>
      <c r="D23208" s="2" t="s">
        <v>9392</v>
      </c>
      <c r="E23208" s="2" t="str">
        <f>"9783110468281"</f>
        <v>9783110468281</v>
      </c>
      <c r="F23208" s="2" t="str">
        <f>"9783110468342"</f>
        <v>9783110468342</v>
      </c>
    </row>
    <row r="23209" spans="1:6" s="3" customFormat="1" ht="29.1" customHeight="1" x14ac:dyDescent="0.25">
      <c r="A23209" s="2" t="s">
        <v>45342</v>
      </c>
      <c r="B23209" s="2" t="s">
        <v>45343</v>
      </c>
      <c r="C23209" s="2" t="s">
        <v>124</v>
      </c>
      <c r="D23209" s="2" t="s">
        <v>210</v>
      </c>
      <c r="E23209" s="2" t="str">
        <f>"9781138721845"</f>
        <v>9781138721845</v>
      </c>
      <c r="F23209" s="2" t="str">
        <f>"9781351759830"</f>
        <v>9781351759830</v>
      </c>
    </row>
    <row r="23210" spans="1:6" s="3" customFormat="1" ht="29.1" customHeight="1" x14ac:dyDescent="0.25">
      <c r="A23210" s="2" t="s">
        <v>45344</v>
      </c>
      <c r="B23210" s="2" t="s">
        <v>45345</v>
      </c>
      <c r="C23210" s="2" t="s">
        <v>29</v>
      </c>
      <c r="D23210" s="2" t="s">
        <v>118</v>
      </c>
      <c r="E23210" s="2" t="str">
        <f>"9789004356306"</f>
        <v>9789004356306</v>
      </c>
      <c r="F23210" s="2" t="str">
        <f>"9789004356313"</f>
        <v>9789004356313</v>
      </c>
    </row>
    <row r="23211" spans="1:6" s="3" customFormat="1" ht="29.1" customHeight="1" x14ac:dyDescent="0.25">
      <c r="A23211" s="2" t="s">
        <v>45346</v>
      </c>
      <c r="B23211" s="2" t="s">
        <v>45347</v>
      </c>
      <c r="C23211" s="2" t="s">
        <v>29</v>
      </c>
      <c r="D23211" s="2" t="s">
        <v>509</v>
      </c>
      <c r="E23211" s="2" t="str">
        <f>"9789004354982"</f>
        <v>9789004354982</v>
      </c>
      <c r="F23211" s="2" t="str">
        <f>"9789004355095"</f>
        <v>9789004355095</v>
      </c>
    </row>
    <row r="23212" spans="1:6" s="3" customFormat="1" ht="29.1" customHeight="1" x14ac:dyDescent="0.25">
      <c r="A23212" s="2" t="s">
        <v>45348</v>
      </c>
      <c r="B23212" s="2" t="s">
        <v>45349</v>
      </c>
      <c r="C23212" s="2" t="s">
        <v>124</v>
      </c>
      <c r="D23212" s="2" t="s">
        <v>8149</v>
      </c>
      <c r="E23212" s="2" t="str">
        <f>"9781138241022"</f>
        <v>9781138241022</v>
      </c>
      <c r="F23212" s="2" t="str">
        <f>"9781315281599"</f>
        <v>9781315281599</v>
      </c>
    </row>
    <row r="23213" spans="1:6" s="3" customFormat="1" ht="29.1" customHeight="1" x14ac:dyDescent="0.25">
      <c r="A23213" s="2" t="s">
        <v>45350</v>
      </c>
      <c r="B23213" s="2" t="s">
        <v>45351</v>
      </c>
      <c r="C23213" s="2" t="s">
        <v>264</v>
      </c>
      <c r="D23213" s="2" t="s">
        <v>297</v>
      </c>
      <c r="E23213" s="2" t="str">
        <f>"9780367735586"</f>
        <v>9780367735586</v>
      </c>
      <c r="F23213" s="2" t="str">
        <f>"9781315225302"</f>
        <v>9781315225302</v>
      </c>
    </row>
    <row r="23214" spans="1:6" s="3" customFormat="1" ht="29.1" customHeight="1" x14ac:dyDescent="0.25">
      <c r="A23214" s="2" t="s">
        <v>45352</v>
      </c>
      <c r="B23214" s="2" t="s">
        <v>45353</v>
      </c>
      <c r="C23214" s="2" t="s">
        <v>195</v>
      </c>
      <c r="D23214" s="2" t="s">
        <v>4678</v>
      </c>
      <c r="E23214" s="2" t="str">
        <f>"9783110297607"</f>
        <v>9783110297607</v>
      </c>
      <c r="F23214" s="2" t="str">
        <f>"9783110299199"</f>
        <v>9783110299199</v>
      </c>
    </row>
    <row r="23215" spans="1:6" s="3" customFormat="1" ht="29.1" customHeight="1" x14ac:dyDescent="0.25">
      <c r="A23215" s="2" t="s">
        <v>45354</v>
      </c>
      <c r="B23215" s="2" t="s">
        <v>45355</v>
      </c>
      <c r="C23215" s="2" t="s">
        <v>124</v>
      </c>
      <c r="D23215" s="2" t="s">
        <v>162</v>
      </c>
      <c r="E23215" s="2" t="str">
        <f>"9781138551176"</f>
        <v>9781138551176</v>
      </c>
      <c r="F23215" s="2" t="str">
        <f>"9781351376334"</f>
        <v>9781351376334</v>
      </c>
    </row>
    <row r="23216" spans="1:6" s="3" customFormat="1" ht="29.1" customHeight="1" x14ac:dyDescent="0.25">
      <c r="A23216" s="2" t="s">
        <v>45356</v>
      </c>
      <c r="B23216" s="2" t="s">
        <v>45357</v>
      </c>
      <c r="C23216" s="2" t="s">
        <v>195</v>
      </c>
      <c r="D23216" s="2" t="s">
        <v>7132</v>
      </c>
      <c r="E23216" s="2" t="str">
        <f>"9783110529043"</f>
        <v>9783110529043</v>
      </c>
      <c r="F23216" s="2" t="str">
        <f>"9783110530247"</f>
        <v>9783110530247</v>
      </c>
    </row>
    <row r="23217" spans="1:6" s="3" customFormat="1" ht="29.1" customHeight="1" x14ac:dyDescent="0.25">
      <c r="A23217" s="2" t="s">
        <v>45358</v>
      </c>
      <c r="B23217" s="2" t="s">
        <v>45359</v>
      </c>
      <c r="C23217" s="2" t="s">
        <v>195</v>
      </c>
      <c r="D23217" s="2" t="s">
        <v>7132</v>
      </c>
      <c r="E23217" s="2" t="str">
        <f>"9783110374391"</f>
        <v>9783110374391</v>
      </c>
      <c r="F23217" s="2" t="str">
        <f>"9783110379129"</f>
        <v>9783110379129</v>
      </c>
    </row>
    <row r="23218" spans="1:6" s="3" customFormat="1" ht="29.1" customHeight="1" x14ac:dyDescent="0.25">
      <c r="A23218" s="2" t="s">
        <v>45360</v>
      </c>
      <c r="B23218" s="2" t="s">
        <v>45361</v>
      </c>
      <c r="C23218" s="2" t="s">
        <v>124</v>
      </c>
      <c r="D23218" s="2" t="s">
        <v>270</v>
      </c>
      <c r="E23218" s="2" t="str">
        <f>"9781138049185"</f>
        <v>9781138049185</v>
      </c>
      <c r="F23218" s="2" t="str">
        <f>"9781351689793"</f>
        <v>9781351689793</v>
      </c>
    </row>
    <row r="23219" spans="1:6" s="3" customFormat="1" ht="29.1" customHeight="1" x14ac:dyDescent="0.25">
      <c r="A23219" s="2" t="s">
        <v>45362</v>
      </c>
      <c r="B23219" s="2" t="s">
        <v>45363</v>
      </c>
      <c r="C23219" s="2" t="s">
        <v>149</v>
      </c>
      <c r="D23219" s="2" t="s">
        <v>297</v>
      </c>
      <c r="E23219" s="2" t="str">
        <f>"9781783744039"</f>
        <v>9781783744039</v>
      </c>
      <c r="F23219" s="2" t="str">
        <f>"9781783744053"</f>
        <v>9781783744053</v>
      </c>
    </row>
    <row r="23220" spans="1:6" s="3" customFormat="1" ht="29.1" customHeight="1" x14ac:dyDescent="0.25">
      <c r="A23220" s="2" t="s">
        <v>45364</v>
      </c>
      <c r="B23220" s="2" t="s">
        <v>45366</v>
      </c>
      <c r="C23220" s="2" t="s">
        <v>149</v>
      </c>
      <c r="D23220" s="2" t="s">
        <v>45365</v>
      </c>
      <c r="E23220" s="2" t="str">
        <f>"9781783743681"</f>
        <v>9781783743681</v>
      </c>
      <c r="F23220" s="2" t="str">
        <f>"9781783743704"</f>
        <v>9781783743704</v>
      </c>
    </row>
    <row r="23221" spans="1:6" s="3" customFormat="1" ht="29.1" customHeight="1" x14ac:dyDescent="0.25">
      <c r="A23221" s="2" t="s">
        <v>45367</v>
      </c>
      <c r="B23221" s="2" t="s">
        <v>45368</v>
      </c>
      <c r="C23221" s="2" t="s">
        <v>149</v>
      </c>
      <c r="D23221" s="2" t="s">
        <v>3993</v>
      </c>
      <c r="E23221" s="2" t="str">
        <f>"9781783742233"</f>
        <v>9781783742233</v>
      </c>
      <c r="F23221" s="2" t="str">
        <f>"9781783742257"</f>
        <v>9781783742257</v>
      </c>
    </row>
    <row r="23222" spans="1:6" s="3" customFormat="1" ht="29.1" customHeight="1" x14ac:dyDescent="0.25">
      <c r="A23222" s="2" t="s">
        <v>45369</v>
      </c>
      <c r="B23222" s="2" t="s">
        <v>45370</v>
      </c>
      <c r="C23222" s="2" t="s">
        <v>149</v>
      </c>
      <c r="D23222" s="2" t="s">
        <v>2326</v>
      </c>
      <c r="E23222" s="2" t="str">
        <f>"9781783743988"</f>
        <v>9781783743988</v>
      </c>
      <c r="F23222" s="2" t="str">
        <f>"9781783744008"</f>
        <v>9781783744008</v>
      </c>
    </row>
    <row r="23223" spans="1:6" s="3" customFormat="1" ht="29.1" customHeight="1" x14ac:dyDescent="0.25">
      <c r="A23223" s="2" t="s">
        <v>45371</v>
      </c>
      <c r="B23223" s="2" t="s">
        <v>45372</v>
      </c>
      <c r="C23223" s="2" t="s">
        <v>149</v>
      </c>
      <c r="D23223" s="2" t="s">
        <v>689</v>
      </c>
      <c r="E23223" s="2" t="str">
        <f>"9781783743889"</f>
        <v>9781783743889</v>
      </c>
      <c r="F23223" s="2" t="str">
        <f>"9781783743902"</f>
        <v>9781783743902</v>
      </c>
    </row>
    <row r="23224" spans="1:6" s="3" customFormat="1" ht="29.1" customHeight="1" x14ac:dyDescent="0.25">
      <c r="A23224" s="2" t="s">
        <v>45373</v>
      </c>
      <c r="B23224" s="2" t="s">
        <v>45374</v>
      </c>
      <c r="C23224" s="2" t="s">
        <v>149</v>
      </c>
      <c r="D23224" s="2" t="s">
        <v>5832</v>
      </c>
      <c r="E23224" s="2" t="str">
        <f>"9781783743483"</f>
        <v>9781783743483</v>
      </c>
      <c r="F23224" s="2" t="str">
        <f>"9781783743506"</f>
        <v>9781783743506</v>
      </c>
    </row>
    <row r="23225" spans="1:6" s="3" customFormat="1" ht="29.1" customHeight="1" x14ac:dyDescent="0.25">
      <c r="A23225" s="2" t="s">
        <v>45375</v>
      </c>
      <c r="B23225" s="2" t="s">
        <v>45376</v>
      </c>
      <c r="C23225" s="2" t="s">
        <v>2129</v>
      </c>
      <c r="D23225" s="2" t="s">
        <v>49</v>
      </c>
      <c r="E23225" s="2" t="str">
        <f>"9781438467115"</f>
        <v>9781438467115</v>
      </c>
      <c r="F23225" s="2" t="str">
        <f>"9781438467122"</f>
        <v>9781438467122</v>
      </c>
    </row>
    <row r="23226" spans="1:6" s="3" customFormat="1" ht="29.1" customHeight="1" x14ac:dyDescent="0.25">
      <c r="A23226" s="2" t="s">
        <v>45377</v>
      </c>
      <c r="B23226" s="2" t="s">
        <v>45378</v>
      </c>
      <c r="C23226" s="2" t="s">
        <v>2129</v>
      </c>
      <c r="D23226" s="2" t="s">
        <v>3214</v>
      </c>
      <c r="E23226" s="2" t="str">
        <f>"9781438467139"</f>
        <v>9781438467139</v>
      </c>
      <c r="F23226" s="2" t="str">
        <f>"9781438467153"</f>
        <v>9781438467153</v>
      </c>
    </row>
    <row r="23227" spans="1:6" s="3" customFormat="1" ht="29.1" customHeight="1" x14ac:dyDescent="0.25">
      <c r="A23227" s="2" t="s">
        <v>45379</v>
      </c>
      <c r="B23227" s="2" t="s">
        <v>45380</v>
      </c>
      <c r="C23227" s="2" t="s">
        <v>31902</v>
      </c>
      <c r="D23227" s="2" t="s">
        <v>5032</v>
      </c>
      <c r="E23227" s="2" t="str">
        <f>"9782759821389"</f>
        <v>9782759821389</v>
      </c>
      <c r="F23227" s="2" t="str">
        <f>"9782759821976"</f>
        <v>9782759821976</v>
      </c>
    </row>
    <row r="23228" spans="1:6" s="3" customFormat="1" ht="29.1" customHeight="1" x14ac:dyDescent="0.25">
      <c r="A23228" s="2" t="s">
        <v>45381</v>
      </c>
      <c r="B23228" s="2" t="s">
        <v>45382</v>
      </c>
      <c r="C23228" s="2" t="s">
        <v>248</v>
      </c>
      <c r="D23228" s="2" t="s">
        <v>596</v>
      </c>
      <c r="E23228" s="2" t="str">
        <f>"9783847421153"</f>
        <v>9783847421153</v>
      </c>
      <c r="F23228" s="2" t="str">
        <f>"9783847410997"</f>
        <v>9783847410997</v>
      </c>
    </row>
    <row r="23229" spans="1:6" s="3" customFormat="1" ht="29.1" customHeight="1" x14ac:dyDescent="0.25">
      <c r="A23229" s="2" t="s">
        <v>45383</v>
      </c>
      <c r="B23229" s="2" t="s">
        <v>45384</v>
      </c>
      <c r="C23229" s="2" t="s">
        <v>248</v>
      </c>
      <c r="D23229" s="2" t="s">
        <v>501</v>
      </c>
      <c r="E23229" s="2" t="str">
        <f>"9783847420453"</f>
        <v>9783847420453</v>
      </c>
      <c r="F23229" s="2" t="str">
        <f>"9783847410720"</f>
        <v>9783847410720</v>
      </c>
    </row>
    <row r="23230" spans="1:6" s="3" customFormat="1" ht="29.1" customHeight="1" x14ac:dyDescent="0.25">
      <c r="A23230" s="2" t="s">
        <v>45385</v>
      </c>
      <c r="B23230" s="2" t="s">
        <v>45386</v>
      </c>
      <c r="C23230" s="2" t="s">
        <v>248</v>
      </c>
      <c r="D23230" s="2" t="s">
        <v>75</v>
      </c>
      <c r="E23230" s="2" t="str">
        <f>"9783847420613"</f>
        <v>9783847420613</v>
      </c>
      <c r="F23230" s="2" t="str">
        <f>"9783847411031"</f>
        <v>9783847411031</v>
      </c>
    </row>
    <row r="23231" spans="1:6" s="3" customFormat="1" ht="29.1" customHeight="1" x14ac:dyDescent="0.25">
      <c r="A23231" s="2" t="s">
        <v>45387</v>
      </c>
      <c r="B23231" s="2" t="s">
        <v>45388</v>
      </c>
      <c r="C23231" s="2" t="s">
        <v>248</v>
      </c>
      <c r="D23231" s="2" t="s">
        <v>855</v>
      </c>
      <c r="E23231" s="2" t="str">
        <f>"9783847421030"</f>
        <v>9783847421030</v>
      </c>
      <c r="F23231" s="2" t="str">
        <f>"9783847411215"</f>
        <v>9783847411215</v>
      </c>
    </row>
    <row r="23232" spans="1:6" s="3" customFormat="1" ht="29.1" customHeight="1" x14ac:dyDescent="0.25">
      <c r="A23232" s="2" t="s">
        <v>45389</v>
      </c>
      <c r="B23232" s="2" t="s">
        <v>45390</v>
      </c>
      <c r="C23232" s="2" t="s">
        <v>885</v>
      </c>
      <c r="D23232" s="2" t="s">
        <v>509</v>
      </c>
      <c r="E23232" s="2" t="str">
        <f>"9781442649149"</f>
        <v>9781442649149</v>
      </c>
      <c r="F23232" s="2" t="str">
        <f>"9781442619548"</f>
        <v>9781442619548</v>
      </c>
    </row>
    <row r="23233" spans="1:6" s="3" customFormat="1" ht="29.1" customHeight="1" x14ac:dyDescent="0.25">
      <c r="A23233" s="2" t="s">
        <v>45391</v>
      </c>
      <c r="B23233" s="2" t="s">
        <v>45392</v>
      </c>
      <c r="C23233" s="2" t="s">
        <v>43061</v>
      </c>
      <c r="D23233" s="2" t="s">
        <v>353</v>
      </c>
      <c r="E23233" s="2" t="str">
        <f>"9783737603461"</f>
        <v>9783737603461</v>
      </c>
      <c r="F23233" s="2" t="str">
        <f>"9783737603478"</f>
        <v>9783737603478</v>
      </c>
    </row>
    <row r="23234" spans="1:6" s="3" customFormat="1" ht="29.1" customHeight="1" x14ac:dyDescent="0.25">
      <c r="A23234" s="2" t="s">
        <v>45393</v>
      </c>
      <c r="B23234" s="2" t="s">
        <v>45394</v>
      </c>
      <c r="C23234" s="2" t="s">
        <v>55</v>
      </c>
      <c r="D23234" s="2" t="s">
        <v>12120</v>
      </c>
      <c r="E23234" s="2" t="str">
        <f>"9781526113276"</f>
        <v>9781526113276</v>
      </c>
      <c r="F23234" s="2" t="str">
        <f>"9781526113283"</f>
        <v>9781526113283</v>
      </c>
    </row>
    <row r="23235" spans="1:6" s="3" customFormat="1" ht="29.1" customHeight="1" x14ac:dyDescent="0.25">
      <c r="A23235" s="2" t="s">
        <v>45395</v>
      </c>
      <c r="B23235" s="2" t="s">
        <v>45396</v>
      </c>
      <c r="C23235" s="2" t="s">
        <v>124</v>
      </c>
      <c r="D23235" s="2" t="s">
        <v>339</v>
      </c>
      <c r="E23235" s="2" t="str">
        <f>"9780415792561"</f>
        <v>9780415792561</v>
      </c>
      <c r="F23235" s="2" t="str">
        <f>"9781351813235"</f>
        <v>9781351813235</v>
      </c>
    </row>
    <row r="23236" spans="1:6" s="3" customFormat="1" ht="29.1" customHeight="1" x14ac:dyDescent="0.25">
      <c r="A23236" s="2" t="s">
        <v>45397</v>
      </c>
      <c r="B23236" s="2" t="s">
        <v>45398</v>
      </c>
      <c r="C23236" s="2" t="s">
        <v>124</v>
      </c>
      <c r="D23236" s="2" t="s">
        <v>334</v>
      </c>
      <c r="E23236" s="2" t="str">
        <f>"9781138082564"</f>
        <v>9781138082564</v>
      </c>
      <c r="F23236" s="2" t="str">
        <f>"9781351622073"</f>
        <v>9781351622073</v>
      </c>
    </row>
    <row r="23237" spans="1:6" s="3" customFormat="1" ht="29.1" customHeight="1" x14ac:dyDescent="0.25">
      <c r="A23237" s="2" t="s">
        <v>45399</v>
      </c>
      <c r="B23237" s="2" t="s">
        <v>45400</v>
      </c>
      <c r="C23237" s="2" t="s">
        <v>124</v>
      </c>
      <c r="D23237" s="2" t="s">
        <v>876</v>
      </c>
      <c r="E23237" s="2" t="str">
        <f>"9781138693814"</f>
        <v>9781138693814</v>
      </c>
      <c r="F23237" s="2" t="str">
        <f>"9781315529356"</f>
        <v>9781315529356</v>
      </c>
    </row>
    <row r="23238" spans="1:6" s="3" customFormat="1" ht="29.1" customHeight="1" x14ac:dyDescent="0.25">
      <c r="A23238" s="2" t="s">
        <v>45401</v>
      </c>
      <c r="B23238" s="2" t="s">
        <v>45402</v>
      </c>
      <c r="C23238" s="2" t="s">
        <v>195</v>
      </c>
      <c r="D23238" s="2" t="s">
        <v>522</v>
      </c>
      <c r="E23238" s="2" t="str">
        <f>"9783110533453"</f>
        <v>9783110533453</v>
      </c>
      <c r="F23238" s="2" t="str">
        <f>"9783110533484"</f>
        <v>9783110533484</v>
      </c>
    </row>
    <row r="23239" spans="1:6" s="3" customFormat="1" ht="29.1" customHeight="1" x14ac:dyDescent="0.25">
      <c r="A23239" s="2" t="s">
        <v>45403</v>
      </c>
      <c r="B23239" s="2" t="s">
        <v>45404</v>
      </c>
      <c r="C23239" s="2" t="s">
        <v>195</v>
      </c>
      <c r="D23239" s="2" t="s">
        <v>2713</v>
      </c>
      <c r="E23239" s="2" t="str">
        <f>"9783110566147"</f>
        <v>9783110566147</v>
      </c>
      <c r="F23239" s="2" t="str">
        <f>"9783110566222"</f>
        <v>9783110566222</v>
      </c>
    </row>
    <row r="23240" spans="1:6" s="3" customFormat="1" ht="29.1" customHeight="1" x14ac:dyDescent="0.25">
      <c r="A23240" s="2" t="s">
        <v>45405</v>
      </c>
      <c r="B23240" s="2" t="s">
        <v>45406</v>
      </c>
      <c r="C23240" s="2" t="s">
        <v>195</v>
      </c>
      <c r="D23240" s="2" t="s">
        <v>462</v>
      </c>
      <c r="E23240" s="2" t="str">
        <f>"9783110537710"</f>
        <v>9783110537710</v>
      </c>
      <c r="F23240" s="2" t="str">
        <f>"9783110538113"</f>
        <v>9783110538113</v>
      </c>
    </row>
    <row r="23241" spans="1:6" s="3" customFormat="1" ht="29.1" customHeight="1" x14ac:dyDescent="0.25">
      <c r="A23241" s="2" t="s">
        <v>45407</v>
      </c>
      <c r="B23241" s="2" t="s">
        <v>45408</v>
      </c>
      <c r="C23241" s="2" t="s">
        <v>15052</v>
      </c>
      <c r="D23241" s="2" t="s">
        <v>33</v>
      </c>
      <c r="E23241" s="2" t="str">
        <f>"9780804785297"</f>
        <v>9780804785297</v>
      </c>
      <c r="F23241" s="2" t="str">
        <f>"9781503604049"</f>
        <v>9781503604049</v>
      </c>
    </row>
    <row r="23242" spans="1:6" s="3" customFormat="1" ht="29.1" customHeight="1" x14ac:dyDescent="0.25">
      <c r="A23242" s="2" t="s">
        <v>45409</v>
      </c>
      <c r="B23242" s="2" t="s">
        <v>45410</v>
      </c>
      <c r="C23242" s="2" t="s">
        <v>195</v>
      </c>
      <c r="D23242" s="2" t="s">
        <v>462</v>
      </c>
      <c r="E23242" s="2" t="str">
        <f>"9783110461459"</f>
        <v>9783110461459</v>
      </c>
      <c r="F23242" s="2" t="str">
        <f>"9783110461794"</f>
        <v>9783110461794</v>
      </c>
    </row>
    <row r="23243" spans="1:6" s="3" customFormat="1" ht="29.1" customHeight="1" x14ac:dyDescent="0.25">
      <c r="A23243" s="2" t="s">
        <v>45411</v>
      </c>
      <c r="B23243" s="2" t="s">
        <v>45412</v>
      </c>
      <c r="C23243" s="2" t="s">
        <v>195</v>
      </c>
      <c r="D23243" s="2" t="s">
        <v>210</v>
      </c>
      <c r="E23243" s="2" t="str">
        <f>"9783486582574"</f>
        <v>9783486582574</v>
      </c>
      <c r="F23243" s="2" t="str">
        <f>"9783110446364"</f>
        <v>9783110446364</v>
      </c>
    </row>
    <row r="23244" spans="1:6" s="3" customFormat="1" ht="29.1" customHeight="1" x14ac:dyDescent="0.25">
      <c r="A23244" s="2" t="s">
        <v>45413</v>
      </c>
      <c r="B23244" s="2" t="s">
        <v>45414</v>
      </c>
      <c r="C23244" s="2" t="s">
        <v>195</v>
      </c>
      <c r="D23244" s="2" t="s">
        <v>210</v>
      </c>
      <c r="E23244" s="2" t="str">
        <f>"9783486582369"</f>
        <v>9783486582369</v>
      </c>
      <c r="F23244" s="2" t="str">
        <f>"9783110446449"</f>
        <v>9783110446449</v>
      </c>
    </row>
    <row r="23245" spans="1:6" s="3" customFormat="1" ht="29.1" customHeight="1" x14ac:dyDescent="0.25">
      <c r="A23245" s="2" t="s">
        <v>45415</v>
      </c>
      <c r="B23245" s="2" t="s">
        <v>45416</v>
      </c>
      <c r="C23245" s="2" t="s">
        <v>195</v>
      </c>
      <c r="D23245" s="2" t="s">
        <v>210</v>
      </c>
      <c r="E23245" s="2" t="str">
        <f>"9783486597400"</f>
        <v>9783486597400</v>
      </c>
      <c r="F23245" s="2" t="str">
        <f>"9783110446715"</f>
        <v>9783110446715</v>
      </c>
    </row>
    <row r="23246" spans="1:6" s="3" customFormat="1" ht="29.1" customHeight="1" x14ac:dyDescent="0.25">
      <c r="A23246" s="2" t="s">
        <v>45417</v>
      </c>
      <c r="B23246" s="2" t="s">
        <v>45418</v>
      </c>
      <c r="C23246" s="2" t="s">
        <v>195</v>
      </c>
      <c r="D23246" s="2" t="s">
        <v>210</v>
      </c>
      <c r="E23246" s="2" t="str">
        <f>"9783486597103"</f>
        <v>9783486597103</v>
      </c>
      <c r="F23246" s="2" t="str">
        <f>"9783110446678"</f>
        <v>9783110446678</v>
      </c>
    </row>
    <row r="23247" spans="1:6" s="3" customFormat="1" ht="29.1" customHeight="1" x14ac:dyDescent="0.25">
      <c r="A23247" s="2" t="s">
        <v>45419</v>
      </c>
      <c r="B23247" s="2" t="s">
        <v>45420</v>
      </c>
      <c r="C23247" s="2" t="s">
        <v>195</v>
      </c>
      <c r="D23247" s="2" t="s">
        <v>210</v>
      </c>
      <c r="E23247" s="2" t="str">
        <f>"9783486584905"</f>
        <v>9783486584905</v>
      </c>
      <c r="F23247" s="2" t="str">
        <f>"9783110446388"</f>
        <v>9783110446388</v>
      </c>
    </row>
    <row r="23248" spans="1:6" s="3" customFormat="1" ht="29.1" customHeight="1" x14ac:dyDescent="0.25">
      <c r="A23248" s="2" t="s">
        <v>45421</v>
      </c>
      <c r="B23248" s="2" t="s">
        <v>45422</v>
      </c>
      <c r="C23248" s="2" t="s">
        <v>195</v>
      </c>
      <c r="D23248" s="2" t="s">
        <v>210</v>
      </c>
      <c r="E23248" s="2" t="str">
        <f>"9783486586701"</f>
        <v>9783486586701</v>
      </c>
      <c r="F23248" s="2" t="str">
        <f>"9783110446494"</f>
        <v>9783110446494</v>
      </c>
    </row>
    <row r="23249" spans="1:6" s="3" customFormat="1" ht="29.1" customHeight="1" x14ac:dyDescent="0.25">
      <c r="A23249" s="2" t="s">
        <v>45423</v>
      </c>
      <c r="B23249" s="2" t="s">
        <v>45424</v>
      </c>
      <c r="C23249" s="2" t="s">
        <v>195</v>
      </c>
      <c r="D23249" s="2" t="s">
        <v>210</v>
      </c>
      <c r="E23249" s="2" t="str">
        <f>"9783486590531"</f>
        <v>9783486590531</v>
      </c>
      <c r="F23249" s="2" t="str">
        <f>"9783110446524"</f>
        <v>9783110446524</v>
      </c>
    </row>
    <row r="23250" spans="1:6" s="3" customFormat="1" ht="29.1" customHeight="1" x14ac:dyDescent="0.25">
      <c r="A23250" s="2" t="s">
        <v>45425</v>
      </c>
      <c r="B23250" s="2" t="s">
        <v>45426</v>
      </c>
      <c r="C23250" s="2" t="s">
        <v>195</v>
      </c>
      <c r="D23250" s="2" t="s">
        <v>210</v>
      </c>
      <c r="E23250" s="2" t="str">
        <f>"9783486590524"</f>
        <v>9783486590524</v>
      </c>
      <c r="F23250" s="2" t="str">
        <f>"9783110446500"</f>
        <v>9783110446500</v>
      </c>
    </row>
    <row r="23251" spans="1:6" s="3" customFormat="1" ht="29.1" customHeight="1" x14ac:dyDescent="0.25">
      <c r="A23251" s="2" t="s">
        <v>45427</v>
      </c>
      <c r="B23251" s="2" t="s">
        <v>45428</v>
      </c>
      <c r="C23251" s="2" t="s">
        <v>20</v>
      </c>
      <c r="D23251" s="2" t="s">
        <v>21</v>
      </c>
      <c r="E23251" s="2" t="str">
        <f>"9783763958979"</f>
        <v>9783763958979</v>
      </c>
      <c r="F23251" s="2" t="str">
        <f>"9783763958986"</f>
        <v>9783763958986</v>
      </c>
    </row>
    <row r="23252" spans="1:6" s="3" customFormat="1" ht="29.1" customHeight="1" x14ac:dyDescent="0.25">
      <c r="A23252" s="2" t="s">
        <v>45429</v>
      </c>
      <c r="B23252" s="2" t="s">
        <v>45430</v>
      </c>
      <c r="C23252" s="2" t="s">
        <v>264</v>
      </c>
      <c r="D23252" s="2" t="s">
        <v>297</v>
      </c>
      <c r="E23252" s="2" t="str">
        <f>"9780367735685"</f>
        <v>9780367735685</v>
      </c>
      <c r="F23252" s="2" t="str">
        <f>"9781315225227"</f>
        <v>9781315225227</v>
      </c>
    </row>
    <row r="23253" spans="1:6" s="3" customFormat="1" ht="29.1" customHeight="1" x14ac:dyDescent="0.25">
      <c r="A23253" s="2" t="s">
        <v>45431</v>
      </c>
      <c r="B23253" s="2" t="s">
        <v>45432</v>
      </c>
      <c r="C23253" s="2" t="s">
        <v>29</v>
      </c>
      <c r="D23253" s="2" t="s">
        <v>3889</v>
      </c>
      <c r="E23253" s="2" t="str">
        <f>"9789004350632"</f>
        <v>9789004350632</v>
      </c>
      <c r="F23253" s="2" t="str">
        <f>"9789004351271"</f>
        <v>9789004351271</v>
      </c>
    </row>
    <row r="23254" spans="1:6" s="3" customFormat="1" ht="29.1" customHeight="1" x14ac:dyDescent="0.25">
      <c r="A23254" s="2" t="s">
        <v>45433</v>
      </c>
      <c r="B23254" s="2" t="s">
        <v>45434</v>
      </c>
      <c r="C23254" s="2" t="s">
        <v>29</v>
      </c>
      <c r="D23254" s="2" t="s">
        <v>462</v>
      </c>
      <c r="E23254" s="2" t="str">
        <f>"9789004346680"</f>
        <v>9789004346680</v>
      </c>
      <c r="F23254" s="2" t="str">
        <f>"9789004352612"</f>
        <v>9789004352612</v>
      </c>
    </row>
    <row r="23255" spans="1:6" s="3" customFormat="1" ht="29.1" customHeight="1" x14ac:dyDescent="0.25">
      <c r="A23255" s="2" t="s">
        <v>45435</v>
      </c>
      <c r="B23255" s="2" t="s">
        <v>45436</v>
      </c>
      <c r="C23255" s="2" t="s">
        <v>29</v>
      </c>
      <c r="D23255" s="2" t="s">
        <v>755</v>
      </c>
      <c r="E23255" s="2" t="str">
        <f>"9789086863143"</f>
        <v>9789086863143</v>
      </c>
      <c r="F23255" s="2" t="str">
        <f>"9789086868629"</f>
        <v>9789086868629</v>
      </c>
    </row>
    <row r="23256" spans="1:6" s="3" customFormat="1" ht="29.1" customHeight="1" x14ac:dyDescent="0.25">
      <c r="A23256" s="2" t="s">
        <v>45437</v>
      </c>
      <c r="B23256" s="2" t="s">
        <v>45438</v>
      </c>
      <c r="C23256" s="2" t="s">
        <v>29</v>
      </c>
      <c r="D23256" s="2" t="s">
        <v>755</v>
      </c>
      <c r="E23256" s="2" t="str">
        <f>"9789004696280"</f>
        <v>9789004696280</v>
      </c>
      <c r="F23256" s="2" t="str">
        <f>"9789086868612"</f>
        <v>9789086868612</v>
      </c>
    </row>
    <row r="23257" spans="1:6" s="3" customFormat="1" ht="29.1" customHeight="1" x14ac:dyDescent="0.25">
      <c r="A23257" s="2" t="s">
        <v>45439</v>
      </c>
      <c r="B23257" s="2" t="s">
        <v>45440</v>
      </c>
      <c r="C23257" s="2" t="s">
        <v>11220</v>
      </c>
      <c r="D23257" s="2" t="s">
        <v>1162</v>
      </c>
      <c r="E23257" s="2" t="str">
        <f>"9781479855841"</f>
        <v>9781479855841</v>
      </c>
      <c r="F23257" s="2" t="str">
        <f>"9781479838677"</f>
        <v>9781479838677</v>
      </c>
    </row>
    <row r="23258" spans="1:6" s="3" customFormat="1" ht="29.1" customHeight="1" x14ac:dyDescent="0.25">
      <c r="A23258" s="2" t="s">
        <v>45441</v>
      </c>
      <c r="B23258" s="2" t="s">
        <v>45442</v>
      </c>
      <c r="C23258" s="2" t="s">
        <v>11220</v>
      </c>
      <c r="D23258" s="2" t="s">
        <v>15</v>
      </c>
      <c r="E23258" s="2" t="str">
        <f>"9781479897117"</f>
        <v>9781479897117</v>
      </c>
      <c r="F23258" s="2" t="str">
        <f>"9781479871247"</f>
        <v>9781479871247</v>
      </c>
    </row>
    <row r="23259" spans="1:6" s="3" customFormat="1" ht="29.1" customHeight="1" x14ac:dyDescent="0.25">
      <c r="A23259" s="2" t="s">
        <v>45443</v>
      </c>
      <c r="B23259" s="2" t="s">
        <v>45444</v>
      </c>
      <c r="C23259" s="2" t="s">
        <v>11220</v>
      </c>
      <c r="D23259" s="2" t="s">
        <v>5864</v>
      </c>
      <c r="E23259" s="2" t="str">
        <f>"9781479896165"</f>
        <v>9781479896165</v>
      </c>
      <c r="F23259" s="2" t="str">
        <f>"9781479815357"</f>
        <v>9781479815357</v>
      </c>
    </row>
    <row r="23260" spans="1:6" s="3" customFormat="1" ht="29.1" customHeight="1" x14ac:dyDescent="0.25">
      <c r="A23260" s="2" t="s">
        <v>45445</v>
      </c>
      <c r="B23260" s="2" t="s">
        <v>45446</v>
      </c>
      <c r="C23260" s="2" t="s">
        <v>11220</v>
      </c>
      <c r="D23260" s="2" t="s">
        <v>5864</v>
      </c>
      <c r="E23260" s="2" t="str">
        <f>"9781479813155"</f>
        <v>9781479813155</v>
      </c>
      <c r="F23260" s="2" t="str">
        <f>"9781479866823"</f>
        <v>9781479866823</v>
      </c>
    </row>
    <row r="23261" spans="1:6" s="3" customFormat="1" ht="29.1" customHeight="1" x14ac:dyDescent="0.25">
      <c r="A23261" s="2" t="s">
        <v>45447</v>
      </c>
      <c r="B23261" s="2" t="s">
        <v>45448</v>
      </c>
      <c r="C23261" s="2" t="s">
        <v>43061</v>
      </c>
      <c r="D23261" s="2" t="s">
        <v>4205</v>
      </c>
      <c r="E23261" s="2" t="str">
        <f>"9783737602303"</f>
        <v>9783737602303</v>
      </c>
      <c r="F23261" s="2" t="str">
        <f>"9783737602310"</f>
        <v>9783737602310</v>
      </c>
    </row>
    <row r="23262" spans="1:6" s="3" customFormat="1" ht="29.1" customHeight="1" x14ac:dyDescent="0.25">
      <c r="A23262" s="2" t="s">
        <v>45449</v>
      </c>
      <c r="B23262" s="2" t="s">
        <v>45450</v>
      </c>
      <c r="C23262" s="2" t="s">
        <v>43061</v>
      </c>
      <c r="D23262" s="2" t="s">
        <v>138</v>
      </c>
      <c r="E23262" s="2" t="str">
        <f>"9783737603706"</f>
        <v>9783737603706</v>
      </c>
      <c r="F23262" s="2" t="str">
        <f>"9783737603713"</f>
        <v>9783737603713</v>
      </c>
    </row>
    <row r="23263" spans="1:6" s="3" customFormat="1" ht="29.1" customHeight="1" x14ac:dyDescent="0.25">
      <c r="A23263" s="2" t="s">
        <v>45451</v>
      </c>
      <c r="B23263" s="2" t="s">
        <v>38009</v>
      </c>
      <c r="C23263" s="2" t="s">
        <v>43061</v>
      </c>
      <c r="D23263" s="2" t="s">
        <v>3345</v>
      </c>
      <c r="E23263" s="2" t="str">
        <f>"9783862198122"</f>
        <v>9783862198122</v>
      </c>
      <c r="F23263" s="2" t="str">
        <f>"9783862198139"</f>
        <v>9783862198139</v>
      </c>
    </row>
    <row r="23264" spans="1:6" s="3" customFormat="1" ht="29.1" customHeight="1" x14ac:dyDescent="0.25">
      <c r="A23264" s="2" t="s">
        <v>45452</v>
      </c>
      <c r="B23264" s="2" t="s">
        <v>45453</v>
      </c>
      <c r="C23264" s="2" t="s">
        <v>43061</v>
      </c>
      <c r="D23264" s="2" t="s">
        <v>2147</v>
      </c>
      <c r="E23264" s="2" t="str">
        <f>"9783737601924"</f>
        <v>9783737601924</v>
      </c>
      <c r="F23264" s="2" t="str">
        <f>"9783737601931"</f>
        <v>9783737601931</v>
      </c>
    </row>
    <row r="23265" spans="1:6" s="3" customFormat="1" ht="29.1" customHeight="1" x14ac:dyDescent="0.25">
      <c r="A23265" s="2" t="s">
        <v>45454</v>
      </c>
      <c r="B23265" s="2" t="s">
        <v>45455</v>
      </c>
      <c r="C23265" s="2" t="s">
        <v>43061</v>
      </c>
      <c r="D23265" s="2" t="s">
        <v>32985</v>
      </c>
      <c r="E23265" s="2" t="str">
        <f>"9783737603584"</f>
        <v>9783737603584</v>
      </c>
      <c r="F23265" s="2" t="str">
        <f>"9783737603591"</f>
        <v>9783737603591</v>
      </c>
    </row>
    <row r="23266" spans="1:6" s="3" customFormat="1" ht="29.1" customHeight="1" x14ac:dyDescent="0.25">
      <c r="A23266" s="2" t="s">
        <v>45456</v>
      </c>
      <c r="B23266" s="2" t="s">
        <v>45457</v>
      </c>
      <c r="C23266" s="2" t="s">
        <v>43061</v>
      </c>
      <c r="D23266" s="2" t="s">
        <v>353</v>
      </c>
      <c r="E23266" s="2" t="str">
        <f>"9783737603645"</f>
        <v>9783737603645</v>
      </c>
      <c r="F23266" s="2" t="str">
        <f>"9783737603652"</f>
        <v>9783737603652</v>
      </c>
    </row>
    <row r="23267" spans="1:6" s="3" customFormat="1" ht="29.1" customHeight="1" x14ac:dyDescent="0.25">
      <c r="A23267" s="2" t="s">
        <v>45458</v>
      </c>
      <c r="B23267" s="2" t="s">
        <v>45459</v>
      </c>
      <c r="C23267" s="2" t="s">
        <v>43061</v>
      </c>
      <c r="D23267" s="2" t="s">
        <v>34178</v>
      </c>
      <c r="E23267" s="2" t="str">
        <f>"9783737603560"</f>
        <v>9783737603560</v>
      </c>
      <c r="F23267" s="2" t="str">
        <f>"9783737603577"</f>
        <v>9783737603577</v>
      </c>
    </row>
    <row r="23268" spans="1:6" s="3" customFormat="1" ht="29.1" customHeight="1" x14ac:dyDescent="0.25">
      <c r="A23268" s="2" t="s">
        <v>45460</v>
      </c>
      <c r="B23268" s="2" t="s">
        <v>45461</v>
      </c>
      <c r="C23268" s="2" t="s">
        <v>124</v>
      </c>
      <c r="D23268" s="2" t="s">
        <v>270</v>
      </c>
      <c r="E23268" s="2" t="str">
        <f>"9780367321772"</f>
        <v>9780367321772</v>
      </c>
      <c r="F23268" s="2" t="str">
        <f>"9781351630320"</f>
        <v>9781351630320</v>
      </c>
    </row>
    <row r="23269" spans="1:6" s="3" customFormat="1" ht="29.1" customHeight="1" x14ac:dyDescent="0.25">
      <c r="A23269" s="2" t="s">
        <v>45462</v>
      </c>
      <c r="B23269" s="2" t="s">
        <v>45463</v>
      </c>
      <c r="C23269" s="2" t="s">
        <v>248</v>
      </c>
      <c r="D23269" s="2" t="s">
        <v>78</v>
      </c>
      <c r="E23269" s="2" t="str">
        <f>"9783847421184"</f>
        <v>9783847421184</v>
      </c>
      <c r="F23269" s="2" t="str">
        <f>"9783847411062"</f>
        <v>9783847411062</v>
      </c>
    </row>
    <row r="23270" spans="1:6" s="3" customFormat="1" ht="29.1" customHeight="1" x14ac:dyDescent="0.25">
      <c r="A23270" s="2" t="s">
        <v>45464</v>
      </c>
      <c r="B23270" s="2" t="s">
        <v>45465</v>
      </c>
      <c r="C23270" s="2" t="s">
        <v>248</v>
      </c>
      <c r="D23270" s="2" t="s">
        <v>2752</v>
      </c>
      <c r="E23270" s="2" t="str">
        <f>"9783847421061"</f>
        <v>9783847421061</v>
      </c>
      <c r="F23270" s="2" t="str">
        <f>"9783847411789"</f>
        <v>9783847411789</v>
      </c>
    </row>
    <row r="23271" spans="1:6" s="3" customFormat="1" ht="29.1" customHeight="1" x14ac:dyDescent="0.25">
      <c r="A23271" s="2" t="s">
        <v>45466</v>
      </c>
      <c r="B23271" s="2" t="s">
        <v>45467</v>
      </c>
      <c r="C23271" s="2" t="s">
        <v>195</v>
      </c>
      <c r="D23271" s="2" t="s">
        <v>334</v>
      </c>
      <c r="E23271" s="2" t="str">
        <f>"9783484310759"</f>
        <v>9783484310759</v>
      </c>
      <c r="F23271" s="2" t="str">
        <f>"9783111662374"</f>
        <v>9783111662374</v>
      </c>
    </row>
    <row r="23272" spans="1:6" s="3" customFormat="1" ht="29.1" customHeight="1" x14ac:dyDescent="0.25">
      <c r="A23272" s="2" t="s">
        <v>45468</v>
      </c>
      <c r="B23272" s="2" t="s">
        <v>45469</v>
      </c>
      <c r="C23272" s="2" t="s">
        <v>195</v>
      </c>
      <c r="D23272" s="2" t="s">
        <v>334</v>
      </c>
      <c r="E23272" s="2" t="str">
        <f>"9783484102415"</f>
        <v>9783484102415</v>
      </c>
      <c r="F23272" s="2" t="str">
        <f>"9783111631899"</f>
        <v>9783111631899</v>
      </c>
    </row>
    <row r="23273" spans="1:6" s="3" customFormat="1" ht="29.1" customHeight="1" x14ac:dyDescent="0.25">
      <c r="A23273" s="2" t="s">
        <v>45470</v>
      </c>
      <c r="B23273" s="2" t="s">
        <v>45471</v>
      </c>
      <c r="C23273" s="2" t="s">
        <v>195</v>
      </c>
      <c r="D23273" s="2" t="s">
        <v>334</v>
      </c>
      <c r="E23273" s="2" t="str">
        <f>"9783484350571"</f>
        <v>9783484350571</v>
      </c>
      <c r="F23273" s="2" t="str">
        <f>"9783110937343"</f>
        <v>9783110937343</v>
      </c>
    </row>
    <row r="23274" spans="1:6" s="3" customFormat="1" ht="29.1" customHeight="1" x14ac:dyDescent="0.25">
      <c r="A23274" s="2" t="s">
        <v>45472</v>
      </c>
      <c r="B23274" s="2" t="s">
        <v>45473</v>
      </c>
      <c r="C23274" s="2" t="s">
        <v>195</v>
      </c>
      <c r="D23274" s="2" t="s">
        <v>334</v>
      </c>
      <c r="E23274" s="2" t="str">
        <f>"9783484311749"</f>
        <v>9783484311749</v>
      </c>
      <c r="F23274" s="2" t="str">
        <f>"9783110927979"</f>
        <v>9783110927979</v>
      </c>
    </row>
    <row r="23275" spans="1:6" s="3" customFormat="1" ht="29.1" customHeight="1" x14ac:dyDescent="0.25">
      <c r="A23275" s="2" t="s">
        <v>45474</v>
      </c>
      <c r="B23275" s="2" t="s">
        <v>45475</v>
      </c>
      <c r="C23275" s="2" t="s">
        <v>195</v>
      </c>
      <c r="D23275" s="2" t="s">
        <v>334</v>
      </c>
      <c r="E23275" s="2" t="str">
        <f>"9783484311701"</f>
        <v>9783484311701</v>
      </c>
      <c r="F23275" s="2" t="str">
        <f>"9783110941005"</f>
        <v>9783110941005</v>
      </c>
    </row>
    <row r="23276" spans="1:6" s="3" customFormat="1" ht="29.1" customHeight="1" x14ac:dyDescent="0.25">
      <c r="A23276" s="2" t="s">
        <v>45476</v>
      </c>
      <c r="B23276" s="2" t="s">
        <v>45477</v>
      </c>
      <c r="C23276" s="2" t="s">
        <v>195</v>
      </c>
      <c r="D23276" s="2" t="s">
        <v>210</v>
      </c>
      <c r="E23276" s="2" t="str">
        <f>"9783484312227"</f>
        <v>9783484312227</v>
      </c>
      <c r="F23276" s="2" t="str">
        <f>"9783110919967"</f>
        <v>9783110919967</v>
      </c>
    </row>
    <row r="23277" spans="1:6" s="3" customFormat="1" ht="29.1" customHeight="1" x14ac:dyDescent="0.25">
      <c r="A23277" s="2" t="s">
        <v>45478</v>
      </c>
      <c r="B23277" s="2" t="s">
        <v>45479</v>
      </c>
      <c r="C23277" s="2" t="s">
        <v>195</v>
      </c>
      <c r="D23277" s="2" t="s">
        <v>1183</v>
      </c>
      <c r="E23277" s="2" t="str">
        <f>"9783110529036"</f>
        <v>9783110529036</v>
      </c>
      <c r="F23277" s="2" t="str">
        <f>"9783110530131"</f>
        <v>9783110530131</v>
      </c>
    </row>
    <row r="23278" spans="1:6" s="3" customFormat="1" ht="29.1" customHeight="1" x14ac:dyDescent="0.25">
      <c r="A23278" s="2" t="s">
        <v>45480</v>
      </c>
      <c r="B23278" s="2" t="s">
        <v>45481</v>
      </c>
      <c r="C23278" s="2" t="s">
        <v>195</v>
      </c>
      <c r="D23278" s="2" t="s">
        <v>107</v>
      </c>
      <c r="E23278" s="2" t="str">
        <f>"9783110461541"</f>
        <v>9783110461541</v>
      </c>
      <c r="F23278" s="2" t="str">
        <f>"9783110461800"</f>
        <v>9783110461800</v>
      </c>
    </row>
    <row r="23279" spans="1:6" s="3" customFormat="1" ht="29.1" customHeight="1" x14ac:dyDescent="0.25">
      <c r="A23279" s="2" t="s">
        <v>45482</v>
      </c>
      <c r="B23279" s="2" t="s">
        <v>45483</v>
      </c>
      <c r="C23279" s="2" t="s">
        <v>927</v>
      </c>
      <c r="D23279" s="2" t="s">
        <v>270</v>
      </c>
      <c r="E23279" s="2" t="str">
        <f>"9780472130535"</f>
        <v>9780472130535</v>
      </c>
      <c r="F23279" s="2" t="str">
        <f>"9780472123216"</f>
        <v>9780472123216</v>
      </c>
    </row>
    <row r="23280" spans="1:6" s="3" customFormat="1" ht="29.1" customHeight="1" x14ac:dyDescent="0.25">
      <c r="A23280" s="2" t="s">
        <v>45484</v>
      </c>
      <c r="B23280" s="2" t="s">
        <v>45485</v>
      </c>
      <c r="C23280" s="2" t="s">
        <v>5050</v>
      </c>
      <c r="D23280" s="2" t="s">
        <v>18221</v>
      </c>
      <c r="E23280" s="2" t="str">
        <f>"9780824830144"</f>
        <v>9780824830144</v>
      </c>
      <c r="F23280" s="2" t="str">
        <f>"9780824838089"</f>
        <v>9780824838089</v>
      </c>
    </row>
    <row r="23281" spans="1:6" s="3" customFormat="1" ht="29.1" customHeight="1" x14ac:dyDescent="0.25">
      <c r="A23281" s="2" t="s">
        <v>45486</v>
      </c>
      <c r="B23281" s="2" t="s">
        <v>45487</v>
      </c>
      <c r="C23281" s="2" t="s">
        <v>124</v>
      </c>
      <c r="D23281" s="2" t="s">
        <v>270</v>
      </c>
      <c r="E23281" s="2" t="str">
        <f>"9781138673809"</f>
        <v>9781138673809</v>
      </c>
      <c r="F23281" s="2" t="str">
        <f>"9781317202110"</f>
        <v>9781317202110</v>
      </c>
    </row>
    <row r="23282" spans="1:6" s="3" customFormat="1" ht="29.1" customHeight="1" x14ac:dyDescent="0.25">
      <c r="A23282" s="2" t="s">
        <v>45488</v>
      </c>
      <c r="B23282" s="2" t="s">
        <v>45489</v>
      </c>
      <c r="C23282" s="2" t="s">
        <v>31902</v>
      </c>
      <c r="D23282" s="2" t="s">
        <v>2880</v>
      </c>
      <c r="E23282" s="2" t="str">
        <f>"9782759817382"</f>
        <v>9782759817382</v>
      </c>
      <c r="F23282" s="2" t="str">
        <f>"9782759819522"</f>
        <v>9782759819522</v>
      </c>
    </row>
    <row r="23283" spans="1:6" s="3" customFormat="1" ht="29.1" customHeight="1" x14ac:dyDescent="0.25">
      <c r="A23283" s="2" t="s">
        <v>45490</v>
      </c>
      <c r="B23283" s="2" t="s">
        <v>45491</v>
      </c>
      <c r="C23283" s="2" t="s">
        <v>31902</v>
      </c>
      <c r="D23283" s="2" t="s">
        <v>12</v>
      </c>
      <c r="E23283" s="2" t="str">
        <f>"9782759817337"</f>
        <v>9782759817337</v>
      </c>
      <c r="F23283" s="2" t="str">
        <f>"9782759818495"</f>
        <v>9782759818495</v>
      </c>
    </row>
    <row r="23284" spans="1:6" s="3" customFormat="1" ht="29.1" customHeight="1" x14ac:dyDescent="0.25">
      <c r="A23284" s="2" t="s">
        <v>45492</v>
      </c>
      <c r="B23284" s="2" t="s">
        <v>45493</v>
      </c>
      <c r="C23284" s="2" t="s">
        <v>264</v>
      </c>
      <c r="D23284" s="2" t="s">
        <v>36526</v>
      </c>
      <c r="E23284" s="2" t="str">
        <f>"9781498756792"</f>
        <v>9781498756792</v>
      </c>
      <c r="F23284" s="2" t="str">
        <f>"9781351648998"</f>
        <v>9781351648998</v>
      </c>
    </row>
    <row r="23285" spans="1:6" s="3" customFormat="1" ht="29.1" customHeight="1" x14ac:dyDescent="0.25">
      <c r="A23285" s="2" t="s">
        <v>45494</v>
      </c>
      <c r="B23285" s="2" t="s">
        <v>45495</v>
      </c>
      <c r="C23285" s="2" t="s">
        <v>124</v>
      </c>
      <c r="D23285" s="2" t="s">
        <v>1177</v>
      </c>
      <c r="E23285" s="2" t="str">
        <f>"9781138040168"</f>
        <v>9781138040168</v>
      </c>
      <c r="F23285" s="2" t="str">
        <f>"9781351706179"</f>
        <v>9781351706179</v>
      </c>
    </row>
    <row r="23286" spans="1:6" s="3" customFormat="1" ht="29.1" customHeight="1" x14ac:dyDescent="0.25">
      <c r="A23286" s="2" t="s">
        <v>45496</v>
      </c>
      <c r="B23286" s="2" t="s">
        <v>45497</v>
      </c>
      <c r="C23286" s="2" t="s">
        <v>124</v>
      </c>
      <c r="D23286" s="2" t="s">
        <v>1801</v>
      </c>
      <c r="E23286" s="2" t="str">
        <f>"9781138054226"</f>
        <v>9781138054226</v>
      </c>
      <c r="F23286" s="2" t="str">
        <f>"9781351681490"</f>
        <v>9781351681490</v>
      </c>
    </row>
    <row r="23287" spans="1:6" s="3" customFormat="1" ht="29.1" customHeight="1" x14ac:dyDescent="0.25">
      <c r="A23287" s="2" t="s">
        <v>45498</v>
      </c>
      <c r="B23287" s="2" t="s">
        <v>45499</v>
      </c>
      <c r="C23287" s="2" t="s">
        <v>124</v>
      </c>
      <c r="D23287" s="2" t="s">
        <v>459</v>
      </c>
      <c r="E23287" s="2" t="str">
        <f>"9781138201699"</f>
        <v>9781138201699</v>
      </c>
      <c r="F23287" s="2" t="str">
        <f>"9781315505954"</f>
        <v>9781315505954</v>
      </c>
    </row>
    <row r="23288" spans="1:6" s="3" customFormat="1" ht="29.1" customHeight="1" x14ac:dyDescent="0.25">
      <c r="A23288" s="2" t="s">
        <v>45500</v>
      </c>
      <c r="B23288" s="2" t="s">
        <v>45501</v>
      </c>
      <c r="C23288" s="2" t="s">
        <v>124</v>
      </c>
      <c r="D23288" s="2" t="s">
        <v>7167</v>
      </c>
      <c r="E23288" s="2" t="str">
        <f>"9781138064782"</f>
        <v>9781138064782</v>
      </c>
      <c r="F23288" s="2" t="str">
        <f>"9781351661768"</f>
        <v>9781351661768</v>
      </c>
    </row>
    <row r="23289" spans="1:6" s="3" customFormat="1" ht="29.1" customHeight="1" x14ac:dyDescent="0.25">
      <c r="A23289" s="2" t="s">
        <v>45502</v>
      </c>
      <c r="B23289" s="2" t="s">
        <v>45503</v>
      </c>
      <c r="C23289" s="2" t="s">
        <v>927</v>
      </c>
      <c r="D23289" s="2" t="s">
        <v>81</v>
      </c>
      <c r="E23289" s="2" t="str">
        <f>"9780472053612"</f>
        <v>9780472053612</v>
      </c>
      <c r="F23289" s="2" t="str">
        <f>"9780472123094"</f>
        <v>9780472123094</v>
      </c>
    </row>
    <row r="23290" spans="1:6" s="3" customFormat="1" ht="29.1" customHeight="1" x14ac:dyDescent="0.25">
      <c r="A23290" s="2" t="s">
        <v>45504</v>
      </c>
      <c r="B23290" s="2" t="s">
        <v>45505</v>
      </c>
      <c r="C23290" s="2" t="s">
        <v>195</v>
      </c>
      <c r="D23290" s="2" t="s">
        <v>210</v>
      </c>
      <c r="E23290" s="2" t="str">
        <f>"9783486764222"</f>
        <v>9783486764222</v>
      </c>
      <c r="F23290" s="2" t="str">
        <f>"9783110400595"</f>
        <v>9783110400595</v>
      </c>
    </row>
    <row r="23291" spans="1:6" s="3" customFormat="1" ht="29.1" customHeight="1" x14ac:dyDescent="0.25">
      <c r="A23291" s="2" t="s">
        <v>45506</v>
      </c>
      <c r="B23291" s="2" t="s">
        <v>45507</v>
      </c>
      <c r="C23291" s="2" t="s">
        <v>195</v>
      </c>
      <c r="D23291" s="2" t="s">
        <v>1183</v>
      </c>
      <c r="E23291" s="2" t="str">
        <f>"9783110547894"</f>
        <v>9783110547894</v>
      </c>
      <c r="F23291" s="2" t="str">
        <f>"9783110548150"</f>
        <v>9783110548150</v>
      </c>
    </row>
    <row r="23292" spans="1:6" s="3" customFormat="1" ht="29.1" customHeight="1" x14ac:dyDescent="0.25">
      <c r="A23292" s="2" t="s">
        <v>45508</v>
      </c>
      <c r="B23292" s="2" t="s">
        <v>45509</v>
      </c>
      <c r="C23292" s="2" t="s">
        <v>195</v>
      </c>
      <c r="D23292" s="2" t="s">
        <v>916</v>
      </c>
      <c r="E23292" s="2" t="str">
        <f>"9783110540543"</f>
        <v>9783110540543</v>
      </c>
      <c r="F23292" s="2" t="str">
        <f>"9783110541342"</f>
        <v>9783110541342</v>
      </c>
    </row>
    <row r="23293" spans="1:6" s="3" customFormat="1" ht="29.1" customHeight="1" x14ac:dyDescent="0.25">
      <c r="A23293" s="2" t="s">
        <v>45510</v>
      </c>
      <c r="B23293" s="2" t="s">
        <v>45511</v>
      </c>
      <c r="C23293" s="2" t="s">
        <v>195</v>
      </c>
      <c r="D23293" s="2" t="s">
        <v>682</v>
      </c>
      <c r="E23293" s="2" t="str">
        <f>"9783110514667"</f>
        <v>9783110514667</v>
      </c>
      <c r="F23293" s="2" t="str">
        <f>"9783110516098"</f>
        <v>9783110516098</v>
      </c>
    </row>
    <row r="23294" spans="1:6" s="3" customFormat="1" ht="29.1" customHeight="1" x14ac:dyDescent="0.25">
      <c r="A23294" s="2" t="s">
        <v>45512</v>
      </c>
      <c r="B23294" s="2" t="s">
        <v>45513</v>
      </c>
      <c r="C23294" s="2" t="s">
        <v>195</v>
      </c>
      <c r="D23294" s="2" t="s">
        <v>1466</v>
      </c>
      <c r="E23294" s="2" t="str">
        <f>"9783110526776"</f>
        <v>9783110526776</v>
      </c>
      <c r="F23294" s="2" t="str">
        <f>"9783110526837"</f>
        <v>9783110526837</v>
      </c>
    </row>
    <row r="23295" spans="1:6" s="3" customFormat="1" ht="29.1" customHeight="1" x14ac:dyDescent="0.25">
      <c r="A23295" s="2" t="s">
        <v>45514</v>
      </c>
      <c r="B23295" s="2" t="s">
        <v>45515</v>
      </c>
      <c r="C23295" s="2" t="s">
        <v>195</v>
      </c>
      <c r="D23295" s="2" t="s">
        <v>916</v>
      </c>
      <c r="E23295" s="2" t="str">
        <f>"9783110454284"</f>
        <v>9783110454284</v>
      </c>
      <c r="F23295" s="2" t="str">
        <f>"9783110461749"</f>
        <v>9783110461749</v>
      </c>
    </row>
    <row r="23296" spans="1:6" s="3" customFormat="1" ht="29.1" customHeight="1" x14ac:dyDescent="0.25">
      <c r="A23296" s="2" t="s">
        <v>45516</v>
      </c>
      <c r="B23296" s="2" t="s">
        <v>45517</v>
      </c>
      <c r="C23296" s="2" t="s">
        <v>124</v>
      </c>
      <c r="D23296" s="2" t="s">
        <v>501</v>
      </c>
      <c r="E23296" s="2" t="str">
        <f>"9781138630574"</f>
        <v>9781138630574</v>
      </c>
      <c r="F23296" s="2" t="str">
        <f>"9781351806336"</f>
        <v>9781351806336</v>
      </c>
    </row>
    <row r="23297" spans="1:6" s="3" customFormat="1" ht="29.1" customHeight="1" x14ac:dyDescent="0.25">
      <c r="A23297" s="2" t="s">
        <v>45518</v>
      </c>
      <c r="B23297" s="2" t="s">
        <v>45519</v>
      </c>
      <c r="C23297" s="2" t="s">
        <v>124</v>
      </c>
      <c r="D23297" s="2" t="s">
        <v>712</v>
      </c>
      <c r="E23297" s="2" t="str">
        <f>"9781138046368"</f>
        <v>9781138046368</v>
      </c>
      <c r="F23297" s="2" t="str">
        <f>"9781351694902"</f>
        <v>9781351694902</v>
      </c>
    </row>
    <row r="23298" spans="1:6" s="3" customFormat="1" ht="29.1" customHeight="1" x14ac:dyDescent="0.25">
      <c r="A23298" s="2" t="s">
        <v>45520</v>
      </c>
      <c r="B23298" s="2"/>
      <c r="C23298" s="2" t="s">
        <v>59</v>
      </c>
      <c r="D23298" s="2" t="s">
        <v>297</v>
      </c>
      <c r="E23298" s="2" t="str">
        <f>"9782759225767"</f>
        <v>9782759225767</v>
      </c>
      <c r="F23298" s="2" t="str">
        <f>"9782759225774"</f>
        <v>9782759225774</v>
      </c>
    </row>
    <row r="23299" spans="1:6" s="3" customFormat="1" ht="29.1" customHeight="1" x14ac:dyDescent="0.25">
      <c r="A23299" s="2" t="s">
        <v>45521</v>
      </c>
      <c r="B23299" s="2" t="s">
        <v>45522</v>
      </c>
      <c r="C23299" s="2" t="s">
        <v>124</v>
      </c>
      <c r="D23299" s="2" t="s">
        <v>69</v>
      </c>
      <c r="E23299" s="2" t="str">
        <f>"9781041179351"</f>
        <v>9781041179351</v>
      </c>
      <c r="F23299" s="2" t="str">
        <f>"9781040798669"</f>
        <v>9781040798669</v>
      </c>
    </row>
    <row r="23300" spans="1:6" s="3" customFormat="1" ht="29.1" customHeight="1" x14ac:dyDescent="0.25">
      <c r="A23300" s="2" t="s">
        <v>45523</v>
      </c>
      <c r="B23300" s="2" t="s">
        <v>45524</v>
      </c>
      <c r="C23300" s="2" t="s">
        <v>124</v>
      </c>
      <c r="D23300" s="2" t="s">
        <v>712</v>
      </c>
      <c r="E23300" s="2" t="str">
        <f>"9789462981362"</f>
        <v>9789462981362</v>
      </c>
      <c r="F23300" s="2" t="str">
        <f>"9781040778463"</f>
        <v>9781040778463</v>
      </c>
    </row>
    <row r="23301" spans="1:6" s="3" customFormat="1" ht="29.1" customHeight="1" x14ac:dyDescent="0.25">
      <c r="A23301" s="2" t="s">
        <v>45525</v>
      </c>
      <c r="B23301" s="2" t="s">
        <v>45526</v>
      </c>
      <c r="C23301" s="2" t="s">
        <v>124</v>
      </c>
      <c r="D23301" s="2" t="s">
        <v>712</v>
      </c>
      <c r="E23301" s="2" t="str">
        <f>"9781041179139"</f>
        <v>9781041179139</v>
      </c>
      <c r="F23301" s="2" t="str">
        <f>"9781040783115"</f>
        <v>9781040783115</v>
      </c>
    </row>
    <row r="23302" spans="1:6" s="3" customFormat="1" ht="29.1" customHeight="1" x14ac:dyDescent="0.25">
      <c r="A23302" s="2" t="s">
        <v>45527</v>
      </c>
      <c r="B23302" s="2" t="s">
        <v>45528</v>
      </c>
      <c r="C23302" s="2" t="s">
        <v>248</v>
      </c>
      <c r="D23302" s="2" t="s">
        <v>249</v>
      </c>
      <c r="E23302" s="2" t="str">
        <f>"9783847421443"</f>
        <v>9783847421443</v>
      </c>
      <c r="F23302" s="2" t="str">
        <f>"9783847411482"</f>
        <v>9783847411482</v>
      </c>
    </row>
    <row r="23303" spans="1:6" s="3" customFormat="1" ht="29.1" customHeight="1" x14ac:dyDescent="0.25">
      <c r="A23303" s="2" t="s">
        <v>45529</v>
      </c>
      <c r="B23303" s="2" t="s">
        <v>35546</v>
      </c>
      <c r="C23303" s="2" t="s">
        <v>248</v>
      </c>
      <c r="D23303" s="2" t="s">
        <v>24</v>
      </c>
      <c r="E23303" s="2" t="str">
        <f>"9783847421412"</f>
        <v>9783847421412</v>
      </c>
      <c r="F23303" s="2" t="str">
        <f>"9783847411314"</f>
        <v>9783847411314</v>
      </c>
    </row>
    <row r="23304" spans="1:6" s="3" customFormat="1" ht="29.1" customHeight="1" x14ac:dyDescent="0.25">
      <c r="A23304" s="2" t="s">
        <v>45530</v>
      </c>
      <c r="B23304" s="2" t="s">
        <v>45531</v>
      </c>
      <c r="C23304" s="2" t="s">
        <v>248</v>
      </c>
      <c r="D23304" s="2" t="s">
        <v>7544</v>
      </c>
      <c r="E23304" s="2" t="str">
        <f>"9783847405825"</f>
        <v>9783847405825</v>
      </c>
      <c r="F23304" s="2" t="str">
        <f>"9783847404057"</f>
        <v>9783847404057</v>
      </c>
    </row>
    <row r="23305" spans="1:6" s="3" customFormat="1" ht="29.1" customHeight="1" x14ac:dyDescent="0.25">
      <c r="A23305" s="2" t="s">
        <v>45532</v>
      </c>
      <c r="B23305" s="2" t="s">
        <v>45533</v>
      </c>
      <c r="C23305" s="2" t="s">
        <v>124</v>
      </c>
      <c r="D23305" s="2" t="s">
        <v>297</v>
      </c>
      <c r="E23305" s="2" t="str">
        <f>"9781138285453"</f>
        <v>9781138285453</v>
      </c>
      <c r="F23305" s="2" t="str">
        <f>"9781351977586"</f>
        <v>9781351977586</v>
      </c>
    </row>
    <row r="23306" spans="1:6" s="3" customFormat="1" ht="29.1" customHeight="1" x14ac:dyDescent="0.25">
      <c r="A23306" s="2" t="s">
        <v>45534</v>
      </c>
      <c r="B23306" s="2" t="s">
        <v>45535</v>
      </c>
      <c r="C23306" s="2" t="s">
        <v>124</v>
      </c>
      <c r="D23306" s="2" t="s">
        <v>897</v>
      </c>
      <c r="E23306" s="2" t="str">
        <f>"9781138081567"</f>
        <v>9781138081567</v>
      </c>
      <c r="F23306" s="2" t="str">
        <f>"9781351588553"</f>
        <v>9781351588553</v>
      </c>
    </row>
    <row r="23307" spans="1:6" s="3" customFormat="1" ht="29.1" customHeight="1" x14ac:dyDescent="0.25">
      <c r="A23307" s="2" t="s">
        <v>45536</v>
      </c>
      <c r="B23307" s="2" t="s">
        <v>45537</v>
      </c>
      <c r="C23307" s="2" t="s">
        <v>124</v>
      </c>
      <c r="D23307" s="2" t="s">
        <v>2019</v>
      </c>
      <c r="E23307" s="2" t="str">
        <f>"9781138215399"</f>
        <v>9781138215399</v>
      </c>
      <c r="F23307" s="2" t="str">
        <f>"9781315444024"</f>
        <v>9781315444024</v>
      </c>
    </row>
    <row r="23308" spans="1:6" s="3" customFormat="1" ht="29.1" customHeight="1" x14ac:dyDescent="0.25">
      <c r="A23308" s="2" t="s">
        <v>45538</v>
      </c>
      <c r="B23308" s="2" t="s">
        <v>45539</v>
      </c>
      <c r="C23308" s="2" t="s">
        <v>124</v>
      </c>
      <c r="D23308" s="2" t="s">
        <v>270</v>
      </c>
      <c r="E23308" s="2" t="str">
        <f>"9781138054684"</f>
        <v>9781138054684</v>
      </c>
      <c r="F23308" s="2" t="str">
        <f>"9781351680110"</f>
        <v>9781351680110</v>
      </c>
    </row>
    <row r="23309" spans="1:6" s="3" customFormat="1" ht="29.1" customHeight="1" x14ac:dyDescent="0.25">
      <c r="A23309" s="2" t="s">
        <v>45540</v>
      </c>
      <c r="B23309" s="2" t="s">
        <v>45541</v>
      </c>
      <c r="C23309" s="2" t="s">
        <v>124</v>
      </c>
      <c r="D23309" s="2" t="s">
        <v>2019</v>
      </c>
      <c r="E23309" s="2" t="str">
        <f>"9781138061934"</f>
        <v>9781138061934</v>
      </c>
      <c r="F23309" s="2" t="str">
        <f>"9781351666879"</f>
        <v>9781351666879</v>
      </c>
    </row>
    <row r="23310" spans="1:6" s="3" customFormat="1" ht="29.1" customHeight="1" x14ac:dyDescent="0.25">
      <c r="A23310" s="2" t="s">
        <v>45542</v>
      </c>
      <c r="B23310" s="2" t="s">
        <v>45543</v>
      </c>
      <c r="C23310" s="2" t="s">
        <v>124</v>
      </c>
      <c r="D23310" s="2" t="s">
        <v>378</v>
      </c>
      <c r="E23310" s="2" t="str">
        <f>"9780367348717"</f>
        <v>9780367348717</v>
      </c>
      <c r="F23310" s="2" t="str">
        <f>"9781315408088"</f>
        <v>9781315408088</v>
      </c>
    </row>
    <row r="23311" spans="1:6" s="3" customFormat="1" ht="29.1" customHeight="1" x14ac:dyDescent="0.25">
      <c r="A23311" s="2" t="s">
        <v>45544</v>
      </c>
      <c r="B23311" s="2"/>
      <c r="C23311" s="2" t="s">
        <v>195</v>
      </c>
      <c r="D23311" s="2" t="s">
        <v>210</v>
      </c>
      <c r="E23311" s="2" t="str">
        <f>"9783110144536"</f>
        <v>9783110144536</v>
      </c>
      <c r="F23311" s="2" t="str">
        <f>"9783110804539"</f>
        <v>9783110804539</v>
      </c>
    </row>
    <row r="23312" spans="1:6" s="3" customFormat="1" ht="29.1" customHeight="1" x14ac:dyDescent="0.25">
      <c r="A23312" s="2" t="s">
        <v>45545</v>
      </c>
      <c r="B23312" s="2" t="s">
        <v>45546</v>
      </c>
      <c r="C23312" s="2" t="s">
        <v>195</v>
      </c>
      <c r="D23312" s="2" t="s">
        <v>462</v>
      </c>
      <c r="E23312" s="2" t="str">
        <f>"9783110047608"</f>
        <v>9783110047608</v>
      </c>
      <c r="F23312" s="2" t="str">
        <f>"9783110884111"</f>
        <v>9783110884111</v>
      </c>
    </row>
    <row r="23313" spans="1:6" s="3" customFormat="1" ht="29.1" customHeight="1" x14ac:dyDescent="0.25">
      <c r="A23313" s="2" t="s">
        <v>45547</v>
      </c>
      <c r="B23313" s="2" t="s">
        <v>45548</v>
      </c>
      <c r="C23313" s="2" t="s">
        <v>195</v>
      </c>
      <c r="D23313" s="2" t="s">
        <v>2326</v>
      </c>
      <c r="E23313" s="2" t="str">
        <f>"9783110142235"</f>
        <v>9783110142235</v>
      </c>
      <c r="F23313" s="2" t="str">
        <f>"9783110887136"</f>
        <v>9783110887136</v>
      </c>
    </row>
    <row r="23314" spans="1:6" s="3" customFormat="1" ht="29.1" customHeight="1" x14ac:dyDescent="0.25">
      <c r="A23314" s="2" t="s">
        <v>45549</v>
      </c>
      <c r="B23314" s="2" t="s">
        <v>45550</v>
      </c>
      <c r="C23314" s="2" t="s">
        <v>29</v>
      </c>
      <c r="D23314" s="2" t="s">
        <v>4415</v>
      </c>
      <c r="E23314" s="2" t="str">
        <f>"9789004292963"</f>
        <v>9789004292963</v>
      </c>
      <c r="F23314" s="2" t="str">
        <f>"9789004310018"</f>
        <v>9789004310018</v>
      </c>
    </row>
    <row r="23315" spans="1:6" s="3" customFormat="1" ht="29.1" customHeight="1" x14ac:dyDescent="0.25">
      <c r="A23315" s="2" t="s">
        <v>45551</v>
      </c>
      <c r="B23315" s="2" t="s">
        <v>45552</v>
      </c>
      <c r="C23315" s="2" t="s">
        <v>29</v>
      </c>
      <c r="D23315" s="2" t="s">
        <v>3889</v>
      </c>
      <c r="E23315" s="2" t="str">
        <f>"9789004341494"</f>
        <v>9789004341494</v>
      </c>
      <c r="F23315" s="2" t="str">
        <f>"9789004341500"</f>
        <v>9789004341500</v>
      </c>
    </row>
    <row r="23316" spans="1:6" s="3" customFormat="1" ht="29.1" customHeight="1" x14ac:dyDescent="0.25">
      <c r="A23316" s="2" t="s">
        <v>45553</v>
      </c>
      <c r="B23316" s="2" t="s">
        <v>45554</v>
      </c>
      <c r="C23316" s="2" t="s">
        <v>29</v>
      </c>
      <c r="D23316" s="2" t="s">
        <v>1432</v>
      </c>
      <c r="E23316" s="2" t="str">
        <f>"9789004129153"</f>
        <v>9789004129153</v>
      </c>
      <c r="F23316" s="2" t="str">
        <f>"9789004228641"</f>
        <v>9789004228641</v>
      </c>
    </row>
    <row r="23317" spans="1:6" s="3" customFormat="1" ht="29.1" customHeight="1" x14ac:dyDescent="0.25">
      <c r="A23317" s="2" t="s">
        <v>45555</v>
      </c>
      <c r="B23317" s="2" t="s">
        <v>45556</v>
      </c>
      <c r="C23317" s="2" t="s">
        <v>316</v>
      </c>
      <c r="D23317" s="2" t="s">
        <v>317</v>
      </c>
      <c r="E23317" s="2" t="str">
        <f>"9783035711868"</f>
        <v>9783035711868</v>
      </c>
      <c r="F23317" s="2" t="str">
        <f>"9783035731866"</f>
        <v>9783035731866</v>
      </c>
    </row>
    <row r="23318" spans="1:6" s="3" customFormat="1" ht="29.1" customHeight="1" x14ac:dyDescent="0.25">
      <c r="A23318" s="2" t="s">
        <v>45557</v>
      </c>
      <c r="B23318" s="2" t="s">
        <v>45558</v>
      </c>
      <c r="C23318" s="2" t="s">
        <v>264</v>
      </c>
      <c r="D23318" s="2" t="s">
        <v>342</v>
      </c>
      <c r="E23318" s="2" t="str">
        <f>"9781498723855"</f>
        <v>9781498723855</v>
      </c>
      <c r="F23318" s="2" t="str">
        <f>"9781315353586"</f>
        <v>9781315353586</v>
      </c>
    </row>
    <row r="23319" spans="1:6" s="3" customFormat="1" ht="29.1" customHeight="1" x14ac:dyDescent="0.25">
      <c r="A23319" s="2" t="s">
        <v>45559</v>
      </c>
      <c r="B23319" s="2" t="s">
        <v>45561</v>
      </c>
      <c r="C23319" s="2" t="s">
        <v>4788</v>
      </c>
      <c r="D23319" s="2" t="s">
        <v>45560</v>
      </c>
      <c r="E23319" s="2" t="str">
        <f>"9781474405607"</f>
        <v>9781474405607</v>
      </c>
      <c r="F23319" s="2" t="str">
        <f>"9781474405621"</f>
        <v>9781474405621</v>
      </c>
    </row>
    <row r="23320" spans="1:6" s="3" customFormat="1" ht="29.1" customHeight="1" x14ac:dyDescent="0.25">
      <c r="A23320" s="2" t="s">
        <v>45562</v>
      </c>
      <c r="B23320" s="2" t="s">
        <v>45563</v>
      </c>
      <c r="C23320" s="2" t="s">
        <v>4788</v>
      </c>
      <c r="D23320" s="2" t="s">
        <v>1201</v>
      </c>
      <c r="E23320" s="2" t="str">
        <f>"9780748696062"</f>
        <v>9780748696062</v>
      </c>
      <c r="F23320" s="2" t="str">
        <f>"9780748696079"</f>
        <v>9780748696079</v>
      </c>
    </row>
    <row r="23321" spans="1:6" s="3" customFormat="1" ht="29.1" customHeight="1" x14ac:dyDescent="0.25">
      <c r="A23321" s="2" t="s">
        <v>45564</v>
      </c>
      <c r="B23321" s="2" t="s">
        <v>45565</v>
      </c>
      <c r="C23321" s="2" t="s">
        <v>4788</v>
      </c>
      <c r="D23321" s="2" t="s">
        <v>1422</v>
      </c>
      <c r="E23321" s="2" t="str">
        <f>"9781474422550"</f>
        <v>9781474422550</v>
      </c>
      <c r="F23321" s="2" t="str">
        <f>"9781474422567"</f>
        <v>9781474422567</v>
      </c>
    </row>
    <row r="23322" spans="1:6" s="3" customFormat="1" ht="29.1" customHeight="1" x14ac:dyDescent="0.25">
      <c r="A23322" s="2" t="s">
        <v>45566</v>
      </c>
      <c r="B23322" s="2" t="s">
        <v>45567</v>
      </c>
      <c r="C23322" s="2" t="s">
        <v>4788</v>
      </c>
      <c r="D23322" s="2" t="s">
        <v>5104</v>
      </c>
      <c r="E23322" s="2" t="str">
        <f>"9781474408974"</f>
        <v>9781474408974</v>
      </c>
      <c r="F23322" s="2" t="str">
        <f>"9781474408981"</f>
        <v>9781474408981</v>
      </c>
    </row>
    <row r="23323" spans="1:6" s="3" customFormat="1" ht="29.1" customHeight="1" x14ac:dyDescent="0.25">
      <c r="A23323" s="2" t="s">
        <v>45568</v>
      </c>
      <c r="B23323" s="2" t="s">
        <v>45569</v>
      </c>
      <c r="C23323" s="2" t="s">
        <v>4788</v>
      </c>
      <c r="D23323" s="2" t="s">
        <v>4789</v>
      </c>
      <c r="E23323" s="2" t="str">
        <f>"9781474411202"</f>
        <v>9781474411202</v>
      </c>
      <c r="F23323" s="2" t="str">
        <f>"9781474411219"</f>
        <v>9781474411219</v>
      </c>
    </row>
    <row r="23324" spans="1:6" s="3" customFormat="1" ht="29.1" customHeight="1" x14ac:dyDescent="0.25">
      <c r="A23324" s="2" t="s">
        <v>45570</v>
      </c>
      <c r="B23324" s="2" t="s">
        <v>45571</v>
      </c>
      <c r="C23324" s="2" t="s">
        <v>4788</v>
      </c>
      <c r="D23324" s="2" t="s">
        <v>3993</v>
      </c>
      <c r="E23324" s="2" t="str">
        <f>"9781474419130"</f>
        <v>9781474419130</v>
      </c>
      <c r="F23324" s="2" t="str">
        <f>"9781474419147"</f>
        <v>9781474419147</v>
      </c>
    </row>
    <row r="23325" spans="1:6" s="3" customFormat="1" ht="29.1" customHeight="1" x14ac:dyDescent="0.25">
      <c r="A23325" s="2" t="s">
        <v>45572</v>
      </c>
      <c r="B23325" s="2" t="s">
        <v>45573</v>
      </c>
      <c r="C23325" s="2" t="s">
        <v>4788</v>
      </c>
      <c r="D23325" s="2" t="s">
        <v>1046</v>
      </c>
      <c r="E23325" s="2" t="str">
        <f>"9781474423243"</f>
        <v>9781474423243</v>
      </c>
      <c r="F23325" s="2" t="str">
        <f>"9781474423267"</f>
        <v>9781474423267</v>
      </c>
    </row>
    <row r="23326" spans="1:6" s="3" customFormat="1" ht="29.1" customHeight="1" x14ac:dyDescent="0.25">
      <c r="A23326" s="2" t="s">
        <v>45574</v>
      </c>
      <c r="B23326" s="2" t="s">
        <v>45575</v>
      </c>
      <c r="C23326" s="2" t="s">
        <v>4788</v>
      </c>
      <c r="D23326" s="2" t="s">
        <v>1162</v>
      </c>
      <c r="E23326" s="2" t="str">
        <f>"9780748678662"</f>
        <v>9780748678662</v>
      </c>
      <c r="F23326" s="2" t="str">
        <f>"9780748678679"</f>
        <v>9780748678679</v>
      </c>
    </row>
    <row r="23327" spans="1:6" s="3" customFormat="1" ht="29.1" customHeight="1" x14ac:dyDescent="0.25">
      <c r="A23327" s="2" t="s">
        <v>45576</v>
      </c>
      <c r="B23327" s="2" t="s">
        <v>45577</v>
      </c>
      <c r="C23327" s="2" t="s">
        <v>4788</v>
      </c>
      <c r="D23327" s="2" t="s">
        <v>5104</v>
      </c>
      <c r="E23327" s="2" t="str">
        <f>"9781474415477"</f>
        <v>9781474415477</v>
      </c>
      <c r="F23327" s="2" t="str">
        <f>"9781474415484"</f>
        <v>9781474415484</v>
      </c>
    </row>
    <row r="23328" spans="1:6" s="3" customFormat="1" ht="29.1" customHeight="1" x14ac:dyDescent="0.25">
      <c r="A23328" s="2" t="s">
        <v>45578</v>
      </c>
      <c r="B23328" s="2" t="s">
        <v>45579</v>
      </c>
      <c r="C23328" s="2" t="s">
        <v>4788</v>
      </c>
      <c r="D23328" s="2" t="s">
        <v>522</v>
      </c>
      <c r="E23328" s="2" t="str">
        <f>"9781474412094"</f>
        <v>9781474412094</v>
      </c>
      <c r="F23328" s="2" t="str">
        <f>"9781474412100"</f>
        <v>9781474412100</v>
      </c>
    </row>
    <row r="23329" spans="1:6" s="3" customFormat="1" ht="29.1" customHeight="1" x14ac:dyDescent="0.25">
      <c r="A23329" s="2" t="s">
        <v>45580</v>
      </c>
      <c r="B23329" s="2" t="s">
        <v>45581</v>
      </c>
      <c r="C23329" s="2" t="s">
        <v>4788</v>
      </c>
      <c r="D23329" s="2" t="s">
        <v>2551</v>
      </c>
      <c r="E23329" s="2" t="str">
        <f>"9781474408820"</f>
        <v>9781474408820</v>
      </c>
      <c r="F23329" s="2" t="str">
        <f>"9781474408837"</f>
        <v>9781474408837</v>
      </c>
    </row>
    <row r="23330" spans="1:6" s="3" customFormat="1" ht="29.1" customHeight="1" x14ac:dyDescent="0.25">
      <c r="A23330" s="2" t="s">
        <v>45582</v>
      </c>
      <c r="B23330" s="2" t="s">
        <v>45583</v>
      </c>
      <c r="C23330" s="2" t="s">
        <v>124</v>
      </c>
      <c r="D23330" s="2" t="s">
        <v>2877</v>
      </c>
      <c r="E23330" s="2" t="str">
        <f>"9781138656284"</f>
        <v>9781138656284</v>
      </c>
      <c r="F23330" s="2" t="str">
        <f>"9781317221616"</f>
        <v>9781317221616</v>
      </c>
    </row>
    <row r="23331" spans="1:6" s="3" customFormat="1" ht="29.1" customHeight="1" x14ac:dyDescent="0.25">
      <c r="A23331" s="2" t="s">
        <v>45584</v>
      </c>
      <c r="B23331" s="2" t="s">
        <v>45585</v>
      </c>
      <c r="C23331" s="2" t="s">
        <v>43061</v>
      </c>
      <c r="D23331" s="2" t="s">
        <v>4210</v>
      </c>
      <c r="E23331" s="2" t="str">
        <f>"9783862199440"</f>
        <v>9783862199440</v>
      </c>
      <c r="F23331" s="2" t="str">
        <f>"9783862199457"</f>
        <v>9783862199457</v>
      </c>
    </row>
    <row r="23332" spans="1:6" s="3" customFormat="1" ht="29.1" customHeight="1" x14ac:dyDescent="0.25">
      <c r="A23332" s="2" t="s">
        <v>45586</v>
      </c>
      <c r="B23332" s="2" t="s">
        <v>45588</v>
      </c>
      <c r="C23332" s="2" t="s">
        <v>43061</v>
      </c>
      <c r="D23332" s="2" t="s">
        <v>45587</v>
      </c>
      <c r="E23332" s="2" t="str">
        <f>"9783737603522"</f>
        <v>9783737603522</v>
      </c>
      <c r="F23332" s="2" t="str">
        <f>"9783737603539"</f>
        <v>9783737603539</v>
      </c>
    </row>
    <row r="23333" spans="1:6" s="3" customFormat="1" ht="29.1" customHeight="1" x14ac:dyDescent="0.25">
      <c r="A23333" s="2" t="s">
        <v>45589</v>
      </c>
      <c r="B23333" s="2" t="s">
        <v>45590</v>
      </c>
      <c r="C23333" s="2" t="s">
        <v>556</v>
      </c>
      <c r="D23333" s="2" t="s">
        <v>4160</v>
      </c>
      <c r="E23333" s="2" t="str">
        <f>"9783837640472"</f>
        <v>9783837640472</v>
      </c>
      <c r="F23333" s="2" t="str">
        <f>"9783839440476"</f>
        <v>9783839440476</v>
      </c>
    </row>
    <row r="23334" spans="1:6" s="3" customFormat="1" ht="29.1" customHeight="1" x14ac:dyDescent="0.25">
      <c r="A23334" s="2" t="s">
        <v>45591</v>
      </c>
      <c r="B23334" s="2" t="s">
        <v>45592</v>
      </c>
      <c r="C23334" s="2" t="s">
        <v>556</v>
      </c>
      <c r="D23334" s="2" t="s">
        <v>1162</v>
      </c>
      <c r="E23334" s="2" t="str">
        <f>"9783837640298"</f>
        <v>9783837640298</v>
      </c>
      <c r="F23334" s="2" t="str">
        <f>"9783839440292"</f>
        <v>9783839440292</v>
      </c>
    </row>
    <row r="23335" spans="1:6" s="3" customFormat="1" ht="29.1" customHeight="1" x14ac:dyDescent="0.25">
      <c r="A23335" s="2" t="s">
        <v>45593</v>
      </c>
      <c r="B23335" s="2" t="s">
        <v>45594</v>
      </c>
      <c r="C23335" s="2" t="s">
        <v>556</v>
      </c>
      <c r="D23335" s="2" t="s">
        <v>699</v>
      </c>
      <c r="E23335" s="2" t="str">
        <f>"9783837639926"</f>
        <v>9783837639926</v>
      </c>
      <c r="F23335" s="2" t="str">
        <f>"9783839439920"</f>
        <v>9783839439920</v>
      </c>
    </row>
    <row r="23336" spans="1:6" s="3" customFormat="1" ht="29.1" customHeight="1" x14ac:dyDescent="0.25">
      <c r="A23336" s="2" t="s">
        <v>45595</v>
      </c>
      <c r="B23336" s="2" t="s">
        <v>45596</v>
      </c>
      <c r="C23336" s="2" t="s">
        <v>556</v>
      </c>
      <c r="D23336" s="2" t="s">
        <v>1411</v>
      </c>
      <c r="E23336" s="2" t="str">
        <f>"9783837639568"</f>
        <v>9783837639568</v>
      </c>
      <c r="F23336" s="2" t="str">
        <f>"9783839439562"</f>
        <v>9783839439562</v>
      </c>
    </row>
    <row r="23337" spans="1:6" s="3" customFormat="1" ht="29.1" customHeight="1" x14ac:dyDescent="0.25">
      <c r="A23337" s="2" t="s">
        <v>45597</v>
      </c>
      <c r="B23337" s="2" t="s">
        <v>45598</v>
      </c>
      <c r="C23337" s="2" t="s">
        <v>556</v>
      </c>
      <c r="D23337" s="2" t="s">
        <v>72</v>
      </c>
      <c r="E23337" s="2" t="str">
        <f>"9783837639414"</f>
        <v>9783837639414</v>
      </c>
      <c r="F23337" s="2" t="str">
        <f>"9783839439418"</f>
        <v>9783839439418</v>
      </c>
    </row>
    <row r="23338" spans="1:6" s="3" customFormat="1" ht="29.1" customHeight="1" x14ac:dyDescent="0.25">
      <c r="A23338" s="2" t="s">
        <v>45599</v>
      </c>
      <c r="B23338" s="2" t="s">
        <v>45600</v>
      </c>
      <c r="C23338" s="2" t="s">
        <v>556</v>
      </c>
      <c r="D23338" s="2" t="s">
        <v>5983</v>
      </c>
      <c r="E23338" s="2" t="str">
        <f>"9783837639278"</f>
        <v>9783837639278</v>
      </c>
      <c r="F23338" s="2" t="str">
        <f>"9783839439272"</f>
        <v>9783839439272</v>
      </c>
    </row>
    <row r="23339" spans="1:6" s="3" customFormat="1" ht="29.1" customHeight="1" x14ac:dyDescent="0.25">
      <c r="A23339" s="2" t="s">
        <v>45601</v>
      </c>
      <c r="B23339" s="2" t="s">
        <v>45602</v>
      </c>
      <c r="C23339" s="2" t="s">
        <v>556</v>
      </c>
      <c r="D23339" s="2" t="s">
        <v>1162</v>
      </c>
      <c r="E23339" s="2" t="str">
        <f>"9783837638479"</f>
        <v>9783837638479</v>
      </c>
      <c r="F23339" s="2" t="str">
        <f>"9783732838479"</f>
        <v>9783732838479</v>
      </c>
    </row>
    <row r="23340" spans="1:6" s="3" customFormat="1" ht="29.1" customHeight="1" x14ac:dyDescent="0.25">
      <c r="A23340" s="2" t="s">
        <v>45603</v>
      </c>
      <c r="B23340" s="2" t="s">
        <v>45604</v>
      </c>
      <c r="C23340" s="2" t="s">
        <v>264</v>
      </c>
      <c r="D23340" s="2" t="s">
        <v>9656</v>
      </c>
      <c r="E23340" s="2" t="str">
        <f>"9781138032439"</f>
        <v>9781138032439</v>
      </c>
      <c r="F23340" s="2" t="str">
        <f>"9781315390604"</f>
        <v>9781315390604</v>
      </c>
    </row>
    <row r="23341" spans="1:6" s="3" customFormat="1" ht="29.1" customHeight="1" x14ac:dyDescent="0.25">
      <c r="A23341" s="2" t="s">
        <v>45605</v>
      </c>
      <c r="B23341" s="2" t="s">
        <v>45606</v>
      </c>
      <c r="C23341" s="2" t="s">
        <v>248</v>
      </c>
      <c r="D23341" s="2" t="s">
        <v>78</v>
      </c>
      <c r="E23341" s="2" t="str">
        <f>"9783847420835"</f>
        <v>9783847420835</v>
      </c>
      <c r="F23341" s="2" t="str">
        <f>"9783847410775"</f>
        <v>9783847410775</v>
      </c>
    </row>
    <row r="23342" spans="1:6" s="3" customFormat="1" ht="29.1" customHeight="1" x14ac:dyDescent="0.25">
      <c r="A23342" s="2" t="s">
        <v>45607</v>
      </c>
      <c r="B23342" s="2" t="s">
        <v>45608</v>
      </c>
      <c r="C23342" s="2" t="s">
        <v>124</v>
      </c>
      <c r="D23342" s="2" t="s">
        <v>186</v>
      </c>
      <c r="E23342" s="2" t="str">
        <f>"9781138655799"</f>
        <v>9781138655799</v>
      </c>
      <c r="F23342" s="2" t="str">
        <f>"9781317222606"</f>
        <v>9781317222606</v>
      </c>
    </row>
    <row r="23343" spans="1:6" s="3" customFormat="1" ht="29.1" customHeight="1" x14ac:dyDescent="0.25">
      <c r="A23343" s="2" t="s">
        <v>45609</v>
      </c>
      <c r="B23343" s="2" t="s">
        <v>45610</v>
      </c>
      <c r="C23343" s="2" t="s">
        <v>195</v>
      </c>
      <c r="D23343" s="2" t="s">
        <v>459</v>
      </c>
      <c r="E23343" s="2" t="str">
        <f>"9783110515817"</f>
        <v>9783110515817</v>
      </c>
      <c r="F23343" s="2" t="str">
        <f>"9783110515862"</f>
        <v>9783110515862</v>
      </c>
    </row>
    <row r="23344" spans="1:6" s="3" customFormat="1" ht="29.1" customHeight="1" x14ac:dyDescent="0.25">
      <c r="A23344" s="2" t="s">
        <v>45611</v>
      </c>
      <c r="B23344" s="2" t="s">
        <v>45612</v>
      </c>
      <c r="C23344" s="2" t="s">
        <v>195</v>
      </c>
      <c r="D23344" s="2" t="s">
        <v>459</v>
      </c>
      <c r="E23344" s="2" t="str">
        <f>"9783110501469"</f>
        <v>9783110501469</v>
      </c>
      <c r="F23344" s="2" t="str">
        <f>"9783110498707"</f>
        <v>9783110498707</v>
      </c>
    </row>
    <row r="23345" spans="1:6" s="3" customFormat="1" ht="29.1" customHeight="1" x14ac:dyDescent="0.25">
      <c r="A23345" s="2" t="s">
        <v>45613</v>
      </c>
      <c r="B23345" s="2" t="s">
        <v>45614</v>
      </c>
      <c r="C23345" s="2" t="s">
        <v>195</v>
      </c>
      <c r="D23345" s="2" t="s">
        <v>1141</v>
      </c>
      <c r="E23345" s="2" t="str">
        <f>"9783110477528"</f>
        <v>9783110477528</v>
      </c>
      <c r="F23345" s="2" t="str">
        <f>"9783110477559"</f>
        <v>9783110477559</v>
      </c>
    </row>
    <row r="23346" spans="1:6" s="3" customFormat="1" ht="29.1" customHeight="1" x14ac:dyDescent="0.25">
      <c r="A23346" s="2" t="s">
        <v>45615</v>
      </c>
      <c r="B23346" s="2" t="s">
        <v>45616</v>
      </c>
      <c r="C23346" s="2" t="s">
        <v>248</v>
      </c>
      <c r="D23346" s="2" t="s">
        <v>249</v>
      </c>
      <c r="E23346" s="2" t="str">
        <f>"9783847420842"</f>
        <v>9783847420842</v>
      </c>
      <c r="F23346" s="2" t="str">
        <f>"9783847411024"</f>
        <v>9783847411024</v>
      </c>
    </row>
    <row r="23347" spans="1:6" s="3" customFormat="1" ht="29.1" customHeight="1" x14ac:dyDescent="0.25">
      <c r="A23347" s="2" t="s">
        <v>45617</v>
      </c>
      <c r="B23347" s="2" t="s">
        <v>45618</v>
      </c>
      <c r="C23347" s="2" t="s">
        <v>124</v>
      </c>
      <c r="D23347" s="2" t="s">
        <v>5250</v>
      </c>
      <c r="E23347" s="2" t="str">
        <f>"9781138043534"</f>
        <v>9781138043534</v>
      </c>
      <c r="F23347" s="2" t="str">
        <f>"9781351699761"</f>
        <v>9781351699761</v>
      </c>
    </row>
    <row r="23348" spans="1:6" s="3" customFormat="1" ht="29.1" customHeight="1" x14ac:dyDescent="0.25">
      <c r="A23348" s="2" t="s">
        <v>45619</v>
      </c>
      <c r="B23348" s="2" t="s">
        <v>45620</v>
      </c>
      <c r="C23348" s="2" t="s">
        <v>55</v>
      </c>
      <c r="D23348" s="2" t="s">
        <v>5158</v>
      </c>
      <c r="E23348" s="2" t="str">
        <f>"9781784994105"</f>
        <v>9781784994105</v>
      </c>
      <c r="F23348" s="2" t="str">
        <f>"9781784997564"</f>
        <v>9781784997564</v>
      </c>
    </row>
    <row r="23349" spans="1:6" s="3" customFormat="1" ht="29.1" customHeight="1" x14ac:dyDescent="0.25">
      <c r="A23349" s="2" t="s">
        <v>45621</v>
      </c>
      <c r="B23349" s="2" t="s">
        <v>45622</v>
      </c>
      <c r="C23349" s="2" t="s">
        <v>36</v>
      </c>
      <c r="D23349" s="2" t="s">
        <v>1717</v>
      </c>
      <c r="E23349" s="2"/>
      <c r="F23349" s="2" t="str">
        <f>"9781447332855"</f>
        <v>9781447332855</v>
      </c>
    </row>
    <row r="23350" spans="1:6" s="3" customFormat="1" ht="29.1" customHeight="1" x14ac:dyDescent="0.25">
      <c r="A23350" s="2" t="s">
        <v>45623</v>
      </c>
      <c r="B23350" s="2" t="s">
        <v>45625</v>
      </c>
      <c r="C23350" s="2" t="s">
        <v>15381</v>
      </c>
      <c r="D23350" s="2" t="s">
        <v>45624</v>
      </c>
      <c r="E23350" s="2" t="str">
        <f>"9781469634227"</f>
        <v>9781469634227</v>
      </c>
      <c r="F23350" s="2" t="str">
        <f>"9781469634241"</f>
        <v>9781469634241</v>
      </c>
    </row>
    <row r="23351" spans="1:6" s="3" customFormat="1" ht="29.1" customHeight="1" x14ac:dyDescent="0.25">
      <c r="A23351" s="2" t="s">
        <v>45626</v>
      </c>
      <c r="B23351" s="2" t="s">
        <v>45627</v>
      </c>
      <c r="C23351" s="2" t="s">
        <v>131</v>
      </c>
      <c r="D23351" s="2" t="s">
        <v>175</v>
      </c>
      <c r="E23351" s="2" t="str">
        <f>"9789027252760"</f>
        <v>9789027252760</v>
      </c>
      <c r="F23351" s="2" t="str">
        <f>"9789027265807"</f>
        <v>9789027265807</v>
      </c>
    </row>
    <row r="23352" spans="1:6" s="3" customFormat="1" ht="29.1" customHeight="1" x14ac:dyDescent="0.25">
      <c r="A23352" s="2" t="s">
        <v>45628</v>
      </c>
      <c r="B23352" s="2" t="s">
        <v>45629</v>
      </c>
      <c r="C23352" s="2" t="s">
        <v>36</v>
      </c>
      <c r="D23352" s="2" t="s">
        <v>75</v>
      </c>
      <c r="E23352" s="2" t="str">
        <f>"9781447327134"</f>
        <v>9781447327134</v>
      </c>
      <c r="F23352" s="2" t="str">
        <f>"9781447327165"</f>
        <v>9781447327165</v>
      </c>
    </row>
    <row r="23353" spans="1:6" s="3" customFormat="1" ht="29.1" customHeight="1" x14ac:dyDescent="0.25">
      <c r="A23353" s="2" t="s">
        <v>45630</v>
      </c>
      <c r="B23353" s="2" t="s">
        <v>45631</v>
      </c>
      <c r="C23353" s="2" t="s">
        <v>36</v>
      </c>
      <c r="D23353" s="2" t="s">
        <v>991</v>
      </c>
      <c r="E23353" s="2"/>
      <c r="F23353" s="2" t="str">
        <f>"9781447324263"</f>
        <v>9781447324263</v>
      </c>
    </row>
    <row r="23354" spans="1:6" s="3" customFormat="1" ht="29.1" customHeight="1" x14ac:dyDescent="0.25">
      <c r="A23354" s="2" t="s">
        <v>45632</v>
      </c>
      <c r="B23354" s="2" t="s">
        <v>45633</v>
      </c>
      <c r="C23354" s="2" t="s">
        <v>36</v>
      </c>
      <c r="D23354" s="2" t="s">
        <v>1694</v>
      </c>
      <c r="E23354" s="2" t="str">
        <f>"9781447322030"</f>
        <v>9781447322030</v>
      </c>
      <c r="F23354" s="2" t="str">
        <f>"9781447322061"</f>
        <v>9781447322061</v>
      </c>
    </row>
    <row r="23355" spans="1:6" s="3" customFormat="1" ht="29.1" customHeight="1" x14ac:dyDescent="0.25">
      <c r="A23355" s="2" t="s">
        <v>45634</v>
      </c>
      <c r="B23355" s="2" t="s">
        <v>45636</v>
      </c>
      <c r="C23355" s="2" t="s">
        <v>36</v>
      </c>
      <c r="D23355" s="2" t="s">
        <v>45635</v>
      </c>
      <c r="E23355" s="2" t="str">
        <f>"9781447332633"</f>
        <v>9781447332633</v>
      </c>
      <c r="F23355" s="2" t="str">
        <f>"9781447332640"</f>
        <v>9781447332640</v>
      </c>
    </row>
    <row r="23356" spans="1:6" s="3" customFormat="1" ht="29.1" customHeight="1" x14ac:dyDescent="0.25">
      <c r="A23356" s="2" t="s">
        <v>45637</v>
      </c>
      <c r="B23356" s="2" t="s">
        <v>45638</v>
      </c>
      <c r="C23356" s="2" t="s">
        <v>927</v>
      </c>
      <c r="D23356" s="2" t="s">
        <v>210</v>
      </c>
      <c r="E23356" s="2" t="str">
        <f>"9780472130412"</f>
        <v>9780472130412</v>
      </c>
      <c r="F23356" s="2" t="str">
        <f>"9780472122967"</f>
        <v>9780472122967</v>
      </c>
    </row>
    <row r="23357" spans="1:6" s="3" customFormat="1" ht="29.1" customHeight="1" x14ac:dyDescent="0.25">
      <c r="A23357" s="2" t="s">
        <v>45639</v>
      </c>
      <c r="B23357" s="2" t="s">
        <v>45640</v>
      </c>
      <c r="C23357" s="2" t="s">
        <v>34257</v>
      </c>
      <c r="D23357" s="2" t="s">
        <v>1565</v>
      </c>
      <c r="E23357" s="2" t="str">
        <f>"9780745328034"</f>
        <v>9780745328034</v>
      </c>
      <c r="F23357" s="2" t="str">
        <f>"9781849647199"</f>
        <v>9781849647199</v>
      </c>
    </row>
    <row r="23358" spans="1:6" s="3" customFormat="1" ht="29.1" customHeight="1" x14ac:dyDescent="0.25">
      <c r="A23358" s="2" t="s">
        <v>45641</v>
      </c>
      <c r="B23358" s="2" t="s">
        <v>45642</v>
      </c>
      <c r="C23358" s="2" t="s">
        <v>195</v>
      </c>
      <c r="D23358" s="2" t="s">
        <v>413</v>
      </c>
      <c r="E23358" s="2" t="str">
        <f>"9783484391079"</f>
        <v>9783484391079</v>
      </c>
      <c r="F23358" s="2" t="str">
        <f>"9783110915006"</f>
        <v>9783110915006</v>
      </c>
    </row>
    <row r="23359" spans="1:6" s="3" customFormat="1" ht="29.1" customHeight="1" x14ac:dyDescent="0.25">
      <c r="A23359" s="2" t="s">
        <v>45643</v>
      </c>
      <c r="B23359" s="2" t="s">
        <v>45644</v>
      </c>
      <c r="C23359" s="2" t="s">
        <v>195</v>
      </c>
      <c r="D23359" s="2" t="s">
        <v>1466</v>
      </c>
      <c r="E23359" s="2" t="str">
        <f>"9783486587289"</f>
        <v>9783486587289</v>
      </c>
      <c r="F23359" s="2" t="str">
        <f>"9783486702781"</f>
        <v>9783486702781</v>
      </c>
    </row>
    <row r="23360" spans="1:6" s="3" customFormat="1" ht="29.1" customHeight="1" x14ac:dyDescent="0.25">
      <c r="A23360" s="2" t="s">
        <v>45645</v>
      </c>
      <c r="B23360" s="2" t="s">
        <v>45646</v>
      </c>
      <c r="C23360" s="2" t="s">
        <v>195</v>
      </c>
      <c r="D23360" s="2" t="s">
        <v>210</v>
      </c>
      <c r="E23360" s="2" t="str">
        <f>"9783486548310"</f>
        <v>9783486548310</v>
      </c>
      <c r="F23360" s="2" t="str">
        <f>"9783486595574"</f>
        <v>9783486595574</v>
      </c>
    </row>
    <row r="23361" spans="1:6" s="3" customFormat="1" ht="29.1" customHeight="1" x14ac:dyDescent="0.25">
      <c r="A23361" s="2" t="s">
        <v>45647</v>
      </c>
      <c r="B23361" s="2" t="s">
        <v>45648</v>
      </c>
      <c r="C23361" s="2" t="s">
        <v>195</v>
      </c>
      <c r="D23361" s="2" t="s">
        <v>210</v>
      </c>
      <c r="E23361" s="2" t="str">
        <f>"9783486562606"</f>
        <v>9783486562606</v>
      </c>
      <c r="F23361" s="2" t="str">
        <f>"9783486594386"</f>
        <v>9783486594386</v>
      </c>
    </row>
    <row r="23362" spans="1:6" s="3" customFormat="1" ht="29.1" customHeight="1" x14ac:dyDescent="0.25">
      <c r="A23362" s="2" t="s">
        <v>45649</v>
      </c>
      <c r="B23362" s="2" t="s">
        <v>45650</v>
      </c>
      <c r="C23362" s="2" t="s">
        <v>195</v>
      </c>
      <c r="D23362" s="2" t="s">
        <v>210</v>
      </c>
      <c r="E23362" s="2" t="str">
        <f>"9783486543414"</f>
        <v>9783486543414</v>
      </c>
      <c r="F23362" s="2" t="str">
        <f>"9783486595529"</f>
        <v>9783486595529</v>
      </c>
    </row>
    <row r="23363" spans="1:6" s="3" customFormat="1" ht="29.1" customHeight="1" x14ac:dyDescent="0.25">
      <c r="A23363" s="2" t="s">
        <v>45651</v>
      </c>
      <c r="B23363" s="2" t="s">
        <v>45652</v>
      </c>
      <c r="C23363" s="2" t="s">
        <v>195</v>
      </c>
      <c r="D23363" s="2" t="s">
        <v>210</v>
      </c>
      <c r="E23363" s="2" t="str">
        <f>"9783486559941"</f>
        <v>9783486559941</v>
      </c>
      <c r="F23363" s="2" t="str">
        <f>"9783486594225"</f>
        <v>9783486594225</v>
      </c>
    </row>
    <row r="23364" spans="1:6" s="3" customFormat="1" ht="29.1" customHeight="1" x14ac:dyDescent="0.25">
      <c r="A23364" s="2" t="s">
        <v>45653</v>
      </c>
      <c r="B23364" s="2" t="s">
        <v>45654</v>
      </c>
      <c r="C23364" s="2" t="s">
        <v>195</v>
      </c>
      <c r="D23364" s="2" t="s">
        <v>1466</v>
      </c>
      <c r="E23364" s="2" t="str">
        <f>"9783486578478"</f>
        <v>9783486578478</v>
      </c>
      <c r="F23364" s="2" t="str">
        <f>"9783486702842"</f>
        <v>9783486702842</v>
      </c>
    </row>
    <row r="23365" spans="1:6" s="3" customFormat="1" ht="29.1" customHeight="1" x14ac:dyDescent="0.25">
      <c r="A23365" s="2" t="s">
        <v>45655</v>
      </c>
      <c r="B23365" s="2" t="s">
        <v>45656</v>
      </c>
      <c r="C23365" s="2" t="s">
        <v>195</v>
      </c>
      <c r="D23365" s="2" t="s">
        <v>210</v>
      </c>
      <c r="E23365" s="2" t="str">
        <f>"9783486558852"</f>
        <v>9783486558852</v>
      </c>
      <c r="F23365" s="2" t="str">
        <f>"9783486595642"</f>
        <v>9783486595642</v>
      </c>
    </row>
    <row r="23366" spans="1:6" s="3" customFormat="1" ht="29.1" customHeight="1" x14ac:dyDescent="0.25">
      <c r="A23366" s="2" t="s">
        <v>45657</v>
      </c>
      <c r="B23366" s="2" t="s">
        <v>45658</v>
      </c>
      <c r="C23366" s="2" t="s">
        <v>195</v>
      </c>
      <c r="D23366" s="2" t="s">
        <v>7000</v>
      </c>
      <c r="E23366" s="2" t="str">
        <f>"9783486564822"</f>
        <v>9783486564822</v>
      </c>
      <c r="F23366" s="2" t="str">
        <f>"9783486594454"</f>
        <v>9783486594454</v>
      </c>
    </row>
    <row r="23367" spans="1:6" s="3" customFormat="1" ht="29.1" customHeight="1" x14ac:dyDescent="0.25">
      <c r="A23367" s="2" t="s">
        <v>45659</v>
      </c>
      <c r="B23367" s="2" t="s">
        <v>45660</v>
      </c>
      <c r="C23367" s="2" t="s">
        <v>195</v>
      </c>
      <c r="D23367" s="2" t="s">
        <v>210</v>
      </c>
      <c r="E23367" s="2" t="str">
        <f>"9783486419009"</f>
        <v>9783486419009</v>
      </c>
      <c r="F23367" s="2" t="str">
        <f>"9783486818321"</f>
        <v>9783486818321</v>
      </c>
    </row>
    <row r="23368" spans="1:6" s="3" customFormat="1" ht="29.1" customHeight="1" x14ac:dyDescent="0.25">
      <c r="A23368" s="2" t="s">
        <v>45661</v>
      </c>
      <c r="B23368" s="2" t="s">
        <v>45662</v>
      </c>
      <c r="C23368" s="2" t="s">
        <v>195</v>
      </c>
      <c r="D23368" s="2" t="s">
        <v>1466</v>
      </c>
      <c r="E23368" s="2" t="str">
        <f>"9783486566390"</f>
        <v>9783486566390</v>
      </c>
      <c r="F23368" s="2" t="str">
        <f>"9783486594492"</f>
        <v>9783486594492</v>
      </c>
    </row>
    <row r="23369" spans="1:6" s="3" customFormat="1" ht="29.1" customHeight="1" x14ac:dyDescent="0.25">
      <c r="A23369" s="2" t="s">
        <v>45663</v>
      </c>
      <c r="B23369" s="2" t="s">
        <v>45664</v>
      </c>
      <c r="C23369" s="2" t="s">
        <v>195</v>
      </c>
      <c r="D23369" s="2" t="s">
        <v>210</v>
      </c>
      <c r="E23369" s="2" t="str">
        <f>"9783486718706"</f>
        <v>9783486718706</v>
      </c>
      <c r="F23369" s="2" t="str">
        <f>"9783486741919"</f>
        <v>9783486741919</v>
      </c>
    </row>
    <row r="23370" spans="1:6" s="3" customFormat="1" ht="29.1" customHeight="1" x14ac:dyDescent="0.25">
      <c r="A23370" s="2" t="s">
        <v>45665</v>
      </c>
      <c r="B23370" s="2" t="s">
        <v>45666</v>
      </c>
      <c r="C23370" s="2" t="s">
        <v>36</v>
      </c>
      <c r="D23370" s="2" t="s">
        <v>72</v>
      </c>
      <c r="E23370" s="2" t="str">
        <f>"9781447334149"</f>
        <v>9781447334149</v>
      </c>
      <c r="F23370" s="2" t="str">
        <f>"9781447334156"</f>
        <v>9781447334156</v>
      </c>
    </row>
    <row r="23371" spans="1:6" s="3" customFormat="1" ht="29.1" customHeight="1" x14ac:dyDescent="0.25">
      <c r="A23371" s="2" t="s">
        <v>45667</v>
      </c>
      <c r="B23371" s="2" t="s">
        <v>45668</v>
      </c>
      <c r="C23371" s="2" t="s">
        <v>927</v>
      </c>
      <c r="D23371" s="2" t="s">
        <v>270</v>
      </c>
      <c r="E23371" s="2" t="str">
        <f>"9780472053537"</f>
        <v>9780472053537</v>
      </c>
      <c r="F23371" s="2" t="str">
        <f>"9780472122899"</f>
        <v>9780472122899</v>
      </c>
    </row>
    <row r="23372" spans="1:6" s="3" customFormat="1" ht="29.1" customHeight="1" x14ac:dyDescent="0.25">
      <c r="A23372" s="2" t="s">
        <v>45669</v>
      </c>
      <c r="B23372" s="2" t="s">
        <v>45670</v>
      </c>
      <c r="C23372" s="2" t="s">
        <v>29</v>
      </c>
      <c r="D23372" s="2" t="s">
        <v>3445</v>
      </c>
      <c r="E23372" s="2" t="str">
        <f>"9789004350663"</f>
        <v>9789004350663</v>
      </c>
      <c r="F23372" s="2" t="str">
        <f>"9789004350670"</f>
        <v>9789004350670</v>
      </c>
    </row>
    <row r="23373" spans="1:6" s="3" customFormat="1" ht="29.1" customHeight="1" x14ac:dyDescent="0.25">
      <c r="A23373" s="2" t="s">
        <v>45671</v>
      </c>
      <c r="B23373" s="2" t="s">
        <v>45672</v>
      </c>
      <c r="C23373" s="2" t="s">
        <v>124</v>
      </c>
      <c r="D23373" s="2" t="s">
        <v>3086</v>
      </c>
      <c r="E23373" s="2" t="str">
        <f>"9781138666153"</f>
        <v>9781138666153</v>
      </c>
      <c r="F23373" s="2" t="str">
        <f>"9781317214168"</f>
        <v>9781317214168</v>
      </c>
    </row>
    <row r="23374" spans="1:6" s="3" customFormat="1" ht="29.1" customHeight="1" x14ac:dyDescent="0.25">
      <c r="A23374" s="2" t="s">
        <v>45673</v>
      </c>
      <c r="B23374" s="2" t="s">
        <v>45674</v>
      </c>
      <c r="C23374" s="2" t="s">
        <v>124</v>
      </c>
      <c r="D23374" s="2" t="s">
        <v>270</v>
      </c>
      <c r="E23374" s="2" t="str">
        <f>"9780367231248"</f>
        <v>9780367231248</v>
      </c>
      <c r="F23374" s="2" t="str">
        <f>"9781351624565"</f>
        <v>9781351624565</v>
      </c>
    </row>
    <row r="23375" spans="1:6" s="3" customFormat="1" ht="29.1" customHeight="1" x14ac:dyDescent="0.25">
      <c r="A23375" s="2" t="s">
        <v>45675</v>
      </c>
      <c r="B23375" s="2" t="s">
        <v>45676</v>
      </c>
      <c r="C23375" s="2" t="s">
        <v>124</v>
      </c>
      <c r="D23375" s="2" t="s">
        <v>81</v>
      </c>
      <c r="E23375" s="2" t="str">
        <f>"9780754623281"</f>
        <v>9780754623281</v>
      </c>
      <c r="F23375" s="2" t="str">
        <f>"9781351675321"</f>
        <v>9781351675321</v>
      </c>
    </row>
    <row r="23376" spans="1:6" s="3" customFormat="1" ht="29.1" customHeight="1" x14ac:dyDescent="0.25">
      <c r="A23376" s="2" t="s">
        <v>45677</v>
      </c>
      <c r="B23376" s="2" t="s">
        <v>45678</v>
      </c>
      <c r="C23376" s="2" t="s">
        <v>124</v>
      </c>
      <c r="D23376" s="2" t="s">
        <v>1155</v>
      </c>
      <c r="E23376" s="2" t="str">
        <f>"9780415371162"</f>
        <v>9780415371162</v>
      </c>
      <c r="F23376" s="2" t="str">
        <f>"9781351857727"</f>
        <v>9781351857727</v>
      </c>
    </row>
    <row r="23377" spans="1:6" s="3" customFormat="1" ht="29.1" customHeight="1" x14ac:dyDescent="0.25">
      <c r="A23377" s="2" t="s">
        <v>45679</v>
      </c>
      <c r="B23377" s="2" t="s">
        <v>45680</v>
      </c>
      <c r="C23377" s="2" t="s">
        <v>15381</v>
      </c>
      <c r="D23377" s="2" t="s">
        <v>1663</v>
      </c>
      <c r="E23377" s="2" t="str">
        <f>"9781469634296"</f>
        <v>9781469634296</v>
      </c>
      <c r="F23377" s="2" t="str">
        <f>"9781469634326"</f>
        <v>9781469634326</v>
      </c>
    </row>
    <row r="23378" spans="1:6" s="3" customFormat="1" ht="29.1" customHeight="1" x14ac:dyDescent="0.25">
      <c r="A23378" s="2" t="s">
        <v>45681</v>
      </c>
      <c r="B23378" s="2" t="s">
        <v>45682</v>
      </c>
      <c r="C23378" s="2" t="s">
        <v>55</v>
      </c>
      <c r="D23378" s="2" t="s">
        <v>764</v>
      </c>
      <c r="E23378" s="2" t="str">
        <f>"9780719096198"</f>
        <v>9780719096198</v>
      </c>
      <c r="F23378" s="2" t="str">
        <f>"9781526102829"</f>
        <v>9781526102829</v>
      </c>
    </row>
    <row r="23379" spans="1:6" s="3" customFormat="1" ht="29.1" customHeight="1" x14ac:dyDescent="0.25">
      <c r="A23379" s="2" t="s">
        <v>45683</v>
      </c>
      <c r="B23379" s="2" t="s">
        <v>45684</v>
      </c>
      <c r="C23379" s="2" t="s">
        <v>124</v>
      </c>
      <c r="D23379" s="2" t="s">
        <v>1144</v>
      </c>
      <c r="E23379" s="2" t="str">
        <f>"9781041183204"</f>
        <v>9781041183204</v>
      </c>
      <c r="F23379" s="2" t="str">
        <f>"9781040775837"</f>
        <v>9781040775837</v>
      </c>
    </row>
    <row r="23380" spans="1:6" s="3" customFormat="1" ht="29.1" customHeight="1" x14ac:dyDescent="0.25">
      <c r="A23380" s="2" t="s">
        <v>45685</v>
      </c>
      <c r="B23380" s="2" t="s">
        <v>45686</v>
      </c>
      <c r="C23380" s="2" t="s">
        <v>124</v>
      </c>
      <c r="D23380" s="2" t="s">
        <v>3214</v>
      </c>
      <c r="E23380" s="2" t="str">
        <f>"9789089646026"</f>
        <v>9789089646026</v>
      </c>
      <c r="F23380" s="2" t="str">
        <f>"9781040780046"</f>
        <v>9781040780046</v>
      </c>
    </row>
    <row r="23381" spans="1:6" s="3" customFormat="1" ht="29.1" customHeight="1" x14ac:dyDescent="0.25">
      <c r="A23381" s="2" t="s">
        <v>45687</v>
      </c>
      <c r="B23381" s="2" t="s">
        <v>45688</v>
      </c>
      <c r="C23381" s="2" t="s">
        <v>927</v>
      </c>
      <c r="D23381" s="2" t="s">
        <v>186</v>
      </c>
      <c r="E23381" s="2" t="str">
        <f>"9780472086764"</f>
        <v>9780472086764</v>
      </c>
      <c r="F23381" s="2" t="str">
        <f>"9780472123520"</f>
        <v>9780472123520</v>
      </c>
    </row>
    <row r="23382" spans="1:6" s="3" customFormat="1" ht="29.1" customHeight="1" x14ac:dyDescent="0.25">
      <c r="A23382" s="2" t="s">
        <v>45689</v>
      </c>
      <c r="B23382" s="2" t="s">
        <v>45690</v>
      </c>
      <c r="C23382" s="2" t="s">
        <v>927</v>
      </c>
      <c r="D23382" s="2" t="s">
        <v>270</v>
      </c>
      <c r="E23382" s="2" t="str">
        <f>"9780472130498"</f>
        <v>9780472130498</v>
      </c>
      <c r="F23382" s="2" t="str">
        <f>"9780472123124"</f>
        <v>9780472123124</v>
      </c>
    </row>
    <row r="23383" spans="1:6" s="3" customFormat="1" ht="29.1" customHeight="1" x14ac:dyDescent="0.25">
      <c r="A23383" s="2" t="s">
        <v>45691</v>
      </c>
      <c r="B23383" s="2" t="s">
        <v>45692</v>
      </c>
      <c r="C23383" s="2" t="s">
        <v>124</v>
      </c>
      <c r="D23383" s="2" t="s">
        <v>9</v>
      </c>
      <c r="E23383" s="2" t="str">
        <f>"9780415791960"</f>
        <v>9780415791960</v>
      </c>
      <c r="F23383" s="2" t="str">
        <f>"9781351814676"</f>
        <v>9781351814676</v>
      </c>
    </row>
    <row r="23384" spans="1:6" s="3" customFormat="1" ht="29.1" customHeight="1" x14ac:dyDescent="0.25">
      <c r="A23384" s="2" t="s">
        <v>45693</v>
      </c>
      <c r="B23384" s="2" t="s">
        <v>45694</v>
      </c>
      <c r="C23384" s="2" t="s">
        <v>124</v>
      </c>
      <c r="D23384" s="2" t="s">
        <v>270</v>
      </c>
      <c r="E23384" s="2" t="str">
        <f>"9781138215467"</f>
        <v>9781138215467</v>
      </c>
      <c r="F23384" s="2" t="str">
        <f>"9781315443942"</f>
        <v>9781315443942</v>
      </c>
    </row>
    <row r="23385" spans="1:6" s="3" customFormat="1" ht="29.1" customHeight="1" x14ac:dyDescent="0.25">
      <c r="A23385" s="2" t="s">
        <v>45695</v>
      </c>
      <c r="B23385" s="2" t="s">
        <v>45697</v>
      </c>
      <c r="C23385" s="2" t="s">
        <v>124</v>
      </c>
      <c r="D23385" s="2" t="s">
        <v>45696</v>
      </c>
      <c r="E23385" s="2" t="str">
        <f>"9789462980624"</f>
        <v>9789462980624</v>
      </c>
      <c r="F23385" s="2" t="str">
        <f>"9781040777091"</f>
        <v>9781040777091</v>
      </c>
    </row>
    <row r="23386" spans="1:6" s="3" customFormat="1" ht="29.1" customHeight="1" x14ac:dyDescent="0.25">
      <c r="A23386" s="2" t="s">
        <v>45698</v>
      </c>
      <c r="B23386" s="2" t="s">
        <v>45699</v>
      </c>
      <c r="C23386" s="2" t="s">
        <v>195</v>
      </c>
      <c r="D23386" s="2" t="s">
        <v>107</v>
      </c>
      <c r="E23386" s="2" t="str">
        <f>"9783110532180"</f>
        <v>9783110532180</v>
      </c>
      <c r="F23386" s="2" t="str">
        <f>"9783110532951"</f>
        <v>9783110532951</v>
      </c>
    </row>
    <row r="23387" spans="1:6" s="3" customFormat="1" ht="29.1" customHeight="1" x14ac:dyDescent="0.25">
      <c r="A23387" s="2" t="s">
        <v>45700</v>
      </c>
      <c r="B23387" s="2" t="s">
        <v>45701</v>
      </c>
      <c r="C23387" s="2" t="s">
        <v>195</v>
      </c>
      <c r="D23387" s="2" t="s">
        <v>4201</v>
      </c>
      <c r="E23387" s="2" t="str">
        <f>"9783110435436"</f>
        <v>9783110435436</v>
      </c>
      <c r="F23387" s="2" t="str">
        <f>"9783110427707"</f>
        <v>9783110427707</v>
      </c>
    </row>
    <row r="23388" spans="1:6" s="3" customFormat="1" ht="29.1" customHeight="1" x14ac:dyDescent="0.25">
      <c r="A23388" s="2" t="s">
        <v>45702</v>
      </c>
      <c r="B23388" s="2" t="s">
        <v>45703</v>
      </c>
      <c r="C23388" s="2" t="s">
        <v>29</v>
      </c>
      <c r="D23388" s="2" t="s">
        <v>509</v>
      </c>
      <c r="E23388" s="2" t="str">
        <f>"9789004340305"</f>
        <v>9789004340305</v>
      </c>
      <c r="F23388" s="2" t="str">
        <f>"9789004340312"</f>
        <v>9789004340312</v>
      </c>
    </row>
    <row r="23389" spans="1:6" s="3" customFormat="1" ht="29.1" customHeight="1" x14ac:dyDescent="0.25">
      <c r="A23389" s="2" t="s">
        <v>45704</v>
      </c>
      <c r="B23389" s="2" t="s">
        <v>1407</v>
      </c>
      <c r="C23389" s="2" t="s">
        <v>29</v>
      </c>
      <c r="D23389" s="2" t="s">
        <v>270</v>
      </c>
      <c r="E23389" s="2" t="str">
        <f>"9789004344150"</f>
        <v>9789004344150</v>
      </c>
      <c r="F23389" s="2" t="str">
        <f>"9789004345348"</f>
        <v>9789004345348</v>
      </c>
    </row>
    <row r="23390" spans="1:6" s="3" customFormat="1" ht="29.1" customHeight="1" x14ac:dyDescent="0.25">
      <c r="A23390" s="2" t="s">
        <v>45705</v>
      </c>
      <c r="B23390" s="2" t="s">
        <v>22777</v>
      </c>
      <c r="C23390" s="2" t="s">
        <v>124</v>
      </c>
      <c r="D23390" s="2" t="s">
        <v>1127</v>
      </c>
      <c r="E23390" s="2" t="str">
        <f>"9781138856981"</f>
        <v>9781138856981</v>
      </c>
      <c r="F23390" s="2" t="str">
        <f>"9781317514657"</f>
        <v>9781317514657</v>
      </c>
    </row>
    <row r="23391" spans="1:6" s="3" customFormat="1" ht="29.1" customHeight="1" x14ac:dyDescent="0.25">
      <c r="A23391" s="2" t="s">
        <v>45706</v>
      </c>
      <c r="B23391" s="2" t="s">
        <v>45707</v>
      </c>
      <c r="C23391" s="2" t="s">
        <v>124</v>
      </c>
      <c r="D23391" s="2" t="s">
        <v>712</v>
      </c>
      <c r="E23391" s="2" t="str">
        <f>"9781138889545"</f>
        <v>9781138889545</v>
      </c>
      <c r="F23391" s="2" t="str">
        <f>"9781317496038"</f>
        <v>9781317496038</v>
      </c>
    </row>
    <row r="23392" spans="1:6" s="3" customFormat="1" ht="29.1" customHeight="1" x14ac:dyDescent="0.25">
      <c r="A23392" s="2" t="s">
        <v>45708</v>
      </c>
      <c r="B23392" s="2" t="s">
        <v>45709</v>
      </c>
      <c r="C23392" s="2" t="s">
        <v>124</v>
      </c>
      <c r="D23392" s="2" t="s">
        <v>256</v>
      </c>
      <c r="E23392" s="2" t="str">
        <f>"9781138858848"</f>
        <v>9781138858848</v>
      </c>
      <c r="F23392" s="2" t="str">
        <f>"9781317510697"</f>
        <v>9781317510697</v>
      </c>
    </row>
    <row r="23393" spans="1:6" s="3" customFormat="1" ht="29.1" customHeight="1" x14ac:dyDescent="0.25">
      <c r="A23393" s="2" t="s">
        <v>45710</v>
      </c>
      <c r="B23393" s="2" t="s">
        <v>45711</v>
      </c>
      <c r="C23393" s="2" t="s">
        <v>124</v>
      </c>
      <c r="D23393" s="2" t="s">
        <v>334</v>
      </c>
      <c r="E23393" s="2" t="str">
        <f>"9781138125124"</f>
        <v>9781138125124</v>
      </c>
      <c r="F23393" s="2" t="str">
        <f>"9781317298861"</f>
        <v>9781317298861</v>
      </c>
    </row>
    <row r="23394" spans="1:6" s="3" customFormat="1" ht="29.1" customHeight="1" x14ac:dyDescent="0.25">
      <c r="A23394" s="2" t="s">
        <v>45712</v>
      </c>
      <c r="B23394" s="2" t="s">
        <v>45713</v>
      </c>
      <c r="C23394" s="2" t="s">
        <v>124</v>
      </c>
      <c r="D23394" s="2" t="s">
        <v>210</v>
      </c>
      <c r="E23394" s="2" t="str">
        <f>"9781472469441"</f>
        <v>9781472469441</v>
      </c>
      <c r="F23394" s="2" t="str">
        <f>"9781317172802"</f>
        <v>9781317172802</v>
      </c>
    </row>
    <row r="23395" spans="1:6" s="3" customFormat="1" ht="29.1" customHeight="1" x14ac:dyDescent="0.25">
      <c r="A23395" s="2" t="s">
        <v>45714</v>
      </c>
      <c r="B23395" s="2" t="s">
        <v>45715</v>
      </c>
      <c r="C23395" s="2" t="s">
        <v>124</v>
      </c>
      <c r="D23395" s="2" t="s">
        <v>1816</v>
      </c>
      <c r="E23395" s="2" t="str">
        <f>"9781138085855"</f>
        <v>9781138085855</v>
      </c>
      <c r="F23395" s="2" t="str">
        <f>"9781351618311"</f>
        <v>9781351618311</v>
      </c>
    </row>
    <row r="23396" spans="1:6" s="3" customFormat="1" ht="29.1" customHeight="1" x14ac:dyDescent="0.25">
      <c r="A23396" s="2" t="s">
        <v>45716</v>
      </c>
      <c r="B23396" s="2" t="s">
        <v>45717</v>
      </c>
      <c r="C23396" s="2" t="s">
        <v>124</v>
      </c>
      <c r="D23396" s="2" t="s">
        <v>2587</v>
      </c>
      <c r="E23396" s="2" t="str">
        <f>"9781138187887"</f>
        <v>9781138187887</v>
      </c>
      <c r="F23396" s="2" t="str">
        <f>"9781317284222"</f>
        <v>9781317284222</v>
      </c>
    </row>
    <row r="23397" spans="1:6" s="3" customFormat="1" ht="29.1" customHeight="1" x14ac:dyDescent="0.25">
      <c r="A23397" s="2" t="s">
        <v>45718</v>
      </c>
      <c r="B23397" s="2" t="s">
        <v>45719</v>
      </c>
      <c r="C23397" s="2" t="s">
        <v>124</v>
      </c>
      <c r="D23397" s="2" t="s">
        <v>9</v>
      </c>
      <c r="E23397" s="2" t="str">
        <f>"9780415254823"</f>
        <v>9780415254823</v>
      </c>
      <c r="F23397" s="2" t="str">
        <f>"9781136850738"</f>
        <v>9781136850738</v>
      </c>
    </row>
    <row r="23398" spans="1:6" s="3" customFormat="1" ht="29.1" customHeight="1" x14ac:dyDescent="0.25">
      <c r="A23398" s="2" t="s">
        <v>45720</v>
      </c>
      <c r="B23398" s="2" t="s">
        <v>45721</v>
      </c>
      <c r="C23398" s="2" t="s">
        <v>20</v>
      </c>
      <c r="D23398" s="2" t="s">
        <v>24</v>
      </c>
      <c r="E23398" s="2" t="str">
        <f>"9783763958573"</f>
        <v>9783763958573</v>
      </c>
      <c r="F23398" s="2" t="str">
        <f>"9783763958580"</f>
        <v>9783763958580</v>
      </c>
    </row>
    <row r="23399" spans="1:6" s="3" customFormat="1" ht="29.1" customHeight="1" x14ac:dyDescent="0.25">
      <c r="A23399" s="2" t="s">
        <v>45722</v>
      </c>
      <c r="B23399" s="2" t="s">
        <v>45723</v>
      </c>
      <c r="C23399" s="2" t="s">
        <v>20</v>
      </c>
      <c r="D23399" s="2" t="s">
        <v>2048</v>
      </c>
      <c r="E23399" s="2" t="str">
        <f>"9783763941148"</f>
        <v>9783763941148</v>
      </c>
      <c r="F23399" s="2" t="str">
        <f>"9783763941155"</f>
        <v>9783763941155</v>
      </c>
    </row>
    <row r="23400" spans="1:6" s="3" customFormat="1" ht="29.1" customHeight="1" x14ac:dyDescent="0.25">
      <c r="A23400" s="2" t="s">
        <v>45724</v>
      </c>
      <c r="B23400" s="2" t="s">
        <v>45725</v>
      </c>
      <c r="C23400" s="2" t="s">
        <v>124</v>
      </c>
      <c r="D23400" s="2" t="s">
        <v>30</v>
      </c>
      <c r="E23400" s="2" t="str">
        <f>"9781138653696"</f>
        <v>9781138653696</v>
      </c>
      <c r="F23400" s="2" t="str">
        <f>"9781317226659"</f>
        <v>9781317226659</v>
      </c>
    </row>
    <row r="23401" spans="1:6" s="3" customFormat="1" ht="29.1" customHeight="1" x14ac:dyDescent="0.25">
      <c r="A23401" s="2" t="s">
        <v>45726</v>
      </c>
      <c r="B23401" s="2" t="s">
        <v>45727</v>
      </c>
      <c r="C23401" s="2" t="s">
        <v>124</v>
      </c>
      <c r="D23401" s="2" t="s">
        <v>5408</v>
      </c>
      <c r="E23401" s="2" t="str">
        <f>"9781138930155"</f>
        <v>9781138930155</v>
      </c>
      <c r="F23401" s="2" t="str">
        <f>"9781317397984"</f>
        <v>9781317397984</v>
      </c>
    </row>
    <row r="23402" spans="1:6" s="3" customFormat="1" ht="29.1" customHeight="1" x14ac:dyDescent="0.25">
      <c r="A23402" s="2" t="s">
        <v>45728</v>
      </c>
      <c r="B23402" s="2" t="s">
        <v>45729</v>
      </c>
      <c r="C23402" s="2" t="s">
        <v>9716</v>
      </c>
      <c r="D23402" s="2" t="s">
        <v>210</v>
      </c>
      <c r="E23402" s="2" t="str">
        <f>"9781439914328"</f>
        <v>9781439914328</v>
      </c>
      <c r="F23402" s="2" t="str">
        <f>"9781439914342"</f>
        <v>9781439914342</v>
      </c>
    </row>
    <row r="23403" spans="1:6" s="3" customFormat="1" ht="29.1" customHeight="1" x14ac:dyDescent="0.25">
      <c r="A23403" s="2" t="s">
        <v>45730</v>
      </c>
      <c r="B23403" s="2" t="s">
        <v>45731</v>
      </c>
      <c r="C23403" s="2" t="s">
        <v>149</v>
      </c>
      <c r="D23403" s="2" t="s">
        <v>1162</v>
      </c>
      <c r="E23403" s="2" t="str">
        <f>"9781783743780"</f>
        <v>9781783743780</v>
      </c>
      <c r="F23403" s="2" t="str">
        <f>"9781783743803"</f>
        <v>9781783743803</v>
      </c>
    </row>
    <row r="23404" spans="1:6" s="3" customFormat="1" ht="29.1" customHeight="1" x14ac:dyDescent="0.25">
      <c r="A23404" s="2" t="s">
        <v>45732</v>
      </c>
      <c r="B23404" s="2" t="s">
        <v>45733</v>
      </c>
      <c r="C23404" s="2" t="s">
        <v>149</v>
      </c>
      <c r="D23404" s="2" t="s">
        <v>5360</v>
      </c>
      <c r="E23404" s="2" t="str">
        <f>"9781783743285"</f>
        <v>9781783743285</v>
      </c>
      <c r="F23404" s="2" t="str">
        <f>"9781783743308"</f>
        <v>9781783743308</v>
      </c>
    </row>
    <row r="23405" spans="1:6" s="3" customFormat="1" ht="29.1" customHeight="1" x14ac:dyDescent="0.25">
      <c r="A23405" s="2" t="s">
        <v>45734</v>
      </c>
      <c r="B23405" s="2" t="s">
        <v>45735</v>
      </c>
      <c r="C23405" s="2" t="s">
        <v>149</v>
      </c>
      <c r="D23405" s="2" t="s">
        <v>5806</v>
      </c>
      <c r="E23405" s="2" t="str">
        <f>"9781783743230"</f>
        <v>9781783743230</v>
      </c>
      <c r="F23405" s="2" t="str">
        <f>"9781783743254"</f>
        <v>9781783743254</v>
      </c>
    </row>
    <row r="23406" spans="1:6" s="3" customFormat="1" ht="29.1" customHeight="1" x14ac:dyDescent="0.25">
      <c r="A23406" s="2" t="s">
        <v>45736</v>
      </c>
      <c r="B23406" s="2" t="s">
        <v>45737</v>
      </c>
      <c r="C23406" s="2" t="s">
        <v>149</v>
      </c>
      <c r="D23406" s="2" t="s">
        <v>6896</v>
      </c>
      <c r="E23406" s="2" t="str">
        <f>"9781783743186"</f>
        <v>9781783743186</v>
      </c>
      <c r="F23406" s="2" t="str">
        <f>"9781783743209"</f>
        <v>9781783743209</v>
      </c>
    </row>
    <row r="23407" spans="1:6" s="3" customFormat="1" ht="29.1" customHeight="1" x14ac:dyDescent="0.25">
      <c r="A23407" s="2" t="s">
        <v>45738</v>
      </c>
      <c r="B23407" s="2" t="s">
        <v>45370</v>
      </c>
      <c r="C23407" s="2" t="s">
        <v>149</v>
      </c>
      <c r="D23407" s="2" t="s">
        <v>916</v>
      </c>
      <c r="E23407" s="2" t="str">
        <f>"9781783743438"</f>
        <v>9781783743438</v>
      </c>
      <c r="F23407" s="2" t="str">
        <f>"9781783743452"</f>
        <v>9781783743452</v>
      </c>
    </row>
    <row r="23408" spans="1:6" s="3" customFormat="1" ht="29.1" customHeight="1" x14ac:dyDescent="0.25">
      <c r="A23408" s="2" t="s">
        <v>45739</v>
      </c>
      <c r="B23408" s="2" t="s">
        <v>45740</v>
      </c>
      <c r="C23408" s="2" t="s">
        <v>149</v>
      </c>
      <c r="D23408" s="2" t="s">
        <v>405</v>
      </c>
      <c r="E23408" s="2" t="str">
        <f>"9781783740871"</f>
        <v>9781783740871</v>
      </c>
      <c r="F23408" s="2" t="str">
        <f>"9781783740895"</f>
        <v>9781783740895</v>
      </c>
    </row>
    <row r="23409" spans="1:6" s="3" customFormat="1" ht="29.1" customHeight="1" x14ac:dyDescent="0.25">
      <c r="A23409" s="2" t="s">
        <v>45741</v>
      </c>
      <c r="B23409" s="2"/>
      <c r="C23409" s="2" t="s">
        <v>59</v>
      </c>
      <c r="D23409" s="2" t="s">
        <v>2086</v>
      </c>
      <c r="E23409" s="2"/>
      <c r="F23409" s="2" t="str">
        <f>"9782759227310"</f>
        <v>9782759227310</v>
      </c>
    </row>
    <row r="23410" spans="1:6" s="3" customFormat="1" ht="29.1" customHeight="1" x14ac:dyDescent="0.25">
      <c r="A23410" s="2" t="s">
        <v>45742</v>
      </c>
      <c r="B23410" s="2" t="s">
        <v>45743</v>
      </c>
      <c r="C23410" s="2" t="s">
        <v>195</v>
      </c>
      <c r="D23410" s="2" t="s">
        <v>1466</v>
      </c>
      <c r="E23410" s="2" t="str">
        <f>"9783486706598"</f>
        <v>9783486706598</v>
      </c>
      <c r="F23410" s="2" t="str">
        <f>"9783486713459"</f>
        <v>9783486713459</v>
      </c>
    </row>
    <row r="23411" spans="1:6" s="3" customFormat="1" ht="29.1" customHeight="1" x14ac:dyDescent="0.25">
      <c r="A23411" s="2" t="s">
        <v>45744</v>
      </c>
      <c r="B23411" s="2" t="s">
        <v>45745</v>
      </c>
      <c r="C23411" s="2" t="s">
        <v>43061</v>
      </c>
      <c r="D23411" s="2" t="s">
        <v>712</v>
      </c>
      <c r="E23411" s="2" t="str">
        <f>"9783862198900"</f>
        <v>9783862198900</v>
      </c>
      <c r="F23411" s="2" t="str">
        <f>"9783862198917"</f>
        <v>9783862198917</v>
      </c>
    </row>
    <row r="23412" spans="1:6" s="3" customFormat="1" ht="29.1" customHeight="1" x14ac:dyDescent="0.25">
      <c r="A23412" s="2" t="s">
        <v>45746</v>
      </c>
      <c r="B23412" s="2" t="s">
        <v>45747</v>
      </c>
      <c r="C23412" s="2" t="s">
        <v>43061</v>
      </c>
      <c r="D23412" s="2" t="s">
        <v>968</v>
      </c>
      <c r="E23412" s="2" t="str">
        <f>"9783737601801"</f>
        <v>9783737601801</v>
      </c>
      <c r="F23412" s="2" t="str">
        <f>"9783737601818"</f>
        <v>9783737601818</v>
      </c>
    </row>
    <row r="23413" spans="1:6" s="3" customFormat="1" ht="29.1" customHeight="1" x14ac:dyDescent="0.25">
      <c r="A23413" s="2" t="s">
        <v>45748</v>
      </c>
      <c r="B23413" s="2" t="s">
        <v>45749</v>
      </c>
      <c r="C23413" s="2" t="s">
        <v>43061</v>
      </c>
      <c r="D23413" s="2" t="s">
        <v>5144</v>
      </c>
      <c r="E23413" s="2" t="str">
        <f>"9783737602860"</f>
        <v>9783737602860</v>
      </c>
      <c r="F23413" s="2" t="str">
        <f>"9783737602877"</f>
        <v>9783737602877</v>
      </c>
    </row>
    <row r="23414" spans="1:6" s="3" customFormat="1" ht="29.1" customHeight="1" x14ac:dyDescent="0.25">
      <c r="A23414" s="2" t="s">
        <v>45750</v>
      </c>
      <c r="B23414" s="2" t="s">
        <v>45751</v>
      </c>
      <c r="C23414" s="2" t="s">
        <v>43061</v>
      </c>
      <c r="D23414" s="2" t="s">
        <v>1959</v>
      </c>
      <c r="E23414" s="2" t="str">
        <f>"9783737602648"</f>
        <v>9783737602648</v>
      </c>
      <c r="F23414" s="2" t="str">
        <f>"9783737602655"</f>
        <v>9783737602655</v>
      </c>
    </row>
    <row r="23415" spans="1:6" s="3" customFormat="1" ht="29.1" customHeight="1" x14ac:dyDescent="0.25">
      <c r="A23415" s="2" t="s">
        <v>45752</v>
      </c>
      <c r="B23415" s="2" t="s">
        <v>45753</v>
      </c>
      <c r="C23415" s="2" t="s">
        <v>43061</v>
      </c>
      <c r="D23415" s="2" t="s">
        <v>14352</v>
      </c>
      <c r="E23415" s="2" t="str">
        <f>"9783737603102"</f>
        <v>9783737603102</v>
      </c>
      <c r="F23415" s="2" t="str">
        <f>"9783737603119"</f>
        <v>9783737603119</v>
      </c>
    </row>
    <row r="23416" spans="1:6" s="3" customFormat="1" ht="29.1" customHeight="1" x14ac:dyDescent="0.25">
      <c r="A23416" s="2" t="s">
        <v>45754</v>
      </c>
      <c r="B23416" s="2" t="s">
        <v>45755</v>
      </c>
      <c r="C23416" s="2" t="s">
        <v>43061</v>
      </c>
      <c r="D23416" s="2" t="s">
        <v>1183</v>
      </c>
      <c r="E23416" s="2" t="str">
        <f>"9783737603225"</f>
        <v>9783737603225</v>
      </c>
      <c r="F23416" s="2" t="str">
        <f>"9783737603232"</f>
        <v>9783737603232</v>
      </c>
    </row>
    <row r="23417" spans="1:6" s="3" customFormat="1" ht="29.1" customHeight="1" x14ac:dyDescent="0.25">
      <c r="A23417" s="2" t="s">
        <v>45756</v>
      </c>
      <c r="B23417" s="2" t="s">
        <v>45758</v>
      </c>
      <c r="C23417" s="2" t="s">
        <v>43061</v>
      </c>
      <c r="D23417" s="2" t="s">
        <v>45757</v>
      </c>
      <c r="E23417" s="2" t="str">
        <f>"9783737603263"</f>
        <v>9783737603263</v>
      </c>
      <c r="F23417" s="2" t="str">
        <f>"9783737603270"</f>
        <v>9783737603270</v>
      </c>
    </row>
    <row r="23418" spans="1:6" s="3" customFormat="1" ht="29.1" customHeight="1" x14ac:dyDescent="0.25">
      <c r="A23418" s="2" t="s">
        <v>45759</v>
      </c>
      <c r="B23418" s="2"/>
      <c r="C23418" s="2" t="s">
        <v>59</v>
      </c>
      <c r="D23418" s="2" t="s">
        <v>2086</v>
      </c>
      <c r="E23418" s="2" t="str">
        <f>"9782759223435"</f>
        <v>9782759223435</v>
      </c>
      <c r="F23418" s="2" t="str">
        <f>"9782759223442"</f>
        <v>9782759223442</v>
      </c>
    </row>
    <row r="23419" spans="1:6" s="3" customFormat="1" ht="29.1" customHeight="1" x14ac:dyDescent="0.25">
      <c r="A23419" s="2" t="s">
        <v>45760</v>
      </c>
      <c r="B23419" s="2" t="s">
        <v>45761</v>
      </c>
      <c r="C23419" s="2" t="s">
        <v>59</v>
      </c>
      <c r="D23419" s="2" t="s">
        <v>479</v>
      </c>
      <c r="E23419" s="2" t="str">
        <f>"9782759224753"</f>
        <v>9782759224753</v>
      </c>
      <c r="F23419" s="2" t="str">
        <f>"9782759224777"</f>
        <v>9782759224777</v>
      </c>
    </row>
    <row r="23420" spans="1:6" s="3" customFormat="1" ht="29.1" customHeight="1" x14ac:dyDescent="0.25">
      <c r="A23420" s="2" t="s">
        <v>45762</v>
      </c>
      <c r="B23420" s="2" t="s">
        <v>45763</v>
      </c>
      <c r="C23420" s="2" t="s">
        <v>59</v>
      </c>
      <c r="D23420" s="2" t="s">
        <v>2702</v>
      </c>
      <c r="E23420" s="2" t="str">
        <f>"9782759224906"</f>
        <v>9782759224906</v>
      </c>
      <c r="F23420" s="2" t="str">
        <f>"9782759224913"</f>
        <v>9782759224913</v>
      </c>
    </row>
    <row r="23421" spans="1:6" s="3" customFormat="1" ht="29.1" customHeight="1" x14ac:dyDescent="0.25">
      <c r="A23421" s="2" t="s">
        <v>45764</v>
      </c>
      <c r="B23421" s="2" t="s">
        <v>45765</v>
      </c>
      <c r="C23421" s="2" t="s">
        <v>264</v>
      </c>
      <c r="D23421" s="2" t="s">
        <v>2880</v>
      </c>
      <c r="E23421" s="2" t="str">
        <f>"9781498763219"</f>
        <v>9781498763219</v>
      </c>
      <c r="F23421" s="2" t="str">
        <f>"9781498763226"</f>
        <v>9781498763226</v>
      </c>
    </row>
    <row r="23422" spans="1:6" s="3" customFormat="1" ht="29.1" customHeight="1" x14ac:dyDescent="0.25">
      <c r="A23422" s="2" t="s">
        <v>1321</v>
      </c>
      <c r="B23422" s="2" t="s">
        <v>45766</v>
      </c>
      <c r="C23422" s="2" t="s">
        <v>1070</v>
      </c>
      <c r="D23422" s="2" t="s">
        <v>1278</v>
      </c>
      <c r="E23422" s="2" t="str">
        <f>"9781910797327"</f>
        <v>9781910797327</v>
      </c>
      <c r="F23422" s="2" t="str">
        <f>"9781910797464"</f>
        <v>9781910797464</v>
      </c>
    </row>
    <row r="23423" spans="1:6" s="3" customFormat="1" ht="29.1" customHeight="1" x14ac:dyDescent="0.25">
      <c r="A23423" s="2" t="s">
        <v>45767</v>
      </c>
      <c r="B23423" s="2" t="s">
        <v>45768</v>
      </c>
      <c r="C23423" s="2" t="s">
        <v>927</v>
      </c>
      <c r="D23423" s="2" t="s">
        <v>2208</v>
      </c>
      <c r="E23423" s="2" t="str">
        <f>"9780472053551"</f>
        <v>9780472053551</v>
      </c>
      <c r="F23423" s="2" t="str">
        <f>"9780472122950"</f>
        <v>9780472122950</v>
      </c>
    </row>
    <row r="23424" spans="1:6" s="3" customFormat="1" ht="29.1" customHeight="1" x14ac:dyDescent="0.25">
      <c r="A23424" s="2" t="s">
        <v>45769</v>
      </c>
      <c r="B23424" s="2" t="s">
        <v>36584</v>
      </c>
      <c r="C23424" s="2" t="s">
        <v>195</v>
      </c>
      <c r="D23424" s="2" t="s">
        <v>446</v>
      </c>
      <c r="E23424" s="2" t="str">
        <f>"9783110528947"</f>
        <v>9783110528947</v>
      </c>
      <c r="F23424" s="2" t="str">
        <f>"9783110531725"</f>
        <v>9783110531725</v>
      </c>
    </row>
    <row r="23425" spans="1:6" s="3" customFormat="1" ht="29.1" customHeight="1" x14ac:dyDescent="0.25">
      <c r="A23425" s="2" t="s">
        <v>45770</v>
      </c>
      <c r="B23425" s="2" t="s">
        <v>45771</v>
      </c>
      <c r="C23425" s="2" t="s">
        <v>195</v>
      </c>
      <c r="D23425" s="2" t="s">
        <v>107</v>
      </c>
      <c r="E23425" s="2" t="str">
        <f>"9783110532029"</f>
        <v>9783110532029</v>
      </c>
      <c r="F23425" s="2" t="str">
        <f>"9783110532128"</f>
        <v>9783110532128</v>
      </c>
    </row>
    <row r="23426" spans="1:6" s="3" customFormat="1" ht="29.1" customHeight="1" x14ac:dyDescent="0.25">
      <c r="A23426" s="2" t="s">
        <v>45772</v>
      </c>
      <c r="B23426" s="2" t="s">
        <v>45773</v>
      </c>
      <c r="C23426" s="2" t="s">
        <v>195</v>
      </c>
      <c r="D23426" s="2" t="s">
        <v>118</v>
      </c>
      <c r="E23426" s="2" t="str">
        <f>"9783110527568"</f>
        <v>9783110527568</v>
      </c>
      <c r="F23426" s="2" t="str">
        <f>"9783110528596"</f>
        <v>9783110528596</v>
      </c>
    </row>
    <row r="23427" spans="1:6" s="3" customFormat="1" ht="29.1" customHeight="1" x14ac:dyDescent="0.25">
      <c r="A23427" s="2" t="s">
        <v>45774</v>
      </c>
      <c r="B23427" s="2" t="s">
        <v>45775</v>
      </c>
      <c r="C23427" s="2" t="s">
        <v>195</v>
      </c>
      <c r="D23427" s="2" t="s">
        <v>436</v>
      </c>
      <c r="E23427" s="2" t="str">
        <f>"9783110411522"</f>
        <v>9783110411522</v>
      </c>
      <c r="F23427" s="2" t="str">
        <f>"9783110411591"</f>
        <v>9783110411591</v>
      </c>
    </row>
    <row r="23428" spans="1:6" s="3" customFormat="1" ht="29.1" customHeight="1" x14ac:dyDescent="0.25">
      <c r="A23428" s="2" t="s">
        <v>45776</v>
      </c>
      <c r="B23428" s="2" t="s">
        <v>45777</v>
      </c>
      <c r="C23428" s="2" t="s">
        <v>59</v>
      </c>
      <c r="D23428" s="2" t="s">
        <v>8189</v>
      </c>
      <c r="E23428" s="2"/>
      <c r="F23428" s="2" t="str">
        <f>"9782759227020"</f>
        <v>9782759227020</v>
      </c>
    </row>
    <row r="23429" spans="1:6" s="3" customFormat="1" ht="29.1" customHeight="1" x14ac:dyDescent="0.25">
      <c r="A23429" s="2" t="s">
        <v>45778</v>
      </c>
      <c r="B23429" s="2" t="s">
        <v>45779</v>
      </c>
      <c r="C23429" s="2" t="s">
        <v>59</v>
      </c>
      <c r="D23429" s="2" t="s">
        <v>1806</v>
      </c>
      <c r="E23429" s="2" t="str">
        <f>"9782759224166"</f>
        <v>9782759224166</v>
      </c>
      <c r="F23429" s="2" t="str">
        <f>"9782759224180"</f>
        <v>9782759224180</v>
      </c>
    </row>
    <row r="23430" spans="1:6" s="3" customFormat="1" ht="29.1" customHeight="1" x14ac:dyDescent="0.25">
      <c r="A23430" s="2" t="s">
        <v>42928</v>
      </c>
      <c r="B23430" s="2" t="s">
        <v>45780</v>
      </c>
      <c r="C23430" s="2" t="s">
        <v>59</v>
      </c>
      <c r="D23430" s="2" t="s">
        <v>755</v>
      </c>
      <c r="E23430" s="2" t="str">
        <f>"9782759225200"</f>
        <v>9782759225200</v>
      </c>
      <c r="F23430" s="2" t="str">
        <f>"9782759225217"</f>
        <v>9782759225217</v>
      </c>
    </row>
    <row r="23431" spans="1:6" s="3" customFormat="1" ht="29.1" customHeight="1" x14ac:dyDescent="0.25">
      <c r="A23431" s="2" t="s">
        <v>45781</v>
      </c>
      <c r="B23431" s="2" t="s">
        <v>25558</v>
      </c>
      <c r="C23431" s="2" t="s">
        <v>59</v>
      </c>
      <c r="D23431" s="2" t="s">
        <v>479</v>
      </c>
      <c r="E23431" s="2" t="str">
        <f>"9782759216789"</f>
        <v>9782759216789</v>
      </c>
      <c r="F23431" s="2" t="str">
        <f>"9782759216796"</f>
        <v>9782759216796</v>
      </c>
    </row>
    <row r="23432" spans="1:6" s="3" customFormat="1" ht="29.1" customHeight="1" x14ac:dyDescent="0.25">
      <c r="A23432" s="2" t="s">
        <v>45782</v>
      </c>
      <c r="B23432" s="2" t="s">
        <v>45783</v>
      </c>
      <c r="C23432" s="2" t="s">
        <v>59</v>
      </c>
      <c r="D23432" s="2" t="s">
        <v>25447</v>
      </c>
      <c r="E23432" s="2" t="str">
        <f>"9782759224364"</f>
        <v>9782759224364</v>
      </c>
      <c r="F23432" s="2" t="str">
        <f>"9782759224371"</f>
        <v>9782759224371</v>
      </c>
    </row>
    <row r="23433" spans="1:6" s="3" customFormat="1" ht="29.1" customHeight="1" x14ac:dyDescent="0.25">
      <c r="A23433" s="2" t="s">
        <v>45784</v>
      </c>
      <c r="B23433" s="2" t="s">
        <v>45785</v>
      </c>
      <c r="C23433" s="2" t="s">
        <v>595</v>
      </c>
      <c r="D23433" s="2" t="s">
        <v>210</v>
      </c>
      <c r="E23433" s="2" t="str">
        <f>"9783631626689"</f>
        <v>9783631626689</v>
      </c>
      <c r="F23433" s="2" t="str">
        <f>"9783631710203"</f>
        <v>9783631710203</v>
      </c>
    </row>
    <row r="23434" spans="1:6" s="3" customFormat="1" ht="29.1" customHeight="1" x14ac:dyDescent="0.25">
      <c r="A23434" s="2" t="s">
        <v>45786</v>
      </c>
      <c r="B23434" s="2" t="s">
        <v>45787</v>
      </c>
      <c r="C23434" s="2" t="s">
        <v>248</v>
      </c>
      <c r="D23434" s="2" t="s">
        <v>981</v>
      </c>
      <c r="E23434" s="2" t="str">
        <f>"9783847420507"</f>
        <v>9783847420507</v>
      </c>
      <c r="F23434" s="2" t="str">
        <f>"9783847410669"</f>
        <v>9783847410669</v>
      </c>
    </row>
    <row r="23435" spans="1:6" s="3" customFormat="1" ht="29.1" customHeight="1" x14ac:dyDescent="0.25">
      <c r="A23435" s="2" t="s">
        <v>45788</v>
      </c>
      <c r="B23435" s="2" t="s">
        <v>45789</v>
      </c>
      <c r="C23435" s="2" t="s">
        <v>248</v>
      </c>
      <c r="D23435" s="2" t="s">
        <v>75</v>
      </c>
      <c r="E23435" s="2" t="str">
        <f>"9783863887520"</f>
        <v>9783863887520</v>
      </c>
      <c r="F23435" s="2" t="str">
        <f>"9783863883218"</f>
        <v>9783863883218</v>
      </c>
    </row>
    <row r="23436" spans="1:6" s="3" customFormat="1" ht="29.1" customHeight="1" x14ac:dyDescent="0.25">
      <c r="A23436" s="2" t="s">
        <v>45790</v>
      </c>
      <c r="B23436" s="2" t="s">
        <v>45791</v>
      </c>
      <c r="C23436" s="2" t="s">
        <v>248</v>
      </c>
      <c r="D23436" s="2" t="s">
        <v>24</v>
      </c>
      <c r="E23436" s="2" t="str">
        <f>"9783847420644"</f>
        <v>9783847420644</v>
      </c>
      <c r="F23436" s="2" t="str">
        <f>"9783847410317"</f>
        <v>9783847410317</v>
      </c>
    </row>
    <row r="23437" spans="1:6" s="3" customFormat="1" ht="29.1" customHeight="1" x14ac:dyDescent="0.25">
      <c r="A23437" s="2" t="s">
        <v>45792</v>
      </c>
      <c r="B23437" s="2" t="s">
        <v>45793</v>
      </c>
      <c r="C23437" s="2" t="s">
        <v>248</v>
      </c>
      <c r="D23437" s="2" t="s">
        <v>998</v>
      </c>
      <c r="E23437" s="2" t="str">
        <f>"9783847405573"</f>
        <v>9783847405573</v>
      </c>
      <c r="F23437" s="2" t="str">
        <f>"9783847409502"</f>
        <v>9783847409502</v>
      </c>
    </row>
    <row r="23438" spans="1:6" s="3" customFormat="1" ht="29.1" customHeight="1" x14ac:dyDescent="0.25">
      <c r="A23438" s="2" t="s">
        <v>45794</v>
      </c>
      <c r="B23438" s="2" t="s">
        <v>45795</v>
      </c>
      <c r="C23438" s="2" t="s">
        <v>248</v>
      </c>
      <c r="D23438" s="2" t="s">
        <v>855</v>
      </c>
      <c r="E23438" s="2" t="str">
        <f>"9783847407034"</f>
        <v>9783847407034</v>
      </c>
      <c r="F23438" s="2" t="str">
        <f>"9783847408499"</f>
        <v>9783847408499</v>
      </c>
    </row>
    <row r="23439" spans="1:6" s="3" customFormat="1" ht="29.1" customHeight="1" x14ac:dyDescent="0.25">
      <c r="A23439" s="2" t="s">
        <v>45796</v>
      </c>
      <c r="B23439" s="2" t="s">
        <v>45797</v>
      </c>
      <c r="C23439" s="2" t="s">
        <v>248</v>
      </c>
      <c r="D23439" s="2" t="s">
        <v>249</v>
      </c>
      <c r="E23439" s="2" t="str">
        <f>"9783847421405"</f>
        <v>9783847421405</v>
      </c>
      <c r="F23439" s="2" t="str">
        <f>"9783847411307"</f>
        <v>9783847411307</v>
      </c>
    </row>
    <row r="23440" spans="1:6" s="3" customFormat="1" ht="29.1" customHeight="1" x14ac:dyDescent="0.25">
      <c r="A23440" s="2" t="s">
        <v>45798</v>
      </c>
      <c r="B23440" s="2" t="s">
        <v>45800</v>
      </c>
      <c r="C23440" s="2" t="s">
        <v>248</v>
      </c>
      <c r="D23440" s="2" t="s">
        <v>45799</v>
      </c>
      <c r="E23440" s="2" t="str">
        <f>"9783863887384"</f>
        <v>9783863887384</v>
      </c>
      <c r="F23440" s="2" t="str">
        <f>"9783863883089"</f>
        <v>9783863883089</v>
      </c>
    </row>
    <row r="23441" spans="1:6" s="3" customFormat="1" ht="29.1" customHeight="1" x14ac:dyDescent="0.25">
      <c r="A23441" s="2" t="s">
        <v>45801</v>
      </c>
      <c r="B23441" s="2" t="s">
        <v>45802</v>
      </c>
      <c r="C23441" s="2" t="s">
        <v>248</v>
      </c>
      <c r="D23441" s="2" t="s">
        <v>2980</v>
      </c>
      <c r="E23441" s="2" t="str">
        <f>"9783863887391"</f>
        <v>9783863887391</v>
      </c>
      <c r="F23441" s="2" t="str">
        <f>"9783863883010"</f>
        <v>9783863883010</v>
      </c>
    </row>
    <row r="23442" spans="1:6" s="3" customFormat="1" ht="29.1" customHeight="1" x14ac:dyDescent="0.25">
      <c r="A23442" s="2" t="s">
        <v>45803</v>
      </c>
      <c r="B23442" s="2" t="s">
        <v>45804</v>
      </c>
      <c r="C23442" s="2" t="s">
        <v>248</v>
      </c>
      <c r="D23442" s="2" t="s">
        <v>75</v>
      </c>
      <c r="E23442" s="2" t="str">
        <f>"9783863880484"</f>
        <v>9783863880484</v>
      </c>
      <c r="F23442" s="2" t="str">
        <f>"9783863882136"</f>
        <v>9783863882136</v>
      </c>
    </row>
    <row r="23443" spans="1:6" s="3" customFormat="1" ht="29.1" customHeight="1" x14ac:dyDescent="0.25">
      <c r="A23443" s="2" t="s">
        <v>45805</v>
      </c>
      <c r="B23443" s="2" t="s">
        <v>45806</v>
      </c>
      <c r="C23443" s="2" t="s">
        <v>248</v>
      </c>
      <c r="D23443" s="2" t="s">
        <v>1133</v>
      </c>
      <c r="E23443" s="2" t="str">
        <f>"9783863887599"</f>
        <v>9783863887599</v>
      </c>
      <c r="F23443" s="2" t="str">
        <f>"9783863883195"</f>
        <v>9783863883195</v>
      </c>
    </row>
    <row r="23444" spans="1:6" s="3" customFormat="1" ht="29.1" customHeight="1" x14ac:dyDescent="0.25">
      <c r="A23444" s="2" t="s">
        <v>45807</v>
      </c>
      <c r="B23444" s="2" t="s">
        <v>45808</v>
      </c>
      <c r="C23444" s="2" t="s">
        <v>59</v>
      </c>
      <c r="D23444" s="2" t="s">
        <v>2086</v>
      </c>
      <c r="E23444" s="2"/>
      <c r="F23444" s="2" t="str">
        <f>"9782759226221"</f>
        <v>9782759226221</v>
      </c>
    </row>
    <row r="23445" spans="1:6" s="3" customFormat="1" ht="29.1" customHeight="1" x14ac:dyDescent="0.25">
      <c r="A23445" s="2" t="s">
        <v>45809</v>
      </c>
      <c r="B23445" s="2" t="s">
        <v>45810</v>
      </c>
      <c r="C23445" s="2" t="s">
        <v>927</v>
      </c>
      <c r="D23445" s="2" t="s">
        <v>9</v>
      </c>
      <c r="E23445" s="2" t="str">
        <f>"9780472053513"</f>
        <v>9780472053513</v>
      </c>
      <c r="F23445" s="2" t="str">
        <f>"9780472122844"</f>
        <v>9780472122844</v>
      </c>
    </row>
    <row r="23446" spans="1:6" s="3" customFormat="1" ht="29.1" customHeight="1" x14ac:dyDescent="0.25">
      <c r="A23446" s="2" t="s">
        <v>45811</v>
      </c>
      <c r="B23446" s="2" t="s">
        <v>45812</v>
      </c>
      <c r="C23446" s="2" t="s">
        <v>59</v>
      </c>
      <c r="D23446" s="2" t="s">
        <v>479</v>
      </c>
      <c r="E23446" s="2" t="str">
        <f>"9782759208869"</f>
        <v>9782759208869</v>
      </c>
      <c r="F23446" s="2" t="str">
        <f>"9782759208876"</f>
        <v>9782759208876</v>
      </c>
    </row>
    <row r="23447" spans="1:6" s="3" customFormat="1" ht="29.1" customHeight="1" x14ac:dyDescent="0.25">
      <c r="A23447" s="2" t="s">
        <v>45813</v>
      </c>
      <c r="B23447" s="2"/>
      <c r="C23447" s="2" t="s">
        <v>59</v>
      </c>
      <c r="D23447" s="2" t="s">
        <v>270</v>
      </c>
      <c r="E23447" s="2" t="str">
        <f>"9782759226146"</f>
        <v>9782759226146</v>
      </c>
      <c r="F23447" s="2" t="str">
        <f>"9782759226153"</f>
        <v>9782759226153</v>
      </c>
    </row>
    <row r="23448" spans="1:6" s="3" customFormat="1" ht="29.1" customHeight="1" x14ac:dyDescent="0.25">
      <c r="A23448" s="2" t="s">
        <v>45814</v>
      </c>
      <c r="B23448" s="2" t="s">
        <v>45815</v>
      </c>
      <c r="C23448" s="2" t="s">
        <v>59</v>
      </c>
      <c r="D23448" s="2" t="s">
        <v>454</v>
      </c>
      <c r="E23448" s="2" t="str">
        <f>"9782759226269"</f>
        <v>9782759226269</v>
      </c>
      <c r="F23448" s="2" t="str">
        <f>"9782759226276"</f>
        <v>9782759226276</v>
      </c>
    </row>
    <row r="23449" spans="1:6" s="3" customFormat="1" ht="29.1" customHeight="1" x14ac:dyDescent="0.25">
      <c r="A23449" s="2" t="s">
        <v>45816</v>
      </c>
      <c r="B23449" s="2" t="s">
        <v>45817</v>
      </c>
      <c r="C23449" s="2" t="s">
        <v>59</v>
      </c>
      <c r="D23449" s="2" t="s">
        <v>25447</v>
      </c>
      <c r="E23449" s="2" t="str">
        <f>"9782759223794"</f>
        <v>9782759223794</v>
      </c>
      <c r="F23449" s="2" t="str">
        <f>"9782759223800"</f>
        <v>9782759223800</v>
      </c>
    </row>
    <row r="23450" spans="1:6" s="3" customFormat="1" ht="29.1" customHeight="1" x14ac:dyDescent="0.25">
      <c r="A23450" s="2" t="s">
        <v>45818</v>
      </c>
      <c r="B23450" s="2"/>
      <c r="C23450" s="2" t="s">
        <v>59</v>
      </c>
      <c r="D23450" s="2" t="s">
        <v>8189</v>
      </c>
      <c r="E23450" s="2" t="str">
        <f>"9782759226177"</f>
        <v>9782759226177</v>
      </c>
      <c r="F23450" s="2" t="str">
        <f>"9782759226184"</f>
        <v>9782759226184</v>
      </c>
    </row>
    <row r="23451" spans="1:6" s="3" customFormat="1" ht="29.1" customHeight="1" x14ac:dyDescent="0.25">
      <c r="A23451" s="2" t="s">
        <v>45819</v>
      </c>
      <c r="B23451" s="2" t="s">
        <v>45820</v>
      </c>
      <c r="C23451" s="2" t="s">
        <v>59</v>
      </c>
      <c r="D23451" s="2" t="s">
        <v>479</v>
      </c>
      <c r="E23451" s="2" t="str">
        <f>"9782759221622"</f>
        <v>9782759221622</v>
      </c>
      <c r="F23451" s="2" t="str">
        <f>"9782759221646"</f>
        <v>9782759221646</v>
      </c>
    </row>
    <row r="23452" spans="1:6" s="3" customFormat="1" ht="29.1" customHeight="1" x14ac:dyDescent="0.25">
      <c r="A23452" s="2" t="s">
        <v>45821</v>
      </c>
      <c r="B23452" s="2" t="s">
        <v>45822</v>
      </c>
      <c r="C23452" s="2" t="s">
        <v>195</v>
      </c>
      <c r="D23452" s="2" t="s">
        <v>431</v>
      </c>
      <c r="E23452" s="2" t="str">
        <f>"9783110492033"</f>
        <v>9783110492033</v>
      </c>
      <c r="F23452" s="2" t="str">
        <f>"9783110491593"</f>
        <v>9783110491593</v>
      </c>
    </row>
    <row r="23453" spans="1:6" s="3" customFormat="1" ht="29.1" customHeight="1" x14ac:dyDescent="0.25">
      <c r="A23453" s="2" t="s">
        <v>45823</v>
      </c>
      <c r="B23453" s="2" t="s">
        <v>45824</v>
      </c>
      <c r="C23453" s="2" t="s">
        <v>195</v>
      </c>
      <c r="D23453" s="2" t="s">
        <v>107</v>
      </c>
      <c r="E23453" s="2" t="str">
        <f>"9783110501629"</f>
        <v>9783110501629</v>
      </c>
      <c r="F23453" s="2" t="str">
        <f>"9783110498738"</f>
        <v>9783110498738</v>
      </c>
    </row>
    <row r="23454" spans="1:6" s="3" customFormat="1" ht="29.1" customHeight="1" x14ac:dyDescent="0.25">
      <c r="A23454" s="2" t="s">
        <v>45825</v>
      </c>
      <c r="B23454" s="2" t="s">
        <v>45826</v>
      </c>
      <c r="C23454" s="2" t="s">
        <v>927</v>
      </c>
      <c r="D23454" s="2" t="s">
        <v>8788</v>
      </c>
      <c r="E23454" s="2" t="str">
        <f>"9780472053254"</f>
        <v>9780472053254</v>
      </c>
      <c r="F23454" s="2" t="str">
        <f>"9780472122356"</f>
        <v>9780472122356</v>
      </c>
    </row>
    <row r="23455" spans="1:6" s="3" customFormat="1" ht="29.1" customHeight="1" x14ac:dyDescent="0.25">
      <c r="A23455" s="2" t="s">
        <v>45827</v>
      </c>
      <c r="B23455" s="2" t="s">
        <v>45828</v>
      </c>
      <c r="C23455" s="2" t="s">
        <v>927</v>
      </c>
      <c r="D23455" s="2" t="s">
        <v>81</v>
      </c>
      <c r="E23455" s="2" t="str">
        <f>"9780472036981"</f>
        <v>9780472036981</v>
      </c>
      <c r="F23455" s="2" t="str">
        <f>"9780472029242"</f>
        <v>9780472029242</v>
      </c>
    </row>
    <row r="23456" spans="1:6" s="3" customFormat="1" ht="29.1" customHeight="1" x14ac:dyDescent="0.25">
      <c r="A23456" s="2" t="s">
        <v>45829</v>
      </c>
      <c r="B23456" s="2" t="s">
        <v>45830</v>
      </c>
      <c r="C23456" s="2" t="s">
        <v>927</v>
      </c>
      <c r="D23456" s="2" t="s">
        <v>334</v>
      </c>
      <c r="E23456" s="2" t="str">
        <f>"9780472052820"</f>
        <v>9780472052820</v>
      </c>
      <c r="F23456" s="2" t="str">
        <f>"9780472121359"</f>
        <v>9780472121359</v>
      </c>
    </row>
    <row r="23457" spans="1:6" s="3" customFormat="1" ht="29.1" customHeight="1" x14ac:dyDescent="0.25">
      <c r="A23457" s="2" t="s">
        <v>45831</v>
      </c>
      <c r="B23457" s="2" t="s">
        <v>45832</v>
      </c>
      <c r="C23457" s="2" t="s">
        <v>927</v>
      </c>
      <c r="D23457" s="2" t="s">
        <v>33</v>
      </c>
      <c r="E23457" s="2" t="str">
        <f>"9780472052783"</f>
        <v>9780472052783</v>
      </c>
      <c r="F23457" s="2" t="str">
        <f>"9780472121311"</f>
        <v>9780472121311</v>
      </c>
    </row>
    <row r="23458" spans="1:6" s="3" customFormat="1" ht="29.1" customHeight="1" x14ac:dyDescent="0.25">
      <c r="A23458" s="2" t="s">
        <v>45833</v>
      </c>
      <c r="B23458" s="2" t="s">
        <v>45834</v>
      </c>
      <c r="C23458" s="2" t="s">
        <v>927</v>
      </c>
      <c r="D23458" s="2" t="s">
        <v>25097</v>
      </c>
      <c r="E23458" s="2" t="str">
        <f>"9780472033973"</f>
        <v>9780472033973</v>
      </c>
      <c r="F23458" s="2" t="str">
        <f>"9780472023141"</f>
        <v>9780472023141</v>
      </c>
    </row>
    <row r="23459" spans="1:6" s="3" customFormat="1" ht="29.1" customHeight="1" x14ac:dyDescent="0.25">
      <c r="A23459" s="2" t="s">
        <v>45835</v>
      </c>
      <c r="B23459" s="2" t="s">
        <v>45836</v>
      </c>
      <c r="C23459" s="2" t="s">
        <v>927</v>
      </c>
      <c r="D23459" s="2" t="s">
        <v>297</v>
      </c>
      <c r="E23459" s="2" t="str">
        <f>"9780472052943"</f>
        <v>9780472052943</v>
      </c>
      <c r="F23459" s="2" t="str">
        <f>"9780472121540"</f>
        <v>9780472121540</v>
      </c>
    </row>
    <row r="23460" spans="1:6" s="3" customFormat="1" ht="29.1" customHeight="1" x14ac:dyDescent="0.25">
      <c r="A23460" s="2" t="s">
        <v>45837</v>
      </c>
      <c r="B23460" s="2" t="s">
        <v>45838</v>
      </c>
      <c r="C23460" s="2" t="s">
        <v>927</v>
      </c>
      <c r="D23460" s="2" t="s">
        <v>8788</v>
      </c>
      <c r="E23460" s="2" t="str">
        <f>"9780472053407"</f>
        <v>9780472053407</v>
      </c>
      <c r="F23460" s="2" t="str">
        <f>"9780472122660"</f>
        <v>9780472122660</v>
      </c>
    </row>
    <row r="23461" spans="1:6" s="3" customFormat="1" ht="29.1" customHeight="1" x14ac:dyDescent="0.25">
      <c r="A23461" s="2" t="s">
        <v>45839</v>
      </c>
      <c r="B23461" s="2" t="s">
        <v>45840</v>
      </c>
      <c r="C23461" s="2" t="s">
        <v>927</v>
      </c>
      <c r="D23461" s="2" t="s">
        <v>270</v>
      </c>
      <c r="E23461" s="2" t="str">
        <f>"9780472053414"</f>
        <v>9780472053414</v>
      </c>
      <c r="F23461" s="2" t="str">
        <f>"9780472122684"</f>
        <v>9780472122684</v>
      </c>
    </row>
    <row r="23462" spans="1:6" s="3" customFormat="1" ht="29.1" customHeight="1" x14ac:dyDescent="0.25">
      <c r="A23462" s="2" t="s">
        <v>45841</v>
      </c>
      <c r="B23462" s="2" t="s">
        <v>45842</v>
      </c>
      <c r="C23462" s="2" t="s">
        <v>927</v>
      </c>
      <c r="D23462" s="2" t="s">
        <v>682</v>
      </c>
      <c r="E23462" s="2" t="str">
        <f>"9780472053032"</f>
        <v>9780472053032</v>
      </c>
      <c r="F23462" s="2" t="str">
        <f>"9780472121700"</f>
        <v>9780472121700</v>
      </c>
    </row>
    <row r="23463" spans="1:6" s="3" customFormat="1" ht="29.1" customHeight="1" x14ac:dyDescent="0.25">
      <c r="A23463" s="2" t="s">
        <v>45843</v>
      </c>
      <c r="B23463" s="2" t="s">
        <v>45844</v>
      </c>
      <c r="C23463" s="2" t="s">
        <v>927</v>
      </c>
      <c r="D23463" s="2" t="s">
        <v>33</v>
      </c>
      <c r="E23463" s="2" t="str">
        <f>"9780472130177"</f>
        <v>9780472130177</v>
      </c>
      <c r="F23463" s="2" t="str">
        <f>"9780472122455"</f>
        <v>9780472122455</v>
      </c>
    </row>
    <row r="23464" spans="1:6" s="3" customFormat="1" ht="29.1" customHeight="1" x14ac:dyDescent="0.25">
      <c r="A23464" s="2" t="s">
        <v>45845</v>
      </c>
      <c r="B23464" s="2" t="s">
        <v>3848</v>
      </c>
      <c r="C23464" s="2" t="s">
        <v>927</v>
      </c>
      <c r="D23464" s="2" t="s">
        <v>2208</v>
      </c>
      <c r="E23464" s="2" t="str">
        <f>"9780472119806"</f>
        <v>9780472119806</v>
      </c>
      <c r="F23464" s="2" t="str">
        <f>"9780472121809"</f>
        <v>9780472121809</v>
      </c>
    </row>
    <row r="23465" spans="1:6" s="3" customFormat="1" ht="29.1" customHeight="1" x14ac:dyDescent="0.25">
      <c r="A23465" s="2" t="s">
        <v>45846</v>
      </c>
      <c r="B23465" s="2" t="s">
        <v>45847</v>
      </c>
      <c r="C23465" s="2" t="s">
        <v>927</v>
      </c>
      <c r="D23465" s="2" t="s">
        <v>7640</v>
      </c>
      <c r="E23465" s="2" t="str">
        <f>"9780472036202"</f>
        <v>9780472036202</v>
      </c>
      <c r="F23465" s="2" t="str">
        <f>"9780472121038"</f>
        <v>9780472121038</v>
      </c>
    </row>
    <row r="23466" spans="1:6" s="3" customFormat="1" ht="29.1" customHeight="1" x14ac:dyDescent="0.25">
      <c r="A23466" s="2" t="s">
        <v>45848</v>
      </c>
      <c r="B23466" s="2" t="s">
        <v>45849</v>
      </c>
      <c r="C23466" s="2" t="s">
        <v>927</v>
      </c>
      <c r="D23466" s="2" t="s">
        <v>33</v>
      </c>
      <c r="E23466" s="2" t="str">
        <f>"9780472053100"</f>
        <v>9780472053100</v>
      </c>
      <c r="F23466" s="2" t="str">
        <f>"9780472121878"</f>
        <v>9780472121878</v>
      </c>
    </row>
    <row r="23467" spans="1:6" s="3" customFormat="1" ht="29.1" customHeight="1" x14ac:dyDescent="0.25">
      <c r="A23467" s="2" t="s">
        <v>45850</v>
      </c>
      <c r="B23467" s="2" t="s">
        <v>45851</v>
      </c>
      <c r="C23467" s="2" t="s">
        <v>927</v>
      </c>
      <c r="D23467" s="2" t="s">
        <v>270</v>
      </c>
      <c r="E23467" s="2" t="str">
        <f>"9780472119738"</f>
        <v>9780472119738</v>
      </c>
      <c r="F23467" s="2" t="str">
        <f>"9780472121588"</f>
        <v>9780472121588</v>
      </c>
    </row>
    <row r="23468" spans="1:6" s="3" customFormat="1" ht="29.1" customHeight="1" x14ac:dyDescent="0.25">
      <c r="A23468" s="2" t="s">
        <v>45852</v>
      </c>
      <c r="B23468" s="2" t="s">
        <v>45853</v>
      </c>
      <c r="C23468" s="2" t="s">
        <v>927</v>
      </c>
      <c r="D23468" s="2" t="s">
        <v>3852</v>
      </c>
      <c r="E23468" s="2" t="str">
        <f>"9780472119561"</f>
        <v>9780472119561</v>
      </c>
      <c r="F23468" s="2" t="str">
        <f>"9780472121083"</f>
        <v>9780472121083</v>
      </c>
    </row>
    <row r="23469" spans="1:6" s="3" customFormat="1" ht="29.1" customHeight="1" x14ac:dyDescent="0.25">
      <c r="A23469" s="2" t="s">
        <v>45854</v>
      </c>
      <c r="B23469" s="2" t="s">
        <v>45855</v>
      </c>
      <c r="C23469" s="2" t="s">
        <v>927</v>
      </c>
      <c r="D23469" s="2" t="s">
        <v>9</v>
      </c>
      <c r="E23469" s="2" t="str">
        <f>"9780472052547"</f>
        <v>9780472052547</v>
      </c>
      <c r="F23469" s="2" t="str">
        <f>"9780472120932"</f>
        <v>9780472120932</v>
      </c>
    </row>
    <row r="23470" spans="1:6" s="3" customFormat="1" ht="29.1" customHeight="1" x14ac:dyDescent="0.25">
      <c r="A23470" s="2" t="s">
        <v>45856</v>
      </c>
      <c r="B23470" s="2" t="s">
        <v>45858</v>
      </c>
      <c r="C23470" s="2" t="s">
        <v>927</v>
      </c>
      <c r="D23470" s="2" t="s">
        <v>45857</v>
      </c>
      <c r="E23470" s="2" t="str">
        <f>"9780472036158"</f>
        <v>9780472036158</v>
      </c>
      <c r="F23470" s="2" t="str">
        <f>"9780472120963"</f>
        <v>9780472120963</v>
      </c>
    </row>
    <row r="23471" spans="1:6" s="3" customFormat="1" ht="29.1" customHeight="1" x14ac:dyDescent="0.25">
      <c r="A23471" s="2" t="s">
        <v>45859</v>
      </c>
      <c r="B23471" s="2" t="s">
        <v>45860</v>
      </c>
      <c r="C23471" s="2" t="s">
        <v>927</v>
      </c>
      <c r="D23471" s="2" t="s">
        <v>297</v>
      </c>
      <c r="E23471" s="2" t="str">
        <f>"9780472053063"</f>
        <v>9780472053063</v>
      </c>
      <c r="F23471" s="2" t="str">
        <f>"9780472121748"</f>
        <v>9780472121748</v>
      </c>
    </row>
    <row r="23472" spans="1:6" s="3" customFormat="1" ht="29.1" customHeight="1" x14ac:dyDescent="0.25">
      <c r="A23472" s="2" t="s">
        <v>45861</v>
      </c>
      <c r="B23472" s="2" t="s">
        <v>45862</v>
      </c>
      <c r="C23472" s="2" t="s">
        <v>927</v>
      </c>
      <c r="D23472" s="2" t="s">
        <v>682</v>
      </c>
      <c r="E23472" s="2" t="str">
        <f>"9780472119905"</f>
        <v>9780472119905</v>
      </c>
      <c r="F23472" s="2" t="str">
        <f>"9780472121946"</f>
        <v>9780472121946</v>
      </c>
    </row>
    <row r="23473" spans="1:6" s="3" customFormat="1" ht="29.1" customHeight="1" x14ac:dyDescent="0.25">
      <c r="A23473" s="2" t="s">
        <v>45863</v>
      </c>
      <c r="B23473" s="2" t="s">
        <v>45864</v>
      </c>
      <c r="C23473" s="2" t="s">
        <v>927</v>
      </c>
      <c r="D23473" s="2" t="s">
        <v>3852</v>
      </c>
      <c r="E23473" s="2" t="str">
        <f>"9780472052585"</f>
        <v>9780472052585</v>
      </c>
      <c r="F23473" s="2" t="str">
        <f>"9780472120994"</f>
        <v>9780472120994</v>
      </c>
    </row>
    <row r="23474" spans="1:6" s="3" customFormat="1" ht="29.1" customHeight="1" x14ac:dyDescent="0.25">
      <c r="A23474" s="2" t="s">
        <v>45865</v>
      </c>
      <c r="B23474" s="2" t="s">
        <v>45866</v>
      </c>
      <c r="C23474" s="2" t="s">
        <v>927</v>
      </c>
      <c r="D23474" s="2" t="s">
        <v>9113</v>
      </c>
      <c r="E23474" s="2" t="str">
        <f>"9780472036165"</f>
        <v>9780472036165</v>
      </c>
      <c r="F23474" s="2" t="str">
        <f>"9780472120970"</f>
        <v>9780472120970</v>
      </c>
    </row>
    <row r="23475" spans="1:6" s="3" customFormat="1" ht="29.1" customHeight="1" x14ac:dyDescent="0.25">
      <c r="A23475" s="2" t="s">
        <v>45867</v>
      </c>
      <c r="B23475" s="2" t="s">
        <v>45868</v>
      </c>
      <c r="C23475" s="2" t="s">
        <v>124</v>
      </c>
      <c r="D23475" s="2" t="s">
        <v>30</v>
      </c>
      <c r="E23475" s="2" t="str">
        <f>"9781138840140"</f>
        <v>9781138840140</v>
      </c>
      <c r="F23475" s="2" t="str">
        <f>"9781317556480"</f>
        <v>9781317556480</v>
      </c>
    </row>
    <row r="23476" spans="1:6" s="3" customFormat="1" ht="29.1" customHeight="1" x14ac:dyDescent="0.25">
      <c r="A23476" s="2" t="s">
        <v>45869</v>
      </c>
      <c r="B23476" s="2" t="s">
        <v>45870</v>
      </c>
      <c r="C23476" s="2" t="s">
        <v>124</v>
      </c>
      <c r="D23476" s="2" t="s">
        <v>270</v>
      </c>
      <c r="E23476" s="2" t="str">
        <f>"9781138658240"</f>
        <v>9781138658240</v>
      </c>
      <c r="F23476" s="2" t="str">
        <f>"9781317218463"</f>
        <v>9781317218463</v>
      </c>
    </row>
    <row r="23477" spans="1:6" s="3" customFormat="1" ht="29.1" customHeight="1" x14ac:dyDescent="0.25">
      <c r="A23477" s="2" t="s">
        <v>45871</v>
      </c>
      <c r="B23477" s="2" t="s">
        <v>45872</v>
      </c>
      <c r="C23477" s="2" t="s">
        <v>11220</v>
      </c>
      <c r="D23477" s="2" t="s">
        <v>210</v>
      </c>
      <c r="E23477" s="2" t="str">
        <f>"9780814724613"</f>
        <v>9780814724613</v>
      </c>
      <c r="F23477" s="2" t="str">
        <f>"9781479800575"</f>
        <v>9781479800575</v>
      </c>
    </row>
    <row r="23478" spans="1:6" s="3" customFormat="1" ht="29.1" customHeight="1" x14ac:dyDescent="0.25">
      <c r="A23478" s="2" t="s">
        <v>45873</v>
      </c>
      <c r="B23478" s="2" t="s">
        <v>45874</v>
      </c>
      <c r="C23478" s="2" t="s">
        <v>885</v>
      </c>
      <c r="D23478" s="2" t="s">
        <v>4071</v>
      </c>
      <c r="E23478" s="2" t="str">
        <f>"9781487500313"</f>
        <v>9781487500313</v>
      </c>
      <c r="F23478" s="2" t="str">
        <f>"9781487510718"</f>
        <v>9781487510718</v>
      </c>
    </row>
    <row r="23479" spans="1:6" s="3" customFormat="1" ht="29.1" customHeight="1" x14ac:dyDescent="0.25">
      <c r="A23479" s="2" t="s">
        <v>45875</v>
      </c>
      <c r="B23479" s="2" t="s">
        <v>45876</v>
      </c>
      <c r="C23479" s="2" t="s">
        <v>28510</v>
      </c>
      <c r="D23479" s="2" t="s">
        <v>165</v>
      </c>
      <c r="E23479" s="2" t="str">
        <f>"9781681084169"</f>
        <v>9781681084169</v>
      </c>
      <c r="F23479" s="2" t="str">
        <f>"9781681084152"</f>
        <v>9781681084152</v>
      </c>
    </row>
    <row r="23480" spans="1:6" s="3" customFormat="1" ht="29.1" customHeight="1" x14ac:dyDescent="0.25">
      <c r="A23480" s="2" t="s">
        <v>45877</v>
      </c>
      <c r="B23480" s="2" t="s">
        <v>45878</v>
      </c>
      <c r="C23480" s="2" t="s">
        <v>124</v>
      </c>
      <c r="D23480" s="2" t="s">
        <v>270</v>
      </c>
      <c r="E23480" s="2" t="str">
        <f>"9780367595098"</f>
        <v>9780367595098</v>
      </c>
      <c r="F23480" s="2" t="str">
        <f>"9781315185927"</f>
        <v>9781315185927</v>
      </c>
    </row>
    <row r="23481" spans="1:6" s="3" customFormat="1" ht="29.1" customHeight="1" x14ac:dyDescent="0.25">
      <c r="A23481" s="2" t="s">
        <v>45879</v>
      </c>
      <c r="B23481" s="2" t="s">
        <v>45880</v>
      </c>
      <c r="C23481" s="2" t="s">
        <v>124</v>
      </c>
      <c r="D23481" s="2" t="s">
        <v>270</v>
      </c>
      <c r="E23481" s="2" t="str">
        <f>"9781138630437"</f>
        <v>9781138630437</v>
      </c>
      <c r="F23481" s="2" t="str">
        <f>"9781351806602"</f>
        <v>9781351806602</v>
      </c>
    </row>
    <row r="23482" spans="1:6" s="3" customFormat="1" ht="29.1" customHeight="1" x14ac:dyDescent="0.25">
      <c r="A23482" s="2" t="s">
        <v>45881</v>
      </c>
      <c r="B23482" s="2" t="s">
        <v>45882</v>
      </c>
      <c r="C23482" s="2" t="s">
        <v>43061</v>
      </c>
      <c r="D23482" s="2" t="s">
        <v>30</v>
      </c>
      <c r="E23482" s="2" t="str">
        <f>"9783737602822"</f>
        <v>9783737602822</v>
      </c>
      <c r="F23482" s="2" t="str">
        <f>"9783737602839"</f>
        <v>9783737602839</v>
      </c>
    </row>
    <row r="23483" spans="1:6" s="3" customFormat="1" ht="29.1" customHeight="1" x14ac:dyDescent="0.25">
      <c r="A23483" s="2" t="s">
        <v>45883</v>
      </c>
      <c r="B23483" s="2" t="s">
        <v>45884</v>
      </c>
      <c r="C23483" s="2" t="s">
        <v>43061</v>
      </c>
      <c r="D23483" s="2" t="s">
        <v>45236</v>
      </c>
      <c r="E23483" s="2" t="str">
        <f>"9783737602365"</f>
        <v>9783737602365</v>
      </c>
      <c r="F23483" s="2" t="str">
        <f>"9783737602372"</f>
        <v>9783737602372</v>
      </c>
    </row>
    <row r="23484" spans="1:6" s="3" customFormat="1" ht="29.1" customHeight="1" x14ac:dyDescent="0.25">
      <c r="A23484" s="2" t="s">
        <v>45885</v>
      </c>
      <c r="B23484" s="2" t="s">
        <v>45886</v>
      </c>
      <c r="C23484" s="2" t="s">
        <v>43061</v>
      </c>
      <c r="D23484" s="2" t="s">
        <v>4210</v>
      </c>
      <c r="E23484" s="2" t="str">
        <f>"9783737601863"</f>
        <v>9783737601863</v>
      </c>
      <c r="F23484" s="2" t="str">
        <f>"9783737601870"</f>
        <v>9783737601870</v>
      </c>
    </row>
    <row r="23485" spans="1:6" s="3" customFormat="1" ht="29.1" customHeight="1" x14ac:dyDescent="0.25">
      <c r="A23485" s="2" t="s">
        <v>45887</v>
      </c>
      <c r="B23485" s="2" t="s">
        <v>45888</v>
      </c>
      <c r="C23485" s="2" t="s">
        <v>43061</v>
      </c>
      <c r="D23485" s="2" t="s">
        <v>1908</v>
      </c>
      <c r="E23485" s="2" t="str">
        <f>"9783737602686"</f>
        <v>9783737602686</v>
      </c>
      <c r="F23485" s="2" t="str">
        <f>"9783737602693"</f>
        <v>9783737602693</v>
      </c>
    </row>
    <row r="23486" spans="1:6" s="3" customFormat="1" ht="29.1" customHeight="1" x14ac:dyDescent="0.25">
      <c r="A23486" s="2" t="s">
        <v>45889</v>
      </c>
      <c r="B23486" s="2" t="s">
        <v>45890</v>
      </c>
      <c r="C23486" s="2" t="s">
        <v>34257</v>
      </c>
      <c r="D23486" s="2" t="s">
        <v>5695</v>
      </c>
      <c r="E23486" s="2" t="str">
        <f>"9780745335155"</f>
        <v>9780745335155</v>
      </c>
      <c r="F23486" s="2" t="str">
        <f>"9781786800282"</f>
        <v>9781786800282</v>
      </c>
    </row>
    <row r="23487" spans="1:6" s="3" customFormat="1" ht="29.1" customHeight="1" x14ac:dyDescent="0.25">
      <c r="A23487" s="2" t="s">
        <v>45891</v>
      </c>
      <c r="B23487" s="2" t="s">
        <v>45892</v>
      </c>
      <c r="C23487" s="2" t="s">
        <v>124</v>
      </c>
      <c r="D23487" s="2" t="s">
        <v>2404</v>
      </c>
      <c r="E23487" s="2" t="str">
        <f>"9781138925977"</f>
        <v>9781138925977</v>
      </c>
      <c r="F23487" s="2" t="str">
        <f>"9781317383413"</f>
        <v>9781317383413</v>
      </c>
    </row>
    <row r="23488" spans="1:6" s="3" customFormat="1" ht="29.1" customHeight="1" x14ac:dyDescent="0.25">
      <c r="A23488" s="2" t="s">
        <v>45893</v>
      </c>
      <c r="B23488" s="2" t="s">
        <v>45894</v>
      </c>
      <c r="C23488" s="2" t="s">
        <v>20</v>
      </c>
      <c r="D23488" s="2" t="s">
        <v>24</v>
      </c>
      <c r="E23488" s="2" t="str">
        <f>"9783763958122"</f>
        <v>9783763958122</v>
      </c>
      <c r="F23488" s="2" t="str">
        <f>"9783763958139"</f>
        <v>9783763958139</v>
      </c>
    </row>
    <row r="23489" spans="1:6" s="3" customFormat="1" ht="29.1" customHeight="1" x14ac:dyDescent="0.25">
      <c r="A23489" s="2" t="s">
        <v>45895</v>
      </c>
      <c r="B23489" s="2" t="s">
        <v>45896</v>
      </c>
      <c r="C23489" s="2" t="s">
        <v>8040</v>
      </c>
      <c r="D23489" s="2" t="s">
        <v>37</v>
      </c>
      <c r="E23489" s="2" t="str">
        <f>"9781783097968"</f>
        <v>9781783097968</v>
      </c>
      <c r="F23489" s="2" t="str">
        <f>"9781783097982"</f>
        <v>9781783097982</v>
      </c>
    </row>
    <row r="23490" spans="1:6" s="3" customFormat="1" ht="29.1" customHeight="1" x14ac:dyDescent="0.25">
      <c r="A23490" s="2" t="s">
        <v>45897</v>
      </c>
      <c r="B23490" s="2" t="s">
        <v>45898</v>
      </c>
      <c r="C23490" s="2" t="s">
        <v>124</v>
      </c>
      <c r="D23490" s="2" t="s">
        <v>75</v>
      </c>
      <c r="E23490" s="2" t="str">
        <f>"9780415367707"</f>
        <v>9780415367707</v>
      </c>
      <c r="F23490" s="2" t="str">
        <f>"9781136804830"</f>
        <v>9781136804830</v>
      </c>
    </row>
    <row r="23491" spans="1:6" s="3" customFormat="1" ht="29.1" customHeight="1" x14ac:dyDescent="0.25">
      <c r="A23491" s="2" t="s">
        <v>45899</v>
      </c>
      <c r="B23491" s="2" t="s">
        <v>45900</v>
      </c>
      <c r="C23491" s="2" t="s">
        <v>124</v>
      </c>
      <c r="D23491" s="2" t="s">
        <v>210</v>
      </c>
      <c r="E23491" s="2" t="str">
        <f>"9780415543095"</f>
        <v>9780415543095</v>
      </c>
      <c r="F23491" s="2" t="str">
        <f>"9781135776596"</f>
        <v>9781135776596</v>
      </c>
    </row>
    <row r="23492" spans="1:6" s="3" customFormat="1" ht="29.1" customHeight="1" x14ac:dyDescent="0.25">
      <c r="A23492" s="2" t="s">
        <v>45901</v>
      </c>
      <c r="B23492" s="2" t="s">
        <v>45902</v>
      </c>
      <c r="C23492" s="2" t="s">
        <v>124</v>
      </c>
      <c r="D23492" s="2" t="s">
        <v>6141</v>
      </c>
      <c r="E23492" s="2" t="str">
        <f>"9781138221550"</f>
        <v>9781138221550</v>
      </c>
      <c r="F23492" s="2" t="str">
        <f>"9781315410111"</f>
        <v>9781315410111</v>
      </c>
    </row>
    <row r="23493" spans="1:6" s="3" customFormat="1" ht="29.1" customHeight="1" x14ac:dyDescent="0.25">
      <c r="A23493" s="2" t="s">
        <v>45903</v>
      </c>
      <c r="B23493" s="2" t="s">
        <v>45904</v>
      </c>
      <c r="C23493" s="2" t="s">
        <v>595</v>
      </c>
      <c r="D23493" s="2" t="s">
        <v>339</v>
      </c>
      <c r="E23493" s="2" t="str">
        <f>"9783631652275"</f>
        <v>9783631652275</v>
      </c>
      <c r="F23493" s="2" t="str">
        <f>"9783631712566"</f>
        <v>9783631712566</v>
      </c>
    </row>
    <row r="23494" spans="1:6" s="3" customFormat="1" ht="29.1" customHeight="1" x14ac:dyDescent="0.25">
      <c r="A23494" s="2" t="s">
        <v>45905</v>
      </c>
      <c r="B23494" s="2" t="s">
        <v>45906</v>
      </c>
      <c r="C23494" s="2" t="s">
        <v>124</v>
      </c>
      <c r="D23494" s="2" t="s">
        <v>183</v>
      </c>
      <c r="E23494" s="2" t="str">
        <f>"9789089648518"</f>
        <v>9789089648518</v>
      </c>
      <c r="F23494" s="2" t="str">
        <f>"9781040779736"</f>
        <v>9781040779736</v>
      </c>
    </row>
    <row r="23495" spans="1:6" s="3" customFormat="1" ht="29.1" customHeight="1" x14ac:dyDescent="0.25">
      <c r="A23495" s="2" t="s">
        <v>45907</v>
      </c>
      <c r="B23495" s="2" t="s">
        <v>45908</v>
      </c>
      <c r="C23495" s="2" t="s">
        <v>124</v>
      </c>
      <c r="D23495" s="2" t="s">
        <v>183</v>
      </c>
      <c r="E23495" s="2" t="str">
        <f>"9789462980181"</f>
        <v>9789462980181</v>
      </c>
      <c r="F23495" s="2" t="str">
        <f>"9781040772973"</f>
        <v>9781040772973</v>
      </c>
    </row>
    <row r="23496" spans="1:6" s="3" customFormat="1" ht="29.1" customHeight="1" x14ac:dyDescent="0.25">
      <c r="A23496" s="2" t="s">
        <v>45909</v>
      </c>
      <c r="B23496" s="2" t="s">
        <v>45910</v>
      </c>
      <c r="C23496" s="2" t="s">
        <v>124</v>
      </c>
      <c r="D23496" s="2" t="s">
        <v>1432</v>
      </c>
      <c r="E23496" s="2" t="str">
        <f>"9789462982598"</f>
        <v>9789462982598</v>
      </c>
      <c r="F23496" s="2" t="str">
        <f>"9781040780855"</f>
        <v>9781040780855</v>
      </c>
    </row>
    <row r="23497" spans="1:6" s="3" customFormat="1" ht="29.1" customHeight="1" x14ac:dyDescent="0.25">
      <c r="A23497" s="2" t="s">
        <v>45911</v>
      </c>
      <c r="B23497" s="2" t="s">
        <v>45912</v>
      </c>
      <c r="C23497" s="2" t="s">
        <v>43061</v>
      </c>
      <c r="D23497" s="2" t="s">
        <v>218</v>
      </c>
      <c r="E23497" s="2" t="str">
        <f>"9783737602327"</f>
        <v>9783737602327</v>
      </c>
      <c r="F23497" s="2" t="str">
        <f>"9783737602334"</f>
        <v>9783737602334</v>
      </c>
    </row>
    <row r="23498" spans="1:6" s="3" customFormat="1" ht="29.1" customHeight="1" x14ac:dyDescent="0.25">
      <c r="A23498" s="2" t="s">
        <v>45913</v>
      </c>
      <c r="B23498" s="2" t="s">
        <v>45914</v>
      </c>
      <c r="C23498" s="2" t="s">
        <v>43061</v>
      </c>
      <c r="D23498" s="2" t="s">
        <v>7199</v>
      </c>
      <c r="E23498" s="2" t="str">
        <f>"9783737603003"</f>
        <v>9783737603003</v>
      </c>
      <c r="F23498" s="2" t="str">
        <f>"9783737603010"</f>
        <v>9783737603010</v>
      </c>
    </row>
    <row r="23499" spans="1:6" s="3" customFormat="1" ht="29.1" customHeight="1" x14ac:dyDescent="0.25">
      <c r="A23499" s="2" t="s">
        <v>45915</v>
      </c>
      <c r="B23499" s="2" t="s">
        <v>45916</v>
      </c>
      <c r="C23499" s="2" t="s">
        <v>43061</v>
      </c>
      <c r="D23499" s="2" t="s">
        <v>350</v>
      </c>
      <c r="E23499" s="2" t="str">
        <f>"9783737602747"</f>
        <v>9783737602747</v>
      </c>
      <c r="F23499" s="2" t="str">
        <f>"9783737602754"</f>
        <v>9783737602754</v>
      </c>
    </row>
    <row r="23500" spans="1:6" s="3" customFormat="1" ht="29.1" customHeight="1" x14ac:dyDescent="0.25">
      <c r="A23500" s="2" t="s">
        <v>45917</v>
      </c>
      <c r="B23500" s="2" t="s">
        <v>45918</v>
      </c>
      <c r="C23500" s="2" t="s">
        <v>43061</v>
      </c>
      <c r="D23500" s="2" t="s">
        <v>650</v>
      </c>
      <c r="E23500" s="2" t="str">
        <f>"9783737602921"</f>
        <v>9783737602921</v>
      </c>
      <c r="F23500" s="2" t="str">
        <f>"9783737602938"</f>
        <v>9783737602938</v>
      </c>
    </row>
    <row r="23501" spans="1:6" s="3" customFormat="1" ht="29.1" customHeight="1" x14ac:dyDescent="0.25">
      <c r="A23501" s="2" t="s">
        <v>45919</v>
      </c>
      <c r="B23501" s="2" t="s">
        <v>45920</v>
      </c>
      <c r="C23501" s="2" t="s">
        <v>43061</v>
      </c>
      <c r="D23501" s="2" t="s">
        <v>34178</v>
      </c>
      <c r="E23501" s="2" t="str">
        <f>"9783737603041"</f>
        <v>9783737603041</v>
      </c>
      <c r="F23501" s="2" t="str">
        <f>"9783737603058"</f>
        <v>9783737603058</v>
      </c>
    </row>
    <row r="23502" spans="1:6" s="3" customFormat="1" ht="29.1" customHeight="1" x14ac:dyDescent="0.25">
      <c r="A23502" s="2" t="s">
        <v>45921</v>
      </c>
      <c r="B23502" s="2" t="s">
        <v>45922</v>
      </c>
      <c r="C23502" s="2" t="s">
        <v>43061</v>
      </c>
      <c r="D23502" s="2" t="s">
        <v>5092</v>
      </c>
      <c r="E23502" s="2" t="str">
        <f>"9783737603089"</f>
        <v>9783737603089</v>
      </c>
      <c r="F23502" s="2" t="str">
        <f>"9783737603096"</f>
        <v>9783737603096</v>
      </c>
    </row>
    <row r="23503" spans="1:6" s="3" customFormat="1" ht="29.1" customHeight="1" x14ac:dyDescent="0.25">
      <c r="A23503" s="2" t="s">
        <v>45923</v>
      </c>
      <c r="B23503" s="2" t="s">
        <v>45924</v>
      </c>
      <c r="C23503" s="2" t="s">
        <v>195</v>
      </c>
      <c r="D23503" s="2" t="s">
        <v>3489</v>
      </c>
      <c r="E23503" s="2" t="str">
        <f>"9783110438246"</f>
        <v>9783110438246</v>
      </c>
      <c r="F23503" s="2" t="str">
        <f>"9783110429176"</f>
        <v>9783110429176</v>
      </c>
    </row>
    <row r="23504" spans="1:6" s="3" customFormat="1" ht="29.1" customHeight="1" x14ac:dyDescent="0.25">
      <c r="A23504" s="2" t="s">
        <v>45925</v>
      </c>
      <c r="B23504" s="2" t="s">
        <v>7609</v>
      </c>
      <c r="C23504" s="2" t="s">
        <v>195</v>
      </c>
      <c r="D23504" s="2" t="s">
        <v>459</v>
      </c>
      <c r="E23504" s="2" t="str">
        <f>"9781501513435"</f>
        <v>9781501513435</v>
      </c>
      <c r="F23504" s="2" t="str">
        <f>"9781501504815"</f>
        <v>9781501504815</v>
      </c>
    </row>
    <row r="23505" spans="1:6" s="3" customFormat="1" ht="29.1" customHeight="1" x14ac:dyDescent="0.25">
      <c r="A23505" s="2" t="s">
        <v>45926</v>
      </c>
      <c r="B23505" s="2" t="s">
        <v>45927</v>
      </c>
      <c r="C23505" s="2" t="s">
        <v>195</v>
      </c>
      <c r="D23505" s="2" t="s">
        <v>1183</v>
      </c>
      <c r="E23505" s="2" t="str">
        <f>"9783110520248"</f>
        <v>9783110520248</v>
      </c>
      <c r="F23505" s="2" t="str">
        <f>"9783110520316"</f>
        <v>9783110520316</v>
      </c>
    </row>
    <row r="23506" spans="1:6" s="3" customFormat="1" ht="29.1" customHeight="1" x14ac:dyDescent="0.25">
      <c r="A23506" s="2" t="s">
        <v>45928</v>
      </c>
      <c r="B23506" s="2" t="s">
        <v>45929</v>
      </c>
      <c r="C23506" s="2" t="s">
        <v>195</v>
      </c>
      <c r="D23506" s="2" t="s">
        <v>4522</v>
      </c>
      <c r="E23506" s="2" t="str">
        <f>"9783110459500"</f>
        <v>9783110459500</v>
      </c>
      <c r="F23506" s="2" t="str">
        <f>"9783110460445"</f>
        <v>9783110460445</v>
      </c>
    </row>
    <row r="23507" spans="1:6" s="3" customFormat="1" ht="29.1" customHeight="1" x14ac:dyDescent="0.25">
      <c r="A23507" s="2" t="s">
        <v>45930</v>
      </c>
      <c r="B23507" s="2" t="s">
        <v>45931</v>
      </c>
      <c r="C23507" s="2" t="s">
        <v>195</v>
      </c>
      <c r="D23507" s="2" t="s">
        <v>8486</v>
      </c>
      <c r="E23507" s="2" t="str">
        <f>"9783110523515"</f>
        <v>9783110523515</v>
      </c>
      <c r="F23507" s="2" t="str">
        <f>"9783110523652"</f>
        <v>9783110523652</v>
      </c>
    </row>
    <row r="23508" spans="1:6" s="3" customFormat="1" ht="29.1" customHeight="1" x14ac:dyDescent="0.25">
      <c r="A23508" s="2" t="s">
        <v>45932</v>
      </c>
      <c r="B23508" s="2" t="s">
        <v>45933</v>
      </c>
      <c r="C23508" s="2" t="s">
        <v>195</v>
      </c>
      <c r="D23508" s="2" t="s">
        <v>1183</v>
      </c>
      <c r="E23508" s="2" t="str">
        <f>"9783110402544"</f>
        <v>9783110402544</v>
      </c>
      <c r="F23508" s="2" t="str">
        <f>"9783110402582"</f>
        <v>9783110402582</v>
      </c>
    </row>
    <row r="23509" spans="1:6" s="3" customFormat="1" ht="29.1" customHeight="1" x14ac:dyDescent="0.25">
      <c r="A23509" s="2" t="s">
        <v>45934</v>
      </c>
      <c r="B23509" s="2" t="s">
        <v>45935</v>
      </c>
      <c r="C23509" s="2" t="s">
        <v>885</v>
      </c>
      <c r="D23509" s="2" t="s">
        <v>3993</v>
      </c>
      <c r="E23509" s="2" t="str">
        <f>"9781442640726"</f>
        <v>9781442640726</v>
      </c>
      <c r="F23509" s="2" t="str">
        <f>"9781442685956"</f>
        <v>9781442685956</v>
      </c>
    </row>
    <row r="23510" spans="1:6" s="3" customFormat="1" ht="29.1" customHeight="1" x14ac:dyDescent="0.25">
      <c r="A23510" s="2" t="s">
        <v>45936</v>
      </c>
      <c r="B23510" s="2" t="s">
        <v>45937</v>
      </c>
      <c r="C23510" s="2" t="s">
        <v>124</v>
      </c>
      <c r="D23510" s="2" t="s">
        <v>270</v>
      </c>
      <c r="E23510" s="2" t="str">
        <f>"9780415704175"</f>
        <v>9780415704175</v>
      </c>
      <c r="F23510" s="2" t="str">
        <f>"9781134489817"</f>
        <v>9781134489817</v>
      </c>
    </row>
    <row r="23511" spans="1:6" s="3" customFormat="1" ht="29.1" customHeight="1" x14ac:dyDescent="0.25">
      <c r="A23511" s="2" t="s">
        <v>45938</v>
      </c>
      <c r="B23511" s="2" t="s">
        <v>45939</v>
      </c>
      <c r="C23511" s="2" t="s">
        <v>124</v>
      </c>
      <c r="D23511" s="2" t="s">
        <v>189</v>
      </c>
      <c r="E23511" s="2" t="str">
        <f>"9781138947825"</f>
        <v>9781138947825</v>
      </c>
      <c r="F23511" s="2" t="str">
        <f>"9781317365297"</f>
        <v>9781317365297</v>
      </c>
    </row>
    <row r="23512" spans="1:6" s="3" customFormat="1" ht="29.1" customHeight="1" x14ac:dyDescent="0.25">
      <c r="A23512" s="2" t="s">
        <v>45940</v>
      </c>
      <c r="B23512" s="2" t="s">
        <v>45941</v>
      </c>
      <c r="C23512" s="2" t="s">
        <v>124</v>
      </c>
      <c r="D23512" s="2" t="s">
        <v>2587</v>
      </c>
      <c r="E23512" s="2" t="str">
        <f>"9781138188747"</f>
        <v>9781138188747</v>
      </c>
      <c r="F23512" s="2" t="str">
        <f>"9781317282068"</f>
        <v>9781317282068</v>
      </c>
    </row>
    <row r="23513" spans="1:6" s="3" customFormat="1" ht="29.1" customHeight="1" x14ac:dyDescent="0.25">
      <c r="A23513" s="2" t="s">
        <v>45942</v>
      </c>
      <c r="B23513" s="2" t="s">
        <v>45943</v>
      </c>
      <c r="C23513" s="2" t="s">
        <v>124</v>
      </c>
      <c r="D23513" s="2" t="s">
        <v>270</v>
      </c>
      <c r="E23513" s="2" t="str">
        <f>"9781472483201"</f>
        <v>9781472483201</v>
      </c>
      <c r="F23513" s="2" t="str">
        <f>"9781317050377"</f>
        <v>9781317050377</v>
      </c>
    </row>
    <row r="23514" spans="1:6" s="3" customFormat="1" ht="29.1" customHeight="1" x14ac:dyDescent="0.25">
      <c r="A23514" s="2" t="s">
        <v>45944</v>
      </c>
      <c r="B23514" s="2" t="s">
        <v>45945</v>
      </c>
      <c r="C23514" s="2" t="s">
        <v>124</v>
      </c>
      <c r="D23514" s="2" t="s">
        <v>81</v>
      </c>
      <c r="E23514" s="2" t="str">
        <f>"9781138293786"</f>
        <v>9781138293786</v>
      </c>
      <c r="F23514" s="2" t="str">
        <f>"9781351866392"</f>
        <v>9781351866392</v>
      </c>
    </row>
    <row r="23515" spans="1:6" s="3" customFormat="1" ht="29.1" customHeight="1" x14ac:dyDescent="0.25">
      <c r="A23515" s="2" t="s">
        <v>45946</v>
      </c>
      <c r="B23515" s="2" t="s">
        <v>45947</v>
      </c>
      <c r="C23515" s="2" t="s">
        <v>124</v>
      </c>
      <c r="D23515" s="2" t="s">
        <v>334</v>
      </c>
      <c r="E23515" s="2" t="str">
        <f>"9780415708777"</f>
        <v>9780415708777</v>
      </c>
      <c r="F23515" s="2" t="str">
        <f>"9781317223801"</f>
        <v>9781317223801</v>
      </c>
    </row>
    <row r="23516" spans="1:6" s="3" customFormat="1" ht="29.1" customHeight="1" x14ac:dyDescent="0.25">
      <c r="A23516" s="2" t="s">
        <v>45948</v>
      </c>
      <c r="B23516" s="2" t="s">
        <v>45949</v>
      </c>
      <c r="C23516" s="2" t="s">
        <v>124</v>
      </c>
      <c r="D23516" s="2" t="s">
        <v>270</v>
      </c>
      <c r="E23516" s="2" t="str">
        <f>"9781138201736"</f>
        <v>9781138201736</v>
      </c>
      <c r="F23516" s="2" t="str">
        <f>"9781315505794"</f>
        <v>9781315505794</v>
      </c>
    </row>
    <row r="23517" spans="1:6" s="3" customFormat="1" ht="29.1" customHeight="1" x14ac:dyDescent="0.25">
      <c r="A23517" s="2" t="s">
        <v>45950</v>
      </c>
      <c r="B23517" s="2" t="s">
        <v>45951</v>
      </c>
      <c r="C23517" s="2" t="s">
        <v>11005</v>
      </c>
      <c r="D23517" s="2" t="s">
        <v>297</v>
      </c>
      <c r="E23517" s="2" t="str">
        <f>"9783837926835"</f>
        <v>9783837926835</v>
      </c>
      <c r="F23517" s="2" t="str">
        <f>"9783837973037"</f>
        <v>9783837973037</v>
      </c>
    </row>
    <row r="23518" spans="1:6" s="3" customFormat="1" ht="29.1" customHeight="1" x14ac:dyDescent="0.25">
      <c r="A23518" s="2" t="s">
        <v>45952</v>
      </c>
      <c r="B23518" s="2" t="s">
        <v>45953</v>
      </c>
      <c r="C23518" s="2" t="s">
        <v>124</v>
      </c>
      <c r="D23518" s="2" t="s">
        <v>5060</v>
      </c>
      <c r="E23518" s="2" t="str">
        <f>"9781138570382"</f>
        <v>9781138570382</v>
      </c>
      <c r="F23518" s="2" t="str">
        <f>"9781317380863"</f>
        <v>9781317380863</v>
      </c>
    </row>
    <row r="23519" spans="1:6" s="3" customFormat="1" ht="29.1" customHeight="1" x14ac:dyDescent="0.25">
      <c r="A23519" s="2" t="s">
        <v>45954</v>
      </c>
      <c r="B23519" s="2" t="s">
        <v>45955</v>
      </c>
      <c r="C23519" s="2" t="s">
        <v>124</v>
      </c>
      <c r="D23519" s="2" t="s">
        <v>186</v>
      </c>
      <c r="E23519" s="2" t="str">
        <f>"9780367869878"</f>
        <v>9780367869878</v>
      </c>
      <c r="F23519" s="2" t="str">
        <f>"9781315746692"</f>
        <v>9781315746692</v>
      </c>
    </row>
    <row r="23520" spans="1:6" s="3" customFormat="1" ht="29.1" customHeight="1" x14ac:dyDescent="0.25">
      <c r="A23520" s="2" t="s">
        <v>45956</v>
      </c>
      <c r="B23520" s="2" t="s">
        <v>45957</v>
      </c>
      <c r="C23520" s="2" t="s">
        <v>124</v>
      </c>
      <c r="D23520" s="2" t="s">
        <v>183</v>
      </c>
      <c r="E23520" s="2" t="str">
        <f>"9780367596583"</f>
        <v>9780367596583</v>
      </c>
      <c r="F23520" s="2" t="str">
        <f>"9781315585185"</f>
        <v>9781315585185</v>
      </c>
    </row>
    <row r="23521" spans="1:6" s="3" customFormat="1" ht="29.1" customHeight="1" x14ac:dyDescent="0.25">
      <c r="A23521" s="2" t="s">
        <v>45958</v>
      </c>
      <c r="B23521" s="2" t="s">
        <v>45959</v>
      </c>
      <c r="C23521" s="2" t="s">
        <v>11005</v>
      </c>
      <c r="D23521" s="2" t="s">
        <v>297</v>
      </c>
      <c r="E23521" s="2" t="str">
        <f>"9783837926392"</f>
        <v>9783837926392</v>
      </c>
      <c r="F23521" s="2" t="str">
        <f>"9783837972795"</f>
        <v>9783837972795</v>
      </c>
    </row>
    <row r="23522" spans="1:6" s="3" customFormat="1" ht="29.1" customHeight="1" x14ac:dyDescent="0.25">
      <c r="A23522" s="2" t="s">
        <v>45960</v>
      </c>
      <c r="B23522" s="2" t="s">
        <v>45961</v>
      </c>
      <c r="C23522" s="2" t="s">
        <v>556</v>
      </c>
      <c r="D23522" s="2" t="s">
        <v>1944</v>
      </c>
      <c r="E23522" s="2" t="str">
        <f>"9783837637656"</f>
        <v>9783837637656</v>
      </c>
      <c r="F23522" s="2" t="str">
        <f>"9783839437650"</f>
        <v>9783839437650</v>
      </c>
    </row>
    <row r="23523" spans="1:6" s="3" customFormat="1" ht="29.1" customHeight="1" x14ac:dyDescent="0.25">
      <c r="A23523" s="2" t="s">
        <v>45962</v>
      </c>
      <c r="B23523" s="2" t="s">
        <v>45963</v>
      </c>
      <c r="C23523" s="2" t="s">
        <v>556</v>
      </c>
      <c r="D23523" s="2" t="s">
        <v>636</v>
      </c>
      <c r="E23523" s="2" t="str">
        <f>"9783837638004"</f>
        <v>9783837638004</v>
      </c>
      <c r="F23523" s="2" t="str">
        <f>"9783732838004"</f>
        <v>9783732838004</v>
      </c>
    </row>
    <row r="23524" spans="1:6" s="3" customFormat="1" ht="29.1" customHeight="1" x14ac:dyDescent="0.25">
      <c r="A23524" s="2" t="s">
        <v>45964</v>
      </c>
      <c r="B23524" s="2" t="s">
        <v>45965</v>
      </c>
      <c r="C23524" s="2" t="s">
        <v>556</v>
      </c>
      <c r="D23524" s="2" t="s">
        <v>1046</v>
      </c>
      <c r="E23524" s="2" t="str">
        <f>"9783837637854"</f>
        <v>9783837637854</v>
      </c>
      <c r="F23524" s="2" t="str">
        <f>"9783839437858"</f>
        <v>9783839437858</v>
      </c>
    </row>
    <row r="23525" spans="1:6" s="3" customFormat="1" ht="29.1" customHeight="1" x14ac:dyDescent="0.25">
      <c r="A23525" s="2" t="s">
        <v>45966</v>
      </c>
      <c r="B23525" s="2" t="s">
        <v>18400</v>
      </c>
      <c r="C23525" s="2" t="s">
        <v>556</v>
      </c>
      <c r="D23525" s="2" t="s">
        <v>689</v>
      </c>
      <c r="E23525" s="2" t="str">
        <f>"9783837637489"</f>
        <v>9783837637489</v>
      </c>
      <c r="F23525" s="2" t="str">
        <f>"9783839437483"</f>
        <v>9783839437483</v>
      </c>
    </row>
    <row r="23526" spans="1:6" s="3" customFormat="1" ht="29.1" customHeight="1" x14ac:dyDescent="0.25">
      <c r="A23526" s="2" t="s">
        <v>45967</v>
      </c>
      <c r="B23526" s="2" t="s">
        <v>45968</v>
      </c>
      <c r="C23526" s="2" t="s">
        <v>556</v>
      </c>
      <c r="D23526" s="2" t="s">
        <v>183</v>
      </c>
      <c r="E23526" s="2" t="str">
        <f>"9783837637106"</f>
        <v>9783837637106</v>
      </c>
      <c r="F23526" s="2" t="str">
        <f>"9783839437100"</f>
        <v>9783839437100</v>
      </c>
    </row>
    <row r="23527" spans="1:6" s="3" customFormat="1" ht="29.1" customHeight="1" x14ac:dyDescent="0.25">
      <c r="A23527" s="2" t="s">
        <v>45969</v>
      </c>
      <c r="B23527" s="2" t="s">
        <v>45970</v>
      </c>
      <c r="C23527" s="2" t="s">
        <v>556</v>
      </c>
      <c r="D23527" s="2" t="s">
        <v>75</v>
      </c>
      <c r="E23527" s="2" t="str">
        <f>"9783837635478"</f>
        <v>9783837635478</v>
      </c>
      <c r="F23527" s="2" t="str">
        <f>"9783839435472"</f>
        <v>9783839435472</v>
      </c>
    </row>
    <row r="23528" spans="1:6" s="3" customFormat="1" ht="29.1" customHeight="1" x14ac:dyDescent="0.25">
      <c r="A23528" s="2" t="s">
        <v>45971</v>
      </c>
      <c r="B23528" s="2" t="s">
        <v>45972</v>
      </c>
      <c r="C23528" s="2" t="s">
        <v>556</v>
      </c>
      <c r="D23528" s="2" t="s">
        <v>490</v>
      </c>
      <c r="E23528" s="2" t="str">
        <f>"9783837630534"</f>
        <v>9783837630534</v>
      </c>
      <c r="F23528" s="2" t="str">
        <f>"9783839430538"</f>
        <v>9783839430538</v>
      </c>
    </row>
    <row r="23529" spans="1:6" s="3" customFormat="1" ht="29.1" customHeight="1" x14ac:dyDescent="0.25">
      <c r="A23529" s="2" t="s">
        <v>45973</v>
      </c>
      <c r="B23529" s="2" t="s">
        <v>45974</v>
      </c>
      <c r="C23529" s="2" t="s">
        <v>195</v>
      </c>
      <c r="D23529" s="2" t="s">
        <v>196</v>
      </c>
      <c r="E23529" s="2" t="str">
        <f>"9783110521771"</f>
        <v>9783110521771</v>
      </c>
      <c r="F23529" s="2" t="str">
        <f>"9783110522099"</f>
        <v>9783110522099</v>
      </c>
    </row>
    <row r="23530" spans="1:6" s="3" customFormat="1" ht="29.1" customHeight="1" x14ac:dyDescent="0.25">
      <c r="A23530" s="2" t="s">
        <v>45975</v>
      </c>
      <c r="B23530" s="2" t="s">
        <v>45976</v>
      </c>
      <c r="C23530" s="2" t="s">
        <v>195</v>
      </c>
      <c r="D23530" s="2" t="s">
        <v>3166</v>
      </c>
      <c r="E23530" s="2" t="str">
        <f>"9783110476781"</f>
        <v>9783110476781</v>
      </c>
      <c r="F23530" s="2" t="str">
        <f>"9783110476859"</f>
        <v>9783110476859</v>
      </c>
    </row>
    <row r="23531" spans="1:6" s="3" customFormat="1" ht="29.1" customHeight="1" x14ac:dyDescent="0.25">
      <c r="A23531" s="2" t="s">
        <v>45977</v>
      </c>
      <c r="B23531" s="2" t="s">
        <v>45978</v>
      </c>
      <c r="C23531" s="2" t="s">
        <v>7163</v>
      </c>
      <c r="D23531" s="2" t="s">
        <v>11528</v>
      </c>
      <c r="E23531" s="2" t="str">
        <f>"9781611178302"</f>
        <v>9781611178302</v>
      </c>
      <c r="F23531" s="2" t="str">
        <f>"9781611178319"</f>
        <v>9781611178319</v>
      </c>
    </row>
    <row r="23532" spans="1:6" s="3" customFormat="1" ht="29.1" customHeight="1" x14ac:dyDescent="0.25">
      <c r="A23532" s="2" t="s">
        <v>45979</v>
      </c>
      <c r="B23532" s="2" t="s">
        <v>45980</v>
      </c>
      <c r="C23532" s="2" t="s">
        <v>595</v>
      </c>
      <c r="D23532" s="2" t="s">
        <v>2713</v>
      </c>
      <c r="E23532" s="2" t="str">
        <f>"9783034328111"</f>
        <v>9783034328111</v>
      </c>
      <c r="F23532" s="2" t="str">
        <f>"9783034328128"</f>
        <v>9783034328128</v>
      </c>
    </row>
    <row r="23533" spans="1:6" s="3" customFormat="1" ht="29.1" customHeight="1" x14ac:dyDescent="0.25">
      <c r="A23533" s="2" t="s">
        <v>45982</v>
      </c>
      <c r="B23533" s="2" t="s">
        <v>45983</v>
      </c>
      <c r="C23533" s="2" t="s">
        <v>885</v>
      </c>
      <c r="D23533" s="2" t="s">
        <v>81</v>
      </c>
      <c r="E23533" s="2" t="str">
        <f>"9781487500627"</f>
        <v>9781487500627</v>
      </c>
      <c r="F23533" s="2" t="str">
        <f>"9781487511470"</f>
        <v>9781487511470</v>
      </c>
    </row>
    <row r="23534" spans="1:6" s="3" customFormat="1" ht="29.1" customHeight="1" x14ac:dyDescent="0.25">
      <c r="A23534" s="2" t="s">
        <v>45984</v>
      </c>
      <c r="B23534" s="2" t="s">
        <v>45985</v>
      </c>
      <c r="C23534" s="2" t="s">
        <v>885</v>
      </c>
      <c r="D23534" s="2" t="s">
        <v>682</v>
      </c>
      <c r="E23534" s="2" t="str">
        <f>"9781442649828"</f>
        <v>9781442649828</v>
      </c>
      <c r="F23534" s="2" t="str">
        <f>"9781442621589"</f>
        <v>9781442621589</v>
      </c>
    </row>
    <row r="23535" spans="1:6" s="3" customFormat="1" ht="29.1" customHeight="1" x14ac:dyDescent="0.25">
      <c r="A23535" s="2" t="s">
        <v>45986</v>
      </c>
      <c r="B23535" s="2" t="s">
        <v>45987</v>
      </c>
      <c r="C23535" s="2" t="s">
        <v>927</v>
      </c>
      <c r="D23535" s="2" t="s">
        <v>210</v>
      </c>
      <c r="E23535" s="2" t="str">
        <f>"9780472130283"</f>
        <v>9780472130283</v>
      </c>
      <c r="F23535" s="2" t="str">
        <f>"9780472122677"</f>
        <v>9780472122677</v>
      </c>
    </row>
    <row r="23536" spans="1:6" s="3" customFormat="1" ht="29.1" customHeight="1" x14ac:dyDescent="0.25">
      <c r="A23536" s="2" t="s">
        <v>45988</v>
      </c>
      <c r="B23536" s="2" t="s">
        <v>45989</v>
      </c>
      <c r="C23536" s="2" t="s">
        <v>43061</v>
      </c>
      <c r="D23536" s="2" t="s">
        <v>3407</v>
      </c>
      <c r="E23536" s="2" t="str">
        <f>"9783737602808"</f>
        <v>9783737602808</v>
      </c>
      <c r="F23536" s="2" t="str">
        <f>"9783737602815"</f>
        <v>9783737602815</v>
      </c>
    </row>
    <row r="23537" spans="1:6" s="3" customFormat="1" ht="29.1" customHeight="1" x14ac:dyDescent="0.25">
      <c r="A23537" s="2" t="s">
        <v>45990</v>
      </c>
      <c r="B23537" s="2" t="s">
        <v>45991</v>
      </c>
      <c r="C23537" s="2" t="s">
        <v>43061</v>
      </c>
      <c r="D23537" s="2" t="s">
        <v>650</v>
      </c>
      <c r="E23537" s="2" t="str">
        <f>"9783737602846"</f>
        <v>9783737602846</v>
      </c>
      <c r="F23537" s="2" t="str">
        <f>"9783737602853"</f>
        <v>9783737602853</v>
      </c>
    </row>
    <row r="23538" spans="1:6" s="3" customFormat="1" ht="29.1" customHeight="1" x14ac:dyDescent="0.25">
      <c r="A23538" s="2" t="s">
        <v>45992</v>
      </c>
      <c r="B23538" s="2" t="s">
        <v>45993</v>
      </c>
      <c r="C23538" s="2" t="s">
        <v>43061</v>
      </c>
      <c r="D23538" s="2" t="s">
        <v>86</v>
      </c>
      <c r="E23538" s="2" t="str">
        <f>"9783737602983"</f>
        <v>9783737602983</v>
      </c>
      <c r="F23538" s="2" t="str">
        <f>"9783737602990"</f>
        <v>9783737602990</v>
      </c>
    </row>
    <row r="23539" spans="1:6" s="3" customFormat="1" ht="29.1" customHeight="1" x14ac:dyDescent="0.25">
      <c r="A23539" s="2" t="s">
        <v>45994</v>
      </c>
      <c r="B23539" s="2" t="s">
        <v>45995</v>
      </c>
      <c r="C23539" s="2" t="s">
        <v>124</v>
      </c>
      <c r="D23539" s="2" t="s">
        <v>186</v>
      </c>
      <c r="E23539" s="2" t="str">
        <f>"9780415785723"</f>
        <v>9780415785723</v>
      </c>
      <c r="F23539" s="2" t="str">
        <f>"9781351855129"</f>
        <v>9781351855129</v>
      </c>
    </row>
    <row r="23540" spans="1:6" s="3" customFormat="1" ht="29.1" customHeight="1" x14ac:dyDescent="0.25">
      <c r="A23540" s="2" t="s">
        <v>45996</v>
      </c>
      <c r="B23540" s="2" t="s">
        <v>45997</v>
      </c>
      <c r="C23540" s="2" t="s">
        <v>124</v>
      </c>
      <c r="D23540" s="2" t="s">
        <v>712</v>
      </c>
      <c r="E23540" s="2" t="str">
        <f>"9781138789777"</f>
        <v>9781138789777</v>
      </c>
      <c r="F23540" s="2" t="str">
        <f>"9781317654810"</f>
        <v>9781317654810</v>
      </c>
    </row>
    <row r="23541" spans="1:6" s="3" customFormat="1" ht="29.1" customHeight="1" x14ac:dyDescent="0.25">
      <c r="A23541" s="2" t="s">
        <v>45998</v>
      </c>
      <c r="B23541" s="2" t="s">
        <v>45999</v>
      </c>
      <c r="C23541" s="2" t="s">
        <v>28510</v>
      </c>
      <c r="D23541" s="2" t="s">
        <v>165</v>
      </c>
      <c r="E23541" s="2" t="str">
        <f>"9781681084145"</f>
        <v>9781681084145</v>
      </c>
      <c r="F23541" s="2" t="str">
        <f>"9781681084138"</f>
        <v>9781681084138</v>
      </c>
    </row>
    <row r="23542" spans="1:6" s="3" customFormat="1" ht="29.1" customHeight="1" x14ac:dyDescent="0.25">
      <c r="A23542" s="2" t="s">
        <v>46000</v>
      </c>
      <c r="B23542" s="2" t="s">
        <v>46001</v>
      </c>
      <c r="C23542" s="2" t="s">
        <v>5050</v>
      </c>
      <c r="D23542" s="2" t="s">
        <v>75</v>
      </c>
      <c r="E23542" s="2" t="str">
        <f>"9780824866693"</f>
        <v>9780824866693</v>
      </c>
      <c r="F23542" s="2" t="str">
        <f>"9780824866716"</f>
        <v>9780824866716</v>
      </c>
    </row>
    <row r="23543" spans="1:6" s="3" customFormat="1" ht="29.1" customHeight="1" x14ac:dyDescent="0.25">
      <c r="A23543" s="2" t="s">
        <v>46002</v>
      </c>
      <c r="B23543" s="2" t="s">
        <v>46003</v>
      </c>
      <c r="C23543" s="2" t="s">
        <v>26676</v>
      </c>
      <c r="D23543" s="2" t="s">
        <v>3245</v>
      </c>
      <c r="E23543" s="2" t="str">
        <f>"9781618115478"</f>
        <v>9781618115478</v>
      </c>
      <c r="F23543" s="2" t="str">
        <f>"9781618115485"</f>
        <v>9781618115485</v>
      </c>
    </row>
    <row r="23544" spans="1:6" s="3" customFormat="1" ht="29.1" customHeight="1" x14ac:dyDescent="0.25">
      <c r="A23544" s="2" t="s">
        <v>1069</v>
      </c>
      <c r="B23544" s="2" t="s">
        <v>46004</v>
      </c>
      <c r="C23544" s="2" t="s">
        <v>1070</v>
      </c>
      <c r="D23544" s="2" t="s">
        <v>1898</v>
      </c>
      <c r="E23544" s="2" t="str">
        <f>"9781910797372"</f>
        <v>9781910797372</v>
      </c>
      <c r="F23544" s="2" t="str">
        <f>"9781910797440"</f>
        <v>9781910797440</v>
      </c>
    </row>
    <row r="23545" spans="1:6" s="3" customFormat="1" ht="29.1" customHeight="1" x14ac:dyDescent="0.25">
      <c r="A23545" s="2" t="s">
        <v>46005</v>
      </c>
      <c r="B23545" s="2" t="s">
        <v>46006</v>
      </c>
      <c r="C23545" s="2" t="s">
        <v>264</v>
      </c>
      <c r="D23545" s="2" t="s">
        <v>3567</v>
      </c>
      <c r="E23545" s="2" t="str">
        <f>"9781466585928"</f>
        <v>9781466585928</v>
      </c>
      <c r="F23545" s="2" t="str">
        <f>"9781466585942"</f>
        <v>9781466585942</v>
      </c>
    </row>
    <row r="23546" spans="1:6" s="3" customFormat="1" ht="29.1" customHeight="1" x14ac:dyDescent="0.25">
      <c r="A23546" s="2" t="s">
        <v>46007</v>
      </c>
      <c r="B23546" s="2" t="s">
        <v>46008</v>
      </c>
      <c r="C23546" s="2" t="s">
        <v>264</v>
      </c>
      <c r="D23546" s="2" t="s">
        <v>2991</v>
      </c>
      <c r="E23546" s="2" t="str">
        <f>"9781439835562"</f>
        <v>9781439835562</v>
      </c>
      <c r="F23546" s="2" t="str">
        <f>"9781439835586"</f>
        <v>9781439835586</v>
      </c>
    </row>
    <row r="23547" spans="1:6" s="3" customFormat="1" ht="29.1" customHeight="1" x14ac:dyDescent="0.25">
      <c r="A23547" s="2" t="s">
        <v>46009</v>
      </c>
      <c r="B23547" s="2" t="s">
        <v>46010</v>
      </c>
      <c r="C23547" s="2" t="s">
        <v>264</v>
      </c>
      <c r="D23547" s="2" t="s">
        <v>256</v>
      </c>
      <c r="E23547" s="2" t="str">
        <f>"9781439824924"</f>
        <v>9781439824924</v>
      </c>
      <c r="F23547" s="2" t="str">
        <f>"9781439824931"</f>
        <v>9781439824931</v>
      </c>
    </row>
    <row r="23548" spans="1:6" s="3" customFormat="1" ht="29.1" customHeight="1" x14ac:dyDescent="0.25">
      <c r="A23548" s="2" t="s">
        <v>46011</v>
      </c>
      <c r="B23548" s="2" t="s">
        <v>46012</v>
      </c>
      <c r="C23548" s="2" t="s">
        <v>264</v>
      </c>
      <c r="D23548" s="2" t="s">
        <v>12465</v>
      </c>
      <c r="E23548" s="2" t="str">
        <f>"9781439819579"</f>
        <v>9781439819579</v>
      </c>
      <c r="F23548" s="2" t="str">
        <f>"9781439819586"</f>
        <v>9781439819586</v>
      </c>
    </row>
    <row r="23549" spans="1:6" s="3" customFormat="1" ht="29.1" customHeight="1" x14ac:dyDescent="0.25">
      <c r="A23549" s="2" t="s">
        <v>46013</v>
      </c>
      <c r="B23549" s="2" t="s">
        <v>46014</v>
      </c>
      <c r="C23549" s="2" t="s">
        <v>264</v>
      </c>
      <c r="D23549" s="2" t="s">
        <v>515</v>
      </c>
      <c r="E23549" s="2" t="str">
        <f>"9780750302630"</f>
        <v>9780750302630</v>
      </c>
      <c r="F23549" s="2" t="str">
        <f>"9781420011821"</f>
        <v>9781420011821</v>
      </c>
    </row>
    <row r="23550" spans="1:6" s="3" customFormat="1" ht="29.1" customHeight="1" x14ac:dyDescent="0.25">
      <c r="A23550" s="2" t="s">
        <v>46015</v>
      </c>
      <c r="B23550" s="2" t="s">
        <v>46016</v>
      </c>
      <c r="C23550" s="2" t="s">
        <v>264</v>
      </c>
      <c r="D23550" s="2" t="s">
        <v>2237</v>
      </c>
      <c r="E23550" s="2" t="str">
        <f>"9781482247305"</f>
        <v>9781482247305</v>
      </c>
      <c r="F23550" s="2" t="str">
        <f>"9781482247312"</f>
        <v>9781482247312</v>
      </c>
    </row>
    <row r="23551" spans="1:6" s="3" customFormat="1" ht="29.1" customHeight="1" x14ac:dyDescent="0.25">
      <c r="A23551" s="2" t="s">
        <v>31842</v>
      </c>
      <c r="B23551" s="2" t="s">
        <v>46017</v>
      </c>
      <c r="C23551" s="2" t="s">
        <v>264</v>
      </c>
      <c r="D23551" s="2" t="s">
        <v>12465</v>
      </c>
      <c r="E23551" s="2" t="str">
        <f>"9781439861967"</f>
        <v>9781439861967</v>
      </c>
      <c r="F23551" s="2" t="str">
        <f>"9781439896891"</f>
        <v>9781439896891</v>
      </c>
    </row>
    <row r="23552" spans="1:6" s="3" customFormat="1" ht="29.1" customHeight="1" x14ac:dyDescent="0.25">
      <c r="A23552" s="2" t="s">
        <v>46018</v>
      </c>
      <c r="B23552" s="2" t="s">
        <v>46019</v>
      </c>
      <c r="C23552" s="2" t="s">
        <v>124</v>
      </c>
      <c r="D23552" s="2" t="s">
        <v>3958</v>
      </c>
      <c r="E23552" s="2" t="str">
        <f>"9789462982796"</f>
        <v>9789462982796</v>
      </c>
      <c r="F23552" s="2" t="str">
        <f>"9781040777992"</f>
        <v>9781040777992</v>
      </c>
    </row>
    <row r="23553" spans="1:6" s="3" customFormat="1" ht="29.1" customHeight="1" x14ac:dyDescent="0.25">
      <c r="A23553" s="2" t="s">
        <v>46020</v>
      </c>
      <c r="B23553" s="2" t="s">
        <v>46021</v>
      </c>
      <c r="C23553" s="2" t="s">
        <v>124</v>
      </c>
      <c r="D23553" s="2" t="s">
        <v>916</v>
      </c>
      <c r="E23553" s="2" t="str">
        <f>"9781041186069"</f>
        <v>9781041186069</v>
      </c>
      <c r="F23553" s="2" t="str">
        <f>"9781040773673"</f>
        <v>9781040773673</v>
      </c>
    </row>
    <row r="23554" spans="1:6" s="3" customFormat="1" ht="29.1" customHeight="1" x14ac:dyDescent="0.25">
      <c r="A23554" s="2" t="s">
        <v>46022</v>
      </c>
      <c r="B23554" s="2" t="s">
        <v>46023</v>
      </c>
      <c r="C23554" s="2" t="s">
        <v>11220</v>
      </c>
      <c r="D23554" s="2" t="s">
        <v>712</v>
      </c>
      <c r="E23554" s="2" t="str">
        <f>"9781479867820"</f>
        <v>9781479867820</v>
      </c>
      <c r="F23554" s="2" t="str">
        <f>"9781479802340"</f>
        <v>9781479802340</v>
      </c>
    </row>
    <row r="23555" spans="1:6" s="3" customFormat="1" ht="29.1" customHeight="1" x14ac:dyDescent="0.25">
      <c r="A23555" s="2" t="s">
        <v>46024</v>
      </c>
      <c r="B23555" s="2" t="s">
        <v>46025</v>
      </c>
      <c r="C23555" s="2" t="s">
        <v>11220</v>
      </c>
      <c r="D23555" s="2" t="s">
        <v>3155</v>
      </c>
      <c r="E23555" s="2" t="str">
        <f>"9781479841325"</f>
        <v>9781479841325</v>
      </c>
      <c r="F23555" s="2" t="str">
        <f>"9781479815425"</f>
        <v>9781479815425</v>
      </c>
    </row>
    <row r="23556" spans="1:6" s="3" customFormat="1" ht="29.1" customHeight="1" x14ac:dyDescent="0.25">
      <c r="A23556" s="2" t="s">
        <v>46026</v>
      </c>
      <c r="B23556" s="2" t="s">
        <v>46027</v>
      </c>
      <c r="C23556" s="2" t="s">
        <v>195</v>
      </c>
      <c r="D23556" s="2" t="s">
        <v>3963</v>
      </c>
      <c r="E23556" s="2" t="str">
        <f>"9783110496611"</f>
        <v>9783110496611</v>
      </c>
      <c r="F23556" s="2" t="str">
        <f>"9783110495072"</f>
        <v>9783110495072</v>
      </c>
    </row>
    <row r="23557" spans="1:6" s="3" customFormat="1" ht="29.1" customHeight="1" x14ac:dyDescent="0.25">
      <c r="A23557" s="2" t="s">
        <v>46028</v>
      </c>
      <c r="B23557" s="2" t="s">
        <v>46029</v>
      </c>
      <c r="C23557" s="2" t="s">
        <v>195</v>
      </c>
      <c r="D23557" s="2" t="s">
        <v>10336</v>
      </c>
      <c r="E23557" s="2" t="str">
        <f>"9783110481099"</f>
        <v>9783110481099</v>
      </c>
      <c r="F23557" s="2" t="str">
        <f>"9783110481242"</f>
        <v>9783110481242</v>
      </c>
    </row>
    <row r="23558" spans="1:6" s="3" customFormat="1" ht="29.1" customHeight="1" x14ac:dyDescent="0.25">
      <c r="A23558" s="2" t="s">
        <v>46030</v>
      </c>
      <c r="B23558" s="2" t="s">
        <v>46031</v>
      </c>
      <c r="C23558" s="2" t="s">
        <v>124</v>
      </c>
      <c r="D23558" s="2" t="s">
        <v>913</v>
      </c>
      <c r="E23558" s="2" t="str">
        <f>"9781138184589"</f>
        <v>9781138184589</v>
      </c>
      <c r="F23558" s="2" t="str">
        <f>"9781317290834"</f>
        <v>9781317290834</v>
      </c>
    </row>
    <row r="23559" spans="1:6" s="3" customFormat="1" ht="29.1" customHeight="1" x14ac:dyDescent="0.25">
      <c r="A23559" s="2" t="s">
        <v>36652</v>
      </c>
      <c r="B23559" s="2" t="s">
        <v>46032</v>
      </c>
      <c r="C23559" s="2" t="s">
        <v>149</v>
      </c>
      <c r="D23559" s="2" t="s">
        <v>758</v>
      </c>
      <c r="E23559" s="2" t="str">
        <f>"9781783743087"</f>
        <v>9781783743087</v>
      </c>
      <c r="F23559" s="2" t="str">
        <f>"9781783743100"</f>
        <v>9781783743100</v>
      </c>
    </row>
    <row r="23560" spans="1:6" s="3" customFormat="1" ht="29.1" customHeight="1" x14ac:dyDescent="0.25">
      <c r="A23560" s="2" t="s">
        <v>46033</v>
      </c>
      <c r="B23560" s="2" t="s">
        <v>46034</v>
      </c>
      <c r="C23560" s="2" t="s">
        <v>149</v>
      </c>
      <c r="D23560" s="2" t="s">
        <v>5671</v>
      </c>
      <c r="E23560" s="2" t="str">
        <f>"9781783742684"</f>
        <v>9781783742684</v>
      </c>
      <c r="F23560" s="2" t="str">
        <f>"9781783742707"</f>
        <v>9781783742707</v>
      </c>
    </row>
    <row r="23561" spans="1:6" s="3" customFormat="1" ht="29.1" customHeight="1" x14ac:dyDescent="0.25">
      <c r="A23561" s="2" t="s">
        <v>46035</v>
      </c>
      <c r="B23561" s="2" t="s">
        <v>46036</v>
      </c>
      <c r="C23561" s="2" t="s">
        <v>149</v>
      </c>
      <c r="D23561" s="2" t="s">
        <v>11248</v>
      </c>
      <c r="E23561" s="2" t="str">
        <f>"9781783742486"</f>
        <v>9781783742486</v>
      </c>
      <c r="F23561" s="2" t="str">
        <f>"9781783742509"</f>
        <v>9781783742509</v>
      </c>
    </row>
    <row r="23562" spans="1:6" s="3" customFormat="1" ht="29.1" customHeight="1" x14ac:dyDescent="0.25">
      <c r="A23562" s="2" t="s">
        <v>46037</v>
      </c>
      <c r="B23562" s="2" t="s">
        <v>44296</v>
      </c>
      <c r="C23562" s="2" t="s">
        <v>149</v>
      </c>
      <c r="D23562" s="2" t="s">
        <v>36101</v>
      </c>
      <c r="E23562" s="2" t="str">
        <f>"9781783742639"</f>
        <v>9781783742639</v>
      </c>
      <c r="F23562" s="2" t="str">
        <f>"9781783742653"</f>
        <v>9781783742653</v>
      </c>
    </row>
    <row r="23563" spans="1:6" s="3" customFormat="1" ht="29.1" customHeight="1" x14ac:dyDescent="0.25">
      <c r="A23563" s="2" t="s">
        <v>46038</v>
      </c>
      <c r="B23563" s="2" t="s">
        <v>46039</v>
      </c>
      <c r="C23563" s="2" t="s">
        <v>149</v>
      </c>
      <c r="D23563" s="2" t="s">
        <v>207</v>
      </c>
      <c r="E23563" s="2" t="str">
        <f>"9781783743032"</f>
        <v>9781783743032</v>
      </c>
      <c r="F23563" s="2" t="str">
        <f>"9781783743056"</f>
        <v>9781783743056</v>
      </c>
    </row>
    <row r="23564" spans="1:6" s="3" customFormat="1" ht="29.1" customHeight="1" x14ac:dyDescent="0.25">
      <c r="A23564" s="2" t="s">
        <v>46040</v>
      </c>
      <c r="B23564" s="2" t="s">
        <v>46041</v>
      </c>
      <c r="C23564" s="2" t="s">
        <v>124</v>
      </c>
      <c r="D23564" s="2" t="s">
        <v>2877</v>
      </c>
      <c r="E23564" s="2" t="str">
        <f>"9781138898363"</f>
        <v>9781138898363</v>
      </c>
      <c r="F23564" s="2" t="str">
        <f>"9781317483342"</f>
        <v>9781317483342</v>
      </c>
    </row>
    <row r="23565" spans="1:6" s="3" customFormat="1" ht="29.1" customHeight="1" x14ac:dyDescent="0.25">
      <c r="A23565" s="2" t="s">
        <v>46042</v>
      </c>
      <c r="B23565" s="2" t="s">
        <v>46043</v>
      </c>
      <c r="C23565" s="2" t="s">
        <v>124</v>
      </c>
      <c r="D23565" s="2" t="s">
        <v>636</v>
      </c>
      <c r="E23565" s="2" t="str">
        <f>"9781138677692"</f>
        <v>9781138677692</v>
      </c>
      <c r="F23565" s="2" t="str">
        <f>"9781317195108"</f>
        <v>9781317195108</v>
      </c>
    </row>
    <row r="23566" spans="1:6" s="3" customFormat="1" ht="29.1" customHeight="1" x14ac:dyDescent="0.25">
      <c r="A23566" s="2" t="s">
        <v>46044</v>
      </c>
      <c r="B23566" s="2" t="s">
        <v>46045</v>
      </c>
      <c r="C23566" s="2" t="s">
        <v>644</v>
      </c>
      <c r="D23566" s="2" t="s">
        <v>1141</v>
      </c>
      <c r="E23566" s="2" t="str">
        <f>"9780822361787"</f>
        <v>9780822361787</v>
      </c>
      <c r="F23566" s="2" t="str">
        <f>"9780822374015"</f>
        <v>9780822374015</v>
      </c>
    </row>
    <row r="23567" spans="1:6" s="3" customFormat="1" ht="29.1" customHeight="1" x14ac:dyDescent="0.25">
      <c r="A23567" s="2" t="s">
        <v>46046</v>
      </c>
      <c r="B23567" s="2" t="s">
        <v>46047</v>
      </c>
      <c r="C23567" s="2" t="s">
        <v>7395</v>
      </c>
      <c r="D23567" s="2" t="s">
        <v>49</v>
      </c>
      <c r="E23567" s="2" t="str">
        <f>"9780295741505"</f>
        <v>9780295741505</v>
      </c>
      <c r="F23567" s="2" t="str">
        <f>"9780295741970"</f>
        <v>9780295741970</v>
      </c>
    </row>
    <row r="23568" spans="1:6" s="3" customFormat="1" ht="29.1" customHeight="1" x14ac:dyDescent="0.25">
      <c r="A23568" s="2" t="s">
        <v>46048</v>
      </c>
      <c r="B23568" s="2" t="s">
        <v>46049</v>
      </c>
      <c r="C23568" s="2" t="s">
        <v>248</v>
      </c>
      <c r="D23568" s="2" t="s">
        <v>270</v>
      </c>
      <c r="E23568" s="2" t="str">
        <f>"9783847405184"</f>
        <v>9783847405184</v>
      </c>
      <c r="F23568" s="2" t="str">
        <f>"9783847409694"</f>
        <v>9783847409694</v>
      </c>
    </row>
    <row r="23569" spans="1:6" s="3" customFormat="1" ht="29.1" customHeight="1" x14ac:dyDescent="0.25">
      <c r="A23569" s="2" t="s">
        <v>46050</v>
      </c>
      <c r="B23569" s="2" t="s">
        <v>46051</v>
      </c>
      <c r="C23569" s="2" t="s">
        <v>248</v>
      </c>
      <c r="D23569" s="2" t="s">
        <v>75</v>
      </c>
      <c r="E23569" s="2" t="str">
        <f>"9783847407454"</f>
        <v>9783847407454</v>
      </c>
      <c r="F23569" s="2" t="str">
        <f>"9783847409052"</f>
        <v>9783847409052</v>
      </c>
    </row>
    <row r="23570" spans="1:6" s="3" customFormat="1" ht="29.1" customHeight="1" x14ac:dyDescent="0.25">
      <c r="A23570" s="2" t="s">
        <v>46052</v>
      </c>
      <c r="B23570" s="2" t="s">
        <v>46053</v>
      </c>
      <c r="C23570" s="2" t="s">
        <v>248</v>
      </c>
      <c r="D23570" s="2" t="s">
        <v>1927</v>
      </c>
      <c r="E23570" s="2" t="str">
        <f>"9783847407805"</f>
        <v>9783847407805</v>
      </c>
      <c r="F23570" s="2" t="str">
        <f>"9783847409021"</f>
        <v>9783847409021</v>
      </c>
    </row>
    <row r="23571" spans="1:6" s="3" customFormat="1" ht="29.1" customHeight="1" x14ac:dyDescent="0.25">
      <c r="A23571" s="2" t="s">
        <v>46054</v>
      </c>
      <c r="B23571" s="2" t="s">
        <v>46055</v>
      </c>
      <c r="C23571" s="2" t="s">
        <v>248</v>
      </c>
      <c r="D23571" s="2" t="s">
        <v>1025</v>
      </c>
      <c r="E23571" s="2" t="str">
        <f>"9783847407621"</f>
        <v>9783847407621</v>
      </c>
      <c r="F23571" s="2" t="str">
        <f>"9783847408949"</f>
        <v>9783847408949</v>
      </c>
    </row>
    <row r="23572" spans="1:6" s="3" customFormat="1" ht="29.1" customHeight="1" x14ac:dyDescent="0.25">
      <c r="A23572" s="2" t="s">
        <v>46056</v>
      </c>
      <c r="B23572" s="2" t="s">
        <v>46057</v>
      </c>
      <c r="C23572" s="2" t="s">
        <v>248</v>
      </c>
      <c r="D23572" s="2" t="s">
        <v>270</v>
      </c>
      <c r="E23572" s="2" t="str">
        <f>"9783847401469"</f>
        <v>9783847401469</v>
      </c>
      <c r="F23572" s="2" t="str">
        <f>"9783847404569"</f>
        <v>9783847404569</v>
      </c>
    </row>
    <row r="23573" spans="1:6" s="3" customFormat="1" ht="29.1" customHeight="1" x14ac:dyDescent="0.25">
      <c r="A23573" s="2" t="s">
        <v>46058</v>
      </c>
      <c r="B23573" s="2" t="s">
        <v>46059</v>
      </c>
      <c r="C23573" s="2" t="s">
        <v>8047</v>
      </c>
      <c r="D23573" s="2" t="s">
        <v>879</v>
      </c>
      <c r="E23573" s="2" t="str">
        <f>"9780271077550"</f>
        <v>9780271077550</v>
      </c>
      <c r="F23573" s="2" t="str">
        <f>"9780271079707"</f>
        <v>9780271079707</v>
      </c>
    </row>
    <row r="23574" spans="1:6" s="3" customFormat="1" ht="29.1" customHeight="1" x14ac:dyDescent="0.25">
      <c r="A23574" s="2" t="s">
        <v>46060</v>
      </c>
      <c r="B23574" s="2" t="s">
        <v>46061</v>
      </c>
      <c r="C23574" s="2" t="s">
        <v>195</v>
      </c>
      <c r="D23574" s="2" t="s">
        <v>606</v>
      </c>
      <c r="E23574" s="2" t="str">
        <f>"9783110440164"</f>
        <v>9783110440164</v>
      </c>
      <c r="F23574" s="2" t="str">
        <f>"9783110440171"</f>
        <v>9783110440171</v>
      </c>
    </row>
    <row r="23575" spans="1:6" s="3" customFormat="1" ht="29.1" customHeight="1" x14ac:dyDescent="0.25">
      <c r="A23575" s="2" t="s">
        <v>46062</v>
      </c>
      <c r="B23575" s="2" t="s">
        <v>46063</v>
      </c>
      <c r="C23575" s="2" t="s">
        <v>124</v>
      </c>
      <c r="D23575" s="2" t="s">
        <v>186</v>
      </c>
      <c r="E23575" s="2" t="str">
        <f>"9780367668020"</f>
        <v>9780367668020</v>
      </c>
      <c r="F23575" s="2" t="str">
        <f>"9781315401843"</f>
        <v>9781315401843</v>
      </c>
    </row>
    <row r="23576" spans="1:6" s="3" customFormat="1" ht="29.1" customHeight="1" x14ac:dyDescent="0.25">
      <c r="A23576" s="2" t="s">
        <v>46064</v>
      </c>
      <c r="B23576" s="2" t="s">
        <v>46065</v>
      </c>
      <c r="C23576" s="2" t="s">
        <v>124</v>
      </c>
      <c r="D23576" s="2" t="s">
        <v>189</v>
      </c>
      <c r="E23576" s="2" t="str">
        <f>"9781138649248"</f>
        <v>9781138649248</v>
      </c>
      <c r="F23576" s="2" t="str">
        <f>"9781317213543"</f>
        <v>9781317213543</v>
      </c>
    </row>
    <row r="23577" spans="1:6" s="3" customFormat="1" ht="29.1" customHeight="1" x14ac:dyDescent="0.25">
      <c r="A23577" s="2" t="s">
        <v>46066</v>
      </c>
      <c r="B23577" s="2" t="s">
        <v>46067</v>
      </c>
      <c r="C23577" s="2" t="s">
        <v>124</v>
      </c>
      <c r="D23577" s="2" t="s">
        <v>2877</v>
      </c>
      <c r="E23577" s="2" t="str">
        <f>"9781138794276"</f>
        <v>9781138794276</v>
      </c>
      <c r="F23577" s="2" t="str">
        <f>"9781317615866"</f>
        <v>9781317615866</v>
      </c>
    </row>
    <row r="23578" spans="1:6" s="3" customFormat="1" ht="29.1" customHeight="1" x14ac:dyDescent="0.25">
      <c r="A23578" s="2" t="s">
        <v>46068</v>
      </c>
      <c r="B23578" s="2" t="s">
        <v>46069</v>
      </c>
      <c r="C23578" s="2" t="s">
        <v>124</v>
      </c>
      <c r="D23578" s="2" t="s">
        <v>9</v>
      </c>
      <c r="E23578" s="2" t="str">
        <f>"9781138682214"</f>
        <v>9781138682214</v>
      </c>
      <c r="F23578" s="2" t="str">
        <f>"9781134817979"</f>
        <v>9781134817979</v>
      </c>
    </row>
    <row r="23579" spans="1:6" s="3" customFormat="1" ht="29.1" customHeight="1" x14ac:dyDescent="0.25">
      <c r="A23579" s="2" t="s">
        <v>46070</v>
      </c>
      <c r="B23579" s="2" t="s">
        <v>46071</v>
      </c>
      <c r="C23579" s="2" t="s">
        <v>248</v>
      </c>
      <c r="D23579" s="2" t="s">
        <v>1927</v>
      </c>
      <c r="E23579" s="2" t="str">
        <f>"9783847420514"</f>
        <v>9783847420514</v>
      </c>
      <c r="F23579" s="2" t="str">
        <f>"9783847410683"</f>
        <v>9783847410683</v>
      </c>
    </row>
    <row r="23580" spans="1:6" s="3" customFormat="1" ht="29.1" customHeight="1" x14ac:dyDescent="0.25">
      <c r="A23580" s="2" t="s">
        <v>46072</v>
      </c>
      <c r="B23580" s="2" t="s">
        <v>46073</v>
      </c>
      <c r="C23580" s="2" t="s">
        <v>248</v>
      </c>
      <c r="D23580" s="2" t="s">
        <v>183</v>
      </c>
      <c r="E23580" s="2" t="str">
        <f>"9783847406914"</f>
        <v>9783847406914</v>
      </c>
      <c r="F23580" s="2" t="str">
        <f>"9783847408390"</f>
        <v>9783847408390</v>
      </c>
    </row>
    <row r="23581" spans="1:6" s="3" customFormat="1" ht="29.1" customHeight="1" x14ac:dyDescent="0.25">
      <c r="A23581" s="2" t="s">
        <v>46074</v>
      </c>
      <c r="B23581" s="2" t="s">
        <v>46075</v>
      </c>
      <c r="C23581" s="2" t="s">
        <v>248</v>
      </c>
      <c r="D23581" s="2" t="s">
        <v>36471</v>
      </c>
      <c r="E23581" s="2" t="str">
        <f>"9783847420033"</f>
        <v>9783847420033</v>
      </c>
      <c r="F23581" s="2" t="str">
        <f>"9783847410027"</f>
        <v>9783847410027</v>
      </c>
    </row>
    <row r="23582" spans="1:6" s="3" customFormat="1" ht="29.1" customHeight="1" x14ac:dyDescent="0.25">
      <c r="A23582" s="2" t="s">
        <v>46076</v>
      </c>
      <c r="B23582" s="2" t="s">
        <v>46077</v>
      </c>
      <c r="C23582" s="2" t="s">
        <v>195</v>
      </c>
      <c r="D23582" s="2" t="s">
        <v>717</v>
      </c>
      <c r="E23582" s="2" t="str">
        <f>"9783110443332"</f>
        <v>9783110443332</v>
      </c>
      <c r="F23582" s="2" t="str">
        <f>"9783110435580"</f>
        <v>9783110435580</v>
      </c>
    </row>
    <row r="23583" spans="1:6" s="3" customFormat="1" ht="29.1" customHeight="1" x14ac:dyDescent="0.25">
      <c r="A23583" s="2" t="s">
        <v>46078</v>
      </c>
      <c r="B23583" s="2" t="s">
        <v>46079</v>
      </c>
      <c r="C23583" s="2" t="s">
        <v>195</v>
      </c>
      <c r="D23583" s="2" t="s">
        <v>717</v>
      </c>
      <c r="E23583" s="2" t="str">
        <f>"9783110443349"</f>
        <v>9783110443349</v>
      </c>
      <c r="F23583" s="2" t="str">
        <f>"9783110435573"</f>
        <v>9783110435573</v>
      </c>
    </row>
    <row r="23584" spans="1:6" s="3" customFormat="1" ht="29.1" customHeight="1" x14ac:dyDescent="0.25">
      <c r="A23584" s="2" t="s">
        <v>46080</v>
      </c>
      <c r="B23584" s="2" t="s">
        <v>46081</v>
      </c>
      <c r="C23584" s="2" t="s">
        <v>195</v>
      </c>
      <c r="D23584" s="2" t="s">
        <v>717</v>
      </c>
      <c r="E23584" s="2" t="str">
        <f>"9783110443325"</f>
        <v>9783110443325</v>
      </c>
      <c r="F23584" s="2" t="str">
        <f>"9783110435566"</f>
        <v>9783110435566</v>
      </c>
    </row>
    <row r="23585" spans="1:6" s="3" customFormat="1" ht="29.1" customHeight="1" x14ac:dyDescent="0.25">
      <c r="A23585" s="2" t="s">
        <v>46082</v>
      </c>
      <c r="B23585" s="2" t="s">
        <v>46083</v>
      </c>
      <c r="C23585" s="2" t="s">
        <v>195</v>
      </c>
      <c r="D23585" s="2" t="s">
        <v>1809</v>
      </c>
      <c r="E23585" s="2" t="str">
        <f>"9783110376340"</f>
        <v>9783110376340</v>
      </c>
      <c r="F23585" s="2" t="str">
        <f>"9783110376357"</f>
        <v>9783110376357</v>
      </c>
    </row>
    <row r="23586" spans="1:6" s="3" customFormat="1" ht="29.1" customHeight="1" x14ac:dyDescent="0.25">
      <c r="A23586" s="2" t="s">
        <v>46084</v>
      </c>
      <c r="B23586" s="2" t="s">
        <v>46085</v>
      </c>
      <c r="C23586" s="2" t="s">
        <v>195</v>
      </c>
      <c r="D23586" s="2" t="s">
        <v>459</v>
      </c>
      <c r="E23586" s="2" t="str">
        <f>"9783110411300"</f>
        <v>9783110411300</v>
      </c>
      <c r="F23586" s="2" t="str">
        <f>"9783110411317"</f>
        <v>9783110411317</v>
      </c>
    </row>
    <row r="23587" spans="1:6" s="3" customFormat="1" ht="29.1" customHeight="1" x14ac:dyDescent="0.25">
      <c r="A23587" s="2" t="s">
        <v>46086</v>
      </c>
      <c r="B23587" s="2" t="s">
        <v>46087</v>
      </c>
      <c r="C23587" s="2" t="s">
        <v>195</v>
      </c>
      <c r="D23587" s="2" t="s">
        <v>462</v>
      </c>
      <c r="E23587" s="2" t="str">
        <f>"9783110299298"</f>
        <v>9783110299298</v>
      </c>
      <c r="F23587" s="2" t="str">
        <f>"9783110299557"</f>
        <v>9783110299557</v>
      </c>
    </row>
    <row r="23588" spans="1:6" s="3" customFormat="1" ht="29.1" customHeight="1" x14ac:dyDescent="0.25">
      <c r="A23588" s="2" t="s">
        <v>46088</v>
      </c>
      <c r="B23588" s="2" t="s">
        <v>46089</v>
      </c>
      <c r="C23588" s="2" t="s">
        <v>195</v>
      </c>
      <c r="D23588" s="2" t="s">
        <v>960</v>
      </c>
      <c r="E23588" s="2" t="str">
        <f>"9783110367652"</f>
        <v>9783110367652</v>
      </c>
      <c r="F23588" s="2" t="str">
        <f>"9783110367669"</f>
        <v>9783110367669</v>
      </c>
    </row>
    <row r="23589" spans="1:6" s="3" customFormat="1" ht="29.1" customHeight="1" x14ac:dyDescent="0.25">
      <c r="A23589" s="2" t="s">
        <v>46090</v>
      </c>
      <c r="B23589" s="2" t="s">
        <v>46091</v>
      </c>
      <c r="C23589" s="2" t="s">
        <v>28510</v>
      </c>
      <c r="D23589" s="2" t="s">
        <v>4205</v>
      </c>
      <c r="E23589" s="2" t="str">
        <f>"9781681083889"</f>
        <v>9781681083889</v>
      </c>
      <c r="F23589" s="2" t="str">
        <f>"9781681083872"</f>
        <v>9781681083872</v>
      </c>
    </row>
    <row r="23590" spans="1:6" s="3" customFormat="1" ht="29.1" customHeight="1" x14ac:dyDescent="0.25">
      <c r="A23590" s="2" t="s">
        <v>46092</v>
      </c>
      <c r="B23590" s="2" t="s">
        <v>46093</v>
      </c>
      <c r="C23590" s="2" t="s">
        <v>595</v>
      </c>
      <c r="D23590" s="2" t="s">
        <v>490</v>
      </c>
      <c r="E23590" s="2" t="str">
        <f>"9783034325950"</f>
        <v>9783034325950</v>
      </c>
      <c r="F23590" s="2" t="str">
        <f>"9783034325967"</f>
        <v>9783034325967</v>
      </c>
    </row>
    <row r="23591" spans="1:6" s="3" customFormat="1" ht="29.1" customHeight="1" x14ac:dyDescent="0.25">
      <c r="A23591" s="2" t="s">
        <v>46094</v>
      </c>
      <c r="B23591" s="2" t="s">
        <v>46095</v>
      </c>
      <c r="C23591" s="2" t="s">
        <v>595</v>
      </c>
      <c r="D23591" s="2" t="s">
        <v>63</v>
      </c>
      <c r="E23591" s="2" t="str">
        <f>"9783631717141"</f>
        <v>9783631717141</v>
      </c>
      <c r="F23591" s="2" t="str">
        <f>"9783631717158"</f>
        <v>9783631717158</v>
      </c>
    </row>
    <row r="23592" spans="1:6" s="3" customFormat="1" ht="29.1" customHeight="1" x14ac:dyDescent="0.25">
      <c r="A23592" s="2" t="s">
        <v>46096</v>
      </c>
      <c r="B23592" s="2" t="s">
        <v>46097</v>
      </c>
      <c r="C23592" s="2" t="s">
        <v>55</v>
      </c>
      <c r="D23592" s="2" t="s">
        <v>86</v>
      </c>
      <c r="E23592" s="2" t="str">
        <f>"9780719096945"</f>
        <v>9780719096945</v>
      </c>
      <c r="F23592" s="2" t="str">
        <f>"9781526108401"</f>
        <v>9781526108401</v>
      </c>
    </row>
    <row r="23593" spans="1:6" s="3" customFormat="1" ht="29.1" customHeight="1" x14ac:dyDescent="0.25">
      <c r="A23593" s="2" t="s">
        <v>46098</v>
      </c>
      <c r="B23593" s="2" t="s">
        <v>46099</v>
      </c>
      <c r="C23593" s="2" t="s">
        <v>124</v>
      </c>
      <c r="D23593" s="2" t="s">
        <v>3607</v>
      </c>
      <c r="E23593" s="2" t="str">
        <f>"9780415812573"</f>
        <v>9780415812573</v>
      </c>
      <c r="F23593" s="2" t="str">
        <f>"9781135084233"</f>
        <v>9781135084233</v>
      </c>
    </row>
    <row r="23594" spans="1:6" s="3" customFormat="1" ht="29.1" customHeight="1" x14ac:dyDescent="0.25">
      <c r="A23594" s="2" t="s">
        <v>46100</v>
      </c>
      <c r="B23594" s="2" t="s">
        <v>46101</v>
      </c>
      <c r="C23594" s="2" t="s">
        <v>5050</v>
      </c>
      <c r="D23594" s="2" t="s">
        <v>1598</v>
      </c>
      <c r="E23594" s="2" t="str">
        <f>"9780824866655"</f>
        <v>9780824866655</v>
      </c>
      <c r="F23594" s="2" t="str">
        <f>"9780824866662"</f>
        <v>9780824866662</v>
      </c>
    </row>
    <row r="23595" spans="1:6" s="3" customFormat="1" ht="29.1" customHeight="1" x14ac:dyDescent="0.25">
      <c r="A23595" s="2" t="s">
        <v>46102</v>
      </c>
      <c r="B23595" s="2" t="s">
        <v>46103</v>
      </c>
      <c r="C23595" s="2" t="s">
        <v>5050</v>
      </c>
      <c r="D23595" s="2" t="s">
        <v>19208</v>
      </c>
      <c r="E23595" s="2" t="str">
        <f>"9780824872588"</f>
        <v>9780824872588</v>
      </c>
      <c r="F23595" s="2" t="str">
        <f>"9780824873325"</f>
        <v>9780824873325</v>
      </c>
    </row>
    <row r="23596" spans="1:6" s="3" customFormat="1" ht="29.1" customHeight="1" x14ac:dyDescent="0.25">
      <c r="A23596" s="2" t="s">
        <v>46104</v>
      </c>
      <c r="B23596" s="2" t="s">
        <v>46105</v>
      </c>
      <c r="C23596" s="2" t="s">
        <v>556</v>
      </c>
      <c r="D23596" s="2" t="s">
        <v>6618</v>
      </c>
      <c r="E23596" s="2" t="str">
        <f>"9783837637922"</f>
        <v>9783837637922</v>
      </c>
      <c r="F23596" s="2" t="str">
        <f>"9783839437926"</f>
        <v>9783839437926</v>
      </c>
    </row>
    <row r="23597" spans="1:6" s="3" customFormat="1" ht="29.1" customHeight="1" x14ac:dyDescent="0.25">
      <c r="A23597" s="2" t="s">
        <v>46106</v>
      </c>
      <c r="B23597" s="2" t="s">
        <v>46107</v>
      </c>
      <c r="C23597" s="2" t="s">
        <v>556</v>
      </c>
      <c r="D23597" s="2" t="s">
        <v>1155</v>
      </c>
      <c r="E23597" s="2" t="str">
        <f>"9783837637915"</f>
        <v>9783837637915</v>
      </c>
      <c r="F23597" s="2" t="str">
        <f>"9783839437919"</f>
        <v>9783839437919</v>
      </c>
    </row>
    <row r="23598" spans="1:6" s="3" customFormat="1" ht="29.1" customHeight="1" x14ac:dyDescent="0.25">
      <c r="A23598" s="2" t="s">
        <v>46108</v>
      </c>
      <c r="B23598" s="2" t="s">
        <v>46109</v>
      </c>
      <c r="C23598" s="2" t="s">
        <v>556</v>
      </c>
      <c r="D23598" s="2" t="s">
        <v>1396</v>
      </c>
      <c r="E23598" s="2" t="str">
        <f>"9783837637151"</f>
        <v>9783837637151</v>
      </c>
      <c r="F23598" s="2" t="str">
        <f>"9783839437155"</f>
        <v>9783839437155</v>
      </c>
    </row>
    <row r="23599" spans="1:6" s="3" customFormat="1" ht="29.1" customHeight="1" x14ac:dyDescent="0.25">
      <c r="A23599" s="2" t="s">
        <v>46110</v>
      </c>
      <c r="B23599" s="2" t="s">
        <v>46111</v>
      </c>
      <c r="C23599" s="2" t="s">
        <v>556</v>
      </c>
      <c r="D23599" s="2" t="s">
        <v>4016</v>
      </c>
      <c r="E23599" s="2" t="str">
        <f>"9783837637120"</f>
        <v>9783837637120</v>
      </c>
      <c r="F23599" s="2" t="str">
        <f>"9783839437124"</f>
        <v>9783839437124</v>
      </c>
    </row>
    <row r="23600" spans="1:6" s="3" customFormat="1" ht="29.1" customHeight="1" x14ac:dyDescent="0.25">
      <c r="A23600" s="2" t="s">
        <v>46112</v>
      </c>
      <c r="B23600" s="2" t="s">
        <v>46113</v>
      </c>
      <c r="C23600" s="2" t="s">
        <v>556</v>
      </c>
      <c r="D23600" s="2" t="s">
        <v>5550</v>
      </c>
      <c r="E23600" s="2" t="str">
        <f>"9783837636956"</f>
        <v>9783837636956</v>
      </c>
      <c r="F23600" s="2" t="str">
        <f>"9783839436950"</f>
        <v>9783839436950</v>
      </c>
    </row>
    <row r="23601" spans="1:6" s="3" customFormat="1" ht="29.1" customHeight="1" x14ac:dyDescent="0.25">
      <c r="A23601" s="2" t="s">
        <v>46114</v>
      </c>
      <c r="B23601" s="2" t="s">
        <v>46115</v>
      </c>
      <c r="C23601" s="2" t="s">
        <v>556</v>
      </c>
      <c r="D23601" s="2" t="s">
        <v>183</v>
      </c>
      <c r="E23601" s="2" t="str">
        <f>"9783837634839"</f>
        <v>9783837634839</v>
      </c>
      <c r="F23601" s="2" t="str">
        <f>"9783839434833"</f>
        <v>9783839434833</v>
      </c>
    </row>
    <row r="23602" spans="1:6" s="3" customFormat="1" ht="29.1" customHeight="1" x14ac:dyDescent="0.25">
      <c r="A23602" s="2" t="s">
        <v>46116</v>
      </c>
      <c r="B23602" s="2" t="s">
        <v>46117</v>
      </c>
      <c r="C23602" s="2" t="s">
        <v>556</v>
      </c>
      <c r="D23602" s="2" t="s">
        <v>431</v>
      </c>
      <c r="E23602" s="2" t="str">
        <f>"9783837634389"</f>
        <v>9783837634389</v>
      </c>
      <c r="F23602" s="2" t="str">
        <f>"9783839434383"</f>
        <v>9783839434383</v>
      </c>
    </row>
    <row r="23603" spans="1:6" s="3" customFormat="1" ht="29.1" customHeight="1" x14ac:dyDescent="0.25">
      <c r="A23603" s="2" t="s">
        <v>46118</v>
      </c>
      <c r="B23603" s="2" t="s">
        <v>46119</v>
      </c>
      <c r="C23603" s="2" t="s">
        <v>556</v>
      </c>
      <c r="D23603" s="2" t="s">
        <v>92</v>
      </c>
      <c r="E23603" s="2" t="str">
        <f>"9783837633320"</f>
        <v>9783837633320</v>
      </c>
      <c r="F23603" s="2" t="str">
        <f>"9783839433324"</f>
        <v>9783839433324</v>
      </c>
    </row>
    <row r="23604" spans="1:6" s="3" customFormat="1" ht="29.1" customHeight="1" x14ac:dyDescent="0.25">
      <c r="A23604" s="2" t="s">
        <v>46120</v>
      </c>
      <c r="B23604" s="2" t="s">
        <v>29996</v>
      </c>
      <c r="C23604" s="2" t="s">
        <v>124</v>
      </c>
      <c r="D23604" s="2" t="s">
        <v>431</v>
      </c>
      <c r="E23604" s="2" t="str">
        <f>"9781472470690"</f>
        <v>9781472470690</v>
      </c>
      <c r="F23604" s="2" t="str">
        <f>"9781317149538"</f>
        <v>9781317149538</v>
      </c>
    </row>
    <row r="23605" spans="1:6" s="3" customFormat="1" ht="29.1" customHeight="1" x14ac:dyDescent="0.25">
      <c r="A23605" s="2" t="s">
        <v>46121</v>
      </c>
      <c r="B23605" s="2" t="s">
        <v>46122</v>
      </c>
      <c r="C23605" s="2" t="s">
        <v>4104</v>
      </c>
      <c r="D23605" s="2" t="s">
        <v>8388</v>
      </c>
      <c r="E23605" s="2" t="str">
        <f>"9781846314995"</f>
        <v>9781846314995</v>
      </c>
      <c r="F23605" s="2" t="str">
        <f>"9781781386705"</f>
        <v>9781781386705</v>
      </c>
    </row>
    <row r="23606" spans="1:6" s="3" customFormat="1" ht="29.1" customHeight="1" x14ac:dyDescent="0.25">
      <c r="A23606" s="2" t="s">
        <v>46123</v>
      </c>
      <c r="B23606" s="2" t="s">
        <v>46124</v>
      </c>
      <c r="C23606" s="2" t="s">
        <v>43061</v>
      </c>
      <c r="D23606" s="2" t="s">
        <v>650</v>
      </c>
      <c r="E23606" s="2" t="str">
        <f>"9783737601627"</f>
        <v>9783737601627</v>
      </c>
      <c r="F23606" s="2" t="str">
        <f>"9783737601634"</f>
        <v>9783737601634</v>
      </c>
    </row>
    <row r="23607" spans="1:6" s="3" customFormat="1" ht="29.1" customHeight="1" x14ac:dyDescent="0.25">
      <c r="A23607" s="2" t="s">
        <v>46125</v>
      </c>
      <c r="B23607" s="2" t="s">
        <v>46126</v>
      </c>
      <c r="C23607" s="2" t="s">
        <v>43061</v>
      </c>
      <c r="D23607" s="2" t="s">
        <v>44</v>
      </c>
      <c r="E23607" s="2" t="str">
        <f>"9783737602501"</f>
        <v>9783737602501</v>
      </c>
      <c r="F23607" s="2" t="str">
        <f>"9783737602518"</f>
        <v>9783737602518</v>
      </c>
    </row>
    <row r="23608" spans="1:6" s="3" customFormat="1" ht="29.1" customHeight="1" x14ac:dyDescent="0.25">
      <c r="A23608" s="2" t="s">
        <v>46127</v>
      </c>
      <c r="B23608" s="2" t="s">
        <v>46128</v>
      </c>
      <c r="C23608" s="2" t="s">
        <v>264</v>
      </c>
      <c r="D23608" s="2" t="s">
        <v>2237</v>
      </c>
      <c r="E23608" s="2" t="str">
        <f>"9789197707107"</f>
        <v>9789197707107</v>
      </c>
      <c r="F23608" s="2" t="str">
        <f>"9781351660587"</f>
        <v>9781351660587</v>
      </c>
    </row>
    <row r="23609" spans="1:6" s="3" customFormat="1" ht="29.1" customHeight="1" x14ac:dyDescent="0.25">
      <c r="A23609" s="2" t="s">
        <v>46129</v>
      </c>
      <c r="B23609" s="2" t="s">
        <v>46130</v>
      </c>
      <c r="C23609" s="2" t="s">
        <v>8047</v>
      </c>
      <c r="D23609" s="2" t="s">
        <v>5918</v>
      </c>
      <c r="E23609" s="2" t="str">
        <f>"9780271077086"</f>
        <v>9780271077086</v>
      </c>
      <c r="F23609" s="2" t="str">
        <f>"9780271079196"</f>
        <v>9780271079196</v>
      </c>
    </row>
    <row r="23610" spans="1:6" s="3" customFormat="1" ht="29.1" customHeight="1" x14ac:dyDescent="0.25">
      <c r="A23610" s="2" t="s">
        <v>46131</v>
      </c>
      <c r="B23610" s="2" t="s">
        <v>46132</v>
      </c>
      <c r="C23610" s="2" t="s">
        <v>8047</v>
      </c>
      <c r="D23610" s="2" t="s">
        <v>1049</v>
      </c>
      <c r="E23610" s="2" t="str">
        <f>"9780271037752"</f>
        <v>9780271037752</v>
      </c>
      <c r="F23610" s="2" t="str">
        <f>"9780271078649"</f>
        <v>9780271078649</v>
      </c>
    </row>
    <row r="23611" spans="1:6" s="3" customFormat="1" ht="29.1" customHeight="1" x14ac:dyDescent="0.25">
      <c r="A23611" s="2" t="s">
        <v>46133</v>
      </c>
      <c r="B23611" s="2" t="s">
        <v>46134</v>
      </c>
      <c r="C23611" s="2" t="s">
        <v>8047</v>
      </c>
      <c r="D23611" s="2" t="s">
        <v>1999</v>
      </c>
      <c r="E23611" s="2" t="str">
        <f>"9780271036724"</f>
        <v>9780271036724</v>
      </c>
      <c r="F23611" s="2" t="str">
        <f>"9780271078632"</f>
        <v>9780271078632</v>
      </c>
    </row>
    <row r="23612" spans="1:6" s="3" customFormat="1" ht="29.1" customHeight="1" x14ac:dyDescent="0.25">
      <c r="A23612" s="2" t="s">
        <v>46135</v>
      </c>
      <c r="B23612" s="2" t="s">
        <v>46136</v>
      </c>
      <c r="C23612" s="2" t="s">
        <v>8047</v>
      </c>
      <c r="D23612" s="2" t="s">
        <v>6002</v>
      </c>
      <c r="E23612" s="2" t="str">
        <f>"9780271035765"</f>
        <v>9780271035765</v>
      </c>
      <c r="F23612" s="2" t="str">
        <f>"9780271078625"</f>
        <v>9780271078625</v>
      </c>
    </row>
    <row r="23613" spans="1:6" s="3" customFormat="1" ht="29.1" customHeight="1" x14ac:dyDescent="0.25">
      <c r="A23613" s="2" t="s">
        <v>46137</v>
      </c>
      <c r="B23613" s="2" t="s">
        <v>46138</v>
      </c>
      <c r="C23613" s="2" t="s">
        <v>8047</v>
      </c>
      <c r="D23613" s="2" t="s">
        <v>405</v>
      </c>
      <c r="E23613" s="2" t="str">
        <f>"9780271035178"</f>
        <v>9780271035178</v>
      </c>
      <c r="F23613" s="2" t="str">
        <f>"9780271078618"</f>
        <v>9780271078618</v>
      </c>
    </row>
    <row r="23614" spans="1:6" s="3" customFormat="1" ht="29.1" customHeight="1" x14ac:dyDescent="0.25">
      <c r="A23614" s="2" t="s">
        <v>46139</v>
      </c>
      <c r="B23614" s="2" t="s">
        <v>46140</v>
      </c>
      <c r="C23614" s="2" t="s">
        <v>124</v>
      </c>
      <c r="D23614" s="2" t="s">
        <v>2587</v>
      </c>
      <c r="E23614" s="2" t="str">
        <f>"9781138953680"</f>
        <v>9781138953680</v>
      </c>
      <c r="F23614" s="2" t="str">
        <f>"9781317357445"</f>
        <v>9781317357445</v>
      </c>
    </row>
    <row r="23615" spans="1:6" s="3" customFormat="1" ht="29.1" customHeight="1" x14ac:dyDescent="0.25">
      <c r="A23615" s="2" t="s">
        <v>46141</v>
      </c>
      <c r="B23615" s="2" t="s">
        <v>46142</v>
      </c>
      <c r="C23615" s="2" t="s">
        <v>124</v>
      </c>
      <c r="D23615" s="2" t="s">
        <v>297</v>
      </c>
      <c r="E23615" s="2" t="str">
        <f>"9781138911499"</f>
        <v>9781138911499</v>
      </c>
      <c r="F23615" s="2" t="str">
        <f>"9781317433682"</f>
        <v>9781317433682</v>
      </c>
    </row>
    <row r="23616" spans="1:6" s="3" customFormat="1" ht="29.1" customHeight="1" x14ac:dyDescent="0.25">
      <c r="A23616" s="2" t="s">
        <v>46143</v>
      </c>
      <c r="B23616" s="2" t="s">
        <v>46144</v>
      </c>
      <c r="C23616" s="2" t="s">
        <v>124</v>
      </c>
      <c r="D23616" s="2" t="s">
        <v>27768</v>
      </c>
      <c r="E23616" s="2" t="str">
        <f>"9781138998780"</f>
        <v>9781138998780</v>
      </c>
      <c r="F23616" s="2" t="str">
        <f>"9781317331254"</f>
        <v>9781317331254</v>
      </c>
    </row>
    <row r="23617" spans="1:6" s="3" customFormat="1" ht="29.1" customHeight="1" x14ac:dyDescent="0.25">
      <c r="A23617" s="2" t="s">
        <v>46145</v>
      </c>
      <c r="B23617" s="2" t="s">
        <v>46146</v>
      </c>
      <c r="C23617" s="2" t="s">
        <v>4104</v>
      </c>
      <c r="D23617" s="2" t="s">
        <v>162</v>
      </c>
      <c r="E23617" s="2" t="str">
        <f>"9781781380307"</f>
        <v>9781781380307</v>
      </c>
      <c r="F23617" s="2" t="str">
        <f>"9781781385968"</f>
        <v>9781781385968</v>
      </c>
    </row>
    <row r="23618" spans="1:6" s="3" customFormat="1" ht="29.1" customHeight="1" x14ac:dyDescent="0.25">
      <c r="A23618" s="2" t="s">
        <v>46147</v>
      </c>
      <c r="B23618" s="2" t="s">
        <v>46148</v>
      </c>
      <c r="C23618" s="2" t="s">
        <v>55</v>
      </c>
      <c r="D23618" s="2" t="s">
        <v>189</v>
      </c>
      <c r="E23618" s="2" t="str">
        <f>"9781526107459"</f>
        <v>9781526107459</v>
      </c>
      <c r="F23618" s="2" t="str">
        <f>"9781526108364"</f>
        <v>9781526108364</v>
      </c>
    </row>
    <row r="23619" spans="1:6" s="3" customFormat="1" ht="29.1" customHeight="1" x14ac:dyDescent="0.25">
      <c r="A23619" s="2" t="s">
        <v>46149</v>
      </c>
      <c r="B23619" s="2" t="s">
        <v>46150</v>
      </c>
      <c r="C23619" s="2" t="s">
        <v>55</v>
      </c>
      <c r="D23619" s="2" t="s">
        <v>818</v>
      </c>
      <c r="E23619" s="2" t="str">
        <f>"9781526107381"</f>
        <v>9781526107381</v>
      </c>
      <c r="F23619" s="2" t="str">
        <f>"9781526108180"</f>
        <v>9781526108180</v>
      </c>
    </row>
    <row r="23620" spans="1:6" s="3" customFormat="1" ht="29.1" customHeight="1" x14ac:dyDescent="0.25">
      <c r="A23620" s="2" t="s">
        <v>46151</v>
      </c>
      <c r="B23620" s="2" t="s">
        <v>46152</v>
      </c>
      <c r="C23620" s="2" t="s">
        <v>195</v>
      </c>
      <c r="D23620" s="2" t="s">
        <v>1466</v>
      </c>
      <c r="E23620" s="2" t="str">
        <f>"9783110486834"</f>
        <v>9783110486834</v>
      </c>
      <c r="F23620" s="2" t="str">
        <f>"9783110487244"</f>
        <v>9783110487244</v>
      </c>
    </row>
    <row r="23621" spans="1:6" s="3" customFormat="1" ht="29.1" customHeight="1" x14ac:dyDescent="0.25">
      <c r="A23621" s="2" t="s">
        <v>46153</v>
      </c>
      <c r="B23621" s="2" t="s">
        <v>46154</v>
      </c>
      <c r="C23621" s="2" t="s">
        <v>195</v>
      </c>
      <c r="D23621" s="2" t="s">
        <v>1466</v>
      </c>
      <c r="E23621" s="2" t="str">
        <f>"9783110495225"</f>
        <v>9783110495225</v>
      </c>
      <c r="F23621" s="2" t="str">
        <f>"9783110492675"</f>
        <v>9783110492675</v>
      </c>
    </row>
    <row r="23622" spans="1:6" s="3" customFormat="1" ht="29.1" customHeight="1" x14ac:dyDescent="0.25">
      <c r="A23622" s="2" t="s">
        <v>46155</v>
      </c>
      <c r="B23622" s="2" t="s">
        <v>46156</v>
      </c>
      <c r="C23622" s="2" t="s">
        <v>195</v>
      </c>
      <c r="D23622" s="2" t="s">
        <v>512</v>
      </c>
      <c r="E23622" s="2" t="str">
        <f>"9783110466997"</f>
        <v>9783110466997</v>
      </c>
      <c r="F23622" s="2" t="str">
        <f>"9783110470376"</f>
        <v>9783110470376</v>
      </c>
    </row>
    <row r="23623" spans="1:6" s="3" customFormat="1" ht="29.1" customHeight="1" x14ac:dyDescent="0.25">
      <c r="A23623" s="2" t="s">
        <v>46157</v>
      </c>
      <c r="B23623" s="2" t="s">
        <v>46158</v>
      </c>
      <c r="C23623" s="2" t="s">
        <v>15381</v>
      </c>
      <c r="D23623" s="2" t="s">
        <v>5571</v>
      </c>
      <c r="E23623" s="2" t="str">
        <f>"9781469630946"</f>
        <v>9781469630946</v>
      </c>
      <c r="F23623" s="2" t="str">
        <f>"9781469630960"</f>
        <v>9781469630960</v>
      </c>
    </row>
    <row r="23624" spans="1:6" s="3" customFormat="1" ht="29.1" customHeight="1" x14ac:dyDescent="0.25">
      <c r="A23624" s="2" t="s">
        <v>46159</v>
      </c>
      <c r="B23624" s="2" t="s">
        <v>46160</v>
      </c>
      <c r="C23624" s="2" t="s">
        <v>43061</v>
      </c>
      <c r="D23624" s="2" t="s">
        <v>45236</v>
      </c>
      <c r="E23624" s="2" t="str">
        <f>"9783737602204"</f>
        <v>9783737602204</v>
      </c>
      <c r="F23624" s="2" t="str">
        <f>"9783737602211"</f>
        <v>9783737602211</v>
      </c>
    </row>
    <row r="23625" spans="1:6" s="3" customFormat="1" ht="29.1" customHeight="1" x14ac:dyDescent="0.25">
      <c r="A23625" s="2" t="s">
        <v>46161</v>
      </c>
      <c r="B23625" s="2" t="s">
        <v>46162</v>
      </c>
      <c r="C23625" s="2" t="s">
        <v>43061</v>
      </c>
      <c r="D23625" s="2" t="s">
        <v>2168</v>
      </c>
      <c r="E23625" s="2" t="str">
        <f>"9783737601825"</f>
        <v>9783737601825</v>
      </c>
      <c r="F23625" s="2" t="str">
        <f>"9783737601832"</f>
        <v>9783737601832</v>
      </c>
    </row>
    <row r="23626" spans="1:6" s="3" customFormat="1" ht="29.1" customHeight="1" x14ac:dyDescent="0.25">
      <c r="A23626" s="2" t="s">
        <v>46163</v>
      </c>
      <c r="B23626" s="2" t="s">
        <v>46164</v>
      </c>
      <c r="C23626" s="2" t="s">
        <v>43061</v>
      </c>
      <c r="D23626" s="2" t="s">
        <v>889</v>
      </c>
      <c r="E23626" s="2" t="str">
        <f>"9783737602525"</f>
        <v>9783737602525</v>
      </c>
      <c r="F23626" s="2" t="str">
        <f>"9783737602532"</f>
        <v>9783737602532</v>
      </c>
    </row>
    <row r="23627" spans="1:6" s="3" customFormat="1" ht="29.1" customHeight="1" x14ac:dyDescent="0.25">
      <c r="A23627" s="2" t="s">
        <v>46165</v>
      </c>
      <c r="B23627" s="2" t="s">
        <v>46166</v>
      </c>
      <c r="C23627" s="2" t="s">
        <v>43061</v>
      </c>
      <c r="D23627" s="2" t="s">
        <v>45757</v>
      </c>
      <c r="E23627" s="2" t="str">
        <f>"9783737602549"</f>
        <v>9783737602549</v>
      </c>
      <c r="F23627" s="2" t="str">
        <f>"9783737602556"</f>
        <v>9783737602556</v>
      </c>
    </row>
    <row r="23628" spans="1:6" s="3" customFormat="1" ht="29.1" customHeight="1" x14ac:dyDescent="0.25">
      <c r="A23628" s="2" t="s">
        <v>46167</v>
      </c>
      <c r="B23628" s="2" t="s">
        <v>46168</v>
      </c>
      <c r="C23628" s="2" t="s">
        <v>248</v>
      </c>
      <c r="D23628" s="2" t="s">
        <v>5983</v>
      </c>
      <c r="E23628" s="2" t="str">
        <f>"9783847405801"</f>
        <v>9783847405801</v>
      </c>
      <c r="F23628" s="2" t="str">
        <f>"9783847409731"</f>
        <v>9783847409731</v>
      </c>
    </row>
    <row r="23629" spans="1:6" s="3" customFormat="1" ht="29.1" customHeight="1" x14ac:dyDescent="0.25">
      <c r="A23629" s="2" t="s">
        <v>46169</v>
      </c>
      <c r="B23629" s="2" t="s">
        <v>46170</v>
      </c>
      <c r="C23629" s="2" t="s">
        <v>248</v>
      </c>
      <c r="D23629" s="2" t="s">
        <v>32371</v>
      </c>
      <c r="E23629" s="2" t="str">
        <f>"9783847420804"</f>
        <v>9783847420804</v>
      </c>
      <c r="F23629" s="2" t="str">
        <f>"9783847410621"</f>
        <v>9783847410621</v>
      </c>
    </row>
    <row r="23630" spans="1:6" s="3" customFormat="1" ht="29.1" customHeight="1" x14ac:dyDescent="0.25">
      <c r="A23630" s="2" t="s">
        <v>46171</v>
      </c>
      <c r="B23630" s="2" t="s">
        <v>46172</v>
      </c>
      <c r="C23630" s="2" t="s">
        <v>248</v>
      </c>
      <c r="D23630" s="2" t="s">
        <v>490</v>
      </c>
      <c r="E23630" s="2" t="str">
        <f>"9783863887063"</f>
        <v>9783863887063</v>
      </c>
      <c r="F23630" s="2" t="str">
        <f>"9783863882617"</f>
        <v>9783863882617</v>
      </c>
    </row>
    <row r="23631" spans="1:6" s="3" customFormat="1" ht="29.1" customHeight="1" x14ac:dyDescent="0.25">
      <c r="A23631" s="2" t="s">
        <v>46173</v>
      </c>
      <c r="B23631" s="2" t="s">
        <v>46174</v>
      </c>
      <c r="C23631" s="2" t="s">
        <v>248</v>
      </c>
      <c r="D23631" s="2" t="s">
        <v>3214</v>
      </c>
      <c r="E23631" s="2" t="str">
        <f>"9783863887285"</f>
        <v>9783863887285</v>
      </c>
      <c r="F23631" s="2" t="str">
        <f>"9783863882921"</f>
        <v>9783863882921</v>
      </c>
    </row>
    <row r="23632" spans="1:6" s="3" customFormat="1" ht="29.1" customHeight="1" x14ac:dyDescent="0.25">
      <c r="A23632" s="2" t="s">
        <v>46175</v>
      </c>
      <c r="B23632" s="2" t="s">
        <v>46176</v>
      </c>
      <c r="C23632" s="2" t="s">
        <v>5050</v>
      </c>
      <c r="D23632" s="2" t="s">
        <v>19208</v>
      </c>
      <c r="E23632" s="2" t="str">
        <f>"9780824867300"</f>
        <v>9780824867300</v>
      </c>
      <c r="F23632" s="2" t="str">
        <f>"9780824867317"</f>
        <v>9780824867317</v>
      </c>
    </row>
    <row r="23633" spans="1:6" s="3" customFormat="1" ht="29.1" customHeight="1" x14ac:dyDescent="0.25">
      <c r="A23633" s="2" t="s">
        <v>46177</v>
      </c>
      <c r="B23633" s="2" t="s">
        <v>46178</v>
      </c>
      <c r="C23633" s="2" t="s">
        <v>927</v>
      </c>
      <c r="D23633" s="2" t="s">
        <v>270</v>
      </c>
      <c r="E23633" s="2" t="str">
        <f>"9780472130320"</f>
        <v>9780472130320</v>
      </c>
      <c r="F23633" s="2" t="str">
        <f>"9780472122721"</f>
        <v>9780472122721</v>
      </c>
    </row>
    <row r="23634" spans="1:6" s="3" customFormat="1" ht="29.1" customHeight="1" x14ac:dyDescent="0.25">
      <c r="A23634" s="2" t="s">
        <v>46179</v>
      </c>
      <c r="B23634" s="2" t="s">
        <v>46180</v>
      </c>
      <c r="C23634" s="2" t="s">
        <v>124</v>
      </c>
      <c r="D23634" s="2" t="s">
        <v>353</v>
      </c>
      <c r="E23634" s="2" t="str">
        <f>"9789197707121"</f>
        <v>9789197707121</v>
      </c>
      <c r="F23634" s="2" t="str">
        <f>"9781351660594"</f>
        <v>9781351660594</v>
      </c>
    </row>
    <row r="23635" spans="1:6" s="3" customFormat="1" ht="29.1" customHeight="1" x14ac:dyDescent="0.25">
      <c r="A23635" s="2" t="s">
        <v>46181</v>
      </c>
      <c r="B23635" s="2" t="s">
        <v>46182</v>
      </c>
      <c r="C23635" s="2" t="s">
        <v>124</v>
      </c>
      <c r="D23635" s="2" t="s">
        <v>186</v>
      </c>
      <c r="E23635" s="2" t="str">
        <f>"9781857438048"</f>
        <v>9781857438048</v>
      </c>
      <c r="F23635" s="2" t="str">
        <f>"9781317364672"</f>
        <v>9781317364672</v>
      </c>
    </row>
    <row r="23636" spans="1:6" s="3" customFormat="1" ht="29.1" customHeight="1" x14ac:dyDescent="0.25">
      <c r="A23636" s="2" t="s">
        <v>46183</v>
      </c>
      <c r="B23636" s="2" t="s">
        <v>46184</v>
      </c>
      <c r="C23636" s="2" t="s">
        <v>195</v>
      </c>
      <c r="D23636" s="2" t="s">
        <v>210</v>
      </c>
      <c r="E23636" s="2" t="str">
        <f>"9783598112614"</f>
        <v>9783598112614</v>
      </c>
      <c r="F23636" s="2" t="str">
        <f>"9783110974331"</f>
        <v>9783110974331</v>
      </c>
    </row>
    <row r="23637" spans="1:6" s="3" customFormat="1" ht="29.1" customHeight="1" x14ac:dyDescent="0.25">
      <c r="A23637" s="2" t="s">
        <v>46185</v>
      </c>
      <c r="B23637" s="2" t="s">
        <v>46186</v>
      </c>
      <c r="C23637" s="2" t="s">
        <v>195</v>
      </c>
      <c r="D23637" s="2" t="s">
        <v>459</v>
      </c>
      <c r="E23637" s="2" t="str">
        <f>"9781501513961"</f>
        <v>9781501513961</v>
      </c>
      <c r="F23637" s="2" t="str">
        <f>"9781501504938"</f>
        <v>9781501504938</v>
      </c>
    </row>
    <row r="23638" spans="1:6" s="3" customFormat="1" ht="29.1" customHeight="1" x14ac:dyDescent="0.25">
      <c r="A23638" s="2" t="s">
        <v>46187</v>
      </c>
      <c r="B23638" s="2" t="s">
        <v>46188</v>
      </c>
      <c r="C23638" s="2" t="s">
        <v>195</v>
      </c>
      <c r="D23638" s="2" t="s">
        <v>10410</v>
      </c>
      <c r="E23638" s="2" t="str">
        <f>"9783110461152"</f>
        <v>9783110461152</v>
      </c>
      <c r="F23638" s="2" t="str">
        <f>"9783110461282"</f>
        <v>9783110461282</v>
      </c>
    </row>
    <row r="23639" spans="1:6" s="3" customFormat="1" ht="29.1" customHeight="1" x14ac:dyDescent="0.25">
      <c r="A23639" s="2" t="s">
        <v>46189</v>
      </c>
      <c r="B23639" s="2" t="s">
        <v>46190</v>
      </c>
      <c r="C23639" s="2" t="s">
        <v>195</v>
      </c>
      <c r="D23639" s="2" t="s">
        <v>1183</v>
      </c>
      <c r="E23639" s="2" t="str">
        <f>"9783486560855"</f>
        <v>9783486560855</v>
      </c>
      <c r="F23639" s="2" t="str">
        <f>"9783110446531"</f>
        <v>9783110446531</v>
      </c>
    </row>
    <row r="23640" spans="1:6" s="3" customFormat="1" ht="29.1" customHeight="1" x14ac:dyDescent="0.25">
      <c r="A23640" s="2" t="s">
        <v>46191</v>
      </c>
      <c r="B23640" s="2" t="s">
        <v>46192</v>
      </c>
      <c r="C23640" s="2" t="s">
        <v>195</v>
      </c>
      <c r="D23640" s="2" t="s">
        <v>210</v>
      </c>
      <c r="E23640" s="2" t="str">
        <f>"9783598113499"</f>
        <v>9783598113499</v>
      </c>
      <c r="F23640" s="2" t="str">
        <f>"9783110947700"</f>
        <v>9783110947700</v>
      </c>
    </row>
    <row r="23641" spans="1:6" s="3" customFormat="1" ht="29.1" customHeight="1" x14ac:dyDescent="0.25">
      <c r="A23641" s="2" t="s">
        <v>46193</v>
      </c>
      <c r="B23641" s="2" t="s">
        <v>46194</v>
      </c>
      <c r="C23641" s="2" t="s">
        <v>195</v>
      </c>
      <c r="D23641" s="2" t="s">
        <v>210</v>
      </c>
      <c r="E23641" s="2" t="str">
        <f>"9783598108617"</f>
        <v>9783598108617</v>
      </c>
      <c r="F23641" s="2" t="str">
        <f>"9783110950397"</f>
        <v>9783110950397</v>
      </c>
    </row>
    <row r="23642" spans="1:6" s="3" customFormat="1" ht="29.1" customHeight="1" x14ac:dyDescent="0.25">
      <c r="A23642" s="2" t="s">
        <v>46195</v>
      </c>
      <c r="B23642" s="2" t="s">
        <v>46196</v>
      </c>
      <c r="C23642" s="2" t="s">
        <v>195</v>
      </c>
      <c r="D23642" s="2" t="s">
        <v>916</v>
      </c>
      <c r="E23642" s="2" t="str">
        <f>"9783110415193"</f>
        <v>9783110415193</v>
      </c>
      <c r="F23642" s="2" t="str">
        <f>"9783110415452"</f>
        <v>9783110415452</v>
      </c>
    </row>
    <row r="23643" spans="1:6" s="3" customFormat="1" ht="29.1" customHeight="1" x14ac:dyDescent="0.25">
      <c r="A23643" s="2" t="s">
        <v>46197</v>
      </c>
      <c r="B23643" s="2" t="s">
        <v>46198</v>
      </c>
      <c r="C23643" s="2" t="s">
        <v>195</v>
      </c>
      <c r="D23643" s="2" t="s">
        <v>210</v>
      </c>
      <c r="E23643" s="2" t="str">
        <f>"9783486561388"</f>
        <v>9783486561388</v>
      </c>
      <c r="F23643" s="2" t="str">
        <f>"9783486587777"</f>
        <v>9783486587777</v>
      </c>
    </row>
    <row r="23644" spans="1:6" s="3" customFormat="1" ht="29.1" customHeight="1" x14ac:dyDescent="0.25">
      <c r="A23644" s="2" t="s">
        <v>46199</v>
      </c>
      <c r="B23644" s="2" t="s">
        <v>46200</v>
      </c>
      <c r="C23644" s="2" t="s">
        <v>195</v>
      </c>
      <c r="D23644" s="2" t="s">
        <v>210</v>
      </c>
      <c r="E23644" s="2" t="str">
        <f>"9783486546316"</f>
        <v>9783486546316</v>
      </c>
      <c r="F23644" s="2" t="str">
        <f>"9783486708332"</f>
        <v>9783486708332</v>
      </c>
    </row>
    <row r="23645" spans="1:6" s="3" customFormat="1" ht="29.1" customHeight="1" x14ac:dyDescent="0.25">
      <c r="A23645" s="2" t="s">
        <v>46201</v>
      </c>
      <c r="B23645" s="2" t="s">
        <v>46202</v>
      </c>
      <c r="C23645" s="2" t="s">
        <v>885</v>
      </c>
      <c r="D23645" s="2" t="s">
        <v>221</v>
      </c>
      <c r="E23645" s="2" t="str">
        <f>"9781487500771"</f>
        <v>9781487500771</v>
      </c>
      <c r="F23645" s="2" t="str">
        <f>"9781487511791"</f>
        <v>9781487511791</v>
      </c>
    </row>
    <row r="23646" spans="1:6" s="3" customFormat="1" ht="29.1" customHeight="1" x14ac:dyDescent="0.25">
      <c r="A23646" s="2" t="s">
        <v>46203</v>
      </c>
      <c r="B23646" s="2" t="s">
        <v>46204</v>
      </c>
      <c r="C23646" s="2" t="s">
        <v>195</v>
      </c>
      <c r="D23646" s="2" t="s">
        <v>462</v>
      </c>
      <c r="E23646" s="2" t="str">
        <f>"9783110501261"</f>
        <v>9783110501261</v>
      </c>
      <c r="F23646" s="2" t="str">
        <f>"9783110515084"</f>
        <v>9783110515084</v>
      </c>
    </row>
    <row r="23647" spans="1:6" s="3" customFormat="1" ht="29.1" customHeight="1" x14ac:dyDescent="0.25">
      <c r="A23647" s="2" t="s">
        <v>46205</v>
      </c>
      <c r="B23647" s="2" t="s">
        <v>46206</v>
      </c>
      <c r="C23647" s="2" t="s">
        <v>1070</v>
      </c>
      <c r="D23647" s="2" t="s">
        <v>1387</v>
      </c>
      <c r="E23647" s="2" t="str">
        <f>"9783318027761"</f>
        <v>9783318027761</v>
      </c>
      <c r="F23647" s="2" t="str">
        <f>"9783318027778"</f>
        <v>9783318027778</v>
      </c>
    </row>
    <row r="23648" spans="1:6" s="3" customFormat="1" ht="29.1" customHeight="1" x14ac:dyDescent="0.25">
      <c r="A23648" s="2" t="s">
        <v>46207</v>
      </c>
      <c r="B23648" s="2" t="s">
        <v>46208</v>
      </c>
      <c r="C23648" s="2" t="s">
        <v>9716</v>
      </c>
      <c r="D23648" s="2" t="s">
        <v>297</v>
      </c>
      <c r="E23648" s="2" t="str">
        <f>"9781439914410"</f>
        <v>9781439914410</v>
      </c>
      <c r="F23648" s="2" t="str">
        <f>"9781439914434"</f>
        <v>9781439914434</v>
      </c>
    </row>
    <row r="23649" spans="1:6" s="3" customFormat="1" ht="29.1" customHeight="1" x14ac:dyDescent="0.25">
      <c r="A23649" s="2" t="s">
        <v>46209</v>
      </c>
      <c r="B23649" s="2" t="s">
        <v>46210</v>
      </c>
      <c r="C23649" s="2" t="s">
        <v>124</v>
      </c>
      <c r="D23649" s="2" t="s">
        <v>1809</v>
      </c>
      <c r="E23649" s="2" t="str">
        <f>"9781138203730"</f>
        <v>9781138203730</v>
      </c>
      <c r="F23649" s="2" t="str">
        <f>"9781315470962"</f>
        <v>9781315470962</v>
      </c>
    </row>
    <row r="23650" spans="1:6" s="3" customFormat="1" ht="29.1" customHeight="1" x14ac:dyDescent="0.25">
      <c r="A23650" s="2" t="s">
        <v>46211</v>
      </c>
      <c r="B23650" s="2" t="s">
        <v>46213</v>
      </c>
      <c r="C23650" s="2" t="s">
        <v>124</v>
      </c>
      <c r="D23650" s="2" t="s">
        <v>46212</v>
      </c>
      <c r="E23650" s="2" t="str">
        <f>"9781138670259"</f>
        <v>9781138670259</v>
      </c>
      <c r="F23650" s="2" t="str">
        <f>"9781317208785"</f>
        <v>9781317208785</v>
      </c>
    </row>
    <row r="23651" spans="1:6" s="3" customFormat="1" ht="29.1" customHeight="1" x14ac:dyDescent="0.25">
      <c r="A23651" s="2" t="s">
        <v>46214</v>
      </c>
      <c r="B23651" s="2" t="s">
        <v>46215</v>
      </c>
      <c r="C23651" s="2" t="s">
        <v>124</v>
      </c>
      <c r="D23651" s="2" t="s">
        <v>81</v>
      </c>
      <c r="E23651" s="2" t="str">
        <f>"9780367025168"</f>
        <v>9780367025168</v>
      </c>
      <c r="F23651" s="2" t="str">
        <f>"9781351979146"</f>
        <v>9781351979146</v>
      </c>
    </row>
    <row r="23652" spans="1:6" s="3" customFormat="1" ht="29.1" customHeight="1" x14ac:dyDescent="0.25">
      <c r="A23652" s="2" t="s">
        <v>46216</v>
      </c>
      <c r="B23652" s="2" t="s">
        <v>46217</v>
      </c>
      <c r="C23652" s="2" t="s">
        <v>29</v>
      </c>
      <c r="D23652" s="2" t="s">
        <v>210</v>
      </c>
      <c r="E23652" s="2" t="str">
        <f>"9789004330740"</f>
        <v>9789004330740</v>
      </c>
      <c r="F23652" s="2" t="str">
        <f>"9789004330757"</f>
        <v>9789004330757</v>
      </c>
    </row>
    <row r="23653" spans="1:6" s="3" customFormat="1" ht="29.1" customHeight="1" x14ac:dyDescent="0.25">
      <c r="A23653" s="2" t="s">
        <v>46218</v>
      </c>
      <c r="B23653" s="2" t="s">
        <v>46219</v>
      </c>
      <c r="C23653" s="2" t="s">
        <v>29</v>
      </c>
      <c r="D23653" s="2" t="s">
        <v>150</v>
      </c>
      <c r="E23653" s="2" t="str">
        <f>"9789004335059"</f>
        <v>9789004335059</v>
      </c>
      <c r="F23653" s="2" t="str">
        <f>"9789004335066"</f>
        <v>9789004335066</v>
      </c>
    </row>
    <row r="23654" spans="1:6" s="3" customFormat="1" ht="29.1" customHeight="1" x14ac:dyDescent="0.25">
      <c r="A23654" s="2" t="s">
        <v>46220</v>
      </c>
      <c r="B23654" s="2" t="s">
        <v>46221</v>
      </c>
      <c r="C23654" s="2" t="s">
        <v>3248</v>
      </c>
      <c r="D23654" s="2" t="s">
        <v>297</v>
      </c>
      <c r="E23654" s="2" t="str">
        <f>"9780813573489"</f>
        <v>9780813573489</v>
      </c>
      <c r="F23654" s="2" t="str">
        <f>"9780813573496"</f>
        <v>9780813573496</v>
      </c>
    </row>
    <row r="23655" spans="1:6" s="3" customFormat="1" ht="29.1" customHeight="1" x14ac:dyDescent="0.25">
      <c r="A23655" s="2" t="s">
        <v>46222</v>
      </c>
      <c r="B23655" s="2" t="s">
        <v>46223</v>
      </c>
      <c r="C23655" s="2" t="s">
        <v>3248</v>
      </c>
      <c r="D23655" s="2" t="s">
        <v>297</v>
      </c>
      <c r="E23655" s="2" t="str">
        <f>"9780813588049"</f>
        <v>9780813588049</v>
      </c>
      <c r="F23655" s="2" t="str">
        <f>"9780813588056"</f>
        <v>9780813588056</v>
      </c>
    </row>
    <row r="23656" spans="1:6" s="3" customFormat="1" ht="29.1" customHeight="1" x14ac:dyDescent="0.25">
      <c r="A23656" s="2" t="s">
        <v>46224</v>
      </c>
      <c r="B23656" s="2" t="s">
        <v>46225</v>
      </c>
      <c r="C23656" s="2" t="s">
        <v>55</v>
      </c>
      <c r="D23656" s="2" t="s">
        <v>12298</v>
      </c>
      <c r="E23656" s="2" t="str">
        <f>"9781784992521"</f>
        <v>9781784992521</v>
      </c>
      <c r="F23656" s="2" t="str">
        <f>"9781784996949"</f>
        <v>9781784996949</v>
      </c>
    </row>
    <row r="23657" spans="1:6" s="3" customFormat="1" ht="29.1" customHeight="1" x14ac:dyDescent="0.25">
      <c r="A23657" s="2" t="s">
        <v>46226</v>
      </c>
      <c r="B23657" s="2" t="s">
        <v>46227</v>
      </c>
      <c r="C23657" s="2" t="s">
        <v>8104</v>
      </c>
      <c r="D23657" s="2" t="s">
        <v>4422</v>
      </c>
      <c r="E23657" s="2" t="str">
        <f>"9781785335846"</f>
        <v>9781785335846</v>
      </c>
      <c r="F23657" s="2" t="str">
        <f>"9781785335853"</f>
        <v>9781785335853</v>
      </c>
    </row>
    <row r="23658" spans="1:6" s="3" customFormat="1" ht="29.1" customHeight="1" x14ac:dyDescent="0.25">
      <c r="A23658" s="2" t="s">
        <v>46228</v>
      </c>
      <c r="B23658" s="2" t="s">
        <v>46229</v>
      </c>
      <c r="C23658" s="2" t="s">
        <v>34257</v>
      </c>
      <c r="D23658" s="2" t="s">
        <v>27340</v>
      </c>
      <c r="E23658" s="2" t="str">
        <f>"9780745399041"</f>
        <v>9780745399041</v>
      </c>
      <c r="F23658" s="2" t="str">
        <f>"9781786800190"</f>
        <v>9781786800190</v>
      </c>
    </row>
    <row r="23659" spans="1:6" s="3" customFormat="1" ht="29.1" customHeight="1" x14ac:dyDescent="0.25">
      <c r="A23659" s="2" t="s">
        <v>45165</v>
      </c>
      <c r="B23659" s="2" t="s">
        <v>45166</v>
      </c>
      <c r="C23659" s="2" t="s">
        <v>149</v>
      </c>
      <c r="D23659" s="2" t="s">
        <v>3166</v>
      </c>
      <c r="E23659" s="2" t="str">
        <f>"9781783742530"</f>
        <v>9781783742530</v>
      </c>
      <c r="F23659" s="2" t="str">
        <f>"9781783742554"</f>
        <v>9781783742554</v>
      </c>
    </row>
    <row r="23660" spans="1:6" s="3" customFormat="1" ht="29.1" customHeight="1" x14ac:dyDescent="0.25">
      <c r="A23660" s="2" t="s">
        <v>46230</v>
      </c>
      <c r="B23660" s="2" t="s">
        <v>46231</v>
      </c>
      <c r="C23660" s="2" t="s">
        <v>149</v>
      </c>
      <c r="D23660" s="2" t="s">
        <v>614</v>
      </c>
      <c r="E23660" s="2" t="str">
        <f>"9781783742783"</f>
        <v>9781783742783</v>
      </c>
      <c r="F23660" s="2" t="str">
        <f>"9781783742806"</f>
        <v>9781783742806</v>
      </c>
    </row>
    <row r="23661" spans="1:6" s="3" customFormat="1" ht="29.1" customHeight="1" x14ac:dyDescent="0.25">
      <c r="A23661" s="2" t="s">
        <v>46232</v>
      </c>
      <c r="B23661" s="2" t="s">
        <v>44834</v>
      </c>
      <c r="C23661" s="2" t="s">
        <v>149</v>
      </c>
      <c r="D23661" s="2" t="s">
        <v>44833</v>
      </c>
      <c r="E23661" s="2" t="str">
        <f>"9781783741779"</f>
        <v>9781783741779</v>
      </c>
      <c r="F23661" s="2" t="str">
        <f>"9781783741793"</f>
        <v>9781783741793</v>
      </c>
    </row>
    <row r="23662" spans="1:6" s="3" customFormat="1" ht="29.1" customHeight="1" x14ac:dyDescent="0.25">
      <c r="A23662" s="2" t="s">
        <v>46233</v>
      </c>
      <c r="B23662" s="2" t="s">
        <v>46234</v>
      </c>
      <c r="C23662" s="2" t="s">
        <v>149</v>
      </c>
      <c r="D23662" s="2" t="s">
        <v>1864</v>
      </c>
      <c r="E23662" s="2" t="str">
        <f>"9781783742936"</f>
        <v>9781783742936</v>
      </c>
      <c r="F23662" s="2" t="str">
        <f>"9781783742950"</f>
        <v>9781783742950</v>
      </c>
    </row>
    <row r="23663" spans="1:6" s="3" customFormat="1" ht="29.1" customHeight="1" x14ac:dyDescent="0.25">
      <c r="A23663" s="2" t="s">
        <v>46235</v>
      </c>
      <c r="B23663" s="2" t="s">
        <v>46236</v>
      </c>
      <c r="C23663" s="2" t="s">
        <v>149</v>
      </c>
      <c r="D23663" s="2" t="s">
        <v>19183</v>
      </c>
      <c r="E23663" s="2" t="str">
        <f>"9781783742882"</f>
        <v>9781783742882</v>
      </c>
      <c r="F23663" s="2" t="str">
        <f>"9781783742905"</f>
        <v>9781783742905</v>
      </c>
    </row>
    <row r="23664" spans="1:6" s="3" customFormat="1" ht="29.1" customHeight="1" x14ac:dyDescent="0.25">
      <c r="A23664" s="2" t="s">
        <v>46237</v>
      </c>
      <c r="B23664" s="2" t="s">
        <v>46238</v>
      </c>
      <c r="C23664" s="2" t="s">
        <v>149</v>
      </c>
      <c r="D23664" s="2" t="s">
        <v>33</v>
      </c>
      <c r="E23664" s="2" t="str">
        <f>"9781783742738"</f>
        <v>9781783742738</v>
      </c>
      <c r="F23664" s="2" t="str">
        <f>"9781783742752"</f>
        <v>9781783742752</v>
      </c>
    </row>
    <row r="23665" spans="1:6" s="3" customFormat="1" ht="29.1" customHeight="1" x14ac:dyDescent="0.25">
      <c r="A23665" s="2" t="s">
        <v>40991</v>
      </c>
      <c r="B23665" s="2" t="s">
        <v>46239</v>
      </c>
      <c r="C23665" s="2" t="s">
        <v>3248</v>
      </c>
      <c r="D23665" s="2" t="s">
        <v>210</v>
      </c>
      <c r="E23665" s="2" t="str">
        <f>"9780813591520"</f>
        <v>9780813591520</v>
      </c>
      <c r="F23665" s="2" t="str">
        <f>"9780813592121"</f>
        <v>9780813592121</v>
      </c>
    </row>
    <row r="23666" spans="1:6" s="3" customFormat="1" ht="29.1" customHeight="1" x14ac:dyDescent="0.25">
      <c r="A23666" s="2" t="s">
        <v>46240</v>
      </c>
      <c r="B23666" s="2" t="s">
        <v>46241</v>
      </c>
      <c r="C23666" s="2" t="s">
        <v>55</v>
      </c>
      <c r="D23666" s="2" t="s">
        <v>465</v>
      </c>
      <c r="E23666" s="2" t="str">
        <f>"9780719088087"</f>
        <v>9780719088087</v>
      </c>
      <c r="F23666" s="2" t="str">
        <f>"9781526107855"</f>
        <v>9781526107855</v>
      </c>
    </row>
    <row r="23667" spans="1:6" s="3" customFormat="1" ht="29.1" customHeight="1" x14ac:dyDescent="0.25">
      <c r="A23667" s="2" t="s">
        <v>46242</v>
      </c>
      <c r="B23667" s="2" t="s">
        <v>46243</v>
      </c>
      <c r="C23667" s="2" t="s">
        <v>4104</v>
      </c>
      <c r="D23667" s="2" t="s">
        <v>4634</v>
      </c>
      <c r="E23667" s="2" t="str">
        <f>"9781781383766"</f>
        <v>9781781383766</v>
      </c>
      <c r="F23667" s="2" t="str">
        <f>"9781781383322"</f>
        <v>9781781383322</v>
      </c>
    </row>
    <row r="23668" spans="1:6" s="3" customFormat="1" ht="29.1" customHeight="1" x14ac:dyDescent="0.25">
      <c r="A23668" s="2" t="s">
        <v>46244</v>
      </c>
      <c r="B23668" s="2" t="s">
        <v>46245</v>
      </c>
      <c r="C23668" s="2" t="s">
        <v>4104</v>
      </c>
      <c r="D23668" s="2" t="s">
        <v>1694</v>
      </c>
      <c r="E23668" s="2" t="str">
        <f>"9781781383186"</f>
        <v>9781781383186</v>
      </c>
      <c r="F23668" s="2" t="str">
        <f>"9781781383537"</f>
        <v>9781781383537</v>
      </c>
    </row>
    <row r="23669" spans="1:6" s="3" customFormat="1" ht="29.1" customHeight="1" x14ac:dyDescent="0.25">
      <c r="A23669" s="2" t="s">
        <v>46246</v>
      </c>
      <c r="B23669" s="2" t="s">
        <v>46247</v>
      </c>
      <c r="C23669" s="2" t="s">
        <v>4104</v>
      </c>
      <c r="D23669" s="2" t="s">
        <v>1466</v>
      </c>
      <c r="E23669" s="2" t="str">
        <f>"9781781382974"</f>
        <v>9781781382974</v>
      </c>
      <c r="F23669" s="2" t="str">
        <f>"9781781383544"</f>
        <v>9781781383544</v>
      </c>
    </row>
    <row r="23670" spans="1:6" s="3" customFormat="1" ht="29.1" customHeight="1" x14ac:dyDescent="0.25">
      <c r="A23670" s="2" t="s">
        <v>46248</v>
      </c>
      <c r="B23670" s="2" t="s">
        <v>46249</v>
      </c>
      <c r="C23670" s="2" t="s">
        <v>4104</v>
      </c>
      <c r="D23670" s="2" t="s">
        <v>221</v>
      </c>
      <c r="E23670" s="2" t="str">
        <f>"9781781382868"</f>
        <v>9781781382868</v>
      </c>
      <c r="F23670" s="2" t="str">
        <f>"9781781384558"</f>
        <v>9781781384558</v>
      </c>
    </row>
    <row r="23671" spans="1:6" s="3" customFormat="1" ht="29.1" customHeight="1" x14ac:dyDescent="0.25">
      <c r="A23671" s="2" t="s">
        <v>46250</v>
      </c>
      <c r="B23671" s="2" t="s">
        <v>46251</v>
      </c>
      <c r="C23671" s="2" t="s">
        <v>4104</v>
      </c>
      <c r="D23671" s="2" t="s">
        <v>1712</v>
      </c>
      <c r="E23671" s="2" t="str">
        <f>"9781781382578"</f>
        <v>9781781382578</v>
      </c>
      <c r="F23671" s="2" t="str">
        <f>"9781781384251"</f>
        <v>9781781384251</v>
      </c>
    </row>
    <row r="23672" spans="1:6" s="3" customFormat="1" ht="29.1" customHeight="1" x14ac:dyDescent="0.25">
      <c r="A23672" s="2" t="s">
        <v>46252</v>
      </c>
      <c r="B23672" s="2" t="s">
        <v>46253</v>
      </c>
      <c r="C23672" s="2" t="s">
        <v>248</v>
      </c>
      <c r="D23672" s="2" t="s">
        <v>10725</v>
      </c>
      <c r="E23672" s="2" t="str">
        <f>"9783863887452"</f>
        <v>9783863887452</v>
      </c>
      <c r="F23672" s="2" t="str">
        <f>"9783863882754"</f>
        <v>9783863882754</v>
      </c>
    </row>
    <row r="23673" spans="1:6" s="3" customFormat="1" ht="29.1" customHeight="1" x14ac:dyDescent="0.25">
      <c r="A23673" s="2" t="s">
        <v>46254</v>
      </c>
      <c r="B23673" s="2" t="s">
        <v>46255</v>
      </c>
      <c r="C23673" s="2" t="s">
        <v>124</v>
      </c>
      <c r="D23673" s="2" t="s">
        <v>11830</v>
      </c>
      <c r="E23673" s="2" t="str">
        <f>"9781138950535"</f>
        <v>9781138950535</v>
      </c>
      <c r="F23673" s="2" t="str">
        <f>"9781317361855"</f>
        <v>9781317361855</v>
      </c>
    </row>
    <row r="23674" spans="1:6" s="3" customFormat="1" ht="29.1" customHeight="1" x14ac:dyDescent="0.25">
      <c r="A23674" s="2" t="s">
        <v>46256</v>
      </c>
      <c r="B23674" s="2" t="s">
        <v>46257</v>
      </c>
      <c r="C23674" s="2" t="s">
        <v>124</v>
      </c>
      <c r="D23674" s="2" t="s">
        <v>270</v>
      </c>
      <c r="E23674" s="2" t="str">
        <f>"9781412864404"</f>
        <v>9781412864404</v>
      </c>
      <c r="F23674" s="2" t="str">
        <f>"9781412864527"</f>
        <v>9781412864527</v>
      </c>
    </row>
    <row r="23675" spans="1:6" s="3" customFormat="1" ht="29.1" customHeight="1" x14ac:dyDescent="0.25">
      <c r="A23675" s="2" t="s">
        <v>46258</v>
      </c>
      <c r="B23675" s="2" t="s">
        <v>46259</v>
      </c>
      <c r="C23675" s="2" t="s">
        <v>1070</v>
      </c>
      <c r="D23675" s="2" t="s">
        <v>1387</v>
      </c>
      <c r="E23675" s="2" t="str">
        <f>"9781910797204"</f>
        <v>9781910797204</v>
      </c>
      <c r="F23675" s="2" t="str">
        <f>"9781910797280"</f>
        <v>9781910797280</v>
      </c>
    </row>
    <row r="23676" spans="1:6" s="3" customFormat="1" ht="29.1" customHeight="1" x14ac:dyDescent="0.25">
      <c r="A23676" s="2" t="s">
        <v>1346</v>
      </c>
      <c r="B23676" s="2" t="s">
        <v>46260</v>
      </c>
      <c r="C23676" s="2" t="s">
        <v>1070</v>
      </c>
      <c r="D23676" s="2" t="s">
        <v>1071</v>
      </c>
      <c r="E23676" s="2" t="str">
        <f>"9781910797129"</f>
        <v>9781910797129</v>
      </c>
      <c r="F23676" s="2" t="str">
        <f>"9781910797242"</f>
        <v>9781910797242</v>
      </c>
    </row>
    <row r="23677" spans="1:6" s="3" customFormat="1" ht="29.1" customHeight="1" x14ac:dyDescent="0.25">
      <c r="A23677" s="2" t="s">
        <v>1296</v>
      </c>
      <c r="B23677" s="2" t="s">
        <v>46261</v>
      </c>
      <c r="C23677" s="2" t="s">
        <v>1070</v>
      </c>
      <c r="D23677" s="2" t="s">
        <v>1275</v>
      </c>
      <c r="E23677" s="2" t="str">
        <f>"9781910797136"</f>
        <v>9781910797136</v>
      </c>
      <c r="F23677" s="2" t="str">
        <f>"9781910797167"</f>
        <v>9781910797167</v>
      </c>
    </row>
    <row r="23678" spans="1:6" s="3" customFormat="1" ht="29.1" customHeight="1" x14ac:dyDescent="0.25">
      <c r="A23678" s="2" t="s">
        <v>1323</v>
      </c>
      <c r="B23678" s="2" t="s">
        <v>46262</v>
      </c>
      <c r="C23678" s="2" t="s">
        <v>1070</v>
      </c>
      <c r="D23678" s="2" t="s">
        <v>1299</v>
      </c>
      <c r="E23678" s="2" t="str">
        <f>"9781910797198"</f>
        <v>9781910797198</v>
      </c>
      <c r="F23678" s="2" t="str">
        <f>"9781910797303"</f>
        <v>9781910797303</v>
      </c>
    </row>
    <row r="23679" spans="1:6" s="3" customFormat="1" ht="29.1" customHeight="1" x14ac:dyDescent="0.25">
      <c r="A23679" s="2" t="s">
        <v>46263</v>
      </c>
      <c r="B23679" s="2" t="s">
        <v>46264</v>
      </c>
      <c r="C23679" s="2" t="s">
        <v>195</v>
      </c>
      <c r="D23679" s="2" t="s">
        <v>210</v>
      </c>
      <c r="E23679" s="2" t="str">
        <f>"9783486704761"</f>
        <v>9783486704761</v>
      </c>
      <c r="F23679" s="2" t="str">
        <f>"9783486989335"</f>
        <v>9783486989335</v>
      </c>
    </row>
    <row r="23680" spans="1:6" s="3" customFormat="1" ht="29.1" customHeight="1" x14ac:dyDescent="0.25">
      <c r="A23680" s="2" t="s">
        <v>46265</v>
      </c>
      <c r="B23680" s="2" t="s">
        <v>46266</v>
      </c>
      <c r="C23680" s="2" t="s">
        <v>15381</v>
      </c>
      <c r="D23680" s="2" t="s">
        <v>14288</v>
      </c>
      <c r="E23680" s="2" t="str">
        <f>"9781469631127"</f>
        <v>9781469631127</v>
      </c>
      <c r="F23680" s="2" t="str">
        <f>"9781469631141"</f>
        <v>9781469631141</v>
      </c>
    </row>
    <row r="23681" spans="1:6" s="3" customFormat="1" ht="29.1" customHeight="1" x14ac:dyDescent="0.25">
      <c r="A23681" s="2" t="s">
        <v>46267</v>
      </c>
      <c r="B23681" s="2" t="s">
        <v>46268</v>
      </c>
      <c r="C23681" s="2" t="s">
        <v>195</v>
      </c>
      <c r="D23681" s="2" t="s">
        <v>446</v>
      </c>
      <c r="E23681" s="2" t="str">
        <f>"9783110449419"</f>
        <v>9783110449419</v>
      </c>
      <c r="F23681" s="2" t="str">
        <f>"9783110458671"</f>
        <v>9783110458671</v>
      </c>
    </row>
    <row r="23682" spans="1:6" s="3" customFormat="1" ht="29.1" customHeight="1" x14ac:dyDescent="0.25">
      <c r="A23682" s="2" t="s">
        <v>46269</v>
      </c>
      <c r="B23682" s="2" t="s">
        <v>46270</v>
      </c>
      <c r="C23682" s="2" t="s">
        <v>195</v>
      </c>
      <c r="D23682" s="2" t="s">
        <v>33</v>
      </c>
      <c r="E23682" s="2" t="str">
        <f>"9783110473148"</f>
        <v>9783110473148</v>
      </c>
      <c r="F23682" s="2" t="str">
        <f>"9783110477535"</f>
        <v>9783110477535</v>
      </c>
    </row>
    <row r="23683" spans="1:6" s="3" customFormat="1" ht="29.1" customHeight="1" x14ac:dyDescent="0.25">
      <c r="A23683" s="2" t="s">
        <v>46271</v>
      </c>
      <c r="B23683" s="2" t="s">
        <v>46272</v>
      </c>
      <c r="C23683" s="2" t="s">
        <v>195</v>
      </c>
      <c r="D23683" s="2" t="s">
        <v>446</v>
      </c>
      <c r="E23683" s="2" t="str">
        <f>"9783110442779"</f>
        <v>9783110442779</v>
      </c>
      <c r="F23683" s="2" t="str">
        <f>"9783110435672"</f>
        <v>9783110435672</v>
      </c>
    </row>
    <row r="23684" spans="1:6" s="3" customFormat="1" ht="29.1" customHeight="1" x14ac:dyDescent="0.25">
      <c r="A23684" s="2" t="s">
        <v>46273</v>
      </c>
      <c r="B23684" s="2" t="s">
        <v>46274</v>
      </c>
      <c r="C23684" s="2" t="s">
        <v>195</v>
      </c>
      <c r="D23684" s="2" t="s">
        <v>2692</v>
      </c>
      <c r="E23684" s="2" t="str">
        <f>"9783110440355"</f>
        <v>9783110440355</v>
      </c>
      <c r="F23684" s="2" t="str">
        <f>"9783110432619"</f>
        <v>9783110432619</v>
      </c>
    </row>
    <row r="23685" spans="1:6" s="3" customFormat="1" ht="29.1" customHeight="1" x14ac:dyDescent="0.25">
      <c r="A23685" s="2" t="s">
        <v>46275</v>
      </c>
      <c r="B23685" s="2" t="s">
        <v>46276</v>
      </c>
      <c r="C23685" s="2" t="s">
        <v>195</v>
      </c>
      <c r="D23685" s="2" t="s">
        <v>1816</v>
      </c>
      <c r="E23685" s="2" t="str">
        <f>"9783110403725"</f>
        <v>9783110403725</v>
      </c>
      <c r="F23685" s="2" t="str">
        <f>"9783110403732"</f>
        <v>9783110403732</v>
      </c>
    </row>
    <row r="23686" spans="1:6" s="3" customFormat="1" ht="29.1" customHeight="1" x14ac:dyDescent="0.25">
      <c r="A23686" s="2" t="s">
        <v>46277</v>
      </c>
      <c r="B23686" s="2" t="s">
        <v>46279</v>
      </c>
      <c r="C23686" s="2" t="s">
        <v>195</v>
      </c>
      <c r="D23686" s="2" t="s">
        <v>46278</v>
      </c>
      <c r="E23686" s="2" t="str">
        <f>"9783110440270"</f>
        <v>9783110440270</v>
      </c>
      <c r="F23686" s="2" t="str">
        <f>"9783110440287"</f>
        <v>9783110440287</v>
      </c>
    </row>
    <row r="23687" spans="1:6" s="3" customFormat="1" ht="29.1" customHeight="1" x14ac:dyDescent="0.25">
      <c r="A23687" s="2" t="s">
        <v>46280</v>
      </c>
      <c r="B23687" s="2" t="s">
        <v>46281</v>
      </c>
      <c r="C23687" s="2" t="s">
        <v>195</v>
      </c>
      <c r="D23687" s="2" t="s">
        <v>45757</v>
      </c>
      <c r="E23687" s="2" t="str">
        <f>"9783110440010"</f>
        <v>9783110440010</v>
      </c>
      <c r="F23687" s="2" t="str">
        <f>"9783110440027"</f>
        <v>9783110440027</v>
      </c>
    </row>
    <row r="23688" spans="1:6" s="3" customFormat="1" ht="29.1" customHeight="1" x14ac:dyDescent="0.25">
      <c r="A23688" s="2" t="s">
        <v>46282</v>
      </c>
      <c r="B23688" s="2" t="s">
        <v>46283</v>
      </c>
      <c r="C23688" s="2" t="s">
        <v>195</v>
      </c>
      <c r="D23688" s="2" t="s">
        <v>2880</v>
      </c>
      <c r="E23688" s="2" t="str">
        <f>"9783110442052"</f>
        <v>9783110442052</v>
      </c>
      <c r="F23688" s="2" t="str">
        <f>"9783110433739"</f>
        <v>9783110433739</v>
      </c>
    </row>
    <row r="23689" spans="1:6" s="3" customFormat="1" ht="29.1" customHeight="1" x14ac:dyDescent="0.25">
      <c r="A23689" s="2" t="s">
        <v>46284</v>
      </c>
      <c r="B23689" s="2"/>
      <c r="C23689" s="2" t="s">
        <v>195</v>
      </c>
      <c r="D23689" s="2" t="s">
        <v>4561</v>
      </c>
      <c r="E23689" s="2" t="str">
        <f>"9783110060058"</f>
        <v>9783110060058</v>
      </c>
      <c r="F23689" s="2" t="str">
        <f>"9783110888225"</f>
        <v>9783110888225</v>
      </c>
    </row>
    <row r="23690" spans="1:6" s="3" customFormat="1" ht="29.1" customHeight="1" x14ac:dyDescent="0.25">
      <c r="A23690" s="2" t="s">
        <v>46285</v>
      </c>
      <c r="B23690" s="2" t="s">
        <v>46287</v>
      </c>
      <c r="C23690" s="2" t="s">
        <v>195</v>
      </c>
      <c r="D23690" s="2" t="s">
        <v>46286</v>
      </c>
      <c r="E23690" s="2" t="str">
        <f>"9783110426380"</f>
        <v>9783110426380</v>
      </c>
      <c r="F23690" s="2" t="str">
        <f>"9783110426403"</f>
        <v>9783110426403</v>
      </c>
    </row>
    <row r="23691" spans="1:6" s="3" customFormat="1" ht="29.1" customHeight="1" x14ac:dyDescent="0.25">
      <c r="A23691" s="2" t="s">
        <v>46288</v>
      </c>
      <c r="B23691" s="2" t="s">
        <v>46289</v>
      </c>
      <c r="C23691" s="2" t="s">
        <v>195</v>
      </c>
      <c r="D23691" s="2" t="s">
        <v>4229</v>
      </c>
      <c r="E23691" s="2" t="str">
        <f>"9783110412611"</f>
        <v>9783110412611</v>
      </c>
      <c r="F23691" s="2" t="str">
        <f>"9783110412628"</f>
        <v>9783110412628</v>
      </c>
    </row>
    <row r="23692" spans="1:6" s="3" customFormat="1" ht="29.1" customHeight="1" x14ac:dyDescent="0.25">
      <c r="A23692" s="2" t="s">
        <v>46290</v>
      </c>
      <c r="B23692" s="2" t="s">
        <v>46291</v>
      </c>
      <c r="C23692" s="2" t="s">
        <v>195</v>
      </c>
      <c r="D23692" s="2" t="s">
        <v>297</v>
      </c>
      <c r="E23692" s="2" t="str">
        <f>"9783110417586"</f>
        <v>9783110417586</v>
      </c>
      <c r="F23692" s="2" t="str">
        <f>"9783110417593"</f>
        <v>9783110417593</v>
      </c>
    </row>
    <row r="23693" spans="1:6" s="3" customFormat="1" ht="29.1" customHeight="1" x14ac:dyDescent="0.25">
      <c r="A23693" s="2" t="s">
        <v>46292</v>
      </c>
      <c r="B23693" s="2" t="s">
        <v>46293</v>
      </c>
      <c r="C23693" s="2" t="s">
        <v>195</v>
      </c>
      <c r="D23693" s="2" t="s">
        <v>297</v>
      </c>
      <c r="E23693" s="2" t="str">
        <f>"9783110401738"</f>
        <v>9783110401738</v>
      </c>
      <c r="F23693" s="2" t="str">
        <f>"9783110401745"</f>
        <v>9783110401745</v>
      </c>
    </row>
    <row r="23694" spans="1:6" s="3" customFormat="1" ht="29.1" customHeight="1" x14ac:dyDescent="0.25">
      <c r="A23694" s="2" t="s">
        <v>46294</v>
      </c>
      <c r="B23694" s="2" t="s">
        <v>46295</v>
      </c>
      <c r="C23694" s="2" t="s">
        <v>195</v>
      </c>
      <c r="D23694" s="2" t="s">
        <v>339</v>
      </c>
      <c r="E23694" s="2" t="str">
        <f>"9783110372649"</f>
        <v>9783110372649</v>
      </c>
      <c r="F23694" s="2" t="str">
        <f>"9783110372656"</f>
        <v>9783110372656</v>
      </c>
    </row>
    <row r="23695" spans="1:6" s="3" customFormat="1" ht="29.1" customHeight="1" x14ac:dyDescent="0.25">
      <c r="A23695" s="2" t="s">
        <v>46296</v>
      </c>
      <c r="B23695" s="2" t="s">
        <v>46297</v>
      </c>
      <c r="C23695" s="2" t="s">
        <v>195</v>
      </c>
      <c r="D23695" s="2" t="s">
        <v>764</v>
      </c>
      <c r="E23695" s="2" t="str">
        <f>"9788376560496"</f>
        <v>9788376560496</v>
      </c>
      <c r="F23695" s="2" t="str">
        <f>"9788376560502"</f>
        <v>9788376560502</v>
      </c>
    </row>
    <row r="23696" spans="1:6" s="3" customFormat="1" ht="29.1" customHeight="1" x14ac:dyDescent="0.25">
      <c r="A23696" s="2" t="s">
        <v>46298</v>
      </c>
      <c r="B23696" s="2" t="s">
        <v>46299</v>
      </c>
      <c r="C23696" s="2" t="s">
        <v>195</v>
      </c>
      <c r="D23696" s="2" t="s">
        <v>1816</v>
      </c>
      <c r="E23696" s="2" t="str">
        <f>"9788376560106"</f>
        <v>9788376560106</v>
      </c>
      <c r="F23696" s="2" t="str">
        <f>"9788376560113"</f>
        <v>9788376560113</v>
      </c>
    </row>
    <row r="23697" spans="1:6" s="3" customFormat="1" ht="29.1" customHeight="1" x14ac:dyDescent="0.25">
      <c r="A23697" s="2" t="s">
        <v>46300</v>
      </c>
      <c r="B23697" s="2" t="s">
        <v>46301</v>
      </c>
      <c r="C23697" s="2" t="s">
        <v>195</v>
      </c>
      <c r="D23697" s="2" t="s">
        <v>118</v>
      </c>
      <c r="E23697" s="2" t="str">
        <f>"9783110265934"</f>
        <v>9783110265934</v>
      </c>
      <c r="F23697" s="2" t="str">
        <f>"9783110266429"</f>
        <v>9783110266429</v>
      </c>
    </row>
    <row r="23698" spans="1:6" s="3" customFormat="1" ht="29.1" customHeight="1" x14ac:dyDescent="0.25">
      <c r="A23698" s="2" t="s">
        <v>46302</v>
      </c>
      <c r="B23698" s="2" t="s">
        <v>46303</v>
      </c>
      <c r="C23698" s="2" t="s">
        <v>195</v>
      </c>
      <c r="D23698" s="2" t="s">
        <v>132</v>
      </c>
      <c r="E23698" s="2" t="str">
        <f>"9783110401691"</f>
        <v>9783110401691</v>
      </c>
      <c r="F23698" s="2" t="str">
        <f>"9783110401707"</f>
        <v>9783110401707</v>
      </c>
    </row>
    <row r="23699" spans="1:6" s="3" customFormat="1" ht="29.1" customHeight="1" x14ac:dyDescent="0.25">
      <c r="A23699" s="2" t="s">
        <v>46304</v>
      </c>
      <c r="B23699" s="2" t="s">
        <v>46305</v>
      </c>
      <c r="C23699" s="2" t="s">
        <v>195</v>
      </c>
      <c r="D23699" s="2" t="s">
        <v>9</v>
      </c>
      <c r="E23699" s="2" t="str">
        <f>"9783110401448"</f>
        <v>9783110401448</v>
      </c>
      <c r="F23699" s="2" t="str">
        <f>"9783110401455"</f>
        <v>9783110401455</v>
      </c>
    </row>
    <row r="23700" spans="1:6" s="3" customFormat="1" ht="29.1" customHeight="1" x14ac:dyDescent="0.25">
      <c r="A23700" s="2" t="s">
        <v>46306</v>
      </c>
      <c r="B23700" s="2" t="s">
        <v>46308</v>
      </c>
      <c r="C23700" s="2" t="s">
        <v>195</v>
      </c>
      <c r="D23700" s="2" t="s">
        <v>46307</v>
      </c>
      <c r="E23700" s="2" t="str">
        <f>"9788376560229"</f>
        <v>9788376560229</v>
      </c>
      <c r="F23700" s="2" t="str">
        <f>"9788376560236"</f>
        <v>9788376560236</v>
      </c>
    </row>
    <row r="23701" spans="1:6" s="3" customFormat="1" ht="29.1" customHeight="1" x14ac:dyDescent="0.25">
      <c r="A23701" s="2" t="s">
        <v>46309</v>
      </c>
      <c r="B23701" s="2" t="s">
        <v>46310</v>
      </c>
      <c r="C23701" s="2" t="s">
        <v>195</v>
      </c>
      <c r="D23701" s="2" t="s">
        <v>1999</v>
      </c>
      <c r="E23701" s="2" t="str">
        <f>"9788376560199"</f>
        <v>9788376560199</v>
      </c>
      <c r="F23701" s="2" t="str">
        <f>"9788376560205"</f>
        <v>9788376560205</v>
      </c>
    </row>
    <row r="23702" spans="1:6" s="3" customFormat="1" ht="29.1" customHeight="1" x14ac:dyDescent="0.25">
      <c r="A23702" s="2" t="s">
        <v>46311</v>
      </c>
      <c r="B23702" s="2" t="s">
        <v>46312</v>
      </c>
      <c r="C23702" s="2" t="s">
        <v>195</v>
      </c>
      <c r="D23702" s="2" t="s">
        <v>459</v>
      </c>
      <c r="E23702" s="2" t="str">
        <f>"9788376560731"</f>
        <v>9788376560731</v>
      </c>
      <c r="F23702" s="2" t="str">
        <f>"9788376560748"</f>
        <v>9788376560748</v>
      </c>
    </row>
    <row r="23703" spans="1:6" s="3" customFormat="1" ht="29.1" customHeight="1" x14ac:dyDescent="0.25">
      <c r="A23703" s="2" t="s">
        <v>46313</v>
      </c>
      <c r="B23703" s="2" t="s">
        <v>46314</v>
      </c>
      <c r="C23703" s="2" t="s">
        <v>195</v>
      </c>
      <c r="D23703" s="2" t="s">
        <v>210</v>
      </c>
      <c r="E23703" s="2" t="str">
        <f>"9783486591422"</f>
        <v>9783486591422</v>
      </c>
      <c r="F23703" s="2" t="str">
        <f>"9783486851526"</f>
        <v>9783486851526</v>
      </c>
    </row>
    <row r="23704" spans="1:6" s="3" customFormat="1" ht="29.1" customHeight="1" x14ac:dyDescent="0.25">
      <c r="A23704" s="2" t="s">
        <v>46315</v>
      </c>
      <c r="B23704" s="2" t="s">
        <v>46316</v>
      </c>
      <c r="C23704" s="2" t="s">
        <v>195</v>
      </c>
      <c r="D23704" s="2" t="s">
        <v>210</v>
      </c>
      <c r="E23704" s="2" t="str">
        <f>"9783486597707"</f>
        <v>9783486597707</v>
      </c>
      <c r="F23704" s="2" t="str">
        <f>"9783486989328"</f>
        <v>9783486989328</v>
      </c>
    </row>
    <row r="23705" spans="1:6" s="3" customFormat="1" ht="29.1" customHeight="1" x14ac:dyDescent="0.25">
      <c r="A23705" s="2" t="s">
        <v>46317</v>
      </c>
      <c r="B23705" s="2" t="s">
        <v>46318</v>
      </c>
      <c r="C23705" s="2" t="s">
        <v>195</v>
      </c>
      <c r="D23705" s="2" t="s">
        <v>210</v>
      </c>
      <c r="E23705" s="2" t="str">
        <f>"9783486597691"</f>
        <v>9783486597691</v>
      </c>
      <c r="F23705" s="2" t="str">
        <f>"9783486989311"</f>
        <v>9783486989311</v>
      </c>
    </row>
    <row r="23706" spans="1:6" s="3" customFormat="1" ht="29.1" customHeight="1" x14ac:dyDescent="0.25">
      <c r="A23706" s="2" t="s">
        <v>46319</v>
      </c>
      <c r="B23706" s="2" t="s">
        <v>46320</v>
      </c>
      <c r="C23706" s="2" t="s">
        <v>195</v>
      </c>
      <c r="D23706" s="2" t="s">
        <v>210</v>
      </c>
      <c r="E23706" s="2" t="str">
        <f>"9783486704815"</f>
        <v>9783486704815</v>
      </c>
      <c r="F23706" s="2" t="str">
        <f>"9783486853766"</f>
        <v>9783486853766</v>
      </c>
    </row>
    <row r="23707" spans="1:6" s="3" customFormat="1" ht="29.1" customHeight="1" x14ac:dyDescent="0.25">
      <c r="A23707" s="2" t="s">
        <v>46321</v>
      </c>
      <c r="B23707" s="2" t="s">
        <v>46314</v>
      </c>
      <c r="C23707" s="2" t="s">
        <v>195</v>
      </c>
      <c r="D23707" s="2" t="s">
        <v>210</v>
      </c>
      <c r="E23707" s="2" t="str">
        <f>"9783486591415"</f>
        <v>9783486591415</v>
      </c>
      <c r="F23707" s="2" t="str">
        <f>"9783486989304"</f>
        <v>9783486989304</v>
      </c>
    </row>
    <row r="23708" spans="1:6" s="3" customFormat="1" ht="29.1" customHeight="1" x14ac:dyDescent="0.25">
      <c r="A23708" s="2" t="s">
        <v>46322</v>
      </c>
      <c r="B23708" s="2" t="s">
        <v>46323</v>
      </c>
      <c r="C23708" s="2" t="s">
        <v>195</v>
      </c>
      <c r="D23708" s="2" t="s">
        <v>210</v>
      </c>
      <c r="E23708" s="2" t="str">
        <f>"9783486566093"</f>
        <v>9783486566093</v>
      </c>
      <c r="F23708" s="2" t="str">
        <f>"9783486832969"</f>
        <v>9783486832969</v>
      </c>
    </row>
    <row r="23709" spans="1:6" s="3" customFormat="1" ht="29.1" customHeight="1" x14ac:dyDescent="0.25">
      <c r="A23709" s="2" t="s">
        <v>46324</v>
      </c>
      <c r="B23709" s="2" t="s">
        <v>46264</v>
      </c>
      <c r="C23709" s="2" t="s">
        <v>195</v>
      </c>
      <c r="D23709" s="2" t="s">
        <v>210</v>
      </c>
      <c r="E23709" s="2" t="str">
        <f>"9783486709414"</f>
        <v>9783486709414</v>
      </c>
      <c r="F23709" s="2" t="str">
        <f>"9783486989342"</f>
        <v>9783486989342</v>
      </c>
    </row>
    <row r="23710" spans="1:6" s="3" customFormat="1" ht="29.1" customHeight="1" x14ac:dyDescent="0.25">
      <c r="A23710" s="2" t="s">
        <v>46325</v>
      </c>
      <c r="B23710" s="2" t="s">
        <v>46326</v>
      </c>
      <c r="C23710" s="2" t="s">
        <v>195</v>
      </c>
      <c r="D23710" s="2" t="s">
        <v>3852</v>
      </c>
      <c r="E23710" s="2" t="str">
        <f>"9788376560168"</f>
        <v>9788376560168</v>
      </c>
      <c r="F23710" s="2" t="str">
        <f>"9788376560175"</f>
        <v>9788376560175</v>
      </c>
    </row>
    <row r="23711" spans="1:6" s="3" customFormat="1" ht="29.1" customHeight="1" x14ac:dyDescent="0.25">
      <c r="A23711" s="2" t="s">
        <v>46327</v>
      </c>
      <c r="B23711" s="2" t="s">
        <v>32474</v>
      </c>
      <c r="C23711" s="2" t="s">
        <v>195</v>
      </c>
      <c r="D23711" s="2" t="s">
        <v>2551</v>
      </c>
      <c r="E23711" s="2" t="str">
        <f>"9788376560137"</f>
        <v>9788376560137</v>
      </c>
      <c r="F23711" s="2" t="str">
        <f>"9788376560144"</f>
        <v>9788376560144</v>
      </c>
    </row>
    <row r="23712" spans="1:6" s="3" customFormat="1" ht="29.1" customHeight="1" x14ac:dyDescent="0.25">
      <c r="A23712" s="2" t="s">
        <v>46328</v>
      </c>
      <c r="B23712" s="2" t="s">
        <v>46329</v>
      </c>
      <c r="C23712" s="2" t="s">
        <v>195</v>
      </c>
      <c r="D23712" s="2" t="s">
        <v>4940</v>
      </c>
      <c r="E23712" s="2" t="str">
        <f>"9788376560342"</f>
        <v>9788376560342</v>
      </c>
      <c r="F23712" s="2" t="str">
        <f>"9788376560359"</f>
        <v>9788376560359</v>
      </c>
    </row>
    <row r="23713" spans="1:6" s="3" customFormat="1" ht="29.1" customHeight="1" x14ac:dyDescent="0.25">
      <c r="A23713" s="2" t="s">
        <v>46330</v>
      </c>
      <c r="B23713" s="2" t="s">
        <v>46331</v>
      </c>
      <c r="C23713" s="2" t="s">
        <v>195</v>
      </c>
      <c r="D23713" s="2" t="s">
        <v>4940</v>
      </c>
      <c r="E23713" s="2" t="str">
        <f>"9788376560311"</f>
        <v>9788376560311</v>
      </c>
      <c r="F23713" s="2" t="str">
        <f>"9783110399233"</f>
        <v>9783110399233</v>
      </c>
    </row>
    <row r="23714" spans="1:6" s="3" customFormat="1" ht="29.1" customHeight="1" x14ac:dyDescent="0.25">
      <c r="A23714" s="2" t="s">
        <v>46332</v>
      </c>
      <c r="B23714" s="2" t="s">
        <v>46333</v>
      </c>
      <c r="C23714" s="2" t="s">
        <v>195</v>
      </c>
      <c r="D23714" s="2" t="s">
        <v>4940</v>
      </c>
      <c r="E23714" s="2" t="str">
        <f>"9788376560373"</f>
        <v>9788376560373</v>
      </c>
      <c r="F23714" s="2" t="str">
        <f>"9788376560380"</f>
        <v>9788376560380</v>
      </c>
    </row>
    <row r="23715" spans="1:6" s="3" customFormat="1" ht="29.1" customHeight="1" x14ac:dyDescent="0.25">
      <c r="A23715" s="2" t="s">
        <v>46334</v>
      </c>
      <c r="B23715" s="2" t="s">
        <v>46335</v>
      </c>
      <c r="C23715" s="2" t="s">
        <v>195</v>
      </c>
      <c r="D23715" s="2" t="s">
        <v>30</v>
      </c>
      <c r="E23715" s="2" t="str">
        <f>"9788376560434"</f>
        <v>9788376560434</v>
      </c>
      <c r="F23715" s="2" t="str">
        <f>"9788376560441"</f>
        <v>9788376560441</v>
      </c>
    </row>
    <row r="23716" spans="1:6" s="3" customFormat="1" ht="29.1" customHeight="1" x14ac:dyDescent="0.25">
      <c r="A23716" s="2" t="s">
        <v>46336</v>
      </c>
      <c r="B23716" s="2" t="s">
        <v>46337</v>
      </c>
      <c r="C23716" s="2" t="s">
        <v>195</v>
      </c>
      <c r="D23716" s="2" t="s">
        <v>4739</v>
      </c>
      <c r="E23716" s="2" t="str">
        <f>"9788376560250"</f>
        <v>9788376560250</v>
      </c>
      <c r="F23716" s="2" t="str">
        <f>"9788376560267"</f>
        <v>9788376560267</v>
      </c>
    </row>
    <row r="23717" spans="1:6" s="3" customFormat="1" ht="29.1" customHeight="1" x14ac:dyDescent="0.25">
      <c r="A23717" s="2" t="s">
        <v>46338</v>
      </c>
      <c r="B23717" s="2" t="s">
        <v>46339</v>
      </c>
      <c r="C23717" s="2" t="s">
        <v>195</v>
      </c>
      <c r="D23717" s="2" t="s">
        <v>9392</v>
      </c>
      <c r="E23717" s="2" t="str">
        <f>"9788376560557"</f>
        <v>9788376560557</v>
      </c>
      <c r="F23717" s="2" t="str">
        <f>"9788376560564"</f>
        <v>9788376560564</v>
      </c>
    </row>
    <row r="23718" spans="1:6" s="3" customFormat="1" ht="29.1" customHeight="1" x14ac:dyDescent="0.25">
      <c r="A23718" s="2" t="s">
        <v>46340</v>
      </c>
      <c r="B23718" s="2" t="s">
        <v>46341</v>
      </c>
      <c r="C23718" s="2" t="s">
        <v>195</v>
      </c>
      <c r="D23718" s="2" t="s">
        <v>682</v>
      </c>
      <c r="E23718" s="2" t="str">
        <f>"9788376560045"</f>
        <v>9788376560045</v>
      </c>
      <c r="F23718" s="2" t="str">
        <f>"9788376560052"</f>
        <v>9788376560052</v>
      </c>
    </row>
    <row r="23719" spans="1:6" s="3" customFormat="1" ht="29.1" customHeight="1" x14ac:dyDescent="0.25">
      <c r="A23719" s="2" t="s">
        <v>46342</v>
      </c>
      <c r="B23719" s="2" t="s">
        <v>46343</v>
      </c>
      <c r="C23719" s="2" t="s">
        <v>195</v>
      </c>
      <c r="D23719" s="2" t="s">
        <v>210</v>
      </c>
      <c r="E23719" s="2" t="str">
        <f>"9788376560076"</f>
        <v>9788376560076</v>
      </c>
      <c r="F23719" s="2" t="str">
        <f>"9788376560083"</f>
        <v>9788376560083</v>
      </c>
    </row>
    <row r="23720" spans="1:6" s="3" customFormat="1" ht="29.1" customHeight="1" x14ac:dyDescent="0.25">
      <c r="A23720" s="2" t="s">
        <v>46344</v>
      </c>
      <c r="B23720" s="2" t="s">
        <v>46345</v>
      </c>
      <c r="C23720" s="2" t="s">
        <v>195</v>
      </c>
      <c r="D23720" s="2" t="s">
        <v>2648</v>
      </c>
      <c r="E23720" s="2" t="str">
        <f>"9788376560021"</f>
        <v>9788376560021</v>
      </c>
      <c r="F23720" s="2" t="str">
        <f>"9788376560014"</f>
        <v>9788376560014</v>
      </c>
    </row>
    <row r="23721" spans="1:6" s="3" customFormat="1" ht="29.1" customHeight="1" x14ac:dyDescent="0.25">
      <c r="A23721" s="2" t="s">
        <v>46346</v>
      </c>
      <c r="B23721" s="2" t="s">
        <v>46347</v>
      </c>
      <c r="C23721" s="2" t="s">
        <v>195</v>
      </c>
      <c r="D23721" s="2" t="s">
        <v>6440</v>
      </c>
      <c r="E23721" s="2" t="str">
        <f>"9783110266337"</f>
        <v>9783110266337</v>
      </c>
      <c r="F23721" s="2" t="str">
        <f>"9783110266344"</f>
        <v>9783110266344</v>
      </c>
    </row>
    <row r="23722" spans="1:6" s="3" customFormat="1" ht="29.1" customHeight="1" x14ac:dyDescent="0.25">
      <c r="A23722" s="2" t="s">
        <v>46348</v>
      </c>
      <c r="B23722" s="2" t="s">
        <v>46349</v>
      </c>
      <c r="C23722" s="2" t="s">
        <v>43061</v>
      </c>
      <c r="D23722" s="2" t="s">
        <v>818</v>
      </c>
      <c r="E23722" s="2" t="str">
        <f>"9783737601023"</f>
        <v>9783737601023</v>
      </c>
      <c r="F23722" s="2" t="str">
        <f>"9783737601030"</f>
        <v>9783737601030</v>
      </c>
    </row>
    <row r="23723" spans="1:6" s="3" customFormat="1" ht="29.1" customHeight="1" x14ac:dyDescent="0.25">
      <c r="A23723" s="2" t="s">
        <v>46350</v>
      </c>
      <c r="B23723" s="2" t="s">
        <v>46352</v>
      </c>
      <c r="C23723" s="2" t="s">
        <v>43061</v>
      </c>
      <c r="D23723" s="2" t="s">
        <v>46351</v>
      </c>
      <c r="E23723" s="2" t="str">
        <f>"9783737602389"</f>
        <v>9783737602389</v>
      </c>
      <c r="F23723" s="2" t="str">
        <f>"9783737602396"</f>
        <v>9783737602396</v>
      </c>
    </row>
    <row r="23724" spans="1:6" s="3" customFormat="1" ht="29.1" customHeight="1" x14ac:dyDescent="0.25">
      <c r="A23724" s="2" t="s">
        <v>46353</v>
      </c>
      <c r="B23724" s="2" t="s">
        <v>46355</v>
      </c>
      <c r="C23724" s="2" t="s">
        <v>43061</v>
      </c>
      <c r="D23724" s="2" t="s">
        <v>46354</v>
      </c>
      <c r="E23724" s="2" t="str">
        <f>"9783862198764"</f>
        <v>9783862198764</v>
      </c>
      <c r="F23724" s="2" t="str">
        <f>"9783862198771"</f>
        <v>9783862198771</v>
      </c>
    </row>
    <row r="23725" spans="1:6" s="3" customFormat="1" ht="29.1" customHeight="1" x14ac:dyDescent="0.25">
      <c r="A23725" s="2" t="s">
        <v>46356</v>
      </c>
      <c r="B23725" s="2" t="s">
        <v>46357</v>
      </c>
      <c r="C23725" s="2" t="s">
        <v>43061</v>
      </c>
      <c r="D23725" s="2" t="s">
        <v>8286</v>
      </c>
      <c r="E23725" s="2" t="str">
        <f>"9783737602242"</f>
        <v>9783737602242</v>
      </c>
      <c r="F23725" s="2" t="str">
        <f>"9783737602259"</f>
        <v>9783737602259</v>
      </c>
    </row>
    <row r="23726" spans="1:6" s="3" customFormat="1" ht="29.1" customHeight="1" x14ac:dyDescent="0.25">
      <c r="A23726" s="2" t="s">
        <v>46358</v>
      </c>
      <c r="B23726" s="2" t="s">
        <v>46359</v>
      </c>
      <c r="C23726" s="2" t="s">
        <v>43061</v>
      </c>
      <c r="D23726" s="2" t="s">
        <v>29691</v>
      </c>
      <c r="E23726" s="2" t="str">
        <f>"9783737602464"</f>
        <v>9783737602464</v>
      </c>
      <c r="F23726" s="2" t="str">
        <f>"9783737602471"</f>
        <v>9783737602471</v>
      </c>
    </row>
    <row r="23727" spans="1:6" s="3" customFormat="1" ht="29.1" customHeight="1" x14ac:dyDescent="0.25">
      <c r="A23727" s="2" t="s">
        <v>46360</v>
      </c>
      <c r="B23727" s="2" t="s">
        <v>46361</v>
      </c>
      <c r="C23727" s="2" t="s">
        <v>34257</v>
      </c>
      <c r="D23727" s="2" t="s">
        <v>1437</v>
      </c>
      <c r="E23727" s="2" t="str">
        <f>"9780745335865"</f>
        <v>9780745335865</v>
      </c>
      <c r="F23727" s="2" t="str">
        <f>"9781783719938"</f>
        <v>9781783719938</v>
      </c>
    </row>
    <row r="23728" spans="1:6" s="3" customFormat="1" ht="29.1" customHeight="1" x14ac:dyDescent="0.25">
      <c r="A23728" s="2" t="s">
        <v>46362</v>
      </c>
      <c r="B23728" s="2" t="s">
        <v>46363</v>
      </c>
      <c r="C23728" s="2" t="s">
        <v>26676</v>
      </c>
      <c r="D23728" s="2" t="s">
        <v>2602</v>
      </c>
      <c r="E23728" s="2" t="str">
        <f>"9781618115584"</f>
        <v>9781618115584</v>
      </c>
      <c r="F23728" s="2" t="str">
        <f>"9781618115591"</f>
        <v>9781618115591</v>
      </c>
    </row>
    <row r="23729" spans="1:6" s="3" customFormat="1" ht="29.1" customHeight="1" x14ac:dyDescent="0.25">
      <c r="A23729" s="2" t="s">
        <v>46364</v>
      </c>
      <c r="B23729" s="2" t="s">
        <v>46365</v>
      </c>
      <c r="C23729" s="2" t="s">
        <v>55</v>
      </c>
      <c r="D23729" s="2" t="s">
        <v>202</v>
      </c>
      <c r="E23729" s="2" t="str">
        <f>"9780719099168"</f>
        <v>9780719099168</v>
      </c>
      <c r="F23729" s="2" t="str">
        <f>"9781526107107"</f>
        <v>9781526107107</v>
      </c>
    </row>
    <row r="23730" spans="1:6" s="3" customFormat="1" ht="29.1" customHeight="1" x14ac:dyDescent="0.25">
      <c r="A23730" s="2" t="s">
        <v>46366</v>
      </c>
      <c r="B23730" s="2" t="s">
        <v>46367</v>
      </c>
      <c r="C23730" s="2" t="s">
        <v>3248</v>
      </c>
      <c r="D23730" s="2" t="s">
        <v>2237</v>
      </c>
      <c r="E23730" s="2" t="str">
        <f>"9780813571034"</f>
        <v>9780813571034</v>
      </c>
      <c r="F23730" s="2" t="str">
        <f>"9780813571041"</f>
        <v>9780813571041</v>
      </c>
    </row>
    <row r="23731" spans="1:6" s="3" customFormat="1" ht="29.1" customHeight="1" x14ac:dyDescent="0.25">
      <c r="A23731" s="2" t="s">
        <v>46368</v>
      </c>
      <c r="B23731" s="2" t="s">
        <v>46369</v>
      </c>
      <c r="C23731" s="2" t="s">
        <v>124</v>
      </c>
      <c r="D23731" s="2" t="s">
        <v>868</v>
      </c>
      <c r="E23731" s="2" t="str">
        <f>"9789462982581"</f>
        <v>9789462982581</v>
      </c>
      <c r="F23731" s="2" t="str">
        <f>"9781040775462"</f>
        <v>9781040775462</v>
      </c>
    </row>
    <row r="23732" spans="1:6" s="3" customFormat="1" ht="29.1" customHeight="1" x14ac:dyDescent="0.25">
      <c r="A23732" s="2" t="s">
        <v>46370</v>
      </c>
      <c r="B23732" s="2" t="s">
        <v>46371</v>
      </c>
      <c r="C23732" s="2" t="s">
        <v>124</v>
      </c>
      <c r="D23732" s="2" t="s">
        <v>270</v>
      </c>
      <c r="E23732" s="2" t="str">
        <f>"9789089648495"</f>
        <v>9789089648495</v>
      </c>
      <c r="F23732" s="2" t="str">
        <f>"9781040775189"</f>
        <v>9781040775189</v>
      </c>
    </row>
    <row r="23733" spans="1:6" s="3" customFormat="1" ht="29.1" customHeight="1" x14ac:dyDescent="0.25">
      <c r="A23733" s="2" t="s">
        <v>46372</v>
      </c>
      <c r="B23733" s="2" t="s">
        <v>46373</v>
      </c>
      <c r="C23733" s="2" t="s">
        <v>124</v>
      </c>
      <c r="D23733" s="2" t="s">
        <v>712</v>
      </c>
      <c r="E23733" s="2" t="str">
        <f>"9781041182771"</f>
        <v>9781041182771</v>
      </c>
      <c r="F23733" s="2" t="str">
        <f>"9781040773062"</f>
        <v>9781040773062</v>
      </c>
    </row>
    <row r="23734" spans="1:6" s="3" customFormat="1" ht="29.1" customHeight="1" x14ac:dyDescent="0.25">
      <c r="A23734" s="2" t="s">
        <v>46374</v>
      </c>
      <c r="B23734" s="2" t="s">
        <v>46376</v>
      </c>
      <c r="C23734" s="2" t="s">
        <v>248</v>
      </c>
      <c r="D23734" s="2" t="s">
        <v>46375</v>
      </c>
      <c r="E23734" s="2" t="str">
        <f>"9783847401452"</f>
        <v>9783847401452</v>
      </c>
      <c r="F23734" s="2" t="str">
        <f>"9783847404453"</f>
        <v>9783847404453</v>
      </c>
    </row>
    <row r="23735" spans="1:6" s="3" customFormat="1" ht="29.1" customHeight="1" x14ac:dyDescent="0.25">
      <c r="A23735" s="2" t="s">
        <v>46377</v>
      </c>
      <c r="B23735" s="2" t="s">
        <v>46378</v>
      </c>
      <c r="C23735" s="2" t="s">
        <v>195</v>
      </c>
      <c r="D23735" s="2" t="s">
        <v>1712</v>
      </c>
      <c r="E23735" s="2" t="str">
        <f>"9783110514704"</f>
        <v>9783110514704</v>
      </c>
      <c r="F23735" s="2" t="str">
        <f>"9783110514865"</f>
        <v>9783110514865</v>
      </c>
    </row>
    <row r="23736" spans="1:6" s="3" customFormat="1" ht="29.1" customHeight="1" x14ac:dyDescent="0.25">
      <c r="A23736" s="2" t="s">
        <v>46379</v>
      </c>
      <c r="B23736" s="2" t="s">
        <v>46380</v>
      </c>
      <c r="C23736" s="2" t="s">
        <v>195</v>
      </c>
      <c r="D23736" s="2" t="s">
        <v>1419</v>
      </c>
      <c r="E23736" s="2" t="str">
        <f>"9783110496635"</f>
        <v>9783110496635</v>
      </c>
      <c r="F23736" s="2" t="str">
        <f>"9783110495645"</f>
        <v>9783110495645</v>
      </c>
    </row>
    <row r="23737" spans="1:6" s="3" customFormat="1" ht="29.1" customHeight="1" x14ac:dyDescent="0.25">
      <c r="A23737" s="2" t="s">
        <v>46381</v>
      </c>
      <c r="B23737" s="2" t="s">
        <v>46382</v>
      </c>
      <c r="C23737" s="2" t="s">
        <v>195</v>
      </c>
      <c r="D23737" s="2" t="s">
        <v>210</v>
      </c>
      <c r="E23737" s="2" t="str">
        <f>"9783110463767"</f>
        <v>9783110463767</v>
      </c>
      <c r="F23737" s="2" t="str">
        <f>"9783110464511"</f>
        <v>9783110464511</v>
      </c>
    </row>
    <row r="23738" spans="1:6" s="3" customFormat="1" ht="29.1" customHeight="1" x14ac:dyDescent="0.25">
      <c r="A23738" s="2" t="s">
        <v>46383</v>
      </c>
      <c r="B23738" s="2" t="s">
        <v>46384</v>
      </c>
      <c r="C23738" s="2" t="s">
        <v>195</v>
      </c>
      <c r="D23738" s="2" t="s">
        <v>33</v>
      </c>
      <c r="E23738" s="2" t="str">
        <f>"9783110485417"</f>
        <v>9783110485417</v>
      </c>
      <c r="F23738" s="2" t="str">
        <f>"9783110488210"</f>
        <v>9783110488210</v>
      </c>
    </row>
    <row r="23739" spans="1:6" s="3" customFormat="1" ht="29.1" customHeight="1" x14ac:dyDescent="0.25">
      <c r="A23739" s="2" t="s">
        <v>46385</v>
      </c>
      <c r="B23739" s="2" t="s">
        <v>46386</v>
      </c>
      <c r="C23739" s="2" t="s">
        <v>195</v>
      </c>
      <c r="D23739" s="2" t="s">
        <v>431</v>
      </c>
      <c r="E23739" s="2" t="str">
        <f>"9783110462968"</f>
        <v>9783110462968</v>
      </c>
      <c r="F23739" s="2" t="str">
        <f>"9783110463088"</f>
        <v>9783110463088</v>
      </c>
    </row>
    <row r="23740" spans="1:6" s="3" customFormat="1" ht="29.1" customHeight="1" x14ac:dyDescent="0.25">
      <c r="A23740" s="2" t="s">
        <v>46387</v>
      </c>
      <c r="B23740" s="2" t="s">
        <v>46388</v>
      </c>
      <c r="C23740" s="2" t="s">
        <v>195</v>
      </c>
      <c r="D23740" s="2" t="s">
        <v>459</v>
      </c>
      <c r="E23740" s="2" t="str">
        <f>"9781501512629"</f>
        <v>9781501512629</v>
      </c>
      <c r="F23740" s="2" t="str">
        <f>"9781501504440"</f>
        <v>9781501504440</v>
      </c>
    </row>
    <row r="23741" spans="1:6" s="3" customFormat="1" ht="29.1" customHeight="1" x14ac:dyDescent="0.25">
      <c r="A23741" s="2" t="s">
        <v>46389</v>
      </c>
      <c r="B23741" s="2" t="s">
        <v>46390</v>
      </c>
      <c r="C23741" s="2" t="s">
        <v>195</v>
      </c>
      <c r="D23741" s="2" t="s">
        <v>1466</v>
      </c>
      <c r="E23741" s="2" t="str">
        <f>"9783110452105"</f>
        <v>9783110452105</v>
      </c>
      <c r="F23741" s="2" t="str">
        <f>"9783110452358"</f>
        <v>9783110452358</v>
      </c>
    </row>
    <row r="23742" spans="1:6" s="3" customFormat="1" ht="29.1" customHeight="1" x14ac:dyDescent="0.25">
      <c r="A23742" s="2" t="s">
        <v>46391</v>
      </c>
      <c r="B23742" s="2" t="s">
        <v>46392</v>
      </c>
      <c r="C23742" s="2" t="s">
        <v>195</v>
      </c>
      <c r="D23742" s="2" t="s">
        <v>210</v>
      </c>
      <c r="E23742" s="2" t="str">
        <f>"9783486764208"</f>
        <v>9783486764208</v>
      </c>
      <c r="F23742" s="2" t="str">
        <f>"9783486992502"</f>
        <v>9783486992502</v>
      </c>
    </row>
    <row r="23743" spans="1:6" s="3" customFormat="1" ht="29.1" customHeight="1" x14ac:dyDescent="0.25">
      <c r="A23743" s="2" t="s">
        <v>46393</v>
      </c>
      <c r="B23743" s="2" t="s">
        <v>46394</v>
      </c>
      <c r="C23743" s="2" t="s">
        <v>195</v>
      </c>
      <c r="D23743" s="2" t="s">
        <v>6548</v>
      </c>
      <c r="E23743" s="2" t="str">
        <f>"9783110444797"</f>
        <v>9783110444797</v>
      </c>
      <c r="F23743" s="2" t="str">
        <f>"9783110445459"</f>
        <v>9783110445459</v>
      </c>
    </row>
    <row r="23744" spans="1:6" s="3" customFormat="1" ht="29.1" customHeight="1" x14ac:dyDescent="0.25">
      <c r="A23744" s="2" t="s">
        <v>46395</v>
      </c>
      <c r="B23744" s="2" t="s">
        <v>46396</v>
      </c>
      <c r="C23744" s="2" t="s">
        <v>195</v>
      </c>
      <c r="D23744" s="2" t="s">
        <v>4185</v>
      </c>
      <c r="E23744" s="2" t="str">
        <f>"9783110455748"</f>
        <v>9783110455748</v>
      </c>
      <c r="F23744" s="2" t="str">
        <f>"9783110456455"</f>
        <v>9783110456455</v>
      </c>
    </row>
    <row r="23745" spans="1:6" s="3" customFormat="1" ht="29.1" customHeight="1" x14ac:dyDescent="0.25">
      <c r="A23745" s="2" t="s">
        <v>46397</v>
      </c>
      <c r="B23745" s="2" t="s">
        <v>46398</v>
      </c>
      <c r="C23745" s="2" t="s">
        <v>195</v>
      </c>
      <c r="D23745" s="2" t="s">
        <v>906</v>
      </c>
      <c r="E23745" s="2" t="str">
        <f>"9783110447897"</f>
        <v>9783110447897</v>
      </c>
      <c r="F23745" s="2" t="str">
        <f>"9783110454574"</f>
        <v>9783110454574</v>
      </c>
    </row>
    <row r="23746" spans="1:6" s="3" customFormat="1" ht="29.1" customHeight="1" x14ac:dyDescent="0.25">
      <c r="A23746" s="2" t="s">
        <v>46399</v>
      </c>
      <c r="B23746" s="2" t="s">
        <v>46400</v>
      </c>
      <c r="C23746" s="2" t="s">
        <v>11005</v>
      </c>
      <c r="D23746" s="2" t="s">
        <v>8874</v>
      </c>
      <c r="E23746" s="2" t="str">
        <f>"9783837925975"</f>
        <v>9783837925975</v>
      </c>
      <c r="F23746" s="2" t="str">
        <f>"9783837972313"</f>
        <v>9783837972313</v>
      </c>
    </row>
    <row r="23747" spans="1:6" s="3" customFormat="1" ht="29.1" customHeight="1" x14ac:dyDescent="0.25">
      <c r="A23747" s="2" t="s">
        <v>46401</v>
      </c>
      <c r="B23747" s="2" t="s">
        <v>46402</v>
      </c>
      <c r="C23747" s="2" t="s">
        <v>927</v>
      </c>
      <c r="D23747" s="2" t="s">
        <v>210</v>
      </c>
      <c r="E23747" s="2" t="str">
        <f>"9780472130146"</f>
        <v>9780472130146</v>
      </c>
      <c r="F23747" s="2" t="str">
        <f>"9780472122394"</f>
        <v>9780472122394</v>
      </c>
    </row>
    <row r="23748" spans="1:6" s="3" customFormat="1" ht="29.1" customHeight="1" x14ac:dyDescent="0.25">
      <c r="A23748" s="2" t="s">
        <v>46403</v>
      </c>
      <c r="B23748" s="2" t="s">
        <v>46404</v>
      </c>
      <c r="C23748" s="2" t="s">
        <v>556</v>
      </c>
      <c r="D23748" s="2" t="s">
        <v>1694</v>
      </c>
      <c r="E23748" s="2" t="str">
        <f>"9783837637335"</f>
        <v>9783837637335</v>
      </c>
      <c r="F23748" s="2" t="str">
        <f>"9783839437339"</f>
        <v>9783839437339</v>
      </c>
    </row>
    <row r="23749" spans="1:6" s="3" customFormat="1" ht="29.1" customHeight="1" x14ac:dyDescent="0.25">
      <c r="A23749" s="2" t="s">
        <v>46405</v>
      </c>
      <c r="B23749" s="2" t="s">
        <v>46406</v>
      </c>
      <c r="C23749" s="2" t="s">
        <v>556</v>
      </c>
      <c r="D23749" s="2" t="s">
        <v>2462</v>
      </c>
      <c r="E23749" s="2" t="str">
        <f>"9783837636918"</f>
        <v>9783837636918</v>
      </c>
      <c r="F23749" s="2" t="str">
        <f>"9783839436912"</f>
        <v>9783839436912</v>
      </c>
    </row>
    <row r="23750" spans="1:6" s="3" customFormat="1" ht="29.1" customHeight="1" x14ac:dyDescent="0.25">
      <c r="A23750" s="2" t="s">
        <v>46407</v>
      </c>
      <c r="B23750" s="2" t="s">
        <v>46408</v>
      </c>
      <c r="C23750" s="2" t="s">
        <v>556</v>
      </c>
      <c r="D23750" s="2" t="s">
        <v>2587</v>
      </c>
      <c r="E23750" s="2" t="str">
        <f>"9783837636628"</f>
        <v>9783837636628</v>
      </c>
      <c r="F23750" s="2" t="str">
        <f>"9783839436622"</f>
        <v>9783839436622</v>
      </c>
    </row>
    <row r="23751" spans="1:6" s="3" customFormat="1" ht="29.1" customHeight="1" x14ac:dyDescent="0.25">
      <c r="A23751" s="2" t="s">
        <v>46409</v>
      </c>
      <c r="B23751" s="2" t="s">
        <v>46410</v>
      </c>
      <c r="C23751" s="2" t="s">
        <v>556</v>
      </c>
      <c r="D23751" s="2" t="s">
        <v>75</v>
      </c>
      <c r="E23751" s="2" t="str">
        <f>"9783837636390"</f>
        <v>9783837636390</v>
      </c>
      <c r="F23751" s="2" t="str">
        <f>"9783839436394"</f>
        <v>9783839436394</v>
      </c>
    </row>
    <row r="23752" spans="1:6" s="3" customFormat="1" ht="29.1" customHeight="1" x14ac:dyDescent="0.25">
      <c r="A23752" s="2" t="s">
        <v>46411</v>
      </c>
      <c r="B23752" s="2" t="s">
        <v>46412</v>
      </c>
      <c r="C23752" s="2" t="s">
        <v>556</v>
      </c>
      <c r="D23752" s="2" t="s">
        <v>72</v>
      </c>
      <c r="E23752" s="2" t="str">
        <f>"9783837635485"</f>
        <v>9783837635485</v>
      </c>
      <c r="F23752" s="2" t="str">
        <f>"9783839435489"</f>
        <v>9783839435489</v>
      </c>
    </row>
    <row r="23753" spans="1:6" s="3" customFormat="1" ht="29.1" customHeight="1" x14ac:dyDescent="0.25">
      <c r="A23753" s="2" t="s">
        <v>46413</v>
      </c>
      <c r="B23753" s="2" t="s">
        <v>46414</v>
      </c>
      <c r="C23753" s="2" t="s">
        <v>556</v>
      </c>
      <c r="D23753" s="2" t="s">
        <v>1262</v>
      </c>
      <c r="E23753" s="2" t="str">
        <f>"9783837634884"</f>
        <v>9783837634884</v>
      </c>
      <c r="F23753" s="2" t="str">
        <f>"9783839434888"</f>
        <v>9783839434888</v>
      </c>
    </row>
    <row r="23754" spans="1:6" s="3" customFormat="1" ht="29.1" customHeight="1" x14ac:dyDescent="0.25">
      <c r="A23754" s="2" t="s">
        <v>46415</v>
      </c>
      <c r="B23754" s="2" t="s">
        <v>46416</v>
      </c>
      <c r="C23754" s="2" t="s">
        <v>556</v>
      </c>
      <c r="D23754" s="2" t="s">
        <v>72</v>
      </c>
      <c r="E23754" s="2" t="str">
        <f>"9783837634594"</f>
        <v>9783837634594</v>
      </c>
      <c r="F23754" s="2" t="str">
        <f>"9783839434598"</f>
        <v>9783839434598</v>
      </c>
    </row>
    <row r="23755" spans="1:6" s="3" customFormat="1" ht="29.1" customHeight="1" x14ac:dyDescent="0.25">
      <c r="A23755" s="2" t="s">
        <v>46417</v>
      </c>
      <c r="B23755" s="2" t="s">
        <v>46418</v>
      </c>
      <c r="C23755" s="2" t="s">
        <v>556</v>
      </c>
      <c r="D23755" s="2" t="s">
        <v>202</v>
      </c>
      <c r="E23755" s="2" t="str">
        <f>"9783837629750"</f>
        <v>9783837629750</v>
      </c>
      <c r="F23755" s="2" t="str">
        <f>"9783839429754"</f>
        <v>9783839429754</v>
      </c>
    </row>
    <row r="23756" spans="1:6" s="3" customFormat="1" ht="29.1" customHeight="1" x14ac:dyDescent="0.25">
      <c r="A23756" s="2" t="s">
        <v>46419</v>
      </c>
      <c r="B23756" s="2" t="s">
        <v>46420</v>
      </c>
      <c r="C23756" s="2" t="s">
        <v>124</v>
      </c>
      <c r="D23756" s="2" t="s">
        <v>297</v>
      </c>
      <c r="E23756" s="2" t="str">
        <f>"9781138645066"</f>
        <v>9781138645066</v>
      </c>
      <c r="F23756" s="2" t="str">
        <f>"9781317240846"</f>
        <v>9781317240846</v>
      </c>
    </row>
    <row r="23757" spans="1:6" s="3" customFormat="1" ht="29.1" customHeight="1" x14ac:dyDescent="0.25">
      <c r="A23757" s="2" t="s">
        <v>46421</v>
      </c>
      <c r="B23757" s="2" t="s">
        <v>46422</v>
      </c>
      <c r="C23757" s="2" t="s">
        <v>43061</v>
      </c>
      <c r="D23757" s="2" t="s">
        <v>894</v>
      </c>
      <c r="E23757" s="2" t="str">
        <f>"9783737602440"</f>
        <v>9783737602440</v>
      </c>
      <c r="F23757" s="2" t="str">
        <f>"9783737602457"</f>
        <v>9783737602457</v>
      </c>
    </row>
    <row r="23758" spans="1:6" s="3" customFormat="1" ht="29.1" customHeight="1" x14ac:dyDescent="0.25">
      <c r="A23758" s="2" t="s">
        <v>46423</v>
      </c>
      <c r="B23758" s="2" t="s">
        <v>46424</v>
      </c>
      <c r="C23758" s="2" t="s">
        <v>43061</v>
      </c>
      <c r="D23758" s="2" t="s">
        <v>17574</v>
      </c>
      <c r="E23758" s="2" t="str">
        <f>"9783737602167"</f>
        <v>9783737602167</v>
      </c>
      <c r="F23758" s="2" t="str">
        <f>"9783737602174"</f>
        <v>9783737602174</v>
      </c>
    </row>
    <row r="23759" spans="1:6" s="3" customFormat="1" ht="29.1" customHeight="1" x14ac:dyDescent="0.25">
      <c r="A23759" s="2" t="s">
        <v>46425</v>
      </c>
      <c r="B23759" s="2" t="s">
        <v>46426</v>
      </c>
      <c r="C23759" s="2" t="s">
        <v>43061</v>
      </c>
      <c r="D23759" s="2" t="s">
        <v>45236</v>
      </c>
      <c r="E23759" s="2" t="str">
        <f>"9783862199501"</f>
        <v>9783862199501</v>
      </c>
      <c r="F23759" s="2" t="str">
        <f>"9783862199518"</f>
        <v>9783862199518</v>
      </c>
    </row>
    <row r="23760" spans="1:6" s="3" customFormat="1" ht="29.1" customHeight="1" x14ac:dyDescent="0.25">
      <c r="A23760" s="2" t="s">
        <v>46427</v>
      </c>
      <c r="B23760" s="2" t="s">
        <v>46428</v>
      </c>
      <c r="C23760" s="2" t="s">
        <v>43061</v>
      </c>
      <c r="D23760" s="2" t="s">
        <v>34178</v>
      </c>
      <c r="E23760" s="2" t="str">
        <f>"9783737602341"</f>
        <v>9783737602341</v>
      </c>
      <c r="F23760" s="2" t="str">
        <f>"9783737602358"</f>
        <v>9783737602358</v>
      </c>
    </row>
    <row r="23761" spans="1:6" s="3" customFormat="1" ht="29.1" customHeight="1" x14ac:dyDescent="0.25">
      <c r="A23761" s="2" t="s">
        <v>46429</v>
      </c>
      <c r="B23761" s="2" t="s">
        <v>46430</v>
      </c>
      <c r="C23761" s="2" t="s">
        <v>43061</v>
      </c>
      <c r="D23761" s="2" t="s">
        <v>45236</v>
      </c>
      <c r="E23761" s="2" t="str">
        <f>"9783737602068"</f>
        <v>9783737602068</v>
      </c>
      <c r="F23761" s="2" t="str">
        <f>"9783737602075"</f>
        <v>9783737602075</v>
      </c>
    </row>
    <row r="23762" spans="1:6" s="3" customFormat="1" ht="29.1" customHeight="1" x14ac:dyDescent="0.25">
      <c r="A23762" s="2" t="s">
        <v>46431</v>
      </c>
      <c r="B23762" s="2" t="s">
        <v>46432</v>
      </c>
      <c r="C23762" s="2" t="s">
        <v>43061</v>
      </c>
      <c r="D23762" s="2" t="s">
        <v>4205</v>
      </c>
      <c r="E23762" s="2" t="str">
        <f>"9783737602044"</f>
        <v>9783737602044</v>
      </c>
      <c r="F23762" s="2" t="str">
        <f>"9783737602051"</f>
        <v>9783737602051</v>
      </c>
    </row>
    <row r="23763" spans="1:6" s="3" customFormat="1" ht="29.1" customHeight="1" x14ac:dyDescent="0.25">
      <c r="A23763" s="2" t="s">
        <v>46433</v>
      </c>
      <c r="B23763" s="2" t="s">
        <v>46434</v>
      </c>
      <c r="C23763" s="2" t="s">
        <v>248</v>
      </c>
      <c r="D23763" s="2" t="s">
        <v>75</v>
      </c>
      <c r="E23763" s="2" t="str">
        <f>"9783847405450"</f>
        <v>9783847405450</v>
      </c>
      <c r="F23763" s="2" t="str">
        <f>"9783847409458"</f>
        <v>9783847409458</v>
      </c>
    </row>
    <row r="23764" spans="1:6" s="3" customFormat="1" ht="29.1" customHeight="1" x14ac:dyDescent="0.25">
      <c r="A23764" s="2" t="s">
        <v>46435</v>
      </c>
      <c r="B23764" s="2" t="s">
        <v>46436</v>
      </c>
      <c r="C23764" s="2" t="s">
        <v>124</v>
      </c>
      <c r="D23764" s="2" t="s">
        <v>636</v>
      </c>
      <c r="E23764" s="2" t="str">
        <f>"9781138813984"</f>
        <v>9781138813984</v>
      </c>
      <c r="F23764" s="2" t="str">
        <f>"9781317602446"</f>
        <v>9781317602446</v>
      </c>
    </row>
    <row r="23765" spans="1:6" s="3" customFormat="1" ht="29.1" customHeight="1" x14ac:dyDescent="0.25">
      <c r="A23765" s="2" t="s">
        <v>46437</v>
      </c>
      <c r="B23765" s="2" t="s">
        <v>46438</v>
      </c>
      <c r="C23765" s="2" t="s">
        <v>29</v>
      </c>
      <c r="D23765" s="2" t="s">
        <v>12504</v>
      </c>
      <c r="E23765" s="2" t="str">
        <f>"9789086862931"</f>
        <v>9789086862931</v>
      </c>
      <c r="F23765" s="2" t="str">
        <f>"9789086868384"</f>
        <v>9789086868384</v>
      </c>
    </row>
    <row r="23766" spans="1:6" s="3" customFormat="1" ht="29.1" customHeight="1" x14ac:dyDescent="0.25">
      <c r="A23766" s="2" t="s">
        <v>46439</v>
      </c>
      <c r="B23766" s="2" t="s">
        <v>46441</v>
      </c>
      <c r="C23766" s="2" t="s">
        <v>8104</v>
      </c>
      <c r="D23766" s="2" t="s">
        <v>46440</v>
      </c>
      <c r="E23766" s="2" t="str">
        <f>"9781785333866"</f>
        <v>9781785333866</v>
      </c>
      <c r="F23766" s="2" t="str">
        <f>"9781785333873"</f>
        <v>9781785333873</v>
      </c>
    </row>
    <row r="23767" spans="1:6" s="3" customFormat="1" ht="29.1" customHeight="1" x14ac:dyDescent="0.25">
      <c r="A23767" s="2" t="s">
        <v>46442</v>
      </c>
      <c r="B23767" s="2" t="s">
        <v>46443</v>
      </c>
      <c r="C23767" s="2" t="s">
        <v>124</v>
      </c>
      <c r="D23767" s="2" t="s">
        <v>636</v>
      </c>
      <c r="E23767" s="2" t="str">
        <f>"9781138961210"</f>
        <v>9781138961210</v>
      </c>
      <c r="F23767" s="2" t="str">
        <f>"9781317335481"</f>
        <v>9781317335481</v>
      </c>
    </row>
    <row r="23768" spans="1:6" s="3" customFormat="1" ht="29.1" customHeight="1" x14ac:dyDescent="0.25">
      <c r="A23768" s="2" t="s">
        <v>46444</v>
      </c>
      <c r="B23768" s="2" t="s">
        <v>46445</v>
      </c>
      <c r="C23768" s="2" t="s">
        <v>124</v>
      </c>
      <c r="D23768" s="2" t="s">
        <v>324</v>
      </c>
      <c r="E23768" s="2" t="str">
        <f>"9780415712613"</f>
        <v>9780415712613</v>
      </c>
      <c r="F23768" s="2" t="str">
        <f>"9781134667680"</f>
        <v>9781134667680</v>
      </c>
    </row>
    <row r="23769" spans="1:6" s="3" customFormat="1" ht="29.1" customHeight="1" x14ac:dyDescent="0.25">
      <c r="A23769" s="2" t="s">
        <v>46446</v>
      </c>
      <c r="B23769" s="2" t="s">
        <v>46447</v>
      </c>
      <c r="C23769" s="2" t="s">
        <v>4788</v>
      </c>
      <c r="D23769" s="2" t="s">
        <v>1162</v>
      </c>
      <c r="E23769" s="2" t="str">
        <f>"9780748692774"</f>
        <v>9780748692774</v>
      </c>
      <c r="F23769" s="2" t="str">
        <f>"9780748692781"</f>
        <v>9780748692781</v>
      </c>
    </row>
    <row r="23770" spans="1:6" s="3" customFormat="1" ht="29.1" customHeight="1" x14ac:dyDescent="0.25">
      <c r="A23770" s="2" t="s">
        <v>46448</v>
      </c>
      <c r="B23770" s="2" t="s">
        <v>46449</v>
      </c>
      <c r="C23770" s="2" t="s">
        <v>131</v>
      </c>
      <c r="D23770" s="2" t="s">
        <v>1248</v>
      </c>
      <c r="E23770" s="2" t="str">
        <f>"9789027206596"</f>
        <v>9789027206596</v>
      </c>
      <c r="F23770" s="2" t="str">
        <f>"9789027266330"</f>
        <v>9789027266330</v>
      </c>
    </row>
    <row r="23771" spans="1:6" s="3" customFormat="1" ht="29.1" customHeight="1" x14ac:dyDescent="0.25">
      <c r="A23771" s="2" t="s">
        <v>46450</v>
      </c>
      <c r="B23771" s="2" t="s">
        <v>46451</v>
      </c>
      <c r="C23771" s="2" t="s">
        <v>4788</v>
      </c>
      <c r="D23771" s="2" t="s">
        <v>202</v>
      </c>
      <c r="E23771" s="2" t="str">
        <f>"9781474411424"</f>
        <v>9781474411424</v>
      </c>
      <c r="F23771" s="2" t="str">
        <f>"9781474411431"</f>
        <v>9781474411431</v>
      </c>
    </row>
    <row r="23772" spans="1:6" s="3" customFormat="1" ht="29.1" customHeight="1" x14ac:dyDescent="0.25">
      <c r="A23772" s="2" t="s">
        <v>46452</v>
      </c>
      <c r="B23772" s="2" t="s">
        <v>46453</v>
      </c>
      <c r="C23772" s="2" t="s">
        <v>4788</v>
      </c>
      <c r="D23772" s="2" t="s">
        <v>1578</v>
      </c>
      <c r="E23772" s="2" t="str">
        <f>"9781474410427"</f>
        <v>9781474410427</v>
      </c>
      <c r="F23772" s="2" t="str">
        <f>"9781474410434"</f>
        <v>9781474410434</v>
      </c>
    </row>
    <row r="23773" spans="1:6" s="3" customFormat="1" ht="29.1" customHeight="1" x14ac:dyDescent="0.25">
      <c r="A23773" s="2" t="s">
        <v>46454</v>
      </c>
      <c r="B23773" s="2" t="s">
        <v>46455</v>
      </c>
      <c r="C23773" s="2" t="s">
        <v>4788</v>
      </c>
      <c r="D23773" s="2" t="s">
        <v>906</v>
      </c>
      <c r="E23773" s="2" t="str">
        <f>"9781474402255"</f>
        <v>9781474402255</v>
      </c>
      <c r="F23773" s="2" t="str">
        <f>"9781474402262"</f>
        <v>9781474402262</v>
      </c>
    </row>
    <row r="23774" spans="1:6" s="3" customFormat="1" ht="29.1" customHeight="1" x14ac:dyDescent="0.25">
      <c r="A23774" s="2" t="s">
        <v>46456</v>
      </c>
      <c r="B23774" s="2" t="s">
        <v>46457</v>
      </c>
      <c r="C23774" s="2" t="s">
        <v>4788</v>
      </c>
      <c r="D23774" s="2" t="s">
        <v>202</v>
      </c>
      <c r="E23774" s="2" t="str">
        <f>"9781474406864"</f>
        <v>9781474406864</v>
      </c>
      <c r="F23774" s="2" t="str">
        <f>"9781474406871"</f>
        <v>9781474406871</v>
      </c>
    </row>
    <row r="23775" spans="1:6" s="3" customFormat="1" ht="29.1" customHeight="1" x14ac:dyDescent="0.25">
      <c r="A23775" s="2" t="s">
        <v>46458</v>
      </c>
      <c r="B23775" s="2" t="s">
        <v>46459</v>
      </c>
      <c r="C23775" s="2" t="s">
        <v>4788</v>
      </c>
      <c r="D23775" s="2" t="s">
        <v>1062</v>
      </c>
      <c r="E23775" s="2" t="str">
        <f>"9781474402965"</f>
        <v>9781474402965</v>
      </c>
      <c r="F23775" s="2" t="str">
        <f>"9781474402972"</f>
        <v>9781474402972</v>
      </c>
    </row>
    <row r="23776" spans="1:6" s="3" customFormat="1" ht="29.1" customHeight="1" x14ac:dyDescent="0.25">
      <c r="A23776" s="2" t="s">
        <v>46460</v>
      </c>
      <c r="B23776" s="2" t="s">
        <v>46461</v>
      </c>
      <c r="C23776" s="2" t="s">
        <v>131</v>
      </c>
      <c r="D23776" s="2" t="s">
        <v>1248</v>
      </c>
      <c r="E23776" s="2" t="str">
        <f>"9789027202932"</f>
        <v>9789027202932</v>
      </c>
      <c r="F23776" s="2" t="str">
        <f>"9789027271716"</f>
        <v>9789027271716</v>
      </c>
    </row>
    <row r="23777" spans="1:6" s="3" customFormat="1" ht="29.1" customHeight="1" x14ac:dyDescent="0.25">
      <c r="A23777" s="2" t="s">
        <v>46462</v>
      </c>
      <c r="B23777" s="2" t="s">
        <v>46463</v>
      </c>
      <c r="C23777" s="2" t="s">
        <v>2129</v>
      </c>
      <c r="D23777" s="2" t="s">
        <v>1694</v>
      </c>
      <c r="E23777" s="2" t="str">
        <f>"9781438462936"</f>
        <v>9781438462936</v>
      </c>
      <c r="F23777" s="2" t="str">
        <f>"9781438462950"</f>
        <v>9781438462950</v>
      </c>
    </row>
    <row r="23778" spans="1:6" s="3" customFormat="1" ht="29.1" customHeight="1" x14ac:dyDescent="0.25">
      <c r="A23778" s="2" t="s">
        <v>46464</v>
      </c>
      <c r="B23778" s="2" t="s">
        <v>46465</v>
      </c>
      <c r="C23778" s="2" t="s">
        <v>43061</v>
      </c>
      <c r="D23778" s="2" t="s">
        <v>2749</v>
      </c>
      <c r="E23778" s="2" t="str">
        <f>"9783737601764"</f>
        <v>9783737601764</v>
      </c>
      <c r="F23778" s="2" t="str">
        <f>"9783737601771"</f>
        <v>9783737601771</v>
      </c>
    </row>
    <row r="23779" spans="1:6" s="3" customFormat="1" ht="29.1" customHeight="1" x14ac:dyDescent="0.25">
      <c r="A23779" s="2" t="s">
        <v>46466</v>
      </c>
      <c r="B23779" s="2" t="s">
        <v>46467</v>
      </c>
      <c r="C23779" s="2" t="s">
        <v>43061</v>
      </c>
      <c r="D23779" s="2" t="s">
        <v>8874</v>
      </c>
      <c r="E23779" s="2" t="str">
        <f>"9783737600361"</f>
        <v>9783737600361</v>
      </c>
      <c r="F23779" s="2" t="str">
        <f>"9783737600378"</f>
        <v>9783737600378</v>
      </c>
    </row>
    <row r="23780" spans="1:6" s="3" customFormat="1" ht="29.1" customHeight="1" x14ac:dyDescent="0.25">
      <c r="A23780" s="2" t="s">
        <v>46468</v>
      </c>
      <c r="B23780" s="2" t="s">
        <v>46469</v>
      </c>
      <c r="C23780" s="2" t="s">
        <v>43061</v>
      </c>
      <c r="D23780" s="2" t="s">
        <v>34178</v>
      </c>
      <c r="E23780" s="2" t="str">
        <f>"9783737602228"</f>
        <v>9783737602228</v>
      </c>
      <c r="F23780" s="2" t="str">
        <f>"9783737602235"</f>
        <v>9783737602235</v>
      </c>
    </row>
    <row r="23781" spans="1:6" s="3" customFormat="1" ht="29.1" customHeight="1" x14ac:dyDescent="0.25">
      <c r="A23781" s="2" t="s">
        <v>46470</v>
      </c>
      <c r="B23781" s="2" t="s">
        <v>46471</v>
      </c>
      <c r="C23781" s="2" t="s">
        <v>124</v>
      </c>
      <c r="D23781" s="2" t="s">
        <v>270</v>
      </c>
      <c r="E23781" s="2" t="str">
        <f>"9781138669727"</f>
        <v>9781138669727</v>
      </c>
      <c r="F23781" s="2" t="str">
        <f>"9781317209805"</f>
        <v>9781317209805</v>
      </c>
    </row>
    <row r="23782" spans="1:6" s="3" customFormat="1" ht="29.1" customHeight="1" x14ac:dyDescent="0.25">
      <c r="A23782" s="2" t="s">
        <v>46472</v>
      </c>
      <c r="B23782" s="2" t="s">
        <v>46473</v>
      </c>
      <c r="C23782" s="2" t="s">
        <v>36</v>
      </c>
      <c r="D23782" s="2" t="s">
        <v>3214</v>
      </c>
      <c r="E23782" s="2" t="str">
        <f>"9781447324775"</f>
        <v>9781447324775</v>
      </c>
      <c r="F23782" s="2" t="str">
        <f>"9781447324805"</f>
        <v>9781447324805</v>
      </c>
    </row>
    <row r="23783" spans="1:6" s="3" customFormat="1" ht="29.1" customHeight="1" x14ac:dyDescent="0.25">
      <c r="A23783" s="2" t="s">
        <v>46474</v>
      </c>
      <c r="B23783" s="2" t="s">
        <v>44412</v>
      </c>
      <c r="C23783" s="2" t="s">
        <v>248</v>
      </c>
      <c r="D23783" s="2" t="s">
        <v>249</v>
      </c>
      <c r="E23783" s="2" t="str">
        <f>"9783847420170"</f>
        <v>9783847420170</v>
      </c>
      <c r="F23783" s="2" t="str">
        <f>"9783847410041"</f>
        <v>9783847410041</v>
      </c>
    </row>
    <row r="23784" spans="1:6" s="3" customFormat="1" ht="29.1" customHeight="1" x14ac:dyDescent="0.25">
      <c r="A23784" s="2" t="s">
        <v>46475</v>
      </c>
      <c r="B23784" s="2" t="s">
        <v>46476</v>
      </c>
      <c r="C23784" s="2" t="s">
        <v>316</v>
      </c>
      <c r="D23784" s="2" t="s">
        <v>1959</v>
      </c>
      <c r="E23784" s="2" t="str">
        <f>"9783038357841"</f>
        <v>9783038357841</v>
      </c>
      <c r="F23784" s="2" t="str">
        <f>"9783035702750"</f>
        <v>9783035702750</v>
      </c>
    </row>
    <row r="23785" spans="1:6" s="3" customFormat="1" ht="29.1" customHeight="1" x14ac:dyDescent="0.25">
      <c r="A23785" s="2" t="s">
        <v>46477</v>
      </c>
      <c r="B23785" s="2" t="s">
        <v>46478</v>
      </c>
      <c r="C23785" s="2" t="s">
        <v>885</v>
      </c>
      <c r="D23785" s="2" t="s">
        <v>2810</v>
      </c>
      <c r="E23785" s="2" t="str">
        <f>"9781442629547"</f>
        <v>9781442629547</v>
      </c>
      <c r="F23785" s="2" t="str">
        <f>"9781442629554"</f>
        <v>9781442629554</v>
      </c>
    </row>
    <row r="23786" spans="1:6" s="3" customFormat="1" ht="29.1" customHeight="1" x14ac:dyDescent="0.25">
      <c r="A23786" s="2" t="s">
        <v>46479</v>
      </c>
      <c r="B23786" s="2" t="s">
        <v>46480</v>
      </c>
      <c r="C23786" s="2" t="s">
        <v>8047</v>
      </c>
      <c r="D23786" s="2" t="s">
        <v>1049</v>
      </c>
      <c r="E23786" s="2" t="str">
        <f>"9780271034102"</f>
        <v>9780271034102</v>
      </c>
      <c r="F23786" s="2" t="str">
        <f>"9780271078601"</f>
        <v>9780271078601</v>
      </c>
    </row>
    <row r="23787" spans="1:6" s="3" customFormat="1" ht="29.1" customHeight="1" x14ac:dyDescent="0.25">
      <c r="A23787" s="2" t="s">
        <v>46481</v>
      </c>
      <c r="B23787" s="2" t="s">
        <v>4860</v>
      </c>
      <c r="C23787" s="2" t="s">
        <v>34257</v>
      </c>
      <c r="D23787" s="2" t="s">
        <v>4210</v>
      </c>
      <c r="E23787" s="2" t="str">
        <f>"9780745399089"</f>
        <v>9780745399089</v>
      </c>
      <c r="F23787" s="2" t="str">
        <f>"9781786800145"</f>
        <v>9781786800145</v>
      </c>
    </row>
    <row r="23788" spans="1:6" s="3" customFormat="1" ht="29.1" customHeight="1" x14ac:dyDescent="0.25">
      <c r="A23788" s="2" t="s">
        <v>46482</v>
      </c>
      <c r="B23788" s="2" t="s">
        <v>46483</v>
      </c>
      <c r="C23788" s="2" t="s">
        <v>34257</v>
      </c>
      <c r="D23788" s="2" t="s">
        <v>1162</v>
      </c>
      <c r="E23788" s="2" t="str">
        <f>"9780745335681"</f>
        <v>9780745335681</v>
      </c>
      <c r="F23788" s="2" t="str">
        <f>"9781786800077"</f>
        <v>9781786800077</v>
      </c>
    </row>
    <row r="23789" spans="1:6" s="3" customFormat="1" ht="29.1" customHeight="1" x14ac:dyDescent="0.25">
      <c r="A23789" s="2" t="s">
        <v>46484</v>
      </c>
      <c r="B23789" s="2" t="s">
        <v>46485</v>
      </c>
      <c r="C23789" s="2" t="s">
        <v>43061</v>
      </c>
      <c r="D23789" s="2" t="s">
        <v>218</v>
      </c>
      <c r="E23789" s="2" t="str">
        <f>"9783737601405"</f>
        <v>9783737601405</v>
      </c>
      <c r="F23789" s="2" t="str">
        <f>"9783737601412"</f>
        <v>9783737601412</v>
      </c>
    </row>
    <row r="23790" spans="1:6" s="3" customFormat="1" ht="29.1" customHeight="1" x14ac:dyDescent="0.25">
      <c r="A23790" s="2" t="s">
        <v>46486</v>
      </c>
      <c r="B23790" s="2" t="s">
        <v>46487</v>
      </c>
      <c r="C23790" s="2" t="s">
        <v>43061</v>
      </c>
      <c r="D23790" s="2" t="s">
        <v>8874</v>
      </c>
      <c r="E23790" s="2" t="str">
        <f>"9783737601948"</f>
        <v>9783737601948</v>
      </c>
      <c r="F23790" s="2" t="str">
        <f>"9783737601955"</f>
        <v>9783737601955</v>
      </c>
    </row>
    <row r="23791" spans="1:6" s="3" customFormat="1" ht="29.1" customHeight="1" x14ac:dyDescent="0.25">
      <c r="A23791" s="2" t="s">
        <v>46488</v>
      </c>
      <c r="B23791" s="2" t="s">
        <v>46490</v>
      </c>
      <c r="C23791" s="2" t="s">
        <v>43061</v>
      </c>
      <c r="D23791" s="2" t="s">
        <v>46489</v>
      </c>
      <c r="E23791" s="2" t="str">
        <f>"9783737601900"</f>
        <v>9783737601900</v>
      </c>
      <c r="F23791" s="2" t="str">
        <f>"9783737601917"</f>
        <v>9783737601917</v>
      </c>
    </row>
    <row r="23792" spans="1:6" s="3" customFormat="1" ht="29.1" customHeight="1" x14ac:dyDescent="0.25">
      <c r="A23792" s="2" t="s">
        <v>46491</v>
      </c>
      <c r="B23792" s="2" t="s">
        <v>46492</v>
      </c>
      <c r="C23792" s="2" t="s">
        <v>43061</v>
      </c>
      <c r="D23792" s="2" t="s">
        <v>650</v>
      </c>
      <c r="E23792" s="2" t="str">
        <f>"9783737601788"</f>
        <v>9783737601788</v>
      </c>
      <c r="F23792" s="2" t="str">
        <f>"9783737601795"</f>
        <v>9783737601795</v>
      </c>
    </row>
    <row r="23793" spans="1:6" s="3" customFormat="1" ht="29.1" customHeight="1" x14ac:dyDescent="0.25">
      <c r="A23793" s="2" t="s">
        <v>46493</v>
      </c>
      <c r="B23793" s="2" t="s">
        <v>46494</v>
      </c>
      <c r="C23793" s="2" t="s">
        <v>43061</v>
      </c>
      <c r="D23793" s="2" t="s">
        <v>218</v>
      </c>
      <c r="E23793" s="2" t="str">
        <f>"9783737602143"</f>
        <v>9783737602143</v>
      </c>
      <c r="F23793" s="2" t="str">
        <f>"9783737602150"</f>
        <v>9783737602150</v>
      </c>
    </row>
    <row r="23794" spans="1:6" s="3" customFormat="1" ht="29.1" customHeight="1" x14ac:dyDescent="0.25">
      <c r="A23794" s="2" t="s">
        <v>46495</v>
      </c>
      <c r="B23794" s="2" t="s">
        <v>46496</v>
      </c>
      <c r="C23794" s="2" t="s">
        <v>43061</v>
      </c>
      <c r="D23794" s="2" t="s">
        <v>487</v>
      </c>
      <c r="E23794" s="2" t="str">
        <f>"9783737602020"</f>
        <v>9783737602020</v>
      </c>
      <c r="F23794" s="2" t="str">
        <f>"9783737602037"</f>
        <v>9783737602037</v>
      </c>
    </row>
    <row r="23795" spans="1:6" s="3" customFormat="1" ht="29.1" customHeight="1" x14ac:dyDescent="0.25">
      <c r="A23795" s="2" t="s">
        <v>46497</v>
      </c>
      <c r="B23795" s="2" t="s">
        <v>46498</v>
      </c>
      <c r="C23795" s="2" t="s">
        <v>43061</v>
      </c>
      <c r="D23795" s="2" t="s">
        <v>45236</v>
      </c>
      <c r="E23795" s="2" t="str">
        <f>"9783737602082"</f>
        <v>9783737602082</v>
      </c>
      <c r="F23795" s="2" t="str">
        <f>"9783737602099"</f>
        <v>9783737602099</v>
      </c>
    </row>
    <row r="23796" spans="1:6" s="3" customFormat="1" ht="29.1" customHeight="1" x14ac:dyDescent="0.25">
      <c r="A23796" s="2" t="s">
        <v>46499</v>
      </c>
      <c r="B23796" s="2" t="s">
        <v>46500</v>
      </c>
      <c r="C23796" s="2" t="s">
        <v>927</v>
      </c>
      <c r="D23796" s="2" t="s">
        <v>81</v>
      </c>
      <c r="E23796" s="2" t="str">
        <f>"9780472119769"</f>
        <v>9780472119769</v>
      </c>
      <c r="F23796" s="2" t="str">
        <f>"9780472121663"</f>
        <v>9780472121663</v>
      </c>
    </row>
    <row r="23797" spans="1:6" s="3" customFormat="1" ht="29.1" customHeight="1" x14ac:dyDescent="0.25">
      <c r="A23797" s="2" t="s">
        <v>46501</v>
      </c>
      <c r="B23797" s="2" t="s">
        <v>46502</v>
      </c>
      <c r="C23797" s="2" t="s">
        <v>124</v>
      </c>
      <c r="D23797" s="2" t="s">
        <v>9</v>
      </c>
      <c r="E23797" s="2" t="str">
        <f>"9781138890275"</f>
        <v>9781138890275</v>
      </c>
      <c r="F23797" s="2" t="str">
        <f>"9781317495147"</f>
        <v>9781317495147</v>
      </c>
    </row>
    <row r="23798" spans="1:6" s="3" customFormat="1" ht="29.1" customHeight="1" x14ac:dyDescent="0.25">
      <c r="A23798" s="2" t="s">
        <v>46503</v>
      </c>
      <c r="B23798" s="2" t="s">
        <v>46504</v>
      </c>
      <c r="C23798" s="2" t="s">
        <v>248</v>
      </c>
      <c r="D23798" s="2" t="s">
        <v>2139</v>
      </c>
      <c r="E23798" s="2" t="str">
        <f>"9783847405870"</f>
        <v>9783847405870</v>
      </c>
      <c r="F23798" s="2" t="str">
        <f>"9783847409755"</f>
        <v>9783847409755</v>
      </c>
    </row>
    <row r="23799" spans="1:6" s="3" customFormat="1" ht="29.1" customHeight="1" x14ac:dyDescent="0.25">
      <c r="A23799" s="2" t="s">
        <v>46505</v>
      </c>
      <c r="B23799" s="2" t="s">
        <v>46506</v>
      </c>
      <c r="C23799" s="2" t="s">
        <v>248</v>
      </c>
      <c r="D23799" s="2" t="s">
        <v>183</v>
      </c>
      <c r="E23799" s="2" t="str">
        <f>"9783847420262"</f>
        <v>9783847420262</v>
      </c>
      <c r="F23799" s="2" t="str">
        <f>"9783847410270"</f>
        <v>9783847410270</v>
      </c>
    </row>
    <row r="23800" spans="1:6" s="3" customFormat="1" ht="29.1" customHeight="1" x14ac:dyDescent="0.25">
      <c r="A23800" s="2" t="s">
        <v>46507</v>
      </c>
      <c r="B23800" s="2" t="s">
        <v>39479</v>
      </c>
      <c r="C23800" s="2" t="s">
        <v>26676</v>
      </c>
      <c r="D23800" s="2" t="s">
        <v>1565</v>
      </c>
      <c r="E23800" s="2" t="str">
        <f>"9781644690314"</f>
        <v>9781644690314</v>
      </c>
      <c r="F23800" s="2" t="str">
        <f>"9781618115232"</f>
        <v>9781618115232</v>
      </c>
    </row>
    <row r="23801" spans="1:6" s="3" customFormat="1" ht="29.1" customHeight="1" x14ac:dyDescent="0.25">
      <c r="A23801" s="2" t="s">
        <v>46508</v>
      </c>
      <c r="B23801" s="2" t="s">
        <v>46510</v>
      </c>
      <c r="C23801" s="2" t="s">
        <v>26676</v>
      </c>
      <c r="D23801" s="2" t="s">
        <v>46509</v>
      </c>
      <c r="E23801" s="2" t="str">
        <f>"9781618115775"</f>
        <v>9781618115775</v>
      </c>
      <c r="F23801" s="2" t="str">
        <f>"9781618115140"</f>
        <v>9781618115140</v>
      </c>
    </row>
    <row r="23802" spans="1:6" s="3" customFormat="1" ht="29.1" customHeight="1" x14ac:dyDescent="0.25">
      <c r="A23802" s="2" t="s">
        <v>46511</v>
      </c>
      <c r="B23802" s="2" t="s">
        <v>46512</v>
      </c>
      <c r="C23802" s="2" t="s">
        <v>124</v>
      </c>
      <c r="D23802" s="2" t="s">
        <v>9</v>
      </c>
      <c r="E23802" s="2" t="str">
        <f>"9781138845848"</f>
        <v>9781138845848</v>
      </c>
      <c r="F23802" s="2" t="str">
        <f>"9781317541295"</f>
        <v>9781317541295</v>
      </c>
    </row>
    <row r="23803" spans="1:6" s="3" customFormat="1" ht="29.1" customHeight="1" x14ac:dyDescent="0.25">
      <c r="A23803" s="2" t="s">
        <v>46513</v>
      </c>
      <c r="B23803" s="2" t="s">
        <v>46514</v>
      </c>
      <c r="C23803" s="2" t="s">
        <v>124</v>
      </c>
      <c r="D23803" s="2" t="s">
        <v>270</v>
      </c>
      <c r="E23803" s="2" t="str">
        <f>"9789089648051"</f>
        <v>9789089648051</v>
      </c>
      <c r="F23803" s="2" t="str">
        <f>"9781040795729"</f>
        <v>9781040795729</v>
      </c>
    </row>
    <row r="23804" spans="1:6" s="3" customFormat="1" ht="29.1" customHeight="1" x14ac:dyDescent="0.25">
      <c r="A23804" s="2" t="s">
        <v>46515</v>
      </c>
      <c r="B23804" s="2" t="s">
        <v>46516</v>
      </c>
      <c r="C23804" s="2" t="s">
        <v>124</v>
      </c>
      <c r="D23804" s="2" t="s">
        <v>183</v>
      </c>
      <c r="E23804" s="2" t="str">
        <f>"9781041175599"</f>
        <v>9781041175599</v>
      </c>
      <c r="F23804" s="2" t="str">
        <f>"9781040785744"</f>
        <v>9781040785744</v>
      </c>
    </row>
    <row r="23805" spans="1:6" s="3" customFormat="1" ht="29.1" customHeight="1" x14ac:dyDescent="0.25">
      <c r="A23805" s="2" t="s">
        <v>46517</v>
      </c>
      <c r="B23805" s="2" t="s">
        <v>46518</v>
      </c>
      <c r="C23805" s="2" t="s">
        <v>556</v>
      </c>
      <c r="D23805" s="2" t="s">
        <v>5794</v>
      </c>
      <c r="E23805" s="2" t="str">
        <f>"9783837636666"</f>
        <v>9783837636666</v>
      </c>
      <c r="F23805" s="2" t="str">
        <f>"9783839436660"</f>
        <v>9783839436660</v>
      </c>
    </row>
    <row r="23806" spans="1:6" s="3" customFormat="1" ht="29.1" customHeight="1" x14ac:dyDescent="0.25">
      <c r="A23806" s="2" t="s">
        <v>46519</v>
      </c>
      <c r="B23806" s="2" t="s">
        <v>46520</v>
      </c>
      <c r="C23806" s="2" t="s">
        <v>556</v>
      </c>
      <c r="D23806" s="2" t="s">
        <v>689</v>
      </c>
      <c r="E23806" s="2" t="str">
        <f>"9783837636321"</f>
        <v>9783837636321</v>
      </c>
      <c r="F23806" s="2" t="str">
        <f>"9783839436325"</f>
        <v>9783839436325</v>
      </c>
    </row>
    <row r="23807" spans="1:6" s="3" customFormat="1" ht="29.1" customHeight="1" x14ac:dyDescent="0.25">
      <c r="A23807" s="2" t="s">
        <v>46521</v>
      </c>
      <c r="B23807" s="2" t="s">
        <v>46522</v>
      </c>
      <c r="C23807" s="2" t="s">
        <v>556</v>
      </c>
      <c r="D23807" s="2" t="s">
        <v>2326</v>
      </c>
      <c r="E23807" s="2" t="str">
        <f>"9783837636130"</f>
        <v>9783837636130</v>
      </c>
      <c r="F23807" s="2" t="str">
        <f>"9783839436134"</f>
        <v>9783839436134</v>
      </c>
    </row>
    <row r="23808" spans="1:6" s="3" customFormat="1" ht="29.1" customHeight="1" x14ac:dyDescent="0.25">
      <c r="A23808" s="2" t="s">
        <v>46523</v>
      </c>
      <c r="B23808" s="2" t="s">
        <v>46524</v>
      </c>
      <c r="C23808" s="2" t="s">
        <v>556</v>
      </c>
      <c r="D23808" s="2" t="s">
        <v>183</v>
      </c>
      <c r="E23808" s="2" t="str">
        <f>"9783837636079"</f>
        <v>9783837636079</v>
      </c>
      <c r="F23808" s="2" t="str">
        <f>"9783839436073"</f>
        <v>9783839436073</v>
      </c>
    </row>
    <row r="23809" spans="1:6" s="3" customFormat="1" ht="29.1" customHeight="1" x14ac:dyDescent="0.25">
      <c r="A23809" s="2" t="s">
        <v>46525</v>
      </c>
      <c r="B23809" s="2" t="s">
        <v>37664</v>
      </c>
      <c r="C23809" s="2" t="s">
        <v>556</v>
      </c>
      <c r="D23809" s="2" t="s">
        <v>1162</v>
      </c>
      <c r="E23809" s="2" t="str">
        <f>"9783837636062"</f>
        <v>9783837636062</v>
      </c>
      <c r="F23809" s="2" t="str">
        <f>"9783839436066"</f>
        <v>9783839436066</v>
      </c>
    </row>
    <row r="23810" spans="1:6" s="3" customFormat="1" ht="29.1" customHeight="1" x14ac:dyDescent="0.25">
      <c r="A23810" s="2" t="s">
        <v>46526</v>
      </c>
      <c r="B23810" s="2" t="s">
        <v>46527</v>
      </c>
      <c r="C23810" s="2" t="s">
        <v>556</v>
      </c>
      <c r="D23810" s="2" t="s">
        <v>501</v>
      </c>
      <c r="E23810" s="2" t="str">
        <f>"9783837635874"</f>
        <v>9783837635874</v>
      </c>
      <c r="F23810" s="2" t="str">
        <f>"9783839435878"</f>
        <v>9783839435878</v>
      </c>
    </row>
    <row r="23811" spans="1:6" s="3" customFormat="1" ht="29.1" customHeight="1" x14ac:dyDescent="0.25">
      <c r="A23811" s="2" t="s">
        <v>46528</v>
      </c>
      <c r="B23811" s="2" t="s">
        <v>46529</v>
      </c>
      <c r="C23811" s="2" t="s">
        <v>556</v>
      </c>
      <c r="D23811" s="2" t="s">
        <v>1109</v>
      </c>
      <c r="E23811" s="2" t="str">
        <f>"9783837635492"</f>
        <v>9783837635492</v>
      </c>
      <c r="F23811" s="2" t="str">
        <f>"9783839435496"</f>
        <v>9783839435496</v>
      </c>
    </row>
    <row r="23812" spans="1:6" s="3" customFormat="1" ht="29.1" customHeight="1" x14ac:dyDescent="0.25">
      <c r="A23812" s="2" t="s">
        <v>46530</v>
      </c>
      <c r="B23812" s="2" t="s">
        <v>46531</v>
      </c>
      <c r="C23812" s="2" t="s">
        <v>556</v>
      </c>
      <c r="D23812" s="2" t="s">
        <v>218</v>
      </c>
      <c r="E23812" s="2" t="str">
        <f>"9783837635041"</f>
        <v>9783837635041</v>
      </c>
      <c r="F23812" s="2" t="str">
        <f>"9783839435045"</f>
        <v>9783839435045</v>
      </c>
    </row>
    <row r="23813" spans="1:6" s="3" customFormat="1" ht="29.1" customHeight="1" x14ac:dyDescent="0.25">
      <c r="A23813" s="2" t="s">
        <v>46532</v>
      </c>
      <c r="B23813" s="2" t="s">
        <v>46533</v>
      </c>
      <c r="C23813" s="2" t="s">
        <v>556</v>
      </c>
      <c r="D23813" s="2" t="s">
        <v>1228</v>
      </c>
      <c r="E23813" s="2" t="str">
        <f>"9783837634297"</f>
        <v>9783837634297</v>
      </c>
      <c r="F23813" s="2" t="str">
        <f>"9783839434291"</f>
        <v>9783839434291</v>
      </c>
    </row>
    <row r="23814" spans="1:6" s="3" customFormat="1" ht="29.1" customHeight="1" x14ac:dyDescent="0.25">
      <c r="A23814" s="2" t="s">
        <v>46534</v>
      </c>
      <c r="B23814" s="2" t="s">
        <v>46535</v>
      </c>
      <c r="C23814" s="2" t="s">
        <v>556</v>
      </c>
      <c r="D23814" s="2" t="s">
        <v>1162</v>
      </c>
      <c r="E23814" s="2" t="str">
        <f>"9783837632866"</f>
        <v>9783837632866</v>
      </c>
      <c r="F23814" s="2" t="str">
        <f>"9783839432860"</f>
        <v>9783839432860</v>
      </c>
    </row>
    <row r="23815" spans="1:6" s="3" customFormat="1" ht="29.1" customHeight="1" x14ac:dyDescent="0.25">
      <c r="A23815" s="2" t="s">
        <v>46536</v>
      </c>
      <c r="B23815" s="2" t="s">
        <v>46537</v>
      </c>
      <c r="C23815" s="2" t="s">
        <v>556</v>
      </c>
      <c r="D23815" s="2" t="s">
        <v>484</v>
      </c>
      <c r="E23815" s="2" t="str">
        <f>"9783837625394"</f>
        <v>9783837625394</v>
      </c>
      <c r="F23815" s="2" t="str">
        <f>"9783839425398"</f>
        <v>9783839425398</v>
      </c>
    </row>
    <row r="23816" spans="1:6" s="3" customFormat="1" ht="29.1" customHeight="1" x14ac:dyDescent="0.25">
      <c r="A23816" s="2" t="s">
        <v>46538</v>
      </c>
      <c r="B23816" s="2" t="s">
        <v>46539</v>
      </c>
      <c r="C23816" s="2" t="s">
        <v>556</v>
      </c>
      <c r="D23816" s="2" t="s">
        <v>490</v>
      </c>
      <c r="E23816" s="2" t="str">
        <f>"9783837634501"</f>
        <v>9783837634501</v>
      </c>
      <c r="F23816" s="2" t="str">
        <f>"9783732834501"</f>
        <v>9783732834501</v>
      </c>
    </row>
    <row r="23817" spans="1:6" s="3" customFormat="1" ht="29.1" customHeight="1" x14ac:dyDescent="0.25">
      <c r="A23817" s="2" t="s">
        <v>46540</v>
      </c>
      <c r="B23817" s="2" t="s">
        <v>46541</v>
      </c>
      <c r="C23817" s="2" t="s">
        <v>124</v>
      </c>
      <c r="D23817" s="2" t="s">
        <v>270</v>
      </c>
      <c r="E23817" s="2" t="str">
        <f>"9781041183389"</f>
        <v>9781041183389</v>
      </c>
      <c r="F23817" s="2" t="str">
        <f>"9781040779255"</f>
        <v>9781040779255</v>
      </c>
    </row>
    <row r="23818" spans="1:6" s="3" customFormat="1" ht="29.1" customHeight="1" x14ac:dyDescent="0.25">
      <c r="A23818" s="2" t="s">
        <v>46542</v>
      </c>
      <c r="B23818" s="2" t="s">
        <v>46543</v>
      </c>
      <c r="C23818" s="2" t="s">
        <v>927</v>
      </c>
      <c r="D23818" s="2" t="s">
        <v>8788</v>
      </c>
      <c r="E23818" s="2" t="str">
        <f>"9780472119950"</f>
        <v>9780472119950</v>
      </c>
      <c r="F23818" s="2" t="str">
        <f>"9780472122271"</f>
        <v>9780472122271</v>
      </c>
    </row>
    <row r="23819" spans="1:6" s="3" customFormat="1" ht="29.1" customHeight="1" x14ac:dyDescent="0.25">
      <c r="A23819" s="2" t="s">
        <v>46544</v>
      </c>
      <c r="B23819" s="2" t="s">
        <v>46545</v>
      </c>
      <c r="C23819" s="2" t="s">
        <v>124</v>
      </c>
      <c r="D23819" s="2" t="s">
        <v>5060</v>
      </c>
      <c r="E23819" s="2" t="str">
        <f>"9781138912786"</f>
        <v>9781138912786</v>
      </c>
      <c r="F23819" s="2" t="str">
        <f>"9781317431183"</f>
        <v>9781317431183</v>
      </c>
    </row>
    <row r="23820" spans="1:6" s="3" customFormat="1" ht="29.1" customHeight="1" x14ac:dyDescent="0.25">
      <c r="A23820" s="2" t="s">
        <v>46546</v>
      </c>
      <c r="B23820" s="2" t="s">
        <v>46547</v>
      </c>
      <c r="C23820" s="2" t="s">
        <v>124</v>
      </c>
      <c r="D23820" s="2" t="s">
        <v>270</v>
      </c>
      <c r="E23820" s="2" t="str">
        <f>"9781138653665"</f>
        <v>9781138653665</v>
      </c>
      <c r="F23820" s="2" t="str">
        <f>"9781317226697"</f>
        <v>9781317226697</v>
      </c>
    </row>
    <row r="23821" spans="1:6" s="3" customFormat="1" ht="29.1" customHeight="1" x14ac:dyDescent="0.25">
      <c r="A23821" s="2" t="s">
        <v>46548</v>
      </c>
      <c r="B23821" s="2" t="s">
        <v>46549</v>
      </c>
      <c r="C23821" s="2" t="s">
        <v>195</v>
      </c>
      <c r="D23821" s="2" t="s">
        <v>522</v>
      </c>
      <c r="E23821" s="2" t="str">
        <f>"9783110462937"</f>
        <v>9783110462937</v>
      </c>
      <c r="F23821" s="2" t="str">
        <f>"9783110463064"</f>
        <v>9783110463064</v>
      </c>
    </row>
    <row r="23822" spans="1:6" s="3" customFormat="1" ht="29.1" customHeight="1" x14ac:dyDescent="0.25">
      <c r="A23822" s="2" t="s">
        <v>46550</v>
      </c>
      <c r="B23822" s="2" t="s">
        <v>46551</v>
      </c>
      <c r="C23822" s="2" t="s">
        <v>195</v>
      </c>
      <c r="D23822" s="2" t="s">
        <v>916</v>
      </c>
      <c r="E23822" s="2" t="str">
        <f>"9783110462111"</f>
        <v>9783110462111</v>
      </c>
      <c r="F23822" s="2" t="str">
        <f>"9783110462432"</f>
        <v>9783110462432</v>
      </c>
    </row>
    <row r="23823" spans="1:6" s="3" customFormat="1" ht="29.1" customHeight="1" x14ac:dyDescent="0.25">
      <c r="A23823" s="2" t="s">
        <v>46552</v>
      </c>
      <c r="B23823" s="2" t="s">
        <v>46553</v>
      </c>
      <c r="C23823" s="2" t="s">
        <v>195</v>
      </c>
      <c r="D23823" s="2" t="s">
        <v>16195</v>
      </c>
      <c r="E23823" s="2" t="str">
        <f>"9783110480139"</f>
        <v>9783110480139</v>
      </c>
      <c r="F23823" s="2" t="str">
        <f>"9783110481068"</f>
        <v>9783110481068</v>
      </c>
    </row>
    <row r="23824" spans="1:6" s="3" customFormat="1" ht="29.1" customHeight="1" x14ac:dyDescent="0.25">
      <c r="A23824" s="2" t="s">
        <v>46554</v>
      </c>
      <c r="B23824" s="2" t="s">
        <v>46555</v>
      </c>
      <c r="C23824" s="2" t="s">
        <v>5</v>
      </c>
      <c r="D23824" s="2" t="s">
        <v>2749</v>
      </c>
      <c r="E23824" s="2" t="str">
        <f>"9783319441764"</f>
        <v>9783319441764</v>
      </c>
      <c r="F23824" s="2" t="str">
        <f>"9783319441771"</f>
        <v>9783319441771</v>
      </c>
    </row>
    <row r="23825" spans="1:6" s="3" customFormat="1" ht="29.1" customHeight="1" x14ac:dyDescent="0.25">
      <c r="A23825" s="2" t="s">
        <v>46556</v>
      </c>
      <c r="B23825" s="2" t="s">
        <v>46557</v>
      </c>
      <c r="C23825" s="2" t="s">
        <v>29</v>
      </c>
      <c r="D23825" s="2" t="s">
        <v>462</v>
      </c>
      <c r="E23825" s="2" t="str">
        <f>"9789004331655"</f>
        <v>9789004331655</v>
      </c>
      <c r="F23825" s="2" t="str">
        <f>"9789004331686"</f>
        <v>9789004331686</v>
      </c>
    </row>
    <row r="23826" spans="1:6" s="3" customFormat="1" ht="29.1" customHeight="1" x14ac:dyDescent="0.25">
      <c r="A23826" s="2" t="s">
        <v>46558</v>
      </c>
      <c r="B23826" s="2" t="s">
        <v>46559</v>
      </c>
      <c r="C23826" s="2" t="s">
        <v>29</v>
      </c>
      <c r="D23826" s="2" t="s">
        <v>868</v>
      </c>
      <c r="E23826" s="2" t="str">
        <f>"9789004327207"</f>
        <v>9789004327207</v>
      </c>
      <c r="F23826" s="2" t="str">
        <f>"9789004327214"</f>
        <v>9789004327214</v>
      </c>
    </row>
    <row r="23827" spans="1:6" s="3" customFormat="1" ht="29.1" customHeight="1" x14ac:dyDescent="0.25">
      <c r="A23827" s="2" t="s">
        <v>46560</v>
      </c>
      <c r="B23827" s="2" t="s">
        <v>46561</v>
      </c>
      <c r="C23827" s="2" t="s">
        <v>11220</v>
      </c>
      <c r="D23827" s="2" t="s">
        <v>7669</v>
      </c>
      <c r="E23827" s="2" t="str">
        <f>"9781479800384"</f>
        <v>9781479800384</v>
      </c>
      <c r="F23827" s="2" t="str">
        <f>"9781479820788"</f>
        <v>9781479820788</v>
      </c>
    </row>
    <row r="23828" spans="1:6" s="3" customFormat="1" ht="29.1" customHeight="1" x14ac:dyDescent="0.25">
      <c r="A23828" s="2" t="s">
        <v>46562</v>
      </c>
      <c r="B23828" s="2" t="s">
        <v>46563</v>
      </c>
      <c r="C23828" s="2" t="s">
        <v>11220</v>
      </c>
      <c r="D23828" s="2" t="s">
        <v>3270</v>
      </c>
      <c r="E23828" s="2" t="str">
        <f>"9781479804757"</f>
        <v>9781479804757</v>
      </c>
      <c r="F23828" s="2" t="str">
        <f>"9781479845477"</f>
        <v>9781479845477</v>
      </c>
    </row>
    <row r="23829" spans="1:6" s="3" customFormat="1" ht="29.1" customHeight="1" x14ac:dyDescent="0.25">
      <c r="A23829" s="2" t="s">
        <v>46564</v>
      </c>
      <c r="B23829" s="2" t="s">
        <v>46565</v>
      </c>
      <c r="C23829" s="2" t="s">
        <v>11220</v>
      </c>
      <c r="D23829" s="2" t="s">
        <v>2336</v>
      </c>
      <c r="E23829" s="2" t="str">
        <f>"9781479822188"</f>
        <v>9781479822188</v>
      </c>
      <c r="F23829" s="2" t="str">
        <f>"9781479859184"</f>
        <v>9781479859184</v>
      </c>
    </row>
    <row r="23830" spans="1:6" s="3" customFormat="1" ht="29.1" customHeight="1" x14ac:dyDescent="0.25">
      <c r="A23830" s="2" t="s">
        <v>46566</v>
      </c>
      <c r="B23830" s="2" t="s">
        <v>46567</v>
      </c>
      <c r="C23830" s="2" t="s">
        <v>11220</v>
      </c>
      <c r="D23830" s="2" t="s">
        <v>183</v>
      </c>
      <c r="E23830" s="2" t="str">
        <f>"9781479898329"</f>
        <v>9781479898329</v>
      </c>
      <c r="F23830" s="2" t="str">
        <f>"9781479841264"</f>
        <v>9781479841264</v>
      </c>
    </row>
    <row r="23831" spans="1:6" s="3" customFormat="1" ht="29.1" customHeight="1" x14ac:dyDescent="0.25">
      <c r="A23831" s="2" t="s">
        <v>46568</v>
      </c>
      <c r="B23831" s="2" t="s">
        <v>46569</v>
      </c>
      <c r="C23831" s="2" t="s">
        <v>11220</v>
      </c>
      <c r="D23831" s="2" t="s">
        <v>18161</v>
      </c>
      <c r="E23831" s="2" t="str">
        <f>"9781479827138"</f>
        <v>9781479827138</v>
      </c>
      <c r="F23831" s="2" t="str">
        <f>"9781479866250"</f>
        <v>9781479866250</v>
      </c>
    </row>
    <row r="23832" spans="1:6" s="3" customFormat="1" ht="29.1" customHeight="1" x14ac:dyDescent="0.25">
      <c r="A23832" s="2" t="s">
        <v>46570</v>
      </c>
      <c r="B23832" s="2" t="s">
        <v>46571</v>
      </c>
      <c r="C23832" s="2" t="s">
        <v>11220</v>
      </c>
      <c r="D23832" s="2" t="s">
        <v>183</v>
      </c>
      <c r="E23832" s="2" t="str">
        <f>"9781479848676"</f>
        <v>9781479848676</v>
      </c>
      <c r="F23832" s="2" t="str">
        <f>"9781479827442"</f>
        <v>9781479827442</v>
      </c>
    </row>
    <row r="23833" spans="1:6" s="3" customFormat="1" ht="29.1" customHeight="1" x14ac:dyDescent="0.25">
      <c r="A23833" s="2" t="s">
        <v>46572</v>
      </c>
      <c r="B23833" s="2" t="s">
        <v>46573</v>
      </c>
      <c r="C23833" s="2" t="s">
        <v>20</v>
      </c>
      <c r="D23833" s="2" t="s">
        <v>4210</v>
      </c>
      <c r="E23833" s="2" t="str">
        <f>"9783763940554"</f>
        <v>9783763940554</v>
      </c>
      <c r="F23833" s="2" t="str">
        <f>"9783763940561"</f>
        <v>9783763940561</v>
      </c>
    </row>
    <row r="23834" spans="1:6" s="3" customFormat="1" ht="29.1" customHeight="1" x14ac:dyDescent="0.25">
      <c r="A23834" s="2" t="s">
        <v>46574</v>
      </c>
      <c r="B23834" s="2" t="s">
        <v>46575</v>
      </c>
      <c r="C23834" s="2" t="s">
        <v>11005</v>
      </c>
      <c r="D23834" s="2" t="s">
        <v>297</v>
      </c>
      <c r="E23834" s="2" t="str">
        <f>"9783837925494"</f>
        <v>9783837925494</v>
      </c>
      <c r="F23834" s="2" t="str">
        <f>"9783837968057"</f>
        <v>9783837968057</v>
      </c>
    </row>
    <row r="23835" spans="1:6" s="3" customFormat="1" ht="29.1" customHeight="1" x14ac:dyDescent="0.25">
      <c r="A23835" s="2" t="s">
        <v>46576</v>
      </c>
      <c r="B23835" s="2" t="s">
        <v>46577</v>
      </c>
      <c r="C23835" s="2" t="s">
        <v>43061</v>
      </c>
      <c r="D23835" s="2" t="s">
        <v>2147</v>
      </c>
      <c r="E23835" s="2" t="str">
        <f>"9783737601641"</f>
        <v>9783737601641</v>
      </c>
      <c r="F23835" s="2" t="str">
        <f>"9783737601658"</f>
        <v>9783737601658</v>
      </c>
    </row>
    <row r="23836" spans="1:6" s="3" customFormat="1" ht="29.1" customHeight="1" x14ac:dyDescent="0.25">
      <c r="A23836" s="2" t="s">
        <v>46578</v>
      </c>
      <c r="B23836" s="2" t="s">
        <v>46579</v>
      </c>
      <c r="C23836" s="2" t="s">
        <v>43061</v>
      </c>
      <c r="D23836" s="2" t="s">
        <v>650</v>
      </c>
      <c r="E23836" s="2" t="str">
        <f>"9783737601702"</f>
        <v>9783737601702</v>
      </c>
      <c r="F23836" s="2" t="str">
        <f>"9783737601719"</f>
        <v>9783737601719</v>
      </c>
    </row>
    <row r="23837" spans="1:6" s="3" customFormat="1" ht="29.1" customHeight="1" x14ac:dyDescent="0.25">
      <c r="A23837" s="2" t="s">
        <v>46580</v>
      </c>
      <c r="B23837" s="2" t="s">
        <v>46581</v>
      </c>
      <c r="C23837" s="2" t="s">
        <v>43061</v>
      </c>
      <c r="D23837" s="2" t="s">
        <v>1854</v>
      </c>
      <c r="E23837" s="2" t="str">
        <f>"9783737600507"</f>
        <v>9783737600507</v>
      </c>
      <c r="F23837" s="2" t="str">
        <f>"9783737600514"</f>
        <v>9783737600514</v>
      </c>
    </row>
    <row r="23838" spans="1:6" s="3" customFormat="1" ht="29.1" customHeight="1" x14ac:dyDescent="0.25">
      <c r="A23838" s="2" t="s">
        <v>46582</v>
      </c>
      <c r="B23838" s="2" t="s">
        <v>46583</v>
      </c>
      <c r="C23838" s="2" t="s">
        <v>124</v>
      </c>
      <c r="D23838" s="2" t="s">
        <v>270</v>
      </c>
      <c r="E23838" s="2" t="str">
        <f>"9781472476890"</f>
        <v>9781472476890</v>
      </c>
      <c r="F23838" s="2" t="str">
        <f>"9781317180586"</f>
        <v>9781317180586</v>
      </c>
    </row>
    <row r="23839" spans="1:6" s="3" customFormat="1" ht="29.1" customHeight="1" x14ac:dyDescent="0.25">
      <c r="A23839" s="2" t="s">
        <v>46584</v>
      </c>
      <c r="B23839" s="2" t="s">
        <v>46585</v>
      </c>
      <c r="C23839" s="2" t="s">
        <v>124</v>
      </c>
      <c r="D23839" s="2" t="s">
        <v>49</v>
      </c>
      <c r="E23839" s="2" t="str">
        <f>"9780765615992"</f>
        <v>9780765615992</v>
      </c>
      <c r="F23839" s="2" t="str">
        <f>"9781317503668"</f>
        <v>9781317503668</v>
      </c>
    </row>
    <row r="23840" spans="1:6" s="3" customFormat="1" ht="29.1" customHeight="1" x14ac:dyDescent="0.25">
      <c r="A23840" s="2" t="s">
        <v>46586</v>
      </c>
      <c r="B23840" s="2" t="s">
        <v>46587</v>
      </c>
      <c r="C23840" s="2" t="s">
        <v>7395</v>
      </c>
      <c r="D23840" s="2" t="s">
        <v>49</v>
      </c>
      <c r="E23840" s="2" t="str">
        <f>"9780295998534"</f>
        <v>9780295998534</v>
      </c>
      <c r="F23840" s="2" t="str">
        <f>"9780295806723"</f>
        <v>9780295806723</v>
      </c>
    </row>
    <row r="23841" spans="1:6" s="3" customFormat="1" ht="29.1" customHeight="1" x14ac:dyDescent="0.25">
      <c r="A23841" s="2" t="s">
        <v>46588</v>
      </c>
      <c r="B23841" s="2" t="s">
        <v>46589</v>
      </c>
      <c r="C23841" s="2" t="s">
        <v>927</v>
      </c>
      <c r="D23841" s="2" t="s">
        <v>210</v>
      </c>
      <c r="E23841" s="2" t="str">
        <f>"9780472130122"</f>
        <v>9780472130122</v>
      </c>
      <c r="F23841" s="2" t="str">
        <f>"9780472122349"</f>
        <v>9780472122349</v>
      </c>
    </row>
    <row r="23842" spans="1:6" s="3" customFormat="1" ht="29.1" customHeight="1" x14ac:dyDescent="0.25">
      <c r="A23842" s="2" t="s">
        <v>46590</v>
      </c>
      <c r="B23842" s="2" t="s">
        <v>46591</v>
      </c>
      <c r="C23842" s="2" t="s">
        <v>927</v>
      </c>
      <c r="D23842" s="2" t="s">
        <v>270</v>
      </c>
      <c r="E23842" s="2" t="str">
        <f>"9780472130061"</f>
        <v>9780472130061</v>
      </c>
      <c r="F23842" s="2" t="str">
        <f>"9780472122202"</f>
        <v>9780472122202</v>
      </c>
    </row>
    <row r="23843" spans="1:6" s="3" customFormat="1" ht="29.1" customHeight="1" x14ac:dyDescent="0.25">
      <c r="A23843" s="2" t="s">
        <v>46592</v>
      </c>
      <c r="B23843" s="2" t="s">
        <v>46593</v>
      </c>
      <c r="C23843" s="2" t="s">
        <v>195</v>
      </c>
      <c r="D23843" s="2" t="s">
        <v>1466</v>
      </c>
      <c r="E23843" s="2" t="str">
        <f>"9783110489705"</f>
        <v>9783110489705</v>
      </c>
      <c r="F23843" s="2" t="str">
        <f>"9783110490497"</f>
        <v>9783110490497</v>
      </c>
    </row>
    <row r="23844" spans="1:6" s="3" customFormat="1" ht="29.1" customHeight="1" x14ac:dyDescent="0.25">
      <c r="A23844" s="2" t="s">
        <v>46594</v>
      </c>
      <c r="B23844" s="2" t="s">
        <v>46595</v>
      </c>
      <c r="C23844" s="2" t="s">
        <v>195</v>
      </c>
      <c r="D23844" s="2" t="s">
        <v>1466</v>
      </c>
      <c r="E23844" s="2" t="str">
        <f>"9783110463644"</f>
        <v>9783110463644</v>
      </c>
      <c r="F23844" s="2" t="str">
        <f>"9783110464139"</f>
        <v>9783110464139</v>
      </c>
    </row>
    <row r="23845" spans="1:6" s="3" customFormat="1" ht="29.1" customHeight="1" x14ac:dyDescent="0.25">
      <c r="A23845" s="2" t="s">
        <v>46596</v>
      </c>
      <c r="B23845" s="2" t="s">
        <v>46597</v>
      </c>
      <c r="C23845" s="2" t="s">
        <v>195</v>
      </c>
      <c r="D23845" s="2" t="s">
        <v>297</v>
      </c>
      <c r="E23845" s="2" t="str">
        <f>"9783110441499"</f>
        <v>9783110441499</v>
      </c>
      <c r="F23845" s="2" t="str">
        <f>"9783110433548"</f>
        <v>9783110433548</v>
      </c>
    </row>
    <row r="23846" spans="1:6" s="3" customFormat="1" ht="29.1" customHeight="1" x14ac:dyDescent="0.25">
      <c r="A23846" s="2" t="s">
        <v>46598</v>
      </c>
      <c r="B23846" s="2" t="s">
        <v>46599</v>
      </c>
      <c r="C23846" s="2" t="s">
        <v>195</v>
      </c>
      <c r="D23846" s="2" t="s">
        <v>459</v>
      </c>
      <c r="E23846" s="2" t="str">
        <f>"9783110463095"</f>
        <v>9783110463095</v>
      </c>
      <c r="F23846" s="2" t="str">
        <f>"9783110463477"</f>
        <v>9783110463477</v>
      </c>
    </row>
    <row r="23847" spans="1:6" s="3" customFormat="1" ht="29.1" customHeight="1" x14ac:dyDescent="0.25">
      <c r="A23847" s="2" t="s">
        <v>46600</v>
      </c>
      <c r="B23847" s="2" t="s">
        <v>46601</v>
      </c>
      <c r="C23847" s="2" t="s">
        <v>124</v>
      </c>
      <c r="D23847" s="2" t="s">
        <v>2877</v>
      </c>
      <c r="E23847" s="2" t="str">
        <f>"9781138026186"</f>
        <v>9781138026186</v>
      </c>
      <c r="F23847" s="2" t="str">
        <f>"9781317684688"</f>
        <v>9781317684688</v>
      </c>
    </row>
    <row r="23848" spans="1:6" s="3" customFormat="1" ht="29.1" customHeight="1" x14ac:dyDescent="0.25">
      <c r="A23848" s="2" t="s">
        <v>46602</v>
      </c>
      <c r="B23848" s="2" t="s">
        <v>46603</v>
      </c>
      <c r="C23848" s="2" t="s">
        <v>124</v>
      </c>
      <c r="D23848" s="2" t="s">
        <v>4210</v>
      </c>
      <c r="E23848" s="2" t="str">
        <f>"9781138100831"</f>
        <v>9781138100831</v>
      </c>
      <c r="F23848" s="2" t="str">
        <f>"9781317328018"</f>
        <v>9781317328018</v>
      </c>
    </row>
    <row r="23849" spans="1:6" s="3" customFormat="1" ht="29.1" customHeight="1" x14ac:dyDescent="0.25">
      <c r="A23849" s="2" t="s">
        <v>46604</v>
      </c>
      <c r="B23849" s="2" t="s">
        <v>46605</v>
      </c>
      <c r="C23849" s="2" t="s">
        <v>124</v>
      </c>
      <c r="D23849" s="2" t="s">
        <v>791</v>
      </c>
      <c r="E23849" s="2" t="str">
        <f>"9780367029678"</f>
        <v>9780367029678</v>
      </c>
      <c r="F23849" s="2" t="str">
        <f>"9781315638058"</f>
        <v>9781315638058</v>
      </c>
    </row>
    <row r="23850" spans="1:6" s="3" customFormat="1" ht="29.1" customHeight="1" x14ac:dyDescent="0.25">
      <c r="A23850" s="2" t="s">
        <v>46606</v>
      </c>
      <c r="B23850" s="2" t="s">
        <v>46607</v>
      </c>
      <c r="C23850" s="2" t="s">
        <v>5</v>
      </c>
      <c r="D23850" s="2" t="s">
        <v>218</v>
      </c>
      <c r="E23850" s="2" t="str">
        <f>"9781137538277"</f>
        <v>9781137538277</v>
      </c>
      <c r="F23850" s="2" t="str">
        <f>"9781137538284"</f>
        <v>9781137538284</v>
      </c>
    </row>
    <row r="23851" spans="1:6" s="3" customFormat="1" ht="29.1" customHeight="1" x14ac:dyDescent="0.25">
      <c r="A23851" s="2" t="s">
        <v>46608</v>
      </c>
      <c r="B23851" s="2" t="s">
        <v>11608</v>
      </c>
      <c r="C23851" s="2" t="s">
        <v>149</v>
      </c>
      <c r="D23851" s="2" t="s">
        <v>3166</v>
      </c>
      <c r="E23851" s="2" t="str">
        <f>"9781783742332"</f>
        <v>9781783742332</v>
      </c>
      <c r="F23851" s="2" t="str">
        <f>"9781783742356"</f>
        <v>9781783742356</v>
      </c>
    </row>
    <row r="23852" spans="1:6" s="3" customFormat="1" ht="29.1" customHeight="1" x14ac:dyDescent="0.25">
      <c r="A23852" s="2" t="s">
        <v>46609</v>
      </c>
      <c r="B23852" s="2" t="s">
        <v>46610</v>
      </c>
      <c r="C23852" s="2" t="s">
        <v>149</v>
      </c>
      <c r="D23852" s="2" t="s">
        <v>118</v>
      </c>
      <c r="E23852" s="2" t="str">
        <f>"9781783740826"</f>
        <v>9781783740826</v>
      </c>
      <c r="F23852" s="2" t="str">
        <f>"9781783740840"</f>
        <v>9781783740840</v>
      </c>
    </row>
    <row r="23853" spans="1:6" s="3" customFormat="1" ht="29.1" customHeight="1" x14ac:dyDescent="0.25">
      <c r="A23853" s="2" t="s">
        <v>46611</v>
      </c>
      <c r="B23853" s="2" t="s">
        <v>46612</v>
      </c>
      <c r="C23853" s="2" t="s">
        <v>149</v>
      </c>
      <c r="D23853" s="2" t="s">
        <v>6128</v>
      </c>
      <c r="E23853" s="2" t="str">
        <f>"9781783742387"</f>
        <v>9781783742387</v>
      </c>
      <c r="F23853" s="2" t="str">
        <f>"9781783742400"</f>
        <v>9781783742400</v>
      </c>
    </row>
    <row r="23854" spans="1:6" s="3" customFormat="1" ht="29.1" customHeight="1" x14ac:dyDescent="0.25">
      <c r="A23854" s="2" t="s">
        <v>46613</v>
      </c>
      <c r="B23854" s="2" t="s">
        <v>41304</v>
      </c>
      <c r="C23854" s="2" t="s">
        <v>149</v>
      </c>
      <c r="D23854" s="2" t="s">
        <v>5832</v>
      </c>
      <c r="E23854" s="2" t="str">
        <f>"9781783742585"</f>
        <v>9781783742585</v>
      </c>
      <c r="F23854" s="2" t="str">
        <f>"9781783742608"</f>
        <v>9781783742608</v>
      </c>
    </row>
    <row r="23855" spans="1:6" s="3" customFormat="1" ht="29.1" customHeight="1" x14ac:dyDescent="0.25">
      <c r="A23855" s="2" t="s">
        <v>46614</v>
      </c>
      <c r="B23855" s="2" t="s">
        <v>46616</v>
      </c>
      <c r="C23855" s="2" t="s">
        <v>55</v>
      </c>
      <c r="D23855" s="2" t="s">
        <v>46615</v>
      </c>
      <c r="E23855" s="2" t="str">
        <f>"9780719069765"</f>
        <v>9780719069765</v>
      </c>
      <c r="F23855" s="2" t="str">
        <f>"9781847791061"</f>
        <v>9781847791061</v>
      </c>
    </row>
    <row r="23856" spans="1:6" s="3" customFormat="1" ht="29.1" customHeight="1" x14ac:dyDescent="0.25">
      <c r="A23856" s="2" t="s">
        <v>46617</v>
      </c>
      <c r="B23856" s="2" t="s">
        <v>46618</v>
      </c>
      <c r="C23856" s="2" t="s">
        <v>248</v>
      </c>
      <c r="D23856" s="2" t="s">
        <v>3958</v>
      </c>
      <c r="E23856" s="2" t="str">
        <f>"9783847407782"</f>
        <v>9783847407782</v>
      </c>
      <c r="F23856" s="2" t="str">
        <f>"9783847409007"</f>
        <v>9783847409007</v>
      </c>
    </row>
    <row r="23857" spans="1:6" s="3" customFormat="1" ht="29.1" customHeight="1" x14ac:dyDescent="0.25">
      <c r="A23857" s="2" t="s">
        <v>46619</v>
      </c>
      <c r="B23857" s="2" t="s">
        <v>8053</v>
      </c>
      <c r="C23857" s="2" t="s">
        <v>20</v>
      </c>
      <c r="D23857" s="2" t="s">
        <v>689</v>
      </c>
      <c r="E23857" s="2" t="str">
        <f>"9783763954612"</f>
        <v>9783763954612</v>
      </c>
      <c r="F23857" s="2" t="str">
        <f>"9783763954629"</f>
        <v>9783763954629</v>
      </c>
    </row>
    <row r="23858" spans="1:6" s="3" customFormat="1" ht="29.1" customHeight="1" x14ac:dyDescent="0.25">
      <c r="A23858" s="2" t="s">
        <v>46620</v>
      </c>
      <c r="B23858" s="2" t="s">
        <v>46621</v>
      </c>
      <c r="C23858" s="2" t="s">
        <v>55</v>
      </c>
      <c r="D23858" s="2" t="s">
        <v>4244</v>
      </c>
      <c r="E23858" s="2" t="str">
        <f>"9780719089909"</f>
        <v>9780719089909</v>
      </c>
      <c r="F23858" s="2" t="str">
        <f>"9780719098598"</f>
        <v>9780719098598</v>
      </c>
    </row>
    <row r="23859" spans="1:6" s="3" customFormat="1" ht="29.1" customHeight="1" x14ac:dyDescent="0.25">
      <c r="A23859" s="2" t="s">
        <v>46622</v>
      </c>
      <c r="B23859" s="2" t="s">
        <v>46623</v>
      </c>
      <c r="C23859" s="2" t="s">
        <v>55</v>
      </c>
      <c r="D23859" s="2" t="s">
        <v>3993</v>
      </c>
      <c r="E23859" s="2" t="str">
        <f>"9780719085604"</f>
        <v>9780719085604</v>
      </c>
      <c r="F23859" s="2" t="str">
        <f>"9780719094934"</f>
        <v>9780719094934</v>
      </c>
    </row>
    <row r="23860" spans="1:6" s="3" customFormat="1" ht="29.1" customHeight="1" x14ac:dyDescent="0.25">
      <c r="A23860" s="2" t="s">
        <v>46624</v>
      </c>
      <c r="B23860" s="2" t="s">
        <v>46625</v>
      </c>
      <c r="C23860" s="2" t="s">
        <v>44049</v>
      </c>
      <c r="D23860" s="2" t="s">
        <v>107</v>
      </c>
      <c r="E23860" s="2" t="str">
        <f>"9780823274420"</f>
        <v>9780823274420</v>
      </c>
      <c r="F23860" s="2" t="str">
        <f>"9780823274444"</f>
        <v>9780823274444</v>
      </c>
    </row>
    <row r="23861" spans="1:6" s="3" customFormat="1" ht="29.1" customHeight="1" x14ac:dyDescent="0.25">
      <c r="A23861" s="2" t="s">
        <v>46626</v>
      </c>
      <c r="B23861" s="2" t="s">
        <v>46627</v>
      </c>
      <c r="C23861" s="2" t="s">
        <v>195</v>
      </c>
      <c r="D23861" s="2" t="s">
        <v>30905</v>
      </c>
      <c r="E23861" s="2" t="str">
        <f>"9783110478044"</f>
        <v>9783110478044</v>
      </c>
      <c r="F23861" s="2" t="str">
        <f>"9783110479287"</f>
        <v>9783110479287</v>
      </c>
    </row>
    <row r="23862" spans="1:6" s="3" customFormat="1" ht="29.1" customHeight="1" x14ac:dyDescent="0.25">
      <c r="A23862" s="2" t="s">
        <v>46628</v>
      </c>
      <c r="B23862" s="2" t="s">
        <v>46629</v>
      </c>
      <c r="C23862" s="2" t="s">
        <v>195</v>
      </c>
      <c r="D23862" s="2" t="s">
        <v>2458</v>
      </c>
      <c r="E23862" s="2" t="str">
        <f>"9783110475180"</f>
        <v>9783110475180</v>
      </c>
      <c r="F23862" s="2" t="str">
        <f>"9783110476231"</f>
        <v>9783110476231</v>
      </c>
    </row>
    <row r="23863" spans="1:6" s="3" customFormat="1" ht="29.1" customHeight="1" x14ac:dyDescent="0.25">
      <c r="A23863" s="2" t="s">
        <v>46630</v>
      </c>
      <c r="B23863" s="2" t="s">
        <v>46631</v>
      </c>
      <c r="C23863" s="2" t="s">
        <v>195</v>
      </c>
      <c r="D23863" s="2" t="s">
        <v>402</v>
      </c>
      <c r="E23863" s="2" t="str">
        <f>"9783110373028"</f>
        <v>9783110373028</v>
      </c>
      <c r="F23863" s="2" t="str">
        <f>"9783110375558"</f>
        <v>9783110375558</v>
      </c>
    </row>
    <row r="23864" spans="1:6" s="3" customFormat="1" ht="29.1" customHeight="1" x14ac:dyDescent="0.25">
      <c r="A23864" s="2" t="s">
        <v>46632</v>
      </c>
      <c r="B23864" s="2" t="s">
        <v>46633</v>
      </c>
      <c r="C23864" s="2" t="s">
        <v>195</v>
      </c>
      <c r="D23864" s="2" t="s">
        <v>1712</v>
      </c>
      <c r="E23864" s="2" t="str">
        <f>"9783110415209"</f>
        <v>9783110415209</v>
      </c>
      <c r="F23864" s="2" t="str">
        <f>"9783110415490"</f>
        <v>9783110415490</v>
      </c>
    </row>
    <row r="23865" spans="1:6" s="3" customFormat="1" ht="29.1" customHeight="1" x14ac:dyDescent="0.25">
      <c r="A23865" s="2" t="s">
        <v>46634</v>
      </c>
      <c r="B23865" s="2" t="s">
        <v>46635</v>
      </c>
      <c r="C23865" s="2" t="s">
        <v>195</v>
      </c>
      <c r="D23865" s="2" t="s">
        <v>428</v>
      </c>
      <c r="E23865" s="2" t="str">
        <f>"9783110442335"</f>
        <v>9783110442335</v>
      </c>
      <c r="F23865" s="2" t="str">
        <f>"9783110434460"</f>
        <v>9783110434460</v>
      </c>
    </row>
    <row r="23866" spans="1:6" s="3" customFormat="1" ht="29.1" customHeight="1" x14ac:dyDescent="0.25">
      <c r="A23866" s="2" t="s">
        <v>46636</v>
      </c>
      <c r="B23866" s="2" t="s">
        <v>46637</v>
      </c>
      <c r="C23866" s="2" t="s">
        <v>927</v>
      </c>
      <c r="D23866" s="2" t="s">
        <v>270</v>
      </c>
      <c r="E23866" s="2" t="str">
        <f>"9780472130108"</f>
        <v>9780472130108</v>
      </c>
      <c r="F23866" s="2" t="str">
        <f>"9780472122301"</f>
        <v>9780472122301</v>
      </c>
    </row>
    <row r="23867" spans="1:6" s="3" customFormat="1" ht="29.1" customHeight="1" x14ac:dyDescent="0.25">
      <c r="A23867" s="2" t="s">
        <v>46638</v>
      </c>
      <c r="B23867" s="2" t="s">
        <v>46639</v>
      </c>
      <c r="C23867" s="2" t="s">
        <v>131</v>
      </c>
      <c r="D23867" s="2" t="s">
        <v>1245</v>
      </c>
      <c r="E23867" s="2" t="str">
        <f>"9789027258342"</f>
        <v>9789027258342</v>
      </c>
      <c r="F23867" s="2" t="str">
        <f>"9789027266446"</f>
        <v>9789027266446</v>
      </c>
    </row>
    <row r="23868" spans="1:6" s="3" customFormat="1" ht="29.1" customHeight="1" x14ac:dyDescent="0.25">
      <c r="A23868" s="2" t="s">
        <v>1305</v>
      </c>
      <c r="B23868" s="2" t="s">
        <v>46640</v>
      </c>
      <c r="C23868" s="2" t="s">
        <v>1070</v>
      </c>
      <c r="D23868" s="2" t="s">
        <v>1272</v>
      </c>
      <c r="E23868" s="2" t="str">
        <f>"9781910797235"</f>
        <v>9781910797235</v>
      </c>
      <c r="F23868" s="2" t="str">
        <f>"9781910797266"</f>
        <v>9781910797266</v>
      </c>
    </row>
    <row r="23869" spans="1:6" s="3" customFormat="1" ht="29.1" customHeight="1" x14ac:dyDescent="0.25">
      <c r="A23869" s="2" t="s">
        <v>46641</v>
      </c>
      <c r="B23869" s="2" t="s">
        <v>46642</v>
      </c>
      <c r="C23869" s="2" t="s">
        <v>248</v>
      </c>
      <c r="D23869" s="2" t="s">
        <v>2752</v>
      </c>
      <c r="E23869" s="2" t="str">
        <f>"9783847407942"</f>
        <v>9783847407942</v>
      </c>
      <c r="F23869" s="2" t="str">
        <f>"9783847409229"</f>
        <v>9783847409229</v>
      </c>
    </row>
    <row r="23870" spans="1:6" s="3" customFormat="1" ht="29.1" customHeight="1" x14ac:dyDescent="0.25">
      <c r="A23870" s="2" t="s">
        <v>46643</v>
      </c>
      <c r="B23870" s="2" t="s">
        <v>46644</v>
      </c>
      <c r="C23870" s="2" t="s">
        <v>8104</v>
      </c>
      <c r="D23870" s="2" t="s">
        <v>1654</v>
      </c>
      <c r="E23870" s="2" t="str">
        <f>"9781785334498"</f>
        <v>9781785334498</v>
      </c>
      <c r="F23870" s="2" t="str">
        <f>"9781785334504"</f>
        <v>9781785334504</v>
      </c>
    </row>
    <row r="23871" spans="1:6" s="3" customFormat="1" ht="29.1" customHeight="1" x14ac:dyDescent="0.25">
      <c r="A23871" s="2" t="s">
        <v>46645</v>
      </c>
      <c r="B23871" s="2" t="s">
        <v>46646</v>
      </c>
      <c r="C23871" s="2" t="s">
        <v>8104</v>
      </c>
      <c r="D23871" s="2" t="s">
        <v>818</v>
      </c>
      <c r="E23871" s="2" t="str">
        <f>"9781785332807"</f>
        <v>9781785332807</v>
      </c>
      <c r="F23871" s="2" t="str">
        <f>"9781785332814"</f>
        <v>9781785332814</v>
      </c>
    </row>
    <row r="23872" spans="1:6" s="3" customFormat="1" ht="29.1" customHeight="1" x14ac:dyDescent="0.25">
      <c r="A23872" s="2" t="s">
        <v>46647</v>
      </c>
      <c r="B23872" s="2" t="s">
        <v>46648</v>
      </c>
      <c r="C23872" s="2" t="s">
        <v>8104</v>
      </c>
      <c r="D23872" s="2" t="s">
        <v>636</v>
      </c>
      <c r="E23872" s="2" t="str">
        <f>"9781785334009"</f>
        <v>9781785334009</v>
      </c>
      <c r="F23872" s="2" t="str">
        <f>"9781785334016"</f>
        <v>9781785334016</v>
      </c>
    </row>
    <row r="23873" spans="1:6" s="3" customFormat="1" ht="29.1" customHeight="1" x14ac:dyDescent="0.25">
      <c r="A23873" s="2" t="s">
        <v>46649</v>
      </c>
      <c r="B23873" s="2" t="s">
        <v>46650</v>
      </c>
      <c r="C23873" s="2" t="s">
        <v>264</v>
      </c>
      <c r="D23873" s="2" t="s">
        <v>1059</v>
      </c>
      <c r="E23873" s="2" t="str">
        <f>"9781482257564"</f>
        <v>9781482257564</v>
      </c>
      <c r="F23873" s="2" t="str">
        <f>"9781315355092"</f>
        <v>9781315355092</v>
      </c>
    </row>
    <row r="23874" spans="1:6" s="3" customFormat="1" ht="29.1" customHeight="1" x14ac:dyDescent="0.25">
      <c r="A23874" s="2" t="s">
        <v>46651</v>
      </c>
      <c r="B23874" s="2" t="s">
        <v>16384</v>
      </c>
      <c r="C23874" s="2" t="s">
        <v>124</v>
      </c>
      <c r="D23874" s="2" t="s">
        <v>2587</v>
      </c>
      <c r="E23874" s="2" t="str">
        <f>"9781138597686"</f>
        <v>9781138597686</v>
      </c>
      <c r="F23874" s="2" t="str">
        <f>"9781315667508"</f>
        <v>9781315667508</v>
      </c>
    </row>
    <row r="23875" spans="1:6" s="3" customFormat="1" ht="29.1" customHeight="1" x14ac:dyDescent="0.25">
      <c r="A23875" s="2" t="s">
        <v>46652</v>
      </c>
      <c r="B23875" s="2" t="s">
        <v>46653</v>
      </c>
      <c r="C23875" s="2" t="s">
        <v>55</v>
      </c>
      <c r="D23875" s="2" t="s">
        <v>7132</v>
      </c>
      <c r="E23875" s="2" t="str">
        <f>"9780719097010"</f>
        <v>9780719097010</v>
      </c>
      <c r="F23875" s="2" t="str">
        <f>"9781784996888"</f>
        <v>9781784996888</v>
      </c>
    </row>
    <row r="23876" spans="1:6" s="3" customFormat="1" ht="29.1" customHeight="1" x14ac:dyDescent="0.25">
      <c r="A23876" s="2" t="s">
        <v>46654</v>
      </c>
      <c r="B23876" s="2" t="s">
        <v>46655</v>
      </c>
      <c r="C23876" s="2" t="s">
        <v>26676</v>
      </c>
      <c r="D23876" s="2" t="s">
        <v>1419</v>
      </c>
      <c r="E23876" s="2" t="str">
        <f>"9781618114952"</f>
        <v>9781618114952</v>
      </c>
      <c r="F23876" s="2" t="str">
        <f>"9781618114969"</f>
        <v>9781618114969</v>
      </c>
    </row>
    <row r="23877" spans="1:6" s="3" customFormat="1" ht="29.1" customHeight="1" x14ac:dyDescent="0.25">
      <c r="A23877" s="2" t="s">
        <v>46656</v>
      </c>
      <c r="B23877" s="2" t="s">
        <v>46657</v>
      </c>
      <c r="C23877" s="2" t="s">
        <v>26676</v>
      </c>
      <c r="D23877" s="2" t="s">
        <v>2602</v>
      </c>
      <c r="E23877" s="2" t="str">
        <f>"9781618114709"</f>
        <v>9781618114709</v>
      </c>
      <c r="F23877" s="2" t="str">
        <f>"9781618114716"</f>
        <v>9781618114716</v>
      </c>
    </row>
    <row r="23878" spans="1:6" s="3" customFormat="1" ht="29.1" customHeight="1" x14ac:dyDescent="0.25">
      <c r="A23878" s="2" t="s">
        <v>46658</v>
      </c>
      <c r="B23878" s="2" t="s">
        <v>46659</v>
      </c>
      <c r="C23878" s="2" t="s">
        <v>26676</v>
      </c>
      <c r="D23878" s="2" t="s">
        <v>2602</v>
      </c>
      <c r="E23878" s="2" t="str">
        <f>"9781618115263"</f>
        <v>9781618115263</v>
      </c>
      <c r="F23878" s="2" t="str">
        <f>"9781618115270"</f>
        <v>9781618115270</v>
      </c>
    </row>
    <row r="23879" spans="1:6" s="3" customFormat="1" ht="29.1" customHeight="1" x14ac:dyDescent="0.25">
      <c r="A23879" s="2" t="s">
        <v>46660</v>
      </c>
      <c r="B23879" s="2" t="s">
        <v>46661</v>
      </c>
      <c r="C23879" s="2" t="s">
        <v>1070</v>
      </c>
      <c r="D23879" s="2" t="s">
        <v>1299</v>
      </c>
      <c r="E23879" s="2" t="str">
        <f>"9781908541734"</f>
        <v>9781908541734</v>
      </c>
      <c r="F23879" s="2" t="str">
        <f>"9781908541871"</f>
        <v>9781908541871</v>
      </c>
    </row>
    <row r="23880" spans="1:6" s="3" customFormat="1" ht="29.1" customHeight="1" x14ac:dyDescent="0.25">
      <c r="A23880" s="2" t="s">
        <v>46662</v>
      </c>
      <c r="B23880" s="2" t="s">
        <v>46663</v>
      </c>
      <c r="C23880" s="2" t="s">
        <v>15181</v>
      </c>
      <c r="D23880" s="2" t="s">
        <v>14352</v>
      </c>
      <c r="E23880" s="2" t="str">
        <f>"9789633861226"</f>
        <v>9789633861226</v>
      </c>
      <c r="F23880" s="2" t="str">
        <f>"9789633861462"</f>
        <v>9789633861462</v>
      </c>
    </row>
    <row r="23881" spans="1:6" s="3" customFormat="1" ht="29.1" customHeight="1" x14ac:dyDescent="0.25">
      <c r="A23881" s="2" t="s">
        <v>46664</v>
      </c>
      <c r="B23881" s="2" t="s">
        <v>46665</v>
      </c>
      <c r="C23881" s="2" t="s">
        <v>124</v>
      </c>
      <c r="D23881" s="2" t="s">
        <v>353</v>
      </c>
      <c r="E23881" s="2" t="str">
        <f>"9781138195608"</f>
        <v>9781138195608</v>
      </c>
      <c r="F23881" s="2" t="str">
        <f>"9781317270621"</f>
        <v>9781317270621</v>
      </c>
    </row>
    <row r="23882" spans="1:6" s="3" customFormat="1" ht="29.1" customHeight="1" x14ac:dyDescent="0.25">
      <c r="A23882" s="2" t="s">
        <v>46666</v>
      </c>
      <c r="B23882" s="2" t="s">
        <v>46667</v>
      </c>
      <c r="C23882" s="2" t="s">
        <v>248</v>
      </c>
      <c r="D23882" s="2" t="s">
        <v>135</v>
      </c>
      <c r="E23882" s="2" t="str">
        <f>"9783847405610"</f>
        <v>9783847405610</v>
      </c>
      <c r="F23882" s="2" t="str">
        <f>"9783847409540"</f>
        <v>9783847409540</v>
      </c>
    </row>
    <row r="23883" spans="1:6" s="3" customFormat="1" ht="29.1" customHeight="1" x14ac:dyDescent="0.25">
      <c r="A23883" s="2" t="s">
        <v>46668</v>
      </c>
      <c r="B23883" s="2" t="s">
        <v>46669</v>
      </c>
      <c r="C23883" s="2" t="s">
        <v>248</v>
      </c>
      <c r="D23883" s="2" t="s">
        <v>75</v>
      </c>
      <c r="E23883" s="2" t="str">
        <f>"9783847401919"</f>
        <v>9783847401919</v>
      </c>
      <c r="F23883" s="2" t="str">
        <f>"9783847404149"</f>
        <v>9783847404149</v>
      </c>
    </row>
    <row r="23884" spans="1:6" s="3" customFormat="1" ht="29.1" customHeight="1" x14ac:dyDescent="0.25">
      <c r="A23884" s="2" t="s">
        <v>46670</v>
      </c>
      <c r="B23884" s="2" t="s">
        <v>46671</v>
      </c>
      <c r="C23884" s="2" t="s">
        <v>11220</v>
      </c>
      <c r="D23884" s="2" t="s">
        <v>32841</v>
      </c>
      <c r="E23884" s="2" t="str">
        <f>"9780814780978"</f>
        <v>9780814780978</v>
      </c>
      <c r="F23884" s="2" t="str">
        <f>"9780814739617"</f>
        <v>9780814739617</v>
      </c>
    </row>
    <row r="23885" spans="1:6" s="3" customFormat="1" ht="29.1" customHeight="1" x14ac:dyDescent="0.25">
      <c r="A23885" s="2" t="s">
        <v>46672</v>
      </c>
      <c r="B23885" s="2" t="s">
        <v>46673</v>
      </c>
      <c r="C23885" s="2" t="s">
        <v>11220</v>
      </c>
      <c r="D23885" s="2" t="s">
        <v>1591</v>
      </c>
      <c r="E23885" s="2" t="str">
        <f>"9780814782873"</f>
        <v>9780814782873</v>
      </c>
      <c r="F23885" s="2" t="str">
        <f>"9781479899388"</f>
        <v>9781479899388</v>
      </c>
    </row>
    <row r="23886" spans="1:6" s="3" customFormat="1" ht="29.1" customHeight="1" x14ac:dyDescent="0.25">
      <c r="A23886" s="2" t="s">
        <v>46674</v>
      </c>
      <c r="B23886" s="2" t="s">
        <v>46675</v>
      </c>
      <c r="C23886" s="2" t="s">
        <v>124</v>
      </c>
      <c r="D23886" s="2" t="s">
        <v>2587</v>
      </c>
      <c r="E23886" s="2" t="str">
        <f>"9781138901216"</f>
        <v>9781138901216</v>
      </c>
      <c r="F23886" s="2" t="str">
        <f>"9781317451181"</f>
        <v>9781317451181</v>
      </c>
    </row>
    <row r="23887" spans="1:6" s="3" customFormat="1" ht="29.1" customHeight="1" x14ac:dyDescent="0.25">
      <c r="A23887" s="2" t="s">
        <v>46676</v>
      </c>
      <c r="B23887" s="2" t="s">
        <v>46677</v>
      </c>
      <c r="C23887" s="2" t="s">
        <v>927</v>
      </c>
      <c r="D23887" s="2" t="s">
        <v>270</v>
      </c>
      <c r="E23887" s="2" t="str">
        <f>"9780472130023"</f>
        <v>9780472130023</v>
      </c>
      <c r="F23887" s="2" t="str">
        <f>"9780472122158"</f>
        <v>9780472122158</v>
      </c>
    </row>
    <row r="23888" spans="1:6" s="3" customFormat="1" ht="29.1" customHeight="1" x14ac:dyDescent="0.25">
      <c r="A23888" s="2" t="s">
        <v>46678</v>
      </c>
      <c r="B23888" s="2" t="s">
        <v>46679</v>
      </c>
      <c r="C23888" s="2" t="s">
        <v>29</v>
      </c>
      <c r="D23888" s="2" t="s">
        <v>12504</v>
      </c>
      <c r="E23888" s="2" t="str">
        <f>"9789086861880"</f>
        <v>9789086861880</v>
      </c>
      <c r="F23888" s="2" t="str">
        <f>"9789086867448"</f>
        <v>9789086867448</v>
      </c>
    </row>
    <row r="23889" spans="1:6" s="3" customFormat="1" ht="29.1" customHeight="1" x14ac:dyDescent="0.25">
      <c r="A23889" s="2" t="s">
        <v>46680</v>
      </c>
      <c r="B23889" s="2" t="s">
        <v>46681</v>
      </c>
      <c r="C23889" s="2" t="s">
        <v>4104</v>
      </c>
      <c r="D23889" s="2" t="s">
        <v>2005</v>
      </c>
      <c r="E23889" s="2" t="str">
        <f>"9781781382684"</f>
        <v>9781781382684</v>
      </c>
      <c r="F23889" s="2" t="str">
        <f>"9781781384312"</f>
        <v>9781781384312</v>
      </c>
    </row>
    <row r="23890" spans="1:6" s="3" customFormat="1" ht="29.1" customHeight="1" x14ac:dyDescent="0.25">
      <c r="A23890" s="2" t="s">
        <v>46682</v>
      </c>
      <c r="B23890" s="2" t="s">
        <v>8115</v>
      </c>
      <c r="C23890" s="2" t="s">
        <v>927</v>
      </c>
      <c r="D23890" s="2" t="s">
        <v>2208</v>
      </c>
      <c r="E23890" s="2" t="str">
        <f>"9780472053148"</f>
        <v>9780472053148</v>
      </c>
      <c r="F23890" s="2" t="str">
        <f>"9780472121984"</f>
        <v>9780472121984</v>
      </c>
    </row>
    <row r="23891" spans="1:6" s="3" customFormat="1" ht="29.1" customHeight="1" x14ac:dyDescent="0.25">
      <c r="A23891" s="2" t="s">
        <v>46683</v>
      </c>
      <c r="B23891" s="2" t="s">
        <v>46684</v>
      </c>
      <c r="C23891" s="2" t="s">
        <v>248</v>
      </c>
      <c r="D23891" s="2" t="s">
        <v>278</v>
      </c>
      <c r="E23891" s="2" t="str">
        <f>"9783847405047"</f>
        <v>9783847405047</v>
      </c>
      <c r="F23891" s="2" t="str">
        <f>"9783847409250"</f>
        <v>9783847409250</v>
      </c>
    </row>
    <row r="23892" spans="1:6" s="3" customFormat="1" ht="29.1" customHeight="1" x14ac:dyDescent="0.25">
      <c r="A23892" s="2" t="s">
        <v>46685</v>
      </c>
      <c r="B23892" s="2" t="s">
        <v>33816</v>
      </c>
      <c r="C23892" s="2" t="s">
        <v>556</v>
      </c>
      <c r="D23892" s="2" t="s">
        <v>1679</v>
      </c>
      <c r="E23892" s="2" t="str">
        <f>"9783837635454"</f>
        <v>9783837635454</v>
      </c>
      <c r="F23892" s="2" t="str">
        <f>"9783839435458"</f>
        <v>9783839435458</v>
      </c>
    </row>
    <row r="23893" spans="1:6" s="3" customFormat="1" ht="29.1" customHeight="1" x14ac:dyDescent="0.25">
      <c r="A23893" s="2" t="s">
        <v>46686</v>
      </c>
      <c r="B23893" s="2" t="s">
        <v>46687</v>
      </c>
      <c r="C23893" s="2" t="s">
        <v>556</v>
      </c>
      <c r="D23893" s="2" t="s">
        <v>699</v>
      </c>
      <c r="E23893" s="2" t="str">
        <f>"9783837635058"</f>
        <v>9783837635058</v>
      </c>
      <c r="F23893" s="2" t="str">
        <f>"9783839435052"</f>
        <v>9783839435052</v>
      </c>
    </row>
    <row r="23894" spans="1:6" s="3" customFormat="1" ht="29.1" customHeight="1" x14ac:dyDescent="0.25">
      <c r="A23894" s="2" t="s">
        <v>46688</v>
      </c>
      <c r="B23894" s="2" t="s">
        <v>46689</v>
      </c>
      <c r="C23894" s="2" t="s">
        <v>556</v>
      </c>
      <c r="D23894" s="2" t="s">
        <v>324</v>
      </c>
      <c r="E23894" s="2" t="str">
        <f>"9783837634778"</f>
        <v>9783837634778</v>
      </c>
      <c r="F23894" s="2" t="str">
        <f>"9783839434772"</f>
        <v>9783839434772</v>
      </c>
    </row>
    <row r="23895" spans="1:6" s="3" customFormat="1" ht="29.1" customHeight="1" x14ac:dyDescent="0.25">
      <c r="A23895" s="2" t="s">
        <v>46690</v>
      </c>
      <c r="B23895" s="2" t="s">
        <v>46691</v>
      </c>
      <c r="C23895" s="2" t="s">
        <v>556</v>
      </c>
      <c r="D23895" s="2" t="s">
        <v>2361</v>
      </c>
      <c r="E23895" s="2" t="str">
        <f>"9783837634723"</f>
        <v>9783837634723</v>
      </c>
      <c r="F23895" s="2" t="str">
        <f>"9783839434727"</f>
        <v>9783839434727</v>
      </c>
    </row>
    <row r="23896" spans="1:6" s="3" customFormat="1" ht="29.1" customHeight="1" x14ac:dyDescent="0.25">
      <c r="A23896" s="2" t="s">
        <v>46692</v>
      </c>
      <c r="B23896" s="2" t="s">
        <v>42561</v>
      </c>
      <c r="C23896" s="2" t="s">
        <v>556</v>
      </c>
      <c r="D23896" s="2" t="s">
        <v>689</v>
      </c>
      <c r="E23896" s="2" t="str">
        <f>"9783837634365"</f>
        <v>9783837634365</v>
      </c>
      <c r="F23896" s="2" t="str">
        <f>"9783839434369"</f>
        <v>9783839434369</v>
      </c>
    </row>
    <row r="23897" spans="1:6" s="3" customFormat="1" ht="29.1" customHeight="1" x14ac:dyDescent="0.25">
      <c r="A23897" s="2" t="s">
        <v>46693</v>
      </c>
      <c r="B23897" s="2" t="s">
        <v>46694</v>
      </c>
      <c r="C23897" s="2" t="s">
        <v>556</v>
      </c>
      <c r="D23897" s="2" t="s">
        <v>4783</v>
      </c>
      <c r="E23897" s="2" t="str">
        <f>"9783837634105"</f>
        <v>9783837634105</v>
      </c>
      <c r="F23897" s="2" t="str">
        <f>"9783839434109"</f>
        <v>9783839434109</v>
      </c>
    </row>
    <row r="23898" spans="1:6" s="3" customFormat="1" ht="29.1" customHeight="1" x14ac:dyDescent="0.25">
      <c r="A23898" s="2" t="s">
        <v>46695</v>
      </c>
      <c r="B23898" s="2" t="s">
        <v>46696</v>
      </c>
      <c r="C23898" s="2" t="s">
        <v>556</v>
      </c>
      <c r="D23898" s="2" t="s">
        <v>528</v>
      </c>
      <c r="E23898" s="2" t="str">
        <f>"9783837633139"</f>
        <v>9783837633139</v>
      </c>
      <c r="F23898" s="2" t="str">
        <f>"9783839433133"</f>
        <v>9783839433133</v>
      </c>
    </row>
    <row r="23899" spans="1:6" s="3" customFormat="1" ht="29.1" customHeight="1" x14ac:dyDescent="0.25">
      <c r="A23899" s="2" t="s">
        <v>46697</v>
      </c>
      <c r="B23899" s="2" t="s">
        <v>46698</v>
      </c>
      <c r="C23899" s="2" t="s">
        <v>556</v>
      </c>
      <c r="D23899" s="2" t="s">
        <v>2851</v>
      </c>
      <c r="E23899" s="2" t="str">
        <f>"9783837632576"</f>
        <v>9783837632576</v>
      </c>
      <c r="F23899" s="2" t="str">
        <f>"9783839432570"</f>
        <v>9783839432570</v>
      </c>
    </row>
    <row r="23900" spans="1:6" s="3" customFormat="1" ht="29.1" customHeight="1" x14ac:dyDescent="0.25">
      <c r="A23900" s="2" t="s">
        <v>46699</v>
      </c>
      <c r="B23900" s="2" t="s">
        <v>46700</v>
      </c>
      <c r="C23900" s="2" t="s">
        <v>43061</v>
      </c>
      <c r="D23900" s="2" t="s">
        <v>553</v>
      </c>
      <c r="E23900" s="2" t="str">
        <f>"9783737601443"</f>
        <v>9783737601443</v>
      </c>
      <c r="F23900" s="2" t="str">
        <f>"9783737601450"</f>
        <v>9783737601450</v>
      </c>
    </row>
    <row r="23901" spans="1:6" s="3" customFormat="1" ht="29.1" customHeight="1" x14ac:dyDescent="0.25">
      <c r="A23901" s="2" t="s">
        <v>46701</v>
      </c>
      <c r="B23901" s="2" t="s">
        <v>45450</v>
      </c>
      <c r="C23901" s="2" t="s">
        <v>43061</v>
      </c>
      <c r="D23901" s="2" t="s">
        <v>5092</v>
      </c>
      <c r="E23901" s="2" t="str">
        <f>"9783737601603"</f>
        <v>9783737601603</v>
      </c>
      <c r="F23901" s="2" t="str">
        <f>"9783737601610"</f>
        <v>9783737601610</v>
      </c>
    </row>
    <row r="23902" spans="1:6" s="3" customFormat="1" ht="29.1" customHeight="1" x14ac:dyDescent="0.25">
      <c r="A23902" s="2" t="s">
        <v>46702</v>
      </c>
      <c r="B23902" s="2" t="s">
        <v>46703</v>
      </c>
      <c r="C23902" s="2" t="s">
        <v>43061</v>
      </c>
      <c r="D23902" s="2" t="s">
        <v>297</v>
      </c>
      <c r="E23902" s="2" t="str">
        <f>"9783737601580"</f>
        <v>9783737601580</v>
      </c>
      <c r="F23902" s="2" t="str">
        <f>"9783737601597"</f>
        <v>9783737601597</v>
      </c>
    </row>
    <row r="23903" spans="1:6" s="3" customFormat="1" ht="29.1" customHeight="1" x14ac:dyDescent="0.25">
      <c r="A23903" s="2" t="s">
        <v>46704</v>
      </c>
      <c r="B23903" s="2" t="s">
        <v>46705</v>
      </c>
      <c r="C23903" s="2" t="s">
        <v>43061</v>
      </c>
      <c r="D23903" s="2" t="s">
        <v>3943</v>
      </c>
      <c r="E23903" s="2" t="str">
        <f>"9783737601368"</f>
        <v>9783737601368</v>
      </c>
      <c r="F23903" s="2" t="str">
        <f>"9783737601375"</f>
        <v>9783737601375</v>
      </c>
    </row>
    <row r="23904" spans="1:6" s="3" customFormat="1" ht="29.1" customHeight="1" x14ac:dyDescent="0.25">
      <c r="A23904" s="2" t="s">
        <v>46706</v>
      </c>
      <c r="B23904" s="2" t="s">
        <v>46707</v>
      </c>
      <c r="C23904" s="2" t="s">
        <v>43061</v>
      </c>
      <c r="D23904" s="2" t="s">
        <v>454</v>
      </c>
      <c r="E23904" s="2" t="str">
        <f>"9783737601283"</f>
        <v>9783737601283</v>
      </c>
      <c r="F23904" s="2" t="str">
        <f>"9783737601290"</f>
        <v>9783737601290</v>
      </c>
    </row>
    <row r="23905" spans="1:6" s="3" customFormat="1" ht="29.1" customHeight="1" x14ac:dyDescent="0.25">
      <c r="A23905" s="2" t="s">
        <v>46708</v>
      </c>
      <c r="B23905" s="2" t="s">
        <v>46710</v>
      </c>
      <c r="C23905" s="2" t="s">
        <v>43061</v>
      </c>
      <c r="D23905" s="2" t="s">
        <v>46709</v>
      </c>
      <c r="E23905" s="2" t="str">
        <f>"9783737601382"</f>
        <v>9783737601382</v>
      </c>
      <c r="F23905" s="2" t="str">
        <f>"9783737601399"</f>
        <v>9783737601399</v>
      </c>
    </row>
    <row r="23906" spans="1:6" s="3" customFormat="1" ht="29.1" customHeight="1" x14ac:dyDescent="0.25">
      <c r="A23906" s="2" t="s">
        <v>46711</v>
      </c>
      <c r="B23906" s="2" t="s">
        <v>46712</v>
      </c>
      <c r="C23906" s="2" t="s">
        <v>43061</v>
      </c>
      <c r="D23906" s="2" t="s">
        <v>45236</v>
      </c>
      <c r="E23906" s="2" t="str">
        <f>"9783737601429"</f>
        <v>9783737601429</v>
      </c>
      <c r="F23906" s="2" t="str">
        <f>"9783737601436"</f>
        <v>9783737601436</v>
      </c>
    </row>
    <row r="23907" spans="1:6" s="3" customFormat="1" ht="29.1" customHeight="1" x14ac:dyDescent="0.25">
      <c r="A23907" s="2" t="s">
        <v>46713</v>
      </c>
      <c r="B23907" s="2" t="s">
        <v>46714</v>
      </c>
      <c r="C23907" s="2" t="s">
        <v>43061</v>
      </c>
      <c r="D23907" s="2" t="s">
        <v>1248</v>
      </c>
      <c r="E23907" s="2" t="str">
        <f>"9783737600965"</f>
        <v>9783737600965</v>
      </c>
      <c r="F23907" s="2" t="str">
        <f>"9783737600972"</f>
        <v>9783737600972</v>
      </c>
    </row>
    <row r="23908" spans="1:6" s="3" customFormat="1" ht="29.1" customHeight="1" x14ac:dyDescent="0.25">
      <c r="A23908" s="2" t="s">
        <v>46715</v>
      </c>
      <c r="B23908" s="2" t="s">
        <v>46716</v>
      </c>
      <c r="C23908" s="2" t="s">
        <v>43061</v>
      </c>
      <c r="D23908" s="2" t="s">
        <v>46709</v>
      </c>
      <c r="E23908" s="2" t="str">
        <f>"9783737601306"</f>
        <v>9783737601306</v>
      </c>
      <c r="F23908" s="2" t="str">
        <f>"9783737601313"</f>
        <v>9783737601313</v>
      </c>
    </row>
    <row r="23909" spans="1:6" s="3" customFormat="1" ht="29.1" customHeight="1" x14ac:dyDescent="0.25">
      <c r="A23909" s="2" t="s">
        <v>46717</v>
      </c>
      <c r="B23909" s="2" t="s">
        <v>46718</v>
      </c>
      <c r="C23909" s="2" t="s">
        <v>43061</v>
      </c>
      <c r="D23909" s="2" t="s">
        <v>45587</v>
      </c>
      <c r="E23909" s="2" t="str">
        <f>"9783737601344"</f>
        <v>9783737601344</v>
      </c>
      <c r="F23909" s="2" t="str">
        <f>"9783737601351"</f>
        <v>9783737601351</v>
      </c>
    </row>
    <row r="23910" spans="1:6" s="3" customFormat="1" ht="29.1" customHeight="1" x14ac:dyDescent="0.25">
      <c r="A23910" s="2" t="s">
        <v>46719</v>
      </c>
      <c r="B23910" s="2" t="s">
        <v>46720</v>
      </c>
      <c r="C23910" s="2" t="s">
        <v>43061</v>
      </c>
      <c r="D23910" s="2" t="s">
        <v>3910</v>
      </c>
      <c r="E23910" s="2" t="str">
        <f>"9783737601481"</f>
        <v>9783737601481</v>
      </c>
      <c r="F23910" s="2" t="str">
        <f>"9783737601498"</f>
        <v>9783737601498</v>
      </c>
    </row>
    <row r="23911" spans="1:6" s="3" customFormat="1" ht="29.1" customHeight="1" x14ac:dyDescent="0.25">
      <c r="A23911" s="2" t="s">
        <v>46721</v>
      </c>
      <c r="B23911" s="2" t="s">
        <v>46722</v>
      </c>
      <c r="C23911" s="2" t="s">
        <v>43061</v>
      </c>
      <c r="D23911" s="2" t="s">
        <v>45236</v>
      </c>
      <c r="E23911" s="2" t="str">
        <f>"9783737601740"</f>
        <v>9783737601740</v>
      </c>
      <c r="F23911" s="2" t="str">
        <f>"9783737601757"</f>
        <v>9783737601757</v>
      </c>
    </row>
    <row r="23912" spans="1:6" s="3" customFormat="1" ht="29.1" customHeight="1" x14ac:dyDescent="0.25">
      <c r="A23912" s="2" t="s">
        <v>46723</v>
      </c>
      <c r="B23912" s="2" t="s">
        <v>46724</v>
      </c>
      <c r="C23912" s="2" t="s">
        <v>195</v>
      </c>
      <c r="D23912" s="2" t="s">
        <v>5536</v>
      </c>
      <c r="E23912" s="2" t="str">
        <f>"9783110484458"</f>
        <v>9783110484458</v>
      </c>
      <c r="F23912" s="2" t="str">
        <f>"9783110485554"</f>
        <v>9783110485554</v>
      </c>
    </row>
    <row r="23913" spans="1:6" s="3" customFormat="1" ht="29.1" customHeight="1" x14ac:dyDescent="0.25">
      <c r="A23913" s="2" t="s">
        <v>46725</v>
      </c>
      <c r="B23913" s="2" t="s">
        <v>46726</v>
      </c>
      <c r="C23913" s="2" t="s">
        <v>195</v>
      </c>
      <c r="D23913" s="2" t="s">
        <v>3993</v>
      </c>
      <c r="E23913" s="2" t="str">
        <f>"9783110307634"</f>
        <v>9783110307634</v>
      </c>
      <c r="F23913" s="2" t="str">
        <f>"9783110400069"</f>
        <v>9783110400069</v>
      </c>
    </row>
    <row r="23914" spans="1:6" s="3" customFormat="1" ht="29.1" customHeight="1" x14ac:dyDescent="0.25">
      <c r="A23914" s="2" t="s">
        <v>46727</v>
      </c>
      <c r="B23914" s="2" t="s">
        <v>46728</v>
      </c>
      <c r="C23914" s="2" t="s">
        <v>195</v>
      </c>
      <c r="D23914" s="2" t="s">
        <v>446</v>
      </c>
      <c r="E23914" s="2" t="str">
        <f>"9783110466294"</f>
        <v>9783110466294</v>
      </c>
      <c r="F23914" s="2" t="str">
        <f>"9783110467284"</f>
        <v>9783110467284</v>
      </c>
    </row>
    <row r="23915" spans="1:6" s="3" customFormat="1" ht="29.1" customHeight="1" x14ac:dyDescent="0.25">
      <c r="A23915" s="2" t="s">
        <v>46729</v>
      </c>
      <c r="B23915" s="2" t="s">
        <v>46730</v>
      </c>
      <c r="C23915" s="2" t="s">
        <v>195</v>
      </c>
      <c r="D23915" s="2" t="s">
        <v>33</v>
      </c>
      <c r="E23915" s="2" t="str">
        <f>"9783110455328"</f>
        <v>9783110455328</v>
      </c>
      <c r="F23915" s="2" t="str">
        <f>"9783110457438"</f>
        <v>9783110457438</v>
      </c>
    </row>
    <row r="23916" spans="1:6" s="3" customFormat="1" ht="29.1" customHeight="1" x14ac:dyDescent="0.25">
      <c r="A23916" s="2" t="s">
        <v>46731</v>
      </c>
      <c r="B23916" s="2" t="s">
        <v>46732</v>
      </c>
      <c r="C23916" s="2" t="s">
        <v>124</v>
      </c>
      <c r="D23916" s="2" t="s">
        <v>1198</v>
      </c>
      <c r="E23916" s="2" t="str">
        <f>"9789089647177"</f>
        <v>9789089647177</v>
      </c>
      <c r="F23916" s="2" t="str">
        <f>"9781040799628"</f>
        <v>9781040799628</v>
      </c>
    </row>
    <row r="23917" spans="1:6" s="3" customFormat="1" ht="29.1" customHeight="1" x14ac:dyDescent="0.25">
      <c r="A23917" s="2" t="s">
        <v>46733</v>
      </c>
      <c r="B23917" s="2" t="s">
        <v>46734</v>
      </c>
      <c r="C23917" s="2" t="s">
        <v>4104</v>
      </c>
      <c r="D23917" s="2" t="s">
        <v>118</v>
      </c>
      <c r="E23917" s="2" t="str">
        <f>"9781781383094"</f>
        <v>9781781383094</v>
      </c>
      <c r="F23917" s="2" t="str">
        <f>"9781781388624"</f>
        <v>9781781388624</v>
      </c>
    </row>
    <row r="23918" spans="1:6" s="3" customFormat="1" ht="29.1" customHeight="1" x14ac:dyDescent="0.25">
      <c r="A23918" s="2" t="s">
        <v>46735</v>
      </c>
      <c r="B23918" s="2" t="s">
        <v>46736</v>
      </c>
      <c r="C23918" s="2" t="s">
        <v>4104</v>
      </c>
      <c r="D23918" s="2" t="s">
        <v>175</v>
      </c>
      <c r="E23918" s="2" t="str">
        <f>"9781781380253"</f>
        <v>9781781380253</v>
      </c>
      <c r="F23918" s="2" t="str">
        <f>"9781781385982"</f>
        <v>9781781385982</v>
      </c>
    </row>
    <row r="23919" spans="1:6" s="3" customFormat="1" ht="29.1" customHeight="1" x14ac:dyDescent="0.25">
      <c r="A23919" s="2" t="s">
        <v>46737</v>
      </c>
      <c r="B23919" s="2" t="s">
        <v>46738</v>
      </c>
      <c r="C23919" s="2" t="s">
        <v>124</v>
      </c>
      <c r="D23919" s="2" t="s">
        <v>270</v>
      </c>
      <c r="E23919" s="2" t="str">
        <f>"9781041186670"</f>
        <v>9781041186670</v>
      </c>
      <c r="F23919" s="2" t="str">
        <f>"9781040773291"</f>
        <v>9781040773291</v>
      </c>
    </row>
    <row r="23920" spans="1:6" s="3" customFormat="1" ht="29.1" customHeight="1" x14ac:dyDescent="0.25">
      <c r="A23920" s="2" t="s">
        <v>46739</v>
      </c>
      <c r="B23920" s="2" t="s">
        <v>46740</v>
      </c>
      <c r="C23920" s="2" t="s">
        <v>124</v>
      </c>
      <c r="D23920" s="2" t="s">
        <v>1198</v>
      </c>
      <c r="E23920" s="2" t="str">
        <f>"9781041181118"</f>
        <v>9781041181118</v>
      </c>
      <c r="F23920" s="2" t="str">
        <f>"9781040775134"</f>
        <v>9781040775134</v>
      </c>
    </row>
    <row r="23921" spans="1:6" s="3" customFormat="1" ht="29.1" customHeight="1" x14ac:dyDescent="0.25">
      <c r="A23921" s="2" t="s">
        <v>46741</v>
      </c>
      <c r="B23921" s="2" t="s">
        <v>46742</v>
      </c>
      <c r="C23921" s="2" t="s">
        <v>124</v>
      </c>
      <c r="D23921" s="2" t="s">
        <v>270</v>
      </c>
      <c r="E23921" s="2" t="str">
        <f>"9781041180173"</f>
        <v>9781041180173</v>
      </c>
      <c r="F23921" s="2" t="str">
        <f>"9781040785799"</f>
        <v>9781040785799</v>
      </c>
    </row>
    <row r="23922" spans="1:6" s="3" customFormat="1" ht="29.1" customHeight="1" x14ac:dyDescent="0.25">
      <c r="A23922" s="2" t="s">
        <v>46743</v>
      </c>
      <c r="B23922" s="2" t="s">
        <v>46744</v>
      </c>
      <c r="C23922" s="2" t="s">
        <v>124</v>
      </c>
      <c r="D23922" s="2" t="s">
        <v>95</v>
      </c>
      <c r="E23922" s="2" t="str">
        <f>"9781041176329"</f>
        <v>9781041176329</v>
      </c>
      <c r="F23922" s="2" t="str">
        <f>"9781040779644"</f>
        <v>9781040779644</v>
      </c>
    </row>
    <row r="23923" spans="1:6" s="3" customFormat="1" ht="29.1" customHeight="1" x14ac:dyDescent="0.25">
      <c r="A23923" s="2" t="s">
        <v>46745</v>
      </c>
      <c r="B23923" s="2" t="s">
        <v>46746</v>
      </c>
      <c r="C23923" s="2" t="s">
        <v>29</v>
      </c>
      <c r="D23923" s="2" t="s">
        <v>9</v>
      </c>
      <c r="E23923" s="2" t="str">
        <f>"9789463006224"</f>
        <v>9789463006224</v>
      </c>
      <c r="F23923" s="2" t="str">
        <f>"9789463006248"</f>
        <v>9789463006248</v>
      </c>
    </row>
    <row r="23924" spans="1:6" s="3" customFormat="1" ht="29.1" customHeight="1" x14ac:dyDescent="0.25">
      <c r="A23924" s="2" t="s">
        <v>46747</v>
      </c>
      <c r="B23924" s="2" t="s">
        <v>46748</v>
      </c>
      <c r="C23924" s="2" t="s">
        <v>5050</v>
      </c>
      <c r="D23924" s="2" t="s">
        <v>5060</v>
      </c>
      <c r="E23924" s="2" t="str">
        <f>"9780824858001"</f>
        <v>9780824858001</v>
      </c>
      <c r="F23924" s="2" t="str">
        <f>"9780824858018"</f>
        <v>9780824858018</v>
      </c>
    </row>
    <row r="23925" spans="1:6" s="3" customFormat="1" ht="29.1" customHeight="1" x14ac:dyDescent="0.25">
      <c r="A23925" s="2" t="s">
        <v>46749</v>
      </c>
      <c r="B23925" s="2" t="s">
        <v>46750</v>
      </c>
      <c r="C23925" s="2" t="s">
        <v>5050</v>
      </c>
      <c r="D23925" s="2" t="s">
        <v>791</v>
      </c>
      <c r="E23925" s="2" t="str">
        <f>"9780824867133"</f>
        <v>9780824867133</v>
      </c>
      <c r="F23925" s="2" t="str">
        <f>"9780824867140"</f>
        <v>9780824867140</v>
      </c>
    </row>
    <row r="23926" spans="1:6" s="3" customFormat="1" ht="29.1" customHeight="1" x14ac:dyDescent="0.25">
      <c r="A23926" s="2" t="s">
        <v>46751</v>
      </c>
      <c r="B23926" s="2" t="s">
        <v>46752</v>
      </c>
      <c r="C23926" s="2" t="s">
        <v>149</v>
      </c>
      <c r="D23926" s="2" t="s">
        <v>1999</v>
      </c>
      <c r="E23926" s="2" t="str">
        <f>"9781909254909"</f>
        <v>9781909254909</v>
      </c>
      <c r="F23926" s="2" t="str">
        <f>"9781909254923"</f>
        <v>9781909254923</v>
      </c>
    </row>
    <row r="23927" spans="1:6" s="3" customFormat="1" ht="29.1" customHeight="1" x14ac:dyDescent="0.25">
      <c r="A23927" s="2" t="s">
        <v>46753</v>
      </c>
      <c r="B23927" s="2" t="s">
        <v>46754</v>
      </c>
      <c r="C23927" s="2" t="s">
        <v>149</v>
      </c>
      <c r="D23927" s="2" t="s">
        <v>159</v>
      </c>
      <c r="E23927" s="2" t="str">
        <f>"9781783742431"</f>
        <v>9781783742431</v>
      </c>
      <c r="F23927" s="2" t="str">
        <f>"9781783742455"</f>
        <v>9781783742455</v>
      </c>
    </row>
    <row r="23928" spans="1:6" s="3" customFormat="1" ht="29.1" customHeight="1" x14ac:dyDescent="0.25">
      <c r="A23928" s="2" t="s">
        <v>46755</v>
      </c>
      <c r="B23928" s="2" t="s">
        <v>7148</v>
      </c>
      <c r="C23928" s="2" t="s">
        <v>149</v>
      </c>
      <c r="D23928" s="2" t="s">
        <v>46756</v>
      </c>
      <c r="E23928" s="2" t="str">
        <f>"9781783742134"</f>
        <v>9781783742134</v>
      </c>
      <c r="F23928" s="2" t="str">
        <f>"9781783742158"</f>
        <v>9781783742158</v>
      </c>
    </row>
    <row r="23929" spans="1:6" s="3" customFormat="1" ht="29.1" customHeight="1" x14ac:dyDescent="0.25">
      <c r="A23929" s="2" t="s">
        <v>46757</v>
      </c>
      <c r="B23929" s="2" t="s">
        <v>46758</v>
      </c>
      <c r="C23929" s="2" t="s">
        <v>149</v>
      </c>
      <c r="D23929" s="2" t="s">
        <v>6835</v>
      </c>
      <c r="E23929" s="2" t="str">
        <f>"9781783742288"</f>
        <v>9781783742288</v>
      </c>
      <c r="F23929" s="2" t="str">
        <f>"9781783742301"</f>
        <v>9781783742301</v>
      </c>
    </row>
    <row r="23930" spans="1:6" s="3" customFormat="1" ht="29.1" customHeight="1" x14ac:dyDescent="0.25">
      <c r="A23930" s="2" t="s">
        <v>46759</v>
      </c>
      <c r="B23930" s="2" t="s">
        <v>46760</v>
      </c>
      <c r="C23930" s="2" t="s">
        <v>149</v>
      </c>
      <c r="D23930" s="2" t="s">
        <v>405</v>
      </c>
      <c r="E23930" s="2" t="str">
        <f>"9781783741625"</f>
        <v>9781783741625</v>
      </c>
      <c r="F23930" s="2" t="str">
        <f>"9781783741649"</f>
        <v>9781783741649</v>
      </c>
    </row>
    <row r="23931" spans="1:6" s="3" customFormat="1" ht="29.1" customHeight="1" x14ac:dyDescent="0.25">
      <c r="A23931" s="2" t="s">
        <v>46761</v>
      </c>
      <c r="B23931" s="2" t="s">
        <v>46762</v>
      </c>
      <c r="C23931" s="2" t="s">
        <v>4104</v>
      </c>
      <c r="D23931" s="2" t="s">
        <v>405</v>
      </c>
      <c r="E23931" s="2" t="str">
        <f>"9781781381878"</f>
        <v>9781781381878</v>
      </c>
      <c r="F23931" s="2" t="str">
        <f>"9781781384695"</f>
        <v>9781781384695</v>
      </c>
    </row>
    <row r="23932" spans="1:6" s="3" customFormat="1" ht="29.1" customHeight="1" x14ac:dyDescent="0.25">
      <c r="A23932" s="2" t="s">
        <v>46763</v>
      </c>
      <c r="B23932" s="2" t="s">
        <v>46764</v>
      </c>
      <c r="C23932" s="2" t="s">
        <v>195</v>
      </c>
      <c r="D23932" s="2" t="s">
        <v>210</v>
      </c>
      <c r="E23932" s="2" t="str">
        <f>"9783486704198"</f>
        <v>9783486704198</v>
      </c>
      <c r="F23932" s="2" t="str">
        <f>"9783486704211"</f>
        <v>9783486704211</v>
      </c>
    </row>
    <row r="23933" spans="1:6" s="3" customFormat="1" ht="29.1" customHeight="1" x14ac:dyDescent="0.25">
      <c r="A23933" s="2" t="s">
        <v>46765</v>
      </c>
      <c r="B23933" s="2" t="s">
        <v>46766</v>
      </c>
      <c r="C23933" s="2" t="s">
        <v>195</v>
      </c>
      <c r="D23933" s="2" t="s">
        <v>459</v>
      </c>
      <c r="E23933" s="2" t="str">
        <f>"9783110192735"</f>
        <v>9783110192735</v>
      </c>
      <c r="F23933" s="2" t="str">
        <f>"9783110439083"</f>
        <v>9783110439083</v>
      </c>
    </row>
    <row r="23934" spans="1:6" s="3" customFormat="1" ht="29.1" customHeight="1" x14ac:dyDescent="0.25">
      <c r="A23934" s="2" t="s">
        <v>46767</v>
      </c>
      <c r="B23934" s="2" t="s">
        <v>46768</v>
      </c>
      <c r="C23934" s="2" t="s">
        <v>195</v>
      </c>
      <c r="D23934" s="2" t="s">
        <v>413</v>
      </c>
      <c r="E23934" s="2" t="str">
        <f>"9783110202274"</f>
        <v>9783110202274</v>
      </c>
      <c r="F23934" s="2" t="str">
        <f>"9783110970555"</f>
        <v>9783110970555</v>
      </c>
    </row>
    <row r="23935" spans="1:6" s="3" customFormat="1" ht="29.1" customHeight="1" x14ac:dyDescent="0.25">
      <c r="A23935" s="2" t="s">
        <v>46769</v>
      </c>
      <c r="B23935" s="2" t="s">
        <v>46770</v>
      </c>
      <c r="C23935" s="2" t="s">
        <v>195</v>
      </c>
      <c r="D23935" s="2" t="s">
        <v>210</v>
      </c>
      <c r="E23935" s="2" t="str">
        <f>"9783486532210"</f>
        <v>9783486532210</v>
      </c>
      <c r="F23935" s="2" t="str">
        <f>"9783486707786"</f>
        <v>9783486707786</v>
      </c>
    </row>
    <row r="23936" spans="1:6" s="3" customFormat="1" ht="29.1" customHeight="1" x14ac:dyDescent="0.25">
      <c r="A23936" s="2" t="s">
        <v>46771</v>
      </c>
      <c r="B23936" s="2" t="s">
        <v>46772</v>
      </c>
      <c r="C23936" s="2" t="s">
        <v>195</v>
      </c>
      <c r="D23936" s="2" t="s">
        <v>210</v>
      </c>
      <c r="E23936" s="2" t="str">
        <f>"9783486579956"</f>
        <v>9783486579956</v>
      </c>
      <c r="F23936" s="2" t="str">
        <f>"9783486706321"</f>
        <v>9783486706321</v>
      </c>
    </row>
    <row r="23937" spans="1:6" s="3" customFormat="1" ht="29.1" customHeight="1" x14ac:dyDescent="0.25">
      <c r="A23937" s="2" t="s">
        <v>46773</v>
      </c>
      <c r="B23937" s="2" t="s">
        <v>46774</v>
      </c>
      <c r="C23937" s="2" t="s">
        <v>195</v>
      </c>
      <c r="D23937" s="2" t="s">
        <v>1466</v>
      </c>
      <c r="E23937" s="2" t="str">
        <f>"9783486709469"</f>
        <v>9783486709469</v>
      </c>
      <c r="F23937" s="2" t="str">
        <f>"9783486714197"</f>
        <v>9783486714197</v>
      </c>
    </row>
    <row r="23938" spans="1:6" s="3" customFormat="1" ht="29.1" customHeight="1" x14ac:dyDescent="0.25">
      <c r="A23938" s="2" t="s">
        <v>46775</v>
      </c>
      <c r="B23938" s="2" t="s">
        <v>35662</v>
      </c>
      <c r="C23938" s="2" t="s">
        <v>248</v>
      </c>
      <c r="D23938" s="2" t="s">
        <v>249</v>
      </c>
      <c r="E23938" s="2" t="str">
        <f>"9783847405078"</f>
        <v>9783847405078</v>
      </c>
      <c r="F23938" s="2" t="str">
        <f>"9783847409298"</f>
        <v>9783847409298</v>
      </c>
    </row>
    <row r="23939" spans="1:6" s="3" customFormat="1" ht="29.1" customHeight="1" x14ac:dyDescent="0.25">
      <c r="A23939" s="2" t="s">
        <v>46776</v>
      </c>
      <c r="B23939" s="2" t="s">
        <v>46777</v>
      </c>
      <c r="C23939" s="2" t="s">
        <v>248</v>
      </c>
      <c r="D23939" s="2" t="s">
        <v>2411</v>
      </c>
      <c r="E23939" s="2" t="str">
        <f>"9783847407720"</f>
        <v>9783847407720</v>
      </c>
      <c r="F23939" s="2" t="str">
        <f>"9783847408918"</f>
        <v>9783847408918</v>
      </c>
    </row>
    <row r="23940" spans="1:6" s="3" customFormat="1" ht="29.1" customHeight="1" x14ac:dyDescent="0.25">
      <c r="A23940" s="2" t="s">
        <v>46778</v>
      </c>
      <c r="B23940" s="2" t="s">
        <v>46779</v>
      </c>
      <c r="C23940" s="2" t="s">
        <v>248</v>
      </c>
      <c r="D23940" s="2" t="s">
        <v>86</v>
      </c>
      <c r="E23940" s="2" t="str">
        <f>"9783847406181"</f>
        <v>9783847406181</v>
      </c>
      <c r="F23940" s="2" t="str">
        <f>"9783847404316"</f>
        <v>9783847404316</v>
      </c>
    </row>
    <row r="23941" spans="1:6" s="3" customFormat="1" ht="29.1" customHeight="1" x14ac:dyDescent="0.25">
      <c r="A23941" s="2" t="s">
        <v>46780</v>
      </c>
      <c r="B23941" s="2" t="s">
        <v>46781</v>
      </c>
      <c r="C23941" s="2" t="s">
        <v>248</v>
      </c>
      <c r="D23941" s="2" t="s">
        <v>56</v>
      </c>
      <c r="E23941" s="2" t="str">
        <f>"9783847406136"</f>
        <v>9783847406136</v>
      </c>
      <c r="F23941" s="2" t="str">
        <f>"9783847402404"</f>
        <v>9783847402404</v>
      </c>
    </row>
    <row r="23942" spans="1:6" s="3" customFormat="1" ht="29.1" customHeight="1" x14ac:dyDescent="0.25">
      <c r="A23942" s="2" t="s">
        <v>46782</v>
      </c>
      <c r="B23942" s="2" t="s">
        <v>46783</v>
      </c>
      <c r="C23942" s="2" t="s">
        <v>248</v>
      </c>
      <c r="D23942" s="2" t="s">
        <v>75</v>
      </c>
      <c r="E23942" s="2" t="str">
        <f>"9783847407270"</f>
        <v>9783847407270</v>
      </c>
      <c r="F23942" s="2" t="str">
        <f>"9783847409373"</f>
        <v>9783847409373</v>
      </c>
    </row>
    <row r="23943" spans="1:6" s="3" customFormat="1" ht="29.1" customHeight="1" x14ac:dyDescent="0.25">
      <c r="A23943" s="2" t="s">
        <v>46784</v>
      </c>
      <c r="B23943" s="2" t="s">
        <v>46785</v>
      </c>
      <c r="C23943" s="2" t="s">
        <v>248</v>
      </c>
      <c r="D23943" s="2" t="s">
        <v>86</v>
      </c>
      <c r="E23943" s="2" t="str">
        <f>"9783847401339"</f>
        <v>9783847401339</v>
      </c>
      <c r="F23943" s="2" t="str">
        <f>"9783847404286"</f>
        <v>9783847404286</v>
      </c>
    </row>
    <row r="23944" spans="1:6" s="3" customFormat="1" ht="29.1" customHeight="1" x14ac:dyDescent="0.25">
      <c r="A23944" s="2" t="s">
        <v>46786</v>
      </c>
      <c r="B23944" s="2" t="s">
        <v>46787</v>
      </c>
      <c r="C23944" s="2" t="s">
        <v>248</v>
      </c>
      <c r="D23944" s="2" t="s">
        <v>75</v>
      </c>
      <c r="E23944" s="2" t="str">
        <f>"9783847406952"</f>
        <v>9783847406952</v>
      </c>
      <c r="F23944" s="2" t="str">
        <f>"9783847408413"</f>
        <v>9783847408413</v>
      </c>
    </row>
    <row r="23945" spans="1:6" s="3" customFormat="1" ht="29.1" customHeight="1" x14ac:dyDescent="0.25">
      <c r="A23945" s="2" t="s">
        <v>46788</v>
      </c>
      <c r="B23945" s="2" t="s">
        <v>36782</v>
      </c>
      <c r="C23945" s="2" t="s">
        <v>248</v>
      </c>
      <c r="D23945" s="2" t="s">
        <v>1228</v>
      </c>
      <c r="E23945" s="2" t="str">
        <f>"9783847400752"</f>
        <v>9783847400752</v>
      </c>
      <c r="F23945" s="2" t="str">
        <f>"9783847403388"</f>
        <v>9783847403388</v>
      </c>
    </row>
    <row r="23946" spans="1:6" s="3" customFormat="1" ht="29.1" customHeight="1" x14ac:dyDescent="0.25">
      <c r="A23946" s="2" t="s">
        <v>46789</v>
      </c>
      <c r="B23946" s="2" t="s">
        <v>46790</v>
      </c>
      <c r="C23946" s="2" t="s">
        <v>248</v>
      </c>
      <c r="D23946" s="2" t="s">
        <v>32371</v>
      </c>
      <c r="E23946" s="2" t="str">
        <f>"9783847401094"</f>
        <v>9783847401094</v>
      </c>
      <c r="F23946" s="2" t="str">
        <f>"9783847403753"</f>
        <v>9783847403753</v>
      </c>
    </row>
    <row r="23947" spans="1:6" s="3" customFormat="1" ht="29.1" customHeight="1" x14ac:dyDescent="0.25">
      <c r="A23947" s="2" t="s">
        <v>46791</v>
      </c>
      <c r="B23947" s="2" t="s">
        <v>46792</v>
      </c>
      <c r="C23947" s="2" t="s">
        <v>248</v>
      </c>
      <c r="D23947" s="2" t="s">
        <v>249</v>
      </c>
      <c r="E23947" s="2" t="str">
        <f>"9783938094679"</f>
        <v>9783938094679</v>
      </c>
      <c r="F23947" s="2" t="str">
        <f>"9783847403357"</f>
        <v>9783847403357</v>
      </c>
    </row>
    <row r="23948" spans="1:6" s="3" customFormat="1" ht="29.1" customHeight="1" x14ac:dyDescent="0.25">
      <c r="A23948" s="2" t="s">
        <v>46793</v>
      </c>
      <c r="B23948" s="2" t="s">
        <v>46794</v>
      </c>
      <c r="C23948" s="2" t="s">
        <v>248</v>
      </c>
      <c r="D23948" s="2" t="s">
        <v>501</v>
      </c>
      <c r="E23948" s="2" t="str">
        <f>"9783847400059"</f>
        <v>9783847400059</v>
      </c>
      <c r="F23948" s="2" t="str">
        <f>"9783866495500"</f>
        <v>9783866495500</v>
      </c>
    </row>
    <row r="23949" spans="1:6" s="3" customFormat="1" ht="29.1" customHeight="1" x14ac:dyDescent="0.25">
      <c r="A23949" s="2" t="s">
        <v>46795</v>
      </c>
      <c r="B23949" s="2" t="s">
        <v>46150</v>
      </c>
      <c r="C23949" s="2" t="s">
        <v>55</v>
      </c>
      <c r="D23949" s="2" t="s">
        <v>297</v>
      </c>
      <c r="E23949" s="2" t="str">
        <f>"9780719096501"</f>
        <v>9780719096501</v>
      </c>
      <c r="F23949" s="2" t="str">
        <f>"9781847799739"</f>
        <v>9781847799739</v>
      </c>
    </row>
    <row r="23950" spans="1:6" s="3" customFormat="1" ht="29.1" customHeight="1" x14ac:dyDescent="0.25">
      <c r="A23950" s="2" t="s">
        <v>46796</v>
      </c>
      <c r="B23950" s="2" t="s">
        <v>46797</v>
      </c>
      <c r="C23950" s="2" t="s">
        <v>55</v>
      </c>
      <c r="D23950" s="2" t="s">
        <v>4639</v>
      </c>
      <c r="E23950" s="2" t="str">
        <f>"9780719090196"</f>
        <v>9780719090196</v>
      </c>
      <c r="F23950" s="2" t="str">
        <f>"9781847799777"</f>
        <v>9781847799777</v>
      </c>
    </row>
    <row r="23951" spans="1:6" s="3" customFormat="1" ht="29.1" customHeight="1" x14ac:dyDescent="0.25">
      <c r="A23951" s="2" t="s">
        <v>46798</v>
      </c>
      <c r="B23951" s="2" t="s">
        <v>46799</v>
      </c>
      <c r="C23951" s="2" t="s">
        <v>55</v>
      </c>
      <c r="D23951" s="2" t="s">
        <v>297</v>
      </c>
      <c r="E23951" s="2" t="str">
        <f>"9780719096082"</f>
        <v>9780719096082</v>
      </c>
      <c r="F23951" s="2" t="str">
        <f>"9781847799111"</f>
        <v>9781847799111</v>
      </c>
    </row>
    <row r="23952" spans="1:6" s="3" customFormat="1" ht="29.1" customHeight="1" x14ac:dyDescent="0.25">
      <c r="A23952" s="2" t="s">
        <v>46800</v>
      </c>
      <c r="B23952" s="2" t="s">
        <v>46801</v>
      </c>
      <c r="C23952" s="2" t="s">
        <v>55</v>
      </c>
      <c r="D23952" s="2" t="s">
        <v>1466</v>
      </c>
      <c r="E23952" s="2" t="str">
        <f>"9780719096020"</f>
        <v>9780719096020</v>
      </c>
      <c r="F23952" s="2" t="str">
        <f>"9781847799074"</f>
        <v>9781847799074</v>
      </c>
    </row>
    <row r="23953" spans="1:6" s="3" customFormat="1" ht="29.1" customHeight="1" x14ac:dyDescent="0.25">
      <c r="A23953" s="2" t="s">
        <v>46802</v>
      </c>
      <c r="B23953" s="2" t="s">
        <v>46803</v>
      </c>
      <c r="C23953" s="2" t="s">
        <v>4104</v>
      </c>
      <c r="D23953" s="2" t="s">
        <v>509</v>
      </c>
      <c r="E23953" s="2" t="str">
        <f>"9781781381717"</f>
        <v>9781781381717</v>
      </c>
      <c r="F23953" s="2" t="str">
        <f>"9781781384633"</f>
        <v>9781781384633</v>
      </c>
    </row>
    <row r="23954" spans="1:6" s="3" customFormat="1" ht="29.1" customHeight="1" x14ac:dyDescent="0.25">
      <c r="A23954" s="2" t="s">
        <v>46804</v>
      </c>
      <c r="B23954" s="2" t="s">
        <v>46805</v>
      </c>
      <c r="C23954" s="2" t="s">
        <v>20</v>
      </c>
      <c r="D23954" s="2" t="s">
        <v>21</v>
      </c>
      <c r="E23954" s="2" t="str">
        <f>"9783763955572"</f>
        <v>9783763955572</v>
      </c>
      <c r="F23954" s="2" t="str">
        <f>"9783763955589"</f>
        <v>9783763955589</v>
      </c>
    </row>
    <row r="23955" spans="1:6" s="3" customFormat="1" ht="29.1" customHeight="1" x14ac:dyDescent="0.25">
      <c r="A23955" s="2" t="s">
        <v>46806</v>
      </c>
      <c r="B23955" s="2" t="s">
        <v>33008</v>
      </c>
      <c r="C23955" s="2" t="s">
        <v>62</v>
      </c>
      <c r="D23955" s="2" t="s">
        <v>2147</v>
      </c>
      <c r="E23955" s="2" t="str">
        <f>"9783428146345"</f>
        <v>9783428146345</v>
      </c>
      <c r="F23955" s="2" t="str">
        <f>"9783428546343"</f>
        <v>9783428546343</v>
      </c>
    </row>
    <row r="23956" spans="1:6" s="3" customFormat="1" ht="29.1" customHeight="1" x14ac:dyDescent="0.25">
      <c r="A23956" s="2" t="s">
        <v>46807</v>
      </c>
      <c r="B23956" s="2" t="s">
        <v>46808</v>
      </c>
      <c r="C23956" s="2" t="s">
        <v>62</v>
      </c>
      <c r="D23956" s="2" t="s">
        <v>1840</v>
      </c>
      <c r="E23956" s="2" t="str">
        <f>"9783428144570"</f>
        <v>9783428144570</v>
      </c>
      <c r="F23956" s="2" t="str">
        <f>"9783428544578"</f>
        <v>9783428544578</v>
      </c>
    </row>
    <row r="23957" spans="1:6" s="3" customFormat="1" ht="29.1" customHeight="1" x14ac:dyDescent="0.25">
      <c r="A23957" s="2" t="s">
        <v>46809</v>
      </c>
      <c r="B23957" s="2" t="s">
        <v>46810</v>
      </c>
      <c r="C23957" s="2" t="s">
        <v>62</v>
      </c>
      <c r="D23957" s="2" t="s">
        <v>484</v>
      </c>
      <c r="E23957" s="2" t="str">
        <f>"9783428117314"</f>
        <v>9783428117314</v>
      </c>
      <c r="F23957" s="2" t="str">
        <f>"9783428517312"</f>
        <v>9783428517312</v>
      </c>
    </row>
    <row r="23958" spans="1:6" s="3" customFormat="1" ht="29.1" customHeight="1" x14ac:dyDescent="0.25">
      <c r="A23958" s="2" t="s">
        <v>46811</v>
      </c>
      <c r="B23958" s="2" t="s">
        <v>46812</v>
      </c>
      <c r="C23958" s="2" t="s">
        <v>62</v>
      </c>
      <c r="D23958" s="2" t="s">
        <v>63</v>
      </c>
      <c r="E23958" s="2" t="str">
        <f>"9783428115884"</f>
        <v>9783428115884</v>
      </c>
      <c r="F23958" s="2" t="str">
        <f>"9783428515882"</f>
        <v>9783428515882</v>
      </c>
    </row>
    <row r="23959" spans="1:6" s="3" customFormat="1" ht="29.1" customHeight="1" x14ac:dyDescent="0.25">
      <c r="A23959" s="2" t="s">
        <v>46813</v>
      </c>
      <c r="B23959" s="2" t="s">
        <v>46814</v>
      </c>
      <c r="C23959" s="2" t="s">
        <v>62</v>
      </c>
      <c r="D23959" s="2" t="s">
        <v>1209</v>
      </c>
      <c r="E23959" s="2" t="str">
        <f>"9783428114061"</f>
        <v>9783428114061</v>
      </c>
      <c r="F23959" s="2" t="str">
        <f>"9783428514069"</f>
        <v>9783428514069</v>
      </c>
    </row>
    <row r="23960" spans="1:6" s="3" customFormat="1" ht="29.1" customHeight="1" x14ac:dyDescent="0.25">
      <c r="A23960" s="2" t="s">
        <v>46815</v>
      </c>
      <c r="B23960" s="2" t="s">
        <v>46810</v>
      </c>
      <c r="C23960" s="2" t="s">
        <v>62</v>
      </c>
      <c r="D23960" s="2" t="s">
        <v>694</v>
      </c>
      <c r="E23960" s="2" t="str">
        <f>"9783428113613"</f>
        <v>9783428113613</v>
      </c>
      <c r="F23960" s="2" t="str">
        <f>"9783428513611"</f>
        <v>9783428513611</v>
      </c>
    </row>
    <row r="23961" spans="1:6" s="3" customFormat="1" ht="29.1" customHeight="1" x14ac:dyDescent="0.25">
      <c r="A23961" s="2" t="s">
        <v>46816</v>
      </c>
      <c r="B23961" s="2" t="s">
        <v>46817</v>
      </c>
      <c r="C23961" s="2" t="s">
        <v>62</v>
      </c>
      <c r="D23961" s="2" t="s">
        <v>11572</v>
      </c>
      <c r="E23961" s="2" t="str">
        <f>"9783428113286"</f>
        <v>9783428113286</v>
      </c>
      <c r="F23961" s="2" t="str">
        <f>"9783428513284"</f>
        <v>9783428513284</v>
      </c>
    </row>
    <row r="23962" spans="1:6" s="3" customFormat="1" ht="29.1" customHeight="1" x14ac:dyDescent="0.25">
      <c r="A23962" s="2" t="s">
        <v>46818</v>
      </c>
      <c r="B23962" s="2" t="s">
        <v>46819</v>
      </c>
      <c r="C23962" s="2" t="s">
        <v>62</v>
      </c>
      <c r="D23962" s="2" t="s">
        <v>2005</v>
      </c>
      <c r="E23962" s="2" t="str">
        <f>"9783428113279"</f>
        <v>9783428113279</v>
      </c>
      <c r="F23962" s="2" t="str">
        <f>"9783428513277"</f>
        <v>9783428513277</v>
      </c>
    </row>
    <row r="23963" spans="1:6" s="3" customFormat="1" ht="29.1" customHeight="1" x14ac:dyDescent="0.25">
      <c r="A23963" s="2" t="s">
        <v>46820</v>
      </c>
      <c r="B23963" s="2" t="s">
        <v>46821</v>
      </c>
      <c r="C23963" s="2" t="s">
        <v>62</v>
      </c>
      <c r="D23963" s="2" t="s">
        <v>4138</v>
      </c>
      <c r="E23963" s="2" t="str">
        <f>"9783428113262"</f>
        <v>9783428113262</v>
      </c>
      <c r="F23963" s="2" t="str">
        <f>"9783428513260"</f>
        <v>9783428513260</v>
      </c>
    </row>
    <row r="23964" spans="1:6" s="3" customFormat="1" ht="29.1" customHeight="1" x14ac:dyDescent="0.25">
      <c r="A23964" s="2" t="s">
        <v>46822</v>
      </c>
      <c r="B23964" s="2" t="s">
        <v>46823</v>
      </c>
      <c r="C23964" s="2" t="s">
        <v>62</v>
      </c>
      <c r="D23964" s="2" t="s">
        <v>313</v>
      </c>
      <c r="E23964" s="2" t="str">
        <f>"9783428112241"</f>
        <v>9783428112241</v>
      </c>
      <c r="F23964" s="2" t="str">
        <f>"9783428512249"</f>
        <v>9783428512249</v>
      </c>
    </row>
    <row r="23965" spans="1:6" s="3" customFormat="1" ht="29.1" customHeight="1" x14ac:dyDescent="0.25">
      <c r="A23965" s="2" t="s">
        <v>46824</v>
      </c>
      <c r="B23965" s="2" t="s">
        <v>46825</v>
      </c>
      <c r="C23965" s="2" t="s">
        <v>62</v>
      </c>
      <c r="D23965" s="2" t="s">
        <v>5758</v>
      </c>
      <c r="E23965" s="2" t="str">
        <f>"9783428112234"</f>
        <v>9783428112234</v>
      </c>
      <c r="F23965" s="2" t="str">
        <f>"9783428512232"</f>
        <v>9783428512232</v>
      </c>
    </row>
    <row r="23966" spans="1:6" s="3" customFormat="1" ht="29.1" customHeight="1" x14ac:dyDescent="0.25">
      <c r="A23966" s="2" t="s">
        <v>46826</v>
      </c>
      <c r="B23966" s="2" t="s">
        <v>46827</v>
      </c>
      <c r="C23966" s="2" t="s">
        <v>62</v>
      </c>
      <c r="D23966" s="2" t="s">
        <v>791</v>
      </c>
      <c r="E23966" s="2" t="str">
        <f>"9783428111626"</f>
        <v>9783428111626</v>
      </c>
      <c r="F23966" s="2" t="str">
        <f>"9783428511624"</f>
        <v>9783428511624</v>
      </c>
    </row>
    <row r="23967" spans="1:6" s="3" customFormat="1" ht="29.1" customHeight="1" x14ac:dyDescent="0.25">
      <c r="A23967" s="2" t="s">
        <v>46828</v>
      </c>
      <c r="B23967" s="2" t="s">
        <v>46829</v>
      </c>
      <c r="C23967" s="2" t="s">
        <v>62</v>
      </c>
      <c r="D23967" s="2" t="s">
        <v>4210</v>
      </c>
      <c r="E23967" s="2" t="str">
        <f>"9783428110742"</f>
        <v>9783428110742</v>
      </c>
      <c r="F23967" s="2" t="str">
        <f>"9783428510740"</f>
        <v>9783428510740</v>
      </c>
    </row>
    <row r="23968" spans="1:6" s="3" customFormat="1" ht="29.1" customHeight="1" x14ac:dyDescent="0.25">
      <c r="A23968" s="2" t="s">
        <v>46830</v>
      </c>
      <c r="B23968" s="2" t="s">
        <v>46831</v>
      </c>
      <c r="C23968" s="2" t="s">
        <v>62</v>
      </c>
      <c r="D23968" s="2" t="s">
        <v>16254</v>
      </c>
      <c r="E23968" s="2" t="str">
        <f>"9783428110636"</f>
        <v>9783428110636</v>
      </c>
      <c r="F23968" s="2" t="str">
        <f>"9783428510634"</f>
        <v>9783428510634</v>
      </c>
    </row>
    <row r="23969" spans="1:6" s="3" customFormat="1" ht="29.1" customHeight="1" x14ac:dyDescent="0.25">
      <c r="A23969" s="2" t="s">
        <v>46832</v>
      </c>
      <c r="B23969" s="2" t="s">
        <v>33008</v>
      </c>
      <c r="C23969" s="2" t="s">
        <v>62</v>
      </c>
      <c r="D23969" s="2" t="s">
        <v>12063</v>
      </c>
      <c r="E23969" s="2" t="str">
        <f>"9783428110605"</f>
        <v>9783428110605</v>
      </c>
      <c r="F23969" s="2" t="str">
        <f>"9783428510603"</f>
        <v>9783428510603</v>
      </c>
    </row>
    <row r="23970" spans="1:6" s="3" customFormat="1" ht="29.1" customHeight="1" x14ac:dyDescent="0.25">
      <c r="A23970" s="2" t="s">
        <v>46833</v>
      </c>
      <c r="B23970" s="2" t="s">
        <v>46834</v>
      </c>
      <c r="C23970" s="2" t="s">
        <v>62</v>
      </c>
      <c r="D23970" s="2" t="s">
        <v>6692</v>
      </c>
      <c r="E23970" s="2" t="str">
        <f>"9783428110315"</f>
        <v>9783428110315</v>
      </c>
      <c r="F23970" s="2" t="str">
        <f>"9783428510313"</f>
        <v>9783428510313</v>
      </c>
    </row>
    <row r="23971" spans="1:6" s="3" customFormat="1" ht="29.1" customHeight="1" x14ac:dyDescent="0.25">
      <c r="A23971" s="2" t="s">
        <v>46835</v>
      </c>
      <c r="B23971" s="2" t="s">
        <v>46810</v>
      </c>
      <c r="C23971" s="2" t="s">
        <v>62</v>
      </c>
      <c r="D23971" s="2" t="s">
        <v>1437</v>
      </c>
      <c r="E23971" s="2" t="str">
        <f>"9783428110131"</f>
        <v>9783428110131</v>
      </c>
      <c r="F23971" s="2" t="str">
        <f>"9783428510139"</f>
        <v>9783428510139</v>
      </c>
    </row>
    <row r="23972" spans="1:6" s="3" customFormat="1" ht="29.1" customHeight="1" x14ac:dyDescent="0.25">
      <c r="A23972" s="2" t="s">
        <v>46836</v>
      </c>
      <c r="B23972" s="2" t="s">
        <v>46837</v>
      </c>
      <c r="C23972" s="2" t="s">
        <v>62</v>
      </c>
      <c r="D23972" s="2" t="s">
        <v>2019</v>
      </c>
      <c r="E23972" s="2" t="str">
        <f>"9783428109289"</f>
        <v>9783428109289</v>
      </c>
      <c r="F23972" s="2" t="str">
        <f>"9783428509287"</f>
        <v>9783428509287</v>
      </c>
    </row>
    <row r="23973" spans="1:6" s="3" customFormat="1" ht="29.1" customHeight="1" x14ac:dyDescent="0.25">
      <c r="A23973" s="2" t="s">
        <v>46838</v>
      </c>
      <c r="B23973" s="2" t="s">
        <v>46839</v>
      </c>
      <c r="C23973" s="2" t="s">
        <v>62</v>
      </c>
      <c r="D23973" s="2" t="s">
        <v>1840</v>
      </c>
      <c r="E23973" s="2" t="str">
        <f>"9783428109272"</f>
        <v>9783428109272</v>
      </c>
      <c r="F23973" s="2" t="str">
        <f>"9783428509270"</f>
        <v>9783428509270</v>
      </c>
    </row>
    <row r="23974" spans="1:6" s="3" customFormat="1" ht="29.1" customHeight="1" x14ac:dyDescent="0.25">
      <c r="A23974" s="2" t="s">
        <v>46840</v>
      </c>
      <c r="B23974" s="2" t="s">
        <v>40654</v>
      </c>
      <c r="C23974" s="2" t="s">
        <v>62</v>
      </c>
      <c r="D23974" s="2" t="s">
        <v>1209</v>
      </c>
      <c r="E23974" s="2" t="str">
        <f>"9783428108725"</f>
        <v>9783428108725</v>
      </c>
      <c r="F23974" s="2" t="str">
        <f>"9783428508723"</f>
        <v>9783428508723</v>
      </c>
    </row>
    <row r="23975" spans="1:6" s="3" customFormat="1" ht="29.1" customHeight="1" x14ac:dyDescent="0.25">
      <c r="A23975" s="2" t="s">
        <v>46841</v>
      </c>
      <c r="B23975" s="2" t="s">
        <v>46825</v>
      </c>
      <c r="C23975" s="2" t="s">
        <v>62</v>
      </c>
      <c r="D23975" s="2" t="s">
        <v>2271</v>
      </c>
      <c r="E23975" s="2" t="str">
        <f>"9783428108718"</f>
        <v>9783428108718</v>
      </c>
      <c r="F23975" s="2" t="str">
        <f>"9783428508716"</f>
        <v>9783428508716</v>
      </c>
    </row>
    <row r="23976" spans="1:6" s="3" customFormat="1" ht="29.1" customHeight="1" x14ac:dyDescent="0.25">
      <c r="A23976" s="2" t="s">
        <v>46842</v>
      </c>
      <c r="B23976" s="2" t="s">
        <v>33008</v>
      </c>
      <c r="C23976" s="2" t="s">
        <v>62</v>
      </c>
      <c r="D23976" s="2" t="s">
        <v>1651</v>
      </c>
      <c r="E23976" s="2" t="str">
        <f>"9783428108602"</f>
        <v>9783428108602</v>
      </c>
      <c r="F23976" s="2" t="str">
        <f>"9783428508600"</f>
        <v>9783428508600</v>
      </c>
    </row>
    <row r="23977" spans="1:6" s="3" customFormat="1" ht="29.1" customHeight="1" x14ac:dyDescent="0.25">
      <c r="A23977" s="2" t="s">
        <v>46843</v>
      </c>
      <c r="B23977" s="2" t="s">
        <v>46827</v>
      </c>
      <c r="C23977" s="2" t="s">
        <v>62</v>
      </c>
      <c r="D23977" s="2" t="s">
        <v>4210</v>
      </c>
      <c r="E23977" s="2" t="str">
        <f>"9783428107971"</f>
        <v>9783428107971</v>
      </c>
      <c r="F23977" s="2" t="str">
        <f>"9783428507979"</f>
        <v>9783428507979</v>
      </c>
    </row>
    <row r="23978" spans="1:6" s="3" customFormat="1" ht="29.1" customHeight="1" x14ac:dyDescent="0.25">
      <c r="A23978" s="2" t="s">
        <v>46844</v>
      </c>
      <c r="B23978" s="2" t="s">
        <v>46837</v>
      </c>
      <c r="C23978" s="2" t="s">
        <v>62</v>
      </c>
      <c r="D23978" s="2" t="s">
        <v>2019</v>
      </c>
      <c r="E23978" s="2" t="str">
        <f>"9783428107940"</f>
        <v>9783428107940</v>
      </c>
      <c r="F23978" s="2" t="str">
        <f>"9783428507948"</f>
        <v>9783428507948</v>
      </c>
    </row>
    <row r="23979" spans="1:6" s="3" customFormat="1" ht="29.1" customHeight="1" x14ac:dyDescent="0.25">
      <c r="A23979" s="2" t="s">
        <v>46845</v>
      </c>
      <c r="B23979" s="2" t="s">
        <v>46846</v>
      </c>
      <c r="C23979" s="2" t="s">
        <v>62</v>
      </c>
      <c r="D23979" s="2" t="s">
        <v>1437</v>
      </c>
      <c r="E23979" s="2" t="str">
        <f>"9783428107605"</f>
        <v>9783428107605</v>
      </c>
      <c r="F23979" s="2" t="str">
        <f>"9783428507603"</f>
        <v>9783428507603</v>
      </c>
    </row>
    <row r="23980" spans="1:6" s="3" customFormat="1" ht="29.1" customHeight="1" x14ac:dyDescent="0.25">
      <c r="A23980" s="2" t="s">
        <v>46847</v>
      </c>
      <c r="B23980" s="2" t="s">
        <v>33203</v>
      </c>
      <c r="C23980" s="2" t="s">
        <v>62</v>
      </c>
      <c r="D23980" s="2" t="s">
        <v>15324</v>
      </c>
      <c r="E23980" s="2" t="str">
        <f>"9783428107070"</f>
        <v>9783428107070</v>
      </c>
      <c r="F23980" s="2" t="str">
        <f>"9783428507078"</f>
        <v>9783428507078</v>
      </c>
    </row>
    <row r="23981" spans="1:6" s="3" customFormat="1" ht="29.1" customHeight="1" x14ac:dyDescent="0.25">
      <c r="A23981" s="2" t="s">
        <v>46848</v>
      </c>
      <c r="B23981" s="2" t="s">
        <v>46829</v>
      </c>
      <c r="C23981" s="2" t="s">
        <v>62</v>
      </c>
      <c r="D23981" s="2" t="s">
        <v>4210</v>
      </c>
      <c r="E23981" s="2" t="str">
        <f>"9783428106974"</f>
        <v>9783428106974</v>
      </c>
      <c r="F23981" s="2" t="str">
        <f>"9783428506972"</f>
        <v>9783428506972</v>
      </c>
    </row>
    <row r="23982" spans="1:6" s="3" customFormat="1" ht="29.1" customHeight="1" x14ac:dyDescent="0.25">
      <c r="A23982" s="2" t="s">
        <v>46849</v>
      </c>
      <c r="B23982" s="2" t="s">
        <v>46850</v>
      </c>
      <c r="C23982" s="2" t="s">
        <v>62</v>
      </c>
      <c r="D23982" s="2" t="s">
        <v>1437</v>
      </c>
      <c r="E23982" s="2" t="str">
        <f>"9783428106363"</f>
        <v>9783428106363</v>
      </c>
      <c r="F23982" s="2" t="str">
        <f>"9783428506361"</f>
        <v>9783428506361</v>
      </c>
    </row>
    <row r="23983" spans="1:6" s="3" customFormat="1" ht="29.1" customHeight="1" x14ac:dyDescent="0.25">
      <c r="A23983" s="2" t="s">
        <v>46851</v>
      </c>
      <c r="B23983" s="2" t="s">
        <v>46852</v>
      </c>
      <c r="C23983" s="2" t="s">
        <v>62</v>
      </c>
      <c r="D23983" s="2" t="s">
        <v>4210</v>
      </c>
      <c r="E23983" s="2" t="str">
        <f>"9783428106318"</f>
        <v>9783428106318</v>
      </c>
      <c r="F23983" s="2" t="str">
        <f>"9783428506316"</f>
        <v>9783428506316</v>
      </c>
    </row>
    <row r="23984" spans="1:6" s="3" customFormat="1" ht="29.1" customHeight="1" x14ac:dyDescent="0.25">
      <c r="A23984" s="2" t="s">
        <v>46853</v>
      </c>
      <c r="B23984" s="2" t="s">
        <v>46854</v>
      </c>
      <c r="C23984" s="2" t="s">
        <v>62</v>
      </c>
      <c r="D23984" s="2" t="s">
        <v>2168</v>
      </c>
      <c r="E23984" s="2" t="str">
        <f>"9783428106189"</f>
        <v>9783428106189</v>
      </c>
      <c r="F23984" s="2" t="str">
        <f>"9783428506187"</f>
        <v>9783428506187</v>
      </c>
    </row>
    <row r="23985" spans="1:6" s="3" customFormat="1" ht="29.1" customHeight="1" x14ac:dyDescent="0.25">
      <c r="A23985" s="2" t="s">
        <v>46855</v>
      </c>
      <c r="B23985" s="2" t="s">
        <v>46856</v>
      </c>
      <c r="C23985" s="2" t="s">
        <v>62</v>
      </c>
      <c r="D23985" s="2" t="s">
        <v>1437</v>
      </c>
      <c r="E23985" s="2" t="str">
        <f>"9783428105984"</f>
        <v>9783428105984</v>
      </c>
      <c r="F23985" s="2" t="str">
        <f>"9783428505982"</f>
        <v>9783428505982</v>
      </c>
    </row>
    <row r="23986" spans="1:6" s="3" customFormat="1" ht="29.1" customHeight="1" x14ac:dyDescent="0.25">
      <c r="A23986" s="2" t="s">
        <v>46857</v>
      </c>
      <c r="B23986" s="2" t="s">
        <v>46858</v>
      </c>
      <c r="C23986" s="2" t="s">
        <v>62</v>
      </c>
      <c r="D23986" s="2" t="s">
        <v>37</v>
      </c>
      <c r="E23986" s="2" t="str">
        <f>"9783428104840"</f>
        <v>9783428104840</v>
      </c>
      <c r="F23986" s="2" t="str">
        <f>"9783428504848"</f>
        <v>9783428504848</v>
      </c>
    </row>
    <row r="23987" spans="1:6" s="3" customFormat="1" ht="29.1" customHeight="1" x14ac:dyDescent="0.25">
      <c r="A23987" s="2" t="s">
        <v>46859</v>
      </c>
      <c r="B23987" s="2" t="s">
        <v>33203</v>
      </c>
      <c r="C23987" s="2" t="s">
        <v>62</v>
      </c>
      <c r="D23987" s="2" t="s">
        <v>11074</v>
      </c>
      <c r="E23987" s="2" t="str">
        <f>"9783428103317"</f>
        <v>9783428103317</v>
      </c>
      <c r="F23987" s="2" t="str">
        <f>"9783428503315"</f>
        <v>9783428503315</v>
      </c>
    </row>
    <row r="23988" spans="1:6" s="3" customFormat="1" ht="29.1" customHeight="1" x14ac:dyDescent="0.25">
      <c r="A23988" s="2" t="s">
        <v>46860</v>
      </c>
      <c r="B23988" s="2" t="s">
        <v>46856</v>
      </c>
      <c r="C23988" s="2" t="s">
        <v>62</v>
      </c>
      <c r="D23988" s="2" t="s">
        <v>5480</v>
      </c>
      <c r="E23988" s="2" t="str">
        <f>"9783428103065"</f>
        <v>9783428103065</v>
      </c>
      <c r="F23988" s="2" t="str">
        <f>"9783428503063"</f>
        <v>9783428503063</v>
      </c>
    </row>
    <row r="23989" spans="1:6" s="3" customFormat="1" ht="29.1" customHeight="1" x14ac:dyDescent="0.25">
      <c r="A23989" s="2" t="s">
        <v>46861</v>
      </c>
      <c r="B23989" s="2" t="s">
        <v>46829</v>
      </c>
      <c r="C23989" s="2" t="s">
        <v>62</v>
      </c>
      <c r="D23989" s="2" t="s">
        <v>72</v>
      </c>
      <c r="E23989" s="2" t="str">
        <f>"9783428103041"</f>
        <v>9783428103041</v>
      </c>
      <c r="F23989" s="2" t="str">
        <f>"9783428503049"</f>
        <v>9783428503049</v>
      </c>
    </row>
    <row r="23990" spans="1:6" s="3" customFormat="1" ht="29.1" customHeight="1" x14ac:dyDescent="0.25">
      <c r="A23990" s="2" t="s">
        <v>46862</v>
      </c>
      <c r="B23990" s="2" t="s">
        <v>46863</v>
      </c>
      <c r="C23990" s="2" t="s">
        <v>62</v>
      </c>
      <c r="D23990" s="2" t="s">
        <v>5758</v>
      </c>
      <c r="E23990" s="2" t="str">
        <f>"9783428102679"</f>
        <v>9783428102679</v>
      </c>
      <c r="F23990" s="2" t="str">
        <f>"9783428502677"</f>
        <v>9783428502677</v>
      </c>
    </row>
    <row r="23991" spans="1:6" s="3" customFormat="1" ht="29.1" customHeight="1" x14ac:dyDescent="0.25">
      <c r="A23991" s="2" t="s">
        <v>46864</v>
      </c>
      <c r="B23991" s="2" t="s">
        <v>46865</v>
      </c>
      <c r="C23991" s="2" t="s">
        <v>62</v>
      </c>
      <c r="D23991" s="2" t="s">
        <v>1840</v>
      </c>
      <c r="E23991" s="2" t="str">
        <f>"9783428101603"</f>
        <v>9783428101603</v>
      </c>
      <c r="F23991" s="2" t="str">
        <f>"9783428501601"</f>
        <v>9783428501601</v>
      </c>
    </row>
    <row r="23992" spans="1:6" s="3" customFormat="1" ht="29.1" customHeight="1" x14ac:dyDescent="0.25">
      <c r="A23992" s="2" t="s">
        <v>46866</v>
      </c>
      <c r="B23992" s="2" t="s">
        <v>46854</v>
      </c>
      <c r="C23992" s="2" t="s">
        <v>62</v>
      </c>
      <c r="D23992" s="2" t="s">
        <v>2255</v>
      </c>
      <c r="E23992" s="2" t="str">
        <f>"9783428101597"</f>
        <v>9783428101597</v>
      </c>
      <c r="F23992" s="2" t="str">
        <f>"9783428501595"</f>
        <v>9783428501595</v>
      </c>
    </row>
    <row r="23993" spans="1:6" s="3" customFormat="1" ht="29.1" customHeight="1" x14ac:dyDescent="0.25">
      <c r="A23993" s="2" t="s">
        <v>46867</v>
      </c>
      <c r="B23993" s="2" t="s">
        <v>46852</v>
      </c>
      <c r="C23993" s="2" t="s">
        <v>62</v>
      </c>
      <c r="D23993" s="2" t="s">
        <v>37</v>
      </c>
      <c r="E23993" s="2" t="str">
        <f>"9783428101528"</f>
        <v>9783428101528</v>
      </c>
      <c r="F23993" s="2" t="str">
        <f>"9783428501526"</f>
        <v>9783428501526</v>
      </c>
    </row>
    <row r="23994" spans="1:6" s="3" customFormat="1" ht="29.1" customHeight="1" x14ac:dyDescent="0.25">
      <c r="A23994" s="2" t="s">
        <v>46868</v>
      </c>
      <c r="B23994" s="2" t="s">
        <v>33008</v>
      </c>
      <c r="C23994" s="2" t="s">
        <v>62</v>
      </c>
      <c r="D23994" s="2" t="s">
        <v>46869</v>
      </c>
      <c r="E23994" s="2" t="str">
        <f>"9783428101047"</f>
        <v>9783428101047</v>
      </c>
      <c r="F23994" s="2" t="str">
        <f>"9783428501045"</f>
        <v>9783428501045</v>
      </c>
    </row>
    <row r="23995" spans="1:6" s="3" customFormat="1" ht="29.1" customHeight="1" x14ac:dyDescent="0.25">
      <c r="A23995" s="2" t="s">
        <v>46870</v>
      </c>
      <c r="B23995" s="2" t="s">
        <v>46846</v>
      </c>
      <c r="C23995" s="2" t="s">
        <v>62</v>
      </c>
      <c r="D23995" s="2" t="s">
        <v>4210</v>
      </c>
      <c r="E23995" s="2" t="str">
        <f>"9783428100095"</f>
        <v>9783428100095</v>
      </c>
      <c r="F23995" s="2" t="str">
        <f>"9783428500093"</f>
        <v>9783428500093</v>
      </c>
    </row>
    <row r="23996" spans="1:6" s="3" customFormat="1" ht="29.1" customHeight="1" x14ac:dyDescent="0.25">
      <c r="A23996" s="2" t="s">
        <v>46871</v>
      </c>
      <c r="B23996" s="2" t="s">
        <v>46872</v>
      </c>
      <c r="C23996" s="2" t="s">
        <v>55</v>
      </c>
      <c r="D23996" s="2" t="s">
        <v>37</v>
      </c>
      <c r="E23996" s="2" t="str">
        <f>"9780719089787"</f>
        <v>9780719089787</v>
      </c>
      <c r="F23996" s="2" t="str">
        <f>"9781526111418"</f>
        <v>9781526111418</v>
      </c>
    </row>
    <row r="23997" spans="1:6" s="3" customFormat="1" ht="29.1" customHeight="1" x14ac:dyDescent="0.25">
      <c r="A23997" s="2" t="s">
        <v>46873</v>
      </c>
      <c r="B23997" s="2" t="s">
        <v>46874</v>
      </c>
      <c r="C23997" s="2" t="s">
        <v>55</v>
      </c>
      <c r="D23997" s="2" t="s">
        <v>1466</v>
      </c>
      <c r="E23997" s="2" t="str">
        <f>"9780719091759"</f>
        <v>9780719091759</v>
      </c>
      <c r="F23997" s="2" t="str">
        <f>"9781526102256"</f>
        <v>9781526102256</v>
      </c>
    </row>
    <row r="23998" spans="1:6" s="3" customFormat="1" ht="29.1" customHeight="1" x14ac:dyDescent="0.25">
      <c r="A23998" s="2" t="s">
        <v>46875</v>
      </c>
      <c r="B23998" s="2" t="s">
        <v>46876</v>
      </c>
      <c r="C23998" s="2" t="s">
        <v>124</v>
      </c>
      <c r="D23998" s="2" t="s">
        <v>818</v>
      </c>
      <c r="E23998" s="2" t="str">
        <f>"9781138933835"</f>
        <v>9781138933835</v>
      </c>
      <c r="F23998" s="2" t="str">
        <f>"9781134989126"</f>
        <v>9781134989126</v>
      </c>
    </row>
    <row r="23999" spans="1:6" s="3" customFormat="1" ht="29.1" customHeight="1" x14ac:dyDescent="0.25">
      <c r="A23999" s="2" t="s">
        <v>46877</v>
      </c>
      <c r="B23999" s="2" t="s">
        <v>46878</v>
      </c>
      <c r="C23999" s="2" t="s">
        <v>124</v>
      </c>
      <c r="D23999" s="2" t="s">
        <v>868</v>
      </c>
      <c r="E23999" s="2" t="str">
        <f>"9780415722865"</f>
        <v>9780415722865</v>
      </c>
      <c r="F23999" s="2" t="str">
        <f>"9781317935513"</f>
        <v>9781317935513</v>
      </c>
    </row>
    <row r="24000" spans="1:6" s="3" customFormat="1" ht="29.1" customHeight="1" x14ac:dyDescent="0.25">
      <c r="A24000" s="2" t="s">
        <v>46879</v>
      </c>
      <c r="B24000" s="2" t="s">
        <v>46880</v>
      </c>
      <c r="C24000" s="2" t="s">
        <v>131</v>
      </c>
      <c r="D24000" s="2" t="s">
        <v>459</v>
      </c>
      <c r="E24000" s="2" t="str">
        <f>"9789027203052"</f>
        <v>9789027203052</v>
      </c>
      <c r="F24000" s="2" t="str">
        <f>"9789027267191"</f>
        <v>9789027267191</v>
      </c>
    </row>
    <row r="24001" spans="1:6" s="3" customFormat="1" ht="29.1" customHeight="1" x14ac:dyDescent="0.25">
      <c r="A24001" s="2" t="s">
        <v>46881</v>
      </c>
      <c r="B24001" s="2" t="s">
        <v>46882</v>
      </c>
      <c r="C24001" s="2" t="s">
        <v>29</v>
      </c>
      <c r="D24001" s="2" t="s">
        <v>9</v>
      </c>
      <c r="E24001" s="2" t="str">
        <f>"9789463002103"</f>
        <v>9789463002103</v>
      </c>
      <c r="F24001" s="2" t="str">
        <f>"9789463002110"</f>
        <v>9789463002110</v>
      </c>
    </row>
    <row r="24002" spans="1:6" s="3" customFormat="1" ht="29.1" customHeight="1" x14ac:dyDescent="0.25">
      <c r="A24002" s="2" t="s">
        <v>46883</v>
      </c>
      <c r="B24002" s="2" t="s">
        <v>46884</v>
      </c>
      <c r="C24002" s="2" t="s">
        <v>4104</v>
      </c>
      <c r="D24002" s="2" t="s">
        <v>965</v>
      </c>
      <c r="E24002" s="2" t="str">
        <f>"9781781381939"</f>
        <v>9781781381939</v>
      </c>
      <c r="F24002" s="2" t="str">
        <f>"9781781382035"</f>
        <v>9781781382035</v>
      </c>
    </row>
    <row r="24003" spans="1:6" s="3" customFormat="1" ht="29.1" customHeight="1" x14ac:dyDescent="0.25">
      <c r="A24003" s="2" t="s">
        <v>46885</v>
      </c>
      <c r="B24003" s="2" t="s">
        <v>46886</v>
      </c>
      <c r="C24003" s="2" t="s">
        <v>55</v>
      </c>
      <c r="D24003" s="2" t="s">
        <v>4190</v>
      </c>
      <c r="E24003" s="2" t="str">
        <f>"9780719087301"</f>
        <v>9780719087301</v>
      </c>
      <c r="F24003" s="2" t="str">
        <f>"9781526102058"</f>
        <v>9781526102058</v>
      </c>
    </row>
    <row r="24004" spans="1:6" s="3" customFormat="1" ht="29.1" customHeight="1" x14ac:dyDescent="0.25">
      <c r="A24004" s="2" t="s">
        <v>46887</v>
      </c>
      <c r="B24004" s="2" t="s">
        <v>46888</v>
      </c>
      <c r="C24004" s="2" t="s">
        <v>55</v>
      </c>
      <c r="D24004" s="2" t="s">
        <v>218</v>
      </c>
      <c r="E24004" s="2" t="str">
        <f>"9780719084973"</f>
        <v>9780719084973</v>
      </c>
      <c r="F24004" s="2" t="str">
        <f>"9781526103277"</f>
        <v>9781526103277</v>
      </c>
    </row>
    <row r="24005" spans="1:6" s="3" customFormat="1" ht="29.1" customHeight="1" x14ac:dyDescent="0.25">
      <c r="A24005" s="2" t="s">
        <v>46889</v>
      </c>
      <c r="B24005" s="2" t="s">
        <v>46890</v>
      </c>
      <c r="C24005" s="2" t="s">
        <v>195</v>
      </c>
      <c r="D24005" s="2" t="s">
        <v>436</v>
      </c>
      <c r="E24005" s="2" t="str">
        <f>"9783110469486"</f>
        <v>9783110469486</v>
      </c>
      <c r="F24005" s="2" t="str">
        <f>"9783110469721"</f>
        <v>9783110469721</v>
      </c>
    </row>
    <row r="24006" spans="1:6" s="3" customFormat="1" ht="29.1" customHeight="1" x14ac:dyDescent="0.25">
      <c r="A24006" s="2" t="s">
        <v>46891</v>
      </c>
      <c r="B24006" s="2" t="s">
        <v>46892</v>
      </c>
      <c r="C24006" s="2" t="s">
        <v>195</v>
      </c>
      <c r="D24006" s="2" t="s">
        <v>3963</v>
      </c>
      <c r="E24006" s="2" t="str">
        <f>"9783110442953"</f>
        <v>9783110442953</v>
      </c>
      <c r="F24006" s="2" t="str">
        <f>"9783110435214"</f>
        <v>9783110435214</v>
      </c>
    </row>
    <row r="24007" spans="1:6" s="3" customFormat="1" ht="29.1" customHeight="1" x14ac:dyDescent="0.25">
      <c r="A24007" s="2" t="s">
        <v>46893</v>
      </c>
      <c r="B24007" s="2" t="s">
        <v>14282</v>
      </c>
      <c r="C24007" s="2" t="s">
        <v>195</v>
      </c>
      <c r="D24007" s="2" t="s">
        <v>297</v>
      </c>
      <c r="E24007" s="2" t="str">
        <f>"9783110437638"</f>
        <v>9783110437638</v>
      </c>
      <c r="F24007" s="2" t="str">
        <f>"9783110453348"</f>
        <v>9783110453348</v>
      </c>
    </row>
    <row r="24008" spans="1:6" s="3" customFormat="1" ht="29.1" customHeight="1" x14ac:dyDescent="0.25">
      <c r="A24008" s="2" t="s">
        <v>46894</v>
      </c>
      <c r="B24008" s="2" t="s">
        <v>46895</v>
      </c>
      <c r="C24008" s="2" t="s">
        <v>195</v>
      </c>
      <c r="D24008" s="2" t="s">
        <v>436</v>
      </c>
      <c r="E24008" s="2" t="str">
        <f>"9783110415124"</f>
        <v>9783110415124</v>
      </c>
      <c r="F24008" s="2" t="str">
        <f>"9783110415636"</f>
        <v>9783110415636</v>
      </c>
    </row>
    <row r="24009" spans="1:6" s="3" customFormat="1" ht="29.1" customHeight="1" x14ac:dyDescent="0.25">
      <c r="A24009" s="2" t="s">
        <v>46896</v>
      </c>
      <c r="B24009" s="2" t="s">
        <v>46897</v>
      </c>
      <c r="C24009" s="2" t="s">
        <v>3248</v>
      </c>
      <c r="D24009" s="2" t="s">
        <v>297</v>
      </c>
      <c r="E24009" s="2" t="str">
        <f>"9780813583914"</f>
        <v>9780813583914</v>
      </c>
      <c r="F24009" s="2" t="str">
        <f>"9780813583945"</f>
        <v>9780813583945</v>
      </c>
    </row>
    <row r="24010" spans="1:6" s="3" customFormat="1" ht="29.1" customHeight="1" x14ac:dyDescent="0.25">
      <c r="A24010" s="2" t="s">
        <v>46898</v>
      </c>
      <c r="B24010" s="2" t="s">
        <v>46899</v>
      </c>
      <c r="C24010" s="2" t="s">
        <v>195</v>
      </c>
      <c r="D24010" s="2" t="s">
        <v>2428</v>
      </c>
      <c r="E24010" s="2" t="str">
        <f>"9783110417029"</f>
        <v>9783110417029</v>
      </c>
      <c r="F24010" s="2" t="str">
        <f>"9783110418279"</f>
        <v>9783110418279</v>
      </c>
    </row>
    <row r="24011" spans="1:6" s="3" customFormat="1" ht="29.1" customHeight="1" x14ac:dyDescent="0.25">
      <c r="A24011" s="2" t="s">
        <v>46900</v>
      </c>
      <c r="B24011" s="2" t="s">
        <v>46901</v>
      </c>
      <c r="C24011" s="2" t="s">
        <v>195</v>
      </c>
      <c r="D24011" s="2" t="s">
        <v>210</v>
      </c>
      <c r="E24011" s="2" t="str">
        <f>"9783486717150"</f>
        <v>9783486717150</v>
      </c>
      <c r="F24011" s="2" t="str">
        <f>"9783486755732"</f>
        <v>9783486755732</v>
      </c>
    </row>
    <row r="24012" spans="1:6" s="3" customFormat="1" ht="29.1" customHeight="1" x14ac:dyDescent="0.25">
      <c r="A24012" s="2" t="s">
        <v>46902</v>
      </c>
      <c r="B24012" s="2" t="s">
        <v>46903</v>
      </c>
      <c r="C24012" s="2" t="s">
        <v>195</v>
      </c>
      <c r="D24012" s="2" t="s">
        <v>1183</v>
      </c>
      <c r="E24012" s="2" t="str">
        <f>"9783110295948"</f>
        <v>9783110295948</v>
      </c>
      <c r="F24012" s="2" t="str">
        <f>"9783110296433"</f>
        <v>9783110296433</v>
      </c>
    </row>
    <row r="24013" spans="1:6" s="3" customFormat="1" ht="29.1" customHeight="1" x14ac:dyDescent="0.25">
      <c r="A24013" s="2" t="s">
        <v>46904</v>
      </c>
      <c r="B24013" s="2" t="s">
        <v>46905</v>
      </c>
      <c r="C24013" s="2" t="s">
        <v>195</v>
      </c>
      <c r="D24013" s="2" t="s">
        <v>462</v>
      </c>
      <c r="E24013" s="2" t="str">
        <f>"9783110258905"</f>
        <v>9783110258905</v>
      </c>
      <c r="F24013" s="2" t="str">
        <f>"9783110258912"</f>
        <v>9783110258912</v>
      </c>
    </row>
    <row r="24014" spans="1:6" s="3" customFormat="1" ht="29.1" customHeight="1" x14ac:dyDescent="0.25">
      <c r="A24014" s="2" t="s">
        <v>46906</v>
      </c>
      <c r="B24014" s="2" t="s">
        <v>46907</v>
      </c>
      <c r="C24014" s="2" t="s">
        <v>195</v>
      </c>
      <c r="D24014" s="2" t="s">
        <v>1183</v>
      </c>
      <c r="E24014" s="2" t="str">
        <f>"9783110404821"</f>
        <v>9783110404821</v>
      </c>
      <c r="F24014" s="2" t="str">
        <f>"9783110405101"</f>
        <v>9783110405101</v>
      </c>
    </row>
    <row r="24015" spans="1:6" s="3" customFormat="1" ht="29.1" customHeight="1" x14ac:dyDescent="0.25">
      <c r="A24015" s="2" t="s">
        <v>46908</v>
      </c>
      <c r="B24015" s="2" t="s">
        <v>46909</v>
      </c>
      <c r="C24015" s="2" t="s">
        <v>195</v>
      </c>
      <c r="D24015" s="2" t="s">
        <v>4238</v>
      </c>
      <c r="E24015" s="2" t="str">
        <f>"9783110378221"</f>
        <v>9783110378221</v>
      </c>
      <c r="F24015" s="2" t="str">
        <f>"9783110423846"</f>
        <v>9783110423846</v>
      </c>
    </row>
    <row r="24016" spans="1:6" s="3" customFormat="1" ht="29.1" customHeight="1" x14ac:dyDescent="0.25">
      <c r="A24016" s="2" t="s">
        <v>46910</v>
      </c>
      <c r="B24016" s="2" t="s">
        <v>46911</v>
      </c>
      <c r="C24016" s="2" t="s">
        <v>595</v>
      </c>
      <c r="D24016" s="2" t="s">
        <v>916</v>
      </c>
      <c r="E24016" s="2" t="str">
        <f>"9783631642870"</f>
        <v>9783631642870</v>
      </c>
      <c r="F24016" s="2" t="str">
        <f>"9783653031379"</f>
        <v>9783653031379</v>
      </c>
    </row>
    <row r="24017" spans="1:6" s="3" customFormat="1" ht="29.1" customHeight="1" x14ac:dyDescent="0.25">
      <c r="A24017" s="2" t="s">
        <v>46912</v>
      </c>
      <c r="B24017" s="2" t="s">
        <v>46913</v>
      </c>
      <c r="C24017" s="2" t="s">
        <v>124</v>
      </c>
      <c r="D24017" s="2" t="s">
        <v>186</v>
      </c>
      <c r="E24017" s="2" t="str">
        <f>"9780367108359"</f>
        <v>9780367108359</v>
      </c>
      <c r="F24017" s="2" t="str">
        <f>"9781351274104"</f>
        <v>9781351274104</v>
      </c>
    </row>
    <row r="24018" spans="1:6" s="3" customFormat="1" ht="29.1" customHeight="1" x14ac:dyDescent="0.25">
      <c r="A24018" s="2" t="s">
        <v>46914</v>
      </c>
      <c r="B24018" s="2" t="s">
        <v>46915</v>
      </c>
      <c r="C24018" s="2" t="s">
        <v>195</v>
      </c>
      <c r="D24018" s="2" t="s">
        <v>1466</v>
      </c>
      <c r="E24018" s="2" t="str">
        <f>"9783110460216"</f>
        <v>9783110460216</v>
      </c>
      <c r="F24018" s="2" t="str">
        <f>"9783110460483"</f>
        <v>9783110460483</v>
      </c>
    </row>
    <row r="24019" spans="1:6" s="3" customFormat="1" ht="29.1" customHeight="1" x14ac:dyDescent="0.25">
      <c r="A24019" s="2" t="s">
        <v>46916</v>
      </c>
      <c r="B24019" s="2" t="s">
        <v>46917</v>
      </c>
      <c r="C24019" s="2" t="s">
        <v>195</v>
      </c>
      <c r="D24019" s="2" t="s">
        <v>210</v>
      </c>
      <c r="E24019" s="2" t="str">
        <f>"9783486704549"</f>
        <v>9783486704549</v>
      </c>
      <c r="F24019" s="2" t="str">
        <f>"9783110446661"</f>
        <v>9783110446661</v>
      </c>
    </row>
    <row r="24020" spans="1:6" s="3" customFormat="1" ht="29.1" customHeight="1" x14ac:dyDescent="0.25">
      <c r="A24020" s="2" t="s">
        <v>46918</v>
      </c>
      <c r="B24020" s="2" t="s">
        <v>46919</v>
      </c>
      <c r="C24020" s="2" t="s">
        <v>195</v>
      </c>
      <c r="D24020" s="2" t="s">
        <v>210</v>
      </c>
      <c r="E24020" s="2" t="str">
        <f>"9783486709506"</f>
        <v>9783486709506</v>
      </c>
      <c r="F24020" s="2" t="str">
        <f>"9783110446685"</f>
        <v>9783110446685</v>
      </c>
    </row>
    <row r="24021" spans="1:6" s="3" customFormat="1" ht="29.1" customHeight="1" x14ac:dyDescent="0.25">
      <c r="A24021" s="2" t="s">
        <v>46920</v>
      </c>
      <c r="B24021" s="2" t="s">
        <v>46921</v>
      </c>
      <c r="C24021" s="2" t="s">
        <v>195</v>
      </c>
      <c r="D24021" s="2" t="s">
        <v>210</v>
      </c>
      <c r="E24021" s="2" t="str">
        <f>"9783486703849"</f>
        <v>9783486703849</v>
      </c>
      <c r="F24021" s="2" t="str">
        <f>"9783110446708"</f>
        <v>9783110446708</v>
      </c>
    </row>
    <row r="24022" spans="1:6" s="3" customFormat="1" ht="29.1" customHeight="1" x14ac:dyDescent="0.25">
      <c r="A24022" s="2" t="s">
        <v>46922</v>
      </c>
      <c r="B24022" s="2" t="s">
        <v>46923</v>
      </c>
      <c r="C24022" s="2" t="s">
        <v>195</v>
      </c>
      <c r="D24022" s="2" t="s">
        <v>210</v>
      </c>
      <c r="E24022" s="2" t="str">
        <f>"9783486707717"</f>
        <v>9783486707717</v>
      </c>
      <c r="F24022" s="2" t="str">
        <f>"9783110446753"</f>
        <v>9783110446753</v>
      </c>
    </row>
    <row r="24023" spans="1:6" s="3" customFormat="1" ht="29.1" customHeight="1" x14ac:dyDescent="0.25">
      <c r="A24023" s="2" t="s">
        <v>46924</v>
      </c>
      <c r="B24023" s="2" t="s">
        <v>46925</v>
      </c>
      <c r="C24023" s="2" t="s">
        <v>195</v>
      </c>
      <c r="D24023" s="2" t="s">
        <v>210</v>
      </c>
      <c r="E24023" s="2" t="str">
        <f>"9783486717990"</f>
        <v>9783486717990</v>
      </c>
      <c r="F24023" s="2" t="str">
        <f>"9783110446722"</f>
        <v>9783110446722</v>
      </c>
    </row>
    <row r="24024" spans="1:6" s="3" customFormat="1" ht="29.1" customHeight="1" x14ac:dyDescent="0.25">
      <c r="A24024" s="2" t="s">
        <v>46926</v>
      </c>
      <c r="B24024" s="2" t="s">
        <v>46927</v>
      </c>
      <c r="C24024" s="2" t="s">
        <v>195</v>
      </c>
      <c r="D24024" s="2" t="s">
        <v>210</v>
      </c>
      <c r="E24024" s="2" t="str">
        <f>"9783486716955"</f>
        <v>9783486716955</v>
      </c>
      <c r="F24024" s="2" t="str">
        <f>"9783110446746"</f>
        <v>9783110446746</v>
      </c>
    </row>
    <row r="24025" spans="1:6" s="3" customFormat="1" ht="29.1" customHeight="1" x14ac:dyDescent="0.25">
      <c r="A24025" s="2" t="s">
        <v>46928</v>
      </c>
      <c r="B24025" s="2" t="s">
        <v>46929</v>
      </c>
      <c r="C24025" s="2" t="s">
        <v>131</v>
      </c>
      <c r="D24025" s="2" t="s">
        <v>1256</v>
      </c>
      <c r="E24025" s="2" t="str">
        <f>"9789027257512"</f>
        <v>9789027257512</v>
      </c>
      <c r="F24025" s="2" t="str">
        <f>"9789027266989"</f>
        <v>9789027266989</v>
      </c>
    </row>
    <row r="24026" spans="1:6" s="3" customFormat="1" ht="29.1" customHeight="1" x14ac:dyDescent="0.25">
      <c r="A24026" s="2" t="s">
        <v>46930</v>
      </c>
      <c r="B24026" s="2" t="s">
        <v>46931</v>
      </c>
      <c r="C24026" s="2" t="s">
        <v>124</v>
      </c>
      <c r="D24026" s="2" t="s">
        <v>694</v>
      </c>
      <c r="E24026" s="2" t="str">
        <f>"9781138925212"</f>
        <v>9781138925212</v>
      </c>
      <c r="F24026" s="2" t="str">
        <f>"9781317407539"</f>
        <v>9781317407539</v>
      </c>
    </row>
    <row r="24027" spans="1:6" s="3" customFormat="1" ht="29.1" customHeight="1" x14ac:dyDescent="0.25">
      <c r="A24027" s="2" t="s">
        <v>46932</v>
      </c>
      <c r="B24027" s="2" t="s">
        <v>46933</v>
      </c>
      <c r="C24027" s="2" t="s">
        <v>124</v>
      </c>
      <c r="D24027" s="2" t="s">
        <v>2587</v>
      </c>
      <c r="E24027" s="2" t="str">
        <f>"9781138911123"</f>
        <v>9781138911123</v>
      </c>
      <c r="F24027" s="2" t="str">
        <f>"9781317434931"</f>
        <v>9781317434931</v>
      </c>
    </row>
    <row r="24028" spans="1:6" s="3" customFormat="1" ht="29.1" customHeight="1" x14ac:dyDescent="0.25">
      <c r="A24028" s="2" t="s">
        <v>46934</v>
      </c>
      <c r="B24028" s="2" t="s">
        <v>46935</v>
      </c>
      <c r="C24028" s="2" t="s">
        <v>34257</v>
      </c>
      <c r="D24028" s="2" t="s">
        <v>636</v>
      </c>
      <c r="E24028" s="2" t="str">
        <f>"9780745336121"</f>
        <v>9780745336121</v>
      </c>
      <c r="F24028" s="2" t="str">
        <f>"9781783717972"</f>
        <v>9781783717972</v>
      </c>
    </row>
    <row r="24029" spans="1:6" s="3" customFormat="1" ht="29.1" customHeight="1" x14ac:dyDescent="0.25">
      <c r="A24029" s="2" t="s">
        <v>46936</v>
      </c>
      <c r="B24029" s="2" t="s">
        <v>46937</v>
      </c>
      <c r="C24029" s="2" t="s">
        <v>1070</v>
      </c>
      <c r="D24029" s="2" t="s">
        <v>1272</v>
      </c>
      <c r="E24029" s="2" t="str">
        <f>"9781908541932"</f>
        <v>9781908541932</v>
      </c>
      <c r="F24029" s="2" t="str">
        <f>"9781910797211"</f>
        <v>9781910797211</v>
      </c>
    </row>
    <row r="24030" spans="1:6" s="3" customFormat="1" ht="29.1" customHeight="1" x14ac:dyDescent="0.25">
      <c r="A24030" s="2" t="s">
        <v>46938</v>
      </c>
      <c r="B24030" s="2" t="s">
        <v>46939</v>
      </c>
      <c r="C24030" s="2" t="s">
        <v>4788</v>
      </c>
      <c r="D24030" s="2" t="s">
        <v>202</v>
      </c>
      <c r="E24030" s="2" t="str">
        <f>"9781474403276"</f>
        <v>9781474403276</v>
      </c>
      <c r="F24030" s="2" t="str">
        <f>"9781474403283"</f>
        <v>9781474403283</v>
      </c>
    </row>
    <row r="24031" spans="1:6" s="3" customFormat="1" ht="29.1" customHeight="1" x14ac:dyDescent="0.25">
      <c r="A24031" s="2" t="s">
        <v>46940</v>
      </c>
      <c r="B24031" s="2" t="s">
        <v>46941</v>
      </c>
      <c r="C24031" s="2" t="s">
        <v>316</v>
      </c>
      <c r="D24031" s="2" t="s">
        <v>317</v>
      </c>
      <c r="E24031" s="2" t="str">
        <f>"9783038356158"</f>
        <v>9783038356158</v>
      </c>
      <c r="F24031" s="2" t="str">
        <f>"9783035700916"</f>
        <v>9783035700916</v>
      </c>
    </row>
    <row r="24032" spans="1:6" s="3" customFormat="1" ht="29.1" customHeight="1" x14ac:dyDescent="0.25">
      <c r="A24032" s="2" t="s">
        <v>46942</v>
      </c>
      <c r="B24032" s="2" t="s">
        <v>46943</v>
      </c>
      <c r="C24032" s="2" t="s">
        <v>44049</v>
      </c>
      <c r="D24032" s="2" t="s">
        <v>1466</v>
      </c>
      <c r="E24032" s="2" t="str">
        <f>"9780823267774"</f>
        <v>9780823267774</v>
      </c>
      <c r="F24032" s="2" t="str">
        <f>"9780823267798"</f>
        <v>9780823267798</v>
      </c>
    </row>
    <row r="24033" spans="1:6" s="3" customFormat="1" ht="29.1" customHeight="1" x14ac:dyDescent="0.25">
      <c r="A24033" s="2" t="s">
        <v>46944</v>
      </c>
      <c r="B24033" s="2" t="s">
        <v>46945</v>
      </c>
      <c r="C24033" s="2" t="s">
        <v>195</v>
      </c>
      <c r="D24033" s="2" t="s">
        <v>462</v>
      </c>
      <c r="E24033" s="2" t="str">
        <f>"9783110469493"</f>
        <v>9783110469493</v>
      </c>
      <c r="F24033" s="2" t="str">
        <f>"9783110472639"</f>
        <v>9783110472639</v>
      </c>
    </row>
    <row r="24034" spans="1:6" s="3" customFormat="1" ht="29.1" customHeight="1" x14ac:dyDescent="0.25">
      <c r="A24034" s="2" t="s">
        <v>46946</v>
      </c>
      <c r="B24034" s="2" t="s">
        <v>46947</v>
      </c>
      <c r="C24034" s="2" t="s">
        <v>195</v>
      </c>
      <c r="D24034" s="2" t="s">
        <v>462</v>
      </c>
      <c r="E24034" s="2" t="str">
        <f>"9783110449815"</f>
        <v>9783110449815</v>
      </c>
      <c r="F24034" s="2" t="str">
        <f>"9783110453133"</f>
        <v>9783110453133</v>
      </c>
    </row>
    <row r="24035" spans="1:6" s="3" customFormat="1" ht="29.1" customHeight="1" x14ac:dyDescent="0.25">
      <c r="A24035" s="2" t="s">
        <v>46948</v>
      </c>
      <c r="B24035" s="2" t="s">
        <v>46949</v>
      </c>
      <c r="C24035" s="2" t="s">
        <v>5</v>
      </c>
      <c r="D24035" s="2" t="s">
        <v>465</v>
      </c>
      <c r="E24035" s="2" t="str">
        <f>"9780230228580"</f>
        <v>9780230228580</v>
      </c>
      <c r="F24035" s="2" t="str">
        <f>"9780230283121"</f>
        <v>9780230283121</v>
      </c>
    </row>
    <row r="24036" spans="1:6" s="3" customFormat="1" ht="29.1" customHeight="1" x14ac:dyDescent="0.25">
      <c r="A24036" s="2" t="s">
        <v>46950</v>
      </c>
      <c r="B24036" s="2" t="s">
        <v>46951</v>
      </c>
      <c r="C24036" s="2" t="s">
        <v>5</v>
      </c>
      <c r="D24036" s="2" t="s">
        <v>12</v>
      </c>
      <c r="E24036" s="2" t="str">
        <f>"9783319333489"</f>
        <v>9783319333489</v>
      </c>
      <c r="F24036" s="2" t="str">
        <f>"9783319333496"</f>
        <v>9783319333496</v>
      </c>
    </row>
    <row r="24037" spans="1:6" s="3" customFormat="1" ht="29.1" customHeight="1" x14ac:dyDescent="0.25">
      <c r="A24037" s="2" t="s">
        <v>46952</v>
      </c>
      <c r="B24037" s="2" t="s">
        <v>46953</v>
      </c>
      <c r="C24037" s="2" t="s">
        <v>36</v>
      </c>
      <c r="D24037" s="2" t="s">
        <v>37</v>
      </c>
      <c r="E24037" s="2" t="str">
        <f>"9781447326106"</f>
        <v>9781447326106</v>
      </c>
      <c r="F24037" s="2" t="str">
        <f>"9781447326113"</f>
        <v>9781447326113</v>
      </c>
    </row>
    <row r="24038" spans="1:6" s="3" customFormat="1" ht="29.1" customHeight="1" x14ac:dyDescent="0.25">
      <c r="A24038" s="2" t="s">
        <v>46954</v>
      </c>
      <c r="B24038" s="2" t="s">
        <v>46956</v>
      </c>
      <c r="C24038" s="2" t="s">
        <v>29</v>
      </c>
      <c r="D24038" s="2" t="s">
        <v>46955</v>
      </c>
      <c r="E24038" s="2" t="str">
        <f>"9789086862856"</f>
        <v>9789086862856</v>
      </c>
      <c r="F24038" s="2" t="str">
        <f>"9789086868315"</f>
        <v>9789086868315</v>
      </c>
    </row>
    <row r="24039" spans="1:6" s="3" customFormat="1" ht="29.1" customHeight="1" x14ac:dyDescent="0.25">
      <c r="A24039" s="2" t="s">
        <v>46957</v>
      </c>
      <c r="B24039" s="2" t="s">
        <v>46958</v>
      </c>
      <c r="C24039" s="2" t="s">
        <v>124</v>
      </c>
      <c r="D24039" s="2" t="s">
        <v>33</v>
      </c>
      <c r="E24039" s="2" t="str">
        <f>"9780415979498"</f>
        <v>9780415979498</v>
      </c>
      <c r="F24039" s="2" t="str">
        <f>"9781135863326"</f>
        <v>9781135863326</v>
      </c>
    </row>
    <row r="24040" spans="1:6" s="3" customFormat="1" ht="29.1" customHeight="1" x14ac:dyDescent="0.25">
      <c r="A24040" s="2" t="s">
        <v>46959</v>
      </c>
      <c r="B24040" s="2" t="s">
        <v>46960</v>
      </c>
      <c r="C24040" s="2" t="s">
        <v>124</v>
      </c>
      <c r="D24040" s="2" t="s">
        <v>33</v>
      </c>
      <c r="E24040" s="2" t="str">
        <f>"9780415979016"</f>
        <v>9780415979016</v>
      </c>
      <c r="F24040" s="2" t="str">
        <f>"9781135864583"</f>
        <v>9781135864583</v>
      </c>
    </row>
    <row r="24041" spans="1:6" s="3" customFormat="1" ht="29.1" customHeight="1" x14ac:dyDescent="0.25">
      <c r="A24041" s="2" t="s">
        <v>46961</v>
      </c>
      <c r="B24041" s="2" t="s">
        <v>46962</v>
      </c>
      <c r="C24041" s="2" t="s">
        <v>36</v>
      </c>
      <c r="D24041" s="2" t="s">
        <v>2336</v>
      </c>
      <c r="E24041" s="2" t="str">
        <f>"9781447325178"</f>
        <v>9781447325178</v>
      </c>
      <c r="F24041" s="2" t="str">
        <f>"9781447325185"</f>
        <v>9781447325185</v>
      </c>
    </row>
    <row r="24042" spans="1:6" s="3" customFormat="1" ht="29.1" customHeight="1" x14ac:dyDescent="0.25">
      <c r="A24042" s="2" t="s">
        <v>46963</v>
      </c>
      <c r="B24042" s="2" t="s">
        <v>46964</v>
      </c>
      <c r="C24042" s="2" t="s">
        <v>124</v>
      </c>
      <c r="D24042" s="2" t="s">
        <v>3155</v>
      </c>
      <c r="E24042" s="2" t="str">
        <f>"9781138654747"</f>
        <v>9781138654747</v>
      </c>
      <c r="F24042" s="2" t="str">
        <f>"9781317224761"</f>
        <v>9781317224761</v>
      </c>
    </row>
    <row r="24043" spans="1:6" s="3" customFormat="1" ht="29.1" customHeight="1" x14ac:dyDescent="0.25">
      <c r="A24043" s="2" t="s">
        <v>46965</v>
      </c>
      <c r="B24043" s="2" t="s">
        <v>46966</v>
      </c>
      <c r="C24043" s="2" t="s">
        <v>20</v>
      </c>
      <c r="D24043" s="2" t="s">
        <v>24</v>
      </c>
      <c r="E24043" s="2" t="str">
        <f>"9783763956524"</f>
        <v>9783763956524</v>
      </c>
      <c r="F24043" s="2" t="str">
        <f>"9783763956531"</f>
        <v>9783763956531</v>
      </c>
    </row>
    <row r="24044" spans="1:6" s="3" customFormat="1" ht="29.1" customHeight="1" x14ac:dyDescent="0.25">
      <c r="A24044" s="2" t="s">
        <v>46967</v>
      </c>
      <c r="B24044" s="2" t="s">
        <v>46968</v>
      </c>
      <c r="C24044" s="2" t="s">
        <v>34257</v>
      </c>
      <c r="D24044" s="2" t="s">
        <v>218</v>
      </c>
      <c r="E24044" s="2" t="str">
        <f>"9780745332468"</f>
        <v>9780745332468</v>
      </c>
      <c r="F24044" s="2" t="str">
        <f>"9781783717675"</f>
        <v>9781783717675</v>
      </c>
    </row>
    <row r="24045" spans="1:6" s="3" customFormat="1" ht="29.1" customHeight="1" x14ac:dyDescent="0.25">
      <c r="A24045" s="2" t="s">
        <v>46969</v>
      </c>
      <c r="B24045" s="2" t="s">
        <v>45664</v>
      </c>
      <c r="C24045" s="2" t="s">
        <v>195</v>
      </c>
      <c r="D24045" s="2" t="s">
        <v>1466</v>
      </c>
      <c r="E24045" s="2" t="str">
        <f>"9783110444537"</f>
        <v>9783110444537</v>
      </c>
      <c r="F24045" s="2" t="str">
        <f>"9783110437157"</f>
        <v>9783110437157</v>
      </c>
    </row>
    <row r="24046" spans="1:6" s="3" customFormat="1" ht="29.1" customHeight="1" x14ac:dyDescent="0.25">
      <c r="A24046" s="2" t="s">
        <v>46970</v>
      </c>
      <c r="B24046" s="2" t="s">
        <v>46971</v>
      </c>
      <c r="C24046" s="2" t="s">
        <v>195</v>
      </c>
      <c r="D24046" s="2" t="s">
        <v>1466</v>
      </c>
      <c r="E24046" s="2" t="str">
        <f>"9783110446845"</f>
        <v>9783110446845</v>
      </c>
      <c r="F24046" s="2" t="str">
        <f>"9783110447187"</f>
        <v>9783110447187</v>
      </c>
    </row>
    <row r="24047" spans="1:6" s="3" customFormat="1" ht="29.1" customHeight="1" x14ac:dyDescent="0.25">
      <c r="A24047" s="2" t="s">
        <v>46972</v>
      </c>
      <c r="B24047" s="2" t="s">
        <v>46973</v>
      </c>
      <c r="C24047" s="2" t="s">
        <v>556</v>
      </c>
      <c r="D24047" s="2" t="s">
        <v>207</v>
      </c>
      <c r="E24047" s="2" t="str">
        <f>"9783837634716"</f>
        <v>9783837634716</v>
      </c>
      <c r="F24047" s="2" t="str">
        <f>"9783839434710"</f>
        <v>9783839434710</v>
      </c>
    </row>
    <row r="24048" spans="1:6" s="3" customFormat="1" ht="29.1" customHeight="1" x14ac:dyDescent="0.25">
      <c r="A24048" s="2" t="s">
        <v>46974</v>
      </c>
      <c r="B24048" s="2" t="s">
        <v>46975</v>
      </c>
      <c r="C24048" s="2" t="s">
        <v>556</v>
      </c>
      <c r="D24048" s="2" t="s">
        <v>17547</v>
      </c>
      <c r="E24048" s="2" t="str">
        <f>"9783837634686"</f>
        <v>9783837634686</v>
      </c>
      <c r="F24048" s="2" t="str">
        <f>"9783839434680"</f>
        <v>9783839434680</v>
      </c>
    </row>
    <row r="24049" spans="1:6" s="3" customFormat="1" ht="29.1" customHeight="1" x14ac:dyDescent="0.25">
      <c r="A24049" s="2" t="s">
        <v>46976</v>
      </c>
      <c r="B24049" s="2" t="s">
        <v>46977</v>
      </c>
      <c r="C24049" s="2" t="s">
        <v>556</v>
      </c>
      <c r="D24049" s="2" t="s">
        <v>11048</v>
      </c>
      <c r="E24049" s="2" t="str">
        <f>"9783837634631"</f>
        <v>9783837634631</v>
      </c>
      <c r="F24049" s="2" t="str">
        <f>"9783839434635"</f>
        <v>9783839434635</v>
      </c>
    </row>
    <row r="24050" spans="1:6" s="3" customFormat="1" ht="29.1" customHeight="1" x14ac:dyDescent="0.25">
      <c r="A24050" s="2" t="s">
        <v>46978</v>
      </c>
      <c r="B24050" s="2" t="s">
        <v>46979</v>
      </c>
      <c r="C24050" s="2" t="s">
        <v>556</v>
      </c>
      <c r="D24050" s="2" t="s">
        <v>11847</v>
      </c>
      <c r="E24050" s="2" t="str">
        <f>"9783837634099"</f>
        <v>9783837634099</v>
      </c>
      <c r="F24050" s="2" t="str">
        <f>"9783839434093"</f>
        <v>9783839434093</v>
      </c>
    </row>
    <row r="24051" spans="1:6" s="3" customFormat="1" ht="29.1" customHeight="1" x14ac:dyDescent="0.25">
      <c r="A24051" s="2" t="s">
        <v>46980</v>
      </c>
      <c r="B24051" s="2" t="s">
        <v>46981</v>
      </c>
      <c r="C24051" s="2" t="s">
        <v>556</v>
      </c>
      <c r="D24051" s="2" t="s">
        <v>4210</v>
      </c>
      <c r="E24051" s="2" t="str">
        <f>"9783837634082"</f>
        <v>9783837634082</v>
      </c>
      <c r="F24051" s="2" t="str">
        <f>"9783839434086"</f>
        <v>9783839434086</v>
      </c>
    </row>
    <row r="24052" spans="1:6" s="3" customFormat="1" ht="29.1" customHeight="1" x14ac:dyDescent="0.25">
      <c r="A24052" s="2" t="s">
        <v>46982</v>
      </c>
      <c r="B24052" s="2" t="s">
        <v>46983</v>
      </c>
      <c r="C24052" s="2" t="s">
        <v>556</v>
      </c>
      <c r="D24052" s="2" t="s">
        <v>699</v>
      </c>
      <c r="E24052" s="2" t="str">
        <f>"9783837634044"</f>
        <v>9783837634044</v>
      </c>
      <c r="F24052" s="2" t="str">
        <f>"9783839434048"</f>
        <v>9783839434048</v>
      </c>
    </row>
    <row r="24053" spans="1:6" s="3" customFormat="1" ht="29.1" customHeight="1" x14ac:dyDescent="0.25">
      <c r="A24053" s="2" t="s">
        <v>46984</v>
      </c>
      <c r="B24053" s="2" t="s">
        <v>46985</v>
      </c>
      <c r="C24053" s="2" t="s">
        <v>556</v>
      </c>
      <c r="D24053" s="2" t="s">
        <v>1411</v>
      </c>
      <c r="E24053" s="2" t="str">
        <f>"9783837633887"</f>
        <v>9783837633887</v>
      </c>
      <c r="F24053" s="2" t="str">
        <f>"9783839433881"</f>
        <v>9783839433881</v>
      </c>
    </row>
    <row r="24054" spans="1:6" s="3" customFormat="1" ht="29.1" customHeight="1" x14ac:dyDescent="0.25">
      <c r="A24054" s="2" t="s">
        <v>46986</v>
      </c>
      <c r="B24054" s="2" t="s">
        <v>18400</v>
      </c>
      <c r="C24054" s="2" t="s">
        <v>556</v>
      </c>
      <c r="D24054" s="2" t="s">
        <v>689</v>
      </c>
      <c r="E24054" s="2" t="str">
        <f>"9783837633610"</f>
        <v>9783837633610</v>
      </c>
      <c r="F24054" s="2" t="str">
        <f>"9783839433614"</f>
        <v>9783839433614</v>
      </c>
    </row>
    <row r="24055" spans="1:6" s="3" customFormat="1" ht="29.1" customHeight="1" x14ac:dyDescent="0.25">
      <c r="A24055" s="2" t="s">
        <v>46987</v>
      </c>
      <c r="B24055" s="2" t="s">
        <v>46988</v>
      </c>
      <c r="C24055" s="2" t="s">
        <v>556</v>
      </c>
      <c r="D24055" s="2" t="s">
        <v>1245</v>
      </c>
      <c r="E24055" s="2" t="str">
        <f>"9783837633146"</f>
        <v>9783837633146</v>
      </c>
      <c r="F24055" s="2" t="str">
        <f>"9783839433140"</f>
        <v>9783839433140</v>
      </c>
    </row>
    <row r="24056" spans="1:6" s="3" customFormat="1" ht="29.1" customHeight="1" x14ac:dyDescent="0.25">
      <c r="A24056" s="2" t="s">
        <v>46989</v>
      </c>
      <c r="B24056" s="2" t="s">
        <v>46990</v>
      </c>
      <c r="C24056" s="2" t="s">
        <v>556</v>
      </c>
      <c r="D24056" s="2" t="s">
        <v>75</v>
      </c>
      <c r="E24056" s="2" t="str">
        <f>"9783837631548"</f>
        <v>9783837631548</v>
      </c>
      <c r="F24056" s="2" t="str">
        <f>"9783839431542"</f>
        <v>9783839431542</v>
      </c>
    </row>
    <row r="24057" spans="1:6" s="3" customFormat="1" ht="29.1" customHeight="1" x14ac:dyDescent="0.25">
      <c r="A24057" s="2" t="s">
        <v>46991</v>
      </c>
      <c r="B24057" s="2" t="s">
        <v>46992</v>
      </c>
      <c r="C24057" s="2" t="s">
        <v>556</v>
      </c>
      <c r="D24057" s="2" t="s">
        <v>4030</v>
      </c>
      <c r="E24057" s="2" t="str">
        <f>"9783837629545"</f>
        <v>9783837629545</v>
      </c>
      <c r="F24057" s="2" t="str">
        <f>"9783839429549"</f>
        <v>9783839429549</v>
      </c>
    </row>
    <row r="24058" spans="1:6" s="3" customFormat="1" ht="29.1" customHeight="1" x14ac:dyDescent="0.25">
      <c r="A24058" s="2" t="s">
        <v>46993</v>
      </c>
      <c r="B24058" s="2" t="s">
        <v>46994</v>
      </c>
      <c r="C24058" s="2" t="s">
        <v>556</v>
      </c>
      <c r="D24058" s="2" t="s">
        <v>484</v>
      </c>
      <c r="E24058" s="2" t="str">
        <f>"9783837624045"</f>
        <v>9783837624045</v>
      </c>
      <c r="F24058" s="2" t="str">
        <f>"9783839424049"</f>
        <v>9783839424049</v>
      </c>
    </row>
    <row r="24059" spans="1:6" s="3" customFormat="1" ht="29.1" customHeight="1" x14ac:dyDescent="0.25">
      <c r="A24059" s="2" t="s">
        <v>46995</v>
      </c>
      <c r="B24059" s="2" t="s">
        <v>46996</v>
      </c>
      <c r="C24059" s="2" t="s">
        <v>124</v>
      </c>
      <c r="D24059" s="2" t="s">
        <v>16776</v>
      </c>
      <c r="E24059" s="2" t="str">
        <f>"9781138921160"</f>
        <v>9781138921160</v>
      </c>
      <c r="F24059" s="2" t="str">
        <f>"9781317415398"</f>
        <v>9781317415398</v>
      </c>
    </row>
    <row r="24060" spans="1:6" s="3" customFormat="1" ht="29.1" customHeight="1" x14ac:dyDescent="0.25">
      <c r="A24060" s="2" t="s">
        <v>46997</v>
      </c>
      <c r="B24060" s="2" t="s">
        <v>46998</v>
      </c>
      <c r="C24060" s="2" t="s">
        <v>1070</v>
      </c>
      <c r="D24060" s="2" t="s">
        <v>1285</v>
      </c>
      <c r="E24060" s="2" t="str">
        <f>"9781908541840"</f>
        <v>9781908541840</v>
      </c>
      <c r="F24060" s="2" t="str">
        <f>"9781908541888"</f>
        <v>9781908541888</v>
      </c>
    </row>
    <row r="24061" spans="1:6" s="3" customFormat="1" ht="29.1" customHeight="1" x14ac:dyDescent="0.25">
      <c r="A24061" s="2" t="s">
        <v>46999</v>
      </c>
      <c r="B24061" s="2" t="s">
        <v>47000</v>
      </c>
      <c r="C24061" s="2" t="s">
        <v>1070</v>
      </c>
      <c r="D24061" s="2" t="s">
        <v>1071</v>
      </c>
      <c r="E24061" s="2" t="str">
        <f>"9781910797112"</f>
        <v>9781910797112</v>
      </c>
      <c r="F24061" s="2" t="str">
        <f>"9781910797143"</f>
        <v>9781910797143</v>
      </c>
    </row>
    <row r="24062" spans="1:6" s="3" customFormat="1" ht="29.1" customHeight="1" x14ac:dyDescent="0.25">
      <c r="A24062" s="2" t="s">
        <v>47001</v>
      </c>
      <c r="B24062" s="2" t="s">
        <v>47002</v>
      </c>
      <c r="C24062" s="2" t="s">
        <v>595</v>
      </c>
      <c r="D24062" s="2" t="s">
        <v>916</v>
      </c>
      <c r="E24062" s="2" t="str">
        <f>"9783653967074"</f>
        <v>9783653967074</v>
      </c>
      <c r="F24062" s="2" t="str">
        <f>"9783653967081"</f>
        <v>9783653967081</v>
      </c>
    </row>
    <row r="24063" spans="1:6" s="3" customFormat="1" ht="29.1" customHeight="1" x14ac:dyDescent="0.25">
      <c r="A24063" s="2" t="s">
        <v>47003</v>
      </c>
      <c r="B24063" s="2" t="s">
        <v>47004</v>
      </c>
      <c r="C24063" s="2" t="s">
        <v>124</v>
      </c>
      <c r="D24063" s="2" t="s">
        <v>9</v>
      </c>
      <c r="E24063" s="2" t="str">
        <f>"9780415976992"</f>
        <v>9780415976992</v>
      </c>
      <c r="F24063" s="2" t="str">
        <f>"9781135508609"</f>
        <v>9781135508609</v>
      </c>
    </row>
    <row r="24064" spans="1:6" s="3" customFormat="1" ht="29.1" customHeight="1" x14ac:dyDescent="0.25">
      <c r="A24064" s="2" t="s">
        <v>47005</v>
      </c>
      <c r="B24064" s="2" t="s">
        <v>47006</v>
      </c>
      <c r="C24064" s="2" t="s">
        <v>124</v>
      </c>
      <c r="D24064" s="2" t="s">
        <v>2019</v>
      </c>
      <c r="E24064" s="2" t="str">
        <f>"9780415975094"</f>
        <v>9780415975094</v>
      </c>
      <c r="F24064" s="2" t="str">
        <f>"9781135923310"</f>
        <v>9781135923310</v>
      </c>
    </row>
    <row r="24065" spans="1:6" s="3" customFormat="1" ht="29.1" customHeight="1" x14ac:dyDescent="0.25">
      <c r="A24065" s="2" t="s">
        <v>47007</v>
      </c>
      <c r="B24065" s="2" t="s">
        <v>47008</v>
      </c>
      <c r="C24065" s="2" t="s">
        <v>124</v>
      </c>
      <c r="D24065" s="2" t="s">
        <v>210</v>
      </c>
      <c r="E24065" s="2" t="str">
        <f>"9780415971782"</f>
        <v>9780415971782</v>
      </c>
      <c r="F24065" s="2" t="str">
        <f>"9781135467449"</f>
        <v>9781135467449</v>
      </c>
    </row>
    <row r="24066" spans="1:6" s="3" customFormat="1" ht="29.1" customHeight="1" x14ac:dyDescent="0.25">
      <c r="A24066" s="2" t="s">
        <v>47009</v>
      </c>
      <c r="B24066" s="2" t="s">
        <v>47010</v>
      </c>
      <c r="C24066" s="2" t="s">
        <v>5</v>
      </c>
      <c r="D24066" s="2" t="s">
        <v>218</v>
      </c>
      <c r="E24066" s="2" t="str">
        <f>"9781137513601"</f>
        <v>9781137513601</v>
      </c>
      <c r="F24066" s="2" t="str">
        <f>"9781137513618"</f>
        <v>9781137513618</v>
      </c>
    </row>
    <row r="24067" spans="1:6" s="3" customFormat="1" ht="29.1" customHeight="1" x14ac:dyDescent="0.25">
      <c r="A24067" s="2" t="s">
        <v>47011</v>
      </c>
      <c r="B24067" s="2" t="s">
        <v>47012</v>
      </c>
      <c r="C24067" s="2" t="s">
        <v>55</v>
      </c>
      <c r="D24067" s="2" t="s">
        <v>818</v>
      </c>
      <c r="E24067" s="2" t="str">
        <f>"9780719096846"</f>
        <v>9780719096846</v>
      </c>
      <c r="F24067" s="2" t="str">
        <f>"9780719098512"</f>
        <v>9780719098512</v>
      </c>
    </row>
    <row r="24068" spans="1:6" s="3" customFormat="1" ht="29.1" customHeight="1" x14ac:dyDescent="0.25">
      <c r="A24068" s="2" t="s">
        <v>47013</v>
      </c>
      <c r="B24068" s="2" t="s">
        <v>47014</v>
      </c>
      <c r="C24068" s="2" t="s">
        <v>124</v>
      </c>
      <c r="D24068" s="2" t="s">
        <v>462</v>
      </c>
      <c r="E24068" s="2" t="str">
        <f>"9780415972734"</f>
        <v>9780415972734</v>
      </c>
      <c r="F24068" s="2" t="str">
        <f>"9781135474447"</f>
        <v>9781135474447</v>
      </c>
    </row>
    <row r="24069" spans="1:6" s="3" customFormat="1" ht="29.1" customHeight="1" x14ac:dyDescent="0.25">
      <c r="A24069" s="2" t="s">
        <v>47015</v>
      </c>
      <c r="B24069" s="2" t="s">
        <v>47016</v>
      </c>
      <c r="C24069" s="2" t="s">
        <v>124</v>
      </c>
      <c r="D24069" s="2" t="s">
        <v>20003</v>
      </c>
      <c r="E24069" s="2" t="str">
        <f>"9781138191853"</f>
        <v>9781138191853</v>
      </c>
      <c r="F24069" s="2" t="str">
        <f>"9781317276487"</f>
        <v>9781317276487</v>
      </c>
    </row>
    <row r="24070" spans="1:6" s="3" customFormat="1" ht="29.1" customHeight="1" x14ac:dyDescent="0.25">
      <c r="A24070" s="2" t="s">
        <v>47017</v>
      </c>
      <c r="B24070" s="2" t="s">
        <v>47018</v>
      </c>
      <c r="C24070" s="2" t="s">
        <v>927</v>
      </c>
      <c r="D24070" s="2" t="s">
        <v>8788</v>
      </c>
      <c r="E24070" s="2" t="str">
        <f>"9780472119752"</f>
        <v>9780472119752</v>
      </c>
      <c r="F24070" s="2" t="str">
        <f>"9780472121649"</f>
        <v>9780472121649</v>
      </c>
    </row>
    <row r="24071" spans="1:6" s="3" customFormat="1" ht="29.1" customHeight="1" x14ac:dyDescent="0.25">
      <c r="A24071" s="2" t="s">
        <v>47019</v>
      </c>
      <c r="B24071" s="2" t="s">
        <v>47020</v>
      </c>
      <c r="C24071" s="2" t="s">
        <v>43061</v>
      </c>
      <c r="D24071" s="2" t="s">
        <v>2962</v>
      </c>
      <c r="E24071" s="2" t="str">
        <f>"9783862198726"</f>
        <v>9783862198726</v>
      </c>
      <c r="F24071" s="2" t="str">
        <f>"9783862198733"</f>
        <v>9783862198733</v>
      </c>
    </row>
    <row r="24072" spans="1:6" s="3" customFormat="1" ht="29.1" customHeight="1" x14ac:dyDescent="0.25">
      <c r="A24072" s="2" t="s">
        <v>47021</v>
      </c>
      <c r="B24072" s="2" t="s">
        <v>47022</v>
      </c>
      <c r="C24072" s="2" t="s">
        <v>43061</v>
      </c>
      <c r="D24072" s="2" t="s">
        <v>34178</v>
      </c>
      <c r="E24072" s="2" t="str">
        <f>"9783737600767"</f>
        <v>9783737600767</v>
      </c>
      <c r="F24072" s="2" t="str">
        <f>"9783737600774"</f>
        <v>9783737600774</v>
      </c>
    </row>
    <row r="24073" spans="1:6" s="3" customFormat="1" ht="29.1" customHeight="1" x14ac:dyDescent="0.25">
      <c r="A24073" s="2" t="s">
        <v>47023</v>
      </c>
      <c r="B24073" s="2" t="s">
        <v>47024</v>
      </c>
      <c r="C24073" s="2" t="s">
        <v>43061</v>
      </c>
      <c r="D24073" s="2" t="s">
        <v>46709</v>
      </c>
      <c r="E24073" s="2" t="str">
        <f>"9783737600446"</f>
        <v>9783737600446</v>
      </c>
      <c r="F24073" s="2" t="str">
        <f>"9783737600453"</f>
        <v>9783737600453</v>
      </c>
    </row>
    <row r="24074" spans="1:6" s="3" customFormat="1" ht="29.1" customHeight="1" x14ac:dyDescent="0.25">
      <c r="A24074" s="2" t="s">
        <v>47025</v>
      </c>
      <c r="B24074" s="2" t="s">
        <v>47026</v>
      </c>
      <c r="C24074" s="2" t="s">
        <v>43061</v>
      </c>
      <c r="D24074" s="2" t="s">
        <v>454</v>
      </c>
      <c r="E24074" s="2" t="str">
        <f>"9783737601146"</f>
        <v>9783737601146</v>
      </c>
      <c r="F24074" s="2" t="str">
        <f>"9783737601153"</f>
        <v>9783737601153</v>
      </c>
    </row>
    <row r="24075" spans="1:6" s="3" customFormat="1" ht="29.1" customHeight="1" x14ac:dyDescent="0.25">
      <c r="A24075" s="2" t="s">
        <v>47027</v>
      </c>
      <c r="B24075" s="2" t="s">
        <v>47028</v>
      </c>
      <c r="C24075" s="2" t="s">
        <v>43061</v>
      </c>
      <c r="D24075" s="2" t="s">
        <v>5092</v>
      </c>
      <c r="E24075" s="2" t="str">
        <f>"9783737600866"</f>
        <v>9783737600866</v>
      </c>
      <c r="F24075" s="2" t="str">
        <f>"9783737600873"</f>
        <v>9783737600873</v>
      </c>
    </row>
    <row r="24076" spans="1:6" s="3" customFormat="1" ht="29.1" customHeight="1" x14ac:dyDescent="0.25">
      <c r="A24076" s="2" t="s">
        <v>47029</v>
      </c>
      <c r="B24076" s="2" t="s">
        <v>47030</v>
      </c>
      <c r="C24076" s="2" t="s">
        <v>43061</v>
      </c>
      <c r="D24076" s="2" t="s">
        <v>10755</v>
      </c>
      <c r="E24076" s="2" t="str">
        <f>"9783737601122"</f>
        <v>9783737601122</v>
      </c>
      <c r="F24076" s="2" t="str">
        <f>"9783737601139"</f>
        <v>9783737601139</v>
      </c>
    </row>
    <row r="24077" spans="1:6" s="3" customFormat="1" ht="29.1" customHeight="1" x14ac:dyDescent="0.25">
      <c r="A24077" s="2" t="s">
        <v>47031</v>
      </c>
      <c r="B24077" s="2" t="s">
        <v>47032</v>
      </c>
      <c r="C24077" s="2" t="s">
        <v>43061</v>
      </c>
      <c r="D24077" s="2" t="s">
        <v>5092</v>
      </c>
      <c r="E24077" s="2" t="str">
        <f>"9783862199686"</f>
        <v>9783862199686</v>
      </c>
      <c r="F24077" s="2" t="str">
        <f>"9783862199693"</f>
        <v>9783862199693</v>
      </c>
    </row>
    <row r="24078" spans="1:6" s="3" customFormat="1" ht="29.1" customHeight="1" x14ac:dyDescent="0.25">
      <c r="A24078" s="2" t="s">
        <v>47033</v>
      </c>
      <c r="B24078" s="2" t="s">
        <v>47034</v>
      </c>
      <c r="C24078" s="2" t="s">
        <v>43061</v>
      </c>
      <c r="D24078" s="2" t="s">
        <v>25753</v>
      </c>
      <c r="E24078" s="2" t="str">
        <f>"9783737601061"</f>
        <v>9783737601061</v>
      </c>
      <c r="F24078" s="2" t="str">
        <f>"9783737601078"</f>
        <v>9783737601078</v>
      </c>
    </row>
    <row r="24079" spans="1:6" s="3" customFormat="1" ht="29.1" customHeight="1" x14ac:dyDescent="0.25">
      <c r="A24079" s="2" t="s">
        <v>47035</v>
      </c>
      <c r="B24079" s="2" t="s">
        <v>47036</v>
      </c>
      <c r="C24079" s="2" t="s">
        <v>264</v>
      </c>
      <c r="D24079" s="2" t="s">
        <v>4002</v>
      </c>
      <c r="E24079" s="2" t="str">
        <f>"9781498731706"</f>
        <v>9781498731706</v>
      </c>
      <c r="F24079" s="2" t="str">
        <f>"9781498731713"</f>
        <v>9781498731713</v>
      </c>
    </row>
    <row r="24080" spans="1:6" s="3" customFormat="1" ht="29.1" customHeight="1" x14ac:dyDescent="0.25">
      <c r="A24080" s="2" t="s">
        <v>47037</v>
      </c>
      <c r="B24080" s="2" t="s">
        <v>47038</v>
      </c>
      <c r="C24080" s="2" t="s">
        <v>149</v>
      </c>
      <c r="D24080" s="2" t="s">
        <v>761</v>
      </c>
      <c r="E24080" s="2" t="str">
        <f>"9781783741373"</f>
        <v>9781783741373</v>
      </c>
      <c r="F24080" s="2" t="str">
        <f>"9781783741397"</f>
        <v>9781783741397</v>
      </c>
    </row>
    <row r="24081" spans="1:6" s="3" customFormat="1" ht="29.1" customHeight="1" x14ac:dyDescent="0.25">
      <c r="A24081" s="2" t="s">
        <v>47039</v>
      </c>
      <c r="B24081" s="2" t="s">
        <v>47040</v>
      </c>
      <c r="C24081" s="2" t="s">
        <v>149</v>
      </c>
      <c r="D24081" s="2" t="s">
        <v>1541</v>
      </c>
      <c r="E24081" s="2" t="str">
        <f>"9781783742189"</f>
        <v>9781783742189</v>
      </c>
      <c r="F24081" s="2" t="str">
        <f>"9781783742202"</f>
        <v>9781783742202</v>
      </c>
    </row>
    <row r="24082" spans="1:6" s="3" customFormat="1" ht="29.1" customHeight="1" x14ac:dyDescent="0.25">
      <c r="A24082" s="2" t="s">
        <v>47041</v>
      </c>
      <c r="B24082" s="2" t="s">
        <v>47042</v>
      </c>
      <c r="C24082" s="2" t="s">
        <v>124</v>
      </c>
      <c r="D24082" s="2" t="s">
        <v>33</v>
      </c>
      <c r="E24082" s="2" t="str">
        <f>"9780415976268"</f>
        <v>9780415976268</v>
      </c>
      <c r="F24082" s="2" t="str">
        <f>"9781135502447"</f>
        <v>9781135502447</v>
      </c>
    </row>
    <row r="24083" spans="1:6" s="3" customFormat="1" ht="29.1" customHeight="1" x14ac:dyDescent="0.25">
      <c r="A24083" s="2" t="s">
        <v>47043</v>
      </c>
      <c r="B24083" s="2" t="s">
        <v>47044</v>
      </c>
      <c r="C24083" s="2" t="s">
        <v>124</v>
      </c>
      <c r="D24083" s="2" t="s">
        <v>210</v>
      </c>
      <c r="E24083" s="2" t="str">
        <f>"9780415972864"</f>
        <v>9780415972864</v>
      </c>
      <c r="F24083" s="2" t="str">
        <f>"9781135475284"</f>
        <v>9781135475284</v>
      </c>
    </row>
    <row r="24084" spans="1:6" s="3" customFormat="1" ht="29.1" customHeight="1" x14ac:dyDescent="0.25">
      <c r="A24084" s="2" t="s">
        <v>47045</v>
      </c>
      <c r="B24084" s="2" t="s">
        <v>47046</v>
      </c>
      <c r="C24084" s="2" t="s">
        <v>124</v>
      </c>
      <c r="D24084" s="2" t="s">
        <v>12120</v>
      </c>
      <c r="E24084" s="2" t="str">
        <f>"9781138797161"</f>
        <v>9781138797161</v>
      </c>
      <c r="F24084" s="2" t="str">
        <f>"9781317632887"</f>
        <v>9781317632887</v>
      </c>
    </row>
    <row r="24085" spans="1:6" s="3" customFormat="1" ht="29.1" customHeight="1" x14ac:dyDescent="0.25">
      <c r="A24085" s="2" t="s">
        <v>47047</v>
      </c>
      <c r="B24085" s="2" t="s">
        <v>47048</v>
      </c>
      <c r="C24085" s="2" t="s">
        <v>8104</v>
      </c>
      <c r="D24085" s="2" t="s">
        <v>5794</v>
      </c>
      <c r="E24085" s="2" t="str">
        <f>"9781845452520"</f>
        <v>9781845452520</v>
      </c>
      <c r="F24085" s="2" t="str">
        <f>"9781782387541"</f>
        <v>9781782387541</v>
      </c>
    </row>
    <row r="24086" spans="1:6" s="3" customFormat="1" ht="29.1" customHeight="1" x14ac:dyDescent="0.25">
      <c r="A24086" s="2" t="s">
        <v>47049</v>
      </c>
      <c r="B24086" s="2" t="s">
        <v>47050</v>
      </c>
      <c r="C24086" s="2" t="s">
        <v>7163</v>
      </c>
      <c r="D24086" s="2" t="s">
        <v>39666</v>
      </c>
      <c r="E24086" s="2" t="str">
        <f>"9781611177091"</f>
        <v>9781611177091</v>
      </c>
      <c r="F24086" s="2" t="str">
        <f>"9781611177107"</f>
        <v>9781611177107</v>
      </c>
    </row>
    <row r="24087" spans="1:6" s="3" customFormat="1" ht="29.1" customHeight="1" x14ac:dyDescent="0.25">
      <c r="A24087" s="2" t="s">
        <v>47051</v>
      </c>
      <c r="B24087" s="2" t="s">
        <v>47052</v>
      </c>
      <c r="C24087" s="2" t="s">
        <v>5050</v>
      </c>
      <c r="D24087" s="2" t="s">
        <v>6247</v>
      </c>
      <c r="E24087" s="2" t="str">
        <f>"9780824865986"</f>
        <v>9780824865986</v>
      </c>
      <c r="F24087" s="2" t="str">
        <f>"9780824865993"</f>
        <v>9780824865993</v>
      </c>
    </row>
    <row r="24088" spans="1:6" s="3" customFormat="1" ht="29.1" customHeight="1" x14ac:dyDescent="0.25">
      <c r="A24088" s="2" t="s">
        <v>47053</v>
      </c>
      <c r="B24088" s="2" t="s">
        <v>47054</v>
      </c>
      <c r="C24088" s="2" t="s">
        <v>5050</v>
      </c>
      <c r="D24088" s="2" t="s">
        <v>1432</v>
      </c>
      <c r="E24088" s="2" t="str">
        <f>"9780824856748"</f>
        <v>9780824856748</v>
      </c>
      <c r="F24088" s="2" t="str">
        <f>"9780824856755"</f>
        <v>9780824856755</v>
      </c>
    </row>
    <row r="24089" spans="1:6" s="3" customFormat="1" ht="29.1" customHeight="1" x14ac:dyDescent="0.25">
      <c r="A24089" s="2" t="s">
        <v>47055</v>
      </c>
      <c r="B24089" s="2" t="s">
        <v>47057</v>
      </c>
      <c r="C24089" s="2" t="s">
        <v>15381</v>
      </c>
      <c r="D24089" s="2" t="s">
        <v>47056</v>
      </c>
      <c r="E24089" s="2" t="str">
        <f>"9781469629759"</f>
        <v>9781469629759</v>
      </c>
      <c r="F24089" s="2" t="str">
        <f>"9781469629780"</f>
        <v>9781469629780</v>
      </c>
    </row>
    <row r="24090" spans="1:6" s="3" customFormat="1" ht="29.1" customHeight="1" x14ac:dyDescent="0.25">
      <c r="A24090" s="2" t="s">
        <v>47058</v>
      </c>
      <c r="B24090" s="2" t="s">
        <v>47059</v>
      </c>
      <c r="C24090" s="2" t="s">
        <v>15381</v>
      </c>
      <c r="D24090" s="2" t="s">
        <v>1663</v>
      </c>
      <c r="E24090" s="2" t="str">
        <f>"9781469628516"</f>
        <v>9781469628516</v>
      </c>
      <c r="F24090" s="2" t="str">
        <f>"9781469628530"</f>
        <v>9781469628530</v>
      </c>
    </row>
    <row r="24091" spans="1:6" s="3" customFormat="1" ht="29.1" customHeight="1" x14ac:dyDescent="0.25">
      <c r="A24091" s="2" t="s">
        <v>47060</v>
      </c>
      <c r="B24091" s="2" t="s">
        <v>47061</v>
      </c>
      <c r="C24091" s="2" t="s">
        <v>885</v>
      </c>
      <c r="D24091" s="2" t="s">
        <v>1999</v>
      </c>
      <c r="E24091" s="2" t="str">
        <f>"9781442650114"</f>
        <v>9781442650114</v>
      </c>
      <c r="F24091" s="2" t="str">
        <f>"9781442622241"</f>
        <v>9781442622241</v>
      </c>
    </row>
    <row r="24092" spans="1:6" s="3" customFormat="1" ht="29.1" customHeight="1" x14ac:dyDescent="0.25">
      <c r="A24092" s="2" t="s">
        <v>47062</v>
      </c>
      <c r="B24092" s="2" t="s">
        <v>47063</v>
      </c>
      <c r="C24092" s="2" t="s">
        <v>195</v>
      </c>
      <c r="D24092" s="2" t="s">
        <v>81</v>
      </c>
      <c r="E24092" s="2" t="str">
        <f>"9783110479386"</f>
        <v>9783110479386</v>
      </c>
      <c r="F24092" s="2" t="str">
        <f>"9783110479836"</f>
        <v>9783110479836</v>
      </c>
    </row>
    <row r="24093" spans="1:6" s="3" customFormat="1" ht="29.1" customHeight="1" x14ac:dyDescent="0.25">
      <c r="A24093" s="2" t="s">
        <v>47064</v>
      </c>
      <c r="B24093" s="2" t="s">
        <v>47065</v>
      </c>
      <c r="C24093" s="2" t="s">
        <v>195</v>
      </c>
      <c r="D24093" s="2" t="s">
        <v>1466</v>
      </c>
      <c r="E24093" s="2" t="str">
        <f>"9783110462074"</f>
        <v>9783110462074</v>
      </c>
      <c r="F24093" s="2" t="str">
        <f>"9783110464542"</f>
        <v>9783110464542</v>
      </c>
    </row>
    <row r="24094" spans="1:6" s="3" customFormat="1" ht="29.1" customHeight="1" x14ac:dyDescent="0.25">
      <c r="A24094" s="2" t="s">
        <v>47066</v>
      </c>
      <c r="B24094" s="2" t="s">
        <v>44066</v>
      </c>
      <c r="C24094" s="2" t="s">
        <v>195</v>
      </c>
      <c r="D24094" s="2" t="s">
        <v>210</v>
      </c>
      <c r="E24094" s="2" t="str">
        <f>"9783110412697"</f>
        <v>9783110412697</v>
      </c>
      <c r="F24094" s="2" t="str">
        <f>"9783110443493"</f>
        <v>9783110443493</v>
      </c>
    </row>
    <row r="24095" spans="1:6" s="3" customFormat="1" ht="29.1" customHeight="1" x14ac:dyDescent="0.25">
      <c r="A24095" s="2" t="s">
        <v>47067</v>
      </c>
      <c r="B24095" s="2" t="s">
        <v>47068</v>
      </c>
      <c r="C24095" s="2" t="s">
        <v>195</v>
      </c>
      <c r="D24095" s="2" t="s">
        <v>1712</v>
      </c>
      <c r="E24095" s="2" t="str">
        <f>"9783110415186"</f>
        <v>9783110415186</v>
      </c>
      <c r="F24095" s="2" t="str">
        <f>"9783110415476"</f>
        <v>9783110415476</v>
      </c>
    </row>
    <row r="24096" spans="1:6" s="3" customFormat="1" ht="29.1" customHeight="1" x14ac:dyDescent="0.25">
      <c r="A24096" s="2" t="s">
        <v>47069</v>
      </c>
      <c r="B24096" s="2" t="s">
        <v>47070</v>
      </c>
      <c r="C24096" s="2" t="s">
        <v>124</v>
      </c>
      <c r="D24096" s="2" t="s">
        <v>270</v>
      </c>
      <c r="E24096" s="2" t="str">
        <f>"9780415528535"</f>
        <v>9780415528535</v>
      </c>
      <c r="F24096" s="2" t="str">
        <f>"9781317227823"</f>
        <v>9781317227823</v>
      </c>
    </row>
    <row r="24097" spans="1:6" s="3" customFormat="1" ht="29.1" customHeight="1" x14ac:dyDescent="0.25">
      <c r="A24097" s="2" t="s">
        <v>45981</v>
      </c>
      <c r="B24097" s="2" t="s">
        <v>47071</v>
      </c>
      <c r="C24097" s="2" t="s">
        <v>595</v>
      </c>
      <c r="D24097" s="2" t="s">
        <v>446</v>
      </c>
      <c r="E24097" s="2" t="str">
        <f>"9783034321006"</f>
        <v>9783034321006</v>
      </c>
      <c r="F24097" s="2" t="str">
        <f>"9783035109283"</f>
        <v>9783035109283</v>
      </c>
    </row>
    <row r="24098" spans="1:6" s="3" customFormat="1" ht="29.1" customHeight="1" x14ac:dyDescent="0.25">
      <c r="A24098" s="2" t="s">
        <v>47072</v>
      </c>
      <c r="B24098" s="2" t="s">
        <v>47073</v>
      </c>
      <c r="C24098" s="2" t="s">
        <v>7395</v>
      </c>
      <c r="D24098" s="2" t="s">
        <v>49</v>
      </c>
      <c r="E24098" s="2" t="str">
        <f>"9780295995656"</f>
        <v>9780295995656</v>
      </c>
      <c r="F24098" s="2" t="str">
        <f>"9780295806570"</f>
        <v>9780295806570</v>
      </c>
    </row>
    <row r="24099" spans="1:6" s="3" customFormat="1" ht="29.1" customHeight="1" x14ac:dyDescent="0.25">
      <c r="A24099" s="2" t="s">
        <v>47074</v>
      </c>
      <c r="B24099" s="2" t="s">
        <v>47075</v>
      </c>
      <c r="C24099" s="2" t="s">
        <v>11220</v>
      </c>
      <c r="D24099" s="2" t="s">
        <v>183</v>
      </c>
      <c r="E24099" s="2" t="str">
        <f>"9781479842704"</f>
        <v>9781479842704</v>
      </c>
      <c r="F24099" s="2" t="str">
        <f>"9781479860135"</f>
        <v>9781479860135</v>
      </c>
    </row>
    <row r="24100" spans="1:6" s="3" customFormat="1" ht="29.1" customHeight="1" x14ac:dyDescent="0.25">
      <c r="A24100" s="2" t="s">
        <v>47076</v>
      </c>
      <c r="B24100" s="2" t="s">
        <v>47077</v>
      </c>
      <c r="C24100" s="2" t="s">
        <v>195</v>
      </c>
      <c r="D24100" s="2" t="s">
        <v>40787</v>
      </c>
      <c r="E24100" s="2" t="str">
        <f>"9783110333022"</f>
        <v>9783110333022</v>
      </c>
      <c r="F24100" s="2" t="str">
        <f>"9783110333213"</f>
        <v>9783110333213</v>
      </c>
    </row>
    <row r="24101" spans="1:6" s="3" customFormat="1" ht="29.1" customHeight="1" x14ac:dyDescent="0.25">
      <c r="A24101" s="2" t="s">
        <v>47078</v>
      </c>
      <c r="B24101" s="2" t="s">
        <v>47079</v>
      </c>
      <c r="C24101" s="2" t="s">
        <v>195</v>
      </c>
      <c r="D24101" s="2" t="s">
        <v>431</v>
      </c>
      <c r="E24101" s="2" t="str">
        <f>"9783794044306"</f>
        <v>9783794044306</v>
      </c>
      <c r="F24101" s="2" t="str">
        <f>"9783111356655"</f>
        <v>9783111356655</v>
      </c>
    </row>
    <row r="24102" spans="1:6" s="3" customFormat="1" ht="29.1" customHeight="1" x14ac:dyDescent="0.25">
      <c r="A24102" s="2" t="s">
        <v>47080</v>
      </c>
      <c r="B24102" s="2" t="s">
        <v>47081</v>
      </c>
      <c r="C24102" s="2" t="s">
        <v>195</v>
      </c>
      <c r="D24102" s="2" t="s">
        <v>12504</v>
      </c>
      <c r="E24102" s="2" t="str">
        <f>"9783110306675"</f>
        <v>9783110306675</v>
      </c>
      <c r="F24102" s="2" t="str">
        <f>"9783110306897"</f>
        <v>9783110306897</v>
      </c>
    </row>
    <row r="24103" spans="1:6" s="3" customFormat="1" ht="29.1" customHeight="1" x14ac:dyDescent="0.25">
      <c r="A24103" s="2" t="s">
        <v>47082</v>
      </c>
      <c r="B24103" s="2" t="s">
        <v>47083</v>
      </c>
      <c r="C24103" s="2" t="s">
        <v>195</v>
      </c>
      <c r="D24103" s="2" t="s">
        <v>431</v>
      </c>
      <c r="E24103" s="2" t="str">
        <f>"9783110269505"</f>
        <v>9783110269505</v>
      </c>
      <c r="F24103" s="2" t="str">
        <f>"9783110269598"</f>
        <v>9783110269598</v>
      </c>
    </row>
    <row r="24104" spans="1:6" s="3" customFormat="1" ht="29.1" customHeight="1" x14ac:dyDescent="0.25">
      <c r="A24104" s="2" t="s">
        <v>47084</v>
      </c>
      <c r="B24104" s="2" t="s">
        <v>47085</v>
      </c>
      <c r="C24104" s="2" t="s">
        <v>195</v>
      </c>
      <c r="D24104" s="2" t="s">
        <v>4238</v>
      </c>
      <c r="E24104" s="2" t="str">
        <f>"9783110339765"</f>
        <v>9783110339765</v>
      </c>
      <c r="F24104" s="2" t="str">
        <f>"9783110339789"</f>
        <v>9783110339789</v>
      </c>
    </row>
    <row r="24105" spans="1:6" s="3" customFormat="1" ht="29.1" customHeight="1" x14ac:dyDescent="0.25">
      <c r="A24105" s="2" t="s">
        <v>47086</v>
      </c>
      <c r="B24105" s="2" t="s">
        <v>47087</v>
      </c>
      <c r="C24105" s="2" t="s">
        <v>195</v>
      </c>
      <c r="D24105" s="2" t="s">
        <v>431</v>
      </c>
      <c r="E24105" s="2" t="str">
        <f>"9783110312713"</f>
        <v>9783110312713</v>
      </c>
      <c r="F24105" s="2" t="str">
        <f>"9783110312836"</f>
        <v>9783110312836</v>
      </c>
    </row>
    <row r="24106" spans="1:6" s="3" customFormat="1" ht="29.1" customHeight="1" x14ac:dyDescent="0.25">
      <c r="A24106" s="2" t="s">
        <v>47088</v>
      </c>
      <c r="B24106" s="2" t="s">
        <v>47089</v>
      </c>
      <c r="C24106" s="2" t="s">
        <v>195</v>
      </c>
      <c r="D24106" s="2" t="s">
        <v>436</v>
      </c>
      <c r="E24106" s="2" t="str">
        <f>"9783110416473"</f>
        <v>9783110416473</v>
      </c>
      <c r="F24106" s="2" t="str">
        <f>"9783110416596"</f>
        <v>9783110416596</v>
      </c>
    </row>
    <row r="24107" spans="1:6" s="3" customFormat="1" ht="29.1" customHeight="1" x14ac:dyDescent="0.25">
      <c r="A24107" s="2" t="s">
        <v>47090</v>
      </c>
      <c r="B24107" s="2" t="s">
        <v>47091</v>
      </c>
      <c r="C24107" s="2" t="s">
        <v>20</v>
      </c>
      <c r="D24107" s="2" t="s">
        <v>24</v>
      </c>
      <c r="E24107" s="2" t="str">
        <f>"9783763957156"</f>
        <v>9783763957156</v>
      </c>
      <c r="F24107" s="2" t="str">
        <f>"9783763957163"</f>
        <v>9783763957163</v>
      </c>
    </row>
    <row r="24108" spans="1:6" s="3" customFormat="1" ht="29.1" customHeight="1" x14ac:dyDescent="0.25">
      <c r="A24108" s="2" t="s">
        <v>47092</v>
      </c>
      <c r="B24108" s="2" t="s">
        <v>47093</v>
      </c>
      <c r="C24108" s="2" t="s">
        <v>8047</v>
      </c>
      <c r="D24108" s="2" t="s">
        <v>606</v>
      </c>
      <c r="E24108" s="2" t="str">
        <f>"9780271070957"</f>
        <v>9780271070957</v>
      </c>
      <c r="F24108" s="2" t="str">
        <f>"9780271077369"</f>
        <v>9780271077369</v>
      </c>
    </row>
    <row r="24109" spans="1:6" s="3" customFormat="1" ht="29.1" customHeight="1" x14ac:dyDescent="0.25">
      <c r="A24109" s="2" t="s">
        <v>47094</v>
      </c>
      <c r="B24109" s="2" t="s">
        <v>47095</v>
      </c>
      <c r="C24109" s="2" t="s">
        <v>124</v>
      </c>
      <c r="D24109" s="2" t="s">
        <v>69</v>
      </c>
      <c r="E24109" s="2" t="str">
        <f>"9781138777125"</f>
        <v>9781138777125</v>
      </c>
      <c r="F24109" s="2" t="str">
        <f>"9781317247401"</f>
        <v>9781317247401</v>
      </c>
    </row>
    <row r="24110" spans="1:6" s="3" customFormat="1" ht="29.1" customHeight="1" x14ac:dyDescent="0.25">
      <c r="A24110" s="2" t="s">
        <v>47096</v>
      </c>
      <c r="B24110" s="2" t="s">
        <v>47097</v>
      </c>
      <c r="C24110" s="2" t="s">
        <v>3169</v>
      </c>
      <c r="D24110" s="2" t="s">
        <v>4238</v>
      </c>
      <c r="E24110" s="2" t="str">
        <f>"9781580465588"</f>
        <v>9781580465588</v>
      </c>
      <c r="F24110" s="2" t="str">
        <f>"9781782047117"</f>
        <v>9781782047117</v>
      </c>
    </row>
    <row r="24111" spans="1:6" s="3" customFormat="1" ht="29.1" customHeight="1" x14ac:dyDescent="0.25">
      <c r="A24111" s="2" t="s">
        <v>47098</v>
      </c>
      <c r="B24111" s="2" t="s">
        <v>47099</v>
      </c>
      <c r="C24111" s="2" t="s">
        <v>8047</v>
      </c>
      <c r="D24111" s="2" t="s">
        <v>324</v>
      </c>
      <c r="E24111" s="2" t="str">
        <f>"9780271071008"</f>
        <v>9780271071008</v>
      </c>
      <c r="F24111" s="2" t="str">
        <f>"9780271074641"</f>
        <v>9780271074641</v>
      </c>
    </row>
    <row r="24112" spans="1:6" s="3" customFormat="1" ht="29.1" customHeight="1" x14ac:dyDescent="0.25">
      <c r="A24112" s="2" t="s">
        <v>47100</v>
      </c>
      <c r="B24112" s="2" t="s">
        <v>47101</v>
      </c>
      <c r="C24112" s="2" t="s">
        <v>29</v>
      </c>
      <c r="D24112" s="2" t="s">
        <v>17398</v>
      </c>
      <c r="E24112" s="2" t="str">
        <f>"9789086862801"</f>
        <v>9789086862801</v>
      </c>
      <c r="F24112" s="2" t="str">
        <f>"9789086868254"</f>
        <v>9789086868254</v>
      </c>
    </row>
    <row r="24113" spans="1:6" s="3" customFormat="1" ht="29.1" customHeight="1" x14ac:dyDescent="0.25">
      <c r="A24113" s="2" t="s">
        <v>47102</v>
      </c>
      <c r="B24113" s="2" t="s">
        <v>47103</v>
      </c>
      <c r="C24113" s="2" t="s">
        <v>124</v>
      </c>
      <c r="D24113" s="2" t="s">
        <v>270</v>
      </c>
      <c r="E24113" s="2" t="str">
        <f>"9781041185581"</f>
        <v>9781041185581</v>
      </c>
      <c r="F24113" s="2" t="str">
        <f>"9781040774854"</f>
        <v>9781040774854</v>
      </c>
    </row>
    <row r="24114" spans="1:6" s="3" customFormat="1" ht="29.1" customHeight="1" x14ac:dyDescent="0.25">
      <c r="A24114" s="2" t="s">
        <v>47104</v>
      </c>
      <c r="B24114" s="2" t="s">
        <v>47105</v>
      </c>
      <c r="C24114" s="2" t="s">
        <v>124</v>
      </c>
      <c r="D24114" s="2" t="s">
        <v>509</v>
      </c>
      <c r="E24114" s="2" t="str">
        <f>"9789462981508"</f>
        <v>9789462981508</v>
      </c>
      <c r="F24114" s="2" t="str">
        <f>"9781040780107"</f>
        <v>9781040780107</v>
      </c>
    </row>
    <row r="24115" spans="1:6" s="3" customFormat="1" ht="29.1" customHeight="1" x14ac:dyDescent="0.25">
      <c r="A24115" s="2" t="s">
        <v>47106</v>
      </c>
      <c r="B24115" s="2" t="s">
        <v>45600</v>
      </c>
      <c r="C24115" s="2" t="s">
        <v>195</v>
      </c>
      <c r="D24115" s="2" t="s">
        <v>1466</v>
      </c>
      <c r="E24115" s="2" t="str">
        <f>"9783110414790"</f>
        <v>9783110414790</v>
      </c>
      <c r="F24115" s="2" t="str">
        <f>"9783110415414"</f>
        <v>9783110415414</v>
      </c>
    </row>
    <row r="24116" spans="1:6" s="3" customFormat="1" ht="29.1" customHeight="1" x14ac:dyDescent="0.25">
      <c r="A24116" s="2" t="s">
        <v>47107</v>
      </c>
      <c r="B24116" s="2" t="s">
        <v>47108</v>
      </c>
      <c r="C24116" s="2" t="s">
        <v>195</v>
      </c>
      <c r="D24116" s="2" t="s">
        <v>647</v>
      </c>
      <c r="E24116" s="2" t="str">
        <f>"9783110459357"</f>
        <v>9783110459357</v>
      </c>
      <c r="F24116" s="2" t="str">
        <f>"9783110479737"</f>
        <v>9783110479737</v>
      </c>
    </row>
    <row r="24117" spans="1:6" s="3" customFormat="1" ht="29.1" customHeight="1" x14ac:dyDescent="0.25">
      <c r="A24117" s="2" t="s">
        <v>47109</v>
      </c>
      <c r="B24117" s="2" t="s">
        <v>47110</v>
      </c>
      <c r="C24117" s="2" t="s">
        <v>195</v>
      </c>
      <c r="D24117" s="2" t="s">
        <v>459</v>
      </c>
      <c r="E24117" s="2" t="str">
        <f>"9781501511332"</f>
        <v>9781501511332</v>
      </c>
      <c r="F24117" s="2" t="str">
        <f>"9781501503016"</f>
        <v>9781501503016</v>
      </c>
    </row>
    <row r="24118" spans="1:6" s="3" customFormat="1" ht="29.1" customHeight="1" x14ac:dyDescent="0.25">
      <c r="A24118" s="2" t="s">
        <v>47111</v>
      </c>
      <c r="B24118" s="2" t="s">
        <v>47112</v>
      </c>
      <c r="C24118" s="2" t="s">
        <v>124</v>
      </c>
      <c r="D24118" s="2" t="s">
        <v>3588</v>
      </c>
      <c r="E24118" s="2" t="str">
        <f>"9781138822382"</f>
        <v>9781138822382</v>
      </c>
      <c r="F24118" s="2" t="str">
        <f>"9781317587248"</f>
        <v>9781317587248</v>
      </c>
    </row>
    <row r="24119" spans="1:6" s="3" customFormat="1" ht="29.1" customHeight="1" x14ac:dyDescent="0.25">
      <c r="A24119" s="2" t="s">
        <v>47113</v>
      </c>
      <c r="B24119" s="2" t="s">
        <v>47114</v>
      </c>
      <c r="C24119" s="2" t="s">
        <v>5</v>
      </c>
      <c r="D24119" s="2" t="s">
        <v>1272</v>
      </c>
      <c r="E24119" s="2" t="str">
        <f>"9783662492031"</f>
        <v>9783662492031</v>
      </c>
      <c r="F24119" s="2" t="str">
        <f>"9783662492048"</f>
        <v>9783662492048</v>
      </c>
    </row>
    <row r="24120" spans="1:6" s="3" customFormat="1" ht="29.1" customHeight="1" x14ac:dyDescent="0.25">
      <c r="A24120" s="2" t="s">
        <v>47115</v>
      </c>
      <c r="B24120" s="2" t="s">
        <v>47117</v>
      </c>
      <c r="C24120" s="2" t="s">
        <v>43061</v>
      </c>
      <c r="D24120" s="2" t="s">
        <v>47116</v>
      </c>
      <c r="E24120" s="2" t="str">
        <f>"9783862199402"</f>
        <v>9783862199402</v>
      </c>
      <c r="F24120" s="2" t="str">
        <f>"9783862199419"</f>
        <v>9783862199419</v>
      </c>
    </row>
    <row r="24121" spans="1:6" s="3" customFormat="1" ht="29.1" customHeight="1" x14ac:dyDescent="0.25">
      <c r="A24121" s="2" t="s">
        <v>47118</v>
      </c>
      <c r="B24121" s="2" t="s">
        <v>47119</v>
      </c>
      <c r="C24121" s="2" t="s">
        <v>43061</v>
      </c>
      <c r="D24121" s="2" t="s">
        <v>10755</v>
      </c>
      <c r="E24121" s="2" t="str">
        <f>"9783737600804"</f>
        <v>9783737600804</v>
      </c>
      <c r="F24121" s="2" t="str">
        <f>"9783737600811"</f>
        <v>9783737600811</v>
      </c>
    </row>
    <row r="24122" spans="1:6" s="3" customFormat="1" ht="29.1" customHeight="1" x14ac:dyDescent="0.25">
      <c r="A24122" s="2" t="s">
        <v>47120</v>
      </c>
      <c r="B24122" s="2" t="s">
        <v>47121</v>
      </c>
      <c r="C24122" s="2" t="s">
        <v>43061</v>
      </c>
      <c r="D24122" s="2" t="s">
        <v>34178</v>
      </c>
      <c r="E24122" s="2" t="str">
        <f>"9783737600781"</f>
        <v>9783737600781</v>
      </c>
      <c r="F24122" s="2" t="str">
        <f>"9783737600798"</f>
        <v>9783737600798</v>
      </c>
    </row>
    <row r="24123" spans="1:6" s="3" customFormat="1" ht="29.1" customHeight="1" x14ac:dyDescent="0.25">
      <c r="A24123" s="2" t="s">
        <v>47122</v>
      </c>
      <c r="B24123" s="2" t="s">
        <v>47123</v>
      </c>
      <c r="C24123" s="2" t="s">
        <v>43061</v>
      </c>
      <c r="D24123" s="2" t="s">
        <v>45236</v>
      </c>
      <c r="E24123" s="2" t="str">
        <f>"9783737600941"</f>
        <v>9783737600941</v>
      </c>
      <c r="F24123" s="2" t="str">
        <f>"9783737600958"</f>
        <v>9783737600958</v>
      </c>
    </row>
    <row r="24124" spans="1:6" s="3" customFormat="1" ht="29.1" customHeight="1" x14ac:dyDescent="0.25">
      <c r="A24124" s="2" t="s">
        <v>47124</v>
      </c>
      <c r="B24124" s="2" t="s">
        <v>47125</v>
      </c>
      <c r="C24124" s="2" t="s">
        <v>43061</v>
      </c>
      <c r="D24124" s="2" t="s">
        <v>45587</v>
      </c>
      <c r="E24124" s="2" t="str">
        <f>"9783737600927"</f>
        <v>9783737600927</v>
      </c>
      <c r="F24124" s="2" t="str">
        <f>"9783737600934"</f>
        <v>9783737600934</v>
      </c>
    </row>
    <row r="24125" spans="1:6" s="3" customFormat="1" ht="29.1" customHeight="1" x14ac:dyDescent="0.25">
      <c r="A24125" s="2" t="s">
        <v>47126</v>
      </c>
      <c r="B24125" s="2" t="s">
        <v>47127</v>
      </c>
      <c r="C24125" s="2" t="s">
        <v>43061</v>
      </c>
      <c r="D24125" s="2" t="s">
        <v>8874</v>
      </c>
      <c r="E24125" s="2" t="str">
        <f>"9783899587142"</f>
        <v>9783899587142</v>
      </c>
      <c r="F24125" s="2" t="str">
        <f>"9783899587159"</f>
        <v>9783899587159</v>
      </c>
    </row>
    <row r="24126" spans="1:6" s="3" customFormat="1" ht="29.1" customHeight="1" x14ac:dyDescent="0.25">
      <c r="A24126" s="2" t="s">
        <v>47128</v>
      </c>
      <c r="B24126" s="2" t="s">
        <v>47129</v>
      </c>
      <c r="C24126" s="2" t="s">
        <v>11005</v>
      </c>
      <c r="D24126" s="2" t="s">
        <v>5937</v>
      </c>
      <c r="E24126" s="2" t="str">
        <f>"9783837925180"</f>
        <v>9783837925180</v>
      </c>
      <c r="F24126" s="2" t="str">
        <f>"9783837968477"</f>
        <v>9783837968477</v>
      </c>
    </row>
    <row r="24127" spans="1:6" s="3" customFormat="1" ht="29.1" customHeight="1" x14ac:dyDescent="0.25">
      <c r="A24127" s="2" t="s">
        <v>47130</v>
      </c>
      <c r="B24127" s="2" t="s">
        <v>47131</v>
      </c>
      <c r="C24127" s="2" t="s">
        <v>11005</v>
      </c>
      <c r="D24127" s="2" t="s">
        <v>297</v>
      </c>
      <c r="E24127" s="2" t="str">
        <f>"9783837925449"</f>
        <v>9783837925449</v>
      </c>
      <c r="F24127" s="2" t="str">
        <f>"9783837968002"</f>
        <v>9783837968002</v>
      </c>
    </row>
    <row r="24128" spans="1:6" s="3" customFormat="1" ht="29.1" customHeight="1" x14ac:dyDescent="0.25">
      <c r="A24128" s="2" t="s">
        <v>47132</v>
      </c>
      <c r="B24128" s="2" t="s">
        <v>47133</v>
      </c>
      <c r="C24128" s="2" t="s">
        <v>11005</v>
      </c>
      <c r="D24128" s="2" t="s">
        <v>5937</v>
      </c>
      <c r="E24128" s="2" t="str">
        <f>"9783837925463"</f>
        <v>9783837925463</v>
      </c>
      <c r="F24128" s="2" t="str">
        <f>"9783837967999"</f>
        <v>9783837967999</v>
      </c>
    </row>
    <row r="24129" spans="1:6" s="3" customFormat="1" ht="29.1" customHeight="1" x14ac:dyDescent="0.25">
      <c r="A24129" s="2" t="s">
        <v>47134</v>
      </c>
      <c r="B24129" s="2" t="s">
        <v>47135</v>
      </c>
      <c r="C24129" s="2" t="s">
        <v>149</v>
      </c>
      <c r="D24129" s="2" t="s">
        <v>699</v>
      </c>
      <c r="E24129" s="2" t="str">
        <f>"9781783741830"</f>
        <v>9781783741830</v>
      </c>
      <c r="F24129" s="2" t="str">
        <f>"9781783741854"</f>
        <v>9781783741854</v>
      </c>
    </row>
    <row r="24130" spans="1:6" s="3" customFormat="1" ht="29.1" customHeight="1" x14ac:dyDescent="0.25">
      <c r="A24130" s="2" t="s">
        <v>33132</v>
      </c>
      <c r="B24130" s="2" t="s">
        <v>33174</v>
      </c>
      <c r="C24130" s="2" t="s">
        <v>11005</v>
      </c>
      <c r="D24130" s="2" t="s">
        <v>3839</v>
      </c>
      <c r="E24130" s="2" t="str">
        <f>"9783837923728"</f>
        <v>9783837923728</v>
      </c>
      <c r="F24130" s="2" t="str">
        <f>"9783837969207"</f>
        <v>9783837969207</v>
      </c>
    </row>
    <row r="24131" spans="1:6" s="3" customFormat="1" ht="29.1" customHeight="1" x14ac:dyDescent="0.25">
      <c r="A24131" s="2" t="s">
        <v>47136</v>
      </c>
      <c r="B24131" s="2" t="s">
        <v>47137</v>
      </c>
      <c r="C24131" s="2" t="s">
        <v>26676</v>
      </c>
      <c r="D24131" s="2" t="s">
        <v>2602</v>
      </c>
      <c r="E24131" s="2" t="str">
        <f>"9781618114822"</f>
        <v>9781618114822</v>
      </c>
      <c r="F24131" s="2" t="str">
        <f>"9781618114839"</f>
        <v>9781618114839</v>
      </c>
    </row>
    <row r="24132" spans="1:6" s="3" customFormat="1" ht="29.1" customHeight="1" x14ac:dyDescent="0.25">
      <c r="A24132" s="2" t="s">
        <v>47138</v>
      </c>
      <c r="B24132" s="2" t="s">
        <v>47139</v>
      </c>
      <c r="C24132" s="2" t="s">
        <v>26676</v>
      </c>
      <c r="D24132" s="2" t="s">
        <v>10493</v>
      </c>
      <c r="E24132" s="2" t="str">
        <f>"9781618111791"</f>
        <v>9781618111791</v>
      </c>
      <c r="F24132" s="2" t="str">
        <f>"9781618112019"</f>
        <v>9781618112019</v>
      </c>
    </row>
    <row r="24133" spans="1:6" s="3" customFormat="1" ht="29.1" customHeight="1" x14ac:dyDescent="0.25">
      <c r="A24133" s="2" t="s">
        <v>47140</v>
      </c>
      <c r="B24133" s="2" t="s">
        <v>47141</v>
      </c>
      <c r="C24133" s="2" t="s">
        <v>26676</v>
      </c>
      <c r="D24133" s="2" t="s">
        <v>2602</v>
      </c>
      <c r="E24133" s="2" t="str">
        <f>"9781618112606"</f>
        <v>9781618112606</v>
      </c>
      <c r="F24133" s="2" t="str">
        <f>"9781618112613"</f>
        <v>9781618112613</v>
      </c>
    </row>
    <row r="24134" spans="1:6" s="3" customFormat="1" ht="29.1" customHeight="1" x14ac:dyDescent="0.25">
      <c r="A24134" s="2" t="s">
        <v>47142</v>
      </c>
      <c r="B24134" s="2" t="s">
        <v>47143</v>
      </c>
      <c r="C24134" s="2" t="s">
        <v>11220</v>
      </c>
      <c r="D24134" s="2" t="s">
        <v>968</v>
      </c>
      <c r="E24134" s="2" t="str">
        <f>"9780814719718"</f>
        <v>9780814719718</v>
      </c>
      <c r="F24134" s="2" t="str">
        <f>"9780814785485"</f>
        <v>9780814785485</v>
      </c>
    </row>
    <row r="24135" spans="1:6" s="3" customFormat="1" ht="29.1" customHeight="1" x14ac:dyDescent="0.25">
      <c r="A24135" s="2" t="s">
        <v>47144</v>
      </c>
      <c r="B24135" s="2" t="s">
        <v>47145</v>
      </c>
      <c r="C24135" s="2" t="s">
        <v>195</v>
      </c>
      <c r="D24135" s="2" t="s">
        <v>459</v>
      </c>
      <c r="E24135" s="2" t="str">
        <f>"9783110474084"</f>
        <v>9783110474084</v>
      </c>
      <c r="F24135" s="2" t="str">
        <f>"9783110474213"</f>
        <v>9783110474213</v>
      </c>
    </row>
    <row r="24136" spans="1:6" s="3" customFormat="1" ht="29.1" customHeight="1" x14ac:dyDescent="0.25">
      <c r="A24136" s="2" t="s">
        <v>47146</v>
      </c>
      <c r="B24136" s="2" t="s">
        <v>47147</v>
      </c>
      <c r="C24136" s="2" t="s">
        <v>195</v>
      </c>
      <c r="D24136" s="2" t="s">
        <v>459</v>
      </c>
      <c r="E24136" s="2" t="str">
        <f>"9781501511486"</f>
        <v>9781501511486</v>
      </c>
      <c r="F24136" s="2" t="str">
        <f>"9781501503320"</f>
        <v>9781501503320</v>
      </c>
    </row>
    <row r="24137" spans="1:6" s="3" customFormat="1" ht="29.1" customHeight="1" x14ac:dyDescent="0.25">
      <c r="A24137" s="2" t="s">
        <v>47148</v>
      </c>
      <c r="B24137" s="2" t="s">
        <v>47149</v>
      </c>
      <c r="C24137" s="2" t="s">
        <v>195</v>
      </c>
      <c r="D24137" s="2" t="s">
        <v>297</v>
      </c>
      <c r="E24137" s="2" t="str">
        <f>"9783110444834"</f>
        <v>9783110444834</v>
      </c>
      <c r="F24137" s="2" t="str">
        <f>"9783110445480"</f>
        <v>9783110445480</v>
      </c>
    </row>
    <row r="24138" spans="1:6" s="3" customFormat="1" ht="29.1" customHeight="1" x14ac:dyDescent="0.25">
      <c r="A24138" s="2" t="s">
        <v>47150</v>
      </c>
      <c r="B24138" s="2" t="s">
        <v>47151</v>
      </c>
      <c r="C24138" s="2" t="s">
        <v>195</v>
      </c>
      <c r="D24138" s="2" t="s">
        <v>431</v>
      </c>
      <c r="E24138" s="2" t="str">
        <f>"9783110298031"</f>
        <v>9783110298031</v>
      </c>
      <c r="F24138" s="2" t="str">
        <f>"9783110308464"</f>
        <v>9783110308464</v>
      </c>
    </row>
    <row r="24139" spans="1:6" s="3" customFormat="1" ht="29.1" customHeight="1" x14ac:dyDescent="0.25">
      <c r="A24139" s="2" t="s">
        <v>47152</v>
      </c>
      <c r="B24139" s="2" t="s">
        <v>47153</v>
      </c>
      <c r="C24139" s="2" t="s">
        <v>3248</v>
      </c>
      <c r="D24139" s="2" t="s">
        <v>297</v>
      </c>
      <c r="E24139" s="2" t="str">
        <f>"9780813574639"</f>
        <v>9780813574639</v>
      </c>
      <c r="F24139" s="2" t="str">
        <f>"9780813574653"</f>
        <v>9780813574653</v>
      </c>
    </row>
    <row r="24140" spans="1:6" s="3" customFormat="1" ht="29.1" customHeight="1" x14ac:dyDescent="0.25">
      <c r="A24140" s="2" t="s">
        <v>47154</v>
      </c>
      <c r="B24140" s="2" t="s">
        <v>31561</v>
      </c>
      <c r="C24140" s="2" t="s">
        <v>29</v>
      </c>
      <c r="D24140" s="2" t="s">
        <v>7460</v>
      </c>
      <c r="E24140" s="2" t="str">
        <f>"9789004115309"</f>
        <v>9789004115309</v>
      </c>
      <c r="F24140" s="2" t="str">
        <f>"9789004274327"</f>
        <v>9789004274327</v>
      </c>
    </row>
    <row r="24141" spans="1:6" s="3" customFormat="1" ht="29.1" customHeight="1" x14ac:dyDescent="0.25">
      <c r="A24141" s="2" t="s">
        <v>47155</v>
      </c>
      <c r="B24141" s="2" t="s">
        <v>47156</v>
      </c>
      <c r="C24141" s="2" t="s">
        <v>9716</v>
      </c>
      <c r="D24141" s="2" t="s">
        <v>297</v>
      </c>
      <c r="E24141" s="2" t="str">
        <f>"9781439912973"</f>
        <v>9781439912973</v>
      </c>
      <c r="F24141" s="2" t="str">
        <f>"9781439912997"</f>
        <v>9781439912997</v>
      </c>
    </row>
    <row r="24142" spans="1:6" s="3" customFormat="1" ht="29.1" customHeight="1" x14ac:dyDescent="0.25">
      <c r="A24142" s="2" t="s">
        <v>47157</v>
      </c>
      <c r="B24142" s="2" t="s">
        <v>47158</v>
      </c>
      <c r="C24142" s="2" t="s">
        <v>43061</v>
      </c>
      <c r="D24142" s="2" t="s">
        <v>46354</v>
      </c>
      <c r="E24142" s="2" t="str">
        <f>"9783862199907"</f>
        <v>9783862199907</v>
      </c>
      <c r="F24142" s="2" t="str">
        <f>"9783862199914"</f>
        <v>9783862199914</v>
      </c>
    </row>
    <row r="24143" spans="1:6" s="3" customFormat="1" ht="29.1" customHeight="1" x14ac:dyDescent="0.25">
      <c r="A24143" s="2" t="s">
        <v>47159</v>
      </c>
      <c r="B24143" s="2" t="s">
        <v>47160</v>
      </c>
      <c r="C24143" s="2" t="s">
        <v>43061</v>
      </c>
      <c r="D24143" s="2" t="s">
        <v>3943</v>
      </c>
      <c r="E24143" s="2" t="str">
        <f>"9783737600903"</f>
        <v>9783737600903</v>
      </c>
      <c r="F24143" s="2" t="str">
        <f>"9783737600910"</f>
        <v>9783737600910</v>
      </c>
    </row>
    <row r="24144" spans="1:6" s="3" customFormat="1" ht="29.1" customHeight="1" x14ac:dyDescent="0.25">
      <c r="A24144" s="2" t="s">
        <v>47161</v>
      </c>
      <c r="B24144" s="2" t="s">
        <v>47162</v>
      </c>
      <c r="C24144" s="2" t="s">
        <v>43061</v>
      </c>
      <c r="D24144" s="2" t="s">
        <v>45236</v>
      </c>
      <c r="E24144" s="2" t="str">
        <f>"9783737600842"</f>
        <v>9783737600842</v>
      </c>
      <c r="F24144" s="2" t="str">
        <f>"9783737600859"</f>
        <v>9783737600859</v>
      </c>
    </row>
    <row r="24145" spans="1:6" s="3" customFormat="1" ht="29.1" customHeight="1" x14ac:dyDescent="0.25">
      <c r="A24145" s="2" t="s">
        <v>47163</v>
      </c>
      <c r="B24145" s="2" t="s">
        <v>47164</v>
      </c>
      <c r="C24145" s="2" t="s">
        <v>2129</v>
      </c>
      <c r="D24145" s="2" t="s">
        <v>791</v>
      </c>
      <c r="E24145" s="2" t="str">
        <f>"9781438459332"</f>
        <v>9781438459332</v>
      </c>
      <c r="F24145" s="2" t="str">
        <f>"9781438459349"</f>
        <v>9781438459349</v>
      </c>
    </row>
    <row r="24146" spans="1:6" s="3" customFormat="1" ht="29.1" customHeight="1" x14ac:dyDescent="0.25">
      <c r="A24146" s="2" t="s">
        <v>47165</v>
      </c>
      <c r="B24146" s="2" t="s">
        <v>47166</v>
      </c>
      <c r="C24146" s="2" t="s">
        <v>131</v>
      </c>
      <c r="D24146" s="2" t="s">
        <v>459</v>
      </c>
      <c r="E24146" s="2" t="str">
        <f>"9789027212320"</f>
        <v>9789027212320</v>
      </c>
      <c r="F24146" s="2" t="str">
        <f>"9789027267313"</f>
        <v>9789027267313</v>
      </c>
    </row>
    <row r="24147" spans="1:6" s="3" customFormat="1" ht="29.1" customHeight="1" x14ac:dyDescent="0.25">
      <c r="A24147" s="2" t="s">
        <v>47167</v>
      </c>
      <c r="B24147" s="2" t="s">
        <v>47168</v>
      </c>
      <c r="C24147" s="2" t="s">
        <v>885</v>
      </c>
      <c r="D24147" s="2" t="s">
        <v>33</v>
      </c>
      <c r="E24147" s="2" t="str">
        <f>"9781442645981"</f>
        <v>9781442645981</v>
      </c>
      <c r="F24147" s="2" t="str">
        <f>"9781442664135"</f>
        <v>9781442664135</v>
      </c>
    </row>
    <row r="24148" spans="1:6" s="3" customFormat="1" ht="29.1" customHeight="1" x14ac:dyDescent="0.25">
      <c r="A24148" s="2" t="s">
        <v>47169</v>
      </c>
      <c r="B24148" s="2" t="s">
        <v>47170</v>
      </c>
      <c r="C24148" s="2" t="s">
        <v>124</v>
      </c>
      <c r="D24148" s="2" t="s">
        <v>353</v>
      </c>
      <c r="E24148" s="2" t="str">
        <f>"9781138844599"</f>
        <v>9781138844599</v>
      </c>
      <c r="F24148" s="2" t="str">
        <f>"9781317548362"</f>
        <v>9781317548362</v>
      </c>
    </row>
    <row r="24149" spans="1:6" s="3" customFormat="1" ht="29.1" customHeight="1" x14ac:dyDescent="0.25">
      <c r="A24149" s="2" t="s">
        <v>47171</v>
      </c>
      <c r="B24149" s="2" t="s">
        <v>47172</v>
      </c>
      <c r="C24149" s="2" t="s">
        <v>927</v>
      </c>
      <c r="D24149" s="2" t="s">
        <v>9395</v>
      </c>
      <c r="E24149" s="2" t="str">
        <f>"9780472052950"</f>
        <v>9780472052950</v>
      </c>
      <c r="F24149" s="2" t="str">
        <f>"9780472121557"</f>
        <v>9780472121557</v>
      </c>
    </row>
    <row r="24150" spans="1:6" s="3" customFormat="1" ht="29.1" customHeight="1" x14ac:dyDescent="0.25">
      <c r="A24150" s="2" t="s">
        <v>47173</v>
      </c>
      <c r="B24150" s="2" t="s">
        <v>47174</v>
      </c>
      <c r="C24150" s="2" t="s">
        <v>2129</v>
      </c>
      <c r="D24150" s="2" t="s">
        <v>183</v>
      </c>
      <c r="E24150" s="2" t="str">
        <f>"9781438459172"</f>
        <v>9781438459172</v>
      </c>
      <c r="F24150" s="2" t="str">
        <f>"9781438459189"</f>
        <v>9781438459189</v>
      </c>
    </row>
    <row r="24151" spans="1:6" s="3" customFormat="1" ht="29.1" customHeight="1" x14ac:dyDescent="0.25">
      <c r="A24151" s="2" t="s">
        <v>47175</v>
      </c>
      <c r="B24151" s="2" t="s">
        <v>47176</v>
      </c>
      <c r="C24151" s="2" t="s">
        <v>2129</v>
      </c>
      <c r="D24151" s="2" t="s">
        <v>758</v>
      </c>
      <c r="E24151" s="2" t="str">
        <f>"9781438458496"</f>
        <v>9781438458496</v>
      </c>
      <c r="F24151" s="2" t="str">
        <f>"9781438458519"</f>
        <v>9781438458519</v>
      </c>
    </row>
    <row r="24152" spans="1:6" s="3" customFormat="1" ht="29.1" customHeight="1" x14ac:dyDescent="0.25">
      <c r="A24152" s="2" t="s">
        <v>47177</v>
      </c>
      <c r="B24152" s="2" t="s">
        <v>47178</v>
      </c>
      <c r="C24152" s="2" t="s">
        <v>15181</v>
      </c>
      <c r="D24152" s="2" t="s">
        <v>913</v>
      </c>
      <c r="E24152" s="2" t="str">
        <f>"9789633860830"</f>
        <v>9789633860830</v>
      </c>
      <c r="F24152" s="2" t="str">
        <f>"9789633860847"</f>
        <v>9789633860847</v>
      </c>
    </row>
    <row r="24153" spans="1:6" s="3" customFormat="1" ht="29.1" customHeight="1" x14ac:dyDescent="0.25">
      <c r="A24153" s="2" t="s">
        <v>47179</v>
      </c>
      <c r="B24153" s="2" t="s">
        <v>47180</v>
      </c>
      <c r="C24153" s="2" t="s">
        <v>131</v>
      </c>
      <c r="D24153" s="2" t="s">
        <v>1253</v>
      </c>
      <c r="E24153" s="2" t="str">
        <f>"9789027258670"</f>
        <v>9789027258670</v>
      </c>
      <c r="F24153" s="2" t="str">
        <f>"9789027267511"</f>
        <v>9789027267511</v>
      </c>
    </row>
    <row r="24154" spans="1:6" s="3" customFormat="1" ht="29.1" customHeight="1" x14ac:dyDescent="0.25">
      <c r="A24154" s="2" t="s">
        <v>47181</v>
      </c>
      <c r="B24154" s="2" t="s">
        <v>47182</v>
      </c>
      <c r="C24154" s="2" t="s">
        <v>5</v>
      </c>
      <c r="D24154" s="2" t="s">
        <v>2749</v>
      </c>
      <c r="E24154" s="2" t="str">
        <f>"9783319272573"</f>
        <v>9783319272573</v>
      </c>
      <c r="F24154" s="2" t="str">
        <f>"9783319272580"</f>
        <v>9783319272580</v>
      </c>
    </row>
    <row r="24155" spans="1:6" s="3" customFormat="1" ht="29.1" customHeight="1" x14ac:dyDescent="0.25">
      <c r="A24155" s="2" t="s">
        <v>47183</v>
      </c>
      <c r="B24155" s="2" t="s">
        <v>47184</v>
      </c>
      <c r="C24155" s="2" t="s">
        <v>5</v>
      </c>
      <c r="D24155" s="2" t="s">
        <v>183</v>
      </c>
      <c r="E24155" s="2" t="str">
        <f>"9783319215501"</f>
        <v>9783319215501</v>
      </c>
      <c r="F24155" s="2" t="str">
        <f>"9783319215518"</f>
        <v>9783319215518</v>
      </c>
    </row>
    <row r="24156" spans="1:6" s="3" customFormat="1" ht="29.1" customHeight="1" x14ac:dyDescent="0.25">
      <c r="A24156" s="2" t="s">
        <v>47185</v>
      </c>
      <c r="B24156" s="2" t="s">
        <v>47186</v>
      </c>
      <c r="C24156" s="2" t="s">
        <v>124</v>
      </c>
      <c r="D24156" s="2" t="s">
        <v>297</v>
      </c>
      <c r="E24156" s="2" t="str">
        <f>"9781138125711"</f>
        <v>9781138125711</v>
      </c>
      <c r="F24156" s="2" t="str">
        <f>"9781317297635"</f>
        <v>9781317297635</v>
      </c>
    </row>
    <row r="24157" spans="1:6" s="3" customFormat="1" ht="29.1" customHeight="1" x14ac:dyDescent="0.25">
      <c r="A24157" s="2" t="s">
        <v>47187</v>
      </c>
      <c r="B24157" s="2" t="s">
        <v>47188</v>
      </c>
      <c r="C24157" s="2" t="s">
        <v>124</v>
      </c>
      <c r="D24157" s="2" t="s">
        <v>3661</v>
      </c>
      <c r="E24157" s="2" t="str">
        <f>"9781138838833"</f>
        <v>9781138838833</v>
      </c>
      <c r="F24157" s="2" t="str">
        <f>"9781317559009"</f>
        <v>9781317559009</v>
      </c>
    </row>
    <row r="24158" spans="1:6" s="3" customFormat="1" ht="29.1" customHeight="1" x14ac:dyDescent="0.25">
      <c r="A24158" s="2" t="s">
        <v>47189</v>
      </c>
      <c r="B24158" s="2" t="s">
        <v>47190</v>
      </c>
      <c r="C24158" s="2" t="s">
        <v>5</v>
      </c>
      <c r="D24158" s="2" t="s">
        <v>5115</v>
      </c>
      <c r="E24158" s="2" t="str">
        <f>"9781484214565"</f>
        <v>9781484214565</v>
      </c>
      <c r="F24158" s="2" t="str">
        <f>"9781484214558"</f>
        <v>9781484214558</v>
      </c>
    </row>
    <row r="24159" spans="1:6" s="3" customFormat="1" ht="29.1" customHeight="1" x14ac:dyDescent="0.25">
      <c r="A24159" s="2" t="s">
        <v>47191</v>
      </c>
      <c r="B24159" s="2" t="s">
        <v>47192</v>
      </c>
      <c r="C24159" s="2" t="s">
        <v>5</v>
      </c>
      <c r="D24159" s="2" t="s">
        <v>5758</v>
      </c>
      <c r="E24159" s="2" t="str">
        <f>"9780230273672"</f>
        <v>9780230273672</v>
      </c>
      <c r="F24159" s="2" t="str">
        <f>"9780230302495"</f>
        <v>9780230302495</v>
      </c>
    </row>
    <row r="24160" spans="1:6" s="3" customFormat="1" ht="29.1" customHeight="1" x14ac:dyDescent="0.25">
      <c r="A24160" s="2" t="s">
        <v>47193</v>
      </c>
      <c r="B24160" s="2" t="s">
        <v>47194</v>
      </c>
      <c r="C24160" s="2" t="s">
        <v>5</v>
      </c>
      <c r="D24160" s="2" t="s">
        <v>4783</v>
      </c>
      <c r="E24160" s="2" t="str">
        <f>"9780230252394"</f>
        <v>9780230252394</v>
      </c>
      <c r="F24160" s="2" t="str">
        <f>"9780230294936"</f>
        <v>9780230294936</v>
      </c>
    </row>
    <row r="24161" spans="1:6" s="3" customFormat="1" ht="29.1" customHeight="1" x14ac:dyDescent="0.25">
      <c r="A24161" s="2" t="s">
        <v>47195</v>
      </c>
      <c r="B24161" s="2" t="s">
        <v>47196</v>
      </c>
      <c r="C24161" s="2" t="s">
        <v>5</v>
      </c>
      <c r="D24161" s="2" t="s">
        <v>501</v>
      </c>
      <c r="E24161" s="2" t="str">
        <f>"9780230238978"</f>
        <v>9780230238978</v>
      </c>
      <c r="F24161" s="2" t="str">
        <f>"9780230290617"</f>
        <v>9780230290617</v>
      </c>
    </row>
    <row r="24162" spans="1:6" s="3" customFormat="1" ht="29.1" customHeight="1" x14ac:dyDescent="0.25">
      <c r="A24162" s="2" t="s">
        <v>47197</v>
      </c>
      <c r="B24162" s="2" t="s">
        <v>35106</v>
      </c>
      <c r="C24162" s="2" t="s">
        <v>5</v>
      </c>
      <c r="D24162" s="2" t="s">
        <v>33</v>
      </c>
      <c r="E24162" s="2" t="str">
        <f>"9780230103900"</f>
        <v>9780230103900</v>
      </c>
      <c r="F24162" s="2" t="str">
        <f>"9780230109773"</f>
        <v>9780230109773</v>
      </c>
    </row>
    <row r="24163" spans="1:6" s="3" customFormat="1" ht="29.1" customHeight="1" x14ac:dyDescent="0.25">
      <c r="A24163" s="2" t="s">
        <v>47198</v>
      </c>
      <c r="B24163" s="2" t="s">
        <v>47199</v>
      </c>
      <c r="C24163" s="2" t="s">
        <v>5</v>
      </c>
      <c r="D24163" s="2" t="s">
        <v>270</v>
      </c>
      <c r="E24163" s="2" t="str">
        <f>"9780230103498"</f>
        <v>9780230103498</v>
      </c>
      <c r="F24163" s="2" t="str">
        <f>"9780230112636"</f>
        <v>9780230112636</v>
      </c>
    </row>
    <row r="24164" spans="1:6" s="3" customFormat="1" ht="29.1" customHeight="1" x14ac:dyDescent="0.25">
      <c r="A24164" s="2" t="s">
        <v>47200</v>
      </c>
      <c r="B24164" s="2" t="s">
        <v>47201</v>
      </c>
      <c r="C24164" s="2" t="s">
        <v>43061</v>
      </c>
      <c r="D24164" s="2" t="s">
        <v>45587</v>
      </c>
      <c r="E24164" s="2" t="str">
        <f>"9783737600828"</f>
        <v>9783737600828</v>
      </c>
      <c r="F24164" s="2" t="str">
        <f>"9783737600835"</f>
        <v>9783737600835</v>
      </c>
    </row>
    <row r="24165" spans="1:6" s="3" customFormat="1" ht="29.1" customHeight="1" x14ac:dyDescent="0.25">
      <c r="A24165" s="2" t="s">
        <v>47202</v>
      </c>
      <c r="B24165" s="2" t="s">
        <v>47203</v>
      </c>
      <c r="C24165" s="2" t="s">
        <v>43061</v>
      </c>
      <c r="D24165" s="2" t="s">
        <v>25753</v>
      </c>
      <c r="E24165" s="2" t="str">
        <f>"9783737600521"</f>
        <v>9783737600521</v>
      </c>
      <c r="F24165" s="2" t="str">
        <f>"9783737600538"</f>
        <v>9783737600538</v>
      </c>
    </row>
    <row r="24166" spans="1:6" s="3" customFormat="1" ht="29.1" customHeight="1" x14ac:dyDescent="0.25">
      <c r="A24166" s="2" t="s">
        <v>47204</v>
      </c>
      <c r="B24166" s="2" t="s">
        <v>47205</v>
      </c>
      <c r="C24166" s="2" t="s">
        <v>43061</v>
      </c>
      <c r="D24166" s="2" t="s">
        <v>45587</v>
      </c>
      <c r="E24166" s="2" t="str">
        <f>"9783737600880"</f>
        <v>9783737600880</v>
      </c>
      <c r="F24166" s="2" t="str">
        <f>"9783737600897"</f>
        <v>9783737600897</v>
      </c>
    </row>
    <row r="24167" spans="1:6" s="3" customFormat="1" ht="29.1" customHeight="1" x14ac:dyDescent="0.25">
      <c r="A24167" s="2" t="s">
        <v>47206</v>
      </c>
      <c r="B24167" s="2" t="s">
        <v>47207</v>
      </c>
      <c r="C24167" s="2" t="s">
        <v>8104</v>
      </c>
      <c r="D24167" s="2" t="s">
        <v>6113</v>
      </c>
      <c r="E24167" s="2" t="str">
        <f>"9781785332364"</f>
        <v>9781785332364</v>
      </c>
      <c r="F24167" s="2" t="str">
        <f>"9781785332371"</f>
        <v>9781785332371</v>
      </c>
    </row>
    <row r="24168" spans="1:6" s="3" customFormat="1" ht="29.1" customHeight="1" x14ac:dyDescent="0.25">
      <c r="A24168" s="2" t="s">
        <v>47208</v>
      </c>
      <c r="B24168" s="2" t="s">
        <v>47209</v>
      </c>
      <c r="C24168" s="2" t="s">
        <v>595</v>
      </c>
      <c r="D24168" s="2" t="s">
        <v>45365</v>
      </c>
      <c r="E24168" s="2" t="str">
        <f>"9783631627570"</f>
        <v>9783631627570</v>
      </c>
      <c r="F24168" s="2" t="str">
        <f>"9783653026764"</f>
        <v>9783653026764</v>
      </c>
    </row>
    <row r="24169" spans="1:6" s="3" customFormat="1" ht="29.1" customHeight="1" x14ac:dyDescent="0.25">
      <c r="A24169" s="2" t="s">
        <v>47210</v>
      </c>
      <c r="B24169" s="2" t="s">
        <v>36215</v>
      </c>
      <c r="C24169" s="2" t="s">
        <v>149</v>
      </c>
      <c r="D24169" s="2" t="s">
        <v>20003</v>
      </c>
      <c r="E24169" s="2" t="str">
        <f>"9781909254954"</f>
        <v>9781909254954</v>
      </c>
      <c r="F24169" s="2" t="str">
        <f>"9781909254978"</f>
        <v>9781909254978</v>
      </c>
    </row>
    <row r="24170" spans="1:6" s="3" customFormat="1" ht="29.1" customHeight="1" x14ac:dyDescent="0.25">
      <c r="A24170" s="2" t="s">
        <v>42431</v>
      </c>
      <c r="B24170" s="2" t="s">
        <v>42432</v>
      </c>
      <c r="C24170" s="2" t="s">
        <v>149</v>
      </c>
      <c r="D24170" s="2" t="s">
        <v>4739</v>
      </c>
      <c r="E24170" s="2" t="str">
        <f>"9781783741427"</f>
        <v>9781783741427</v>
      </c>
      <c r="F24170" s="2" t="str">
        <f>"9781783741441"</f>
        <v>9781783741441</v>
      </c>
    </row>
    <row r="24171" spans="1:6" s="3" customFormat="1" ht="29.1" customHeight="1" x14ac:dyDescent="0.25">
      <c r="A24171" s="2" t="s">
        <v>47211</v>
      </c>
      <c r="B24171" s="2" t="s">
        <v>47212</v>
      </c>
      <c r="C24171" s="2" t="s">
        <v>149</v>
      </c>
      <c r="D24171" s="2" t="s">
        <v>689</v>
      </c>
      <c r="E24171" s="2" t="str">
        <f>"9781783741984"</f>
        <v>9781783741984</v>
      </c>
      <c r="F24171" s="2" t="str">
        <f>"9781783742004"</f>
        <v>9781783742004</v>
      </c>
    </row>
    <row r="24172" spans="1:6" s="3" customFormat="1" ht="29.1" customHeight="1" x14ac:dyDescent="0.25">
      <c r="A24172" s="2" t="s">
        <v>47213</v>
      </c>
      <c r="B24172" s="2" t="s">
        <v>47214</v>
      </c>
      <c r="C24172" s="2" t="s">
        <v>885</v>
      </c>
      <c r="D24172" s="2" t="s">
        <v>1162</v>
      </c>
      <c r="E24172" s="2" t="str">
        <f>"9781442637498"</f>
        <v>9781442637498</v>
      </c>
      <c r="F24172" s="2" t="str">
        <f>"9781442625464"</f>
        <v>9781442625464</v>
      </c>
    </row>
    <row r="24173" spans="1:6" s="3" customFormat="1" ht="29.1" customHeight="1" x14ac:dyDescent="0.25">
      <c r="A24173" s="2" t="s">
        <v>47215</v>
      </c>
      <c r="B24173" s="2" t="s">
        <v>47216</v>
      </c>
      <c r="C24173" s="2" t="s">
        <v>124</v>
      </c>
      <c r="D24173" s="2" t="s">
        <v>243</v>
      </c>
      <c r="E24173" s="2" t="str">
        <f>"9780415659123"</f>
        <v>9780415659123</v>
      </c>
      <c r="F24173" s="2" t="str">
        <f>"9781135117832"</f>
        <v>9781135117832</v>
      </c>
    </row>
    <row r="24174" spans="1:6" s="3" customFormat="1" ht="29.1" customHeight="1" x14ac:dyDescent="0.25">
      <c r="A24174" s="2" t="s">
        <v>47217</v>
      </c>
      <c r="B24174" s="2" t="s">
        <v>47218</v>
      </c>
      <c r="C24174" s="2" t="s">
        <v>124</v>
      </c>
      <c r="D24174" s="2" t="s">
        <v>2587</v>
      </c>
      <c r="E24174" s="2" t="str">
        <f>"9781138963375"</f>
        <v>9781138963375</v>
      </c>
      <c r="F24174" s="2" t="str">
        <f>"9781317332206"</f>
        <v>9781317332206</v>
      </c>
    </row>
    <row r="24175" spans="1:6" s="3" customFormat="1" ht="29.1" customHeight="1" x14ac:dyDescent="0.25">
      <c r="A24175" s="2" t="s">
        <v>47219</v>
      </c>
      <c r="B24175" s="2" t="s">
        <v>47220</v>
      </c>
      <c r="C24175" s="2" t="s">
        <v>20</v>
      </c>
      <c r="D24175" s="2" t="s">
        <v>2776</v>
      </c>
      <c r="E24175" s="2" t="str">
        <f>"9783763954599"</f>
        <v>9783763954599</v>
      </c>
      <c r="F24175" s="2" t="str">
        <f>"9783763954605"</f>
        <v>9783763954605</v>
      </c>
    </row>
    <row r="24176" spans="1:6" s="3" customFormat="1" ht="29.1" customHeight="1" x14ac:dyDescent="0.25">
      <c r="A24176" s="2" t="s">
        <v>47221</v>
      </c>
      <c r="B24176" s="2" t="s">
        <v>47222</v>
      </c>
      <c r="C24176" s="2" t="s">
        <v>927</v>
      </c>
      <c r="D24176" s="2" t="s">
        <v>33</v>
      </c>
      <c r="E24176" s="2" t="str">
        <f>"9780472119813"</f>
        <v>9780472119813</v>
      </c>
      <c r="F24176" s="2" t="str">
        <f>"9780472121816"</f>
        <v>9780472121816</v>
      </c>
    </row>
    <row r="24177" spans="1:6" s="3" customFormat="1" ht="29.1" customHeight="1" x14ac:dyDescent="0.25">
      <c r="A24177" s="2" t="s">
        <v>47223</v>
      </c>
      <c r="B24177" s="2" t="s">
        <v>47224</v>
      </c>
      <c r="C24177" s="2" t="s">
        <v>43061</v>
      </c>
      <c r="D24177" s="2" t="s">
        <v>2147</v>
      </c>
      <c r="E24177" s="2" t="str">
        <f>"9783737600620"</f>
        <v>9783737600620</v>
      </c>
      <c r="F24177" s="2" t="str">
        <f>"9783737600637"</f>
        <v>9783737600637</v>
      </c>
    </row>
    <row r="24178" spans="1:6" s="3" customFormat="1" ht="29.1" customHeight="1" x14ac:dyDescent="0.25">
      <c r="A24178" s="2" t="s">
        <v>47225</v>
      </c>
      <c r="B24178" s="2" t="s">
        <v>47226</v>
      </c>
      <c r="C24178" s="2" t="s">
        <v>43061</v>
      </c>
      <c r="D24178" s="2" t="s">
        <v>1183</v>
      </c>
      <c r="E24178" s="2" t="str">
        <f>"9783737600583"</f>
        <v>9783737600583</v>
      </c>
      <c r="F24178" s="2" t="str">
        <f>"9783737600590"</f>
        <v>9783737600590</v>
      </c>
    </row>
    <row r="24179" spans="1:6" s="3" customFormat="1" ht="29.1" customHeight="1" x14ac:dyDescent="0.25">
      <c r="A24179" s="2" t="s">
        <v>47227</v>
      </c>
      <c r="B24179" s="2" t="s">
        <v>47228</v>
      </c>
      <c r="C24179" s="2" t="s">
        <v>43061</v>
      </c>
      <c r="D24179" s="2" t="s">
        <v>45236</v>
      </c>
      <c r="E24179" s="2" t="str">
        <f>"9783737600743"</f>
        <v>9783737600743</v>
      </c>
      <c r="F24179" s="2" t="str">
        <f>"9783737600750"</f>
        <v>9783737600750</v>
      </c>
    </row>
    <row r="24180" spans="1:6" s="3" customFormat="1" ht="29.1" customHeight="1" x14ac:dyDescent="0.25">
      <c r="A24180" s="2" t="s">
        <v>47229</v>
      </c>
      <c r="B24180" s="2" t="s">
        <v>47230</v>
      </c>
      <c r="C24180" s="2" t="s">
        <v>8104</v>
      </c>
      <c r="D24180" s="2" t="s">
        <v>882</v>
      </c>
      <c r="E24180" s="2" t="str">
        <f>"9781785330797"</f>
        <v>9781785330797</v>
      </c>
      <c r="F24180" s="2" t="str">
        <f>"9781785330803"</f>
        <v>9781785330803</v>
      </c>
    </row>
    <row r="24181" spans="1:6" s="3" customFormat="1" ht="29.1" customHeight="1" x14ac:dyDescent="0.25">
      <c r="A24181" s="2" t="s">
        <v>47231</v>
      </c>
      <c r="B24181" s="2" t="s">
        <v>47233</v>
      </c>
      <c r="C24181" s="2" t="s">
        <v>34257</v>
      </c>
      <c r="D24181" s="2" t="s">
        <v>47232</v>
      </c>
      <c r="E24181" s="2" t="str">
        <f>"9780745333199"</f>
        <v>9780745333199</v>
      </c>
      <c r="F24181" s="2" t="str">
        <f>"9781783717583"</f>
        <v>9781783717583</v>
      </c>
    </row>
    <row r="24182" spans="1:6" s="3" customFormat="1" ht="29.1" customHeight="1" x14ac:dyDescent="0.25">
      <c r="A24182" s="2" t="s">
        <v>47234</v>
      </c>
      <c r="B24182" s="2" t="s">
        <v>47235</v>
      </c>
      <c r="C24182" s="2" t="s">
        <v>556</v>
      </c>
      <c r="D24182" s="2" t="s">
        <v>3993</v>
      </c>
      <c r="E24182" s="2" t="str">
        <f>"9783837635416"</f>
        <v>9783837635416</v>
      </c>
      <c r="F24182" s="2" t="str">
        <f>"9783839435410"</f>
        <v>9783839435410</v>
      </c>
    </row>
    <row r="24183" spans="1:6" s="3" customFormat="1" ht="29.1" customHeight="1" x14ac:dyDescent="0.25">
      <c r="A24183" s="2" t="s">
        <v>47236</v>
      </c>
      <c r="B24183" s="2" t="s">
        <v>47237</v>
      </c>
      <c r="C24183" s="2" t="s">
        <v>556</v>
      </c>
      <c r="D24183" s="2" t="s">
        <v>202</v>
      </c>
      <c r="E24183" s="2" t="str">
        <f>"9783837634556"</f>
        <v>9783837634556</v>
      </c>
      <c r="F24183" s="2" t="str">
        <f>"9783839434550"</f>
        <v>9783839434550</v>
      </c>
    </row>
    <row r="24184" spans="1:6" s="3" customFormat="1" ht="29.1" customHeight="1" x14ac:dyDescent="0.25">
      <c r="A24184" s="2" t="s">
        <v>47238</v>
      </c>
      <c r="B24184" s="2" t="s">
        <v>47239</v>
      </c>
      <c r="C24184" s="2" t="s">
        <v>556</v>
      </c>
      <c r="D24184" s="2" t="s">
        <v>11897</v>
      </c>
      <c r="E24184" s="2" t="str">
        <f>"9783837634198"</f>
        <v>9783837634198</v>
      </c>
      <c r="F24184" s="2" t="str">
        <f>"9783839434192"</f>
        <v>9783839434192</v>
      </c>
    </row>
    <row r="24185" spans="1:6" s="3" customFormat="1" ht="29.1" customHeight="1" x14ac:dyDescent="0.25">
      <c r="A24185" s="2" t="s">
        <v>47240</v>
      </c>
      <c r="B24185" s="2" t="s">
        <v>47241</v>
      </c>
      <c r="C24185" s="2" t="s">
        <v>556</v>
      </c>
      <c r="D24185" s="2" t="s">
        <v>484</v>
      </c>
      <c r="E24185" s="2" t="str">
        <f>"9783837633269"</f>
        <v>9783837633269</v>
      </c>
      <c r="F24185" s="2" t="str">
        <f>"9783839433263"</f>
        <v>9783839433263</v>
      </c>
    </row>
    <row r="24186" spans="1:6" s="3" customFormat="1" ht="29.1" customHeight="1" x14ac:dyDescent="0.25">
      <c r="A24186" s="2" t="s">
        <v>47242</v>
      </c>
      <c r="B24186" s="2" t="s">
        <v>47243</v>
      </c>
      <c r="C24186" s="2" t="s">
        <v>556</v>
      </c>
      <c r="D24186" s="2" t="s">
        <v>183</v>
      </c>
      <c r="E24186" s="2" t="str">
        <f>"9783837632781"</f>
        <v>9783837632781</v>
      </c>
      <c r="F24186" s="2" t="str">
        <f>"9783839432785"</f>
        <v>9783839432785</v>
      </c>
    </row>
    <row r="24187" spans="1:6" s="3" customFormat="1" ht="29.1" customHeight="1" x14ac:dyDescent="0.25">
      <c r="A24187" s="2" t="s">
        <v>47244</v>
      </c>
      <c r="B24187" s="2" t="s">
        <v>47245</v>
      </c>
      <c r="C24187" s="2" t="s">
        <v>556</v>
      </c>
      <c r="D24187" s="2" t="s">
        <v>712</v>
      </c>
      <c r="E24187" s="2" t="str">
        <f>"9783837632620"</f>
        <v>9783837632620</v>
      </c>
      <c r="F24187" s="2" t="str">
        <f>"9783839432624"</f>
        <v>9783839432624</v>
      </c>
    </row>
    <row r="24188" spans="1:6" s="3" customFormat="1" ht="29.1" customHeight="1" x14ac:dyDescent="0.25">
      <c r="A24188" s="2" t="s">
        <v>47246</v>
      </c>
      <c r="B24188" s="2" t="s">
        <v>47247</v>
      </c>
      <c r="C24188" s="2" t="s">
        <v>556</v>
      </c>
      <c r="D24188" s="2" t="s">
        <v>1895</v>
      </c>
      <c r="E24188" s="2" t="str">
        <f>"9783837632514"</f>
        <v>9783837632514</v>
      </c>
      <c r="F24188" s="2" t="str">
        <f>"9783839432518"</f>
        <v>9783839432518</v>
      </c>
    </row>
    <row r="24189" spans="1:6" s="3" customFormat="1" ht="29.1" customHeight="1" x14ac:dyDescent="0.25">
      <c r="A24189" s="2" t="s">
        <v>47248</v>
      </c>
      <c r="B24189" s="2" t="s">
        <v>47249</v>
      </c>
      <c r="C24189" s="2" t="s">
        <v>556</v>
      </c>
      <c r="D24189" s="2" t="s">
        <v>699</v>
      </c>
      <c r="E24189" s="2" t="str">
        <f>"9783837631562"</f>
        <v>9783837631562</v>
      </c>
      <c r="F24189" s="2" t="str">
        <f>"9783839431566"</f>
        <v>9783839431566</v>
      </c>
    </row>
    <row r="24190" spans="1:6" s="3" customFormat="1" ht="29.1" customHeight="1" x14ac:dyDescent="0.25">
      <c r="A24190" s="2" t="s">
        <v>47250</v>
      </c>
      <c r="B24190" s="2" t="s">
        <v>47251</v>
      </c>
      <c r="C24190" s="2" t="s">
        <v>556</v>
      </c>
      <c r="D24190" s="2" t="s">
        <v>2139</v>
      </c>
      <c r="E24190" s="2" t="str">
        <f>"9783837629576"</f>
        <v>9783837629576</v>
      </c>
      <c r="F24190" s="2" t="str">
        <f>"9783839429570"</f>
        <v>9783839429570</v>
      </c>
    </row>
    <row r="24191" spans="1:6" s="3" customFormat="1" ht="29.1" customHeight="1" x14ac:dyDescent="0.25">
      <c r="A24191" s="2" t="s">
        <v>47252</v>
      </c>
      <c r="B24191" s="2" t="s">
        <v>47253</v>
      </c>
      <c r="C24191" s="2" t="s">
        <v>124</v>
      </c>
      <c r="D24191" s="2" t="s">
        <v>2877</v>
      </c>
      <c r="E24191" s="2" t="str">
        <f>"9780415838603"</f>
        <v>9780415838603</v>
      </c>
      <c r="F24191" s="2" t="str">
        <f>"9781135040154"</f>
        <v>9781135040154</v>
      </c>
    </row>
    <row r="24192" spans="1:6" s="3" customFormat="1" ht="29.1" customHeight="1" x14ac:dyDescent="0.25">
      <c r="A24192" s="2" t="s">
        <v>47254</v>
      </c>
      <c r="B24192" s="2" t="s">
        <v>47255</v>
      </c>
      <c r="C24192" s="2" t="s">
        <v>124</v>
      </c>
      <c r="D24192" s="2" t="s">
        <v>2587</v>
      </c>
      <c r="E24192" s="2" t="str">
        <f>"9781138858596"</f>
        <v>9781138858596</v>
      </c>
      <c r="F24192" s="2" t="str">
        <f>"9781317511236"</f>
        <v>9781317511236</v>
      </c>
    </row>
    <row r="24193" spans="1:6" s="3" customFormat="1" ht="29.1" customHeight="1" x14ac:dyDescent="0.25">
      <c r="A24193" s="2" t="s">
        <v>47256</v>
      </c>
      <c r="B24193" s="2" t="s">
        <v>47257</v>
      </c>
      <c r="C24193" s="2" t="s">
        <v>7395</v>
      </c>
      <c r="D24193" s="2" t="s">
        <v>49</v>
      </c>
      <c r="E24193" s="2" t="str">
        <f>"9780295995182"</f>
        <v>9780295995182</v>
      </c>
      <c r="F24193" s="2" t="str">
        <f>"9780295806327"</f>
        <v>9780295806327</v>
      </c>
    </row>
    <row r="24194" spans="1:6" s="3" customFormat="1" ht="29.1" customHeight="1" x14ac:dyDescent="0.25">
      <c r="A24194" s="2" t="s">
        <v>47258</v>
      </c>
      <c r="B24194" s="2" t="s">
        <v>47259</v>
      </c>
      <c r="C24194" s="2" t="s">
        <v>29</v>
      </c>
      <c r="D24194" s="2" t="s">
        <v>3245</v>
      </c>
      <c r="E24194" s="2" t="str">
        <f>"9789004307131"</f>
        <v>9789004307131</v>
      </c>
      <c r="F24194" s="2" t="str">
        <f>"9789004307148"</f>
        <v>9789004307148</v>
      </c>
    </row>
    <row r="24195" spans="1:6" s="3" customFormat="1" ht="29.1" customHeight="1" x14ac:dyDescent="0.25">
      <c r="A24195" s="2" t="s">
        <v>47260</v>
      </c>
      <c r="B24195" s="2" t="s">
        <v>47261</v>
      </c>
      <c r="C24195" s="2" t="s">
        <v>11220</v>
      </c>
      <c r="D24195" s="2" t="s">
        <v>4789</v>
      </c>
      <c r="E24195" s="2" t="str">
        <f>"9781479812684"</f>
        <v>9781479812684</v>
      </c>
      <c r="F24195" s="2" t="str">
        <f>"9781479842865"</f>
        <v>9781479842865</v>
      </c>
    </row>
    <row r="24196" spans="1:6" s="3" customFormat="1" ht="29.1" customHeight="1" x14ac:dyDescent="0.25">
      <c r="A24196" s="2" t="s">
        <v>47262</v>
      </c>
      <c r="B24196" s="2" t="s">
        <v>47263</v>
      </c>
      <c r="C24196" s="2" t="s">
        <v>195</v>
      </c>
      <c r="D24196" s="2" t="s">
        <v>1183</v>
      </c>
      <c r="E24196" s="2" t="str">
        <f>"9783110406283"</f>
        <v>9783110406283</v>
      </c>
      <c r="F24196" s="2" t="str">
        <f>"9783110406429"</f>
        <v>9783110406429</v>
      </c>
    </row>
    <row r="24197" spans="1:6" s="3" customFormat="1" ht="29.1" customHeight="1" x14ac:dyDescent="0.25">
      <c r="A24197" s="2" t="s">
        <v>47264</v>
      </c>
      <c r="B24197" s="2" t="s">
        <v>47265</v>
      </c>
      <c r="C24197" s="2" t="s">
        <v>195</v>
      </c>
      <c r="D24197" s="2" t="s">
        <v>7460</v>
      </c>
      <c r="E24197" s="2" t="str">
        <f>"9783110441178"</f>
        <v>9783110441178</v>
      </c>
      <c r="F24197" s="2" t="str">
        <f>"9783110433333"</f>
        <v>9783110433333</v>
      </c>
    </row>
    <row r="24198" spans="1:6" s="3" customFormat="1" ht="29.1" customHeight="1" x14ac:dyDescent="0.25">
      <c r="A24198" s="2" t="s">
        <v>47266</v>
      </c>
      <c r="B24198" s="2" t="s">
        <v>47267</v>
      </c>
      <c r="C24198" s="2" t="s">
        <v>195</v>
      </c>
      <c r="D24198" s="2" t="s">
        <v>7132</v>
      </c>
      <c r="E24198" s="2" t="str">
        <f>"9783110448245"</f>
        <v>9783110448245</v>
      </c>
      <c r="F24198" s="2" t="str">
        <f>"9783110449761"</f>
        <v>9783110449761</v>
      </c>
    </row>
    <row r="24199" spans="1:6" s="3" customFormat="1" ht="29.1" customHeight="1" x14ac:dyDescent="0.25">
      <c r="A24199" s="2" t="s">
        <v>47268</v>
      </c>
      <c r="B24199" s="2" t="s">
        <v>46551</v>
      </c>
      <c r="C24199" s="2" t="s">
        <v>195</v>
      </c>
      <c r="D24199" s="2" t="s">
        <v>916</v>
      </c>
      <c r="E24199" s="2" t="str">
        <f>"9783110437560"</f>
        <v>9783110437560</v>
      </c>
      <c r="F24199" s="2" t="str">
        <f>"9783110428292"</f>
        <v>9783110428292</v>
      </c>
    </row>
    <row r="24200" spans="1:6" s="3" customFormat="1" ht="29.1" customHeight="1" x14ac:dyDescent="0.25">
      <c r="A24200" s="2" t="s">
        <v>47269</v>
      </c>
      <c r="B24200" s="2" t="s">
        <v>47270</v>
      </c>
      <c r="C24200" s="2" t="s">
        <v>195</v>
      </c>
      <c r="D24200" s="2" t="s">
        <v>1466</v>
      </c>
      <c r="E24200" s="2" t="str">
        <f>"9783110414783"</f>
        <v>9783110414783</v>
      </c>
      <c r="F24200" s="2" t="str">
        <f>"9783110415391"</f>
        <v>9783110415391</v>
      </c>
    </row>
    <row r="24201" spans="1:6" s="3" customFormat="1" ht="29.1" customHeight="1" x14ac:dyDescent="0.25">
      <c r="A24201" s="2" t="s">
        <v>47271</v>
      </c>
      <c r="B24201" s="2" t="s">
        <v>47272</v>
      </c>
      <c r="C24201" s="2" t="s">
        <v>195</v>
      </c>
      <c r="D24201" s="2" t="s">
        <v>4185</v>
      </c>
      <c r="E24201" s="2" t="str">
        <f>"9783110409437"</f>
        <v>9783110409437</v>
      </c>
      <c r="F24201" s="2" t="str">
        <f>"9783110411362"</f>
        <v>9783110411362</v>
      </c>
    </row>
    <row r="24202" spans="1:6" s="3" customFormat="1" ht="29.1" customHeight="1" x14ac:dyDescent="0.25">
      <c r="A24202" s="2" t="s">
        <v>47273</v>
      </c>
      <c r="B24202" s="2" t="s">
        <v>47274</v>
      </c>
      <c r="C24202" s="2" t="s">
        <v>195</v>
      </c>
      <c r="D24202" s="2" t="s">
        <v>7132</v>
      </c>
      <c r="E24202" s="2" t="str">
        <f>"9783110407785"</f>
        <v>9783110407785</v>
      </c>
      <c r="F24202" s="2" t="str">
        <f>"9783110407853"</f>
        <v>9783110407853</v>
      </c>
    </row>
    <row r="24203" spans="1:6" s="3" customFormat="1" ht="29.1" customHeight="1" x14ac:dyDescent="0.25">
      <c r="A24203" s="2" t="s">
        <v>47275</v>
      </c>
      <c r="B24203" s="2" t="s">
        <v>47276</v>
      </c>
      <c r="C24203" s="2" t="s">
        <v>195</v>
      </c>
      <c r="D24203" s="2" t="s">
        <v>3564</v>
      </c>
      <c r="E24203" s="2" t="str">
        <f>"9783110335040"</f>
        <v>9783110335040</v>
      </c>
      <c r="F24203" s="2" t="str">
        <f>"9783110345933"</f>
        <v>9783110345933</v>
      </c>
    </row>
    <row r="24204" spans="1:6" s="3" customFormat="1" ht="29.1" customHeight="1" x14ac:dyDescent="0.25">
      <c r="A24204" s="2" t="s">
        <v>47277</v>
      </c>
      <c r="B24204" s="2" t="s">
        <v>47278</v>
      </c>
      <c r="C24204" s="2" t="s">
        <v>195</v>
      </c>
      <c r="D24204" s="2" t="s">
        <v>107</v>
      </c>
      <c r="E24204" s="2" t="str">
        <f>"9783110417074"</f>
        <v>9783110417074</v>
      </c>
      <c r="F24204" s="2" t="str">
        <f>"9783110419221"</f>
        <v>9783110419221</v>
      </c>
    </row>
    <row r="24205" spans="1:6" s="3" customFormat="1" ht="29.1" customHeight="1" x14ac:dyDescent="0.25">
      <c r="A24205" s="2" t="s">
        <v>47279</v>
      </c>
      <c r="B24205" s="2" t="s">
        <v>47280</v>
      </c>
      <c r="C24205" s="2" t="s">
        <v>9716</v>
      </c>
      <c r="D24205" s="2" t="s">
        <v>270</v>
      </c>
      <c r="E24205" s="2" t="str">
        <f>"9781439912768"</f>
        <v>9781439912768</v>
      </c>
      <c r="F24205" s="2" t="str">
        <f>"9781439912782"</f>
        <v>9781439912782</v>
      </c>
    </row>
    <row r="24206" spans="1:6" s="3" customFormat="1" ht="29.1" customHeight="1" x14ac:dyDescent="0.25">
      <c r="A24206" s="2" t="s">
        <v>47281</v>
      </c>
      <c r="B24206" s="2" t="s">
        <v>47282</v>
      </c>
      <c r="C24206" s="2" t="s">
        <v>43061</v>
      </c>
      <c r="D24206" s="2" t="s">
        <v>454</v>
      </c>
      <c r="E24206" s="2"/>
      <c r="F24206" s="2" t="str">
        <f>"9783737600736"</f>
        <v>9783737600736</v>
      </c>
    </row>
    <row r="24207" spans="1:6" s="3" customFormat="1" ht="29.1" customHeight="1" x14ac:dyDescent="0.25">
      <c r="A24207" s="2" t="s">
        <v>47283</v>
      </c>
      <c r="B24207" s="2" t="s">
        <v>47285</v>
      </c>
      <c r="C24207" s="2" t="s">
        <v>43061</v>
      </c>
      <c r="D24207" s="2" t="s">
        <v>47284</v>
      </c>
      <c r="E24207" s="2"/>
      <c r="F24207" s="2" t="str">
        <f>"9783862196593"</f>
        <v>9783862196593</v>
      </c>
    </row>
    <row r="24208" spans="1:6" s="3" customFormat="1" ht="29.1" customHeight="1" x14ac:dyDescent="0.25">
      <c r="A24208" s="2" t="s">
        <v>47286</v>
      </c>
      <c r="B24208" s="2" t="s">
        <v>47287</v>
      </c>
      <c r="C24208" s="2" t="s">
        <v>15181</v>
      </c>
      <c r="D24208" s="2" t="s">
        <v>1466</v>
      </c>
      <c r="E24208" s="2" t="str">
        <f>"9789633860922"</f>
        <v>9789633860922</v>
      </c>
      <c r="F24208" s="2" t="str">
        <f>"9789633860939"</f>
        <v>9789633860939</v>
      </c>
    </row>
    <row r="24209" spans="1:6" s="3" customFormat="1" ht="29.1" customHeight="1" x14ac:dyDescent="0.25">
      <c r="A24209" s="2" t="s">
        <v>47288</v>
      </c>
      <c r="B24209" s="2" t="s">
        <v>47289</v>
      </c>
      <c r="C24209" s="2" t="s">
        <v>195</v>
      </c>
      <c r="D24209" s="2" t="s">
        <v>3158</v>
      </c>
      <c r="E24209" s="2" t="str">
        <f>"9783110374292"</f>
        <v>9783110374292</v>
      </c>
      <c r="F24209" s="2" t="str">
        <f>"9783110369083"</f>
        <v>9783110369083</v>
      </c>
    </row>
    <row r="24210" spans="1:6" s="3" customFormat="1" ht="29.1" customHeight="1" x14ac:dyDescent="0.25">
      <c r="A24210" s="2" t="s">
        <v>47290</v>
      </c>
      <c r="B24210" s="2" t="s">
        <v>47291</v>
      </c>
      <c r="C24210" s="2" t="s">
        <v>43061</v>
      </c>
      <c r="D24210" s="2" t="s">
        <v>10578</v>
      </c>
      <c r="E24210" s="2"/>
      <c r="F24210" s="2" t="str">
        <f>"9783862199730"</f>
        <v>9783862199730</v>
      </c>
    </row>
    <row r="24211" spans="1:6" s="3" customFormat="1" ht="29.1" customHeight="1" x14ac:dyDescent="0.25">
      <c r="A24211" s="2" t="s">
        <v>47292</v>
      </c>
      <c r="B24211" s="2" t="s">
        <v>47293</v>
      </c>
      <c r="C24211" s="2" t="s">
        <v>4788</v>
      </c>
      <c r="D24211" s="2" t="s">
        <v>1162</v>
      </c>
      <c r="E24211" s="2" t="str">
        <f>"9780748692811"</f>
        <v>9780748692811</v>
      </c>
      <c r="F24211" s="2" t="str">
        <f>"9780748692828"</f>
        <v>9780748692828</v>
      </c>
    </row>
    <row r="24212" spans="1:6" s="3" customFormat="1" ht="29.1" customHeight="1" x14ac:dyDescent="0.25">
      <c r="A24212" s="2" t="s">
        <v>47294</v>
      </c>
      <c r="B24212" s="2" t="s">
        <v>47295</v>
      </c>
      <c r="C24212" s="2" t="s">
        <v>595</v>
      </c>
      <c r="D24212" s="2" t="s">
        <v>218</v>
      </c>
      <c r="E24212" s="2" t="str">
        <f>"9783631640647"</f>
        <v>9783631640647</v>
      </c>
      <c r="F24212" s="2" t="str">
        <f>"9783653025415"</f>
        <v>9783653025415</v>
      </c>
    </row>
    <row r="24213" spans="1:6" s="3" customFormat="1" ht="29.1" customHeight="1" x14ac:dyDescent="0.25">
      <c r="A24213" s="2" t="s">
        <v>47296</v>
      </c>
      <c r="B24213" s="2" t="s">
        <v>47297</v>
      </c>
      <c r="C24213" s="2" t="s">
        <v>43061</v>
      </c>
      <c r="D24213" s="2" t="s">
        <v>44</v>
      </c>
      <c r="E24213" s="2"/>
      <c r="F24213" s="2" t="str">
        <f>"9783737600392"</f>
        <v>9783737600392</v>
      </c>
    </row>
    <row r="24214" spans="1:6" s="3" customFormat="1" ht="29.1" customHeight="1" x14ac:dyDescent="0.25">
      <c r="A24214" s="2" t="s">
        <v>47298</v>
      </c>
      <c r="B24214" s="2" t="s">
        <v>47299</v>
      </c>
      <c r="C24214" s="2" t="s">
        <v>43061</v>
      </c>
      <c r="D24214" s="2" t="s">
        <v>553</v>
      </c>
      <c r="E24214" s="2"/>
      <c r="F24214" s="2" t="str">
        <f>"9783737600651"</f>
        <v>9783737600651</v>
      </c>
    </row>
    <row r="24215" spans="1:6" s="3" customFormat="1" ht="29.1" customHeight="1" x14ac:dyDescent="0.25">
      <c r="A24215" s="2" t="s">
        <v>47300</v>
      </c>
      <c r="B24215" s="2" t="s">
        <v>47301</v>
      </c>
      <c r="C24215" s="2" t="s">
        <v>43061</v>
      </c>
      <c r="D24215" s="2" t="s">
        <v>45236</v>
      </c>
      <c r="E24215" s="2" t="str">
        <f>"9783737600545"</f>
        <v>9783737600545</v>
      </c>
      <c r="F24215" s="2" t="str">
        <f>"9783737600552"</f>
        <v>9783737600552</v>
      </c>
    </row>
    <row r="24216" spans="1:6" s="3" customFormat="1" ht="29.1" customHeight="1" x14ac:dyDescent="0.25">
      <c r="A24216" s="2" t="s">
        <v>47302</v>
      </c>
      <c r="B24216" s="2" t="s">
        <v>47303</v>
      </c>
      <c r="C24216" s="2" t="s">
        <v>264</v>
      </c>
      <c r="D24216" s="2" t="s">
        <v>388</v>
      </c>
      <c r="E24216" s="2" t="str">
        <f>"9781482223286"</f>
        <v>9781482223286</v>
      </c>
      <c r="F24216" s="2" t="str">
        <f>"9781482223316"</f>
        <v>9781482223316</v>
      </c>
    </row>
    <row r="24217" spans="1:6" s="3" customFormat="1" ht="29.1" customHeight="1" x14ac:dyDescent="0.25">
      <c r="A24217" s="2" t="s">
        <v>47304</v>
      </c>
      <c r="B24217" s="2" t="s">
        <v>47305</v>
      </c>
      <c r="C24217" s="2" t="s">
        <v>149</v>
      </c>
      <c r="D24217" s="2" t="s">
        <v>689</v>
      </c>
      <c r="E24217" s="2" t="str">
        <f>"9781783740321"</f>
        <v>9781783740321</v>
      </c>
      <c r="F24217" s="2" t="str">
        <f>"9781783740345"</f>
        <v>9781783740345</v>
      </c>
    </row>
    <row r="24218" spans="1:6" s="3" customFormat="1" ht="29.1" customHeight="1" x14ac:dyDescent="0.25">
      <c r="A24218" s="2" t="s">
        <v>47306</v>
      </c>
      <c r="B24218" s="2" t="s">
        <v>41030</v>
      </c>
      <c r="C24218" s="2" t="s">
        <v>149</v>
      </c>
      <c r="D24218" s="2" t="s">
        <v>339</v>
      </c>
      <c r="E24218" s="2" t="str">
        <f>"9781783742035"</f>
        <v>9781783742035</v>
      </c>
      <c r="F24218" s="2" t="str">
        <f>"9781783742059"</f>
        <v>9781783742059</v>
      </c>
    </row>
    <row r="24219" spans="1:6" s="3" customFormat="1" ht="29.1" customHeight="1" x14ac:dyDescent="0.25">
      <c r="A24219" s="2" t="s">
        <v>47307</v>
      </c>
      <c r="B24219" s="2" t="s">
        <v>43841</v>
      </c>
      <c r="C24219" s="2" t="s">
        <v>149</v>
      </c>
      <c r="D24219" s="2" t="s">
        <v>1189</v>
      </c>
      <c r="E24219" s="2" t="str">
        <f>"9781783741885"</f>
        <v>9781783741885</v>
      </c>
      <c r="F24219" s="2" t="str">
        <f>"9781783741908"</f>
        <v>9781783741908</v>
      </c>
    </row>
    <row r="24220" spans="1:6" s="3" customFormat="1" ht="29.1" customHeight="1" x14ac:dyDescent="0.25">
      <c r="A24220" s="2" t="s">
        <v>47308</v>
      </c>
      <c r="B24220" s="2" t="s">
        <v>47309</v>
      </c>
      <c r="C24220" s="2" t="s">
        <v>149</v>
      </c>
      <c r="D24220" s="2" t="s">
        <v>388</v>
      </c>
      <c r="E24220" s="2" t="str">
        <f>"9781783741939"</f>
        <v>9781783741939</v>
      </c>
      <c r="F24220" s="2" t="str">
        <f>"9781783741953"</f>
        <v>9781783741953</v>
      </c>
    </row>
    <row r="24221" spans="1:6" s="3" customFormat="1" ht="29.1" customHeight="1" x14ac:dyDescent="0.25">
      <c r="A24221" s="2" t="s">
        <v>47310</v>
      </c>
      <c r="B24221" s="2" t="s">
        <v>47311</v>
      </c>
      <c r="C24221" s="2" t="s">
        <v>34257</v>
      </c>
      <c r="D24221" s="2" t="s">
        <v>27340</v>
      </c>
      <c r="E24221" s="2" t="str">
        <f>"9780745335582"</f>
        <v>9780745335582</v>
      </c>
      <c r="F24221" s="2" t="str">
        <f>"9781783713455"</f>
        <v>9781783713455</v>
      </c>
    </row>
    <row r="24222" spans="1:6" s="3" customFormat="1" ht="29.1" customHeight="1" x14ac:dyDescent="0.25">
      <c r="A24222" s="2" t="s">
        <v>47312</v>
      </c>
      <c r="B24222" s="2" t="s">
        <v>47313</v>
      </c>
      <c r="C24222" s="2" t="s">
        <v>34257</v>
      </c>
      <c r="D24222" s="2" t="s">
        <v>14946</v>
      </c>
      <c r="E24222" s="2" t="str">
        <f>"9780745335315"</f>
        <v>9780745335315</v>
      </c>
      <c r="F24222" s="2" t="str">
        <f>"9781783717552"</f>
        <v>9781783717552</v>
      </c>
    </row>
    <row r="24223" spans="1:6" s="3" customFormat="1" ht="29.1" customHeight="1" x14ac:dyDescent="0.25">
      <c r="A24223" s="2" t="s">
        <v>47314</v>
      </c>
      <c r="B24223" s="2" t="s">
        <v>47315</v>
      </c>
      <c r="C24223" s="2" t="s">
        <v>124</v>
      </c>
      <c r="D24223" s="2" t="s">
        <v>186</v>
      </c>
      <c r="E24223" s="2" t="str">
        <f>"9781138897779"</f>
        <v>9781138897779</v>
      </c>
      <c r="F24223" s="2" t="str">
        <f>"9781317484561"</f>
        <v>9781317484561</v>
      </c>
    </row>
    <row r="24224" spans="1:6" s="3" customFormat="1" ht="29.1" customHeight="1" x14ac:dyDescent="0.25">
      <c r="A24224" s="2" t="s">
        <v>47316</v>
      </c>
      <c r="B24224" s="2" t="s">
        <v>47317</v>
      </c>
      <c r="C24224" s="2" t="s">
        <v>9716</v>
      </c>
      <c r="D24224" s="2" t="s">
        <v>297</v>
      </c>
      <c r="E24224" s="2" t="str">
        <f>"9781439912706"</f>
        <v>9781439912706</v>
      </c>
      <c r="F24224" s="2" t="str">
        <f>"9781439912720"</f>
        <v>9781439912720</v>
      </c>
    </row>
    <row r="24225" spans="1:6" s="3" customFormat="1" ht="29.1" customHeight="1" x14ac:dyDescent="0.25">
      <c r="A24225" s="2" t="s">
        <v>47318</v>
      </c>
      <c r="B24225" s="2" t="s">
        <v>47319</v>
      </c>
      <c r="C24225" s="2" t="s">
        <v>195</v>
      </c>
      <c r="D24225" s="2" t="s">
        <v>1183</v>
      </c>
      <c r="E24225" s="2" t="str">
        <f>"9783110405583"</f>
        <v>9783110405583</v>
      </c>
      <c r="F24225" s="2" t="str">
        <f>"9783110405613"</f>
        <v>9783110405613</v>
      </c>
    </row>
    <row r="24226" spans="1:6" s="3" customFormat="1" ht="29.1" customHeight="1" x14ac:dyDescent="0.25">
      <c r="A24226" s="2" t="s">
        <v>47320</v>
      </c>
      <c r="B24226" s="2" t="s">
        <v>47321</v>
      </c>
      <c r="C24226" s="2" t="s">
        <v>195</v>
      </c>
      <c r="D24226" s="2" t="s">
        <v>509</v>
      </c>
      <c r="E24226" s="2" t="str">
        <f>"9783110411263"</f>
        <v>9783110411263</v>
      </c>
      <c r="F24226" s="2" t="str">
        <f>"9783110379891"</f>
        <v>9783110379891</v>
      </c>
    </row>
    <row r="24227" spans="1:6" s="3" customFormat="1" ht="29.1" customHeight="1" x14ac:dyDescent="0.25">
      <c r="A24227" s="2" t="s">
        <v>47322</v>
      </c>
      <c r="B24227" s="2" t="s">
        <v>47323</v>
      </c>
      <c r="C24227" s="2" t="s">
        <v>195</v>
      </c>
      <c r="D24227" s="2" t="s">
        <v>210</v>
      </c>
      <c r="E24227" s="2" t="str">
        <f>"9783486718591"</f>
        <v>9783486718591</v>
      </c>
      <c r="F24227" s="2" t="str">
        <f>"9783110446784"</f>
        <v>9783110446784</v>
      </c>
    </row>
    <row r="24228" spans="1:6" s="3" customFormat="1" ht="29.1" customHeight="1" x14ac:dyDescent="0.25">
      <c r="A24228" s="2" t="s">
        <v>47324</v>
      </c>
      <c r="B24228" s="2" t="s">
        <v>47325</v>
      </c>
      <c r="C24228" s="2" t="s">
        <v>55</v>
      </c>
      <c r="D24228" s="2" t="s">
        <v>3245</v>
      </c>
      <c r="E24228" s="2" t="str">
        <f>"9780719095771"</f>
        <v>9780719095771</v>
      </c>
      <c r="F24228" s="2" t="str">
        <f>"9781847799258"</f>
        <v>9781847799258</v>
      </c>
    </row>
    <row r="24229" spans="1:6" s="3" customFormat="1" ht="29.1" customHeight="1" x14ac:dyDescent="0.25">
      <c r="A24229" s="2" t="s">
        <v>47326</v>
      </c>
      <c r="B24229" s="2" t="s">
        <v>1594</v>
      </c>
      <c r="C24229" s="2" t="s">
        <v>124</v>
      </c>
      <c r="D24229" s="2" t="s">
        <v>95</v>
      </c>
      <c r="E24229" s="2" t="str">
        <f>"9781041182962"</f>
        <v>9781041182962</v>
      </c>
      <c r="F24229" s="2" t="str">
        <f>"9781040776483"</f>
        <v>9781040776483</v>
      </c>
    </row>
    <row r="24230" spans="1:6" s="3" customFormat="1" ht="29.1" customHeight="1" x14ac:dyDescent="0.25">
      <c r="A24230" s="2" t="s">
        <v>47327</v>
      </c>
      <c r="B24230" s="2" t="s">
        <v>47328</v>
      </c>
      <c r="C24230" s="2" t="s">
        <v>927</v>
      </c>
      <c r="D24230" s="2" t="s">
        <v>33</v>
      </c>
      <c r="E24230" s="2" t="str">
        <f>"9780472119714"</f>
        <v>9780472119714</v>
      </c>
      <c r="F24230" s="2" t="str">
        <f>"9780472121502"</f>
        <v>9780472121502</v>
      </c>
    </row>
    <row r="24231" spans="1:6" s="3" customFormat="1" ht="29.1" customHeight="1" x14ac:dyDescent="0.25">
      <c r="A24231" s="2" t="s">
        <v>47329</v>
      </c>
      <c r="B24231" s="2" t="s">
        <v>47330</v>
      </c>
      <c r="C24231" s="2" t="s">
        <v>124</v>
      </c>
      <c r="D24231" s="2" t="s">
        <v>2599</v>
      </c>
      <c r="E24231" s="2" t="str">
        <f>"9781138857650"</f>
        <v>9781138857650</v>
      </c>
      <c r="F24231" s="2" t="str">
        <f>"9781317513186"</f>
        <v>9781317513186</v>
      </c>
    </row>
    <row r="24232" spans="1:6" s="3" customFormat="1" ht="29.1" customHeight="1" x14ac:dyDescent="0.25">
      <c r="A24232" s="2" t="s">
        <v>47331</v>
      </c>
      <c r="B24232" s="2" t="s">
        <v>47332</v>
      </c>
      <c r="C24232" s="2" t="s">
        <v>124</v>
      </c>
      <c r="D24232" s="2" t="s">
        <v>12120</v>
      </c>
      <c r="E24232" s="2" t="str">
        <f>"9781138850873"</f>
        <v>9781138850873</v>
      </c>
      <c r="F24232" s="2" t="str">
        <f>"9781317531142"</f>
        <v>9781317531142</v>
      </c>
    </row>
    <row r="24233" spans="1:6" s="3" customFormat="1" ht="29.1" customHeight="1" x14ac:dyDescent="0.25">
      <c r="A24233" s="2" t="s">
        <v>47333</v>
      </c>
      <c r="B24233" s="2" t="s">
        <v>47334</v>
      </c>
      <c r="C24233" s="2" t="s">
        <v>124</v>
      </c>
      <c r="D24233" s="2" t="s">
        <v>647</v>
      </c>
      <c r="E24233" s="2" t="str">
        <f>"9780415739160"</f>
        <v>9780415739160</v>
      </c>
      <c r="F24233" s="2" t="str">
        <f>"9781317811909"</f>
        <v>9781317811909</v>
      </c>
    </row>
    <row r="24234" spans="1:6" s="3" customFormat="1" ht="29.1" customHeight="1" x14ac:dyDescent="0.25">
      <c r="A24234" s="2" t="s">
        <v>47335</v>
      </c>
      <c r="B24234" s="2" t="s">
        <v>47336</v>
      </c>
      <c r="C24234" s="2" t="s">
        <v>124</v>
      </c>
      <c r="D24234" s="2" t="s">
        <v>2587</v>
      </c>
      <c r="E24234" s="2" t="str">
        <f>"9781138912991"</f>
        <v>9781138912991</v>
      </c>
      <c r="F24234" s="2" t="str">
        <f>"9781317430766"</f>
        <v>9781317430766</v>
      </c>
    </row>
    <row r="24235" spans="1:6" s="3" customFormat="1" ht="29.1" customHeight="1" x14ac:dyDescent="0.25">
      <c r="A24235" s="2" t="s">
        <v>47337</v>
      </c>
      <c r="B24235" s="2" t="s">
        <v>47338</v>
      </c>
      <c r="C24235" s="2" t="s">
        <v>1070</v>
      </c>
      <c r="D24235" s="2" t="s">
        <v>1278</v>
      </c>
      <c r="E24235" s="2" t="str">
        <f>"9781910797037"</f>
        <v>9781910797037</v>
      </c>
      <c r="F24235" s="2" t="str">
        <f>"9781910797044"</f>
        <v>9781910797044</v>
      </c>
    </row>
    <row r="24236" spans="1:6" s="3" customFormat="1" ht="29.1" customHeight="1" x14ac:dyDescent="0.25">
      <c r="A24236" s="2" t="s">
        <v>47339</v>
      </c>
      <c r="B24236" s="2" t="s">
        <v>47340</v>
      </c>
      <c r="C24236" s="2" t="s">
        <v>124</v>
      </c>
      <c r="D24236" s="2" t="s">
        <v>297</v>
      </c>
      <c r="E24236" s="2" t="str">
        <f>"9789089648426"</f>
        <v>9789089648426</v>
      </c>
      <c r="F24236" s="2" t="str">
        <f>"9781040793046"</f>
        <v>9781040793046</v>
      </c>
    </row>
    <row r="24237" spans="1:6" s="3" customFormat="1" ht="29.1" customHeight="1" x14ac:dyDescent="0.25">
      <c r="A24237" s="2" t="s">
        <v>47341</v>
      </c>
      <c r="B24237" s="2" t="s">
        <v>47342</v>
      </c>
      <c r="C24237" s="2" t="s">
        <v>124</v>
      </c>
      <c r="D24237" s="2" t="s">
        <v>210</v>
      </c>
      <c r="E24237" s="2" t="str">
        <f>"9781041186519"</f>
        <v>9781041186519</v>
      </c>
      <c r="F24237" s="2" t="str">
        <f>"9781040798157"</f>
        <v>9781040798157</v>
      </c>
    </row>
    <row r="24238" spans="1:6" s="3" customFormat="1" ht="29.1" customHeight="1" x14ac:dyDescent="0.25">
      <c r="A24238" s="2" t="s">
        <v>47343</v>
      </c>
      <c r="B24238" s="2" t="s">
        <v>47344</v>
      </c>
      <c r="C24238" s="2" t="s">
        <v>124</v>
      </c>
      <c r="D24238" s="2" t="s">
        <v>270</v>
      </c>
      <c r="E24238" s="2" t="str">
        <f>"9781041185550"</f>
        <v>9781041185550</v>
      </c>
      <c r="F24238" s="2" t="str">
        <f>"9781040773697"</f>
        <v>9781040773697</v>
      </c>
    </row>
    <row r="24239" spans="1:6" s="3" customFormat="1" ht="29.1" customHeight="1" x14ac:dyDescent="0.25">
      <c r="A24239" s="2" t="s">
        <v>47345</v>
      </c>
      <c r="B24239" s="2" t="s">
        <v>47346</v>
      </c>
      <c r="C24239" s="2" t="s">
        <v>124</v>
      </c>
      <c r="D24239" s="2" t="s">
        <v>1198</v>
      </c>
      <c r="E24239" s="2" t="str">
        <f>"9789089647412"</f>
        <v>9789089647412</v>
      </c>
      <c r="F24239" s="2" t="str">
        <f>"9781040787991"</f>
        <v>9781040787991</v>
      </c>
    </row>
    <row r="24240" spans="1:6" s="3" customFormat="1" ht="29.1" customHeight="1" x14ac:dyDescent="0.25">
      <c r="A24240" s="2" t="s">
        <v>47347</v>
      </c>
      <c r="B24240" s="2" t="s">
        <v>47348</v>
      </c>
      <c r="C24240" s="2" t="s">
        <v>124</v>
      </c>
      <c r="D24240" s="2" t="s">
        <v>297</v>
      </c>
      <c r="E24240" s="2" t="str">
        <f>"9781041176374"</f>
        <v>9781041176374</v>
      </c>
      <c r="F24240" s="2" t="str">
        <f>"9781040774793"</f>
        <v>9781040774793</v>
      </c>
    </row>
    <row r="24241" spans="1:6" s="3" customFormat="1" ht="29.1" customHeight="1" x14ac:dyDescent="0.25">
      <c r="A24241" s="2" t="s">
        <v>45913</v>
      </c>
      <c r="B24241" s="2" t="s">
        <v>45914</v>
      </c>
      <c r="C24241" s="2" t="s">
        <v>43061</v>
      </c>
      <c r="D24241" s="2" t="s">
        <v>650</v>
      </c>
      <c r="E24241" s="2"/>
      <c r="F24241" s="2" t="str">
        <f>"9783737600293"</f>
        <v>9783737600293</v>
      </c>
    </row>
    <row r="24242" spans="1:6" s="3" customFormat="1" ht="29.1" customHeight="1" x14ac:dyDescent="0.25">
      <c r="A24242" s="2" t="s">
        <v>47349</v>
      </c>
      <c r="B24242" s="2" t="s">
        <v>47350</v>
      </c>
      <c r="C24242" s="2" t="s">
        <v>43061</v>
      </c>
      <c r="D24242" s="2" t="s">
        <v>16704</v>
      </c>
      <c r="E24242" s="2"/>
      <c r="F24242" s="2" t="str">
        <f>"9783737600491"</f>
        <v>9783737600491</v>
      </c>
    </row>
    <row r="24243" spans="1:6" s="3" customFormat="1" ht="29.1" customHeight="1" x14ac:dyDescent="0.25">
      <c r="A24243" s="2" t="s">
        <v>47351</v>
      </c>
      <c r="B24243" s="2" t="s">
        <v>47352</v>
      </c>
      <c r="C24243" s="2" t="s">
        <v>43061</v>
      </c>
      <c r="D24243" s="2" t="s">
        <v>3910</v>
      </c>
      <c r="E24243" s="2"/>
      <c r="F24243" s="2" t="str">
        <f>"9783737600576"</f>
        <v>9783737600576</v>
      </c>
    </row>
    <row r="24244" spans="1:6" s="3" customFormat="1" ht="29.1" customHeight="1" x14ac:dyDescent="0.25">
      <c r="A24244" s="2" t="s">
        <v>47353</v>
      </c>
      <c r="B24244" s="2" t="s">
        <v>47355</v>
      </c>
      <c r="C24244" s="2" t="s">
        <v>43061</v>
      </c>
      <c r="D24244" s="2" t="s">
        <v>47354</v>
      </c>
      <c r="E24244" s="2"/>
      <c r="F24244" s="2" t="str">
        <f>"9783862198450"</f>
        <v>9783862198450</v>
      </c>
    </row>
    <row r="24245" spans="1:6" s="3" customFormat="1" ht="29.1" customHeight="1" x14ac:dyDescent="0.25">
      <c r="A24245" s="2" t="s">
        <v>47356</v>
      </c>
      <c r="B24245" s="2" t="s">
        <v>47357</v>
      </c>
      <c r="C24245" s="2" t="s">
        <v>556</v>
      </c>
      <c r="D24245" s="2" t="s">
        <v>2462</v>
      </c>
      <c r="E24245" s="2" t="str">
        <f>"9783837633412"</f>
        <v>9783837633412</v>
      </c>
      <c r="F24245" s="2" t="str">
        <f>"9783839433416"</f>
        <v>9783839433416</v>
      </c>
    </row>
    <row r="24246" spans="1:6" s="3" customFormat="1" ht="29.1" customHeight="1" x14ac:dyDescent="0.25">
      <c r="A24246" s="2" t="s">
        <v>47358</v>
      </c>
      <c r="B24246" s="2" t="s">
        <v>47359</v>
      </c>
      <c r="C24246" s="2" t="s">
        <v>556</v>
      </c>
      <c r="D24246" s="2" t="s">
        <v>175</v>
      </c>
      <c r="E24246" s="2" t="str">
        <f>"9783837633160"</f>
        <v>9783837633160</v>
      </c>
      <c r="F24246" s="2" t="str">
        <f>"9783839433164"</f>
        <v>9783839433164</v>
      </c>
    </row>
    <row r="24247" spans="1:6" s="3" customFormat="1" ht="29.1" customHeight="1" x14ac:dyDescent="0.25">
      <c r="A24247" s="2" t="s">
        <v>47360</v>
      </c>
      <c r="B24247" s="2" t="s">
        <v>47361</v>
      </c>
      <c r="C24247" s="2" t="s">
        <v>556</v>
      </c>
      <c r="D24247" s="2" t="s">
        <v>1001</v>
      </c>
      <c r="E24247" s="2" t="str">
        <f>"9783837632644"</f>
        <v>9783837632644</v>
      </c>
      <c r="F24247" s="2" t="str">
        <f>"9783839432648"</f>
        <v>9783839432648</v>
      </c>
    </row>
    <row r="24248" spans="1:6" s="3" customFormat="1" ht="29.1" customHeight="1" x14ac:dyDescent="0.25">
      <c r="A24248" s="2" t="s">
        <v>47362</v>
      </c>
      <c r="B24248" s="2" t="s">
        <v>47363</v>
      </c>
      <c r="C24248" s="2" t="s">
        <v>556</v>
      </c>
      <c r="D24248" s="2" t="s">
        <v>501</v>
      </c>
      <c r="E24248" s="2" t="str">
        <f>"9783837632255"</f>
        <v>9783837632255</v>
      </c>
      <c r="F24248" s="2" t="str">
        <f>"9783839432259"</f>
        <v>9783839432259</v>
      </c>
    </row>
    <row r="24249" spans="1:6" s="3" customFormat="1" ht="29.1" customHeight="1" x14ac:dyDescent="0.25">
      <c r="A24249" s="2" t="s">
        <v>47364</v>
      </c>
      <c r="B24249" s="2" t="s">
        <v>47365</v>
      </c>
      <c r="C24249" s="2" t="s">
        <v>556</v>
      </c>
      <c r="D24249" s="2" t="s">
        <v>2326</v>
      </c>
      <c r="E24249" s="2" t="str">
        <f>"9783837631890"</f>
        <v>9783837631890</v>
      </c>
      <c r="F24249" s="2" t="str">
        <f>"9783839431894"</f>
        <v>9783839431894</v>
      </c>
    </row>
    <row r="24250" spans="1:6" s="3" customFormat="1" ht="29.1" customHeight="1" x14ac:dyDescent="0.25">
      <c r="A24250" s="2" t="s">
        <v>47366</v>
      </c>
      <c r="B24250" s="2" t="s">
        <v>47367</v>
      </c>
      <c r="C24250" s="2" t="s">
        <v>556</v>
      </c>
      <c r="D24250" s="2" t="s">
        <v>636</v>
      </c>
      <c r="E24250" s="2" t="str">
        <f>"9783837631753"</f>
        <v>9783837631753</v>
      </c>
      <c r="F24250" s="2" t="str">
        <f>"9783839431757"</f>
        <v>9783839431757</v>
      </c>
    </row>
    <row r="24251" spans="1:6" s="3" customFormat="1" ht="29.1" customHeight="1" x14ac:dyDescent="0.25">
      <c r="A24251" s="2" t="s">
        <v>47368</v>
      </c>
      <c r="B24251" s="2" t="s">
        <v>47369</v>
      </c>
      <c r="C24251" s="2" t="s">
        <v>556</v>
      </c>
      <c r="D24251" s="2" t="s">
        <v>4789</v>
      </c>
      <c r="E24251" s="2" t="str">
        <f>"9783837631722"</f>
        <v>9783837631722</v>
      </c>
      <c r="F24251" s="2" t="str">
        <f>"9783839431726"</f>
        <v>9783839431726</v>
      </c>
    </row>
    <row r="24252" spans="1:6" s="3" customFormat="1" ht="29.1" customHeight="1" x14ac:dyDescent="0.25">
      <c r="A24252" s="2" t="s">
        <v>47370</v>
      </c>
      <c r="B24252" s="2" t="s">
        <v>47371</v>
      </c>
      <c r="C24252" s="2" t="s">
        <v>556</v>
      </c>
      <c r="D24252" s="2" t="s">
        <v>2462</v>
      </c>
      <c r="E24252" s="2" t="str">
        <f>"9783837631357"</f>
        <v>9783837631357</v>
      </c>
      <c r="F24252" s="2" t="str">
        <f>"9783839431351"</f>
        <v>9783839431351</v>
      </c>
    </row>
    <row r="24253" spans="1:6" s="3" customFormat="1" ht="29.1" customHeight="1" x14ac:dyDescent="0.25">
      <c r="A24253" s="2" t="s">
        <v>47372</v>
      </c>
      <c r="B24253" s="2" t="s">
        <v>47373</v>
      </c>
      <c r="C24253" s="2" t="s">
        <v>556</v>
      </c>
      <c r="D24253" s="2" t="s">
        <v>1046</v>
      </c>
      <c r="E24253" s="2" t="str">
        <f>"9783837631012"</f>
        <v>9783837631012</v>
      </c>
      <c r="F24253" s="2" t="str">
        <f>"9783839431016"</f>
        <v>9783839431016</v>
      </c>
    </row>
    <row r="24254" spans="1:6" s="3" customFormat="1" ht="29.1" customHeight="1" x14ac:dyDescent="0.25">
      <c r="A24254" s="2" t="s">
        <v>47374</v>
      </c>
      <c r="B24254" s="2" t="s">
        <v>47375</v>
      </c>
      <c r="C24254" s="2" t="s">
        <v>556</v>
      </c>
      <c r="D24254" s="2" t="s">
        <v>1155</v>
      </c>
      <c r="E24254" s="2" t="str">
        <f>"9783837630930"</f>
        <v>9783837630930</v>
      </c>
      <c r="F24254" s="2" t="str">
        <f>"9783839430934"</f>
        <v>9783839430934</v>
      </c>
    </row>
    <row r="24255" spans="1:6" s="3" customFormat="1" ht="29.1" customHeight="1" x14ac:dyDescent="0.25">
      <c r="A24255" s="2" t="s">
        <v>47376</v>
      </c>
      <c r="B24255" s="2" t="s">
        <v>47377</v>
      </c>
      <c r="C24255" s="2" t="s">
        <v>556</v>
      </c>
      <c r="D24255" s="2" t="s">
        <v>14352</v>
      </c>
      <c r="E24255" s="2" t="str">
        <f>"9783837630138"</f>
        <v>9783837630138</v>
      </c>
      <c r="F24255" s="2" t="str">
        <f>"9783839430132"</f>
        <v>9783839430132</v>
      </c>
    </row>
    <row r="24256" spans="1:6" s="3" customFormat="1" ht="29.1" customHeight="1" x14ac:dyDescent="0.25">
      <c r="A24256" s="2" t="s">
        <v>47378</v>
      </c>
      <c r="B24256" s="2" t="s">
        <v>47379</v>
      </c>
      <c r="C24256" s="2" t="s">
        <v>556</v>
      </c>
      <c r="D24256" s="2" t="s">
        <v>72</v>
      </c>
      <c r="E24256" s="2" t="str">
        <f>"9783837629965"</f>
        <v>9783837629965</v>
      </c>
      <c r="F24256" s="2" t="str">
        <f>"9783839429969"</f>
        <v>9783839429969</v>
      </c>
    </row>
    <row r="24257" spans="1:6" s="3" customFormat="1" ht="29.1" customHeight="1" x14ac:dyDescent="0.25">
      <c r="A24257" s="2" t="s">
        <v>47380</v>
      </c>
      <c r="B24257" s="2" t="s">
        <v>47381</v>
      </c>
      <c r="C24257" s="2" t="s">
        <v>556</v>
      </c>
      <c r="D24257" s="2" t="s">
        <v>1895</v>
      </c>
      <c r="E24257" s="2" t="str">
        <f>"9783837628500"</f>
        <v>9783837628500</v>
      </c>
      <c r="F24257" s="2" t="str">
        <f>"9783839428504"</f>
        <v>9783839428504</v>
      </c>
    </row>
    <row r="24258" spans="1:6" s="3" customFormat="1" ht="29.1" customHeight="1" x14ac:dyDescent="0.25">
      <c r="A24258" s="2" t="s">
        <v>47382</v>
      </c>
      <c r="B24258" s="2" t="s">
        <v>47383</v>
      </c>
      <c r="C24258" s="2" t="s">
        <v>556</v>
      </c>
      <c r="D24258" s="2" t="s">
        <v>4670</v>
      </c>
      <c r="E24258" s="2" t="str">
        <f>"9783837628425"</f>
        <v>9783837628425</v>
      </c>
      <c r="F24258" s="2" t="str">
        <f>"9783839428429"</f>
        <v>9783839428429</v>
      </c>
    </row>
    <row r="24259" spans="1:6" s="3" customFormat="1" ht="29.1" customHeight="1" x14ac:dyDescent="0.25">
      <c r="A24259" s="2" t="s">
        <v>47384</v>
      </c>
      <c r="B24259" s="2" t="s">
        <v>47385</v>
      </c>
      <c r="C24259" s="2" t="s">
        <v>556</v>
      </c>
      <c r="D24259" s="2" t="s">
        <v>4030</v>
      </c>
      <c r="E24259" s="2" t="str">
        <f>"9783837627961"</f>
        <v>9783837627961</v>
      </c>
      <c r="F24259" s="2" t="str">
        <f>"9783839427965"</f>
        <v>9783839427965</v>
      </c>
    </row>
    <row r="24260" spans="1:6" s="3" customFormat="1" ht="29.1" customHeight="1" x14ac:dyDescent="0.25">
      <c r="A24260" s="2" t="s">
        <v>47386</v>
      </c>
      <c r="B24260" s="2" t="s">
        <v>47387</v>
      </c>
      <c r="C24260" s="2" t="s">
        <v>556</v>
      </c>
      <c r="D24260" s="2" t="s">
        <v>636</v>
      </c>
      <c r="E24260" s="2" t="str">
        <f>"9783837626506"</f>
        <v>9783837626506</v>
      </c>
      <c r="F24260" s="2" t="str">
        <f>"9783839426500"</f>
        <v>9783839426500</v>
      </c>
    </row>
    <row r="24261" spans="1:6" s="3" customFormat="1" ht="29.1" customHeight="1" x14ac:dyDescent="0.25">
      <c r="A24261" s="2" t="s">
        <v>47388</v>
      </c>
      <c r="B24261" s="2" t="s">
        <v>47389</v>
      </c>
      <c r="C24261" s="2" t="s">
        <v>556</v>
      </c>
      <c r="D24261" s="2" t="s">
        <v>636</v>
      </c>
      <c r="E24261" s="2" t="str">
        <f>"9783837624762"</f>
        <v>9783837624762</v>
      </c>
      <c r="F24261" s="2" t="str">
        <f>"9783839424766"</f>
        <v>9783839424766</v>
      </c>
    </row>
    <row r="24262" spans="1:6" s="3" customFormat="1" ht="29.1" customHeight="1" x14ac:dyDescent="0.25">
      <c r="A24262" s="2" t="s">
        <v>47390</v>
      </c>
      <c r="B24262" s="2" t="s">
        <v>47391</v>
      </c>
      <c r="C24262" s="2" t="s">
        <v>595</v>
      </c>
      <c r="D24262" s="2" t="s">
        <v>334</v>
      </c>
      <c r="E24262" s="2" t="str">
        <f>"9783631661970"</f>
        <v>9783631661970</v>
      </c>
      <c r="F24262" s="2" t="str">
        <f>"9783653058598"</f>
        <v>9783653058598</v>
      </c>
    </row>
    <row r="24263" spans="1:6" s="3" customFormat="1" ht="29.1" customHeight="1" x14ac:dyDescent="0.25">
      <c r="A24263" s="2" t="s">
        <v>47392</v>
      </c>
      <c r="B24263" s="2" t="s">
        <v>47393</v>
      </c>
      <c r="C24263" s="2" t="s">
        <v>595</v>
      </c>
      <c r="D24263" s="2" t="s">
        <v>2713</v>
      </c>
      <c r="E24263" s="2" t="str">
        <f>"9783631668788"</f>
        <v>9783631668788</v>
      </c>
      <c r="F24263" s="2" t="str">
        <f>"9783653062410"</f>
        <v>9783653062410</v>
      </c>
    </row>
    <row r="24264" spans="1:6" s="3" customFormat="1" ht="29.1" customHeight="1" x14ac:dyDescent="0.25">
      <c r="A24264" s="2" t="s">
        <v>47394</v>
      </c>
      <c r="B24264" s="2" t="s">
        <v>47395</v>
      </c>
      <c r="C24264" s="2" t="s">
        <v>29</v>
      </c>
      <c r="D24264" s="2" t="s">
        <v>4160</v>
      </c>
      <c r="E24264" s="2" t="str">
        <f>"9789004305298"</f>
        <v>9789004305298</v>
      </c>
      <c r="F24264" s="2" t="str">
        <f>"9789004305380"</f>
        <v>9789004305380</v>
      </c>
    </row>
    <row r="24265" spans="1:6" s="3" customFormat="1" ht="29.1" customHeight="1" x14ac:dyDescent="0.25">
      <c r="A24265" s="2" t="s">
        <v>47396</v>
      </c>
      <c r="B24265" s="2" t="s">
        <v>47397</v>
      </c>
      <c r="C24265" s="2" t="s">
        <v>29</v>
      </c>
      <c r="D24265" s="2" t="s">
        <v>4064</v>
      </c>
      <c r="E24265" s="2" t="str">
        <f>"9789004274747"</f>
        <v>9789004274747</v>
      </c>
      <c r="F24265" s="2" t="str">
        <f>"9789004292888"</f>
        <v>9789004292888</v>
      </c>
    </row>
    <row r="24266" spans="1:6" s="3" customFormat="1" ht="29.1" customHeight="1" x14ac:dyDescent="0.25">
      <c r="A24266" s="2" t="s">
        <v>47398</v>
      </c>
      <c r="B24266" s="2" t="s">
        <v>47399</v>
      </c>
      <c r="C24266" s="2" t="s">
        <v>124</v>
      </c>
      <c r="D24266" s="2" t="s">
        <v>6187</v>
      </c>
      <c r="E24266" s="2" t="str">
        <f>"9781041179016"</f>
        <v>9781041179016</v>
      </c>
      <c r="F24266" s="2" t="str">
        <f>"9781040780237"</f>
        <v>9781040780237</v>
      </c>
    </row>
    <row r="24267" spans="1:6" s="3" customFormat="1" ht="29.1" customHeight="1" x14ac:dyDescent="0.25">
      <c r="A24267" s="2" t="s">
        <v>47400</v>
      </c>
      <c r="B24267" s="2" t="s">
        <v>47401</v>
      </c>
      <c r="C24267" s="2" t="s">
        <v>43061</v>
      </c>
      <c r="D24267" s="2" t="s">
        <v>7199</v>
      </c>
      <c r="E24267" s="2"/>
      <c r="F24267" s="2" t="str">
        <f>"9783862198399"</f>
        <v>9783862198399</v>
      </c>
    </row>
    <row r="24268" spans="1:6" s="3" customFormat="1" ht="29.1" customHeight="1" x14ac:dyDescent="0.25">
      <c r="A24268" s="2" t="s">
        <v>47402</v>
      </c>
      <c r="B24268" s="2" t="s">
        <v>47403</v>
      </c>
      <c r="C24268" s="2" t="s">
        <v>43061</v>
      </c>
      <c r="D24268" s="2" t="s">
        <v>215</v>
      </c>
      <c r="E24268" s="2"/>
      <c r="F24268" s="2" t="str">
        <f>"9783737600439"</f>
        <v>9783737600439</v>
      </c>
    </row>
    <row r="24269" spans="1:6" s="3" customFormat="1" ht="29.1" customHeight="1" x14ac:dyDescent="0.25">
      <c r="A24269" s="2" t="s">
        <v>47404</v>
      </c>
      <c r="B24269" s="2" t="s">
        <v>47405</v>
      </c>
      <c r="C24269" s="2" t="s">
        <v>195</v>
      </c>
      <c r="D24269" s="2" t="s">
        <v>210</v>
      </c>
      <c r="E24269" s="2" t="str">
        <f>"9783110371246"</f>
        <v>9783110371246</v>
      </c>
      <c r="F24269" s="2" t="str">
        <f>"9783110371277"</f>
        <v>9783110371277</v>
      </c>
    </row>
    <row r="24270" spans="1:6" s="3" customFormat="1" ht="29.1" customHeight="1" x14ac:dyDescent="0.25">
      <c r="A24270" s="2" t="s">
        <v>47406</v>
      </c>
      <c r="B24270" s="2" t="s">
        <v>47407</v>
      </c>
      <c r="C24270" s="2" t="s">
        <v>124</v>
      </c>
      <c r="D24270" s="2" t="s">
        <v>1198</v>
      </c>
      <c r="E24270" s="2" t="str">
        <f>"9789089647559"</f>
        <v>9789089647559</v>
      </c>
      <c r="F24270" s="2" t="str">
        <f>"9781040795965"</f>
        <v>9781040795965</v>
      </c>
    </row>
    <row r="24271" spans="1:6" s="3" customFormat="1" ht="29.1" customHeight="1" x14ac:dyDescent="0.25">
      <c r="A24271" s="2" t="s">
        <v>47408</v>
      </c>
      <c r="B24271" s="2" t="s">
        <v>47409</v>
      </c>
      <c r="C24271" s="2" t="s">
        <v>124</v>
      </c>
      <c r="D24271" s="2" t="s">
        <v>4742</v>
      </c>
      <c r="E24271" s="2" t="str">
        <f>"9781041185901"</f>
        <v>9781041185901</v>
      </c>
      <c r="F24271" s="2" t="str">
        <f>"9781040788356"</f>
        <v>9781040788356</v>
      </c>
    </row>
    <row r="24272" spans="1:6" s="3" customFormat="1" ht="29.1" customHeight="1" x14ac:dyDescent="0.25">
      <c r="A24272" s="2" t="s">
        <v>47410</v>
      </c>
      <c r="B24272" s="2" t="s">
        <v>47411</v>
      </c>
      <c r="C24272" s="2" t="s">
        <v>11220</v>
      </c>
      <c r="D24272" s="2" t="s">
        <v>712</v>
      </c>
      <c r="E24272" s="2" t="str">
        <f>"9781479848560"</f>
        <v>9781479848560</v>
      </c>
      <c r="F24272" s="2" t="str">
        <f>"9781479837182"</f>
        <v>9781479837182</v>
      </c>
    </row>
    <row r="24273" spans="1:6" s="3" customFormat="1" ht="29.1" customHeight="1" x14ac:dyDescent="0.25">
      <c r="A24273" s="2" t="s">
        <v>47412</v>
      </c>
      <c r="B24273" s="2" t="s">
        <v>47413</v>
      </c>
      <c r="C24273" s="2" t="s">
        <v>195</v>
      </c>
      <c r="D24273" s="2" t="s">
        <v>446</v>
      </c>
      <c r="E24273" s="2" t="str">
        <f>"9783110280814"</f>
        <v>9783110280814</v>
      </c>
      <c r="F24273" s="2" t="str">
        <f>"9783110282566"</f>
        <v>9783110282566</v>
      </c>
    </row>
    <row r="24274" spans="1:6" s="3" customFormat="1" ht="29.1" customHeight="1" x14ac:dyDescent="0.25">
      <c r="A24274" s="2" t="s">
        <v>47414</v>
      </c>
      <c r="B24274" s="2" t="s">
        <v>47415</v>
      </c>
      <c r="C24274" s="2" t="s">
        <v>195</v>
      </c>
      <c r="D24274" s="2" t="s">
        <v>5021</v>
      </c>
      <c r="E24274" s="2" t="str">
        <f>"9783110426830"</f>
        <v>9783110426830</v>
      </c>
      <c r="F24274" s="2" t="str">
        <f>"9783110424713"</f>
        <v>9783110424713</v>
      </c>
    </row>
    <row r="24275" spans="1:6" s="3" customFormat="1" ht="29.1" customHeight="1" x14ac:dyDescent="0.25">
      <c r="A24275" s="2" t="s">
        <v>47416</v>
      </c>
      <c r="B24275" s="2" t="s">
        <v>47417</v>
      </c>
      <c r="C24275" s="2" t="s">
        <v>195</v>
      </c>
      <c r="D24275" s="2" t="s">
        <v>1183</v>
      </c>
      <c r="E24275" s="2" t="str">
        <f>"9783110414752"</f>
        <v>9783110414752</v>
      </c>
      <c r="F24275" s="2" t="str">
        <f>"9783110415537"</f>
        <v>9783110415537</v>
      </c>
    </row>
    <row r="24276" spans="1:6" s="3" customFormat="1" ht="29.1" customHeight="1" x14ac:dyDescent="0.25">
      <c r="A24276" s="2" t="s">
        <v>47418</v>
      </c>
      <c r="B24276" s="2" t="s">
        <v>47419</v>
      </c>
      <c r="C24276" s="2" t="s">
        <v>195</v>
      </c>
      <c r="D24276" s="2" t="s">
        <v>1183</v>
      </c>
      <c r="E24276" s="2" t="str">
        <f>"9783110404852"</f>
        <v>9783110404852</v>
      </c>
      <c r="F24276" s="2" t="str">
        <f>"9783110405378"</f>
        <v>9783110405378</v>
      </c>
    </row>
    <row r="24277" spans="1:6" s="3" customFormat="1" ht="29.1" customHeight="1" x14ac:dyDescent="0.25">
      <c r="A24277" s="2" t="s">
        <v>47420</v>
      </c>
      <c r="B24277" s="2" t="s">
        <v>47421</v>
      </c>
      <c r="C24277" s="2" t="s">
        <v>5</v>
      </c>
      <c r="D24277" s="2" t="s">
        <v>2749</v>
      </c>
      <c r="E24277" s="2" t="str">
        <f>"9783319145105"</f>
        <v>9783319145105</v>
      </c>
      <c r="F24277" s="2" t="str">
        <f>"9783319145112"</f>
        <v>9783319145112</v>
      </c>
    </row>
    <row r="24278" spans="1:6" s="3" customFormat="1" ht="29.1" customHeight="1" x14ac:dyDescent="0.25">
      <c r="A24278" s="2" t="s">
        <v>47422</v>
      </c>
      <c r="B24278" s="2" t="s">
        <v>47423</v>
      </c>
      <c r="C24278" s="2" t="s">
        <v>927</v>
      </c>
      <c r="D24278" s="2" t="s">
        <v>9</v>
      </c>
      <c r="E24278" s="2" t="str">
        <f>"9780472053049"</f>
        <v>9780472053049</v>
      </c>
      <c r="F24278" s="2" t="str">
        <f>"9780472121717"</f>
        <v>9780472121717</v>
      </c>
    </row>
    <row r="24279" spans="1:6" s="3" customFormat="1" ht="29.1" customHeight="1" x14ac:dyDescent="0.25">
      <c r="A24279" s="2" t="s">
        <v>47424</v>
      </c>
      <c r="B24279" s="2" t="s">
        <v>47425</v>
      </c>
      <c r="C24279" s="2" t="s">
        <v>124</v>
      </c>
      <c r="D24279" s="2" t="s">
        <v>1189</v>
      </c>
      <c r="E24279" s="2" t="str">
        <f>"9781138796539"</f>
        <v>9781138796539</v>
      </c>
      <c r="F24279" s="2" t="str">
        <f>"9781317634386"</f>
        <v>9781317634386</v>
      </c>
    </row>
    <row r="24280" spans="1:6" s="3" customFormat="1" ht="29.1" customHeight="1" x14ac:dyDescent="0.25">
      <c r="A24280" s="2" t="s">
        <v>47426</v>
      </c>
      <c r="B24280" s="2" t="s">
        <v>47427</v>
      </c>
      <c r="C24280" s="2" t="s">
        <v>43061</v>
      </c>
      <c r="D24280" s="2" t="s">
        <v>7199</v>
      </c>
      <c r="E24280" s="2"/>
      <c r="F24280" s="2" t="str">
        <f>"9783862199297"</f>
        <v>9783862199297</v>
      </c>
    </row>
    <row r="24281" spans="1:6" s="3" customFormat="1" ht="29.1" customHeight="1" x14ac:dyDescent="0.25">
      <c r="A24281" s="2" t="s">
        <v>47428</v>
      </c>
      <c r="B24281" s="2" t="s">
        <v>47429</v>
      </c>
      <c r="C24281" s="2" t="s">
        <v>43061</v>
      </c>
      <c r="D24281" s="2" t="s">
        <v>3817</v>
      </c>
      <c r="E24281" s="2"/>
      <c r="F24281" s="2" t="str">
        <f>"9783862199679"</f>
        <v>9783862199679</v>
      </c>
    </row>
    <row r="24282" spans="1:6" s="3" customFormat="1" ht="29.1" customHeight="1" x14ac:dyDescent="0.25">
      <c r="A24282" s="2" t="s">
        <v>47430</v>
      </c>
      <c r="B24282" s="2" t="s">
        <v>45448</v>
      </c>
      <c r="C24282" s="2" t="s">
        <v>43061</v>
      </c>
      <c r="D24282" s="2" t="s">
        <v>1065</v>
      </c>
      <c r="E24282" s="2"/>
      <c r="F24282" s="2" t="str">
        <f>"9783862198870"</f>
        <v>9783862198870</v>
      </c>
    </row>
    <row r="24283" spans="1:6" s="3" customFormat="1" ht="29.1" customHeight="1" x14ac:dyDescent="0.25">
      <c r="A24283" s="2" t="s">
        <v>47431</v>
      </c>
      <c r="B24283" s="2" t="s">
        <v>47432</v>
      </c>
      <c r="C24283" s="2" t="s">
        <v>43061</v>
      </c>
      <c r="D24283" s="2" t="s">
        <v>45236</v>
      </c>
      <c r="E24283" s="2"/>
      <c r="F24283" s="2" t="str">
        <f>"9783737600231"</f>
        <v>9783737600231</v>
      </c>
    </row>
    <row r="24284" spans="1:6" s="3" customFormat="1" ht="29.1" customHeight="1" x14ac:dyDescent="0.25">
      <c r="A24284" s="2" t="s">
        <v>47433</v>
      </c>
      <c r="B24284" s="2" t="s">
        <v>47434</v>
      </c>
      <c r="C24284" s="2" t="s">
        <v>264</v>
      </c>
      <c r="D24284" s="2" t="s">
        <v>758</v>
      </c>
      <c r="E24284" s="2" t="str">
        <f>"9781439887660"</f>
        <v>9781439887660</v>
      </c>
      <c r="F24284" s="2" t="str">
        <f>"9781439887707"</f>
        <v>9781439887707</v>
      </c>
    </row>
    <row r="24285" spans="1:6" s="3" customFormat="1" ht="29.1" customHeight="1" x14ac:dyDescent="0.25">
      <c r="A24285" s="2" t="s">
        <v>47435</v>
      </c>
      <c r="B24285" s="2" t="s">
        <v>47436</v>
      </c>
      <c r="C24285" s="2" t="s">
        <v>885</v>
      </c>
      <c r="D24285" s="2" t="s">
        <v>66</v>
      </c>
      <c r="E24285" s="2" t="str">
        <f>"9781442637214"</f>
        <v>9781442637214</v>
      </c>
      <c r="F24285" s="2" t="str">
        <f>"9781442624870"</f>
        <v>9781442624870</v>
      </c>
    </row>
    <row r="24286" spans="1:6" s="3" customFormat="1" ht="29.1" customHeight="1" x14ac:dyDescent="0.25">
      <c r="A24286" s="2" t="s">
        <v>47437</v>
      </c>
      <c r="B24286" s="2" t="s">
        <v>47438</v>
      </c>
      <c r="C24286" s="2" t="s">
        <v>43061</v>
      </c>
      <c r="D24286" s="2" t="s">
        <v>1959</v>
      </c>
      <c r="E24286" s="2" t="str">
        <f>"9783862199747"</f>
        <v>9783862199747</v>
      </c>
      <c r="F24286" s="2" t="str">
        <f>"9783862199754"</f>
        <v>9783862199754</v>
      </c>
    </row>
    <row r="24287" spans="1:6" s="3" customFormat="1" ht="29.1" customHeight="1" x14ac:dyDescent="0.25">
      <c r="A24287" s="2" t="s">
        <v>47439</v>
      </c>
      <c r="B24287" s="2" t="s">
        <v>47440</v>
      </c>
      <c r="C24287" s="2" t="s">
        <v>43061</v>
      </c>
      <c r="D24287" s="2" t="s">
        <v>45236</v>
      </c>
      <c r="E24287" s="2" t="str">
        <f>"9783737600040"</f>
        <v>9783737600040</v>
      </c>
      <c r="F24287" s="2" t="str">
        <f>"9783737600057"</f>
        <v>9783737600057</v>
      </c>
    </row>
    <row r="24288" spans="1:6" s="3" customFormat="1" ht="29.1" customHeight="1" x14ac:dyDescent="0.25">
      <c r="A24288" s="2" t="s">
        <v>47441</v>
      </c>
      <c r="B24288" s="2" t="s">
        <v>47442</v>
      </c>
      <c r="C24288" s="2" t="s">
        <v>43061</v>
      </c>
      <c r="D24288" s="2" t="s">
        <v>34178</v>
      </c>
      <c r="E24288" s="2" t="str">
        <f>"9783862199426"</f>
        <v>9783862199426</v>
      </c>
      <c r="F24288" s="2" t="str">
        <f>"9783862199433"</f>
        <v>9783862199433</v>
      </c>
    </row>
    <row r="24289" spans="1:6" s="3" customFormat="1" ht="29.1" customHeight="1" x14ac:dyDescent="0.25">
      <c r="A24289" s="2" t="s">
        <v>47443</v>
      </c>
      <c r="B24289" s="2" t="s">
        <v>47444</v>
      </c>
      <c r="C24289" s="2" t="s">
        <v>43061</v>
      </c>
      <c r="D24289" s="2" t="s">
        <v>12529</v>
      </c>
      <c r="E24289" s="2" t="str">
        <f>"9783862199983"</f>
        <v>9783862199983</v>
      </c>
      <c r="F24289" s="2" t="str">
        <f>"9783862199990"</f>
        <v>9783862199990</v>
      </c>
    </row>
    <row r="24290" spans="1:6" s="3" customFormat="1" ht="29.1" customHeight="1" x14ac:dyDescent="0.25">
      <c r="A24290" s="2" t="s">
        <v>47445</v>
      </c>
      <c r="B24290" s="2" t="s">
        <v>47446</v>
      </c>
      <c r="C24290" s="2" t="s">
        <v>43061</v>
      </c>
      <c r="D24290" s="2" t="s">
        <v>682</v>
      </c>
      <c r="E24290" s="2" t="str">
        <f>"9783862197583"</f>
        <v>9783862197583</v>
      </c>
      <c r="F24290" s="2" t="str">
        <f>"9783862197590"</f>
        <v>9783862197590</v>
      </c>
    </row>
    <row r="24291" spans="1:6" s="3" customFormat="1" ht="29.1" customHeight="1" x14ac:dyDescent="0.25">
      <c r="A24291" s="2" t="s">
        <v>47447</v>
      </c>
      <c r="B24291" s="2" t="s">
        <v>47448</v>
      </c>
      <c r="C24291" s="2" t="s">
        <v>43061</v>
      </c>
      <c r="D24291" s="2" t="s">
        <v>13640</v>
      </c>
      <c r="E24291" s="2" t="str">
        <f>"9783737600163"</f>
        <v>9783737600163</v>
      </c>
      <c r="F24291" s="2" t="str">
        <f>"9783737600170"</f>
        <v>9783737600170</v>
      </c>
    </row>
    <row r="24292" spans="1:6" s="3" customFormat="1" ht="29.1" customHeight="1" x14ac:dyDescent="0.25">
      <c r="A24292" s="2" t="s">
        <v>47449</v>
      </c>
      <c r="B24292" s="2" t="s">
        <v>47450</v>
      </c>
      <c r="C24292" s="2" t="s">
        <v>43061</v>
      </c>
      <c r="D24292" s="2" t="s">
        <v>350</v>
      </c>
      <c r="E24292" s="2" t="str">
        <f>"9783862198788"</f>
        <v>9783862198788</v>
      </c>
      <c r="F24292" s="2" t="str">
        <f>"9783862198795"</f>
        <v>9783862198795</v>
      </c>
    </row>
    <row r="24293" spans="1:6" s="3" customFormat="1" ht="29.1" customHeight="1" x14ac:dyDescent="0.25">
      <c r="A24293" s="2" t="s">
        <v>47451</v>
      </c>
      <c r="B24293" s="2" t="s">
        <v>47452</v>
      </c>
      <c r="C24293" s="2" t="s">
        <v>43061</v>
      </c>
      <c r="D24293" s="2" t="s">
        <v>44</v>
      </c>
      <c r="E24293" s="2" t="str">
        <f>"9783862198825"</f>
        <v>9783862198825</v>
      </c>
      <c r="F24293" s="2" t="str">
        <f>"9783862198832"</f>
        <v>9783862198832</v>
      </c>
    </row>
    <row r="24294" spans="1:6" s="3" customFormat="1" ht="29.1" customHeight="1" x14ac:dyDescent="0.25">
      <c r="A24294" s="2" t="s">
        <v>47453</v>
      </c>
      <c r="B24294" s="2" t="s">
        <v>47454</v>
      </c>
      <c r="C24294" s="2" t="s">
        <v>43061</v>
      </c>
      <c r="D24294" s="2" t="s">
        <v>6618</v>
      </c>
      <c r="E24294" s="2" t="str">
        <f>"9783737600248"</f>
        <v>9783737600248</v>
      </c>
      <c r="F24294" s="2" t="str">
        <f>"9783737600255"</f>
        <v>9783737600255</v>
      </c>
    </row>
    <row r="24295" spans="1:6" s="3" customFormat="1" ht="29.1" customHeight="1" x14ac:dyDescent="0.25">
      <c r="A24295" s="2" t="s">
        <v>47455</v>
      </c>
      <c r="B24295" s="2" t="s">
        <v>47456</v>
      </c>
      <c r="C24295" s="2" t="s">
        <v>43061</v>
      </c>
      <c r="D24295" s="2" t="s">
        <v>5480</v>
      </c>
      <c r="E24295" s="2" t="str">
        <f>"9783737600200"</f>
        <v>9783737600200</v>
      </c>
      <c r="F24295" s="2" t="str">
        <f>"9783737600217"</f>
        <v>9783737600217</v>
      </c>
    </row>
    <row r="24296" spans="1:6" s="3" customFormat="1" ht="29.1" customHeight="1" x14ac:dyDescent="0.25">
      <c r="A24296" s="2" t="s">
        <v>27473</v>
      </c>
      <c r="B24296" s="2" t="s">
        <v>47457</v>
      </c>
      <c r="C24296" s="2" t="s">
        <v>5</v>
      </c>
      <c r="D24296" s="2" t="s">
        <v>2341</v>
      </c>
      <c r="E24296" s="2" t="str">
        <f>"9781137536471"</f>
        <v>9781137536471</v>
      </c>
      <c r="F24296" s="2" t="str">
        <f>"9781137536495"</f>
        <v>9781137536495</v>
      </c>
    </row>
    <row r="24297" spans="1:6" s="3" customFormat="1" ht="29.1" customHeight="1" x14ac:dyDescent="0.25">
      <c r="A24297" s="2" t="s">
        <v>47458</v>
      </c>
      <c r="B24297" s="2" t="s">
        <v>47459</v>
      </c>
      <c r="C24297" s="2" t="s">
        <v>55</v>
      </c>
      <c r="D24297" s="2" t="s">
        <v>879</v>
      </c>
      <c r="E24297" s="2" t="str">
        <f>"9780719089671"</f>
        <v>9780719089671</v>
      </c>
      <c r="F24297" s="2" t="str">
        <f>"9781784996789"</f>
        <v>9781784996789</v>
      </c>
    </row>
    <row r="24298" spans="1:6" s="3" customFormat="1" ht="29.1" customHeight="1" x14ac:dyDescent="0.25">
      <c r="A24298" s="2" t="s">
        <v>47460</v>
      </c>
      <c r="B24298" s="2" t="s">
        <v>47461</v>
      </c>
      <c r="C24298" s="2" t="s">
        <v>15885</v>
      </c>
      <c r="D24298" s="2" t="s">
        <v>606</v>
      </c>
      <c r="E24298" s="2" t="str">
        <f>"9780813062860"</f>
        <v>9780813062860</v>
      </c>
      <c r="F24298" s="2" t="str">
        <f>"9780813052526"</f>
        <v>9780813052526</v>
      </c>
    </row>
    <row r="24299" spans="1:6" s="3" customFormat="1" ht="29.1" customHeight="1" x14ac:dyDescent="0.25">
      <c r="A24299" s="2" t="s">
        <v>47462</v>
      </c>
      <c r="B24299" s="2" t="s">
        <v>47463</v>
      </c>
      <c r="C24299" s="2" t="s">
        <v>124</v>
      </c>
      <c r="D24299" s="2" t="s">
        <v>2587</v>
      </c>
      <c r="E24299" s="2" t="str">
        <f>"9781138821231"</f>
        <v>9781138821231</v>
      </c>
      <c r="F24299" s="2" t="str">
        <f>"9781315743424"</f>
        <v>9781315743424</v>
      </c>
    </row>
    <row r="24300" spans="1:6" s="3" customFormat="1" ht="29.1" customHeight="1" x14ac:dyDescent="0.25">
      <c r="A24300" s="2" t="s">
        <v>47464</v>
      </c>
      <c r="B24300" s="2" t="s">
        <v>47465</v>
      </c>
      <c r="C24300" s="2" t="s">
        <v>15052</v>
      </c>
      <c r="D24300" s="2" t="s">
        <v>10407</v>
      </c>
      <c r="E24300" s="2" t="str">
        <f>"9780804796101"</f>
        <v>9780804796101</v>
      </c>
      <c r="F24300" s="2" t="str">
        <f>"9780804797191"</f>
        <v>9780804797191</v>
      </c>
    </row>
    <row r="24301" spans="1:6" s="3" customFormat="1" ht="29.1" customHeight="1" x14ac:dyDescent="0.25">
      <c r="A24301" s="2" t="s">
        <v>47466</v>
      </c>
      <c r="B24301" s="2" t="s">
        <v>47467</v>
      </c>
      <c r="C24301" s="2" t="s">
        <v>124</v>
      </c>
      <c r="D24301" s="2" t="s">
        <v>5060</v>
      </c>
      <c r="E24301" s="2" t="str">
        <f>"9780415822008"</f>
        <v>9780415822008</v>
      </c>
      <c r="F24301" s="2" t="str">
        <f>"9781136772009"</f>
        <v>9781136772009</v>
      </c>
    </row>
    <row r="24302" spans="1:6" s="3" customFormat="1" ht="29.1" customHeight="1" x14ac:dyDescent="0.25">
      <c r="A24302" s="2" t="s">
        <v>47468</v>
      </c>
      <c r="B24302" s="2" t="s">
        <v>47469</v>
      </c>
      <c r="C24302" s="2" t="s">
        <v>124</v>
      </c>
      <c r="D24302" s="2" t="s">
        <v>818</v>
      </c>
      <c r="E24302" s="2" t="str">
        <f>"9780710305695"</f>
        <v>9780710305695</v>
      </c>
      <c r="F24302" s="2" t="str">
        <f>"9781136170669"</f>
        <v>9781136170669</v>
      </c>
    </row>
    <row r="24303" spans="1:6" s="3" customFormat="1" ht="29.1" customHeight="1" x14ac:dyDescent="0.25">
      <c r="A24303" s="2" t="s">
        <v>47470</v>
      </c>
      <c r="B24303" s="2" t="s">
        <v>47471</v>
      </c>
      <c r="C24303" s="2" t="s">
        <v>11220</v>
      </c>
      <c r="D24303" s="2" t="s">
        <v>712</v>
      </c>
      <c r="E24303" s="2" t="str">
        <f>"9781479884575"</f>
        <v>9781479884575</v>
      </c>
      <c r="F24303" s="2" t="str">
        <f>"9781479863570"</f>
        <v>9781479863570</v>
      </c>
    </row>
    <row r="24304" spans="1:6" s="3" customFormat="1" ht="29.1" customHeight="1" x14ac:dyDescent="0.25">
      <c r="A24304" s="2" t="s">
        <v>16583</v>
      </c>
      <c r="B24304" s="2" t="s">
        <v>16584</v>
      </c>
      <c r="C24304" s="2" t="s">
        <v>11220</v>
      </c>
      <c r="D24304" s="2" t="s">
        <v>712</v>
      </c>
      <c r="E24304" s="2" t="str">
        <f>"9781479899982"</f>
        <v>9781479899982</v>
      </c>
      <c r="F24304" s="2" t="str">
        <f>"9781479829712"</f>
        <v>9781479829712</v>
      </c>
    </row>
    <row r="24305" spans="1:6" s="3" customFormat="1" ht="29.1" customHeight="1" x14ac:dyDescent="0.25">
      <c r="A24305" s="2" t="s">
        <v>47472</v>
      </c>
      <c r="B24305" s="2" t="s">
        <v>47473</v>
      </c>
      <c r="C24305" s="2" t="s">
        <v>11220</v>
      </c>
      <c r="D24305" s="2" t="s">
        <v>3214</v>
      </c>
      <c r="E24305" s="2" t="str">
        <f>"9781479855308"</f>
        <v>9781479855308</v>
      </c>
      <c r="F24305" s="2" t="str">
        <f>"9781479846023"</f>
        <v>9781479846023</v>
      </c>
    </row>
    <row r="24306" spans="1:6" s="3" customFormat="1" ht="29.1" customHeight="1" x14ac:dyDescent="0.25">
      <c r="A24306" s="2" t="s">
        <v>47474</v>
      </c>
      <c r="B24306" s="2" t="s">
        <v>47475</v>
      </c>
      <c r="C24306" s="2" t="s">
        <v>11220</v>
      </c>
      <c r="D24306" s="2" t="s">
        <v>183</v>
      </c>
      <c r="E24306" s="2" t="str">
        <f>"9781479843121"</f>
        <v>9781479843121</v>
      </c>
      <c r="F24306" s="2" t="str">
        <f>"9781479851188"</f>
        <v>9781479851188</v>
      </c>
    </row>
    <row r="24307" spans="1:6" s="3" customFormat="1" ht="29.1" customHeight="1" x14ac:dyDescent="0.25">
      <c r="A24307" s="2" t="s">
        <v>47476</v>
      </c>
      <c r="B24307" s="2" t="s">
        <v>47477</v>
      </c>
      <c r="C24307" s="2" t="s">
        <v>11220</v>
      </c>
      <c r="D24307" s="2" t="s">
        <v>183</v>
      </c>
      <c r="E24307" s="2" t="str">
        <f>"9781479896561"</f>
        <v>9781479896561</v>
      </c>
      <c r="F24307" s="2" t="str">
        <f>"9781479828425"</f>
        <v>9781479828425</v>
      </c>
    </row>
    <row r="24308" spans="1:6" s="3" customFormat="1" ht="29.1" customHeight="1" x14ac:dyDescent="0.25">
      <c r="A24308" s="2" t="s">
        <v>47478</v>
      </c>
      <c r="B24308" s="2" t="s">
        <v>47479</v>
      </c>
      <c r="C24308" s="2" t="s">
        <v>11220</v>
      </c>
      <c r="D24308" s="2" t="s">
        <v>1717</v>
      </c>
      <c r="E24308" s="2" t="str">
        <f>"9781479812462"</f>
        <v>9781479812462</v>
      </c>
      <c r="F24308" s="2" t="str">
        <f>"9781479840373"</f>
        <v>9781479840373</v>
      </c>
    </row>
    <row r="24309" spans="1:6" s="3" customFormat="1" ht="29.1" customHeight="1" x14ac:dyDescent="0.25">
      <c r="A24309" s="2" t="s">
        <v>47480</v>
      </c>
      <c r="B24309" s="2" t="s">
        <v>47481</v>
      </c>
      <c r="C24309" s="2" t="s">
        <v>11220</v>
      </c>
      <c r="D24309" s="2" t="s">
        <v>17798</v>
      </c>
      <c r="E24309" s="2" t="str">
        <f>"9780814745465"</f>
        <v>9780814745465</v>
      </c>
      <c r="F24309" s="2" t="str">
        <f>"9781479880324"</f>
        <v>9781479880324</v>
      </c>
    </row>
    <row r="24310" spans="1:6" s="3" customFormat="1" ht="29.1" customHeight="1" x14ac:dyDescent="0.25">
      <c r="A24310" s="2" t="s">
        <v>47482</v>
      </c>
      <c r="B24310" s="2" t="s">
        <v>47483</v>
      </c>
      <c r="C24310" s="2" t="s">
        <v>927</v>
      </c>
      <c r="D24310" s="2" t="s">
        <v>33</v>
      </c>
      <c r="E24310" s="2" t="str">
        <f>"9780472052752"</f>
        <v>9780472052752</v>
      </c>
      <c r="F24310" s="2" t="str">
        <f>"9780472121267"</f>
        <v>9780472121267</v>
      </c>
    </row>
    <row r="24311" spans="1:6" s="3" customFormat="1" ht="29.1" customHeight="1" x14ac:dyDescent="0.25">
      <c r="A24311" s="2" t="s">
        <v>47484</v>
      </c>
      <c r="B24311" s="2" t="s">
        <v>47485</v>
      </c>
      <c r="C24311" s="2" t="s">
        <v>927</v>
      </c>
      <c r="D24311" s="2" t="s">
        <v>402</v>
      </c>
      <c r="E24311" s="2" t="str">
        <f>"9780472052806"</f>
        <v>9780472052806</v>
      </c>
      <c r="F24311" s="2" t="str">
        <f>"9780472121335"</f>
        <v>9780472121335</v>
      </c>
    </row>
    <row r="24312" spans="1:6" s="3" customFormat="1" ht="29.1" customHeight="1" x14ac:dyDescent="0.25">
      <c r="A24312" s="2" t="s">
        <v>47486</v>
      </c>
      <c r="B24312" s="2" t="s">
        <v>47487</v>
      </c>
      <c r="C24312" s="2" t="s">
        <v>927</v>
      </c>
      <c r="D24312" s="2" t="s">
        <v>270</v>
      </c>
      <c r="E24312" s="2" t="str">
        <f>"9780472052998"</f>
        <v>9780472052998</v>
      </c>
      <c r="F24312" s="2" t="str">
        <f>"9780472121601"</f>
        <v>9780472121601</v>
      </c>
    </row>
    <row r="24313" spans="1:6" s="3" customFormat="1" ht="29.1" customHeight="1" x14ac:dyDescent="0.25">
      <c r="A24313" s="2" t="s">
        <v>47488</v>
      </c>
      <c r="B24313" s="2" t="s">
        <v>47489</v>
      </c>
      <c r="C24313" s="2" t="s">
        <v>55</v>
      </c>
      <c r="D24313" s="2" t="s">
        <v>7132</v>
      </c>
      <c r="E24313" s="2" t="str">
        <f>"9780719091278"</f>
        <v>9780719091278</v>
      </c>
      <c r="F24313" s="2" t="str">
        <f>"9781847790972"</f>
        <v>9781847790972</v>
      </c>
    </row>
    <row r="24314" spans="1:6" s="3" customFormat="1" ht="29.1" customHeight="1" x14ac:dyDescent="0.25">
      <c r="A24314" s="2" t="s">
        <v>47490</v>
      </c>
      <c r="B24314" s="2" t="s">
        <v>47491</v>
      </c>
      <c r="C24314" s="2" t="s">
        <v>55</v>
      </c>
      <c r="D24314" s="2" t="s">
        <v>7132</v>
      </c>
      <c r="E24314" s="2" t="str">
        <f>"9780719099700"</f>
        <v>9780719099700</v>
      </c>
      <c r="F24314" s="2" t="str">
        <f>"9781784996963"</f>
        <v>9781784996963</v>
      </c>
    </row>
    <row r="24315" spans="1:6" s="3" customFormat="1" ht="29.1" customHeight="1" x14ac:dyDescent="0.25">
      <c r="A24315" s="2" t="s">
        <v>47492</v>
      </c>
      <c r="B24315" s="2" t="s">
        <v>46801</v>
      </c>
      <c r="C24315" s="2" t="s">
        <v>55</v>
      </c>
      <c r="D24315" s="2" t="s">
        <v>328</v>
      </c>
      <c r="E24315" s="2" t="str">
        <f>"9780719097560"</f>
        <v>9780719097560</v>
      </c>
      <c r="F24315" s="2" t="str">
        <f>"9781784991968"</f>
        <v>9781784991968</v>
      </c>
    </row>
    <row r="24316" spans="1:6" s="3" customFormat="1" ht="29.1" customHeight="1" x14ac:dyDescent="0.25">
      <c r="A24316" s="2" t="s">
        <v>47493</v>
      </c>
      <c r="B24316" s="2" t="s">
        <v>47494</v>
      </c>
      <c r="C24316" s="2" t="s">
        <v>195</v>
      </c>
      <c r="D24316" s="2" t="s">
        <v>210</v>
      </c>
      <c r="E24316" s="2" t="str">
        <f>"9783110346022"</f>
        <v>9783110346022</v>
      </c>
      <c r="F24316" s="2" t="str">
        <f>"9783110347227"</f>
        <v>9783110347227</v>
      </c>
    </row>
    <row r="24317" spans="1:6" s="3" customFormat="1" ht="29.1" customHeight="1" x14ac:dyDescent="0.25">
      <c r="A24317" s="2" t="s">
        <v>47495</v>
      </c>
      <c r="B24317" s="2" t="s">
        <v>47496</v>
      </c>
      <c r="C24317" s="2" t="s">
        <v>36</v>
      </c>
      <c r="D24317" s="2" t="s">
        <v>1228</v>
      </c>
      <c r="E24317" s="2" t="str">
        <f>"9781447313953"</f>
        <v>9781447313953</v>
      </c>
      <c r="F24317" s="2" t="str">
        <f>"9781447313977"</f>
        <v>9781447313977</v>
      </c>
    </row>
    <row r="24318" spans="1:6" s="3" customFormat="1" ht="29.1" customHeight="1" x14ac:dyDescent="0.25">
      <c r="A24318" s="2" t="s">
        <v>47497</v>
      </c>
      <c r="B24318" s="2" t="s">
        <v>47498</v>
      </c>
      <c r="C24318" s="2" t="s">
        <v>149</v>
      </c>
      <c r="D24318" s="2" t="s">
        <v>118</v>
      </c>
      <c r="E24318" s="2" t="str">
        <f>"9781783741328"</f>
        <v>9781783741328</v>
      </c>
      <c r="F24318" s="2" t="str">
        <f>"9781783741342"</f>
        <v>9781783741342</v>
      </c>
    </row>
    <row r="24319" spans="1:6" s="3" customFormat="1" ht="29.1" customHeight="1" x14ac:dyDescent="0.25">
      <c r="A24319" s="2" t="s">
        <v>45165</v>
      </c>
      <c r="B24319" s="2" t="s">
        <v>45166</v>
      </c>
      <c r="C24319" s="2" t="s">
        <v>149</v>
      </c>
      <c r="D24319" s="2" t="s">
        <v>5782</v>
      </c>
      <c r="E24319" s="2" t="str">
        <f>"9781783741724"</f>
        <v>9781783741724</v>
      </c>
      <c r="F24319" s="2" t="str">
        <f>"9781783741748"</f>
        <v>9781783741748</v>
      </c>
    </row>
    <row r="24320" spans="1:6" s="3" customFormat="1" ht="29.1" customHeight="1" x14ac:dyDescent="0.25">
      <c r="A24320" s="2" t="s">
        <v>47499</v>
      </c>
      <c r="B24320" s="2" t="s">
        <v>47305</v>
      </c>
      <c r="C24320" s="2" t="s">
        <v>149</v>
      </c>
      <c r="D24320" s="2" t="s">
        <v>1840</v>
      </c>
      <c r="E24320" s="2" t="str">
        <f>"9781783741670"</f>
        <v>9781783741670</v>
      </c>
      <c r="F24320" s="2" t="str">
        <f>"9781783741694"</f>
        <v>9781783741694</v>
      </c>
    </row>
    <row r="24321" spans="1:6" s="3" customFormat="1" ht="29.1" customHeight="1" x14ac:dyDescent="0.25">
      <c r="A24321" s="2" t="s">
        <v>47500</v>
      </c>
      <c r="B24321" s="2" t="s">
        <v>47501</v>
      </c>
      <c r="C24321" s="2" t="s">
        <v>264</v>
      </c>
      <c r="D24321" s="2" t="s">
        <v>2083</v>
      </c>
      <c r="E24321" s="2" t="str">
        <f>"9781482251074"</f>
        <v>9781482251074</v>
      </c>
      <c r="F24321" s="2" t="str">
        <f>"9781482251081"</f>
        <v>9781482251081</v>
      </c>
    </row>
    <row r="24322" spans="1:6" s="3" customFormat="1" ht="29.1" customHeight="1" x14ac:dyDescent="0.25">
      <c r="A24322" s="2" t="s">
        <v>47502</v>
      </c>
      <c r="B24322" s="2" t="s">
        <v>47503</v>
      </c>
      <c r="C24322" s="2" t="s">
        <v>595</v>
      </c>
      <c r="D24322" s="2" t="s">
        <v>13502</v>
      </c>
      <c r="E24322" s="2" t="str">
        <f>"9783631653418"</f>
        <v>9783631653418</v>
      </c>
      <c r="F24322" s="2" t="str">
        <f>"9783653045307"</f>
        <v>9783653045307</v>
      </c>
    </row>
    <row r="24323" spans="1:6" s="3" customFormat="1" ht="29.1" customHeight="1" x14ac:dyDescent="0.25">
      <c r="A24323" s="2" t="s">
        <v>47504</v>
      </c>
      <c r="B24323" s="2" t="s">
        <v>47505</v>
      </c>
      <c r="C24323" s="2" t="s">
        <v>595</v>
      </c>
      <c r="D24323" s="2" t="s">
        <v>1183</v>
      </c>
      <c r="E24323" s="2" t="str">
        <f>"9783631629772"</f>
        <v>9783631629772</v>
      </c>
      <c r="F24323" s="2" t="str">
        <f>"9783653054910"</f>
        <v>9783653054910</v>
      </c>
    </row>
    <row r="24324" spans="1:6" s="3" customFormat="1" ht="29.1" customHeight="1" x14ac:dyDescent="0.25">
      <c r="A24324" s="2" t="s">
        <v>47506</v>
      </c>
      <c r="B24324" s="2" t="s">
        <v>47507</v>
      </c>
      <c r="C24324" s="2" t="s">
        <v>11005</v>
      </c>
      <c r="D24324" s="2" t="s">
        <v>11213</v>
      </c>
      <c r="E24324" s="2" t="str">
        <f>"9783837924930"</f>
        <v>9783837924930</v>
      </c>
      <c r="F24324" s="2" t="str">
        <f>"9783837969467"</f>
        <v>9783837969467</v>
      </c>
    </row>
    <row r="24325" spans="1:6" s="3" customFormat="1" ht="29.1" customHeight="1" x14ac:dyDescent="0.25">
      <c r="A24325" s="2" t="s">
        <v>47508</v>
      </c>
      <c r="B24325" s="2" t="s">
        <v>33144</v>
      </c>
      <c r="C24325" s="2" t="s">
        <v>11005</v>
      </c>
      <c r="D24325" s="2" t="s">
        <v>11213</v>
      </c>
      <c r="E24325" s="2" t="str">
        <f>"9783837924688"</f>
        <v>9783837924688</v>
      </c>
      <c r="F24325" s="2" t="str">
        <f>"9783837969436"</f>
        <v>9783837969436</v>
      </c>
    </row>
    <row r="24326" spans="1:6" s="3" customFormat="1" ht="29.1" customHeight="1" x14ac:dyDescent="0.25">
      <c r="A24326" s="2" t="s">
        <v>47509</v>
      </c>
      <c r="B24326" s="2" t="s">
        <v>47510</v>
      </c>
      <c r="C24326" s="2" t="s">
        <v>29</v>
      </c>
      <c r="D24326" s="2" t="s">
        <v>9739</v>
      </c>
      <c r="E24326" s="2" t="str">
        <f>"9789004307414"</f>
        <v>9789004307414</v>
      </c>
      <c r="F24326" s="2" t="str">
        <f>"9789004307438"</f>
        <v>9789004307438</v>
      </c>
    </row>
    <row r="24327" spans="1:6" s="3" customFormat="1" ht="29.1" customHeight="1" x14ac:dyDescent="0.25">
      <c r="A24327" s="2" t="s">
        <v>47511</v>
      </c>
      <c r="B24327" s="2" t="s">
        <v>47512</v>
      </c>
      <c r="C24327" s="2" t="s">
        <v>124</v>
      </c>
      <c r="D24327" s="2" t="s">
        <v>553</v>
      </c>
      <c r="E24327" s="2" t="str">
        <f>"9780415505659"</f>
        <v>9780415505659</v>
      </c>
      <c r="F24327" s="2" t="str">
        <f>"9781134450053"</f>
        <v>9781134450053</v>
      </c>
    </row>
    <row r="24328" spans="1:6" s="3" customFormat="1" ht="29.1" customHeight="1" x14ac:dyDescent="0.25">
      <c r="A24328" s="2" t="s">
        <v>47513</v>
      </c>
      <c r="B24328" s="2" t="s">
        <v>47514</v>
      </c>
      <c r="C24328" s="2" t="s">
        <v>149</v>
      </c>
      <c r="D24328" s="2" t="s">
        <v>5167</v>
      </c>
      <c r="E24328" s="2" t="str">
        <f>"9781783741021"</f>
        <v>9781783741021</v>
      </c>
      <c r="F24328" s="2" t="str">
        <f>"9781783741045"</f>
        <v>9781783741045</v>
      </c>
    </row>
    <row r="24329" spans="1:6" s="3" customFormat="1" ht="29.1" customHeight="1" x14ac:dyDescent="0.25">
      <c r="A24329" s="2" t="s">
        <v>47515</v>
      </c>
      <c r="B24329" s="2" t="s">
        <v>47516</v>
      </c>
      <c r="C24329" s="2" t="s">
        <v>124</v>
      </c>
      <c r="D24329" s="2" t="s">
        <v>1895</v>
      </c>
      <c r="E24329" s="2" t="str">
        <f>"9781138809581"</f>
        <v>9781138809581</v>
      </c>
      <c r="F24329" s="2" t="str">
        <f>"9781317610724"</f>
        <v>9781317610724</v>
      </c>
    </row>
    <row r="24330" spans="1:6" s="3" customFormat="1" ht="29.1" customHeight="1" x14ac:dyDescent="0.25">
      <c r="A24330" s="2" t="s">
        <v>47517</v>
      </c>
      <c r="B24330" s="2" t="s">
        <v>47518</v>
      </c>
      <c r="C24330" s="2" t="s">
        <v>195</v>
      </c>
      <c r="D24330" s="2" t="s">
        <v>459</v>
      </c>
      <c r="E24330" s="2" t="str">
        <f>"9783110406566"</f>
        <v>9783110406566</v>
      </c>
      <c r="F24330" s="2" t="str">
        <f>"9783110406719"</f>
        <v>9783110406719</v>
      </c>
    </row>
    <row r="24331" spans="1:6" s="3" customFormat="1" ht="29.1" customHeight="1" x14ac:dyDescent="0.25">
      <c r="A24331" s="2" t="s">
        <v>47519</v>
      </c>
      <c r="B24331" s="2" t="s">
        <v>47520</v>
      </c>
      <c r="C24331" s="2" t="s">
        <v>195</v>
      </c>
      <c r="D24331" s="2" t="s">
        <v>689</v>
      </c>
      <c r="E24331" s="2" t="str">
        <f>"9783110370454"</f>
        <v>9783110370454</v>
      </c>
      <c r="F24331" s="2" t="str">
        <f>"9783110366396"</f>
        <v>9783110366396</v>
      </c>
    </row>
    <row r="24332" spans="1:6" s="3" customFormat="1" ht="29.1" customHeight="1" x14ac:dyDescent="0.25">
      <c r="A24332" s="2" t="s">
        <v>47521</v>
      </c>
      <c r="B24332" s="2" t="s">
        <v>47522</v>
      </c>
      <c r="C24332" s="2" t="s">
        <v>195</v>
      </c>
      <c r="D24332" s="2" t="s">
        <v>459</v>
      </c>
      <c r="E24332" s="2" t="str">
        <f>"9783110406573"</f>
        <v>9783110406573</v>
      </c>
      <c r="F24332" s="2" t="str">
        <f>"9783110408348"</f>
        <v>9783110408348</v>
      </c>
    </row>
    <row r="24333" spans="1:6" s="3" customFormat="1" ht="29.1" customHeight="1" x14ac:dyDescent="0.25">
      <c r="A24333" s="2" t="s">
        <v>47523</v>
      </c>
      <c r="B24333" s="2" t="s">
        <v>47524</v>
      </c>
      <c r="C24333" s="2" t="s">
        <v>195</v>
      </c>
      <c r="D24333" s="2" t="s">
        <v>436</v>
      </c>
      <c r="E24333" s="2" t="str">
        <f>"9783110349948"</f>
        <v>9783110349948</v>
      </c>
      <c r="F24333" s="2" t="str">
        <f>"9783110350159"</f>
        <v>9783110350159</v>
      </c>
    </row>
    <row r="24334" spans="1:6" s="3" customFormat="1" ht="29.1" customHeight="1" x14ac:dyDescent="0.25">
      <c r="A24334" s="2" t="s">
        <v>47525</v>
      </c>
      <c r="B24334" s="2" t="s">
        <v>47526</v>
      </c>
      <c r="C24334" s="2" t="s">
        <v>43061</v>
      </c>
      <c r="D24334" s="2" t="s">
        <v>215</v>
      </c>
      <c r="E24334" s="2" t="str">
        <f>"9783862198269"</f>
        <v>9783862198269</v>
      </c>
      <c r="F24334" s="2" t="str">
        <f>"9783862198276"</f>
        <v>9783862198276</v>
      </c>
    </row>
    <row r="24335" spans="1:6" s="3" customFormat="1" ht="29.1" customHeight="1" x14ac:dyDescent="0.25">
      <c r="A24335" s="2" t="s">
        <v>47527</v>
      </c>
      <c r="B24335" s="2" t="s">
        <v>47528</v>
      </c>
      <c r="C24335" s="2" t="s">
        <v>43061</v>
      </c>
      <c r="D24335" s="2" t="s">
        <v>8286</v>
      </c>
      <c r="E24335" s="2" t="str">
        <f>"9783737600088"</f>
        <v>9783737600088</v>
      </c>
      <c r="F24335" s="2" t="str">
        <f>"9783737600095"</f>
        <v>9783737600095</v>
      </c>
    </row>
    <row r="24336" spans="1:6" s="3" customFormat="1" ht="29.1" customHeight="1" x14ac:dyDescent="0.25">
      <c r="A24336" s="2" t="s">
        <v>47529</v>
      </c>
      <c r="B24336" s="2" t="s">
        <v>47530</v>
      </c>
      <c r="C24336" s="2" t="s">
        <v>43061</v>
      </c>
      <c r="D24336" s="2" t="s">
        <v>342</v>
      </c>
      <c r="E24336" s="2" t="str">
        <f>"9783737600149"</f>
        <v>9783737600149</v>
      </c>
      <c r="F24336" s="2" t="str">
        <f>"9783737600156"</f>
        <v>9783737600156</v>
      </c>
    </row>
    <row r="24337" spans="1:6" s="3" customFormat="1" ht="29.1" customHeight="1" x14ac:dyDescent="0.25">
      <c r="A24337" s="2" t="s">
        <v>47531</v>
      </c>
      <c r="B24337" s="2" t="s">
        <v>47532</v>
      </c>
      <c r="C24337" s="2" t="s">
        <v>43061</v>
      </c>
      <c r="D24337" s="2" t="s">
        <v>1228</v>
      </c>
      <c r="E24337" s="2" t="str">
        <f>"9783862199969"</f>
        <v>9783862199969</v>
      </c>
      <c r="F24337" s="2" t="str">
        <f>"9783862199976"</f>
        <v>9783862199976</v>
      </c>
    </row>
    <row r="24338" spans="1:6" s="3" customFormat="1" ht="29.1" customHeight="1" x14ac:dyDescent="0.25">
      <c r="A24338" s="2" t="s">
        <v>47533</v>
      </c>
      <c r="B24338" s="2" t="s">
        <v>47534</v>
      </c>
      <c r="C24338" s="2" t="s">
        <v>43061</v>
      </c>
      <c r="D24338" s="2" t="s">
        <v>650</v>
      </c>
      <c r="E24338" s="2" t="str">
        <f>"9783862199860"</f>
        <v>9783862199860</v>
      </c>
      <c r="F24338" s="2" t="str">
        <f>"9783862199877"</f>
        <v>9783862199877</v>
      </c>
    </row>
    <row r="24339" spans="1:6" s="3" customFormat="1" ht="29.1" customHeight="1" x14ac:dyDescent="0.25">
      <c r="A24339" s="2" t="s">
        <v>47535</v>
      </c>
      <c r="B24339" s="2" t="s">
        <v>47536</v>
      </c>
      <c r="C24339" s="2" t="s">
        <v>43061</v>
      </c>
      <c r="D24339" s="2" t="s">
        <v>5536</v>
      </c>
      <c r="E24339" s="2" t="str">
        <f>"9783737600187"</f>
        <v>9783737600187</v>
      </c>
      <c r="F24339" s="2" t="str">
        <f>"9783737600194"</f>
        <v>9783737600194</v>
      </c>
    </row>
    <row r="24340" spans="1:6" s="3" customFormat="1" ht="29.1" customHeight="1" x14ac:dyDescent="0.25">
      <c r="A24340" s="2" t="s">
        <v>47537</v>
      </c>
      <c r="B24340" s="2" t="s">
        <v>47538</v>
      </c>
      <c r="C24340" s="2" t="s">
        <v>15381</v>
      </c>
      <c r="D24340" s="2" t="s">
        <v>1663</v>
      </c>
      <c r="E24340" s="2" t="str">
        <f>"9781469628936"</f>
        <v>9781469628936</v>
      </c>
      <c r="F24340" s="2" t="str">
        <f>"9781469627465"</f>
        <v>9781469627465</v>
      </c>
    </row>
    <row r="24341" spans="1:6" s="3" customFormat="1" ht="29.1" customHeight="1" x14ac:dyDescent="0.25">
      <c r="A24341" s="2" t="s">
        <v>47539</v>
      </c>
      <c r="B24341" s="2" t="s">
        <v>47540</v>
      </c>
      <c r="C24341" s="2" t="s">
        <v>8104</v>
      </c>
      <c r="D24341" s="2" t="s">
        <v>7280</v>
      </c>
      <c r="E24341" s="2" t="str">
        <f>"9781785331558"</f>
        <v>9781785331558</v>
      </c>
      <c r="F24341" s="2" t="str">
        <f>"9781785331565"</f>
        <v>9781785331565</v>
      </c>
    </row>
    <row r="24342" spans="1:6" s="3" customFormat="1" ht="29.1" customHeight="1" x14ac:dyDescent="0.25">
      <c r="A24342" s="2" t="s">
        <v>47541</v>
      </c>
      <c r="B24342" s="2" t="s">
        <v>41222</v>
      </c>
      <c r="C24342" s="2" t="s">
        <v>8104</v>
      </c>
      <c r="D24342" s="2" t="s">
        <v>210</v>
      </c>
      <c r="E24342" s="2" t="str">
        <f>"9781785331428"</f>
        <v>9781785331428</v>
      </c>
      <c r="F24342" s="2" t="str">
        <f>"9781785331435"</f>
        <v>9781785331435</v>
      </c>
    </row>
    <row r="24343" spans="1:6" s="3" customFormat="1" ht="29.1" customHeight="1" x14ac:dyDescent="0.25">
      <c r="A24343" s="2" t="s">
        <v>47542</v>
      </c>
      <c r="B24343" s="2" t="s">
        <v>47543</v>
      </c>
      <c r="C24343" s="2" t="s">
        <v>8104</v>
      </c>
      <c r="D24343" s="2" t="s">
        <v>855</v>
      </c>
      <c r="E24343" s="2" t="str">
        <f>"9781785331503"</f>
        <v>9781785331503</v>
      </c>
      <c r="F24343" s="2" t="str">
        <f>"9781785331510"</f>
        <v>9781785331510</v>
      </c>
    </row>
    <row r="24344" spans="1:6" s="3" customFormat="1" ht="29.1" customHeight="1" x14ac:dyDescent="0.25">
      <c r="A24344" s="2" t="s">
        <v>47544</v>
      </c>
      <c r="B24344" s="2" t="s">
        <v>12364</v>
      </c>
      <c r="C24344" s="2" t="s">
        <v>124</v>
      </c>
      <c r="D24344" s="2" t="s">
        <v>1162</v>
      </c>
      <c r="E24344" s="2" t="str">
        <f>"9781138066670"</f>
        <v>9781138066670</v>
      </c>
      <c r="F24344" s="2" t="str">
        <f>"9781317486732"</f>
        <v>9781317486732</v>
      </c>
    </row>
    <row r="24345" spans="1:6" s="3" customFormat="1" ht="29.1" customHeight="1" x14ac:dyDescent="0.25">
      <c r="A24345" s="2" t="s">
        <v>47545</v>
      </c>
      <c r="B24345" s="2" t="s">
        <v>47546</v>
      </c>
      <c r="C24345" s="2" t="s">
        <v>195</v>
      </c>
      <c r="D24345" s="2" t="s">
        <v>210</v>
      </c>
      <c r="E24345" s="2" t="str">
        <f>"9783486563139"</f>
        <v>9783486563139</v>
      </c>
      <c r="F24345" s="2" t="str">
        <f>"9783486706505"</f>
        <v>9783486706505</v>
      </c>
    </row>
    <row r="24346" spans="1:6" s="3" customFormat="1" ht="29.1" customHeight="1" x14ac:dyDescent="0.25">
      <c r="A24346" s="2" t="s">
        <v>47547</v>
      </c>
      <c r="B24346" s="2" t="s">
        <v>47548</v>
      </c>
      <c r="C24346" s="2" t="s">
        <v>195</v>
      </c>
      <c r="D24346" s="2" t="s">
        <v>14574</v>
      </c>
      <c r="E24346" s="2" t="str">
        <f>"9783110166910"</f>
        <v>9783110166910</v>
      </c>
      <c r="F24346" s="2" t="str">
        <f>"9783110816587"</f>
        <v>9783110816587</v>
      </c>
    </row>
    <row r="24347" spans="1:6" s="3" customFormat="1" ht="29.1" customHeight="1" x14ac:dyDescent="0.25">
      <c r="A24347" s="2" t="s">
        <v>47549</v>
      </c>
      <c r="B24347" s="2" t="s">
        <v>47550</v>
      </c>
      <c r="C24347" s="2" t="s">
        <v>3169</v>
      </c>
      <c r="D24347" s="2" t="s">
        <v>12164</v>
      </c>
      <c r="E24347" s="2" t="str">
        <f>"9781847011282"</f>
        <v>9781847011282</v>
      </c>
      <c r="F24347" s="2" t="str">
        <f>"9781787447240"</f>
        <v>9781787447240</v>
      </c>
    </row>
    <row r="24348" spans="1:6" s="3" customFormat="1" ht="29.1" customHeight="1" x14ac:dyDescent="0.25">
      <c r="A24348" s="2" t="s">
        <v>47551</v>
      </c>
      <c r="B24348" s="2" t="s">
        <v>47552</v>
      </c>
      <c r="C24348" s="2" t="s">
        <v>131</v>
      </c>
      <c r="D24348" s="2" t="s">
        <v>459</v>
      </c>
      <c r="E24348" s="2" t="str">
        <f>"9789027252753"</f>
        <v>9789027252753</v>
      </c>
      <c r="F24348" s="2" t="str">
        <f>"9789027267764"</f>
        <v>9789027267764</v>
      </c>
    </row>
    <row r="24349" spans="1:6" s="3" customFormat="1" ht="29.1" customHeight="1" x14ac:dyDescent="0.25">
      <c r="A24349" s="2" t="s">
        <v>47553</v>
      </c>
      <c r="B24349" s="2" t="s">
        <v>47554</v>
      </c>
      <c r="C24349" s="2" t="s">
        <v>264</v>
      </c>
      <c r="D24349" s="2" t="s">
        <v>3567</v>
      </c>
      <c r="E24349" s="2" t="str">
        <f>"9781466595651"</f>
        <v>9781466595651</v>
      </c>
      <c r="F24349" s="2" t="str">
        <f>"9781466595668"</f>
        <v>9781466595668</v>
      </c>
    </row>
    <row r="24350" spans="1:6" s="3" customFormat="1" ht="29.1" customHeight="1" x14ac:dyDescent="0.25">
      <c r="A24350" s="2" t="s">
        <v>47555</v>
      </c>
      <c r="B24350" s="2" t="s">
        <v>47556</v>
      </c>
      <c r="C24350" s="2" t="s">
        <v>264</v>
      </c>
      <c r="D24350" s="2" t="s">
        <v>477</v>
      </c>
      <c r="E24350" s="2" t="str">
        <f>"9781482240665"</f>
        <v>9781482240665</v>
      </c>
      <c r="F24350" s="2" t="str">
        <f>"9781482240672"</f>
        <v>9781482240672</v>
      </c>
    </row>
    <row r="24351" spans="1:6" s="3" customFormat="1" ht="29.1" customHeight="1" x14ac:dyDescent="0.25">
      <c r="A24351" s="2" t="s">
        <v>47557</v>
      </c>
      <c r="B24351" s="2" t="s">
        <v>47558</v>
      </c>
      <c r="C24351" s="2" t="s">
        <v>149</v>
      </c>
      <c r="D24351" s="2" t="s">
        <v>4789</v>
      </c>
      <c r="E24351" s="2" t="str">
        <f>"9781783740970"</f>
        <v>9781783740970</v>
      </c>
      <c r="F24351" s="2" t="str">
        <f>"9781783740994"</f>
        <v>9781783740994</v>
      </c>
    </row>
    <row r="24352" spans="1:6" s="3" customFormat="1" ht="29.1" customHeight="1" x14ac:dyDescent="0.25">
      <c r="A24352" s="2" t="s">
        <v>47559</v>
      </c>
      <c r="B24352" s="2" t="s">
        <v>47560</v>
      </c>
      <c r="C24352" s="2" t="s">
        <v>149</v>
      </c>
      <c r="D24352" s="2" t="s">
        <v>1141</v>
      </c>
      <c r="E24352" s="2" t="str">
        <f>"9781783741526"</f>
        <v>9781783741526</v>
      </c>
      <c r="F24352" s="2" t="str">
        <f>"9781783741540"</f>
        <v>9781783741540</v>
      </c>
    </row>
    <row r="24353" spans="1:6" s="3" customFormat="1" ht="29.1" customHeight="1" x14ac:dyDescent="0.25">
      <c r="A24353" s="2" t="s">
        <v>47561</v>
      </c>
      <c r="B24353" s="2" t="s">
        <v>47562</v>
      </c>
      <c r="C24353" s="2" t="s">
        <v>195</v>
      </c>
      <c r="D24353" s="2" t="s">
        <v>210</v>
      </c>
      <c r="E24353" s="2" t="str">
        <f>"9783110370140"</f>
        <v>9783110370140</v>
      </c>
      <c r="F24353" s="2" t="str">
        <f>"9783110370188"</f>
        <v>9783110370188</v>
      </c>
    </row>
    <row r="24354" spans="1:6" s="3" customFormat="1" ht="29.1" customHeight="1" x14ac:dyDescent="0.25">
      <c r="A24354" s="2" t="s">
        <v>47563</v>
      </c>
      <c r="B24354" s="2" t="s">
        <v>47564</v>
      </c>
      <c r="C24354" s="2" t="s">
        <v>927</v>
      </c>
      <c r="D24354" s="2" t="s">
        <v>297</v>
      </c>
      <c r="E24354" s="2" t="str">
        <f>"9780472052738"</f>
        <v>9780472052738</v>
      </c>
      <c r="F24354" s="2" t="str">
        <f>"9780472121236"</f>
        <v>9780472121236</v>
      </c>
    </row>
    <row r="24355" spans="1:6" s="3" customFormat="1" ht="29.1" customHeight="1" x14ac:dyDescent="0.25">
      <c r="A24355" s="2" t="s">
        <v>47565</v>
      </c>
      <c r="B24355" s="2" t="s">
        <v>47566</v>
      </c>
      <c r="C24355" s="2" t="s">
        <v>36</v>
      </c>
      <c r="D24355" s="2" t="s">
        <v>639</v>
      </c>
      <c r="E24355" s="2" t="str">
        <f>"9781447318323"</f>
        <v>9781447318323</v>
      </c>
      <c r="F24355" s="2" t="str">
        <f>"9781447318354"</f>
        <v>9781447318354</v>
      </c>
    </row>
    <row r="24356" spans="1:6" s="3" customFormat="1" ht="29.1" customHeight="1" x14ac:dyDescent="0.25">
      <c r="A24356" s="2" t="s">
        <v>47567</v>
      </c>
      <c r="B24356" s="2" t="s">
        <v>47568</v>
      </c>
      <c r="C24356" s="2" t="s">
        <v>124</v>
      </c>
      <c r="D24356" s="2" t="s">
        <v>1816</v>
      </c>
      <c r="E24356" s="2" t="str">
        <f>"9781472473943"</f>
        <v>9781472473943</v>
      </c>
      <c r="F24356" s="2" t="str">
        <f>"9781134759316"</f>
        <v>9781134759316</v>
      </c>
    </row>
    <row r="24357" spans="1:6" s="3" customFormat="1" ht="29.1" customHeight="1" x14ac:dyDescent="0.25">
      <c r="A24357" s="2" t="s">
        <v>47569</v>
      </c>
      <c r="B24357" s="2" t="s">
        <v>47570</v>
      </c>
      <c r="C24357" s="2" t="s">
        <v>124</v>
      </c>
      <c r="D24357" s="2" t="s">
        <v>501</v>
      </c>
      <c r="E24357" s="2" t="str">
        <f>"9781472474841"</f>
        <v>9781472474841</v>
      </c>
      <c r="F24357" s="2" t="str">
        <f>"9781317003182"</f>
        <v>9781317003182</v>
      </c>
    </row>
    <row r="24358" spans="1:6" s="3" customFormat="1" ht="29.1" customHeight="1" x14ac:dyDescent="0.25">
      <c r="A24358" s="2" t="s">
        <v>47571</v>
      </c>
      <c r="B24358" s="2" t="s">
        <v>47572</v>
      </c>
      <c r="C24358" s="2" t="s">
        <v>124</v>
      </c>
      <c r="D24358" s="2" t="s">
        <v>81</v>
      </c>
      <c r="E24358" s="2" t="str">
        <f>"9781472475657"</f>
        <v>9781472475657</v>
      </c>
      <c r="F24358" s="2" t="str">
        <f>"9781317019237"</f>
        <v>9781317019237</v>
      </c>
    </row>
    <row r="24359" spans="1:6" s="3" customFormat="1" ht="29.1" customHeight="1" x14ac:dyDescent="0.25">
      <c r="A24359" s="2" t="s">
        <v>47573</v>
      </c>
      <c r="B24359" s="2" t="s">
        <v>47574</v>
      </c>
      <c r="C24359" s="2" t="s">
        <v>124</v>
      </c>
      <c r="D24359" s="2" t="s">
        <v>868</v>
      </c>
      <c r="E24359" s="2" t="str">
        <f>"9781138908666"</f>
        <v>9781138908666</v>
      </c>
      <c r="F24359" s="2" t="str">
        <f>"9781317439141"</f>
        <v>9781317439141</v>
      </c>
    </row>
    <row r="24360" spans="1:6" s="3" customFormat="1" ht="29.1" customHeight="1" x14ac:dyDescent="0.25">
      <c r="A24360" s="2" t="s">
        <v>47575</v>
      </c>
      <c r="B24360" s="2" t="s">
        <v>47576</v>
      </c>
      <c r="C24360" s="2" t="s">
        <v>195</v>
      </c>
      <c r="D24360" s="2" t="s">
        <v>3245</v>
      </c>
      <c r="E24360" s="2" t="str">
        <f>"9783110372939"</f>
        <v>9783110372939</v>
      </c>
      <c r="F24360" s="2" t="str">
        <f>"9783110367195"</f>
        <v>9783110367195</v>
      </c>
    </row>
    <row r="24361" spans="1:6" s="3" customFormat="1" ht="29.1" customHeight="1" x14ac:dyDescent="0.25">
      <c r="A24361" s="2" t="s">
        <v>47577</v>
      </c>
      <c r="B24361" s="2" t="s">
        <v>47578</v>
      </c>
      <c r="C24361" s="2" t="s">
        <v>43061</v>
      </c>
      <c r="D24361" s="2" t="s">
        <v>5092</v>
      </c>
      <c r="E24361" s="2" t="str">
        <f>"9783737600026"</f>
        <v>9783737600026</v>
      </c>
      <c r="F24361" s="2" t="str">
        <f>"9783737600033"</f>
        <v>9783737600033</v>
      </c>
    </row>
    <row r="24362" spans="1:6" s="3" customFormat="1" ht="29.1" customHeight="1" x14ac:dyDescent="0.25">
      <c r="A24362" s="2" t="s">
        <v>47579</v>
      </c>
      <c r="B24362" s="2" t="s">
        <v>47580</v>
      </c>
      <c r="C24362" s="2" t="s">
        <v>43061</v>
      </c>
      <c r="D24362" s="2" t="s">
        <v>1840</v>
      </c>
      <c r="E24362" s="2" t="str">
        <f>"9783862199822"</f>
        <v>9783862199822</v>
      </c>
      <c r="F24362" s="2" t="str">
        <f>"9783862199839"</f>
        <v>9783862199839</v>
      </c>
    </row>
    <row r="24363" spans="1:6" s="3" customFormat="1" ht="29.1" customHeight="1" x14ac:dyDescent="0.25">
      <c r="A24363" s="2" t="s">
        <v>47581</v>
      </c>
      <c r="B24363" s="2" t="s">
        <v>47582</v>
      </c>
      <c r="C24363" s="2" t="s">
        <v>43061</v>
      </c>
      <c r="D24363" s="2" t="s">
        <v>9550</v>
      </c>
      <c r="E24363" s="2" t="str">
        <f>"9783862198184"</f>
        <v>9783862198184</v>
      </c>
      <c r="F24363" s="2" t="str">
        <f>"9783862198191"</f>
        <v>9783862198191</v>
      </c>
    </row>
    <row r="24364" spans="1:6" s="3" customFormat="1" ht="29.1" customHeight="1" x14ac:dyDescent="0.25">
      <c r="A24364" s="2" t="s">
        <v>47583</v>
      </c>
      <c r="B24364" s="2" t="s">
        <v>47584</v>
      </c>
      <c r="C24364" s="2" t="s">
        <v>43061</v>
      </c>
      <c r="D24364" s="2" t="s">
        <v>3943</v>
      </c>
      <c r="E24364" s="2" t="str">
        <f>"9783862199600"</f>
        <v>9783862199600</v>
      </c>
      <c r="F24364" s="2" t="str">
        <f>"9783862199617"</f>
        <v>9783862199617</v>
      </c>
    </row>
    <row r="24365" spans="1:6" s="3" customFormat="1" ht="29.1" customHeight="1" x14ac:dyDescent="0.25">
      <c r="A24365" s="2" t="s">
        <v>47585</v>
      </c>
      <c r="B24365" s="2" t="s">
        <v>47586</v>
      </c>
      <c r="C24365" s="2" t="s">
        <v>43061</v>
      </c>
      <c r="D24365" s="2" t="s">
        <v>7199</v>
      </c>
      <c r="E24365" s="2" t="str">
        <f>"9783862197941"</f>
        <v>9783862197941</v>
      </c>
      <c r="F24365" s="2" t="str">
        <f>"9783862197958"</f>
        <v>9783862197958</v>
      </c>
    </row>
    <row r="24366" spans="1:6" s="3" customFormat="1" ht="29.1" customHeight="1" x14ac:dyDescent="0.25">
      <c r="A24366" s="2" t="s">
        <v>47587</v>
      </c>
      <c r="B24366" s="2" t="s">
        <v>47588</v>
      </c>
      <c r="C24366" s="2" t="s">
        <v>43061</v>
      </c>
      <c r="D24366" s="2" t="s">
        <v>4002</v>
      </c>
      <c r="E24366" s="2" t="str">
        <f>"9783862199846"</f>
        <v>9783862199846</v>
      </c>
      <c r="F24366" s="2" t="str">
        <f>"9783862199853"</f>
        <v>9783862199853</v>
      </c>
    </row>
    <row r="24367" spans="1:6" s="3" customFormat="1" ht="29.1" customHeight="1" x14ac:dyDescent="0.25">
      <c r="A24367" s="2" t="s">
        <v>47589</v>
      </c>
      <c r="B24367" s="2" t="s">
        <v>47590</v>
      </c>
      <c r="C24367" s="2" t="s">
        <v>43061</v>
      </c>
      <c r="D24367" s="2" t="s">
        <v>2147</v>
      </c>
      <c r="E24367" s="2" t="str">
        <f>"9783862199884"</f>
        <v>9783862199884</v>
      </c>
      <c r="F24367" s="2" t="str">
        <f>"9783862199891"</f>
        <v>9783862199891</v>
      </c>
    </row>
    <row r="24368" spans="1:6" s="3" customFormat="1" ht="29.1" customHeight="1" x14ac:dyDescent="0.25">
      <c r="A24368" s="2" t="s">
        <v>47591</v>
      </c>
      <c r="B24368" s="2" t="s">
        <v>47592</v>
      </c>
      <c r="C24368" s="2" t="s">
        <v>43061</v>
      </c>
      <c r="D24368" s="2" t="s">
        <v>1864</v>
      </c>
      <c r="E24368" s="2" t="str">
        <f>"9783737600125"</f>
        <v>9783737600125</v>
      </c>
      <c r="F24368" s="2" t="str">
        <f>"9783737600132"</f>
        <v>9783737600132</v>
      </c>
    </row>
    <row r="24369" spans="1:6" s="3" customFormat="1" ht="29.1" customHeight="1" x14ac:dyDescent="0.25">
      <c r="A24369" s="2" t="s">
        <v>47593</v>
      </c>
      <c r="B24369" s="2" t="s">
        <v>47594</v>
      </c>
      <c r="C24369" s="2" t="s">
        <v>1070</v>
      </c>
      <c r="D24369" s="2" t="s">
        <v>468</v>
      </c>
      <c r="E24369" s="2" t="str">
        <f>"9781908541604"</f>
        <v>9781908541604</v>
      </c>
      <c r="F24369" s="2" t="str">
        <f>"9781910797099"</f>
        <v>9781910797099</v>
      </c>
    </row>
    <row r="24370" spans="1:6" s="3" customFormat="1" ht="29.1" customHeight="1" x14ac:dyDescent="0.25">
      <c r="A24370" s="2" t="s">
        <v>47595</v>
      </c>
      <c r="B24370" s="2" t="s">
        <v>47596</v>
      </c>
      <c r="C24370" s="2" t="s">
        <v>927</v>
      </c>
      <c r="D24370" s="2" t="s">
        <v>342</v>
      </c>
      <c r="E24370" s="2" t="str">
        <f>"9780472052691"</f>
        <v>9780472052691</v>
      </c>
      <c r="F24370" s="2" t="str">
        <f>"9780472121144"</f>
        <v>9780472121144</v>
      </c>
    </row>
    <row r="24371" spans="1:6" s="3" customFormat="1" ht="29.1" customHeight="1" x14ac:dyDescent="0.25">
      <c r="A24371" s="2" t="s">
        <v>47597</v>
      </c>
      <c r="B24371" s="2" t="s">
        <v>47598</v>
      </c>
      <c r="C24371" s="2" t="s">
        <v>124</v>
      </c>
      <c r="D24371" s="2" t="s">
        <v>15</v>
      </c>
      <c r="E24371" s="2" t="str">
        <f>"9780415856430"</f>
        <v>9780415856430</v>
      </c>
      <c r="F24371" s="2" t="str">
        <f>"9781135005542"</f>
        <v>9781135005542</v>
      </c>
    </row>
    <row r="24372" spans="1:6" s="3" customFormat="1" ht="29.1" customHeight="1" x14ac:dyDescent="0.25">
      <c r="A24372" s="2" t="s">
        <v>47599</v>
      </c>
      <c r="B24372" s="2" t="s">
        <v>47600</v>
      </c>
      <c r="C24372" s="2" t="s">
        <v>124</v>
      </c>
      <c r="D24372" s="2" t="s">
        <v>2587</v>
      </c>
      <c r="E24372" s="2" t="str">
        <f>"9781138803251"</f>
        <v>9781138803251</v>
      </c>
      <c r="F24372" s="2" t="str">
        <f>"9781317622147"</f>
        <v>9781317622147</v>
      </c>
    </row>
    <row r="24373" spans="1:6" s="3" customFormat="1" ht="29.1" customHeight="1" x14ac:dyDescent="0.25">
      <c r="A24373" s="2" t="s">
        <v>47601</v>
      </c>
      <c r="B24373" s="2" t="s">
        <v>47602</v>
      </c>
      <c r="C24373" s="2" t="s">
        <v>124</v>
      </c>
      <c r="D24373" s="2" t="s">
        <v>186</v>
      </c>
      <c r="E24373" s="2" t="str">
        <f>"9781138925205"</f>
        <v>9781138925205</v>
      </c>
      <c r="F24373" s="2" t="str">
        <f>"9781317407560"</f>
        <v>9781317407560</v>
      </c>
    </row>
    <row r="24374" spans="1:6" s="3" customFormat="1" ht="29.1" customHeight="1" x14ac:dyDescent="0.25">
      <c r="A24374" s="2" t="s">
        <v>47603</v>
      </c>
      <c r="B24374" s="2" t="s">
        <v>47604</v>
      </c>
      <c r="C24374" s="2" t="s">
        <v>195</v>
      </c>
      <c r="D24374" s="2" t="s">
        <v>1466</v>
      </c>
      <c r="E24374" s="2" t="str">
        <f>"9783110427776"</f>
        <v>9783110427776</v>
      </c>
      <c r="F24374" s="2" t="str">
        <f>"9783110424812"</f>
        <v>9783110424812</v>
      </c>
    </row>
    <row r="24375" spans="1:6" s="3" customFormat="1" ht="29.1" customHeight="1" x14ac:dyDescent="0.25">
      <c r="A24375" s="2" t="s">
        <v>47605</v>
      </c>
      <c r="B24375" s="2" t="s">
        <v>47606</v>
      </c>
      <c r="C24375" s="2" t="s">
        <v>195</v>
      </c>
      <c r="D24375" s="2" t="s">
        <v>1466</v>
      </c>
      <c r="E24375" s="2" t="str">
        <f>"9783110414769"</f>
        <v>9783110414769</v>
      </c>
      <c r="F24375" s="2" t="str">
        <f>"9783110415551"</f>
        <v>9783110415551</v>
      </c>
    </row>
    <row r="24376" spans="1:6" s="3" customFormat="1" ht="29.1" customHeight="1" x14ac:dyDescent="0.25">
      <c r="A24376" s="2" t="s">
        <v>47607</v>
      </c>
      <c r="B24376" s="2" t="s">
        <v>47608</v>
      </c>
      <c r="C24376" s="2" t="s">
        <v>20</v>
      </c>
      <c r="D24376" s="2" t="s">
        <v>21</v>
      </c>
      <c r="E24376" s="2" t="str">
        <f>"9783763954575"</f>
        <v>9783763954575</v>
      </c>
      <c r="F24376" s="2" t="str">
        <f>"9783763954582"</f>
        <v>9783763954582</v>
      </c>
    </row>
    <row r="24377" spans="1:6" s="3" customFormat="1" ht="29.1" customHeight="1" x14ac:dyDescent="0.25">
      <c r="A24377" s="2" t="s">
        <v>47609</v>
      </c>
      <c r="B24377" s="2" t="s">
        <v>47348</v>
      </c>
      <c r="C24377" s="2" t="s">
        <v>124</v>
      </c>
      <c r="D24377" s="2" t="s">
        <v>297</v>
      </c>
      <c r="E24377" s="2" t="str">
        <f>"9781041184270"</f>
        <v>9781041184270</v>
      </c>
      <c r="F24377" s="2" t="str">
        <f>"9781040800317"</f>
        <v>9781040800317</v>
      </c>
    </row>
    <row r="24378" spans="1:6" s="3" customFormat="1" ht="29.1" customHeight="1" x14ac:dyDescent="0.25">
      <c r="A24378" s="2" t="s">
        <v>47610</v>
      </c>
      <c r="B24378" s="2" t="s">
        <v>47611</v>
      </c>
      <c r="C24378" s="2" t="s">
        <v>124</v>
      </c>
      <c r="D24378" s="2" t="s">
        <v>297</v>
      </c>
      <c r="E24378" s="2" t="str">
        <f>"9781041183686"</f>
        <v>9781041183686</v>
      </c>
      <c r="F24378" s="2" t="str">
        <f>"9781040796184"</f>
        <v>9781040796184</v>
      </c>
    </row>
    <row r="24379" spans="1:6" s="3" customFormat="1" ht="29.1" customHeight="1" x14ac:dyDescent="0.25">
      <c r="A24379" s="2" t="s">
        <v>47612</v>
      </c>
      <c r="B24379" s="2" t="s">
        <v>47613</v>
      </c>
      <c r="C24379" s="2" t="s">
        <v>124</v>
      </c>
      <c r="D24379" s="2" t="s">
        <v>270</v>
      </c>
      <c r="E24379" s="2" t="str">
        <f>"9781041182054"</f>
        <v>9781041182054</v>
      </c>
      <c r="F24379" s="2" t="str">
        <f>"9781040790984"</f>
        <v>9781040790984</v>
      </c>
    </row>
    <row r="24380" spans="1:6" s="3" customFormat="1" ht="29.1" customHeight="1" x14ac:dyDescent="0.25">
      <c r="A24380" s="2" t="s">
        <v>47614</v>
      </c>
      <c r="B24380" s="2" t="s">
        <v>47615</v>
      </c>
      <c r="C24380" s="2" t="s">
        <v>124</v>
      </c>
      <c r="D24380" s="2" t="s">
        <v>2877</v>
      </c>
      <c r="E24380" s="2" t="str">
        <f>"9780415717151"</f>
        <v>9780415717151</v>
      </c>
      <c r="F24380" s="2" t="str">
        <f>"9781317975885"</f>
        <v>9781317975885</v>
      </c>
    </row>
    <row r="24381" spans="1:6" s="3" customFormat="1" ht="29.1" customHeight="1" x14ac:dyDescent="0.25">
      <c r="A24381" s="2" t="s">
        <v>47616</v>
      </c>
      <c r="B24381" s="2" t="s">
        <v>47617</v>
      </c>
      <c r="C24381" s="2" t="s">
        <v>556</v>
      </c>
      <c r="D24381" s="2" t="s">
        <v>484</v>
      </c>
      <c r="E24381" s="2" t="str">
        <f>"9783837631814"</f>
        <v>9783837631814</v>
      </c>
      <c r="F24381" s="2" t="str">
        <f>"9783839431818"</f>
        <v>9783839431818</v>
      </c>
    </row>
    <row r="24382" spans="1:6" s="3" customFormat="1" ht="29.1" customHeight="1" x14ac:dyDescent="0.25">
      <c r="A24382" s="2" t="s">
        <v>47618</v>
      </c>
      <c r="B24382" s="2" t="s">
        <v>47619</v>
      </c>
      <c r="C24382" s="2" t="s">
        <v>556</v>
      </c>
      <c r="D24382" s="2" t="s">
        <v>689</v>
      </c>
      <c r="E24382" s="2" t="str">
        <f>"9783837630893"</f>
        <v>9783837630893</v>
      </c>
      <c r="F24382" s="2" t="str">
        <f>"9783839430897"</f>
        <v>9783839430897</v>
      </c>
    </row>
    <row r="24383" spans="1:6" s="3" customFormat="1" ht="29.1" customHeight="1" x14ac:dyDescent="0.25">
      <c r="A24383" s="2" t="s">
        <v>47620</v>
      </c>
      <c r="B24383" s="2" t="s">
        <v>47621</v>
      </c>
      <c r="C24383" s="2" t="s">
        <v>556</v>
      </c>
      <c r="D24383" s="2" t="s">
        <v>501</v>
      </c>
      <c r="E24383" s="2" t="str">
        <f>"9783837629279"</f>
        <v>9783837629279</v>
      </c>
      <c r="F24383" s="2" t="str">
        <f>"9783839429273"</f>
        <v>9783839429273</v>
      </c>
    </row>
    <row r="24384" spans="1:6" s="3" customFormat="1" ht="29.1" customHeight="1" x14ac:dyDescent="0.25">
      <c r="A24384" s="2" t="s">
        <v>47622</v>
      </c>
      <c r="B24384" s="2" t="s">
        <v>47623</v>
      </c>
      <c r="C24384" s="2" t="s">
        <v>11220</v>
      </c>
      <c r="D24384" s="2" t="s">
        <v>168</v>
      </c>
      <c r="E24384" s="2" t="str">
        <f>"9780814719282"</f>
        <v>9780814719282</v>
      </c>
      <c r="F24384" s="2" t="str">
        <f>"9780814769881"</f>
        <v>9780814769881</v>
      </c>
    </row>
    <row r="24385" spans="1:6" s="3" customFormat="1" ht="29.1" customHeight="1" x14ac:dyDescent="0.25">
      <c r="A24385" s="2" t="s">
        <v>47624</v>
      </c>
      <c r="B24385" s="2" t="s">
        <v>47625</v>
      </c>
      <c r="C24385" s="2" t="s">
        <v>124</v>
      </c>
      <c r="D24385" s="2" t="s">
        <v>33</v>
      </c>
      <c r="E24385" s="2" t="str">
        <f>"9780415632201"</f>
        <v>9780415632201</v>
      </c>
      <c r="F24385" s="2" t="str">
        <f>"9781317537380"</f>
        <v>9781317537380</v>
      </c>
    </row>
    <row r="24386" spans="1:6" s="3" customFormat="1" ht="29.1" customHeight="1" x14ac:dyDescent="0.25">
      <c r="A24386" s="2" t="s">
        <v>47626</v>
      </c>
      <c r="B24386" s="2" t="s">
        <v>47627</v>
      </c>
      <c r="C24386" s="2" t="s">
        <v>8047</v>
      </c>
      <c r="D24386" s="2" t="s">
        <v>17547</v>
      </c>
      <c r="E24386" s="2" t="str">
        <f>"9780271020396"</f>
        <v>9780271020396</v>
      </c>
      <c r="F24386" s="2" t="str">
        <f>"9780271072234"</f>
        <v>9780271072234</v>
      </c>
    </row>
    <row r="24387" spans="1:6" s="3" customFormat="1" ht="29.1" customHeight="1" x14ac:dyDescent="0.25">
      <c r="A24387" s="2" t="s">
        <v>47628</v>
      </c>
      <c r="B24387" s="2" t="s">
        <v>47629</v>
      </c>
      <c r="C24387" s="2" t="s">
        <v>195</v>
      </c>
      <c r="D24387" s="2" t="s">
        <v>5417</v>
      </c>
      <c r="E24387" s="2" t="str">
        <f>"9783110427394"</f>
        <v>9783110427394</v>
      </c>
      <c r="F24387" s="2" t="str">
        <f>"9783110424140"</f>
        <v>9783110424140</v>
      </c>
    </row>
    <row r="24388" spans="1:6" s="3" customFormat="1" ht="29.1" customHeight="1" x14ac:dyDescent="0.25">
      <c r="A24388" s="2" t="s">
        <v>47630</v>
      </c>
      <c r="B24388" s="2" t="s">
        <v>32571</v>
      </c>
      <c r="C24388" s="2" t="s">
        <v>8104</v>
      </c>
      <c r="D24388" s="2" t="s">
        <v>1183</v>
      </c>
      <c r="E24388" s="2" t="str">
        <f>"9781785331534"</f>
        <v>9781785331534</v>
      </c>
      <c r="F24388" s="2" t="str">
        <f>"9781785331541"</f>
        <v>9781785331541</v>
      </c>
    </row>
    <row r="24389" spans="1:6" s="3" customFormat="1" ht="29.1" customHeight="1" x14ac:dyDescent="0.25">
      <c r="A24389" s="2" t="s">
        <v>47631</v>
      </c>
      <c r="B24389" s="2" t="s">
        <v>47632</v>
      </c>
      <c r="C24389" s="2" t="s">
        <v>316</v>
      </c>
      <c r="D24389" s="2" t="s">
        <v>1959</v>
      </c>
      <c r="E24389" s="2" t="str">
        <f>"9783038354796"</f>
        <v>9783038354796</v>
      </c>
      <c r="F24389" s="2" t="str">
        <f>"9783038269441"</f>
        <v>9783038269441</v>
      </c>
    </row>
    <row r="24390" spans="1:6" s="3" customFormat="1" ht="29.1" customHeight="1" x14ac:dyDescent="0.25">
      <c r="A24390" s="2" t="s">
        <v>10717</v>
      </c>
      <c r="B24390" s="2" t="s">
        <v>47633</v>
      </c>
      <c r="C24390" s="2" t="s">
        <v>20</v>
      </c>
      <c r="D24390" s="2" t="s">
        <v>24</v>
      </c>
      <c r="E24390" s="2" t="str">
        <f>"9783763953134"</f>
        <v>9783763953134</v>
      </c>
      <c r="F24390" s="2" t="str">
        <f>"9783763953141"</f>
        <v>9783763953141</v>
      </c>
    </row>
    <row r="24391" spans="1:6" s="3" customFormat="1" ht="29.1" customHeight="1" x14ac:dyDescent="0.25">
      <c r="A24391" s="2" t="s">
        <v>10717</v>
      </c>
      <c r="B24391" s="2" t="s">
        <v>47633</v>
      </c>
      <c r="C24391" s="2" t="s">
        <v>20</v>
      </c>
      <c r="D24391" s="2" t="s">
        <v>24</v>
      </c>
      <c r="E24391" s="2" t="str">
        <f>"9783763942428"</f>
        <v>9783763942428</v>
      </c>
      <c r="F24391" s="2" t="str">
        <f>"9783763942435"</f>
        <v>9783763942435</v>
      </c>
    </row>
    <row r="24392" spans="1:6" s="3" customFormat="1" ht="29.1" customHeight="1" x14ac:dyDescent="0.25">
      <c r="A24392" s="2" t="s">
        <v>47634</v>
      </c>
      <c r="B24392" s="2" t="s">
        <v>47635</v>
      </c>
      <c r="C24392" s="2" t="s">
        <v>20</v>
      </c>
      <c r="D24392" s="2" t="s">
        <v>24</v>
      </c>
      <c r="E24392" s="2" t="str">
        <f>"9783763942206"</f>
        <v>9783763942206</v>
      </c>
      <c r="F24392" s="2" t="str">
        <f>"9783763942312"</f>
        <v>9783763942312</v>
      </c>
    </row>
    <row r="24393" spans="1:6" s="3" customFormat="1" ht="29.1" customHeight="1" x14ac:dyDescent="0.25">
      <c r="A24393" s="2" t="s">
        <v>47636</v>
      </c>
      <c r="B24393" s="2" t="s">
        <v>47637</v>
      </c>
      <c r="C24393" s="2" t="s">
        <v>20</v>
      </c>
      <c r="D24393" s="2" t="s">
        <v>7079</v>
      </c>
      <c r="E24393" s="2" t="str">
        <f>"9783763952632"</f>
        <v>9783763952632</v>
      </c>
      <c r="F24393" s="2" t="str">
        <f>"9783763952649"</f>
        <v>9783763952649</v>
      </c>
    </row>
    <row r="24394" spans="1:6" s="3" customFormat="1" ht="29.1" customHeight="1" x14ac:dyDescent="0.25">
      <c r="A24394" s="2" t="s">
        <v>47638</v>
      </c>
      <c r="B24394" s="2" t="s">
        <v>47639</v>
      </c>
      <c r="C24394" s="2" t="s">
        <v>195</v>
      </c>
      <c r="D24394" s="2" t="s">
        <v>446</v>
      </c>
      <c r="E24394" s="2" t="str">
        <f>"9783110203066"</f>
        <v>9783110203066</v>
      </c>
      <c r="F24394" s="2" t="str">
        <f>"9783110972948"</f>
        <v>9783110972948</v>
      </c>
    </row>
    <row r="24395" spans="1:6" s="3" customFormat="1" ht="29.1" customHeight="1" x14ac:dyDescent="0.25">
      <c r="A24395" s="2" t="s">
        <v>47640</v>
      </c>
      <c r="B24395" s="2" t="s">
        <v>47639</v>
      </c>
      <c r="C24395" s="2" t="s">
        <v>195</v>
      </c>
      <c r="D24395" s="2" t="s">
        <v>446</v>
      </c>
      <c r="E24395" s="2" t="str">
        <f>"9783110183818"</f>
        <v>9783110183818</v>
      </c>
      <c r="F24395" s="2" t="str">
        <f>"9783110924572"</f>
        <v>9783110924572</v>
      </c>
    </row>
    <row r="24396" spans="1:6" s="3" customFormat="1" ht="29.1" customHeight="1" x14ac:dyDescent="0.25">
      <c r="A24396" s="2" t="s">
        <v>47641</v>
      </c>
      <c r="B24396" s="2" t="s">
        <v>47643</v>
      </c>
      <c r="C24396" s="2" t="s">
        <v>36</v>
      </c>
      <c r="D24396" s="2" t="s">
        <v>47642</v>
      </c>
      <c r="E24396" s="2"/>
      <c r="F24396" s="2" t="str">
        <f>"9781447322108"</f>
        <v>9781447322108</v>
      </c>
    </row>
    <row r="24397" spans="1:6" s="3" customFormat="1" ht="29.1" customHeight="1" x14ac:dyDescent="0.25">
      <c r="A24397" s="2" t="s">
        <v>47644</v>
      </c>
      <c r="B24397" s="2" t="s">
        <v>47645</v>
      </c>
      <c r="C24397" s="2" t="s">
        <v>36</v>
      </c>
      <c r="D24397" s="2" t="s">
        <v>183</v>
      </c>
      <c r="E24397" s="2" t="str">
        <f>"9781447317012"</f>
        <v>9781447317012</v>
      </c>
      <c r="F24397" s="2" t="str">
        <f>"9781447317043"</f>
        <v>9781447317043</v>
      </c>
    </row>
    <row r="24398" spans="1:6" s="3" customFormat="1" ht="29.1" customHeight="1" x14ac:dyDescent="0.25">
      <c r="A24398" s="2" t="s">
        <v>47646</v>
      </c>
      <c r="B24398" s="2" t="s">
        <v>47647</v>
      </c>
      <c r="C24398" s="2" t="s">
        <v>26676</v>
      </c>
      <c r="D24398" s="2" t="s">
        <v>436</v>
      </c>
      <c r="E24398" s="2" t="str">
        <f>"9781618112842"</f>
        <v>9781618112842</v>
      </c>
      <c r="F24398" s="2" t="str">
        <f>"9781618112859"</f>
        <v>9781618112859</v>
      </c>
    </row>
    <row r="24399" spans="1:6" s="3" customFormat="1" ht="29.1" customHeight="1" x14ac:dyDescent="0.25">
      <c r="A24399" s="2" t="s">
        <v>47648</v>
      </c>
      <c r="B24399" s="2" t="s">
        <v>47649</v>
      </c>
      <c r="C24399" s="2" t="s">
        <v>26676</v>
      </c>
      <c r="D24399" s="2" t="s">
        <v>4238</v>
      </c>
      <c r="E24399" s="2" t="str">
        <f>"9781618114587"</f>
        <v>9781618114587</v>
      </c>
      <c r="F24399" s="2" t="str">
        <f>"9781618114600"</f>
        <v>9781618114600</v>
      </c>
    </row>
    <row r="24400" spans="1:6" s="3" customFormat="1" ht="29.1" customHeight="1" x14ac:dyDescent="0.25">
      <c r="A24400" s="2" t="s">
        <v>36652</v>
      </c>
      <c r="B24400" s="2" t="s">
        <v>46032</v>
      </c>
      <c r="C24400" s="2" t="s">
        <v>149</v>
      </c>
      <c r="D24400" s="2" t="s">
        <v>2086</v>
      </c>
      <c r="E24400" s="2" t="str">
        <f>"9781783741571"</f>
        <v>9781783741571</v>
      </c>
      <c r="F24400" s="2" t="str">
        <f>"9781783741595"</f>
        <v>9781783741595</v>
      </c>
    </row>
    <row r="24401" spans="1:6" s="3" customFormat="1" ht="29.1" customHeight="1" x14ac:dyDescent="0.25">
      <c r="A24401" s="2" t="s">
        <v>47650</v>
      </c>
      <c r="B24401" s="2" t="s">
        <v>47651</v>
      </c>
      <c r="C24401" s="2" t="s">
        <v>149</v>
      </c>
      <c r="D24401" s="2" t="s">
        <v>3878</v>
      </c>
      <c r="E24401" s="2" t="str">
        <f>"9781783741120"</f>
        <v>9781783741120</v>
      </c>
      <c r="F24401" s="2" t="str">
        <f>"9781783741144"</f>
        <v>9781783741144</v>
      </c>
    </row>
    <row r="24402" spans="1:6" s="3" customFormat="1" ht="29.1" customHeight="1" x14ac:dyDescent="0.25">
      <c r="A24402" s="2" t="s">
        <v>47652</v>
      </c>
      <c r="B24402" s="2" t="s">
        <v>26389</v>
      </c>
      <c r="C24402" s="2" t="s">
        <v>195</v>
      </c>
      <c r="D24402" s="2" t="s">
        <v>509</v>
      </c>
      <c r="E24402" s="2" t="str">
        <f>"9783110374476"</f>
        <v>9783110374476</v>
      </c>
      <c r="F24402" s="2" t="str">
        <f>"9783110443516"</f>
        <v>9783110443516</v>
      </c>
    </row>
    <row r="24403" spans="1:6" s="3" customFormat="1" ht="29.1" customHeight="1" x14ac:dyDescent="0.25">
      <c r="A24403" s="2" t="s">
        <v>47653</v>
      </c>
      <c r="B24403" s="2" t="s">
        <v>47654</v>
      </c>
      <c r="C24403" s="2" t="s">
        <v>195</v>
      </c>
      <c r="D24403" s="2" t="s">
        <v>210</v>
      </c>
      <c r="E24403" s="2" t="str">
        <f>"9783486713527"</f>
        <v>9783486713527</v>
      </c>
      <c r="F24403" s="2" t="str">
        <f>"9783110435979"</f>
        <v>9783110435979</v>
      </c>
    </row>
    <row r="24404" spans="1:6" s="3" customFormat="1" ht="29.1" customHeight="1" x14ac:dyDescent="0.25">
      <c r="A24404" s="2" t="s">
        <v>47655</v>
      </c>
      <c r="B24404" s="2" t="s">
        <v>47656</v>
      </c>
      <c r="C24404" s="2" t="s">
        <v>124</v>
      </c>
      <c r="D24404" s="2" t="s">
        <v>1432</v>
      </c>
      <c r="E24404" s="2" t="str">
        <f>"9781041182870"</f>
        <v>9781041182870</v>
      </c>
      <c r="F24404" s="2" t="str">
        <f>"9781040781296"</f>
        <v>9781040781296</v>
      </c>
    </row>
    <row r="24405" spans="1:6" s="3" customFormat="1" ht="29.1" customHeight="1" x14ac:dyDescent="0.25">
      <c r="A24405" s="2" t="s">
        <v>47657</v>
      </c>
      <c r="B24405" s="2" t="s">
        <v>6791</v>
      </c>
      <c r="C24405" s="2" t="s">
        <v>124</v>
      </c>
      <c r="D24405" s="2" t="s">
        <v>1198</v>
      </c>
      <c r="E24405" s="2" t="str">
        <f>"9789089648914"</f>
        <v>9789089648914</v>
      </c>
      <c r="F24405" s="2" t="str">
        <f>"9781040782644"</f>
        <v>9781040782644</v>
      </c>
    </row>
    <row r="24406" spans="1:6" s="3" customFormat="1" ht="29.1" customHeight="1" x14ac:dyDescent="0.25">
      <c r="A24406" s="2" t="s">
        <v>47658</v>
      </c>
      <c r="B24406" s="2" t="s">
        <v>47659</v>
      </c>
      <c r="C24406" s="2" t="s">
        <v>124</v>
      </c>
      <c r="D24406" s="2" t="s">
        <v>712</v>
      </c>
      <c r="E24406" s="2" t="str">
        <f>"9789089646408"</f>
        <v>9789089646408</v>
      </c>
      <c r="F24406" s="2" t="str">
        <f>"9781040780367"</f>
        <v>9781040780367</v>
      </c>
    </row>
    <row r="24407" spans="1:6" s="3" customFormat="1" ht="29.1" customHeight="1" x14ac:dyDescent="0.25">
      <c r="A24407" s="2" t="s">
        <v>47660</v>
      </c>
      <c r="B24407" s="2" t="s">
        <v>47661</v>
      </c>
      <c r="C24407" s="2" t="s">
        <v>29</v>
      </c>
      <c r="D24407" s="2" t="s">
        <v>12</v>
      </c>
      <c r="E24407" s="2" t="str">
        <f>"9789004298835"</f>
        <v>9789004298835</v>
      </c>
      <c r="F24407" s="2" t="str">
        <f>"9789004300712"</f>
        <v>9789004300712</v>
      </c>
    </row>
    <row r="24408" spans="1:6" s="3" customFormat="1" ht="29.1" customHeight="1" x14ac:dyDescent="0.25">
      <c r="A24408" s="2" t="s">
        <v>47662</v>
      </c>
      <c r="B24408" s="2" t="s">
        <v>47663</v>
      </c>
      <c r="C24408" s="2" t="s">
        <v>124</v>
      </c>
      <c r="D24408" s="2" t="s">
        <v>1198</v>
      </c>
      <c r="E24408" s="2" t="str">
        <f>"9789089646767"</f>
        <v>9789089646767</v>
      </c>
      <c r="F24408" s="2" t="str">
        <f>"9781040783146"</f>
        <v>9781040783146</v>
      </c>
    </row>
    <row r="24409" spans="1:6" s="3" customFormat="1" ht="29.1" customHeight="1" x14ac:dyDescent="0.25">
      <c r="A24409" s="2" t="s">
        <v>47664</v>
      </c>
      <c r="B24409" s="2" t="s">
        <v>35366</v>
      </c>
      <c r="C24409" s="2" t="s">
        <v>131</v>
      </c>
      <c r="D24409" s="2" t="s">
        <v>459</v>
      </c>
      <c r="E24409" s="2" t="str">
        <f>"9789027244536"</f>
        <v>9789027244536</v>
      </c>
      <c r="F24409" s="2" t="str">
        <f>"9789027268266"</f>
        <v>9789027268266</v>
      </c>
    </row>
    <row r="24410" spans="1:6" s="3" customFormat="1" ht="29.1" customHeight="1" x14ac:dyDescent="0.25">
      <c r="A24410" s="2" t="s">
        <v>47665</v>
      </c>
      <c r="B24410" s="2" t="s">
        <v>47666</v>
      </c>
      <c r="C24410" s="2" t="s">
        <v>195</v>
      </c>
      <c r="D24410" s="2" t="s">
        <v>1697</v>
      </c>
      <c r="E24410" s="2" t="str">
        <f>"9783110441819"</f>
        <v>9783110441819</v>
      </c>
      <c r="F24410" s="2" t="str">
        <f>"9783110435702"</f>
        <v>9783110435702</v>
      </c>
    </row>
    <row r="24411" spans="1:6" s="3" customFormat="1" ht="29.1" customHeight="1" x14ac:dyDescent="0.25">
      <c r="A24411" s="2" t="s">
        <v>47667</v>
      </c>
      <c r="B24411" s="2" t="s">
        <v>46728</v>
      </c>
      <c r="C24411" s="2" t="s">
        <v>195</v>
      </c>
      <c r="D24411" s="2" t="s">
        <v>446</v>
      </c>
      <c r="E24411" s="2" t="str">
        <f>"9783110425895"</f>
        <v>9783110425895</v>
      </c>
      <c r="F24411" s="2" t="str">
        <f>"9783110428780"</f>
        <v>9783110428780</v>
      </c>
    </row>
    <row r="24412" spans="1:6" s="3" customFormat="1" ht="29.1" customHeight="1" x14ac:dyDescent="0.25">
      <c r="A24412" s="2" t="s">
        <v>47668</v>
      </c>
      <c r="B24412" s="2" t="s">
        <v>47669</v>
      </c>
      <c r="C24412" s="2" t="s">
        <v>195</v>
      </c>
      <c r="D24412" s="2" t="s">
        <v>1712</v>
      </c>
      <c r="E24412" s="2" t="str">
        <f>"9783110415179"</f>
        <v>9783110415179</v>
      </c>
      <c r="F24412" s="2" t="str">
        <f>"9783110415438"</f>
        <v>9783110415438</v>
      </c>
    </row>
    <row r="24413" spans="1:6" s="3" customFormat="1" ht="29.1" customHeight="1" x14ac:dyDescent="0.25">
      <c r="A24413" s="2" t="s">
        <v>47670</v>
      </c>
      <c r="B24413" s="2" t="s">
        <v>47671</v>
      </c>
      <c r="C24413" s="2" t="s">
        <v>195</v>
      </c>
      <c r="D24413" s="2" t="s">
        <v>3345</v>
      </c>
      <c r="E24413" s="2" t="str">
        <f>"9783110293036"</f>
        <v>9783110293036</v>
      </c>
      <c r="F24413" s="2" t="str">
        <f>"9783110293272"</f>
        <v>9783110293272</v>
      </c>
    </row>
    <row r="24414" spans="1:6" s="3" customFormat="1" ht="29.1" customHeight="1" x14ac:dyDescent="0.25">
      <c r="A24414" s="2" t="s">
        <v>47672</v>
      </c>
      <c r="B24414" s="2" t="s">
        <v>47673</v>
      </c>
      <c r="C24414" s="2" t="s">
        <v>195</v>
      </c>
      <c r="D24414" s="2" t="s">
        <v>210</v>
      </c>
      <c r="E24414" s="2" t="str">
        <f>"9783110371307"</f>
        <v>9783110371307</v>
      </c>
      <c r="F24414" s="2" t="str">
        <f>"9783110371345"</f>
        <v>9783110371345</v>
      </c>
    </row>
    <row r="24415" spans="1:6" s="3" customFormat="1" ht="29.1" customHeight="1" x14ac:dyDescent="0.25">
      <c r="A24415" s="2" t="s">
        <v>16594</v>
      </c>
      <c r="B24415" s="2" t="s">
        <v>16595</v>
      </c>
      <c r="C24415" s="2" t="s">
        <v>11220</v>
      </c>
      <c r="D24415" s="2" t="s">
        <v>16084</v>
      </c>
      <c r="E24415" s="2" t="str">
        <f>"9780814750797"</f>
        <v>9780814750797</v>
      </c>
      <c r="F24415" s="2" t="str">
        <f>"9781479898626"</f>
        <v>9781479898626</v>
      </c>
    </row>
    <row r="24416" spans="1:6" s="3" customFormat="1" ht="29.1" customHeight="1" x14ac:dyDescent="0.25">
      <c r="A24416" s="2" t="s">
        <v>47674</v>
      </c>
      <c r="B24416" s="2" t="s">
        <v>47675</v>
      </c>
      <c r="C24416" s="2" t="s">
        <v>11220</v>
      </c>
      <c r="D24416" s="2" t="s">
        <v>1591</v>
      </c>
      <c r="E24416" s="2" t="str">
        <f>"9780814746929"</f>
        <v>9780814746929</v>
      </c>
      <c r="F24416" s="2" t="str">
        <f>"9780814763551"</f>
        <v>9780814763551</v>
      </c>
    </row>
    <row r="24417" spans="1:6" s="3" customFormat="1" ht="29.1" customHeight="1" x14ac:dyDescent="0.25">
      <c r="A24417" s="2" t="s">
        <v>47676</v>
      </c>
      <c r="B24417" s="2" t="s">
        <v>47677</v>
      </c>
      <c r="C24417" s="2" t="s">
        <v>11220</v>
      </c>
      <c r="D24417" s="2" t="s">
        <v>75</v>
      </c>
      <c r="E24417" s="2" t="str">
        <f>"9780814712474"</f>
        <v>9780814712474</v>
      </c>
      <c r="F24417" s="2" t="str">
        <f>"9780814723418"</f>
        <v>9780814723418</v>
      </c>
    </row>
    <row r="24418" spans="1:6" s="3" customFormat="1" ht="29.1" customHeight="1" x14ac:dyDescent="0.25">
      <c r="A24418" s="2" t="s">
        <v>47678</v>
      </c>
      <c r="B24418" s="2" t="s">
        <v>47679</v>
      </c>
      <c r="C24418" s="2" t="s">
        <v>11220</v>
      </c>
      <c r="D24418" s="2" t="s">
        <v>37492</v>
      </c>
      <c r="E24418" s="2" t="str">
        <f>"9780814773086"</f>
        <v>9780814773086</v>
      </c>
      <c r="F24418" s="2" t="str">
        <f>"9780814790748"</f>
        <v>9780814790748</v>
      </c>
    </row>
    <row r="24419" spans="1:6" s="3" customFormat="1" ht="29.1" customHeight="1" x14ac:dyDescent="0.25">
      <c r="A24419" s="2" t="s">
        <v>47680</v>
      </c>
      <c r="B24419" s="2" t="s">
        <v>47681</v>
      </c>
      <c r="C24419" s="2" t="s">
        <v>11220</v>
      </c>
      <c r="D24419" s="2" t="s">
        <v>192</v>
      </c>
      <c r="E24419" s="2" t="str">
        <f>"9780814714539"</f>
        <v>9780814714539</v>
      </c>
      <c r="F24419" s="2" t="str">
        <f>"9780814790144"</f>
        <v>9780814790144</v>
      </c>
    </row>
    <row r="24420" spans="1:6" s="3" customFormat="1" ht="29.1" customHeight="1" x14ac:dyDescent="0.25">
      <c r="A24420" s="2" t="s">
        <v>47682</v>
      </c>
      <c r="B24420" s="2" t="s">
        <v>47683</v>
      </c>
      <c r="C24420" s="2" t="s">
        <v>131</v>
      </c>
      <c r="D24420" s="2" t="s">
        <v>5428</v>
      </c>
      <c r="E24420" s="2" t="str">
        <f>"9789027212238"</f>
        <v>9789027212238</v>
      </c>
      <c r="F24420" s="2" t="str">
        <f>"9789027268570"</f>
        <v>9789027268570</v>
      </c>
    </row>
    <row r="24421" spans="1:6" s="3" customFormat="1" ht="29.1" customHeight="1" x14ac:dyDescent="0.25">
      <c r="A24421" s="2" t="s">
        <v>47684</v>
      </c>
      <c r="B24421" s="2" t="s">
        <v>47685</v>
      </c>
      <c r="C24421" s="2" t="s">
        <v>8047</v>
      </c>
      <c r="D24421" s="2" t="s">
        <v>17901</v>
      </c>
      <c r="E24421" s="2" t="str">
        <f>"9780271066851"</f>
        <v>9780271066851</v>
      </c>
      <c r="F24421" s="2" t="str">
        <f>"9780271072067"</f>
        <v>9780271072067</v>
      </c>
    </row>
    <row r="24422" spans="1:6" s="3" customFormat="1" ht="29.1" customHeight="1" x14ac:dyDescent="0.25">
      <c r="A24422" s="2" t="s">
        <v>47686</v>
      </c>
      <c r="B24422" s="2" t="s">
        <v>47687</v>
      </c>
      <c r="C24422" s="2" t="s">
        <v>595</v>
      </c>
      <c r="D24422" s="2" t="s">
        <v>10578</v>
      </c>
      <c r="E24422" s="2" t="str">
        <f>"9782875742810"</f>
        <v>9782875742810</v>
      </c>
      <c r="F24422" s="2" t="str">
        <f>"9783035265446"</f>
        <v>9783035265446</v>
      </c>
    </row>
    <row r="24423" spans="1:6" s="3" customFormat="1" ht="29.1" customHeight="1" x14ac:dyDescent="0.25">
      <c r="A24423" s="2" t="s">
        <v>47688</v>
      </c>
      <c r="B24423" s="2" t="s">
        <v>17277</v>
      </c>
      <c r="C24423" s="2" t="s">
        <v>595</v>
      </c>
      <c r="D24423" s="2" t="s">
        <v>2851</v>
      </c>
      <c r="E24423" s="2" t="str">
        <f>"9783631661130"</f>
        <v>9783631661130</v>
      </c>
      <c r="F24423" s="2" t="str">
        <f>"9783653055924"</f>
        <v>9783653055924</v>
      </c>
    </row>
    <row r="24424" spans="1:6" s="3" customFormat="1" ht="29.1" customHeight="1" x14ac:dyDescent="0.25">
      <c r="A24424" s="2" t="s">
        <v>47689</v>
      </c>
      <c r="B24424" s="2" t="s">
        <v>47690</v>
      </c>
      <c r="C24424" s="2" t="s">
        <v>1070</v>
      </c>
      <c r="D24424" s="2" t="s">
        <v>165</v>
      </c>
      <c r="E24424" s="2" t="str">
        <f>"9781908541727"</f>
        <v>9781908541727</v>
      </c>
      <c r="F24424" s="2" t="str">
        <f>"9781908541857"</f>
        <v>9781908541857</v>
      </c>
    </row>
    <row r="24425" spans="1:6" s="3" customFormat="1" ht="29.1" customHeight="1" x14ac:dyDescent="0.25">
      <c r="A24425" s="2" t="s">
        <v>47691</v>
      </c>
      <c r="B24425" s="2" t="s">
        <v>47692</v>
      </c>
      <c r="C24425" s="2" t="s">
        <v>62</v>
      </c>
      <c r="D24425" s="2" t="s">
        <v>1651</v>
      </c>
      <c r="E24425" s="2" t="str">
        <f>"9783428174263"</f>
        <v>9783428174263</v>
      </c>
      <c r="F24425" s="2" t="str">
        <f>"9783428574261"</f>
        <v>9783428574261</v>
      </c>
    </row>
    <row r="24426" spans="1:6" s="3" customFormat="1" ht="29.1" customHeight="1" x14ac:dyDescent="0.25">
      <c r="A24426" s="2" t="s">
        <v>47693</v>
      </c>
      <c r="B24426" s="2" t="s">
        <v>30238</v>
      </c>
      <c r="C24426" s="2" t="s">
        <v>62</v>
      </c>
      <c r="D24426" s="2" t="s">
        <v>4783</v>
      </c>
      <c r="E24426" s="2" t="str">
        <f>"9783428173600"</f>
        <v>9783428173600</v>
      </c>
      <c r="F24426" s="2" t="str">
        <f>"9783428573608"</f>
        <v>9783428573608</v>
      </c>
    </row>
    <row r="24427" spans="1:6" s="3" customFormat="1" ht="29.1" customHeight="1" x14ac:dyDescent="0.25">
      <c r="A24427" s="2" t="s">
        <v>47693</v>
      </c>
      <c r="B24427" s="2" t="s">
        <v>30238</v>
      </c>
      <c r="C24427" s="2" t="s">
        <v>62</v>
      </c>
      <c r="D24427" s="2" t="s">
        <v>2019</v>
      </c>
      <c r="E24427" s="2" t="str">
        <f>"9783428173587"</f>
        <v>9783428173587</v>
      </c>
      <c r="F24427" s="2" t="str">
        <f>"9783428573585"</f>
        <v>9783428573585</v>
      </c>
    </row>
    <row r="24428" spans="1:6" s="3" customFormat="1" ht="29.1" customHeight="1" x14ac:dyDescent="0.25">
      <c r="A24428" s="2" t="s">
        <v>47694</v>
      </c>
      <c r="B24428" s="2" t="s">
        <v>30238</v>
      </c>
      <c r="C24428" s="2" t="s">
        <v>62</v>
      </c>
      <c r="D24428" s="2" t="s">
        <v>350</v>
      </c>
      <c r="E24428" s="2" t="str">
        <f>"9783428172849"</f>
        <v>9783428172849</v>
      </c>
      <c r="F24428" s="2" t="str">
        <f>"9783428572847"</f>
        <v>9783428572847</v>
      </c>
    </row>
    <row r="24429" spans="1:6" s="3" customFormat="1" ht="29.1" customHeight="1" x14ac:dyDescent="0.25">
      <c r="A24429" s="2" t="s">
        <v>47695</v>
      </c>
      <c r="B24429" s="2" t="s">
        <v>47696</v>
      </c>
      <c r="C24429" s="2" t="s">
        <v>62</v>
      </c>
      <c r="D24429" s="2" t="s">
        <v>1463</v>
      </c>
      <c r="E24429" s="2" t="str">
        <f>"9783428144723"</f>
        <v>9783428144723</v>
      </c>
      <c r="F24429" s="2" t="str">
        <f>"9783428544721"</f>
        <v>9783428544721</v>
      </c>
    </row>
    <row r="24430" spans="1:6" s="3" customFormat="1" ht="29.1" customHeight="1" x14ac:dyDescent="0.25">
      <c r="A24430" s="2" t="s">
        <v>47697</v>
      </c>
      <c r="B24430" s="2" t="s">
        <v>47698</v>
      </c>
      <c r="C24430" s="2" t="s">
        <v>62</v>
      </c>
      <c r="D24430" s="2" t="s">
        <v>218</v>
      </c>
      <c r="E24430" s="2" t="str">
        <f>"9783428144204"</f>
        <v>9783428144204</v>
      </c>
      <c r="F24430" s="2" t="str">
        <f>"9783428544202"</f>
        <v>9783428544202</v>
      </c>
    </row>
    <row r="24431" spans="1:6" s="3" customFormat="1" ht="29.1" customHeight="1" x14ac:dyDescent="0.25">
      <c r="A24431" s="2" t="s">
        <v>47699</v>
      </c>
      <c r="B24431" s="2" t="s">
        <v>42141</v>
      </c>
      <c r="C24431" s="2" t="s">
        <v>62</v>
      </c>
      <c r="D24431" s="2" t="s">
        <v>2005</v>
      </c>
      <c r="E24431" s="2" t="str">
        <f>"9783428143849"</f>
        <v>9783428143849</v>
      </c>
      <c r="F24431" s="2" t="str">
        <f>"9783428543847"</f>
        <v>9783428543847</v>
      </c>
    </row>
    <row r="24432" spans="1:6" s="3" customFormat="1" ht="29.1" customHeight="1" x14ac:dyDescent="0.25">
      <c r="A24432" s="2" t="s">
        <v>47700</v>
      </c>
      <c r="B24432" s="2" t="s">
        <v>33008</v>
      </c>
      <c r="C24432" s="2" t="s">
        <v>62</v>
      </c>
      <c r="D24432" s="2" t="s">
        <v>1651</v>
      </c>
      <c r="E24432" s="2" t="str">
        <f>"9783428143351"</f>
        <v>9783428143351</v>
      </c>
      <c r="F24432" s="2" t="str">
        <f>"9783428543359"</f>
        <v>9783428543359</v>
      </c>
    </row>
    <row r="24433" spans="1:6" s="3" customFormat="1" ht="29.1" customHeight="1" x14ac:dyDescent="0.25">
      <c r="A24433" s="2" t="s">
        <v>47701</v>
      </c>
      <c r="B24433" s="2" t="s">
        <v>43134</v>
      </c>
      <c r="C24433" s="2" t="s">
        <v>62</v>
      </c>
      <c r="D24433" s="2" t="s">
        <v>2005</v>
      </c>
      <c r="E24433" s="2" t="str">
        <f>"9783428143153"</f>
        <v>9783428143153</v>
      </c>
      <c r="F24433" s="2" t="str">
        <f>"9783428543151"</f>
        <v>9783428543151</v>
      </c>
    </row>
    <row r="24434" spans="1:6" s="3" customFormat="1" ht="29.1" customHeight="1" x14ac:dyDescent="0.25">
      <c r="A24434" s="2" t="s">
        <v>47702</v>
      </c>
      <c r="B24434" s="2" t="s">
        <v>47703</v>
      </c>
      <c r="C24434" s="2" t="s">
        <v>62</v>
      </c>
      <c r="D24434" s="2" t="s">
        <v>4783</v>
      </c>
      <c r="E24434" s="2" t="str">
        <f>"9783428112227"</f>
        <v>9783428112227</v>
      </c>
      <c r="F24434" s="2" t="str">
        <f>"9783428512225"</f>
        <v>9783428512225</v>
      </c>
    </row>
    <row r="24435" spans="1:6" s="3" customFormat="1" ht="29.1" customHeight="1" x14ac:dyDescent="0.25">
      <c r="A24435" s="2" t="s">
        <v>47704</v>
      </c>
      <c r="B24435" s="2" t="s">
        <v>46829</v>
      </c>
      <c r="C24435" s="2" t="s">
        <v>62</v>
      </c>
      <c r="D24435" s="2" t="s">
        <v>30954</v>
      </c>
      <c r="E24435" s="2" t="str">
        <f>"9783428105076"</f>
        <v>9783428105076</v>
      </c>
      <c r="F24435" s="2" t="str">
        <f>"9783428505074"</f>
        <v>9783428505074</v>
      </c>
    </row>
    <row r="24436" spans="1:6" s="3" customFormat="1" ht="29.1" customHeight="1" x14ac:dyDescent="0.25">
      <c r="A24436" s="2" t="s">
        <v>47705</v>
      </c>
      <c r="B24436" s="2" t="s">
        <v>33008</v>
      </c>
      <c r="C24436" s="2" t="s">
        <v>62</v>
      </c>
      <c r="D24436" s="2" t="s">
        <v>2168</v>
      </c>
      <c r="E24436" s="2" t="str">
        <f>"9783428104932"</f>
        <v>9783428104932</v>
      </c>
      <c r="F24436" s="2" t="str">
        <f>"9783428504930"</f>
        <v>9783428504930</v>
      </c>
    </row>
    <row r="24437" spans="1:6" s="3" customFormat="1" ht="29.1" customHeight="1" x14ac:dyDescent="0.25">
      <c r="A24437" s="2" t="s">
        <v>47706</v>
      </c>
      <c r="B24437" s="2" t="s">
        <v>46846</v>
      </c>
      <c r="C24437" s="2" t="s">
        <v>62</v>
      </c>
      <c r="D24437" s="2" t="s">
        <v>350</v>
      </c>
      <c r="E24437" s="2" t="str">
        <f>"9783428104369"</f>
        <v>9783428104369</v>
      </c>
      <c r="F24437" s="2" t="str">
        <f>"9783428504367"</f>
        <v>9783428504367</v>
      </c>
    </row>
    <row r="24438" spans="1:6" s="3" customFormat="1" ht="29.1" customHeight="1" x14ac:dyDescent="0.25">
      <c r="A24438" s="2" t="s">
        <v>47707</v>
      </c>
      <c r="B24438" s="2" t="s">
        <v>47708</v>
      </c>
      <c r="C24438" s="2" t="s">
        <v>62</v>
      </c>
      <c r="D24438" s="2" t="s">
        <v>1463</v>
      </c>
      <c r="E24438" s="2" t="str">
        <f>"9783428102822"</f>
        <v>9783428102822</v>
      </c>
      <c r="F24438" s="2" t="str">
        <f>"9783428502820"</f>
        <v>9783428502820</v>
      </c>
    </row>
    <row r="24439" spans="1:6" s="3" customFormat="1" ht="29.1" customHeight="1" x14ac:dyDescent="0.25">
      <c r="A24439" s="2" t="s">
        <v>47709</v>
      </c>
      <c r="B24439" s="2" t="s">
        <v>33199</v>
      </c>
      <c r="C24439" s="2" t="s">
        <v>62</v>
      </c>
      <c r="D24439" s="2" t="s">
        <v>30954</v>
      </c>
      <c r="E24439" s="2" t="str">
        <f>"9783428101184"</f>
        <v>9783428101184</v>
      </c>
      <c r="F24439" s="2" t="str">
        <f>"9783428501182"</f>
        <v>9783428501182</v>
      </c>
    </row>
    <row r="24440" spans="1:6" s="3" customFormat="1" ht="29.1" customHeight="1" x14ac:dyDescent="0.25">
      <c r="A24440" s="2" t="s">
        <v>47710</v>
      </c>
      <c r="B24440" s="2" t="s">
        <v>47711</v>
      </c>
      <c r="C24440" s="2" t="s">
        <v>62</v>
      </c>
      <c r="D24440" s="2" t="s">
        <v>350</v>
      </c>
      <c r="E24440" s="2" t="str">
        <f>"9783428101078"</f>
        <v>9783428101078</v>
      </c>
      <c r="F24440" s="2" t="str">
        <f>"9783428501076"</f>
        <v>9783428501076</v>
      </c>
    </row>
    <row r="24441" spans="1:6" s="3" customFormat="1" ht="29.1" customHeight="1" x14ac:dyDescent="0.25">
      <c r="A24441" s="2" t="s">
        <v>47712</v>
      </c>
      <c r="B24441" s="2" t="s">
        <v>47713</v>
      </c>
      <c r="C24441" s="2" t="s">
        <v>62</v>
      </c>
      <c r="D24441" s="2" t="s">
        <v>6628</v>
      </c>
      <c r="E24441" s="2" t="str">
        <f>"9783428100156"</f>
        <v>9783428100156</v>
      </c>
      <c r="F24441" s="2" t="str">
        <f>"9783428500154"</f>
        <v>9783428500154</v>
      </c>
    </row>
    <row r="24442" spans="1:6" s="3" customFormat="1" ht="29.1" customHeight="1" x14ac:dyDescent="0.25">
      <c r="A24442" s="2" t="s">
        <v>47714</v>
      </c>
      <c r="B24442" s="2" t="s">
        <v>46856</v>
      </c>
      <c r="C24442" s="2" t="s">
        <v>62</v>
      </c>
      <c r="D24442" s="2" t="s">
        <v>4783</v>
      </c>
      <c r="E24442" s="2" t="str">
        <f>"9783428099788"</f>
        <v>9783428099788</v>
      </c>
      <c r="F24442" s="2" t="str">
        <f>"9783428499786"</f>
        <v>9783428499786</v>
      </c>
    </row>
    <row r="24443" spans="1:6" s="3" customFormat="1" ht="29.1" customHeight="1" x14ac:dyDescent="0.25">
      <c r="A24443" s="2" t="s">
        <v>47715</v>
      </c>
      <c r="B24443" s="2" t="s">
        <v>33222</v>
      </c>
      <c r="C24443" s="2" t="s">
        <v>62</v>
      </c>
      <c r="D24443" s="2" t="s">
        <v>183</v>
      </c>
      <c r="E24443" s="2" t="str">
        <f>"9783428099702"</f>
        <v>9783428099702</v>
      </c>
      <c r="F24443" s="2" t="str">
        <f>"9783428499700"</f>
        <v>9783428499700</v>
      </c>
    </row>
    <row r="24444" spans="1:6" s="3" customFormat="1" ht="29.1" customHeight="1" x14ac:dyDescent="0.25">
      <c r="A24444" s="2" t="s">
        <v>47716</v>
      </c>
      <c r="B24444" s="2" t="s">
        <v>46854</v>
      </c>
      <c r="C24444" s="2" t="s">
        <v>62</v>
      </c>
      <c r="D24444" s="2" t="s">
        <v>2255</v>
      </c>
      <c r="E24444" s="2" t="str">
        <f>"9783428098132"</f>
        <v>9783428098132</v>
      </c>
      <c r="F24444" s="2" t="str">
        <f>"9783428498130"</f>
        <v>9783428498130</v>
      </c>
    </row>
    <row r="24445" spans="1:6" s="3" customFormat="1" ht="29.1" customHeight="1" x14ac:dyDescent="0.25">
      <c r="A24445" s="2" t="s">
        <v>47717</v>
      </c>
      <c r="B24445" s="2" t="s">
        <v>33227</v>
      </c>
      <c r="C24445" s="2" t="s">
        <v>62</v>
      </c>
      <c r="D24445" s="2" t="s">
        <v>1228</v>
      </c>
      <c r="E24445" s="2" t="str">
        <f>"9783428098125"</f>
        <v>9783428098125</v>
      </c>
      <c r="F24445" s="2" t="str">
        <f>"9783428498123"</f>
        <v>9783428498123</v>
      </c>
    </row>
    <row r="24446" spans="1:6" s="3" customFormat="1" ht="29.1" customHeight="1" x14ac:dyDescent="0.25">
      <c r="A24446" s="2" t="s">
        <v>47718</v>
      </c>
      <c r="B24446" s="2" t="s">
        <v>47719</v>
      </c>
      <c r="C24446" s="2" t="s">
        <v>62</v>
      </c>
      <c r="D24446" s="2" t="s">
        <v>78</v>
      </c>
      <c r="E24446" s="2" t="str">
        <f>"9783428098019"</f>
        <v>9783428098019</v>
      </c>
      <c r="F24446" s="2" t="str">
        <f>"9783428498017"</f>
        <v>9783428498017</v>
      </c>
    </row>
    <row r="24447" spans="1:6" s="3" customFormat="1" ht="29.1" customHeight="1" x14ac:dyDescent="0.25">
      <c r="A24447" s="2" t="s">
        <v>47720</v>
      </c>
      <c r="B24447" s="2" t="s">
        <v>33199</v>
      </c>
      <c r="C24447" s="2" t="s">
        <v>62</v>
      </c>
      <c r="D24447" s="2" t="s">
        <v>30954</v>
      </c>
      <c r="E24447" s="2" t="str">
        <f>"9783428097845"</f>
        <v>9783428097845</v>
      </c>
      <c r="F24447" s="2" t="str">
        <f>"9783428497843"</f>
        <v>9783428497843</v>
      </c>
    </row>
    <row r="24448" spans="1:6" s="3" customFormat="1" ht="29.1" customHeight="1" x14ac:dyDescent="0.25">
      <c r="A24448" s="2" t="s">
        <v>47721</v>
      </c>
      <c r="B24448" s="2" t="s">
        <v>47722</v>
      </c>
      <c r="C24448" s="2" t="s">
        <v>62</v>
      </c>
      <c r="D24448" s="2" t="s">
        <v>13640</v>
      </c>
      <c r="E24448" s="2" t="str">
        <f>"9783428097838"</f>
        <v>9783428097838</v>
      </c>
      <c r="F24448" s="2" t="str">
        <f>"9783428497836"</f>
        <v>9783428497836</v>
      </c>
    </row>
    <row r="24449" spans="1:6" s="3" customFormat="1" ht="29.1" customHeight="1" x14ac:dyDescent="0.25">
      <c r="A24449" s="2" t="s">
        <v>47723</v>
      </c>
      <c r="B24449" s="2" t="s">
        <v>33008</v>
      </c>
      <c r="C24449" s="2" t="s">
        <v>62</v>
      </c>
      <c r="D24449" s="2" t="s">
        <v>1463</v>
      </c>
      <c r="E24449" s="2" t="str">
        <f>"9783428097494"</f>
        <v>9783428097494</v>
      </c>
      <c r="F24449" s="2" t="str">
        <f>"9783428497492"</f>
        <v>9783428497492</v>
      </c>
    </row>
    <row r="24450" spans="1:6" s="3" customFormat="1" ht="29.1" customHeight="1" x14ac:dyDescent="0.25">
      <c r="A24450" s="2" t="s">
        <v>47724</v>
      </c>
      <c r="B24450" s="2" t="s">
        <v>47725</v>
      </c>
      <c r="C24450" s="2" t="s">
        <v>62</v>
      </c>
      <c r="D24450" s="2" t="s">
        <v>5758</v>
      </c>
      <c r="E24450" s="2" t="str">
        <f>"9783428097333"</f>
        <v>9783428097333</v>
      </c>
      <c r="F24450" s="2" t="str">
        <f>"9783428497331"</f>
        <v>9783428497331</v>
      </c>
    </row>
    <row r="24451" spans="1:6" s="3" customFormat="1" ht="29.1" customHeight="1" x14ac:dyDescent="0.25">
      <c r="A24451" s="2" t="s">
        <v>47726</v>
      </c>
      <c r="B24451" s="2" t="s">
        <v>46846</v>
      </c>
      <c r="C24451" s="2" t="s">
        <v>62</v>
      </c>
      <c r="D24451" s="2" t="s">
        <v>1463</v>
      </c>
      <c r="E24451" s="2" t="str">
        <f>"9783428097258"</f>
        <v>9783428097258</v>
      </c>
      <c r="F24451" s="2" t="str">
        <f>"9783428497256"</f>
        <v>9783428497256</v>
      </c>
    </row>
    <row r="24452" spans="1:6" s="3" customFormat="1" ht="29.1" customHeight="1" x14ac:dyDescent="0.25">
      <c r="A24452" s="2" t="s">
        <v>47727</v>
      </c>
      <c r="B24452" s="2" t="s">
        <v>46852</v>
      </c>
      <c r="C24452" s="2" t="s">
        <v>62</v>
      </c>
      <c r="D24452" s="2" t="s">
        <v>1228</v>
      </c>
      <c r="E24452" s="2" t="str">
        <f>"9783428097241"</f>
        <v>9783428097241</v>
      </c>
      <c r="F24452" s="2" t="str">
        <f>"9783428497249"</f>
        <v>9783428497249</v>
      </c>
    </row>
    <row r="24453" spans="1:6" s="3" customFormat="1" ht="29.1" customHeight="1" x14ac:dyDescent="0.25">
      <c r="A24453" s="2" t="s">
        <v>47728</v>
      </c>
      <c r="B24453" s="2" t="s">
        <v>33011</v>
      </c>
      <c r="C24453" s="2" t="s">
        <v>62</v>
      </c>
      <c r="D24453" s="2" t="s">
        <v>45365</v>
      </c>
      <c r="E24453" s="2" t="str">
        <f>"9783428096329"</f>
        <v>9783428096329</v>
      </c>
      <c r="F24453" s="2" t="str">
        <f>"9783428496327"</f>
        <v>9783428496327</v>
      </c>
    </row>
    <row r="24454" spans="1:6" s="3" customFormat="1" ht="29.1" customHeight="1" x14ac:dyDescent="0.25">
      <c r="A24454" s="2" t="s">
        <v>47729</v>
      </c>
      <c r="B24454" s="2" t="s">
        <v>33222</v>
      </c>
      <c r="C24454" s="2" t="s">
        <v>62</v>
      </c>
      <c r="D24454" s="2" t="s">
        <v>1463</v>
      </c>
      <c r="E24454" s="2" t="str">
        <f>"9783428096312"</f>
        <v>9783428096312</v>
      </c>
      <c r="F24454" s="2" t="str">
        <f>"9783428496310"</f>
        <v>9783428496310</v>
      </c>
    </row>
    <row r="24455" spans="1:6" s="3" customFormat="1" ht="29.1" customHeight="1" x14ac:dyDescent="0.25">
      <c r="A24455" s="2" t="s">
        <v>47730</v>
      </c>
      <c r="B24455" s="2" t="s">
        <v>40654</v>
      </c>
      <c r="C24455" s="2" t="s">
        <v>62</v>
      </c>
      <c r="D24455" s="2" t="s">
        <v>2005</v>
      </c>
      <c r="E24455" s="2" t="str">
        <f>"9783428096114"</f>
        <v>9783428096114</v>
      </c>
      <c r="F24455" s="2" t="str">
        <f>"9783428496112"</f>
        <v>9783428496112</v>
      </c>
    </row>
    <row r="24456" spans="1:6" s="3" customFormat="1" ht="29.1" customHeight="1" x14ac:dyDescent="0.25">
      <c r="A24456" s="2" t="s">
        <v>47731</v>
      </c>
      <c r="B24456" s="2" t="s">
        <v>40654</v>
      </c>
      <c r="C24456" s="2" t="s">
        <v>62</v>
      </c>
      <c r="D24456" s="2" t="s">
        <v>350</v>
      </c>
      <c r="E24456" s="2" t="str">
        <f>"9783428096107"</f>
        <v>9783428096107</v>
      </c>
      <c r="F24456" s="2" t="str">
        <f>"9783428496105"</f>
        <v>9783428496105</v>
      </c>
    </row>
    <row r="24457" spans="1:6" s="3" customFormat="1" ht="29.1" customHeight="1" x14ac:dyDescent="0.25">
      <c r="A24457" s="2" t="s">
        <v>47732</v>
      </c>
      <c r="B24457" s="2" t="s">
        <v>35483</v>
      </c>
      <c r="C24457" s="2" t="s">
        <v>62</v>
      </c>
      <c r="D24457" s="2" t="s">
        <v>4783</v>
      </c>
      <c r="E24457" s="2" t="str">
        <f>"9783428095735"</f>
        <v>9783428095735</v>
      </c>
      <c r="F24457" s="2" t="str">
        <f>"9783428495733"</f>
        <v>9783428495733</v>
      </c>
    </row>
    <row r="24458" spans="1:6" s="3" customFormat="1" ht="29.1" customHeight="1" x14ac:dyDescent="0.25">
      <c r="A24458" s="2" t="s">
        <v>47733</v>
      </c>
      <c r="B24458" s="2" t="s">
        <v>47734</v>
      </c>
      <c r="C24458" s="2" t="s">
        <v>62</v>
      </c>
      <c r="D24458" s="2" t="s">
        <v>350</v>
      </c>
      <c r="E24458" s="2" t="str">
        <f>"9783428095728"</f>
        <v>9783428095728</v>
      </c>
      <c r="F24458" s="2" t="str">
        <f>"9783428495726"</f>
        <v>9783428495726</v>
      </c>
    </row>
    <row r="24459" spans="1:6" s="3" customFormat="1" ht="29.1" customHeight="1" x14ac:dyDescent="0.25">
      <c r="A24459" s="2" t="s">
        <v>47735</v>
      </c>
      <c r="B24459" s="2" t="s">
        <v>46852</v>
      </c>
      <c r="C24459" s="2" t="s">
        <v>62</v>
      </c>
      <c r="D24459" s="2" t="s">
        <v>5758</v>
      </c>
      <c r="E24459" s="2" t="str">
        <f>"9783428094615"</f>
        <v>9783428094615</v>
      </c>
      <c r="F24459" s="2" t="str">
        <f>"9783428494613"</f>
        <v>9783428494613</v>
      </c>
    </row>
    <row r="24460" spans="1:6" s="3" customFormat="1" ht="29.1" customHeight="1" x14ac:dyDescent="0.25">
      <c r="A24460" s="2" t="s">
        <v>47736</v>
      </c>
      <c r="B24460" s="2" t="s">
        <v>33201</v>
      </c>
      <c r="C24460" s="2" t="s">
        <v>62</v>
      </c>
      <c r="D24460" s="2" t="s">
        <v>1864</v>
      </c>
      <c r="E24460" s="2" t="str">
        <f>"9783428094462"</f>
        <v>9783428094462</v>
      </c>
      <c r="F24460" s="2" t="str">
        <f>"9783428494460"</f>
        <v>9783428494460</v>
      </c>
    </row>
    <row r="24461" spans="1:6" s="3" customFormat="1" ht="29.1" customHeight="1" x14ac:dyDescent="0.25">
      <c r="A24461" s="2" t="s">
        <v>47737</v>
      </c>
      <c r="B24461" s="2" t="s">
        <v>46865</v>
      </c>
      <c r="C24461" s="2" t="s">
        <v>62</v>
      </c>
      <c r="D24461" s="2" t="s">
        <v>402</v>
      </c>
      <c r="E24461" s="2" t="str">
        <f>"9783428094165"</f>
        <v>9783428094165</v>
      </c>
      <c r="F24461" s="2" t="str">
        <f>"9783428494163"</f>
        <v>9783428494163</v>
      </c>
    </row>
    <row r="24462" spans="1:6" s="3" customFormat="1" ht="29.1" customHeight="1" x14ac:dyDescent="0.25">
      <c r="A24462" s="2" t="s">
        <v>47738</v>
      </c>
      <c r="B24462" s="2" t="s">
        <v>33199</v>
      </c>
      <c r="C24462" s="2" t="s">
        <v>62</v>
      </c>
      <c r="D24462" s="2" t="s">
        <v>1228</v>
      </c>
      <c r="E24462" s="2" t="str">
        <f>"9783428094004"</f>
        <v>9783428094004</v>
      </c>
      <c r="F24462" s="2" t="str">
        <f>"9783428494002"</f>
        <v>9783428494002</v>
      </c>
    </row>
    <row r="24463" spans="1:6" s="3" customFormat="1" ht="29.1" customHeight="1" x14ac:dyDescent="0.25">
      <c r="A24463" s="2" t="s">
        <v>47739</v>
      </c>
      <c r="B24463" s="2" t="s">
        <v>47725</v>
      </c>
      <c r="C24463" s="2" t="s">
        <v>62</v>
      </c>
      <c r="D24463" s="2" t="s">
        <v>5758</v>
      </c>
      <c r="E24463" s="2" t="str">
        <f>"9783428093779"</f>
        <v>9783428093779</v>
      </c>
      <c r="F24463" s="2" t="str">
        <f>"9783428493777"</f>
        <v>9783428493777</v>
      </c>
    </row>
    <row r="24464" spans="1:6" s="3" customFormat="1" ht="29.1" customHeight="1" x14ac:dyDescent="0.25">
      <c r="A24464" s="2" t="s">
        <v>47740</v>
      </c>
      <c r="B24464" s="2" t="s">
        <v>33205</v>
      </c>
      <c r="C24464" s="2" t="s">
        <v>62</v>
      </c>
      <c r="D24464" s="2" t="s">
        <v>501</v>
      </c>
      <c r="E24464" s="2" t="str">
        <f>"9783428092833"</f>
        <v>9783428092833</v>
      </c>
      <c r="F24464" s="2" t="str">
        <f>"9783428492831"</f>
        <v>9783428492831</v>
      </c>
    </row>
    <row r="24465" spans="1:6" s="3" customFormat="1" ht="29.1" customHeight="1" x14ac:dyDescent="0.25">
      <c r="A24465" s="2" t="s">
        <v>47741</v>
      </c>
      <c r="B24465" s="2" t="s">
        <v>47742</v>
      </c>
      <c r="C24465" s="2" t="s">
        <v>62</v>
      </c>
      <c r="D24465" s="2" t="s">
        <v>1864</v>
      </c>
      <c r="E24465" s="2" t="str">
        <f>"9783428092703"</f>
        <v>9783428092703</v>
      </c>
      <c r="F24465" s="2" t="str">
        <f>"9783428492701"</f>
        <v>9783428492701</v>
      </c>
    </row>
    <row r="24466" spans="1:6" s="3" customFormat="1" ht="29.1" customHeight="1" x14ac:dyDescent="0.25">
      <c r="A24466" s="2" t="s">
        <v>47743</v>
      </c>
      <c r="B24466" s="2" t="s">
        <v>47744</v>
      </c>
      <c r="C24466" s="2" t="s">
        <v>8104</v>
      </c>
      <c r="D24466" s="2" t="s">
        <v>6113</v>
      </c>
      <c r="E24466" s="2" t="str">
        <f>"9781785331244"</f>
        <v>9781785331244</v>
      </c>
      <c r="F24466" s="2" t="str">
        <f>"9781785331251"</f>
        <v>9781785331251</v>
      </c>
    </row>
    <row r="24467" spans="1:6" s="3" customFormat="1" ht="29.1" customHeight="1" x14ac:dyDescent="0.25">
      <c r="A24467" s="2" t="s">
        <v>47745</v>
      </c>
      <c r="B24467" s="2" t="s">
        <v>47746</v>
      </c>
      <c r="C24467" s="2" t="s">
        <v>264</v>
      </c>
      <c r="D24467" s="2" t="s">
        <v>2880</v>
      </c>
      <c r="E24467" s="2" t="str">
        <f>"9781482240580"</f>
        <v>9781482240580</v>
      </c>
      <c r="F24467" s="2" t="str">
        <f>"9781482240597"</f>
        <v>9781482240597</v>
      </c>
    </row>
    <row r="24468" spans="1:6" s="3" customFormat="1" ht="29.1" customHeight="1" x14ac:dyDescent="0.25">
      <c r="A24468" s="2" t="s">
        <v>47747</v>
      </c>
      <c r="B24468" s="2" t="s">
        <v>38089</v>
      </c>
      <c r="C24468" s="2" t="s">
        <v>195</v>
      </c>
      <c r="D24468" s="2" t="s">
        <v>2551</v>
      </c>
      <c r="E24468" s="2" t="str">
        <f>"9783899491579"</f>
        <v>9783899491579</v>
      </c>
      <c r="F24468" s="2" t="str">
        <f>"9783110891584"</f>
        <v>9783110891584</v>
      </c>
    </row>
    <row r="24469" spans="1:6" s="3" customFormat="1" ht="29.1" customHeight="1" x14ac:dyDescent="0.25">
      <c r="A24469" s="2" t="s">
        <v>47748</v>
      </c>
      <c r="B24469" s="2" t="s">
        <v>47749</v>
      </c>
      <c r="C24469" s="2" t="s">
        <v>43061</v>
      </c>
      <c r="D24469" s="2" t="s">
        <v>1944</v>
      </c>
      <c r="E24469" s="2" t="str">
        <f>"9783862198542"</f>
        <v>9783862198542</v>
      </c>
      <c r="F24469" s="2" t="str">
        <f>"9783862198559"</f>
        <v>9783862198559</v>
      </c>
    </row>
    <row r="24470" spans="1:6" s="3" customFormat="1" ht="29.1" customHeight="1" x14ac:dyDescent="0.25">
      <c r="A24470" s="2" t="s">
        <v>47750</v>
      </c>
      <c r="B24470" s="2" t="s">
        <v>47751</v>
      </c>
      <c r="C24470" s="2" t="s">
        <v>43061</v>
      </c>
      <c r="D24470" s="2" t="s">
        <v>1025</v>
      </c>
      <c r="E24470" s="2" t="str">
        <f>"9783862198023"</f>
        <v>9783862198023</v>
      </c>
      <c r="F24470" s="2" t="str">
        <f>"9783862198030"</f>
        <v>9783862198030</v>
      </c>
    </row>
    <row r="24471" spans="1:6" s="3" customFormat="1" ht="29.1" customHeight="1" x14ac:dyDescent="0.25">
      <c r="A24471" s="2" t="s">
        <v>47752</v>
      </c>
      <c r="B24471" s="2" t="s">
        <v>47753</v>
      </c>
      <c r="C24471" s="2" t="s">
        <v>43061</v>
      </c>
      <c r="D24471" s="2" t="s">
        <v>150</v>
      </c>
      <c r="E24471" s="2" t="str">
        <f>"9783862199181"</f>
        <v>9783862199181</v>
      </c>
      <c r="F24471" s="2" t="str">
        <f>"9783862199198"</f>
        <v>9783862199198</v>
      </c>
    </row>
    <row r="24472" spans="1:6" s="3" customFormat="1" ht="29.1" customHeight="1" x14ac:dyDescent="0.25">
      <c r="A24472" s="2" t="s">
        <v>47754</v>
      </c>
      <c r="B24472" s="2" t="s">
        <v>47756</v>
      </c>
      <c r="C24472" s="2" t="s">
        <v>43061</v>
      </c>
      <c r="D24472" s="2" t="s">
        <v>47755</v>
      </c>
      <c r="E24472" s="2" t="str">
        <f>"9783862199204"</f>
        <v>9783862199204</v>
      </c>
      <c r="F24472" s="2" t="str">
        <f>"9783862199211"</f>
        <v>9783862199211</v>
      </c>
    </row>
    <row r="24473" spans="1:6" s="3" customFormat="1" ht="29.1" customHeight="1" x14ac:dyDescent="0.25">
      <c r="A24473" s="2" t="s">
        <v>47757</v>
      </c>
      <c r="B24473" s="2" t="s">
        <v>47758</v>
      </c>
      <c r="C24473" s="2" t="s">
        <v>316</v>
      </c>
      <c r="D24473" s="2" t="s">
        <v>1959</v>
      </c>
      <c r="E24473" s="2" t="str">
        <f>"9783038355014"</f>
        <v>9783038355014</v>
      </c>
      <c r="F24473" s="2" t="str">
        <f>"9783038269717"</f>
        <v>9783038269717</v>
      </c>
    </row>
    <row r="24474" spans="1:6" s="3" customFormat="1" ht="29.1" customHeight="1" x14ac:dyDescent="0.25">
      <c r="A24474" s="2" t="s">
        <v>47759</v>
      </c>
      <c r="B24474" s="2" t="s">
        <v>47760</v>
      </c>
      <c r="C24474" s="2" t="s">
        <v>124</v>
      </c>
      <c r="D24474" s="2" t="s">
        <v>159</v>
      </c>
      <c r="E24474" s="2" t="str">
        <f>"9781138815179"</f>
        <v>9781138815179</v>
      </c>
      <c r="F24474" s="2" t="str">
        <f>"9781317599630"</f>
        <v>9781317599630</v>
      </c>
    </row>
    <row r="24475" spans="1:6" s="3" customFormat="1" ht="29.1" customHeight="1" x14ac:dyDescent="0.25">
      <c r="A24475" s="2" t="s">
        <v>47761</v>
      </c>
      <c r="B24475" s="2" t="s">
        <v>47762</v>
      </c>
      <c r="C24475" s="2" t="s">
        <v>11220</v>
      </c>
      <c r="D24475" s="2" t="s">
        <v>4522</v>
      </c>
      <c r="E24475" s="2" t="str">
        <f>"9780814734773"</f>
        <v>9780814734773</v>
      </c>
      <c r="F24475" s="2" t="str">
        <f>"9780814744758"</f>
        <v>9780814744758</v>
      </c>
    </row>
    <row r="24476" spans="1:6" s="3" customFormat="1" ht="29.1" customHeight="1" x14ac:dyDescent="0.25">
      <c r="A24476" s="2" t="s">
        <v>47763</v>
      </c>
      <c r="B24476" s="2" t="s">
        <v>47764</v>
      </c>
      <c r="C24476" s="2" t="s">
        <v>11220</v>
      </c>
      <c r="D24476" s="2" t="s">
        <v>4654</v>
      </c>
      <c r="E24476" s="2" t="str">
        <f>"9780814793121"</f>
        <v>9780814793121</v>
      </c>
      <c r="F24476" s="2" t="str">
        <f>"9780814784600"</f>
        <v>9780814784600</v>
      </c>
    </row>
    <row r="24477" spans="1:6" s="3" customFormat="1" ht="29.1" customHeight="1" x14ac:dyDescent="0.25">
      <c r="A24477" s="2" t="s">
        <v>47765</v>
      </c>
      <c r="B24477" s="2" t="s">
        <v>47767</v>
      </c>
      <c r="C24477" s="2" t="s">
        <v>11220</v>
      </c>
      <c r="D24477" s="2" t="s">
        <v>47766</v>
      </c>
      <c r="E24477" s="2" t="str">
        <f>"9780814740231"</f>
        <v>9780814740231</v>
      </c>
      <c r="F24477" s="2" t="str">
        <f>"9780814708903"</f>
        <v>9780814708903</v>
      </c>
    </row>
    <row r="24478" spans="1:6" s="3" customFormat="1" ht="29.1" customHeight="1" x14ac:dyDescent="0.25">
      <c r="A24478" s="2" t="s">
        <v>47768</v>
      </c>
      <c r="B24478" s="2" t="s">
        <v>47769</v>
      </c>
      <c r="C24478" s="2" t="s">
        <v>11220</v>
      </c>
      <c r="D24478" s="2" t="s">
        <v>81</v>
      </c>
      <c r="E24478" s="2" t="str">
        <f>"9780814779163"</f>
        <v>9780814779163</v>
      </c>
      <c r="F24478" s="2" t="str">
        <f>"9780814788745"</f>
        <v>9780814788745</v>
      </c>
    </row>
    <row r="24479" spans="1:6" s="3" customFormat="1" ht="29.1" customHeight="1" x14ac:dyDescent="0.25">
      <c r="A24479" s="2" t="s">
        <v>47770</v>
      </c>
      <c r="B24479" s="2" t="s">
        <v>47771</v>
      </c>
      <c r="C24479" s="2" t="s">
        <v>11220</v>
      </c>
      <c r="D24479" s="2" t="s">
        <v>15880</v>
      </c>
      <c r="E24479" s="2" t="str">
        <f>"9780814787922"</f>
        <v>9780814787922</v>
      </c>
      <c r="F24479" s="2" t="str">
        <f>"9780814788462"</f>
        <v>9780814788462</v>
      </c>
    </row>
    <row r="24480" spans="1:6" s="3" customFormat="1" ht="29.1" customHeight="1" x14ac:dyDescent="0.25">
      <c r="A24480" s="2" t="s">
        <v>47772</v>
      </c>
      <c r="B24480" s="2" t="s">
        <v>47773</v>
      </c>
      <c r="C24480" s="2" t="s">
        <v>11220</v>
      </c>
      <c r="D24480" s="2" t="s">
        <v>4522</v>
      </c>
      <c r="E24480" s="2" t="str">
        <f>"9780814718124"</f>
        <v>9780814718124</v>
      </c>
      <c r="F24480" s="2" t="str">
        <f>"9780814744147"</f>
        <v>9780814744147</v>
      </c>
    </row>
    <row r="24481" spans="1:6" s="3" customFormat="1" ht="29.1" customHeight="1" x14ac:dyDescent="0.25">
      <c r="A24481" s="2" t="s">
        <v>47774</v>
      </c>
      <c r="B24481" s="2" t="s">
        <v>47775</v>
      </c>
      <c r="C24481" s="2" t="s">
        <v>11220</v>
      </c>
      <c r="D24481" s="2" t="s">
        <v>30</v>
      </c>
      <c r="E24481" s="2" t="str">
        <f>"9780814714850"</f>
        <v>9780814714850</v>
      </c>
      <c r="F24481" s="2" t="str">
        <f>"9780814723647"</f>
        <v>9780814723647</v>
      </c>
    </row>
    <row r="24482" spans="1:6" s="3" customFormat="1" ht="29.1" customHeight="1" x14ac:dyDescent="0.25">
      <c r="A24482" s="2" t="s">
        <v>47776</v>
      </c>
      <c r="B24482" s="2" t="s">
        <v>47778</v>
      </c>
      <c r="C24482" s="2" t="s">
        <v>11220</v>
      </c>
      <c r="D24482" s="2" t="s">
        <v>47777</v>
      </c>
      <c r="E24482" s="2" t="str">
        <f>"9780814783061"</f>
        <v>9780814783061</v>
      </c>
      <c r="F24482" s="2" t="str">
        <f>"9780814784235"</f>
        <v>9780814784235</v>
      </c>
    </row>
    <row r="24483" spans="1:6" s="3" customFormat="1" ht="29.1" customHeight="1" x14ac:dyDescent="0.25">
      <c r="A24483" s="2" t="s">
        <v>47779</v>
      </c>
      <c r="B24483" s="2" t="s">
        <v>47780</v>
      </c>
      <c r="C24483" s="2" t="s">
        <v>11220</v>
      </c>
      <c r="D24483" s="2" t="s">
        <v>6113</v>
      </c>
      <c r="E24483" s="2" t="str">
        <f>"9780814715345"</f>
        <v>9780814715345</v>
      </c>
      <c r="F24483" s="2" t="str">
        <f>"9780814723708"</f>
        <v>9780814723708</v>
      </c>
    </row>
    <row r="24484" spans="1:6" s="3" customFormat="1" ht="29.1" customHeight="1" x14ac:dyDescent="0.25">
      <c r="A24484" s="2" t="s">
        <v>47781</v>
      </c>
      <c r="B24484" s="2" t="s">
        <v>47782</v>
      </c>
      <c r="C24484" s="2" t="s">
        <v>11220</v>
      </c>
      <c r="D24484" s="2" t="s">
        <v>75</v>
      </c>
      <c r="E24484" s="2" t="str">
        <f>"9780814712177"</f>
        <v>9780814712177</v>
      </c>
      <c r="F24484" s="2" t="str">
        <f>"9780814786086"</f>
        <v>9780814786086</v>
      </c>
    </row>
    <row r="24485" spans="1:6" s="3" customFormat="1" ht="29.1" customHeight="1" x14ac:dyDescent="0.25">
      <c r="A24485" s="2" t="s">
        <v>47783</v>
      </c>
      <c r="B24485" s="2" t="s">
        <v>47784</v>
      </c>
      <c r="C24485" s="2" t="s">
        <v>11220</v>
      </c>
      <c r="D24485" s="2" t="s">
        <v>11897</v>
      </c>
      <c r="E24485" s="2" t="str">
        <f>"9780814735299"</f>
        <v>9780814735299</v>
      </c>
      <c r="F24485" s="2" t="str">
        <f>"9780814773215"</f>
        <v>9780814773215</v>
      </c>
    </row>
    <row r="24486" spans="1:6" s="3" customFormat="1" ht="29.1" customHeight="1" x14ac:dyDescent="0.25">
      <c r="A24486" s="2" t="s">
        <v>47785</v>
      </c>
      <c r="B24486" s="2" t="s">
        <v>47786</v>
      </c>
      <c r="C24486" s="2" t="s">
        <v>11220</v>
      </c>
      <c r="D24486" s="2" t="s">
        <v>47056</v>
      </c>
      <c r="E24486" s="2" t="str">
        <f>"9780814752142"</f>
        <v>9780814752142</v>
      </c>
      <c r="F24486" s="2" t="str">
        <f>"9780814765074"</f>
        <v>9780814765074</v>
      </c>
    </row>
    <row r="24487" spans="1:6" s="3" customFormat="1" ht="29.1" customHeight="1" x14ac:dyDescent="0.25">
      <c r="A24487" s="2" t="s">
        <v>47787</v>
      </c>
      <c r="B24487" s="2" t="s">
        <v>47788</v>
      </c>
      <c r="C24487" s="2" t="s">
        <v>11220</v>
      </c>
      <c r="D24487" s="2" t="s">
        <v>4522</v>
      </c>
      <c r="E24487" s="2" t="str">
        <f>"9780814780985"</f>
        <v>9780814780985</v>
      </c>
      <c r="F24487" s="2" t="str">
        <f>"9780814786680"</f>
        <v>9780814786680</v>
      </c>
    </row>
    <row r="24488" spans="1:6" s="3" customFormat="1" ht="29.1" customHeight="1" x14ac:dyDescent="0.25">
      <c r="A24488" s="2" t="s">
        <v>47789</v>
      </c>
      <c r="B24488" s="2" t="s">
        <v>47790</v>
      </c>
      <c r="C24488" s="2" t="s">
        <v>11220</v>
      </c>
      <c r="D24488" s="2" t="s">
        <v>405</v>
      </c>
      <c r="E24488" s="2" t="str">
        <f>"9780814746264"</f>
        <v>9780814746264</v>
      </c>
      <c r="F24488" s="2" t="str">
        <f>"9780814763582"</f>
        <v>9780814763582</v>
      </c>
    </row>
    <row r="24489" spans="1:6" s="3" customFormat="1" ht="29.1" customHeight="1" x14ac:dyDescent="0.25">
      <c r="A24489" s="2" t="s">
        <v>47791</v>
      </c>
      <c r="B24489" s="2" t="s">
        <v>47792</v>
      </c>
      <c r="C24489" s="2" t="s">
        <v>11220</v>
      </c>
      <c r="D24489" s="2" t="s">
        <v>868</v>
      </c>
      <c r="E24489" s="2" t="str">
        <f>"9780814780008"</f>
        <v>9780814780008</v>
      </c>
      <c r="F24489" s="2" t="str">
        <f>"9780814788806"</f>
        <v>9780814788806</v>
      </c>
    </row>
    <row r="24490" spans="1:6" s="3" customFormat="1" ht="29.1" customHeight="1" x14ac:dyDescent="0.25">
      <c r="A24490" s="2" t="s">
        <v>47793</v>
      </c>
      <c r="B24490" s="2" t="s">
        <v>47794</v>
      </c>
      <c r="C24490" s="2" t="s">
        <v>11220</v>
      </c>
      <c r="D24490" s="2" t="s">
        <v>30</v>
      </c>
      <c r="E24490" s="2" t="str">
        <f>"9780814774182"</f>
        <v>9780814774182</v>
      </c>
      <c r="F24490" s="2" t="str">
        <f>"9780814769485"</f>
        <v>9780814769485</v>
      </c>
    </row>
    <row r="24491" spans="1:6" s="3" customFormat="1" ht="29.1" customHeight="1" x14ac:dyDescent="0.25">
      <c r="A24491" s="2" t="s">
        <v>47795</v>
      </c>
      <c r="B24491" s="2" t="s">
        <v>47796</v>
      </c>
      <c r="C24491" s="2" t="s">
        <v>11220</v>
      </c>
      <c r="D24491" s="2" t="s">
        <v>639</v>
      </c>
      <c r="E24491" s="2" t="str">
        <f>"9780814747469"</f>
        <v>9780814747469</v>
      </c>
      <c r="F24491" s="2" t="str">
        <f>"9780814790984"</f>
        <v>9780814790984</v>
      </c>
    </row>
    <row r="24492" spans="1:6" s="3" customFormat="1" ht="29.1" customHeight="1" x14ac:dyDescent="0.25">
      <c r="A24492" s="2" t="s">
        <v>47797</v>
      </c>
      <c r="B24492" s="2" t="s">
        <v>47798</v>
      </c>
      <c r="C24492" s="2" t="s">
        <v>11220</v>
      </c>
      <c r="D24492" s="2" t="s">
        <v>11897</v>
      </c>
      <c r="E24492" s="2" t="str">
        <f>"9780814774403"</f>
        <v>9780814774403</v>
      </c>
      <c r="F24492" s="2" t="str">
        <f>"9780814769447"</f>
        <v>9780814769447</v>
      </c>
    </row>
    <row r="24493" spans="1:6" s="3" customFormat="1" ht="29.1" customHeight="1" x14ac:dyDescent="0.25">
      <c r="A24493" s="2" t="s">
        <v>47799</v>
      </c>
      <c r="B24493" s="2" t="s">
        <v>47800</v>
      </c>
      <c r="C24493" s="2" t="s">
        <v>11220</v>
      </c>
      <c r="D24493" s="2" t="s">
        <v>16113</v>
      </c>
      <c r="E24493" s="2" t="str">
        <f>"9780814740422"</f>
        <v>9780814740422</v>
      </c>
      <c r="F24493" s="2" t="str">
        <f>"9780814741023"</f>
        <v>9780814741023</v>
      </c>
    </row>
    <row r="24494" spans="1:6" s="3" customFormat="1" ht="29.1" customHeight="1" x14ac:dyDescent="0.25">
      <c r="A24494" s="2" t="s">
        <v>16601</v>
      </c>
      <c r="B24494" s="2" t="s">
        <v>16602</v>
      </c>
      <c r="C24494" s="2" t="s">
        <v>11220</v>
      </c>
      <c r="D24494" s="2" t="s">
        <v>297</v>
      </c>
      <c r="E24494" s="2" t="str">
        <f>"9780814798652"</f>
        <v>9780814798652</v>
      </c>
      <c r="F24494" s="2" t="str">
        <f>"9780814739280"</f>
        <v>9780814739280</v>
      </c>
    </row>
    <row r="24495" spans="1:6" s="3" customFormat="1" ht="29.1" customHeight="1" x14ac:dyDescent="0.25">
      <c r="A24495" s="2" t="s">
        <v>47801</v>
      </c>
      <c r="B24495" s="2" t="s">
        <v>47802</v>
      </c>
      <c r="C24495" s="2" t="s">
        <v>11220</v>
      </c>
      <c r="D24495" s="2" t="s">
        <v>11200</v>
      </c>
      <c r="E24495" s="2" t="str">
        <f>"9780814794555"</f>
        <v>9780814794555</v>
      </c>
      <c r="F24495" s="2" t="str">
        <f>"9780814795460"</f>
        <v>9780814795460</v>
      </c>
    </row>
    <row r="24496" spans="1:6" s="3" customFormat="1" ht="29.1" customHeight="1" x14ac:dyDescent="0.25">
      <c r="A24496" s="2" t="s">
        <v>47803</v>
      </c>
      <c r="B24496" s="2" t="s">
        <v>47804</v>
      </c>
      <c r="C24496" s="2" t="s">
        <v>11220</v>
      </c>
      <c r="D24496" s="2" t="s">
        <v>215</v>
      </c>
      <c r="E24496" s="2" t="str">
        <f>"9780814706145"</f>
        <v>9780814706145</v>
      </c>
      <c r="F24496" s="2" t="str">
        <f>"9780814707517"</f>
        <v>9780814707517</v>
      </c>
    </row>
    <row r="24497" spans="1:6" s="3" customFormat="1" ht="29.1" customHeight="1" x14ac:dyDescent="0.25">
      <c r="A24497" s="2" t="s">
        <v>47805</v>
      </c>
      <c r="B24497" s="2" t="s">
        <v>47806</v>
      </c>
      <c r="C24497" s="2" t="s">
        <v>11220</v>
      </c>
      <c r="D24497" s="2" t="s">
        <v>202</v>
      </c>
      <c r="E24497" s="2" t="str">
        <f>"9780814799888"</f>
        <v>9780814799888</v>
      </c>
      <c r="F24497" s="2" t="str">
        <f>"9781479830558"</f>
        <v>9781479830558</v>
      </c>
    </row>
    <row r="24498" spans="1:6" s="3" customFormat="1" ht="29.1" customHeight="1" x14ac:dyDescent="0.25">
      <c r="A24498" s="2" t="s">
        <v>47807</v>
      </c>
      <c r="B24498" s="2" t="s">
        <v>47681</v>
      </c>
      <c r="C24498" s="2" t="s">
        <v>11220</v>
      </c>
      <c r="D24498" s="2" t="s">
        <v>186</v>
      </c>
      <c r="E24498" s="2" t="str">
        <f>"9780814714218"</f>
        <v>9780814714218</v>
      </c>
      <c r="F24498" s="2" t="str">
        <f>"9780814790168"</f>
        <v>9780814790168</v>
      </c>
    </row>
    <row r="24499" spans="1:6" s="3" customFormat="1" ht="29.1" customHeight="1" x14ac:dyDescent="0.25">
      <c r="A24499" s="2" t="s">
        <v>47808</v>
      </c>
      <c r="B24499" s="2" t="s">
        <v>47810</v>
      </c>
      <c r="C24499" s="2" t="s">
        <v>11220</v>
      </c>
      <c r="D24499" s="2" t="s">
        <v>47809</v>
      </c>
      <c r="E24499" s="2" t="str">
        <f>"9780814735046"</f>
        <v>9780814735046</v>
      </c>
      <c r="F24499" s="2" t="str">
        <f>"9780814773130"</f>
        <v>9780814773130</v>
      </c>
    </row>
    <row r="24500" spans="1:6" s="3" customFormat="1" ht="29.1" customHeight="1" x14ac:dyDescent="0.25">
      <c r="A24500" s="2" t="s">
        <v>47811</v>
      </c>
      <c r="B24500" s="2" t="s">
        <v>47812</v>
      </c>
      <c r="C24500" s="2" t="s">
        <v>11220</v>
      </c>
      <c r="D24500" s="2" t="s">
        <v>294</v>
      </c>
      <c r="E24500" s="2" t="str">
        <f>"9780814758427"</f>
        <v>9780814758427</v>
      </c>
      <c r="F24500" s="2" t="str">
        <f>"9780814759028"</f>
        <v>9780814759028</v>
      </c>
    </row>
    <row r="24501" spans="1:6" s="3" customFormat="1" ht="29.1" customHeight="1" x14ac:dyDescent="0.25">
      <c r="A24501" s="2" t="s">
        <v>47813</v>
      </c>
      <c r="B24501" s="2" t="s">
        <v>47814</v>
      </c>
      <c r="C24501" s="2" t="s">
        <v>11220</v>
      </c>
      <c r="D24501" s="2" t="s">
        <v>7669</v>
      </c>
      <c r="E24501" s="2" t="str">
        <f>"9780814752340"</f>
        <v>9780814752340</v>
      </c>
      <c r="F24501" s="2" t="str">
        <f>"9780814753453"</f>
        <v>9780814753453</v>
      </c>
    </row>
    <row r="24502" spans="1:6" s="3" customFormat="1" ht="29.1" customHeight="1" x14ac:dyDescent="0.25">
      <c r="A24502" s="2" t="s">
        <v>47815</v>
      </c>
      <c r="B24502" s="2" t="s">
        <v>47816</v>
      </c>
      <c r="C24502" s="2" t="s">
        <v>11220</v>
      </c>
      <c r="D24502" s="2" t="s">
        <v>2336</v>
      </c>
      <c r="E24502" s="2" t="str">
        <f>"9780814732144"</f>
        <v>9780814732144</v>
      </c>
      <c r="F24502" s="2" t="str">
        <f>"9780814733134"</f>
        <v>9780814733134</v>
      </c>
    </row>
    <row r="24503" spans="1:6" s="3" customFormat="1" ht="29.1" customHeight="1" x14ac:dyDescent="0.25">
      <c r="A24503" s="2" t="s">
        <v>47817</v>
      </c>
      <c r="B24503" s="2" t="s">
        <v>47818</v>
      </c>
      <c r="C24503" s="2" t="s">
        <v>11220</v>
      </c>
      <c r="D24503" s="2" t="s">
        <v>5574</v>
      </c>
      <c r="E24503" s="2" t="str">
        <f>"9780814799413"</f>
        <v>9780814799413</v>
      </c>
      <c r="F24503" s="2" t="str">
        <f>"9780814739167"</f>
        <v>9780814739167</v>
      </c>
    </row>
    <row r="24504" spans="1:6" s="3" customFormat="1" ht="29.1" customHeight="1" x14ac:dyDescent="0.25">
      <c r="A24504" s="2" t="s">
        <v>47819</v>
      </c>
      <c r="B24504" s="2" t="s">
        <v>47820</v>
      </c>
      <c r="C24504" s="2" t="s">
        <v>11220</v>
      </c>
      <c r="D24504" s="2" t="s">
        <v>210</v>
      </c>
      <c r="E24504" s="2" t="str">
        <f>"9781479814275"</f>
        <v>9781479814275</v>
      </c>
      <c r="F24504" s="2" t="str">
        <f>"9781479894178"</f>
        <v>9781479894178</v>
      </c>
    </row>
    <row r="24505" spans="1:6" s="3" customFormat="1" ht="29.1" customHeight="1" x14ac:dyDescent="0.25">
      <c r="A24505" s="2" t="s">
        <v>47821</v>
      </c>
      <c r="B24505" s="2" t="s">
        <v>47822</v>
      </c>
      <c r="C24505" s="2" t="s">
        <v>11220</v>
      </c>
      <c r="D24505" s="2" t="s">
        <v>30</v>
      </c>
      <c r="E24505" s="2" t="str">
        <f>"9780814774755"</f>
        <v>9780814774755</v>
      </c>
      <c r="F24505" s="2" t="str">
        <f>"9780814771501"</f>
        <v>9780814771501</v>
      </c>
    </row>
    <row r="24506" spans="1:6" s="3" customFormat="1" ht="29.1" customHeight="1" x14ac:dyDescent="0.25">
      <c r="A24506" s="2" t="s">
        <v>47823</v>
      </c>
      <c r="B24506" s="2" t="s">
        <v>47824</v>
      </c>
      <c r="C24506" s="2" t="s">
        <v>11220</v>
      </c>
      <c r="D24506" s="2" t="s">
        <v>1466</v>
      </c>
      <c r="E24506" s="2" t="str">
        <f>"9780814762790"</f>
        <v>9780814762790</v>
      </c>
      <c r="F24506" s="2" t="str">
        <f>"9780814770153"</f>
        <v>9780814770153</v>
      </c>
    </row>
    <row r="24507" spans="1:6" s="3" customFormat="1" ht="29.1" customHeight="1" x14ac:dyDescent="0.25">
      <c r="A24507" s="2" t="s">
        <v>47825</v>
      </c>
      <c r="B24507" s="2" t="s">
        <v>47826</v>
      </c>
      <c r="C24507" s="2" t="s">
        <v>11220</v>
      </c>
      <c r="D24507" s="2" t="s">
        <v>15514</v>
      </c>
      <c r="E24507" s="2" t="str">
        <f>"9780814755174"</f>
        <v>9780814755174</v>
      </c>
      <c r="F24507" s="2" t="str">
        <f>"9780814763148"</f>
        <v>9780814763148</v>
      </c>
    </row>
    <row r="24508" spans="1:6" s="3" customFormat="1" ht="29.1" customHeight="1" x14ac:dyDescent="0.25">
      <c r="A24508" s="2" t="s">
        <v>47827</v>
      </c>
      <c r="B24508" s="2" t="s">
        <v>47828</v>
      </c>
      <c r="C24508" s="2" t="s">
        <v>11220</v>
      </c>
      <c r="D24508" s="2" t="s">
        <v>183</v>
      </c>
      <c r="E24508" s="2" t="str">
        <f>"9780814761755"</f>
        <v>9780814761755</v>
      </c>
      <c r="F24508" s="2" t="str">
        <f>"9780814762622"</f>
        <v>9780814762622</v>
      </c>
    </row>
    <row r="24509" spans="1:6" s="3" customFormat="1" ht="29.1" customHeight="1" x14ac:dyDescent="0.25">
      <c r="A24509" s="2" t="s">
        <v>47829</v>
      </c>
      <c r="B24509" s="2" t="s">
        <v>47830</v>
      </c>
      <c r="C24509" s="2" t="s">
        <v>11220</v>
      </c>
      <c r="D24509" s="2" t="s">
        <v>3185</v>
      </c>
      <c r="E24509" s="2" t="str">
        <f>"9780814716663"</f>
        <v>9780814716663</v>
      </c>
      <c r="F24509" s="2" t="str">
        <f>"9780814790090"</f>
        <v>9780814790090</v>
      </c>
    </row>
    <row r="24510" spans="1:6" s="3" customFormat="1" ht="29.1" customHeight="1" x14ac:dyDescent="0.25">
      <c r="A24510" s="2" t="s">
        <v>47831</v>
      </c>
      <c r="B24510" s="2" t="s">
        <v>47832</v>
      </c>
      <c r="C24510" s="2" t="s">
        <v>11220</v>
      </c>
      <c r="D24510" s="2" t="s">
        <v>29897</v>
      </c>
      <c r="E24510" s="2" t="str">
        <f>"9780814735183"</f>
        <v>9780814735183</v>
      </c>
      <c r="F24510" s="2" t="str">
        <f>"9780814744772"</f>
        <v>9780814744772</v>
      </c>
    </row>
    <row r="24511" spans="1:6" s="3" customFormat="1" ht="29.1" customHeight="1" x14ac:dyDescent="0.25">
      <c r="A24511" s="2" t="s">
        <v>47833</v>
      </c>
      <c r="B24511" s="2" t="s">
        <v>47834</v>
      </c>
      <c r="C24511" s="2" t="s">
        <v>11220</v>
      </c>
      <c r="D24511" s="2" t="s">
        <v>639</v>
      </c>
      <c r="E24511" s="2" t="str">
        <f>"9780814799666"</f>
        <v>9780814799666</v>
      </c>
      <c r="F24511" s="2" t="str">
        <f>"9780814739006"</f>
        <v>9780814739006</v>
      </c>
    </row>
    <row r="24512" spans="1:6" s="3" customFormat="1" ht="29.1" customHeight="1" x14ac:dyDescent="0.25">
      <c r="A24512" s="2" t="s">
        <v>47835</v>
      </c>
      <c r="B24512" s="2" t="s">
        <v>47836</v>
      </c>
      <c r="C24512" s="2" t="s">
        <v>11220</v>
      </c>
      <c r="D24512" s="2" t="s">
        <v>4522</v>
      </c>
      <c r="E24512" s="2" t="str">
        <f>"9780814735039"</f>
        <v>9780814735039</v>
      </c>
      <c r="F24512" s="2" t="str">
        <f>"9780814744819"</f>
        <v>9780814744819</v>
      </c>
    </row>
    <row r="24513" spans="1:6" s="3" customFormat="1" ht="29.1" customHeight="1" x14ac:dyDescent="0.25">
      <c r="A24513" s="2" t="s">
        <v>16608</v>
      </c>
      <c r="B24513" s="2" t="s">
        <v>16609</v>
      </c>
      <c r="C24513" s="2" t="s">
        <v>11220</v>
      </c>
      <c r="D24513" s="2" t="s">
        <v>11719</v>
      </c>
      <c r="E24513" s="2" t="str">
        <f>"9780814792193"</f>
        <v>9780814792193</v>
      </c>
      <c r="F24513" s="2" t="str">
        <f>"9780814770511"</f>
        <v>9780814770511</v>
      </c>
    </row>
    <row r="24514" spans="1:6" s="3" customFormat="1" ht="29.1" customHeight="1" x14ac:dyDescent="0.25">
      <c r="A24514" s="2" t="s">
        <v>47837</v>
      </c>
      <c r="B24514" s="2" t="s">
        <v>47838</v>
      </c>
      <c r="C24514" s="2" t="s">
        <v>11220</v>
      </c>
      <c r="D24514" s="2" t="s">
        <v>3993</v>
      </c>
      <c r="E24514" s="2" t="str">
        <f>"9780814734834"</f>
        <v>9780814734834</v>
      </c>
      <c r="F24514" s="2" t="str">
        <f>"9780814744871"</f>
        <v>9780814744871</v>
      </c>
    </row>
    <row r="24515" spans="1:6" s="3" customFormat="1" ht="29.1" customHeight="1" x14ac:dyDescent="0.25">
      <c r="A24515" s="2" t="s">
        <v>47839</v>
      </c>
      <c r="B24515" s="2" t="s">
        <v>47840</v>
      </c>
      <c r="C24515" s="2" t="s">
        <v>11220</v>
      </c>
      <c r="D24515" s="2" t="s">
        <v>75</v>
      </c>
      <c r="E24515" s="2" t="str">
        <f>"9780814719671"</f>
        <v>9780814719671</v>
      </c>
      <c r="F24515" s="2" t="str">
        <f>"9780814785256"</f>
        <v>9780814785256</v>
      </c>
    </row>
    <row r="24516" spans="1:6" s="3" customFormat="1" ht="29.1" customHeight="1" x14ac:dyDescent="0.25">
      <c r="A24516" s="2" t="s">
        <v>47841</v>
      </c>
      <c r="B24516" s="2" t="s">
        <v>47842</v>
      </c>
      <c r="C24516" s="2" t="s">
        <v>11220</v>
      </c>
      <c r="D24516" s="2" t="s">
        <v>968</v>
      </c>
      <c r="E24516" s="2" t="str">
        <f>"9780814779729"</f>
        <v>9780814779729</v>
      </c>
      <c r="F24516" s="2" t="str">
        <f>"9780814788974"</f>
        <v>9780814788974</v>
      </c>
    </row>
    <row r="24517" spans="1:6" s="3" customFormat="1" ht="29.1" customHeight="1" x14ac:dyDescent="0.25">
      <c r="A24517" s="2" t="s">
        <v>47843</v>
      </c>
      <c r="B24517" s="2" t="s">
        <v>47844</v>
      </c>
      <c r="C24517" s="2" t="s">
        <v>11220</v>
      </c>
      <c r="D24517" s="2" t="s">
        <v>4415</v>
      </c>
      <c r="E24517" s="2" t="str">
        <f>"9780814762134"</f>
        <v>9780814762134</v>
      </c>
      <c r="F24517" s="2" t="str">
        <f>"9780814762561"</f>
        <v>9780814762561</v>
      </c>
    </row>
    <row r="24518" spans="1:6" s="3" customFormat="1" ht="29.1" customHeight="1" x14ac:dyDescent="0.25">
      <c r="A24518" s="2" t="s">
        <v>47845</v>
      </c>
      <c r="B24518" s="2" t="s">
        <v>47847</v>
      </c>
      <c r="C24518" s="2" t="s">
        <v>11220</v>
      </c>
      <c r="D24518" s="2" t="s">
        <v>47846</v>
      </c>
      <c r="E24518" s="2" t="str">
        <f>"9780814756935"</f>
        <v>9780814756935</v>
      </c>
      <c r="F24518" s="2" t="str">
        <f>"9781479820696"</f>
        <v>9781479820696</v>
      </c>
    </row>
    <row r="24519" spans="1:6" s="3" customFormat="1" ht="29.1" customHeight="1" x14ac:dyDescent="0.25">
      <c r="A24519" s="2" t="s">
        <v>47848</v>
      </c>
      <c r="B24519" s="2" t="s">
        <v>47849</v>
      </c>
      <c r="C24519" s="2" t="s">
        <v>11220</v>
      </c>
      <c r="D24519" s="2" t="s">
        <v>30905</v>
      </c>
      <c r="E24519" s="2" t="str">
        <f>"9780814781463"</f>
        <v>9780814781463</v>
      </c>
      <c r="F24519" s="2" t="str">
        <f>"9780814786697"</f>
        <v>9780814786697</v>
      </c>
    </row>
    <row r="24520" spans="1:6" s="3" customFormat="1" ht="29.1" customHeight="1" x14ac:dyDescent="0.25">
      <c r="A24520" s="2" t="s">
        <v>47850</v>
      </c>
      <c r="B24520" s="2" t="s">
        <v>47851</v>
      </c>
      <c r="C24520" s="2" t="s">
        <v>11220</v>
      </c>
      <c r="D24520" s="2" t="s">
        <v>5560</v>
      </c>
      <c r="E24520" s="2" t="str">
        <f>"9780814727591"</f>
        <v>9780814727591</v>
      </c>
      <c r="F24520" s="2" t="str">
        <f>"9780814728536"</f>
        <v>9780814728536</v>
      </c>
    </row>
    <row r="24521" spans="1:6" s="3" customFormat="1" ht="29.1" customHeight="1" x14ac:dyDescent="0.25">
      <c r="A24521" s="2" t="s">
        <v>16614</v>
      </c>
      <c r="B24521" s="2" t="s">
        <v>47852</v>
      </c>
      <c r="C24521" s="2" t="s">
        <v>11220</v>
      </c>
      <c r="D24521" s="2" t="s">
        <v>2798</v>
      </c>
      <c r="E24521" s="2" t="str">
        <f>"9780814799277"</f>
        <v>9780814799277</v>
      </c>
      <c r="F24521" s="2" t="str">
        <f>"9780814739105"</f>
        <v>9780814739105</v>
      </c>
    </row>
    <row r="24522" spans="1:6" s="3" customFormat="1" ht="29.1" customHeight="1" x14ac:dyDescent="0.25">
      <c r="A24522" s="2" t="s">
        <v>47853</v>
      </c>
      <c r="B24522" s="2" t="s">
        <v>47854</v>
      </c>
      <c r="C24522" s="2" t="s">
        <v>11220</v>
      </c>
      <c r="D24522" s="2" t="s">
        <v>402</v>
      </c>
      <c r="E24522" s="2" t="str">
        <f>"9780814716298"</f>
        <v>9780814716298</v>
      </c>
      <c r="F24522" s="2" t="str">
        <f>"9781479834372"</f>
        <v>9781479834372</v>
      </c>
    </row>
    <row r="24523" spans="1:6" s="3" customFormat="1" ht="29.1" customHeight="1" x14ac:dyDescent="0.25">
      <c r="A24523" s="2" t="s">
        <v>16616</v>
      </c>
      <c r="B24523" s="2" t="s">
        <v>16617</v>
      </c>
      <c r="C24523" s="2" t="s">
        <v>11220</v>
      </c>
      <c r="D24523" s="2" t="s">
        <v>8642</v>
      </c>
      <c r="E24523" s="2" t="str">
        <f>"9780814775660"</f>
        <v>9780814775660</v>
      </c>
      <c r="F24523" s="2" t="str">
        <f>"9780814769096"</f>
        <v>9780814769096</v>
      </c>
    </row>
    <row r="24524" spans="1:6" s="3" customFormat="1" ht="29.1" customHeight="1" x14ac:dyDescent="0.25">
      <c r="A24524" s="2" t="s">
        <v>47855</v>
      </c>
      <c r="B24524" s="2" t="s">
        <v>47856</v>
      </c>
      <c r="C24524" s="2" t="s">
        <v>11220</v>
      </c>
      <c r="D24524" s="2" t="s">
        <v>5560</v>
      </c>
      <c r="E24524" s="2" t="str">
        <f>"9780814737057"</f>
        <v>9780814737057</v>
      </c>
      <c r="F24524" s="2" t="str">
        <f>"9781479844845"</f>
        <v>9781479844845</v>
      </c>
    </row>
    <row r="24525" spans="1:6" s="3" customFormat="1" ht="29.1" customHeight="1" x14ac:dyDescent="0.25">
      <c r="A24525" s="2" t="s">
        <v>47857</v>
      </c>
      <c r="B24525" s="2" t="s">
        <v>47858</v>
      </c>
      <c r="C24525" s="2" t="s">
        <v>11220</v>
      </c>
      <c r="D24525" s="2" t="s">
        <v>968</v>
      </c>
      <c r="E24525" s="2" t="str">
        <f>"9780814782682"</f>
        <v>9780814782682</v>
      </c>
      <c r="F24525" s="2" t="str">
        <f>"9780814729229"</f>
        <v>9780814729229</v>
      </c>
    </row>
    <row r="24526" spans="1:6" s="3" customFormat="1" ht="29.1" customHeight="1" x14ac:dyDescent="0.25">
      <c r="A24526" s="2" t="s">
        <v>47859</v>
      </c>
      <c r="B24526" s="2" t="s">
        <v>47860</v>
      </c>
      <c r="C24526" s="2" t="s">
        <v>11220</v>
      </c>
      <c r="D24526" s="2" t="s">
        <v>16113</v>
      </c>
      <c r="E24526" s="2" t="str">
        <f>"9780814793848"</f>
        <v>9780814793848</v>
      </c>
      <c r="F24526" s="2" t="str">
        <f>"9781479872572"</f>
        <v>9781479872572</v>
      </c>
    </row>
    <row r="24527" spans="1:6" s="3" customFormat="1" ht="29.1" customHeight="1" x14ac:dyDescent="0.25">
      <c r="A24527" s="2" t="s">
        <v>47861</v>
      </c>
      <c r="B24527" s="2" t="s">
        <v>47862</v>
      </c>
      <c r="C24527" s="2" t="s">
        <v>11220</v>
      </c>
      <c r="D24527" s="2" t="s">
        <v>183</v>
      </c>
      <c r="E24527" s="2" t="str">
        <f>"9781479828869"</f>
        <v>9781479828869</v>
      </c>
      <c r="F24527" s="2" t="str">
        <f>"9781479810628"</f>
        <v>9781479810628</v>
      </c>
    </row>
    <row r="24528" spans="1:6" s="3" customFormat="1" ht="29.1" customHeight="1" x14ac:dyDescent="0.25">
      <c r="A24528" s="2" t="s">
        <v>47863</v>
      </c>
      <c r="B24528" s="2" t="s">
        <v>47865</v>
      </c>
      <c r="C24528" s="2" t="s">
        <v>11220</v>
      </c>
      <c r="D24528" s="2" t="s">
        <v>47864</v>
      </c>
      <c r="E24528" s="2" t="str">
        <f>"9781479869053"</f>
        <v>9781479869053</v>
      </c>
      <c r="F24528" s="2" t="str">
        <f>"9781479809714"</f>
        <v>9781479809714</v>
      </c>
    </row>
    <row r="24529" spans="1:6" s="3" customFormat="1" ht="29.1" customHeight="1" x14ac:dyDescent="0.25">
      <c r="A24529" s="2" t="s">
        <v>47866</v>
      </c>
      <c r="B24529" s="2" t="s">
        <v>47867</v>
      </c>
      <c r="C24529" s="2" t="s">
        <v>11220</v>
      </c>
      <c r="D24529" s="2" t="s">
        <v>75</v>
      </c>
      <c r="E24529" s="2" t="str">
        <f>"9781479811779"</f>
        <v>9781479811779</v>
      </c>
      <c r="F24529" s="2" t="str">
        <f>"9781479828357"</f>
        <v>9781479828357</v>
      </c>
    </row>
    <row r="24530" spans="1:6" s="3" customFormat="1" ht="29.1" customHeight="1" x14ac:dyDescent="0.25">
      <c r="A24530" s="2" t="s">
        <v>47868</v>
      </c>
      <c r="B24530" s="2" t="s">
        <v>47869</v>
      </c>
      <c r="C24530" s="2" t="s">
        <v>11220</v>
      </c>
      <c r="D24530" s="2" t="s">
        <v>4273</v>
      </c>
      <c r="E24530" s="2" t="str">
        <f>"9781479842582"</f>
        <v>9781479842582</v>
      </c>
      <c r="F24530" s="2" t="str">
        <f>"9781479812516"</f>
        <v>9781479812516</v>
      </c>
    </row>
    <row r="24531" spans="1:6" s="3" customFormat="1" ht="29.1" customHeight="1" x14ac:dyDescent="0.25">
      <c r="A24531" s="2" t="s">
        <v>47870</v>
      </c>
      <c r="B24531" s="2" t="s">
        <v>47871</v>
      </c>
      <c r="C24531" s="2" t="s">
        <v>11220</v>
      </c>
      <c r="D24531" s="2" t="s">
        <v>75</v>
      </c>
      <c r="E24531" s="2" t="str">
        <f>"9780814794180"</f>
        <v>9780814794180</v>
      </c>
      <c r="F24531" s="2" t="str">
        <f>"9780814794197"</f>
        <v>9780814794197</v>
      </c>
    </row>
    <row r="24532" spans="1:6" s="3" customFormat="1" ht="29.1" customHeight="1" x14ac:dyDescent="0.25">
      <c r="A24532" s="2" t="s">
        <v>47872</v>
      </c>
      <c r="B24532" s="2" t="s">
        <v>47873</v>
      </c>
      <c r="C24532" s="2" t="s">
        <v>11220</v>
      </c>
      <c r="D24532" s="2" t="s">
        <v>4754</v>
      </c>
      <c r="E24532" s="2" t="str">
        <f>"9781479835966"</f>
        <v>9781479835966</v>
      </c>
      <c r="F24532" s="2" t="str">
        <f>"9781479875030"</f>
        <v>9781479875030</v>
      </c>
    </row>
    <row r="24533" spans="1:6" s="3" customFormat="1" ht="29.1" customHeight="1" x14ac:dyDescent="0.25">
      <c r="A24533" s="2" t="s">
        <v>47874</v>
      </c>
      <c r="B24533" s="2" t="s">
        <v>47875</v>
      </c>
      <c r="C24533" s="2" t="s">
        <v>195</v>
      </c>
      <c r="D24533" s="2" t="s">
        <v>210</v>
      </c>
      <c r="E24533" s="2" t="str">
        <f>"9783486563672"</f>
        <v>9783486563672</v>
      </c>
      <c r="F24533" s="2" t="str">
        <f>"9783486707847"</f>
        <v>9783486707847</v>
      </c>
    </row>
    <row r="24534" spans="1:6" s="3" customFormat="1" ht="29.1" customHeight="1" x14ac:dyDescent="0.25">
      <c r="A24534" s="2" t="s">
        <v>47876</v>
      </c>
      <c r="B24534" s="2" t="s">
        <v>47877</v>
      </c>
      <c r="C24534" s="2" t="s">
        <v>195</v>
      </c>
      <c r="D24534" s="2" t="s">
        <v>5695</v>
      </c>
      <c r="E24534" s="2" t="str">
        <f>"9783486561562"</f>
        <v>9783486561562</v>
      </c>
      <c r="F24534" s="2" t="str">
        <f>"9783486707885"</f>
        <v>9783486707885</v>
      </c>
    </row>
    <row r="24535" spans="1:6" s="3" customFormat="1" ht="29.1" customHeight="1" x14ac:dyDescent="0.25">
      <c r="A24535" s="2" t="s">
        <v>47878</v>
      </c>
      <c r="B24535" s="2" t="s">
        <v>47879</v>
      </c>
      <c r="C24535" s="2" t="s">
        <v>195</v>
      </c>
      <c r="D24535" s="2" t="s">
        <v>210</v>
      </c>
      <c r="E24535" s="2" t="str">
        <f>"9783486558906"</f>
        <v>9783486558906</v>
      </c>
      <c r="F24535" s="2" t="str">
        <f>"9783486708127"</f>
        <v>9783486708127</v>
      </c>
    </row>
    <row r="24536" spans="1:6" s="3" customFormat="1" ht="29.1" customHeight="1" x14ac:dyDescent="0.25">
      <c r="A24536" s="2" t="s">
        <v>47880</v>
      </c>
      <c r="B24536" s="2" t="s">
        <v>47881</v>
      </c>
      <c r="C24536" s="2" t="s">
        <v>195</v>
      </c>
      <c r="D24536" s="2" t="s">
        <v>210</v>
      </c>
      <c r="E24536" s="2" t="str">
        <f>"9783598116155"</f>
        <v>9783598116155</v>
      </c>
      <c r="F24536" s="2" t="str">
        <f>"9783110967951"</f>
        <v>9783110967951</v>
      </c>
    </row>
    <row r="24537" spans="1:6" s="3" customFormat="1" ht="29.1" customHeight="1" x14ac:dyDescent="0.25">
      <c r="A24537" s="2" t="s">
        <v>47882</v>
      </c>
      <c r="B24537" s="2" t="s">
        <v>47883</v>
      </c>
      <c r="C24537" s="2" t="s">
        <v>195</v>
      </c>
      <c r="D24537" s="2" t="s">
        <v>462</v>
      </c>
      <c r="E24537" s="2" t="str">
        <f>"9783110412109"</f>
        <v>9783110412109</v>
      </c>
      <c r="F24537" s="2" t="str">
        <f>"9783110415230"</f>
        <v>9783110415230</v>
      </c>
    </row>
    <row r="24538" spans="1:6" s="3" customFormat="1" ht="29.1" customHeight="1" x14ac:dyDescent="0.25">
      <c r="A24538" s="2" t="s">
        <v>47884</v>
      </c>
      <c r="B24538" s="2" t="s">
        <v>47885</v>
      </c>
      <c r="C24538" s="2" t="s">
        <v>195</v>
      </c>
      <c r="D24538" s="2" t="s">
        <v>1183</v>
      </c>
      <c r="E24538" s="2" t="str">
        <f>"9783110404760"</f>
        <v>9783110404760</v>
      </c>
      <c r="F24538" s="2" t="str">
        <f>"9783110405033"</f>
        <v>9783110405033</v>
      </c>
    </row>
    <row r="24539" spans="1:6" s="3" customFormat="1" ht="29.1" customHeight="1" x14ac:dyDescent="0.25">
      <c r="A24539" s="2" t="s">
        <v>47886</v>
      </c>
      <c r="B24539" s="2" t="s">
        <v>47887</v>
      </c>
      <c r="C24539" s="2" t="s">
        <v>195</v>
      </c>
      <c r="D24539" s="2" t="s">
        <v>1183</v>
      </c>
      <c r="E24539" s="2" t="str">
        <f>"9783110402537"</f>
        <v>9783110402537</v>
      </c>
      <c r="F24539" s="2" t="str">
        <f>"9783110402605"</f>
        <v>9783110402605</v>
      </c>
    </row>
    <row r="24540" spans="1:6" s="3" customFormat="1" ht="29.1" customHeight="1" x14ac:dyDescent="0.25">
      <c r="A24540" s="2" t="s">
        <v>47888</v>
      </c>
      <c r="B24540" s="2" t="s">
        <v>47889</v>
      </c>
      <c r="C24540" s="2" t="s">
        <v>195</v>
      </c>
      <c r="D24540" s="2" t="s">
        <v>1466</v>
      </c>
      <c r="E24540" s="2" t="str">
        <f>"9783110348163"</f>
        <v>9783110348163</v>
      </c>
      <c r="F24540" s="2" t="str">
        <f>"9783110349122"</f>
        <v>9783110349122</v>
      </c>
    </row>
    <row r="24541" spans="1:6" s="3" customFormat="1" ht="29.1" customHeight="1" x14ac:dyDescent="0.25">
      <c r="A24541" s="2" t="s">
        <v>47890</v>
      </c>
      <c r="B24541" s="2" t="s">
        <v>47891</v>
      </c>
      <c r="C24541" s="2" t="s">
        <v>195</v>
      </c>
      <c r="D24541" s="2" t="s">
        <v>7608</v>
      </c>
      <c r="E24541" s="2" t="str">
        <f>"9781614518662"</f>
        <v>9781614518662</v>
      </c>
      <c r="F24541" s="2" t="str">
        <f>"9781501500558"</f>
        <v>9781501500558</v>
      </c>
    </row>
    <row r="24542" spans="1:6" s="3" customFormat="1" ht="29.1" customHeight="1" x14ac:dyDescent="0.25">
      <c r="A24542" s="2" t="s">
        <v>47892</v>
      </c>
      <c r="B24542" s="2" t="s">
        <v>47893</v>
      </c>
      <c r="C24542" s="2" t="s">
        <v>195</v>
      </c>
      <c r="D24542" s="2" t="s">
        <v>509</v>
      </c>
      <c r="E24542" s="2" t="str">
        <f>"9783110346220"</f>
        <v>9783110346220</v>
      </c>
      <c r="F24542" s="2" t="str">
        <f>"9783110435993"</f>
        <v>9783110435993</v>
      </c>
    </row>
    <row r="24543" spans="1:6" s="3" customFormat="1" ht="29.1" customHeight="1" x14ac:dyDescent="0.25">
      <c r="A24543" s="2" t="s">
        <v>47894</v>
      </c>
      <c r="B24543" s="2" t="s">
        <v>47895</v>
      </c>
      <c r="C24543" s="2" t="s">
        <v>124</v>
      </c>
      <c r="D24543" s="2" t="s">
        <v>270</v>
      </c>
      <c r="E24543" s="2" t="str">
        <f>"9780415745055"</f>
        <v>9780415745055</v>
      </c>
      <c r="F24543" s="2" t="str">
        <f>"9781317755715"</f>
        <v>9781317755715</v>
      </c>
    </row>
    <row r="24544" spans="1:6" s="3" customFormat="1" ht="29.1" customHeight="1" x14ac:dyDescent="0.25">
      <c r="A24544" s="2" t="s">
        <v>47896</v>
      </c>
      <c r="B24544" s="2" t="s">
        <v>47897</v>
      </c>
      <c r="C24544" s="2" t="s">
        <v>927</v>
      </c>
      <c r="D24544" s="2" t="s">
        <v>342</v>
      </c>
      <c r="E24544" s="2" t="str">
        <f>"9780472052684"</f>
        <v>9780472052684</v>
      </c>
      <c r="F24544" s="2" t="str">
        <f>"9780472121137"</f>
        <v>9780472121137</v>
      </c>
    </row>
    <row r="24545" spans="1:6" s="3" customFormat="1" ht="29.1" customHeight="1" x14ac:dyDescent="0.25">
      <c r="A24545" s="2" t="s">
        <v>47898</v>
      </c>
      <c r="B24545" s="2" t="s">
        <v>47899</v>
      </c>
      <c r="C24545" s="2" t="s">
        <v>927</v>
      </c>
      <c r="D24545" s="2" t="s">
        <v>186</v>
      </c>
      <c r="E24545" s="2" t="str">
        <f>"9780472052554"</f>
        <v>9780472052554</v>
      </c>
      <c r="F24545" s="2" t="str">
        <f>"9780472120949"</f>
        <v>9780472120949</v>
      </c>
    </row>
    <row r="24546" spans="1:6" s="3" customFormat="1" ht="29.1" customHeight="1" x14ac:dyDescent="0.25">
      <c r="A24546" s="2" t="s">
        <v>47900</v>
      </c>
      <c r="B24546" s="2" t="s">
        <v>47901</v>
      </c>
      <c r="C24546" s="2" t="s">
        <v>124</v>
      </c>
      <c r="D24546" s="2" t="s">
        <v>606</v>
      </c>
      <c r="E24546" s="2" t="str">
        <f>"9781041181958"</f>
        <v>9781041181958</v>
      </c>
      <c r="F24546" s="2" t="str">
        <f>"9781040773444"</f>
        <v>9781040773444</v>
      </c>
    </row>
    <row r="24547" spans="1:6" s="3" customFormat="1" ht="29.1" customHeight="1" x14ac:dyDescent="0.25">
      <c r="A24547" s="2" t="s">
        <v>47902</v>
      </c>
      <c r="B24547" s="2" t="s">
        <v>47903</v>
      </c>
      <c r="C24547" s="2" t="s">
        <v>195</v>
      </c>
      <c r="D24547" s="2" t="s">
        <v>210</v>
      </c>
      <c r="E24547" s="2" t="str">
        <f>"9783486712896"</f>
        <v>9783486712896</v>
      </c>
      <c r="F24547" s="2" t="str">
        <f>"9783486716191"</f>
        <v>9783486716191</v>
      </c>
    </row>
    <row r="24548" spans="1:6" s="3" customFormat="1" ht="29.1" customHeight="1" x14ac:dyDescent="0.25">
      <c r="A24548" s="2" t="s">
        <v>47904</v>
      </c>
      <c r="B24548" s="2" t="s">
        <v>47905</v>
      </c>
      <c r="C24548" s="2" t="s">
        <v>195</v>
      </c>
      <c r="D24548" s="2" t="s">
        <v>210</v>
      </c>
      <c r="E24548" s="2" t="str">
        <f>"9783486561753"</f>
        <v>9783486561753</v>
      </c>
      <c r="F24548" s="2" t="str">
        <f>"9783486829686"</f>
        <v>9783486829686</v>
      </c>
    </row>
    <row r="24549" spans="1:6" s="3" customFormat="1" ht="29.1" customHeight="1" x14ac:dyDescent="0.25">
      <c r="A24549" s="2" t="s">
        <v>47906</v>
      </c>
      <c r="B24549" s="2" t="s">
        <v>47907</v>
      </c>
      <c r="C24549" s="2" t="s">
        <v>195</v>
      </c>
      <c r="D24549" s="2" t="s">
        <v>33</v>
      </c>
      <c r="E24549" s="2" t="str">
        <f>"9783110425697"</f>
        <v>9783110425697</v>
      </c>
      <c r="F24549" s="2" t="str">
        <f>"9783110420890"</f>
        <v>9783110420890</v>
      </c>
    </row>
    <row r="24550" spans="1:6" s="3" customFormat="1" ht="29.1" customHeight="1" x14ac:dyDescent="0.25">
      <c r="A24550" s="2" t="s">
        <v>47908</v>
      </c>
      <c r="B24550" s="2" t="s">
        <v>47909</v>
      </c>
      <c r="C24550" s="2" t="s">
        <v>195</v>
      </c>
      <c r="D24550" s="2" t="s">
        <v>462</v>
      </c>
      <c r="E24550" s="2" t="str">
        <f>"9783110406931"</f>
        <v>9783110406931</v>
      </c>
      <c r="F24550" s="2" t="str">
        <f>"9783110409239"</f>
        <v>9783110409239</v>
      </c>
    </row>
    <row r="24551" spans="1:6" s="3" customFormat="1" ht="29.1" customHeight="1" x14ac:dyDescent="0.25">
      <c r="A24551" s="2" t="s">
        <v>47910</v>
      </c>
      <c r="B24551" s="2" t="s">
        <v>47911</v>
      </c>
      <c r="C24551" s="2" t="s">
        <v>195</v>
      </c>
      <c r="D24551" s="2" t="s">
        <v>14574</v>
      </c>
      <c r="E24551" s="2" t="str">
        <f>"9783110379150"</f>
        <v>9783110379150</v>
      </c>
      <c r="F24551" s="2" t="str">
        <f>"9783110402223"</f>
        <v>9783110402223</v>
      </c>
    </row>
    <row r="24552" spans="1:6" s="3" customFormat="1" ht="29.1" customHeight="1" x14ac:dyDescent="0.25">
      <c r="A24552" s="2" t="s">
        <v>47912</v>
      </c>
      <c r="B24552" s="2" t="s">
        <v>38996</v>
      </c>
      <c r="C24552" s="2" t="s">
        <v>195</v>
      </c>
      <c r="D24552" s="2" t="s">
        <v>125</v>
      </c>
      <c r="E24552" s="2" t="str">
        <f>"9783110141825"</f>
        <v>9783110141825</v>
      </c>
      <c r="F24552" s="2" t="str">
        <f>"9783110891324"</f>
        <v>9783110891324</v>
      </c>
    </row>
    <row r="24553" spans="1:6" s="3" customFormat="1" ht="29.1" customHeight="1" x14ac:dyDescent="0.25">
      <c r="A24553" s="2" t="s">
        <v>47913</v>
      </c>
      <c r="B24553" s="2" t="s">
        <v>47914</v>
      </c>
      <c r="C24553" s="2" t="s">
        <v>195</v>
      </c>
      <c r="D24553" s="2" t="s">
        <v>2048</v>
      </c>
      <c r="E24553" s="2" t="str">
        <f>"9783110158953"</f>
        <v>9783110158953</v>
      </c>
      <c r="F24553" s="2" t="str">
        <f>"9783110897944"</f>
        <v>9783110897944</v>
      </c>
    </row>
    <row r="24554" spans="1:6" s="3" customFormat="1" ht="29.1" customHeight="1" x14ac:dyDescent="0.25">
      <c r="A24554" s="2" t="s">
        <v>47915</v>
      </c>
      <c r="B24554" s="2" t="s">
        <v>46764</v>
      </c>
      <c r="C24554" s="2" t="s">
        <v>195</v>
      </c>
      <c r="D24554" s="2" t="s">
        <v>509</v>
      </c>
      <c r="E24554" s="2" t="str">
        <f>"9783486708226"</f>
        <v>9783486708226</v>
      </c>
      <c r="F24554" s="2" t="str">
        <f>"9783486714012"</f>
        <v>9783486714012</v>
      </c>
    </row>
    <row r="24555" spans="1:6" s="3" customFormat="1" ht="29.1" customHeight="1" x14ac:dyDescent="0.25">
      <c r="A24555" s="2" t="s">
        <v>47916</v>
      </c>
      <c r="B24555" s="2" t="s">
        <v>47917</v>
      </c>
      <c r="C24555" s="2" t="s">
        <v>195</v>
      </c>
      <c r="D24555" s="2" t="s">
        <v>210</v>
      </c>
      <c r="E24555" s="2" t="str">
        <f>"9783486562361"</f>
        <v>9783486562361</v>
      </c>
      <c r="F24555" s="2" t="str">
        <f>"9783486707854"</f>
        <v>9783486707854</v>
      </c>
    </row>
    <row r="24556" spans="1:6" s="3" customFormat="1" ht="29.1" customHeight="1" x14ac:dyDescent="0.25">
      <c r="A24556" s="2" t="s">
        <v>47918</v>
      </c>
      <c r="B24556" s="2" t="s">
        <v>47919</v>
      </c>
      <c r="C24556" s="2" t="s">
        <v>195</v>
      </c>
      <c r="D24556" s="2" t="s">
        <v>210</v>
      </c>
      <c r="E24556" s="2" t="str">
        <f>"9783486558661"</f>
        <v>9783486558661</v>
      </c>
      <c r="F24556" s="2" t="str">
        <f>"9783486708134"</f>
        <v>9783486708134</v>
      </c>
    </row>
    <row r="24557" spans="1:6" s="3" customFormat="1" ht="29.1" customHeight="1" x14ac:dyDescent="0.25">
      <c r="A24557" s="2" t="s">
        <v>47920</v>
      </c>
      <c r="B24557" s="2" t="s">
        <v>47921</v>
      </c>
      <c r="C24557" s="2" t="s">
        <v>195</v>
      </c>
      <c r="D24557" s="2" t="s">
        <v>210</v>
      </c>
      <c r="E24557" s="2" t="str">
        <f>"9783486702545"</f>
        <v>9783486702545</v>
      </c>
      <c r="F24557" s="2" t="str">
        <f>"9783486707076"</f>
        <v>9783486707076</v>
      </c>
    </row>
    <row r="24558" spans="1:6" s="3" customFormat="1" ht="29.1" customHeight="1" x14ac:dyDescent="0.25">
      <c r="A24558" s="2" t="s">
        <v>47922</v>
      </c>
      <c r="B24558" s="2" t="s">
        <v>47923</v>
      </c>
      <c r="C24558" s="2" t="s">
        <v>195</v>
      </c>
      <c r="D24558" s="2" t="s">
        <v>210</v>
      </c>
      <c r="E24558" s="2" t="str">
        <f>"9783486714524"</f>
        <v>9783486714524</v>
      </c>
      <c r="F24558" s="2" t="str">
        <f>"9783486716368"</f>
        <v>9783486716368</v>
      </c>
    </row>
    <row r="24559" spans="1:6" s="3" customFormat="1" ht="29.1" customHeight="1" x14ac:dyDescent="0.25">
      <c r="A24559" s="2" t="s">
        <v>47924</v>
      </c>
      <c r="B24559" s="2" t="s">
        <v>47925</v>
      </c>
      <c r="C24559" s="2" t="s">
        <v>195</v>
      </c>
      <c r="D24559" s="2" t="s">
        <v>210</v>
      </c>
      <c r="E24559" s="2" t="str">
        <f>"9783486582789"</f>
        <v>9783486582789</v>
      </c>
      <c r="F24559" s="2" t="str">
        <f>"9783486706291"</f>
        <v>9783486706291</v>
      </c>
    </row>
    <row r="24560" spans="1:6" s="3" customFormat="1" ht="29.1" customHeight="1" x14ac:dyDescent="0.25">
      <c r="A24560" s="2" t="s">
        <v>47926</v>
      </c>
      <c r="B24560" s="2" t="s">
        <v>47927</v>
      </c>
      <c r="C24560" s="2" t="s">
        <v>195</v>
      </c>
      <c r="D24560" s="2" t="s">
        <v>210</v>
      </c>
      <c r="E24560" s="2" t="str">
        <f>"9783486559828"</f>
        <v>9783486559828</v>
      </c>
      <c r="F24560" s="2" t="str">
        <f>"9783486708400"</f>
        <v>9783486708400</v>
      </c>
    </row>
    <row r="24561" spans="1:6" s="3" customFormat="1" ht="29.1" customHeight="1" x14ac:dyDescent="0.25">
      <c r="A24561" s="2" t="s">
        <v>47928</v>
      </c>
      <c r="B24561" s="2" t="s">
        <v>46764</v>
      </c>
      <c r="C24561" s="2" t="s">
        <v>195</v>
      </c>
      <c r="D24561" s="2" t="s">
        <v>509</v>
      </c>
      <c r="E24561" s="2" t="str">
        <f>"9783486704181"</f>
        <v>9783486704181</v>
      </c>
      <c r="F24561" s="2" t="str">
        <f>"9783486704204"</f>
        <v>9783486704204</v>
      </c>
    </row>
    <row r="24562" spans="1:6" s="3" customFormat="1" ht="29.1" customHeight="1" x14ac:dyDescent="0.25">
      <c r="A24562" s="2" t="s">
        <v>47929</v>
      </c>
      <c r="B24562" s="2" t="s">
        <v>47930</v>
      </c>
      <c r="C24562" s="2" t="s">
        <v>195</v>
      </c>
      <c r="D24562" s="2" t="s">
        <v>210</v>
      </c>
      <c r="E24562" s="2" t="str">
        <f>"9783486591392"</f>
        <v>9783486591392</v>
      </c>
      <c r="F24562" s="2" t="str">
        <f>"9783486706277"</f>
        <v>9783486706277</v>
      </c>
    </row>
    <row r="24563" spans="1:6" s="3" customFormat="1" ht="29.1" customHeight="1" x14ac:dyDescent="0.25">
      <c r="A24563" s="2" t="s">
        <v>47931</v>
      </c>
      <c r="B24563" s="2" t="s">
        <v>47932</v>
      </c>
      <c r="C24563" s="2" t="s">
        <v>195</v>
      </c>
      <c r="D24563" s="2" t="s">
        <v>210</v>
      </c>
      <c r="E24563" s="2" t="str">
        <f>"9783486716931"</f>
        <v>9783486716931</v>
      </c>
      <c r="F24563" s="2" t="str">
        <f>"9783486717488"</f>
        <v>9783486717488</v>
      </c>
    </row>
    <row r="24564" spans="1:6" s="3" customFormat="1" ht="29.1" customHeight="1" x14ac:dyDescent="0.25">
      <c r="A24564" s="2" t="s">
        <v>47933</v>
      </c>
      <c r="B24564" s="2" t="s">
        <v>47934</v>
      </c>
      <c r="C24564" s="2" t="s">
        <v>195</v>
      </c>
      <c r="D24564" s="2" t="s">
        <v>210</v>
      </c>
      <c r="E24564" s="2" t="str">
        <f>"9783486563399"</f>
        <v>9783486563399</v>
      </c>
      <c r="F24564" s="2" t="str">
        <f>"9783486707830"</f>
        <v>9783486707830</v>
      </c>
    </row>
    <row r="24565" spans="1:6" s="3" customFormat="1" ht="29.1" customHeight="1" x14ac:dyDescent="0.25">
      <c r="A24565" s="2" t="s">
        <v>47935</v>
      </c>
      <c r="B24565" s="2" t="s">
        <v>47936</v>
      </c>
      <c r="C24565" s="2" t="s">
        <v>11220</v>
      </c>
      <c r="D24565" s="2" t="s">
        <v>17547</v>
      </c>
      <c r="E24565" s="2" t="str">
        <f>"9781479815616"</f>
        <v>9781479815616</v>
      </c>
      <c r="F24565" s="2" t="str">
        <f>"9781479896059"</f>
        <v>9781479896059</v>
      </c>
    </row>
    <row r="24566" spans="1:6" s="3" customFormat="1" ht="29.1" customHeight="1" x14ac:dyDescent="0.25">
      <c r="A24566" s="2" t="s">
        <v>47937</v>
      </c>
      <c r="B24566" s="2" t="s">
        <v>47938</v>
      </c>
      <c r="C24566" s="2" t="s">
        <v>124</v>
      </c>
      <c r="D24566" s="2" t="s">
        <v>210</v>
      </c>
      <c r="E24566" s="2" t="str">
        <f>"9781041183839"</f>
        <v>9781041183839</v>
      </c>
      <c r="F24566" s="2" t="str">
        <f>"9781040776148"</f>
        <v>9781040776148</v>
      </c>
    </row>
    <row r="24567" spans="1:6" s="3" customFormat="1" ht="29.1" customHeight="1" x14ac:dyDescent="0.25">
      <c r="A24567" s="2" t="s">
        <v>47939</v>
      </c>
      <c r="B24567" s="2" t="s">
        <v>47940</v>
      </c>
      <c r="C24567" s="2" t="s">
        <v>8104</v>
      </c>
      <c r="D24567" s="2" t="s">
        <v>1806</v>
      </c>
      <c r="E24567" s="2" t="str">
        <f>"9781785330698"</f>
        <v>9781785330698</v>
      </c>
      <c r="F24567" s="2" t="str">
        <f>"9781785330704"</f>
        <v>9781785330704</v>
      </c>
    </row>
    <row r="24568" spans="1:6" s="3" customFormat="1" ht="29.1" customHeight="1" x14ac:dyDescent="0.25">
      <c r="A24568" s="2" t="s">
        <v>47941</v>
      </c>
      <c r="B24568" s="2" t="s">
        <v>47942</v>
      </c>
      <c r="C24568" s="2" t="s">
        <v>8104</v>
      </c>
      <c r="D24568" s="2" t="s">
        <v>5144</v>
      </c>
      <c r="E24568" s="2" t="str">
        <f>"9781782387794"</f>
        <v>9781782387794</v>
      </c>
      <c r="F24568" s="2" t="str">
        <f>"9781782387800"</f>
        <v>9781782387800</v>
      </c>
    </row>
    <row r="24569" spans="1:6" s="3" customFormat="1" ht="29.1" customHeight="1" x14ac:dyDescent="0.25">
      <c r="A24569" s="2" t="s">
        <v>47943</v>
      </c>
      <c r="B24569" s="2" t="s">
        <v>47944</v>
      </c>
      <c r="C24569" s="2" t="s">
        <v>43061</v>
      </c>
      <c r="D24569" s="2" t="s">
        <v>5092</v>
      </c>
      <c r="E24569" s="2" t="str">
        <f>"9783862199365"</f>
        <v>9783862199365</v>
      </c>
      <c r="F24569" s="2" t="str">
        <f>"9783862199372"</f>
        <v>9783862199372</v>
      </c>
    </row>
    <row r="24570" spans="1:6" s="3" customFormat="1" ht="29.1" customHeight="1" x14ac:dyDescent="0.25">
      <c r="A24570" s="2" t="s">
        <v>47945</v>
      </c>
      <c r="B24570" s="2" t="s">
        <v>44296</v>
      </c>
      <c r="C24570" s="2" t="s">
        <v>149</v>
      </c>
      <c r="D24570" s="2" t="s">
        <v>36101</v>
      </c>
      <c r="E24570" s="2" t="str">
        <f>"9781783740420"</f>
        <v>9781783740420</v>
      </c>
      <c r="F24570" s="2" t="str">
        <f>"9781783740444"</f>
        <v>9781783740444</v>
      </c>
    </row>
    <row r="24571" spans="1:6" s="3" customFormat="1" ht="29.1" customHeight="1" x14ac:dyDescent="0.25">
      <c r="A24571" s="2" t="s">
        <v>47946</v>
      </c>
      <c r="B24571" s="2" t="s">
        <v>47947</v>
      </c>
      <c r="C24571" s="2" t="s">
        <v>149</v>
      </c>
      <c r="D24571" s="2" t="s">
        <v>1124</v>
      </c>
      <c r="E24571" s="2" t="str">
        <f>"9781783741274"</f>
        <v>9781783741274</v>
      </c>
      <c r="F24571" s="2" t="str">
        <f>"9781783741298"</f>
        <v>9781783741298</v>
      </c>
    </row>
    <row r="24572" spans="1:6" s="3" customFormat="1" ht="29.1" customHeight="1" x14ac:dyDescent="0.25">
      <c r="A24572" s="2" t="s">
        <v>47948</v>
      </c>
      <c r="B24572" s="2" t="s">
        <v>47950</v>
      </c>
      <c r="C24572" s="2" t="s">
        <v>149</v>
      </c>
      <c r="D24572" s="2" t="s">
        <v>47949</v>
      </c>
      <c r="E24572" s="2" t="str">
        <f>"9781783741472"</f>
        <v>9781783741472</v>
      </c>
      <c r="F24572" s="2" t="str">
        <f>"9781783741496"</f>
        <v>9781783741496</v>
      </c>
    </row>
    <row r="24573" spans="1:6" s="3" customFormat="1" ht="29.1" customHeight="1" x14ac:dyDescent="0.25">
      <c r="A24573" s="2" t="s">
        <v>47951</v>
      </c>
      <c r="B24573" s="2" t="s">
        <v>47952</v>
      </c>
      <c r="C24573" s="2" t="s">
        <v>149</v>
      </c>
      <c r="D24573" s="2" t="s">
        <v>1336</v>
      </c>
      <c r="E24573" s="2" t="str">
        <f>"9781783741175"</f>
        <v>9781783741175</v>
      </c>
      <c r="F24573" s="2" t="str">
        <f>"9781783741199"</f>
        <v>9781783741199</v>
      </c>
    </row>
    <row r="24574" spans="1:6" s="3" customFormat="1" ht="29.1" customHeight="1" x14ac:dyDescent="0.25">
      <c r="A24574" s="2" t="s">
        <v>47953</v>
      </c>
      <c r="B24574" s="2" t="s">
        <v>47954</v>
      </c>
      <c r="C24574" s="2" t="s">
        <v>149</v>
      </c>
      <c r="D24574" s="2" t="s">
        <v>5032</v>
      </c>
      <c r="E24574" s="2" t="str">
        <f>"9781783741229"</f>
        <v>9781783741229</v>
      </c>
      <c r="F24574" s="2" t="str">
        <f>"9781783741243"</f>
        <v>9781783741243</v>
      </c>
    </row>
    <row r="24575" spans="1:6" s="3" customFormat="1" ht="29.1" customHeight="1" x14ac:dyDescent="0.25">
      <c r="A24575" s="2" t="s">
        <v>47955</v>
      </c>
      <c r="B24575" s="2" t="s">
        <v>47956</v>
      </c>
      <c r="C24575" s="2" t="s">
        <v>149</v>
      </c>
      <c r="D24575" s="2" t="s">
        <v>5417</v>
      </c>
      <c r="E24575" s="2" t="str">
        <f>"9781783741076"</f>
        <v>9781783741076</v>
      </c>
      <c r="F24575" s="2" t="str">
        <f>"9781783741090"</f>
        <v>9781783741090</v>
      </c>
    </row>
    <row r="24576" spans="1:6" s="3" customFormat="1" ht="29.1" customHeight="1" x14ac:dyDescent="0.25">
      <c r="A24576" s="2" t="s">
        <v>47957</v>
      </c>
      <c r="B24576" s="2" t="s">
        <v>47958</v>
      </c>
      <c r="C24576" s="2" t="s">
        <v>149</v>
      </c>
      <c r="D24576" s="2" t="s">
        <v>5335</v>
      </c>
      <c r="E24576" s="2" t="str">
        <f>"9781783740628"</f>
        <v>9781783740628</v>
      </c>
      <c r="F24576" s="2" t="str">
        <f>"9781783740642"</f>
        <v>9781783740642</v>
      </c>
    </row>
    <row r="24577" spans="1:6" s="3" customFormat="1" ht="29.1" customHeight="1" x14ac:dyDescent="0.25">
      <c r="A24577" s="2" t="s">
        <v>47959</v>
      </c>
      <c r="B24577" s="2" t="s">
        <v>47960</v>
      </c>
      <c r="C24577" s="2" t="s">
        <v>149</v>
      </c>
      <c r="D24577" s="2" t="s">
        <v>14256</v>
      </c>
      <c r="E24577" s="2" t="str">
        <f>"9781909254541"</f>
        <v>9781909254541</v>
      </c>
      <c r="F24577" s="2" t="str">
        <f>"9781909254565"</f>
        <v>9781909254565</v>
      </c>
    </row>
    <row r="24578" spans="1:6" s="3" customFormat="1" ht="29.1" customHeight="1" x14ac:dyDescent="0.25">
      <c r="A24578" s="2" t="s">
        <v>47961</v>
      </c>
      <c r="B24578" s="2" t="s">
        <v>47962</v>
      </c>
      <c r="C24578" s="2" t="s">
        <v>1070</v>
      </c>
      <c r="D24578" s="2" t="s">
        <v>1387</v>
      </c>
      <c r="E24578" s="2" t="str">
        <f>"9781908541895"</f>
        <v>9781908541895</v>
      </c>
      <c r="F24578" s="2" t="str">
        <f>"9781908541901"</f>
        <v>9781908541901</v>
      </c>
    </row>
    <row r="24579" spans="1:6" s="3" customFormat="1" ht="29.1" customHeight="1" x14ac:dyDescent="0.25">
      <c r="A24579" s="2" t="s">
        <v>47963</v>
      </c>
      <c r="B24579" s="2" t="s">
        <v>47964</v>
      </c>
      <c r="C24579" s="2" t="s">
        <v>556</v>
      </c>
      <c r="D24579" s="2" t="s">
        <v>791</v>
      </c>
      <c r="E24579" s="2" t="str">
        <f>"9783837632330"</f>
        <v>9783837632330</v>
      </c>
      <c r="F24579" s="2" t="str">
        <f>"9783839432334"</f>
        <v>9783839432334</v>
      </c>
    </row>
    <row r="24580" spans="1:6" s="3" customFormat="1" ht="29.1" customHeight="1" x14ac:dyDescent="0.25">
      <c r="A24580" s="2" t="s">
        <v>47965</v>
      </c>
      <c r="B24580" s="2" t="s">
        <v>47966</v>
      </c>
      <c r="C24580" s="2" t="s">
        <v>556</v>
      </c>
      <c r="D24580" s="2" t="s">
        <v>699</v>
      </c>
      <c r="E24580" s="2" t="str">
        <f>"9783837631319"</f>
        <v>9783837631319</v>
      </c>
      <c r="F24580" s="2" t="str">
        <f>"9783839431313"</f>
        <v>9783839431313</v>
      </c>
    </row>
    <row r="24581" spans="1:6" s="3" customFormat="1" ht="29.1" customHeight="1" x14ac:dyDescent="0.25">
      <c r="A24581" s="2" t="s">
        <v>47967</v>
      </c>
      <c r="B24581" s="2" t="s">
        <v>47968</v>
      </c>
      <c r="C24581" s="2" t="s">
        <v>556</v>
      </c>
      <c r="D24581" s="2" t="s">
        <v>501</v>
      </c>
      <c r="E24581" s="2" t="str">
        <f>"9783837630107"</f>
        <v>9783837630107</v>
      </c>
      <c r="F24581" s="2" t="str">
        <f>"9783839430101"</f>
        <v>9783839430101</v>
      </c>
    </row>
    <row r="24582" spans="1:6" s="3" customFormat="1" ht="29.1" customHeight="1" x14ac:dyDescent="0.25">
      <c r="A24582" s="2" t="s">
        <v>47969</v>
      </c>
      <c r="B24582" s="2" t="s">
        <v>47970</v>
      </c>
      <c r="C24582" s="2" t="s">
        <v>556</v>
      </c>
      <c r="D24582" s="2" t="s">
        <v>196</v>
      </c>
      <c r="E24582" s="2" t="str">
        <f>"9783837627824"</f>
        <v>9783837627824</v>
      </c>
      <c r="F24582" s="2" t="str">
        <f>"9783839427828"</f>
        <v>9783839427828</v>
      </c>
    </row>
    <row r="24583" spans="1:6" s="3" customFormat="1" ht="29.1" customHeight="1" x14ac:dyDescent="0.25">
      <c r="A24583" s="2" t="s">
        <v>47971</v>
      </c>
      <c r="B24583" s="2" t="s">
        <v>47972</v>
      </c>
      <c r="C24583" s="2" t="s">
        <v>124</v>
      </c>
      <c r="D24583" s="2" t="s">
        <v>2019</v>
      </c>
      <c r="E24583" s="2" t="str">
        <f>"9781138023260"</f>
        <v>9781138023260</v>
      </c>
      <c r="F24583" s="2" t="str">
        <f>"9781317444794"</f>
        <v>9781317444794</v>
      </c>
    </row>
    <row r="24584" spans="1:6" s="3" customFormat="1" ht="29.1" customHeight="1" x14ac:dyDescent="0.25">
      <c r="A24584" s="2" t="s">
        <v>47973</v>
      </c>
      <c r="B24584" s="2" t="s">
        <v>47974</v>
      </c>
      <c r="C24584" s="2" t="s">
        <v>34257</v>
      </c>
      <c r="D24584" s="2" t="s">
        <v>9174</v>
      </c>
      <c r="E24584" s="2" t="str">
        <f>"9780745335216"</f>
        <v>9780745335216</v>
      </c>
      <c r="F24584" s="2" t="str">
        <f>"9781783713233"</f>
        <v>9781783713233</v>
      </c>
    </row>
    <row r="24585" spans="1:6" s="3" customFormat="1" ht="29.1" customHeight="1" x14ac:dyDescent="0.25">
      <c r="A24585" s="2" t="s">
        <v>47975</v>
      </c>
      <c r="B24585" s="2" t="s">
        <v>47976</v>
      </c>
      <c r="C24585" s="2" t="s">
        <v>8104</v>
      </c>
      <c r="D24585" s="2" t="s">
        <v>78</v>
      </c>
      <c r="E24585" s="2" t="str">
        <f>"9781785330223"</f>
        <v>9781785330223</v>
      </c>
      <c r="F24585" s="2" t="str">
        <f>"9781785330230"</f>
        <v>9781785330230</v>
      </c>
    </row>
    <row r="24586" spans="1:6" s="3" customFormat="1" ht="29.1" customHeight="1" x14ac:dyDescent="0.25">
      <c r="A24586" s="2" t="s">
        <v>47977</v>
      </c>
      <c r="B24586" s="2" t="s">
        <v>47978</v>
      </c>
      <c r="C24586" s="2" t="s">
        <v>8104</v>
      </c>
      <c r="D24586" s="2" t="s">
        <v>202</v>
      </c>
      <c r="E24586" s="2" t="str">
        <f>"9781785330001"</f>
        <v>9781785330001</v>
      </c>
      <c r="F24586" s="2" t="str">
        <f>"9781785330018"</f>
        <v>9781785330018</v>
      </c>
    </row>
    <row r="24587" spans="1:6" s="3" customFormat="1" ht="29.1" customHeight="1" x14ac:dyDescent="0.25">
      <c r="A24587" s="2" t="s">
        <v>47979</v>
      </c>
      <c r="B24587" s="2" t="s">
        <v>47980</v>
      </c>
      <c r="C24587" s="2" t="s">
        <v>124</v>
      </c>
      <c r="D24587" s="2" t="s">
        <v>4210</v>
      </c>
      <c r="E24587" s="2" t="str">
        <f>"9781138856776"</f>
        <v>9781138856776</v>
      </c>
      <c r="F24587" s="2" t="str">
        <f>"9781317515258"</f>
        <v>9781317515258</v>
      </c>
    </row>
    <row r="24588" spans="1:6" s="3" customFormat="1" ht="29.1" customHeight="1" x14ac:dyDescent="0.25">
      <c r="A24588" s="2" t="s">
        <v>47981</v>
      </c>
      <c r="B24588" s="2" t="s">
        <v>47982</v>
      </c>
      <c r="C24588" s="2" t="s">
        <v>124</v>
      </c>
      <c r="D24588" s="2" t="s">
        <v>1253</v>
      </c>
      <c r="E24588" s="2" t="str">
        <f>"9781138804319"</f>
        <v>9781138804319</v>
      </c>
      <c r="F24588" s="2" t="str">
        <f>"9781317620013"</f>
        <v>9781317620013</v>
      </c>
    </row>
    <row r="24589" spans="1:6" s="3" customFormat="1" ht="29.1" customHeight="1" x14ac:dyDescent="0.25">
      <c r="A24589" s="2" t="s">
        <v>47983</v>
      </c>
      <c r="B24589" s="2" t="s">
        <v>47984</v>
      </c>
      <c r="C24589" s="2" t="s">
        <v>7395</v>
      </c>
      <c r="D24589" s="2" t="s">
        <v>636</v>
      </c>
      <c r="E24589" s="2" t="str">
        <f>"9780295994673"</f>
        <v>9780295994673</v>
      </c>
      <c r="F24589" s="2" t="str">
        <f>"9780295805979"</f>
        <v>9780295805979</v>
      </c>
    </row>
    <row r="24590" spans="1:6" s="3" customFormat="1" ht="29.1" customHeight="1" x14ac:dyDescent="0.25">
      <c r="A24590" s="2" t="s">
        <v>47985</v>
      </c>
      <c r="B24590" s="2" t="s">
        <v>47986</v>
      </c>
      <c r="C24590" s="2" t="s">
        <v>595</v>
      </c>
      <c r="D24590" s="2" t="s">
        <v>1999</v>
      </c>
      <c r="E24590" s="2" t="str">
        <f>"9783631627273"</f>
        <v>9783631627273</v>
      </c>
      <c r="F24590" s="2" t="str">
        <f>"9783653025903"</f>
        <v>9783653025903</v>
      </c>
    </row>
    <row r="24591" spans="1:6" s="3" customFormat="1" ht="29.1" customHeight="1" x14ac:dyDescent="0.25">
      <c r="A24591" s="2" t="s">
        <v>47987</v>
      </c>
      <c r="B24591" s="2" t="s">
        <v>47988</v>
      </c>
      <c r="C24591" s="2" t="s">
        <v>131</v>
      </c>
      <c r="D24591" s="2" t="s">
        <v>1253</v>
      </c>
      <c r="E24591" s="2" t="str">
        <f>"9789027258564"</f>
        <v>9789027258564</v>
      </c>
      <c r="F24591" s="2" t="str">
        <f>"9789027268686"</f>
        <v>9789027268686</v>
      </c>
    </row>
    <row r="24592" spans="1:6" s="3" customFormat="1" ht="29.1" customHeight="1" x14ac:dyDescent="0.25">
      <c r="A24592" s="2" t="s">
        <v>47989</v>
      </c>
      <c r="B24592" s="2" t="s">
        <v>47990</v>
      </c>
      <c r="C24592" s="2" t="s">
        <v>20</v>
      </c>
      <c r="D24592" s="2" t="s">
        <v>7079</v>
      </c>
      <c r="E24592" s="2" t="str">
        <f>"9783763943692"</f>
        <v>9783763943692</v>
      </c>
      <c r="F24592" s="2" t="str">
        <f>"9783763943708"</f>
        <v>9783763943708</v>
      </c>
    </row>
    <row r="24593" spans="1:6" s="3" customFormat="1" ht="29.1" customHeight="1" x14ac:dyDescent="0.25">
      <c r="A24593" s="2" t="s">
        <v>47991</v>
      </c>
      <c r="B24593" s="2" t="s">
        <v>47992</v>
      </c>
      <c r="C24593" s="2" t="s">
        <v>195</v>
      </c>
      <c r="D24593" s="2" t="s">
        <v>1183</v>
      </c>
      <c r="E24593" s="2" t="str">
        <f>"9783110404845"</f>
        <v>9783110404845</v>
      </c>
      <c r="F24593" s="2" t="str">
        <f>"9783110404975"</f>
        <v>9783110404975</v>
      </c>
    </row>
    <row r="24594" spans="1:6" s="3" customFormat="1" ht="29.1" customHeight="1" x14ac:dyDescent="0.25">
      <c r="A24594" s="2" t="s">
        <v>47993</v>
      </c>
      <c r="B24594" s="2" t="s">
        <v>47994</v>
      </c>
      <c r="C24594" s="2" t="s">
        <v>195</v>
      </c>
      <c r="D24594" s="2" t="s">
        <v>1183</v>
      </c>
      <c r="E24594" s="2" t="str">
        <f>"9783110404647"</f>
        <v>9783110404647</v>
      </c>
      <c r="F24594" s="2" t="str">
        <f>"9783110404692"</f>
        <v>9783110404692</v>
      </c>
    </row>
    <row r="24595" spans="1:6" s="3" customFormat="1" ht="29.1" customHeight="1" x14ac:dyDescent="0.25">
      <c r="A24595" s="2" t="s">
        <v>47995</v>
      </c>
      <c r="B24595" s="2" t="s">
        <v>47996</v>
      </c>
      <c r="C24595" s="2" t="s">
        <v>195</v>
      </c>
      <c r="D24595" s="2" t="s">
        <v>462</v>
      </c>
      <c r="E24595" s="2" t="str">
        <f>"9783110373806"</f>
        <v>9783110373806</v>
      </c>
      <c r="F24595" s="2" t="str">
        <f>"9783110399370"</f>
        <v>9783110399370</v>
      </c>
    </row>
    <row r="24596" spans="1:6" s="3" customFormat="1" ht="29.1" customHeight="1" x14ac:dyDescent="0.25">
      <c r="A24596" s="2" t="s">
        <v>47997</v>
      </c>
      <c r="B24596" s="2" t="s">
        <v>47998</v>
      </c>
      <c r="C24596" s="2" t="s">
        <v>11220</v>
      </c>
      <c r="D24596" s="2" t="s">
        <v>2336</v>
      </c>
      <c r="E24596" s="2" t="str">
        <f>"9781479868681"</f>
        <v>9781479868681</v>
      </c>
      <c r="F24596" s="2" t="str">
        <f>"9781479888436"</f>
        <v>9781479888436</v>
      </c>
    </row>
    <row r="24597" spans="1:6" s="3" customFormat="1" ht="29.1" customHeight="1" x14ac:dyDescent="0.25">
      <c r="A24597" s="2" t="s">
        <v>47999</v>
      </c>
      <c r="B24597" s="2" t="s">
        <v>48000</v>
      </c>
      <c r="C24597" s="2" t="s">
        <v>11220</v>
      </c>
      <c r="D24597" s="2" t="s">
        <v>636</v>
      </c>
      <c r="E24597" s="2" t="str">
        <f>"9781479859405"</f>
        <v>9781479859405</v>
      </c>
      <c r="F24597" s="2" t="str">
        <f>"9781479876426"</f>
        <v>9781479876426</v>
      </c>
    </row>
    <row r="24598" spans="1:6" s="3" customFormat="1" ht="29.1" customHeight="1" x14ac:dyDescent="0.25">
      <c r="A24598" s="2" t="s">
        <v>48001</v>
      </c>
      <c r="B24598" s="2" t="s">
        <v>48002</v>
      </c>
      <c r="C24598" s="2" t="s">
        <v>316</v>
      </c>
      <c r="D24598" s="2" t="s">
        <v>317</v>
      </c>
      <c r="E24598" s="2" t="str">
        <f>"9783038358688"</f>
        <v>9783038358688</v>
      </c>
      <c r="F24598" s="2" t="str">
        <f>"9783038268888"</f>
        <v>9783038268888</v>
      </c>
    </row>
    <row r="24599" spans="1:6" s="3" customFormat="1" ht="29.1" customHeight="1" x14ac:dyDescent="0.25">
      <c r="A24599" s="2" t="s">
        <v>48003</v>
      </c>
      <c r="B24599" s="2" t="s">
        <v>48002</v>
      </c>
      <c r="C24599" s="2" t="s">
        <v>316</v>
      </c>
      <c r="D24599" s="2" t="s">
        <v>317</v>
      </c>
      <c r="E24599" s="2" t="str">
        <f>"9783038358671"</f>
        <v>9783038358671</v>
      </c>
      <c r="F24599" s="2" t="str">
        <f>"9783038268871"</f>
        <v>9783038268871</v>
      </c>
    </row>
    <row r="24600" spans="1:6" s="3" customFormat="1" ht="29.1" customHeight="1" x14ac:dyDescent="0.25">
      <c r="A24600" s="2" t="s">
        <v>48004</v>
      </c>
      <c r="B24600" s="2" t="s">
        <v>48005</v>
      </c>
      <c r="C24600" s="2" t="s">
        <v>124</v>
      </c>
      <c r="D24600" s="2" t="s">
        <v>868</v>
      </c>
      <c r="E24600" s="2" t="str">
        <f>"9781138832763"</f>
        <v>9781138832763</v>
      </c>
      <c r="F24600" s="2" t="str">
        <f>"9781317565123"</f>
        <v>9781317565123</v>
      </c>
    </row>
    <row r="24601" spans="1:6" s="3" customFormat="1" ht="29.1" customHeight="1" x14ac:dyDescent="0.25">
      <c r="A24601" s="2" t="s">
        <v>48006</v>
      </c>
      <c r="B24601" s="2" t="s">
        <v>15053</v>
      </c>
      <c r="C24601" s="2" t="s">
        <v>5</v>
      </c>
      <c r="D24601" s="2" t="s">
        <v>215</v>
      </c>
      <c r="E24601" s="2" t="str">
        <f>"9781137405494"</f>
        <v>9781137405494</v>
      </c>
      <c r="F24601" s="2" t="str">
        <f>"9781137405500"</f>
        <v>9781137405500</v>
      </c>
    </row>
    <row r="24602" spans="1:6" s="3" customFormat="1" ht="29.1" customHeight="1" x14ac:dyDescent="0.25">
      <c r="A24602" s="2" t="s">
        <v>48007</v>
      </c>
      <c r="B24602" s="2" t="s">
        <v>48009</v>
      </c>
      <c r="C24602" s="2" t="s">
        <v>264</v>
      </c>
      <c r="D24602" s="2" t="s">
        <v>48008</v>
      </c>
      <c r="E24602" s="2" t="str">
        <f>"9781466580039"</f>
        <v>9781466580039</v>
      </c>
      <c r="F24602" s="2" t="str">
        <f>"9781466580114"</f>
        <v>9781466580114</v>
      </c>
    </row>
    <row r="24603" spans="1:6" s="3" customFormat="1" ht="29.1" customHeight="1" x14ac:dyDescent="0.25">
      <c r="A24603" s="2" t="s">
        <v>48010</v>
      </c>
      <c r="B24603" s="2" t="s">
        <v>48011</v>
      </c>
      <c r="C24603" s="2" t="s">
        <v>556</v>
      </c>
      <c r="D24603" s="2" t="s">
        <v>9174</v>
      </c>
      <c r="E24603" s="2" t="str">
        <f>"9783837631203"</f>
        <v>9783837631203</v>
      </c>
      <c r="F24603" s="2" t="str">
        <f>"9783839431207"</f>
        <v>9783839431207</v>
      </c>
    </row>
    <row r="24604" spans="1:6" s="3" customFormat="1" ht="29.1" customHeight="1" x14ac:dyDescent="0.25">
      <c r="A24604" s="2" t="s">
        <v>48012</v>
      </c>
      <c r="B24604" s="2" t="s">
        <v>48013</v>
      </c>
      <c r="C24604" s="2" t="s">
        <v>556</v>
      </c>
      <c r="D24604" s="2" t="s">
        <v>1046</v>
      </c>
      <c r="E24604" s="2" t="str">
        <f>"9783837631159"</f>
        <v>9783837631159</v>
      </c>
      <c r="F24604" s="2" t="str">
        <f>"9783839431153"</f>
        <v>9783839431153</v>
      </c>
    </row>
    <row r="24605" spans="1:6" s="3" customFormat="1" ht="29.1" customHeight="1" x14ac:dyDescent="0.25">
      <c r="A24605" s="2" t="s">
        <v>48014</v>
      </c>
      <c r="B24605" s="2" t="s">
        <v>48015</v>
      </c>
      <c r="C24605" s="2" t="s">
        <v>556</v>
      </c>
      <c r="D24605" s="2" t="s">
        <v>699</v>
      </c>
      <c r="E24605" s="2" t="str">
        <f>"9783837630381"</f>
        <v>9783837630381</v>
      </c>
      <c r="F24605" s="2" t="str">
        <f>"9783839430385"</f>
        <v>9783839430385</v>
      </c>
    </row>
    <row r="24606" spans="1:6" s="3" customFormat="1" ht="29.1" customHeight="1" x14ac:dyDescent="0.25">
      <c r="A24606" s="2" t="s">
        <v>48016</v>
      </c>
      <c r="B24606" s="2" t="s">
        <v>48017</v>
      </c>
      <c r="C24606" s="2" t="s">
        <v>556</v>
      </c>
      <c r="D24606" s="2" t="s">
        <v>2326</v>
      </c>
      <c r="E24606" s="2" t="str">
        <f>"9783837628036"</f>
        <v>9783837628036</v>
      </c>
      <c r="F24606" s="2" t="str">
        <f>"9783839428030"</f>
        <v>9783839428030</v>
      </c>
    </row>
    <row r="24607" spans="1:6" s="3" customFormat="1" ht="29.1" customHeight="1" x14ac:dyDescent="0.25">
      <c r="A24607" s="2" t="s">
        <v>48018</v>
      </c>
      <c r="B24607" s="2" t="s">
        <v>48019</v>
      </c>
      <c r="C24607" s="2" t="s">
        <v>556</v>
      </c>
      <c r="D24607" s="2" t="s">
        <v>4133</v>
      </c>
      <c r="E24607" s="2" t="str">
        <f>"9783837623642"</f>
        <v>9783837623642</v>
      </c>
      <c r="F24607" s="2" t="str">
        <f>"9783839423646"</f>
        <v>9783839423646</v>
      </c>
    </row>
    <row r="24608" spans="1:6" s="3" customFormat="1" ht="29.1" customHeight="1" x14ac:dyDescent="0.25">
      <c r="A24608" s="2" t="s">
        <v>48020</v>
      </c>
      <c r="B24608" s="2" t="s">
        <v>48021</v>
      </c>
      <c r="C24608" s="2" t="s">
        <v>195</v>
      </c>
      <c r="D24608" s="2" t="s">
        <v>431</v>
      </c>
      <c r="E24608" s="2" t="str">
        <f>"9783110253269"</f>
        <v>9783110253269</v>
      </c>
      <c r="F24608" s="2" t="str">
        <f>"9783110263121"</f>
        <v>9783110263121</v>
      </c>
    </row>
    <row r="24609" spans="1:6" s="3" customFormat="1" ht="29.1" customHeight="1" x14ac:dyDescent="0.25">
      <c r="A24609" s="2" t="s">
        <v>48022</v>
      </c>
      <c r="B24609" s="2" t="s">
        <v>45585</v>
      </c>
      <c r="C24609" s="2" t="s">
        <v>43061</v>
      </c>
      <c r="D24609" s="2" t="s">
        <v>998</v>
      </c>
      <c r="E24609" s="2" t="str">
        <f>"9783862192403"</f>
        <v>9783862192403</v>
      </c>
      <c r="F24609" s="2" t="str">
        <f>"9783862192410"</f>
        <v>9783862192410</v>
      </c>
    </row>
    <row r="24610" spans="1:6" s="3" customFormat="1" ht="29.1" customHeight="1" x14ac:dyDescent="0.25">
      <c r="A24610" s="2" t="s">
        <v>48023</v>
      </c>
      <c r="B24610" s="2" t="s">
        <v>48024</v>
      </c>
      <c r="C24610" s="2" t="s">
        <v>43061</v>
      </c>
      <c r="D24610" s="2" t="s">
        <v>650</v>
      </c>
      <c r="E24610" s="2" t="str">
        <f>"9783862199488"</f>
        <v>9783862199488</v>
      </c>
      <c r="F24610" s="2" t="str">
        <f>"9783862199495"</f>
        <v>9783862199495</v>
      </c>
    </row>
    <row r="24611" spans="1:6" s="3" customFormat="1" ht="29.1" customHeight="1" x14ac:dyDescent="0.25">
      <c r="A24611" s="2" t="s">
        <v>48025</v>
      </c>
      <c r="B24611" s="2" t="s">
        <v>48026</v>
      </c>
      <c r="C24611" s="2" t="s">
        <v>43061</v>
      </c>
      <c r="D24611" s="2" t="s">
        <v>12730</v>
      </c>
      <c r="E24611" s="2" t="str">
        <f>"9783862199525"</f>
        <v>9783862199525</v>
      </c>
      <c r="F24611" s="2" t="str">
        <f>"9783862199532"</f>
        <v>9783862199532</v>
      </c>
    </row>
    <row r="24612" spans="1:6" s="3" customFormat="1" ht="29.1" customHeight="1" x14ac:dyDescent="0.25">
      <c r="A24612" s="2" t="s">
        <v>48027</v>
      </c>
      <c r="B24612" s="2" t="s">
        <v>48028</v>
      </c>
      <c r="C24612" s="2" t="s">
        <v>43061</v>
      </c>
      <c r="D24612" s="2" t="s">
        <v>44</v>
      </c>
      <c r="E24612" s="2" t="str">
        <f>"9783862199341"</f>
        <v>9783862199341</v>
      </c>
      <c r="F24612" s="2" t="str">
        <f>"9783862199358"</f>
        <v>9783862199358</v>
      </c>
    </row>
    <row r="24613" spans="1:6" s="3" customFormat="1" ht="29.1" customHeight="1" x14ac:dyDescent="0.25">
      <c r="A24613" s="2" t="s">
        <v>48029</v>
      </c>
      <c r="B24613" s="2" t="s">
        <v>48030</v>
      </c>
      <c r="C24613" s="2" t="s">
        <v>43061</v>
      </c>
      <c r="D24613" s="2" t="s">
        <v>547</v>
      </c>
      <c r="E24613" s="2" t="str">
        <f>"9783862199464"</f>
        <v>9783862199464</v>
      </c>
      <c r="F24613" s="2" t="str">
        <f>"9783862199471"</f>
        <v>9783862199471</v>
      </c>
    </row>
    <row r="24614" spans="1:6" s="3" customFormat="1" ht="29.1" customHeight="1" x14ac:dyDescent="0.25">
      <c r="A24614" s="2" t="s">
        <v>48031</v>
      </c>
      <c r="B24614" s="2" t="s">
        <v>19972</v>
      </c>
      <c r="C24614" s="2" t="s">
        <v>5</v>
      </c>
      <c r="D24614" s="2" t="s">
        <v>321</v>
      </c>
      <c r="E24614" s="2" t="str">
        <f>"9783662458532"</f>
        <v>9783662458532</v>
      </c>
      <c r="F24614" s="2" t="str">
        <f>"9783662458549"</f>
        <v>9783662458549</v>
      </c>
    </row>
    <row r="24615" spans="1:6" s="3" customFormat="1" ht="29.1" customHeight="1" x14ac:dyDescent="0.25">
      <c r="A24615" s="2" t="s">
        <v>45981</v>
      </c>
      <c r="B24615" s="2" t="s">
        <v>45980</v>
      </c>
      <c r="C24615" s="2" t="s">
        <v>595</v>
      </c>
      <c r="D24615" s="2" t="s">
        <v>446</v>
      </c>
      <c r="E24615" s="2" t="str">
        <f>"9783034316675"</f>
        <v>9783034316675</v>
      </c>
      <c r="F24615" s="2" t="str">
        <f>"9783035108316"</f>
        <v>9783035108316</v>
      </c>
    </row>
    <row r="24616" spans="1:6" s="3" customFormat="1" ht="29.1" customHeight="1" x14ac:dyDescent="0.25">
      <c r="A24616" s="2" t="s">
        <v>48032</v>
      </c>
      <c r="B24616" s="2" t="s">
        <v>48033</v>
      </c>
      <c r="C24616" s="2" t="s">
        <v>595</v>
      </c>
      <c r="D24616" s="2" t="s">
        <v>509</v>
      </c>
      <c r="E24616" s="2" t="str">
        <f>"9783631641347"</f>
        <v>9783631641347</v>
      </c>
      <c r="F24616" s="2" t="str">
        <f>"9783653030907"</f>
        <v>9783653030907</v>
      </c>
    </row>
    <row r="24617" spans="1:6" s="3" customFormat="1" ht="29.1" customHeight="1" x14ac:dyDescent="0.25">
      <c r="A24617" s="2" t="s">
        <v>48034</v>
      </c>
      <c r="B24617" s="2" t="s">
        <v>48035</v>
      </c>
      <c r="C24617" s="2" t="s">
        <v>595</v>
      </c>
      <c r="D24617" s="2" t="s">
        <v>2810</v>
      </c>
      <c r="E24617" s="2" t="str">
        <f>"9783631637876"</f>
        <v>9783631637876</v>
      </c>
      <c r="F24617" s="2" t="str">
        <f>"9783653057355"</f>
        <v>9783653057355</v>
      </c>
    </row>
    <row r="24618" spans="1:6" s="3" customFormat="1" ht="29.1" customHeight="1" x14ac:dyDescent="0.25">
      <c r="A24618" s="2" t="s">
        <v>48036</v>
      </c>
      <c r="B24618" s="2" t="s">
        <v>48037</v>
      </c>
      <c r="C24618" s="2" t="s">
        <v>195</v>
      </c>
      <c r="D24618" s="2" t="s">
        <v>3963</v>
      </c>
      <c r="E24618" s="2" t="str">
        <f>"9783110419894"</f>
        <v>9783110419894</v>
      </c>
      <c r="F24618" s="2" t="str">
        <f>"9783110419122"</f>
        <v>9783110419122</v>
      </c>
    </row>
    <row r="24619" spans="1:6" s="3" customFormat="1" ht="29.1" customHeight="1" x14ac:dyDescent="0.25">
      <c r="A24619" s="2" t="s">
        <v>48038</v>
      </c>
      <c r="B24619" s="2" t="s">
        <v>48039</v>
      </c>
      <c r="C24619" s="2" t="s">
        <v>43061</v>
      </c>
      <c r="D24619" s="2" t="s">
        <v>1854</v>
      </c>
      <c r="E24619" s="2" t="str">
        <f>"9783862199549"</f>
        <v>9783862199549</v>
      </c>
      <c r="F24619" s="2" t="str">
        <f>"9783862199556"</f>
        <v>9783862199556</v>
      </c>
    </row>
    <row r="24620" spans="1:6" s="3" customFormat="1" ht="29.1" customHeight="1" x14ac:dyDescent="0.25">
      <c r="A24620" s="2" t="s">
        <v>48040</v>
      </c>
      <c r="B24620" s="2" t="s">
        <v>48041</v>
      </c>
      <c r="C24620" s="2" t="s">
        <v>43061</v>
      </c>
      <c r="D24620" s="2" t="s">
        <v>3185</v>
      </c>
      <c r="E24620" s="2" t="str">
        <f>"9783862198627"</f>
        <v>9783862198627</v>
      </c>
      <c r="F24620" s="2" t="str">
        <f>"9783862198634"</f>
        <v>9783862198634</v>
      </c>
    </row>
    <row r="24621" spans="1:6" s="3" customFormat="1" ht="29.1" customHeight="1" x14ac:dyDescent="0.25">
      <c r="A24621" s="2" t="s">
        <v>48042</v>
      </c>
      <c r="B24621" s="2" t="s">
        <v>48043</v>
      </c>
      <c r="C24621" s="2" t="s">
        <v>43061</v>
      </c>
      <c r="D24621" s="2" t="s">
        <v>11399</v>
      </c>
      <c r="E24621" s="2" t="str">
        <f>"9783862199082"</f>
        <v>9783862199082</v>
      </c>
      <c r="F24621" s="2" t="str">
        <f>"9783862199099"</f>
        <v>9783862199099</v>
      </c>
    </row>
    <row r="24622" spans="1:6" s="3" customFormat="1" ht="29.1" customHeight="1" x14ac:dyDescent="0.25">
      <c r="A24622" s="2" t="s">
        <v>48044</v>
      </c>
      <c r="B24622" s="2" t="s">
        <v>48045</v>
      </c>
      <c r="C24622" s="2" t="s">
        <v>124</v>
      </c>
      <c r="D24622" s="2" t="s">
        <v>297</v>
      </c>
      <c r="E24622" s="2" t="str">
        <f>"9789089648419"</f>
        <v>9789089648419</v>
      </c>
      <c r="F24622" s="2" t="str">
        <f>"9781040774588"</f>
        <v>9781040774588</v>
      </c>
    </row>
    <row r="24623" spans="1:6" s="3" customFormat="1" ht="29.1" customHeight="1" x14ac:dyDescent="0.25">
      <c r="A24623" s="2" t="s">
        <v>48046</v>
      </c>
      <c r="B24623" s="2" t="s">
        <v>48047</v>
      </c>
      <c r="C24623" s="2" t="s">
        <v>124</v>
      </c>
      <c r="D24623" s="2" t="s">
        <v>297</v>
      </c>
      <c r="E24623" s="2" t="str">
        <f>"9789089647160"</f>
        <v>9789089647160</v>
      </c>
      <c r="F24623" s="2" t="str">
        <f>"9781040777411"</f>
        <v>9781040777411</v>
      </c>
    </row>
    <row r="24624" spans="1:6" s="3" customFormat="1" ht="29.1" customHeight="1" x14ac:dyDescent="0.25">
      <c r="A24624" s="2" t="s">
        <v>48048</v>
      </c>
      <c r="B24624" s="2" t="s">
        <v>48049</v>
      </c>
      <c r="C24624" s="2" t="s">
        <v>124</v>
      </c>
      <c r="D24624" s="2" t="s">
        <v>1449</v>
      </c>
      <c r="E24624" s="2" t="str">
        <f>"9781041178682"</f>
        <v>9781041178682</v>
      </c>
      <c r="F24624" s="2" t="str">
        <f>"9781040795590"</f>
        <v>9781040795590</v>
      </c>
    </row>
    <row r="24625" spans="1:6" s="3" customFormat="1" ht="29.1" customHeight="1" x14ac:dyDescent="0.25">
      <c r="A24625" s="2" t="s">
        <v>48050</v>
      </c>
      <c r="B24625" s="2" t="s">
        <v>47548</v>
      </c>
      <c r="C24625" s="2" t="s">
        <v>195</v>
      </c>
      <c r="D24625" s="2" t="s">
        <v>4155</v>
      </c>
      <c r="E24625" s="2" t="str">
        <f>"9783110411652"</f>
        <v>9783110411652</v>
      </c>
      <c r="F24625" s="2" t="str">
        <f>"9783110412895"</f>
        <v>9783110412895</v>
      </c>
    </row>
    <row r="24626" spans="1:6" s="3" customFormat="1" ht="29.1" customHeight="1" x14ac:dyDescent="0.25">
      <c r="A24626" s="2" t="s">
        <v>48051</v>
      </c>
      <c r="B24626" s="2" t="s">
        <v>48052</v>
      </c>
      <c r="C24626" s="2" t="s">
        <v>195</v>
      </c>
      <c r="D24626" s="2" t="s">
        <v>7460</v>
      </c>
      <c r="E24626" s="2" t="str">
        <f>"9783110349634"</f>
        <v>9783110349634</v>
      </c>
      <c r="F24626" s="2" t="str">
        <f>"9783110349702"</f>
        <v>9783110349702</v>
      </c>
    </row>
    <row r="24627" spans="1:6" s="3" customFormat="1" ht="29.1" customHeight="1" x14ac:dyDescent="0.25">
      <c r="A24627" s="2" t="s">
        <v>48053</v>
      </c>
      <c r="B24627" s="2" t="s">
        <v>48054</v>
      </c>
      <c r="C24627" s="2" t="s">
        <v>195</v>
      </c>
      <c r="D24627" s="2" t="s">
        <v>4185</v>
      </c>
      <c r="E24627" s="2" t="str">
        <f>"9783110373462"</f>
        <v>9783110373462</v>
      </c>
      <c r="F24627" s="2" t="str">
        <f>"9783110367430"</f>
        <v>9783110367430</v>
      </c>
    </row>
    <row r="24628" spans="1:6" s="3" customFormat="1" ht="29.1" customHeight="1" x14ac:dyDescent="0.25">
      <c r="A24628" s="2" t="s">
        <v>48055</v>
      </c>
      <c r="B24628" s="2" t="s">
        <v>48056</v>
      </c>
      <c r="C24628" s="2" t="s">
        <v>195</v>
      </c>
      <c r="D24628" s="2" t="s">
        <v>459</v>
      </c>
      <c r="E24628" s="2" t="str">
        <f>"9781501510526"</f>
        <v>9781501510526</v>
      </c>
      <c r="F24628" s="2" t="str">
        <f>"9781501501586"</f>
        <v>9781501501586</v>
      </c>
    </row>
    <row r="24629" spans="1:6" s="3" customFormat="1" ht="29.1" customHeight="1" x14ac:dyDescent="0.25">
      <c r="A24629" s="2" t="s">
        <v>48057</v>
      </c>
      <c r="B24629" s="2" t="s">
        <v>48058</v>
      </c>
      <c r="C24629" s="2" t="s">
        <v>195</v>
      </c>
      <c r="D24629" s="2" t="s">
        <v>459</v>
      </c>
      <c r="E24629" s="2" t="str">
        <f>"9781614511960"</f>
        <v>9781614511960</v>
      </c>
      <c r="F24629" s="2" t="str">
        <f>"9781501501081"</f>
        <v>9781501501081</v>
      </c>
    </row>
    <row r="24630" spans="1:6" s="3" customFormat="1" ht="29.1" customHeight="1" x14ac:dyDescent="0.25">
      <c r="A24630" s="2" t="s">
        <v>48059</v>
      </c>
      <c r="B24630" s="2" t="s">
        <v>48060</v>
      </c>
      <c r="C24630" s="2" t="s">
        <v>195</v>
      </c>
      <c r="D24630" s="2" t="s">
        <v>465</v>
      </c>
      <c r="E24630" s="2" t="str">
        <f>"9783110425567"</f>
        <v>9783110425567</v>
      </c>
      <c r="F24630" s="2" t="str">
        <f>"9783110420722"</f>
        <v>9783110420722</v>
      </c>
    </row>
    <row r="24631" spans="1:6" s="3" customFormat="1" ht="29.1" customHeight="1" x14ac:dyDescent="0.25">
      <c r="A24631" s="2" t="s">
        <v>48061</v>
      </c>
      <c r="B24631" s="2" t="s">
        <v>48062</v>
      </c>
      <c r="C24631" s="2" t="s">
        <v>29</v>
      </c>
      <c r="D24631" s="2" t="s">
        <v>4064</v>
      </c>
      <c r="E24631" s="2" t="str">
        <f>"9789004289741"</f>
        <v>9789004289741</v>
      </c>
      <c r="F24631" s="2" t="str">
        <f>"9789004289758"</f>
        <v>9789004289758</v>
      </c>
    </row>
    <row r="24632" spans="1:6" s="3" customFormat="1" ht="29.1" customHeight="1" x14ac:dyDescent="0.25">
      <c r="A24632" s="2" t="s">
        <v>48063</v>
      </c>
      <c r="B24632" s="2" t="s">
        <v>48064</v>
      </c>
      <c r="C24632" s="2" t="s">
        <v>26676</v>
      </c>
      <c r="D24632" s="2" t="s">
        <v>2602</v>
      </c>
      <c r="E24632" s="2" t="str">
        <f>"9781618114303"</f>
        <v>9781618114303</v>
      </c>
      <c r="F24632" s="2" t="str">
        <f>"9781618114310"</f>
        <v>9781618114310</v>
      </c>
    </row>
    <row r="24633" spans="1:6" s="3" customFormat="1" ht="29.1" customHeight="1" x14ac:dyDescent="0.25">
      <c r="A24633" s="2" t="s">
        <v>48065</v>
      </c>
      <c r="B24633" s="2" t="s">
        <v>48066</v>
      </c>
      <c r="C24633" s="2" t="s">
        <v>11220</v>
      </c>
      <c r="D24633" s="2" t="s">
        <v>159</v>
      </c>
      <c r="E24633" s="2" t="str">
        <f>"9781479815586"</f>
        <v>9781479815586</v>
      </c>
      <c r="F24633" s="2" t="str">
        <f>"9781479833597"</f>
        <v>9781479833597</v>
      </c>
    </row>
    <row r="24634" spans="1:6" s="3" customFormat="1" ht="29.1" customHeight="1" x14ac:dyDescent="0.25">
      <c r="A24634" s="2" t="s">
        <v>48067</v>
      </c>
      <c r="B24634" s="2" t="s">
        <v>48068</v>
      </c>
      <c r="C24634" s="2" t="s">
        <v>43061</v>
      </c>
      <c r="D24634" s="2" t="s">
        <v>650</v>
      </c>
      <c r="E24634" s="2" t="str">
        <f>"9783862199303"</f>
        <v>9783862199303</v>
      </c>
      <c r="F24634" s="2" t="str">
        <f>"9783862199310"</f>
        <v>9783862199310</v>
      </c>
    </row>
    <row r="24635" spans="1:6" s="3" customFormat="1" ht="29.1" customHeight="1" x14ac:dyDescent="0.25">
      <c r="A24635" s="2" t="s">
        <v>48069</v>
      </c>
      <c r="B24635" s="2" t="s">
        <v>48070</v>
      </c>
      <c r="C24635" s="2" t="s">
        <v>43061</v>
      </c>
      <c r="D24635" s="2" t="s">
        <v>650</v>
      </c>
      <c r="E24635" s="2" t="str">
        <f>"9783862199242"</f>
        <v>9783862199242</v>
      </c>
      <c r="F24635" s="2" t="str">
        <f>"9783862199259"</f>
        <v>9783862199259</v>
      </c>
    </row>
    <row r="24636" spans="1:6" s="3" customFormat="1" ht="29.1" customHeight="1" x14ac:dyDescent="0.25">
      <c r="A24636" s="2" t="s">
        <v>48071</v>
      </c>
      <c r="B24636" s="2" t="s">
        <v>48072</v>
      </c>
      <c r="C24636" s="2" t="s">
        <v>43061</v>
      </c>
      <c r="D24636" s="2" t="s">
        <v>21</v>
      </c>
      <c r="E24636" s="2" t="str">
        <f>"9783862199129"</f>
        <v>9783862199129</v>
      </c>
      <c r="F24636" s="2" t="str">
        <f>"9783862199136"</f>
        <v>9783862199136</v>
      </c>
    </row>
    <row r="24637" spans="1:6" s="3" customFormat="1" ht="29.1" customHeight="1" x14ac:dyDescent="0.25">
      <c r="A24637" s="2" t="s">
        <v>48073</v>
      </c>
      <c r="B24637" s="2" t="s">
        <v>48074</v>
      </c>
      <c r="C24637" s="2" t="s">
        <v>195</v>
      </c>
      <c r="D24637" s="2" t="s">
        <v>459</v>
      </c>
      <c r="E24637" s="2" t="str">
        <f>"9783110358810"</f>
        <v>9783110358810</v>
      </c>
      <c r="F24637" s="2" t="str">
        <f>"9783110401592"</f>
        <v>9783110401592</v>
      </c>
    </row>
    <row r="24638" spans="1:6" s="3" customFormat="1" ht="29.1" customHeight="1" x14ac:dyDescent="0.25">
      <c r="A24638" s="2" t="s">
        <v>48075</v>
      </c>
      <c r="B24638" s="2" t="s">
        <v>48076</v>
      </c>
      <c r="C24638" s="2" t="s">
        <v>195</v>
      </c>
      <c r="D24638" s="2" t="s">
        <v>132</v>
      </c>
      <c r="E24638" s="2" t="str">
        <f>"9783110416749"</f>
        <v>9783110416749</v>
      </c>
      <c r="F24638" s="2" t="str">
        <f>"9783110416756"</f>
        <v>9783110416756</v>
      </c>
    </row>
    <row r="24639" spans="1:6" s="3" customFormat="1" ht="29.1" customHeight="1" x14ac:dyDescent="0.25">
      <c r="A24639" s="2" t="s">
        <v>48077</v>
      </c>
      <c r="B24639" s="2" t="s">
        <v>46551</v>
      </c>
      <c r="C24639" s="2" t="s">
        <v>195</v>
      </c>
      <c r="D24639" s="2" t="s">
        <v>916</v>
      </c>
      <c r="E24639" s="2" t="str">
        <f>"9783110412383"</f>
        <v>9783110412383</v>
      </c>
      <c r="F24639" s="2" t="str">
        <f>"9783110415513"</f>
        <v>9783110415513</v>
      </c>
    </row>
    <row r="24640" spans="1:6" s="3" customFormat="1" ht="29.1" customHeight="1" x14ac:dyDescent="0.25">
      <c r="A24640" s="2" t="s">
        <v>48078</v>
      </c>
      <c r="B24640" s="2" t="s">
        <v>48079</v>
      </c>
      <c r="C24640" s="2" t="s">
        <v>195</v>
      </c>
      <c r="D24640" s="2" t="s">
        <v>210</v>
      </c>
      <c r="E24640" s="2" t="str">
        <f>"9783486705041"</f>
        <v>9783486705041</v>
      </c>
      <c r="F24640" s="2" t="str">
        <f>"9783110345476"</f>
        <v>9783110345476</v>
      </c>
    </row>
    <row r="24641" spans="1:6" s="3" customFormat="1" ht="29.1" customHeight="1" x14ac:dyDescent="0.25">
      <c r="A24641" s="2" t="s">
        <v>48080</v>
      </c>
      <c r="B24641" s="2" t="s">
        <v>48081</v>
      </c>
      <c r="C24641" s="2" t="s">
        <v>195</v>
      </c>
      <c r="D24641" s="2" t="s">
        <v>3166</v>
      </c>
      <c r="E24641" s="2" t="str">
        <f>"9783110400427"</f>
        <v>9783110400427</v>
      </c>
      <c r="F24641" s="2" t="str">
        <f>"9783110400816"</f>
        <v>9783110400816</v>
      </c>
    </row>
    <row r="24642" spans="1:6" s="3" customFormat="1" ht="29.1" customHeight="1" x14ac:dyDescent="0.25">
      <c r="A24642" s="2" t="s">
        <v>48082</v>
      </c>
      <c r="B24642" s="2" t="s">
        <v>48083</v>
      </c>
      <c r="C24642" s="2" t="s">
        <v>195</v>
      </c>
      <c r="D24642" s="2" t="s">
        <v>3130</v>
      </c>
      <c r="E24642" s="2" t="str">
        <f>"9783110400434"</f>
        <v>9783110400434</v>
      </c>
      <c r="F24642" s="2" t="str">
        <f>"9783110404951"</f>
        <v>9783110404951</v>
      </c>
    </row>
    <row r="24643" spans="1:6" s="3" customFormat="1" ht="29.1" customHeight="1" x14ac:dyDescent="0.25">
      <c r="A24643" s="2" t="s">
        <v>48084</v>
      </c>
      <c r="B24643" s="2" t="s">
        <v>48085</v>
      </c>
      <c r="C24643" s="2" t="s">
        <v>195</v>
      </c>
      <c r="D24643" s="2" t="s">
        <v>3328</v>
      </c>
      <c r="E24643" s="2" t="str">
        <f>"9783110374988"</f>
        <v>9783110374988</v>
      </c>
      <c r="F24643" s="2" t="str">
        <f>"9783110369120"</f>
        <v>9783110369120</v>
      </c>
    </row>
    <row r="24644" spans="1:6" s="3" customFormat="1" ht="29.1" customHeight="1" x14ac:dyDescent="0.25">
      <c r="A24644" s="2" t="s">
        <v>48086</v>
      </c>
      <c r="B24644" s="2" t="s">
        <v>48087</v>
      </c>
      <c r="C24644" s="2" t="s">
        <v>124</v>
      </c>
      <c r="D24644" s="2" t="s">
        <v>33</v>
      </c>
      <c r="E24644" s="2" t="str">
        <f>"9781138850064"</f>
        <v>9781138850064</v>
      </c>
      <c r="F24644" s="2" t="str">
        <f>"9781317532583"</f>
        <v>9781317532583</v>
      </c>
    </row>
    <row r="24645" spans="1:6" s="3" customFormat="1" ht="29.1" customHeight="1" x14ac:dyDescent="0.25">
      <c r="A24645" s="2" t="s">
        <v>48088</v>
      </c>
      <c r="B24645" s="2" t="s">
        <v>48089</v>
      </c>
      <c r="C24645" s="2" t="s">
        <v>124</v>
      </c>
      <c r="D24645" s="2" t="s">
        <v>210</v>
      </c>
      <c r="E24645" s="2" t="str">
        <f>"9781848934733"</f>
        <v>9781848934733</v>
      </c>
      <c r="F24645" s="2" t="str">
        <f>"9781317318040"</f>
        <v>9781317318040</v>
      </c>
    </row>
    <row r="24646" spans="1:6" s="3" customFormat="1" ht="29.1" customHeight="1" x14ac:dyDescent="0.25">
      <c r="A24646" s="2" t="s">
        <v>48090</v>
      </c>
      <c r="B24646" s="2" t="s">
        <v>48091</v>
      </c>
      <c r="C24646" s="2" t="s">
        <v>20</v>
      </c>
      <c r="D24646" s="2" t="s">
        <v>17658</v>
      </c>
      <c r="E24646" s="2" t="str">
        <f>"9783763940936"</f>
        <v>9783763940936</v>
      </c>
      <c r="F24646" s="2" t="str">
        <f>"9783763940943"</f>
        <v>9783763940943</v>
      </c>
    </row>
    <row r="24647" spans="1:6" s="3" customFormat="1" ht="29.1" customHeight="1" x14ac:dyDescent="0.25">
      <c r="A24647" s="2" t="s">
        <v>48092</v>
      </c>
      <c r="B24647" s="2" t="s">
        <v>48093</v>
      </c>
      <c r="C24647" s="2" t="s">
        <v>2129</v>
      </c>
      <c r="D24647" s="2" t="s">
        <v>501</v>
      </c>
      <c r="E24647" s="2" t="str">
        <f>"9781438455914"</f>
        <v>9781438455914</v>
      </c>
      <c r="F24647" s="2" t="str">
        <f>"9781438455938"</f>
        <v>9781438455938</v>
      </c>
    </row>
    <row r="24648" spans="1:6" s="3" customFormat="1" ht="29.1" customHeight="1" x14ac:dyDescent="0.25">
      <c r="A24648" s="2" t="s">
        <v>48094</v>
      </c>
      <c r="B24648" s="2" t="s">
        <v>48095</v>
      </c>
      <c r="C24648" s="2" t="s">
        <v>927</v>
      </c>
      <c r="D24648" s="2" t="s">
        <v>33</v>
      </c>
      <c r="E24648" s="2" t="str">
        <f>"9780472052387"</f>
        <v>9780472052387</v>
      </c>
      <c r="F24648" s="2" t="str">
        <f>"9780472120680"</f>
        <v>9780472120680</v>
      </c>
    </row>
    <row r="24649" spans="1:6" s="3" customFormat="1" ht="29.1" customHeight="1" x14ac:dyDescent="0.25">
      <c r="A24649" s="2" t="s">
        <v>48096</v>
      </c>
      <c r="B24649" s="2" t="s">
        <v>48097</v>
      </c>
      <c r="C24649" s="2" t="s">
        <v>927</v>
      </c>
      <c r="D24649" s="2" t="s">
        <v>297</v>
      </c>
      <c r="E24649" s="2" t="str">
        <f>"9780472052431"</f>
        <v>9780472052431</v>
      </c>
      <c r="F24649" s="2" t="str">
        <f>"9780472120796"</f>
        <v>9780472120796</v>
      </c>
    </row>
    <row r="24650" spans="1:6" s="3" customFormat="1" ht="29.1" customHeight="1" x14ac:dyDescent="0.25">
      <c r="A24650" s="2" t="s">
        <v>48098</v>
      </c>
      <c r="B24650" s="2" t="s">
        <v>48099</v>
      </c>
      <c r="C24650" s="2" t="s">
        <v>927</v>
      </c>
      <c r="D24650" s="2" t="s">
        <v>270</v>
      </c>
      <c r="E24650" s="2" t="str">
        <f>"9780472052448"</f>
        <v>9780472052448</v>
      </c>
      <c r="F24650" s="2" t="str">
        <f>"9780472120789"</f>
        <v>9780472120789</v>
      </c>
    </row>
    <row r="24651" spans="1:6" s="3" customFormat="1" ht="29.1" customHeight="1" x14ac:dyDescent="0.25">
      <c r="A24651" s="2" t="s">
        <v>48100</v>
      </c>
      <c r="B24651" s="2" t="s">
        <v>48101</v>
      </c>
      <c r="C24651" s="2" t="s">
        <v>15381</v>
      </c>
      <c r="D24651" s="2" t="s">
        <v>47056</v>
      </c>
      <c r="E24651" s="2" t="str">
        <f>"9781469624976"</f>
        <v>9781469624976</v>
      </c>
      <c r="F24651" s="2" t="str">
        <f>"9781469624983"</f>
        <v>9781469624983</v>
      </c>
    </row>
    <row r="24652" spans="1:6" s="3" customFormat="1" ht="29.1" customHeight="1" x14ac:dyDescent="0.25">
      <c r="A24652" s="2" t="s">
        <v>48102</v>
      </c>
      <c r="B24652" s="2" t="s">
        <v>48103</v>
      </c>
      <c r="C24652" s="2" t="s">
        <v>8104</v>
      </c>
      <c r="D24652" s="2" t="s">
        <v>3214</v>
      </c>
      <c r="E24652" s="2" t="str">
        <f>"9781785330179"</f>
        <v>9781785330179</v>
      </c>
      <c r="F24652" s="2" t="str">
        <f>"9780857456472"</f>
        <v>9780857456472</v>
      </c>
    </row>
    <row r="24653" spans="1:6" s="3" customFormat="1" ht="29.1" customHeight="1" x14ac:dyDescent="0.25">
      <c r="A24653" s="2" t="s">
        <v>48104</v>
      </c>
      <c r="B24653" s="2" t="s">
        <v>48105</v>
      </c>
      <c r="C24653" s="2" t="s">
        <v>595</v>
      </c>
      <c r="D24653" s="2" t="s">
        <v>916</v>
      </c>
      <c r="E24653" s="2" t="str">
        <f>"9783631629215"</f>
        <v>9783631629215</v>
      </c>
      <c r="F24653" s="2" t="str">
        <f>"9783653054606"</f>
        <v>9783653054606</v>
      </c>
    </row>
    <row r="24654" spans="1:6" s="3" customFormat="1" ht="29.1" customHeight="1" x14ac:dyDescent="0.25">
      <c r="A24654" s="2" t="s">
        <v>48106</v>
      </c>
      <c r="B24654" s="2" t="s">
        <v>48107</v>
      </c>
      <c r="C24654" s="2" t="s">
        <v>43061</v>
      </c>
      <c r="D24654" s="2" t="s">
        <v>2147</v>
      </c>
      <c r="E24654" s="2" t="str">
        <f>"9783862198962"</f>
        <v>9783862198962</v>
      </c>
      <c r="F24654" s="2" t="str">
        <f>"9783862198979"</f>
        <v>9783862198979</v>
      </c>
    </row>
    <row r="24655" spans="1:6" s="3" customFormat="1" ht="29.1" customHeight="1" x14ac:dyDescent="0.25">
      <c r="A24655" s="2" t="s">
        <v>48108</v>
      </c>
      <c r="B24655" s="2" t="s">
        <v>48109</v>
      </c>
      <c r="C24655" s="2" t="s">
        <v>43061</v>
      </c>
      <c r="D24655" s="2" t="s">
        <v>2147</v>
      </c>
      <c r="E24655" s="2" t="str">
        <f>"9783862198849"</f>
        <v>9783862198849</v>
      </c>
      <c r="F24655" s="2" t="str">
        <f>"9783862198856"</f>
        <v>9783862198856</v>
      </c>
    </row>
    <row r="24656" spans="1:6" s="3" customFormat="1" ht="29.1" customHeight="1" x14ac:dyDescent="0.25">
      <c r="A24656" s="2" t="s">
        <v>48110</v>
      </c>
      <c r="B24656" s="2" t="s">
        <v>48111</v>
      </c>
      <c r="C24656" s="2" t="s">
        <v>43061</v>
      </c>
      <c r="D24656" s="2" t="s">
        <v>650</v>
      </c>
      <c r="E24656" s="2" t="str">
        <f>"9783862198221"</f>
        <v>9783862198221</v>
      </c>
      <c r="F24656" s="2" t="str">
        <f>"9783862198238"</f>
        <v>9783862198238</v>
      </c>
    </row>
    <row r="24657" spans="1:6" s="3" customFormat="1" ht="29.1" customHeight="1" x14ac:dyDescent="0.25">
      <c r="A24657" s="2" t="s">
        <v>48112</v>
      </c>
      <c r="B24657" s="2" t="s">
        <v>48113</v>
      </c>
      <c r="C24657" s="2" t="s">
        <v>43061</v>
      </c>
      <c r="D24657" s="2" t="s">
        <v>9899</v>
      </c>
      <c r="E24657" s="2" t="str">
        <f>"9783862199228"</f>
        <v>9783862199228</v>
      </c>
      <c r="F24657" s="2" t="str">
        <f>"9783862199235"</f>
        <v>9783862199235</v>
      </c>
    </row>
    <row r="24658" spans="1:6" s="3" customFormat="1" ht="29.1" customHeight="1" x14ac:dyDescent="0.25">
      <c r="A24658" s="2" t="s">
        <v>48114</v>
      </c>
      <c r="B24658" s="2" t="s">
        <v>48115</v>
      </c>
      <c r="C24658" s="2" t="s">
        <v>43061</v>
      </c>
      <c r="D24658" s="2" t="s">
        <v>30</v>
      </c>
      <c r="E24658" s="2" t="str">
        <f>"9783862198160"</f>
        <v>9783862198160</v>
      </c>
      <c r="F24658" s="2" t="str">
        <f>"9783862198177"</f>
        <v>9783862198177</v>
      </c>
    </row>
    <row r="24659" spans="1:6" s="3" customFormat="1" ht="29.1" customHeight="1" x14ac:dyDescent="0.25">
      <c r="A24659" s="2" t="s">
        <v>48116</v>
      </c>
      <c r="B24659" s="2" t="s">
        <v>48117</v>
      </c>
      <c r="C24659" s="2" t="s">
        <v>43061</v>
      </c>
      <c r="D24659" s="2" t="s">
        <v>183</v>
      </c>
      <c r="E24659" s="2" t="str">
        <f>"9783862198009"</f>
        <v>9783862198009</v>
      </c>
      <c r="F24659" s="2" t="str">
        <f>"9783862198016"</f>
        <v>9783862198016</v>
      </c>
    </row>
    <row r="24660" spans="1:6" s="3" customFormat="1" ht="29.1" customHeight="1" x14ac:dyDescent="0.25">
      <c r="A24660" s="2" t="s">
        <v>48118</v>
      </c>
      <c r="B24660" s="2" t="s">
        <v>48119</v>
      </c>
      <c r="C24660" s="2" t="s">
        <v>11220</v>
      </c>
      <c r="D24660" s="2" t="s">
        <v>1669</v>
      </c>
      <c r="E24660" s="2" t="str">
        <f>"9781479864072"</f>
        <v>9781479864072</v>
      </c>
      <c r="F24660" s="2" t="str">
        <f>"9781479820221"</f>
        <v>9781479820221</v>
      </c>
    </row>
    <row r="24661" spans="1:6" s="3" customFormat="1" ht="29.1" customHeight="1" x14ac:dyDescent="0.25">
      <c r="A24661" s="2" t="s">
        <v>48120</v>
      </c>
      <c r="B24661" s="2" t="s">
        <v>48121</v>
      </c>
      <c r="C24661" s="2" t="s">
        <v>556</v>
      </c>
      <c r="D24661" s="2" t="s">
        <v>218</v>
      </c>
      <c r="E24661" s="2" t="str">
        <f>"9783837628586"</f>
        <v>9783837628586</v>
      </c>
      <c r="F24661" s="2" t="str">
        <f>"9783839428580"</f>
        <v>9783839428580</v>
      </c>
    </row>
    <row r="24662" spans="1:6" s="3" customFormat="1" ht="29.1" customHeight="1" x14ac:dyDescent="0.25">
      <c r="A24662" s="2" t="s">
        <v>48122</v>
      </c>
      <c r="B24662" s="2" t="s">
        <v>48123</v>
      </c>
      <c r="C24662" s="2" t="s">
        <v>556</v>
      </c>
      <c r="D24662" s="2" t="s">
        <v>2326</v>
      </c>
      <c r="E24662" s="2" t="str">
        <f>"9783837630121"</f>
        <v>9783837630121</v>
      </c>
      <c r="F24662" s="2" t="str">
        <f>"9783839430125"</f>
        <v>9783839430125</v>
      </c>
    </row>
    <row r="24663" spans="1:6" s="3" customFormat="1" ht="29.1" customHeight="1" x14ac:dyDescent="0.25">
      <c r="A24663" s="2" t="s">
        <v>48124</v>
      </c>
      <c r="B24663" s="2" t="s">
        <v>48125</v>
      </c>
      <c r="C24663" s="2" t="s">
        <v>556</v>
      </c>
      <c r="D24663" s="2" t="s">
        <v>297</v>
      </c>
      <c r="E24663" s="2" t="str">
        <f>"9783837629903"</f>
        <v>9783837629903</v>
      </c>
      <c r="F24663" s="2" t="str">
        <f>"9783839429907"</f>
        <v>9783839429907</v>
      </c>
    </row>
    <row r="24664" spans="1:6" s="3" customFormat="1" ht="29.1" customHeight="1" x14ac:dyDescent="0.25">
      <c r="A24664" s="2" t="s">
        <v>48126</v>
      </c>
      <c r="B24664" s="2" t="s">
        <v>48127</v>
      </c>
      <c r="C24664" s="2" t="s">
        <v>556</v>
      </c>
      <c r="D24664" s="2" t="s">
        <v>1046</v>
      </c>
      <c r="E24664" s="2" t="str">
        <f>"9783837629675"</f>
        <v>9783837629675</v>
      </c>
      <c r="F24664" s="2" t="str">
        <f>"9783839429679"</f>
        <v>9783839429679</v>
      </c>
    </row>
    <row r="24665" spans="1:6" s="3" customFormat="1" ht="29.1" customHeight="1" x14ac:dyDescent="0.25">
      <c r="A24665" s="2" t="s">
        <v>48128</v>
      </c>
      <c r="B24665" s="2" t="s">
        <v>48129</v>
      </c>
      <c r="C24665" s="2" t="s">
        <v>556</v>
      </c>
      <c r="D24665" s="2" t="s">
        <v>1155</v>
      </c>
      <c r="E24665" s="2" t="str">
        <f>"9783837629651"</f>
        <v>9783837629651</v>
      </c>
      <c r="F24665" s="2" t="str">
        <f>"9783839429655"</f>
        <v>9783839429655</v>
      </c>
    </row>
    <row r="24666" spans="1:6" s="3" customFormat="1" ht="29.1" customHeight="1" x14ac:dyDescent="0.25">
      <c r="A24666" s="2" t="s">
        <v>48130</v>
      </c>
      <c r="B24666" s="2" t="s">
        <v>37726</v>
      </c>
      <c r="C24666" s="2" t="s">
        <v>556</v>
      </c>
      <c r="D24666" s="2" t="s">
        <v>501</v>
      </c>
      <c r="E24666" s="2" t="str">
        <f>"9783837629583"</f>
        <v>9783837629583</v>
      </c>
      <c r="F24666" s="2" t="str">
        <f>"9783839429587"</f>
        <v>9783839429587</v>
      </c>
    </row>
    <row r="24667" spans="1:6" s="3" customFormat="1" ht="29.1" customHeight="1" x14ac:dyDescent="0.25">
      <c r="A24667" s="2" t="s">
        <v>48131</v>
      </c>
      <c r="B24667" s="2" t="s">
        <v>48132</v>
      </c>
      <c r="C24667" s="2" t="s">
        <v>556</v>
      </c>
      <c r="D24667" s="2" t="s">
        <v>2462</v>
      </c>
      <c r="E24667" s="2" t="str">
        <f>"9783837629460"</f>
        <v>9783837629460</v>
      </c>
      <c r="F24667" s="2" t="str">
        <f>"9783839429464"</f>
        <v>9783839429464</v>
      </c>
    </row>
    <row r="24668" spans="1:6" s="3" customFormat="1" ht="29.1" customHeight="1" x14ac:dyDescent="0.25">
      <c r="A24668" s="2" t="s">
        <v>48133</v>
      </c>
      <c r="B24668" s="2" t="s">
        <v>48134</v>
      </c>
      <c r="C24668" s="2" t="s">
        <v>556</v>
      </c>
      <c r="D24668" s="2" t="s">
        <v>5794</v>
      </c>
      <c r="E24668" s="2" t="str">
        <f>"9783837629156"</f>
        <v>9783837629156</v>
      </c>
      <c r="F24668" s="2" t="str">
        <f>"9783839429150"</f>
        <v>9783839429150</v>
      </c>
    </row>
    <row r="24669" spans="1:6" s="3" customFormat="1" ht="29.1" customHeight="1" x14ac:dyDescent="0.25">
      <c r="A24669" s="2" t="s">
        <v>48135</v>
      </c>
      <c r="B24669" s="2" t="s">
        <v>48136</v>
      </c>
      <c r="C24669" s="2" t="s">
        <v>556</v>
      </c>
      <c r="D24669" s="2" t="s">
        <v>4013</v>
      </c>
      <c r="E24669" s="2" t="str">
        <f>"9783837629118"</f>
        <v>9783837629118</v>
      </c>
      <c r="F24669" s="2" t="str">
        <f>"9783839429112"</f>
        <v>9783839429112</v>
      </c>
    </row>
    <row r="24670" spans="1:6" s="3" customFormat="1" ht="29.1" customHeight="1" x14ac:dyDescent="0.25">
      <c r="A24670" s="2" t="s">
        <v>48137</v>
      </c>
      <c r="B24670" s="2" t="s">
        <v>48138</v>
      </c>
      <c r="C24670" s="2" t="s">
        <v>556</v>
      </c>
      <c r="D24670" s="2" t="s">
        <v>9052</v>
      </c>
      <c r="E24670" s="2" t="str">
        <f>"9783837628890"</f>
        <v>9783837628890</v>
      </c>
      <c r="F24670" s="2" t="str">
        <f>"9783839428894"</f>
        <v>9783839428894</v>
      </c>
    </row>
    <row r="24671" spans="1:6" s="3" customFormat="1" ht="29.1" customHeight="1" x14ac:dyDescent="0.25">
      <c r="A24671" s="2" t="s">
        <v>48139</v>
      </c>
      <c r="B24671" s="2" t="s">
        <v>37093</v>
      </c>
      <c r="C24671" s="2" t="s">
        <v>556</v>
      </c>
      <c r="D24671" s="2" t="s">
        <v>689</v>
      </c>
      <c r="E24671" s="2" t="str">
        <f>"9783837628128"</f>
        <v>9783837628128</v>
      </c>
      <c r="F24671" s="2" t="str">
        <f>"9783839428122"</f>
        <v>9783839428122</v>
      </c>
    </row>
    <row r="24672" spans="1:6" s="3" customFormat="1" ht="29.1" customHeight="1" x14ac:dyDescent="0.25">
      <c r="A24672" s="2" t="s">
        <v>48140</v>
      </c>
      <c r="B24672" s="2" t="s">
        <v>48141</v>
      </c>
      <c r="C24672" s="2" t="s">
        <v>556</v>
      </c>
      <c r="D24672" s="2" t="s">
        <v>1895</v>
      </c>
      <c r="E24672" s="2" t="str">
        <f>"9783837627794"</f>
        <v>9783837627794</v>
      </c>
      <c r="F24672" s="2" t="str">
        <f>"9783839427798"</f>
        <v>9783839427798</v>
      </c>
    </row>
    <row r="24673" spans="1:6" s="3" customFormat="1" ht="29.1" customHeight="1" x14ac:dyDescent="0.25">
      <c r="A24673" s="2" t="s">
        <v>48142</v>
      </c>
      <c r="B24673" s="2" t="s">
        <v>48143</v>
      </c>
      <c r="C24673" s="2" t="s">
        <v>29</v>
      </c>
      <c r="D24673" s="2" t="s">
        <v>509</v>
      </c>
      <c r="E24673" s="2" t="str">
        <f>"9789004289260"</f>
        <v>9789004289260</v>
      </c>
      <c r="F24673" s="2" t="str">
        <f>"9789004289277"</f>
        <v>9789004289277</v>
      </c>
    </row>
    <row r="24674" spans="1:6" s="3" customFormat="1" ht="29.1" customHeight="1" x14ac:dyDescent="0.25">
      <c r="A24674" s="2" t="s">
        <v>48144</v>
      </c>
      <c r="B24674" s="2" t="s">
        <v>48145</v>
      </c>
      <c r="C24674" s="2" t="s">
        <v>29</v>
      </c>
      <c r="D24674" s="2" t="s">
        <v>18873</v>
      </c>
      <c r="E24674" s="2" t="str">
        <f>"9789004287587"</f>
        <v>9789004287587</v>
      </c>
      <c r="F24674" s="2" t="str">
        <f>"9789004288294"</f>
        <v>9789004288294</v>
      </c>
    </row>
    <row r="24675" spans="1:6" s="3" customFormat="1" ht="29.1" customHeight="1" x14ac:dyDescent="0.25">
      <c r="A24675" s="2" t="s">
        <v>48146</v>
      </c>
      <c r="B24675" s="2" t="s">
        <v>48147</v>
      </c>
      <c r="C24675" s="2" t="s">
        <v>124</v>
      </c>
      <c r="D24675" s="2" t="s">
        <v>1237</v>
      </c>
      <c r="E24675" s="2" t="str">
        <f>"9780415733595"</f>
        <v>9780415733595</v>
      </c>
      <c r="F24675" s="2" t="str">
        <f>"9781317512776"</f>
        <v>9781317512776</v>
      </c>
    </row>
    <row r="24676" spans="1:6" s="3" customFormat="1" ht="29.1" customHeight="1" x14ac:dyDescent="0.25">
      <c r="A24676" s="2" t="s">
        <v>48148</v>
      </c>
      <c r="B24676" s="2" t="s">
        <v>48149</v>
      </c>
      <c r="C24676" s="2" t="s">
        <v>195</v>
      </c>
      <c r="D24676" s="2" t="s">
        <v>210</v>
      </c>
      <c r="E24676" s="2" t="str">
        <f>"9783486765380"</f>
        <v>9783486765380</v>
      </c>
      <c r="F24676" s="2" t="str">
        <f>"9783110399073"</f>
        <v>9783110399073</v>
      </c>
    </row>
    <row r="24677" spans="1:6" s="3" customFormat="1" ht="29.1" customHeight="1" x14ac:dyDescent="0.25">
      <c r="A24677" s="2" t="s">
        <v>48150</v>
      </c>
      <c r="B24677" s="2" t="s">
        <v>48151</v>
      </c>
      <c r="C24677" s="2" t="s">
        <v>124</v>
      </c>
      <c r="D24677" s="2" t="s">
        <v>1198</v>
      </c>
      <c r="E24677" s="2" t="str">
        <f>"9789089646392"</f>
        <v>9789089646392</v>
      </c>
      <c r="F24677" s="2" t="str">
        <f>"9781040775820"</f>
        <v>9781040775820</v>
      </c>
    </row>
    <row r="24678" spans="1:6" s="3" customFormat="1" ht="29.1" customHeight="1" x14ac:dyDescent="0.25">
      <c r="A24678" s="2" t="s">
        <v>48152</v>
      </c>
      <c r="B24678" s="2" t="s">
        <v>48153</v>
      </c>
      <c r="C24678" s="2" t="s">
        <v>195</v>
      </c>
      <c r="D24678" s="2" t="s">
        <v>210</v>
      </c>
      <c r="E24678" s="2" t="str">
        <f>"9783486560657"</f>
        <v>9783486560657</v>
      </c>
      <c r="F24678" s="2" t="str">
        <f>"9783486718232"</f>
        <v>9783486718232</v>
      </c>
    </row>
    <row r="24679" spans="1:6" s="3" customFormat="1" ht="29.1" customHeight="1" x14ac:dyDescent="0.25">
      <c r="A24679" s="2" t="s">
        <v>48154</v>
      </c>
      <c r="B24679" s="2" t="s">
        <v>48155</v>
      </c>
      <c r="C24679" s="2" t="s">
        <v>2129</v>
      </c>
      <c r="D24679" s="2" t="s">
        <v>183</v>
      </c>
      <c r="E24679" s="2" t="str">
        <f>"9781438454894"</f>
        <v>9781438454894</v>
      </c>
      <c r="F24679" s="2" t="str">
        <f>"9781438454900"</f>
        <v>9781438454900</v>
      </c>
    </row>
    <row r="24680" spans="1:6" s="3" customFormat="1" ht="29.1" customHeight="1" x14ac:dyDescent="0.25">
      <c r="A24680" s="2" t="s">
        <v>48156</v>
      </c>
      <c r="B24680" s="2" t="s">
        <v>48157</v>
      </c>
      <c r="C24680" s="2" t="s">
        <v>20</v>
      </c>
      <c r="D24680" s="2" t="s">
        <v>21</v>
      </c>
      <c r="E24680" s="2" t="str">
        <f>"9783763953875"</f>
        <v>9783763953875</v>
      </c>
      <c r="F24680" s="2" t="str">
        <f>"9783763953882"</f>
        <v>9783763953882</v>
      </c>
    </row>
    <row r="24681" spans="1:6" s="3" customFormat="1" ht="29.1" customHeight="1" x14ac:dyDescent="0.25">
      <c r="A24681" s="2" t="s">
        <v>48158</v>
      </c>
      <c r="B24681" s="2" t="s">
        <v>48159</v>
      </c>
      <c r="C24681" s="2" t="s">
        <v>20</v>
      </c>
      <c r="D24681" s="2" t="s">
        <v>7079</v>
      </c>
      <c r="E24681" s="2" t="str">
        <f>"9783763911608"</f>
        <v>9783763911608</v>
      </c>
      <c r="F24681" s="2" t="str">
        <f>"9783763952472"</f>
        <v>9783763952472</v>
      </c>
    </row>
    <row r="24682" spans="1:6" s="3" customFormat="1" ht="29.1" customHeight="1" x14ac:dyDescent="0.25">
      <c r="A24682" s="2" t="s">
        <v>48160</v>
      </c>
      <c r="B24682" s="2" t="s">
        <v>48161</v>
      </c>
      <c r="C24682" s="2" t="s">
        <v>20</v>
      </c>
      <c r="D24682" s="2" t="s">
        <v>24</v>
      </c>
      <c r="E24682" s="2" t="str">
        <f>"9783763935628"</f>
        <v>9783763935628</v>
      </c>
      <c r="F24682" s="2" t="str">
        <f>"9783763945009"</f>
        <v>9783763945009</v>
      </c>
    </row>
    <row r="24683" spans="1:6" s="3" customFormat="1" ht="29.1" customHeight="1" x14ac:dyDescent="0.25">
      <c r="A24683" s="2" t="s">
        <v>48162</v>
      </c>
      <c r="B24683" s="2" t="s">
        <v>48163</v>
      </c>
      <c r="C24683" s="2" t="s">
        <v>20</v>
      </c>
      <c r="D24683" s="2" t="s">
        <v>110</v>
      </c>
      <c r="E24683" s="2" t="str">
        <f>"9783763943739"</f>
        <v>9783763943739</v>
      </c>
      <c r="F24683" s="2" t="str">
        <f>"9783763943746"</f>
        <v>9783763943746</v>
      </c>
    </row>
    <row r="24684" spans="1:6" s="3" customFormat="1" ht="29.1" customHeight="1" x14ac:dyDescent="0.25">
      <c r="A24684" s="2" t="s">
        <v>48164</v>
      </c>
      <c r="B24684" s="2" t="s">
        <v>48165</v>
      </c>
      <c r="C24684" s="2" t="s">
        <v>20</v>
      </c>
      <c r="D24684" s="2" t="s">
        <v>24</v>
      </c>
      <c r="E24684" s="2" t="str">
        <f>"9783763951079"</f>
        <v>9783763951079</v>
      </c>
      <c r="F24684" s="2" t="str">
        <f>"9783763951086"</f>
        <v>9783763951086</v>
      </c>
    </row>
    <row r="24685" spans="1:6" s="3" customFormat="1" ht="29.1" customHeight="1" x14ac:dyDescent="0.25">
      <c r="A24685" s="2" t="s">
        <v>48166</v>
      </c>
      <c r="B24685" s="2" t="s">
        <v>48167</v>
      </c>
      <c r="C24685" s="2" t="s">
        <v>20</v>
      </c>
      <c r="D24685" s="2" t="s">
        <v>24</v>
      </c>
      <c r="E24685" s="2" t="str">
        <f>"9783763949069"</f>
        <v>9783763949069</v>
      </c>
      <c r="F24685" s="2" t="str">
        <f>"9783763949076"</f>
        <v>9783763949076</v>
      </c>
    </row>
    <row r="24686" spans="1:6" s="3" customFormat="1" ht="29.1" customHeight="1" x14ac:dyDescent="0.25">
      <c r="A24686" s="2" t="s">
        <v>48168</v>
      </c>
      <c r="B24686" s="2" t="s">
        <v>48169</v>
      </c>
      <c r="C24686" s="2" t="s">
        <v>20</v>
      </c>
      <c r="D24686" s="2" t="s">
        <v>5686</v>
      </c>
      <c r="E24686" s="2" t="str">
        <f>"9783763951956"</f>
        <v>9783763951956</v>
      </c>
      <c r="F24686" s="2" t="str">
        <f>"9783763951963"</f>
        <v>9783763951963</v>
      </c>
    </row>
    <row r="24687" spans="1:6" s="3" customFormat="1" ht="29.1" customHeight="1" x14ac:dyDescent="0.25">
      <c r="A24687" s="2" t="s">
        <v>48170</v>
      </c>
      <c r="B24687" s="2" t="s">
        <v>48171</v>
      </c>
      <c r="C24687" s="2" t="s">
        <v>20</v>
      </c>
      <c r="D24687" s="2" t="s">
        <v>10810</v>
      </c>
      <c r="E24687" s="2" t="str">
        <f>"9783763950966"</f>
        <v>9783763950966</v>
      </c>
      <c r="F24687" s="2" t="str">
        <f>"9783763950973"</f>
        <v>9783763950973</v>
      </c>
    </row>
    <row r="24688" spans="1:6" s="3" customFormat="1" ht="29.1" customHeight="1" x14ac:dyDescent="0.25">
      <c r="A24688" s="2" t="s">
        <v>48172</v>
      </c>
      <c r="B24688" s="2" t="s">
        <v>48173</v>
      </c>
      <c r="C24688" s="2" t="s">
        <v>20</v>
      </c>
      <c r="D24688" s="2" t="s">
        <v>24</v>
      </c>
      <c r="E24688" s="2" t="str">
        <f>"9783763950546"</f>
        <v>9783763950546</v>
      </c>
      <c r="F24688" s="2" t="str">
        <f>"9783763950553"</f>
        <v>9783763950553</v>
      </c>
    </row>
    <row r="24689" spans="1:6" s="3" customFormat="1" ht="29.1" customHeight="1" x14ac:dyDescent="0.25">
      <c r="A24689" s="2" t="s">
        <v>48174</v>
      </c>
      <c r="B24689" s="2" t="s">
        <v>48175</v>
      </c>
      <c r="C24689" s="2" t="s">
        <v>20</v>
      </c>
      <c r="D24689" s="2" t="s">
        <v>2178</v>
      </c>
      <c r="E24689" s="2" t="str">
        <f>"9783763950485"</f>
        <v>9783763950485</v>
      </c>
      <c r="F24689" s="2" t="str">
        <f>"9783763950492"</f>
        <v>9783763950492</v>
      </c>
    </row>
    <row r="24690" spans="1:6" s="3" customFormat="1" ht="29.1" customHeight="1" x14ac:dyDescent="0.25">
      <c r="A24690" s="2" t="s">
        <v>48176</v>
      </c>
      <c r="B24690" s="2" t="s">
        <v>48177</v>
      </c>
      <c r="C24690" s="2" t="s">
        <v>20</v>
      </c>
      <c r="D24690" s="2" t="s">
        <v>24</v>
      </c>
      <c r="E24690" s="2" t="str">
        <f>"9783763950270"</f>
        <v>9783763950270</v>
      </c>
      <c r="F24690" s="2" t="str">
        <f>"9783763950287"</f>
        <v>9783763950287</v>
      </c>
    </row>
    <row r="24691" spans="1:6" s="3" customFormat="1" ht="29.1" customHeight="1" x14ac:dyDescent="0.25">
      <c r="A24691" s="2" t="s">
        <v>48178</v>
      </c>
      <c r="B24691" s="2" t="s">
        <v>48179</v>
      </c>
      <c r="C24691" s="2" t="s">
        <v>20</v>
      </c>
      <c r="D24691" s="2" t="s">
        <v>10685</v>
      </c>
      <c r="E24691" s="2" t="str">
        <f>"9783763949557"</f>
        <v>9783763949557</v>
      </c>
      <c r="F24691" s="2" t="str">
        <f>"9783763949564"</f>
        <v>9783763949564</v>
      </c>
    </row>
    <row r="24692" spans="1:6" s="3" customFormat="1" ht="29.1" customHeight="1" x14ac:dyDescent="0.25">
      <c r="A24692" s="2" t="s">
        <v>48180</v>
      </c>
      <c r="B24692" s="2" t="s">
        <v>48181</v>
      </c>
      <c r="C24692" s="2" t="s">
        <v>595</v>
      </c>
      <c r="D24692" s="2" t="s">
        <v>2810</v>
      </c>
      <c r="E24692" s="2" t="str">
        <f>"9783631626696"</f>
        <v>9783631626696</v>
      </c>
      <c r="F24692" s="2" t="str">
        <f>"9783653023732"</f>
        <v>9783653023732</v>
      </c>
    </row>
    <row r="24693" spans="1:6" s="3" customFormat="1" ht="29.1" customHeight="1" x14ac:dyDescent="0.25">
      <c r="A24693" s="2" t="s">
        <v>48182</v>
      </c>
      <c r="B24693" s="2" t="s">
        <v>48183</v>
      </c>
      <c r="C24693" s="2" t="s">
        <v>20</v>
      </c>
      <c r="D24693" s="2" t="s">
        <v>24</v>
      </c>
      <c r="E24693" s="2" t="str">
        <f>"9783763949120"</f>
        <v>9783763949120</v>
      </c>
      <c r="F24693" s="2" t="str">
        <f>"9783763949137"</f>
        <v>9783763949137</v>
      </c>
    </row>
    <row r="24694" spans="1:6" s="3" customFormat="1" ht="29.1" customHeight="1" x14ac:dyDescent="0.25">
      <c r="A24694" s="2" t="s">
        <v>48184</v>
      </c>
      <c r="B24694" s="2" t="s">
        <v>48185</v>
      </c>
      <c r="C24694" s="2" t="s">
        <v>20</v>
      </c>
      <c r="D24694" s="2" t="s">
        <v>24</v>
      </c>
      <c r="E24694" s="2" t="str">
        <f>"9783763949106"</f>
        <v>9783763949106</v>
      </c>
      <c r="F24694" s="2" t="str">
        <f>"9783763949113"</f>
        <v>9783763949113</v>
      </c>
    </row>
    <row r="24695" spans="1:6" s="3" customFormat="1" ht="29.1" customHeight="1" x14ac:dyDescent="0.25">
      <c r="A24695" s="2" t="s">
        <v>48186</v>
      </c>
      <c r="B24695" s="2" t="s">
        <v>48187</v>
      </c>
      <c r="C24695" s="2" t="s">
        <v>20</v>
      </c>
      <c r="D24695" s="2" t="s">
        <v>24</v>
      </c>
      <c r="E24695" s="2" t="str">
        <f>"9783763949083"</f>
        <v>9783763949083</v>
      </c>
      <c r="F24695" s="2" t="str">
        <f>"9783763949090"</f>
        <v>9783763949090</v>
      </c>
    </row>
    <row r="24696" spans="1:6" s="3" customFormat="1" ht="29.1" customHeight="1" x14ac:dyDescent="0.25">
      <c r="A24696" s="2" t="s">
        <v>48188</v>
      </c>
      <c r="B24696" s="2" t="s">
        <v>48189</v>
      </c>
      <c r="C24696" s="2" t="s">
        <v>20</v>
      </c>
      <c r="D24696" s="2" t="s">
        <v>24</v>
      </c>
      <c r="E24696" s="2" t="str">
        <f>"9783763948031"</f>
        <v>9783763948031</v>
      </c>
      <c r="F24696" s="2" t="str">
        <f>"9783763948048"</f>
        <v>9783763948048</v>
      </c>
    </row>
    <row r="24697" spans="1:6" s="3" customFormat="1" ht="29.1" customHeight="1" x14ac:dyDescent="0.25">
      <c r="A24697" s="2" t="s">
        <v>48190</v>
      </c>
      <c r="B24697" s="2" t="s">
        <v>48191</v>
      </c>
      <c r="C24697" s="2" t="s">
        <v>20</v>
      </c>
      <c r="D24697" s="2" t="s">
        <v>1133</v>
      </c>
      <c r="E24697" s="2" t="str">
        <f>"9783763947041"</f>
        <v>9783763947041</v>
      </c>
      <c r="F24697" s="2" t="str">
        <f>"9783763947058"</f>
        <v>9783763947058</v>
      </c>
    </row>
    <row r="24698" spans="1:6" s="3" customFormat="1" ht="29.1" customHeight="1" x14ac:dyDescent="0.25">
      <c r="A24698" s="2" t="s">
        <v>48192</v>
      </c>
      <c r="B24698" s="2" t="s">
        <v>48193</v>
      </c>
      <c r="C24698" s="2" t="s">
        <v>20</v>
      </c>
      <c r="D24698" s="2" t="s">
        <v>36439</v>
      </c>
      <c r="E24698" s="2" t="str">
        <f>"9783763942848"</f>
        <v>9783763942848</v>
      </c>
      <c r="F24698" s="2" t="str">
        <f>"9783763942855"</f>
        <v>9783763942855</v>
      </c>
    </row>
    <row r="24699" spans="1:6" s="3" customFormat="1" ht="29.1" customHeight="1" x14ac:dyDescent="0.25">
      <c r="A24699" s="2" t="s">
        <v>48194</v>
      </c>
      <c r="B24699" s="2" t="s">
        <v>48195</v>
      </c>
      <c r="C24699" s="2" t="s">
        <v>20</v>
      </c>
      <c r="D24699" s="2" t="s">
        <v>7079</v>
      </c>
      <c r="E24699" s="2" t="str">
        <f>"9783763938780"</f>
        <v>9783763938780</v>
      </c>
      <c r="F24699" s="2" t="str">
        <f>"9783763944835"</f>
        <v>9783763944835</v>
      </c>
    </row>
    <row r="24700" spans="1:6" s="3" customFormat="1" ht="29.1" customHeight="1" x14ac:dyDescent="0.25">
      <c r="A24700" s="2" t="s">
        <v>48196</v>
      </c>
      <c r="B24700" s="2" t="s">
        <v>48197</v>
      </c>
      <c r="C24700" s="2" t="s">
        <v>20</v>
      </c>
      <c r="D24700" s="2" t="s">
        <v>1768</v>
      </c>
      <c r="E24700" s="2" t="str">
        <f>"9783763934157"</f>
        <v>9783763934157</v>
      </c>
      <c r="F24700" s="2" t="str">
        <f>"9783763946037"</f>
        <v>9783763946037</v>
      </c>
    </row>
    <row r="24701" spans="1:6" s="3" customFormat="1" ht="29.1" customHeight="1" x14ac:dyDescent="0.25">
      <c r="A24701" s="2" t="s">
        <v>48198</v>
      </c>
      <c r="B24701" s="2" t="s">
        <v>48199</v>
      </c>
      <c r="C24701" s="2" t="s">
        <v>20</v>
      </c>
      <c r="D24701" s="2" t="s">
        <v>21</v>
      </c>
      <c r="E24701" s="2" t="str">
        <f>"9783763934027"</f>
        <v>9783763934027</v>
      </c>
      <c r="F24701" s="2" t="str">
        <f>"9783763945245"</f>
        <v>9783763945245</v>
      </c>
    </row>
    <row r="24702" spans="1:6" s="3" customFormat="1" ht="29.1" customHeight="1" x14ac:dyDescent="0.25">
      <c r="A24702" s="2" t="s">
        <v>48200</v>
      </c>
      <c r="B24702" s="2" t="s">
        <v>48201</v>
      </c>
      <c r="C24702" s="2" t="s">
        <v>20</v>
      </c>
      <c r="D24702" s="2" t="s">
        <v>24</v>
      </c>
      <c r="E24702" s="2" t="str">
        <f>"9783763933914"</f>
        <v>9783763933914</v>
      </c>
      <c r="F24702" s="2" t="str">
        <f>"9783763945269"</f>
        <v>9783763945269</v>
      </c>
    </row>
    <row r="24703" spans="1:6" s="3" customFormat="1" ht="29.1" customHeight="1" x14ac:dyDescent="0.25">
      <c r="A24703" s="2" t="s">
        <v>48202</v>
      </c>
      <c r="B24703" s="2" t="s">
        <v>48203</v>
      </c>
      <c r="C24703" s="2" t="s">
        <v>20</v>
      </c>
      <c r="D24703" s="2" t="s">
        <v>413</v>
      </c>
      <c r="E24703" s="2" t="str">
        <f>"9783763943678"</f>
        <v>9783763943678</v>
      </c>
      <c r="F24703" s="2" t="str">
        <f>"9783763943685"</f>
        <v>9783763943685</v>
      </c>
    </row>
    <row r="24704" spans="1:6" s="3" customFormat="1" ht="29.1" customHeight="1" x14ac:dyDescent="0.25">
      <c r="A24704" s="2" t="s">
        <v>48204</v>
      </c>
      <c r="B24704" s="2" t="s">
        <v>48205</v>
      </c>
      <c r="C24704" s="2" t="s">
        <v>20</v>
      </c>
      <c r="D24704" s="2" t="s">
        <v>553</v>
      </c>
      <c r="E24704" s="2" t="str">
        <f>"9783763943654"</f>
        <v>9783763943654</v>
      </c>
      <c r="F24704" s="2" t="str">
        <f>"9783763943661"</f>
        <v>9783763943661</v>
      </c>
    </row>
    <row r="24705" spans="1:6" s="3" customFormat="1" ht="29.1" customHeight="1" x14ac:dyDescent="0.25">
      <c r="A24705" s="2" t="s">
        <v>48206</v>
      </c>
      <c r="B24705" s="2" t="s">
        <v>48207</v>
      </c>
      <c r="C24705" s="2" t="s">
        <v>20</v>
      </c>
      <c r="D24705" s="2" t="s">
        <v>553</v>
      </c>
      <c r="E24705" s="2" t="str">
        <f>"9783763942022"</f>
        <v>9783763942022</v>
      </c>
      <c r="F24705" s="2" t="str">
        <f>"9783763944040"</f>
        <v>9783763944040</v>
      </c>
    </row>
    <row r="24706" spans="1:6" s="3" customFormat="1" ht="29.1" customHeight="1" x14ac:dyDescent="0.25">
      <c r="A24706" s="2" t="s">
        <v>48208</v>
      </c>
      <c r="B24706" s="2" t="s">
        <v>48197</v>
      </c>
      <c r="C24706" s="2" t="s">
        <v>20</v>
      </c>
      <c r="D24706" s="2" t="s">
        <v>5428</v>
      </c>
      <c r="E24706" s="2" t="str">
        <f>"9783763950652"</f>
        <v>9783763950652</v>
      </c>
      <c r="F24706" s="2" t="str">
        <f>"9783763950669"</f>
        <v>9783763950669</v>
      </c>
    </row>
    <row r="24707" spans="1:6" s="3" customFormat="1" ht="29.1" customHeight="1" x14ac:dyDescent="0.25">
      <c r="A24707" s="2" t="s">
        <v>48209</v>
      </c>
      <c r="B24707" s="2" t="s">
        <v>48197</v>
      </c>
      <c r="C24707" s="2" t="s">
        <v>20</v>
      </c>
      <c r="D24707" s="2" t="s">
        <v>24</v>
      </c>
      <c r="E24707" s="2" t="str">
        <f>"9783763950676"</f>
        <v>9783763950676</v>
      </c>
      <c r="F24707" s="2" t="str">
        <f>"9783763950683"</f>
        <v>9783763950683</v>
      </c>
    </row>
    <row r="24708" spans="1:6" s="3" customFormat="1" ht="29.1" customHeight="1" x14ac:dyDescent="0.25">
      <c r="A24708" s="2" t="s">
        <v>48210</v>
      </c>
      <c r="B24708" s="2" t="s">
        <v>48211</v>
      </c>
      <c r="C24708" s="2" t="s">
        <v>20</v>
      </c>
      <c r="D24708" s="2" t="s">
        <v>24</v>
      </c>
      <c r="E24708" s="2" t="str">
        <f>"9783763951031"</f>
        <v>9783763951031</v>
      </c>
      <c r="F24708" s="2" t="str">
        <f>"9783763951048"</f>
        <v>9783763951048</v>
      </c>
    </row>
    <row r="24709" spans="1:6" s="3" customFormat="1" ht="29.1" customHeight="1" x14ac:dyDescent="0.25">
      <c r="A24709" s="2" t="s">
        <v>48212</v>
      </c>
      <c r="B24709" s="2" t="s">
        <v>48213</v>
      </c>
      <c r="C24709" s="2" t="s">
        <v>20</v>
      </c>
      <c r="D24709" s="2" t="s">
        <v>24</v>
      </c>
      <c r="E24709" s="2" t="str">
        <f>"9783763948604"</f>
        <v>9783763948604</v>
      </c>
      <c r="F24709" s="2" t="str">
        <f>"9783763948611"</f>
        <v>9783763948611</v>
      </c>
    </row>
    <row r="24710" spans="1:6" s="3" customFormat="1" ht="29.1" customHeight="1" x14ac:dyDescent="0.25">
      <c r="A24710" s="2" t="s">
        <v>48214</v>
      </c>
      <c r="B24710" s="2" t="s">
        <v>48215</v>
      </c>
      <c r="C24710" s="2" t="s">
        <v>20</v>
      </c>
      <c r="D24710" s="2" t="s">
        <v>2271</v>
      </c>
      <c r="E24710" s="2" t="str">
        <f>"9783763911301"</f>
        <v>9783763911301</v>
      </c>
      <c r="F24710" s="2" t="str">
        <f>"9783763944132"</f>
        <v>9783763944132</v>
      </c>
    </row>
    <row r="24711" spans="1:6" s="3" customFormat="1" ht="29.1" customHeight="1" x14ac:dyDescent="0.25">
      <c r="A24711" s="2" t="s">
        <v>48216</v>
      </c>
      <c r="B24711" s="2" t="s">
        <v>48217</v>
      </c>
      <c r="C24711" s="2" t="s">
        <v>124</v>
      </c>
      <c r="D24711" s="2" t="s">
        <v>7943</v>
      </c>
      <c r="E24711" s="2" t="str">
        <f>"9781138853287"</f>
        <v>9781138853287</v>
      </c>
      <c r="F24711" s="2" t="str">
        <f>"9781317526247"</f>
        <v>9781317526247</v>
      </c>
    </row>
    <row r="24712" spans="1:6" s="3" customFormat="1" ht="29.1" customHeight="1" x14ac:dyDescent="0.25">
      <c r="A24712" s="2" t="s">
        <v>48218</v>
      </c>
      <c r="B24712" s="2" t="s">
        <v>48219</v>
      </c>
      <c r="C24712" s="2" t="s">
        <v>124</v>
      </c>
      <c r="D24712" s="2" t="s">
        <v>324</v>
      </c>
      <c r="E24712" s="2" t="str">
        <f>"9780415885478"</f>
        <v>9780415885478</v>
      </c>
      <c r="F24712" s="2" t="str">
        <f>"9781317502371"</f>
        <v>9781317502371</v>
      </c>
    </row>
    <row r="24713" spans="1:6" s="3" customFormat="1" ht="29.1" customHeight="1" x14ac:dyDescent="0.25">
      <c r="A24713" s="2" t="s">
        <v>48220</v>
      </c>
      <c r="B24713" s="2" t="s">
        <v>48221</v>
      </c>
      <c r="C24713" s="2" t="s">
        <v>131</v>
      </c>
      <c r="D24713" s="2" t="s">
        <v>132</v>
      </c>
      <c r="E24713" s="2" t="str">
        <f>"9789027212122"</f>
        <v>9789027212122</v>
      </c>
      <c r="F24713" s="2" t="str">
        <f>"9789027269997"</f>
        <v>9789027269997</v>
      </c>
    </row>
    <row r="24714" spans="1:6" s="3" customFormat="1" ht="29.1" customHeight="1" x14ac:dyDescent="0.25">
      <c r="A24714" s="2" t="s">
        <v>48222</v>
      </c>
      <c r="B24714" s="2" t="s">
        <v>48223</v>
      </c>
      <c r="C24714" s="2" t="s">
        <v>195</v>
      </c>
      <c r="D24714" s="2" t="s">
        <v>436</v>
      </c>
      <c r="E24714" s="2" t="str">
        <f>"9783110314588"</f>
        <v>9783110314588</v>
      </c>
      <c r="F24714" s="2" t="str">
        <f>"9783110314724"</f>
        <v>9783110314724</v>
      </c>
    </row>
    <row r="24715" spans="1:6" s="3" customFormat="1" ht="29.1" customHeight="1" x14ac:dyDescent="0.25">
      <c r="A24715" s="2" t="s">
        <v>48224</v>
      </c>
      <c r="B24715" s="2" t="s">
        <v>48225</v>
      </c>
      <c r="C24715" s="2" t="s">
        <v>195</v>
      </c>
      <c r="D24715" s="2" t="s">
        <v>462</v>
      </c>
      <c r="E24715" s="2" t="str">
        <f>"9783110265958"</f>
        <v>9783110265958</v>
      </c>
      <c r="F24715" s="2" t="str">
        <f>"9783110266405"</f>
        <v>9783110266405</v>
      </c>
    </row>
    <row r="24716" spans="1:6" s="3" customFormat="1" ht="29.1" customHeight="1" x14ac:dyDescent="0.25">
      <c r="A24716" s="2" t="s">
        <v>48226</v>
      </c>
      <c r="B24716" s="2" t="s">
        <v>48227</v>
      </c>
      <c r="C24716" s="2" t="s">
        <v>195</v>
      </c>
      <c r="D24716" s="2" t="s">
        <v>408</v>
      </c>
      <c r="E24716" s="2" t="str">
        <f>"9783110354645"</f>
        <v>9783110354645</v>
      </c>
      <c r="F24716" s="2" t="str">
        <f>"9783110354782"</f>
        <v>9783110354782</v>
      </c>
    </row>
    <row r="24717" spans="1:6" s="3" customFormat="1" ht="29.1" customHeight="1" x14ac:dyDescent="0.25">
      <c r="A24717" s="2" t="s">
        <v>48228</v>
      </c>
      <c r="B24717" s="2" t="s">
        <v>48229</v>
      </c>
      <c r="C24717" s="2" t="s">
        <v>195</v>
      </c>
      <c r="D24717" s="2" t="s">
        <v>462</v>
      </c>
      <c r="E24717" s="2" t="str">
        <f>"9783110311174"</f>
        <v>9783110311174</v>
      </c>
      <c r="F24717" s="2" t="str">
        <f>"9783110311358"</f>
        <v>9783110311358</v>
      </c>
    </row>
    <row r="24718" spans="1:6" s="3" customFormat="1" ht="29.1" customHeight="1" x14ac:dyDescent="0.25">
      <c r="A24718" s="2" t="s">
        <v>48230</v>
      </c>
      <c r="B24718" s="2" t="s">
        <v>48231</v>
      </c>
      <c r="C24718" s="2" t="s">
        <v>195</v>
      </c>
      <c r="D24718" s="2" t="s">
        <v>431</v>
      </c>
      <c r="E24718" s="2" t="str">
        <f>"9783110232097"</f>
        <v>9783110232097</v>
      </c>
      <c r="F24718" s="2" t="str">
        <f>"9783110232103"</f>
        <v>9783110232103</v>
      </c>
    </row>
    <row r="24719" spans="1:6" s="3" customFormat="1" ht="29.1" customHeight="1" x14ac:dyDescent="0.25">
      <c r="A24719" s="2" t="s">
        <v>48232</v>
      </c>
      <c r="B24719" s="2" t="s">
        <v>48233</v>
      </c>
      <c r="C24719" s="2" t="s">
        <v>11220</v>
      </c>
      <c r="D24719" s="2" t="s">
        <v>712</v>
      </c>
      <c r="E24719" s="2" t="str">
        <f>"9780814785874"</f>
        <v>9780814785874</v>
      </c>
      <c r="F24719" s="2" t="str">
        <f>"9780814764732"</f>
        <v>9780814764732</v>
      </c>
    </row>
    <row r="24720" spans="1:6" s="3" customFormat="1" ht="29.1" customHeight="1" x14ac:dyDescent="0.25">
      <c r="A24720" s="2" t="s">
        <v>48234</v>
      </c>
      <c r="B24720" s="2" t="s">
        <v>48235</v>
      </c>
      <c r="C24720" s="2" t="s">
        <v>264</v>
      </c>
      <c r="D24720" s="2" t="s">
        <v>9392</v>
      </c>
      <c r="E24720" s="2" t="str">
        <f>"9781482212792"</f>
        <v>9781482212792</v>
      </c>
      <c r="F24720" s="2" t="str">
        <f>"9781482212815"</f>
        <v>9781482212815</v>
      </c>
    </row>
    <row r="24721" spans="1:6" s="3" customFormat="1" ht="29.1" customHeight="1" x14ac:dyDescent="0.25">
      <c r="A24721" s="2" t="s">
        <v>48236</v>
      </c>
      <c r="B24721" s="2" t="s">
        <v>48238</v>
      </c>
      <c r="C24721" s="2" t="s">
        <v>48237</v>
      </c>
      <c r="D24721" s="2" t="s">
        <v>1419</v>
      </c>
      <c r="E24721" s="2" t="str">
        <f>"9780815630876"</f>
        <v>9780815630876</v>
      </c>
      <c r="F24721" s="2" t="str">
        <f>"9780815630654"</f>
        <v>9780815630654</v>
      </c>
    </row>
    <row r="24722" spans="1:6" s="3" customFormat="1" ht="29.1" customHeight="1" x14ac:dyDescent="0.25">
      <c r="A24722" s="2" t="s">
        <v>48239</v>
      </c>
      <c r="B24722" s="2" t="s">
        <v>48240</v>
      </c>
      <c r="C24722" s="2" t="s">
        <v>124</v>
      </c>
      <c r="D24722" s="2" t="s">
        <v>210</v>
      </c>
      <c r="E24722" s="2" t="str">
        <f>"9789089645913"</f>
        <v>9789089645913</v>
      </c>
      <c r="F24722" s="2" t="str">
        <f>"9781040800027"</f>
        <v>9781040800027</v>
      </c>
    </row>
    <row r="24723" spans="1:6" s="3" customFormat="1" ht="29.1" customHeight="1" x14ac:dyDescent="0.25">
      <c r="A24723" s="2" t="s">
        <v>48241</v>
      </c>
      <c r="B24723" s="2" t="s">
        <v>48242</v>
      </c>
      <c r="C24723" s="2" t="s">
        <v>11220</v>
      </c>
      <c r="D24723" s="2" t="s">
        <v>712</v>
      </c>
      <c r="E24723" s="2" t="str">
        <f>"9781479864379"</f>
        <v>9781479864379</v>
      </c>
      <c r="F24723" s="2" t="str">
        <f>"9781479876853"</f>
        <v>9781479876853</v>
      </c>
    </row>
    <row r="24724" spans="1:6" s="3" customFormat="1" ht="29.1" customHeight="1" x14ac:dyDescent="0.25">
      <c r="A24724" s="2" t="s">
        <v>48243</v>
      </c>
      <c r="B24724" s="2" t="s">
        <v>48244</v>
      </c>
      <c r="C24724" s="2" t="s">
        <v>34257</v>
      </c>
      <c r="D24724" s="2" t="s">
        <v>1627</v>
      </c>
      <c r="E24724" s="2" t="str">
        <f>"9780745333670"</f>
        <v>9780745333670</v>
      </c>
      <c r="F24724" s="2" t="str">
        <f>"9781783712960"</f>
        <v>9781783712960</v>
      </c>
    </row>
    <row r="24725" spans="1:6" s="3" customFormat="1" ht="29.1" customHeight="1" x14ac:dyDescent="0.25">
      <c r="A24725" s="2" t="s">
        <v>48245</v>
      </c>
      <c r="B24725" s="2" t="s">
        <v>48246</v>
      </c>
      <c r="C24725" s="2" t="s">
        <v>34257</v>
      </c>
      <c r="D24725" s="2" t="s">
        <v>428</v>
      </c>
      <c r="E24725" s="2" t="str">
        <f>"9780745333410"</f>
        <v>9780745333410</v>
      </c>
      <c r="F24725" s="2" t="str">
        <f>"9781783712724"</f>
        <v>9781783712724</v>
      </c>
    </row>
    <row r="24726" spans="1:6" s="3" customFormat="1" ht="29.1" customHeight="1" x14ac:dyDescent="0.25">
      <c r="A24726" s="2" t="s">
        <v>48247</v>
      </c>
      <c r="B24726" s="2" t="s">
        <v>48248</v>
      </c>
      <c r="C24726" s="2" t="s">
        <v>124</v>
      </c>
      <c r="D24726" s="2" t="s">
        <v>334</v>
      </c>
      <c r="E24726" s="2" t="str">
        <f>"9781138022324"</f>
        <v>9781138022324</v>
      </c>
      <c r="F24726" s="2" t="str">
        <f>"9781317537007"</f>
        <v>9781317537007</v>
      </c>
    </row>
    <row r="24727" spans="1:6" s="3" customFormat="1" ht="29.1" customHeight="1" x14ac:dyDescent="0.25">
      <c r="A24727" s="2" t="s">
        <v>48249</v>
      </c>
      <c r="B24727" s="2" t="s">
        <v>48250</v>
      </c>
      <c r="C24727" s="2" t="s">
        <v>195</v>
      </c>
      <c r="D24727" s="2" t="s">
        <v>1183</v>
      </c>
      <c r="E24727" s="2" t="str">
        <f>"9783110345421"</f>
        <v>9783110345421</v>
      </c>
      <c r="F24727" s="2" t="str">
        <f>"9783110345766"</f>
        <v>9783110345766</v>
      </c>
    </row>
    <row r="24728" spans="1:6" s="3" customFormat="1" ht="29.1" customHeight="1" x14ac:dyDescent="0.25">
      <c r="A24728" s="2" t="s">
        <v>48251</v>
      </c>
      <c r="B24728" s="2" t="s">
        <v>48252</v>
      </c>
      <c r="C24728" s="2" t="s">
        <v>195</v>
      </c>
      <c r="D24728" s="2" t="s">
        <v>210</v>
      </c>
      <c r="E24728" s="2" t="str">
        <f>"9783486778441"</f>
        <v>9783486778441</v>
      </c>
      <c r="F24728" s="2" t="str">
        <f>"9783110397802"</f>
        <v>9783110397802</v>
      </c>
    </row>
    <row r="24729" spans="1:6" s="3" customFormat="1" ht="29.1" customHeight="1" x14ac:dyDescent="0.25">
      <c r="A24729" s="2" t="s">
        <v>48253</v>
      </c>
      <c r="B24729" s="2" t="s">
        <v>48254</v>
      </c>
      <c r="C24729" s="2" t="s">
        <v>195</v>
      </c>
      <c r="D24729" s="2" t="s">
        <v>509</v>
      </c>
      <c r="E24729" s="2" t="str">
        <f>"9783110379815"</f>
        <v>9783110379815</v>
      </c>
      <c r="F24729" s="2" t="str">
        <f>"9783110399479"</f>
        <v>9783110399479</v>
      </c>
    </row>
    <row r="24730" spans="1:6" s="3" customFormat="1" ht="29.1" customHeight="1" x14ac:dyDescent="0.25">
      <c r="A24730" s="2" t="s">
        <v>48255</v>
      </c>
      <c r="B24730" s="2" t="s">
        <v>48256</v>
      </c>
      <c r="C24730" s="2" t="s">
        <v>195</v>
      </c>
      <c r="D24730" s="2" t="s">
        <v>4739</v>
      </c>
      <c r="E24730" s="2" t="str">
        <f>"9783110373660"</f>
        <v>9783110373660</v>
      </c>
      <c r="F24730" s="2" t="str">
        <f>"9783110368048"</f>
        <v>9783110368048</v>
      </c>
    </row>
    <row r="24731" spans="1:6" s="3" customFormat="1" ht="29.1" customHeight="1" x14ac:dyDescent="0.25">
      <c r="A24731" s="2" t="s">
        <v>48257</v>
      </c>
      <c r="B24731" s="2" t="s">
        <v>48258</v>
      </c>
      <c r="C24731" s="2" t="s">
        <v>195</v>
      </c>
      <c r="D24731" s="2" t="s">
        <v>210</v>
      </c>
      <c r="E24731" s="2" t="str">
        <f>"9783110304794"</f>
        <v>9783110304794</v>
      </c>
      <c r="F24731" s="2" t="str">
        <f>"9783110305791"</f>
        <v>9783110305791</v>
      </c>
    </row>
    <row r="24732" spans="1:6" s="3" customFormat="1" ht="29.1" customHeight="1" x14ac:dyDescent="0.25">
      <c r="A24732" s="2" t="s">
        <v>48259</v>
      </c>
      <c r="B24732" s="2" t="s">
        <v>48260</v>
      </c>
      <c r="C24732" s="2" t="s">
        <v>29</v>
      </c>
      <c r="D24732" s="2" t="s">
        <v>755</v>
      </c>
      <c r="E24732" s="2" t="str">
        <f>"9789086861446"</f>
        <v>9789086861446</v>
      </c>
      <c r="F24732" s="2" t="str">
        <f>"9789086866977"</f>
        <v>9789086866977</v>
      </c>
    </row>
    <row r="24733" spans="1:6" s="3" customFormat="1" ht="29.1" customHeight="1" x14ac:dyDescent="0.25">
      <c r="A24733" s="2" t="s">
        <v>48261</v>
      </c>
      <c r="B24733" s="2" t="s">
        <v>48262</v>
      </c>
      <c r="C24733" s="2" t="s">
        <v>29</v>
      </c>
      <c r="D24733" s="2" t="s">
        <v>694</v>
      </c>
      <c r="E24733" s="2" t="str">
        <f>"9789086861347"</f>
        <v>9789086861347</v>
      </c>
      <c r="F24733" s="2" t="str">
        <f>"9789086861682"</f>
        <v>9789086861682</v>
      </c>
    </row>
    <row r="24734" spans="1:6" s="3" customFormat="1" ht="29.1" customHeight="1" x14ac:dyDescent="0.25">
      <c r="A24734" s="2" t="s">
        <v>48263</v>
      </c>
      <c r="B24734" s="2" t="s">
        <v>48264</v>
      </c>
      <c r="C24734" s="2" t="s">
        <v>29</v>
      </c>
      <c r="D24734" s="2" t="s">
        <v>12659</v>
      </c>
      <c r="E24734" s="2" t="str">
        <f>"9789086861866"</f>
        <v>9789086861866</v>
      </c>
      <c r="F24734" s="2" t="str">
        <f>"9789086867431"</f>
        <v>9789086867431</v>
      </c>
    </row>
    <row r="24735" spans="1:6" s="3" customFormat="1" ht="29.1" customHeight="1" x14ac:dyDescent="0.25">
      <c r="A24735" s="2" t="s">
        <v>48265</v>
      </c>
      <c r="B24735" s="2" t="s">
        <v>48266</v>
      </c>
      <c r="C24735" s="2" t="s">
        <v>29</v>
      </c>
      <c r="D24735" s="2" t="s">
        <v>12723</v>
      </c>
      <c r="E24735" s="2" t="str">
        <f>"9789086862450"</f>
        <v>9789086862450</v>
      </c>
      <c r="F24735" s="2" t="str">
        <f>"9789086867974"</f>
        <v>9789086867974</v>
      </c>
    </row>
    <row r="24736" spans="1:6" s="3" customFormat="1" ht="29.1" customHeight="1" x14ac:dyDescent="0.25">
      <c r="A24736" s="2" t="s">
        <v>48267</v>
      </c>
      <c r="B24736" s="2" t="s">
        <v>48268</v>
      </c>
      <c r="C24736" s="2" t="s">
        <v>29</v>
      </c>
      <c r="D24736" s="2" t="s">
        <v>755</v>
      </c>
      <c r="E24736" s="2" t="str">
        <f>"9789076998237"</f>
        <v>9789076998237</v>
      </c>
      <c r="F24736" s="2" t="str">
        <f>"9789086865161"</f>
        <v>9789086865161</v>
      </c>
    </row>
    <row r="24737" spans="1:6" s="3" customFormat="1" ht="29.1" customHeight="1" x14ac:dyDescent="0.25">
      <c r="A24737" s="2" t="s">
        <v>48269</v>
      </c>
      <c r="B24737" s="2" t="s">
        <v>48270</v>
      </c>
      <c r="C24737" s="2" t="s">
        <v>29</v>
      </c>
      <c r="D24737" s="2" t="s">
        <v>2587</v>
      </c>
      <c r="E24737" s="2" t="str">
        <f>"9789086860319"</f>
        <v>9789086860319</v>
      </c>
      <c r="F24737" s="2" t="str">
        <f>"9789086865949"</f>
        <v>9789086865949</v>
      </c>
    </row>
    <row r="24738" spans="1:6" s="3" customFormat="1" ht="29.1" customHeight="1" x14ac:dyDescent="0.25">
      <c r="A24738" s="2" t="s">
        <v>48271</v>
      </c>
      <c r="B24738" s="2" t="s">
        <v>48272</v>
      </c>
      <c r="C24738" s="2" t="s">
        <v>29</v>
      </c>
      <c r="D24738" s="2" t="s">
        <v>12611</v>
      </c>
      <c r="E24738" s="2" t="str">
        <f>"9789086860531"</f>
        <v>9789086860531</v>
      </c>
      <c r="F24738" s="2" t="str">
        <f>"9789086866267"</f>
        <v>9789086866267</v>
      </c>
    </row>
    <row r="24739" spans="1:6" s="3" customFormat="1" ht="29.1" customHeight="1" x14ac:dyDescent="0.25">
      <c r="A24739" s="2" t="s">
        <v>48273</v>
      </c>
      <c r="B24739" s="2" t="s">
        <v>48274</v>
      </c>
      <c r="C24739" s="2" t="s">
        <v>29</v>
      </c>
      <c r="D24739" s="2" t="s">
        <v>6511</v>
      </c>
      <c r="E24739" s="2" t="str">
        <f>"9789086860906"</f>
        <v>9789086860906</v>
      </c>
      <c r="F24739" s="2" t="str">
        <f>"9789086866526"</f>
        <v>9789086866526</v>
      </c>
    </row>
    <row r="24740" spans="1:6" s="3" customFormat="1" ht="29.1" customHeight="1" x14ac:dyDescent="0.25">
      <c r="A24740" s="2" t="s">
        <v>48275</v>
      </c>
      <c r="B24740" s="2" t="s">
        <v>48272</v>
      </c>
      <c r="C24740" s="2" t="s">
        <v>29</v>
      </c>
      <c r="D24740" s="2" t="s">
        <v>12611</v>
      </c>
      <c r="E24740" s="2" t="str">
        <f>"9789086860913"</f>
        <v>9789086860913</v>
      </c>
      <c r="F24740" s="2" t="str">
        <f>"9789086866984"</f>
        <v>9789086866984</v>
      </c>
    </row>
    <row r="24741" spans="1:6" s="3" customFormat="1" ht="29.1" customHeight="1" x14ac:dyDescent="0.25">
      <c r="A24741" s="2" t="s">
        <v>48276</v>
      </c>
      <c r="B24741" s="2" t="s">
        <v>48277</v>
      </c>
      <c r="C24741" s="2" t="s">
        <v>29</v>
      </c>
      <c r="D24741" s="2" t="s">
        <v>9625</v>
      </c>
      <c r="E24741" s="2" t="str">
        <f>"9789086861767"</f>
        <v>9789086861767</v>
      </c>
      <c r="F24741" s="2" t="str">
        <f>"9789086867301"</f>
        <v>9789086867301</v>
      </c>
    </row>
    <row r="24742" spans="1:6" s="3" customFormat="1" ht="29.1" customHeight="1" x14ac:dyDescent="0.25">
      <c r="A24742" s="2" t="s">
        <v>48278</v>
      </c>
      <c r="B24742" s="2" t="s">
        <v>48279</v>
      </c>
      <c r="C24742" s="2" t="s">
        <v>29</v>
      </c>
      <c r="D24742" s="2" t="s">
        <v>1988</v>
      </c>
      <c r="E24742" s="2" t="str">
        <f>"9789086861927"</f>
        <v>9789086861927</v>
      </c>
      <c r="F24742" s="2" t="str">
        <f>"9789086867486"</f>
        <v>9789086867486</v>
      </c>
    </row>
    <row r="24743" spans="1:6" s="3" customFormat="1" ht="29.1" customHeight="1" x14ac:dyDescent="0.25">
      <c r="A24743" s="2" t="s">
        <v>48280</v>
      </c>
      <c r="B24743" s="2" t="s">
        <v>48281</v>
      </c>
      <c r="C24743" s="2" t="s">
        <v>29</v>
      </c>
      <c r="D24743" s="2" t="s">
        <v>183</v>
      </c>
      <c r="E24743" s="2" t="str">
        <f>"9789086861965"</f>
        <v>9789086861965</v>
      </c>
      <c r="F24743" s="2" t="str">
        <f>"9789086867523"</f>
        <v>9789086867523</v>
      </c>
    </row>
    <row r="24744" spans="1:6" s="3" customFormat="1" ht="29.1" customHeight="1" x14ac:dyDescent="0.25">
      <c r="A24744" s="2" t="s">
        <v>48282</v>
      </c>
      <c r="B24744" s="2" t="s">
        <v>48283</v>
      </c>
      <c r="C24744" s="2" t="s">
        <v>36</v>
      </c>
      <c r="D24744" s="2" t="s">
        <v>15</v>
      </c>
      <c r="E24744" s="2" t="str">
        <f>"9781447305002"</f>
        <v>9781447305002</v>
      </c>
      <c r="F24744" s="2" t="str">
        <f>"9781447305019"</f>
        <v>9781447305019</v>
      </c>
    </row>
    <row r="24745" spans="1:6" s="3" customFormat="1" ht="29.1" customHeight="1" x14ac:dyDescent="0.25">
      <c r="A24745" s="2" t="s">
        <v>48284</v>
      </c>
      <c r="B24745" s="2" t="s">
        <v>48285</v>
      </c>
      <c r="C24745" s="2" t="s">
        <v>29</v>
      </c>
      <c r="D24745" s="2" t="s">
        <v>3270</v>
      </c>
      <c r="E24745" s="2" t="str">
        <f>"9789004285354"</f>
        <v>9789004285354</v>
      </c>
      <c r="F24745" s="2" t="str">
        <f>"9789004285361"</f>
        <v>9789004285361</v>
      </c>
    </row>
    <row r="24746" spans="1:6" s="3" customFormat="1" ht="29.1" customHeight="1" x14ac:dyDescent="0.25">
      <c r="A24746" s="2" t="s">
        <v>48286</v>
      </c>
      <c r="B24746" s="2" t="s">
        <v>48287</v>
      </c>
      <c r="C24746" s="2" t="s">
        <v>43061</v>
      </c>
      <c r="D24746" s="2" t="s">
        <v>764</v>
      </c>
      <c r="E24746" s="2" t="str">
        <f>"9783862196425"</f>
        <v>9783862196425</v>
      </c>
      <c r="F24746" s="2" t="str">
        <f>"9783862196432"</f>
        <v>9783862196432</v>
      </c>
    </row>
    <row r="24747" spans="1:6" s="3" customFormat="1" ht="29.1" customHeight="1" x14ac:dyDescent="0.25">
      <c r="A24747" s="2" t="s">
        <v>48288</v>
      </c>
      <c r="B24747" s="2" t="s">
        <v>48289</v>
      </c>
      <c r="C24747" s="2" t="s">
        <v>43061</v>
      </c>
      <c r="D24747" s="2" t="s">
        <v>46354</v>
      </c>
      <c r="E24747" s="2" t="str">
        <f>"9783862198368"</f>
        <v>9783862198368</v>
      </c>
      <c r="F24747" s="2" t="str">
        <f>"9783862198375"</f>
        <v>9783862198375</v>
      </c>
    </row>
    <row r="24748" spans="1:6" s="3" customFormat="1" ht="29.1" customHeight="1" x14ac:dyDescent="0.25">
      <c r="A24748" s="2" t="s">
        <v>48290</v>
      </c>
      <c r="B24748" s="2" t="s">
        <v>48291</v>
      </c>
      <c r="C24748" s="2" t="s">
        <v>43061</v>
      </c>
      <c r="D24748" s="2" t="s">
        <v>2147</v>
      </c>
      <c r="E24748" s="2" t="str">
        <f>"9783862198146"</f>
        <v>9783862198146</v>
      </c>
      <c r="F24748" s="2" t="str">
        <f>"9783862198153"</f>
        <v>9783862198153</v>
      </c>
    </row>
    <row r="24749" spans="1:6" s="3" customFormat="1" ht="29.1" customHeight="1" x14ac:dyDescent="0.25">
      <c r="A24749" s="2" t="s">
        <v>48292</v>
      </c>
      <c r="B24749" s="2" t="s">
        <v>48293</v>
      </c>
      <c r="C24749" s="2" t="s">
        <v>43061</v>
      </c>
      <c r="D24749" s="2" t="s">
        <v>25933</v>
      </c>
      <c r="E24749" s="2" t="str">
        <f>"9783862196708"</f>
        <v>9783862196708</v>
      </c>
      <c r="F24749" s="2" t="str">
        <f>"9783862196715"</f>
        <v>9783862196715</v>
      </c>
    </row>
    <row r="24750" spans="1:6" s="3" customFormat="1" ht="29.1" customHeight="1" x14ac:dyDescent="0.25">
      <c r="A24750" s="2" t="s">
        <v>48294</v>
      </c>
      <c r="B24750" s="2" t="s">
        <v>48295</v>
      </c>
      <c r="C24750" s="2" t="s">
        <v>43061</v>
      </c>
      <c r="D24750" s="2" t="s">
        <v>3943</v>
      </c>
      <c r="E24750" s="2" t="str">
        <f>"9783862198702"</f>
        <v>9783862198702</v>
      </c>
      <c r="F24750" s="2" t="str">
        <f>"9783862198719"</f>
        <v>9783862198719</v>
      </c>
    </row>
    <row r="24751" spans="1:6" s="3" customFormat="1" ht="29.1" customHeight="1" x14ac:dyDescent="0.25">
      <c r="A24751" s="2" t="s">
        <v>48296</v>
      </c>
      <c r="B24751" s="2" t="s">
        <v>48297</v>
      </c>
      <c r="C24751" s="2" t="s">
        <v>43061</v>
      </c>
      <c r="D24751" s="2" t="s">
        <v>47116</v>
      </c>
      <c r="E24751" s="2" t="str">
        <f>"9783862198566"</f>
        <v>9783862198566</v>
      </c>
      <c r="F24751" s="2" t="str">
        <f>"9783862198573"</f>
        <v>9783862198573</v>
      </c>
    </row>
    <row r="24752" spans="1:6" s="3" customFormat="1" ht="29.1" customHeight="1" x14ac:dyDescent="0.25">
      <c r="A24752" s="2" t="s">
        <v>48298</v>
      </c>
      <c r="B24752" s="2" t="s">
        <v>48299</v>
      </c>
      <c r="C24752" s="2" t="s">
        <v>7395</v>
      </c>
      <c r="D24752" s="2" t="s">
        <v>49</v>
      </c>
      <c r="E24752" s="2" t="str">
        <f>"9780295994178"</f>
        <v>9780295994178</v>
      </c>
      <c r="F24752" s="2" t="str">
        <f>"9780295805610"</f>
        <v>9780295805610</v>
      </c>
    </row>
    <row r="24753" spans="1:6" s="3" customFormat="1" ht="29.1" customHeight="1" x14ac:dyDescent="0.25">
      <c r="A24753" s="2" t="s">
        <v>48300</v>
      </c>
      <c r="B24753" s="2" t="s">
        <v>48301</v>
      </c>
      <c r="C24753" s="2" t="s">
        <v>124</v>
      </c>
      <c r="D24753" s="2" t="s">
        <v>4789</v>
      </c>
      <c r="E24753" s="2" t="str">
        <f>"9780415947831"</f>
        <v>9780415947831</v>
      </c>
      <c r="F24753" s="2" t="str">
        <f>"9781135403324"</f>
        <v>9781135403324</v>
      </c>
    </row>
    <row r="24754" spans="1:6" s="3" customFormat="1" ht="29.1" customHeight="1" x14ac:dyDescent="0.25">
      <c r="A24754" s="2" t="s">
        <v>48302</v>
      </c>
      <c r="B24754" s="2" t="s">
        <v>39576</v>
      </c>
      <c r="C24754" s="2" t="s">
        <v>195</v>
      </c>
      <c r="D24754" s="2" t="s">
        <v>33</v>
      </c>
      <c r="E24754" s="2" t="str">
        <f>"9783110353044"</f>
        <v>9783110353044</v>
      </c>
      <c r="F24754" s="2" t="str">
        <f>"9783110353587"</f>
        <v>9783110353587</v>
      </c>
    </row>
    <row r="24755" spans="1:6" s="3" customFormat="1" ht="29.1" customHeight="1" x14ac:dyDescent="0.25">
      <c r="A24755" s="2" t="s">
        <v>48303</v>
      </c>
      <c r="B24755" s="2" t="s">
        <v>48304</v>
      </c>
      <c r="C24755" s="2" t="s">
        <v>195</v>
      </c>
      <c r="D24755" s="2" t="s">
        <v>210</v>
      </c>
      <c r="E24755" s="2" t="str">
        <f>"9783486761368"</f>
        <v>9783486761368</v>
      </c>
      <c r="F24755" s="2" t="str">
        <f>"9783110399042"</f>
        <v>9783110399042</v>
      </c>
    </row>
    <row r="24756" spans="1:6" s="3" customFormat="1" ht="29.1" customHeight="1" x14ac:dyDescent="0.25">
      <c r="A24756" s="2" t="s">
        <v>48305</v>
      </c>
      <c r="B24756" s="2" t="s">
        <v>48306</v>
      </c>
      <c r="C24756" s="2" t="s">
        <v>264</v>
      </c>
      <c r="D24756" s="2" t="s">
        <v>98</v>
      </c>
      <c r="E24756" s="2" t="str">
        <f>"9781466573376"</f>
        <v>9781466573376</v>
      </c>
      <c r="F24756" s="2" t="str">
        <f>"9781466573383"</f>
        <v>9781466573383</v>
      </c>
    </row>
    <row r="24757" spans="1:6" s="3" customFormat="1" ht="29.1" customHeight="1" x14ac:dyDescent="0.25">
      <c r="A24757" s="2" t="s">
        <v>48307</v>
      </c>
      <c r="B24757" s="2" t="s">
        <v>48308</v>
      </c>
      <c r="C24757" s="2" t="s">
        <v>595</v>
      </c>
      <c r="D24757" s="2" t="s">
        <v>5832</v>
      </c>
      <c r="E24757" s="2" t="str">
        <f>"9783631627389"</f>
        <v>9783631627389</v>
      </c>
      <c r="F24757" s="2" t="str">
        <f>"9783653026078"</f>
        <v>9783653026078</v>
      </c>
    </row>
    <row r="24758" spans="1:6" s="3" customFormat="1" ht="29.1" customHeight="1" x14ac:dyDescent="0.25">
      <c r="A24758" s="2" t="s">
        <v>48309</v>
      </c>
      <c r="B24758" s="2" t="s">
        <v>47923</v>
      </c>
      <c r="C24758" s="2" t="s">
        <v>195</v>
      </c>
      <c r="D24758" s="2" t="s">
        <v>1466</v>
      </c>
      <c r="E24758" s="2" t="str">
        <f>"9783110377163"</f>
        <v>9783110377163</v>
      </c>
      <c r="F24758" s="2" t="str">
        <f>"9783110400724"</f>
        <v>9783110400724</v>
      </c>
    </row>
    <row r="24759" spans="1:6" s="3" customFormat="1" ht="29.1" customHeight="1" x14ac:dyDescent="0.25">
      <c r="A24759" s="2" t="s">
        <v>48310</v>
      </c>
      <c r="B24759" s="2" t="s">
        <v>48311</v>
      </c>
      <c r="C24759" s="2" t="s">
        <v>195</v>
      </c>
      <c r="D24759" s="2" t="s">
        <v>3062</v>
      </c>
      <c r="E24759" s="2" t="str">
        <f>"9783110295450"</f>
        <v>9783110295450</v>
      </c>
      <c r="F24759" s="2" t="str">
        <f>"9783110295467"</f>
        <v>9783110295467</v>
      </c>
    </row>
    <row r="24760" spans="1:6" s="3" customFormat="1" ht="29.1" customHeight="1" x14ac:dyDescent="0.25">
      <c r="A24760" s="2" t="s">
        <v>48312</v>
      </c>
      <c r="B24760" s="2" t="s">
        <v>48313</v>
      </c>
      <c r="C24760" s="2" t="s">
        <v>195</v>
      </c>
      <c r="D24760" s="2" t="s">
        <v>462</v>
      </c>
      <c r="E24760" s="2" t="str">
        <f>"9783110266290"</f>
        <v>9783110266290</v>
      </c>
      <c r="F24760" s="2" t="str">
        <f>"9783110266306"</f>
        <v>9783110266306</v>
      </c>
    </row>
    <row r="24761" spans="1:6" s="3" customFormat="1" ht="29.1" customHeight="1" x14ac:dyDescent="0.25">
      <c r="A24761" s="2" t="s">
        <v>48314</v>
      </c>
      <c r="B24761" s="2" t="s">
        <v>48315</v>
      </c>
      <c r="C24761" s="2" t="s">
        <v>195</v>
      </c>
      <c r="D24761" s="2" t="s">
        <v>4185</v>
      </c>
      <c r="E24761" s="2" t="str">
        <f>"9783110222838"</f>
        <v>9783110222838</v>
      </c>
      <c r="F24761" s="2" t="str">
        <f>"9783110222845"</f>
        <v>9783110222845</v>
      </c>
    </row>
    <row r="24762" spans="1:6" s="3" customFormat="1" ht="29.1" customHeight="1" x14ac:dyDescent="0.25">
      <c r="A24762" s="2" t="s">
        <v>48316</v>
      </c>
      <c r="B24762" s="2" t="s">
        <v>48317</v>
      </c>
      <c r="C24762" s="2" t="s">
        <v>124</v>
      </c>
      <c r="D24762" s="2" t="s">
        <v>2587</v>
      </c>
      <c r="E24762" s="2" t="str">
        <f>"9781138792890"</f>
        <v>9781138792890</v>
      </c>
      <c r="F24762" s="2" t="str">
        <f>"9781317601128"</f>
        <v>9781317601128</v>
      </c>
    </row>
    <row r="24763" spans="1:6" s="3" customFormat="1" ht="29.1" customHeight="1" x14ac:dyDescent="0.25">
      <c r="A24763" s="2" t="s">
        <v>48318</v>
      </c>
      <c r="B24763" s="2" t="s">
        <v>48319</v>
      </c>
      <c r="C24763" s="2" t="s">
        <v>149</v>
      </c>
      <c r="D24763" s="2" t="s">
        <v>270</v>
      </c>
      <c r="E24763" s="2" t="str">
        <f>"9781783740925"</f>
        <v>9781783740925</v>
      </c>
      <c r="F24763" s="2" t="str">
        <f>"9781783740949"</f>
        <v>9781783740949</v>
      </c>
    </row>
    <row r="24764" spans="1:6" s="3" customFormat="1" ht="29.1" customHeight="1" x14ac:dyDescent="0.25">
      <c r="A24764" s="2" t="s">
        <v>48320</v>
      </c>
      <c r="B24764" s="2" t="s">
        <v>48321</v>
      </c>
      <c r="C24764" s="2" t="s">
        <v>149</v>
      </c>
      <c r="D24764" s="2" t="s">
        <v>636</v>
      </c>
      <c r="E24764" s="2" t="str">
        <f>"9781909254855"</f>
        <v>9781909254855</v>
      </c>
      <c r="F24764" s="2" t="str">
        <f>"9781909254879"</f>
        <v>9781909254879</v>
      </c>
    </row>
    <row r="24765" spans="1:6" s="3" customFormat="1" ht="29.1" customHeight="1" x14ac:dyDescent="0.25">
      <c r="A24765" s="2" t="s">
        <v>48322</v>
      </c>
      <c r="B24765" s="2" t="s">
        <v>48323</v>
      </c>
      <c r="C24765" s="2" t="s">
        <v>149</v>
      </c>
      <c r="D24765" s="2" t="s">
        <v>1962</v>
      </c>
      <c r="E24765" s="2" t="str">
        <f>"9781783740529"</f>
        <v>9781783740529</v>
      </c>
      <c r="F24765" s="2" t="str">
        <f>"9781783740543"</f>
        <v>9781783740543</v>
      </c>
    </row>
    <row r="24766" spans="1:6" s="3" customFormat="1" ht="29.1" customHeight="1" x14ac:dyDescent="0.25">
      <c r="A24766" s="2" t="s">
        <v>48324</v>
      </c>
      <c r="B24766" s="2" t="s">
        <v>48325</v>
      </c>
      <c r="C24766" s="2" t="s">
        <v>149</v>
      </c>
      <c r="D24766" s="2" t="s">
        <v>10578</v>
      </c>
      <c r="E24766" s="2" t="str">
        <f>"9781783740673"</f>
        <v>9781783740673</v>
      </c>
      <c r="F24766" s="2" t="str">
        <f>"9781783740697"</f>
        <v>9781783740697</v>
      </c>
    </row>
    <row r="24767" spans="1:6" s="3" customFormat="1" ht="29.1" customHeight="1" x14ac:dyDescent="0.25">
      <c r="A24767" s="2" t="s">
        <v>48326</v>
      </c>
      <c r="B24767" s="2" t="s">
        <v>48327</v>
      </c>
      <c r="C24767" s="2" t="s">
        <v>195</v>
      </c>
      <c r="D24767" s="2" t="s">
        <v>916</v>
      </c>
      <c r="E24767" s="2" t="str">
        <f>"9783486568295"</f>
        <v>9783486568295</v>
      </c>
      <c r="F24767" s="2" t="str">
        <f>"9783486835380"</f>
        <v>9783486835380</v>
      </c>
    </row>
    <row r="24768" spans="1:6" s="3" customFormat="1" ht="29.1" customHeight="1" x14ac:dyDescent="0.25">
      <c r="A24768" s="2" t="s">
        <v>48328</v>
      </c>
      <c r="B24768" s="2" t="s">
        <v>48329</v>
      </c>
      <c r="C24768" s="2" t="s">
        <v>195</v>
      </c>
      <c r="D24768" s="2" t="s">
        <v>916</v>
      </c>
      <c r="E24768" s="2" t="str">
        <f>"9783486566840"</f>
        <v>9783486566840</v>
      </c>
      <c r="F24768" s="2" t="str">
        <f>"9783486833607"</f>
        <v>9783486833607</v>
      </c>
    </row>
    <row r="24769" spans="1:6" s="3" customFormat="1" ht="29.1" customHeight="1" x14ac:dyDescent="0.25">
      <c r="A24769" s="2" t="s">
        <v>48330</v>
      </c>
      <c r="B24769" s="2" t="s">
        <v>48331</v>
      </c>
      <c r="C24769" s="2" t="s">
        <v>195</v>
      </c>
      <c r="D24769" s="2" t="s">
        <v>916</v>
      </c>
      <c r="E24769" s="2" t="str">
        <f>"9783486566833"</f>
        <v>9783486566833</v>
      </c>
      <c r="F24769" s="2" t="str">
        <f>"9783486833584"</f>
        <v>9783486833584</v>
      </c>
    </row>
    <row r="24770" spans="1:6" s="3" customFormat="1" ht="29.1" customHeight="1" x14ac:dyDescent="0.25">
      <c r="A24770" s="2" t="s">
        <v>48332</v>
      </c>
      <c r="B24770" s="2" t="s">
        <v>48333</v>
      </c>
      <c r="C24770" s="2" t="s">
        <v>195</v>
      </c>
      <c r="D24770" s="2" t="s">
        <v>210</v>
      </c>
      <c r="E24770" s="2" t="str">
        <f>"9783486566086"</f>
        <v>9783486566086</v>
      </c>
      <c r="F24770" s="2" t="str">
        <f>"9783486832945"</f>
        <v>9783486832945</v>
      </c>
    </row>
    <row r="24771" spans="1:6" s="3" customFormat="1" ht="29.1" customHeight="1" x14ac:dyDescent="0.25">
      <c r="A24771" s="2" t="s">
        <v>48334</v>
      </c>
      <c r="B24771" s="2" t="s">
        <v>48335</v>
      </c>
      <c r="C24771" s="2" t="s">
        <v>195</v>
      </c>
      <c r="D24771" s="2" t="s">
        <v>4561</v>
      </c>
      <c r="E24771" s="2" t="str">
        <f>"9783899494372"</f>
        <v>9783899494372</v>
      </c>
      <c r="F24771" s="2" t="str">
        <f>"9783110977097"</f>
        <v>9783110977097</v>
      </c>
    </row>
    <row r="24772" spans="1:6" s="3" customFormat="1" ht="29.1" customHeight="1" x14ac:dyDescent="0.25">
      <c r="A24772" s="2" t="s">
        <v>48336</v>
      </c>
      <c r="B24772" s="2" t="s">
        <v>47548</v>
      </c>
      <c r="C24772" s="2" t="s">
        <v>195</v>
      </c>
      <c r="D24772" s="2" t="s">
        <v>14574</v>
      </c>
      <c r="E24772" s="2" t="str">
        <f>"9783110177633"</f>
        <v>9783110177633</v>
      </c>
      <c r="F24772" s="2" t="str">
        <f>"9783110906752"</f>
        <v>9783110906752</v>
      </c>
    </row>
    <row r="24773" spans="1:6" s="3" customFormat="1" ht="29.1" customHeight="1" x14ac:dyDescent="0.25">
      <c r="A24773" s="2" t="s">
        <v>48337</v>
      </c>
      <c r="B24773" s="2" t="s">
        <v>47548</v>
      </c>
      <c r="C24773" s="2" t="s">
        <v>195</v>
      </c>
      <c r="D24773" s="2" t="s">
        <v>14574</v>
      </c>
      <c r="E24773" s="2" t="str">
        <f>"9783110171228"</f>
        <v>9783110171228</v>
      </c>
      <c r="F24773" s="2" t="str">
        <f>"9783110849196"</f>
        <v>9783110849196</v>
      </c>
    </row>
    <row r="24774" spans="1:6" s="3" customFormat="1" ht="29.1" customHeight="1" x14ac:dyDescent="0.25">
      <c r="A24774" s="2" t="s">
        <v>48338</v>
      </c>
      <c r="B24774" s="2" t="s">
        <v>47548</v>
      </c>
      <c r="C24774" s="2" t="s">
        <v>195</v>
      </c>
      <c r="D24774" s="2" t="s">
        <v>14574</v>
      </c>
      <c r="E24774" s="2" t="str">
        <f>"9783110174366"</f>
        <v>9783110174366</v>
      </c>
      <c r="F24774" s="2" t="str">
        <f>"9783110908466"</f>
        <v>9783110908466</v>
      </c>
    </row>
    <row r="24775" spans="1:6" s="3" customFormat="1" ht="29.1" customHeight="1" x14ac:dyDescent="0.25">
      <c r="A24775" s="2" t="s">
        <v>48339</v>
      </c>
      <c r="B24775" s="2" t="s">
        <v>48340</v>
      </c>
      <c r="C24775" s="2" t="s">
        <v>195</v>
      </c>
      <c r="D24775" s="2" t="s">
        <v>30328</v>
      </c>
      <c r="E24775" s="2" t="str">
        <f>"9783110333831"</f>
        <v>9783110333831</v>
      </c>
      <c r="F24775" s="2" t="str">
        <f>"9783110338799"</f>
        <v>9783110338799</v>
      </c>
    </row>
    <row r="24776" spans="1:6" s="3" customFormat="1" ht="29.1" customHeight="1" x14ac:dyDescent="0.25">
      <c r="A24776" s="2" t="s">
        <v>48341</v>
      </c>
      <c r="B24776" s="2" t="s">
        <v>48342</v>
      </c>
      <c r="C24776" s="2" t="s">
        <v>195</v>
      </c>
      <c r="D24776" s="2" t="s">
        <v>459</v>
      </c>
      <c r="E24776" s="2" t="str">
        <f>"9781501510373"</f>
        <v>9781501510373</v>
      </c>
      <c r="F24776" s="2" t="str">
        <f>"9781501500008"</f>
        <v>9781501500008</v>
      </c>
    </row>
    <row r="24777" spans="1:6" s="3" customFormat="1" ht="29.1" customHeight="1" x14ac:dyDescent="0.25">
      <c r="A24777" s="2" t="s">
        <v>48343</v>
      </c>
      <c r="B24777" s="2" t="s">
        <v>48344</v>
      </c>
      <c r="C24777" s="2" t="s">
        <v>195</v>
      </c>
      <c r="D24777" s="2" t="s">
        <v>1466</v>
      </c>
      <c r="E24777" s="2" t="str">
        <f>"9783486778410"</f>
        <v>9783486778410</v>
      </c>
      <c r="F24777" s="2" t="str">
        <f>"9783110348736"</f>
        <v>9783110348736</v>
      </c>
    </row>
    <row r="24778" spans="1:6" s="3" customFormat="1" ht="29.1" customHeight="1" x14ac:dyDescent="0.25">
      <c r="A24778" s="2" t="s">
        <v>48345</v>
      </c>
      <c r="B24778" s="2" t="s">
        <v>48346</v>
      </c>
      <c r="C24778" s="2" t="s">
        <v>195</v>
      </c>
      <c r="D24778" s="2" t="s">
        <v>210</v>
      </c>
      <c r="E24778" s="2" t="str">
        <f>"9783486764543"</f>
        <v>9783486764543</v>
      </c>
      <c r="F24778" s="2" t="str">
        <f>"9783110345445"</f>
        <v>9783110345445</v>
      </c>
    </row>
    <row r="24779" spans="1:6" s="3" customFormat="1" ht="29.1" customHeight="1" x14ac:dyDescent="0.25">
      <c r="A24779" s="2" t="s">
        <v>48347</v>
      </c>
      <c r="B24779" s="2" t="s">
        <v>48348</v>
      </c>
      <c r="C24779" s="2" t="s">
        <v>195</v>
      </c>
      <c r="D24779" s="2" t="s">
        <v>1183</v>
      </c>
      <c r="E24779" s="2" t="str">
        <f>"9783486781397"</f>
        <v>9783486781397</v>
      </c>
      <c r="F24779" s="2" t="str">
        <f>"9783110345438"</f>
        <v>9783110345438</v>
      </c>
    </row>
    <row r="24780" spans="1:6" s="3" customFormat="1" ht="29.1" customHeight="1" x14ac:dyDescent="0.25">
      <c r="A24780" s="2" t="s">
        <v>48349</v>
      </c>
      <c r="B24780" s="2" t="s">
        <v>48350</v>
      </c>
      <c r="C24780" s="2" t="s">
        <v>195</v>
      </c>
      <c r="D24780" s="2" t="s">
        <v>4185</v>
      </c>
      <c r="E24780" s="2" t="str">
        <f>"9783110337457"</f>
        <v>9783110337457</v>
      </c>
      <c r="F24780" s="2" t="str">
        <f>"9783110337594"</f>
        <v>9783110337594</v>
      </c>
    </row>
    <row r="24781" spans="1:6" s="3" customFormat="1" ht="29.1" customHeight="1" x14ac:dyDescent="0.25">
      <c r="A24781" s="2" t="s">
        <v>48351</v>
      </c>
      <c r="B24781" s="2" t="s">
        <v>48352</v>
      </c>
      <c r="C24781" s="2" t="s">
        <v>195</v>
      </c>
      <c r="D24781" s="2" t="s">
        <v>5560</v>
      </c>
      <c r="E24781" s="2" t="str">
        <f>"9783110347074"</f>
        <v>9783110347074</v>
      </c>
      <c r="F24781" s="2" t="str">
        <f>"9783110348750"</f>
        <v>9783110348750</v>
      </c>
    </row>
    <row r="24782" spans="1:6" s="3" customFormat="1" ht="29.1" customHeight="1" x14ac:dyDescent="0.25">
      <c r="A24782" s="2" t="s">
        <v>48353</v>
      </c>
      <c r="B24782" s="2" t="s">
        <v>48354</v>
      </c>
      <c r="C24782" s="2" t="s">
        <v>264</v>
      </c>
      <c r="D24782" s="2" t="s">
        <v>1759</v>
      </c>
      <c r="E24782" s="2" t="str">
        <f>"9781439829615"</f>
        <v>9781439829615</v>
      </c>
      <c r="F24782" s="2" t="str">
        <f>"9781439829622"</f>
        <v>9781439829622</v>
      </c>
    </row>
    <row r="24783" spans="1:6" s="3" customFormat="1" ht="29.1" customHeight="1" x14ac:dyDescent="0.25">
      <c r="A24783" s="2" t="s">
        <v>48355</v>
      </c>
      <c r="B24783" s="2" t="s">
        <v>48356</v>
      </c>
      <c r="C24783" s="2" t="s">
        <v>264</v>
      </c>
      <c r="D24783" s="2" t="s">
        <v>758</v>
      </c>
      <c r="E24783" s="2" t="str">
        <f>"9781482224474"</f>
        <v>9781482224474</v>
      </c>
      <c r="F24783" s="2" t="str">
        <f>"9781482224481"</f>
        <v>9781482224481</v>
      </c>
    </row>
    <row r="24784" spans="1:6" s="3" customFormat="1" ht="29.1" customHeight="1" x14ac:dyDescent="0.25">
      <c r="A24784" s="2" t="s">
        <v>48357</v>
      </c>
      <c r="B24784" s="2" t="s">
        <v>48358</v>
      </c>
      <c r="C24784" s="2" t="s">
        <v>264</v>
      </c>
      <c r="D24784" s="2" t="s">
        <v>7199</v>
      </c>
      <c r="E24784" s="2" t="str">
        <f>"9781439856505"</f>
        <v>9781439856505</v>
      </c>
      <c r="F24784" s="2" t="str">
        <f>"9781439856512"</f>
        <v>9781439856512</v>
      </c>
    </row>
    <row r="24785" spans="1:6" s="3" customFormat="1" ht="29.1" customHeight="1" x14ac:dyDescent="0.25">
      <c r="A24785" s="2" t="s">
        <v>48359</v>
      </c>
      <c r="B24785" s="2" t="s">
        <v>48360</v>
      </c>
      <c r="C24785" s="2" t="s">
        <v>11220</v>
      </c>
      <c r="D24785" s="2" t="s">
        <v>4789</v>
      </c>
      <c r="E24785" s="2" t="str">
        <f>"9781479880416"</f>
        <v>9781479880416</v>
      </c>
      <c r="F24785" s="2" t="str">
        <f>"9781479843404"</f>
        <v>9781479843404</v>
      </c>
    </row>
    <row r="24786" spans="1:6" s="3" customFormat="1" ht="29.1" customHeight="1" x14ac:dyDescent="0.25">
      <c r="A24786" s="2" t="s">
        <v>48361</v>
      </c>
      <c r="B24786" s="2" t="s">
        <v>48362</v>
      </c>
      <c r="C24786" s="2" t="s">
        <v>11220</v>
      </c>
      <c r="D24786" s="2" t="s">
        <v>183</v>
      </c>
      <c r="E24786" s="2" t="str">
        <f>"9780814770399"</f>
        <v>9780814770399</v>
      </c>
      <c r="F24786" s="2" t="str">
        <f>"9780814760079"</f>
        <v>9780814760079</v>
      </c>
    </row>
    <row r="24787" spans="1:6" s="3" customFormat="1" ht="29.1" customHeight="1" x14ac:dyDescent="0.25">
      <c r="A24787" s="2" t="s">
        <v>48363</v>
      </c>
      <c r="B24787" s="2" t="s">
        <v>48364</v>
      </c>
      <c r="C24787" s="2" t="s">
        <v>11220</v>
      </c>
      <c r="D24787" s="2" t="s">
        <v>183</v>
      </c>
      <c r="E24787" s="2" t="str">
        <f>"9781479847273"</f>
        <v>9781479847273</v>
      </c>
      <c r="F24787" s="2" t="str">
        <f>"9781479800223"</f>
        <v>9781479800223</v>
      </c>
    </row>
    <row r="24788" spans="1:6" s="3" customFormat="1" ht="29.1" customHeight="1" x14ac:dyDescent="0.25">
      <c r="A24788" s="2" t="s">
        <v>48365</v>
      </c>
      <c r="B24788" s="2" t="s">
        <v>5964</v>
      </c>
      <c r="C24788" s="2" t="s">
        <v>26676</v>
      </c>
      <c r="D24788" s="2" t="s">
        <v>2602</v>
      </c>
      <c r="E24788" s="2" t="str">
        <f>"9781618113504"</f>
        <v>9781618113504</v>
      </c>
      <c r="F24788" s="2" t="str">
        <f>"9781618113610"</f>
        <v>9781618113610</v>
      </c>
    </row>
    <row r="24789" spans="1:6" s="3" customFormat="1" ht="29.1" customHeight="1" x14ac:dyDescent="0.25">
      <c r="A24789" s="2" t="s">
        <v>48366</v>
      </c>
      <c r="B24789" s="2" t="s">
        <v>48367</v>
      </c>
      <c r="C24789" s="2" t="s">
        <v>26676</v>
      </c>
      <c r="D24789" s="2" t="s">
        <v>14574</v>
      </c>
      <c r="E24789" s="2" t="str">
        <f>"9781618112781"</f>
        <v>9781618112781</v>
      </c>
      <c r="F24789" s="2" t="str">
        <f>"9781618112798"</f>
        <v>9781618112798</v>
      </c>
    </row>
    <row r="24790" spans="1:6" s="3" customFormat="1" ht="29.1" customHeight="1" x14ac:dyDescent="0.25">
      <c r="A24790" s="2" t="s">
        <v>48368</v>
      </c>
      <c r="B24790" s="2" t="s">
        <v>48369</v>
      </c>
      <c r="C24790" s="2" t="s">
        <v>927</v>
      </c>
      <c r="D24790" s="2" t="s">
        <v>270</v>
      </c>
      <c r="E24790" s="2" t="str">
        <f>"9780472119097"</f>
        <v>9780472119097</v>
      </c>
      <c r="F24790" s="2" t="str">
        <f>"9780472029662"</f>
        <v>9780472029662</v>
      </c>
    </row>
    <row r="24791" spans="1:6" s="3" customFormat="1" ht="29.1" customHeight="1" x14ac:dyDescent="0.25">
      <c r="A24791" s="2" t="s">
        <v>48370</v>
      </c>
      <c r="B24791" s="2" t="s">
        <v>48371</v>
      </c>
      <c r="C24791" s="2" t="s">
        <v>927</v>
      </c>
      <c r="D24791" s="2" t="s">
        <v>297</v>
      </c>
      <c r="E24791" s="2" t="str">
        <f>"9780472052158"</f>
        <v>9780472052158</v>
      </c>
      <c r="F24791" s="2" t="str">
        <f>"9780472120314"</f>
        <v>9780472120314</v>
      </c>
    </row>
    <row r="24792" spans="1:6" s="3" customFormat="1" ht="29.1" customHeight="1" x14ac:dyDescent="0.25">
      <c r="A24792" s="2" t="s">
        <v>48372</v>
      </c>
      <c r="B24792" s="2" t="s">
        <v>48373</v>
      </c>
      <c r="C24792" s="2" t="s">
        <v>927</v>
      </c>
      <c r="D24792" s="2" t="s">
        <v>4517</v>
      </c>
      <c r="E24792" s="2" t="str">
        <f>"9780472052325"</f>
        <v>9780472052325</v>
      </c>
      <c r="F24792" s="2" t="str">
        <f>"9780472120529"</f>
        <v>9780472120529</v>
      </c>
    </row>
    <row r="24793" spans="1:6" s="3" customFormat="1" ht="29.1" customHeight="1" x14ac:dyDescent="0.25">
      <c r="A24793" s="2" t="s">
        <v>48374</v>
      </c>
      <c r="B24793" s="2" t="s">
        <v>48375</v>
      </c>
      <c r="C24793" s="2" t="s">
        <v>29</v>
      </c>
      <c r="D24793" s="2" t="s">
        <v>9600</v>
      </c>
      <c r="E24793" s="2" t="str">
        <f>"9789004279414"</f>
        <v>9789004279414</v>
      </c>
      <c r="F24793" s="2" t="str">
        <f>"9789004279421"</f>
        <v>9789004279421</v>
      </c>
    </row>
    <row r="24794" spans="1:6" s="3" customFormat="1" ht="29.1" customHeight="1" x14ac:dyDescent="0.25">
      <c r="A24794" s="2" t="s">
        <v>48376</v>
      </c>
      <c r="B24794" s="2" t="s">
        <v>48377</v>
      </c>
      <c r="C24794" s="2" t="s">
        <v>1070</v>
      </c>
      <c r="D24794" s="2" t="s">
        <v>468</v>
      </c>
      <c r="E24794" s="2" t="str">
        <f>"9783318026030"</f>
        <v>9783318026030</v>
      </c>
      <c r="F24794" s="2" t="str">
        <f>"9783318026047"</f>
        <v>9783318026047</v>
      </c>
    </row>
    <row r="24795" spans="1:6" s="3" customFormat="1" ht="29.1" customHeight="1" x14ac:dyDescent="0.25">
      <c r="A24795" s="2" t="s">
        <v>48378</v>
      </c>
      <c r="B24795" s="2" t="s">
        <v>48379</v>
      </c>
      <c r="C24795" s="2" t="s">
        <v>316</v>
      </c>
      <c r="D24795" s="2" t="s">
        <v>1959</v>
      </c>
      <c r="E24795" s="2" t="str">
        <f>"9783038353232"</f>
        <v>9783038353232</v>
      </c>
      <c r="F24795" s="2" t="str">
        <f>"9783038267072"</f>
        <v>9783038267072</v>
      </c>
    </row>
    <row r="24796" spans="1:6" s="3" customFormat="1" ht="29.1" customHeight="1" x14ac:dyDescent="0.25">
      <c r="A24796" s="2" t="s">
        <v>48380</v>
      </c>
      <c r="B24796" s="2" t="s">
        <v>48381</v>
      </c>
      <c r="C24796" s="2" t="s">
        <v>927</v>
      </c>
      <c r="D24796" s="2" t="s">
        <v>210</v>
      </c>
      <c r="E24796" s="2" t="str">
        <f>"9780472036059"</f>
        <v>9780472036059</v>
      </c>
      <c r="F24796" s="2" t="str">
        <f>"9780472120543"</f>
        <v>9780472120543</v>
      </c>
    </row>
    <row r="24797" spans="1:6" s="3" customFormat="1" ht="29.1" customHeight="1" x14ac:dyDescent="0.25">
      <c r="A24797" s="2" t="s">
        <v>45981</v>
      </c>
      <c r="B24797" s="2" t="s">
        <v>48382</v>
      </c>
      <c r="C24797" s="2" t="s">
        <v>595</v>
      </c>
      <c r="D24797" s="2" t="s">
        <v>118</v>
      </c>
      <c r="E24797" s="2" t="str">
        <f>"9783039115914"</f>
        <v>9783039115914</v>
      </c>
      <c r="F24797" s="2" t="str">
        <f>"9783035107968"</f>
        <v>9783035107968</v>
      </c>
    </row>
    <row r="24798" spans="1:6" s="3" customFormat="1" ht="29.1" customHeight="1" x14ac:dyDescent="0.25">
      <c r="A24798" s="2" t="s">
        <v>48383</v>
      </c>
      <c r="B24798" s="2" t="s">
        <v>48384</v>
      </c>
      <c r="C24798" s="2" t="s">
        <v>595</v>
      </c>
      <c r="D24798" s="2" t="s">
        <v>1183</v>
      </c>
      <c r="E24798" s="2" t="str">
        <f>"9783631640517"</f>
        <v>9783631640517</v>
      </c>
      <c r="F24798" s="2" t="str">
        <f>"9783653024432"</f>
        <v>9783653024432</v>
      </c>
    </row>
    <row r="24799" spans="1:6" s="3" customFormat="1" ht="29.1" customHeight="1" x14ac:dyDescent="0.25">
      <c r="A24799" s="2" t="s">
        <v>48385</v>
      </c>
      <c r="B24799" s="2" t="s">
        <v>48386</v>
      </c>
      <c r="C24799" s="2" t="s">
        <v>595</v>
      </c>
      <c r="D24799" s="2" t="s">
        <v>2810</v>
      </c>
      <c r="E24799" s="2" t="str">
        <f>"9783631627501"</f>
        <v>9783631627501</v>
      </c>
      <c r="F24799" s="2" t="str">
        <f>"9783653026344"</f>
        <v>9783653026344</v>
      </c>
    </row>
    <row r="24800" spans="1:6" s="3" customFormat="1" ht="29.1" customHeight="1" x14ac:dyDescent="0.25">
      <c r="A24800" s="2" t="s">
        <v>48387</v>
      </c>
      <c r="B24800" s="2" t="s">
        <v>48388</v>
      </c>
      <c r="C24800" s="2" t="s">
        <v>595</v>
      </c>
      <c r="D24800" s="2" t="s">
        <v>528</v>
      </c>
      <c r="E24800" s="2" t="str">
        <f>"9783631626801"</f>
        <v>9783631626801</v>
      </c>
      <c r="F24800" s="2" t="str">
        <f>"9783653024036"</f>
        <v>9783653024036</v>
      </c>
    </row>
    <row r="24801" spans="1:6" s="3" customFormat="1" ht="29.1" customHeight="1" x14ac:dyDescent="0.25">
      <c r="A24801" s="2" t="s">
        <v>48389</v>
      </c>
      <c r="B24801" s="2" t="s">
        <v>48390</v>
      </c>
      <c r="C24801" s="2" t="s">
        <v>556</v>
      </c>
      <c r="D24801" s="2" t="s">
        <v>1411</v>
      </c>
      <c r="E24801" s="2" t="str">
        <f>"9783837629606"</f>
        <v>9783837629606</v>
      </c>
      <c r="F24801" s="2" t="str">
        <f>"9783839429600"</f>
        <v>9783839429600</v>
      </c>
    </row>
    <row r="24802" spans="1:6" s="3" customFormat="1" ht="29.1" customHeight="1" x14ac:dyDescent="0.25">
      <c r="A24802" s="2" t="s">
        <v>48391</v>
      </c>
      <c r="B24802" s="2" t="s">
        <v>48392</v>
      </c>
      <c r="C24802" s="2" t="s">
        <v>556</v>
      </c>
      <c r="D24802" s="2" t="s">
        <v>7000</v>
      </c>
      <c r="E24802" s="2" t="str">
        <f>"9783837629040"</f>
        <v>9783837629040</v>
      </c>
      <c r="F24802" s="2" t="str">
        <f>"9783839429044"</f>
        <v>9783839429044</v>
      </c>
    </row>
    <row r="24803" spans="1:6" s="3" customFormat="1" ht="29.1" customHeight="1" x14ac:dyDescent="0.25">
      <c r="A24803" s="2" t="s">
        <v>48393</v>
      </c>
      <c r="B24803" s="2" t="s">
        <v>48394</v>
      </c>
      <c r="C24803" s="2" t="s">
        <v>556</v>
      </c>
      <c r="D24803" s="2" t="s">
        <v>490</v>
      </c>
      <c r="E24803" s="2" t="str">
        <f>"9783837628487"</f>
        <v>9783837628487</v>
      </c>
      <c r="F24803" s="2" t="str">
        <f>"9783839428481"</f>
        <v>9783839428481</v>
      </c>
    </row>
    <row r="24804" spans="1:6" s="3" customFormat="1" ht="29.1" customHeight="1" x14ac:dyDescent="0.25">
      <c r="A24804" s="2" t="s">
        <v>48395</v>
      </c>
      <c r="B24804" s="2" t="s">
        <v>48396</v>
      </c>
      <c r="C24804" s="2" t="s">
        <v>556</v>
      </c>
      <c r="D24804" s="2" t="s">
        <v>297</v>
      </c>
      <c r="E24804" s="2" t="str">
        <f>"9783837627862"</f>
        <v>9783837627862</v>
      </c>
      <c r="F24804" s="2" t="str">
        <f>"9783839427866"</f>
        <v>9783839427866</v>
      </c>
    </row>
    <row r="24805" spans="1:6" s="3" customFormat="1" ht="29.1" customHeight="1" x14ac:dyDescent="0.25">
      <c r="A24805" s="2" t="s">
        <v>48397</v>
      </c>
      <c r="B24805" s="2" t="s">
        <v>48398</v>
      </c>
      <c r="C24805" s="2" t="s">
        <v>556</v>
      </c>
      <c r="D24805" s="2" t="s">
        <v>1162</v>
      </c>
      <c r="E24805" s="2" t="str">
        <f>"9783837627282"</f>
        <v>9783837627282</v>
      </c>
      <c r="F24805" s="2" t="str">
        <f>"9783839427286"</f>
        <v>9783839427286</v>
      </c>
    </row>
    <row r="24806" spans="1:6" s="3" customFormat="1" ht="29.1" customHeight="1" x14ac:dyDescent="0.25">
      <c r="A24806" s="2" t="s">
        <v>48399</v>
      </c>
      <c r="B24806" s="2" t="s">
        <v>48400</v>
      </c>
      <c r="C24806" s="2" t="s">
        <v>556</v>
      </c>
      <c r="D24806" s="2" t="s">
        <v>78</v>
      </c>
      <c r="E24806" s="2" t="str">
        <f>"9783837627183"</f>
        <v>9783837627183</v>
      </c>
      <c r="F24806" s="2" t="str">
        <f>"9783839427187"</f>
        <v>9783839427187</v>
      </c>
    </row>
    <row r="24807" spans="1:6" s="3" customFormat="1" ht="29.1" customHeight="1" x14ac:dyDescent="0.25">
      <c r="A24807" s="2" t="s">
        <v>48401</v>
      </c>
      <c r="B24807" s="2" t="s">
        <v>48402</v>
      </c>
      <c r="C24807" s="2" t="s">
        <v>556</v>
      </c>
      <c r="D24807" s="2" t="s">
        <v>1544</v>
      </c>
      <c r="E24807" s="2" t="str">
        <f>"9783837626964"</f>
        <v>9783837626964</v>
      </c>
      <c r="F24807" s="2" t="str">
        <f>"9783839426968"</f>
        <v>9783839426968</v>
      </c>
    </row>
    <row r="24808" spans="1:6" s="3" customFormat="1" ht="29.1" customHeight="1" x14ac:dyDescent="0.25">
      <c r="A24808" s="2" t="s">
        <v>48403</v>
      </c>
      <c r="B24808" s="2" t="s">
        <v>47387</v>
      </c>
      <c r="C24808" s="2" t="s">
        <v>556</v>
      </c>
      <c r="D24808" s="2" t="s">
        <v>636</v>
      </c>
      <c r="E24808" s="2" t="str">
        <f>"9783837626490"</f>
        <v>9783837626490</v>
      </c>
      <c r="F24808" s="2" t="str">
        <f>"9783839426494"</f>
        <v>9783839426494</v>
      </c>
    </row>
    <row r="24809" spans="1:6" s="3" customFormat="1" ht="29.1" customHeight="1" x14ac:dyDescent="0.25">
      <c r="A24809" s="2" t="s">
        <v>48404</v>
      </c>
      <c r="B24809" s="2" t="s">
        <v>48405</v>
      </c>
      <c r="C24809" s="2" t="s">
        <v>556</v>
      </c>
      <c r="D24809" s="2" t="s">
        <v>501</v>
      </c>
      <c r="E24809" s="2" t="str">
        <f>"9783837626407"</f>
        <v>9783837626407</v>
      </c>
      <c r="F24809" s="2" t="str">
        <f>"9783839426401"</f>
        <v>9783839426401</v>
      </c>
    </row>
    <row r="24810" spans="1:6" s="3" customFormat="1" ht="29.1" customHeight="1" x14ac:dyDescent="0.25">
      <c r="A24810" s="2" t="s">
        <v>48406</v>
      </c>
      <c r="B24810" s="2" t="s">
        <v>48407</v>
      </c>
      <c r="C24810" s="2" t="s">
        <v>556</v>
      </c>
      <c r="D24810" s="2" t="s">
        <v>689</v>
      </c>
      <c r="E24810" s="2" t="str">
        <f>"9783837626124"</f>
        <v>9783837626124</v>
      </c>
      <c r="F24810" s="2" t="str">
        <f>"9783839426128"</f>
        <v>9783839426128</v>
      </c>
    </row>
    <row r="24811" spans="1:6" s="3" customFormat="1" ht="29.1" customHeight="1" x14ac:dyDescent="0.25">
      <c r="A24811" s="2" t="s">
        <v>48408</v>
      </c>
      <c r="B24811" s="2" t="s">
        <v>48409</v>
      </c>
      <c r="C24811" s="2" t="s">
        <v>556</v>
      </c>
      <c r="D24811" s="2" t="s">
        <v>324</v>
      </c>
      <c r="E24811" s="2" t="str">
        <f>"9783837626056"</f>
        <v>9783837626056</v>
      </c>
      <c r="F24811" s="2" t="str">
        <f>"9783839426050"</f>
        <v>9783839426050</v>
      </c>
    </row>
    <row r="24812" spans="1:6" s="3" customFormat="1" ht="29.1" customHeight="1" x14ac:dyDescent="0.25">
      <c r="A24812" s="2" t="s">
        <v>48410</v>
      </c>
      <c r="B24812" s="2" t="s">
        <v>48411</v>
      </c>
      <c r="C24812" s="2" t="s">
        <v>556</v>
      </c>
      <c r="D24812" s="2" t="s">
        <v>7000</v>
      </c>
      <c r="E24812" s="2" t="str">
        <f>"9783837625974"</f>
        <v>9783837625974</v>
      </c>
      <c r="F24812" s="2" t="str">
        <f>"9783839425978"</f>
        <v>9783839425978</v>
      </c>
    </row>
    <row r="24813" spans="1:6" s="3" customFormat="1" ht="29.1" customHeight="1" x14ac:dyDescent="0.25">
      <c r="A24813" s="2" t="s">
        <v>48412</v>
      </c>
      <c r="B24813" s="2" t="s">
        <v>48413</v>
      </c>
      <c r="C24813" s="2" t="s">
        <v>556</v>
      </c>
      <c r="D24813" s="2" t="s">
        <v>3345</v>
      </c>
      <c r="E24813" s="2" t="str">
        <f>"9783837625813"</f>
        <v>9783837625813</v>
      </c>
      <c r="F24813" s="2" t="str">
        <f>"9783839425817"</f>
        <v>9783839425817</v>
      </c>
    </row>
    <row r="24814" spans="1:6" s="3" customFormat="1" ht="29.1" customHeight="1" x14ac:dyDescent="0.25">
      <c r="A24814" s="2" t="s">
        <v>48414</v>
      </c>
      <c r="B24814" s="2" t="s">
        <v>48415</v>
      </c>
      <c r="C24814" s="2" t="s">
        <v>556</v>
      </c>
      <c r="D24814" s="2" t="s">
        <v>78</v>
      </c>
      <c r="E24814" s="2" t="str">
        <f>"9783837625042"</f>
        <v>9783837625042</v>
      </c>
      <c r="F24814" s="2" t="str">
        <f>"9783839425046"</f>
        <v>9783839425046</v>
      </c>
    </row>
    <row r="24815" spans="1:6" s="3" customFormat="1" ht="29.1" customHeight="1" x14ac:dyDescent="0.25">
      <c r="A24815" s="2" t="s">
        <v>48416</v>
      </c>
      <c r="B24815" s="2" t="s">
        <v>38093</v>
      </c>
      <c r="C24815" s="2" t="s">
        <v>556</v>
      </c>
      <c r="D24815" s="2" t="s">
        <v>294</v>
      </c>
      <c r="E24815" s="2" t="str">
        <f>"9783837624878"</f>
        <v>9783837624878</v>
      </c>
      <c r="F24815" s="2" t="str">
        <f>"9783839424872"</f>
        <v>9783839424872</v>
      </c>
    </row>
    <row r="24816" spans="1:6" s="3" customFormat="1" ht="29.1" customHeight="1" x14ac:dyDescent="0.25">
      <c r="A24816" s="2" t="s">
        <v>48417</v>
      </c>
      <c r="B24816" s="2" t="s">
        <v>48418</v>
      </c>
      <c r="C24816" s="2" t="s">
        <v>556</v>
      </c>
      <c r="D24816" s="2" t="s">
        <v>1162</v>
      </c>
      <c r="E24816" s="2" t="str">
        <f>"9783837621747"</f>
        <v>9783837621747</v>
      </c>
      <c r="F24816" s="2" t="str">
        <f>"9783839421741"</f>
        <v>9783839421741</v>
      </c>
    </row>
    <row r="24817" spans="1:6" s="3" customFormat="1" ht="29.1" customHeight="1" x14ac:dyDescent="0.25">
      <c r="A24817" s="2" t="s">
        <v>48419</v>
      </c>
      <c r="B24817" s="2" t="s">
        <v>48420</v>
      </c>
      <c r="C24817" s="2" t="s">
        <v>556</v>
      </c>
      <c r="D24817" s="2" t="s">
        <v>1046</v>
      </c>
      <c r="E24817" s="2" t="str">
        <f>"9783837621549"</f>
        <v>9783837621549</v>
      </c>
      <c r="F24817" s="2" t="str">
        <f>"9783839421543"</f>
        <v>9783839421543</v>
      </c>
    </row>
    <row r="24818" spans="1:6" s="3" customFormat="1" ht="29.1" customHeight="1" x14ac:dyDescent="0.25">
      <c r="A24818" s="2" t="s">
        <v>48421</v>
      </c>
      <c r="B24818" s="2" t="s">
        <v>48422</v>
      </c>
      <c r="C24818" s="2" t="s">
        <v>556</v>
      </c>
      <c r="D24818" s="2" t="s">
        <v>18221</v>
      </c>
      <c r="E24818" s="2" t="str">
        <f>"9783837614855"</f>
        <v>9783837614855</v>
      </c>
      <c r="F24818" s="2" t="str">
        <f>"9783839414859"</f>
        <v>9783839414859</v>
      </c>
    </row>
    <row r="24819" spans="1:6" s="3" customFormat="1" ht="29.1" customHeight="1" x14ac:dyDescent="0.25">
      <c r="A24819" s="2" t="s">
        <v>48423</v>
      </c>
      <c r="B24819" s="2" t="s">
        <v>48424</v>
      </c>
      <c r="C24819" s="2" t="s">
        <v>264</v>
      </c>
      <c r="D24819" s="2" t="s">
        <v>2086</v>
      </c>
      <c r="E24819" s="2" t="str">
        <f>"9781466595392"</f>
        <v>9781466595392</v>
      </c>
      <c r="F24819" s="2" t="str">
        <f>"9781466595408"</f>
        <v>9781466595408</v>
      </c>
    </row>
    <row r="24820" spans="1:6" s="3" customFormat="1" ht="29.1" customHeight="1" x14ac:dyDescent="0.25">
      <c r="A24820" s="2" t="s">
        <v>48425</v>
      </c>
      <c r="B24820" s="2" t="s">
        <v>48426</v>
      </c>
      <c r="C24820" s="2" t="s">
        <v>124</v>
      </c>
      <c r="D24820" s="2" t="s">
        <v>186</v>
      </c>
      <c r="E24820" s="2" t="str">
        <f>"9781138023000"</f>
        <v>9781138023000</v>
      </c>
      <c r="F24820" s="2" t="str">
        <f>"9781317691365"</f>
        <v>9781317691365</v>
      </c>
    </row>
    <row r="24821" spans="1:6" s="3" customFormat="1" ht="29.1" customHeight="1" x14ac:dyDescent="0.25">
      <c r="A24821" s="2" t="s">
        <v>48427</v>
      </c>
      <c r="B24821" s="2" t="s">
        <v>48428</v>
      </c>
      <c r="C24821" s="2" t="s">
        <v>124</v>
      </c>
      <c r="D24821" s="2" t="s">
        <v>606</v>
      </c>
      <c r="E24821" s="2" t="str">
        <f>"9780415853965"</f>
        <v>9780415853965</v>
      </c>
      <c r="F24821" s="2" t="str">
        <f>"9781317569152"</f>
        <v>9781317569152</v>
      </c>
    </row>
    <row r="24822" spans="1:6" s="3" customFormat="1" ht="29.1" customHeight="1" x14ac:dyDescent="0.25">
      <c r="A24822" s="2" t="s">
        <v>48429</v>
      </c>
      <c r="B24822" s="2" t="s">
        <v>48430</v>
      </c>
      <c r="C24822" s="2" t="s">
        <v>124</v>
      </c>
      <c r="D24822" s="2" t="s">
        <v>712</v>
      </c>
      <c r="E24822" s="2" t="str">
        <f>"9789089646354"</f>
        <v>9789089646354</v>
      </c>
      <c r="F24822" s="2" t="str">
        <f>"9781040798393"</f>
        <v>9781040798393</v>
      </c>
    </row>
    <row r="24823" spans="1:6" s="3" customFormat="1" ht="29.1" customHeight="1" x14ac:dyDescent="0.25">
      <c r="A24823" s="2" t="s">
        <v>48431</v>
      </c>
      <c r="B24823" s="2" t="s">
        <v>48432</v>
      </c>
      <c r="C24823" s="2" t="s">
        <v>124</v>
      </c>
      <c r="D24823" s="2" t="s">
        <v>408</v>
      </c>
      <c r="E24823" s="2" t="str">
        <f>"9781041183563"</f>
        <v>9781041183563</v>
      </c>
      <c r="F24823" s="2" t="str">
        <f>"9781040795477"</f>
        <v>9781040795477</v>
      </c>
    </row>
    <row r="24824" spans="1:6" s="3" customFormat="1" ht="29.1" customHeight="1" x14ac:dyDescent="0.25">
      <c r="A24824" s="2" t="s">
        <v>48433</v>
      </c>
      <c r="B24824" s="2" t="s">
        <v>48434</v>
      </c>
      <c r="C24824" s="2" t="s">
        <v>124</v>
      </c>
      <c r="D24824" s="2" t="s">
        <v>183</v>
      </c>
      <c r="E24824" s="2" t="str">
        <f>"9781041178637"</f>
        <v>9781041178637</v>
      </c>
      <c r="F24824" s="2" t="str">
        <f>"9781040795583"</f>
        <v>9781040795583</v>
      </c>
    </row>
    <row r="24825" spans="1:6" s="3" customFormat="1" ht="29.1" customHeight="1" x14ac:dyDescent="0.25">
      <c r="A24825" s="2" t="s">
        <v>48435</v>
      </c>
      <c r="B24825" s="2" t="s">
        <v>48436</v>
      </c>
      <c r="C24825" s="2" t="s">
        <v>43061</v>
      </c>
      <c r="D24825" s="2" t="s">
        <v>17798</v>
      </c>
      <c r="E24825" s="2" t="str">
        <f>"9783862198641"</f>
        <v>9783862198641</v>
      </c>
      <c r="F24825" s="2" t="str">
        <f>"9783862198658"</f>
        <v>9783862198658</v>
      </c>
    </row>
    <row r="24826" spans="1:6" s="3" customFormat="1" ht="29.1" customHeight="1" x14ac:dyDescent="0.25">
      <c r="A24826" s="2" t="s">
        <v>48437</v>
      </c>
      <c r="B24826" s="2" t="s">
        <v>48438</v>
      </c>
      <c r="C24826" s="2" t="s">
        <v>43061</v>
      </c>
      <c r="D24826" s="2" t="s">
        <v>2475</v>
      </c>
      <c r="E24826" s="2" t="str">
        <f>"9783862198504"</f>
        <v>9783862198504</v>
      </c>
      <c r="F24826" s="2" t="str">
        <f>"9783862198511"</f>
        <v>9783862198511</v>
      </c>
    </row>
    <row r="24827" spans="1:6" s="3" customFormat="1" ht="29.1" customHeight="1" x14ac:dyDescent="0.25">
      <c r="A24827" s="2" t="s">
        <v>48439</v>
      </c>
      <c r="B24827" s="2" t="s">
        <v>48440</v>
      </c>
      <c r="C24827" s="2" t="s">
        <v>43061</v>
      </c>
      <c r="D24827" s="2" t="s">
        <v>2019</v>
      </c>
      <c r="E24827" s="2" t="str">
        <f>"9783862198580"</f>
        <v>9783862198580</v>
      </c>
      <c r="F24827" s="2" t="str">
        <f>"9783862198597"</f>
        <v>9783862198597</v>
      </c>
    </row>
    <row r="24828" spans="1:6" s="3" customFormat="1" ht="29.1" customHeight="1" x14ac:dyDescent="0.25">
      <c r="A24828" s="2" t="s">
        <v>48441</v>
      </c>
      <c r="B24828" s="2" t="s">
        <v>48442</v>
      </c>
      <c r="C24828" s="2" t="s">
        <v>43061</v>
      </c>
      <c r="D24828" s="2" t="s">
        <v>2962</v>
      </c>
      <c r="E24828" s="2" t="str">
        <f>"9783862198405"</f>
        <v>9783862198405</v>
      </c>
      <c r="F24828" s="2" t="str">
        <f>"9783862198412"</f>
        <v>9783862198412</v>
      </c>
    </row>
    <row r="24829" spans="1:6" s="3" customFormat="1" ht="29.1" customHeight="1" x14ac:dyDescent="0.25">
      <c r="A24829" s="2" t="s">
        <v>48443</v>
      </c>
      <c r="B24829" s="2" t="s">
        <v>48444</v>
      </c>
      <c r="C24829" s="2" t="s">
        <v>29</v>
      </c>
      <c r="D24829" s="2" t="s">
        <v>636</v>
      </c>
      <c r="E24829" s="2" t="str">
        <f>"9789004281189"</f>
        <v>9789004281189</v>
      </c>
      <c r="F24829" s="2" t="str">
        <f>"9789004281196"</f>
        <v>9789004281196</v>
      </c>
    </row>
    <row r="24830" spans="1:6" s="3" customFormat="1" ht="29.1" customHeight="1" x14ac:dyDescent="0.25">
      <c r="A24830" s="2" t="s">
        <v>48445</v>
      </c>
      <c r="B24830" s="2" t="s">
        <v>48446</v>
      </c>
      <c r="C24830" s="2" t="s">
        <v>36</v>
      </c>
      <c r="D24830" s="2" t="s">
        <v>78</v>
      </c>
      <c r="E24830" s="2" t="str">
        <f>"9781447306900"</f>
        <v>9781447306900</v>
      </c>
      <c r="F24830" s="2" t="str">
        <f>"9781447306924"</f>
        <v>9781447306924</v>
      </c>
    </row>
    <row r="24831" spans="1:6" s="3" customFormat="1" ht="29.1" customHeight="1" x14ac:dyDescent="0.25">
      <c r="A24831" s="2" t="s">
        <v>48447</v>
      </c>
      <c r="B24831" s="2" t="s">
        <v>48448</v>
      </c>
      <c r="C24831" s="2" t="s">
        <v>11220</v>
      </c>
      <c r="D24831" s="2" t="s">
        <v>15</v>
      </c>
      <c r="E24831" s="2" t="str">
        <f>"9780814725498"</f>
        <v>9780814725498</v>
      </c>
      <c r="F24831" s="2" t="str">
        <f>"9780814708033"</f>
        <v>9780814708033</v>
      </c>
    </row>
    <row r="24832" spans="1:6" s="3" customFormat="1" ht="29.1" customHeight="1" x14ac:dyDescent="0.25">
      <c r="A24832" s="2" t="s">
        <v>48449</v>
      </c>
      <c r="B24832" s="2" t="s">
        <v>48450</v>
      </c>
      <c r="C24832" s="2" t="s">
        <v>195</v>
      </c>
      <c r="D24832" s="2" t="s">
        <v>210</v>
      </c>
      <c r="E24832" s="2" t="str">
        <f>"9783486578935"</f>
        <v>9783486578935</v>
      </c>
      <c r="F24832" s="2" t="str">
        <f>"9783486706338"</f>
        <v>9783486706338</v>
      </c>
    </row>
    <row r="24833" spans="1:6" s="3" customFormat="1" ht="29.1" customHeight="1" x14ac:dyDescent="0.25">
      <c r="A24833" s="2" t="s">
        <v>48451</v>
      </c>
      <c r="B24833" s="2" t="s">
        <v>48452</v>
      </c>
      <c r="C24833" s="2" t="s">
        <v>124</v>
      </c>
      <c r="D24833" s="2" t="s">
        <v>210</v>
      </c>
      <c r="E24833" s="2" t="str">
        <f>"9780415674133"</f>
        <v>9780415674133</v>
      </c>
      <c r="F24833" s="2" t="str">
        <f>"9781317604815"</f>
        <v>9781317604815</v>
      </c>
    </row>
    <row r="24834" spans="1:6" s="3" customFormat="1" ht="29.1" customHeight="1" x14ac:dyDescent="0.25">
      <c r="A24834" s="2" t="s">
        <v>1360</v>
      </c>
      <c r="B24834" s="2" t="s">
        <v>42402</v>
      </c>
      <c r="C24834" s="2" t="s">
        <v>1070</v>
      </c>
      <c r="D24834" s="2" t="s">
        <v>1265</v>
      </c>
      <c r="E24834" s="2" t="str">
        <f>"9781908541772"</f>
        <v>9781908541772</v>
      </c>
      <c r="F24834" s="2" t="str">
        <f>"9781908541789"</f>
        <v>9781908541789</v>
      </c>
    </row>
    <row r="24835" spans="1:6" s="3" customFormat="1" ht="29.1" customHeight="1" x14ac:dyDescent="0.25">
      <c r="A24835" s="2" t="s">
        <v>48453</v>
      </c>
      <c r="B24835" s="2" t="s">
        <v>48454</v>
      </c>
      <c r="C24835" s="2" t="s">
        <v>11220</v>
      </c>
      <c r="D24835" s="2" t="s">
        <v>183</v>
      </c>
      <c r="E24835" s="2" t="str">
        <f>"9780814760291"</f>
        <v>9780814760291</v>
      </c>
      <c r="F24835" s="2" t="str">
        <f>"9780814762912"</f>
        <v>9780814762912</v>
      </c>
    </row>
    <row r="24836" spans="1:6" s="3" customFormat="1" ht="29.1" customHeight="1" x14ac:dyDescent="0.25">
      <c r="A24836" s="2" t="s">
        <v>48455</v>
      </c>
      <c r="B24836" s="2" t="s">
        <v>48456</v>
      </c>
      <c r="C24836" s="2" t="s">
        <v>5</v>
      </c>
      <c r="D24836" s="2" t="s">
        <v>5239</v>
      </c>
      <c r="E24836" s="2" t="str">
        <f>"9781484200773"</f>
        <v>9781484200773</v>
      </c>
      <c r="F24836" s="2" t="str">
        <f>"9781484200766"</f>
        <v>9781484200766</v>
      </c>
    </row>
    <row r="24837" spans="1:6" s="3" customFormat="1" ht="29.1" customHeight="1" x14ac:dyDescent="0.25">
      <c r="A24837" s="2" t="s">
        <v>48457</v>
      </c>
      <c r="B24837" s="2" t="s">
        <v>48458</v>
      </c>
      <c r="C24837" s="2" t="s">
        <v>264</v>
      </c>
      <c r="D24837" s="2" t="s">
        <v>11063</v>
      </c>
      <c r="E24837" s="2" t="str">
        <f>"9781466565265"</f>
        <v>9781466565265</v>
      </c>
      <c r="F24837" s="2" t="str">
        <f>"9781466565272"</f>
        <v>9781466565272</v>
      </c>
    </row>
    <row r="24838" spans="1:6" s="3" customFormat="1" ht="29.1" customHeight="1" x14ac:dyDescent="0.25">
      <c r="A24838" s="2" t="s">
        <v>48459</v>
      </c>
      <c r="B24838" s="2" t="s">
        <v>48460</v>
      </c>
      <c r="C24838" s="2" t="s">
        <v>29</v>
      </c>
      <c r="D24838" s="2" t="s">
        <v>210</v>
      </c>
      <c r="E24838" s="2" t="str">
        <f>"9789004276949"</f>
        <v>9789004276949</v>
      </c>
      <c r="F24838" s="2" t="str">
        <f>"9789004278455"</f>
        <v>9789004278455</v>
      </c>
    </row>
    <row r="24839" spans="1:6" s="3" customFormat="1" ht="29.1" customHeight="1" x14ac:dyDescent="0.25">
      <c r="A24839" s="2" t="s">
        <v>48461</v>
      </c>
      <c r="B24839" s="2" t="s">
        <v>48462</v>
      </c>
      <c r="C24839" s="2" t="s">
        <v>29</v>
      </c>
      <c r="D24839" s="2" t="s">
        <v>192</v>
      </c>
      <c r="E24839" s="2" t="str">
        <f>"9789004269965"</f>
        <v>9789004269965</v>
      </c>
      <c r="F24839" s="2" t="str">
        <f>"9789004269972"</f>
        <v>9789004269972</v>
      </c>
    </row>
    <row r="24840" spans="1:6" s="3" customFormat="1" ht="29.1" customHeight="1" x14ac:dyDescent="0.25">
      <c r="A24840" s="2" t="s">
        <v>48463</v>
      </c>
      <c r="B24840" s="2" t="s">
        <v>48464</v>
      </c>
      <c r="C24840" s="2" t="s">
        <v>11220</v>
      </c>
      <c r="D24840" s="2" t="s">
        <v>243</v>
      </c>
      <c r="E24840" s="2" t="str">
        <f>"9781479855346"</f>
        <v>9781479855346</v>
      </c>
      <c r="F24840" s="2" t="str">
        <f>"9781479851638"</f>
        <v>9781479851638</v>
      </c>
    </row>
    <row r="24841" spans="1:6" s="3" customFormat="1" ht="29.1" customHeight="1" x14ac:dyDescent="0.25">
      <c r="A24841" s="2" t="s">
        <v>48465</v>
      </c>
      <c r="B24841" s="2" t="s">
        <v>48466</v>
      </c>
      <c r="C24841" s="2" t="s">
        <v>1070</v>
      </c>
      <c r="D24841" s="2" t="s">
        <v>1471</v>
      </c>
      <c r="E24841" s="2" t="str">
        <f>"9783318027297"</f>
        <v>9783318027297</v>
      </c>
      <c r="F24841" s="2" t="str">
        <f>"9783318027303"</f>
        <v>9783318027303</v>
      </c>
    </row>
    <row r="24842" spans="1:6" s="3" customFormat="1" ht="29.1" customHeight="1" x14ac:dyDescent="0.25">
      <c r="A24842" s="2" t="s">
        <v>48467</v>
      </c>
      <c r="B24842" s="2" t="s">
        <v>48468</v>
      </c>
      <c r="C24842" s="2" t="s">
        <v>43061</v>
      </c>
      <c r="D24842" s="2" t="s">
        <v>9436</v>
      </c>
      <c r="E24842" s="2" t="str">
        <f>"9783862193585"</f>
        <v>9783862193585</v>
      </c>
      <c r="F24842" s="2" t="str">
        <f>"9783862193592"</f>
        <v>9783862193592</v>
      </c>
    </row>
    <row r="24843" spans="1:6" s="3" customFormat="1" ht="29.1" customHeight="1" x14ac:dyDescent="0.25">
      <c r="A24843" s="2" t="s">
        <v>48469</v>
      </c>
      <c r="B24843" s="2" t="s">
        <v>48470</v>
      </c>
      <c r="C24843" s="2" t="s">
        <v>43061</v>
      </c>
      <c r="D24843" s="2" t="s">
        <v>12574</v>
      </c>
      <c r="E24843" s="2" t="str">
        <f>"9783862198306"</f>
        <v>9783862198306</v>
      </c>
      <c r="F24843" s="2" t="str">
        <f>"9783862198313"</f>
        <v>9783862198313</v>
      </c>
    </row>
    <row r="24844" spans="1:6" s="3" customFormat="1" ht="29.1" customHeight="1" x14ac:dyDescent="0.25">
      <c r="A24844" s="2" t="s">
        <v>45913</v>
      </c>
      <c r="B24844" s="2" t="s">
        <v>48471</v>
      </c>
      <c r="C24844" s="2" t="s">
        <v>43061</v>
      </c>
      <c r="D24844" s="2" t="s">
        <v>342</v>
      </c>
      <c r="E24844" s="2" t="str">
        <f>"9783862198320"</f>
        <v>9783862198320</v>
      </c>
      <c r="F24844" s="2" t="str">
        <f>"9783862198337"</f>
        <v>9783862198337</v>
      </c>
    </row>
    <row r="24845" spans="1:6" s="3" customFormat="1" ht="29.1" customHeight="1" x14ac:dyDescent="0.25">
      <c r="A24845" s="2" t="s">
        <v>48472</v>
      </c>
      <c r="B24845" s="2" t="s">
        <v>48473</v>
      </c>
      <c r="C24845" s="2" t="s">
        <v>195</v>
      </c>
      <c r="D24845" s="2" t="s">
        <v>462</v>
      </c>
      <c r="E24845" s="2" t="str">
        <f>"9783110345483"</f>
        <v>9783110345483</v>
      </c>
      <c r="F24845" s="2" t="str">
        <f>"9783110347302"</f>
        <v>9783110347302</v>
      </c>
    </row>
    <row r="24846" spans="1:6" s="3" customFormat="1" ht="29.1" customHeight="1" x14ac:dyDescent="0.25">
      <c r="A24846" s="2" t="s">
        <v>48474</v>
      </c>
      <c r="B24846" s="2" t="s">
        <v>48475</v>
      </c>
      <c r="C24846" s="2" t="s">
        <v>195</v>
      </c>
      <c r="D24846" s="2" t="s">
        <v>512</v>
      </c>
      <c r="E24846" s="2" t="str">
        <f>"9781614510321"</f>
        <v>9781614510321</v>
      </c>
      <c r="F24846" s="2" t="str">
        <f>"9781614510390"</f>
        <v>9781614510390</v>
      </c>
    </row>
    <row r="24847" spans="1:6" s="3" customFormat="1" ht="29.1" customHeight="1" x14ac:dyDescent="0.25">
      <c r="A24847" s="2" t="s">
        <v>48476</v>
      </c>
      <c r="B24847" s="2" t="s">
        <v>48477</v>
      </c>
      <c r="C24847" s="2" t="s">
        <v>195</v>
      </c>
      <c r="D24847" s="2" t="s">
        <v>3245</v>
      </c>
      <c r="E24847" s="2" t="str">
        <f>"9783110333824"</f>
        <v>9783110333824</v>
      </c>
      <c r="F24847" s="2" t="str">
        <f>"9783110339963"</f>
        <v>9783110339963</v>
      </c>
    </row>
    <row r="24848" spans="1:6" s="3" customFormat="1" ht="29.1" customHeight="1" x14ac:dyDescent="0.25">
      <c r="A24848" s="2" t="s">
        <v>48478</v>
      </c>
      <c r="B24848" s="2" t="s">
        <v>48479</v>
      </c>
      <c r="C24848" s="2" t="s">
        <v>195</v>
      </c>
      <c r="D24848" s="2" t="s">
        <v>3963</v>
      </c>
      <c r="E24848" s="2" t="str">
        <f>"9783899495355"</f>
        <v>9783899495355</v>
      </c>
      <c r="F24848" s="2" t="str">
        <f>"9783110977899"</f>
        <v>9783110977899</v>
      </c>
    </row>
    <row r="24849" spans="1:6" s="3" customFormat="1" ht="29.1" customHeight="1" x14ac:dyDescent="0.25">
      <c r="A24849" s="2" t="s">
        <v>48480</v>
      </c>
      <c r="B24849" s="2" t="s">
        <v>48481</v>
      </c>
      <c r="C24849" s="2" t="s">
        <v>195</v>
      </c>
      <c r="D24849" s="2" t="s">
        <v>232</v>
      </c>
      <c r="E24849" s="2" t="str">
        <f>"9783110298291"</f>
        <v>9783110298291</v>
      </c>
      <c r="F24849" s="2" t="str">
        <f>"9783110298369"</f>
        <v>9783110298369</v>
      </c>
    </row>
    <row r="24850" spans="1:6" s="3" customFormat="1" ht="29.1" customHeight="1" x14ac:dyDescent="0.25">
      <c r="A24850" s="2" t="s">
        <v>48482</v>
      </c>
      <c r="B24850" s="2" t="s">
        <v>48483</v>
      </c>
      <c r="C24850" s="2" t="s">
        <v>195</v>
      </c>
      <c r="D24850" s="2" t="s">
        <v>4429</v>
      </c>
      <c r="E24850" s="2" t="str">
        <f>"9783486709483"</f>
        <v>9783486709483</v>
      </c>
      <c r="F24850" s="2" t="str">
        <f>"9783486735673"</f>
        <v>9783486735673</v>
      </c>
    </row>
    <row r="24851" spans="1:6" s="3" customFormat="1" ht="29.1" customHeight="1" x14ac:dyDescent="0.25">
      <c r="A24851" s="2" t="s">
        <v>48484</v>
      </c>
      <c r="B24851" s="2" t="s">
        <v>48485</v>
      </c>
      <c r="C24851" s="2" t="s">
        <v>7395</v>
      </c>
      <c r="D24851" s="2" t="s">
        <v>636</v>
      </c>
      <c r="E24851" s="2" t="str">
        <f>"9780295993577"</f>
        <v>9780295993577</v>
      </c>
      <c r="F24851" s="2" t="str">
        <f>"9780295805023"</f>
        <v>9780295805023</v>
      </c>
    </row>
    <row r="24852" spans="1:6" s="3" customFormat="1" ht="29.1" customHeight="1" x14ac:dyDescent="0.25">
      <c r="A24852" s="2" t="s">
        <v>48486</v>
      </c>
      <c r="B24852" s="2" t="s">
        <v>48487</v>
      </c>
      <c r="C24852" s="2" t="s">
        <v>556</v>
      </c>
      <c r="D24852" s="2" t="s">
        <v>2851</v>
      </c>
      <c r="E24852" s="2" t="str">
        <f>"9783899427288"</f>
        <v>9783899427288</v>
      </c>
      <c r="F24852" s="2" t="str">
        <f>"9783839407288"</f>
        <v>9783839407288</v>
      </c>
    </row>
    <row r="24853" spans="1:6" s="3" customFormat="1" ht="29.1" customHeight="1" x14ac:dyDescent="0.25">
      <c r="A24853" s="2" t="s">
        <v>48488</v>
      </c>
      <c r="B24853" s="2" t="s">
        <v>48489</v>
      </c>
      <c r="C24853" s="2" t="s">
        <v>556</v>
      </c>
      <c r="D24853" s="2" t="s">
        <v>712</v>
      </c>
      <c r="E24853" s="2" t="str">
        <f>"9783837619881"</f>
        <v>9783837619881</v>
      </c>
      <c r="F24853" s="2" t="str">
        <f>"9783839419885"</f>
        <v>9783839419885</v>
      </c>
    </row>
    <row r="24854" spans="1:6" s="3" customFormat="1" ht="29.1" customHeight="1" x14ac:dyDescent="0.25">
      <c r="A24854" s="2" t="s">
        <v>48490</v>
      </c>
      <c r="B24854" s="2" t="s">
        <v>42578</v>
      </c>
      <c r="C24854" s="2" t="s">
        <v>556</v>
      </c>
      <c r="D24854" s="2" t="s">
        <v>3345</v>
      </c>
      <c r="E24854" s="2" t="str">
        <f>"9783837619058"</f>
        <v>9783837619058</v>
      </c>
      <c r="F24854" s="2" t="str">
        <f>"9783839419052"</f>
        <v>9783839419052</v>
      </c>
    </row>
    <row r="24855" spans="1:6" s="3" customFormat="1" ht="29.1" customHeight="1" x14ac:dyDescent="0.25">
      <c r="A24855" s="2" t="s">
        <v>48491</v>
      </c>
      <c r="B24855" s="2" t="s">
        <v>48492</v>
      </c>
      <c r="C24855" s="2" t="s">
        <v>556</v>
      </c>
      <c r="D24855" s="2" t="s">
        <v>2326</v>
      </c>
      <c r="E24855" s="2" t="str">
        <f>"9783837619010"</f>
        <v>9783837619010</v>
      </c>
      <c r="F24855" s="2" t="str">
        <f>"9783839419014"</f>
        <v>9783839419014</v>
      </c>
    </row>
    <row r="24856" spans="1:6" s="3" customFormat="1" ht="29.1" customHeight="1" x14ac:dyDescent="0.25">
      <c r="A24856" s="2" t="s">
        <v>48493</v>
      </c>
      <c r="B24856" s="2" t="s">
        <v>48494</v>
      </c>
      <c r="C24856" s="2" t="s">
        <v>556</v>
      </c>
      <c r="D24856" s="2" t="s">
        <v>1466</v>
      </c>
      <c r="E24856" s="2" t="str">
        <f>"9783837618525"</f>
        <v>9783837618525</v>
      </c>
      <c r="F24856" s="2" t="str">
        <f>"9783839418529"</f>
        <v>9783839418529</v>
      </c>
    </row>
    <row r="24857" spans="1:6" s="3" customFormat="1" ht="29.1" customHeight="1" x14ac:dyDescent="0.25">
      <c r="A24857" s="2" t="s">
        <v>48495</v>
      </c>
      <c r="B24857" s="2" t="s">
        <v>48496</v>
      </c>
      <c r="C24857" s="2" t="s">
        <v>556</v>
      </c>
      <c r="D24857" s="2" t="s">
        <v>490</v>
      </c>
      <c r="E24857" s="2" t="str">
        <f>"9783837618167"</f>
        <v>9783837618167</v>
      </c>
      <c r="F24857" s="2" t="str">
        <f>"9783839418161"</f>
        <v>9783839418161</v>
      </c>
    </row>
    <row r="24858" spans="1:6" s="3" customFormat="1" ht="29.1" customHeight="1" x14ac:dyDescent="0.25">
      <c r="A24858" s="2" t="s">
        <v>48497</v>
      </c>
      <c r="B24858" s="2" t="s">
        <v>48498</v>
      </c>
      <c r="C24858" s="2" t="s">
        <v>556</v>
      </c>
      <c r="D24858" s="2" t="s">
        <v>15</v>
      </c>
      <c r="E24858" s="2" t="str">
        <f>"9783837618129"</f>
        <v>9783837618129</v>
      </c>
      <c r="F24858" s="2" t="str">
        <f>"9783839418123"</f>
        <v>9783839418123</v>
      </c>
    </row>
    <row r="24859" spans="1:6" s="3" customFormat="1" ht="29.1" customHeight="1" x14ac:dyDescent="0.25">
      <c r="A24859" s="2" t="s">
        <v>48499</v>
      </c>
      <c r="B24859" s="2" t="s">
        <v>48500</v>
      </c>
      <c r="C24859" s="2" t="s">
        <v>556</v>
      </c>
      <c r="D24859" s="2" t="s">
        <v>1988</v>
      </c>
      <c r="E24859" s="2" t="str">
        <f>"9783837617894"</f>
        <v>9783837617894</v>
      </c>
      <c r="F24859" s="2" t="str">
        <f>"9783839417898"</f>
        <v>9783839417898</v>
      </c>
    </row>
    <row r="24860" spans="1:6" s="3" customFormat="1" ht="29.1" customHeight="1" x14ac:dyDescent="0.25">
      <c r="A24860" s="2" t="s">
        <v>48501</v>
      </c>
      <c r="B24860" s="2" t="s">
        <v>48502</v>
      </c>
      <c r="C24860" s="2" t="s">
        <v>556</v>
      </c>
      <c r="D24860" s="2" t="s">
        <v>522</v>
      </c>
      <c r="E24860" s="2" t="str">
        <f>"9783837617610"</f>
        <v>9783837617610</v>
      </c>
      <c r="F24860" s="2" t="str">
        <f>"9783839417614"</f>
        <v>9783839417614</v>
      </c>
    </row>
    <row r="24861" spans="1:6" s="3" customFormat="1" ht="29.1" customHeight="1" x14ac:dyDescent="0.25">
      <c r="A24861" s="2" t="s">
        <v>48503</v>
      </c>
      <c r="B24861" s="2" t="s">
        <v>38000</v>
      </c>
      <c r="C24861" s="2" t="s">
        <v>556</v>
      </c>
      <c r="D24861" s="2" t="s">
        <v>218</v>
      </c>
      <c r="E24861" s="2" t="str">
        <f>"9783837617245"</f>
        <v>9783837617245</v>
      </c>
      <c r="F24861" s="2" t="str">
        <f>"9783839417249"</f>
        <v>9783839417249</v>
      </c>
    </row>
    <row r="24862" spans="1:6" s="3" customFormat="1" ht="29.1" customHeight="1" x14ac:dyDescent="0.25">
      <c r="A24862" s="2" t="s">
        <v>48504</v>
      </c>
      <c r="B24862" s="2" t="s">
        <v>48505</v>
      </c>
      <c r="C24862" s="2" t="s">
        <v>556</v>
      </c>
      <c r="D24862" s="2" t="s">
        <v>501</v>
      </c>
      <c r="E24862" s="2" t="str">
        <f>"9783837617221"</f>
        <v>9783837617221</v>
      </c>
      <c r="F24862" s="2" t="str">
        <f>"9783839417225"</f>
        <v>9783839417225</v>
      </c>
    </row>
    <row r="24863" spans="1:6" s="3" customFormat="1" ht="29.1" customHeight="1" x14ac:dyDescent="0.25">
      <c r="A24863" s="2" t="s">
        <v>48506</v>
      </c>
      <c r="B24863" s="2" t="s">
        <v>48507</v>
      </c>
      <c r="C24863" s="2" t="s">
        <v>556</v>
      </c>
      <c r="D24863" s="2" t="s">
        <v>324</v>
      </c>
      <c r="E24863" s="2" t="str">
        <f>"9783837617191"</f>
        <v>9783837617191</v>
      </c>
      <c r="F24863" s="2" t="str">
        <f>"9783839417195"</f>
        <v>9783839417195</v>
      </c>
    </row>
    <row r="24864" spans="1:6" s="3" customFormat="1" ht="29.1" customHeight="1" x14ac:dyDescent="0.25">
      <c r="A24864" s="2" t="s">
        <v>48508</v>
      </c>
      <c r="B24864" s="2" t="s">
        <v>48509</v>
      </c>
      <c r="C24864" s="2" t="s">
        <v>556</v>
      </c>
      <c r="D24864" s="2" t="s">
        <v>1557</v>
      </c>
      <c r="E24864" s="2" t="str">
        <f>"9783837617108"</f>
        <v>9783837617108</v>
      </c>
      <c r="F24864" s="2" t="str">
        <f>"9783839417102"</f>
        <v>9783839417102</v>
      </c>
    </row>
    <row r="24865" spans="1:6" s="3" customFormat="1" ht="29.1" customHeight="1" x14ac:dyDescent="0.25">
      <c r="A24865" s="2" t="s">
        <v>48510</v>
      </c>
      <c r="B24865" s="2" t="s">
        <v>48511</v>
      </c>
      <c r="C24865" s="2" t="s">
        <v>556</v>
      </c>
      <c r="D24865" s="2" t="s">
        <v>2336</v>
      </c>
      <c r="E24865" s="2" t="str">
        <f>"9783837617078"</f>
        <v>9783837617078</v>
      </c>
      <c r="F24865" s="2" t="str">
        <f>"9783839417072"</f>
        <v>9783839417072</v>
      </c>
    </row>
    <row r="24866" spans="1:6" s="3" customFormat="1" ht="29.1" customHeight="1" x14ac:dyDescent="0.25">
      <c r="A24866" s="2" t="s">
        <v>48512</v>
      </c>
      <c r="B24866" s="2" t="s">
        <v>36687</v>
      </c>
      <c r="C24866" s="2" t="s">
        <v>556</v>
      </c>
      <c r="D24866" s="2" t="s">
        <v>324</v>
      </c>
      <c r="E24866" s="2" t="str">
        <f>"9783837616941"</f>
        <v>9783837616941</v>
      </c>
      <c r="F24866" s="2" t="str">
        <f>"9783839416945"</f>
        <v>9783839416945</v>
      </c>
    </row>
    <row r="24867" spans="1:6" s="3" customFormat="1" ht="29.1" customHeight="1" x14ac:dyDescent="0.25">
      <c r="A24867" s="2" t="s">
        <v>48513</v>
      </c>
      <c r="B24867" s="2" t="s">
        <v>42596</v>
      </c>
      <c r="C24867" s="2" t="s">
        <v>556</v>
      </c>
      <c r="D24867" s="2" t="s">
        <v>636</v>
      </c>
      <c r="E24867" s="2" t="str">
        <f>"9783837616675"</f>
        <v>9783837616675</v>
      </c>
      <c r="F24867" s="2" t="str">
        <f>"9783839416679"</f>
        <v>9783839416679</v>
      </c>
    </row>
    <row r="24868" spans="1:6" s="3" customFormat="1" ht="29.1" customHeight="1" x14ac:dyDescent="0.25">
      <c r="A24868" s="2" t="s">
        <v>48514</v>
      </c>
      <c r="B24868" s="2" t="s">
        <v>48515</v>
      </c>
      <c r="C24868" s="2" t="s">
        <v>556</v>
      </c>
      <c r="D24868" s="2" t="s">
        <v>1422</v>
      </c>
      <c r="E24868" s="2" t="str">
        <f>"9783837616477"</f>
        <v>9783837616477</v>
      </c>
      <c r="F24868" s="2" t="str">
        <f>"9783839416471"</f>
        <v>9783839416471</v>
      </c>
    </row>
    <row r="24869" spans="1:6" s="3" customFormat="1" ht="29.1" customHeight="1" x14ac:dyDescent="0.25">
      <c r="A24869" s="2" t="s">
        <v>48516</v>
      </c>
      <c r="B24869" s="2" t="s">
        <v>48517</v>
      </c>
      <c r="C24869" s="2" t="s">
        <v>556</v>
      </c>
      <c r="D24869" s="2" t="s">
        <v>183</v>
      </c>
      <c r="E24869" s="2" t="str">
        <f>"9783837616262"</f>
        <v>9783837616262</v>
      </c>
      <c r="F24869" s="2" t="str">
        <f>"9783839416266"</f>
        <v>9783839416266</v>
      </c>
    </row>
    <row r="24870" spans="1:6" s="3" customFormat="1" ht="29.1" customHeight="1" x14ac:dyDescent="0.25">
      <c r="A24870" s="2" t="s">
        <v>48518</v>
      </c>
      <c r="B24870" s="2" t="s">
        <v>37380</v>
      </c>
      <c r="C24870" s="2" t="s">
        <v>556</v>
      </c>
      <c r="D24870" s="2" t="s">
        <v>324</v>
      </c>
      <c r="E24870" s="2" t="str">
        <f>"9783837616019"</f>
        <v>9783837616019</v>
      </c>
      <c r="F24870" s="2" t="str">
        <f>"9783839416013"</f>
        <v>9783839416013</v>
      </c>
    </row>
    <row r="24871" spans="1:6" s="3" customFormat="1" ht="29.1" customHeight="1" x14ac:dyDescent="0.25">
      <c r="A24871" s="2" t="s">
        <v>48519</v>
      </c>
      <c r="B24871" s="2" t="s">
        <v>48520</v>
      </c>
      <c r="C24871" s="2" t="s">
        <v>556</v>
      </c>
      <c r="D24871" s="2" t="s">
        <v>30582</v>
      </c>
      <c r="E24871" s="2" t="str">
        <f>"9783837615968"</f>
        <v>9783837615968</v>
      </c>
      <c r="F24871" s="2" t="str">
        <f>"9783839415962"</f>
        <v>9783839415962</v>
      </c>
    </row>
    <row r="24872" spans="1:6" s="3" customFormat="1" ht="29.1" customHeight="1" x14ac:dyDescent="0.25">
      <c r="A24872" s="2" t="s">
        <v>48521</v>
      </c>
      <c r="B24872" s="2" t="s">
        <v>48522</v>
      </c>
      <c r="C24872" s="2" t="s">
        <v>556</v>
      </c>
      <c r="D24872" s="2" t="s">
        <v>968</v>
      </c>
      <c r="E24872" s="2" t="str">
        <f>"9783837615906"</f>
        <v>9783837615906</v>
      </c>
      <c r="F24872" s="2" t="str">
        <f>"9783839415900"</f>
        <v>9783839415900</v>
      </c>
    </row>
    <row r="24873" spans="1:6" s="3" customFormat="1" ht="29.1" customHeight="1" x14ac:dyDescent="0.25">
      <c r="A24873" s="2" t="s">
        <v>48523</v>
      </c>
      <c r="B24873" s="2" t="s">
        <v>48524</v>
      </c>
      <c r="C24873" s="2" t="s">
        <v>556</v>
      </c>
      <c r="D24873" s="2" t="s">
        <v>324</v>
      </c>
      <c r="E24873" s="2" t="str">
        <f>"9783837615524"</f>
        <v>9783837615524</v>
      </c>
      <c r="F24873" s="2" t="str">
        <f>"9783839415528"</f>
        <v>9783839415528</v>
      </c>
    </row>
    <row r="24874" spans="1:6" s="3" customFormat="1" ht="29.1" customHeight="1" x14ac:dyDescent="0.25">
      <c r="A24874" s="2" t="s">
        <v>48525</v>
      </c>
      <c r="B24874" s="2" t="s">
        <v>48526</v>
      </c>
      <c r="C24874" s="2" t="s">
        <v>556</v>
      </c>
      <c r="D24874" s="2" t="s">
        <v>2917</v>
      </c>
      <c r="E24874" s="2" t="str">
        <f>"9783837615326"</f>
        <v>9783837615326</v>
      </c>
      <c r="F24874" s="2" t="str">
        <f>"9783839415320"</f>
        <v>9783839415320</v>
      </c>
    </row>
    <row r="24875" spans="1:6" s="3" customFormat="1" ht="29.1" customHeight="1" x14ac:dyDescent="0.25">
      <c r="A24875" s="2" t="s">
        <v>48527</v>
      </c>
      <c r="B24875" s="2" t="s">
        <v>48528</v>
      </c>
      <c r="C24875" s="2" t="s">
        <v>556</v>
      </c>
      <c r="D24875" s="2" t="s">
        <v>72</v>
      </c>
      <c r="E24875" s="2" t="str">
        <f>"9783837615098"</f>
        <v>9783837615098</v>
      </c>
      <c r="F24875" s="2" t="str">
        <f>"9783839415092"</f>
        <v>9783839415092</v>
      </c>
    </row>
    <row r="24876" spans="1:6" s="3" customFormat="1" ht="29.1" customHeight="1" x14ac:dyDescent="0.25">
      <c r="A24876" s="2" t="s">
        <v>48529</v>
      </c>
      <c r="B24876" s="2" t="s">
        <v>48530</v>
      </c>
      <c r="C24876" s="2" t="s">
        <v>556</v>
      </c>
      <c r="D24876" s="2" t="s">
        <v>1411</v>
      </c>
      <c r="E24876" s="2" t="str">
        <f>"9783837613254"</f>
        <v>9783837613254</v>
      </c>
      <c r="F24876" s="2" t="str">
        <f>"9783839413258"</f>
        <v>9783839413258</v>
      </c>
    </row>
    <row r="24877" spans="1:6" s="3" customFormat="1" ht="29.1" customHeight="1" x14ac:dyDescent="0.25">
      <c r="A24877" s="2" t="s">
        <v>48531</v>
      </c>
      <c r="B24877" s="2" t="s">
        <v>48532</v>
      </c>
      <c r="C24877" s="2" t="s">
        <v>11220</v>
      </c>
      <c r="D24877" s="2" t="s">
        <v>402</v>
      </c>
      <c r="E24877" s="2" t="str">
        <f>"9781479834785"</f>
        <v>9781479834785</v>
      </c>
      <c r="F24877" s="2" t="str">
        <f>"9781479843015"</f>
        <v>9781479843015</v>
      </c>
    </row>
    <row r="24878" spans="1:6" s="3" customFormat="1" ht="29.1" customHeight="1" x14ac:dyDescent="0.25">
      <c r="A24878" s="2" t="s">
        <v>48533</v>
      </c>
      <c r="B24878" s="2" t="s">
        <v>48534</v>
      </c>
      <c r="C24878" s="2" t="s">
        <v>11220</v>
      </c>
      <c r="D24878" s="2" t="s">
        <v>402</v>
      </c>
      <c r="E24878" s="2" t="str">
        <f>"9781479817481"</f>
        <v>9781479817481</v>
      </c>
      <c r="F24878" s="2" t="str">
        <f>"9781479804573"</f>
        <v>9781479804573</v>
      </c>
    </row>
    <row r="24879" spans="1:6" s="3" customFormat="1" ht="29.1" customHeight="1" x14ac:dyDescent="0.25">
      <c r="A24879" s="2" t="s">
        <v>48535</v>
      </c>
      <c r="B24879" s="2" t="s">
        <v>46728</v>
      </c>
      <c r="C24879" s="2" t="s">
        <v>195</v>
      </c>
      <c r="D24879" s="2" t="s">
        <v>446</v>
      </c>
      <c r="E24879" s="2" t="str">
        <f>"9783110349795"</f>
        <v>9783110349795</v>
      </c>
      <c r="F24879" s="2" t="str">
        <f>"9783110363005"</f>
        <v>9783110363005</v>
      </c>
    </row>
    <row r="24880" spans="1:6" s="3" customFormat="1" ht="29.1" customHeight="1" x14ac:dyDescent="0.25">
      <c r="A24880" s="2" t="s">
        <v>48536</v>
      </c>
      <c r="B24880" s="2" t="s">
        <v>48537</v>
      </c>
      <c r="C24880" s="2" t="s">
        <v>195</v>
      </c>
      <c r="D24880" s="2" t="s">
        <v>210</v>
      </c>
      <c r="E24880" s="2" t="str">
        <f>"9783486575637"</f>
        <v>9783486575637</v>
      </c>
      <c r="F24880" s="2" t="str">
        <f>"9783486835748"</f>
        <v>9783486835748</v>
      </c>
    </row>
    <row r="24881" spans="1:6" s="3" customFormat="1" ht="29.1" customHeight="1" x14ac:dyDescent="0.25">
      <c r="A24881" s="2" t="s">
        <v>48538</v>
      </c>
      <c r="B24881" s="2" t="s">
        <v>48539</v>
      </c>
      <c r="C24881" s="2" t="s">
        <v>195</v>
      </c>
      <c r="D24881" s="2" t="s">
        <v>210</v>
      </c>
      <c r="E24881" s="2" t="str">
        <f>"9783486566703"</f>
        <v>9783486566703</v>
      </c>
      <c r="F24881" s="2" t="str">
        <f>"9783486706512"</f>
        <v>9783486706512</v>
      </c>
    </row>
    <row r="24882" spans="1:6" s="3" customFormat="1" ht="29.1" customHeight="1" x14ac:dyDescent="0.25">
      <c r="A24882" s="2" t="s">
        <v>48540</v>
      </c>
      <c r="B24882" s="2" t="s">
        <v>48541</v>
      </c>
      <c r="C24882" s="2" t="s">
        <v>556</v>
      </c>
      <c r="D24882" s="2" t="s">
        <v>2326</v>
      </c>
      <c r="E24882" s="2" t="str">
        <f>"9783899422955"</f>
        <v>9783899422955</v>
      </c>
      <c r="F24882" s="2" t="str">
        <f>"9783839402955"</f>
        <v>9783839402955</v>
      </c>
    </row>
    <row r="24883" spans="1:6" s="3" customFormat="1" ht="29.1" customHeight="1" x14ac:dyDescent="0.25">
      <c r="A24883" s="2" t="s">
        <v>48542</v>
      </c>
      <c r="B24883" s="2" t="s">
        <v>48543</v>
      </c>
      <c r="C24883" s="2" t="s">
        <v>556</v>
      </c>
      <c r="D24883" s="2" t="s">
        <v>324</v>
      </c>
      <c r="E24883" s="2" t="str">
        <f>"9783837622362"</f>
        <v>9783837622362</v>
      </c>
      <c r="F24883" s="2" t="str">
        <f>"9783839422366"</f>
        <v>9783839422366</v>
      </c>
    </row>
    <row r="24884" spans="1:6" s="3" customFormat="1" ht="29.1" customHeight="1" x14ac:dyDescent="0.25">
      <c r="A24884" s="2" t="s">
        <v>48544</v>
      </c>
      <c r="B24884" s="2" t="s">
        <v>48545</v>
      </c>
      <c r="C24884" s="2" t="s">
        <v>556</v>
      </c>
      <c r="D24884" s="2" t="s">
        <v>6113</v>
      </c>
      <c r="E24884" s="2" t="str">
        <f>"9783837622195"</f>
        <v>9783837622195</v>
      </c>
      <c r="F24884" s="2" t="str">
        <f>"9783839422199"</f>
        <v>9783839422199</v>
      </c>
    </row>
    <row r="24885" spans="1:6" s="3" customFormat="1" ht="29.1" customHeight="1" x14ac:dyDescent="0.25">
      <c r="A24885" s="2" t="s">
        <v>48546</v>
      </c>
      <c r="B24885" s="2" t="s">
        <v>48547</v>
      </c>
      <c r="C24885" s="2" t="s">
        <v>556</v>
      </c>
      <c r="D24885" s="2" t="s">
        <v>75</v>
      </c>
      <c r="E24885" s="2" t="str">
        <f>"9783837621570"</f>
        <v>9783837621570</v>
      </c>
      <c r="F24885" s="2" t="str">
        <f>"9783839421574"</f>
        <v>9783839421574</v>
      </c>
    </row>
    <row r="24886" spans="1:6" s="3" customFormat="1" ht="29.1" customHeight="1" x14ac:dyDescent="0.25">
      <c r="A24886" s="2" t="s">
        <v>48548</v>
      </c>
      <c r="B24886" s="2" t="s">
        <v>48549</v>
      </c>
      <c r="C24886" s="2" t="s">
        <v>556</v>
      </c>
      <c r="D24886" s="2" t="s">
        <v>75</v>
      </c>
      <c r="E24886" s="2" t="str">
        <f>"9783837621525"</f>
        <v>9783837621525</v>
      </c>
      <c r="F24886" s="2" t="str">
        <f>"9783839421529"</f>
        <v>9783839421529</v>
      </c>
    </row>
    <row r="24887" spans="1:6" s="3" customFormat="1" ht="29.1" customHeight="1" x14ac:dyDescent="0.25">
      <c r="A24887" s="2" t="s">
        <v>48550</v>
      </c>
      <c r="B24887" s="2" t="s">
        <v>13476</v>
      </c>
      <c r="C24887" s="2" t="s">
        <v>556</v>
      </c>
      <c r="D24887" s="2" t="s">
        <v>490</v>
      </c>
      <c r="E24887" s="2" t="str">
        <f>"9783837621358"</f>
        <v>9783837621358</v>
      </c>
      <c r="F24887" s="2" t="str">
        <f>"9783839421352"</f>
        <v>9783839421352</v>
      </c>
    </row>
    <row r="24888" spans="1:6" s="3" customFormat="1" ht="29.1" customHeight="1" x14ac:dyDescent="0.25">
      <c r="A24888" s="2" t="s">
        <v>48551</v>
      </c>
      <c r="B24888" s="2" t="s">
        <v>48552</v>
      </c>
      <c r="C24888" s="2" t="s">
        <v>556</v>
      </c>
      <c r="D24888" s="2" t="s">
        <v>1046</v>
      </c>
      <c r="E24888" s="2" t="str">
        <f>"9783837621051"</f>
        <v>9783837621051</v>
      </c>
      <c r="F24888" s="2" t="str">
        <f>"9783839421055"</f>
        <v>9783839421055</v>
      </c>
    </row>
    <row r="24889" spans="1:6" s="3" customFormat="1" ht="29.1" customHeight="1" x14ac:dyDescent="0.25">
      <c r="A24889" s="2" t="s">
        <v>48553</v>
      </c>
      <c r="B24889" s="2" t="s">
        <v>48554</v>
      </c>
      <c r="C24889" s="2" t="s">
        <v>556</v>
      </c>
      <c r="D24889" s="2" t="s">
        <v>501</v>
      </c>
      <c r="E24889" s="2" t="str">
        <f>"9783837620962"</f>
        <v>9783837620962</v>
      </c>
      <c r="F24889" s="2" t="str">
        <f>"9783839420966"</f>
        <v>9783839420966</v>
      </c>
    </row>
    <row r="24890" spans="1:6" s="3" customFormat="1" ht="29.1" customHeight="1" x14ac:dyDescent="0.25">
      <c r="A24890" s="2" t="s">
        <v>48555</v>
      </c>
      <c r="B24890" s="2" t="s">
        <v>38089</v>
      </c>
      <c r="C24890" s="2" t="s">
        <v>556</v>
      </c>
      <c r="D24890" s="2" t="s">
        <v>72</v>
      </c>
      <c r="E24890" s="2" t="str">
        <f>"9783837620313"</f>
        <v>9783837620313</v>
      </c>
      <c r="F24890" s="2" t="str">
        <f>"9783839420317"</f>
        <v>9783839420317</v>
      </c>
    </row>
    <row r="24891" spans="1:6" s="3" customFormat="1" ht="29.1" customHeight="1" x14ac:dyDescent="0.25">
      <c r="A24891" s="2" t="s">
        <v>48556</v>
      </c>
      <c r="B24891" s="2" t="s">
        <v>48557</v>
      </c>
      <c r="C24891" s="2" t="s">
        <v>556</v>
      </c>
      <c r="D24891" s="2" t="s">
        <v>1944</v>
      </c>
      <c r="E24891" s="2" t="str">
        <f>"9783837620276"</f>
        <v>9783837620276</v>
      </c>
      <c r="F24891" s="2" t="str">
        <f>"9783839420270"</f>
        <v>9783839420270</v>
      </c>
    </row>
    <row r="24892" spans="1:6" s="3" customFormat="1" ht="29.1" customHeight="1" x14ac:dyDescent="0.25">
      <c r="A24892" s="2" t="s">
        <v>48558</v>
      </c>
      <c r="B24892" s="2" t="s">
        <v>48559</v>
      </c>
      <c r="C24892" s="2" t="s">
        <v>556</v>
      </c>
      <c r="D24892" s="2" t="s">
        <v>324</v>
      </c>
      <c r="E24892" s="2" t="str">
        <f>"9783837620214"</f>
        <v>9783837620214</v>
      </c>
      <c r="F24892" s="2" t="str">
        <f>"9783839420218"</f>
        <v>9783839420218</v>
      </c>
    </row>
    <row r="24893" spans="1:6" s="3" customFormat="1" ht="29.1" customHeight="1" x14ac:dyDescent="0.25">
      <c r="A24893" s="2" t="s">
        <v>48560</v>
      </c>
      <c r="B24893" s="2" t="s">
        <v>48561</v>
      </c>
      <c r="C24893" s="2" t="s">
        <v>556</v>
      </c>
      <c r="D24893" s="2" t="s">
        <v>183</v>
      </c>
      <c r="E24893" s="2" t="str">
        <f>"9783837619751"</f>
        <v>9783837619751</v>
      </c>
      <c r="F24893" s="2" t="str">
        <f>"9783839419755"</f>
        <v>9783839419755</v>
      </c>
    </row>
    <row r="24894" spans="1:6" s="3" customFormat="1" ht="29.1" customHeight="1" x14ac:dyDescent="0.25">
      <c r="A24894" s="2" t="s">
        <v>48562</v>
      </c>
      <c r="B24894" s="2" t="s">
        <v>48563</v>
      </c>
      <c r="C24894" s="2" t="s">
        <v>556</v>
      </c>
      <c r="D24894" s="2" t="s">
        <v>6200</v>
      </c>
      <c r="E24894" s="2" t="str">
        <f>"9783837619645"</f>
        <v>9783837619645</v>
      </c>
      <c r="F24894" s="2" t="str">
        <f>"9783839419649"</f>
        <v>9783839419649</v>
      </c>
    </row>
    <row r="24895" spans="1:6" s="3" customFormat="1" ht="29.1" customHeight="1" x14ac:dyDescent="0.25">
      <c r="A24895" s="2" t="s">
        <v>48564</v>
      </c>
      <c r="B24895" s="2" t="s">
        <v>48565</v>
      </c>
      <c r="C24895" s="2" t="s">
        <v>556</v>
      </c>
      <c r="D24895" s="2" t="s">
        <v>712</v>
      </c>
      <c r="E24895" s="2" t="str">
        <f>"9783837619515"</f>
        <v>9783837619515</v>
      </c>
      <c r="F24895" s="2" t="str">
        <f>"9783839419519"</f>
        <v>9783839419519</v>
      </c>
    </row>
    <row r="24896" spans="1:6" s="3" customFormat="1" ht="29.1" customHeight="1" x14ac:dyDescent="0.25">
      <c r="A24896" s="2" t="s">
        <v>48566</v>
      </c>
      <c r="B24896" s="2" t="s">
        <v>48567</v>
      </c>
      <c r="C24896" s="2" t="s">
        <v>556</v>
      </c>
      <c r="D24896" s="2" t="s">
        <v>2326</v>
      </c>
      <c r="E24896" s="2" t="str">
        <f>"9783837619492"</f>
        <v>9783837619492</v>
      </c>
      <c r="F24896" s="2" t="str">
        <f>"9783839419496"</f>
        <v>9783839419496</v>
      </c>
    </row>
    <row r="24897" spans="1:6" s="3" customFormat="1" ht="29.1" customHeight="1" x14ac:dyDescent="0.25">
      <c r="A24897" s="2" t="s">
        <v>48568</v>
      </c>
      <c r="B24897" s="2" t="s">
        <v>48569</v>
      </c>
      <c r="C24897" s="2" t="s">
        <v>556</v>
      </c>
      <c r="D24897" s="2" t="s">
        <v>6113</v>
      </c>
      <c r="E24897" s="2" t="str">
        <f>"9783837619379"</f>
        <v>9783837619379</v>
      </c>
      <c r="F24897" s="2" t="str">
        <f>"9783839419373"</f>
        <v>9783839419373</v>
      </c>
    </row>
    <row r="24898" spans="1:6" s="3" customFormat="1" ht="29.1" customHeight="1" x14ac:dyDescent="0.25">
      <c r="A24898" s="2" t="s">
        <v>48570</v>
      </c>
      <c r="B24898" s="2" t="s">
        <v>48571</v>
      </c>
      <c r="C24898" s="2" t="s">
        <v>556</v>
      </c>
      <c r="D24898" s="2" t="s">
        <v>1046</v>
      </c>
      <c r="E24898" s="2" t="str">
        <f>"9783837619317"</f>
        <v>9783837619317</v>
      </c>
      <c r="F24898" s="2" t="str">
        <f>"9783839419311"</f>
        <v>9783839419311</v>
      </c>
    </row>
    <row r="24899" spans="1:6" s="3" customFormat="1" ht="29.1" customHeight="1" x14ac:dyDescent="0.25">
      <c r="A24899" s="2" t="s">
        <v>48572</v>
      </c>
      <c r="B24899" s="2" t="s">
        <v>42561</v>
      </c>
      <c r="C24899" s="2" t="s">
        <v>556</v>
      </c>
      <c r="D24899" s="2" t="s">
        <v>841</v>
      </c>
      <c r="E24899" s="2" t="str">
        <f>"9783837618457"</f>
        <v>9783837618457</v>
      </c>
      <c r="F24899" s="2" t="str">
        <f>"9783839418451"</f>
        <v>9783839418451</v>
      </c>
    </row>
    <row r="24900" spans="1:6" s="3" customFormat="1" ht="29.1" customHeight="1" x14ac:dyDescent="0.25">
      <c r="A24900" s="2" t="s">
        <v>48573</v>
      </c>
      <c r="B24900" s="2" t="s">
        <v>48574</v>
      </c>
      <c r="C24900" s="2" t="s">
        <v>556</v>
      </c>
      <c r="D24900" s="2" t="s">
        <v>501</v>
      </c>
      <c r="E24900" s="2" t="str">
        <f>"9783837618310"</f>
        <v>9783837618310</v>
      </c>
      <c r="F24900" s="2" t="str">
        <f>"9783839418314"</f>
        <v>9783839418314</v>
      </c>
    </row>
    <row r="24901" spans="1:6" s="3" customFormat="1" ht="29.1" customHeight="1" x14ac:dyDescent="0.25">
      <c r="A24901" s="2" t="s">
        <v>48575</v>
      </c>
      <c r="B24901" s="2" t="s">
        <v>48576</v>
      </c>
      <c r="C24901" s="2" t="s">
        <v>556</v>
      </c>
      <c r="D24901" s="2" t="s">
        <v>1422</v>
      </c>
      <c r="E24901" s="2" t="str">
        <f>"9783837618266"</f>
        <v>9783837618266</v>
      </c>
      <c r="F24901" s="2" t="str">
        <f>"9783839418260"</f>
        <v>9783839418260</v>
      </c>
    </row>
    <row r="24902" spans="1:6" s="3" customFormat="1" ht="29.1" customHeight="1" x14ac:dyDescent="0.25">
      <c r="A24902" s="2" t="s">
        <v>48577</v>
      </c>
      <c r="B24902" s="2" t="s">
        <v>48578</v>
      </c>
      <c r="C24902" s="2" t="s">
        <v>556</v>
      </c>
      <c r="D24902" s="2" t="s">
        <v>1082</v>
      </c>
      <c r="E24902" s="2" t="str">
        <f>"9783837616736"</f>
        <v>9783837616736</v>
      </c>
      <c r="F24902" s="2" t="str">
        <f>"9783839416730"</f>
        <v>9783839416730</v>
      </c>
    </row>
    <row r="24903" spans="1:6" s="3" customFormat="1" ht="29.1" customHeight="1" x14ac:dyDescent="0.25">
      <c r="A24903" s="2" t="s">
        <v>48579</v>
      </c>
      <c r="B24903" s="2" t="s">
        <v>48580</v>
      </c>
      <c r="C24903" s="2" t="s">
        <v>556</v>
      </c>
      <c r="D24903" s="2" t="s">
        <v>712</v>
      </c>
      <c r="E24903" s="2" t="str">
        <f>"9783837610925"</f>
        <v>9783837610925</v>
      </c>
      <c r="F24903" s="2" t="str">
        <f>"9783839410929"</f>
        <v>9783839410929</v>
      </c>
    </row>
    <row r="24904" spans="1:6" s="3" customFormat="1" ht="29.1" customHeight="1" x14ac:dyDescent="0.25">
      <c r="A24904" s="2" t="s">
        <v>48581</v>
      </c>
      <c r="B24904" s="2" t="s">
        <v>48582</v>
      </c>
      <c r="C24904" s="2" t="s">
        <v>34257</v>
      </c>
      <c r="D24904" s="2" t="s">
        <v>1437</v>
      </c>
      <c r="E24904" s="2" t="str">
        <f>"9780745334981"</f>
        <v>9780745334981</v>
      </c>
      <c r="F24904" s="2" t="str">
        <f>"9781783712069"</f>
        <v>9781783712069</v>
      </c>
    </row>
    <row r="24905" spans="1:6" s="3" customFormat="1" ht="29.1" customHeight="1" x14ac:dyDescent="0.25">
      <c r="A24905" s="2" t="s">
        <v>48583</v>
      </c>
      <c r="B24905" s="2" t="s">
        <v>48584</v>
      </c>
      <c r="C24905" s="2" t="s">
        <v>43061</v>
      </c>
      <c r="D24905" s="2" t="s">
        <v>34178</v>
      </c>
      <c r="E24905" s="2" t="str">
        <f>"9783862198429"</f>
        <v>9783862198429</v>
      </c>
      <c r="F24905" s="2" t="str">
        <f>"9783862198436"</f>
        <v>9783862198436</v>
      </c>
    </row>
    <row r="24906" spans="1:6" s="3" customFormat="1" ht="29.1" customHeight="1" x14ac:dyDescent="0.25">
      <c r="A24906" s="2" t="s">
        <v>48585</v>
      </c>
      <c r="B24906" s="2" t="s">
        <v>48586</v>
      </c>
      <c r="C24906" s="2" t="s">
        <v>43061</v>
      </c>
      <c r="D24906" s="2" t="s">
        <v>650</v>
      </c>
      <c r="E24906" s="2" t="str">
        <f>"9783862198283"</f>
        <v>9783862198283</v>
      </c>
      <c r="F24906" s="2" t="str">
        <f>"9783862198290"</f>
        <v>9783862198290</v>
      </c>
    </row>
    <row r="24907" spans="1:6" s="3" customFormat="1" ht="29.1" customHeight="1" x14ac:dyDescent="0.25">
      <c r="A24907" s="2" t="s">
        <v>48587</v>
      </c>
      <c r="B24907" s="2" t="s">
        <v>48588</v>
      </c>
      <c r="C24907" s="2" t="s">
        <v>43061</v>
      </c>
      <c r="D24907" s="2" t="s">
        <v>25924</v>
      </c>
      <c r="E24907" s="2" t="str">
        <f>"9783862198061"</f>
        <v>9783862198061</v>
      </c>
      <c r="F24907" s="2" t="str">
        <f>"9783862198078"</f>
        <v>9783862198078</v>
      </c>
    </row>
    <row r="24908" spans="1:6" s="3" customFormat="1" ht="29.1" customHeight="1" x14ac:dyDescent="0.25">
      <c r="A24908" s="2" t="s">
        <v>48589</v>
      </c>
      <c r="B24908" s="2" t="s">
        <v>48590</v>
      </c>
      <c r="C24908" s="2" t="s">
        <v>43061</v>
      </c>
      <c r="D24908" s="2" t="s">
        <v>12529</v>
      </c>
      <c r="E24908" s="2" t="str">
        <f>"9783862198344"</f>
        <v>9783862198344</v>
      </c>
      <c r="F24908" s="2" t="str">
        <f>"9783862198351"</f>
        <v>9783862198351</v>
      </c>
    </row>
    <row r="24909" spans="1:6" s="3" customFormat="1" ht="29.1" customHeight="1" x14ac:dyDescent="0.25">
      <c r="A24909" s="2" t="s">
        <v>48591</v>
      </c>
      <c r="B24909" s="2" t="s">
        <v>48592</v>
      </c>
      <c r="C24909" s="2" t="s">
        <v>43061</v>
      </c>
      <c r="D24909" s="2" t="s">
        <v>650</v>
      </c>
      <c r="E24909" s="2" t="str">
        <f>"9783862198207"</f>
        <v>9783862198207</v>
      </c>
      <c r="F24909" s="2" t="str">
        <f>"9783862198214"</f>
        <v>9783862198214</v>
      </c>
    </row>
    <row r="24910" spans="1:6" s="3" customFormat="1" ht="29.1" customHeight="1" x14ac:dyDescent="0.25">
      <c r="A24910" s="2" t="s">
        <v>48593</v>
      </c>
      <c r="B24910" s="2" t="s">
        <v>48595</v>
      </c>
      <c r="C24910" s="2" t="s">
        <v>43061</v>
      </c>
      <c r="D24910" s="2" t="s">
        <v>48594</v>
      </c>
      <c r="E24910" s="2" t="str">
        <f>"9783862197903"</f>
        <v>9783862197903</v>
      </c>
      <c r="F24910" s="2" t="str">
        <f>"9783862197910"</f>
        <v>9783862197910</v>
      </c>
    </row>
    <row r="24911" spans="1:6" s="3" customFormat="1" ht="29.1" customHeight="1" x14ac:dyDescent="0.25">
      <c r="A24911" s="2" t="s">
        <v>48596</v>
      </c>
      <c r="B24911" s="2" t="s">
        <v>48597</v>
      </c>
      <c r="C24911" s="2" t="s">
        <v>43061</v>
      </c>
      <c r="D24911" s="2" t="s">
        <v>7199</v>
      </c>
      <c r="E24911" s="2" t="str">
        <f>"9783862197743"</f>
        <v>9783862197743</v>
      </c>
      <c r="F24911" s="2" t="str">
        <f>"9783862197750"</f>
        <v>9783862197750</v>
      </c>
    </row>
    <row r="24912" spans="1:6" s="3" customFormat="1" ht="29.1" customHeight="1" x14ac:dyDescent="0.25">
      <c r="A24912" s="2" t="s">
        <v>48598</v>
      </c>
      <c r="B24912" s="2" t="s">
        <v>48599</v>
      </c>
      <c r="C24912" s="2" t="s">
        <v>43061</v>
      </c>
      <c r="D24912" s="2" t="s">
        <v>13059</v>
      </c>
      <c r="E24912" s="2" t="str">
        <f>"9783899586107"</f>
        <v>9783899586107</v>
      </c>
      <c r="F24912" s="2" t="str">
        <f>"9783899586114"</f>
        <v>9783899586114</v>
      </c>
    </row>
    <row r="24913" spans="1:6" s="3" customFormat="1" ht="29.1" customHeight="1" x14ac:dyDescent="0.25">
      <c r="A24913" s="2" t="s">
        <v>48600</v>
      </c>
      <c r="B24913" s="2" t="s">
        <v>48601</v>
      </c>
      <c r="C24913" s="2" t="s">
        <v>43061</v>
      </c>
      <c r="D24913" s="2" t="s">
        <v>2147</v>
      </c>
      <c r="E24913" s="2" t="str">
        <f>"9783862198245"</f>
        <v>9783862198245</v>
      </c>
      <c r="F24913" s="2" t="str">
        <f>"9783862198252"</f>
        <v>9783862198252</v>
      </c>
    </row>
    <row r="24914" spans="1:6" s="3" customFormat="1" ht="29.1" customHeight="1" x14ac:dyDescent="0.25">
      <c r="A24914" s="2" t="s">
        <v>48602</v>
      </c>
      <c r="B24914" s="2" t="s">
        <v>48603</v>
      </c>
      <c r="C24914" s="2" t="s">
        <v>43061</v>
      </c>
      <c r="D24914" s="2" t="s">
        <v>45236</v>
      </c>
      <c r="E24914" s="2" t="str">
        <f>"9783862198085"</f>
        <v>9783862198085</v>
      </c>
      <c r="F24914" s="2" t="str">
        <f>"9783862198092"</f>
        <v>9783862198092</v>
      </c>
    </row>
    <row r="24915" spans="1:6" s="3" customFormat="1" ht="29.1" customHeight="1" x14ac:dyDescent="0.25">
      <c r="A24915" s="2" t="s">
        <v>48604</v>
      </c>
      <c r="B24915" s="2" t="s">
        <v>48605</v>
      </c>
      <c r="C24915" s="2" t="s">
        <v>43061</v>
      </c>
      <c r="D24915" s="2" t="s">
        <v>28753</v>
      </c>
      <c r="E24915" s="2" t="str">
        <f>"9783862198047"</f>
        <v>9783862198047</v>
      </c>
      <c r="F24915" s="2" t="str">
        <f>"9783862198054"</f>
        <v>9783862198054</v>
      </c>
    </row>
    <row r="24916" spans="1:6" s="3" customFormat="1" ht="29.1" customHeight="1" x14ac:dyDescent="0.25">
      <c r="A24916" s="2" t="s">
        <v>48606</v>
      </c>
      <c r="B24916" s="2" t="s">
        <v>48607</v>
      </c>
      <c r="C24916" s="2" t="s">
        <v>43061</v>
      </c>
      <c r="D24916" s="2" t="s">
        <v>5983</v>
      </c>
      <c r="E24916" s="2" t="str">
        <f>"9783862197989"</f>
        <v>9783862197989</v>
      </c>
      <c r="F24916" s="2" t="str">
        <f>"9783862197996"</f>
        <v>9783862197996</v>
      </c>
    </row>
    <row r="24917" spans="1:6" s="3" customFormat="1" ht="29.1" customHeight="1" x14ac:dyDescent="0.25">
      <c r="A24917" s="2" t="s">
        <v>48608</v>
      </c>
      <c r="B24917" s="2" t="s">
        <v>48609</v>
      </c>
      <c r="C24917" s="2" t="s">
        <v>43061</v>
      </c>
      <c r="D24917" s="2" t="s">
        <v>3943</v>
      </c>
      <c r="E24917" s="2" t="str">
        <f>"9783862197927"</f>
        <v>9783862197927</v>
      </c>
      <c r="F24917" s="2" t="str">
        <f>"9783862197934"</f>
        <v>9783862197934</v>
      </c>
    </row>
    <row r="24918" spans="1:6" s="3" customFormat="1" ht="29.1" customHeight="1" x14ac:dyDescent="0.25">
      <c r="A24918" s="2" t="s">
        <v>48610</v>
      </c>
      <c r="B24918" s="2" t="s">
        <v>48611</v>
      </c>
      <c r="C24918" s="2" t="s">
        <v>43061</v>
      </c>
      <c r="D24918" s="2" t="s">
        <v>1065</v>
      </c>
      <c r="E24918" s="2" t="str">
        <f>"9783862197880"</f>
        <v>9783862197880</v>
      </c>
      <c r="F24918" s="2" t="str">
        <f>"9783862197897"</f>
        <v>9783862197897</v>
      </c>
    </row>
    <row r="24919" spans="1:6" s="3" customFormat="1" ht="29.1" customHeight="1" x14ac:dyDescent="0.25">
      <c r="A24919" s="2" t="s">
        <v>48612</v>
      </c>
      <c r="B24919" s="2" t="s">
        <v>48613</v>
      </c>
      <c r="C24919" s="2" t="s">
        <v>43061</v>
      </c>
      <c r="D24919" s="2" t="s">
        <v>138</v>
      </c>
      <c r="E24919" s="2" t="str">
        <f>"9783862197866"</f>
        <v>9783862197866</v>
      </c>
      <c r="F24919" s="2" t="str">
        <f>"9783862197873"</f>
        <v>9783862197873</v>
      </c>
    </row>
    <row r="24920" spans="1:6" s="3" customFormat="1" ht="29.1" customHeight="1" x14ac:dyDescent="0.25">
      <c r="A24920" s="2" t="s">
        <v>48614</v>
      </c>
      <c r="B24920" s="2" t="s">
        <v>48616</v>
      </c>
      <c r="C24920" s="2" t="s">
        <v>43061</v>
      </c>
      <c r="D24920" s="2" t="s">
        <v>48615</v>
      </c>
      <c r="E24920" s="2" t="str">
        <f>"9783862197842"</f>
        <v>9783862197842</v>
      </c>
      <c r="F24920" s="2" t="str">
        <f>"9783862197859"</f>
        <v>9783862197859</v>
      </c>
    </row>
    <row r="24921" spans="1:6" s="3" customFormat="1" ht="29.1" customHeight="1" x14ac:dyDescent="0.25">
      <c r="A24921" s="2" t="s">
        <v>48617</v>
      </c>
      <c r="B24921" s="2" t="s">
        <v>48618</v>
      </c>
      <c r="C24921" s="2" t="s">
        <v>43061</v>
      </c>
      <c r="D24921" s="2" t="s">
        <v>7199</v>
      </c>
      <c r="E24921" s="2" t="str">
        <f>"9783862197828"</f>
        <v>9783862197828</v>
      </c>
      <c r="F24921" s="2" t="str">
        <f>"9783862197835"</f>
        <v>9783862197835</v>
      </c>
    </row>
    <row r="24922" spans="1:6" s="3" customFormat="1" ht="29.1" customHeight="1" x14ac:dyDescent="0.25">
      <c r="A24922" s="2" t="s">
        <v>48619</v>
      </c>
      <c r="B24922" s="2" t="s">
        <v>48620</v>
      </c>
      <c r="C24922" s="2" t="s">
        <v>43061</v>
      </c>
      <c r="D24922" s="2" t="s">
        <v>1959</v>
      </c>
      <c r="E24922" s="2" t="str">
        <f>"9783862197804"</f>
        <v>9783862197804</v>
      </c>
      <c r="F24922" s="2" t="str">
        <f>"9783862197811"</f>
        <v>9783862197811</v>
      </c>
    </row>
    <row r="24923" spans="1:6" s="3" customFormat="1" ht="29.1" customHeight="1" x14ac:dyDescent="0.25">
      <c r="A24923" s="2" t="s">
        <v>48621</v>
      </c>
      <c r="B24923" s="2" t="s">
        <v>48622</v>
      </c>
      <c r="C24923" s="2" t="s">
        <v>43061</v>
      </c>
      <c r="D24923" s="2" t="s">
        <v>5319</v>
      </c>
      <c r="E24923" s="2" t="str">
        <f>"9783862197781"</f>
        <v>9783862197781</v>
      </c>
      <c r="F24923" s="2" t="str">
        <f>"9783862197798"</f>
        <v>9783862197798</v>
      </c>
    </row>
    <row r="24924" spans="1:6" s="3" customFormat="1" ht="29.1" customHeight="1" x14ac:dyDescent="0.25">
      <c r="A24924" s="2" t="s">
        <v>48623</v>
      </c>
      <c r="B24924" s="2" t="s">
        <v>48624</v>
      </c>
      <c r="C24924" s="2" t="s">
        <v>43061</v>
      </c>
      <c r="D24924" s="2" t="s">
        <v>650</v>
      </c>
      <c r="E24924" s="2" t="str">
        <f>"9783862197767"</f>
        <v>9783862197767</v>
      </c>
      <c r="F24924" s="2" t="str">
        <f>"9783862197774"</f>
        <v>9783862197774</v>
      </c>
    </row>
    <row r="24925" spans="1:6" s="3" customFormat="1" ht="29.1" customHeight="1" x14ac:dyDescent="0.25">
      <c r="A24925" s="2" t="s">
        <v>48625</v>
      </c>
      <c r="B24925" s="2" t="s">
        <v>48626</v>
      </c>
      <c r="C24925" s="2" t="s">
        <v>43061</v>
      </c>
      <c r="D24925" s="2" t="s">
        <v>650</v>
      </c>
      <c r="E24925" s="2" t="str">
        <f>"9783862197705"</f>
        <v>9783862197705</v>
      </c>
      <c r="F24925" s="2" t="str">
        <f>"9783862197712"</f>
        <v>9783862197712</v>
      </c>
    </row>
    <row r="24926" spans="1:6" s="3" customFormat="1" ht="29.1" customHeight="1" x14ac:dyDescent="0.25">
      <c r="A24926" s="2" t="s">
        <v>48627</v>
      </c>
      <c r="B24926" s="2" t="s">
        <v>48628</v>
      </c>
      <c r="C24926" s="2" t="s">
        <v>43061</v>
      </c>
      <c r="D24926" s="2" t="s">
        <v>34178</v>
      </c>
      <c r="E24926" s="2" t="str">
        <f>"9783862197682"</f>
        <v>9783862197682</v>
      </c>
      <c r="F24926" s="2" t="str">
        <f>"9783862197699"</f>
        <v>9783862197699</v>
      </c>
    </row>
    <row r="24927" spans="1:6" s="3" customFormat="1" ht="29.1" customHeight="1" x14ac:dyDescent="0.25">
      <c r="A24927" s="2" t="s">
        <v>48629</v>
      </c>
      <c r="B24927" s="2" t="s">
        <v>48630</v>
      </c>
      <c r="C24927" s="2" t="s">
        <v>43061</v>
      </c>
      <c r="D24927" s="2" t="s">
        <v>1025</v>
      </c>
      <c r="E24927" s="2" t="str">
        <f>"9783862197644"</f>
        <v>9783862197644</v>
      </c>
      <c r="F24927" s="2" t="str">
        <f>"9783862197651"</f>
        <v>9783862197651</v>
      </c>
    </row>
    <row r="24928" spans="1:6" s="3" customFormat="1" ht="29.1" customHeight="1" x14ac:dyDescent="0.25">
      <c r="A24928" s="2" t="s">
        <v>48631</v>
      </c>
      <c r="B24928" s="2" t="s">
        <v>48632</v>
      </c>
      <c r="C24928" s="2" t="s">
        <v>43061</v>
      </c>
      <c r="D24928" s="2" t="s">
        <v>138</v>
      </c>
      <c r="E24928" s="2" t="str">
        <f>"9783862197620"</f>
        <v>9783862197620</v>
      </c>
      <c r="F24928" s="2" t="str">
        <f>"9783862197637"</f>
        <v>9783862197637</v>
      </c>
    </row>
    <row r="24929" spans="1:6" s="3" customFormat="1" ht="29.1" customHeight="1" x14ac:dyDescent="0.25">
      <c r="A24929" s="2" t="s">
        <v>48633</v>
      </c>
      <c r="B24929" s="2" t="s">
        <v>48634</v>
      </c>
      <c r="C24929" s="2" t="s">
        <v>43061</v>
      </c>
      <c r="D24929" s="2" t="s">
        <v>92</v>
      </c>
      <c r="E24929" s="2" t="str">
        <f>"9783862197606"</f>
        <v>9783862197606</v>
      </c>
      <c r="F24929" s="2" t="str">
        <f>"9783862197613"</f>
        <v>9783862197613</v>
      </c>
    </row>
    <row r="24930" spans="1:6" s="3" customFormat="1" ht="29.1" customHeight="1" x14ac:dyDescent="0.25">
      <c r="A24930" s="2" t="s">
        <v>48635</v>
      </c>
      <c r="B24930" s="2" t="s">
        <v>48636</v>
      </c>
      <c r="C24930" s="2" t="s">
        <v>43061</v>
      </c>
      <c r="D24930" s="2" t="s">
        <v>650</v>
      </c>
      <c r="E24930" s="2" t="str">
        <f>"9783862197569"</f>
        <v>9783862197569</v>
      </c>
      <c r="F24930" s="2" t="str">
        <f>"9783862197576"</f>
        <v>9783862197576</v>
      </c>
    </row>
    <row r="24931" spans="1:6" s="3" customFormat="1" ht="29.1" customHeight="1" x14ac:dyDescent="0.25">
      <c r="A24931" s="2" t="s">
        <v>48637</v>
      </c>
      <c r="B24931" s="2" t="s">
        <v>48639</v>
      </c>
      <c r="C24931" s="2" t="s">
        <v>43061</v>
      </c>
      <c r="D24931" s="2" t="s">
        <v>48638</v>
      </c>
      <c r="E24931" s="2" t="str">
        <f>"9783862197545"</f>
        <v>9783862197545</v>
      </c>
      <c r="F24931" s="2" t="str">
        <f>"9783862197552"</f>
        <v>9783862197552</v>
      </c>
    </row>
    <row r="24932" spans="1:6" s="3" customFormat="1" ht="29.1" customHeight="1" x14ac:dyDescent="0.25">
      <c r="A24932" s="2" t="s">
        <v>48640</v>
      </c>
      <c r="B24932" s="2" t="s">
        <v>48641</v>
      </c>
      <c r="C24932" s="2" t="s">
        <v>43061</v>
      </c>
      <c r="D24932" s="2" t="s">
        <v>650</v>
      </c>
      <c r="E24932" s="2" t="str">
        <f>"9783862197521"</f>
        <v>9783862197521</v>
      </c>
      <c r="F24932" s="2" t="str">
        <f>"9783862197538"</f>
        <v>9783862197538</v>
      </c>
    </row>
    <row r="24933" spans="1:6" s="3" customFormat="1" ht="29.1" customHeight="1" x14ac:dyDescent="0.25">
      <c r="A24933" s="2" t="s">
        <v>48642</v>
      </c>
      <c r="B24933" s="2" t="s">
        <v>48643</v>
      </c>
      <c r="C24933" s="2" t="s">
        <v>43061</v>
      </c>
      <c r="D24933" s="2" t="s">
        <v>297</v>
      </c>
      <c r="E24933" s="2" t="str">
        <f>"9783862197507"</f>
        <v>9783862197507</v>
      </c>
      <c r="F24933" s="2" t="str">
        <f>"9783862197514"</f>
        <v>9783862197514</v>
      </c>
    </row>
    <row r="24934" spans="1:6" s="3" customFormat="1" ht="29.1" customHeight="1" x14ac:dyDescent="0.25">
      <c r="A24934" s="2" t="s">
        <v>48644</v>
      </c>
      <c r="B24934" s="2" t="s">
        <v>48645</v>
      </c>
      <c r="C24934" s="2" t="s">
        <v>43061</v>
      </c>
      <c r="D24934" s="2" t="s">
        <v>1908</v>
      </c>
      <c r="E24934" s="2" t="str">
        <f>"9783862197484"</f>
        <v>9783862197484</v>
      </c>
      <c r="F24934" s="2" t="str">
        <f>"9783862197491"</f>
        <v>9783862197491</v>
      </c>
    </row>
    <row r="24935" spans="1:6" s="3" customFormat="1" ht="29.1" customHeight="1" x14ac:dyDescent="0.25">
      <c r="A24935" s="2" t="s">
        <v>48646</v>
      </c>
      <c r="B24935" s="2" t="s">
        <v>48647</v>
      </c>
      <c r="C24935" s="2" t="s">
        <v>43061</v>
      </c>
      <c r="D24935" s="2" t="s">
        <v>19142</v>
      </c>
      <c r="E24935" s="2" t="str">
        <f>"9783862197460"</f>
        <v>9783862197460</v>
      </c>
      <c r="F24935" s="2" t="str">
        <f>"9783862197477"</f>
        <v>9783862197477</v>
      </c>
    </row>
    <row r="24936" spans="1:6" s="3" customFormat="1" ht="29.1" customHeight="1" x14ac:dyDescent="0.25">
      <c r="A24936" s="2" t="s">
        <v>48648</v>
      </c>
      <c r="B24936" s="2" t="s">
        <v>48649</v>
      </c>
      <c r="C24936" s="2" t="s">
        <v>43061</v>
      </c>
      <c r="D24936" s="2" t="s">
        <v>350</v>
      </c>
      <c r="E24936" s="2" t="str">
        <f>"9783862197408"</f>
        <v>9783862197408</v>
      </c>
      <c r="F24936" s="2" t="str">
        <f>"9783862197415"</f>
        <v>9783862197415</v>
      </c>
    </row>
    <row r="24937" spans="1:6" s="3" customFormat="1" ht="29.1" customHeight="1" x14ac:dyDescent="0.25">
      <c r="A24937" s="2" t="s">
        <v>48650</v>
      </c>
      <c r="B24937" s="2" t="s">
        <v>48651</v>
      </c>
      <c r="C24937" s="2" t="s">
        <v>43061</v>
      </c>
      <c r="D24937" s="2" t="s">
        <v>1854</v>
      </c>
      <c r="E24937" s="2" t="str">
        <f>"9783862197385"</f>
        <v>9783862197385</v>
      </c>
      <c r="F24937" s="2" t="str">
        <f>"9783862197392"</f>
        <v>9783862197392</v>
      </c>
    </row>
    <row r="24938" spans="1:6" s="3" customFormat="1" ht="29.1" customHeight="1" x14ac:dyDescent="0.25">
      <c r="A24938" s="2" t="s">
        <v>48652</v>
      </c>
      <c r="B24938" s="2" t="s">
        <v>48653</v>
      </c>
      <c r="C24938" s="2" t="s">
        <v>43061</v>
      </c>
      <c r="D24938" s="2" t="s">
        <v>5092</v>
      </c>
      <c r="E24938" s="2" t="str">
        <f>"9783862197361"</f>
        <v>9783862197361</v>
      </c>
      <c r="F24938" s="2" t="str">
        <f>"9783862197378"</f>
        <v>9783862197378</v>
      </c>
    </row>
    <row r="24939" spans="1:6" s="3" customFormat="1" ht="29.1" customHeight="1" x14ac:dyDescent="0.25">
      <c r="A24939" s="2" t="s">
        <v>48654</v>
      </c>
      <c r="B24939" s="2" t="s">
        <v>48655</v>
      </c>
      <c r="C24939" s="2" t="s">
        <v>43061</v>
      </c>
      <c r="D24939" s="2" t="s">
        <v>132</v>
      </c>
      <c r="E24939" s="2" t="str">
        <f>"9783862197347"</f>
        <v>9783862197347</v>
      </c>
      <c r="F24939" s="2" t="str">
        <f>"9783862197354"</f>
        <v>9783862197354</v>
      </c>
    </row>
    <row r="24940" spans="1:6" s="3" customFormat="1" ht="29.1" customHeight="1" x14ac:dyDescent="0.25">
      <c r="A24940" s="2" t="s">
        <v>48656</v>
      </c>
      <c r="B24940" s="2" t="s">
        <v>48657</v>
      </c>
      <c r="C24940" s="2" t="s">
        <v>43061</v>
      </c>
      <c r="D24940" s="2" t="s">
        <v>650</v>
      </c>
      <c r="E24940" s="2" t="str">
        <f>"9783862197323"</f>
        <v>9783862197323</v>
      </c>
      <c r="F24940" s="2" t="str">
        <f>"9783862197330"</f>
        <v>9783862197330</v>
      </c>
    </row>
    <row r="24941" spans="1:6" s="3" customFormat="1" ht="29.1" customHeight="1" x14ac:dyDescent="0.25">
      <c r="A24941" s="2" t="s">
        <v>48658</v>
      </c>
      <c r="B24941" s="2" t="s">
        <v>48659</v>
      </c>
      <c r="C24941" s="2" t="s">
        <v>43061</v>
      </c>
      <c r="D24941" s="2" t="s">
        <v>2260</v>
      </c>
      <c r="E24941" s="2" t="str">
        <f>"9783862197309"</f>
        <v>9783862197309</v>
      </c>
      <c r="F24941" s="2" t="str">
        <f>"9783862197316"</f>
        <v>9783862197316</v>
      </c>
    </row>
    <row r="24942" spans="1:6" s="3" customFormat="1" ht="29.1" customHeight="1" x14ac:dyDescent="0.25">
      <c r="A24942" s="2" t="s">
        <v>48660</v>
      </c>
      <c r="B24942" s="2" t="s">
        <v>48661</v>
      </c>
      <c r="C24942" s="2" t="s">
        <v>43061</v>
      </c>
      <c r="D24942" s="2" t="s">
        <v>350</v>
      </c>
      <c r="E24942" s="2" t="str">
        <f>"9783862197286"</f>
        <v>9783862197286</v>
      </c>
      <c r="F24942" s="2" t="str">
        <f>"9783862197293"</f>
        <v>9783862197293</v>
      </c>
    </row>
    <row r="24943" spans="1:6" s="3" customFormat="1" ht="29.1" customHeight="1" x14ac:dyDescent="0.25">
      <c r="A24943" s="2" t="s">
        <v>48662</v>
      </c>
      <c r="B24943" s="2" t="s">
        <v>48663</v>
      </c>
      <c r="C24943" s="2" t="s">
        <v>43061</v>
      </c>
      <c r="D24943" s="2" t="s">
        <v>650</v>
      </c>
      <c r="E24943" s="2" t="str">
        <f>"9783862197262"</f>
        <v>9783862197262</v>
      </c>
      <c r="F24943" s="2" t="str">
        <f>"9783862197279"</f>
        <v>9783862197279</v>
      </c>
    </row>
    <row r="24944" spans="1:6" s="3" customFormat="1" ht="29.1" customHeight="1" x14ac:dyDescent="0.25">
      <c r="A24944" s="2" t="s">
        <v>48664</v>
      </c>
      <c r="B24944" s="2" t="s">
        <v>48665</v>
      </c>
      <c r="C24944" s="2" t="s">
        <v>43061</v>
      </c>
      <c r="D24944" s="2" t="s">
        <v>1390</v>
      </c>
      <c r="E24944" s="2" t="str">
        <f>"9783862197248"</f>
        <v>9783862197248</v>
      </c>
      <c r="F24944" s="2" t="str">
        <f>"9783862197255"</f>
        <v>9783862197255</v>
      </c>
    </row>
    <row r="24945" spans="1:6" s="3" customFormat="1" ht="29.1" customHeight="1" x14ac:dyDescent="0.25">
      <c r="A24945" s="2" t="s">
        <v>48666</v>
      </c>
      <c r="B24945" s="2" t="s">
        <v>48667</v>
      </c>
      <c r="C24945" s="2" t="s">
        <v>43061</v>
      </c>
      <c r="D24945" s="2" t="s">
        <v>1854</v>
      </c>
      <c r="E24945" s="2" t="str">
        <f>"9783862197224"</f>
        <v>9783862197224</v>
      </c>
      <c r="F24945" s="2" t="str">
        <f>"9783862197231"</f>
        <v>9783862197231</v>
      </c>
    </row>
    <row r="24946" spans="1:6" s="3" customFormat="1" ht="29.1" customHeight="1" x14ac:dyDescent="0.25">
      <c r="A24946" s="2" t="s">
        <v>48668</v>
      </c>
      <c r="B24946" s="2" t="s">
        <v>48669</v>
      </c>
      <c r="C24946" s="2" t="s">
        <v>43061</v>
      </c>
      <c r="D24946" s="2" t="s">
        <v>2883</v>
      </c>
      <c r="E24946" s="2" t="str">
        <f>"9783862197200"</f>
        <v>9783862197200</v>
      </c>
      <c r="F24946" s="2" t="str">
        <f>"9783862197217"</f>
        <v>9783862197217</v>
      </c>
    </row>
    <row r="24947" spans="1:6" s="3" customFormat="1" ht="29.1" customHeight="1" x14ac:dyDescent="0.25">
      <c r="A24947" s="2" t="s">
        <v>48670</v>
      </c>
      <c r="B24947" s="2" t="s">
        <v>48672</v>
      </c>
      <c r="C24947" s="2" t="s">
        <v>43061</v>
      </c>
      <c r="D24947" s="2" t="s">
        <v>48671</v>
      </c>
      <c r="E24947" s="2" t="str">
        <f>"9783862197187"</f>
        <v>9783862197187</v>
      </c>
      <c r="F24947" s="2" t="str">
        <f>"9783862197194"</f>
        <v>9783862197194</v>
      </c>
    </row>
    <row r="24948" spans="1:6" s="3" customFormat="1" ht="29.1" customHeight="1" x14ac:dyDescent="0.25">
      <c r="A24948" s="2" t="s">
        <v>48673</v>
      </c>
      <c r="B24948" s="2" t="s">
        <v>48674</v>
      </c>
      <c r="C24948" s="2" t="s">
        <v>43061</v>
      </c>
      <c r="D24948" s="2" t="s">
        <v>183</v>
      </c>
      <c r="E24948" s="2" t="str">
        <f>"9783862197163"</f>
        <v>9783862197163</v>
      </c>
      <c r="F24948" s="2" t="str">
        <f>"9783862197170"</f>
        <v>9783862197170</v>
      </c>
    </row>
    <row r="24949" spans="1:6" s="3" customFormat="1" ht="29.1" customHeight="1" x14ac:dyDescent="0.25">
      <c r="A24949" s="2" t="s">
        <v>48675</v>
      </c>
      <c r="B24949" s="2" t="s">
        <v>48676</v>
      </c>
      <c r="C24949" s="2" t="s">
        <v>43061</v>
      </c>
      <c r="D24949" s="2" t="s">
        <v>2697</v>
      </c>
      <c r="E24949" s="2" t="str">
        <f>"9783862197149"</f>
        <v>9783862197149</v>
      </c>
      <c r="F24949" s="2" t="str">
        <f>"9783862197156"</f>
        <v>9783862197156</v>
      </c>
    </row>
    <row r="24950" spans="1:6" s="3" customFormat="1" ht="29.1" customHeight="1" x14ac:dyDescent="0.25">
      <c r="A24950" s="2" t="s">
        <v>48677</v>
      </c>
      <c r="B24950" s="2" t="s">
        <v>48678</v>
      </c>
      <c r="C24950" s="2" t="s">
        <v>43061</v>
      </c>
      <c r="D24950" s="2" t="s">
        <v>650</v>
      </c>
      <c r="E24950" s="2" t="str">
        <f>"9783862197125"</f>
        <v>9783862197125</v>
      </c>
      <c r="F24950" s="2" t="str">
        <f>"9783862197132"</f>
        <v>9783862197132</v>
      </c>
    </row>
    <row r="24951" spans="1:6" s="3" customFormat="1" ht="29.1" customHeight="1" x14ac:dyDescent="0.25">
      <c r="A24951" s="2" t="s">
        <v>48679</v>
      </c>
      <c r="B24951" s="2" t="s">
        <v>48680</v>
      </c>
      <c r="C24951" s="2" t="s">
        <v>43061</v>
      </c>
      <c r="D24951" s="2" t="s">
        <v>501</v>
      </c>
      <c r="E24951" s="2" t="str">
        <f>"9783862197101"</f>
        <v>9783862197101</v>
      </c>
      <c r="F24951" s="2" t="str">
        <f>"9783862197118"</f>
        <v>9783862197118</v>
      </c>
    </row>
    <row r="24952" spans="1:6" s="3" customFormat="1" ht="29.1" customHeight="1" x14ac:dyDescent="0.25">
      <c r="A24952" s="2" t="s">
        <v>48681</v>
      </c>
      <c r="B24952" s="2" t="s">
        <v>48682</v>
      </c>
      <c r="C24952" s="2" t="s">
        <v>43061</v>
      </c>
      <c r="D24952" s="2" t="s">
        <v>2147</v>
      </c>
      <c r="E24952" s="2" t="str">
        <f>"9783862197088"</f>
        <v>9783862197088</v>
      </c>
      <c r="F24952" s="2" t="str">
        <f>"9783862197095"</f>
        <v>9783862197095</v>
      </c>
    </row>
    <row r="24953" spans="1:6" s="3" customFormat="1" ht="29.1" customHeight="1" x14ac:dyDescent="0.25">
      <c r="A24953" s="2" t="s">
        <v>48683</v>
      </c>
      <c r="B24953" s="2" t="s">
        <v>48685</v>
      </c>
      <c r="C24953" s="2" t="s">
        <v>43061</v>
      </c>
      <c r="D24953" s="2" t="s">
        <v>48684</v>
      </c>
      <c r="E24953" s="2" t="str">
        <f>"9783862197040"</f>
        <v>9783862197040</v>
      </c>
      <c r="F24953" s="2" t="str">
        <f>"9783862197057"</f>
        <v>9783862197057</v>
      </c>
    </row>
    <row r="24954" spans="1:6" s="3" customFormat="1" ht="29.1" customHeight="1" x14ac:dyDescent="0.25">
      <c r="A24954" s="2" t="s">
        <v>48686</v>
      </c>
      <c r="B24954" s="2" t="s">
        <v>48687</v>
      </c>
      <c r="C24954" s="2" t="s">
        <v>43061</v>
      </c>
      <c r="D24954" s="2" t="s">
        <v>14352</v>
      </c>
      <c r="E24954" s="2" t="str">
        <f>"9783862197026"</f>
        <v>9783862197026</v>
      </c>
      <c r="F24954" s="2" t="str">
        <f>"9783862197033"</f>
        <v>9783862197033</v>
      </c>
    </row>
    <row r="24955" spans="1:6" s="3" customFormat="1" ht="29.1" customHeight="1" x14ac:dyDescent="0.25">
      <c r="A24955" s="2" t="s">
        <v>48688</v>
      </c>
      <c r="B24955" s="2" t="s">
        <v>48689</v>
      </c>
      <c r="C24955" s="2" t="s">
        <v>43061</v>
      </c>
      <c r="D24955" s="2" t="s">
        <v>8868</v>
      </c>
      <c r="E24955" s="2" t="str">
        <f>"9783862197002"</f>
        <v>9783862197002</v>
      </c>
      <c r="F24955" s="2" t="str">
        <f>"9783862197019"</f>
        <v>9783862197019</v>
      </c>
    </row>
    <row r="24956" spans="1:6" s="3" customFormat="1" ht="29.1" customHeight="1" x14ac:dyDescent="0.25">
      <c r="A24956" s="2" t="s">
        <v>48690</v>
      </c>
      <c r="B24956" s="2" t="s">
        <v>48692</v>
      </c>
      <c r="C24956" s="2" t="s">
        <v>43061</v>
      </c>
      <c r="D24956" s="2" t="s">
        <v>48691</v>
      </c>
      <c r="E24956" s="2" t="str">
        <f>"9783862196944"</f>
        <v>9783862196944</v>
      </c>
      <c r="F24956" s="2" t="str">
        <f>"9783862196951"</f>
        <v>9783862196951</v>
      </c>
    </row>
    <row r="24957" spans="1:6" s="3" customFormat="1" ht="29.1" customHeight="1" x14ac:dyDescent="0.25">
      <c r="A24957" s="2" t="s">
        <v>48693</v>
      </c>
      <c r="B24957" s="2" t="s">
        <v>48694</v>
      </c>
      <c r="C24957" s="2" t="s">
        <v>43061</v>
      </c>
      <c r="D24957" s="2" t="s">
        <v>408</v>
      </c>
      <c r="E24957" s="2" t="str">
        <f>"9783862196906"</f>
        <v>9783862196906</v>
      </c>
      <c r="F24957" s="2" t="str">
        <f>"9783862196913"</f>
        <v>9783862196913</v>
      </c>
    </row>
    <row r="24958" spans="1:6" s="3" customFormat="1" ht="29.1" customHeight="1" x14ac:dyDescent="0.25">
      <c r="A24958" s="2" t="s">
        <v>48695</v>
      </c>
      <c r="B24958" s="2" t="s">
        <v>48696</v>
      </c>
      <c r="C24958" s="2" t="s">
        <v>43061</v>
      </c>
      <c r="D24958" s="2" t="s">
        <v>350</v>
      </c>
      <c r="E24958" s="2" t="str">
        <f>"9783862196883"</f>
        <v>9783862196883</v>
      </c>
      <c r="F24958" s="2" t="str">
        <f>"9783862196890"</f>
        <v>9783862196890</v>
      </c>
    </row>
    <row r="24959" spans="1:6" s="3" customFormat="1" ht="29.1" customHeight="1" x14ac:dyDescent="0.25">
      <c r="A24959" s="2" t="s">
        <v>48697</v>
      </c>
      <c r="B24959" s="2" t="s">
        <v>48699</v>
      </c>
      <c r="C24959" s="2" t="s">
        <v>43061</v>
      </c>
      <c r="D24959" s="2" t="s">
        <v>48698</v>
      </c>
      <c r="E24959" s="2" t="str">
        <f>"9783862196869"</f>
        <v>9783862196869</v>
      </c>
      <c r="F24959" s="2" t="str">
        <f>"9783862196876"</f>
        <v>9783862196876</v>
      </c>
    </row>
    <row r="24960" spans="1:6" s="3" customFormat="1" ht="29.1" customHeight="1" x14ac:dyDescent="0.25">
      <c r="A24960" s="2" t="s">
        <v>48700</v>
      </c>
      <c r="B24960" s="2" t="s">
        <v>48701</v>
      </c>
      <c r="C24960" s="2" t="s">
        <v>43061</v>
      </c>
      <c r="D24960" s="2" t="s">
        <v>6511</v>
      </c>
      <c r="E24960" s="2" t="str">
        <f>"9783862196647"</f>
        <v>9783862196647</v>
      </c>
      <c r="F24960" s="2" t="str">
        <f>"9783862196654"</f>
        <v>9783862196654</v>
      </c>
    </row>
    <row r="24961" spans="1:6" s="3" customFormat="1" ht="29.1" customHeight="1" x14ac:dyDescent="0.25">
      <c r="A24961" s="2" t="s">
        <v>48702</v>
      </c>
      <c r="B24961" s="2" t="s">
        <v>48703</v>
      </c>
      <c r="C24961" s="2" t="s">
        <v>43061</v>
      </c>
      <c r="D24961" s="2" t="s">
        <v>1694</v>
      </c>
      <c r="E24961" s="2" t="str">
        <f>"9783862196562"</f>
        <v>9783862196562</v>
      </c>
      <c r="F24961" s="2" t="str">
        <f>"9783862196579"</f>
        <v>9783862196579</v>
      </c>
    </row>
    <row r="24962" spans="1:6" s="3" customFormat="1" ht="29.1" customHeight="1" x14ac:dyDescent="0.25">
      <c r="A24962" s="2" t="s">
        <v>48704</v>
      </c>
      <c r="B24962" s="2" t="s">
        <v>48705</v>
      </c>
      <c r="C24962" s="2" t="s">
        <v>43061</v>
      </c>
      <c r="D24962" s="2" t="s">
        <v>47354</v>
      </c>
      <c r="E24962" s="2" t="str">
        <f>"9783862196265"</f>
        <v>9783862196265</v>
      </c>
      <c r="F24962" s="2" t="str">
        <f>"9783862196272"</f>
        <v>9783862196272</v>
      </c>
    </row>
    <row r="24963" spans="1:6" s="3" customFormat="1" ht="29.1" customHeight="1" x14ac:dyDescent="0.25">
      <c r="A24963" s="2" t="s">
        <v>48706</v>
      </c>
      <c r="B24963" s="2" t="s">
        <v>48707</v>
      </c>
      <c r="C24963" s="2" t="s">
        <v>43061</v>
      </c>
      <c r="D24963" s="2" t="s">
        <v>1059</v>
      </c>
      <c r="E24963" s="2" t="str">
        <f>"9783862194940"</f>
        <v>9783862194940</v>
      </c>
      <c r="F24963" s="2" t="str">
        <f>"9783862194957"</f>
        <v>9783862194957</v>
      </c>
    </row>
    <row r="24964" spans="1:6" s="3" customFormat="1" ht="29.1" customHeight="1" x14ac:dyDescent="0.25">
      <c r="A24964" s="2" t="s">
        <v>48708</v>
      </c>
      <c r="B24964" s="2" t="s">
        <v>48709</v>
      </c>
      <c r="C24964" s="2" t="s">
        <v>43061</v>
      </c>
      <c r="D24964" s="2" t="s">
        <v>4739</v>
      </c>
      <c r="E24964" s="2" t="str">
        <f>"9783862194360"</f>
        <v>9783862194360</v>
      </c>
      <c r="F24964" s="2" t="str">
        <f>"9783862194377"</f>
        <v>9783862194377</v>
      </c>
    </row>
    <row r="24965" spans="1:6" s="3" customFormat="1" ht="29.1" customHeight="1" x14ac:dyDescent="0.25">
      <c r="A24965" s="2" t="s">
        <v>48710</v>
      </c>
      <c r="B24965" s="2" t="s">
        <v>48711</v>
      </c>
      <c r="C24965" s="2" t="s">
        <v>43061</v>
      </c>
      <c r="D24965" s="2" t="s">
        <v>1285</v>
      </c>
      <c r="E24965" s="2" t="str">
        <f>"9783862194162"</f>
        <v>9783862194162</v>
      </c>
      <c r="F24965" s="2" t="str">
        <f>"9783862194179"</f>
        <v>9783862194179</v>
      </c>
    </row>
    <row r="24966" spans="1:6" s="3" customFormat="1" ht="29.1" customHeight="1" x14ac:dyDescent="0.25">
      <c r="A24966" s="2" t="s">
        <v>48712</v>
      </c>
      <c r="B24966" s="2" t="s">
        <v>48713</v>
      </c>
      <c r="C24966" s="2" t="s">
        <v>43061</v>
      </c>
      <c r="D24966" s="2" t="s">
        <v>2147</v>
      </c>
      <c r="E24966" s="2" t="str">
        <f>"9783862192069"</f>
        <v>9783862192069</v>
      </c>
      <c r="F24966" s="2" t="str">
        <f>"9783862192076"</f>
        <v>9783862192076</v>
      </c>
    </row>
    <row r="24967" spans="1:6" s="3" customFormat="1" ht="29.1" customHeight="1" x14ac:dyDescent="0.25">
      <c r="A24967" s="2" t="s">
        <v>48714</v>
      </c>
      <c r="B24967" s="2" t="s">
        <v>48716</v>
      </c>
      <c r="C24967" s="2" t="s">
        <v>264</v>
      </c>
      <c r="D24967" s="2" t="s">
        <v>48715</v>
      </c>
      <c r="E24967" s="2" t="str">
        <f>"9781482241846"</f>
        <v>9781482241846</v>
      </c>
      <c r="F24967" s="2" t="str">
        <f>"9781482241853"</f>
        <v>9781482241853</v>
      </c>
    </row>
    <row r="24968" spans="1:6" s="3" customFormat="1" ht="29.1" customHeight="1" x14ac:dyDescent="0.25">
      <c r="A24968" s="2" t="s">
        <v>48717</v>
      </c>
      <c r="B24968" s="2" t="s">
        <v>48718</v>
      </c>
      <c r="C24968" s="2" t="s">
        <v>1070</v>
      </c>
      <c r="D24968" s="2" t="s">
        <v>1498</v>
      </c>
      <c r="E24968" s="2"/>
      <c r="F24968" s="2" t="str">
        <f>"9781908541833"</f>
        <v>9781908541833</v>
      </c>
    </row>
    <row r="24969" spans="1:6" s="3" customFormat="1" ht="29.1" customHeight="1" x14ac:dyDescent="0.25">
      <c r="A24969" s="2" t="s">
        <v>48719</v>
      </c>
      <c r="B24969" s="2" t="s">
        <v>48720</v>
      </c>
      <c r="C24969" s="2" t="s">
        <v>29</v>
      </c>
      <c r="D24969" s="2" t="s">
        <v>183</v>
      </c>
      <c r="E24969" s="2" t="str">
        <f>"9789004272330"</f>
        <v>9789004272330</v>
      </c>
      <c r="F24969" s="2" t="str">
        <f>"9789004282292"</f>
        <v>9789004282292</v>
      </c>
    </row>
    <row r="24970" spans="1:6" s="3" customFormat="1" ht="29.1" customHeight="1" x14ac:dyDescent="0.25">
      <c r="A24970" s="2" t="s">
        <v>48721</v>
      </c>
      <c r="B24970" s="2" t="s">
        <v>48722</v>
      </c>
      <c r="C24970" s="2" t="s">
        <v>2129</v>
      </c>
      <c r="D24970" s="2" t="s">
        <v>78</v>
      </c>
      <c r="E24970" s="2" t="str">
        <f>"9781438453118"</f>
        <v>9781438453118</v>
      </c>
      <c r="F24970" s="2" t="str">
        <f>"9781438453125"</f>
        <v>9781438453125</v>
      </c>
    </row>
    <row r="24971" spans="1:6" s="3" customFormat="1" ht="29.1" customHeight="1" x14ac:dyDescent="0.25">
      <c r="A24971" s="2" t="s">
        <v>48723</v>
      </c>
      <c r="B24971" s="2" t="s">
        <v>48724</v>
      </c>
      <c r="C24971" s="2" t="s">
        <v>264</v>
      </c>
      <c r="D24971" s="2" t="s">
        <v>12</v>
      </c>
      <c r="E24971" s="2" t="str">
        <f>"9781439870136"</f>
        <v>9781439870136</v>
      </c>
      <c r="F24971" s="2" t="str">
        <f>"9781439870150"</f>
        <v>9781439870150</v>
      </c>
    </row>
    <row r="24972" spans="1:6" s="3" customFormat="1" ht="29.1" customHeight="1" x14ac:dyDescent="0.25">
      <c r="A24972" s="2" t="s">
        <v>48725</v>
      </c>
      <c r="B24972" s="2" t="s">
        <v>48726</v>
      </c>
      <c r="C24972" s="2" t="s">
        <v>124</v>
      </c>
      <c r="D24972" s="2" t="s">
        <v>4059</v>
      </c>
      <c r="E24972" s="2" t="str">
        <f>"9780415721752"</f>
        <v>9780415721752</v>
      </c>
      <c r="F24972" s="2" t="str">
        <f>"9781317938378"</f>
        <v>9781317938378</v>
      </c>
    </row>
    <row r="24973" spans="1:6" s="3" customFormat="1" ht="29.1" customHeight="1" x14ac:dyDescent="0.25">
      <c r="A24973" s="2" t="s">
        <v>48727</v>
      </c>
      <c r="B24973" s="2" t="s">
        <v>48728</v>
      </c>
      <c r="C24973" s="2" t="s">
        <v>595</v>
      </c>
      <c r="D24973" s="2" t="s">
        <v>968</v>
      </c>
      <c r="E24973" s="2" t="str">
        <f>"9783631623572"</f>
        <v>9783631623572</v>
      </c>
      <c r="F24973" s="2" t="str">
        <f>"9783653044690"</f>
        <v>9783653044690</v>
      </c>
    </row>
    <row r="24974" spans="1:6" s="3" customFormat="1" ht="29.1" customHeight="1" x14ac:dyDescent="0.25">
      <c r="A24974" s="2" t="s">
        <v>48729</v>
      </c>
      <c r="B24974" s="2" t="s">
        <v>48730</v>
      </c>
      <c r="C24974" s="2" t="s">
        <v>62</v>
      </c>
      <c r="D24974" s="2" t="s">
        <v>1840</v>
      </c>
      <c r="E24974" s="2" t="str">
        <f>"9783428136247"</f>
        <v>9783428136247</v>
      </c>
      <c r="F24974" s="2" t="str">
        <f>"9783428536245"</f>
        <v>9783428536245</v>
      </c>
    </row>
    <row r="24975" spans="1:6" s="3" customFormat="1" ht="29.1" customHeight="1" x14ac:dyDescent="0.25">
      <c r="A24975" s="2" t="s">
        <v>48731</v>
      </c>
      <c r="B24975" s="2" t="s">
        <v>48732</v>
      </c>
      <c r="C24975" s="2" t="s">
        <v>1070</v>
      </c>
      <c r="D24975" s="2" t="s">
        <v>1387</v>
      </c>
      <c r="E24975" s="2" t="str">
        <f>"9781908541741"</f>
        <v>9781908541741</v>
      </c>
      <c r="F24975" s="2" t="str">
        <f>"9781908541819"</f>
        <v>9781908541819</v>
      </c>
    </row>
    <row r="24976" spans="1:6" s="3" customFormat="1" ht="29.1" customHeight="1" x14ac:dyDescent="0.25">
      <c r="A24976" s="2" t="s">
        <v>48733</v>
      </c>
      <c r="B24976" s="2" t="s">
        <v>48734</v>
      </c>
      <c r="C24976" s="2" t="s">
        <v>11220</v>
      </c>
      <c r="D24976" s="2" t="s">
        <v>183</v>
      </c>
      <c r="E24976" s="2" t="str">
        <f>"9781479898992"</f>
        <v>9781479898992</v>
      </c>
      <c r="F24976" s="2" t="str">
        <f>"9781479806799"</f>
        <v>9781479806799</v>
      </c>
    </row>
    <row r="24977" spans="1:6" s="3" customFormat="1" ht="29.1" customHeight="1" x14ac:dyDescent="0.25">
      <c r="A24977" s="2" t="s">
        <v>48735</v>
      </c>
      <c r="B24977" s="2" t="s">
        <v>48736</v>
      </c>
      <c r="C24977" s="2" t="s">
        <v>11220</v>
      </c>
      <c r="D24977" s="2" t="s">
        <v>42999</v>
      </c>
      <c r="E24977" s="2" t="str">
        <f>"9781479841424"</f>
        <v>9781479841424</v>
      </c>
      <c r="F24977" s="2" t="str">
        <f>"9781479806294"</f>
        <v>9781479806294</v>
      </c>
    </row>
    <row r="24978" spans="1:6" s="3" customFormat="1" ht="29.1" customHeight="1" x14ac:dyDescent="0.25">
      <c r="A24978" s="2" t="s">
        <v>48737</v>
      </c>
      <c r="B24978" s="2" t="s">
        <v>48738</v>
      </c>
      <c r="C24978" s="2" t="s">
        <v>11220</v>
      </c>
      <c r="D24978" s="2" t="s">
        <v>297</v>
      </c>
      <c r="E24978" s="2" t="str">
        <f>"9781479839407"</f>
        <v>9781479839407</v>
      </c>
      <c r="F24978" s="2" t="str">
        <f>"9781479809561"</f>
        <v>9781479809561</v>
      </c>
    </row>
    <row r="24979" spans="1:6" s="3" customFormat="1" ht="29.1" customHeight="1" x14ac:dyDescent="0.25">
      <c r="A24979" s="2" t="s">
        <v>48739</v>
      </c>
      <c r="B24979" s="2" t="s">
        <v>48740</v>
      </c>
      <c r="C24979" s="2" t="s">
        <v>556</v>
      </c>
      <c r="D24979" s="2" t="s">
        <v>699</v>
      </c>
      <c r="E24979" s="2" t="str">
        <f>"9783837625837"</f>
        <v>9783837625837</v>
      </c>
      <c r="F24979" s="2" t="str">
        <f>"9783839425831"</f>
        <v>9783839425831</v>
      </c>
    </row>
    <row r="24980" spans="1:6" s="3" customFormat="1" ht="29.1" customHeight="1" x14ac:dyDescent="0.25">
      <c r="A24980" s="2" t="s">
        <v>48741</v>
      </c>
      <c r="B24980" s="2" t="s">
        <v>48742</v>
      </c>
      <c r="C24980" s="2" t="s">
        <v>556</v>
      </c>
      <c r="D24980" s="2" t="s">
        <v>4190</v>
      </c>
      <c r="E24980" s="2" t="str">
        <f>"9783837625707"</f>
        <v>9783837625707</v>
      </c>
      <c r="F24980" s="2" t="str">
        <f>"9783839425701"</f>
        <v>9783839425701</v>
      </c>
    </row>
    <row r="24981" spans="1:6" s="3" customFormat="1" ht="29.1" customHeight="1" x14ac:dyDescent="0.25">
      <c r="A24981" s="2" t="s">
        <v>48743</v>
      </c>
      <c r="B24981" s="2" t="s">
        <v>48744</v>
      </c>
      <c r="C24981" s="2" t="s">
        <v>556</v>
      </c>
      <c r="D24981" s="2" t="s">
        <v>378</v>
      </c>
      <c r="E24981" s="2" t="str">
        <f>"9783837625653"</f>
        <v>9783837625653</v>
      </c>
      <c r="F24981" s="2" t="str">
        <f>"9783839425657"</f>
        <v>9783839425657</v>
      </c>
    </row>
    <row r="24982" spans="1:6" s="3" customFormat="1" ht="29.1" customHeight="1" x14ac:dyDescent="0.25">
      <c r="A24982" s="2" t="s">
        <v>48745</v>
      </c>
      <c r="B24982" s="2" t="s">
        <v>48746</v>
      </c>
      <c r="C24982" s="2" t="s">
        <v>556</v>
      </c>
      <c r="D24982" s="2" t="s">
        <v>2361</v>
      </c>
      <c r="E24982" s="2" t="str">
        <f>"9783837625431"</f>
        <v>9783837625431</v>
      </c>
      <c r="F24982" s="2" t="str">
        <f>"9783839425435"</f>
        <v>9783839425435</v>
      </c>
    </row>
    <row r="24983" spans="1:6" s="3" customFormat="1" ht="29.1" customHeight="1" x14ac:dyDescent="0.25">
      <c r="A24983" s="2" t="s">
        <v>48747</v>
      </c>
      <c r="B24983" s="2" t="s">
        <v>48748</v>
      </c>
      <c r="C24983" s="2" t="s">
        <v>556</v>
      </c>
      <c r="D24983" s="2" t="s">
        <v>1162</v>
      </c>
      <c r="E24983" s="2" t="str">
        <f>"9783837625417"</f>
        <v>9783837625417</v>
      </c>
      <c r="F24983" s="2" t="str">
        <f>"9783839425411"</f>
        <v>9783839425411</v>
      </c>
    </row>
    <row r="24984" spans="1:6" s="3" customFormat="1" ht="29.1" customHeight="1" x14ac:dyDescent="0.25">
      <c r="A24984" s="2" t="s">
        <v>48749</v>
      </c>
      <c r="B24984" s="2" t="s">
        <v>38000</v>
      </c>
      <c r="C24984" s="2" t="s">
        <v>556</v>
      </c>
      <c r="D24984" s="2" t="s">
        <v>1557</v>
      </c>
      <c r="E24984" s="2" t="str">
        <f>"9783837625318"</f>
        <v>9783837625318</v>
      </c>
      <c r="F24984" s="2" t="str">
        <f>"9783839425312"</f>
        <v>9783839425312</v>
      </c>
    </row>
    <row r="24985" spans="1:6" s="3" customFormat="1" ht="29.1" customHeight="1" x14ac:dyDescent="0.25">
      <c r="A24985" s="2" t="s">
        <v>48750</v>
      </c>
      <c r="B24985" s="2" t="s">
        <v>48751</v>
      </c>
      <c r="C24985" s="2" t="s">
        <v>556</v>
      </c>
      <c r="D24985" s="2" t="s">
        <v>636</v>
      </c>
      <c r="E24985" s="2" t="str">
        <f>"9783837625158"</f>
        <v>9783837625158</v>
      </c>
      <c r="F24985" s="2" t="str">
        <f>"9783839425152"</f>
        <v>9783839425152</v>
      </c>
    </row>
    <row r="24986" spans="1:6" s="3" customFormat="1" ht="29.1" customHeight="1" x14ac:dyDescent="0.25">
      <c r="A24986" s="2" t="s">
        <v>48752</v>
      </c>
      <c r="B24986" s="2" t="s">
        <v>48753</v>
      </c>
      <c r="C24986" s="2" t="s">
        <v>556</v>
      </c>
      <c r="D24986" s="2" t="s">
        <v>353</v>
      </c>
      <c r="E24986" s="2" t="str">
        <f>"9783837624984"</f>
        <v>9783837624984</v>
      </c>
      <c r="F24986" s="2" t="str">
        <f>"9783839424988"</f>
        <v>9783839424988</v>
      </c>
    </row>
    <row r="24987" spans="1:6" s="3" customFormat="1" ht="29.1" customHeight="1" x14ac:dyDescent="0.25">
      <c r="A24987" s="2" t="s">
        <v>48754</v>
      </c>
      <c r="B24987" s="2" t="s">
        <v>48755</v>
      </c>
      <c r="C24987" s="2" t="s">
        <v>556</v>
      </c>
      <c r="D24987" s="2" t="s">
        <v>1155</v>
      </c>
      <c r="E24987" s="2" t="str">
        <f>"9783837624953"</f>
        <v>9783837624953</v>
      </c>
      <c r="F24987" s="2" t="str">
        <f>"9783839424957"</f>
        <v>9783839424957</v>
      </c>
    </row>
    <row r="24988" spans="1:6" s="3" customFormat="1" ht="29.1" customHeight="1" x14ac:dyDescent="0.25">
      <c r="A24988" s="2" t="s">
        <v>48756</v>
      </c>
      <c r="B24988" s="2" t="s">
        <v>48757</v>
      </c>
      <c r="C24988" s="2" t="s">
        <v>556</v>
      </c>
      <c r="D24988" s="2" t="s">
        <v>78</v>
      </c>
      <c r="E24988" s="2" t="str">
        <f>"9783837624861"</f>
        <v>9783837624861</v>
      </c>
      <c r="F24988" s="2" t="str">
        <f>"9783839424865"</f>
        <v>9783839424865</v>
      </c>
    </row>
    <row r="24989" spans="1:6" s="3" customFormat="1" ht="29.1" customHeight="1" x14ac:dyDescent="0.25">
      <c r="A24989" s="2" t="s">
        <v>48758</v>
      </c>
      <c r="B24989" s="2" t="s">
        <v>48759</v>
      </c>
      <c r="C24989" s="2" t="s">
        <v>556</v>
      </c>
      <c r="D24989" s="2" t="s">
        <v>1189</v>
      </c>
      <c r="E24989" s="2" t="str">
        <f>"9783837624786"</f>
        <v>9783837624786</v>
      </c>
      <c r="F24989" s="2" t="str">
        <f>"9783839424780"</f>
        <v>9783839424780</v>
      </c>
    </row>
    <row r="24990" spans="1:6" s="3" customFormat="1" ht="29.1" customHeight="1" x14ac:dyDescent="0.25">
      <c r="A24990" s="2" t="s">
        <v>48760</v>
      </c>
      <c r="B24990" s="2" t="s">
        <v>4445</v>
      </c>
      <c r="C24990" s="2" t="s">
        <v>556</v>
      </c>
      <c r="D24990" s="2" t="s">
        <v>5806</v>
      </c>
      <c r="E24990" s="2" t="str">
        <f>"9783837624731"</f>
        <v>9783837624731</v>
      </c>
      <c r="F24990" s="2" t="str">
        <f>"9783839424735"</f>
        <v>9783839424735</v>
      </c>
    </row>
    <row r="24991" spans="1:6" s="3" customFormat="1" ht="29.1" customHeight="1" x14ac:dyDescent="0.25">
      <c r="A24991" s="2" t="s">
        <v>48761</v>
      </c>
      <c r="B24991" s="2" t="s">
        <v>48762</v>
      </c>
      <c r="C24991" s="2" t="s">
        <v>556</v>
      </c>
      <c r="D24991" s="2" t="s">
        <v>6187</v>
      </c>
      <c r="E24991" s="2" t="str">
        <f>"9783837624427"</f>
        <v>9783837624427</v>
      </c>
      <c r="F24991" s="2" t="str">
        <f>"9783839424421"</f>
        <v>9783839424421</v>
      </c>
    </row>
    <row r="24992" spans="1:6" s="3" customFormat="1" ht="29.1" customHeight="1" x14ac:dyDescent="0.25">
      <c r="A24992" s="2" t="s">
        <v>48763</v>
      </c>
      <c r="B24992" s="2" t="s">
        <v>48764</v>
      </c>
      <c r="C24992" s="2" t="s">
        <v>556</v>
      </c>
      <c r="D24992" s="2" t="s">
        <v>6412</v>
      </c>
      <c r="E24992" s="2" t="str">
        <f>"9783837624373"</f>
        <v>9783837624373</v>
      </c>
      <c r="F24992" s="2" t="str">
        <f>"9783839424377"</f>
        <v>9783839424377</v>
      </c>
    </row>
    <row r="24993" spans="1:6" s="3" customFormat="1" ht="29.1" customHeight="1" x14ac:dyDescent="0.25">
      <c r="A24993" s="2" t="s">
        <v>48765</v>
      </c>
      <c r="B24993" s="2" t="s">
        <v>48766</v>
      </c>
      <c r="C24993" s="2" t="s">
        <v>556</v>
      </c>
      <c r="D24993" s="2" t="s">
        <v>75</v>
      </c>
      <c r="E24993" s="2" t="str">
        <f>"9783837624342"</f>
        <v>9783837624342</v>
      </c>
      <c r="F24993" s="2" t="str">
        <f>"9783839424346"</f>
        <v>9783839424346</v>
      </c>
    </row>
    <row r="24994" spans="1:6" s="3" customFormat="1" ht="29.1" customHeight="1" x14ac:dyDescent="0.25">
      <c r="A24994" s="2" t="s">
        <v>48767</v>
      </c>
      <c r="B24994" s="2" t="s">
        <v>48768</v>
      </c>
      <c r="C24994" s="2" t="s">
        <v>556</v>
      </c>
      <c r="D24994" s="2" t="s">
        <v>636</v>
      </c>
      <c r="E24994" s="2" t="str">
        <f>"9783837624144"</f>
        <v>9783837624144</v>
      </c>
      <c r="F24994" s="2" t="str">
        <f>"9783839424148"</f>
        <v>9783839424148</v>
      </c>
    </row>
    <row r="24995" spans="1:6" s="3" customFormat="1" ht="29.1" customHeight="1" x14ac:dyDescent="0.25">
      <c r="A24995" s="2" t="s">
        <v>48769</v>
      </c>
      <c r="B24995" s="2" t="s">
        <v>48770</v>
      </c>
      <c r="C24995" s="2" t="s">
        <v>556</v>
      </c>
      <c r="D24995" s="2" t="s">
        <v>913</v>
      </c>
      <c r="E24995" s="2" t="str">
        <f>"9783837624083"</f>
        <v>9783837624083</v>
      </c>
      <c r="F24995" s="2" t="str">
        <f>"9783839424087"</f>
        <v>9783839424087</v>
      </c>
    </row>
    <row r="24996" spans="1:6" s="3" customFormat="1" ht="29.1" customHeight="1" x14ac:dyDescent="0.25">
      <c r="A24996" s="2" t="s">
        <v>48771</v>
      </c>
      <c r="B24996" s="2" t="s">
        <v>48772</v>
      </c>
      <c r="C24996" s="2" t="s">
        <v>556</v>
      </c>
      <c r="D24996" s="2" t="s">
        <v>183</v>
      </c>
      <c r="E24996" s="2" t="str">
        <f>"9783837623963"</f>
        <v>9783837623963</v>
      </c>
      <c r="F24996" s="2" t="str">
        <f>"9783839423967"</f>
        <v>9783839423967</v>
      </c>
    </row>
    <row r="24997" spans="1:6" s="3" customFormat="1" ht="29.1" customHeight="1" x14ac:dyDescent="0.25">
      <c r="A24997" s="2" t="s">
        <v>48773</v>
      </c>
      <c r="B24997" s="2" t="s">
        <v>48774</v>
      </c>
      <c r="C24997" s="2" t="s">
        <v>556</v>
      </c>
      <c r="D24997" s="2" t="s">
        <v>183</v>
      </c>
      <c r="E24997" s="2" t="str">
        <f>"9783837623871"</f>
        <v>9783837623871</v>
      </c>
      <c r="F24997" s="2" t="str">
        <f>"9783839423875"</f>
        <v>9783839423875</v>
      </c>
    </row>
    <row r="24998" spans="1:6" s="3" customFormat="1" ht="29.1" customHeight="1" x14ac:dyDescent="0.25">
      <c r="A24998" s="2" t="s">
        <v>48775</v>
      </c>
      <c r="B24998" s="2" t="s">
        <v>48776</v>
      </c>
      <c r="C24998" s="2" t="s">
        <v>556</v>
      </c>
      <c r="D24998" s="2" t="s">
        <v>3993</v>
      </c>
      <c r="E24998" s="2" t="str">
        <f>"9783837623789"</f>
        <v>9783837623789</v>
      </c>
      <c r="F24998" s="2" t="str">
        <f>"9783839423783"</f>
        <v>9783839423783</v>
      </c>
    </row>
    <row r="24999" spans="1:6" s="3" customFormat="1" ht="29.1" customHeight="1" x14ac:dyDescent="0.25">
      <c r="A24999" s="2" t="s">
        <v>48777</v>
      </c>
      <c r="B24999" s="2" t="s">
        <v>48778</v>
      </c>
      <c r="C24999" s="2" t="s">
        <v>556</v>
      </c>
      <c r="D24999" s="2" t="s">
        <v>2326</v>
      </c>
      <c r="E24999" s="2" t="str">
        <f>"9783837623710"</f>
        <v>9783837623710</v>
      </c>
      <c r="F24999" s="2" t="str">
        <f>"9783839423714"</f>
        <v>9783839423714</v>
      </c>
    </row>
    <row r="25000" spans="1:6" s="3" customFormat="1" ht="29.1" customHeight="1" x14ac:dyDescent="0.25">
      <c r="A25000" s="2" t="s">
        <v>48779</v>
      </c>
      <c r="B25000" s="2" t="s">
        <v>48780</v>
      </c>
      <c r="C25000" s="2" t="s">
        <v>556</v>
      </c>
      <c r="D25000" s="2" t="s">
        <v>6113</v>
      </c>
      <c r="E25000" s="2" t="str">
        <f>"9783837623680"</f>
        <v>9783837623680</v>
      </c>
      <c r="F25000" s="2" t="str">
        <f>"9783839423684"</f>
        <v>9783839423684</v>
      </c>
    </row>
    <row r="25001" spans="1:6" s="3" customFormat="1" ht="29.1" customHeight="1" x14ac:dyDescent="0.25">
      <c r="A25001" s="2" t="s">
        <v>48781</v>
      </c>
      <c r="B25001" s="2" t="s">
        <v>48782</v>
      </c>
      <c r="C25001" s="2" t="s">
        <v>556</v>
      </c>
      <c r="D25001" s="2" t="s">
        <v>501</v>
      </c>
      <c r="E25001" s="2" t="str">
        <f>"9783837623444"</f>
        <v>9783837623444</v>
      </c>
      <c r="F25001" s="2" t="str">
        <f>"9783839423448"</f>
        <v>9783839423448</v>
      </c>
    </row>
    <row r="25002" spans="1:6" s="3" customFormat="1" ht="29.1" customHeight="1" x14ac:dyDescent="0.25">
      <c r="A25002" s="2" t="s">
        <v>48783</v>
      </c>
      <c r="B25002" s="2" t="s">
        <v>48784</v>
      </c>
      <c r="C25002" s="2" t="s">
        <v>556</v>
      </c>
      <c r="D25002" s="2" t="s">
        <v>1262</v>
      </c>
      <c r="E25002" s="2" t="str">
        <f>"9783837623420"</f>
        <v>9783837623420</v>
      </c>
      <c r="F25002" s="2" t="str">
        <f>"9783839423424"</f>
        <v>9783839423424</v>
      </c>
    </row>
    <row r="25003" spans="1:6" s="3" customFormat="1" ht="29.1" customHeight="1" x14ac:dyDescent="0.25">
      <c r="A25003" s="2" t="s">
        <v>48785</v>
      </c>
      <c r="B25003" s="2" t="s">
        <v>48786</v>
      </c>
      <c r="C25003" s="2" t="s">
        <v>556</v>
      </c>
      <c r="D25003" s="2" t="s">
        <v>72</v>
      </c>
      <c r="E25003" s="2" t="str">
        <f>"9783837623123"</f>
        <v>9783837623123</v>
      </c>
      <c r="F25003" s="2" t="str">
        <f>"9783839423127"</f>
        <v>9783839423127</v>
      </c>
    </row>
    <row r="25004" spans="1:6" s="3" customFormat="1" ht="29.1" customHeight="1" x14ac:dyDescent="0.25">
      <c r="A25004" s="2" t="s">
        <v>48787</v>
      </c>
      <c r="B25004" s="2" t="s">
        <v>48788</v>
      </c>
      <c r="C25004" s="2" t="s">
        <v>556</v>
      </c>
      <c r="D25004" s="2" t="s">
        <v>712</v>
      </c>
      <c r="E25004" s="2" t="str">
        <f>"9783837623116"</f>
        <v>9783837623116</v>
      </c>
      <c r="F25004" s="2" t="str">
        <f>"9783839423110"</f>
        <v>9783839423110</v>
      </c>
    </row>
    <row r="25005" spans="1:6" s="3" customFormat="1" ht="29.1" customHeight="1" x14ac:dyDescent="0.25">
      <c r="A25005" s="2" t="s">
        <v>48789</v>
      </c>
      <c r="B25005" s="2" t="s">
        <v>48790</v>
      </c>
      <c r="C25005" s="2" t="s">
        <v>556</v>
      </c>
      <c r="D25005" s="2" t="s">
        <v>647</v>
      </c>
      <c r="E25005" s="2" t="str">
        <f>"9783837623062"</f>
        <v>9783837623062</v>
      </c>
      <c r="F25005" s="2" t="str">
        <f>"9783839423066"</f>
        <v>9783839423066</v>
      </c>
    </row>
    <row r="25006" spans="1:6" s="3" customFormat="1" ht="29.1" customHeight="1" x14ac:dyDescent="0.25">
      <c r="A25006" s="2" t="s">
        <v>48791</v>
      </c>
      <c r="B25006" s="2" t="s">
        <v>48792</v>
      </c>
      <c r="C25006" s="2" t="s">
        <v>556</v>
      </c>
      <c r="D25006" s="2" t="s">
        <v>1109</v>
      </c>
      <c r="E25006" s="2" t="str">
        <f>"9783837622904"</f>
        <v>9783837622904</v>
      </c>
      <c r="F25006" s="2" t="str">
        <f>"9783839422908"</f>
        <v>9783839422908</v>
      </c>
    </row>
    <row r="25007" spans="1:6" s="3" customFormat="1" ht="29.1" customHeight="1" x14ac:dyDescent="0.25">
      <c r="A25007" s="2" t="s">
        <v>48793</v>
      </c>
      <c r="B25007" s="2" t="s">
        <v>48494</v>
      </c>
      <c r="C25007" s="2" t="s">
        <v>556</v>
      </c>
      <c r="D25007" s="2" t="s">
        <v>27055</v>
      </c>
      <c r="E25007" s="2" t="str">
        <f>"9783837622867"</f>
        <v>9783837622867</v>
      </c>
      <c r="F25007" s="2" t="str">
        <f>"9783839422861"</f>
        <v>9783839422861</v>
      </c>
    </row>
    <row r="25008" spans="1:6" s="3" customFormat="1" ht="29.1" customHeight="1" x14ac:dyDescent="0.25">
      <c r="A25008" s="2" t="s">
        <v>48794</v>
      </c>
      <c r="B25008" s="2" t="s">
        <v>48795</v>
      </c>
      <c r="C25008" s="2" t="s">
        <v>556</v>
      </c>
      <c r="D25008" s="2" t="s">
        <v>324</v>
      </c>
      <c r="E25008" s="2" t="str">
        <f>"9783837622782"</f>
        <v>9783837622782</v>
      </c>
      <c r="F25008" s="2" t="str">
        <f>"9783839422786"</f>
        <v>9783839422786</v>
      </c>
    </row>
    <row r="25009" spans="1:6" s="3" customFormat="1" ht="29.1" customHeight="1" x14ac:dyDescent="0.25">
      <c r="A25009" s="2" t="s">
        <v>48796</v>
      </c>
      <c r="B25009" s="2" t="s">
        <v>48797</v>
      </c>
      <c r="C25009" s="2" t="s">
        <v>556</v>
      </c>
      <c r="D25009" s="2" t="s">
        <v>2462</v>
      </c>
      <c r="E25009" s="2" t="str">
        <f>"9783837622676"</f>
        <v>9783837622676</v>
      </c>
      <c r="F25009" s="2" t="str">
        <f>"9783839422670"</f>
        <v>9783839422670</v>
      </c>
    </row>
    <row r="25010" spans="1:6" s="3" customFormat="1" ht="29.1" customHeight="1" x14ac:dyDescent="0.25">
      <c r="A25010" s="2" t="s">
        <v>48798</v>
      </c>
      <c r="B25010" s="2" t="s">
        <v>48799</v>
      </c>
      <c r="C25010" s="2" t="s">
        <v>556</v>
      </c>
      <c r="D25010" s="2" t="s">
        <v>324</v>
      </c>
      <c r="E25010" s="2" t="str">
        <f>"9783837622478"</f>
        <v>9783837622478</v>
      </c>
      <c r="F25010" s="2" t="str">
        <f>"9783839422472"</f>
        <v>9783839422472</v>
      </c>
    </row>
    <row r="25011" spans="1:6" s="3" customFormat="1" ht="29.1" customHeight="1" x14ac:dyDescent="0.25">
      <c r="A25011" s="2" t="s">
        <v>48800</v>
      </c>
      <c r="B25011" s="2" t="s">
        <v>48801</v>
      </c>
      <c r="C25011" s="2" t="s">
        <v>556</v>
      </c>
      <c r="D25011" s="2" t="s">
        <v>378</v>
      </c>
      <c r="E25011" s="2" t="str">
        <f>"9783837622393"</f>
        <v>9783837622393</v>
      </c>
      <c r="F25011" s="2" t="str">
        <f>"9783839422397"</f>
        <v>9783839422397</v>
      </c>
    </row>
    <row r="25012" spans="1:6" s="3" customFormat="1" ht="29.1" customHeight="1" x14ac:dyDescent="0.25">
      <c r="A25012" s="2" t="s">
        <v>48802</v>
      </c>
      <c r="B25012" s="2" t="s">
        <v>48803</v>
      </c>
      <c r="C25012" s="2" t="s">
        <v>556</v>
      </c>
      <c r="D25012" s="2" t="s">
        <v>18221</v>
      </c>
      <c r="E25012" s="2" t="str">
        <f>"9783837622164"</f>
        <v>9783837622164</v>
      </c>
      <c r="F25012" s="2" t="str">
        <f>"9783839422168"</f>
        <v>9783839422168</v>
      </c>
    </row>
    <row r="25013" spans="1:6" s="3" customFormat="1" ht="29.1" customHeight="1" x14ac:dyDescent="0.25">
      <c r="A25013" s="2" t="s">
        <v>48804</v>
      </c>
      <c r="B25013" s="2" t="s">
        <v>48805</v>
      </c>
      <c r="C25013" s="2" t="s">
        <v>556</v>
      </c>
      <c r="D25013" s="2" t="s">
        <v>4133</v>
      </c>
      <c r="E25013" s="2" t="str">
        <f>"9783837621921"</f>
        <v>9783837621921</v>
      </c>
      <c r="F25013" s="2" t="str">
        <f>"9783839421925"</f>
        <v>9783839421925</v>
      </c>
    </row>
    <row r="25014" spans="1:6" s="3" customFormat="1" ht="29.1" customHeight="1" x14ac:dyDescent="0.25">
      <c r="A25014" s="2" t="s">
        <v>48806</v>
      </c>
      <c r="B25014" s="2" t="s">
        <v>21289</v>
      </c>
      <c r="C25014" s="2" t="s">
        <v>556</v>
      </c>
      <c r="D25014" s="2" t="s">
        <v>1141</v>
      </c>
      <c r="E25014" s="2" t="str">
        <f>"9783837621792"</f>
        <v>9783837621792</v>
      </c>
      <c r="F25014" s="2" t="str">
        <f>"9783839421796"</f>
        <v>9783839421796</v>
      </c>
    </row>
    <row r="25015" spans="1:6" s="3" customFormat="1" ht="29.1" customHeight="1" x14ac:dyDescent="0.25">
      <c r="A25015" s="2" t="s">
        <v>48807</v>
      </c>
      <c r="B25015" s="2" t="s">
        <v>48808</v>
      </c>
      <c r="C25015" s="2" t="s">
        <v>556</v>
      </c>
      <c r="D25015" s="2" t="s">
        <v>647</v>
      </c>
      <c r="E25015" s="2" t="str">
        <f>"9783837621617"</f>
        <v>9783837621617</v>
      </c>
      <c r="F25015" s="2" t="str">
        <f>"9783839421611"</f>
        <v>9783839421611</v>
      </c>
    </row>
    <row r="25016" spans="1:6" s="3" customFormat="1" ht="29.1" customHeight="1" x14ac:dyDescent="0.25">
      <c r="A25016" s="2" t="s">
        <v>48809</v>
      </c>
      <c r="B25016" s="2" t="s">
        <v>48810</v>
      </c>
      <c r="C25016" s="2" t="s">
        <v>556</v>
      </c>
      <c r="D25016" s="2" t="s">
        <v>215</v>
      </c>
      <c r="E25016" s="2" t="str">
        <f>"9783837621464"</f>
        <v>9783837621464</v>
      </c>
      <c r="F25016" s="2" t="str">
        <f>"9783839421468"</f>
        <v>9783839421468</v>
      </c>
    </row>
    <row r="25017" spans="1:6" s="3" customFormat="1" ht="29.1" customHeight="1" x14ac:dyDescent="0.25">
      <c r="A25017" s="2" t="s">
        <v>48811</v>
      </c>
      <c r="B25017" s="2" t="s">
        <v>38009</v>
      </c>
      <c r="C25017" s="2" t="s">
        <v>556</v>
      </c>
      <c r="D25017" s="2" t="s">
        <v>30</v>
      </c>
      <c r="E25017" s="2" t="str">
        <f>"9783837618938"</f>
        <v>9783837618938</v>
      </c>
      <c r="F25017" s="2" t="str">
        <f>"9783839418932"</f>
        <v>9783839418932</v>
      </c>
    </row>
    <row r="25018" spans="1:6" s="3" customFormat="1" ht="29.1" customHeight="1" x14ac:dyDescent="0.25">
      <c r="A25018" s="2" t="s">
        <v>48812</v>
      </c>
      <c r="B25018" s="2" t="s">
        <v>48813</v>
      </c>
      <c r="C25018" s="2" t="s">
        <v>556</v>
      </c>
      <c r="D25018" s="2" t="s">
        <v>484</v>
      </c>
      <c r="E25018" s="2" t="str">
        <f>"9783837617726"</f>
        <v>9783837617726</v>
      </c>
      <c r="F25018" s="2" t="str">
        <f>"9783839417720"</f>
        <v>9783839417720</v>
      </c>
    </row>
    <row r="25019" spans="1:6" s="3" customFormat="1" ht="29.1" customHeight="1" x14ac:dyDescent="0.25">
      <c r="A25019" s="2" t="s">
        <v>48814</v>
      </c>
      <c r="B25019" s="2" t="s">
        <v>48815</v>
      </c>
      <c r="C25019" s="2" t="s">
        <v>556</v>
      </c>
      <c r="D25019" s="2" t="s">
        <v>183</v>
      </c>
      <c r="E25019" s="2" t="str">
        <f>"9783837617702"</f>
        <v>9783837617702</v>
      </c>
      <c r="F25019" s="2" t="str">
        <f>"9783839417706"</f>
        <v>9783839417706</v>
      </c>
    </row>
    <row r="25020" spans="1:6" s="3" customFormat="1" ht="29.1" customHeight="1" x14ac:dyDescent="0.25">
      <c r="A25020" s="2" t="s">
        <v>48816</v>
      </c>
      <c r="B25020" s="2" t="s">
        <v>48817</v>
      </c>
      <c r="C25020" s="2" t="s">
        <v>149</v>
      </c>
      <c r="D25020" s="2" t="s">
        <v>1944</v>
      </c>
      <c r="E25020" s="2" t="str">
        <f>"9781783740727"</f>
        <v>9781783740727</v>
      </c>
      <c r="F25020" s="2" t="str">
        <f>"9781783740741"</f>
        <v>9781783740741</v>
      </c>
    </row>
    <row r="25021" spans="1:6" s="3" customFormat="1" ht="29.1" customHeight="1" x14ac:dyDescent="0.25">
      <c r="A25021" s="2" t="s">
        <v>48818</v>
      </c>
      <c r="B25021" s="2" t="s">
        <v>48819</v>
      </c>
      <c r="C25021" s="2" t="s">
        <v>149</v>
      </c>
      <c r="D25021" s="2" t="s">
        <v>118</v>
      </c>
      <c r="E25021" s="2" t="str">
        <f>"9781783740772"</f>
        <v>9781783740772</v>
      </c>
      <c r="F25021" s="2" t="str">
        <f>"9781783740796"</f>
        <v>9781783740796</v>
      </c>
    </row>
    <row r="25022" spans="1:6" s="3" customFormat="1" ht="29.1" customHeight="1" x14ac:dyDescent="0.25">
      <c r="A25022" s="2" t="s">
        <v>48820</v>
      </c>
      <c r="B25022" s="2" t="s">
        <v>46752</v>
      </c>
      <c r="C25022" s="2" t="s">
        <v>149</v>
      </c>
      <c r="D25022" s="2" t="s">
        <v>1141</v>
      </c>
      <c r="E25022" s="2" t="str">
        <f>"9781783740079"</f>
        <v>9781783740079</v>
      </c>
      <c r="F25022" s="2" t="str">
        <f>"9781783740093"</f>
        <v>9781783740093</v>
      </c>
    </row>
    <row r="25023" spans="1:6" s="3" customFormat="1" ht="29.1" customHeight="1" x14ac:dyDescent="0.25">
      <c r="A25023" s="2" t="s">
        <v>48821</v>
      </c>
      <c r="B25023" s="2" t="s">
        <v>48822</v>
      </c>
      <c r="C25023" s="2" t="s">
        <v>149</v>
      </c>
      <c r="D25023" s="2" t="s">
        <v>522</v>
      </c>
      <c r="E25023" s="2" t="str">
        <f>"9781783740376"</f>
        <v>9781783740376</v>
      </c>
      <c r="F25023" s="2" t="str">
        <f>"9781783740390"</f>
        <v>9781783740390</v>
      </c>
    </row>
    <row r="25024" spans="1:6" s="3" customFormat="1" ht="29.1" customHeight="1" x14ac:dyDescent="0.25">
      <c r="A25024" s="2" t="s">
        <v>48823</v>
      </c>
      <c r="B25024" s="2" t="s">
        <v>48824</v>
      </c>
      <c r="C25024" s="2" t="s">
        <v>149</v>
      </c>
      <c r="D25024" s="2" t="s">
        <v>19183</v>
      </c>
      <c r="E25024" s="2" t="str">
        <f>"9781783740574"</f>
        <v>9781783740574</v>
      </c>
      <c r="F25024" s="2" t="str">
        <f>"9781783740598"</f>
        <v>9781783740598</v>
      </c>
    </row>
    <row r="25025" spans="1:6" s="3" customFormat="1" ht="29.1" customHeight="1" x14ac:dyDescent="0.25">
      <c r="A25025" s="2" t="s">
        <v>48825</v>
      </c>
      <c r="B25025" s="2" t="s">
        <v>48826</v>
      </c>
      <c r="C25025" s="2" t="s">
        <v>149</v>
      </c>
      <c r="D25025" s="2" t="s">
        <v>3993</v>
      </c>
      <c r="E25025" s="2" t="str">
        <f>"9781783740277"</f>
        <v>9781783740277</v>
      </c>
      <c r="F25025" s="2" t="str">
        <f>"9781783740291"</f>
        <v>9781783740291</v>
      </c>
    </row>
    <row r="25026" spans="1:6" s="3" customFormat="1" ht="29.1" customHeight="1" x14ac:dyDescent="0.25">
      <c r="A25026" s="2" t="s">
        <v>48827</v>
      </c>
      <c r="B25026" s="2" t="s">
        <v>14322</v>
      </c>
      <c r="C25026" s="2" t="s">
        <v>149</v>
      </c>
      <c r="D25026" s="2" t="s">
        <v>3993</v>
      </c>
      <c r="E25026" s="2" t="str">
        <f>"9781783740123"</f>
        <v>9781783740123</v>
      </c>
      <c r="F25026" s="2" t="str">
        <f>"9781783740147"</f>
        <v>9781783740147</v>
      </c>
    </row>
    <row r="25027" spans="1:6" s="3" customFormat="1" ht="29.1" customHeight="1" x14ac:dyDescent="0.25">
      <c r="A25027" s="2" t="s">
        <v>48828</v>
      </c>
      <c r="B25027" s="2" t="s">
        <v>48829</v>
      </c>
      <c r="C25027" s="2" t="s">
        <v>149</v>
      </c>
      <c r="D25027" s="2" t="s">
        <v>215</v>
      </c>
      <c r="E25027" s="2" t="str">
        <f>"9781909254756"</f>
        <v>9781909254756</v>
      </c>
      <c r="F25027" s="2" t="str">
        <f>"9781909254770"</f>
        <v>9781909254770</v>
      </c>
    </row>
    <row r="25028" spans="1:6" s="3" customFormat="1" ht="29.1" customHeight="1" x14ac:dyDescent="0.25">
      <c r="A25028" s="2" t="s">
        <v>48830</v>
      </c>
      <c r="B25028" s="2" t="s">
        <v>48831</v>
      </c>
      <c r="C25028" s="2" t="s">
        <v>149</v>
      </c>
      <c r="D25028" s="2" t="s">
        <v>3993</v>
      </c>
      <c r="E25028" s="2" t="str">
        <f>"9781783740178"</f>
        <v>9781783740178</v>
      </c>
      <c r="F25028" s="2" t="str">
        <f>"9781783740192"</f>
        <v>9781783740192</v>
      </c>
    </row>
    <row r="25029" spans="1:6" s="3" customFormat="1" ht="29.1" customHeight="1" x14ac:dyDescent="0.25">
      <c r="A25029" s="2" t="s">
        <v>48832</v>
      </c>
      <c r="B25029" s="2" t="s">
        <v>48833</v>
      </c>
      <c r="C25029" s="2" t="s">
        <v>149</v>
      </c>
      <c r="D25029" s="2" t="s">
        <v>18221</v>
      </c>
      <c r="E25029" s="2" t="str">
        <f>"9781909254404"</f>
        <v>9781909254404</v>
      </c>
      <c r="F25029" s="2" t="str">
        <f>"9781909254411"</f>
        <v>9781909254411</v>
      </c>
    </row>
    <row r="25030" spans="1:6" s="3" customFormat="1" ht="29.1" customHeight="1" x14ac:dyDescent="0.25">
      <c r="A25030" s="2" t="s">
        <v>48834</v>
      </c>
      <c r="B25030" s="2" t="s">
        <v>48835</v>
      </c>
      <c r="C25030" s="2" t="s">
        <v>149</v>
      </c>
      <c r="D25030" s="2" t="s">
        <v>1630</v>
      </c>
      <c r="E25030" s="2" t="str">
        <f>"9781909254701"</f>
        <v>9781909254701</v>
      </c>
      <c r="F25030" s="2" t="str">
        <f>"9781909254725"</f>
        <v>9781909254725</v>
      </c>
    </row>
    <row r="25031" spans="1:6" s="3" customFormat="1" ht="29.1" customHeight="1" x14ac:dyDescent="0.25">
      <c r="A25031" s="2" t="s">
        <v>48836</v>
      </c>
      <c r="B25031" s="2" t="s">
        <v>26965</v>
      </c>
      <c r="C25031" s="2" t="s">
        <v>149</v>
      </c>
      <c r="D25031" s="2" t="s">
        <v>636</v>
      </c>
      <c r="E25031" s="2" t="str">
        <f>"9781909254053"</f>
        <v>9781909254053</v>
      </c>
      <c r="F25031" s="2" t="str">
        <f>"9781909254077"</f>
        <v>9781909254077</v>
      </c>
    </row>
    <row r="25032" spans="1:6" s="3" customFormat="1" ht="29.1" customHeight="1" x14ac:dyDescent="0.25">
      <c r="A25032" s="2" t="s">
        <v>48837</v>
      </c>
      <c r="B25032" s="2" t="s">
        <v>48838</v>
      </c>
      <c r="C25032" s="2" t="s">
        <v>149</v>
      </c>
      <c r="D25032" s="2" t="s">
        <v>4185</v>
      </c>
      <c r="E25032" s="2" t="str">
        <f>"9781783740000"</f>
        <v>9781783740000</v>
      </c>
      <c r="F25032" s="2" t="str">
        <f>"9781783740024"</f>
        <v>9781783740024</v>
      </c>
    </row>
    <row r="25033" spans="1:6" s="3" customFormat="1" ht="29.1" customHeight="1" x14ac:dyDescent="0.25">
      <c r="A25033" s="2" t="s">
        <v>48839</v>
      </c>
      <c r="B25033" s="2" t="s">
        <v>48840</v>
      </c>
      <c r="C25033" s="2" t="s">
        <v>149</v>
      </c>
      <c r="D25033" s="2" t="s">
        <v>636</v>
      </c>
      <c r="E25033" s="2" t="str">
        <f>"9781909254008"</f>
        <v>9781909254008</v>
      </c>
      <c r="F25033" s="2" t="str">
        <f>"9781909254022"</f>
        <v>9781909254022</v>
      </c>
    </row>
    <row r="25034" spans="1:6" s="3" customFormat="1" ht="29.1" customHeight="1" x14ac:dyDescent="0.25">
      <c r="A25034" s="2" t="s">
        <v>48841</v>
      </c>
      <c r="B25034" s="2" t="s">
        <v>48842</v>
      </c>
      <c r="C25034" s="2" t="s">
        <v>149</v>
      </c>
      <c r="D25034" s="2" t="s">
        <v>7167</v>
      </c>
      <c r="E25034" s="2" t="str">
        <f>"9781909254596"</f>
        <v>9781909254596</v>
      </c>
      <c r="F25034" s="2" t="str">
        <f>"9781909254619"</f>
        <v>9781909254619</v>
      </c>
    </row>
    <row r="25035" spans="1:6" s="3" customFormat="1" ht="29.1" customHeight="1" x14ac:dyDescent="0.25">
      <c r="A25035" s="2" t="s">
        <v>48843</v>
      </c>
      <c r="B25035" s="2" t="s">
        <v>48844</v>
      </c>
      <c r="C25035" s="2" t="s">
        <v>149</v>
      </c>
      <c r="D25035" s="2" t="s">
        <v>5360</v>
      </c>
      <c r="E25035" s="2" t="str">
        <f>"9781909254305"</f>
        <v>9781909254305</v>
      </c>
      <c r="F25035" s="2" t="str">
        <f>"9781909254329"</f>
        <v>9781909254329</v>
      </c>
    </row>
    <row r="25036" spans="1:6" s="3" customFormat="1" ht="29.1" customHeight="1" x14ac:dyDescent="0.25">
      <c r="A25036" s="2" t="s">
        <v>48845</v>
      </c>
      <c r="B25036" s="2" t="s">
        <v>48846</v>
      </c>
      <c r="C25036" s="2" t="s">
        <v>195</v>
      </c>
      <c r="D25036" s="2" t="s">
        <v>210</v>
      </c>
      <c r="E25036" s="2" t="str">
        <f>"9783486747096"</f>
        <v>9783486747096</v>
      </c>
      <c r="F25036" s="2" t="str">
        <f>"9783110397086"</f>
        <v>9783110397086</v>
      </c>
    </row>
    <row r="25037" spans="1:6" s="3" customFormat="1" ht="29.1" customHeight="1" x14ac:dyDescent="0.25">
      <c r="A25037" s="2" t="s">
        <v>48847</v>
      </c>
      <c r="B25037" s="2" t="s">
        <v>48848</v>
      </c>
      <c r="C25037" s="2" t="s">
        <v>195</v>
      </c>
      <c r="D25037" s="2" t="s">
        <v>1183</v>
      </c>
      <c r="E25037" s="2" t="str">
        <f>"9783110306224"</f>
        <v>9783110306224</v>
      </c>
      <c r="F25037" s="2" t="str">
        <f>"9783110395457"</f>
        <v>9783110395457</v>
      </c>
    </row>
    <row r="25038" spans="1:6" s="3" customFormat="1" ht="29.1" customHeight="1" x14ac:dyDescent="0.25">
      <c r="A25038" s="2" t="s">
        <v>48849</v>
      </c>
      <c r="B25038" s="2" t="s">
        <v>48850</v>
      </c>
      <c r="C25038" s="2" t="s">
        <v>195</v>
      </c>
      <c r="D25038" s="2" t="s">
        <v>7608</v>
      </c>
      <c r="E25038" s="2" t="str">
        <f>"9781614517337"</f>
        <v>9781614517337</v>
      </c>
      <c r="F25038" s="2" t="str">
        <f>"9781614518976"</f>
        <v>9781614518976</v>
      </c>
    </row>
    <row r="25039" spans="1:6" s="3" customFormat="1" ht="29.1" customHeight="1" x14ac:dyDescent="0.25">
      <c r="A25039" s="2" t="s">
        <v>48851</v>
      </c>
      <c r="B25039" s="2" t="s">
        <v>48852</v>
      </c>
      <c r="C25039" s="2" t="s">
        <v>195</v>
      </c>
      <c r="D25039" s="2" t="s">
        <v>2562</v>
      </c>
      <c r="E25039" s="2" t="str">
        <f>"9783899497571"</f>
        <v>9783899497571</v>
      </c>
      <c r="F25039" s="2" t="str">
        <f>"9783110402520"</f>
        <v>9783110402520</v>
      </c>
    </row>
    <row r="25040" spans="1:6" s="3" customFormat="1" ht="29.1" customHeight="1" x14ac:dyDescent="0.25">
      <c r="A25040" s="2" t="s">
        <v>48853</v>
      </c>
      <c r="B25040" s="2" t="s">
        <v>48854</v>
      </c>
      <c r="C25040" s="2" t="s">
        <v>195</v>
      </c>
      <c r="D25040" s="2" t="s">
        <v>210</v>
      </c>
      <c r="E25040" s="2" t="str">
        <f>"9783486565881"</f>
        <v>9783486565881</v>
      </c>
      <c r="F25040" s="2" t="str">
        <f>"9783486832846"</f>
        <v>9783486832846</v>
      </c>
    </row>
    <row r="25041" spans="1:6" s="3" customFormat="1" ht="29.1" customHeight="1" x14ac:dyDescent="0.25">
      <c r="A25041" s="2" t="s">
        <v>48855</v>
      </c>
      <c r="B25041" s="2" t="s">
        <v>48856</v>
      </c>
      <c r="C25041" s="2" t="s">
        <v>124</v>
      </c>
      <c r="D25041" s="2" t="s">
        <v>509</v>
      </c>
      <c r="E25041" s="2" t="str">
        <f>"9789089645166"</f>
        <v>9789089645166</v>
      </c>
      <c r="F25041" s="2" t="str">
        <f>"9781040778890"</f>
        <v>9781040778890</v>
      </c>
    </row>
    <row r="25042" spans="1:6" s="3" customFormat="1" ht="29.1" customHeight="1" x14ac:dyDescent="0.25">
      <c r="A25042" s="2" t="s">
        <v>48858</v>
      </c>
      <c r="B25042" s="2" t="s">
        <v>48859</v>
      </c>
      <c r="C25042" s="2" t="s">
        <v>124</v>
      </c>
      <c r="D25042" s="2" t="s">
        <v>183</v>
      </c>
      <c r="E25042" s="2" t="str">
        <f>"9781041181521"</f>
        <v>9781041181521</v>
      </c>
      <c r="F25042" s="2" t="str">
        <f>"9781040792957"</f>
        <v>9781040792957</v>
      </c>
    </row>
    <row r="25043" spans="1:6" s="3" customFormat="1" ht="29.1" customHeight="1" x14ac:dyDescent="0.25">
      <c r="A25043" s="2" t="s">
        <v>48860</v>
      </c>
      <c r="B25043" s="2" t="s">
        <v>48861</v>
      </c>
      <c r="C25043" s="2" t="s">
        <v>124</v>
      </c>
      <c r="D25043" s="2" t="s">
        <v>501</v>
      </c>
      <c r="E25043" s="2" t="str">
        <f>"9780415822664"</f>
        <v>9780415822664</v>
      </c>
      <c r="F25043" s="2" t="str">
        <f>"9781317646730"</f>
        <v>9781317646730</v>
      </c>
    </row>
    <row r="25044" spans="1:6" s="3" customFormat="1" ht="29.1" customHeight="1" x14ac:dyDescent="0.25">
      <c r="A25044" s="2" t="s">
        <v>48862</v>
      </c>
      <c r="B25044" s="2" t="s">
        <v>48863</v>
      </c>
      <c r="C25044" s="2" t="s">
        <v>29</v>
      </c>
      <c r="D25044" s="2" t="s">
        <v>33</v>
      </c>
      <c r="E25044" s="2" t="str">
        <f>"9789042038721"</f>
        <v>9789042038721</v>
      </c>
      <c r="F25044" s="2" t="str">
        <f>"9789401211260"</f>
        <v>9789401211260</v>
      </c>
    </row>
    <row r="25045" spans="1:6" s="3" customFormat="1" ht="29.1" customHeight="1" x14ac:dyDescent="0.25">
      <c r="A25045" s="2" t="s">
        <v>48864</v>
      </c>
      <c r="B25045" s="2" t="s">
        <v>48865</v>
      </c>
      <c r="C25045" s="2" t="s">
        <v>11220</v>
      </c>
      <c r="D25045" s="2" t="s">
        <v>3889</v>
      </c>
      <c r="E25045" s="2" t="str">
        <f>"9780814724316"</f>
        <v>9780814724316</v>
      </c>
      <c r="F25045" s="2" t="str">
        <f>"9780814724972"</f>
        <v>9780814724972</v>
      </c>
    </row>
    <row r="25046" spans="1:6" s="3" customFormat="1" ht="29.1" customHeight="1" x14ac:dyDescent="0.25">
      <c r="A25046" s="2" t="s">
        <v>48866</v>
      </c>
      <c r="B25046" s="2" t="s">
        <v>48867</v>
      </c>
      <c r="C25046" s="2" t="s">
        <v>927</v>
      </c>
      <c r="D25046" s="2" t="s">
        <v>33</v>
      </c>
      <c r="E25046" s="2" t="str">
        <f>"9780472035946"</f>
        <v>9780472035946</v>
      </c>
      <c r="F25046" s="2" t="str">
        <f>"9780472120475"</f>
        <v>9780472120475</v>
      </c>
    </row>
    <row r="25047" spans="1:6" s="3" customFormat="1" ht="29.1" customHeight="1" x14ac:dyDescent="0.25">
      <c r="A25047" s="2" t="s">
        <v>48868</v>
      </c>
      <c r="B25047" s="2" t="s">
        <v>48869</v>
      </c>
      <c r="C25047" s="2" t="s">
        <v>5</v>
      </c>
      <c r="D25047" s="2" t="s">
        <v>850</v>
      </c>
      <c r="E25047" s="2" t="str">
        <f>"9783319071879"</f>
        <v>9783319071879</v>
      </c>
      <c r="F25047" s="2" t="str">
        <f>"9783319071886"</f>
        <v>9783319071886</v>
      </c>
    </row>
    <row r="25048" spans="1:6" s="3" customFormat="1" ht="29.1" customHeight="1" x14ac:dyDescent="0.25">
      <c r="A25048" s="2" t="s">
        <v>48870</v>
      </c>
      <c r="B25048" s="2" t="s">
        <v>48871</v>
      </c>
      <c r="C25048" s="2" t="s">
        <v>595</v>
      </c>
      <c r="D25048" s="2" t="s">
        <v>33</v>
      </c>
      <c r="E25048" s="2" t="str">
        <f>"9783631633601"</f>
        <v>9783631633601</v>
      </c>
      <c r="F25048" s="2" t="str">
        <f>"9783653044782"</f>
        <v>9783653044782</v>
      </c>
    </row>
    <row r="25049" spans="1:6" s="3" customFormat="1" ht="29.1" customHeight="1" x14ac:dyDescent="0.25">
      <c r="A25049" s="2" t="s">
        <v>48872</v>
      </c>
      <c r="B25049" s="2" t="s">
        <v>48873</v>
      </c>
      <c r="C25049" s="2" t="s">
        <v>316</v>
      </c>
      <c r="D25049" s="2" t="s">
        <v>317</v>
      </c>
      <c r="E25049" s="2" t="str">
        <f>"9783038351535"</f>
        <v>9783038351535</v>
      </c>
      <c r="F25049" s="2" t="str">
        <f>"9783038265368"</f>
        <v>9783038265368</v>
      </c>
    </row>
    <row r="25050" spans="1:6" s="3" customFormat="1" ht="29.1" customHeight="1" x14ac:dyDescent="0.25">
      <c r="A25050" s="2" t="s">
        <v>48874</v>
      </c>
      <c r="B25050" s="2" t="s">
        <v>48875</v>
      </c>
      <c r="C25050" s="2" t="s">
        <v>124</v>
      </c>
      <c r="D25050" s="2" t="s">
        <v>1895</v>
      </c>
      <c r="E25050" s="2" t="str">
        <f>"9781472446091"</f>
        <v>9781472446091</v>
      </c>
      <c r="F25050" s="2" t="str">
        <f>"9781317056829"</f>
        <v>9781317056829</v>
      </c>
    </row>
    <row r="25051" spans="1:6" s="3" customFormat="1" ht="29.1" customHeight="1" x14ac:dyDescent="0.25">
      <c r="A25051" s="2" t="s">
        <v>48876</v>
      </c>
      <c r="B25051" s="2" t="s">
        <v>48877</v>
      </c>
      <c r="C25051" s="2" t="s">
        <v>195</v>
      </c>
      <c r="D25051" s="2" t="s">
        <v>210</v>
      </c>
      <c r="E25051" s="2" t="str">
        <f>"9783486778434"</f>
        <v>9783486778434</v>
      </c>
      <c r="F25051" s="2" t="str">
        <f>"9783110399080"</f>
        <v>9783110399080</v>
      </c>
    </row>
    <row r="25052" spans="1:6" s="3" customFormat="1" ht="29.1" customHeight="1" x14ac:dyDescent="0.25">
      <c r="A25052" s="2" t="s">
        <v>48878</v>
      </c>
      <c r="B25052" s="2" t="s">
        <v>47548</v>
      </c>
      <c r="C25052" s="2" t="s">
        <v>195</v>
      </c>
      <c r="D25052" s="2" t="s">
        <v>4522</v>
      </c>
      <c r="E25052" s="2" t="str">
        <f>"9783110354362"</f>
        <v>9783110354362</v>
      </c>
      <c r="F25052" s="2" t="str">
        <f>"9783110357486"</f>
        <v>9783110357486</v>
      </c>
    </row>
    <row r="25053" spans="1:6" s="3" customFormat="1" ht="29.1" customHeight="1" x14ac:dyDescent="0.25">
      <c r="A25053" s="2" t="s">
        <v>48879</v>
      </c>
      <c r="B25053" s="2" t="s">
        <v>48880</v>
      </c>
      <c r="C25053" s="2" t="s">
        <v>195</v>
      </c>
      <c r="D25053" s="2" t="s">
        <v>7132</v>
      </c>
      <c r="E25053" s="2" t="str">
        <f>"9783110353617"</f>
        <v>9783110353617</v>
      </c>
      <c r="F25053" s="2" t="str">
        <f>"9783110353716"</f>
        <v>9783110353716</v>
      </c>
    </row>
    <row r="25054" spans="1:6" s="3" customFormat="1" ht="29.1" customHeight="1" x14ac:dyDescent="0.25">
      <c r="A25054" s="2" t="s">
        <v>48881</v>
      </c>
      <c r="B25054" s="2" t="s">
        <v>48882</v>
      </c>
      <c r="C25054" s="2" t="s">
        <v>195</v>
      </c>
      <c r="D25054" s="2" t="s">
        <v>210</v>
      </c>
      <c r="E25054" s="2" t="str">
        <f>"9783486568332"</f>
        <v>9783486568332</v>
      </c>
      <c r="F25054" s="2" t="str">
        <f>"9783486835427"</f>
        <v>9783486835427</v>
      </c>
    </row>
    <row r="25055" spans="1:6" s="3" customFormat="1" ht="29.1" customHeight="1" x14ac:dyDescent="0.25">
      <c r="A25055" s="2" t="s">
        <v>48883</v>
      </c>
      <c r="B25055" s="2" t="s">
        <v>48884</v>
      </c>
      <c r="C25055" s="2" t="s">
        <v>195</v>
      </c>
      <c r="D25055" s="2" t="s">
        <v>210</v>
      </c>
      <c r="E25055" s="2" t="str">
        <f>"9783050036823"</f>
        <v>9783050036823</v>
      </c>
      <c r="F25055" s="2" t="str">
        <f>"9783050080277"</f>
        <v>9783050080277</v>
      </c>
    </row>
    <row r="25056" spans="1:6" s="3" customFormat="1" ht="29.1" customHeight="1" x14ac:dyDescent="0.25">
      <c r="A25056" s="2" t="s">
        <v>48885</v>
      </c>
      <c r="B25056" s="2" t="s">
        <v>48886</v>
      </c>
      <c r="C25056" s="2" t="s">
        <v>195</v>
      </c>
      <c r="D25056" s="2" t="s">
        <v>210</v>
      </c>
      <c r="E25056" s="2" t="str">
        <f>"9783486559385"</f>
        <v>9783486559385</v>
      </c>
      <c r="F25056" s="2" t="str">
        <f>"9783486708097"</f>
        <v>9783486708097</v>
      </c>
    </row>
    <row r="25057" spans="1:6" s="3" customFormat="1" ht="29.1" customHeight="1" x14ac:dyDescent="0.25">
      <c r="A25057" s="2" t="s">
        <v>48887</v>
      </c>
      <c r="B25057" s="2" t="s">
        <v>48888</v>
      </c>
      <c r="C25057" s="2" t="s">
        <v>195</v>
      </c>
      <c r="D25057" s="2" t="s">
        <v>210</v>
      </c>
      <c r="E25057" s="2" t="str">
        <f>"9783486560022"</f>
        <v>9783486560022</v>
      </c>
      <c r="F25057" s="2" t="str">
        <f>"9783486708080"</f>
        <v>9783486708080</v>
      </c>
    </row>
    <row r="25058" spans="1:6" s="3" customFormat="1" ht="29.1" customHeight="1" x14ac:dyDescent="0.25">
      <c r="A25058" s="2" t="s">
        <v>48889</v>
      </c>
      <c r="B25058" s="2" t="s">
        <v>14286</v>
      </c>
      <c r="C25058" s="2" t="s">
        <v>195</v>
      </c>
      <c r="D25058" s="2" t="s">
        <v>210</v>
      </c>
      <c r="E25058" s="2" t="str">
        <f>"9783486703122"</f>
        <v>9783486703122</v>
      </c>
      <c r="F25058" s="2" t="str">
        <f>"9783486719314"</f>
        <v>9783486719314</v>
      </c>
    </row>
    <row r="25059" spans="1:6" s="3" customFormat="1" ht="29.1" customHeight="1" x14ac:dyDescent="0.25">
      <c r="A25059" s="2" t="s">
        <v>48890</v>
      </c>
      <c r="B25059" s="2" t="s">
        <v>48891</v>
      </c>
      <c r="C25059" s="2" t="s">
        <v>195</v>
      </c>
      <c r="D25059" s="2" t="s">
        <v>1975</v>
      </c>
      <c r="E25059" s="2" t="str">
        <f>"9783110338614"</f>
        <v>9783110338614</v>
      </c>
      <c r="F25059" s="2" t="str">
        <f>"9783110339185"</f>
        <v>9783110339185</v>
      </c>
    </row>
    <row r="25060" spans="1:6" s="3" customFormat="1" ht="29.1" customHeight="1" x14ac:dyDescent="0.25">
      <c r="A25060" s="2" t="s">
        <v>48892</v>
      </c>
      <c r="B25060" s="2" t="s">
        <v>48893</v>
      </c>
      <c r="C25060" s="2" t="s">
        <v>195</v>
      </c>
      <c r="D25060" s="2" t="s">
        <v>5104</v>
      </c>
      <c r="E25060" s="2" t="str">
        <f>"9783110330847"</f>
        <v>9783110330847</v>
      </c>
      <c r="F25060" s="2" t="str">
        <f>"9783110330953"</f>
        <v>9783110330953</v>
      </c>
    </row>
    <row r="25061" spans="1:6" s="3" customFormat="1" ht="29.1" customHeight="1" x14ac:dyDescent="0.25">
      <c r="A25061" s="2" t="s">
        <v>48894</v>
      </c>
      <c r="B25061" s="2" t="s">
        <v>48895</v>
      </c>
      <c r="C25061" s="2" t="s">
        <v>195</v>
      </c>
      <c r="D25061" s="2" t="s">
        <v>509</v>
      </c>
      <c r="E25061" s="2" t="str">
        <f>"9783598251290"</f>
        <v>9783598251290</v>
      </c>
      <c r="F25061" s="2" t="str">
        <f>"9783110298437"</f>
        <v>9783110298437</v>
      </c>
    </row>
    <row r="25062" spans="1:6" s="3" customFormat="1" ht="29.1" customHeight="1" x14ac:dyDescent="0.25">
      <c r="A25062" s="2" t="s">
        <v>48896</v>
      </c>
      <c r="B25062" s="2" t="s">
        <v>48897</v>
      </c>
      <c r="C25062" s="2" t="s">
        <v>36</v>
      </c>
      <c r="D25062" s="2" t="s">
        <v>75</v>
      </c>
      <c r="E25062" s="2" t="str">
        <f>"9781847426772"</f>
        <v>9781847426772</v>
      </c>
      <c r="F25062" s="2" t="str">
        <f>"9781847426789"</f>
        <v>9781847426789</v>
      </c>
    </row>
    <row r="25063" spans="1:6" s="3" customFormat="1" ht="29.1" customHeight="1" x14ac:dyDescent="0.25">
      <c r="A25063" s="2" t="s">
        <v>48898</v>
      </c>
      <c r="B25063" s="2" t="s">
        <v>48899</v>
      </c>
      <c r="C25063" s="2" t="s">
        <v>927</v>
      </c>
      <c r="D25063" s="2" t="s">
        <v>270</v>
      </c>
      <c r="E25063" s="2" t="str">
        <f>"9780472052233"</f>
        <v>9780472052233</v>
      </c>
      <c r="F25063" s="2" t="str">
        <f>"9780472120390"</f>
        <v>9780472120390</v>
      </c>
    </row>
    <row r="25064" spans="1:6" s="3" customFormat="1" ht="29.1" customHeight="1" x14ac:dyDescent="0.25">
      <c r="A25064" s="2" t="s">
        <v>48900</v>
      </c>
      <c r="B25064" s="2" t="s">
        <v>48901</v>
      </c>
      <c r="C25064" s="2" t="s">
        <v>11220</v>
      </c>
      <c r="D25064" s="2" t="s">
        <v>3155</v>
      </c>
      <c r="E25064" s="2" t="str">
        <f>"9780814740606"</f>
        <v>9780814740606</v>
      </c>
      <c r="F25064" s="2" t="str">
        <f>"9781479854905"</f>
        <v>9781479854905</v>
      </c>
    </row>
    <row r="25065" spans="1:6" s="3" customFormat="1" ht="29.1" customHeight="1" x14ac:dyDescent="0.25">
      <c r="A25065" s="2" t="s">
        <v>48902</v>
      </c>
      <c r="B25065" s="2" t="s">
        <v>48903</v>
      </c>
      <c r="C25065" s="2" t="s">
        <v>11220</v>
      </c>
      <c r="D25065" s="2" t="s">
        <v>402</v>
      </c>
      <c r="E25065" s="2" t="str">
        <f>"9780814741269"</f>
        <v>9780814741269</v>
      </c>
      <c r="F25065" s="2" t="str">
        <f>"9780814741283"</f>
        <v>9780814741283</v>
      </c>
    </row>
    <row r="25066" spans="1:6" s="3" customFormat="1" ht="29.1" customHeight="1" x14ac:dyDescent="0.25">
      <c r="A25066" s="2" t="s">
        <v>48904</v>
      </c>
      <c r="B25066" s="2" t="s">
        <v>48905</v>
      </c>
      <c r="C25066" s="2" t="s">
        <v>195</v>
      </c>
      <c r="D25066" s="2" t="s">
        <v>436</v>
      </c>
      <c r="E25066" s="2" t="str">
        <f>"9783110289282"</f>
        <v>9783110289282</v>
      </c>
      <c r="F25066" s="2" t="str">
        <f>"9783110339208"</f>
        <v>9783110339208</v>
      </c>
    </row>
    <row r="25067" spans="1:6" s="3" customFormat="1" ht="29.1" customHeight="1" x14ac:dyDescent="0.25">
      <c r="A25067" s="2" t="s">
        <v>48906</v>
      </c>
      <c r="B25067" s="2" t="s">
        <v>48907</v>
      </c>
      <c r="C25067" s="2" t="s">
        <v>195</v>
      </c>
      <c r="D25067" s="2" t="s">
        <v>2513</v>
      </c>
      <c r="E25067" s="2" t="str">
        <f>"9783038215097"</f>
        <v>9783038215097</v>
      </c>
      <c r="F25067" s="2" t="str">
        <f>"9783038214427"</f>
        <v>9783038214427</v>
      </c>
    </row>
    <row r="25068" spans="1:6" s="3" customFormat="1" ht="29.1" customHeight="1" x14ac:dyDescent="0.25">
      <c r="A25068" s="2" t="s">
        <v>48908</v>
      </c>
      <c r="B25068" s="2" t="s">
        <v>48909</v>
      </c>
      <c r="C25068" s="2" t="s">
        <v>195</v>
      </c>
      <c r="D25068" s="2" t="s">
        <v>7608</v>
      </c>
      <c r="E25068" s="2" t="str">
        <f>"9781614517054"</f>
        <v>9781614517054</v>
      </c>
      <c r="F25068" s="2" t="str">
        <f>"9781614514978"</f>
        <v>9781614514978</v>
      </c>
    </row>
    <row r="25069" spans="1:6" s="3" customFormat="1" ht="29.1" customHeight="1" x14ac:dyDescent="0.25">
      <c r="A25069" s="2" t="s">
        <v>48910</v>
      </c>
      <c r="B25069" s="2" t="s">
        <v>48911</v>
      </c>
      <c r="C25069" s="2" t="s">
        <v>195</v>
      </c>
      <c r="D25069" s="2" t="s">
        <v>459</v>
      </c>
      <c r="E25069" s="2" t="str">
        <f>"9783110351712"</f>
        <v>9783110351712</v>
      </c>
      <c r="F25069" s="2" t="str">
        <f>"9783110352245"</f>
        <v>9783110352245</v>
      </c>
    </row>
    <row r="25070" spans="1:6" s="3" customFormat="1" ht="29.1" customHeight="1" x14ac:dyDescent="0.25">
      <c r="A25070" s="2" t="s">
        <v>48912</v>
      </c>
      <c r="B25070" s="2" t="s">
        <v>48913</v>
      </c>
      <c r="C25070" s="2" t="s">
        <v>195</v>
      </c>
      <c r="D25070" s="2" t="s">
        <v>210</v>
      </c>
      <c r="E25070" s="2" t="str">
        <f>"9783486741896"</f>
        <v>9783486741896</v>
      </c>
      <c r="F25070" s="2" t="str">
        <f>"9783486857504"</f>
        <v>9783486857504</v>
      </c>
    </row>
    <row r="25071" spans="1:6" s="3" customFormat="1" ht="29.1" customHeight="1" x14ac:dyDescent="0.25">
      <c r="A25071" s="2" t="s">
        <v>48914</v>
      </c>
      <c r="B25071" s="2" t="s">
        <v>48915</v>
      </c>
      <c r="C25071" s="2" t="s">
        <v>195</v>
      </c>
      <c r="D25071" s="2" t="s">
        <v>1183</v>
      </c>
      <c r="E25071" s="2" t="str">
        <f>"9783486764628"</f>
        <v>9783486764628</v>
      </c>
      <c r="F25071" s="2" t="str">
        <f>"9783110345254"</f>
        <v>9783110345254</v>
      </c>
    </row>
    <row r="25072" spans="1:6" s="3" customFormat="1" ht="29.1" customHeight="1" x14ac:dyDescent="0.25">
      <c r="A25072" s="2" t="s">
        <v>48916</v>
      </c>
      <c r="B25072" s="2" t="s">
        <v>48917</v>
      </c>
      <c r="C25072" s="2" t="s">
        <v>124</v>
      </c>
      <c r="D25072" s="2" t="s">
        <v>930</v>
      </c>
      <c r="E25072" s="2" t="str">
        <f>"9781138791053"</f>
        <v>9781138791053</v>
      </c>
      <c r="F25072" s="2" t="str">
        <f>"9781317650379"</f>
        <v>9781317650379</v>
      </c>
    </row>
    <row r="25073" spans="1:6" s="3" customFormat="1" ht="29.1" customHeight="1" x14ac:dyDescent="0.25">
      <c r="A25073" s="2" t="s">
        <v>48918</v>
      </c>
      <c r="B25073" s="2" t="s">
        <v>48919</v>
      </c>
      <c r="C25073" s="2" t="s">
        <v>195</v>
      </c>
      <c r="D25073" s="2" t="s">
        <v>210</v>
      </c>
      <c r="E25073" s="2" t="str">
        <f>"9783486763867"</f>
        <v>9783486763867</v>
      </c>
      <c r="F25073" s="2" t="str">
        <f>"9783486780321"</f>
        <v>9783486780321</v>
      </c>
    </row>
    <row r="25074" spans="1:6" s="3" customFormat="1" ht="29.1" customHeight="1" x14ac:dyDescent="0.25">
      <c r="A25074" s="2" t="s">
        <v>48920</v>
      </c>
      <c r="B25074" s="2" t="s">
        <v>48921</v>
      </c>
      <c r="C25074" s="2" t="s">
        <v>29</v>
      </c>
      <c r="D25074" s="2" t="s">
        <v>1466</v>
      </c>
      <c r="E25074" s="2" t="str">
        <f>"9789042038820"</f>
        <v>9789042038820</v>
      </c>
      <c r="F25074" s="2" t="str">
        <f>"9789401211659"</f>
        <v>9789401211659</v>
      </c>
    </row>
    <row r="25075" spans="1:6" s="3" customFormat="1" ht="29.1" customHeight="1" x14ac:dyDescent="0.25">
      <c r="A25075" s="2" t="s">
        <v>48922</v>
      </c>
      <c r="B25075" s="2" t="s">
        <v>46814</v>
      </c>
      <c r="C25075" s="2" t="s">
        <v>62</v>
      </c>
      <c r="D25075" s="2" t="s">
        <v>2005</v>
      </c>
      <c r="E25075" s="2" t="str">
        <f>"9783428130177"</f>
        <v>9783428130177</v>
      </c>
      <c r="F25075" s="2" t="str">
        <f>"9783428530175"</f>
        <v>9783428530175</v>
      </c>
    </row>
    <row r="25076" spans="1:6" s="3" customFormat="1" ht="29.1" customHeight="1" x14ac:dyDescent="0.25">
      <c r="A25076" s="2" t="s">
        <v>48923</v>
      </c>
      <c r="B25076" s="2" t="s">
        <v>48924</v>
      </c>
      <c r="C25076" s="2" t="s">
        <v>62</v>
      </c>
      <c r="D25076" s="2" t="s">
        <v>4783</v>
      </c>
      <c r="E25076" s="2" t="str">
        <f>"9783428142095"</f>
        <v>9783428142095</v>
      </c>
      <c r="F25076" s="2" t="str">
        <f>"9783428542093"</f>
        <v>9783428542093</v>
      </c>
    </row>
    <row r="25077" spans="1:6" s="3" customFormat="1" ht="29.1" customHeight="1" x14ac:dyDescent="0.25">
      <c r="A25077" s="2" t="s">
        <v>48925</v>
      </c>
      <c r="B25077" s="2" t="s">
        <v>48926</v>
      </c>
      <c r="C25077" s="2" t="s">
        <v>195</v>
      </c>
      <c r="D25077" s="2" t="s">
        <v>4739</v>
      </c>
      <c r="E25077" s="2" t="str">
        <f>"9783110346664"</f>
        <v>9783110346664</v>
      </c>
      <c r="F25077" s="2" t="str">
        <f>"9783110271478"</f>
        <v>9783110271478</v>
      </c>
    </row>
    <row r="25078" spans="1:6" s="3" customFormat="1" ht="29.1" customHeight="1" x14ac:dyDescent="0.25">
      <c r="A25078" s="2" t="s">
        <v>48927</v>
      </c>
      <c r="B25078" s="2"/>
      <c r="C25078" s="2" t="s">
        <v>195</v>
      </c>
      <c r="D25078" s="2" t="s">
        <v>11489</v>
      </c>
      <c r="E25078" s="2" t="str">
        <f>"9783110060157"</f>
        <v>9783110060157</v>
      </c>
      <c r="F25078" s="2" t="str">
        <f>"9783110903249"</f>
        <v>9783110903249</v>
      </c>
    </row>
    <row r="25079" spans="1:6" s="3" customFormat="1" ht="29.1" customHeight="1" x14ac:dyDescent="0.25">
      <c r="A25079" s="2" t="s">
        <v>48928</v>
      </c>
      <c r="B25079" s="2" t="s">
        <v>48929</v>
      </c>
      <c r="C25079" s="2" t="s">
        <v>195</v>
      </c>
      <c r="D25079" s="2" t="s">
        <v>210</v>
      </c>
      <c r="E25079" s="2" t="str">
        <f>"9783486590166"</f>
        <v>9783486590166</v>
      </c>
      <c r="F25079" s="2" t="str">
        <f>"9783486850482"</f>
        <v>9783486850482</v>
      </c>
    </row>
    <row r="25080" spans="1:6" s="3" customFormat="1" ht="29.1" customHeight="1" x14ac:dyDescent="0.25">
      <c r="A25080" s="2" t="s">
        <v>48930</v>
      </c>
      <c r="B25080" s="2" t="s">
        <v>48931</v>
      </c>
      <c r="C25080" s="2" t="s">
        <v>195</v>
      </c>
      <c r="D25080" s="2" t="s">
        <v>210</v>
      </c>
      <c r="E25080" s="2" t="str">
        <f>"9783486585193"</f>
        <v>9783486585193</v>
      </c>
      <c r="F25080" s="2" t="str">
        <f>"9783486845686"</f>
        <v>9783486845686</v>
      </c>
    </row>
    <row r="25081" spans="1:6" s="3" customFormat="1" ht="29.1" customHeight="1" x14ac:dyDescent="0.25">
      <c r="A25081" s="2" t="s">
        <v>48932</v>
      </c>
      <c r="B25081" s="2" t="s">
        <v>48933</v>
      </c>
      <c r="C25081" s="2" t="s">
        <v>195</v>
      </c>
      <c r="D25081" s="2" t="s">
        <v>210</v>
      </c>
      <c r="E25081" s="2" t="str">
        <f>"9783050045696"</f>
        <v>9783050045696</v>
      </c>
      <c r="F25081" s="2" t="str">
        <f>"9783050088259"</f>
        <v>9783050088259</v>
      </c>
    </row>
    <row r="25082" spans="1:6" s="3" customFormat="1" ht="29.1" customHeight="1" x14ac:dyDescent="0.25">
      <c r="A25082" s="2" t="s">
        <v>48934</v>
      </c>
      <c r="B25082" s="2" t="s">
        <v>48935</v>
      </c>
      <c r="C25082" s="2" t="s">
        <v>5</v>
      </c>
      <c r="D25082" s="2" t="s">
        <v>12</v>
      </c>
      <c r="E25082" s="2" t="str">
        <f>"9789401786775"</f>
        <v>9789401786775</v>
      </c>
      <c r="F25082" s="2" t="str">
        <f>"9789401786782"</f>
        <v>9789401786782</v>
      </c>
    </row>
    <row r="25083" spans="1:6" s="3" customFormat="1" ht="29.1" customHeight="1" x14ac:dyDescent="0.25">
      <c r="A25083" s="2" t="s">
        <v>48936</v>
      </c>
      <c r="B25083" s="2" t="s">
        <v>48937</v>
      </c>
      <c r="C25083" s="2" t="s">
        <v>124</v>
      </c>
      <c r="D25083" s="2" t="s">
        <v>462</v>
      </c>
      <c r="E25083" s="2" t="str">
        <f>"9780415711159"</f>
        <v>9780415711159</v>
      </c>
      <c r="F25083" s="2" t="str">
        <f>"9781317560067"</f>
        <v>9781317560067</v>
      </c>
    </row>
    <row r="25084" spans="1:6" s="3" customFormat="1" ht="29.1" customHeight="1" x14ac:dyDescent="0.25">
      <c r="A25084" s="2" t="s">
        <v>48938</v>
      </c>
      <c r="B25084" s="2" t="s">
        <v>48939</v>
      </c>
      <c r="C25084" s="2" t="s">
        <v>8104</v>
      </c>
      <c r="D25084" s="2" t="s">
        <v>636</v>
      </c>
      <c r="E25084" s="2" t="str">
        <f>"9781782386957"</f>
        <v>9781782386957</v>
      </c>
      <c r="F25084" s="2" t="str">
        <f>"9781782386964"</f>
        <v>9781782386964</v>
      </c>
    </row>
    <row r="25085" spans="1:6" s="3" customFormat="1" ht="29.1" customHeight="1" x14ac:dyDescent="0.25">
      <c r="A25085" s="2" t="s">
        <v>48940</v>
      </c>
      <c r="B25085" s="2" t="s">
        <v>48941</v>
      </c>
      <c r="C25085" s="2" t="s">
        <v>124</v>
      </c>
      <c r="D25085" s="2" t="s">
        <v>1077</v>
      </c>
      <c r="E25085" s="2" t="str">
        <f>"9789089647122"</f>
        <v>9789089647122</v>
      </c>
      <c r="F25085" s="2" t="str">
        <f>"9781040777633"</f>
        <v>9781040777633</v>
      </c>
    </row>
    <row r="25086" spans="1:6" s="3" customFormat="1" ht="29.1" customHeight="1" x14ac:dyDescent="0.25">
      <c r="A25086" s="2" t="s">
        <v>48942</v>
      </c>
      <c r="B25086" s="2" t="s">
        <v>48943</v>
      </c>
      <c r="C25086" s="2" t="s">
        <v>124</v>
      </c>
      <c r="D25086" s="2" t="s">
        <v>183</v>
      </c>
      <c r="E25086" s="2" t="str">
        <f>"9789089646514"</f>
        <v>9789089646514</v>
      </c>
      <c r="F25086" s="2" t="str">
        <f>"9781040793183"</f>
        <v>9781040793183</v>
      </c>
    </row>
    <row r="25087" spans="1:6" s="3" customFormat="1" ht="29.1" customHeight="1" x14ac:dyDescent="0.25">
      <c r="A25087" s="2" t="s">
        <v>48944</v>
      </c>
      <c r="B25087" s="2" t="s">
        <v>48945</v>
      </c>
      <c r="C25087" s="2" t="s">
        <v>124</v>
      </c>
      <c r="D25087" s="2" t="s">
        <v>183</v>
      </c>
      <c r="E25087" s="2" t="str">
        <f>"9781041182887"</f>
        <v>9781041182887</v>
      </c>
      <c r="F25087" s="2" t="str">
        <f>"9781040778432"</f>
        <v>9781040778432</v>
      </c>
    </row>
    <row r="25088" spans="1:6" s="3" customFormat="1" ht="29.1" customHeight="1" x14ac:dyDescent="0.25">
      <c r="A25088" s="2" t="s">
        <v>48946</v>
      </c>
      <c r="B25088" s="2" t="s">
        <v>48947</v>
      </c>
      <c r="C25088" s="2" t="s">
        <v>124</v>
      </c>
      <c r="D25088" s="2" t="s">
        <v>183</v>
      </c>
      <c r="E25088" s="2" t="str">
        <f>"9789089646491"</f>
        <v>9789089646491</v>
      </c>
      <c r="F25088" s="2" t="str">
        <f>"9781040779415"</f>
        <v>9781040779415</v>
      </c>
    </row>
    <row r="25089" spans="1:6" s="3" customFormat="1" ht="29.1" customHeight="1" x14ac:dyDescent="0.25">
      <c r="A25089" s="2" t="s">
        <v>48948</v>
      </c>
      <c r="B25089" s="2" t="s">
        <v>48949</v>
      </c>
      <c r="C25089" s="2" t="s">
        <v>26676</v>
      </c>
      <c r="D25089" s="2" t="s">
        <v>31629</v>
      </c>
      <c r="E25089" s="2" t="str">
        <f>"9781618113986"</f>
        <v>9781618113986</v>
      </c>
      <c r="F25089" s="2" t="str">
        <f>"9781618114006"</f>
        <v>9781618114006</v>
      </c>
    </row>
    <row r="25090" spans="1:6" s="3" customFormat="1" ht="29.1" customHeight="1" x14ac:dyDescent="0.25">
      <c r="A25090" s="2" t="s">
        <v>48950</v>
      </c>
      <c r="B25090" s="2" t="s">
        <v>48951</v>
      </c>
      <c r="C25090" s="2" t="s">
        <v>5</v>
      </c>
      <c r="D25090" s="2" t="s">
        <v>104</v>
      </c>
      <c r="E25090" s="2" t="str">
        <f>"9783319068886"</f>
        <v>9783319068886</v>
      </c>
      <c r="F25090" s="2" t="str">
        <f>"9783319068893"</f>
        <v>9783319068893</v>
      </c>
    </row>
    <row r="25091" spans="1:6" s="3" customFormat="1" ht="29.1" customHeight="1" x14ac:dyDescent="0.25">
      <c r="A25091" s="2" t="s">
        <v>48952</v>
      </c>
      <c r="B25091" s="2" t="s">
        <v>48953</v>
      </c>
      <c r="C25091" s="2" t="s">
        <v>556</v>
      </c>
      <c r="D25091" s="2" t="s">
        <v>1988</v>
      </c>
      <c r="E25091" s="2" t="str">
        <f>"9783837627312"</f>
        <v>9783837627312</v>
      </c>
      <c r="F25091" s="2" t="str">
        <f>"9783839427316"</f>
        <v>9783839427316</v>
      </c>
    </row>
    <row r="25092" spans="1:6" s="3" customFormat="1" ht="29.1" customHeight="1" x14ac:dyDescent="0.25">
      <c r="A25092" s="2" t="s">
        <v>48954</v>
      </c>
      <c r="B25092" s="2" t="s">
        <v>48955</v>
      </c>
      <c r="C25092" s="2" t="s">
        <v>556</v>
      </c>
      <c r="D25092" s="2" t="s">
        <v>6618</v>
      </c>
      <c r="E25092" s="2" t="str">
        <f>"9783837627053"</f>
        <v>9783837627053</v>
      </c>
      <c r="F25092" s="2" t="str">
        <f>"9783839427057"</f>
        <v>9783839427057</v>
      </c>
    </row>
    <row r="25093" spans="1:6" s="3" customFormat="1" ht="29.1" customHeight="1" x14ac:dyDescent="0.25">
      <c r="A25093" s="2" t="s">
        <v>48956</v>
      </c>
      <c r="B25093" s="2" t="s">
        <v>48957</v>
      </c>
      <c r="C25093" s="2" t="s">
        <v>556</v>
      </c>
      <c r="D25093" s="2" t="s">
        <v>3607</v>
      </c>
      <c r="E25093" s="2" t="str">
        <f>"9783837626438"</f>
        <v>9783837626438</v>
      </c>
      <c r="F25093" s="2" t="str">
        <f>"9783839426432"</f>
        <v>9783839426432</v>
      </c>
    </row>
    <row r="25094" spans="1:6" s="3" customFormat="1" ht="29.1" customHeight="1" x14ac:dyDescent="0.25">
      <c r="A25094" s="2" t="s">
        <v>48958</v>
      </c>
      <c r="B25094" s="2" t="s">
        <v>48959</v>
      </c>
      <c r="C25094" s="2" t="s">
        <v>556</v>
      </c>
      <c r="D25094" s="2" t="s">
        <v>441</v>
      </c>
      <c r="E25094" s="2" t="str">
        <f>"9783837626421"</f>
        <v>9783837626421</v>
      </c>
      <c r="F25094" s="2" t="str">
        <f>"9783839426425"</f>
        <v>9783839426425</v>
      </c>
    </row>
    <row r="25095" spans="1:6" s="3" customFormat="1" ht="29.1" customHeight="1" x14ac:dyDescent="0.25">
      <c r="A25095" s="2" t="s">
        <v>48960</v>
      </c>
      <c r="B25095" s="2" t="s">
        <v>48961</v>
      </c>
      <c r="C25095" s="2" t="s">
        <v>556</v>
      </c>
      <c r="D25095" s="2" t="s">
        <v>218</v>
      </c>
      <c r="E25095" s="2" t="str">
        <f>"9783837626391"</f>
        <v>9783837626391</v>
      </c>
      <c r="F25095" s="2" t="str">
        <f>"9783839426395"</f>
        <v>9783839426395</v>
      </c>
    </row>
    <row r="25096" spans="1:6" s="3" customFormat="1" ht="29.1" customHeight="1" x14ac:dyDescent="0.25">
      <c r="A25096" s="2" t="s">
        <v>48962</v>
      </c>
      <c r="B25096" s="2" t="s">
        <v>48963</v>
      </c>
      <c r="C25096" s="2" t="s">
        <v>556</v>
      </c>
      <c r="D25096" s="2" t="s">
        <v>1183</v>
      </c>
      <c r="E25096" s="2" t="str">
        <f>"9783837625806"</f>
        <v>9783837625806</v>
      </c>
      <c r="F25096" s="2" t="str">
        <f>"9783839425800"</f>
        <v>9783839425800</v>
      </c>
    </row>
    <row r="25097" spans="1:6" s="3" customFormat="1" ht="29.1" customHeight="1" x14ac:dyDescent="0.25">
      <c r="A25097" s="2" t="s">
        <v>48964</v>
      </c>
      <c r="B25097" s="2" t="s">
        <v>48965</v>
      </c>
      <c r="C25097" s="2" t="s">
        <v>556</v>
      </c>
      <c r="D25097" s="2" t="s">
        <v>501</v>
      </c>
      <c r="E25097" s="2" t="str">
        <f>"9783837624021"</f>
        <v>9783837624021</v>
      </c>
      <c r="F25097" s="2" t="str">
        <f>"9783839424025"</f>
        <v>9783839424025</v>
      </c>
    </row>
    <row r="25098" spans="1:6" s="3" customFormat="1" ht="29.1" customHeight="1" x14ac:dyDescent="0.25">
      <c r="A25098" s="2" t="s">
        <v>48966</v>
      </c>
      <c r="B25098" s="2" t="s">
        <v>48967</v>
      </c>
      <c r="C25098" s="2" t="s">
        <v>556</v>
      </c>
      <c r="D25098" s="2" t="s">
        <v>6618</v>
      </c>
      <c r="E25098" s="2" t="str">
        <f>"9783837620412"</f>
        <v>9783837620412</v>
      </c>
      <c r="F25098" s="2" t="str">
        <f>"9783839420416"</f>
        <v>9783839420416</v>
      </c>
    </row>
    <row r="25099" spans="1:6" s="3" customFormat="1" ht="29.1" customHeight="1" x14ac:dyDescent="0.25">
      <c r="A25099" s="2" t="s">
        <v>48968</v>
      </c>
      <c r="B25099" s="2" t="s">
        <v>48969</v>
      </c>
      <c r="C25099" s="2" t="s">
        <v>11220</v>
      </c>
      <c r="D25099" s="2" t="s">
        <v>402</v>
      </c>
      <c r="E25099" s="2" t="str">
        <f>"9781479853908"</f>
        <v>9781479853908</v>
      </c>
      <c r="F25099" s="2" t="str">
        <f>"9781479858279"</f>
        <v>9781479858279</v>
      </c>
    </row>
    <row r="25100" spans="1:6" s="3" customFormat="1" ht="29.1" customHeight="1" x14ac:dyDescent="0.25">
      <c r="A25100" s="2" t="s">
        <v>48970</v>
      </c>
      <c r="B25100" s="2" t="s">
        <v>48971</v>
      </c>
      <c r="C25100" s="2" t="s">
        <v>11220</v>
      </c>
      <c r="D25100" s="2" t="s">
        <v>183</v>
      </c>
      <c r="E25100" s="2" t="str">
        <f>"9780814784105"</f>
        <v>9780814784105</v>
      </c>
      <c r="F25100" s="2" t="str">
        <f>"9781479840052"</f>
        <v>9781479840052</v>
      </c>
    </row>
    <row r="25101" spans="1:6" s="3" customFormat="1" ht="29.1" customHeight="1" x14ac:dyDescent="0.25">
      <c r="A25101" s="2" t="s">
        <v>48972</v>
      </c>
      <c r="B25101" s="2" t="s">
        <v>48973</v>
      </c>
      <c r="C25101" s="2" t="s">
        <v>264</v>
      </c>
      <c r="D25101" s="2" t="s">
        <v>3824</v>
      </c>
      <c r="E25101" s="2" t="str">
        <f>"9781466576780"</f>
        <v>9781466576780</v>
      </c>
      <c r="F25101" s="2" t="str">
        <f>"9781482282610"</f>
        <v>9781482282610</v>
      </c>
    </row>
    <row r="25102" spans="1:6" s="3" customFormat="1" ht="29.1" customHeight="1" x14ac:dyDescent="0.25">
      <c r="A25102" s="2" t="s">
        <v>48974</v>
      </c>
      <c r="B25102" s="2" t="s">
        <v>48975</v>
      </c>
      <c r="C25102" s="2" t="s">
        <v>124</v>
      </c>
      <c r="D25102" s="2" t="s">
        <v>868</v>
      </c>
      <c r="E25102" s="2" t="str">
        <f>"9780415738675"</f>
        <v>9780415738675</v>
      </c>
      <c r="F25102" s="2" t="str">
        <f>"9781317694038"</f>
        <v>9781317694038</v>
      </c>
    </row>
    <row r="25103" spans="1:6" s="3" customFormat="1" ht="29.1" customHeight="1" x14ac:dyDescent="0.25">
      <c r="A25103" s="2" t="s">
        <v>48976</v>
      </c>
      <c r="B25103" s="2" t="s">
        <v>48977</v>
      </c>
      <c r="C25103" s="2" t="s">
        <v>124</v>
      </c>
      <c r="D25103" s="2" t="s">
        <v>30</v>
      </c>
      <c r="E25103" s="2" t="str">
        <f>"9781138787421"</f>
        <v>9781138787421</v>
      </c>
      <c r="F25103" s="2" t="str">
        <f>"9781317660675"</f>
        <v>9781317660675</v>
      </c>
    </row>
    <row r="25104" spans="1:6" s="3" customFormat="1" ht="29.1" customHeight="1" x14ac:dyDescent="0.25">
      <c r="A25104" s="2" t="s">
        <v>48978</v>
      </c>
      <c r="B25104" s="2" t="s">
        <v>48979</v>
      </c>
      <c r="C25104" s="2" t="s">
        <v>34257</v>
      </c>
      <c r="D25104" s="2" t="s">
        <v>2048</v>
      </c>
      <c r="E25104" s="2" t="str">
        <f>"9780745334967"</f>
        <v>9780745334967</v>
      </c>
      <c r="F25104" s="2" t="str">
        <f>"9781783711789"</f>
        <v>9781783711789</v>
      </c>
    </row>
    <row r="25105" spans="1:6" s="3" customFormat="1" ht="29.1" customHeight="1" x14ac:dyDescent="0.25">
      <c r="A25105" s="2" t="s">
        <v>48980</v>
      </c>
      <c r="B25105" s="2" t="s">
        <v>48981</v>
      </c>
      <c r="C25105" s="2" t="s">
        <v>29</v>
      </c>
      <c r="D25105" s="2" t="s">
        <v>10493</v>
      </c>
      <c r="E25105" s="2" t="str">
        <f>"9789004272613"</f>
        <v>9789004272613</v>
      </c>
      <c r="F25105" s="2" t="str">
        <f>"9789004272682"</f>
        <v>9789004272682</v>
      </c>
    </row>
    <row r="25106" spans="1:6" s="3" customFormat="1" ht="29.1" customHeight="1" x14ac:dyDescent="0.25">
      <c r="A25106" s="2" t="s">
        <v>20267</v>
      </c>
      <c r="B25106" s="2" t="s">
        <v>20268</v>
      </c>
      <c r="C25106" s="2" t="s">
        <v>316</v>
      </c>
      <c r="D25106" s="2" t="s">
        <v>1959</v>
      </c>
      <c r="E25106" s="2" t="str">
        <f>"9783038351054"</f>
        <v>9783038351054</v>
      </c>
      <c r="F25106" s="2" t="str">
        <f>"9783038264866"</f>
        <v>9783038264866</v>
      </c>
    </row>
    <row r="25107" spans="1:6" s="3" customFormat="1" ht="29.1" customHeight="1" x14ac:dyDescent="0.25">
      <c r="A25107" s="2" t="s">
        <v>48982</v>
      </c>
      <c r="B25107" s="2" t="s">
        <v>48983</v>
      </c>
      <c r="C25107" s="2" t="s">
        <v>195</v>
      </c>
      <c r="D25107" s="2" t="s">
        <v>210</v>
      </c>
      <c r="E25107" s="2" t="str">
        <f>"9783486566185"</f>
        <v>9783486566185</v>
      </c>
      <c r="F25107" s="2" t="str">
        <f>"9783486718164"</f>
        <v>9783486718164</v>
      </c>
    </row>
    <row r="25108" spans="1:6" s="3" customFormat="1" ht="29.1" customHeight="1" x14ac:dyDescent="0.25">
      <c r="A25108" s="2" t="s">
        <v>48984</v>
      </c>
      <c r="B25108" s="2" t="s">
        <v>48985</v>
      </c>
      <c r="C25108" s="2" t="s">
        <v>195</v>
      </c>
      <c r="D25108" s="2" t="s">
        <v>210</v>
      </c>
      <c r="E25108" s="2" t="str">
        <f>"9783486566406"</f>
        <v>9783486566406</v>
      </c>
      <c r="F25108" s="2" t="str">
        <f>"9783486718157"</f>
        <v>9783486718157</v>
      </c>
    </row>
    <row r="25109" spans="1:6" s="3" customFormat="1" ht="29.1" customHeight="1" x14ac:dyDescent="0.25">
      <c r="A25109" s="2" t="s">
        <v>48986</v>
      </c>
      <c r="B25109" s="2" t="s">
        <v>48987</v>
      </c>
      <c r="C25109" s="2" t="s">
        <v>195</v>
      </c>
      <c r="D25109" s="2" t="s">
        <v>210</v>
      </c>
      <c r="E25109" s="2" t="str">
        <f>"9783486778373"</f>
        <v>9783486778373</v>
      </c>
      <c r="F25109" s="2" t="str">
        <f>"9783110353730"</f>
        <v>9783110353730</v>
      </c>
    </row>
    <row r="25110" spans="1:6" s="3" customFormat="1" ht="29.1" customHeight="1" x14ac:dyDescent="0.25">
      <c r="A25110" s="2" t="s">
        <v>48988</v>
      </c>
      <c r="B25110" s="2" t="s">
        <v>48989</v>
      </c>
      <c r="C25110" s="2" t="s">
        <v>1070</v>
      </c>
      <c r="D25110" s="2" t="s">
        <v>1310</v>
      </c>
      <c r="E25110" s="2" t="str">
        <f>"9781908541628"</f>
        <v>9781908541628</v>
      </c>
      <c r="F25110" s="2" t="str">
        <f>"9781908541697"</f>
        <v>9781908541697</v>
      </c>
    </row>
    <row r="25111" spans="1:6" s="3" customFormat="1" ht="29.1" customHeight="1" x14ac:dyDescent="0.25">
      <c r="A25111" s="2" t="s">
        <v>48990</v>
      </c>
      <c r="B25111" s="2" t="s">
        <v>48991</v>
      </c>
      <c r="C25111" s="2" t="s">
        <v>595</v>
      </c>
      <c r="D25111" s="2" t="s">
        <v>4789</v>
      </c>
      <c r="E25111" s="2" t="str">
        <f>"9783034307529"</f>
        <v>9783034307529</v>
      </c>
      <c r="F25111" s="2" t="str">
        <f>"9783035306101"</f>
        <v>9783035306101</v>
      </c>
    </row>
    <row r="25112" spans="1:6" s="3" customFormat="1" ht="29.1" customHeight="1" x14ac:dyDescent="0.25">
      <c r="A25112" s="2" t="s">
        <v>48992</v>
      </c>
      <c r="B25112" s="2" t="s">
        <v>48993</v>
      </c>
      <c r="C25112" s="2" t="s">
        <v>927</v>
      </c>
      <c r="D25112" s="2" t="s">
        <v>210</v>
      </c>
      <c r="E25112" s="2" t="str">
        <f>"9780472119172"</f>
        <v>9780472119172</v>
      </c>
      <c r="F25112" s="2" t="str">
        <f>"9780472029983"</f>
        <v>9780472029983</v>
      </c>
    </row>
    <row r="25113" spans="1:6" s="3" customFormat="1" ht="29.1" customHeight="1" x14ac:dyDescent="0.25">
      <c r="A25113" s="2" t="s">
        <v>48994</v>
      </c>
      <c r="B25113" s="2" t="s">
        <v>48995</v>
      </c>
      <c r="C25113" s="2" t="s">
        <v>927</v>
      </c>
      <c r="D25113" s="2" t="s">
        <v>210</v>
      </c>
      <c r="E25113" s="2" t="str">
        <f>"9780472117208"</f>
        <v>9780472117208</v>
      </c>
      <c r="F25113" s="2" t="str">
        <f>"9780472120857"</f>
        <v>9780472120857</v>
      </c>
    </row>
    <row r="25114" spans="1:6" s="3" customFormat="1" ht="29.1" customHeight="1" x14ac:dyDescent="0.25">
      <c r="A25114" s="2" t="s">
        <v>48996</v>
      </c>
      <c r="B25114" s="2" t="s">
        <v>48997</v>
      </c>
      <c r="C25114" s="2" t="s">
        <v>7395</v>
      </c>
      <c r="D25114" s="2" t="s">
        <v>636</v>
      </c>
      <c r="E25114" s="2" t="str">
        <f>"9780295984872"</f>
        <v>9780295984872</v>
      </c>
      <c r="F25114" s="2" t="str">
        <f>"9780295805450"</f>
        <v>9780295805450</v>
      </c>
    </row>
    <row r="25115" spans="1:6" s="3" customFormat="1" ht="29.1" customHeight="1" x14ac:dyDescent="0.25">
      <c r="A25115" s="2" t="s">
        <v>48998</v>
      </c>
      <c r="B25115" s="2" t="s">
        <v>48999</v>
      </c>
      <c r="C25115" s="2" t="s">
        <v>26676</v>
      </c>
      <c r="D25115" s="2" t="s">
        <v>2602</v>
      </c>
      <c r="E25115" s="2" t="str">
        <f>"9781618113467"</f>
        <v>9781618113467</v>
      </c>
      <c r="F25115" s="2" t="str">
        <f>"9781618113573"</f>
        <v>9781618113573</v>
      </c>
    </row>
    <row r="25116" spans="1:6" s="3" customFormat="1" ht="29.1" customHeight="1" x14ac:dyDescent="0.25">
      <c r="A25116" s="2" t="s">
        <v>49000</v>
      </c>
      <c r="B25116" s="2" t="s">
        <v>49001</v>
      </c>
      <c r="C25116" s="2" t="s">
        <v>3169</v>
      </c>
      <c r="D25116" s="2" t="s">
        <v>3166</v>
      </c>
      <c r="E25116" s="2" t="str">
        <f>"9781843843924"</f>
        <v>9781843843924</v>
      </c>
      <c r="F25116" s="2" t="str">
        <f>"9781782043973"</f>
        <v>9781782043973</v>
      </c>
    </row>
    <row r="25117" spans="1:6" s="3" customFormat="1" ht="29.1" customHeight="1" x14ac:dyDescent="0.25">
      <c r="A25117" s="2" t="s">
        <v>49002</v>
      </c>
      <c r="B25117" s="2" t="s">
        <v>49003</v>
      </c>
      <c r="C25117" s="2" t="s">
        <v>1070</v>
      </c>
      <c r="D25117" s="2" t="s">
        <v>1313</v>
      </c>
      <c r="E25117" s="2" t="str">
        <f>"9781908541598"</f>
        <v>9781908541598</v>
      </c>
      <c r="F25117" s="2" t="str">
        <f>"9781908541673"</f>
        <v>9781908541673</v>
      </c>
    </row>
    <row r="25118" spans="1:6" s="3" customFormat="1" ht="29.1" customHeight="1" x14ac:dyDescent="0.25">
      <c r="A25118" s="2" t="s">
        <v>49004</v>
      </c>
      <c r="B25118" s="2" t="s">
        <v>48939</v>
      </c>
      <c r="C25118" s="2" t="s">
        <v>8104</v>
      </c>
      <c r="D25118" s="2" t="s">
        <v>636</v>
      </c>
      <c r="E25118" s="2" t="str">
        <f>"9781782385691"</f>
        <v>9781782385691</v>
      </c>
      <c r="F25118" s="2" t="str">
        <f>"9781782385707"</f>
        <v>9781782385707</v>
      </c>
    </row>
    <row r="25119" spans="1:6" s="3" customFormat="1" ht="29.1" customHeight="1" x14ac:dyDescent="0.25">
      <c r="A25119" s="2" t="s">
        <v>49005</v>
      </c>
      <c r="B25119" s="2" t="s">
        <v>49006</v>
      </c>
      <c r="C25119" s="2" t="s">
        <v>124</v>
      </c>
      <c r="D25119" s="2" t="s">
        <v>75</v>
      </c>
      <c r="E25119" s="2" t="str">
        <f>"9781409450665"</f>
        <v>9781409450665</v>
      </c>
      <c r="F25119" s="2" t="str">
        <f>"9781317180487"</f>
        <v>9781317180487</v>
      </c>
    </row>
    <row r="25120" spans="1:6" s="3" customFormat="1" ht="29.1" customHeight="1" x14ac:dyDescent="0.25">
      <c r="A25120" s="2" t="s">
        <v>49007</v>
      </c>
      <c r="B25120" s="2" t="s">
        <v>49008</v>
      </c>
      <c r="C25120" s="2" t="s">
        <v>11220</v>
      </c>
      <c r="D25120" s="2" t="s">
        <v>855</v>
      </c>
      <c r="E25120" s="2" t="str">
        <f>"9780814768976"</f>
        <v>9780814768976</v>
      </c>
      <c r="F25120" s="2" t="str">
        <f>"9780814771983"</f>
        <v>9780814771983</v>
      </c>
    </row>
    <row r="25121" spans="1:6" s="3" customFormat="1" ht="29.1" customHeight="1" x14ac:dyDescent="0.25">
      <c r="A25121" s="2" t="s">
        <v>49009</v>
      </c>
      <c r="B25121" s="2" t="s">
        <v>49010</v>
      </c>
      <c r="C25121" s="2" t="s">
        <v>28510</v>
      </c>
      <c r="D25121" s="2" t="s">
        <v>1292</v>
      </c>
      <c r="E25121" s="2" t="str">
        <f>"9781608058891"</f>
        <v>9781608058891</v>
      </c>
      <c r="F25121" s="2" t="str">
        <f>"9781608058884"</f>
        <v>9781608058884</v>
      </c>
    </row>
    <row r="25122" spans="1:6" s="3" customFormat="1" ht="29.1" customHeight="1" x14ac:dyDescent="0.25">
      <c r="A25122" s="2" t="s">
        <v>49011</v>
      </c>
      <c r="B25122" s="2" t="s">
        <v>49012</v>
      </c>
      <c r="C25122" s="2" t="s">
        <v>4788</v>
      </c>
      <c r="D25122" s="2" t="s">
        <v>509</v>
      </c>
      <c r="E25122" s="2" t="str">
        <f>"9780748641734"</f>
        <v>9780748641734</v>
      </c>
      <c r="F25122" s="2" t="str">
        <f>"9780748677696"</f>
        <v>9780748677696</v>
      </c>
    </row>
    <row r="25123" spans="1:6" s="3" customFormat="1" ht="29.1" customHeight="1" x14ac:dyDescent="0.25">
      <c r="A25123" s="2" t="s">
        <v>49013</v>
      </c>
      <c r="B25123" s="2" t="s">
        <v>49014</v>
      </c>
      <c r="C25123" s="2" t="s">
        <v>29</v>
      </c>
      <c r="D25123" s="2" t="s">
        <v>509</v>
      </c>
      <c r="E25123" s="2" t="str">
        <f>"9789004225718"</f>
        <v>9789004225718</v>
      </c>
      <c r="F25123" s="2" t="str">
        <f>"9789004273993"</f>
        <v>9789004273993</v>
      </c>
    </row>
    <row r="25124" spans="1:6" s="3" customFormat="1" ht="29.1" customHeight="1" x14ac:dyDescent="0.25">
      <c r="A25124" s="2" t="s">
        <v>902</v>
      </c>
      <c r="B25124" s="2" t="s">
        <v>49015</v>
      </c>
      <c r="C25124" s="2" t="s">
        <v>124</v>
      </c>
      <c r="D25124" s="2" t="s">
        <v>459</v>
      </c>
      <c r="E25124" s="2" t="str">
        <f>"9781041186779"</f>
        <v>9781041186779</v>
      </c>
      <c r="F25124" s="2" t="str">
        <f>"9781040800263"</f>
        <v>9781040800263</v>
      </c>
    </row>
    <row r="25125" spans="1:6" s="3" customFormat="1" ht="29.1" customHeight="1" x14ac:dyDescent="0.25">
      <c r="A25125" s="2" t="s">
        <v>49016</v>
      </c>
      <c r="B25125" s="2" t="s">
        <v>49017</v>
      </c>
      <c r="C25125" s="2" t="s">
        <v>124</v>
      </c>
      <c r="D25125" s="2" t="s">
        <v>183</v>
      </c>
      <c r="E25125" s="2" t="str">
        <f>"9789089645968"</f>
        <v>9789089645968</v>
      </c>
      <c r="F25125" s="2" t="str">
        <f>"9781040777657"</f>
        <v>9781040777657</v>
      </c>
    </row>
    <row r="25126" spans="1:6" s="3" customFormat="1" ht="29.1" customHeight="1" x14ac:dyDescent="0.25">
      <c r="A25126" s="2" t="s">
        <v>49018</v>
      </c>
      <c r="B25126" s="2" t="s">
        <v>49019</v>
      </c>
      <c r="C25126" s="2" t="s">
        <v>264</v>
      </c>
      <c r="D25126" s="2" t="s">
        <v>388</v>
      </c>
      <c r="E25126" s="2" t="str">
        <f>"9781482231250"</f>
        <v>9781482231250</v>
      </c>
      <c r="F25126" s="2" t="str">
        <f>"9781482231267"</f>
        <v>9781482231267</v>
      </c>
    </row>
    <row r="25127" spans="1:6" s="3" customFormat="1" ht="29.1" customHeight="1" x14ac:dyDescent="0.25">
      <c r="A25127" s="2" t="s">
        <v>49020</v>
      </c>
      <c r="B25127" s="2" t="s">
        <v>49021</v>
      </c>
      <c r="C25127" s="2" t="s">
        <v>29</v>
      </c>
      <c r="D25127" s="2" t="s">
        <v>2178</v>
      </c>
      <c r="E25127" s="2" t="str">
        <f>"9789462094321"</f>
        <v>9789462094321</v>
      </c>
      <c r="F25127" s="2" t="str">
        <f>"9789462094345"</f>
        <v>9789462094345</v>
      </c>
    </row>
    <row r="25128" spans="1:6" s="3" customFormat="1" ht="29.1" customHeight="1" x14ac:dyDescent="0.25">
      <c r="A25128" s="2" t="s">
        <v>49022</v>
      </c>
      <c r="B25128" s="2" t="s">
        <v>49023</v>
      </c>
      <c r="C25128" s="2" t="s">
        <v>195</v>
      </c>
      <c r="D25128" s="2" t="s">
        <v>210</v>
      </c>
      <c r="E25128" s="2" t="str">
        <f>"9783486578461"</f>
        <v>9783486578461</v>
      </c>
      <c r="F25128" s="2" t="str">
        <f>"9783486707663"</f>
        <v>9783486707663</v>
      </c>
    </row>
    <row r="25129" spans="1:6" s="3" customFormat="1" ht="29.1" customHeight="1" x14ac:dyDescent="0.25">
      <c r="A25129" s="2" t="s">
        <v>49024</v>
      </c>
      <c r="B25129" s="2" t="s">
        <v>49025</v>
      </c>
      <c r="C25129" s="2" t="s">
        <v>195</v>
      </c>
      <c r="D25129" s="2" t="s">
        <v>210</v>
      </c>
      <c r="E25129" s="2" t="str">
        <f>"9783486565898"</f>
        <v>9783486565898</v>
      </c>
      <c r="F25129" s="2" t="str">
        <f>"9783486707656"</f>
        <v>9783486707656</v>
      </c>
    </row>
    <row r="25130" spans="1:6" s="3" customFormat="1" ht="29.1" customHeight="1" x14ac:dyDescent="0.25">
      <c r="A25130" s="2" t="s">
        <v>49026</v>
      </c>
      <c r="B25130" s="2" t="s">
        <v>49027</v>
      </c>
      <c r="C25130" s="2" t="s">
        <v>195</v>
      </c>
      <c r="D25130" s="2" t="s">
        <v>210</v>
      </c>
      <c r="E25130" s="2" t="str">
        <f>"9783486580389"</f>
        <v>9783486580389</v>
      </c>
      <c r="F25130" s="2" t="str">
        <f>"9783486707632"</f>
        <v>9783486707632</v>
      </c>
    </row>
    <row r="25131" spans="1:6" s="3" customFormat="1" ht="29.1" customHeight="1" x14ac:dyDescent="0.25">
      <c r="A25131" s="2" t="s">
        <v>49028</v>
      </c>
      <c r="B25131" s="2" t="s">
        <v>49029</v>
      </c>
      <c r="C25131" s="2" t="s">
        <v>195</v>
      </c>
      <c r="D25131" s="2" t="s">
        <v>210</v>
      </c>
      <c r="E25131" s="2" t="str">
        <f>"9783486566550"</f>
        <v>9783486566550</v>
      </c>
      <c r="F25131" s="2" t="str">
        <f>"9783486707618"</f>
        <v>9783486707618</v>
      </c>
    </row>
    <row r="25132" spans="1:6" s="3" customFormat="1" ht="29.1" customHeight="1" x14ac:dyDescent="0.25">
      <c r="A25132" s="2" t="s">
        <v>49030</v>
      </c>
      <c r="B25132" s="2" t="s">
        <v>49031</v>
      </c>
      <c r="C25132" s="2" t="s">
        <v>195</v>
      </c>
      <c r="D25132" s="2" t="s">
        <v>210</v>
      </c>
      <c r="E25132" s="2" t="str">
        <f>"9783486200140"</f>
        <v>9783486200140</v>
      </c>
      <c r="F25132" s="2" t="str">
        <f>"9783486707588"</f>
        <v>9783486707588</v>
      </c>
    </row>
    <row r="25133" spans="1:6" s="3" customFormat="1" ht="29.1" customHeight="1" x14ac:dyDescent="0.25">
      <c r="A25133" s="2" t="s">
        <v>49032</v>
      </c>
      <c r="B25133" s="2" t="s">
        <v>49033</v>
      </c>
      <c r="C25133" s="2" t="s">
        <v>195</v>
      </c>
      <c r="D25133" s="2" t="s">
        <v>210</v>
      </c>
      <c r="E25133" s="2" t="str">
        <f>"9783486565331"</f>
        <v>9783486565331</v>
      </c>
      <c r="F25133" s="2" t="str">
        <f>"9783486707564"</f>
        <v>9783486707564</v>
      </c>
    </row>
    <row r="25134" spans="1:6" s="3" customFormat="1" ht="29.1" customHeight="1" x14ac:dyDescent="0.25">
      <c r="A25134" s="2" t="s">
        <v>49034</v>
      </c>
      <c r="B25134" s="2" t="s">
        <v>49035</v>
      </c>
      <c r="C25134" s="2" t="s">
        <v>195</v>
      </c>
      <c r="D25134" s="2" t="s">
        <v>210</v>
      </c>
      <c r="E25134" s="2" t="str">
        <f>"9783486583281"</f>
        <v>9783486583281</v>
      </c>
      <c r="F25134" s="2" t="str">
        <f>"9783486707526"</f>
        <v>9783486707526</v>
      </c>
    </row>
    <row r="25135" spans="1:6" s="3" customFormat="1" ht="29.1" customHeight="1" x14ac:dyDescent="0.25">
      <c r="A25135" s="2" t="s">
        <v>49036</v>
      </c>
      <c r="B25135" s="2" t="s">
        <v>38881</v>
      </c>
      <c r="C25135" s="2" t="s">
        <v>195</v>
      </c>
      <c r="D25135" s="2" t="s">
        <v>210</v>
      </c>
      <c r="E25135" s="2" t="str">
        <f>"9783486566611"</f>
        <v>9783486566611</v>
      </c>
      <c r="F25135" s="2" t="str">
        <f>"9783486707519"</f>
        <v>9783486707519</v>
      </c>
    </row>
    <row r="25136" spans="1:6" s="3" customFormat="1" ht="29.1" customHeight="1" x14ac:dyDescent="0.25">
      <c r="A25136" s="2" t="s">
        <v>49037</v>
      </c>
      <c r="B25136" s="2" t="s">
        <v>49038</v>
      </c>
      <c r="C25136" s="2" t="s">
        <v>11220</v>
      </c>
      <c r="D25136" s="2" t="s">
        <v>818</v>
      </c>
      <c r="E25136" s="2" t="str">
        <f>"9781479810666"</f>
        <v>9781479810666</v>
      </c>
      <c r="F25136" s="2" t="str">
        <f>"9781479877430"</f>
        <v>9781479877430</v>
      </c>
    </row>
    <row r="25137" spans="1:6" s="3" customFormat="1" ht="29.1" customHeight="1" x14ac:dyDescent="0.25">
      <c r="A25137" s="2" t="s">
        <v>16610</v>
      </c>
      <c r="B25137" s="2" t="s">
        <v>16611</v>
      </c>
      <c r="C25137" s="2" t="s">
        <v>11220</v>
      </c>
      <c r="D25137" s="2" t="s">
        <v>636</v>
      </c>
      <c r="E25137" s="2" t="str">
        <f>"9780814724965"</f>
        <v>9780814724965</v>
      </c>
      <c r="F25137" s="2" t="str">
        <f>"9780814760192"</f>
        <v>9780814760192</v>
      </c>
    </row>
    <row r="25138" spans="1:6" s="3" customFormat="1" ht="29.1" customHeight="1" x14ac:dyDescent="0.25">
      <c r="A25138" s="2" t="s">
        <v>49039</v>
      </c>
      <c r="B25138" s="2" t="s">
        <v>49015</v>
      </c>
      <c r="C25138" s="2" t="s">
        <v>124</v>
      </c>
      <c r="D25138" s="2" t="s">
        <v>903</v>
      </c>
      <c r="E25138" s="2" t="str">
        <f>"9781041186878"</f>
        <v>9781041186878</v>
      </c>
      <c r="F25138" s="2" t="str">
        <f>"9781003704713"</f>
        <v>9781003704713</v>
      </c>
    </row>
    <row r="25139" spans="1:6" s="3" customFormat="1" ht="29.1" customHeight="1" x14ac:dyDescent="0.25">
      <c r="A25139" s="2" t="s">
        <v>49040</v>
      </c>
      <c r="B25139" s="2" t="s">
        <v>49041</v>
      </c>
      <c r="C25139" s="2" t="s">
        <v>124</v>
      </c>
      <c r="D25139" s="2" t="s">
        <v>183</v>
      </c>
      <c r="E25139" s="2" t="str">
        <f>"9789089645593"</f>
        <v>9789089645593</v>
      </c>
      <c r="F25139" s="2" t="str">
        <f>"9781040799963"</f>
        <v>9781040799963</v>
      </c>
    </row>
    <row r="25140" spans="1:6" s="3" customFormat="1" ht="29.1" customHeight="1" x14ac:dyDescent="0.25">
      <c r="A25140" s="2" t="s">
        <v>49042</v>
      </c>
      <c r="B25140" s="2" t="s">
        <v>49043</v>
      </c>
      <c r="C25140" s="2" t="s">
        <v>124</v>
      </c>
      <c r="D25140" s="2" t="s">
        <v>509</v>
      </c>
      <c r="E25140" s="2" t="str">
        <f>"9789089645838"</f>
        <v>9789089645838</v>
      </c>
      <c r="F25140" s="2" t="str">
        <f>"9781040787946"</f>
        <v>9781040787946</v>
      </c>
    </row>
    <row r="25141" spans="1:6" s="3" customFormat="1" ht="29.1" customHeight="1" x14ac:dyDescent="0.25">
      <c r="A25141" s="2" t="s">
        <v>49044</v>
      </c>
      <c r="B25141" s="2" t="s">
        <v>49045</v>
      </c>
      <c r="C25141" s="2" t="s">
        <v>927</v>
      </c>
      <c r="D25141" s="2" t="s">
        <v>33</v>
      </c>
      <c r="E25141" s="2" t="str">
        <f>"9780472119202"</f>
        <v>9780472119202</v>
      </c>
      <c r="F25141" s="2" t="str">
        <f>"9780472120062"</f>
        <v>9780472120062</v>
      </c>
    </row>
    <row r="25142" spans="1:6" s="3" customFormat="1" ht="29.1" customHeight="1" x14ac:dyDescent="0.25">
      <c r="A25142" s="2" t="s">
        <v>49046</v>
      </c>
      <c r="B25142" s="2" t="s">
        <v>49047</v>
      </c>
      <c r="C25142" s="2" t="s">
        <v>927</v>
      </c>
      <c r="D25142" s="2" t="s">
        <v>297</v>
      </c>
      <c r="E25142" s="2" t="str">
        <f>"9780472035960"</f>
        <v>9780472035960</v>
      </c>
      <c r="F25142" s="2" t="str">
        <f>"9780472120499"</f>
        <v>9780472120499</v>
      </c>
    </row>
    <row r="25143" spans="1:6" s="3" customFormat="1" ht="29.1" customHeight="1" x14ac:dyDescent="0.25">
      <c r="A25143" s="2" t="s">
        <v>49048</v>
      </c>
      <c r="B25143" s="2" t="s">
        <v>28495</v>
      </c>
      <c r="C25143" s="2" t="s">
        <v>124</v>
      </c>
      <c r="D25143" s="2" t="s">
        <v>4742</v>
      </c>
      <c r="E25143" s="2" t="str">
        <f>"9789089644527"</f>
        <v>9789089644527</v>
      </c>
      <c r="F25143" s="2" t="str">
        <f>"9789048517251"</f>
        <v>9789048517251</v>
      </c>
    </row>
    <row r="25144" spans="1:6" s="3" customFormat="1" ht="29.1" customHeight="1" x14ac:dyDescent="0.25">
      <c r="A25144" s="2" t="s">
        <v>49049</v>
      </c>
      <c r="B25144" s="2" t="s">
        <v>49050</v>
      </c>
      <c r="C25144" s="2" t="s">
        <v>264</v>
      </c>
      <c r="D25144" s="2" t="s">
        <v>12465</v>
      </c>
      <c r="E25144" s="2" t="str">
        <f>"9781482216189"</f>
        <v>9781482216189</v>
      </c>
      <c r="F25144" s="2" t="str">
        <f>"9781482216196"</f>
        <v>9781482216196</v>
      </c>
    </row>
    <row r="25145" spans="1:6" s="3" customFormat="1" ht="29.1" customHeight="1" x14ac:dyDescent="0.25">
      <c r="A25145" s="2" t="s">
        <v>49051</v>
      </c>
      <c r="B25145" s="2" t="s">
        <v>49052</v>
      </c>
      <c r="C25145" s="2" t="s">
        <v>124</v>
      </c>
      <c r="D25145" s="2" t="s">
        <v>1198</v>
      </c>
      <c r="E25145" s="2" t="str">
        <f>"9781041181316"</f>
        <v>9781041181316</v>
      </c>
      <c r="F25145" s="2" t="str">
        <f>"9781040790458"</f>
        <v>9781040790458</v>
      </c>
    </row>
    <row r="25146" spans="1:6" s="3" customFormat="1" ht="29.1" customHeight="1" x14ac:dyDescent="0.25">
      <c r="A25146" s="2" t="s">
        <v>49053</v>
      </c>
      <c r="B25146" s="2" t="s">
        <v>49054</v>
      </c>
      <c r="C25146" s="2" t="s">
        <v>124</v>
      </c>
      <c r="D25146" s="2" t="s">
        <v>636</v>
      </c>
      <c r="E25146" s="2" t="str">
        <f>"9789089643599"</f>
        <v>9789089643599</v>
      </c>
      <c r="F25146" s="2" t="str">
        <f>"9781003690610"</f>
        <v>9781003690610</v>
      </c>
    </row>
    <row r="25147" spans="1:6" s="3" customFormat="1" ht="29.1" customHeight="1" x14ac:dyDescent="0.25">
      <c r="A25147" s="2" t="s">
        <v>49055</v>
      </c>
      <c r="B25147" s="2" t="s">
        <v>49056</v>
      </c>
      <c r="C25147" s="2" t="s">
        <v>124</v>
      </c>
      <c r="D25147" s="2" t="s">
        <v>712</v>
      </c>
      <c r="E25147" s="2" t="str">
        <f>"9789089643544"</f>
        <v>9789089643544</v>
      </c>
      <c r="F25147" s="2" t="str">
        <f>"9781040790342"</f>
        <v>9781040790342</v>
      </c>
    </row>
    <row r="25148" spans="1:6" s="3" customFormat="1" ht="29.1" customHeight="1" x14ac:dyDescent="0.25">
      <c r="A25148" s="2" t="s">
        <v>49057</v>
      </c>
      <c r="B25148" s="2" t="s">
        <v>49058</v>
      </c>
      <c r="C25148" s="2" t="s">
        <v>36</v>
      </c>
      <c r="D25148" s="2" t="s">
        <v>6113</v>
      </c>
      <c r="E25148" s="2" t="str">
        <f>"9781447307433"</f>
        <v>9781447307433</v>
      </c>
      <c r="F25148" s="2" t="str">
        <f>"9781447307457"</f>
        <v>9781447307457</v>
      </c>
    </row>
    <row r="25149" spans="1:6" s="3" customFormat="1" ht="29.1" customHeight="1" x14ac:dyDescent="0.25">
      <c r="A25149" s="2" t="s">
        <v>49059</v>
      </c>
      <c r="B25149" s="2" t="s">
        <v>49060</v>
      </c>
      <c r="C25149" s="2" t="s">
        <v>124</v>
      </c>
      <c r="D25149" s="2" t="s">
        <v>186</v>
      </c>
      <c r="E25149" s="2" t="str">
        <f>"9780415858915"</f>
        <v>9780415858915</v>
      </c>
      <c r="F25149" s="2" t="str">
        <f>"9781135118877"</f>
        <v>9781135118877</v>
      </c>
    </row>
    <row r="25150" spans="1:6" s="3" customFormat="1" ht="29.1" customHeight="1" x14ac:dyDescent="0.25">
      <c r="A25150" s="2" t="s">
        <v>49061</v>
      </c>
      <c r="B25150" s="2" t="s">
        <v>49062</v>
      </c>
      <c r="C25150" s="2" t="s">
        <v>26676</v>
      </c>
      <c r="D25150" s="2" t="s">
        <v>906</v>
      </c>
      <c r="E25150" s="2" t="str">
        <f>"9781618112088"</f>
        <v>9781618112088</v>
      </c>
      <c r="F25150" s="2" t="str">
        <f>"9781618112095"</f>
        <v>9781618112095</v>
      </c>
    </row>
    <row r="25151" spans="1:6" s="3" customFormat="1" ht="29.1" customHeight="1" x14ac:dyDescent="0.25">
      <c r="A25151" s="2" t="s">
        <v>49063</v>
      </c>
      <c r="B25151" s="2" t="s">
        <v>49064</v>
      </c>
      <c r="C25151" s="2" t="s">
        <v>124</v>
      </c>
      <c r="D25151" s="2" t="s">
        <v>5335</v>
      </c>
      <c r="E25151" s="2" t="str">
        <f>"9789089642912"</f>
        <v>9789089642912</v>
      </c>
      <c r="F25151" s="2" t="str">
        <f>"9781040775264"</f>
        <v>9781040775264</v>
      </c>
    </row>
    <row r="25152" spans="1:6" s="3" customFormat="1" ht="29.1" customHeight="1" x14ac:dyDescent="0.25">
      <c r="A25152" s="2" t="s">
        <v>49065</v>
      </c>
      <c r="B25152" s="2" t="s">
        <v>1817</v>
      </c>
      <c r="C25152" s="2" t="s">
        <v>124</v>
      </c>
      <c r="D25152" s="2" t="s">
        <v>712</v>
      </c>
      <c r="E25152" s="2" t="str">
        <f>"9789089643797"</f>
        <v>9789089643797</v>
      </c>
      <c r="F25152" s="2" t="str">
        <f>"9781040785607"</f>
        <v>9781040785607</v>
      </c>
    </row>
    <row r="25153" spans="1:6" s="3" customFormat="1" ht="29.1" customHeight="1" x14ac:dyDescent="0.25">
      <c r="A25153" s="2" t="s">
        <v>49066</v>
      </c>
      <c r="B25153" s="2" t="s">
        <v>49067</v>
      </c>
      <c r="C25153" s="2" t="s">
        <v>7395</v>
      </c>
      <c r="D25153" s="2" t="s">
        <v>95</v>
      </c>
      <c r="E25153" s="2" t="str">
        <f>"9780295983905"</f>
        <v>9780295983905</v>
      </c>
      <c r="F25153" s="2" t="str">
        <f>"9780295804057"</f>
        <v>9780295804057</v>
      </c>
    </row>
    <row r="25154" spans="1:6" s="3" customFormat="1" ht="29.1" customHeight="1" x14ac:dyDescent="0.25">
      <c r="A25154" s="2" t="s">
        <v>49068</v>
      </c>
      <c r="B25154" s="2" t="s">
        <v>49069</v>
      </c>
      <c r="C25154" s="2" t="s">
        <v>3248</v>
      </c>
      <c r="D25154" s="2" t="s">
        <v>297</v>
      </c>
      <c r="E25154" s="2" t="str">
        <f>"9780813563183"</f>
        <v>9780813563183</v>
      </c>
      <c r="F25154" s="2" t="str">
        <f>"9780813563190"</f>
        <v>9780813563190</v>
      </c>
    </row>
    <row r="25155" spans="1:6" s="3" customFormat="1" ht="29.1" customHeight="1" x14ac:dyDescent="0.25">
      <c r="A25155" s="2" t="s">
        <v>49070</v>
      </c>
      <c r="B25155" s="2" t="s">
        <v>49071</v>
      </c>
      <c r="C25155" s="2" t="s">
        <v>124</v>
      </c>
      <c r="D25155" s="2" t="s">
        <v>1422</v>
      </c>
      <c r="E25155" s="2" t="str">
        <f>"9789089642851"</f>
        <v>9789089642851</v>
      </c>
      <c r="F25155" s="2" t="str">
        <f>"9781040782620"</f>
        <v>9781040782620</v>
      </c>
    </row>
    <row r="25156" spans="1:6" s="3" customFormat="1" ht="29.1" customHeight="1" x14ac:dyDescent="0.25">
      <c r="A25156" s="2" t="s">
        <v>49072</v>
      </c>
      <c r="B25156" s="2" t="s">
        <v>49073</v>
      </c>
      <c r="C25156" s="2" t="s">
        <v>124</v>
      </c>
      <c r="D25156" s="2" t="s">
        <v>334</v>
      </c>
      <c r="E25156" s="2" t="str">
        <f>"9780415660891"</f>
        <v>9780415660891</v>
      </c>
      <c r="F25156" s="2" t="str">
        <f>"9781317801825"</f>
        <v>9781317801825</v>
      </c>
    </row>
    <row r="25157" spans="1:6" s="3" customFormat="1" ht="29.1" customHeight="1" x14ac:dyDescent="0.25">
      <c r="A25157" s="2" t="s">
        <v>49074</v>
      </c>
      <c r="B25157" s="2" t="s">
        <v>49075</v>
      </c>
      <c r="C25157" s="2" t="s">
        <v>124</v>
      </c>
      <c r="D25157" s="2" t="s">
        <v>4543</v>
      </c>
      <c r="E25157" s="2" t="str">
        <f>"9780415642651"</f>
        <v>9780415642651</v>
      </c>
      <c r="F25157" s="2" t="str">
        <f>"9781136169489"</f>
        <v>9781136169489</v>
      </c>
    </row>
    <row r="25158" spans="1:6" s="3" customFormat="1" ht="29.1" customHeight="1" x14ac:dyDescent="0.25">
      <c r="A25158" s="2" t="s">
        <v>49076</v>
      </c>
      <c r="B25158" s="2" t="s">
        <v>49077</v>
      </c>
      <c r="C25158" s="2" t="s">
        <v>927</v>
      </c>
      <c r="D25158" s="2" t="s">
        <v>9</v>
      </c>
      <c r="E25158" s="2" t="str">
        <f>"9780472035953"</f>
        <v>9780472035953</v>
      </c>
      <c r="F25158" s="2" t="str">
        <f>"9780472120482"</f>
        <v>9780472120482</v>
      </c>
    </row>
    <row r="25159" spans="1:6" s="3" customFormat="1" ht="29.1" customHeight="1" x14ac:dyDescent="0.25">
      <c r="A25159" s="2" t="s">
        <v>49078</v>
      </c>
      <c r="B25159" s="2" t="s">
        <v>49079</v>
      </c>
      <c r="C25159" s="2" t="s">
        <v>124</v>
      </c>
      <c r="D25159" s="2" t="s">
        <v>2019</v>
      </c>
      <c r="E25159" s="2" t="str">
        <f>"9789089643858"</f>
        <v>9789089643858</v>
      </c>
      <c r="F25159" s="2" t="str">
        <f>"9781040790335"</f>
        <v>9781040790335</v>
      </c>
    </row>
    <row r="25160" spans="1:6" s="3" customFormat="1" ht="29.1" customHeight="1" x14ac:dyDescent="0.25">
      <c r="A25160" s="2" t="s">
        <v>49080</v>
      </c>
      <c r="B25160" s="2" t="s">
        <v>49081</v>
      </c>
      <c r="C25160" s="2" t="s">
        <v>124</v>
      </c>
      <c r="D25160" s="2" t="s">
        <v>712</v>
      </c>
      <c r="E25160" s="2" t="str">
        <f>"9789089642585"</f>
        <v>9789089642585</v>
      </c>
      <c r="F25160" s="2" t="str">
        <f>"9781040773345"</f>
        <v>9781040773345</v>
      </c>
    </row>
    <row r="25161" spans="1:6" s="3" customFormat="1" ht="29.1" customHeight="1" x14ac:dyDescent="0.25">
      <c r="A25161" s="2" t="s">
        <v>49082</v>
      </c>
      <c r="B25161" s="2" t="s">
        <v>49083</v>
      </c>
      <c r="C25161" s="2" t="s">
        <v>131</v>
      </c>
      <c r="D25161" s="2" t="s">
        <v>459</v>
      </c>
      <c r="E25161" s="2" t="str">
        <f>"9789027206459"</f>
        <v>9789027206459</v>
      </c>
      <c r="F25161" s="2" t="str">
        <f>"9789027270368"</f>
        <v>9789027270368</v>
      </c>
    </row>
    <row r="25162" spans="1:6" s="3" customFormat="1" ht="29.1" customHeight="1" x14ac:dyDescent="0.25">
      <c r="A25162" s="2" t="s">
        <v>49084</v>
      </c>
      <c r="B25162" s="2" t="s">
        <v>49085</v>
      </c>
      <c r="C25162" s="2" t="s">
        <v>11220</v>
      </c>
      <c r="D25162" s="2" t="s">
        <v>636</v>
      </c>
      <c r="E25162" s="2" t="str">
        <f>"9780814708460"</f>
        <v>9780814708460</v>
      </c>
      <c r="F25162" s="2" t="str">
        <f>"9780814708330"</f>
        <v>9780814708330</v>
      </c>
    </row>
    <row r="25163" spans="1:6" s="3" customFormat="1" ht="29.1" customHeight="1" x14ac:dyDescent="0.25">
      <c r="A25163" s="2" t="s">
        <v>49086</v>
      </c>
      <c r="B25163" s="2" t="s">
        <v>47639</v>
      </c>
      <c r="C25163" s="2" t="s">
        <v>195</v>
      </c>
      <c r="D25163" s="2" t="s">
        <v>446</v>
      </c>
      <c r="E25163" s="2" t="str">
        <f>"9783110232929"</f>
        <v>9783110232929</v>
      </c>
      <c r="F25163" s="2" t="str">
        <f>"9783110232936"</f>
        <v>9783110232936</v>
      </c>
    </row>
    <row r="25164" spans="1:6" s="3" customFormat="1" ht="29.1" customHeight="1" x14ac:dyDescent="0.25">
      <c r="A25164" s="2" t="s">
        <v>49087</v>
      </c>
      <c r="B25164" s="2" t="s">
        <v>49088</v>
      </c>
      <c r="C25164" s="2" t="s">
        <v>195</v>
      </c>
      <c r="D25164" s="2" t="s">
        <v>210</v>
      </c>
      <c r="E25164" s="2"/>
      <c r="F25164" s="2" t="str">
        <f>"9783486703825"</f>
        <v>9783486703825</v>
      </c>
    </row>
    <row r="25165" spans="1:6" s="3" customFormat="1" ht="29.1" customHeight="1" x14ac:dyDescent="0.25">
      <c r="A25165" s="2" t="s">
        <v>49089</v>
      </c>
      <c r="B25165" s="2" t="s">
        <v>49090</v>
      </c>
      <c r="C25165" s="2" t="s">
        <v>195</v>
      </c>
      <c r="D25165" s="2" t="s">
        <v>210</v>
      </c>
      <c r="E25165" s="2"/>
      <c r="F25165" s="2" t="str">
        <f>"9783486703702"</f>
        <v>9783486703702</v>
      </c>
    </row>
    <row r="25166" spans="1:6" s="3" customFormat="1" ht="29.1" customHeight="1" x14ac:dyDescent="0.25">
      <c r="A25166" s="2" t="s">
        <v>49091</v>
      </c>
      <c r="B25166" s="2" t="s">
        <v>49092</v>
      </c>
      <c r="C25166" s="2" t="s">
        <v>195</v>
      </c>
      <c r="D25166" s="2" t="s">
        <v>210</v>
      </c>
      <c r="E25166" s="2" t="str">
        <f>"9783486591927"</f>
        <v>9783486591927</v>
      </c>
      <c r="F25166" s="2" t="str">
        <f>"9783486718300"</f>
        <v>9783486718300</v>
      </c>
    </row>
    <row r="25167" spans="1:6" s="3" customFormat="1" ht="29.1" customHeight="1" x14ac:dyDescent="0.25">
      <c r="A25167" s="2" t="s">
        <v>49093</v>
      </c>
      <c r="B25167" s="2" t="s">
        <v>46392</v>
      </c>
      <c r="C25167" s="2" t="s">
        <v>195</v>
      </c>
      <c r="D25167" s="2" t="s">
        <v>210</v>
      </c>
      <c r="E25167" s="2" t="str">
        <f>"9783486704037"</f>
        <v>9783486704037</v>
      </c>
      <c r="F25167" s="2" t="str">
        <f>"9783486705621"</f>
        <v>9783486705621</v>
      </c>
    </row>
    <row r="25168" spans="1:6" s="3" customFormat="1" ht="29.1" customHeight="1" x14ac:dyDescent="0.25">
      <c r="A25168" s="2" t="s">
        <v>49094</v>
      </c>
      <c r="B25168" s="2" t="s">
        <v>49095</v>
      </c>
      <c r="C25168" s="2" t="s">
        <v>195</v>
      </c>
      <c r="D25168" s="2" t="s">
        <v>210</v>
      </c>
      <c r="E25168" s="2" t="str">
        <f>"9783486561623"</f>
        <v>9783486561623</v>
      </c>
      <c r="F25168" s="2" t="str">
        <f>"9783486595840"</f>
        <v>9783486595840</v>
      </c>
    </row>
    <row r="25169" spans="1:6" s="3" customFormat="1" ht="29.1" customHeight="1" x14ac:dyDescent="0.25">
      <c r="A25169" s="2" t="s">
        <v>49096</v>
      </c>
      <c r="B25169" s="2" t="s">
        <v>49097</v>
      </c>
      <c r="C25169" s="2" t="s">
        <v>195</v>
      </c>
      <c r="D25169" s="2" t="s">
        <v>210</v>
      </c>
      <c r="E25169" s="2" t="str">
        <f>"9783486705607"</f>
        <v>9783486705607</v>
      </c>
      <c r="F25169" s="2" t="str">
        <f>"9783486718041"</f>
        <v>9783486718041</v>
      </c>
    </row>
    <row r="25170" spans="1:6" s="3" customFormat="1" ht="29.1" customHeight="1" x14ac:dyDescent="0.25">
      <c r="A25170" s="2" t="s">
        <v>49098</v>
      </c>
      <c r="B25170" s="2" t="s">
        <v>49099</v>
      </c>
      <c r="C25170" s="2" t="s">
        <v>195</v>
      </c>
      <c r="D25170" s="2" t="s">
        <v>210</v>
      </c>
      <c r="E25170" s="2" t="str">
        <f>"9783486575583"</f>
        <v>9783486575583</v>
      </c>
      <c r="F25170" s="2" t="str">
        <f>"9783486718133"</f>
        <v>9783486718133</v>
      </c>
    </row>
    <row r="25171" spans="1:6" s="3" customFormat="1" ht="29.1" customHeight="1" x14ac:dyDescent="0.25">
      <c r="A25171" s="2" t="s">
        <v>49100</v>
      </c>
      <c r="B25171" s="2" t="s">
        <v>49101</v>
      </c>
      <c r="C25171" s="2" t="s">
        <v>195</v>
      </c>
      <c r="D25171" s="2" t="s">
        <v>210</v>
      </c>
      <c r="E25171" s="2" t="str">
        <f>"9783486583380"</f>
        <v>9783486583380</v>
      </c>
      <c r="F25171" s="2" t="str">
        <f>"9783486718102"</f>
        <v>9783486718102</v>
      </c>
    </row>
    <row r="25172" spans="1:6" s="3" customFormat="1" ht="29.1" customHeight="1" x14ac:dyDescent="0.25">
      <c r="A25172" s="2" t="s">
        <v>49102</v>
      </c>
      <c r="B25172" s="2" t="s">
        <v>49103</v>
      </c>
      <c r="C25172" s="2" t="s">
        <v>195</v>
      </c>
      <c r="D25172" s="2" t="s">
        <v>210</v>
      </c>
      <c r="E25172" s="2" t="str">
        <f>"9783486702194"</f>
        <v>9783486702194</v>
      </c>
      <c r="F25172" s="2" t="str">
        <f>"9783486718065"</f>
        <v>9783486718065</v>
      </c>
    </row>
    <row r="25173" spans="1:6" s="3" customFormat="1" ht="29.1" customHeight="1" x14ac:dyDescent="0.25">
      <c r="A25173" s="2" t="s">
        <v>49104</v>
      </c>
      <c r="B25173" s="2" t="s">
        <v>49105</v>
      </c>
      <c r="C25173" s="2" t="s">
        <v>195</v>
      </c>
      <c r="D25173" s="2" t="s">
        <v>210</v>
      </c>
      <c r="E25173" s="2" t="str">
        <f>"9783486585841"</f>
        <v>9783486585841</v>
      </c>
      <c r="F25173" s="2" t="str">
        <f>"9783486846249"</f>
        <v>9783486846249</v>
      </c>
    </row>
    <row r="25174" spans="1:6" s="3" customFormat="1" ht="29.1" customHeight="1" x14ac:dyDescent="0.25">
      <c r="A25174" s="2" t="s">
        <v>49106</v>
      </c>
      <c r="B25174" s="2" t="s">
        <v>49107</v>
      </c>
      <c r="C25174" s="2" t="s">
        <v>195</v>
      </c>
      <c r="D25174" s="2" t="s">
        <v>210</v>
      </c>
      <c r="E25174" s="2" t="str">
        <f>"9783486580952"</f>
        <v>9783486580952</v>
      </c>
      <c r="F25174" s="2" t="str">
        <f>"9783486841329"</f>
        <v>9783486841329</v>
      </c>
    </row>
    <row r="25175" spans="1:6" s="3" customFormat="1" ht="29.1" customHeight="1" x14ac:dyDescent="0.25">
      <c r="A25175" s="2" t="s">
        <v>49108</v>
      </c>
      <c r="B25175" s="2" t="s">
        <v>49109</v>
      </c>
      <c r="C25175" s="2" t="s">
        <v>195</v>
      </c>
      <c r="D25175" s="2" t="s">
        <v>210</v>
      </c>
      <c r="E25175" s="2"/>
      <c r="F25175" s="2" t="str">
        <f>"9783486703740"</f>
        <v>9783486703740</v>
      </c>
    </row>
    <row r="25176" spans="1:6" s="3" customFormat="1" ht="29.1" customHeight="1" x14ac:dyDescent="0.25">
      <c r="A25176" s="2" t="s">
        <v>49110</v>
      </c>
      <c r="B25176" s="2" t="s">
        <v>49111</v>
      </c>
      <c r="C25176" s="2" t="s">
        <v>195</v>
      </c>
      <c r="D25176" s="2" t="s">
        <v>210</v>
      </c>
      <c r="E25176" s="2"/>
      <c r="F25176" s="2" t="str">
        <f>"9783486703580"</f>
        <v>9783486703580</v>
      </c>
    </row>
    <row r="25177" spans="1:6" s="3" customFormat="1" ht="29.1" customHeight="1" x14ac:dyDescent="0.25">
      <c r="A25177" s="2" t="s">
        <v>49112</v>
      </c>
      <c r="B25177" s="2" t="s">
        <v>49113</v>
      </c>
      <c r="C25177" s="2" t="s">
        <v>195</v>
      </c>
      <c r="D25177" s="2" t="s">
        <v>210</v>
      </c>
      <c r="E25177" s="2"/>
      <c r="F25177" s="2" t="str">
        <f>"9783486703450"</f>
        <v>9783486703450</v>
      </c>
    </row>
    <row r="25178" spans="1:6" s="3" customFormat="1" ht="29.1" customHeight="1" x14ac:dyDescent="0.25">
      <c r="A25178" s="2" t="s">
        <v>49114</v>
      </c>
      <c r="B25178" s="2" t="s">
        <v>30471</v>
      </c>
      <c r="C25178" s="2" t="s">
        <v>195</v>
      </c>
      <c r="D25178" s="2" t="s">
        <v>210</v>
      </c>
      <c r="E25178" s="2"/>
      <c r="F25178" s="2" t="str">
        <f>"9783486703443"</f>
        <v>9783486703443</v>
      </c>
    </row>
    <row r="25179" spans="1:6" s="3" customFormat="1" ht="29.1" customHeight="1" x14ac:dyDescent="0.25">
      <c r="A25179" s="2" t="s">
        <v>49115</v>
      </c>
      <c r="B25179" s="2" t="s">
        <v>49116</v>
      </c>
      <c r="C25179" s="2" t="s">
        <v>195</v>
      </c>
      <c r="D25179" s="2" t="s">
        <v>210</v>
      </c>
      <c r="E25179" s="2"/>
      <c r="F25179" s="2" t="str">
        <f>"9783486703436"</f>
        <v>9783486703436</v>
      </c>
    </row>
    <row r="25180" spans="1:6" s="3" customFormat="1" ht="29.1" customHeight="1" x14ac:dyDescent="0.25">
      <c r="A25180" s="2" t="s">
        <v>49117</v>
      </c>
      <c r="B25180" s="2" t="s">
        <v>49118</v>
      </c>
      <c r="C25180" s="2" t="s">
        <v>195</v>
      </c>
      <c r="D25180" s="2" t="s">
        <v>210</v>
      </c>
      <c r="E25180" s="2" t="str">
        <f>"9783486645415"</f>
        <v>9783486645415</v>
      </c>
      <c r="F25180" s="2" t="str">
        <f>"9783486703399"</f>
        <v>9783486703399</v>
      </c>
    </row>
    <row r="25181" spans="1:6" s="3" customFormat="1" ht="29.1" customHeight="1" x14ac:dyDescent="0.25">
      <c r="A25181" s="2" t="s">
        <v>49119</v>
      </c>
      <c r="B25181" s="2" t="s">
        <v>49120</v>
      </c>
      <c r="C25181" s="2" t="s">
        <v>195</v>
      </c>
      <c r="D25181" s="2" t="s">
        <v>210</v>
      </c>
      <c r="E25181" s="2" t="str">
        <f>"9783486645675"</f>
        <v>9783486645675</v>
      </c>
      <c r="F25181" s="2" t="str">
        <f>"9783486703108"</f>
        <v>9783486703108</v>
      </c>
    </row>
    <row r="25182" spans="1:6" s="3" customFormat="1" ht="29.1" customHeight="1" x14ac:dyDescent="0.25">
      <c r="A25182" s="2" t="s">
        <v>49121</v>
      </c>
      <c r="B25182" s="2" t="s">
        <v>49122</v>
      </c>
      <c r="C25182" s="2" t="s">
        <v>195</v>
      </c>
      <c r="D25182" s="2" t="s">
        <v>210</v>
      </c>
      <c r="E25182" s="2" t="str">
        <f>"9783486645774"</f>
        <v>9783486645774</v>
      </c>
      <c r="F25182" s="2" t="str">
        <f>"9783486702996"</f>
        <v>9783486702996</v>
      </c>
    </row>
    <row r="25183" spans="1:6" s="3" customFormat="1" ht="29.1" customHeight="1" x14ac:dyDescent="0.25">
      <c r="A25183" s="2" t="s">
        <v>49123</v>
      </c>
      <c r="B25183" s="2" t="s">
        <v>49124</v>
      </c>
      <c r="C25183" s="2" t="s">
        <v>195</v>
      </c>
      <c r="D25183" s="2" t="s">
        <v>210</v>
      </c>
      <c r="E25183" s="2"/>
      <c r="F25183" s="2" t="str">
        <f>"9783486703283"</f>
        <v>9783486703283</v>
      </c>
    </row>
    <row r="25184" spans="1:6" s="3" customFormat="1" ht="29.1" customHeight="1" x14ac:dyDescent="0.25">
      <c r="A25184" s="2" t="s">
        <v>49125</v>
      </c>
      <c r="B25184" s="2" t="s">
        <v>49126</v>
      </c>
      <c r="C25184" s="2" t="s">
        <v>195</v>
      </c>
      <c r="D25184" s="2" t="s">
        <v>210</v>
      </c>
      <c r="E25184" s="2" t="str">
        <f>"9783486645743"</f>
        <v>9783486645743</v>
      </c>
      <c r="F25184" s="2" t="str">
        <f>"9783486703023"</f>
        <v>9783486703023</v>
      </c>
    </row>
    <row r="25185" spans="1:6" s="3" customFormat="1" ht="29.1" customHeight="1" x14ac:dyDescent="0.25">
      <c r="A25185" s="2" t="s">
        <v>49127</v>
      </c>
      <c r="B25185" s="2" t="s">
        <v>49128</v>
      </c>
      <c r="C25185" s="2" t="s">
        <v>195</v>
      </c>
      <c r="D25185" s="2" t="s">
        <v>210</v>
      </c>
      <c r="E25185" s="2"/>
      <c r="F25185" s="2" t="str">
        <f>"9783486703238"</f>
        <v>9783486703238</v>
      </c>
    </row>
    <row r="25186" spans="1:6" s="3" customFormat="1" ht="29.1" customHeight="1" x14ac:dyDescent="0.25">
      <c r="A25186" s="2" t="s">
        <v>49129</v>
      </c>
      <c r="B25186" s="2" t="s">
        <v>49130</v>
      </c>
      <c r="C25186" s="2" t="s">
        <v>195</v>
      </c>
      <c r="D25186" s="2" t="s">
        <v>210</v>
      </c>
      <c r="E25186" s="2" t="str">
        <f>"9783486645835"</f>
        <v>9783486645835</v>
      </c>
      <c r="F25186" s="2" t="str">
        <f>"9783486702934"</f>
        <v>9783486702934</v>
      </c>
    </row>
    <row r="25187" spans="1:6" s="3" customFormat="1" ht="29.1" customHeight="1" x14ac:dyDescent="0.25">
      <c r="A25187" s="2" t="s">
        <v>49131</v>
      </c>
      <c r="B25187" s="2" t="s">
        <v>49132</v>
      </c>
      <c r="C25187" s="2" t="s">
        <v>195</v>
      </c>
      <c r="D25187" s="2" t="s">
        <v>210</v>
      </c>
      <c r="E25187" s="2" t="str">
        <f>"9783486565980"</f>
        <v>9783486565980</v>
      </c>
      <c r="F25187" s="2" t="str">
        <f>"9783486708660"</f>
        <v>9783486708660</v>
      </c>
    </row>
    <row r="25188" spans="1:6" s="3" customFormat="1" ht="29.1" customHeight="1" x14ac:dyDescent="0.25">
      <c r="A25188" s="2" t="s">
        <v>49133</v>
      </c>
      <c r="B25188" s="2" t="s">
        <v>49134</v>
      </c>
      <c r="C25188" s="2" t="s">
        <v>195</v>
      </c>
      <c r="D25188" s="2" t="s">
        <v>210</v>
      </c>
      <c r="E25188" s="2" t="str">
        <f>"9783486566000"</f>
        <v>9783486566000</v>
      </c>
      <c r="F25188" s="2" t="str">
        <f>"9783486708684"</f>
        <v>9783486708684</v>
      </c>
    </row>
    <row r="25189" spans="1:6" s="3" customFormat="1" ht="29.1" customHeight="1" x14ac:dyDescent="0.25">
      <c r="A25189" s="2" t="s">
        <v>49135</v>
      </c>
      <c r="B25189" s="2" t="s">
        <v>48877</v>
      </c>
      <c r="C25189" s="2" t="s">
        <v>195</v>
      </c>
      <c r="D25189" s="2" t="s">
        <v>210</v>
      </c>
      <c r="E25189" s="2" t="str">
        <f>"9783486565768"</f>
        <v>9783486565768</v>
      </c>
      <c r="F25189" s="2" t="str">
        <f>"9783486707731"</f>
        <v>9783486707731</v>
      </c>
    </row>
    <row r="25190" spans="1:6" s="3" customFormat="1" ht="29.1" customHeight="1" x14ac:dyDescent="0.25">
      <c r="A25190" s="2" t="s">
        <v>49136</v>
      </c>
      <c r="B25190" s="2" t="s">
        <v>48346</v>
      </c>
      <c r="C25190" s="2" t="s">
        <v>195</v>
      </c>
      <c r="D25190" s="2" t="s">
        <v>210</v>
      </c>
      <c r="E25190" s="2" t="str">
        <f>"9783486583410"</f>
        <v>9783486583410</v>
      </c>
      <c r="F25190" s="2" t="str">
        <f>"9783486707441"</f>
        <v>9783486707441</v>
      </c>
    </row>
    <row r="25191" spans="1:6" s="3" customFormat="1" ht="29.1" customHeight="1" x14ac:dyDescent="0.25">
      <c r="A25191" s="2" t="s">
        <v>49137</v>
      </c>
      <c r="B25191" s="2" t="s">
        <v>49138</v>
      </c>
      <c r="C25191" s="2" t="s">
        <v>195</v>
      </c>
      <c r="D25191" s="2" t="s">
        <v>210</v>
      </c>
      <c r="E25191" s="2" t="str">
        <f>"9783486579949"</f>
        <v>9783486579949</v>
      </c>
      <c r="F25191" s="2" t="str">
        <f>"9783486707403"</f>
        <v>9783486707403</v>
      </c>
    </row>
    <row r="25192" spans="1:6" s="3" customFormat="1" ht="29.1" customHeight="1" x14ac:dyDescent="0.25">
      <c r="A25192" s="2" t="s">
        <v>49139</v>
      </c>
      <c r="B25192" s="2" t="s">
        <v>47546</v>
      </c>
      <c r="C25192" s="2" t="s">
        <v>195</v>
      </c>
      <c r="D25192" s="2" t="s">
        <v>210</v>
      </c>
      <c r="E25192" s="2" t="str">
        <f>"9783486591743"</f>
        <v>9783486591743</v>
      </c>
      <c r="F25192" s="2" t="str">
        <f>"9783486707397"</f>
        <v>9783486707397</v>
      </c>
    </row>
    <row r="25193" spans="1:6" s="3" customFormat="1" ht="29.1" customHeight="1" x14ac:dyDescent="0.25">
      <c r="A25193" s="2" t="s">
        <v>49140</v>
      </c>
      <c r="B25193" s="2" t="s">
        <v>49141</v>
      </c>
      <c r="C25193" s="2" t="s">
        <v>195</v>
      </c>
      <c r="D25193" s="2" t="s">
        <v>210</v>
      </c>
      <c r="E25193" s="2" t="str">
        <f>"9783486704013"</f>
        <v>9783486704013</v>
      </c>
      <c r="F25193" s="2" t="str">
        <f>"9783486706963"</f>
        <v>9783486706963</v>
      </c>
    </row>
    <row r="25194" spans="1:6" s="3" customFormat="1" ht="29.1" customHeight="1" x14ac:dyDescent="0.25">
      <c r="A25194" s="2" t="s">
        <v>49142</v>
      </c>
      <c r="B25194" s="2" t="s">
        <v>49143</v>
      </c>
      <c r="C25194" s="2" t="s">
        <v>195</v>
      </c>
      <c r="D25194" s="2" t="s">
        <v>210</v>
      </c>
      <c r="E25194" s="2" t="str">
        <f>"9783486596427"</f>
        <v>9783486596427</v>
      </c>
      <c r="F25194" s="2" t="str">
        <f>"9783486706567"</f>
        <v>9783486706567</v>
      </c>
    </row>
    <row r="25195" spans="1:6" s="3" customFormat="1" ht="29.1" customHeight="1" x14ac:dyDescent="0.25">
      <c r="A25195" s="2" t="s">
        <v>49144</v>
      </c>
      <c r="B25195" s="2" t="s">
        <v>49145</v>
      </c>
      <c r="C25195" s="2" t="s">
        <v>195</v>
      </c>
      <c r="D25195" s="2" t="s">
        <v>210</v>
      </c>
      <c r="E25195" s="2" t="str">
        <f>"9783486567199"</f>
        <v>9783486567199</v>
      </c>
      <c r="F25195" s="2" t="str">
        <f>"9783486596250"</f>
        <v>9783486596250</v>
      </c>
    </row>
    <row r="25196" spans="1:6" s="3" customFormat="1" ht="29.1" customHeight="1" x14ac:dyDescent="0.25">
      <c r="A25196" s="2" t="s">
        <v>49146</v>
      </c>
      <c r="B25196" s="2" t="s">
        <v>49147</v>
      </c>
      <c r="C25196" s="2" t="s">
        <v>195</v>
      </c>
      <c r="D25196" s="2" t="s">
        <v>210</v>
      </c>
      <c r="E25196" s="2" t="str">
        <f>"9783486565508"</f>
        <v>9783486565508</v>
      </c>
      <c r="F25196" s="2" t="str">
        <f>"9783486596168"</f>
        <v>9783486596168</v>
      </c>
    </row>
    <row r="25197" spans="1:6" s="3" customFormat="1" ht="29.1" customHeight="1" x14ac:dyDescent="0.25">
      <c r="A25197" s="2" t="s">
        <v>49148</v>
      </c>
      <c r="B25197" s="2" t="s">
        <v>49149</v>
      </c>
      <c r="C25197" s="2" t="s">
        <v>195</v>
      </c>
      <c r="D25197" s="2" t="s">
        <v>210</v>
      </c>
      <c r="E25197" s="2" t="str">
        <f>"9783486563900"</f>
        <v>9783486563900</v>
      </c>
      <c r="F25197" s="2" t="str">
        <f>"9783486596038"</f>
        <v>9783486596038</v>
      </c>
    </row>
    <row r="25198" spans="1:6" s="3" customFormat="1" ht="29.1" customHeight="1" x14ac:dyDescent="0.25">
      <c r="A25198" s="2" t="s">
        <v>49150</v>
      </c>
      <c r="B25198" s="2" t="s">
        <v>49151</v>
      </c>
      <c r="C25198" s="2" t="s">
        <v>195</v>
      </c>
      <c r="D25198" s="2" t="s">
        <v>210</v>
      </c>
      <c r="E25198" s="2" t="str">
        <f>"9783486563573"</f>
        <v>9783486563573</v>
      </c>
      <c r="F25198" s="2" t="str">
        <f>"9783486595956"</f>
        <v>9783486595956</v>
      </c>
    </row>
    <row r="25199" spans="1:6" s="3" customFormat="1" ht="29.1" customHeight="1" x14ac:dyDescent="0.25">
      <c r="A25199" s="2" t="s">
        <v>49152</v>
      </c>
      <c r="B25199" s="2" t="s">
        <v>49126</v>
      </c>
      <c r="C25199" s="2" t="s">
        <v>195</v>
      </c>
      <c r="D25199" s="2" t="s">
        <v>210</v>
      </c>
      <c r="E25199" s="2" t="str">
        <f>"9783486565447"</f>
        <v>9783486565447</v>
      </c>
      <c r="F25199" s="2" t="str">
        <f>"9783486596144"</f>
        <v>9783486596144</v>
      </c>
    </row>
    <row r="25200" spans="1:6" s="3" customFormat="1" ht="29.1" customHeight="1" x14ac:dyDescent="0.25">
      <c r="A25200" s="2" t="s">
        <v>49153</v>
      </c>
      <c r="B25200" s="2" t="s">
        <v>49134</v>
      </c>
      <c r="C25200" s="2" t="s">
        <v>195</v>
      </c>
      <c r="D25200" s="2" t="s">
        <v>210</v>
      </c>
      <c r="E25200" s="2" t="str">
        <f>"9783486565232"</f>
        <v>9783486565232</v>
      </c>
      <c r="F25200" s="2" t="str">
        <f>"9783486596120"</f>
        <v>9783486596120</v>
      </c>
    </row>
    <row r="25201" spans="1:6" s="3" customFormat="1" ht="29.1" customHeight="1" x14ac:dyDescent="0.25">
      <c r="A25201" s="2" t="s">
        <v>49154</v>
      </c>
      <c r="B25201" s="2" t="s">
        <v>49155</v>
      </c>
      <c r="C25201" s="2" t="s">
        <v>195</v>
      </c>
      <c r="D25201" s="2" t="s">
        <v>210</v>
      </c>
      <c r="E25201" s="2" t="str">
        <f>"9783486541335"</f>
        <v>9783486541335</v>
      </c>
      <c r="F25201" s="2" t="str">
        <f>"9783486595512"</f>
        <v>9783486595512</v>
      </c>
    </row>
    <row r="25202" spans="1:6" s="3" customFormat="1" ht="29.1" customHeight="1" x14ac:dyDescent="0.25">
      <c r="A25202" s="2" t="s">
        <v>49156</v>
      </c>
      <c r="B25202" s="2" t="s">
        <v>49157</v>
      </c>
      <c r="C25202" s="2" t="s">
        <v>195</v>
      </c>
      <c r="D25202" s="2" t="s">
        <v>210</v>
      </c>
      <c r="E25202" s="2" t="str">
        <f>"9783486538335"</f>
        <v>9783486538335</v>
      </c>
      <c r="F25202" s="2" t="str">
        <f>"9783486595475"</f>
        <v>9783486595475</v>
      </c>
    </row>
    <row r="25203" spans="1:6" s="3" customFormat="1" ht="29.1" customHeight="1" x14ac:dyDescent="0.25">
      <c r="A25203" s="2" t="s">
        <v>49158</v>
      </c>
      <c r="B25203" s="2" t="s">
        <v>49159</v>
      </c>
      <c r="C25203" s="2" t="s">
        <v>195</v>
      </c>
      <c r="D25203" s="2" t="s">
        <v>210</v>
      </c>
      <c r="E25203" s="2" t="str">
        <f>"9783486566130"</f>
        <v>9783486566130</v>
      </c>
      <c r="F25203" s="2" t="str">
        <f>"9783486594829"</f>
        <v>9783486594829</v>
      </c>
    </row>
    <row r="25204" spans="1:6" s="3" customFormat="1" ht="29.1" customHeight="1" x14ac:dyDescent="0.25">
      <c r="A25204" s="2" t="s">
        <v>49160</v>
      </c>
      <c r="B25204" s="2" t="s">
        <v>46551</v>
      </c>
      <c r="C25204" s="2" t="s">
        <v>195</v>
      </c>
      <c r="D25204" s="2" t="s">
        <v>210</v>
      </c>
      <c r="E25204" s="2" t="str">
        <f>"9783486579932"</f>
        <v>9783486579932</v>
      </c>
      <c r="F25204" s="2" t="str">
        <f>"9783486594706"</f>
        <v>9783486594706</v>
      </c>
    </row>
    <row r="25205" spans="1:6" s="3" customFormat="1" ht="29.1" customHeight="1" x14ac:dyDescent="0.25">
      <c r="A25205" s="2" t="s">
        <v>49161</v>
      </c>
      <c r="B25205" s="2" t="s">
        <v>49162</v>
      </c>
      <c r="C25205" s="2" t="s">
        <v>195</v>
      </c>
      <c r="D25205" s="2" t="s">
        <v>210</v>
      </c>
      <c r="E25205" s="2" t="str">
        <f>"9783486717846"</f>
        <v>9783486717846</v>
      </c>
      <c r="F25205" s="2" t="str">
        <f>"9783486717853"</f>
        <v>9783486717853</v>
      </c>
    </row>
    <row r="25206" spans="1:6" s="3" customFormat="1" ht="29.1" customHeight="1" x14ac:dyDescent="0.25">
      <c r="A25206" s="2" t="s">
        <v>49163</v>
      </c>
      <c r="B25206" s="2" t="s">
        <v>49164</v>
      </c>
      <c r="C25206" s="2" t="s">
        <v>195</v>
      </c>
      <c r="D25206" s="2" t="s">
        <v>210</v>
      </c>
      <c r="E25206" s="2" t="str">
        <f>"9783486703153"</f>
        <v>9783486703153</v>
      </c>
      <c r="F25206" s="2" t="str">
        <f>"9783486714081"</f>
        <v>9783486714081</v>
      </c>
    </row>
    <row r="25207" spans="1:6" s="3" customFormat="1" ht="29.1" customHeight="1" x14ac:dyDescent="0.25">
      <c r="A25207" s="2" t="s">
        <v>49165</v>
      </c>
      <c r="B25207" s="2" t="s">
        <v>49166</v>
      </c>
      <c r="C25207" s="2" t="s">
        <v>195</v>
      </c>
      <c r="D25207" s="2" t="s">
        <v>210</v>
      </c>
      <c r="E25207" s="2"/>
      <c r="F25207" s="2" t="str">
        <f>"9783486703788"</f>
        <v>9783486703788</v>
      </c>
    </row>
    <row r="25208" spans="1:6" s="3" customFormat="1" ht="29.1" customHeight="1" x14ac:dyDescent="0.25">
      <c r="A25208" s="2" t="s">
        <v>49167</v>
      </c>
      <c r="B25208" s="2" t="s">
        <v>49168</v>
      </c>
      <c r="C25208" s="2" t="s">
        <v>195</v>
      </c>
      <c r="D25208" s="2" t="s">
        <v>210</v>
      </c>
      <c r="E25208" s="2"/>
      <c r="F25208" s="2" t="str">
        <f>"9783486703733"</f>
        <v>9783486703733</v>
      </c>
    </row>
    <row r="25209" spans="1:6" s="3" customFormat="1" ht="29.1" customHeight="1" x14ac:dyDescent="0.25">
      <c r="A25209" s="2" t="s">
        <v>49169</v>
      </c>
      <c r="B25209" s="2" t="s">
        <v>49170</v>
      </c>
      <c r="C25209" s="2" t="s">
        <v>195</v>
      </c>
      <c r="D25209" s="2" t="s">
        <v>210</v>
      </c>
      <c r="E25209" s="2"/>
      <c r="F25209" s="2" t="str">
        <f>"9783486703474"</f>
        <v>9783486703474</v>
      </c>
    </row>
    <row r="25210" spans="1:6" s="3" customFormat="1" ht="29.1" customHeight="1" x14ac:dyDescent="0.25">
      <c r="A25210" s="2" t="s">
        <v>49171</v>
      </c>
      <c r="B25210" s="2" t="s">
        <v>49172</v>
      </c>
      <c r="C25210" s="2" t="s">
        <v>195</v>
      </c>
      <c r="D25210" s="2" t="s">
        <v>210</v>
      </c>
      <c r="E25210" s="2" t="str">
        <f>"9783486645637"</f>
        <v>9783486645637</v>
      </c>
      <c r="F25210" s="2" t="str">
        <f>"9783486703160"</f>
        <v>9783486703160</v>
      </c>
    </row>
    <row r="25211" spans="1:6" s="3" customFormat="1" ht="29.1" customHeight="1" x14ac:dyDescent="0.25">
      <c r="A25211" s="2" t="s">
        <v>49173</v>
      </c>
      <c r="B25211" s="2" t="s">
        <v>49174</v>
      </c>
      <c r="C25211" s="2" t="s">
        <v>195</v>
      </c>
      <c r="D25211" s="2" t="s">
        <v>210</v>
      </c>
      <c r="E25211" s="2" t="str">
        <f>"9783486645668"</f>
        <v>9783486645668</v>
      </c>
      <c r="F25211" s="2" t="str">
        <f>"9783486703085"</f>
        <v>9783486703085</v>
      </c>
    </row>
    <row r="25212" spans="1:6" s="3" customFormat="1" ht="29.1" customHeight="1" x14ac:dyDescent="0.25">
      <c r="A25212" s="2" t="s">
        <v>49175</v>
      </c>
      <c r="B25212" s="2" t="s">
        <v>49176</v>
      </c>
      <c r="C25212" s="2" t="s">
        <v>195</v>
      </c>
      <c r="D25212" s="2" t="s">
        <v>1466</v>
      </c>
      <c r="E25212" s="2" t="str">
        <f>"9783486589511"</f>
        <v>9783486589511</v>
      </c>
      <c r="F25212" s="2" t="str">
        <f>"9783486702774"</f>
        <v>9783486702774</v>
      </c>
    </row>
    <row r="25213" spans="1:6" s="3" customFormat="1" ht="29.1" customHeight="1" x14ac:dyDescent="0.25">
      <c r="A25213" s="2" t="s">
        <v>49177</v>
      </c>
      <c r="B25213" s="2" t="s">
        <v>49178</v>
      </c>
      <c r="C25213" s="2" t="s">
        <v>195</v>
      </c>
      <c r="D25213" s="2" t="s">
        <v>1183</v>
      </c>
      <c r="E25213" s="2" t="str">
        <f>"9783486645705"</f>
        <v>9783486645705</v>
      </c>
      <c r="F25213" s="2" t="str">
        <f>"9783486703061"</f>
        <v>9783486703061</v>
      </c>
    </row>
    <row r="25214" spans="1:6" s="3" customFormat="1" ht="29.1" customHeight="1" x14ac:dyDescent="0.25">
      <c r="A25214" s="2" t="s">
        <v>49179</v>
      </c>
      <c r="B25214" s="2" t="s">
        <v>49180</v>
      </c>
      <c r="C25214" s="2" t="s">
        <v>195</v>
      </c>
      <c r="D25214" s="2" t="s">
        <v>210</v>
      </c>
      <c r="E25214" s="2" t="str">
        <f>"9783486590197"</f>
        <v>9783486590197</v>
      </c>
      <c r="F25214" s="2" t="str">
        <f>"9783486708318"</f>
        <v>9783486708318</v>
      </c>
    </row>
    <row r="25215" spans="1:6" s="3" customFormat="1" ht="29.1" customHeight="1" x14ac:dyDescent="0.25">
      <c r="A25215" s="2" t="s">
        <v>49181</v>
      </c>
      <c r="B25215" s="2" t="s">
        <v>49182</v>
      </c>
      <c r="C25215" s="2" t="s">
        <v>195</v>
      </c>
      <c r="D25215" s="2" t="s">
        <v>210</v>
      </c>
      <c r="E25215" s="2" t="str">
        <f>"9783486590432"</f>
        <v>9783486590432</v>
      </c>
      <c r="F25215" s="2" t="str">
        <f>"9783486707649"</f>
        <v>9783486707649</v>
      </c>
    </row>
    <row r="25216" spans="1:6" s="3" customFormat="1" ht="29.1" customHeight="1" x14ac:dyDescent="0.25">
      <c r="A25216" s="2" t="s">
        <v>49183</v>
      </c>
      <c r="B25216" s="2" t="s">
        <v>49184</v>
      </c>
      <c r="C25216" s="2" t="s">
        <v>195</v>
      </c>
      <c r="D25216" s="2" t="s">
        <v>210</v>
      </c>
      <c r="E25216" s="2" t="str">
        <f>"9783486592146"</f>
        <v>9783486592146</v>
      </c>
      <c r="F25216" s="2" t="str">
        <f>"9783486707342"</f>
        <v>9783486707342</v>
      </c>
    </row>
    <row r="25217" spans="1:6" s="3" customFormat="1" ht="29.1" customHeight="1" x14ac:dyDescent="0.25">
      <c r="A25217" s="2" t="s">
        <v>49185</v>
      </c>
      <c r="B25217" s="2" t="s">
        <v>49184</v>
      </c>
      <c r="C25217" s="2" t="s">
        <v>195</v>
      </c>
      <c r="D25217" s="2" t="s">
        <v>210</v>
      </c>
      <c r="E25217" s="2" t="str">
        <f>"9783486564631"</f>
        <v>9783486564631</v>
      </c>
      <c r="F25217" s="2" t="str">
        <f>"9783486596076"</f>
        <v>9783486596076</v>
      </c>
    </row>
    <row r="25218" spans="1:6" s="3" customFormat="1" ht="29.1" customHeight="1" x14ac:dyDescent="0.25">
      <c r="A25218" s="2" t="s">
        <v>49186</v>
      </c>
      <c r="B25218" s="2" t="s">
        <v>45654</v>
      </c>
      <c r="C25218" s="2" t="s">
        <v>195</v>
      </c>
      <c r="D25218" s="2" t="s">
        <v>210</v>
      </c>
      <c r="E25218" s="2" t="str">
        <f>"9783486563665"</f>
        <v>9783486563665</v>
      </c>
      <c r="F25218" s="2" t="str">
        <f>"9783486595987"</f>
        <v>9783486595987</v>
      </c>
    </row>
    <row r="25219" spans="1:6" s="3" customFormat="1" ht="29.1" customHeight="1" x14ac:dyDescent="0.25">
      <c r="A25219" s="2" t="s">
        <v>49187</v>
      </c>
      <c r="B25219" s="2" t="s">
        <v>49188</v>
      </c>
      <c r="C25219" s="2" t="s">
        <v>195</v>
      </c>
      <c r="D25219" s="2" t="s">
        <v>210</v>
      </c>
      <c r="E25219" s="2" t="str">
        <f>"9783486563450"</f>
        <v>9783486563450</v>
      </c>
      <c r="F25219" s="2" t="str">
        <f>"9783486595932"</f>
        <v>9783486595932</v>
      </c>
    </row>
    <row r="25220" spans="1:6" s="3" customFormat="1" ht="29.1" customHeight="1" x14ac:dyDescent="0.25">
      <c r="A25220" s="2" t="s">
        <v>49189</v>
      </c>
      <c r="B25220" s="2" t="s">
        <v>49190</v>
      </c>
      <c r="C25220" s="2" t="s">
        <v>195</v>
      </c>
      <c r="D25220" s="2" t="s">
        <v>210</v>
      </c>
      <c r="E25220" s="2" t="str">
        <f>"9783486579505"</f>
        <v>9783486579505</v>
      </c>
      <c r="F25220" s="2" t="str">
        <f>"9783486594683"</f>
        <v>9783486594683</v>
      </c>
    </row>
    <row r="25221" spans="1:6" s="3" customFormat="1" ht="29.1" customHeight="1" x14ac:dyDescent="0.25">
      <c r="A25221" s="2" t="s">
        <v>49191</v>
      </c>
      <c r="B25221" s="2" t="s">
        <v>49192</v>
      </c>
      <c r="C25221" s="2" t="s">
        <v>195</v>
      </c>
      <c r="D25221" s="2" t="s">
        <v>210</v>
      </c>
      <c r="E25221" s="2" t="str">
        <f>"9783486561630"</f>
        <v>9783486561630</v>
      </c>
      <c r="F25221" s="2" t="str">
        <f>"9783486594324"</f>
        <v>9783486594324</v>
      </c>
    </row>
    <row r="25222" spans="1:6" s="3" customFormat="1" ht="29.1" customHeight="1" x14ac:dyDescent="0.25">
      <c r="A25222" s="2" t="s">
        <v>49193</v>
      </c>
      <c r="B25222" s="2" t="s">
        <v>49194</v>
      </c>
      <c r="C25222" s="2" t="s">
        <v>195</v>
      </c>
      <c r="D25222" s="2" t="s">
        <v>210</v>
      </c>
      <c r="E25222" s="2" t="str">
        <f>"9783486645033"</f>
        <v>9783486645033</v>
      </c>
      <c r="F25222" s="2" t="str">
        <f>"9783486593693"</f>
        <v>9783486593693</v>
      </c>
    </row>
    <row r="25223" spans="1:6" s="3" customFormat="1" ht="29.1" customHeight="1" x14ac:dyDescent="0.25">
      <c r="A25223" s="2" t="s">
        <v>49195</v>
      </c>
      <c r="B25223" s="2" t="s">
        <v>47903</v>
      </c>
      <c r="C25223" s="2" t="s">
        <v>195</v>
      </c>
      <c r="D25223" s="2" t="s">
        <v>210</v>
      </c>
      <c r="E25223" s="2" t="str">
        <f>"9783486721959"</f>
        <v>9783486721959</v>
      </c>
      <c r="F25223" s="2" t="str">
        <f>"9783486743432"</f>
        <v>9783486743432</v>
      </c>
    </row>
    <row r="25224" spans="1:6" s="3" customFormat="1" ht="29.1" customHeight="1" x14ac:dyDescent="0.25">
      <c r="A25224" s="2" t="s">
        <v>49196</v>
      </c>
      <c r="B25224" s="2" t="s">
        <v>43960</v>
      </c>
      <c r="C25224" s="2" t="s">
        <v>195</v>
      </c>
      <c r="D25224" s="2" t="s">
        <v>210</v>
      </c>
      <c r="E25224" s="2" t="str">
        <f>"9783486704129"</f>
        <v>9783486704129</v>
      </c>
      <c r="F25224" s="2" t="str">
        <f>"9783486717396"</f>
        <v>9783486717396</v>
      </c>
    </row>
    <row r="25225" spans="1:6" s="3" customFormat="1" ht="29.1" customHeight="1" x14ac:dyDescent="0.25">
      <c r="A25225" s="2" t="s">
        <v>49197</v>
      </c>
      <c r="B25225" s="2" t="s">
        <v>49198</v>
      </c>
      <c r="C25225" s="2" t="s">
        <v>195</v>
      </c>
      <c r="D25225" s="2" t="s">
        <v>210</v>
      </c>
      <c r="E25225" s="2" t="str">
        <f>"9783486703139"</f>
        <v>9783486703139</v>
      </c>
      <c r="F25225" s="2" t="str">
        <f>"9783486714937"</f>
        <v>9783486714937</v>
      </c>
    </row>
    <row r="25226" spans="1:6" s="3" customFormat="1" ht="29.1" customHeight="1" x14ac:dyDescent="0.25">
      <c r="A25226" s="2" t="s">
        <v>49199</v>
      </c>
      <c r="B25226" s="2" t="s">
        <v>49200</v>
      </c>
      <c r="C25226" s="2" t="s">
        <v>195</v>
      </c>
      <c r="D25226" s="2" t="s">
        <v>210</v>
      </c>
      <c r="E25226" s="2" t="str">
        <f>"9783486705119"</f>
        <v>9783486705119</v>
      </c>
      <c r="F25226" s="2" t="str">
        <f>"9783486712322"</f>
        <v>9783486712322</v>
      </c>
    </row>
    <row r="25227" spans="1:6" s="3" customFormat="1" ht="29.1" customHeight="1" x14ac:dyDescent="0.25">
      <c r="A25227" s="2" t="s">
        <v>49201</v>
      </c>
      <c r="B25227" s="2" t="s">
        <v>49202</v>
      </c>
      <c r="C25227" s="2" t="s">
        <v>195</v>
      </c>
      <c r="D25227" s="2" t="s">
        <v>210</v>
      </c>
      <c r="E25227" s="2"/>
      <c r="F25227" s="2" t="str">
        <f>"9783486703726"</f>
        <v>9783486703726</v>
      </c>
    </row>
    <row r="25228" spans="1:6" s="3" customFormat="1" ht="29.1" customHeight="1" x14ac:dyDescent="0.25">
      <c r="A25228" s="2" t="s">
        <v>49203</v>
      </c>
      <c r="B25228" s="2" t="s">
        <v>49204</v>
      </c>
      <c r="C25228" s="2" t="s">
        <v>195</v>
      </c>
      <c r="D25228" s="2" t="s">
        <v>210</v>
      </c>
      <c r="E25228" s="2"/>
      <c r="F25228" s="2" t="str">
        <f>"9783486703603"</f>
        <v>9783486703603</v>
      </c>
    </row>
    <row r="25229" spans="1:6" s="3" customFormat="1" ht="29.1" customHeight="1" x14ac:dyDescent="0.25">
      <c r="A25229" s="2" t="s">
        <v>49205</v>
      </c>
      <c r="B25229" s="2" t="s">
        <v>49206</v>
      </c>
      <c r="C25229" s="2" t="s">
        <v>195</v>
      </c>
      <c r="D25229" s="2" t="s">
        <v>210</v>
      </c>
      <c r="E25229" s="2"/>
      <c r="F25229" s="2" t="str">
        <f>"9783486703573"</f>
        <v>9783486703573</v>
      </c>
    </row>
    <row r="25230" spans="1:6" s="3" customFormat="1" ht="29.1" customHeight="1" x14ac:dyDescent="0.25">
      <c r="A25230" s="2" t="s">
        <v>49207</v>
      </c>
      <c r="B25230" s="2" t="s">
        <v>46200</v>
      </c>
      <c r="C25230" s="2" t="s">
        <v>195</v>
      </c>
      <c r="D25230" s="2" t="s">
        <v>1183</v>
      </c>
      <c r="E25230" s="2"/>
      <c r="F25230" s="2" t="str">
        <f>"9783486703610"</f>
        <v>9783486703610</v>
      </c>
    </row>
    <row r="25231" spans="1:6" s="3" customFormat="1" ht="29.1" customHeight="1" x14ac:dyDescent="0.25">
      <c r="A25231" s="2" t="s">
        <v>49208</v>
      </c>
      <c r="B25231" s="2" t="s">
        <v>49209</v>
      </c>
      <c r="C25231" s="2" t="s">
        <v>195</v>
      </c>
      <c r="D25231" s="2" t="s">
        <v>210</v>
      </c>
      <c r="E25231" s="2"/>
      <c r="F25231" s="2" t="str">
        <f>"9783486703511"</f>
        <v>9783486703511</v>
      </c>
    </row>
    <row r="25232" spans="1:6" s="3" customFormat="1" ht="29.1" customHeight="1" x14ac:dyDescent="0.25">
      <c r="A25232" s="2" t="s">
        <v>49210</v>
      </c>
      <c r="B25232" s="2" t="s">
        <v>49211</v>
      </c>
      <c r="C25232" s="2" t="s">
        <v>195</v>
      </c>
      <c r="D25232" s="2" t="s">
        <v>210</v>
      </c>
      <c r="E25232" s="2"/>
      <c r="F25232" s="2" t="str">
        <f>"9783486703481"</f>
        <v>9783486703481</v>
      </c>
    </row>
    <row r="25233" spans="1:6" s="3" customFormat="1" ht="29.1" customHeight="1" x14ac:dyDescent="0.25">
      <c r="A25233" s="2" t="s">
        <v>49212</v>
      </c>
      <c r="B25233" s="2" t="s">
        <v>49213</v>
      </c>
      <c r="C25233" s="2" t="s">
        <v>195</v>
      </c>
      <c r="D25233" s="2" t="s">
        <v>210</v>
      </c>
      <c r="E25233" s="2"/>
      <c r="F25233" s="2" t="str">
        <f>"9783486703412"</f>
        <v>9783486703412</v>
      </c>
    </row>
    <row r="25234" spans="1:6" s="3" customFormat="1" ht="29.1" customHeight="1" x14ac:dyDescent="0.25">
      <c r="A25234" s="2" t="s">
        <v>49214</v>
      </c>
      <c r="B25234" s="2" t="s">
        <v>49215</v>
      </c>
      <c r="C25234" s="2" t="s">
        <v>195</v>
      </c>
      <c r="D25234" s="2" t="s">
        <v>210</v>
      </c>
      <c r="E25234" s="2"/>
      <c r="F25234" s="2" t="str">
        <f>"9783486703290"</f>
        <v>9783486703290</v>
      </c>
    </row>
    <row r="25235" spans="1:6" s="3" customFormat="1" ht="29.1" customHeight="1" x14ac:dyDescent="0.25">
      <c r="A25235" s="2" t="s">
        <v>49216</v>
      </c>
      <c r="B25235" s="2" t="s">
        <v>49217</v>
      </c>
      <c r="C25235" s="2" t="s">
        <v>195</v>
      </c>
      <c r="D25235" s="2" t="s">
        <v>210</v>
      </c>
      <c r="E25235" s="2"/>
      <c r="F25235" s="2" t="str">
        <f>"9783486703276"</f>
        <v>9783486703276</v>
      </c>
    </row>
    <row r="25236" spans="1:6" s="3" customFormat="1" ht="29.1" customHeight="1" x14ac:dyDescent="0.25">
      <c r="A25236" s="2" t="s">
        <v>49218</v>
      </c>
      <c r="B25236" s="2" t="s">
        <v>49219</v>
      </c>
      <c r="C25236" s="2" t="s">
        <v>195</v>
      </c>
      <c r="D25236" s="2" t="s">
        <v>210</v>
      </c>
      <c r="E25236" s="2"/>
      <c r="F25236" s="2" t="str">
        <f>"9783486703214"</f>
        <v>9783486703214</v>
      </c>
    </row>
    <row r="25237" spans="1:6" s="3" customFormat="1" ht="29.1" customHeight="1" x14ac:dyDescent="0.25">
      <c r="A25237" s="2" t="s">
        <v>49220</v>
      </c>
      <c r="B25237" s="2" t="s">
        <v>49088</v>
      </c>
      <c r="C25237" s="2" t="s">
        <v>195</v>
      </c>
      <c r="D25237" s="2" t="s">
        <v>210</v>
      </c>
      <c r="E25237" s="2" t="str">
        <f>"9783486645613"</f>
        <v>9783486645613</v>
      </c>
      <c r="F25237" s="2" t="str">
        <f>"9783486703191"</f>
        <v>9783486703191</v>
      </c>
    </row>
    <row r="25238" spans="1:6" s="3" customFormat="1" ht="29.1" customHeight="1" x14ac:dyDescent="0.25">
      <c r="A25238" s="2" t="s">
        <v>49221</v>
      </c>
      <c r="B25238" s="2" t="s">
        <v>47419</v>
      </c>
      <c r="C25238" s="2" t="s">
        <v>195</v>
      </c>
      <c r="D25238" s="2" t="s">
        <v>210</v>
      </c>
      <c r="E25238" s="2" t="str">
        <f>"9783486645873"</f>
        <v>9783486645873</v>
      </c>
      <c r="F25238" s="2" t="str">
        <f>"9783486702880"</f>
        <v>9783486702880</v>
      </c>
    </row>
    <row r="25239" spans="1:6" s="3" customFormat="1" ht="29.1" customHeight="1" x14ac:dyDescent="0.25">
      <c r="A25239" s="2" t="s">
        <v>49222</v>
      </c>
      <c r="B25239" s="2" t="s">
        <v>45644</v>
      </c>
      <c r="C25239" s="2" t="s">
        <v>195</v>
      </c>
      <c r="D25239" s="2" t="s">
        <v>1466</v>
      </c>
      <c r="E25239" s="2" t="str">
        <f>"9783486592351"</f>
        <v>9783486592351</v>
      </c>
      <c r="F25239" s="2" t="str">
        <f>"9783486702750"</f>
        <v>9783486702750</v>
      </c>
    </row>
    <row r="25240" spans="1:6" s="3" customFormat="1" ht="29.1" customHeight="1" x14ac:dyDescent="0.25">
      <c r="A25240" s="2" t="s">
        <v>49223</v>
      </c>
      <c r="B25240" s="2" t="s">
        <v>49224</v>
      </c>
      <c r="C25240" s="2" t="s">
        <v>195</v>
      </c>
      <c r="D25240" s="2" t="s">
        <v>210</v>
      </c>
      <c r="E25240" s="2" t="str">
        <f>"9783486581935"</f>
        <v>9783486581935</v>
      </c>
      <c r="F25240" s="2" t="str">
        <f>"9783486702811"</f>
        <v>9783486702811</v>
      </c>
    </row>
    <row r="25241" spans="1:6" s="3" customFormat="1" ht="29.1" customHeight="1" x14ac:dyDescent="0.25">
      <c r="A25241" s="2" t="s">
        <v>49225</v>
      </c>
      <c r="B25241" s="2" t="s">
        <v>45654</v>
      </c>
      <c r="C25241" s="2" t="s">
        <v>195</v>
      </c>
      <c r="D25241" s="2" t="s">
        <v>210</v>
      </c>
      <c r="E25241" s="2" t="str">
        <f>"9783486565997"</f>
        <v>9783486565997</v>
      </c>
      <c r="F25241" s="2" t="str">
        <f>"9783486708677"</f>
        <v>9783486708677</v>
      </c>
    </row>
    <row r="25242" spans="1:6" s="3" customFormat="1" ht="29.1" customHeight="1" x14ac:dyDescent="0.25">
      <c r="A25242" s="2" t="s">
        <v>49226</v>
      </c>
      <c r="B25242" s="2" t="s">
        <v>49227</v>
      </c>
      <c r="C25242" s="2" t="s">
        <v>195</v>
      </c>
      <c r="D25242" s="2" t="s">
        <v>210</v>
      </c>
      <c r="E25242" s="2" t="str">
        <f>"9783486565973"</f>
        <v>9783486565973</v>
      </c>
      <c r="F25242" s="2" t="str">
        <f>"9783486708653"</f>
        <v>9783486708653</v>
      </c>
    </row>
    <row r="25243" spans="1:6" s="3" customFormat="1" ht="29.1" customHeight="1" x14ac:dyDescent="0.25">
      <c r="A25243" s="2" t="s">
        <v>49228</v>
      </c>
      <c r="B25243" s="2" t="s">
        <v>48450</v>
      </c>
      <c r="C25243" s="2" t="s">
        <v>195</v>
      </c>
      <c r="D25243" s="2" t="s">
        <v>210</v>
      </c>
      <c r="E25243" s="2" t="str">
        <f>"9783486589412"</f>
        <v>9783486589412</v>
      </c>
      <c r="F25243" s="2" t="str">
        <f>"9783486708325"</f>
        <v>9783486708325</v>
      </c>
    </row>
    <row r="25244" spans="1:6" s="3" customFormat="1" ht="29.1" customHeight="1" x14ac:dyDescent="0.25">
      <c r="A25244" s="2" t="s">
        <v>49229</v>
      </c>
      <c r="B25244" s="2" t="s">
        <v>49230</v>
      </c>
      <c r="C25244" s="2" t="s">
        <v>195</v>
      </c>
      <c r="D25244" s="2" t="s">
        <v>210</v>
      </c>
      <c r="E25244" s="2" t="str">
        <f>"9783486587326"</f>
        <v>9783486587326</v>
      </c>
      <c r="F25244" s="2" t="str">
        <f>"9783486708240"</f>
        <v>9783486708240</v>
      </c>
    </row>
    <row r="25245" spans="1:6" s="3" customFormat="1" ht="29.1" customHeight="1" x14ac:dyDescent="0.25">
      <c r="A25245" s="2" t="s">
        <v>49231</v>
      </c>
      <c r="B25245" s="2" t="s">
        <v>49232</v>
      </c>
      <c r="C25245" s="2" t="s">
        <v>195</v>
      </c>
      <c r="D25245" s="2" t="s">
        <v>210</v>
      </c>
      <c r="E25245" s="2" t="str">
        <f>"9783486583618"</f>
        <v>9783486583618</v>
      </c>
      <c r="F25245" s="2" t="str">
        <f>"9783486707809"</f>
        <v>9783486707809</v>
      </c>
    </row>
    <row r="25246" spans="1:6" s="3" customFormat="1" ht="29.1" customHeight="1" x14ac:dyDescent="0.25">
      <c r="A25246" s="2" t="s">
        <v>49233</v>
      </c>
      <c r="B25246" s="2" t="s">
        <v>49234</v>
      </c>
      <c r="C25246" s="2" t="s">
        <v>195</v>
      </c>
      <c r="D25246" s="2" t="s">
        <v>210</v>
      </c>
      <c r="E25246" s="2" t="str">
        <f>"9783486589450"</f>
        <v>9783486589450</v>
      </c>
      <c r="F25246" s="2" t="str">
        <f>"9783486706574"</f>
        <v>9783486706574</v>
      </c>
    </row>
    <row r="25247" spans="1:6" s="3" customFormat="1" ht="29.1" customHeight="1" x14ac:dyDescent="0.25">
      <c r="A25247" s="2" t="s">
        <v>49235</v>
      </c>
      <c r="B25247" s="2" t="s">
        <v>4416</v>
      </c>
      <c r="C25247" s="2" t="s">
        <v>195</v>
      </c>
      <c r="D25247" s="2" t="s">
        <v>210</v>
      </c>
      <c r="E25247" s="2" t="str">
        <f>"9783486595925"</f>
        <v>9783486595925</v>
      </c>
      <c r="F25247" s="2" t="str">
        <f>"9783486706581"</f>
        <v>9783486706581</v>
      </c>
    </row>
    <row r="25248" spans="1:6" s="3" customFormat="1" ht="29.1" customHeight="1" x14ac:dyDescent="0.25">
      <c r="A25248" s="2" t="s">
        <v>49236</v>
      </c>
      <c r="B25248" s="2" t="s">
        <v>49237</v>
      </c>
      <c r="C25248" s="2" t="s">
        <v>195</v>
      </c>
      <c r="D25248" s="2" t="s">
        <v>210</v>
      </c>
      <c r="E25248" s="2" t="str">
        <f>"9783486565874"</f>
        <v>9783486565874</v>
      </c>
      <c r="F25248" s="2" t="str">
        <f>"9783486596182"</f>
        <v>9783486596182</v>
      </c>
    </row>
    <row r="25249" spans="1:6" s="3" customFormat="1" ht="29.1" customHeight="1" x14ac:dyDescent="0.25">
      <c r="A25249" s="2" t="s">
        <v>49238</v>
      </c>
      <c r="B25249" s="2" t="s">
        <v>49239</v>
      </c>
      <c r="C25249" s="2" t="s">
        <v>195</v>
      </c>
      <c r="D25249" s="2" t="s">
        <v>210</v>
      </c>
      <c r="E25249" s="2" t="str">
        <f>"9783486547115"</f>
        <v>9783486547115</v>
      </c>
      <c r="F25249" s="2" t="str">
        <f>"9783486595567"</f>
        <v>9783486595567</v>
      </c>
    </row>
    <row r="25250" spans="1:6" s="3" customFormat="1" ht="29.1" customHeight="1" x14ac:dyDescent="0.25">
      <c r="A25250" s="2" t="s">
        <v>49240</v>
      </c>
      <c r="B25250" s="2" t="s">
        <v>49241</v>
      </c>
      <c r="C25250" s="2" t="s">
        <v>195</v>
      </c>
      <c r="D25250" s="2" t="s">
        <v>210</v>
      </c>
      <c r="E25250" s="2" t="str">
        <f>"9783486578003"</f>
        <v>9783486578003</v>
      </c>
      <c r="F25250" s="2" t="str">
        <f>"9783486595239"</f>
        <v>9783486595239</v>
      </c>
    </row>
    <row r="25251" spans="1:6" s="3" customFormat="1" ht="29.1" customHeight="1" x14ac:dyDescent="0.25">
      <c r="A25251" s="2" t="s">
        <v>49242</v>
      </c>
      <c r="B25251" s="2" t="s">
        <v>49243</v>
      </c>
      <c r="C25251" s="2" t="s">
        <v>195</v>
      </c>
      <c r="D25251" s="2" t="s">
        <v>210</v>
      </c>
      <c r="E25251" s="2" t="str">
        <f>"9783486563849"</f>
        <v>9783486563849</v>
      </c>
      <c r="F25251" s="2" t="str">
        <f>"9783486594416"</f>
        <v>9783486594416</v>
      </c>
    </row>
    <row r="25252" spans="1:6" s="3" customFormat="1" ht="29.1" customHeight="1" x14ac:dyDescent="0.25">
      <c r="A25252" s="2" t="s">
        <v>49244</v>
      </c>
      <c r="B25252" s="2" t="s">
        <v>47546</v>
      </c>
      <c r="C25252" s="2" t="s">
        <v>195</v>
      </c>
      <c r="D25252" s="2" t="s">
        <v>210</v>
      </c>
      <c r="E25252" s="2" t="str">
        <f>"9783486565324"</f>
        <v>9783486565324</v>
      </c>
      <c r="F25252" s="2" t="str">
        <f>"9783486594805"</f>
        <v>9783486594805</v>
      </c>
    </row>
    <row r="25253" spans="1:6" s="3" customFormat="1" ht="29.1" customHeight="1" x14ac:dyDescent="0.25">
      <c r="A25253" s="2" t="s">
        <v>49245</v>
      </c>
      <c r="B25253" s="2" t="s">
        <v>49128</v>
      </c>
      <c r="C25253" s="2" t="s">
        <v>195</v>
      </c>
      <c r="D25253" s="2" t="s">
        <v>210</v>
      </c>
      <c r="E25253" s="2" t="str">
        <f>"9783486538410"</f>
        <v>9783486538410</v>
      </c>
      <c r="F25253" s="2" t="str">
        <f>"9783486594751"</f>
        <v>9783486594751</v>
      </c>
    </row>
    <row r="25254" spans="1:6" s="3" customFormat="1" ht="29.1" customHeight="1" x14ac:dyDescent="0.25">
      <c r="A25254" s="2" t="s">
        <v>49246</v>
      </c>
      <c r="B25254" s="2" t="s">
        <v>49247</v>
      </c>
      <c r="C25254" s="2" t="s">
        <v>195</v>
      </c>
      <c r="D25254" s="2" t="s">
        <v>210</v>
      </c>
      <c r="E25254" s="2" t="str">
        <f>"9783486645088"</f>
        <v>9783486645088</v>
      </c>
      <c r="F25254" s="2" t="str">
        <f>"9783486593730"</f>
        <v>9783486593730</v>
      </c>
    </row>
    <row r="25255" spans="1:6" s="3" customFormat="1" ht="29.1" customHeight="1" x14ac:dyDescent="0.25">
      <c r="A25255" s="2" t="s">
        <v>49248</v>
      </c>
      <c r="B25255" s="2" t="s">
        <v>49249</v>
      </c>
      <c r="C25255" s="2" t="s">
        <v>195</v>
      </c>
      <c r="D25255" s="2" t="s">
        <v>210</v>
      </c>
      <c r="E25255" s="2" t="str">
        <f>"9783486717280"</f>
        <v>9783486717280</v>
      </c>
      <c r="F25255" s="2" t="str">
        <f>"9783486717297"</f>
        <v>9783486717297</v>
      </c>
    </row>
    <row r="25256" spans="1:6" s="3" customFormat="1" ht="29.1" customHeight="1" x14ac:dyDescent="0.25">
      <c r="A25256" s="2" t="s">
        <v>49250</v>
      </c>
      <c r="B25256" s="2" t="s">
        <v>49251</v>
      </c>
      <c r="C25256" s="2" t="s">
        <v>195</v>
      </c>
      <c r="D25256" s="2" t="s">
        <v>210</v>
      </c>
      <c r="E25256" s="2" t="str">
        <f>"9783486709360"</f>
        <v>9783486709360</v>
      </c>
      <c r="F25256" s="2" t="str">
        <f>"9783486716504"</f>
        <v>9783486716504</v>
      </c>
    </row>
    <row r="25257" spans="1:6" s="3" customFormat="1" ht="29.1" customHeight="1" x14ac:dyDescent="0.25">
      <c r="A25257" s="2" t="s">
        <v>49252</v>
      </c>
      <c r="B25257" s="2" t="s">
        <v>49253</v>
      </c>
      <c r="C25257" s="2" t="s">
        <v>195</v>
      </c>
      <c r="D25257" s="2" t="s">
        <v>210</v>
      </c>
      <c r="E25257" s="2" t="str">
        <f>"9783486706710"</f>
        <v>9783486706710</v>
      </c>
      <c r="F25257" s="2" t="str">
        <f>"9783486715194"</f>
        <v>9783486715194</v>
      </c>
    </row>
    <row r="25258" spans="1:6" s="3" customFormat="1" ht="29.1" customHeight="1" x14ac:dyDescent="0.25">
      <c r="A25258" s="2" t="s">
        <v>49254</v>
      </c>
      <c r="B25258" s="2" t="s">
        <v>49255</v>
      </c>
      <c r="C25258" s="2" t="s">
        <v>195</v>
      </c>
      <c r="D25258" s="2" t="s">
        <v>210</v>
      </c>
      <c r="E25258" s="2" t="str">
        <f>"9783486586541"</f>
        <v>9783486586541</v>
      </c>
      <c r="F25258" s="2" t="str">
        <f>"9783486713930"</f>
        <v>9783486713930</v>
      </c>
    </row>
    <row r="25259" spans="1:6" s="3" customFormat="1" ht="29.1" customHeight="1" x14ac:dyDescent="0.25">
      <c r="A25259" s="2" t="s">
        <v>49256</v>
      </c>
      <c r="B25259" s="2" t="s">
        <v>49257</v>
      </c>
      <c r="C25259" s="2" t="s">
        <v>195</v>
      </c>
      <c r="D25259" s="2" t="s">
        <v>210</v>
      </c>
      <c r="E25259" s="2" t="str">
        <f>"9783486705133"</f>
        <v>9783486705133</v>
      </c>
      <c r="F25259" s="2" t="str">
        <f>"9783486711714"</f>
        <v>9783486711714</v>
      </c>
    </row>
    <row r="25260" spans="1:6" s="3" customFormat="1" ht="29.1" customHeight="1" x14ac:dyDescent="0.25">
      <c r="A25260" s="2" t="s">
        <v>49258</v>
      </c>
      <c r="B25260" s="2" t="s">
        <v>49259</v>
      </c>
      <c r="C25260" s="2" t="s">
        <v>195</v>
      </c>
      <c r="D25260" s="2" t="s">
        <v>210</v>
      </c>
      <c r="E25260" s="2" t="str">
        <f>"9783486704044"</f>
        <v>9783486704044</v>
      </c>
      <c r="F25260" s="2" t="str">
        <f>"9783486711721"</f>
        <v>9783486711721</v>
      </c>
    </row>
    <row r="25261" spans="1:6" s="3" customFormat="1" ht="29.1" customHeight="1" x14ac:dyDescent="0.25">
      <c r="A25261" s="2" t="s">
        <v>49260</v>
      </c>
      <c r="B25261" s="2" t="s">
        <v>49261</v>
      </c>
      <c r="C25261" s="2" t="s">
        <v>195</v>
      </c>
      <c r="D25261" s="2" t="s">
        <v>210</v>
      </c>
      <c r="E25261" s="2" t="str">
        <f>"9783486544916"</f>
        <v>9783486544916</v>
      </c>
      <c r="F25261" s="2" t="str">
        <f>"9783486705591"</f>
        <v>9783486705591</v>
      </c>
    </row>
    <row r="25262" spans="1:6" s="3" customFormat="1" ht="29.1" customHeight="1" x14ac:dyDescent="0.25">
      <c r="A25262" s="2" t="s">
        <v>49262</v>
      </c>
      <c r="B25262" s="2" t="s">
        <v>30403</v>
      </c>
      <c r="C25262" s="2" t="s">
        <v>195</v>
      </c>
      <c r="D25262" s="2" t="s">
        <v>210</v>
      </c>
      <c r="E25262" s="2"/>
      <c r="F25262" s="2" t="str">
        <f>"9783486703672"</f>
        <v>9783486703672</v>
      </c>
    </row>
    <row r="25263" spans="1:6" s="3" customFormat="1" ht="29.1" customHeight="1" x14ac:dyDescent="0.25">
      <c r="A25263" s="2" t="s">
        <v>49263</v>
      </c>
      <c r="B25263" s="2" t="s">
        <v>49264</v>
      </c>
      <c r="C25263" s="2" t="s">
        <v>195</v>
      </c>
      <c r="D25263" s="2" t="s">
        <v>210</v>
      </c>
      <c r="E25263" s="2"/>
      <c r="F25263" s="2" t="str">
        <f>"9783486703368"</f>
        <v>9783486703368</v>
      </c>
    </row>
    <row r="25264" spans="1:6" s="3" customFormat="1" ht="29.1" customHeight="1" x14ac:dyDescent="0.25">
      <c r="A25264" s="2" t="s">
        <v>49265</v>
      </c>
      <c r="B25264" s="2" t="s">
        <v>49266</v>
      </c>
      <c r="C25264" s="2" t="s">
        <v>195</v>
      </c>
      <c r="D25264" s="2" t="s">
        <v>210</v>
      </c>
      <c r="E25264" s="2"/>
      <c r="F25264" s="2" t="str">
        <f>"9783486703634"</f>
        <v>9783486703634</v>
      </c>
    </row>
    <row r="25265" spans="1:6" s="3" customFormat="1" ht="29.1" customHeight="1" x14ac:dyDescent="0.25">
      <c r="A25265" s="2" t="s">
        <v>49267</v>
      </c>
      <c r="B25265" s="2" t="s">
        <v>49268</v>
      </c>
      <c r="C25265" s="2" t="s">
        <v>195</v>
      </c>
      <c r="D25265" s="2" t="s">
        <v>210</v>
      </c>
      <c r="E25265" s="2"/>
      <c r="F25265" s="2" t="str">
        <f>"9783486703351"</f>
        <v>9783486703351</v>
      </c>
    </row>
    <row r="25266" spans="1:6" s="3" customFormat="1" ht="29.1" customHeight="1" x14ac:dyDescent="0.25">
      <c r="A25266" s="2" t="s">
        <v>49269</v>
      </c>
      <c r="B25266" s="2" t="s">
        <v>49270</v>
      </c>
      <c r="C25266" s="2" t="s">
        <v>195</v>
      </c>
      <c r="D25266" s="2" t="s">
        <v>210</v>
      </c>
      <c r="E25266" s="2"/>
      <c r="F25266" s="2" t="str">
        <f>"9783486703344"</f>
        <v>9783486703344</v>
      </c>
    </row>
    <row r="25267" spans="1:6" s="3" customFormat="1" ht="29.1" customHeight="1" x14ac:dyDescent="0.25">
      <c r="A25267" s="2" t="s">
        <v>49271</v>
      </c>
      <c r="B25267" s="2" t="s">
        <v>49272</v>
      </c>
      <c r="C25267" s="2" t="s">
        <v>195</v>
      </c>
      <c r="D25267" s="2" t="s">
        <v>210</v>
      </c>
      <c r="E25267" s="2"/>
      <c r="F25267" s="2" t="str">
        <f>"9783486703313"</f>
        <v>9783486703313</v>
      </c>
    </row>
    <row r="25268" spans="1:6" s="3" customFormat="1" ht="29.1" customHeight="1" x14ac:dyDescent="0.25">
      <c r="A25268" s="2" t="s">
        <v>49273</v>
      </c>
      <c r="B25268" s="2" t="s">
        <v>46200</v>
      </c>
      <c r="C25268" s="2" t="s">
        <v>195</v>
      </c>
      <c r="D25268" s="2" t="s">
        <v>210</v>
      </c>
      <c r="E25268" s="2"/>
      <c r="F25268" s="2" t="str">
        <f>"9783486703269"</f>
        <v>9783486703269</v>
      </c>
    </row>
    <row r="25269" spans="1:6" s="3" customFormat="1" ht="29.1" customHeight="1" x14ac:dyDescent="0.25">
      <c r="A25269" s="2" t="s">
        <v>49274</v>
      </c>
      <c r="B25269" s="2" t="s">
        <v>49275</v>
      </c>
      <c r="C25269" s="2" t="s">
        <v>195</v>
      </c>
      <c r="D25269" s="2" t="s">
        <v>210</v>
      </c>
      <c r="E25269" s="2" t="str">
        <f>"9783486645583"</f>
        <v>9783486645583</v>
      </c>
      <c r="F25269" s="2" t="str">
        <f>"9783486703221"</f>
        <v>9783486703221</v>
      </c>
    </row>
    <row r="25270" spans="1:6" s="3" customFormat="1" ht="29.1" customHeight="1" x14ac:dyDescent="0.25">
      <c r="A25270" s="2" t="s">
        <v>49276</v>
      </c>
      <c r="B25270" s="2" t="s">
        <v>49277</v>
      </c>
      <c r="C25270" s="2" t="s">
        <v>195</v>
      </c>
      <c r="D25270" s="2" t="s">
        <v>210</v>
      </c>
      <c r="E25270" s="2" t="str">
        <f>"9783486645750"</f>
        <v>9783486645750</v>
      </c>
      <c r="F25270" s="2" t="str">
        <f>"9783486703016"</f>
        <v>9783486703016</v>
      </c>
    </row>
    <row r="25271" spans="1:6" s="3" customFormat="1" ht="29.1" customHeight="1" x14ac:dyDescent="0.25">
      <c r="A25271" s="2" t="s">
        <v>49278</v>
      </c>
      <c r="B25271" s="2" t="s">
        <v>49279</v>
      </c>
      <c r="C25271" s="2" t="s">
        <v>195</v>
      </c>
      <c r="D25271" s="2" t="s">
        <v>1183</v>
      </c>
      <c r="E25271" s="2" t="str">
        <f>"9783486645712"</f>
        <v>9783486645712</v>
      </c>
      <c r="F25271" s="2" t="str">
        <f>"9783486703054"</f>
        <v>9783486703054</v>
      </c>
    </row>
    <row r="25272" spans="1:6" s="3" customFormat="1" ht="29.1" customHeight="1" x14ac:dyDescent="0.25">
      <c r="A25272" s="2" t="s">
        <v>49280</v>
      </c>
      <c r="B25272" s="2" t="s">
        <v>49281</v>
      </c>
      <c r="C25272" s="2" t="s">
        <v>195</v>
      </c>
      <c r="D25272" s="2" t="s">
        <v>210</v>
      </c>
      <c r="E25272" s="2" t="str">
        <f>"9783486645804"</f>
        <v>9783486645804</v>
      </c>
      <c r="F25272" s="2" t="str">
        <f>"9783486702965"</f>
        <v>9783486702965</v>
      </c>
    </row>
    <row r="25273" spans="1:6" s="3" customFormat="1" ht="29.1" customHeight="1" x14ac:dyDescent="0.25">
      <c r="A25273" s="2" t="s">
        <v>49282</v>
      </c>
      <c r="B25273" s="2" t="s">
        <v>49283</v>
      </c>
      <c r="C25273" s="2" t="s">
        <v>195</v>
      </c>
      <c r="D25273" s="2" t="s">
        <v>210</v>
      </c>
      <c r="E25273" s="2" t="str">
        <f>"9783486579871"</f>
        <v>9783486579871</v>
      </c>
      <c r="F25273" s="2" t="str">
        <f>"9783486702835"</f>
        <v>9783486702835</v>
      </c>
    </row>
    <row r="25274" spans="1:6" s="3" customFormat="1" ht="29.1" customHeight="1" x14ac:dyDescent="0.25">
      <c r="A25274" s="2" t="s">
        <v>49284</v>
      </c>
      <c r="B25274" s="2" t="s">
        <v>49285</v>
      </c>
      <c r="C25274" s="2" t="s">
        <v>195</v>
      </c>
      <c r="D25274" s="2" t="s">
        <v>210</v>
      </c>
      <c r="E25274" s="2" t="str">
        <f>"9783486645828"</f>
        <v>9783486645828</v>
      </c>
      <c r="F25274" s="2" t="str">
        <f>"9783486702941"</f>
        <v>9783486702941</v>
      </c>
    </row>
    <row r="25275" spans="1:6" s="3" customFormat="1" ht="29.1" customHeight="1" x14ac:dyDescent="0.25">
      <c r="A25275" s="2" t="s">
        <v>49286</v>
      </c>
      <c r="B25275" s="2" t="s">
        <v>49287</v>
      </c>
      <c r="C25275" s="2" t="s">
        <v>195</v>
      </c>
      <c r="D25275" s="2" t="s">
        <v>210</v>
      </c>
      <c r="E25275" s="2" t="str">
        <f>"9783486591910"</f>
        <v>9783486591910</v>
      </c>
      <c r="F25275" s="2" t="str">
        <f>"9783486718089"</f>
        <v>9783486718089</v>
      </c>
    </row>
    <row r="25276" spans="1:6" s="3" customFormat="1" ht="29.1" customHeight="1" x14ac:dyDescent="0.25">
      <c r="A25276" s="2" t="s">
        <v>49288</v>
      </c>
      <c r="B25276" s="2" t="s">
        <v>49289</v>
      </c>
      <c r="C25276" s="2" t="s">
        <v>195</v>
      </c>
      <c r="D25276" s="2" t="s">
        <v>210</v>
      </c>
      <c r="E25276" s="2" t="str">
        <f>"9783486580402"</f>
        <v>9783486580402</v>
      </c>
      <c r="F25276" s="2" t="str">
        <f>"9783486718119"</f>
        <v>9783486718119</v>
      </c>
    </row>
    <row r="25277" spans="1:6" s="3" customFormat="1" ht="29.1" customHeight="1" x14ac:dyDescent="0.25">
      <c r="A25277" s="2" t="s">
        <v>49290</v>
      </c>
      <c r="B25277" s="2" t="s">
        <v>49291</v>
      </c>
      <c r="C25277" s="2" t="s">
        <v>195</v>
      </c>
      <c r="D25277" s="2" t="s">
        <v>210</v>
      </c>
      <c r="E25277" s="2" t="str">
        <f>"9783486718768"</f>
        <v>9783486718768</v>
      </c>
      <c r="F25277" s="2" t="str">
        <f>"9783486722543"</f>
        <v>9783486722543</v>
      </c>
    </row>
    <row r="25278" spans="1:6" s="3" customFormat="1" ht="29.1" customHeight="1" x14ac:dyDescent="0.25">
      <c r="A25278" s="2">
        <v>1973</v>
      </c>
      <c r="B25278" s="2" t="s">
        <v>49292</v>
      </c>
      <c r="C25278" s="2" t="s">
        <v>195</v>
      </c>
      <c r="D25278" s="2" t="s">
        <v>210</v>
      </c>
      <c r="E25278" s="2" t="str">
        <f>"9783486566512"</f>
        <v>9783486566512</v>
      </c>
      <c r="F25278" s="2" t="str">
        <f>"9783486718140"</f>
        <v>9783486718140</v>
      </c>
    </row>
    <row r="25279" spans="1:6" s="3" customFormat="1" ht="29.1" customHeight="1" x14ac:dyDescent="0.25">
      <c r="A25279" s="2" t="s">
        <v>49293</v>
      </c>
      <c r="B25279" s="2" t="s">
        <v>49294</v>
      </c>
      <c r="C25279" s="2" t="s">
        <v>195</v>
      </c>
      <c r="D25279" s="2" t="s">
        <v>210</v>
      </c>
      <c r="E25279" s="2" t="str">
        <f>"9783486587296"</f>
        <v>9783486587296</v>
      </c>
      <c r="F25279" s="2" t="str">
        <f>"9783486718096"</f>
        <v>9783486718096</v>
      </c>
    </row>
    <row r="25280" spans="1:6" s="3" customFormat="1" ht="29.1" customHeight="1" x14ac:dyDescent="0.25">
      <c r="A25280" s="2" t="s">
        <v>49295</v>
      </c>
      <c r="B25280" s="2" t="s">
        <v>49296</v>
      </c>
      <c r="C25280" s="2" t="s">
        <v>195</v>
      </c>
      <c r="D25280" s="2" t="s">
        <v>210</v>
      </c>
      <c r="E25280" s="2" t="str">
        <f>"9783486577549"</f>
        <v>9783486577549</v>
      </c>
      <c r="F25280" s="2" t="str">
        <f>"9783486718126"</f>
        <v>9783486718126</v>
      </c>
    </row>
    <row r="25281" spans="1:6" s="3" customFormat="1" ht="29.1" customHeight="1" x14ac:dyDescent="0.25">
      <c r="A25281" s="2" t="s">
        <v>49297</v>
      </c>
      <c r="B25281" s="2" t="s">
        <v>49298</v>
      </c>
      <c r="C25281" s="2" t="s">
        <v>195</v>
      </c>
      <c r="D25281" s="2" t="s">
        <v>210</v>
      </c>
      <c r="E25281" s="2" t="str">
        <f>"9783598117336"</f>
        <v>9783598117336</v>
      </c>
      <c r="F25281" s="2" t="str">
        <f>"9783110929232"</f>
        <v>9783110929232</v>
      </c>
    </row>
    <row r="25282" spans="1:6" s="3" customFormat="1" ht="29.1" customHeight="1" x14ac:dyDescent="0.25">
      <c r="A25282" s="2" t="s">
        <v>49299</v>
      </c>
      <c r="B25282" s="2" t="s">
        <v>49300</v>
      </c>
      <c r="C25282" s="2" t="s">
        <v>195</v>
      </c>
      <c r="D25282" s="2" t="s">
        <v>210</v>
      </c>
      <c r="E25282" s="2" t="str">
        <f>"9783486645880"</f>
        <v>9783486645880</v>
      </c>
      <c r="F25282" s="2" t="str">
        <f>"9783486702873"</f>
        <v>9783486702873</v>
      </c>
    </row>
    <row r="25283" spans="1:6" s="3" customFormat="1" ht="29.1" customHeight="1" x14ac:dyDescent="0.25">
      <c r="A25283" s="2" t="s">
        <v>49301</v>
      </c>
      <c r="B25283" s="2" t="s">
        <v>49302</v>
      </c>
      <c r="C25283" s="2" t="s">
        <v>195</v>
      </c>
      <c r="D25283" s="2" t="s">
        <v>210</v>
      </c>
      <c r="E25283" s="2" t="str">
        <f>"9783486645811"</f>
        <v>9783486645811</v>
      </c>
      <c r="F25283" s="2" t="str">
        <f>"9783486702958"</f>
        <v>9783486702958</v>
      </c>
    </row>
    <row r="25284" spans="1:6" s="3" customFormat="1" ht="29.1" customHeight="1" x14ac:dyDescent="0.25">
      <c r="A25284" s="2" t="s">
        <v>49303</v>
      </c>
      <c r="B25284" s="2" t="s">
        <v>49304</v>
      </c>
      <c r="C25284" s="2" t="s">
        <v>195</v>
      </c>
      <c r="D25284" s="2" t="s">
        <v>210</v>
      </c>
      <c r="E25284" s="2" t="str">
        <f>"9783486558913"</f>
        <v>9783486558913</v>
      </c>
      <c r="F25284" s="2" t="str">
        <f>"9783486708615"</f>
        <v>9783486708615</v>
      </c>
    </row>
    <row r="25285" spans="1:6" s="3" customFormat="1" ht="29.1" customHeight="1" x14ac:dyDescent="0.25">
      <c r="A25285" s="2" t="s">
        <v>49305</v>
      </c>
      <c r="B25285" s="2" t="s">
        <v>49306</v>
      </c>
      <c r="C25285" s="2" t="s">
        <v>195</v>
      </c>
      <c r="D25285" s="2" t="s">
        <v>210</v>
      </c>
      <c r="E25285" s="2" t="str">
        <f>"9783486200232"</f>
        <v>9783486200232</v>
      </c>
      <c r="F25285" s="2" t="str">
        <f>"9783486707823"</f>
        <v>9783486707823</v>
      </c>
    </row>
    <row r="25286" spans="1:6" s="3" customFormat="1" ht="29.1" customHeight="1" x14ac:dyDescent="0.25">
      <c r="A25286" s="2" t="s">
        <v>49307</v>
      </c>
      <c r="B25286" s="2" t="s">
        <v>49308</v>
      </c>
      <c r="C25286" s="2" t="s">
        <v>195</v>
      </c>
      <c r="D25286" s="2" t="s">
        <v>210</v>
      </c>
      <c r="E25286" s="2" t="str">
        <f>"9783486593990"</f>
        <v>9783486593990</v>
      </c>
      <c r="F25286" s="2" t="str">
        <f>"9783486707335"</f>
        <v>9783486707335</v>
      </c>
    </row>
    <row r="25287" spans="1:6" s="3" customFormat="1" ht="29.1" customHeight="1" x14ac:dyDescent="0.25">
      <c r="A25287" s="2" t="s">
        <v>49309</v>
      </c>
      <c r="B25287" s="2" t="s">
        <v>49310</v>
      </c>
      <c r="C25287" s="2" t="s">
        <v>195</v>
      </c>
      <c r="D25287" s="2" t="s">
        <v>210</v>
      </c>
      <c r="E25287" s="2" t="str">
        <f>"9783486588651"</f>
        <v>9783486588651</v>
      </c>
      <c r="F25287" s="2" t="str">
        <f>"9783486706536"</f>
        <v>9783486706536</v>
      </c>
    </row>
    <row r="25288" spans="1:6" s="3" customFormat="1" ht="29.1" customHeight="1" x14ac:dyDescent="0.25">
      <c r="A25288" s="2" t="s">
        <v>49311</v>
      </c>
      <c r="B25288" s="2" t="s">
        <v>49312</v>
      </c>
      <c r="C25288" s="2" t="s">
        <v>195</v>
      </c>
      <c r="D25288" s="2" t="s">
        <v>210</v>
      </c>
      <c r="E25288" s="2" t="str">
        <f>"9783486564952"</f>
        <v>9783486564952</v>
      </c>
      <c r="F25288" s="2" t="str">
        <f>"9783486596090"</f>
        <v>9783486596090</v>
      </c>
    </row>
    <row r="25289" spans="1:6" s="3" customFormat="1" ht="29.1" customHeight="1" x14ac:dyDescent="0.25">
      <c r="A25289" s="2" t="s">
        <v>49313</v>
      </c>
      <c r="B25289" s="2" t="s">
        <v>49314</v>
      </c>
      <c r="C25289" s="2" t="s">
        <v>195</v>
      </c>
      <c r="D25289" s="2" t="s">
        <v>210</v>
      </c>
      <c r="E25289" s="2" t="str">
        <f>"9783486563894"</f>
        <v>9783486563894</v>
      </c>
      <c r="F25289" s="2" t="str">
        <f>"9783486596021"</f>
        <v>9783486596021</v>
      </c>
    </row>
    <row r="25290" spans="1:6" s="3" customFormat="1" ht="29.1" customHeight="1" x14ac:dyDescent="0.25">
      <c r="A25290" s="2" t="s">
        <v>49315</v>
      </c>
      <c r="B25290" s="2" t="s">
        <v>47654</v>
      </c>
      <c r="C25290" s="2" t="s">
        <v>195</v>
      </c>
      <c r="D25290" s="2" t="s">
        <v>210</v>
      </c>
      <c r="E25290" s="2" t="str">
        <f>"9783486562385"</f>
        <v>9783486562385</v>
      </c>
      <c r="F25290" s="2" t="str">
        <f>"9783486595871"</f>
        <v>9783486595871</v>
      </c>
    </row>
    <row r="25291" spans="1:6" s="3" customFormat="1" ht="29.1" customHeight="1" x14ac:dyDescent="0.25">
      <c r="A25291" s="2" t="s">
        <v>49316</v>
      </c>
      <c r="B25291" s="2" t="s">
        <v>49317</v>
      </c>
      <c r="C25291" s="2" t="s">
        <v>195</v>
      </c>
      <c r="D25291" s="2" t="s">
        <v>210</v>
      </c>
      <c r="E25291" s="2" t="str">
        <f>"9783486559019"</f>
        <v>9783486559019</v>
      </c>
      <c r="F25291" s="2" t="str">
        <f>"9783486595659"</f>
        <v>9783486595659</v>
      </c>
    </row>
    <row r="25292" spans="1:6" s="3" customFormat="1" ht="29.1" customHeight="1" x14ac:dyDescent="0.25">
      <c r="A25292" s="2" t="s">
        <v>49318</v>
      </c>
      <c r="B25292" s="2" t="s">
        <v>49319</v>
      </c>
      <c r="C25292" s="2" t="s">
        <v>195</v>
      </c>
      <c r="D25292" s="2" t="s">
        <v>210</v>
      </c>
      <c r="E25292" s="2" t="str">
        <f>"9783486545012"</f>
        <v>9783486545012</v>
      </c>
      <c r="F25292" s="2" t="str">
        <f>"9783486595543"</f>
        <v>9783486595543</v>
      </c>
    </row>
    <row r="25293" spans="1:6" s="3" customFormat="1" ht="29.1" customHeight="1" x14ac:dyDescent="0.25">
      <c r="A25293" s="2" t="s">
        <v>49320</v>
      </c>
      <c r="B25293" s="2" t="s">
        <v>49251</v>
      </c>
      <c r="C25293" s="2" t="s">
        <v>195</v>
      </c>
      <c r="D25293" s="2" t="s">
        <v>210</v>
      </c>
      <c r="E25293" s="2" t="str">
        <f>"9783486578805"</f>
        <v>9783486578805</v>
      </c>
      <c r="F25293" s="2" t="str">
        <f>"9783486595246"</f>
        <v>9783486595246</v>
      </c>
    </row>
    <row r="25294" spans="1:6" s="3" customFormat="1" ht="29.1" customHeight="1" x14ac:dyDescent="0.25">
      <c r="A25294" s="2" t="s">
        <v>49321</v>
      </c>
      <c r="B25294" s="2" t="s">
        <v>49322</v>
      </c>
      <c r="C25294" s="2" t="s">
        <v>195</v>
      </c>
      <c r="D25294" s="2" t="s">
        <v>210</v>
      </c>
      <c r="E25294" s="2" t="str">
        <f>"9783486556018"</f>
        <v>9783486556018</v>
      </c>
      <c r="F25294" s="2" t="str">
        <f>"9783486595215"</f>
        <v>9783486595215</v>
      </c>
    </row>
    <row r="25295" spans="1:6" s="3" customFormat="1" ht="29.1" customHeight="1" x14ac:dyDescent="0.25">
      <c r="A25295" s="2" t="s">
        <v>49323</v>
      </c>
      <c r="B25295" s="2" t="s">
        <v>49324</v>
      </c>
      <c r="C25295" s="2" t="s">
        <v>195</v>
      </c>
      <c r="D25295" s="2" t="s">
        <v>210</v>
      </c>
      <c r="E25295" s="2" t="str">
        <f>"9783486531220"</f>
        <v>9783486531220</v>
      </c>
      <c r="F25295" s="2" t="str">
        <f>"9783486594744"</f>
        <v>9783486594744</v>
      </c>
    </row>
    <row r="25296" spans="1:6" s="3" customFormat="1" ht="29.1" customHeight="1" x14ac:dyDescent="0.25">
      <c r="A25296" s="2" t="s">
        <v>49325</v>
      </c>
      <c r="B25296" s="2" t="s">
        <v>49326</v>
      </c>
      <c r="C25296" s="2" t="s">
        <v>195</v>
      </c>
      <c r="D25296" s="2" t="s">
        <v>210</v>
      </c>
      <c r="E25296" s="2" t="str">
        <f>"9783486564419"</f>
        <v>9783486564419</v>
      </c>
      <c r="F25296" s="2" t="str">
        <f>"9783486594799"</f>
        <v>9783486594799</v>
      </c>
    </row>
    <row r="25297" spans="1:6" s="3" customFormat="1" ht="29.1" customHeight="1" x14ac:dyDescent="0.25">
      <c r="A25297" s="2" t="s">
        <v>49327</v>
      </c>
      <c r="B25297" s="2" t="s">
        <v>49194</v>
      </c>
      <c r="C25297" s="2" t="s">
        <v>195</v>
      </c>
      <c r="D25297" s="2" t="s">
        <v>210</v>
      </c>
      <c r="E25297" s="2" t="str">
        <f>"9783486578041"</f>
        <v>9783486578041</v>
      </c>
      <c r="F25297" s="2" t="str">
        <f>"9783486594652"</f>
        <v>9783486594652</v>
      </c>
    </row>
    <row r="25298" spans="1:6" s="3" customFormat="1" ht="29.1" customHeight="1" x14ac:dyDescent="0.25">
      <c r="A25298" s="2" t="s">
        <v>49328</v>
      </c>
      <c r="B25298" s="2" t="s">
        <v>49329</v>
      </c>
      <c r="C25298" s="2" t="s">
        <v>195</v>
      </c>
      <c r="D25298" s="2" t="s">
        <v>210</v>
      </c>
      <c r="E25298" s="2" t="str">
        <f>"9783486568257"</f>
        <v>9783486568257</v>
      </c>
      <c r="F25298" s="2" t="str">
        <f>"9783486594621"</f>
        <v>9783486594621</v>
      </c>
    </row>
    <row r="25299" spans="1:6" s="3" customFormat="1" ht="29.1" customHeight="1" x14ac:dyDescent="0.25">
      <c r="A25299" s="2" t="s">
        <v>49330</v>
      </c>
      <c r="B25299" s="2" t="s">
        <v>49331</v>
      </c>
      <c r="C25299" s="2" t="s">
        <v>195</v>
      </c>
      <c r="D25299" s="2" t="s">
        <v>210</v>
      </c>
      <c r="E25299" s="2" t="str">
        <f>"9783486564044"</f>
        <v>9783486564044</v>
      </c>
      <c r="F25299" s="2" t="str">
        <f>"9783486594430"</f>
        <v>9783486594430</v>
      </c>
    </row>
    <row r="25300" spans="1:6" s="3" customFormat="1" ht="29.1" customHeight="1" x14ac:dyDescent="0.25">
      <c r="A25300" s="2" t="s">
        <v>49332</v>
      </c>
      <c r="B25300" s="2" t="s">
        <v>49124</v>
      </c>
      <c r="C25300" s="2" t="s">
        <v>195</v>
      </c>
      <c r="D25300" s="2" t="s">
        <v>210</v>
      </c>
      <c r="E25300" s="2" t="str">
        <f>"9783486645347"</f>
        <v>9783486645347</v>
      </c>
      <c r="F25300" s="2" t="str">
        <f>"9783486593747"</f>
        <v>9783486593747</v>
      </c>
    </row>
    <row r="25301" spans="1:6" s="3" customFormat="1" ht="29.1" customHeight="1" x14ac:dyDescent="0.25">
      <c r="A25301" s="2" t="s">
        <v>49333</v>
      </c>
      <c r="B25301" s="2" t="s">
        <v>49334</v>
      </c>
      <c r="C25301" s="2" t="s">
        <v>195</v>
      </c>
      <c r="D25301" s="2" t="s">
        <v>210</v>
      </c>
      <c r="E25301" s="2" t="str">
        <f>"9783486645019"</f>
        <v>9783486645019</v>
      </c>
      <c r="F25301" s="2" t="str">
        <f>"9783486593686"</f>
        <v>9783486593686</v>
      </c>
    </row>
    <row r="25302" spans="1:6" s="3" customFormat="1" ht="29.1" customHeight="1" x14ac:dyDescent="0.25">
      <c r="A25302" s="2" t="s">
        <v>49335</v>
      </c>
      <c r="B25302" s="2" t="s">
        <v>49336</v>
      </c>
      <c r="C25302" s="2" t="s">
        <v>195</v>
      </c>
      <c r="D25302" s="2" t="s">
        <v>210</v>
      </c>
      <c r="E25302" s="2" t="str">
        <f>"9783486704020"</f>
        <v>9783486704020</v>
      </c>
      <c r="F25302" s="2" t="str">
        <f>"9783486712315"</f>
        <v>9783486712315</v>
      </c>
    </row>
    <row r="25303" spans="1:6" s="3" customFormat="1" ht="29.1" customHeight="1" x14ac:dyDescent="0.25">
      <c r="A25303" s="2" t="s">
        <v>49337</v>
      </c>
      <c r="B25303" s="2" t="s">
        <v>49338</v>
      </c>
      <c r="C25303" s="2" t="s">
        <v>195</v>
      </c>
      <c r="D25303" s="2" t="s">
        <v>1669</v>
      </c>
      <c r="E25303" s="2" t="str">
        <f>"9783486703719"</f>
        <v>9783486703719</v>
      </c>
      <c r="F25303" s="2" t="str">
        <f>"9783486705584"</f>
        <v>9783486705584</v>
      </c>
    </row>
    <row r="25304" spans="1:6" s="3" customFormat="1" ht="29.1" customHeight="1" x14ac:dyDescent="0.25">
      <c r="A25304" s="2" t="s">
        <v>49339</v>
      </c>
      <c r="B25304" s="2" t="s">
        <v>49340</v>
      </c>
      <c r="C25304" s="2" t="s">
        <v>195</v>
      </c>
      <c r="D25304" s="2" t="s">
        <v>210</v>
      </c>
      <c r="E25304" s="2"/>
      <c r="F25304" s="2" t="str">
        <f>"9783486703818"</f>
        <v>9783486703818</v>
      </c>
    </row>
    <row r="25305" spans="1:6" s="3" customFormat="1" ht="29.1" customHeight="1" x14ac:dyDescent="0.25">
      <c r="A25305" s="2" t="s">
        <v>49341</v>
      </c>
      <c r="B25305" s="2" t="s">
        <v>49157</v>
      </c>
      <c r="C25305" s="2" t="s">
        <v>195</v>
      </c>
      <c r="D25305" s="2" t="s">
        <v>210</v>
      </c>
      <c r="E25305" s="2"/>
      <c r="F25305" s="2" t="str">
        <f>"9783486703801"</f>
        <v>9783486703801</v>
      </c>
    </row>
    <row r="25306" spans="1:6" s="3" customFormat="1" ht="29.1" customHeight="1" x14ac:dyDescent="0.25">
      <c r="A25306" s="2" t="s">
        <v>49342</v>
      </c>
      <c r="B25306" s="2" t="s">
        <v>49343</v>
      </c>
      <c r="C25306" s="2" t="s">
        <v>195</v>
      </c>
      <c r="D25306" s="2" t="s">
        <v>210</v>
      </c>
      <c r="E25306" s="2"/>
      <c r="F25306" s="2" t="str">
        <f>"9783486703689"</f>
        <v>9783486703689</v>
      </c>
    </row>
    <row r="25307" spans="1:6" s="3" customFormat="1" ht="29.1" customHeight="1" x14ac:dyDescent="0.25">
      <c r="A25307" s="2" t="s">
        <v>49344</v>
      </c>
      <c r="B25307" s="2" t="s">
        <v>49345</v>
      </c>
      <c r="C25307" s="2" t="s">
        <v>195</v>
      </c>
      <c r="D25307" s="2" t="s">
        <v>210</v>
      </c>
      <c r="E25307" s="2"/>
      <c r="F25307" s="2" t="str">
        <f>"9783486703696"</f>
        <v>9783486703696</v>
      </c>
    </row>
    <row r="25308" spans="1:6" s="3" customFormat="1" ht="29.1" customHeight="1" x14ac:dyDescent="0.25">
      <c r="A25308" s="2" t="s">
        <v>49346</v>
      </c>
      <c r="B25308" s="2" t="s">
        <v>49347</v>
      </c>
      <c r="C25308" s="2" t="s">
        <v>195</v>
      </c>
      <c r="D25308" s="2" t="s">
        <v>210</v>
      </c>
      <c r="E25308" s="2"/>
      <c r="F25308" s="2" t="str">
        <f>"9783486703665"</f>
        <v>9783486703665</v>
      </c>
    </row>
    <row r="25309" spans="1:6" s="3" customFormat="1" ht="29.1" customHeight="1" x14ac:dyDescent="0.25">
      <c r="A25309" s="2" t="s">
        <v>49348</v>
      </c>
      <c r="B25309" s="2" t="s">
        <v>49349</v>
      </c>
      <c r="C25309" s="2" t="s">
        <v>195</v>
      </c>
      <c r="D25309" s="2" t="s">
        <v>210</v>
      </c>
      <c r="E25309" s="2"/>
      <c r="F25309" s="2" t="str">
        <f>"9783486703658"</f>
        <v>9783486703658</v>
      </c>
    </row>
    <row r="25310" spans="1:6" s="3" customFormat="1" ht="29.1" customHeight="1" x14ac:dyDescent="0.25">
      <c r="A25310" s="2" t="s">
        <v>49350</v>
      </c>
      <c r="B25310" s="2" t="s">
        <v>49351</v>
      </c>
      <c r="C25310" s="2" t="s">
        <v>195</v>
      </c>
      <c r="D25310" s="2" t="s">
        <v>210</v>
      </c>
      <c r="E25310" s="2"/>
      <c r="F25310" s="2" t="str">
        <f>"9783486703375"</f>
        <v>9783486703375</v>
      </c>
    </row>
    <row r="25311" spans="1:6" s="3" customFormat="1" ht="29.1" customHeight="1" x14ac:dyDescent="0.25">
      <c r="A25311" s="2" t="s">
        <v>49352</v>
      </c>
      <c r="B25311" s="2" t="s">
        <v>49353</v>
      </c>
      <c r="C25311" s="2" t="s">
        <v>195</v>
      </c>
      <c r="D25311" s="2" t="s">
        <v>210</v>
      </c>
      <c r="E25311" s="2"/>
      <c r="F25311" s="2" t="str">
        <f>"9783486703467"</f>
        <v>9783486703467</v>
      </c>
    </row>
    <row r="25312" spans="1:6" s="3" customFormat="1" ht="29.1" customHeight="1" x14ac:dyDescent="0.25">
      <c r="A25312" s="2" t="s">
        <v>49354</v>
      </c>
      <c r="B25312" s="2" t="s">
        <v>49355</v>
      </c>
      <c r="C25312" s="2" t="s">
        <v>195</v>
      </c>
      <c r="D25312" s="2" t="s">
        <v>210</v>
      </c>
      <c r="E25312" s="2" t="str">
        <f>"9783486645620"</f>
        <v>9783486645620</v>
      </c>
      <c r="F25312" s="2" t="str">
        <f>"9783486703184"</f>
        <v>9783486703184</v>
      </c>
    </row>
    <row r="25313" spans="1:6" s="3" customFormat="1" ht="29.1" customHeight="1" x14ac:dyDescent="0.25">
      <c r="A25313" s="2" t="s">
        <v>49356</v>
      </c>
      <c r="B25313" s="2" t="s">
        <v>43901</v>
      </c>
      <c r="C25313" s="2" t="s">
        <v>195</v>
      </c>
      <c r="D25313" s="2" t="s">
        <v>1466</v>
      </c>
      <c r="E25313" s="2" t="str">
        <f>"9783486645767"</f>
        <v>9783486645767</v>
      </c>
      <c r="F25313" s="2" t="str">
        <f>"9783486703009"</f>
        <v>9783486703009</v>
      </c>
    </row>
    <row r="25314" spans="1:6" s="3" customFormat="1" ht="29.1" customHeight="1" x14ac:dyDescent="0.25">
      <c r="A25314" s="2" t="s">
        <v>49357</v>
      </c>
      <c r="B25314" s="2" t="s">
        <v>49358</v>
      </c>
      <c r="C25314" s="2" t="s">
        <v>195</v>
      </c>
      <c r="D25314" s="2" t="s">
        <v>210</v>
      </c>
      <c r="E25314" s="2" t="str">
        <f>"9783486645781"</f>
        <v>9783486645781</v>
      </c>
      <c r="F25314" s="2" t="str">
        <f>"9783486702989"</f>
        <v>9783486702989</v>
      </c>
    </row>
    <row r="25315" spans="1:6" s="3" customFormat="1" ht="29.1" customHeight="1" x14ac:dyDescent="0.25">
      <c r="A25315" s="2" t="s">
        <v>49359</v>
      </c>
      <c r="B25315" s="2" t="s">
        <v>48450</v>
      </c>
      <c r="C25315" s="2" t="s">
        <v>195</v>
      </c>
      <c r="D25315" s="2" t="s">
        <v>210</v>
      </c>
      <c r="E25315" s="2" t="str">
        <f>"9783486645842"</f>
        <v>9783486645842</v>
      </c>
      <c r="F25315" s="2" t="str">
        <f>"9783486702910"</f>
        <v>9783486702910</v>
      </c>
    </row>
    <row r="25316" spans="1:6" s="3" customFormat="1" ht="29.1" customHeight="1" x14ac:dyDescent="0.25">
      <c r="A25316" s="2" t="s">
        <v>49360</v>
      </c>
      <c r="B25316" s="2" t="s">
        <v>45743</v>
      </c>
      <c r="C25316" s="2" t="s">
        <v>195</v>
      </c>
      <c r="D25316" s="2" t="s">
        <v>1669</v>
      </c>
      <c r="E25316" s="2" t="str">
        <f>"9783486591538"</f>
        <v>9783486591538</v>
      </c>
      <c r="F25316" s="2" t="str">
        <f>"9783486702767"</f>
        <v>9783486702767</v>
      </c>
    </row>
    <row r="25317" spans="1:6" s="3" customFormat="1" ht="29.1" customHeight="1" x14ac:dyDescent="0.25">
      <c r="A25317" s="2" t="s">
        <v>49361</v>
      </c>
      <c r="B25317" s="2" t="s">
        <v>49362</v>
      </c>
      <c r="C25317" s="2" t="s">
        <v>195</v>
      </c>
      <c r="D25317" s="2" t="s">
        <v>210</v>
      </c>
      <c r="E25317" s="2" t="str">
        <f>"9783486702255"</f>
        <v>9783486702255</v>
      </c>
      <c r="F25317" s="2" t="str">
        <f>"9783486702262"</f>
        <v>9783486702262</v>
      </c>
    </row>
    <row r="25318" spans="1:6" s="3" customFormat="1" ht="29.1" customHeight="1" x14ac:dyDescent="0.25">
      <c r="A25318" s="2" t="s">
        <v>49363</v>
      </c>
      <c r="B25318" s="2" t="s">
        <v>49364</v>
      </c>
      <c r="C25318" s="2" t="s">
        <v>195</v>
      </c>
      <c r="D25318" s="2" t="s">
        <v>210</v>
      </c>
      <c r="E25318" s="2" t="str">
        <f>"9783486598056"</f>
        <v>9783486598056</v>
      </c>
      <c r="F25318" s="2" t="str">
        <f>"9783486702200"</f>
        <v>9783486702200</v>
      </c>
    </row>
    <row r="25319" spans="1:6" s="3" customFormat="1" ht="29.1" customHeight="1" x14ac:dyDescent="0.25">
      <c r="A25319" s="2" t="s">
        <v>49365</v>
      </c>
      <c r="B25319" s="2" t="s">
        <v>48877</v>
      </c>
      <c r="C25319" s="2" t="s">
        <v>195</v>
      </c>
      <c r="D25319" s="2" t="s">
        <v>210</v>
      </c>
      <c r="E25319" s="2" t="str">
        <f>"9783486565959"</f>
        <v>9783486565959</v>
      </c>
      <c r="F25319" s="2" t="str">
        <f>"9783486708639"</f>
        <v>9783486708639</v>
      </c>
    </row>
    <row r="25320" spans="1:6" s="3" customFormat="1" ht="29.1" customHeight="1" x14ac:dyDescent="0.25">
      <c r="A25320" s="2" t="s">
        <v>49366</v>
      </c>
      <c r="B25320" s="2" t="s">
        <v>49130</v>
      </c>
      <c r="C25320" s="2" t="s">
        <v>195</v>
      </c>
      <c r="D25320" s="2" t="s">
        <v>210</v>
      </c>
      <c r="E25320" s="2" t="str">
        <f>"9783486591453"</f>
        <v>9783486591453</v>
      </c>
      <c r="F25320" s="2" t="str">
        <f>"9783486708257"</f>
        <v>9783486708257</v>
      </c>
    </row>
    <row r="25321" spans="1:6" s="3" customFormat="1" ht="29.1" customHeight="1" x14ac:dyDescent="0.25">
      <c r="A25321" s="2" t="s">
        <v>49367</v>
      </c>
      <c r="B25321" s="2" t="s">
        <v>49368</v>
      </c>
      <c r="C25321" s="2" t="s">
        <v>195</v>
      </c>
      <c r="D25321" s="2" t="s">
        <v>2019</v>
      </c>
      <c r="E25321" s="2" t="str">
        <f>"9783486591767"</f>
        <v>9783486591767</v>
      </c>
      <c r="F25321" s="2" t="str">
        <f>"9783486708271"</f>
        <v>9783486708271</v>
      </c>
    </row>
    <row r="25322" spans="1:6" s="3" customFormat="1" ht="29.1" customHeight="1" x14ac:dyDescent="0.25">
      <c r="A25322" s="2" t="s">
        <v>49369</v>
      </c>
      <c r="B25322" s="2" t="s">
        <v>49370</v>
      </c>
      <c r="C25322" s="2" t="s">
        <v>195</v>
      </c>
      <c r="D25322" s="2" t="s">
        <v>210</v>
      </c>
      <c r="E25322" s="2" t="str">
        <f>"9783486597455"</f>
        <v>9783486597455</v>
      </c>
      <c r="F25322" s="2" t="str">
        <f>"9783486707601"</f>
        <v>9783486707601</v>
      </c>
    </row>
    <row r="25323" spans="1:6" s="3" customFormat="1" ht="29.1" customHeight="1" x14ac:dyDescent="0.25">
      <c r="A25323" s="2" t="s">
        <v>49371</v>
      </c>
      <c r="B25323" s="2" t="s">
        <v>49372</v>
      </c>
      <c r="C25323" s="2" t="s">
        <v>195</v>
      </c>
      <c r="D25323" s="2" t="s">
        <v>210</v>
      </c>
      <c r="E25323" s="2" t="str">
        <f>"9783486590326"</f>
        <v>9783486590326</v>
      </c>
      <c r="F25323" s="2" t="str">
        <f>"9783486707366"</f>
        <v>9783486707366</v>
      </c>
    </row>
    <row r="25324" spans="1:6" s="3" customFormat="1" ht="29.1" customHeight="1" x14ac:dyDescent="0.25">
      <c r="A25324" s="2" t="s">
        <v>49373</v>
      </c>
      <c r="B25324" s="2" t="s">
        <v>49374</v>
      </c>
      <c r="C25324" s="2" t="s">
        <v>195</v>
      </c>
      <c r="D25324" s="2" t="s">
        <v>210</v>
      </c>
      <c r="E25324" s="2" t="str">
        <f>"9783486591385"</f>
        <v>9783486591385</v>
      </c>
      <c r="F25324" s="2" t="str">
        <f>"9783486707359"</f>
        <v>9783486707359</v>
      </c>
    </row>
    <row r="25325" spans="1:6" s="3" customFormat="1" ht="29.1" customHeight="1" x14ac:dyDescent="0.25">
      <c r="A25325" s="2" t="s">
        <v>49375</v>
      </c>
      <c r="B25325" s="2" t="s">
        <v>49376</v>
      </c>
      <c r="C25325" s="2" t="s">
        <v>195</v>
      </c>
      <c r="D25325" s="2" t="s">
        <v>210</v>
      </c>
      <c r="E25325" s="2" t="str">
        <f>"9783486576894"</f>
        <v>9783486576894</v>
      </c>
      <c r="F25325" s="2" t="str">
        <f>"9783486596328"</f>
        <v>9783486596328</v>
      </c>
    </row>
    <row r="25326" spans="1:6" s="3" customFormat="1" ht="29.1" customHeight="1" x14ac:dyDescent="0.25">
      <c r="A25326" s="2" t="s">
        <v>49377</v>
      </c>
      <c r="B25326" s="2" t="s">
        <v>49378</v>
      </c>
      <c r="C25326" s="2" t="s">
        <v>195</v>
      </c>
      <c r="D25326" s="2" t="s">
        <v>210</v>
      </c>
      <c r="E25326" s="2" t="str">
        <f>"9783486576832"</f>
        <v>9783486576832</v>
      </c>
      <c r="F25326" s="2" t="str">
        <f>"9783486596311"</f>
        <v>9783486596311</v>
      </c>
    </row>
    <row r="25327" spans="1:6" s="3" customFormat="1" ht="29.1" customHeight="1" x14ac:dyDescent="0.25">
      <c r="A25327" s="2" t="s">
        <v>49379</v>
      </c>
      <c r="B25327" s="2" t="s">
        <v>49200</v>
      </c>
      <c r="C25327" s="2" t="s">
        <v>195</v>
      </c>
      <c r="D25327" s="2" t="s">
        <v>210</v>
      </c>
      <c r="E25327" s="2" t="str">
        <f>"9783486565225"</f>
        <v>9783486565225</v>
      </c>
      <c r="F25327" s="2" t="str">
        <f>"9783486596113"</f>
        <v>9783486596113</v>
      </c>
    </row>
    <row r="25328" spans="1:6" s="3" customFormat="1" ht="29.1" customHeight="1" x14ac:dyDescent="0.25">
      <c r="A25328" s="2" t="s">
        <v>49380</v>
      </c>
      <c r="B25328" s="2" t="s">
        <v>49336</v>
      </c>
      <c r="C25328" s="2" t="s">
        <v>195</v>
      </c>
      <c r="D25328" s="2" t="s">
        <v>210</v>
      </c>
      <c r="E25328" s="2" t="str">
        <f>"9783486565010"</f>
        <v>9783486565010</v>
      </c>
      <c r="F25328" s="2" t="str">
        <f>"9783486596106"</f>
        <v>9783486596106</v>
      </c>
    </row>
    <row r="25329" spans="1:6" s="3" customFormat="1" ht="29.1" customHeight="1" x14ac:dyDescent="0.25">
      <c r="A25329" s="2" t="s">
        <v>49381</v>
      </c>
      <c r="B25329" s="2" t="s">
        <v>49382</v>
      </c>
      <c r="C25329" s="2" t="s">
        <v>195</v>
      </c>
      <c r="D25329" s="2" t="s">
        <v>210</v>
      </c>
      <c r="E25329" s="2" t="str">
        <f>"9783486561098"</f>
        <v>9783486561098</v>
      </c>
      <c r="F25329" s="2" t="str">
        <f>"9783486595802"</f>
        <v>9783486595802</v>
      </c>
    </row>
    <row r="25330" spans="1:6" s="3" customFormat="1" ht="29.1" customHeight="1" x14ac:dyDescent="0.25">
      <c r="A25330" s="2" t="s">
        <v>49383</v>
      </c>
      <c r="B25330" s="2" t="s">
        <v>49384</v>
      </c>
      <c r="C25330" s="2" t="s">
        <v>195</v>
      </c>
      <c r="D25330" s="2" t="s">
        <v>210</v>
      </c>
      <c r="E25330" s="2" t="str">
        <f>"9783486561081"</f>
        <v>9783486561081</v>
      </c>
      <c r="F25330" s="2" t="str">
        <f>"9783486595796"</f>
        <v>9783486595796</v>
      </c>
    </row>
    <row r="25331" spans="1:6" s="3" customFormat="1" ht="29.1" customHeight="1" x14ac:dyDescent="0.25">
      <c r="A25331" s="2" t="s">
        <v>49385</v>
      </c>
      <c r="B25331" s="2" t="s">
        <v>49386</v>
      </c>
      <c r="C25331" s="2" t="s">
        <v>195</v>
      </c>
      <c r="D25331" s="2" t="s">
        <v>210</v>
      </c>
      <c r="E25331" s="2" t="str">
        <f>"9783486560565"</f>
        <v>9783486560565</v>
      </c>
      <c r="F25331" s="2" t="str">
        <f>"9783486595758"</f>
        <v>9783486595758</v>
      </c>
    </row>
    <row r="25332" spans="1:6" s="3" customFormat="1" ht="29.1" customHeight="1" x14ac:dyDescent="0.25">
      <c r="A25332" s="2" t="s">
        <v>49387</v>
      </c>
      <c r="B25332" s="2" t="s">
        <v>49388</v>
      </c>
      <c r="C25332" s="2" t="s">
        <v>195</v>
      </c>
      <c r="D25332" s="2" t="s">
        <v>210</v>
      </c>
      <c r="E25332" s="2" t="str">
        <f>"9783486563634"</f>
        <v>9783486563634</v>
      </c>
      <c r="F25332" s="2" t="str">
        <f>"9783486594409"</f>
        <v>9783486594409</v>
      </c>
    </row>
    <row r="25333" spans="1:6" s="3" customFormat="1" ht="29.1" customHeight="1" x14ac:dyDescent="0.25">
      <c r="A25333" s="2" t="s">
        <v>49389</v>
      </c>
      <c r="B25333" s="2" t="s">
        <v>49390</v>
      </c>
      <c r="C25333" s="2" t="s">
        <v>195</v>
      </c>
      <c r="D25333" s="2" t="s">
        <v>210</v>
      </c>
      <c r="E25333" s="2" t="str">
        <f>"9783486714944"</f>
        <v>9783486714944</v>
      </c>
      <c r="F25333" s="2" t="str">
        <f>"9783486729740"</f>
        <v>9783486729740</v>
      </c>
    </row>
    <row r="25334" spans="1:6" s="3" customFormat="1" ht="29.1" customHeight="1" x14ac:dyDescent="0.25">
      <c r="A25334" s="2" t="s">
        <v>49391</v>
      </c>
      <c r="B25334" s="2" t="s">
        <v>49392</v>
      </c>
      <c r="C25334" s="2" t="s">
        <v>195</v>
      </c>
      <c r="D25334" s="2" t="s">
        <v>210</v>
      </c>
      <c r="E25334" s="2" t="str">
        <f>"9783486703146"</f>
        <v>9783486703146</v>
      </c>
      <c r="F25334" s="2" t="str">
        <f>"9783486715156"</f>
        <v>9783486715156</v>
      </c>
    </row>
    <row r="25335" spans="1:6" s="3" customFormat="1" ht="29.1" customHeight="1" x14ac:dyDescent="0.25">
      <c r="A25335" s="2" t="s">
        <v>49393</v>
      </c>
      <c r="B25335" s="2" t="s">
        <v>49394</v>
      </c>
      <c r="C25335" s="2" t="s">
        <v>195</v>
      </c>
      <c r="D25335" s="2" t="s">
        <v>210</v>
      </c>
      <c r="E25335" s="2" t="str">
        <f>"9783486718638"</f>
        <v>9783486718638</v>
      </c>
      <c r="F25335" s="2" t="str">
        <f>"9783486778243"</f>
        <v>9783486778243</v>
      </c>
    </row>
    <row r="25336" spans="1:6" s="3" customFormat="1" ht="29.1" customHeight="1" x14ac:dyDescent="0.25">
      <c r="A25336" s="2" t="s">
        <v>49395</v>
      </c>
      <c r="B25336" s="2" t="s">
        <v>46551</v>
      </c>
      <c r="C25336" s="2" t="s">
        <v>195</v>
      </c>
      <c r="D25336" s="2" t="s">
        <v>210</v>
      </c>
      <c r="E25336" s="2" t="str">
        <f>"9783486704150"</f>
        <v>9783486704150</v>
      </c>
      <c r="F25336" s="2" t="str">
        <f>"9783486705676"</f>
        <v>9783486705676</v>
      </c>
    </row>
    <row r="25337" spans="1:6" s="3" customFormat="1" ht="29.1" customHeight="1" x14ac:dyDescent="0.25">
      <c r="A25337" s="2" t="s">
        <v>49396</v>
      </c>
      <c r="B25337" s="2" t="s">
        <v>49397</v>
      </c>
      <c r="C25337" s="2" t="s">
        <v>195</v>
      </c>
      <c r="D25337" s="2" t="s">
        <v>210</v>
      </c>
      <c r="E25337" s="2" t="str">
        <f>"9783486705331"</f>
        <v>9783486705331</v>
      </c>
      <c r="F25337" s="2" t="str">
        <f>"9783486705645"</f>
        <v>9783486705645</v>
      </c>
    </row>
    <row r="25338" spans="1:6" s="3" customFormat="1" ht="29.1" customHeight="1" x14ac:dyDescent="0.25">
      <c r="A25338" s="2" t="s">
        <v>49398</v>
      </c>
      <c r="B25338" s="2" t="s">
        <v>49399</v>
      </c>
      <c r="C25338" s="2" t="s">
        <v>195</v>
      </c>
      <c r="D25338" s="2" t="s">
        <v>210</v>
      </c>
      <c r="E25338" s="2" t="str">
        <f>"9783486598049"</f>
        <v>9783486598049</v>
      </c>
      <c r="F25338" s="2" t="str">
        <f>"9783486705164"</f>
        <v>9783486705164</v>
      </c>
    </row>
    <row r="25339" spans="1:6" s="3" customFormat="1" ht="29.1" customHeight="1" x14ac:dyDescent="0.25">
      <c r="A25339" s="2" t="s">
        <v>49400</v>
      </c>
      <c r="B25339" s="2" t="s">
        <v>49401</v>
      </c>
      <c r="C25339" s="2" t="s">
        <v>195</v>
      </c>
      <c r="D25339" s="2" t="s">
        <v>210</v>
      </c>
      <c r="E25339" s="2" t="str">
        <f>"9783486598124"</f>
        <v>9783486598124</v>
      </c>
      <c r="F25339" s="2" t="str">
        <f>"9783486704310"</f>
        <v>9783486704310</v>
      </c>
    </row>
    <row r="25340" spans="1:6" s="3" customFormat="1" ht="29.1" customHeight="1" x14ac:dyDescent="0.25">
      <c r="A25340" s="2" t="s">
        <v>49402</v>
      </c>
      <c r="B25340" s="2" t="s">
        <v>35436</v>
      </c>
      <c r="C25340" s="2" t="s">
        <v>195</v>
      </c>
      <c r="D25340" s="2" t="s">
        <v>210</v>
      </c>
      <c r="E25340" s="2"/>
      <c r="F25340" s="2" t="str">
        <f>"9783486703535"</f>
        <v>9783486703535</v>
      </c>
    </row>
    <row r="25341" spans="1:6" s="3" customFormat="1" ht="29.1" customHeight="1" x14ac:dyDescent="0.25">
      <c r="A25341" s="2" t="s">
        <v>49403</v>
      </c>
      <c r="B25341" s="2" t="s">
        <v>49404</v>
      </c>
      <c r="C25341" s="2" t="s">
        <v>195</v>
      </c>
      <c r="D25341" s="2" t="s">
        <v>210</v>
      </c>
      <c r="E25341" s="2"/>
      <c r="F25341" s="2" t="str">
        <f>"9783486703627"</f>
        <v>9783486703627</v>
      </c>
    </row>
    <row r="25342" spans="1:6" s="3" customFormat="1" ht="29.1" customHeight="1" x14ac:dyDescent="0.25">
      <c r="A25342" s="2" t="s">
        <v>49405</v>
      </c>
      <c r="B25342" s="2" t="s">
        <v>49406</v>
      </c>
      <c r="C25342" s="2" t="s">
        <v>195</v>
      </c>
      <c r="D25342" s="2" t="s">
        <v>210</v>
      </c>
      <c r="E25342" s="2"/>
      <c r="F25342" s="2" t="str">
        <f>"9783486703764"</f>
        <v>9783486703764</v>
      </c>
    </row>
    <row r="25343" spans="1:6" s="3" customFormat="1" ht="29.1" customHeight="1" x14ac:dyDescent="0.25">
      <c r="A25343" s="2" t="s">
        <v>49407</v>
      </c>
      <c r="B25343" s="2" t="s">
        <v>47905</v>
      </c>
      <c r="C25343" s="2" t="s">
        <v>195</v>
      </c>
      <c r="D25343" s="2" t="s">
        <v>210</v>
      </c>
      <c r="E25343" s="2" t="str">
        <f>"9783486645422"</f>
        <v>9783486645422</v>
      </c>
      <c r="F25343" s="2" t="str">
        <f>"9783486703382"</f>
        <v>9783486703382</v>
      </c>
    </row>
    <row r="25344" spans="1:6" s="3" customFormat="1" ht="29.1" customHeight="1" x14ac:dyDescent="0.25">
      <c r="A25344" s="2" t="s">
        <v>49408</v>
      </c>
      <c r="B25344" s="2" t="s">
        <v>49409</v>
      </c>
      <c r="C25344" s="2" t="s">
        <v>195</v>
      </c>
      <c r="D25344" s="2" t="s">
        <v>210</v>
      </c>
      <c r="E25344" s="2" t="str">
        <f>"9783486645477"</f>
        <v>9783486645477</v>
      </c>
      <c r="F25344" s="2" t="str">
        <f>"9783486703337"</f>
        <v>9783486703337</v>
      </c>
    </row>
    <row r="25345" spans="1:6" s="3" customFormat="1" ht="29.1" customHeight="1" x14ac:dyDescent="0.25">
      <c r="A25345" s="2" t="s">
        <v>49410</v>
      </c>
      <c r="B25345" s="2" t="s">
        <v>49411</v>
      </c>
      <c r="C25345" s="2" t="s">
        <v>195</v>
      </c>
      <c r="D25345" s="2" t="s">
        <v>210</v>
      </c>
      <c r="E25345" s="2"/>
      <c r="F25345" s="2" t="str">
        <f>"9783486703252"</f>
        <v>9783486703252</v>
      </c>
    </row>
    <row r="25346" spans="1:6" s="3" customFormat="1" ht="29.1" customHeight="1" x14ac:dyDescent="0.25">
      <c r="A25346" s="2" t="s">
        <v>49412</v>
      </c>
      <c r="B25346" s="2" t="s">
        <v>49413</v>
      </c>
      <c r="C25346" s="2" t="s">
        <v>195</v>
      </c>
      <c r="D25346" s="2" t="s">
        <v>210</v>
      </c>
      <c r="E25346" s="2"/>
      <c r="F25346" s="2" t="str">
        <f>"9783486703245"</f>
        <v>9783486703245</v>
      </c>
    </row>
    <row r="25347" spans="1:6" s="3" customFormat="1" ht="29.1" customHeight="1" x14ac:dyDescent="0.25">
      <c r="A25347" s="2" t="s">
        <v>49414</v>
      </c>
      <c r="B25347" s="2" t="s">
        <v>49415</v>
      </c>
      <c r="C25347" s="2" t="s">
        <v>195</v>
      </c>
      <c r="D25347" s="2" t="s">
        <v>210</v>
      </c>
      <c r="E25347" s="2"/>
      <c r="F25347" s="2" t="str">
        <f>"9783486703177"</f>
        <v>9783486703177</v>
      </c>
    </row>
    <row r="25348" spans="1:6" s="3" customFormat="1" ht="29.1" customHeight="1" x14ac:dyDescent="0.25">
      <c r="A25348" s="2" t="s">
        <v>49416</v>
      </c>
      <c r="B25348" s="2" t="s">
        <v>49417</v>
      </c>
      <c r="C25348" s="2" t="s">
        <v>195</v>
      </c>
      <c r="D25348" s="2" t="s">
        <v>210</v>
      </c>
      <c r="E25348" s="2" t="str">
        <f>"9783486645606"</f>
        <v>9783486645606</v>
      </c>
      <c r="F25348" s="2" t="str">
        <f>"9783486703207"</f>
        <v>9783486703207</v>
      </c>
    </row>
    <row r="25349" spans="1:6" s="3" customFormat="1" ht="29.1" customHeight="1" x14ac:dyDescent="0.25">
      <c r="A25349" s="2" t="s">
        <v>49418</v>
      </c>
      <c r="B25349" s="2" t="s">
        <v>49419</v>
      </c>
      <c r="C25349" s="2" t="s">
        <v>195</v>
      </c>
      <c r="D25349" s="2" t="s">
        <v>210</v>
      </c>
      <c r="E25349" s="2" t="str">
        <f>"9783486580884"</f>
        <v>9783486580884</v>
      </c>
      <c r="F25349" s="2" t="str">
        <f>"9783486702828"</f>
        <v>9783486702828</v>
      </c>
    </row>
    <row r="25350" spans="1:6" s="3" customFormat="1" ht="29.1" customHeight="1" x14ac:dyDescent="0.25">
      <c r="A25350" s="2" t="s">
        <v>49420</v>
      </c>
      <c r="B25350" s="2" t="s">
        <v>49421</v>
      </c>
      <c r="C25350" s="2" t="s">
        <v>195</v>
      </c>
      <c r="D25350" s="2" t="s">
        <v>210</v>
      </c>
      <c r="E25350" s="2" t="str">
        <f>"9783486645729"</f>
        <v>9783486645729</v>
      </c>
      <c r="F25350" s="2" t="str">
        <f>"9783486703047"</f>
        <v>9783486703047</v>
      </c>
    </row>
    <row r="25351" spans="1:6" s="3" customFormat="1" ht="29.1" customHeight="1" x14ac:dyDescent="0.25">
      <c r="A25351" s="2" t="s">
        <v>49422</v>
      </c>
      <c r="B25351" s="2" t="s">
        <v>49215</v>
      </c>
      <c r="C25351" s="2" t="s">
        <v>195</v>
      </c>
      <c r="D25351" s="2" t="s">
        <v>210</v>
      </c>
      <c r="E25351" s="2" t="str">
        <f>"9783486645651"</f>
        <v>9783486645651</v>
      </c>
      <c r="F25351" s="2" t="str">
        <f>"9783486703115"</f>
        <v>9783486703115</v>
      </c>
    </row>
    <row r="25352" spans="1:6" s="3" customFormat="1" ht="29.1" customHeight="1" x14ac:dyDescent="0.25">
      <c r="A25352" s="2" t="s">
        <v>49423</v>
      </c>
      <c r="B25352" s="2" t="s">
        <v>49424</v>
      </c>
      <c r="C25352" s="2" t="s">
        <v>195</v>
      </c>
      <c r="D25352" s="2" t="s">
        <v>210</v>
      </c>
      <c r="E25352" s="2" t="str">
        <f>"9783486589504"</f>
        <v>9783486589504</v>
      </c>
      <c r="F25352" s="2" t="str">
        <f>"9783486708295"</f>
        <v>9783486708295</v>
      </c>
    </row>
    <row r="25353" spans="1:6" s="3" customFormat="1" ht="29.1" customHeight="1" x14ac:dyDescent="0.25">
      <c r="A25353" s="2" t="s">
        <v>38471</v>
      </c>
      <c r="B25353" s="2" t="s">
        <v>45113</v>
      </c>
      <c r="C25353" s="2" t="s">
        <v>195</v>
      </c>
      <c r="D25353" s="2" t="s">
        <v>210</v>
      </c>
      <c r="E25353" s="2" t="str">
        <f>"9783486579772"</f>
        <v>9783486579772</v>
      </c>
      <c r="F25353" s="2" t="str">
        <f>"9783486707816"</f>
        <v>9783486707816</v>
      </c>
    </row>
    <row r="25354" spans="1:6" s="3" customFormat="1" ht="29.1" customHeight="1" x14ac:dyDescent="0.25">
      <c r="A25354" s="2" t="s">
        <v>49425</v>
      </c>
      <c r="B25354" s="2" t="s">
        <v>49426</v>
      </c>
      <c r="C25354" s="2" t="s">
        <v>195</v>
      </c>
      <c r="D25354" s="2" t="s">
        <v>210</v>
      </c>
      <c r="E25354" s="2" t="str">
        <f>"9783486580693"</f>
        <v>9783486580693</v>
      </c>
      <c r="F25354" s="2" t="str">
        <f>"9783486707427"</f>
        <v>9783486707427</v>
      </c>
    </row>
    <row r="25355" spans="1:6" s="3" customFormat="1" ht="29.1" customHeight="1" x14ac:dyDescent="0.25">
      <c r="A25355" s="2" t="s">
        <v>49427</v>
      </c>
      <c r="B25355" s="2" t="s">
        <v>49126</v>
      </c>
      <c r="C25355" s="2" t="s">
        <v>195</v>
      </c>
      <c r="D25355" s="2" t="s">
        <v>210</v>
      </c>
      <c r="E25355" s="2" t="str">
        <f>"9783486583458"</f>
        <v>9783486583458</v>
      </c>
      <c r="F25355" s="2" t="str">
        <f>"9783486707380"</f>
        <v>9783486707380</v>
      </c>
    </row>
    <row r="25356" spans="1:6" s="3" customFormat="1" ht="29.1" customHeight="1" x14ac:dyDescent="0.25">
      <c r="A25356" s="2" t="s">
        <v>49428</v>
      </c>
      <c r="B25356" s="2" t="s">
        <v>43823</v>
      </c>
      <c r="C25356" s="2" t="s">
        <v>195</v>
      </c>
      <c r="D25356" s="2" t="s">
        <v>210</v>
      </c>
      <c r="E25356" s="2" t="str">
        <f>"9783486579406"</f>
        <v>9783486579406</v>
      </c>
      <c r="F25356" s="2" t="str">
        <f>"9783486596366"</f>
        <v>9783486596366</v>
      </c>
    </row>
    <row r="25357" spans="1:6" s="3" customFormat="1" ht="29.1" customHeight="1" x14ac:dyDescent="0.25">
      <c r="A25357" s="2" t="s">
        <v>49429</v>
      </c>
      <c r="B25357" s="2" t="s">
        <v>49430</v>
      </c>
      <c r="C25357" s="2" t="s">
        <v>195</v>
      </c>
      <c r="D25357" s="2" t="s">
        <v>210</v>
      </c>
      <c r="E25357" s="2" t="str">
        <f>"9783486562378"</f>
        <v>9783486562378</v>
      </c>
      <c r="F25357" s="2" t="str">
        <f>"9783486595864"</f>
        <v>9783486595864</v>
      </c>
    </row>
    <row r="25358" spans="1:6" s="3" customFormat="1" ht="29.1" customHeight="1" x14ac:dyDescent="0.25">
      <c r="A25358" s="2" t="s">
        <v>49431</v>
      </c>
      <c r="B25358" s="2" t="s">
        <v>49432</v>
      </c>
      <c r="C25358" s="2" t="s">
        <v>195</v>
      </c>
      <c r="D25358" s="2" t="s">
        <v>210</v>
      </c>
      <c r="E25358" s="2" t="str">
        <f>"9783486563818"</f>
        <v>9783486563818</v>
      </c>
      <c r="F25358" s="2" t="str">
        <f>"9783486596007"</f>
        <v>9783486596007</v>
      </c>
    </row>
    <row r="25359" spans="1:6" s="3" customFormat="1" ht="29.1" customHeight="1" x14ac:dyDescent="0.25">
      <c r="A25359" s="2" t="s">
        <v>49433</v>
      </c>
      <c r="B25359" s="2" t="s">
        <v>49434</v>
      </c>
      <c r="C25359" s="2" t="s">
        <v>195</v>
      </c>
      <c r="D25359" s="2" t="s">
        <v>210</v>
      </c>
      <c r="E25359" s="2" t="str">
        <f>"9783486579840"</f>
        <v>9783486579840</v>
      </c>
      <c r="F25359" s="2" t="str">
        <f>"9783486594690"</f>
        <v>9783486594690</v>
      </c>
    </row>
    <row r="25360" spans="1:6" s="3" customFormat="1" ht="29.1" customHeight="1" x14ac:dyDescent="0.25">
      <c r="A25360" s="2" t="s">
        <v>49435</v>
      </c>
      <c r="B25360" s="2" t="s">
        <v>49436</v>
      </c>
      <c r="C25360" s="2" t="s">
        <v>195</v>
      </c>
      <c r="D25360" s="2" t="s">
        <v>210</v>
      </c>
      <c r="E25360" s="2" t="str">
        <f>"9783486565584"</f>
        <v>9783486565584</v>
      </c>
      <c r="F25360" s="2" t="str">
        <f>"9783486594812"</f>
        <v>9783486594812</v>
      </c>
    </row>
    <row r="25361" spans="1:6" s="3" customFormat="1" ht="29.1" customHeight="1" x14ac:dyDescent="0.25">
      <c r="A25361" s="2" t="s">
        <v>49437</v>
      </c>
      <c r="B25361" s="2" t="s">
        <v>49128</v>
      </c>
      <c r="C25361" s="2" t="s">
        <v>195</v>
      </c>
      <c r="D25361" s="2" t="s">
        <v>210</v>
      </c>
      <c r="E25361" s="2" t="str">
        <f>"9783486561999"</f>
        <v>9783486561999</v>
      </c>
      <c r="F25361" s="2" t="str">
        <f>"9783486594362"</f>
        <v>9783486594362</v>
      </c>
    </row>
    <row r="25362" spans="1:6" s="3" customFormat="1" ht="29.1" customHeight="1" x14ac:dyDescent="0.25">
      <c r="A25362" s="2" t="s">
        <v>49438</v>
      </c>
      <c r="B25362" s="2" t="s">
        <v>49439</v>
      </c>
      <c r="C25362" s="2" t="s">
        <v>195</v>
      </c>
      <c r="D25362" s="2" t="s">
        <v>210</v>
      </c>
      <c r="E25362" s="2" t="str">
        <f>"9783486561234"</f>
        <v>9783486561234</v>
      </c>
      <c r="F25362" s="2" t="str">
        <f>"9783486594317"</f>
        <v>9783486594317</v>
      </c>
    </row>
    <row r="25363" spans="1:6" s="3" customFormat="1" ht="29.1" customHeight="1" x14ac:dyDescent="0.25">
      <c r="A25363" s="2" t="s">
        <v>49440</v>
      </c>
      <c r="B25363" s="2" t="s">
        <v>49441</v>
      </c>
      <c r="C25363" s="2" t="s">
        <v>195</v>
      </c>
      <c r="D25363" s="2" t="s">
        <v>210</v>
      </c>
      <c r="E25363" s="2" t="str">
        <f>"9783486645064"</f>
        <v>9783486645064</v>
      </c>
      <c r="F25363" s="2" t="str">
        <f>"9783486593716"</f>
        <v>9783486593716</v>
      </c>
    </row>
    <row r="25364" spans="1:6" s="3" customFormat="1" ht="29.1" customHeight="1" x14ac:dyDescent="0.25">
      <c r="A25364" s="2" t="s">
        <v>49442</v>
      </c>
      <c r="B25364" s="2" t="s">
        <v>49443</v>
      </c>
      <c r="C25364" s="2" t="s">
        <v>195</v>
      </c>
      <c r="D25364" s="2" t="s">
        <v>210</v>
      </c>
      <c r="E25364" s="2" t="str">
        <f>"9783486645040"</f>
        <v>9783486645040</v>
      </c>
      <c r="F25364" s="2" t="str">
        <f>"9783486593709"</f>
        <v>9783486593709</v>
      </c>
    </row>
    <row r="25365" spans="1:6" s="3" customFormat="1" ht="29.1" customHeight="1" x14ac:dyDescent="0.25">
      <c r="A25365" s="2" t="s">
        <v>49444</v>
      </c>
      <c r="B25365" s="2" t="s">
        <v>49445</v>
      </c>
      <c r="C25365" s="2" t="s">
        <v>195</v>
      </c>
      <c r="D25365" s="2" t="s">
        <v>210</v>
      </c>
      <c r="E25365" s="2" t="str">
        <f>"9783486645002"</f>
        <v>9783486645002</v>
      </c>
      <c r="F25365" s="2" t="str">
        <f>"9783486593662"</f>
        <v>9783486593662</v>
      </c>
    </row>
    <row r="25366" spans="1:6" s="3" customFormat="1" ht="29.1" customHeight="1" x14ac:dyDescent="0.25">
      <c r="A25366" s="2" t="s">
        <v>49446</v>
      </c>
      <c r="B25366" s="2" t="s">
        <v>49447</v>
      </c>
      <c r="C25366" s="2" t="s">
        <v>195</v>
      </c>
      <c r="D25366" s="2" t="s">
        <v>210</v>
      </c>
      <c r="E25366" s="2" t="str">
        <f>"9783486576498"</f>
        <v>9783486576498</v>
      </c>
      <c r="F25366" s="2" t="str">
        <f>"9783486593679"</f>
        <v>9783486593679</v>
      </c>
    </row>
    <row r="25367" spans="1:6" s="3" customFormat="1" ht="29.1" customHeight="1" x14ac:dyDescent="0.25">
      <c r="A25367" s="2" t="s">
        <v>47904</v>
      </c>
      <c r="B25367" s="2" t="s">
        <v>47905</v>
      </c>
      <c r="C25367" s="2" t="s">
        <v>195</v>
      </c>
      <c r="D25367" s="2" t="s">
        <v>210</v>
      </c>
      <c r="E25367" s="2"/>
      <c r="F25367" s="2" t="str">
        <f>"9783486590791"</f>
        <v>9783486590791</v>
      </c>
    </row>
    <row r="25368" spans="1:6" s="3" customFormat="1" ht="29.1" customHeight="1" x14ac:dyDescent="0.25">
      <c r="A25368" s="2" t="s">
        <v>49448</v>
      </c>
      <c r="B25368" s="2" t="s">
        <v>49378</v>
      </c>
      <c r="C25368" s="2" t="s">
        <v>195</v>
      </c>
      <c r="D25368" s="2" t="s">
        <v>218</v>
      </c>
      <c r="E25368" s="2" t="str">
        <f>"9783486709476"</f>
        <v>9783486709476</v>
      </c>
      <c r="F25368" s="2" t="str">
        <f>"9783486718454"</f>
        <v>9783486718454</v>
      </c>
    </row>
    <row r="25369" spans="1:6" s="3" customFormat="1" ht="29.1" customHeight="1" x14ac:dyDescent="0.25">
      <c r="A25369" s="2" t="s">
        <v>49449</v>
      </c>
      <c r="B25369" s="2" t="s">
        <v>49450</v>
      </c>
      <c r="C25369" s="2" t="s">
        <v>195</v>
      </c>
      <c r="D25369" s="2" t="s">
        <v>210</v>
      </c>
      <c r="E25369" s="2" t="str">
        <f>"9783486716986"</f>
        <v>9783486716986</v>
      </c>
      <c r="F25369" s="2" t="str">
        <f>"9783486721126"</f>
        <v>9783486721126</v>
      </c>
    </row>
    <row r="25370" spans="1:6" s="3" customFormat="1" ht="29.1" customHeight="1" x14ac:dyDescent="0.25">
      <c r="A25370" s="2" t="s">
        <v>49451</v>
      </c>
      <c r="B25370" s="2" t="s">
        <v>49452</v>
      </c>
      <c r="C25370" s="2" t="s">
        <v>195</v>
      </c>
      <c r="D25370" s="2" t="s">
        <v>210</v>
      </c>
      <c r="E25370" s="2" t="str">
        <f>"9783486705034"</f>
        <v>9783486705034</v>
      </c>
      <c r="F25370" s="2" t="str">
        <f>"9783486713510"</f>
        <v>9783486713510</v>
      </c>
    </row>
    <row r="25371" spans="1:6" s="3" customFormat="1" ht="29.1" customHeight="1" x14ac:dyDescent="0.25">
      <c r="A25371" s="2" t="s">
        <v>49453</v>
      </c>
      <c r="B25371" s="2" t="s">
        <v>49454</v>
      </c>
      <c r="C25371" s="2" t="s">
        <v>195</v>
      </c>
      <c r="D25371" s="2" t="s">
        <v>2019</v>
      </c>
      <c r="E25371" s="2" t="str">
        <f>"9783486704662"</f>
        <v>9783486704662</v>
      </c>
      <c r="F25371" s="2" t="str">
        <f>"9783486713350"</f>
        <v>9783486713350</v>
      </c>
    </row>
    <row r="25372" spans="1:6" s="3" customFormat="1" ht="29.1" customHeight="1" x14ac:dyDescent="0.25">
      <c r="A25372" s="2" t="s">
        <v>49455</v>
      </c>
      <c r="B25372" s="2" t="s">
        <v>47930</v>
      </c>
      <c r="C25372" s="2" t="s">
        <v>195</v>
      </c>
      <c r="D25372" s="2" t="s">
        <v>210</v>
      </c>
      <c r="E25372" s="2" t="str">
        <f>"9783486705898"</f>
        <v>9783486705898</v>
      </c>
      <c r="F25372" s="2" t="str">
        <f>"9783486713343"</f>
        <v>9783486713343</v>
      </c>
    </row>
    <row r="25373" spans="1:6" s="3" customFormat="1" ht="29.1" customHeight="1" x14ac:dyDescent="0.25">
      <c r="A25373" s="2" t="s">
        <v>49456</v>
      </c>
      <c r="B25373" s="2" t="s">
        <v>49281</v>
      </c>
      <c r="C25373" s="2" t="s">
        <v>195</v>
      </c>
      <c r="D25373" s="2" t="s">
        <v>210</v>
      </c>
      <c r="E25373" s="2" t="str">
        <f>"9783486582550"</f>
        <v>9783486582550</v>
      </c>
      <c r="F25373" s="2" t="str">
        <f>"9783486711738"</f>
        <v>9783486711738</v>
      </c>
    </row>
    <row r="25374" spans="1:6" s="3" customFormat="1" ht="29.1" customHeight="1" x14ac:dyDescent="0.25">
      <c r="A25374" s="2" t="s">
        <v>49457</v>
      </c>
      <c r="B25374" s="2" t="s">
        <v>49458</v>
      </c>
      <c r="C25374" s="2" t="s">
        <v>195</v>
      </c>
      <c r="D25374" s="2" t="s">
        <v>210</v>
      </c>
      <c r="E25374" s="2" t="str">
        <f>"9783486747089"</f>
        <v>9783486747089</v>
      </c>
      <c r="F25374" s="2" t="str">
        <f>"9783486781045"</f>
        <v>9783486781045</v>
      </c>
    </row>
    <row r="25375" spans="1:6" s="3" customFormat="1" ht="29.1" customHeight="1" x14ac:dyDescent="0.25">
      <c r="A25375" s="2" t="s">
        <v>49459</v>
      </c>
      <c r="B25375" s="2" t="s">
        <v>49460</v>
      </c>
      <c r="C25375" s="2" t="s">
        <v>195</v>
      </c>
      <c r="D25375" s="2" t="s">
        <v>210</v>
      </c>
      <c r="E25375" s="2"/>
      <c r="F25375" s="2" t="str">
        <f>"9783486703498"</f>
        <v>9783486703498</v>
      </c>
    </row>
    <row r="25376" spans="1:6" s="3" customFormat="1" ht="29.1" customHeight="1" x14ac:dyDescent="0.25">
      <c r="A25376" s="2" t="s">
        <v>49461</v>
      </c>
      <c r="B25376" s="2" t="s">
        <v>49462</v>
      </c>
      <c r="C25376" s="2" t="s">
        <v>195</v>
      </c>
      <c r="D25376" s="2" t="s">
        <v>210</v>
      </c>
      <c r="E25376" s="2"/>
      <c r="F25376" s="2" t="str">
        <f>"9783486703429"</f>
        <v>9783486703429</v>
      </c>
    </row>
    <row r="25377" spans="1:6" s="3" customFormat="1" ht="29.1" customHeight="1" x14ac:dyDescent="0.25">
      <c r="A25377" s="2" t="s">
        <v>49463</v>
      </c>
      <c r="B25377" s="2" t="s">
        <v>49464</v>
      </c>
      <c r="C25377" s="2" t="s">
        <v>195</v>
      </c>
      <c r="D25377" s="2" t="s">
        <v>210</v>
      </c>
      <c r="E25377" s="2"/>
      <c r="F25377" s="2" t="str">
        <f>"9783486703405"</f>
        <v>9783486703405</v>
      </c>
    </row>
    <row r="25378" spans="1:6" s="3" customFormat="1" ht="29.1" customHeight="1" x14ac:dyDescent="0.25">
      <c r="A25378" s="2" t="s">
        <v>49465</v>
      </c>
      <c r="B25378" s="2" t="s">
        <v>49466</v>
      </c>
      <c r="C25378" s="2" t="s">
        <v>195</v>
      </c>
      <c r="D25378" s="2" t="s">
        <v>210</v>
      </c>
      <c r="E25378" s="2" t="str">
        <f>"9783486645699"</f>
        <v>9783486645699</v>
      </c>
      <c r="F25378" s="2" t="str">
        <f>"9783486703078"</f>
        <v>9783486703078</v>
      </c>
    </row>
    <row r="25379" spans="1:6" s="3" customFormat="1" ht="29.1" customHeight="1" x14ac:dyDescent="0.25">
      <c r="A25379" s="2" t="s">
        <v>49467</v>
      </c>
      <c r="B25379" s="2" t="s">
        <v>49468</v>
      </c>
      <c r="C25379" s="2" t="s">
        <v>195</v>
      </c>
      <c r="D25379" s="2" t="s">
        <v>210</v>
      </c>
      <c r="E25379" s="2" t="str">
        <f>"9783486645736"</f>
        <v>9783486645736</v>
      </c>
      <c r="F25379" s="2" t="str">
        <f>"9783486703030"</f>
        <v>9783486703030</v>
      </c>
    </row>
    <row r="25380" spans="1:6" s="3" customFormat="1" ht="29.1" customHeight="1" x14ac:dyDescent="0.25">
      <c r="A25380" s="2" t="s">
        <v>49469</v>
      </c>
      <c r="B25380" s="2" t="s">
        <v>49470</v>
      </c>
      <c r="C25380" s="2" t="s">
        <v>195</v>
      </c>
      <c r="D25380" s="2" t="s">
        <v>210</v>
      </c>
      <c r="E25380" s="2" t="str">
        <f>"9783486645866"</f>
        <v>9783486645866</v>
      </c>
      <c r="F25380" s="2" t="str">
        <f>"9783486702897"</f>
        <v>9783486702897</v>
      </c>
    </row>
    <row r="25381" spans="1:6" s="3" customFormat="1" ht="29.1" customHeight="1" x14ac:dyDescent="0.25">
      <c r="A25381" s="2" t="s">
        <v>49471</v>
      </c>
      <c r="B25381" s="2" t="s">
        <v>49472</v>
      </c>
      <c r="C25381" s="2" t="s">
        <v>195</v>
      </c>
      <c r="D25381" s="2" t="s">
        <v>210</v>
      </c>
      <c r="E25381" s="2" t="str">
        <f>"9783486583984"</f>
        <v>9783486583984</v>
      </c>
      <c r="F25381" s="2" t="str">
        <f>"9783486702804"</f>
        <v>9783486702804</v>
      </c>
    </row>
    <row r="25382" spans="1:6" s="3" customFormat="1" ht="29.1" customHeight="1" x14ac:dyDescent="0.25">
      <c r="A25382" s="2" t="s">
        <v>49473</v>
      </c>
      <c r="B25382" s="2" t="s">
        <v>47925</v>
      </c>
      <c r="C25382" s="2" t="s">
        <v>195</v>
      </c>
      <c r="D25382" s="2" t="s">
        <v>210</v>
      </c>
      <c r="E25382" s="2" t="str">
        <f>"9783486596434"</f>
        <v>9783486596434</v>
      </c>
      <c r="F25382" s="2" t="str">
        <f>"9783486708288"</f>
        <v>9783486708288</v>
      </c>
    </row>
    <row r="25383" spans="1:6" s="3" customFormat="1" ht="29.1" customHeight="1" x14ac:dyDescent="0.25">
      <c r="A25383" s="2" t="s">
        <v>49474</v>
      </c>
      <c r="B25383" s="2" t="s">
        <v>49475</v>
      </c>
      <c r="C25383" s="2" t="s">
        <v>195</v>
      </c>
      <c r="D25383" s="2" t="s">
        <v>210</v>
      </c>
      <c r="E25383" s="2" t="str">
        <f>"9783486701012"</f>
        <v>9783486701012</v>
      </c>
      <c r="F25383" s="2" t="str">
        <f>"9783486707595"</f>
        <v>9783486707595</v>
      </c>
    </row>
    <row r="25384" spans="1:6" s="3" customFormat="1" ht="29.1" customHeight="1" x14ac:dyDescent="0.25">
      <c r="A25384" s="2" t="s">
        <v>49476</v>
      </c>
      <c r="B25384" s="2" t="s">
        <v>49477</v>
      </c>
      <c r="C25384" s="2" t="s">
        <v>195</v>
      </c>
      <c r="D25384" s="2" t="s">
        <v>210</v>
      </c>
      <c r="E25384" s="2" t="str">
        <f>"9783486566963"</f>
        <v>9783486566963</v>
      </c>
      <c r="F25384" s="2" t="str">
        <f>"9783486707472"</f>
        <v>9783486707472</v>
      </c>
    </row>
    <row r="25385" spans="1:6" s="3" customFormat="1" ht="29.1" customHeight="1" x14ac:dyDescent="0.25">
      <c r="A25385" s="2" t="s">
        <v>49478</v>
      </c>
      <c r="B25385" s="2" t="s">
        <v>49479</v>
      </c>
      <c r="C25385" s="2" t="s">
        <v>195</v>
      </c>
      <c r="D25385" s="2" t="s">
        <v>210</v>
      </c>
      <c r="E25385" s="2" t="str">
        <f>"9783486581836"</f>
        <v>9783486581836</v>
      </c>
      <c r="F25385" s="2" t="str">
        <f>"9783486707458"</f>
        <v>9783486707458</v>
      </c>
    </row>
    <row r="25386" spans="1:6" s="3" customFormat="1" ht="29.1" customHeight="1" x14ac:dyDescent="0.25">
      <c r="A25386" s="2" t="s">
        <v>49480</v>
      </c>
      <c r="B25386" s="2" t="s">
        <v>49481</v>
      </c>
      <c r="C25386" s="2" t="s">
        <v>195</v>
      </c>
      <c r="D25386" s="2" t="s">
        <v>210</v>
      </c>
      <c r="E25386" s="2" t="str">
        <f>"9783486579925"</f>
        <v>9783486579925</v>
      </c>
      <c r="F25386" s="2" t="str">
        <f>"9783486707410"</f>
        <v>9783486707410</v>
      </c>
    </row>
    <row r="25387" spans="1:6" s="3" customFormat="1" ht="29.1" customHeight="1" x14ac:dyDescent="0.25">
      <c r="A25387" s="2" t="s">
        <v>49482</v>
      </c>
      <c r="B25387" s="2" t="s">
        <v>49483</v>
      </c>
      <c r="C25387" s="2" t="s">
        <v>195</v>
      </c>
      <c r="D25387" s="2" t="s">
        <v>210</v>
      </c>
      <c r="E25387" s="2" t="str">
        <f>"9783486588576"</f>
        <v>9783486588576</v>
      </c>
      <c r="F25387" s="2" t="str">
        <f>"9783486707465"</f>
        <v>9783486707465</v>
      </c>
    </row>
    <row r="25388" spans="1:6" s="3" customFormat="1" ht="29.1" customHeight="1" x14ac:dyDescent="0.25">
      <c r="A25388" s="2" t="s">
        <v>49484</v>
      </c>
      <c r="B25388" s="2" t="s">
        <v>49485</v>
      </c>
      <c r="C25388" s="2" t="s">
        <v>195</v>
      </c>
      <c r="D25388" s="2" t="s">
        <v>210</v>
      </c>
      <c r="E25388" s="2" t="str">
        <f>"9783486585438"</f>
        <v>9783486585438</v>
      </c>
      <c r="F25388" s="2" t="str">
        <f>"9783486706543"</f>
        <v>9783486706543</v>
      </c>
    </row>
    <row r="25389" spans="1:6" s="3" customFormat="1" ht="29.1" customHeight="1" x14ac:dyDescent="0.25">
      <c r="A25389" s="2" t="s">
        <v>49486</v>
      </c>
      <c r="B25389" s="2" t="s">
        <v>49487</v>
      </c>
      <c r="C25389" s="2" t="s">
        <v>195</v>
      </c>
      <c r="D25389" s="2" t="s">
        <v>210</v>
      </c>
      <c r="E25389" s="2" t="str">
        <f>"9783486585049"</f>
        <v>9783486585049</v>
      </c>
      <c r="F25389" s="2" t="str">
        <f>"9783486706529"</f>
        <v>9783486706529</v>
      </c>
    </row>
    <row r="25390" spans="1:6" s="3" customFormat="1" ht="29.1" customHeight="1" x14ac:dyDescent="0.25">
      <c r="A25390" s="2" t="s">
        <v>49488</v>
      </c>
      <c r="B25390" s="2" t="s">
        <v>49489</v>
      </c>
      <c r="C25390" s="2" t="s">
        <v>195</v>
      </c>
      <c r="D25390" s="2" t="s">
        <v>5930</v>
      </c>
      <c r="E25390" s="2" t="str">
        <f>"9783486562415"</f>
        <v>9783486562415</v>
      </c>
      <c r="F25390" s="2" t="str">
        <f>"9783486595888"</f>
        <v>9783486595888</v>
      </c>
    </row>
    <row r="25391" spans="1:6" s="3" customFormat="1" ht="29.1" customHeight="1" x14ac:dyDescent="0.25">
      <c r="A25391" s="2" t="s">
        <v>49490</v>
      </c>
      <c r="B25391" s="2" t="s">
        <v>48450</v>
      </c>
      <c r="C25391" s="2" t="s">
        <v>195</v>
      </c>
      <c r="D25391" s="2" t="s">
        <v>210</v>
      </c>
      <c r="E25391" s="2" t="str">
        <f>"9783486559286"</f>
        <v>9783486559286</v>
      </c>
      <c r="F25391" s="2" t="str">
        <f>"9783486594768"</f>
        <v>9783486594768</v>
      </c>
    </row>
    <row r="25392" spans="1:6" s="3" customFormat="1" ht="29.1" customHeight="1" x14ac:dyDescent="0.25">
      <c r="A25392" s="2" t="s">
        <v>49491</v>
      </c>
      <c r="B25392" s="2" t="s">
        <v>49492</v>
      </c>
      <c r="C25392" s="2" t="s">
        <v>195</v>
      </c>
      <c r="D25392" s="2" t="s">
        <v>210</v>
      </c>
      <c r="E25392" s="2" t="str">
        <f>"9783486578072"</f>
        <v>9783486578072</v>
      </c>
      <c r="F25392" s="2" t="str">
        <f>"9783486594669"</f>
        <v>9783486594669</v>
      </c>
    </row>
    <row r="25393" spans="1:6" s="3" customFormat="1" ht="29.1" customHeight="1" x14ac:dyDescent="0.25">
      <c r="A25393" s="2" t="s">
        <v>49493</v>
      </c>
      <c r="B25393" s="2" t="s">
        <v>49494</v>
      </c>
      <c r="C25393" s="2" t="s">
        <v>195</v>
      </c>
      <c r="D25393" s="2" t="s">
        <v>210</v>
      </c>
      <c r="E25393" s="2" t="str">
        <f>"9783486549416"</f>
        <v>9783486549416</v>
      </c>
      <c r="F25393" s="2" t="str">
        <f>"9783486594188"</f>
        <v>9783486594188</v>
      </c>
    </row>
    <row r="25394" spans="1:6" s="3" customFormat="1" ht="29.1" customHeight="1" x14ac:dyDescent="0.25">
      <c r="A25394" s="2" t="s">
        <v>49495</v>
      </c>
      <c r="B25394" s="2" t="s">
        <v>49496</v>
      </c>
      <c r="C25394" s="2" t="s">
        <v>195</v>
      </c>
      <c r="D25394" s="2" t="s">
        <v>210</v>
      </c>
      <c r="E25394" s="2" t="str">
        <f>"9783486717181"</f>
        <v>9783486717181</v>
      </c>
      <c r="F25394" s="2" t="str">
        <f>"9783486718843"</f>
        <v>9783486718843</v>
      </c>
    </row>
    <row r="25395" spans="1:6" s="3" customFormat="1" ht="29.1" customHeight="1" x14ac:dyDescent="0.25">
      <c r="A25395" s="2" t="s">
        <v>49497</v>
      </c>
      <c r="B25395" s="2" t="s">
        <v>49498</v>
      </c>
      <c r="C25395" s="2" t="s">
        <v>195</v>
      </c>
      <c r="D25395" s="2" t="s">
        <v>210</v>
      </c>
      <c r="E25395" s="2" t="str">
        <f>"9783486713022"</f>
        <v>9783486713022</v>
      </c>
      <c r="F25395" s="2" t="str">
        <f>"9783486717174"</f>
        <v>9783486717174</v>
      </c>
    </row>
    <row r="25396" spans="1:6" s="3" customFormat="1" ht="29.1" customHeight="1" x14ac:dyDescent="0.25">
      <c r="A25396" s="2" t="s">
        <v>49499</v>
      </c>
      <c r="B25396" s="2" t="s">
        <v>46551</v>
      </c>
      <c r="C25396" s="2" t="s">
        <v>195</v>
      </c>
      <c r="D25396" s="2" t="s">
        <v>210</v>
      </c>
      <c r="E25396" s="2" t="str">
        <f>"9783486598063"</f>
        <v>9783486598063</v>
      </c>
      <c r="F25396" s="2" t="str">
        <f>"9783486705201"</f>
        <v>9783486705201</v>
      </c>
    </row>
    <row r="25397" spans="1:6" s="3" customFormat="1" ht="29.1" customHeight="1" x14ac:dyDescent="0.25">
      <c r="A25397" s="2" t="s">
        <v>49500</v>
      </c>
      <c r="B25397" s="2" t="s">
        <v>49501</v>
      </c>
      <c r="C25397" s="2" t="s">
        <v>195</v>
      </c>
      <c r="D25397" s="2" t="s">
        <v>210</v>
      </c>
      <c r="E25397" s="2"/>
      <c r="F25397" s="2" t="str">
        <f>"9783486703795"</f>
        <v>9783486703795</v>
      </c>
    </row>
    <row r="25398" spans="1:6" s="3" customFormat="1" ht="29.1" customHeight="1" x14ac:dyDescent="0.25">
      <c r="A25398" s="2" t="s">
        <v>49502</v>
      </c>
      <c r="B25398" s="2" t="s">
        <v>49503</v>
      </c>
      <c r="C25398" s="2" t="s">
        <v>195</v>
      </c>
      <c r="D25398" s="2" t="s">
        <v>210</v>
      </c>
      <c r="E25398" s="2"/>
      <c r="F25398" s="2" t="str">
        <f>"9783486703757"</f>
        <v>9783486703757</v>
      </c>
    </row>
    <row r="25399" spans="1:6" s="3" customFormat="1" ht="29.1" customHeight="1" x14ac:dyDescent="0.25">
      <c r="A25399" s="2" t="s">
        <v>49504</v>
      </c>
      <c r="B25399" s="2" t="s">
        <v>49505</v>
      </c>
      <c r="C25399" s="2" t="s">
        <v>195</v>
      </c>
      <c r="D25399" s="2" t="s">
        <v>210</v>
      </c>
      <c r="E25399" s="2"/>
      <c r="F25399" s="2" t="str">
        <f>"9783486703597"</f>
        <v>9783486703597</v>
      </c>
    </row>
    <row r="25400" spans="1:6" s="3" customFormat="1" ht="29.1" customHeight="1" x14ac:dyDescent="0.25">
      <c r="A25400" s="2" t="s">
        <v>49506</v>
      </c>
      <c r="B25400" s="2" t="s">
        <v>49507</v>
      </c>
      <c r="C25400" s="2" t="s">
        <v>195</v>
      </c>
      <c r="D25400" s="2" t="s">
        <v>210</v>
      </c>
      <c r="E25400" s="2"/>
      <c r="F25400" s="2" t="str">
        <f>"9783486703641"</f>
        <v>9783486703641</v>
      </c>
    </row>
    <row r="25401" spans="1:6" s="3" customFormat="1" ht="29.1" customHeight="1" x14ac:dyDescent="0.25">
      <c r="A25401" s="2" t="s">
        <v>49508</v>
      </c>
      <c r="B25401" s="2" t="s">
        <v>49509</v>
      </c>
      <c r="C25401" s="2" t="s">
        <v>195</v>
      </c>
      <c r="D25401" s="2" t="s">
        <v>210</v>
      </c>
      <c r="E25401" s="2"/>
      <c r="F25401" s="2" t="str">
        <f>"9783486703528"</f>
        <v>9783486703528</v>
      </c>
    </row>
    <row r="25402" spans="1:6" s="3" customFormat="1" ht="29.1" customHeight="1" x14ac:dyDescent="0.25">
      <c r="A25402" s="2" t="s">
        <v>49510</v>
      </c>
      <c r="B25402" s="2" t="s">
        <v>49511</v>
      </c>
      <c r="C25402" s="2" t="s">
        <v>195</v>
      </c>
      <c r="D25402" s="2" t="s">
        <v>210</v>
      </c>
      <c r="E25402" s="2"/>
      <c r="F25402" s="2" t="str">
        <f>"9783486703320"</f>
        <v>9783486703320</v>
      </c>
    </row>
    <row r="25403" spans="1:6" s="3" customFormat="1" ht="29.1" customHeight="1" x14ac:dyDescent="0.25">
      <c r="A25403" s="2" t="s">
        <v>49512</v>
      </c>
      <c r="B25403" s="2" t="s">
        <v>49513</v>
      </c>
      <c r="C25403" s="2" t="s">
        <v>195</v>
      </c>
      <c r="D25403" s="2" t="s">
        <v>210</v>
      </c>
      <c r="E25403" s="2" t="str">
        <f>"9783486645682"</f>
        <v>9783486645682</v>
      </c>
      <c r="F25403" s="2" t="str">
        <f>"9783486703092"</f>
        <v>9783486703092</v>
      </c>
    </row>
    <row r="25404" spans="1:6" s="3" customFormat="1" ht="29.1" customHeight="1" x14ac:dyDescent="0.25">
      <c r="A25404" s="2" t="s">
        <v>49514</v>
      </c>
      <c r="B25404" s="2" t="s">
        <v>49515</v>
      </c>
      <c r="C25404" s="2" t="s">
        <v>195</v>
      </c>
      <c r="D25404" s="2" t="s">
        <v>210</v>
      </c>
      <c r="E25404" s="2"/>
      <c r="F25404" s="2" t="str">
        <f>"9783486703306"</f>
        <v>9783486703306</v>
      </c>
    </row>
    <row r="25405" spans="1:6" s="3" customFormat="1" ht="29.1" customHeight="1" x14ac:dyDescent="0.25">
      <c r="A25405" s="2" t="s">
        <v>49516</v>
      </c>
      <c r="B25405" s="2" t="s">
        <v>49517</v>
      </c>
      <c r="C25405" s="2" t="s">
        <v>195</v>
      </c>
      <c r="D25405" s="2" t="s">
        <v>210</v>
      </c>
      <c r="E25405" s="2" t="str">
        <f>"9783486645798"</f>
        <v>9783486645798</v>
      </c>
      <c r="F25405" s="2" t="str">
        <f>"9783486702972"</f>
        <v>9783486702972</v>
      </c>
    </row>
    <row r="25406" spans="1:6" s="3" customFormat="1" ht="29.1" customHeight="1" x14ac:dyDescent="0.25">
      <c r="A25406" s="2" t="s">
        <v>49518</v>
      </c>
      <c r="B25406" s="2" t="s">
        <v>49180</v>
      </c>
      <c r="C25406" s="2" t="s">
        <v>195</v>
      </c>
      <c r="D25406" s="2" t="s">
        <v>210</v>
      </c>
      <c r="E25406" s="2" t="str">
        <f>"9783486597837"</f>
        <v>9783486597837</v>
      </c>
      <c r="F25406" s="2" t="str">
        <f>"9783486702743"</f>
        <v>9783486702743</v>
      </c>
    </row>
    <row r="25407" spans="1:6" s="3" customFormat="1" ht="29.1" customHeight="1" x14ac:dyDescent="0.25">
      <c r="A25407" s="2" t="s">
        <v>49519</v>
      </c>
      <c r="B25407" s="2" t="s">
        <v>49336</v>
      </c>
      <c r="C25407" s="2" t="s">
        <v>195</v>
      </c>
      <c r="D25407" s="2" t="s">
        <v>210</v>
      </c>
      <c r="E25407" s="2" t="str">
        <f>"9783486575736"</f>
        <v>9783486575736</v>
      </c>
      <c r="F25407" s="2" t="str">
        <f>"9783486702866"</f>
        <v>9783486702866</v>
      </c>
    </row>
    <row r="25408" spans="1:6" s="3" customFormat="1" ht="29.1" customHeight="1" x14ac:dyDescent="0.25">
      <c r="A25408" s="2" t="s">
        <v>49520</v>
      </c>
      <c r="B25408" s="2" t="s">
        <v>49521</v>
      </c>
      <c r="C25408" s="2" t="s">
        <v>195</v>
      </c>
      <c r="D25408" s="2" t="s">
        <v>210</v>
      </c>
      <c r="E25408" s="2" t="str">
        <f>"9783486645859"</f>
        <v>9783486645859</v>
      </c>
      <c r="F25408" s="2" t="str">
        <f>"9783486702903"</f>
        <v>9783486702903</v>
      </c>
    </row>
    <row r="25409" spans="1:6" s="3" customFormat="1" ht="29.1" customHeight="1" x14ac:dyDescent="0.25">
      <c r="A25409" s="2" t="s">
        <v>49522</v>
      </c>
      <c r="B25409" s="2" t="s">
        <v>49138</v>
      </c>
      <c r="C25409" s="2" t="s">
        <v>195</v>
      </c>
      <c r="D25409" s="2" t="s">
        <v>1466</v>
      </c>
      <c r="E25409" s="2" t="str">
        <f>"9783486585605"</f>
        <v>9783486585605</v>
      </c>
      <c r="F25409" s="2" t="str">
        <f>"9783486702798"</f>
        <v>9783486702798</v>
      </c>
    </row>
    <row r="25410" spans="1:6" s="3" customFormat="1" ht="29.1" customHeight="1" x14ac:dyDescent="0.25">
      <c r="A25410" s="2" t="s">
        <v>49523</v>
      </c>
      <c r="B25410" s="2" t="s">
        <v>49362</v>
      </c>
      <c r="C25410" s="2" t="s">
        <v>195</v>
      </c>
      <c r="D25410" s="2" t="s">
        <v>210</v>
      </c>
      <c r="E25410" s="2" t="str">
        <f>"9783486581447"</f>
        <v>9783486581447</v>
      </c>
      <c r="F25410" s="2" t="str">
        <f>"9783486708264"</f>
        <v>9783486708264</v>
      </c>
    </row>
    <row r="25411" spans="1:6" s="3" customFormat="1" ht="29.1" customHeight="1" x14ac:dyDescent="0.25">
      <c r="A25411" s="2" t="s">
        <v>49524</v>
      </c>
      <c r="B25411" s="2" t="s">
        <v>48877</v>
      </c>
      <c r="C25411" s="2" t="s">
        <v>195</v>
      </c>
      <c r="D25411" s="2" t="s">
        <v>210</v>
      </c>
      <c r="E25411" s="2" t="str">
        <f>"9783486565966"</f>
        <v>9783486565966</v>
      </c>
      <c r="F25411" s="2" t="str">
        <f>"9783486708646"</f>
        <v>9783486708646</v>
      </c>
    </row>
    <row r="25412" spans="1:6" s="3" customFormat="1" ht="29.1" customHeight="1" x14ac:dyDescent="0.25">
      <c r="A25412" s="2" t="s">
        <v>49525</v>
      </c>
      <c r="B25412" s="2" t="s">
        <v>49526</v>
      </c>
      <c r="C25412" s="2" t="s">
        <v>195</v>
      </c>
      <c r="D25412" s="2" t="s">
        <v>210</v>
      </c>
      <c r="E25412" s="2" t="str">
        <f>"9783486588842"</f>
        <v>9783486588842</v>
      </c>
      <c r="F25412" s="2" t="str">
        <f>"9783486707540"</f>
        <v>9783486707540</v>
      </c>
    </row>
    <row r="25413" spans="1:6" s="3" customFormat="1" ht="29.1" customHeight="1" x14ac:dyDescent="0.25">
      <c r="A25413" s="2" t="s">
        <v>49527</v>
      </c>
      <c r="B25413" s="2" t="s">
        <v>49528</v>
      </c>
      <c r="C25413" s="2" t="s">
        <v>195</v>
      </c>
      <c r="D25413" s="2" t="s">
        <v>210</v>
      </c>
      <c r="E25413" s="2" t="str">
        <f>"9783486585421"</f>
        <v>9783486585421</v>
      </c>
      <c r="F25413" s="2" t="str">
        <f>"9783486707373"</f>
        <v>9783486707373</v>
      </c>
    </row>
    <row r="25414" spans="1:6" s="3" customFormat="1" ht="29.1" customHeight="1" x14ac:dyDescent="0.25">
      <c r="A25414" s="2" t="s">
        <v>49529</v>
      </c>
      <c r="B25414" s="2" t="s">
        <v>49530</v>
      </c>
      <c r="C25414" s="2" t="s">
        <v>195</v>
      </c>
      <c r="D25414" s="2" t="s">
        <v>210</v>
      </c>
      <c r="E25414" s="2" t="str">
        <f>"9783486589443"</f>
        <v>9783486589443</v>
      </c>
      <c r="F25414" s="2" t="str">
        <f>"9783486706550"</f>
        <v>9783486706550</v>
      </c>
    </row>
    <row r="25415" spans="1:6" s="3" customFormat="1" ht="29.1" customHeight="1" x14ac:dyDescent="0.25">
      <c r="A25415" s="2" t="s">
        <v>49531</v>
      </c>
      <c r="B25415" s="2" t="s">
        <v>49336</v>
      </c>
      <c r="C25415" s="2" t="s">
        <v>195</v>
      </c>
      <c r="D25415" s="2" t="s">
        <v>210</v>
      </c>
      <c r="E25415" s="2" t="str">
        <f>"9783486580877"</f>
        <v>9783486580877</v>
      </c>
      <c r="F25415" s="2" t="str">
        <f>"9783486706314"</f>
        <v>9783486706314</v>
      </c>
    </row>
    <row r="25416" spans="1:6" s="3" customFormat="1" ht="29.1" customHeight="1" x14ac:dyDescent="0.25">
      <c r="A25416" s="2" t="s">
        <v>49532</v>
      </c>
      <c r="B25416" s="2" t="s">
        <v>49533</v>
      </c>
      <c r="C25416" s="2" t="s">
        <v>195</v>
      </c>
      <c r="D25416" s="2" t="s">
        <v>210</v>
      </c>
      <c r="E25416" s="2" t="str">
        <f>"9783486583311"</f>
        <v>9783486583311</v>
      </c>
      <c r="F25416" s="2" t="str">
        <f>"9783486706444"</f>
        <v>9783486706444</v>
      </c>
    </row>
    <row r="25417" spans="1:6" s="3" customFormat="1" ht="29.1" customHeight="1" x14ac:dyDescent="0.25">
      <c r="A25417" s="2" t="s">
        <v>49534</v>
      </c>
      <c r="B25417" s="2" t="s">
        <v>49535</v>
      </c>
      <c r="C25417" s="2" t="s">
        <v>195</v>
      </c>
      <c r="D25417" s="2" t="s">
        <v>210</v>
      </c>
      <c r="E25417" s="2" t="str">
        <f>"9783486577570"</f>
        <v>9783486577570</v>
      </c>
      <c r="F25417" s="2" t="str">
        <f>"9783486596335"</f>
        <v>9783486596335</v>
      </c>
    </row>
    <row r="25418" spans="1:6" s="3" customFormat="1" ht="29.1" customHeight="1" x14ac:dyDescent="0.25">
      <c r="A25418" s="2" t="s">
        <v>49536</v>
      </c>
      <c r="B25418" s="2" t="s">
        <v>49372</v>
      </c>
      <c r="C25418" s="2" t="s">
        <v>195</v>
      </c>
      <c r="D25418" s="2" t="s">
        <v>210</v>
      </c>
      <c r="E25418" s="2" t="str">
        <f>"9783486566161"</f>
        <v>9783486566161</v>
      </c>
      <c r="F25418" s="2" t="str">
        <f>"9783486596199"</f>
        <v>9783486596199</v>
      </c>
    </row>
    <row r="25419" spans="1:6" s="3" customFormat="1" ht="29.1" customHeight="1" x14ac:dyDescent="0.25">
      <c r="A25419" s="2" t="s">
        <v>49537</v>
      </c>
      <c r="B25419" s="2" t="s">
        <v>48913</v>
      </c>
      <c r="C25419" s="2" t="s">
        <v>195</v>
      </c>
      <c r="D25419" s="2" t="s">
        <v>210</v>
      </c>
      <c r="E25419" s="2" t="str">
        <f>"9783486568455"</f>
        <v>9783486568455</v>
      </c>
      <c r="F25419" s="2" t="str">
        <f>"9783486596298"</f>
        <v>9783486596298</v>
      </c>
    </row>
    <row r="25420" spans="1:6" s="3" customFormat="1" ht="29.1" customHeight="1" x14ac:dyDescent="0.25">
      <c r="A25420" s="2" t="s">
        <v>49538</v>
      </c>
      <c r="B25420" s="2" t="s">
        <v>49539</v>
      </c>
      <c r="C25420" s="2" t="s">
        <v>195</v>
      </c>
      <c r="D25420" s="2" t="s">
        <v>210</v>
      </c>
      <c r="E25420" s="2" t="str">
        <f>"9783486575705"</f>
        <v>9783486575705</v>
      </c>
      <c r="F25420" s="2" t="str">
        <f>"9783486596304"</f>
        <v>9783486596304</v>
      </c>
    </row>
    <row r="25421" spans="1:6" s="3" customFormat="1" ht="29.1" customHeight="1" x14ac:dyDescent="0.25">
      <c r="A25421" s="2" t="s">
        <v>49540</v>
      </c>
      <c r="B25421" s="2" t="s">
        <v>49541</v>
      </c>
      <c r="C25421" s="2" t="s">
        <v>195</v>
      </c>
      <c r="D25421" s="2" t="s">
        <v>210</v>
      </c>
      <c r="E25421" s="2" t="str">
        <f>"9783486561166"</f>
        <v>9783486561166</v>
      </c>
      <c r="F25421" s="2" t="str">
        <f>"9783486595819"</f>
        <v>9783486595819</v>
      </c>
    </row>
    <row r="25422" spans="1:6" s="3" customFormat="1" ht="29.1" customHeight="1" x14ac:dyDescent="0.25">
      <c r="A25422" s="2" t="s">
        <v>49542</v>
      </c>
      <c r="B25422" s="2" t="s">
        <v>48079</v>
      </c>
      <c r="C25422" s="2" t="s">
        <v>195</v>
      </c>
      <c r="D25422" s="2" t="s">
        <v>210</v>
      </c>
      <c r="E25422" s="2" t="str">
        <f>"9783486561647"</f>
        <v>9783486561647</v>
      </c>
      <c r="F25422" s="2" t="str">
        <f>"9783486595857"</f>
        <v>9783486595857</v>
      </c>
    </row>
    <row r="25423" spans="1:6" s="3" customFormat="1" ht="29.1" customHeight="1" x14ac:dyDescent="0.25">
      <c r="A25423" s="2" t="s">
        <v>49543</v>
      </c>
      <c r="B25423" s="2" t="s">
        <v>49217</v>
      </c>
      <c r="C25423" s="2" t="s">
        <v>195</v>
      </c>
      <c r="D25423" s="2" t="s">
        <v>210</v>
      </c>
      <c r="E25423" s="2" t="str">
        <f>"9783486559088"</f>
        <v>9783486559088</v>
      </c>
      <c r="F25423" s="2" t="str">
        <f>"9783486595666"</f>
        <v>9783486595666</v>
      </c>
    </row>
    <row r="25424" spans="1:6" s="3" customFormat="1" ht="29.1" customHeight="1" x14ac:dyDescent="0.25">
      <c r="A25424" s="2" t="s">
        <v>49544</v>
      </c>
      <c r="B25424" s="2" t="s">
        <v>49545</v>
      </c>
      <c r="C25424" s="2" t="s">
        <v>195</v>
      </c>
      <c r="D25424" s="2" t="s">
        <v>1466</v>
      </c>
      <c r="E25424" s="2" t="str">
        <f>"9783486541113"</f>
        <v>9783486541113</v>
      </c>
      <c r="F25424" s="2" t="str">
        <f>"9783486595499"</f>
        <v>9783486595499</v>
      </c>
    </row>
    <row r="25425" spans="1:6" s="3" customFormat="1" ht="29.1" customHeight="1" x14ac:dyDescent="0.25">
      <c r="A25425" s="2" t="s">
        <v>49546</v>
      </c>
      <c r="B25425" s="2" t="s">
        <v>49130</v>
      </c>
      <c r="C25425" s="2" t="s">
        <v>195</v>
      </c>
      <c r="D25425" s="2" t="s">
        <v>210</v>
      </c>
      <c r="E25425" s="2" t="str">
        <f>"9783486551518"</f>
        <v>9783486551518</v>
      </c>
      <c r="F25425" s="2" t="str">
        <f>"9783486595208"</f>
        <v>9783486595208</v>
      </c>
    </row>
    <row r="25426" spans="1:6" s="3" customFormat="1" ht="29.1" customHeight="1" x14ac:dyDescent="0.25">
      <c r="A25426" s="2" t="s">
        <v>49547</v>
      </c>
      <c r="B25426" s="2" t="s">
        <v>49548</v>
      </c>
      <c r="C25426" s="2" t="s">
        <v>195</v>
      </c>
      <c r="D25426" s="2" t="s">
        <v>210</v>
      </c>
      <c r="E25426" s="2" t="str">
        <f>"9783486581324"</f>
        <v>9783486581324</v>
      </c>
      <c r="F25426" s="2" t="str">
        <f>"9783486594737"</f>
        <v>9783486594737</v>
      </c>
    </row>
    <row r="25427" spans="1:6" s="3" customFormat="1" ht="29.1" customHeight="1" x14ac:dyDescent="0.25">
      <c r="A25427" s="2" t="s">
        <v>49549</v>
      </c>
      <c r="B25427" s="2" t="s">
        <v>49550</v>
      </c>
      <c r="C25427" s="2" t="s">
        <v>195</v>
      </c>
      <c r="D25427" s="2" t="s">
        <v>210</v>
      </c>
      <c r="E25427" s="2" t="str">
        <f>"9783486567649"</f>
        <v>9783486567649</v>
      </c>
      <c r="F25427" s="2" t="str">
        <f>"9783486594584"</f>
        <v>9783486594584</v>
      </c>
    </row>
    <row r="25428" spans="1:6" s="3" customFormat="1" ht="29.1" customHeight="1" x14ac:dyDescent="0.25">
      <c r="A25428" s="2" t="s">
        <v>49551</v>
      </c>
      <c r="B25428" s="2" t="s">
        <v>49552</v>
      </c>
      <c r="C25428" s="2" t="s">
        <v>195</v>
      </c>
      <c r="D25428" s="2" t="s">
        <v>210</v>
      </c>
      <c r="E25428" s="2" t="str">
        <f>"9783486567038"</f>
        <v>9783486567038</v>
      </c>
      <c r="F25428" s="2" t="str">
        <f>"9783486594546"</f>
        <v>9783486594546</v>
      </c>
    </row>
    <row r="25429" spans="1:6" s="3" customFormat="1" ht="29.1" customHeight="1" x14ac:dyDescent="0.25">
      <c r="A25429" s="2" t="s">
        <v>49553</v>
      </c>
      <c r="B25429" s="2" t="s">
        <v>49554</v>
      </c>
      <c r="C25429" s="2" t="s">
        <v>195</v>
      </c>
      <c r="D25429" s="2" t="s">
        <v>210</v>
      </c>
      <c r="E25429" s="2" t="str">
        <f>"9783486559538"</f>
        <v>9783486559538</v>
      </c>
      <c r="F25429" s="2" t="str">
        <f>"9783486594775"</f>
        <v>9783486594775</v>
      </c>
    </row>
    <row r="25430" spans="1:6" s="3" customFormat="1" ht="29.1" customHeight="1" x14ac:dyDescent="0.25">
      <c r="A25430" s="2" t="s">
        <v>49555</v>
      </c>
      <c r="B25430" s="2" t="s">
        <v>49556</v>
      </c>
      <c r="C25430" s="2" t="s">
        <v>195</v>
      </c>
      <c r="D25430" s="2" t="s">
        <v>210</v>
      </c>
      <c r="E25430" s="2" t="str">
        <f>"9783486645071"</f>
        <v>9783486645071</v>
      </c>
      <c r="F25430" s="2" t="str">
        <f>"9783486593723"</f>
        <v>9783486593723</v>
      </c>
    </row>
    <row r="25431" spans="1:6" s="3" customFormat="1" ht="29.1" customHeight="1" x14ac:dyDescent="0.25">
      <c r="A25431" s="2" t="s">
        <v>49557</v>
      </c>
      <c r="B25431" s="2" t="s">
        <v>49558</v>
      </c>
      <c r="C25431" s="2" t="s">
        <v>195</v>
      </c>
      <c r="D25431" s="2" t="s">
        <v>210</v>
      </c>
      <c r="E25431" s="2" t="str">
        <f>"9783486704808"</f>
        <v>9783486704808</v>
      </c>
      <c r="F25431" s="2" t="str">
        <f>"9783486716122"</f>
        <v>9783486716122</v>
      </c>
    </row>
    <row r="25432" spans="1:6" s="3" customFormat="1" ht="29.1" customHeight="1" x14ac:dyDescent="0.25">
      <c r="A25432" s="2" t="s">
        <v>49559</v>
      </c>
      <c r="B25432" s="2" t="s">
        <v>48913</v>
      </c>
      <c r="C25432" s="2" t="s">
        <v>195</v>
      </c>
      <c r="D25432" s="2" t="s">
        <v>210</v>
      </c>
      <c r="E25432" s="2" t="str">
        <f>"9783486704259"</f>
        <v>9783486704259</v>
      </c>
      <c r="F25432" s="2" t="str">
        <f>"9783486721423"</f>
        <v>9783486721423</v>
      </c>
    </row>
    <row r="25433" spans="1:6" s="3" customFormat="1" ht="29.1" customHeight="1" x14ac:dyDescent="0.25">
      <c r="A25433" s="2" t="s">
        <v>49560</v>
      </c>
      <c r="B25433" s="2" t="s">
        <v>43958</v>
      </c>
      <c r="C25433" s="2" t="s">
        <v>195</v>
      </c>
      <c r="D25433" s="2" t="s">
        <v>210</v>
      </c>
      <c r="E25433" s="2" t="str">
        <f>"9783486591439"</f>
        <v>9783486591439</v>
      </c>
      <c r="F25433" s="2" t="str">
        <f>"9783486719376"</f>
        <v>9783486719376</v>
      </c>
    </row>
    <row r="25434" spans="1:6" s="3" customFormat="1" ht="29.1" customHeight="1" x14ac:dyDescent="0.25">
      <c r="A25434" s="2" t="s">
        <v>49561</v>
      </c>
      <c r="B25434" s="2" t="s">
        <v>49562</v>
      </c>
      <c r="C25434" s="2" t="s">
        <v>195</v>
      </c>
      <c r="D25434" s="2" t="s">
        <v>11048</v>
      </c>
      <c r="E25434" s="2" t="str">
        <f>"9783110329698"</f>
        <v>9783110329698</v>
      </c>
      <c r="F25434" s="2" t="str">
        <f>"9783110329865"</f>
        <v>9783110329865</v>
      </c>
    </row>
    <row r="25435" spans="1:6" s="3" customFormat="1" ht="29.1" customHeight="1" x14ac:dyDescent="0.25">
      <c r="A25435" s="2" t="s">
        <v>49563</v>
      </c>
      <c r="B25435" s="2" t="s">
        <v>47548</v>
      </c>
      <c r="C25435" s="2" t="s">
        <v>195</v>
      </c>
      <c r="D25435" s="2" t="s">
        <v>46509</v>
      </c>
      <c r="E25435" s="2" t="str">
        <f>"9783110190335"</f>
        <v>9783110190335</v>
      </c>
      <c r="F25435" s="2" t="str">
        <f>"9783110910209"</f>
        <v>9783110910209</v>
      </c>
    </row>
    <row r="25436" spans="1:6" s="3" customFormat="1" ht="29.1" customHeight="1" x14ac:dyDescent="0.25">
      <c r="A25436" s="2" t="s">
        <v>49564</v>
      </c>
      <c r="B25436" s="2" t="s">
        <v>47548</v>
      </c>
      <c r="C25436" s="2" t="s">
        <v>195</v>
      </c>
      <c r="D25436" s="2" t="s">
        <v>14574</v>
      </c>
      <c r="E25436" s="2" t="str">
        <f>"9783110182910"</f>
        <v>9783110182910</v>
      </c>
      <c r="F25436" s="2" t="str">
        <f>"9783110919264"</f>
        <v>9783110919264</v>
      </c>
    </row>
    <row r="25437" spans="1:6" s="3" customFormat="1" ht="29.1" customHeight="1" x14ac:dyDescent="0.25">
      <c r="A25437" s="2" t="s">
        <v>49565</v>
      </c>
      <c r="B25437" s="2" t="s">
        <v>49566</v>
      </c>
      <c r="C25437" s="2" t="s">
        <v>195</v>
      </c>
      <c r="D25437" s="2" t="s">
        <v>459</v>
      </c>
      <c r="E25437" s="2" t="str">
        <f>"9783110182439"</f>
        <v>9783110182439</v>
      </c>
      <c r="F25437" s="2" t="str">
        <f>"9783110890266"</f>
        <v>9783110890266</v>
      </c>
    </row>
    <row r="25438" spans="1:6" s="3" customFormat="1" ht="29.1" customHeight="1" x14ac:dyDescent="0.25">
      <c r="A25438" s="2" t="s">
        <v>49567</v>
      </c>
      <c r="B25438" s="2" t="s">
        <v>49568</v>
      </c>
      <c r="C25438" s="2" t="s">
        <v>195</v>
      </c>
      <c r="D25438" s="2" t="s">
        <v>459</v>
      </c>
      <c r="E25438" s="2" t="str">
        <f>"9783110342918"</f>
        <v>9783110342918</v>
      </c>
      <c r="F25438" s="2" t="str">
        <f>"9783110343007"</f>
        <v>9783110343007</v>
      </c>
    </row>
    <row r="25439" spans="1:6" s="3" customFormat="1" ht="29.1" customHeight="1" x14ac:dyDescent="0.25">
      <c r="A25439" s="2" t="s">
        <v>49569</v>
      </c>
      <c r="B25439" s="2" t="s">
        <v>49570</v>
      </c>
      <c r="C25439" s="2" t="s">
        <v>195</v>
      </c>
      <c r="D25439" s="2" t="s">
        <v>210</v>
      </c>
      <c r="E25439" s="2" t="str">
        <f>"9783486724769"</f>
        <v>9783486724769</v>
      </c>
      <c r="F25439" s="2" t="str">
        <f>"9783486856361"</f>
        <v>9783486856361</v>
      </c>
    </row>
    <row r="25440" spans="1:6" s="3" customFormat="1" ht="29.1" customHeight="1" x14ac:dyDescent="0.25">
      <c r="A25440" s="2" t="s">
        <v>49571</v>
      </c>
      <c r="B25440" s="2" t="s">
        <v>49572</v>
      </c>
      <c r="C25440" s="2" t="s">
        <v>195</v>
      </c>
      <c r="D25440" s="2" t="s">
        <v>509</v>
      </c>
      <c r="E25440" s="2" t="str">
        <f>"9783486718713"</f>
        <v>9783486718713</v>
      </c>
      <c r="F25440" s="2" t="str">
        <f>"9783486855609"</f>
        <v>9783486855609</v>
      </c>
    </row>
    <row r="25441" spans="1:6" s="3" customFormat="1" ht="29.1" customHeight="1" x14ac:dyDescent="0.25">
      <c r="A25441" s="2" t="s">
        <v>49573</v>
      </c>
      <c r="B25441" s="2" t="s">
        <v>39548</v>
      </c>
      <c r="C25441" s="2" t="s">
        <v>195</v>
      </c>
      <c r="D25441" s="2" t="s">
        <v>33</v>
      </c>
      <c r="E25441" s="2" t="str">
        <f>"9783050062716"</f>
        <v>9783050062716</v>
      </c>
      <c r="F25441" s="2" t="str">
        <f>"9783050064956"</f>
        <v>9783050064956</v>
      </c>
    </row>
    <row r="25442" spans="1:6" s="3" customFormat="1" ht="29.1" customHeight="1" x14ac:dyDescent="0.25">
      <c r="A25442" s="2" t="s">
        <v>49574</v>
      </c>
      <c r="B25442" s="2" t="s">
        <v>49575</v>
      </c>
      <c r="C25442" s="2" t="s">
        <v>195</v>
      </c>
      <c r="D25442" s="2" t="s">
        <v>210</v>
      </c>
      <c r="E25442" s="2" t="str">
        <f>"9783486747072"</f>
        <v>9783486747072</v>
      </c>
      <c r="F25442" s="2" t="str">
        <f>"9783486748505"</f>
        <v>9783486748505</v>
      </c>
    </row>
    <row r="25443" spans="1:6" s="3" customFormat="1" ht="29.1" customHeight="1" x14ac:dyDescent="0.25">
      <c r="A25443" s="2" t="s">
        <v>49576</v>
      </c>
      <c r="B25443" s="2" t="s">
        <v>43962</v>
      </c>
      <c r="C25443" s="2" t="s">
        <v>195</v>
      </c>
      <c r="D25443" s="2" t="s">
        <v>210</v>
      </c>
      <c r="E25443" s="2" t="str">
        <f>"9783486712957"</f>
        <v>9783486712957</v>
      </c>
      <c r="F25443" s="2" t="str">
        <f>"9783486736069"</f>
        <v>9783486736069</v>
      </c>
    </row>
    <row r="25444" spans="1:6" s="3" customFormat="1" ht="29.1" customHeight="1" x14ac:dyDescent="0.25">
      <c r="A25444" s="2" t="s">
        <v>49577</v>
      </c>
      <c r="B25444" s="2" t="s">
        <v>49578</v>
      </c>
      <c r="C25444" s="2" t="s">
        <v>195</v>
      </c>
      <c r="D25444" s="2" t="s">
        <v>210</v>
      </c>
      <c r="E25444" s="2" t="str">
        <f>"9783486704884"</f>
        <v>9783486704884</v>
      </c>
      <c r="F25444" s="2" t="str">
        <f>"9783486755152"</f>
        <v>9783486755152</v>
      </c>
    </row>
    <row r="25445" spans="1:6" s="3" customFormat="1" ht="29.1" customHeight="1" x14ac:dyDescent="0.25">
      <c r="A25445" s="2" t="s">
        <v>49579</v>
      </c>
      <c r="B25445" s="2" t="s">
        <v>49580</v>
      </c>
      <c r="C25445" s="2" t="s">
        <v>195</v>
      </c>
      <c r="D25445" s="2" t="s">
        <v>459</v>
      </c>
      <c r="E25445" s="2" t="str">
        <f>"9783050064444"</f>
        <v>9783050064444</v>
      </c>
      <c r="F25445" s="2" t="str">
        <f>"9783050065113"</f>
        <v>9783050065113</v>
      </c>
    </row>
    <row r="25446" spans="1:6" s="3" customFormat="1" ht="29.1" customHeight="1" x14ac:dyDescent="0.25">
      <c r="A25446" s="2" t="s">
        <v>49581</v>
      </c>
      <c r="B25446" s="2" t="s">
        <v>49582</v>
      </c>
      <c r="C25446" s="2" t="s">
        <v>195</v>
      </c>
      <c r="D25446" s="2" t="s">
        <v>118</v>
      </c>
      <c r="E25446" s="2" t="str">
        <f>"9783110334029"</f>
        <v>9783110334029</v>
      </c>
      <c r="F25446" s="2" t="str">
        <f>"9783110334142"</f>
        <v>9783110334142</v>
      </c>
    </row>
    <row r="25447" spans="1:6" s="3" customFormat="1" ht="29.1" customHeight="1" x14ac:dyDescent="0.25">
      <c r="A25447" s="2" t="s">
        <v>49583</v>
      </c>
      <c r="B25447" s="2" t="s">
        <v>49584</v>
      </c>
      <c r="C25447" s="2" t="s">
        <v>195</v>
      </c>
      <c r="D25447" s="2" t="s">
        <v>462</v>
      </c>
      <c r="E25447" s="2" t="str">
        <f>"9783110334357"</f>
        <v>9783110334357</v>
      </c>
      <c r="F25447" s="2" t="str">
        <f>"9783110334395"</f>
        <v>9783110334395</v>
      </c>
    </row>
    <row r="25448" spans="1:6" s="3" customFormat="1" ht="29.1" customHeight="1" x14ac:dyDescent="0.25">
      <c r="A25448" s="2" t="s">
        <v>49585</v>
      </c>
      <c r="B25448" s="2" t="s">
        <v>49586</v>
      </c>
      <c r="C25448" s="2" t="s">
        <v>43061</v>
      </c>
      <c r="D25448" s="2" t="s">
        <v>13640</v>
      </c>
      <c r="E25448" s="2" t="str">
        <f>"9783862194186"</f>
        <v>9783862194186</v>
      </c>
      <c r="F25448" s="2" t="str">
        <f>"9783862194193"</f>
        <v>9783862194193</v>
      </c>
    </row>
    <row r="25449" spans="1:6" s="3" customFormat="1" ht="29.1" customHeight="1" x14ac:dyDescent="0.25">
      <c r="A25449" s="2" t="s">
        <v>49587</v>
      </c>
      <c r="B25449" s="2" t="s">
        <v>49588</v>
      </c>
      <c r="C25449" s="2" t="s">
        <v>43061</v>
      </c>
      <c r="D25449" s="2" t="s">
        <v>1059</v>
      </c>
      <c r="E25449" s="2" t="str">
        <f>"9783862193981"</f>
        <v>9783862193981</v>
      </c>
      <c r="F25449" s="2" t="str">
        <f>"9783862193998"</f>
        <v>9783862193998</v>
      </c>
    </row>
    <row r="25450" spans="1:6" s="3" customFormat="1" ht="29.1" customHeight="1" x14ac:dyDescent="0.25">
      <c r="A25450" s="2" t="s">
        <v>49589</v>
      </c>
      <c r="B25450" s="2" t="s">
        <v>49590</v>
      </c>
      <c r="C25450" s="2" t="s">
        <v>43061</v>
      </c>
      <c r="D25450" s="2" t="s">
        <v>1059</v>
      </c>
      <c r="E25450" s="2" t="str">
        <f>"9783862193929"</f>
        <v>9783862193929</v>
      </c>
      <c r="F25450" s="2" t="str">
        <f>"9783862193936"</f>
        <v>9783862193936</v>
      </c>
    </row>
    <row r="25451" spans="1:6" s="3" customFormat="1" ht="29.1" customHeight="1" x14ac:dyDescent="0.25">
      <c r="A25451" s="2" t="s">
        <v>49591</v>
      </c>
      <c r="B25451" s="2" t="s">
        <v>49592</v>
      </c>
      <c r="C25451" s="2" t="s">
        <v>43061</v>
      </c>
      <c r="D25451" s="2" t="s">
        <v>5092</v>
      </c>
      <c r="E25451" s="2" t="str">
        <f>"9783862193882"</f>
        <v>9783862193882</v>
      </c>
      <c r="F25451" s="2" t="str">
        <f>"9783862193899"</f>
        <v>9783862193899</v>
      </c>
    </row>
    <row r="25452" spans="1:6" s="3" customFormat="1" ht="29.1" customHeight="1" x14ac:dyDescent="0.25">
      <c r="A25452" s="2" t="s">
        <v>49593</v>
      </c>
      <c r="B25452" s="2" t="s">
        <v>49594</v>
      </c>
      <c r="C25452" s="2" t="s">
        <v>43061</v>
      </c>
      <c r="D25452" s="2" t="s">
        <v>36439</v>
      </c>
      <c r="E25452" s="2" t="str">
        <f>"9783862193868"</f>
        <v>9783862193868</v>
      </c>
      <c r="F25452" s="2" t="str">
        <f>"9783862193875"</f>
        <v>9783862193875</v>
      </c>
    </row>
    <row r="25453" spans="1:6" s="3" customFormat="1" ht="29.1" customHeight="1" x14ac:dyDescent="0.25">
      <c r="A25453" s="2" t="s">
        <v>49595</v>
      </c>
      <c r="B25453" s="2" t="s">
        <v>49596</v>
      </c>
      <c r="C25453" s="2" t="s">
        <v>43061</v>
      </c>
      <c r="D25453" s="2" t="s">
        <v>2880</v>
      </c>
      <c r="E25453" s="2" t="str">
        <f>"9783862193745"</f>
        <v>9783862193745</v>
      </c>
      <c r="F25453" s="2" t="str">
        <f>"9783862193752"</f>
        <v>9783862193752</v>
      </c>
    </row>
    <row r="25454" spans="1:6" s="3" customFormat="1" ht="29.1" customHeight="1" x14ac:dyDescent="0.25">
      <c r="A25454" s="2" t="s">
        <v>49597</v>
      </c>
      <c r="B25454" s="2" t="s">
        <v>49598</v>
      </c>
      <c r="C25454" s="2" t="s">
        <v>43061</v>
      </c>
      <c r="D25454" s="2" t="s">
        <v>297</v>
      </c>
      <c r="E25454" s="2" t="str">
        <f>"9783862193721"</f>
        <v>9783862193721</v>
      </c>
      <c r="F25454" s="2" t="str">
        <f>"9783862193738"</f>
        <v>9783862193738</v>
      </c>
    </row>
    <row r="25455" spans="1:6" s="3" customFormat="1" ht="29.1" customHeight="1" x14ac:dyDescent="0.25">
      <c r="A25455" s="2" t="s">
        <v>49599</v>
      </c>
      <c r="B25455" s="2" t="s">
        <v>49600</v>
      </c>
      <c r="C25455" s="2" t="s">
        <v>43061</v>
      </c>
      <c r="D25455" s="2" t="s">
        <v>459</v>
      </c>
      <c r="E25455" s="2" t="str">
        <f>"9783862193707"</f>
        <v>9783862193707</v>
      </c>
      <c r="F25455" s="2" t="str">
        <f>"9783862193714"</f>
        <v>9783862193714</v>
      </c>
    </row>
    <row r="25456" spans="1:6" s="3" customFormat="1" ht="29.1" customHeight="1" x14ac:dyDescent="0.25">
      <c r="A25456" s="2" t="s">
        <v>49601</v>
      </c>
      <c r="B25456" s="2" t="s">
        <v>49602</v>
      </c>
      <c r="C25456" s="2" t="s">
        <v>43061</v>
      </c>
      <c r="D25456" s="2" t="s">
        <v>6152</v>
      </c>
      <c r="E25456" s="2" t="str">
        <f>"9783862193684"</f>
        <v>9783862193684</v>
      </c>
      <c r="F25456" s="2" t="str">
        <f>"9783862193691"</f>
        <v>9783862193691</v>
      </c>
    </row>
    <row r="25457" spans="1:6" s="3" customFormat="1" ht="29.1" customHeight="1" x14ac:dyDescent="0.25">
      <c r="A25457" s="2" t="s">
        <v>49603</v>
      </c>
      <c r="B25457" s="2" t="s">
        <v>49604</v>
      </c>
      <c r="C25457" s="2" t="s">
        <v>43061</v>
      </c>
      <c r="D25457" s="2" t="s">
        <v>48691</v>
      </c>
      <c r="E25457" s="2" t="str">
        <f>"9783862193660"</f>
        <v>9783862193660</v>
      </c>
      <c r="F25457" s="2" t="str">
        <f>"9783862193677"</f>
        <v>9783862193677</v>
      </c>
    </row>
    <row r="25458" spans="1:6" s="3" customFormat="1" ht="29.1" customHeight="1" x14ac:dyDescent="0.25">
      <c r="A25458" s="2" t="s">
        <v>49605</v>
      </c>
      <c r="B25458" s="2" t="s">
        <v>49606</v>
      </c>
      <c r="C25458" s="2" t="s">
        <v>43061</v>
      </c>
      <c r="D25458" s="2" t="s">
        <v>650</v>
      </c>
      <c r="E25458" s="2" t="str">
        <f>"9783862193646"</f>
        <v>9783862193646</v>
      </c>
      <c r="F25458" s="2" t="str">
        <f>"9783862193653"</f>
        <v>9783862193653</v>
      </c>
    </row>
    <row r="25459" spans="1:6" s="3" customFormat="1" ht="29.1" customHeight="1" x14ac:dyDescent="0.25">
      <c r="A25459" s="2" t="s">
        <v>49607</v>
      </c>
      <c r="B25459" s="2" t="s">
        <v>49608</v>
      </c>
      <c r="C25459" s="2" t="s">
        <v>43061</v>
      </c>
      <c r="D25459" s="2" t="s">
        <v>12450</v>
      </c>
      <c r="E25459" s="2" t="str">
        <f>"9783862193622"</f>
        <v>9783862193622</v>
      </c>
      <c r="F25459" s="2" t="str">
        <f>"9783862193639"</f>
        <v>9783862193639</v>
      </c>
    </row>
    <row r="25460" spans="1:6" s="3" customFormat="1" ht="29.1" customHeight="1" x14ac:dyDescent="0.25">
      <c r="A25460" s="2" t="s">
        <v>49609</v>
      </c>
      <c r="B25460" s="2" t="s">
        <v>49610</v>
      </c>
      <c r="C25460" s="2" t="s">
        <v>43061</v>
      </c>
      <c r="D25460" s="2" t="s">
        <v>45236</v>
      </c>
      <c r="E25460" s="2" t="str">
        <f>"9783862193608"</f>
        <v>9783862193608</v>
      </c>
      <c r="F25460" s="2" t="str">
        <f>"9783862193615"</f>
        <v>9783862193615</v>
      </c>
    </row>
    <row r="25461" spans="1:6" s="3" customFormat="1" ht="29.1" customHeight="1" x14ac:dyDescent="0.25">
      <c r="A25461" s="2" t="s">
        <v>49611</v>
      </c>
      <c r="B25461" s="2" t="s">
        <v>49612</v>
      </c>
      <c r="C25461" s="2" t="s">
        <v>43061</v>
      </c>
      <c r="D25461" s="2" t="s">
        <v>3445</v>
      </c>
      <c r="E25461" s="2" t="str">
        <f>"9783862193561"</f>
        <v>9783862193561</v>
      </c>
      <c r="F25461" s="2" t="str">
        <f>"9783862193578"</f>
        <v>9783862193578</v>
      </c>
    </row>
    <row r="25462" spans="1:6" s="3" customFormat="1" ht="29.1" customHeight="1" x14ac:dyDescent="0.25">
      <c r="A25462" s="2" t="s">
        <v>49613</v>
      </c>
      <c r="B25462" s="2" t="s">
        <v>49614</v>
      </c>
      <c r="C25462" s="2" t="s">
        <v>43061</v>
      </c>
      <c r="D25462" s="2" t="s">
        <v>1025</v>
      </c>
      <c r="E25462" s="2" t="str">
        <f>"9783862193547"</f>
        <v>9783862193547</v>
      </c>
      <c r="F25462" s="2" t="str">
        <f>"9783862193554"</f>
        <v>9783862193554</v>
      </c>
    </row>
    <row r="25463" spans="1:6" s="3" customFormat="1" ht="29.1" customHeight="1" x14ac:dyDescent="0.25">
      <c r="A25463" s="2" t="s">
        <v>49615</v>
      </c>
      <c r="B25463" s="2" t="s">
        <v>49616</v>
      </c>
      <c r="C25463" s="2" t="s">
        <v>43061</v>
      </c>
      <c r="D25463" s="2" t="s">
        <v>553</v>
      </c>
      <c r="E25463" s="2" t="str">
        <f>"9783862193523"</f>
        <v>9783862193523</v>
      </c>
      <c r="F25463" s="2" t="str">
        <f>"9783862193530"</f>
        <v>9783862193530</v>
      </c>
    </row>
    <row r="25464" spans="1:6" s="3" customFormat="1" ht="29.1" customHeight="1" x14ac:dyDescent="0.25">
      <c r="A25464" s="2" t="s">
        <v>49617</v>
      </c>
      <c r="B25464" s="2" t="s">
        <v>49618</v>
      </c>
      <c r="C25464" s="2" t="s">
        <v>43061</v>
      </c>
      <c r="D25464" s="2" t="s">
        <v>32985</v>
      </c>
      <c r="E25464" s="2" t="str">
        <f>"9783862193509"</f>
        <v>9783862193509</v>
      </c>
      <c r="F25464" s="2" t="str">
        <f>"9783862193516"</f>
        <v>9783862193516</v>
      </c>
    </row>
    <row r="25465" spans="1:6" s="3" customFormat="1" ht="29.1" customHeight="1" x14ac:dyDescent="0.25">
      <c r="A25465" s="2" t="s">
        <v>49619</v>
      </c>
      <c r="B25465" s="2" t="s">
        <v>49620</v>
      </c>
      <c r="C25465" s="2" t="s">
        <v>43061</v>
      </c>
      <c r="D25465" s="2" t="s">
        <v>9899</v>
      </c>
      <c r="E25465" s="2" t="str">
        <f>"9783862193486"</f>
        <v>9783862193486</v>
      </c>
      <c r="F25465" s="2" t="str">
        <f>"9783862193493"</f>
        <v>9783862193493</v>
      </c>
    </row>
    <row r="25466" spans="1:6" s="3" customFormat="1" ht="29.1" customHeight="1" x14ac:dyDescent="0.25">
      <c r="A25466" s="2" t="s">
        <v>49621</v>
      </c>
      <c r="B25466" s="2" t="s">
        <v>49622</v>
      </c>
      <c r="C25466" s="2" t="s">
        <v>43061</v>
      </c>
      <c r="D25466" s="2" t="s">
        <v>5092</v>
      </c>
      <c r="E25466" s="2" t="str">
        <f>"9783862193424"</f>
        <v>9783862193424</v>
      </c>
      <c r="F25466" s="2" t="str">
        <f>"9783862193431"</f>
        <v>9783862193431</v>
      </c>
    </row>
    <row r="25467" spans="1:6" s="3" customFormat="1" ht="29.1" customHeight="1" x14ac:dyDescent="0.25">
      <c r="A25467" s="2" t="s">
        <v>49623</v>
      </c>
      <c r="B25467" s="2" t="s">
        <v>49624</v>
      </c>
      <c r="C25467" s="2" t="s">
        <v>43061</v>
      </c>
      <c r="D25467" s="2" t="s">
        <v>11399</v>
      </c>
      <c r="E25467" s="2" t="str">
        <f>"9783862193363"</f>
        <v>9783862193363</v>
      </c>
      <c r="F25467" s="2" t="str">
        <f>"9783862193370"</f>
        <v>9783862193370</v>
      </c>
    </row>
    <row r="25468" spans="1:6" s="3" customFormat="1" ht="29.1" customHeight="1" x14ac:dyDescent="0.25">
      <c r="A25468" s="2" t="s">
        <v>49625</v>
      </c>
      <c r="B25468" s="2" t="s">
        <v>49626</v>
      </c>
      <c r="C25468" s="2" t="s">
        <v>43061</v>
      </c>
      <c r="D25468" s="2" t="s">
        <v>1908</v>
      </c>
      <c r="E25468" s="2" t="str">
        <f>"9783862193349"</f>
        <v>9783862193349</v>
      </c>
      <c r="F25468" s="2" t="str">
        <f>"9783862193356"</f>
        <v>9783862193356</v>
      </c>
    </row>
    <row r="25469" spans="1:6" s="3" customFormat="1" ht="29.1" customHeight="1" x14ac:dyDescent="0.25">
      <c r="A25469" s="2" t="s">
        <v>49627</v>
      </c>
      <c r="B25469" s="2" t="s">
        <v>49628</v>
      </c>
      <c r="C25469" s="2" t="s">
        <v>43061</v>
      </c>
      <c r="D25469" s="2" t="s">
        <v>45587</v>
      </c>
      <c r="E25469" s="2" t="str">
        <f>"9783862193325"</f>
        <v>9783862193325</v>
      </c>
      <c r="F25469" s="2" t="str">
        <f>"9783862193332"</f>
        <v>9783862193332</v>
      </c>
    </row>
    <row r="25470" spans="1:6" s="3" customFormat="1" ht="29.1" customHeight="1" x14ac:dyDescent="0.25">
      <c r="A25470" s="2" t="s">
        <v>49629</v>
      </c>
      <c r="B25470" s="2" t="s">
        <v>49630</v>
      </c>
      <c r="C25470" s="2" t="s">
        <v>43061</v>
      </c>
      <c r="D25470" s="2" t="s">
        <v>1285</v>
      </c>
      <c r="E25470" s="2" t="str">
        <f>"9783862193301"</f>
        <v>9783862193301</v>
      </c>
      <c r="F25470" s="2" t="str">
        <f>"9783862193318"</f>
        <v>9783862193318</v>
      </c>
    </row>
    <row r="25471" spans="1:6" s="3" customFormat="1" ht="29.1" customHeight="1" x14ac:dyDescent="0.25">
      <c r="A25471" s="2" t="s">
        <v>49631</v>
      </c>
      <c r="B25471" s="2" t="s">
        <v>49632</v>
      </c>
      <c r="C25471" s="2" t="s">
        <v>43061</v>
      </c>
      <c r="D25471" s="2" t="s">
        <v>3607</v>
      </c>
      <c r="E25471" s="2" t="str">
        <f>"9783862193288"</f>
        <v>9783862193288</v>
      </c>
      <c r="F25471" s="2" t="str">
        <f>"9783862193295"</f>
        <v>9783862193295</v>
      </c>
    </row>
    <row r="25472" spans="1:6" s="3" customFormat="1" ht="29.1" customHeight="1" x14ac:dyDescent="0.25">
      <c r="A25472" s="2" t="s">
        <v>49633</v>
      </c>
      <c r="B25472" s="2" t="s">
        <v>49634</v>
      </c>
      <c r="C25472" s="2" t="s">
        <v>43061</v>
      </c>
      <c r="D25472" s="2" t="s">
        <v>32985</v>
      </c>
      <c r="E25472" s="2" t="str">
        <f>"9783862193240"</f>
        <v>9783862193240</v>
      </c>
      <c r="F25472" s="2" t="str">
        <f>"9783862193257"</f>
        <v>9783862193257</v>
      </c>
    </row>
    <row r="25473" spans="1:6" s="3" customFormat="1" ht="29.1" customHeight="1" x14ac:dyDescent="0.25">
      <c r="A25473" s="2" t="s">
        <v>49635</v>
      </c>
      <c r="B25473" s="2" t="s">
        <v>49636</v>
      </c>
      <c r="C25473" s="2" t="s">
        <v>43061</v>
      </c>
      <c r="D25473" s="2" t="s">
        <v>7359</v>
      </c>
      <c r="E25473" s="2" t="str">
        <f>"9783862193226"</f>
        <v>9783862193226</v>
      </c>
      <c r="F25473" s="2" t="str">
        <f>"9783862193233"</f>
        <v>9783862193233</v>
      </c>
    </row>
    <row r="25474" spans="1:6" s="3" customFormat="1" ht="29.1" customHeight="1" x14ac:dyDescent="0.25">
      <c r="A25474" s="2" t="s">
        <v>49637</v>
      </c>
      <c r="B25474" s="2" t="s">
        <v>49638</v>
      </c>
      <c r="C25474" s="2" t="s">
        <v>43061</v>
      </c>
      <c r="D25474" s="2" t="s">
        <v>32985</v>
      </c>
      <c r="E25474" s="2" t="str">
        <f>"9783862193202"</f>
        <v>9783862193202</v>
      </c>
      <c r="F25474" s="2" t="str">
        <f>"9783862193219"</f>
        <v>9783862193219</v>
      </c>
    </row>
    <row r="25475" spans="1:6" s="3" customFormat="1" ht="29.1" customHeight="1" x14ac:dyDescent="0.25">
      <c r="A25475" s="2" t="s">
        <v>49639</v>
      </c>
      <c r="B25475" s="2" t="s">
        <v>49640</v>
      </c>
      <c r="C25475" s="2" t="s">
        <v>43061</v>
      </c>
      <c r="D25475" s="2" t="s">
        <v>45587</v>
      </c>
      <c r="E25475" s="2" t="str">
        <f>"9783862193189"</f>
        <v>9783862193189</v>
      </c>
      <c r="F25475" s="2" t="str">
        <f>"9783862193196"</f>
        <v>9783862193196</v>
      </c>
    </row>
    <row r="25476" spans="1:6" s="3" customFormat="1" ht="29.1" customHeight="1" x14ac:dyDescent="0.25">
      <c r="A25476" s="2" t="s">
        <v>49641</v>
      </c>
      <c r="B25476" s="2" t="s">
        <v>49642</v>
      </c>
      <c r="C25476" s="2" t="s">
        <v>43061</v>
      </c>
      <c r="D25476" s="2" t="s">
        <v>5937</v>
      </c>
      <c r="E25476" s="2" t="str">
        <f>"9783862193165"</f>
        <v>9783862193165</v>
      </c>
      <c r="F25476" s="2" t="str">
        <f>"9783862193172"</f>
        <v>9783862193172</v>
      </c>
    </row>
    <row r="25477" spans="1:6" s="3" customFormat="1" ht="29.1" customHeight="1" x14ac:dyDescent="0.25">
      <c r="A25477" s="2" t="s">
        <v>49643</v>
      </c>
      <c r="B25477" s="2" t="s">
        <v>49644</v>
      </c>
      <c r="C25477" s="2" t="s">
        <v>43061</v>
      </c>
      <c r="D25477" s="2" t="s">
        <v>1694</v>
      </c>
      <c r="E25477" s="2" t="str">
        <f>"9783862193141"</f>
        <v>9783862193141</v>
      </c>
      <c r="F25477" s="2" t="str">
        <f>"9783862193158"</f>
        <v>9783862193158</v>
      </c>
    </row>
    <row r="25478" spans="1:6" s="3" customFormat="1" ht="29.1" customHeight="1" x14ac:dyDescent="0.25">
      <c r="A25478" s="2" t="s">
        <v>49645</v>
      </c>
      <c r="B25478" s="2" t="s">
        <v>49646</v>
      </c>
      <c r="C25478" s="2" t="s">
        <v>43061</v>
      </c>
      <c r="D25478" s="2" t="s">
        <v>3943</v>
      </c>
      <c r="E25478" s="2" t="str">
        <f>"9783862193127"</f>
        <v>9783862193127</v>
      </c>
      <c r="F25478" s="2" t="str">
        <f>"9783862193134"</f>
        <v>9783862193134</v>
      </c>
    </row>
    <row r="25479" spans="1:6" s="3" customFormat="1" ht="29.1" customHeight="1" x14ac:dyDescent="0.25">
      <c r="A25479" s="2" t="s">
        <v>49647</v>
      </c>
      <c r="B25479" s="2" t="s">
        <v>49648</v>
      </c>
      <c r="C25479" s="2" t="s">
        <v>43061</v>
      </c>
      <c r="D25479" s="2" t="s">
        <v>5092</v>
      </c>
      <c r="E25479" s="2" t="str">
        <f>"9783862193080"</f>
        <v>9783862193080</v>
      </c>
      <c r="F25479" s="2" t="str">
        <f>"9783862193097"</f>
        <v>9783862193097</v>
      </c>
    </row>
    <row r="25480" spans="1:6" s="3" customFormat="1" ht="29.1" customHeight="1" x14ac:dyDescent="0.25">
      <c r="A25480" s="2" t="s">
        <v>49649</v>
      </c>
      <c r="B25480" s="2" t="s">
        <v>49650</v>
      </c>
      <c r="C25480" s="2" t="s">
        <v>43061</v>
      </c>
      <c r="D25480" s="2" t="s">
        <v>45236</v>
      </c>
      <c r="E25480" s="2" t="str">
        <f>"9783862193066"</f>
        <v>9783862193066</v>
      </c>
      <c r="F25480" s="2" t="str">
        <f>"9783862193073"</f>
        <v>9783862193073</v>
      </c>
    </row>
    <row r="25481" spans="1:6" s="3" customFormat="1" ht="29.1" customHeight="1" x14ac:dyDescent="0.25">
      <c r="A25481" s="2" t="s">
        <v>49651</v>
      </c>
      <c r="B25481" s="2" t="s">
        <v>49653</v>
      </c>
      <c r="C25481" s="2" t="s">
        <v>43061</v>
      </c>
      <c r="D25481" s="2" t="s">
        <v>49652</v>
      </c>
      <c r="E25481" s="2" t="str">
        <f>"9783862193042"</f>
        <v>9783862193042</v>
      </c>
      <c r="F25481" s="2" t="str">
        <f>"9783862193059"</f>
        <v>9783862193059</v>
      </c>
    </row>
    <row r="25482" spans="1:6" s="3" customFormat="1" ht="29.1" customHeight="1" x14ac:dyDescent="0.25">
      <c r="A25482" s="2" t="s">
        <v>49654</v>
      </c>
      <c r="B25482" s="2" t="s">
        <v>49655</v>
      </c>
      <c r="C25482" s="2" t="s">
        <v>43061</v>
      </c>
      <c r="D25482" s="2" t="s">
        <v>998</v>
      </c>
      <c r="E25482" s="2" t="str">
        <f>"9783862193004"</f>
        <v>9783862193004</v>
      </c>
      <c r="F25482" s="2" t="str">
        <f>"9783862193011"</f>
        <v>9783862193011</v>
      </c>
    </row>
    <row r="25483" spans="1:6" s="3" customFormat="1" ht="29.1" customHeight="1" x14ac:dyDescent="0.25">
      <c r="A25483" s="2" t="s">
        <v>49656</v>
      </c>
      <c r="B25483" s="2" t="s">
        <v>49657</v>
      </c>
      <c r="C25483" s="2" t="s">
        <v>43061</v>
      </c>
      <c r="D25483" s="2" t="s">
        <v>350</v>
      </c>
      <c r="E25483" s="2" t="str">
        <f>"9783862192984"</f>
        <v>9783862192984</v>
      </c>
      <c r="F25483" s="2" t="str">
        <f>"9783862192991"</f>
        <v>9783862192991</v>
      </c>
    </row>
    <row r="25484" spans="1:6" s="3" customFormat="1" ht="29.1" customHeight="1" x14ac:dyDescent="0.25">
      <c r="A25484" s="2" t="s">
        <v>49658</v>
      </c>
      <c r="B25484" s="2" t="s">
        <v>49659</v>
      </c>
      <c r="C25484" s="2" t="s">
        <v>43061</v>
      </c>
      <c r="D25484" s="2" t="s">
        <v>6152</v>
      </c>
      <c r="E25484" s="2" t="str">
        <f>"9783862192960"</f>
        <v>9783862192960</v>
      </c>
      <c r="F25484" s="2" t="str">
        <f>"9783862192977"</f>
        <v>9783862192977</v>
      </c>
    </row>
    <row r="25485" spans="1:6" s="3" customFormat="1" ht="29.1" customHeight="1" x14ac:dyDescent="0.25">
      <c r="A25485" s="2" t="s">
        <v>49660</v>
      </c>
      <c r="B25485" s="2" t="s">
        <v>49661</v>
      </c>
      <c r="C25485" s="2" t="s">
        <v>43061</v>
      </c>
      <c r="D25485" s="2" t="s">
        <v>2019</v>
      </c>
      <c r="E25485" s="2" t="str">
        <f>"9783862192946"</f>
        <v>9783862192946</v>
      </c>
      <c r="F25485" s="2" t="str">
        <f>"9783862192953"</f>
        <v>9783862192953</v>
      </c>
    </row>
    <row r="25486" spans="1:6" s="3" customFormat="1" ht="29.1" customHeight="1" x14ac:dyDescent="0.25">
      <c r="A25486" s="2" t="s">
        <v>49662</v>
      </c>
      <c r="B25486" s="2" t="s">
        <v>49663</v>
      </c>
      <c r="C25486" s="2" t="s">
        <v>43061</v>
      </c>
      <c r="D25486" s="2" t="s">
        <v>29691</v>
      </c>
      <c r="E25486" s="2" t="str">
        <f>"9783862192885"</f>
        <v>9783862192885</v>
      </c>
      <c r="F25486" s="2" t="str">
        <f>"9783862192892"</f>
        <v>9783862192892</v>
      </c>
    </row>
    <row r="25487" spans="1:6" s="3" customFormat="1" ht="29.1" customHeight="1" x14ac:dyDescent="0.25">
      <c r="A25487" s="2" t="s">
        <v>49664</v>
      </c>
      <c r="B25487" s="2" t="s">
        <v>49665</v>
      </c>
      <c r="C25487" s="2" t="s">
        <v>43061</v>
      </c>
      <c r="D25487" s="2" t="s">
        <v>3445</v>
      </c>
      <c r="E25487" s="2" t="str">
        <f>"9783862192847"</f>
        <v>9783862192847</v>
      </c>
      <c r="F25487" s="2" t="str">
        <f>"9783862192854"</f>
        <v>9783862192854</v>
      </c>
    </row>
    <row r="25488" spans="1:6" s="3" customFormat="1" ht="29.1" customHeight="1" x14ac:dyDescent="0.25">
      <c r="A25488" s="2" t="s">
        <v>49666</v>
      </c>
      <c r="B25488" s="2" t="s">
        <v>49667</v>
      </c>
      <c r="C25488" s="2" t="s">
        <v>43061</v>
      </c>
      <c r="D25488" s="2" t="s">
        <v>350</v>
      </c>
      <c r="E25488" s="2" t="str">
        <f>"9783862192809"</f>
        <v>9783862192809</v>
      </c>
      <c r="F25488" s="2" t="str">
        <f>"9783862192816"</f>
        <v>9783862192816</v>
      </c>
    </row>
    <row r="25489" spans="1:6" s="3" customFormat="1" ht="29.1" customHeight="1" x14ac:dyDescent="0.25">
      <c r="A25489" s="2" t="s">
        <v>49668</v>
      </c>
      <c r="B25489" s="2" t="s">
        <v>49669</v>
      </c>
      <c r="C25489" s="2" t="s">
        <v>43061</v>
      </c>
      <c r="D25489" s="2" t="s">
        <v>841</v>
      </c>
      <c r="E25489" s="2" t="str">
        <f>"9783862192786"</f>
        <v>9783862192786</v>
      </c>
      <c r="F25489" s="2" t="str">
        <f>"9783862192793"</f>
        <v>9783862192793</v>
      </c>
    </row>
    <row r="25490" spans="1:6" s="3" customFormat="1" ht="29.1" customHeight="1" x14ac:dyDescent="0.25">
      <c r="A25490" s="2" t="s">
        <v>49670</v>
      </c>
      <c r="B25490" s="2" t="s">
        <v>49671</v>
      </c>
      <c r="C25490" s="2" t="s">
        <v>43061</v>
      </c>
      <c r="D25490" s="2" t="s">
        <v>28202</v>
      </c>
      <c r="E25490" s="2" t="str">
        <f>"9783862192748"</f>
        <v>9783862192748</v>
      </c>
      <c r="F25490" s="2" t="str">
        <f>"9783862192755"</f>
        <v>9783862192755</v>
      </c>
    </row>
    <row r="25491" spans="1:6" s="3" customFormat="1" ht="29.1" customHeight="1" x14ac:dyDescent="0.25">
      <c r="A25491" s="2" t="s">
        <v>49672</v>
      </c>
      <c r="B25491" s="2" t="s">
        <v>49673</v>
      </c>
      <c r="C25491" s="2" t="s">
        <v>43061</v>
      </c>
      <c r="D25491" s="2" t="s">
        <v>3943</v>
      </c>
      <c r="E25491" s="2" t="str">
        <f>"9783862192700"</f>
        <v>9783862192700</v>
      </c>
      <c r="F25491" s="2" t="str">
        <f>"9783862192717"</f>
        <v>9783862192717</v>
      </c>
    </row>
    <row r="25492" spans="1:6" s="3" customFormat="1" ht="29.1" customHeight="1" x14ac:dyDescent="0.25">
      <c r="A25492" s="2" t="s">
        <v>49674</v>
      </c>
      <c r="B25492" s="2" t="s">
        <v>49675</v>
      </c>
      <c r="C25492" s="2" t="s">
        <v>43061</v>
      </c>
      <c r="D25492" s="2" t="s">
        <v>3661</v>
      </c>
      <c r="E25492" s="2" t="str">
        <f>"9783862192687"</f>
        <v>9783862192687</v>
      </c>
      <c r="F25492" s="2" t="str">
        <f>"9783862192694"</f>
        <v>9783862192694</v>
      </c>
    </row>
    <row r="25493" spans="1:6" s="3" customFormat="1" ht="29.1" customHeight="1" x14ac:dyDescent="0.25">
      <c r="A25493" s="2" t="s">
        <v>49676</v>
      </c>
      <c r="B25493" s="2" t="s">
        <v>49677</v>
      </c>
      <c r="C25493" s="2" t="s">
        <v>43061</v>
      </c>
      <c r="D25493" s="2" t="s">
        <v>5092</v>
      </c>
      <c r="E25493" s="2" t="str">
        <f>"9783862192663"</f>
        <v>9783862192663</v>
      </c>
      <c r="F25493" s="2" t="str">
        <f>"9783862192670"</f>
        <v>9783862192670</v>
      </c>
    </row>
    <row r="25494" spans="1:6" s="3" customFormat="1" ht="29.1" customHeight="1" x14ac:dyDescent="0.25">
      <c r="A25494" s="2" t="s">
        <v>49678</v>
      </c>
      <c r="B25494" s="2" t="s">
        <v>49680</v>
      </c>
      <c r="C25494" s="2" t="s">
        <v>43061</v>
      </c>
      <c r="D25494" s="2" t="s">
        <v>49679</v>
      </c>
      <c r="E25494" s="2" t="str">
        <f>"9783862192625"</f>
        <v>9783862192625</v>
      </c>
      <c r="F25494" s="2" t="str">
        <f>"9783862192632"</f>
        <v>9783862192632</v>
      </c>
    </row>
    <row r="25495" spans="1:6" s="3" customFormat="1" ht="29.1" customHeight="1" x14ac:dyDescent="0.25">
      <c r="A25495" s="2" t="s">
        <v>49681</v>
      </c>
      <c r="B25495" s="2" t="s">
        <v>49682</v>
      </c>
      <c r="C25495" s="2" t="s">
        <v>43061</v>
      </c>
      <c r="D25495" s="2" t="s">
        <v>2713</v>
      </c>
      <c r="E25495" s="2" t="str">
        <f>"9783862192601"</f>
        <v>9783862192601</v>
      </c>
      <c r="F25495" s="2" t="str">
        <f>"9783862192618"</f>
        <v>9783862192618</v>
      </c>
    </row>
    <row r="25496" spans="1:6" s="3" customFormat="1" ht="29.1" customHeight="1" x14ac:dyDescent="0.25">
      <c r="A25496" s="2" t="s">
        <v>49683</v>
      </c>
      <c r="B25496" s="2" t="s">
        <v>49684</v>
      </c>
      <c r="C25496" s="2" t="s">
        <v>43061</v>
      </c>
      <c r="D25496" s="2" t="s">
        <v>2147</v>
      </c>
      <c r="E25496" s="2" t="str">
        <f>"9783862192588"</f>
        <v>9783862192588</v>
      </c>
      <c r="F25496" s="2" t="str">
        <f>"9783862192595"</f>
        <v>9783862192595</v>
      </c>
    </row>
    <row r="25497" spans="1:6" s="3" customFormat="1" ht="29.1" customHeight="1" x14ac:dyDescent="0.25">
      <c r="A25497" s="2" t="s">
        <v>49685</v>
      </c>
      <c r="B25497" s="2" t="s">
        <v>49687</v>
      </c>
      <c r="C25497" s="2" t="s">
        <v>43061</v>
      </c>
      <c r="D25497" s="2" t="s">
        <v>49686</v>
      </c>
      <c r="E25497" s="2" t="str">
        <f>"9783862192564"</f>
        <v>9783862192564</v>
      </c>
      <c r="F25497" s="2" t="str">
        <f>"9783862192571"</f>
        <v>9783862192571</v>
      </c>
    </row>
    <row r="25498" spans="1:6" s="3" customFormat="1" ht="29.1" customHeight="1" x14ac:dyDescent="0.25">
      <c r="A25498" s="2" t="s">
        <v>49688</v>
      </c>
      <c r="B25498" s="2" t="s">
        <v>49690</v>
      </c>
      <c r="C25498" s="2" t="s">
        <v>43061</v>
      </c>
      <c r="D25498" s="2" t="s">
        <v>49689</v>
      </c>
      <c r="E25498" s="2" t="str">
        <f>"9783862192540"</f>
        <v>9783862192540</v>
      </c>
      <c r="F25498" s="2" t="str">
        <f>"9783862192557"</f>
        <v>9783862192557</v>
      </c>
    </row>
    <row r="25499" spans="1:6" s="3" customFormat="1" ht="29.1" customHeight="1" x14ac:dyDescent="0.25">
      <c r="A25499" s="2" t="s">
        <v>49691</v>
      </c>
      <c r="B25499" s="2" t="s">
        <v>49692</v>
      </c>
      <c r="C25499" s="2" t="s">
        <v>43061</v>
      </c>
      <c r="D25499" s="2" t="s">
        <v>44</v>
      </c>
      <c r="E25499" s="2" t="str">
        <f>"9783862192526"</f>
        <v>9783862192526</v>
      </c>
      <c r="F25499" s="2" t="str">
        <f>"9783862192533"</f>
        <v>9783862192533</v>
      </c>
    </row>
    <row r="25500" spans="1:6" s="3" customFormat="1" ht="29.1" customHeight="1" x14ac:dyDescent="0.25">
      <c r="A25500" s="2" t="s">
        <v>49693</v>
      </c>
      <c r="B25500" s="2" t="s">
        <v>49694</v>
      </c>
      <c r="C25500" s="2" t="s">
        <v>43061</v>
      </c>
      <c r="D25500" s="2" t="s">
        <v>553</v>
      </c>
      <c r="E25500" s="2" t="str">
        <f>"9783862192502"</f>
        <v>9783862192502</v>
      </c>
      <c r="F25500" s="2" t="str">
        <f>"9783862192519"</f>
        <v>9783862192519</v>
      </c>
    </row>
    <row r="25501" spans="1:6" s="3" customFormat="1" ht="29.1" customHeight="1" x14ac:dyDescent="0.25">
      <c r="A25501" s="2" t="s">
        <v>49695</v>
      </c>
      <c r="B25501" s="2" t="s">
        <v>49696</v>
      </c>
      <c r="C25501" s="2" t="s">
        <v>43061</v>
      </c>
      <c r="D25501" s="2" t="s">
        <v>3607</v>
      </c>
      <c r="E25501" s="2" t="str">
        <f>"9783862192489"</f>
        <v>9783862192489</v>
      </c>
      <c r="F25501" s="2" t="str">
        <f>"9783862192496"</f>
        <v>9783862192496</v>
      </c>
    </row>
    <row r="25502" spans="1:6" s="3" customFormat="1" ht="29.1" customHeight="1" x14ac:dyDescent="0.25">
      <c r="A25502" s="2" t="s">
        <v>49697</v>
      </c>
      <c r="B25502" s="2" t="s">
        <v>49698</v>
      </c>
      <c r="C25502" s="2" t="s">
        <v>43061</v>
      </c>
      <c r="D25502" s="2" t="s">
        <v>5092</v>
      </c>
      <c r="E25502" s="2" t="str">
        <f>"9783862192441"</f>
        <v>9783862192441</v>
      </c>
      <c r="F25502" s="2" t="str">
        <f>"9783862192458"</f>
        <v>9783862192458</v>
      </c>
    </row>
    <row r="25503" spans="1:6" s="3" customFormat="1" ht="29.1" customHeight="1" x14ac:dyDescent="0.25">
      <c r="A25503" s="2" t="s">
        <v>49699</v>
      </c>
      <c r="B25503" s="2" t="s">
        <v>49700</v>
      </c>
      <c r="C25503" s="2" t="s">
        <v>43061</v>
      </c>
      <c r="D25503" s="2" t="s">
        <v>2962</v>
      </c>
      <c r="E25503" s="2" t="str">
        <f>"9783862192366"</f>
        <v>9783862192366</v>
      </c>
      <c r="F25503" s="2" t="str">
        <f>"9783862192373"</f>
        <v>9783862192373</v>
      </c>
    </row>
    <row r="25504" spans="1:6" s="3" customFormat="1" ht="29.1" customHeight="1" x14ac:dyDescent="0.25">
      <c r="A25504" s="2" t="s">
        <v>49701</v>
      </c>
      <c r="B25504" s="2" t="s">
        <v>49702</v>
      </c>
      <c r="C25504" s="2" t="s">
        <v>43061</v>
      </c>
      <c r="D25504" s="2" t="s">
        <v>11248</v>
      </c>
      <c r="E25504" s="2" t="str">
        <f>"9783862192304"</f>
        <v>9783862192304</v>
      </c>
      <c r="F25504" s="2" t="str">
        <f>"9783862192311"</f>
        <v>9783862192311</v>
      </c>
    </row>
    <row r="25505" spans="1:6" s="3" customFormat="1" ht="29.1" customHeight="1" x14ac:dyDescent="0.25">
      <c r="A25505" s="2" t="s">
        <v>49703</v>
      </c>
      <c r="B25505" s="2" t="s">
        <v>49704</v>
      </c>
      <c r="C25505" s="2" t="s">
        <v>43061</v>
      </c>
      <c r="D25505" s="2" t="s">
        <v>25933</v>
      </c>
      <c r="E25505" s="2" t="str">
        <f>"9783862192281"</f>
        <v>9783862192281</v>
      </c>
      <c r="F25505" s="2" t="str">
        <f>"9783862192298"</f>
        <v>9783862192298</v>
      </c>
    </row>
    <row r="25506" spans="1:6" s="3" customFormat="1" ht="29.1" customHeight="1" x14ac:dyDescent="0.25">
      <c r="A25506" s="2" t="s">
        <v>49705</v>
      </c>
      <c r="B25506" s="2" t="s">
        <v>49706</v>
      </c>
      <c r="C25506" s="2" t="s">
        <v>43061</v>
      </c>
      <c r="D25506" s="2" t="s">
        <v>1694</v>
      </c>
      <c r="E25506" s="2" t="str">
        <f>"9783862192205"</f>
        <v>9783862192205</v>
      </c>
      <c r="F25506" s="2" t="str">
        <f>"9783862192212"</f>
        <v>9783862192212</v>
      </c>
    </row>
    <row r="25507" spans="1:6" s="3" customFormat="1" ht="29.1" customHeight="1" x14ac:dyDescent="0.25">
      <c r="A25507" s="2" t="s">
        <v>49707</v>
      </c>
      <c r="B25507" s="2" t="s">
        <v>49709</v>
      </c>
      <c r="C25507" s="2" t="s">
        <v>43061</v>
      </c>
      <c r="D25507" s="2" t="s">
        <v>49708</v>
      </c>
      <c r="E25507" s="2" t="str">
        <f>"9783862192120"</f>
        <v>9783862192120</v>
      </c>
      <c r="F25507" s="2" t="str">
        <f>"9783862192137"</f>
        <v>9783862192137</v>
      </c>
    </row>
    <row r="25508" spans="1:6" s="3" customFormat="1" ht="29.1" customHeight="1" x14ac:dyDescent="0.25">
      <c r="A25508" s="2" t="s">
        <v>49710</v>
      </c>
      <c r="B25508" s="2" t="s">
        <v>49711</v>
      </c>
      <c r="C25508" s="2" t="s">
        <v>43061</v>
      </c>
      <c r="D25508" s="2" t="s">
        <v>2147</v>
      </c>
      <c r="E25508" s="2" t="str">
        <f>"9783862192106"</f>
        <v>9783862192106</v>
      </c>
      <c r="F25508" s="2" t="str">
        <f>"9783862192113"</f>
        <v>9783862192113</v>
      </c>
    </row>
    <row r="25509" spans="1:6" s="3" customFormat="1" ht="29.1" customHeight="1" x14ac:dyDescent="0.25">
      <c r="A25509" s="2" t="s">
        <v>49712</v>
      </c>
      <c r="B25509" s="2" t="s">
        <v>49713</v>
      </c>
      <c r="C25509" s="2" t="s">
        <v>43061</v>
      </c>
      <c r="D25509" s="2" t="s">
        <v>13640</v>
      </c>
      <c r="E25509" s="2" t="str">
        <f>"9783862191901"</f>
        <v>9783862191901</v>
      </c>
      <c r="F25509" s="2" t="str">
        <f>"9783862191918"</f>
        <v>9783862191918</v>
      </c>
    </row>
    <row r="25510" spans="1:6" s="3" customFormat="1" ht="29.1" customHeight="1" x14ac:dyDescent="0.25">
      <c r="A25510" s="2" t="s">
        <v>49714</v>
      </c>
      <c r="B25510" s="2" t="s">
        <v>49715</v>
      </c>
      <c r="C25510" s="2" t="s">
        <v>43061</v>
      </c>
      <c r="D25510" s="2" t="s">
        <v>42678</v>
      </c>
      <c r="E25510" s="2" t="str">
        <f>"9783862191840"</f>
        <v>9783862191840</v>
      </c>
      <c r="F25510" s="2" t="str">
        <f>"9783862191857"</f>
        <v>9783862191857</v>
      </c>
    </row>
    <row r="25511" spans="1:6" s="3" customFormat="1" ht="29.1" customHeight="1" x14ac:dyDescent="0.25">
      <c r="A25511" s="2" t="s">
        <v>49716</v>
      </c>
      <c r="B25511" s="2" t="s">
        <v>49717</v>
      </c>
      <c r="C25511" s="2" t="s">
        <v>43061</v>
      </c>
      <c r="D25511" s="2" t="s">
        <v>1285</v>
      </c>
      <c r="E25511" s="2" t="str">
        <f>"9783862191628"</f>
        <v>9783862191628</v>
      </c>
      <c r="F25511" s="2" t="str">
        <f>"9783862191635"</f>
        <v>9783862191635</v>
      </c>
    </row>
    <row r="25512" spans="1:6" s="3" customFormat="1" ht="29.1" customHeight="1" x14ac:dyDescent="0.25">
      <c r="A25512" s="2" t="s">
        <v>49718</v>
      </c>
      <c r="B25512" s="2" t="s">
        <v>49719</v>
      </c>
      <c r="C25512" s="2" t="s">
        <v>43061</v>
      </c>
      <c r="D25512" s="2" t="s">
        <v>350</v>
      </c>
      <c r="E25512" s="2" t="str">
        <f>"9783862191543"</f>
        <v>9783862191543</v>
      </c>
      <c r="F25512" s="2" t="str">
        <f>"9783862191550"</f>
        <v>9783862191550</v>
      </c>
    </row>
    <row r="25513" spans="1:6" s="3" customFormat="1" ht="29.1" customHeight="1" x14ac:dyDescent="0.25">
      <c r="A25513" s="2" t="s">
        <v>49720</v>
      </c>
      <c r="B25513" s="2" t="s">
        <v>49721</v>
      </c>
      <c r="C25513" s="2" t="s">
        <v>43061</v>
      </c>
      <c r="D25513" s="2" t="s">
        <v>4210</v>
      </c>
      <c r="E25513" s="2" t="str">
        <f>"9783862191321"</f>
        <v>9783862191321</v>
      </c>
      <c r="F25513" s="2" t="str">
        <f>"9783862191338"</f>
        <v>9783862191338</v>
      </c>
    </row>
    <row r="25514" spans="1:6" s="3" customFormat="1" ht="29.1" customHeight="1" x14ac:dyDescent="0.25">
      <c r="A25514" s="2" t="s">
        <v>49722</v>
      </c>
      <c r="B25514" s="2" t="s">
        <v>49723</v>
      </c>
      <c r="C25514" s="2" t="s">
        <v>43061</v>
      </c>
      <c r="D25514" s="2" t="s">
        <v>350</v>
      </c>
      <c r="E25514" s="2" t="str">
        <f>"9783862191048"</f>
        <v>9783862191048</v>
      </c>
      <c r="F25514" s="2" t="str">
        <f>"9783862191055"</f>
        <v>9783862191055</v>
      </c>
    </row>
    <row r="25515" spans="1:6" s="3" customFormat="1" ht="29.1" customHeight="1" x14ac:dyDescent="0.25">
      <c r="A25515" s="2" t="s">
        <v>49724</v>
      </c>
      <c r="B25515" s="2" t="s">
        <v>49725</v>
      </c>
      <c r="C25515" s="2" t="s">
        <v>124</v>
      </c>
      <c r="D25515" s="2" t="s">
        <v>2005</v>
      </c>
      <c r="E25515" s="2" t="str">
        <f>"9780415634274"</f>
        <v>9780415634274</v>
      </c>
      <c r="F25515" s="2" t="str">
        <f>"9781317747529"</f>
        <v>9781317747529</v>
      </c>
    </row>
    <row r="25516" spans="1:6" s="3" customFormat="1" ht="29.1" customHeight="1" x14ac:dyDescent="0.25">
      <c r="A25516" s="2" t="s">
        <v>49726</v>
      </c>
      <c r="B25516" s="2" t="s">
        <v>45537</v>
      </c>
      <c r="C25516" s="2" t="s">
        <v>124</v>
      </c>
      <c r="D25516" s="2" t="s">
        <v>2019</v>
      </c>
      <c r="E25516" s="2" t="str">
        <f>"9780415595704"</f>
        <v>9780415595704</v>
      </c>
      <c r="F25516" s="2" t="str">
        <f>"9781136198830"</f>
        <v>9781136198830</v>
      </c>
    </row>
    <row r="25517" spans="1:6" s="3" customFormat="1" ht="29.1" customHeight="1" x14ac:dyDescent="0.25">
      <c r="A25517" s="2" t="s">
        <v>49727</v>
      </c>
      <c r="B25517" s="2" t="s">
        <v>49728</v>
      </c>
      <c r="C25517" s="2" t="s">
        <v>26676</v>
      </c>
      <c r="D25517" s="2" t="s">
        <v>3245</v>
      </c>
      <c r="E25517" s="2" t="str">
        <f>"9781618113511"</f>
        <v>9781618113511</v>
      </c>
      <c r="F25517" s="2" t="str">
        <f>"9781618113627"</f>
        <v>9781618113627</v>
      </c>
    </row>
    <row r="25518" spans="1:6" s="3" customFormat="1" ht="29.1" customHeight="1" x14ac:dyDescent="0.25">
      <c r="A25518" s="2" t="s">
        <v>49729</v>
      </c>
      <c r="B25518" s="2" t="s">
        <v>49730</v>
      </c>
      <c r="C25518" s="2" t="s">
        <v>26676</v>
      </c>
      <c r="D25518" s="2" t="s">
        <v>4238</v>
      </c>
      <c r="E25518" s="2" t="str">
        <f>"9781618113474"</f>
        <v>9781618113474</v>
      </c>
      <c r="F25518" s="2" t="str">
        <f>"9781618113580"</f>
        <v>9781618113580</v>
      </c>
    </row>
    <row r="25519" spans="1:6" s="3" customFormat="1" ht="29.1" customHeight="1" x14ac:dyDescent="0.25">
      <c r="A25519" s="2" t="s">
        <v>49731</v>
      </c>
      <c r="B25519" s="2" t="s">
        <v>49732</v>
      </c>
      <c r="C25519" s="2" t="s">
        <v>26676</v>
      </c>
      <c r="D25519" s="2" t="s">
        <v>1565</v>
      </c>
      <c r="E25519" s="2" t="str">
        <f>"9781618113139"</f>
        <v>9781618113139</v>
      </c>
      <c r="F25519" s="2" t="str">
        <f>"9781618113146"</f>
        <v>9781618113146</v>
      </c>
    </row>
    <row r="25520" spans="1:6" s="3" customFormat="1" ht="29.1" customHeight="1" x14ac:dyDescent="0.25">
      <c r="A25520" s="2" t="s">
        <v>49733</v>
      </c>
      <c r="B25520" s="2" t="s">
        <v>49734</v>
      </c>
      <c r="C25520" s="2" t="s">
        <v>7395</v>
      </c>
      <c r="D25520" s="2" t="s">
        <v>636</v>
      </c>
      <c r="E25520" s="2" t="str">
        <f>"9780295993652"</f>
        <v>9780295993652</v>
      </c>
      <c r="F25520" s="2" t="str">
        <f>"9780295805061"</f>
        <v>9780295805061</v>
      </c>
    </row>
    <row r="25521" spans="1:6" s="3" customFormat="1" ht="29.1" customHeight="1" x14ac:dyDescent="0.25">
      <c r="A25521" s="2" t="s">
        <v>49735</v>
      </c>
      <c r="B25521" s="2" t="s">
        <v>49737</v>
      </c>
      <c r="C25521" s="2" t="s">
        <v>5050</v>
      </c>
      <c r="D25521" s="2" t="s">
        <v>49736</v>
      </c>
      <c r="E25521" s="2" t="str">
        <f>"9780824834586"</f>
        <v>9780824834586</v>
      </c>
      <c r="F25521" s="2" t="str">
        <f>"9780824895358"</f>
        <v>9780824895358</v>
      </c>
    </row>
    <row r="25522" spans="1:6" s="3" customFormat="1" ht="29.1" customHeight="1" x14ac:dyDescent="0.25">
      <c r="A25522" s="2" t="s">
        <v>49738</v>
      </c>
      <c r="B25522" s="2" t="s">
        <v>49739</v>
      </c>
      <c r="C25522" s="2" t="s">
        <v>5050</v>
      </c>
      <c r="D25522" s="2" t="s">
        <v>1617</v>
      </c>
      <c r="E25522" s="2" t="str">
        <f>"9780824834173"</f>
        <v>9780824834173</v>
      </c>
      <c r="F25522" s="2" t="str">
        <f>"9780824860660"</f>
        <v>9780824860660</v>
      </c>
    </row>
    <row r="25523" spans="1:6" s="3" customFormat="1" ht="29.1" customHeight="1" x14ac:dyDescent="0.25">
      <c r="A25523" s="2" t="s">
        <v>49740</v>
      </c>
      <c r="B25523" s="2" t="s">
        <v>49741</v>
      </c>
      <c r="C25523" s="2" t="s">
        <v>7163</v>
      </c>
      <c r="D25523" s="2" t="s">
        <v>4789</v>
      </c>
      <c r="E25523" s="2" t="str">
        <f>"9781611174441"</f>
        <v>9781611174441</v>
      </c>
      <c r="F25523" s="2" t="str">
        <f>"9781611174458"</f>
        <v>9781611174458</v>
      </c>
    </row>
    <row r="25524" spans="1:6" s="3" customFormat="1" ht="29.1" customHeight="1" x14ac:dyDescent="0.25">
      <c r="A25524" s="2" t="s">
        <v>49742</v>
      </c>
      <c r="B25524" s="2" t="s">
        <v>49743</v>
      </c>
      <c r="C25524" s="2" t="s">
        <v>11220</v>
      </c>
      <c r="D25524" s="2" t="s">
        <v>636</v>
      </c>
      <c r="E25524" s="2" t="str">
        <f>"9781479812981"</f>
        <v>9781479812981</v>
      </c>
      <c r="F25524" s="2" t="str">
        <f>"9781479855049"</f>
        <v>9781479855049</v>
      </c>
    </row>
    <row r="25525" spans="1:6" s="3" customFormat="1" ht="29.1" customHeight="1" x14ac:dyDescent="0.25">
      <c r="A25525" s="2" t="s">
        <v>49744</v>
      </c>
      <c r="B25525" s="2" t="s">
        <v>49745</v>
      </c>
      <c r="C25525" s="2" t="s">
        <v>8104</v>
      </c>
      <c r="D25525" s="2" t="s">
        <v>1183</v>
      </c>
      <c r="E25525" s="2" t="str">
        <f>"9780857452931"</f>
        <v>9780857452931</v>
      </c>
      <c r="F25525" s="2" t="str">
        <f>"9780857452948"</f>
        <v>9780857452948</v>
      </c>
    </row>
    <row r="25526" spans="1:6" s="3" customFormat="1" ht="29.1" customHeight="1" x14ac:dyDescent="0.25">
      <c r="A25526" s="2" t="s">
        <v>49746</v>
      </c>
      <c r="B25526" s="2" t="s">
        <v>49747</v>
      </c>
      <c r="C25526" s="2" t="s">
        <v>36</v>
      </c>
      <c r="D25526" s="2" t="s">
        <v>1228</v>
      </c>
      <c r="E25526" s="2" t="str">
        <f>"9781447311027"</f>
        <v>9781447311027</v>
      </c>
      <c r="F25526" s="2" t="str">
        <f>"9781447311041"</f>
        <v>9781447311041</v>
      </c>
    </row>
    <row r="25527" spans="1:6" s="3" customFormat="1" ht="29.1" customHeight="1" x14ac:dyDescent="0.25">
      <c r="A25527" s="2" t="s">
        <v>49748</v>
      </c>
      <c r="B25527" s="2" t="s">
        <v>49749</v>
      </c>
      <c r="C25527" s="2" t="s">
        <v>5050</v>
      </c>
      <c r="D25527" s="2" t="s">
        <v>3214</v>
      </c>
      <c r="E25527" s="2" t="str">
        <f>"9780824836962"</f>
        <v>9780824836962</v>
      </c>
      <c r="F25527" s="2" t="str">
        <f>"9780824839024"</f>
        <v>9780824839024</v>
      </c>
    </row>
    <row r="25528" spans="1:6" s="3" customFormat="1" ht="29.1" customHeight="1" x14ac:dyDescent="0.25">
      <c r="A25528" s="2" t="s">
        <v>49750</v>
      </c>
      <c r="B25528" s="2" t="s">
        <v>49751</v>
      </c>
      <c r="C25528" s="2" t="s">
        <v>11220</v>
      </c>
      <c r="D25528" s="2" t="s">
        <v>15</v>
      </c>
      <c r="E25528" s="2" t="str">
        <f>"9781479816873"</f>
        <v>9781479816873</v>
      </c>
      <c r="F25528" s="2" t="str">
        <f>"9781479863402"</f>
        <v>9781479863402</v>
      </c>
    </row>
    <row r="25529" spans="1:6" s="3" customFormat="1" ht="29.1" customHeight="1" x14ac:dyDescent="0.25">
      <c r="A25529" s="2" t="s">
        <v>49752</v>
      </c>
      <c r="B25529" s="2" t="s">
        <v>49753</v>
      </c>
      <c r="C25529" s="2" t="s">
        <v>11220</v>
      </c>
      <c r="D25529" s="2" t="s">
        <v>15</v>
      </c>
      <c r="E25529" s="2" t="str">
        <f>"9780814717073"</f>
        <v>9780814717073</v>
      </c>
      <c r="F25529" s="2" t="str">
        <f>"9781479829729"</f>
        <v>9781479829729</v>
      </c>
    </row>
    <row r="25530" spans="1:6" s="3" customFormat="1" ht="29.1" customHeight="1" x14ac:dyDescent="0.25">
      <c r="A25530" s="2" t="s">
        <v>49754</v>
      </c>
      <c r="B25530" s="2" t="s">
        <v>49755</v>
      </c>
      <c r="C25530" s="2" t="s">
        <v>29</v>
      </c>
      <c r="D25530" s="2" t="s">
        <v>210</v>
      </c>
      <c r="E25530" s="2" t="str">
        <f>"9789004264144"</f>
        <v>9789004264144</v>
      </c>
      <c r="F25530" s="2" t="str">
        <f>"9789004269743"</f>
        <v>9789004269743</v>
      </c>
    </row>
    <row r="25531" spans="1:6" s="3" customFormat="1" ht="29.1" customHeight="1" x14ac:dyDescent="0.25">
      <c r="A25531" s="2" t="s">
        <v>49756</v>
      </c>
      <c r="B25531" s="2" t="s">
        <v>45036</v>
      </c>
      <c r="C25531" s="2" t="s">
        <v>29</v>
      </c>
      <c r="D25531" s="2" t="s">
        <v>4117</v>
      </c>
      <c r="E25531" s="2" t="str">
        <f>"9789004262843"</f>
        <v>9789004262843</v>
      </c>
      <c r="F25531" s="2" t="str">
        <f>"9789004262850"</f>
        <v>9789004262850</v>
      </c>
    </row>
    <row r="25532" spans="1:6" s="3" customFormat="1" ht="29.1" customHeight="1" x14ac:dyDescent="0.25">
      <c r="A25532" s="2" t="s">
        <v>49757</v>
      </c>
      <c r="B25532" s="2" t="s">
        <v>49758</v>
      </c>
      <c r="C25532" s="2" t="s">
        <v>195</v>
      </c>
      <c r="D25532" s="2" t="s">
        <v>81</v>
      </c>
      <c r="E25532" s="2" t="str">
        <f>"9783110350524"</f>
        <v>9783110350524</v>
      </c>
      <c r="F25532" s="2" t="str">
        <f>"9783110350548"</f>
        <v>9783110350548</v>
      </c>
    </row>
    <row r="25533" spans="1:6" s="3" customFormat="1" ht="29.1" customHeight="1" x14ac:dyDescent="0.25">
      <c r="A25533" s="2" t="s">
        <v>49759</v>
      </c>
      <c r="B25533" s="2" t="s">
        <v>49760</v>
      </c>
      <c r="C25533" s="2" t="s">
        <v>195</v>
      </c>
      <c r="D25533" s="2" t="s">
        <v>339</v>
      </c>
      <c r="E25533" s="2" t="str">
        <f>"9783050046426"</f>
        <v>9783050046426</v>
      </c>
      <c r="F25533" s="2" t="str">
        <f>"9783050057316"</f>
        <v>9783050057316</v>
      </c>
    </row>
    <row r="25534" spans="1:6" s="3" customFormat="1" ht="29.1" customHeight="1" x14ac:dyDescent="0.25">
      <c r="A25534" s="2" t="s">
        <v>49761</v>
      </c>
      <c r="B25534" s="2" t="s">
        <v>44151</v>
      </c>
      <c r="C25534" s="2" t="s">
        <v>195</v>
      </c>
      <c r="D25534" s="2" t="s">
        <v>210</v>
      </c>
      <c r="E25534" s="2" t="str">
        <f>"9783050045603"</f>
        <v>9783050045603</v>
      </c>
      <c r="F25534" s="2" t="str">
        <f>"9783050048642"</f>
        <v>9783050048642</v>
      </c>
    </row>
    <row r="25535" spans="1:6" s="3" customFormat="1" ht="29.1" customHeight="1" x14ac:dyDescent="0.25">
      <c r="A25535" s="2" t="s">
        <v>49762</v>
      </c>
      <c r="B25535" s="2" t="s">
        <v>47923</v>
      </c>
      <c r="C25535" s="2" t="s">
        <v>195</v>
      </c>
      <c r="D25535" s="2" t="s">
        <v>210</v>
      </c>
      <c r="E25535" s="2" t="str">
        <f>"9783050026800"</f>
        <v>9783050026800</v>
      </c>
      <c r="F25535" s="2" t="str">
        <f>"9783050048017"</f>
        <v>9783050048017</v>
      </c>
    </row>
    <row r="25536" spans="1:6" s="3" customFormat="1" ht="29.1" customHeight="1" x14ac:dyDescent="0.25">
      <c r="A25536" s="2" t="s">
        <v>49763</v>
      </c>
      <c r="B25536" s="2" t="s">
        <v>49764</v>
      </c>
      <c r="C25536" s="2" t="s">
        <v>43061</v>
      </c>
      <c r="D25536" s="2" t="s">
        <v>2147</v>
      </c>
      <c r="E25536" s="2" t="str">
        <f>"9783862197064"</f>
        <v>9783862197064</v>
      </c>
      <c r="F25536" s="2" t="str">
        <f>"9783862197071"</f>
        <v>9783862197071</v>
      </c>
    </row>
    <row r="25537" spans="1:6" s="3" customFormat="1" ht="29.1" customHeight="1" x14ac:dyDescent="0.25">
      <c r="A25537" s="2" t="s">
        <v>49765</v>
      </c>
      <c r="B25537" s="2" t="s">
        <v>49766</v>
      </c>
      <c r="C25537" s="2" t="s">
        <v>4788</v>
      </c>
      <c r="D25537" s="2" t="s">
        <v>501</v>
      </c>
      <c r="E25537" s="2" t="str">
        <f>"9780748645756"</f>
        <v>9780748645756</v>
      </c>
      <c r="F25537" s="2" t="str">
        <f>"9780748645763"</f>
        <v>9780748645763</v>
      </c>
    </row>
    <row r="25538" spans="1:6" s="3" customFormat="1" ht="29.1" customHeight="1" x14ac:dyDescent="0.25">
      <c r="A25538" s="2" t="s">
        <v>49767</v>
      </c>
      <c r="B25538" s="2" t="s">
        <v>49768</v>
      </c>
      <c r="C25538" s="2" t="s">
        <v>1070</v>
      </c>
      <c r="D25538" s="2" t="s">
        <v>1313</v>
      </c>
      <c r="E25538" s="2" t="str">
        <f>"9781908541550"</f>
        <v>9781908541550</v>
      </c>
      <c r="F25538" s="2" t="str">
        <f>"9781908541635"</f>
        <v>9781908541635</v>
      </c>
    </row>
    <row r="25539" spans="1:6" s="3" customFormat="1" ht="29.1" customHeight="1" x14ac:dyDescent="0.25">
      <c r="A25539" s="2" t="s">
        <v>49769</v>
      </c>
      <c r="B25539" s="2" t="s">
        <v>49770</v>
      </c>
      <c r="C25539" s="2" t="s">
        <v>927</v>
      </c>
      <c r="D25539" s="2" t="s">
        <v>270</v>
      </c>
      <c r="E25539" s="2" t="str">
        <f>"9780472119301"</f>
        <v>9780472119301</v>
      </c>
      <c r="F25539" s="2" t="str">
        <f>"9780472120215"</f>
        <v>9780472120215</v>
      </c>
    </row>
    <row r="25540" spans="1:6" s="3" customFormat="1" ht="29.1" customHeight="1" x14ac:dyDescent="0.25">
      <c r="A25540" s="2" t="s">
        <v>49771</v>
      </c>
      <c r="B25540" s="2" t="s">
        <v>49772</v>
      </c>
      <c r="C25540" s="2" t="s">
        <v>927</v>
      </c>
      <c r="D25540" s="2" t="s">
        <v>210</v>
      </c>
      <c r="E25540" s="2" t="str">
        <f>"9780472119196"</f>
        <v>9780472119196</v>
      </c>
      <c r="F25540" s="2" t="str">
        <f>"9780472120024"</f>
        <v>9780472120024</v>
      </c>
    </row>
    <row r="25541" spans="1:6" s="3" customFormat="1" ht="29.1" customHeight="1" x14ac:dyDescent="0.25">
      <c r="A25541" s="2" t="s">
        <v>49773</v>
      </c>
      <c r="B25541" s="2" t="s">
        <v>49774</v>
      </c>
      <c r="C25541" s="2" t="s">
        <v>927</v>
      </c>
      <c r="D25541" s="2" t="s">
        <v>2208</v>
      </c>
      <c r="E25541" s="2" t="str">
        <f>"9780472051991"</f>
        <v>9780472051991</v>
      </c>
      <c r="F25541" s="2" t="str">
        <f>"9780472029532"</f>
        <v>9780472029532</v>
      </c>
    </row>
    <row r="25542" spans="1:6" s="3" customFormat="1" ht="29.1" customHeight="1" x14ac:dyDescent="0.25">
      <c r="A25542" s="2" t="s">
        <v>49775</v>
      </c>
      <c r="B25542" s="2" t="s">
        <v>49776</v>
      </c>
      <c r="C25542" s="2" t="s">
        <v>11220</v>
      </c>
      <c r="D25542" s="2" t="s">
        <v>712</v>
      </c>
      <c r="E25542" s="2" t="str">
        <f>"9781479800742"</f>
        <v>9781479800742</v>
      </c>
      <c r="F25542" s="2" t="str">
        <f>"9781479800124"</f>
        <v>9781479800124</v>
      </c>
    </row>
    <row r="25543" spans="1:6" s="3" customFormat="1" ht="29.1" customHeight="1" x14ac:dyDescent="0.25">
      <c r="A25543" s="2" t="s">
        <v>49777</v>
      </c>
      <c r="B25543" s="2" t="s">
        <v>49778</v>
      </c>
      <c r="C25543" s="2" t="s">
        <v>124</v>
      </c>
      <c r="D25543" s="2" t="s">
        <v>2086</v>
      </c>
      <c r="E25543" s="2" t="str">
        <f>"9780415523592"</f>
        <v>9780415523592</v>
      </c>
      <c r="F25543" s="2" t="str">
        <f>"9781136324130"</f>
        <v>9781136324130</v>
      </c>
    </row>
    <row r="25544" spans="1:6" s="3" customFormat="1" ht="29.1" customHeight="1" x14ac:dyDescent="0.25">
      <c r="A25544" s="2" t="s">
        <v>49779</v>
      </c>
      <c r="B25544" s="2" t="s">
        <v>49780</v>
      </c>
      <c r="C25544" s="2" t="s">
        <v>8047</v>
      </c>
      <c r="D25544" s="2" t="s">
        <v>1712</v>
      </c>
      <c r="E25544" s="2" t="str">
        <f>"9780271061924"</f>
        <v>9780271061924</v>
      </c>
      <c r="F25544" s="2" t="str">
        <f>"9780271062501"</f>
        <v>9780271062501</v>
      </c>
    </row>
    <row r="25545" spans="1:6" s="3" customFormat="1" ht="29.1" customHeight="1" x14ac:dyDescent="0.25">
      <c r="A25545" s="2" t="s">
        <v>49781</v>
      </c>
      <c r="B25545" s="2" t="s">
        <v>49782</v>
      </c>
      <c r="C25545" s="2" t="s">
        <v>43061</v>
      </c>
      <c r="D25545" s="2" t="s">
        <v>20435</v>
      </c>
      <c r="E25545" s="2" t="str">
        <f>"9783862196289"</f>
        <v>9783862196289</v>
      </c>
      <c r="F25545" s="2" t="str">
        <f>"9783862196296"</f>
        <v>9783862196296</v>
      </c>
    </row>
    <row r="25546" spans="1:6" s="3" customFormat="1" ht="29.1" customHeight="1" x14ac:dyDescent="0.25">
      <c r="A25546" s="2" t="s">
        <v>49783</v>
      </c>
      <c r="B25546" s="2" t="s">
        <v>49784</v>
      </c>
      <c r="C25546" s="2" t="s">
        <v>43061</v>
      </c>
      <c r="D25546" s="2" t="s">
        <v>92</v>
      </c>
      <c r="E25546" s="2" t="str">
        <f>"9783862196142"</f>
        <v>9783862196142</v>
      </c>
      <c r="F25546" s="2" t="str">
        <f>"9783862196159"</f>
        <v>9783862196159</v>
      </c>
    </row>
    <row r="25547" spans="1:6" s="3" customFormat="1" ht="29.1" customHeight="1" x14ac:dyDescent="0.25">
      <c r="A25547" s="2" t="s">
        <v>49785</v>
      </c>
      <c r="B25547" s="2" t="s">
        <v>49786</v>
      </c>
      <c r="C25547" s="2" t="s">
        <v>43061</v>
      </c>
      <c r="D25547" s="2" t="s">
        <v>34178</v>
      </c>
      <c r="E25547" s="2" t="str">
        <f>"9783862196128"</f>
        <v>9783862196128</v>
      </c>
      <c r="F25547" s="2" t="str">
        <f>"9783862196135"</f>
        <v>9783862196135</v>
      </c>
    </row>
    <row r="25548" spans="1:6" s="3" customFormat="1" ht="29.1" customHeight="1" x14ac:dyDescent="0.25">
      <c r="A25548" s="2" t="s">
        <v>49787</v>
      </c>
      <c r="B25548" s="2" t="s">
        <v>49788</v>
      </c>
      <c r="C25548" s="2" t="s">
        <v>43061</v>
      </c>
      <c r="D25548" s="2" t="s">
        <v>11399</v>
      </c>
      <c r="E25548" s="2" t="str">
        <f>"9783862196104"</f>
        <v>9783862196104</v>
      </c>
      <c r="F25548" s="2" t="str">
        <f>"9783862196111"</f>
        <v>9783862196111</v>
      </c>
    </row>
    <row r="25549" spans="1:6" s="3" customFormat="1" ht="29.1" customHeight="1" x14ac:dyDescent="0.25">
      <c r="A25549" s="2" t="s">
        <v>49789</v>
      </c>
      <c r="B25549" s="2" t="s">
        <v>49790</v>
      </c>
      <c r="C25549" s="2" t="s">
        <v>43061</v>
      </c>
      <c r="D25549" s="2" t="s">
        <v>650</v>
      </c>
      <c r="E25549" s="2" t="str">
        <f>"9783862196081"</f>
        <v>9783862196081</v>
      </c>
      <c r="F25549" s="2" t="str">
        <f>"9783862196098"</f>
        <v>9783862196098</v>
      </c>
    </row>
    <row r="25550" spans="1:6" s="3" customFormat="1" ht="29.1" customHeight="1" x14ac:dyDescent="0.25">
      <c r="A25550" s="2" t="s">
        <v>49791</v>
      </c>
      <c r="B25550" s="2" t="s">
        <v>49792</v>
      </c>
      <c r="C25550" s="2" t="s">
        <v>43061</v>
      </c>
      <c r="D25550" s="2" t="s">
        <v>650</v>
      </c>
      <c r="E25550" s="2" t="str">
        <f>"9783862196043"</f>
        <v>9783862196043</v>
      </c>
      <c r="F25550" s="2" t="str">
        <f>"9783862196050"</f>
        <v>9783862196050</v>
      </c>
    </row>
    <row r="25551" spans="1:6" s="3" customFormat="1" ht="29.1" customHeight="1" x14ac:dyDescent="0.25">
      <c r="A25551" s="2" t="s">
        <v>49793</v>
      </c>
      <c r="B25551" s="2" t="s">
        <v>49794</v>
      </c>
      <c r="C25551" s="2" t="s">
        <v>43061</v>
      </c>
      <c r="D25551" s="2" t="s">
        <v>1396</v>
      </c>
      <c r="E25551" s="2" t="str">
        <f>"9783862196029"</f>
        <v>9783862196029</v>
      </c>
      <c r="F25551" s="2" t="str">
        <f>"9783862196036"</f>
        <v>9783862196036</v>
      </c>
    </row>
    <row r="25552" spans="1:6" s="3" customFormat="1" ht="29.1" customHeight="1" x14ac:dyDescent="0.25">
      <c r="A25552" s="2" t="s">
        <v>49795</v>
      </c>
      <c r="B25552" s="2" t="s">
        <v>49796</v>
      </c>
      <c r="C25552" s="2" t="s">
        <v>43061</v>
      </c>
      <c r="D25552" s="2" t="s">
        <v>3607</v>
      </c>
      <c r="E25552" s="2" t="str">
        <f>"9783862196005"</f>
        <v>9783862196005</v>
      </c>
      <c r="F25552" s="2" t="str">
        <f>"9783862196012"</f>
        <v>9783862196012</v>
      </c>
    </row>
    <row r="25553" spans="1:6" s="3" customFormat="1" ht="29.1" customHeight="1" x14ac:dyDescent="0.25">
      <c r="A25553" s="2" t="s">
        <v>49797</v>
      </c>
      <c r="B25553" s="2" t="s">
        <v>49798</v>
      </c>
      <c r="C25553" s="2" t="s">
        <v>43061</v>
      </c>
      <c r="D25553" s="2" t="s">
        <v>5092</v>
      </c>
      <c r="E25553" s="2" t="str">
        <f>"9783862195145"</f>
        <v>9783862195145</v>
      </c>
      <c r="F25553" s="2" t="str">
        <f>"9783862195992"</f>
        <v>9783862195992</v>
      </c>
    </row>
    <row r="25554" spans="1:6" s="3" customFormat="1" ht="29.1" customHeight="1" x14ac:dyDescent="0.25">
      <c r="A25554" s="2" t="s">
        <v>49799</v>
      </c>
      <c r="B25554" s="2" t="s">
        <v>49800</v>
      </c>
      <c r="C25554" s="2" t="s">
        <v>43061</v>
      </c>
      <c r="D25554" s="2" t="s">
        <v>9899</v>
      </c>
      <c r="E25554" s="2" t="str">
        <f>"9783862194926"</f>
        <v>9783862194926</v>
      </c>
      <c r="F25554" s="2" t="str">
        <f>"9783862194933"</f>
        <v>9783862194933</v>
      </c>
    </row>
    <row r="25555" spans="1:6" s="3" customFormat="1" ht="29.1" customHeight="1" x14ac:dyDescent="0.25">
      <c r="A25555" s="2" t="s">
        <v>49801</v>
      </c>
      <c r="B25555" s="2" t="s">
        <v>49802</v>
      </c>
      <c r="C25555" s="2" t="s">
        <v>43061</v>
      </c>
      <c r="D25555" s="2" t="s">
        <v>350</v>
      </c>
      <c r="E25555" s="2" t="str">
        <f>"9783862194902"</f>
        <v>9783862194902</v>
      </c>
      <c r="F25555" s="2" t="str">
        <f>"9783862194919"</f>
        <v>9783862194919</v>
      </c>
    </row>
    <row r="25556" spans="1:6" s="3" customFormat="1" ht="29.1" customHeight="1" x14ac:dyDescent="0.25">
      <c r="A25556" s="2" t="s">
        <v>49803</v>
      </c>
      <c r="B25556" s="2" t="s">
        <v>49804</v>
      </c>
      <c r="C25556" s="2" t="s">
        <v>43061</v>
      </c>
      <c r="D25556" s="2" t="s">
        <v>650</v>
      </c>
      <c r="E25556" s="2" t="str">
        <f>"9783862194889"</f>
        <v>9783862194889</v>
      </c>
      <c r="F25556" s="2" t="str">
        <f>"9783862194896"</f>
        <v>9783862194896</v>
      </c>
    </row>
    <row r="25557" spans="1:6" s="3" customFormat="1" ht="29.1" customHeight="1" x14ac:dyDescent="0.25">
      <c r="A25557" s="2" t="s">
        <v>49805</v>
      </c>
      <c r="B25557" s="2" t="s">
        <v>49806</v>
      </c>
      <c r="C25557" s="2" t="s">
        <v>43061</v>
      </c>
      <c r="D25557" s="2" t="s">
        <v>650</v>
      </c>
      <c r="E25557" s="2" t="str">
        <f>"9783862194865"</f>
        <v>9783862194865</v>
      </c>
      <c r="F25557" s="2" t="str">
        <f>"9783862194872"</f>
        <v>9783862194872</v>
      </c>
    </row>
    <row r="25558" spans="1:6" s="3" customFormat="1" ht="29.1" customHeight="1" x14ac:dyDescent="0.25">
      <c r="A25558" s="2" t="s">
        <v>49807</v>
      </c>
      <c r="B25558" s="2" t="s">
        <v>49808</v>
      </c>
      <c r="C25558" s="2" t="s">
        <v>43061</v>
      </c>
      <c r="D25558" s="2" t="s">
        <v>454</v>
      </c>
      <c r="E25558" s="2" t="str">
        <f>"9783862194841"</f>
        <v>9783862194841</v>
      </c>
      <c r="F25558" s="2" t="str">
        <f>"9783862194858"</f>
        <v>9783862194858</v>
      </c>
    </row>
    <row r="25559" spans="1:6" s="3" customFormat="1" ht="29.1" customHeight="1" x14ac:dyDescent="0.25">
      <c r="A25559" s="2" t="s">
        <v>49809</v>
      </c>
      <c r="B25559" s="2" t="s">
        <v>49811</v>
      </c>
      <c r="C25559" s="2" t="s">
        <v>43061</v>
      </c>
      <c r="D25559" s="2" t="s">
        <v>49810</v>
      </c>
      <c r="E25559" s="2" t="str">
        <f>"9783862194827"</f>
        <v>9783862194827</v>
      </c>
      <c r="F25559" s="2" t="str">
        <f>"9783862194834"</f>
        <v>9783862194834</v>
      </c>
    </row>
    <row r="25560" spans="1:6" s="3" customFormat="1" ht="29.1" customHeight="1" x14ac:dyDescent="0.25">
      <c r="A25560" s="2" t="s">
        <v>49812</v>
      </c>
      <c r="B25560" s="2" t="s">
        <v>49813</v>
      </c>
      <c r="C25560" s="2" t="s">
        <v>43061</v>
      </c>
      <c r="D25560" s="2" t="s">
        <v>44</v>
      </c>
      <c r="E25560" s="2" t="str">
        <f>"9783862194766"</f>
        <v>9783862194766</v>
      </c>
      <c r="F25560" s="2" t="str">
        <f>"9783862194773"</f>
        <v>9783862194773</v>
      </c>
    </row>
    <row r="25561" spans="1:6" s="3" customFormat="1" ht="29.1" customHeight="1" x14ac:dyDescent="0.25">
      <c r="A25561" s="2" t="s">
        <v>49814</v>
      </c>
      <c r="B25561" s="2" t="s">
        <v>49816</v>
      </c>
      <c r="C25561" s="2" t="s">
        <v>43061</v>
      </c>
      <c r="D25561" s="2" t="s">
        <v>49815</v>
      </c>
      <c r="E25561" s="2" t="str">
        <f>"9783862194742"</f>
        <v>9783862194742</v>
      </c>
      <c r="F25561" s="2" t="str">
        <f>"9783862194759"</f>
        <v>9783862194759</v>
      </c>
    </row>
    <row r="25562" spans="1:6" s="3" customFormat="1" ht="29.1" customHeight="1" x14ac:dyDescent="0.25">
      <c r="A25562" s="2" t="s">
        <v>49817</v>
      </c>
      <c r="B25562" s="2" t="s">
        <v>49818</v>
      </c>
      <c r="C25562" s="2" t="s">
        <v>43061</v>
      </c>
      <c r="D25562" s="2" t="s">
        <v>3943</v>
      </c>
      <c r="E25562" s="2" t="str">
        <f>"9783862194728"</f>
        <v>9783862194728</v>
      </c>
      <c r="F25562" s="2" t="str">
        <f>"9783862194735"</f>
        <v>9783862194735</v>
      </c>
    </row>
    <row r="25563" spans="1:6" s="3" customFormat="1" ht="29.1" customHeight="1" x14ac:dyDescent="0.25">
      <c r="A25563" s="2" t="s">
        <v>49819</v>
      </c>
      <c r="B25563" s="2" t="s">
        <v>48687</v>
      </c>
      <c r="C25563" s="2" t="s">
        <v>43061</v>
      </c>
      <c r="D25563" s="2" t="s">
        <v>19142</v>
      </c>
      <c r="E25563" s="2" t="str">
        <f>"9783862194704"</f>
        <v>9783862194704</v>
      </c>
      <c r="F25563" s="2" t="str">
        <f>"9783862194711"</f>
        <v>9783862194711</v>
      </c>
    </row>
    <row r="25564" spans="1:6" s="3" customFormat="1" ht="29.1" customHeight="1" x14ac:dyDescent="0.25">
      <c r="A25564" s="2" t="s">
        <v>49820</v>
      </c>
      <c r="B25564" s="2" t="s">
        <v>49821</v>
      </c>
      <c r="C25564" s="2" t="s">
        <v>43061</v>
      </c>
      <c r="D25564" s="2" t="s">
        <v>9899</v>
      </c>
      <c r="E25564" s="2" t="str">
        <f>"9783862194643"</f>
        <v>9783862194643</v>
      </c>
      <c r="F25564" s="2" t="str">
        <f>"9783862194650"</f>
        <v>9783862194650</v>
      </c>
    </row>
    <row r="25565" spans="1:6" s="3" customFormat="1" ht="29.1" customHeight="1" x14ac:dyDescent="0.25">
      <c r="A25565" s="2" t="s">
        <v>45981</v>
      </c>
      <c r="B25565" s="2" t="s">
        <v>49822</v>
      </c>
      <c r="C25565" s="2" t="s">
        <v>595</v>
      </c>
      <c r="D25565" s="2" t="s">
        <v>446</v>
      </c>
      <c r="E25565" s="2" t="str">
        <f>"9783034315036"</f>
        <v>9783034315036</v>
      </c>
      <c r="F25565" s="2" t="str">
        <f>"9783035106923"</f>
        <v>9783035106923</v>
      </c>
    </row>
    <row r="25566" spans="1:6" s="3" customFormat="1" ht="29.1" customHeight="1" x14ac:dyDescent="0.25">
      <c r="A25566" s="2" t="s">
        <v>49823</v>
      </c>
      <c r="B25566" s="2" t="s">
        <v>49824</v>
      </c>
      <c r="C25566" s="2" t="s">
        <v>43061</v>
      </c>
      <c r="D25566" s="2" t="s">
        <v>1228</v>
      </c>
      <c r="E25566" s="2" t="str">
        <f>"9783862193806"</f>
        <v>9783862193806</v>
      </c>
      <c r="F25566" s="2" t="str">
        <f>"9783862193813"</f>
        <v>9783862193813</v>
      </c>
    </row>
    <row r="25567" spans="1:6" s="3" customFormat="1" ht="29.1" customHeight="1" x14ac:dyDescent="0.25">
      <c r="A25567" s="2" t="s">
        <v>49825</v>
      </c>
      <c r="B25567" s="2" t="s">
        <v>49826</v>
      </c>
      <c r="C25567" s="2" t="s">
        <v>26676</v>
      </c>
      <c r="D25567" s="2" t="s">
        <v>2602</v>
      </c>
      <c r="E25567" s="2" t="str">
        <f>"9781618112866"</f>
        <v>9781618112866</v>
      </c>
      <c r="F25567" s="2" t="str">
        <f>"9781618112873"</f>
        <v>9781618112873</v>
      </c>
    </row>
    <row r="25568" spans="1:6" s="3" customFormat="1" ht="29.1" customHeight="1" x14ac:dyDescent="0.25">
      <c r="A25568" s="2" t="s">
        <v>49827</v>
      </c>
      <c r="B25568" s="2" t="s">
        <v>49828</v>
      </c>
      <c r="C25568" s="2" t="s">
        <v>26676</v>
      </c>
      <c r="D25568" s="2" t="s">
        <v>46509</v>
      </c>
      <c r="E25568" s="2" t="str">
        <f>"9781618111678"</f>
        <v>9781618111678</v>
      </c>
      <c r="F25568" s="2" t="str">
        <f>"9781618111890"</f>
        <v>9781618111890</v>
      </c>
    </row>
    <row r="25569" spans="1:6" s="3" customFormat="1" ht="29.1" customHeight="1" x14ac:dyDescent="0.25">
      <c r="A25569" s="2" t="s">
        <v>49829</v>
      </c>
      <c r="B25569" s="2" t="s">
        <v>49830</v>
      </c>
      <c r="C25569" s="2" t="s">
        <v>26676</v>
      </c>
      <c r="D25569" s="2" t="s">
        <v>4238</v>
      </c>
      <c r="E25569" s="2" t="str">
        <f>"9781618112880"</f>
        <v>9781618112880</v>
      </c>
      <c r="F25569" s="2" t="str">
        <f>"9781618112897"</f>
        <v>9781618112897</v>
      </c>
    </row>
    <row r="25570" spans="1:6" s="3" customFormat="1" ht="29.1" customHeight="1" x14ac:dyDescent="0.25">
      <c r="A25570" s="2" t="s">
        <v>49831</v>
      </c>
      <c r="B25570" s="2" t="s">
        <v>49832</v>
      </c>
      <c r="C25570" s="2" t="s">
        <v>26676</v>
      </c>
      <c r="D25570" s="2" t="s">
        <v>1463</v>
      </c>
      <c r="E25570" s="2" t="str">
        <f>"9781936235414"</f>
        <v>9781936235414</v>
      </c>
      <c r="F25570" s="2" t="str">
        <f>"9781618110695"</f>
        <v>9781618110695</v>
      </c>
    </row>
    <row r="25571" spans="1:6" s="3" customFormat="1" ht="29.1" customHeight="1" x14ac:dyDescent="0.25">
      <c r="A25571" s="2" t="s">
        <v>49833</v>
      </c>
      <c r="B25571" s="2" t="s">
        <v>49834</v>
      </c>
      <c r="C25571" s="2" t="s">
        <v>26676</v>
      </c>
      <c r="D25571" s="2" t="s">
        <v>5832</v>
      </c>
      <c r="E25571" s="2" t="str">
        <f>"9781618112804"</f>
        <v>9781618112804</v>
      </c>
      <c r="F25571" s="2" t="str">
        <f>"9781618112811"</f>
        <v>9781618112811</v>
      </c>
    </row>
    <row r="25572" spans="1:6" s="3" customFormat="1" ht="29.1" customHeight="1" x14ac:dyDescent="0.25">
      <c r="A25572" s="2" t="s">
        <v>49835</v>
      </c>
      <c r="B25572" s="2" t="s">
        <v>49836</v>
      </c>
      <c r="C25572" s="2" t="s">
        <v>26676</v>
      </c>
      <c r="D25572" s="2" t="s">
        <v>4238</v>
      </c>
      <c r="E25572" s="2" t="str">
        <f>"9781936235612"</f>
        <v>9781936235612</v>
      </c>
      <c r="F25572" s="2" t="str">
        <f>"9781618110527"</f>
        <v>9781618110527</v>
      </c>
    </row>
    <row r="25573" spans="1:6" s="3" customFormat="1" ht="29.1" customHeight="1" x14ac:dyDescent="0.25">
      <c r="A25573" s="2" t="s">
        <v>49837</v>
      </c>
      <c r="B25573" s="2" t="s">
        <v>49730</v>
      </c>
      <c r="C25573" s="2" t="s">
        <v>26676</v>
      </c>
      <c r="D25573" s="2" t="s">
        <v>4238</v>
      </c>
      <c r="E25573" s="2" t="str">
        <f>"9781618112583"</f>
        <v>9781618112583</v>
      </c>
      <c r="F25573" s="2" t="str">
        <f>"9781618112590"</f>
        <v>9781618112590</v>
      </c>
    </row>
    <row r="25574" spans="1:6" s="3" customFormat="1" ht="29.1" customHeight="1" x14ac:dyDescent="0.25">
      <c r="A25574" s="2" t="s">
        <v>49838</v>
      </c>
      <c r="B25574" s="2" t="s">
        <v>49839</v>
      </c>
      <c r="C25574" s="2" t="s">
        <v>29</v>
      </c>
      <c r="D25574" s="2" t="s">
        <v>192</v>
      </c>
      <c r="E25574" s="2" t="str">
        <f>"9789004223189"</f>
        <v>9789004223189</v>
      </c>
      <c r="F25574" s="2" t="str">
        <f>"9789004223202"</f>
        <v>9789004223202</v>
      </c>
    </row>
    <row r="25575" spans="1:6" s="3" customFormat="1" ht="29.1" customHeight="1" x14ac:dyDescent="0.25">
      <c r="A25575" s="2" t="s">
        <v>49840</v>
      </c>
      <c r="B25575" s="2" t="s">
        <v>49841</v>
      </c>
      <c r="C25575" s="2" t="s">
        <v>195</v>
      </c>
      <c r="D25575" s="2" t="s">
        <v>4238</v>
      </c>
      <c r="E25575" s="2" t="str">
        <f>"9783110300987"</f>
        <v>9783110300987</v>
      </c>
      <c r="F25575" s="2" t="str">
        <f>"9783110301342"</f>
        <v>9783110301342</v>
      </c>
    </row>
    <row r="25576" spans="1:6" s="3" customFormat="1" ht="29.1" customHeight="1" x14ac:dyDescent="0.25">
      <c r="A25576" s="2" t="s">
        <v>49842</v>
      </c>
      <c r="B25576" s="2" t="s">
        <v>49843</v>
      </c>
      <c r="C25576" s="2" t="s">
        <v>195</v>
      </c>
      <c r="D25576" s="2" t="s">
        <v>459</v>
      </c>
      <c r="E25576" s="2" t="str">
        <f>"9781614512370"</f>
        <v>9781614512370</v>
      </c>
      <c r="F25576" s="2" t="str">
        <f>"9781614511816"</f>
        <v>9781614511816</v>
      </c>
    </row>
    <row r="25577" spans="1:6" s="3" customFormat="1" ht="29.1" customHeight="1" x14ac:dyDescent="0.25">
      <c r="A25577" s="2" t="s">
        <v>49844</v>
      </c>
      <c r="B25577" s="2" t="s">
        <v>49845</v>
      </c>
      <c r="C25577" s="2" t="s">
        <v>195</v>
      </c>
      <c r="D25577" s="2" t="s">
        <v>1669</v>
      </c>
      <c r="E25577" s="2" t="str">
        <f>"9783110274370"</f>
        <v>9783110274370</v>
      </c>
      <c r="F25577" s="2" t="str">
        <f>"9783110274448"</f>
        <v>9783110274448</v>
      </c>
    </row>
    <row r="25578" spans="1:6" s="3" customFormat="1" ht="29.1" customHeight="1" x14ac:dyDescent="0.25">
      <c r="A25578" s="2" t="s">
        <v>49846</v>
      </c>
      <c r="B25578" s="2" t="s">
        <v>49847</v>
      </c>
      <c r="C25578" s="2" t="s">
        <v>195</v>
      </c>
      <c r="D25578" s="2" t="s">
        <v>462</v>
      </c>
      <c r="E25578" s="2" t="str">
        <f>"9783110265903"</f>
        <v>9783110265903</v>
      </c>
      <c r="F25578" s="2" t="str">
        <f>"9783110266887"</f>
        <v>9783110266887</v>
      </c>
    </row>
    <row r="25579" spans="1:6" s="3" customFormat="1" ht="29.1" customHeight="1" x14ac:dyDescent="0.25">
      <c r="A25579" s="2" t="s">
        <v>49848</v>
      </c>
      <c r="B25579" s="2" t="s">
        <v>49849</v>
      </c>
      <c r="C25579" s="2" t="s">
        <v>124</v>
      </c>
      <c r="D25579" s="2" t="s">
        <v>2005</v>
      </c>
      <c r="E25579" s="2" t="str">
        <f>"9780415687591"</f>
        <v>9780415687591</v>
      </c>
      <c r="F25579" s="2" t="str">
        <f>"9781136778728"</f>
        <v>9781136778728</v>
      </c>
    </row>
    <row r="25580" spans="1:6" s="3" customFormat="1" ht="29.1" customHeight="1" x14ac:dyDescent="0.25">
      <c r="A25580" s="2" t="s">
        <v>49850</v>
      </c>
      <c r="B25580" s="2" t="s">
        <v>49851</v>
      </c>
      <c r="C25580" s="2" t="s">
        <v>43061</v>
      </c>
      <c r="D25580" s="2" t="s">
        <v>297</v>
      </c>
      <c r="E25580" s="2" t="str">
        <f>"9783862194780"</f>
        <v>9783862194780</v>
      </c>
      <c r="F25580" s="2" t="str">
        <f>"9783862194797"</f>
        <v>9783862194797</v>
      </c>
    </row>
    <row r="25581" spans="1:6" s="3" customFormat="1" ht="29.1" customHeight="1" x14ac:dyDescent="0.25">
      <c r="A25581" s="2" t="s">
        <v>49852</v>
      </c>
      <c r="B25581" s="2" t="s">
        <v>49853</v>
      </c>
      <c r="C25581" s="2" t="s">
        <v>43061</v>
      </c>
      <c r="D25581" s="2" t="s">
        <v>6965</v>
      </c>
      <c r="E25581" s="2" t="str">
        <f>"9783862196609"</f>
        <v>9783862196609</v>
      </c>
      <c r="F25581" s="2" t="str">
        <f>"9783862196616"</f>
        <v>9783862196616</v>
      </c>
    </row>
    <row r="25582" spans="1:6" s="3" customFormat="1" ht="29.1" customHeight="1" x14ac:dyDescent="0.25">
      <c r="A25582" s="2" t="s">
        <v>49854</v>
      </c>
      <c r="B25582" s="2" t="s">
        <v>49855</v>
      </c>
      <c r="C25582" s="2" t="s">
        <v>43061</v>
      </c>
      <c r="D25582" s="2" t="s">
        <v>1228</v>
      </c>
      <c r="E25582" s="2" t="str">
        <f>"9783862196500"</f>
        <v>9783862196500</v>
      </c>
      <c r="F25582" s="2" t="str">
        <f>"9783862196517"</f>
        <v>9783862196517</v>
      </c>
    </row>
    <row r="25583" spans="1:6" s="3" customFormat="1" ht="29.1" customHeight="1" x14ac:dyDescent="0.25">
      <c r="A25583" s="2" t="s">
        <v>49856</v>
      </c>
      <c r="B25583" s="2" t="s">
        <v>49857</v>
      </c>
      <c r="C25583" s="2" t="s">
        <v>43061</v>
      </c>
      <c r="D25583" s="2" t="s">
        <v>45236</v>
      </c>
      <c r="E25583" s="2" t="str">
        <f>"9783862196463"</f>
        <v>9783862196463</v>
      </c>
      <c r="F25583" s="2" t="str">
        <f>"9783862196470"</f>
        <v>9783862196470</v>
      </c>
    </row>
    <row r="25584" spans="1:6" s="3" customFormat="1" ht="29.1" customHeight="1" x14ac:dyDescent="0.25">
      <c r="A25584" s="2" t="s">
        <v>49858</v>
      </c>
      <c r="B25584" s="2" t="s">
        <v>49859</v>
      </c>
      <c r="C25584" s="2" t="s">
        <v>43061</v>
      </c>
      <c r="D25584" s="2" t="s">
        <v>9894</v>
      </c>
      <c r="E25584" s="2" t="str">
        <f>"9783862196449"</f>
        <v>9783862196449</v>
      </c>
      <c r="F25584" s="2" t="str">
        <f>"9783862196456"</f>
        <v>9783862196456</v>
      </c>
    </row>
    <row r="25585" spans="1:6" s="3" customFormat="1" ht="29.1" customHeight="1" x14ac:dyDescent="0.25">
      <c r="A25585" s="2" t="s">
        <v>49860</v>
      </c>
      <c r="B25585" s="2" t="s">
        <v>49861</v>
      </c>
      <c r="C25585" s="2" t="s">
        <v>43061</v>
      </c>
      <c r="D25585" s="2" t="s">
        <v>40043</v>
      </c>
      <c r="E25585" s="2" t="str">
        <f>"9783862196401"</f>
        <v>9783862196401</v>
      </c>
      <c r="F25585" s="2" t="str">
        <f>"9783862196418"</f>
        <v>9783862196418</v>
      </c>
    </row>
    <row r="25586" spans="1:6" s="3" customFormat="1" ht="29.1" customHeight="1" x14ac:dyDescent="0.25">
      <c r="A25586" s="2" t="s">
        <v>49862</v>
      </c>
      <c r="B25586" s="2" t="s">
        <v>49864</v>
      </c>
      <c r="C25586" s="2" t="s">
        <v>43061</v>
      </c>
      <c r="D25586" s="2" t="s">
        <v>49863</v>
      </c>
      <c r="E25586" s="2" t="str">
        <f>"9783862196340"</f>
        <v>9783862196340</v>
      </c>
      <c r="F25586" s="2" t="str">
        <f>"9783862196357"</f>
        <v>9783862196357</v>
      </c>
    </row>
    <row r="25587" spans="1:6" s="3" customFormat="1" ht="29.1" customHeight="1" x14ac:dyDescent="0.25">
      <c r="A25587" s="2" t="s">
        <v>49865</v>
      </c>
      <c r="B25587" s="2" t="s">
        <v>49866</v>
      </c>
      <c r="C25587" s="2" t="s">
        <v>43061</v>
      </c>
      <c r="D25587" s="2" t="s">
        <v>650</v>
      </c>
      <c r="E25587" s="2" t="str">
        <f>"9783862196241"</f>
        <v>9783862196241</v>
      </c>
      <c r="F25587" s="2" t="str">
        <f>"9783862196258"</f>
        <v>9783862196258</v>
      </c>
    </row>
    <row r="25588" spans="1:6" s="3" customFormat="1" ht="29.1" customHeight="1" x14ac:dyDescent="0.25">
      <c r="A25588" s="2" t="s">
        <v>49867</v>
      </c>
      <c r="B25588" s="2" t="s">
        <v>49868</v>
      </c>
      <c r="C25588" s="2" t="s">
        <v>43061</v>
      </c>
      <c r="D25588" s="2" t="s">
        <v>650</v>
      </c>
      <c r="E25588" s="2" t="str">
        <f>"9783862196166"</f>
        <v>9783862196166</v>
      </c>
      <c r="F25588" s="2" t="str">
        <f>"9783862196173"</f>
        <v>9783862196173</v>
      </c>
    </row>
    <row r="25589" spans="1:6" s="3" customFormat="1" ht="29.1" customHeight="1" x14ac:dyDescent="0.25">
      <c r="A25589" s="2" t="s">
        <v>49869</v>
      </c>
      <c r="B25589" s="2" t="s">
        <v>49870</v>
      </c>
      <c r="C25589" s="2" t="s">
        <v>43061</v>
      </c>
      <c r="D25589" s="2" t="s">
        <v>1059</v>
      </c>
      <c r="E25589" s="2" t="str">
        <f>"9783862196067"</f>
        <v>9783862196067</v>
      </c>
      <c r="F25589" s="2" t="str">
        <f>"9783862196074"</f>
        <v>9783862196074</v>
      </c>
    </row>
    <row r="25590" spans="1:6" s="3" customFormat="1" ht="29.1" customHeight="1" x14ac:dyDescent="0.25">
      <c r="A25590" s="2" t="s">
        <v>49871</v>
      </c>
      <c r="B25590" s="2" t="s">
        <v>49872</v>
      </c>
      <c r="C25590" s="2" t="s">
        <v>43061</v>
      </c>
      <c r="D25590" s="2" t="s">
        <v>45236</v>
      </c>
      <c r="E25590" s="2" t="str">
        <f>"9783862194681"</f>
        <v>9783862194681</v>
      </c>
      <c r="F25590" s="2" t="str">
        <f>"9783862194698"</f>
        <v>9783862194698</v>
      </c>
    </row>
    <row r="25591" spans="1:6" s="3" customFormat="1" ht="29.1" customHeight="1" x14ac:dyDescent="0.25">
      <c r="A25591" s="2" t="s">
        <v>49873</v>
      </c>
      <c r="B25591" s="2" t="s">
        <v>49874</v>
      </c>
      <c r="C25591" s="2" t="s">
        <v>43061</v>
      </c>
      <c r="D25591" s="2" t="s">
        <v>44</v>
      </c>
      <c r="E25591" s="2" t="str">
        <f>"9783862194346"</f>
        <v>9783862194346</v>
      </c>
      <c r="F25591" s="2" t="str">
        <f>"9783862194353"</f>
        <v>9783862194353</v>
      </c>
    </row>
    <row r="25592" spans="1:6" s="3" customFormat="1" ht="29.1" customHeight="1" x14ac:dyDescent="0.25">
      <c r="A25592" s="2" t="s">
        <v>49875</v>
      </c>
      <c r="B25592" s="2" t="s">
        <v>49876</v>
      </c>
      <c r="C25592" s="2" t="s">
        <v>43061</v>
      </c>
      <c r="D25592" s="2" t="s">
        <v>2019</v>
      </c>
      <c r="E25592" s="2" t="str">
        <f>"9783862194285"</f>
        <v>9783862194285</v>
      </c>
      <c r="F25592" s="2" t="str">
        <f>"9783862194292"</f>
        <v>9783862194292</v>
      </c>
    </row>
    <row r="25593" spans="1:6" s="3" customFormat="1" ht="29.1" customHeight="1" x14ac:dyDescent="0.25">
      <c r="A25593" s="2" t="s">
        <v>49877</v>
      </c>
      <c r="B25593" s="2" t="s">
        <v>49878</v>
      </c>
      <c r="C25593" s="2" t="s">
        <v>43061</v>
      </c>
      <c r="D25593" s="2" t="s">
        <v>8874</v>
      </c>
      <c r="E25593" s="2" t="str">
        <f>"9783862194100"</f>
        <v>9783862194100</v>
      </c>
      <c r="F25593" s="2" t="str">
        <f>"9783862194117"</f>
        <v>9783862194117</v>
      </c>
    </row>
    <row r="25594" spans="1:6" s="3" customFormat="1" ht="29.1" customHeight="1" x14ac:dyDescent="0.25">
      <c r="A25594" s="2" t="s">
        <v>49879</v>
      </c>
      <c r="B25594" s="2" t="s">
        <v>49880</v>
      </c>
      <c r="C25594" s="2" t="s">
        <v>43061</v>
      </c>
      <c r="D25594" s="2" t="s">
        <v>764</v>
      </c>
      <c r="E25594" s="2" t="str">
        <f>"9783862193844"</f>
        <v>9783862193844</v>
      </c>
      <c r="F25594" s="2" t="str">
        <f>"9783862193851"</f>
        <v>9783862193851</v>
      </c>
    </row>
    <row r="25595" spans="1:6" s="3" customFormat="1" ht="29.1" customHeight="1" x14ac:dyDescent="0.25">
      <c r="A25595" s="2" t="s">
        <v>49881</v>
      </c>
      <c r="B25595" s="2" t="s">
        <v>49882</v>
      </c>
      <c r="C25595" s="2" t="s">
        <v>43061</v>
      </c>
      <c r="D25595" s="2" t="s">
        <v>45236</v>
      </c>
      <c r="E25595" s="2" t="str">
        <f>"9783862196845"</f>
        <v>9783862196845</v>
      </c>
      <c r="F25595" s="2" t="str">
        <f>"9783862196852"</f>
        <v>9783862196852</v>
      </c>
    </row>
    <row r="25596" spans="1:6" s="3" customFormat="1" ht="29.1" customHeight="1" x14ac:dyDescent="0.25">
      <c r="A25596" s="2" t="s">
        <v>49883</v>
      </c>
      <c r="B25596" s="2" t="s">
        <v>49884</v>
      </c>
      <c r="C25596" s="2" t="s">
        <v>43061</v>
      </c>
      <c r="D25596" s="2" t="s">
        <v>454</v>
      </c>
      <c r="E25596" s="2" t="str">
        <f>"9783862196722"</f>
        <v>9783862196722</v>
      </c>
      <c r="F25596" s="2" t="str">
        <f>"9783862196739"</f>
        <v>9783862196739</v>
      </c>
    </row>
    <row r="25597" spans="1:6" s="3" customFormat="1" ht="29.1" customHeight="1" x14ac:dyDescent="0.25">
      <c r="A25597" s="2" t="s">
        <v>49885</v>
      </c>
      <c r="B25597" s="2" t="s">
        <v>49886</v>
      </c>
      <c r="C25597" s="2" t="s">
        <v>43061</v>
      </c>
      <c r="D25597" s="2" t="s">
        <v>46351</v>
      </c>
      <c r="E25597" s="2" t="str">
        <f>"9783862196623"</f>
        <v>9783862196623</v>
      </c>
      <c r="F25597" s="2" t="str">
        <f>"9783862196630"</f>
        <v>9783862196630</v>
      </c>
    </row>
    <row r="25598" spans="1:6" s="3" customFormat="1" ht="29.1" customHeight="1" x14ac:dyDescent="0.25">
      <c r="A25598" s="2" t="s">
        <v>49887</v>
      </c>
      <c r="B25598" s="2" t="s">
        <v>49888</v>
      </c>
      <c r="C25598" s="2" t="s">
        <v>43061</v>
      </c>
      <c r="D25598" s="2" t="s">
        <v>650</v>
      </c>
      <c r="E25598" s="2" t="str">
        <f>"9783862190188"</f>
        <v>9783862190188</v>
      </c>
      <c r="F25598" s="2" t="str">
        <f>"9783862190195"</f>
        <v>9783862190195</v>
      </c>
    </row>
    <row r="25599" spans="1:6" s="3" customFormat="1" ht="29.1" customHeight="1" x14ac:dyDescent="0.25">
      <c r="A25599" s="2" t="s">
        <v>49889</v>
      </c>
      <c r="B25599" s="2" t="s">
        <v>49890</v>
      </c>
      <c r="C25599" s="2" t="s">
        <v>4788</v>
      </c>
      <c r="D25599" s="2" t="s">
        <v>3993</v>
      </c>
      <c r="E25599" s="2" t="str">
        <f>"9780748690800"</f>
        <v>9780748690800</v>
      </c>
      <c r="F25599" s="2" t="str">
        <f>"9780748690817"</f>
        <v>9780748690817</v>
      </c>
    </row>
    <row r="25600" spans="1:6" s="3" customFormat="1" ht="29.1" customHeight="1" x14ac:dyDescent="0.25">
      <c r="A25600" s="2" t="s">
        <v>49891</v>
      </c>
      <c r="B25600" s="2" t="s">
        <v>49892</v>
      </c>
      <c r="C25600" s="2" t="s">
        <v>264</v>
      </c>
      <c r="D25600" s="2" t="s">
        <v>17398</v>
      </c>
      <c r="E25600" s="2" t="str">
        <f>"9781466560406"</f>
        <v>9781466560406</v>
      </c>
      <c r="F25600" s="2" t="str">
        <f>"9781466560413"</f>
        <v>9781466560413</v>
      </c>
    </row>
    <row r="25601" spans="1:6" s="3" customFormat="1" ht="29.1" customHeight="1" x14ac:dyDescent="0.25">
      <c r="A25601" s="2" t="s">
        <v>49893</v>
      </c>
      <c r="B25601" s="2" t="s">
        <v>49894</v>
      </c>
      <c r="C25601" s="2" t="s">
        <v>36</v>
      </c>
      <c r="D25601" s="2" t="s">
        <v>294</v>
      </c>
      <c r="E25601" s="2" t="str">
        <f>"9781447312529"</f>
        <v>9781447312529</v>
      </c>
      <c r="F25601" s="2" t="str">
        <f>"9781447312543"</f>
        <v>9781447312543</v>
      </c>
    </row>
    <row r="25602" spans="1:6" s="3" customFormat="1" ht="29.1" customHeight="1" x14ac:dyDescent="0.25">
      <c r="A25602" s="2" t="s">
        <v>49895</v>
      </c>
      <c r="B25602" s="2" t="s">
        <v>49896</v>
      </c>
      <c r="C25602" s="2" t="s">
        <v>29</v>
      </c>
      <c r="D25602" s="2" t="s">
        <v>509</v>
      </c>
      <c r="E25602" s="2" t="str">
        <f>"9789004262942"</f>
        <v>9789004262942</v>
      </c>
      <c r="F25602" s="2" t="str">
        <f>"9789004262959"</f>
        <v>9789004262959</v>
      </c>
    </row>
    <row r="25603" spans="1:6" s="3" customFormat="1" ht="29.1" customHeight="1" x14ac:dyDescent="0.25">
      <c r="A25603" s="2" t="s">
        <v>49897</v>
      </c>
      <c r="B25603" s="2" t="s">
        <v>49898</v>
      </c>
      <c r="C25603" s="2" t="s">
        <v>11220</v>
      </c>
      <c r="D25603" s="2" t="s">
        <v>183</v>
      </c>
      <c r="E25603" s="2" t="str">
        <f>"9780814786833"</f>
        <v>9780814786833</v>
      </c>
      <c r="F25603" s="2" t="str">
        <f>"9781479866748"</f>
        <v>9781479866748</v>
      </c>
    </row>
    <row r="25604" spans="1:6" s="3" customFormat="1" ht="29.1" customHeight="1" x14ac:dyDescent="0.25">
      <c r="A25604" s="2" t="s">
        <v>49899</v>
      </c>
      <c r="B25604" s="2" t="s">
        <v>49900</v>
      </c>
      <c r="C25604" s="2" t="s">
        <v>11220</v>
      </c>
      <c r="D25604" s="2" t="s">
        <v>3270</v>
      </c>
      <c r="E25604" s="2" t="str">
        <f>"9780814705230"</f>
        <v>9780814705230</v>
      </c>
      <c r="F25604" s="2" t="str">
        <f>"9780814705254"</f>
        <v>9780814705254</v>
      </c>
    </row>
    <row r="25605" spans="1:6" s="3" customFormat="1" ht="29.1" customHeight="1" x14ac:dyDescent="0.25">
      <c r="A25605" s="2" t="s">
        <v>49901</v>
      </c>
      <c r="B25605" s="2" t="s">
        <v>49902</v>
      </c>
      <c r="C25605" s="2" t="s">
        <v>264</v>
      </c>
      <c r="D25605" s="2" t="s">
        <v>10444</v>
      </c>
      <c r="E25605" s="2" t="str">
        <f>"9780415529754"</f>
        <v>9780415529754</v>
      </c>
      <c r="F25605" s="2" t="str">
        <f>"9781135008109"</f>
        <v>9781135008109</v>
      </c>
    </row>
    <row r="25606" spans="1:6" s="3" customFormat="1" ht="29.1" customHeight="1" x14ac:dyDescent="0.25">
      <c r="A25606" s="2" t="s">
        <v>49903</v>
      </c>
      <c r="B25606" s="2" t="s">
        <v>49904</v>
      </c>
      <c r="C25606" s="2" t="s">
        <v>5</v>
      </c>
      <c r="D25606" s="2" t="s">
        <v>12</v>
      </c>
      <c r="E25606" s="2" t="str">
        <f>"9789400779594"</f>
        <v>9789400779594</v>
      </c>
      <c r="F25606" s="2" t="str">
        <f>"9789400779600"</f>
        <v>9789400779600</v>
      </c>
    </row>
    <row r="25607" spans="1:6" s="3" customFormat="1" ht="29.1" customHeight="1" x14ac:dyDescent="0.25">
      <c r="A25607" s="2" t="s">
        <v>49905</v>
      </c>
      <c r="B25607" s="2" t="s">
        <v>49906</v>
      </c>
      <c r="C25607" s="2" t="s">
        <v>8104</v>
      </c>
      <c r="D25607" s="2" t="s">
        <v>202</v>
      </c>
      <c r="E25607" s="2" t="str">
        <f>"9781782384861"</f>
        <v>9781782384861</v>
      </c>
      <c r="F25607" s="2" t="str">
        <f>"9781782384878"</f>
        <v>9781782384878</v>
      </c>
    </row>
    <row r="25608" spans="1:6" s="3" customFormat="1" ht="29.1" customHeight="1" x14ac:dyDescent="0.25">
      <c r="A25608" s="2" t="s">
        <v>49907</v>
      </c>
      <c r="B25608" s="2" t="s">
        <v>49908</v>
      </c>
      <c r="C25608" s="2" t="s">
        <v>43061</v>
      </c>
      <c r="D25608" s="2" t="s">
        <v>998</v>
      </c>
      <c r="E25608" s="2" t="str">
        <f>"9783862194629"</f>
        <v>9783862194629</v>
      </c>
      <c r="F25608" s="2" t="str">
        <f>"9783862194636"</f>
        <v>9783862194636</v>
      </c>
    </row>
    <row r="25609" spans="1:6" s="3" customFormat="1" ht="29.1" customHeight="1" x14ac:dyDescent="0.25">
      <c r="A25609" s="2" t="s">
        <v>49909</v>
      </c>
      <c r="B25609" s="2" t="s">
        <v>49910</v>
      </c>
      <c r="C25609" s="2" t="s">
        <v>43061</v>
      </c>
      <c r="D25609" s="2" t="s">
        <v>5092</v>
      </c>
      <c r="E25609" s="2" t="str">
        <f>"9783862194605"</f>
        <v>9783862194605</v>
      </c>
      <c r="F25609" s="2" t="str">
        <f>"9783862194612"</f>
        <v>9783862194612</v>
      </c>
    </row>
    <row r="25610" spans="1:6" s="3" customFormat="1" ht="29.1" customHeight="1" x14ac:dyDescent="0.25">
      <c r="A25610" s="2" t="s">
        <v>49911</v>
      </c>
      <c r="B25610" s="2" t="s">
        <v>49912</v>
      </c>
      <c r="C25610" s="2" t="s">
        <v>43061</v>
      </c>
      <c r="D25610" s="2" t="s">
        <v>8286</v>
      </c>
      <c r="E25610" s="2" t="str">
        <f>"9783862194582"</f>
        <v>9783862194582</v>
      </c>
      <c r="F25610" s="2" t="str">
        <f>"9783862194599"</f>
        <v>9783862194599</v>
      </c>
    </row>
    <row r="25611" spans="1:6" s="3" customFormat="1" ht="29.1" customHeight="1" x14ac:dyDescent="0.25">
      <c r="A25611" s="2" t="s">
        <v>49913</v>
      </c>
      <c r="B25611" s="2" t="s">
        <v>49914</v>
      </c>
      <c r="C25611" s="2" t="s">
        <v>43061</v>
      </c>
      <c r="D25611" s="2" t="s">
        <v>2260</v>
      </c>
      <c r="E25611" s="2" t="str">
        <f>"9783862194568"</f>
        <v>9783862194568</v>
      </c>
      <c r="F25611" s="2" t="str">
        <f>"9783862194575"</f>
        <v>9783862194575</v>
      </c>
    </row>
    <row r="25612" spans="1:6" s="3" customFormat="1" ht="29.1" customHeight="1" x14ac:dyDescent="0.25">
      <c r="A25612" s="2" t="s">
        <v>49915</v>
      </c>
      <c r="B25612" s="2" t="s">
        <v>49916</v>
      </c>
      <c r="C25612" s="2" t="s">
        <v>43061</v>
      </c>
      <c r="D25612" s="2" t="s">
        <v>46709</v>
      </c>
      <c r="E25612" s="2" t="str">
        <f>"9783862194520"</f>
        <v>9783862194520</v>
      </c>
      <c r="F25612" s="2" t="str">
        <f>"9783862194537"</f>
        <v>9783862194537</v>
      </c>
    </row>
    <row r="25613" spans="1:6" s="3" customFormat="1" ht="29.1" customHeight="1" x14ac:dyDescent="0.25">
      <c r="A25613" s="2" t="s">
        <v>49917</v>
      </c>
      <c r="B25613" s="2" t="s">
        <v>49918</v>
      </c>
      <c r="C25613" s="2" t="s">
        <v>43061</v>
      </c>
      <c r="D25613" s="2" t="s">
        <v>2147</v>
      </c>
      <c r="E25613" s="2" t="str">
        <f>"9783862194483"</f>
        <v>9783862194483</v>
      </c>
      <c r="F25613" s="2" t="str">
        <f>"9783862194490"</f>
        <v>9783862194490</v>
      </c>
    </row>
    <row r="25614" spans="1:6" s="3" customFormat="1" ht="29.1" customHeight="1" x14ac:dyDescent="0.25">
      <c r="A25614" s="2" t="s">
        <v>49919</v>
      </c>
      <c r="B25614" s="2" t="s">
        <v>49920</v>
      </c>
      <c r="C25614" s="2" t="s">
        <v>43061</v>
      </c>
      <c r="D25614" s="2" t="s">
        <v>650</v>
      </c>
      <c r="E25614" s="2" t="str">
        <f>"9783862194421"</f>
        <v>9783862194421</v>
      </c>
      <c r="F25614" s="2" t="str">
        <f>"9783862194438"</f>
        <v>9783862194438</v>
      </c>
    </row>
    <row r="25615" spans="1:6" s="3" customFormat="1" ht="29.1" customHeight="1" x14ac:dyDescent="0.25">
      <c r="A25615" s="2" t="s">
        <v>49921</v>
      </c>
      <c r="B25615" s="2" t="s">
        <v>49922</v>
      </c>
      <c r="C25615" s="2" t="s">
        <v>43061</v>
      </c>
      <c r="D25615" s="2" t="s">
        <v>30905</v>
      </c>
      <c r="E25615" s="2" t="str">
        <f>"9783862194308"</f>
        <v>9783862194308</v>
      </c>
      <c r="F25615" s="2" t="str">
        <f>"9783862194315"</f>
        <v>9783862194315</v>
      </c>
    </row>
    <row r="25616" spans="1:6" s="3" customFormat="1" ht="29.1" customHeight="1" x14ac:dyDescent="0.25">
      <c r="A25616" s="2" t="s">
        <v>49923</v>
      </c>
      <c r="B25616" s="2" t="s">
        <v>49924</v>
      </c>
      <c r="C25616" s="2" t="s">
        <v>43061</v>
      </c>
      <c r="D25616" s="2" t="s">
        <v>44</v>
      </c>
      <c r="E25616" s="2" t="str">
        <f>"9783862193905"</f>
        <v>9783862193905</v>
      </c>
      <c r="F25616" s="2" t="str">
        <f>"9783862193912"</f>
        <v>9783862193912</v>
      </c>
    </row>
    <row r="25617" spans="1:6" s="3" customFormat="1" ht="29.1" customHeight="1" x14ac:dyDescent="0.25">
      <c r="A25617" s="2" t="s">
        <v>49925</v>
      </c>
      <c r="B25617" s="2" t="s">
        <v>49926</v>
      </c>
      <c r="C25617" s="2" t="s">
        <v>43061</v>
      </c>
      <c r="D25617" s="2" t="s">
        <v>5092</v>
      </c>
      <c r="E25617" s="2" t="str">
        <f>"9783862193783"</f>
        <v>9783862193783</v>
      </c>
      <c r="F25617" s="2" t="str">
        <f>"9783862193790"</f>
        <v>9783862193790</v>
      </c>
    </row>
    <row r="25618" spans="1:6" s="3" customFormat="1" ht="29.1" customHeight="1" x14ac:dyDescent="0.25">
      <c r="A25618" s="2" t="s">
        <v>49927</v>
      </c>
      <c r="B25618" s="2" t="s">
        <v>49928</v>
      </c>
      <c r="C25618" s="2" t="s">
        <v>264</v>
      </c>
      <c r="D25618" s="2" t="s">
        <v>2086</v>
      </c>
      <c r="E25618" s="2" t="str">
        <f>"9781466517875"</f>
        <v>9781466517875</v>
      </c>
      <c r="F25618" s="2" t="str">
        <f>"9781466517882"</f>
        <v>9781466517882</v>
      </c>
    </row>
    <row r="25619" spans="1:6" s="3" customFormat="1" ht="29.1" customHeight="1" x14ac:dyDescent="0.25">
      <c r="A25619" s="2" t="s">
        <v>49929</v>
      </c>
      <c r="B25619" s="2" t="s">
        <v>49930</v>
      </c>
      <c r="C25619" s="2" t="s">
        <v>316</v>
      </c>
      <c r="D25619" s="2" t="s">
        <v>1959</v>
      </c>
      <c r="E25619" s="2" t="str">
        <f>"9783037859643"</f>
        <v>9783037859643</v>
      </c>
      <c r="F25619" s="2" t="str">
        <f>"9783038263456"</f>
        <v>9783038263456</v>
      </c>
    </row>
    <row r="25620" spans="1:6" s="3" customFormat="1" ht="29.1" customHeight="1" x14ac:dyDescent="0.25">
      <c r="A25620" s="2" t="s">
        <v>49931</v>
      </c>
      <c r="B25620" s="2" t="s">
        <v>49932</v>
      </c>
      <c r="C25620" s="2" t="s">
        <v>1070</v>
      </c>
      <c r="D25620" s="2" t="s">
        <v>1278</v>
      </c>
      <c r="E25620" s="2"/>
      <c r="F25620" s="2" t="str">
        <f>"9781908541574"</f>
        <v>9781908541574</v>
      </c>
    </row>
    <row r="25621" spans="1:6" s="3" customFormat="1" ht="29.1" customHeight="1" x14ac:dyDescent="0.25">
      <c r="A25621" s="2" t="s">
        <v>49933</v>
      </c>
      <c r="B25621" s="2" t="s">
        <v>49934</v>
      </c>
      <c r="C25621" s="2" t="s">
        <v>43061</v>
      </c>
      <c r="D25621" s="2" t="s">
        <v>10578</v>
      </c>
      <c r="E25621" s="2" t="str">
        <f>"9783862194414"</f>
        <v>9783862194414</v>
      </c>
      <c r="F25621" s="2" t="str">
        <f>"9783862194407"</f>
        <v>9783862194407</v>
      </c>
    </row>
    <row r="25622" spans="1:6" s="3" customFormat="1" ht="29.1" customHeight="1" x14ac:dyDescent="0.25">
      <c r="A25622" s="2" t="s">
        <v>49935</v>
      </c>
      <c r="B25622" s="2" t="s">
        <v>49936</v>
      </c>
      <c r="C25622" s="2" t="s">
        <v>43061</v>
      </c>
      <c r="D25622" s="2" t="s">
        <v>48615</v>
      </c>
      <c r="E25622" s="2" t="str">
        <f>"9783862194391"</f>
        <v>9783862194391</v>
      </c>
      <c r="F25622" s="2" t="str">
        <f>"9783862194384"</f>
        <v>9783862194384</v>
      </c>
    </row>
    <row r="25623" spans="1:6" s="3" customFormat="1" ht="29.1" customHeight="1" x14ac:dyDescent="0.25">
      <c r="A25623" s="2" t="s">
        <v>49937</v>
      </c>
      <c r="B25623" s="2" t="s">
        <v>49938</v>
      </c>
      <c r="C25623" s="2" t="s">
        <v>43061</v>
      </c>
      <c r="D25623" s="2" t="s">
        <v>1025</v>
      </c>
      <c r="E25623" s="2" t="str">
        <f>"9783862194278"</f>
        <v>9783862194278</v>
      </c>
      <c r="F25623" s="2" t="str">
        <f>"9783862194261"</f>
        <v>9783862194261</v>
      </c>
    </row>
    <row r="25624" spans="1:6" s="3" customFormat="1" ht="29.1" customHeight="1" x14ac:dyDescent="0.25">
      <c r="A25624" s="2" t="s">
        <v>49939</v>
      </c>
      <c r="B25624" s="2" t="s">
        <v>49940</v>
      </c>
      <c r="C25624" s="2" t="s">
        <v>43061</v>
      </c>
      <c r="D25624" s="2" t="s">
        <v>916</v>
      </c>
      <c r="E25624" s="2" t="str">
        <f>"9783862194254"</f>
        <v>9783862194254</v>
      </c>
      <c r="F25624" s="2" t="str">
        <f>"9783862194247"</f>
        <v>9783862194247</v>
      </c>
    </row>
    <row r="25625" spans="1:6" s="3" customFormat="1" ht="29.1" customHeight="1" x14ac:dyDescent="0.25">
      <c r="A25625" s="2" t="s">
        <v>49941</v>
      </c>
      <c r="B25625" s="2" t="s">
        <v>49942</v>
      </c>
      <c r="C25625" s="2" t="s">
        <v>43061</v>
      </c>
      <c r="D25625" s="2" t="s">
        <v>2019</v>
      </c>
      <c r="E25625" s="2" t="str">
        <f>"9783862194230"</f>
        <v>9783862194230</v>
      </c>
      <c r="F25625" s="2" t="str">
        <f>"9783862194223"</f>
        <v>9783862194223</v>
      </c>
    </row>
    <row r="25626" spans="1:6" s="3" customFormat="1" ht="29.1" customHeight="1" x14ac:dyDescent="0.25">
      <c r="A25626" s="2" t="s">
        <v>49943</v>
      </c>
      <c r="B25626" s="2" t="s">
        <v>49944</v>
      </c>
      <c r="C25626" s="2" t="s">
        <v>43061</v>
      </c>
      <c r="D25626" s="2" t="s">
        <v>446</v>
      </c>
      <c r="E25626" s="2" t="str">
        <f>"9783862194094"</f>
        <v>9783862194094</v>
      </c>
      <c r="F25626" s="2" t="str">
        <f>"9783862194087"</f>
        <v>9783862194087</v>
      </c>
    </row>
    <row r="25627" spans="1:6" s="3" customFormat="1" ht="29.1" customHeight="1" x14ac:dyDescent="0.25">
      <c r="A25627" s="2" t="s">
        <v>49945</v>
      </c>
      <c r="B25627" s="2" t="s">
        <v>49946</v>
      </c>
      <c r="C25627" s="2" t="s">
        <v>43061</v>
      </c>
      <c r="D25627" s="2" t="s">
        <v>98</v>
      </c>
      <c r="E25627" s="2" t="str">
        <f>"9783862194070"</f>
        <v>9783862194070</v>
      </c>
      <c r="F25627" s="2" t="str">
        <f>"9783862194063"</f>
        <v>9783862194063</v>
      </c>
    </row>
    <row r="25628" spans="1:6" s="3" customFormat="1" ht="29.1" customHeight="1" x14ac:dyDescent="0.25">
      <c r="A25628" s="2" t="s">
        <v>49947</v>
      </c>
      <c r="B25628" s="2" t="s">
        <v>49948</v>
      </c>
      <c r="C25628" s="2" t="s">
        <v>43061</v>
      </c>
      <c r="D25628" s="2" t="s">
        <v>1285</v>
      </c>
      <c r="E25628" s="2" t="str">
        <f>"9783862193394"</f>
        <v>9783862193394</v>
      </c>
      <c r="F25628" s="2" t="str">
        <f>"9783862193387"</f>
        <v>9783862193387</v>
      </c>
    </row>
    <row r="25629" spans="1:6" s="3" customFormat="1" ht="29.1" customHeight="1" x14ac:dyDescent="0.25">
      <c r="A25629" s="2" t="s">
        <v>49949</v>
      </c>
      <c r="B25629" s="2" t="s">
        <v>49950</v>
      </c>
      <c r="C25629" s="2" t="s">
        <v>43061</v>
      </c>
      <c r="D25629" s="2" t="s">
        <v>9899</v>
      </c>
      <c r="E25629" s="2" t="str">
        <f>"9783862193110"</f>
        <v>9783862193110</v>
      </c>
      <c r="F25629" s="2" t="str">
        <f>"9783862193103"</f>
        <v>9783862193103</v>
      </c>
    </row>
    <row r="25630" spans="1:6" s="3" customFormat="1" ht="29.1" customHeight="1" x14ac:dyDescent="0.25">
      <c r="A25630" s="2" t="s">
        <v>49951</v>
      </c>
      <c r="B25630" s="2" t="s">
        <v>49952</v>
      </c>
      <c r="C25630" s="2" t="s">
        <v>43061</v>
      </c>
      <c r="D25630" s="2" t="s">
        <v>32985</v>
      </c>
      <c r="E25630" s="2" t="str">
        <f>"9783862190805"</f>
        <v>9783862190805</v>
      </c>
      <c r="F25630" s="2" t="str">
        <f>"9783862190812"</f>
        <v>9783862190812</v>
      </c>
    </row>
    <row r="25631" spans="1:6" s="3" customFormat="1" ht="29.1" customHeight="1" x14ac:dyDescent="0.25">
      <c r="A25631" s="2" t="s">
        <v>49953</v>
      </c>
      <c r="B25631" s="2" t="s">
        <v>49954</v>
      </c>
      <c r="C25631" s="2" t="s">
        <v>264</v>
      </c>
      <c r="D25631" s="2" t="s">
        <v>342</v>
      </c>
      <c r="E25631" s="2" t="str">
        <f>"9781466560635"</f>
        <v>9781466560635</v>
      </c>
      <c r="F25631" s="2" t="str">
        <f>"9781466560642"</f>
        <v>9781466560642</v>
      </c>
    </row>
    <row r="25632" spans="1:6" s="3" customFormat="1" ht="29.1" customHeight="1" x14ac:dyDescent="0.25">
      <c r="A25632" s="2" t="s">
        <v>49955</v>
      </c>
      <c r="B25632" s="2" t="s">
        <v>49956</v>
      </c>
      <c r="C25632" s="2" t="s">
        <v>29</v>
      </c>
      <c r="D25632" s="2" t="s">
        <v>4064</v>
      </c>
      <c r="E25632" s="2" t="str">
        <f>"9789004255289"</f>
        <v>9789004255289</v>
      </c>
      <c r="F25632" s="2" t="str">
        <f>"9789004255302"</f>
        <v>9789004255302</v>
      </c>
    </row>
    <row r="25633" spans="1:6" s="3" customFormat="1" ht="29.1" customHeight="1" x14ac:dyDescent="0.25">
      <c r="A25633" s="2" t="s">
        <v>49957</v>
      </c>
      <c r="B25633" s="2" t="s">
        <v>49958</v>
      </c>
      <c r="C25633" s="2" t="s">
        <v>29</v>
      </c>
      <c r="D25633" s="2" t="s">
        <v>192</v>
      </c>
      <c r="E25633" s="2" t="str">
        <f>"9789004214576"</f>
        <v>9789004214576</v>
      </c>
      <c r="F25633" s="2" t="str">
        <f>"9789004265561"</f>
        <v>9789004265561</v>
      </c>
    </row>
    <row r="25634" spans="1:6" s="3" customFormat="1" ht="29.1" customHeight="1" x14ac:dyDescent="0.25">
      <c r="A25634" s="2" t="s">
        <v>49959</v>
      </c>
      <c r="B25634" s="2" t="s">
        <v>49960</v>
      </c>
      <c r="C25634" s="2" t="s">
        <v>195</v>
      </c>
      <c r="D25634" s="2" t="s">
        <v>210</v>
      </c>
      <c r="E25634" s="2" t="str">
        <f>"9783486597714"</f>
        <v>9783486597714</v>
      </c>
      <c r="F25634" s="2" t="str">
        <f>"9783486719390"</f>
        <v>9783486719390</v>
      </c>
    </row>
    <row r="25635" spans="1:6" s="3" customFormat="1" ht="29.1" customHeight="1" x14ac:dyDescent="0.25">
      <c r="A25635" s="2" t="s">
        <v>49961</v>
      </c>
      <c r="B25635" s="2" t="s">
        <v>47419</v>
      </c>
      <c r="C25635" s="2" t="s">
        <v>195</v>
      </c>
      <c r="D25635" s="2" t="s">
        <v>210</v>
      </c>
      <c r="E25635" s="2" t="str">
        <f>"9783486725704"</f>
        <v>9783486725704</v>
      </c>
      <c r="F25635" s="2" t="str">
        <f>"9783486763645"</f>
        <v>9783486763645</v>
      </c>
    </row>
    <row r="25636" spans="1:6" s="3" customFormat="1" ht="29.1" customHeight="1" x14ac:dyDescent="0.25">
      <c r="A25636" s="2" t="s">
        <v>49962</v>
      </c>
      <c r="B25636" s="2" t="s">
        <v>49963</v>
      </c>
      <c r="C25636" s="2" t="s">
        <v>195</v>
      </c>
      <c r="D25636" s="2" t="s">
        <v>210</v>
      </c>
      <c r="E25636" s="2" t="str">
        <f>"9783486718720"</f>
        <v>9783486718720</v>
      </c>
      <c r="F25636" s="2" t="str">
        <f>"9783486752557"</f>
        <v>9783486752557</v>
      </c>
    </row>
    <row r="25637" spans="1:6" s="3" customFormat="1" ht="29.1" customHeight="1" x14ac:dyDescent="0.25">
      <c r="A25637" s="2" t="s">
        <v>49964</v>
      </c>
      <c r="B25637" s="2" t="s">
        <v>49965</v>
      </c>
      <c r="C25637" s="2" t="s">
        <v>195</v>
      </c>
      <c r="D25637" s="2" t="s">
        <v>210</v>
      </c>
      <c r="E25637" s="2" t="str">
        <f>"9783486705102"</f>
        <v>9783486705102</v>
      </c>
      <c r="F25637" s="2" t="str">
        <f>"9783486757873"</f>
        <v>9783486757873</v>
      </c>
    </row>
    <row r="25638" spans="1:6" s="3" customFormat="1" ht="29.1" customHeight="1" x14ac:dyDescent="0.25">
      <c r="A25638" s="2" t="s">
        <v>49966</v>
      </c>
      <c r="B25638" s="2" t="s">
        <v>49967</v>
      </c>
      <c r="C25638" s="2" t="s">
        <v>195</v>
      </c>
      <c r="D25638" s="2" t="s">
        <v>210</v>
      </c>
      <c r="E25638" s="2" t="str">
        <f>"9783486704112"</f>
        <v>9783486704112</v>
      </c>
      <c r="F25638" s="2" t="str">
        <f>"9783486735659"</f>
        <v>9783486735659</v>
      </c>
    </row>
    <row r="25639" spans="1:6" s="3" customFormat="1" ht="29.1" customHeight="1" x14ac:dyDescent="0.25">
      <c r="A25639" s="2" t="s">
        <v>49968</v>
      </c>
      <c r="B25639" s="2" t="s">
        <v>49969</v>
      </c>
      <c r="C25639" s="2" t="s">
        <v>195</v>
      </c>
      <c r="D25639" s="2" t="s">
        <v>210</v>
      </c>
      <c r="E25639" s="2" t="str">
        <f>"9783486705072"</f>
        <v>9783486705072</v>
      </c>
      <c r="F25639" s="2" t="str">
        <f>"9783486767315"</f>
        <v>9783486767315</v>
      </c>
    </row>
    <row r="25640" spans="1:6" s="3" customFormat="1" ht="29.1" customHeight="1" x14ac:dyDescent="0.25">
      <c r="A25640" s="2" t="s">
        <v>49970</v>
      </c>
      <c r="B25640" s="2" t="s">
        <v>49971</v>
      </c>
      <c r="C25640" s="2" t="s">
        <v>195</v>
      </c>
      <c r="D25640" s="2" t="s">
        <v>210</v>
      </c>
      <c r="E25640" s="2" t="str">
        <f>"9783486597042"</f>
        <v>9783486597042</v>
      </c>
      <c r="F25640" s="2" t="str">
        <f>"9783486719383"</f>
        <v>9783486719383</v>
      </c>
    </row>
    <row r="25641" spans="1:6" s="3" customFormat="1" ht="29.1" customHeight="1" x14ac:dyDescent="0.25">
      <c r="A25641" s="2" t="s">
        <v>49972</v>
      </c>
      <c r="B25641" s="2" t="s">
        <v>49973</v>
      </c>
      <c r="C25641" s="2" t="s">
        <v>195</v>
      </c>
      <c r="D25641" s="2" t="s">
        <v>210</v>
      </c>
      <c r="E25641" s="2" t="str">
        <f>"9783486705065"</f>
        <v>9783486705065</v>
      </c>
      <c r="F25641" s="2" t="str">
        <f>"9783486719307"</f>
        <v>9783486719307</v>
      </c>
    </row>
    <row r="25642" spans="1:6" s="3" customFormat="1" ht="29.1" customHeight="1" x14ac:dyDescent="0.25">
      <c r="A25642" s="2" t="s">
        <v>49974</v>
      </c>
      <c r="B25642" s="2" t="s">
        <v>49975</v>
      </c>
      <c r="C25642" s="2" t="s">
        <v>195</v>
      </c>
      <c r="D25642" s="2" t="s">
        <v>339</v>
      </c>
      <c r="E25642" s="2" t="str">
        <f>"9783110313604"</f>
        <v>9783110313604</v>
      </c>
      <c r="F25642" s="2" t="str">
        <f>"9783110313680"</f>
        <v>9783110313680</v>
      </c>
    </row>
    <row r="25643" spans="1:6" s="3" customFormat="1" ht="29.1" customHeight="1" x14ac:dyDescent="0.25">
      <c r="A25643" s="2" t="s">
        <v>49976</v>
      </c>
      <c r="B25643" s="2" t="s">
        <v>49977</v>
      </c>
      <c r="C25643" s="2" t="s">
        <v>195</v>
      </c>
      <c r="D25643" s="2" t="s">
        <v>1183</v>
      </c>
      <c r="E25643" s="2" t="str">
        <f>"9783598251283"</f>
        <v>9783598251283</v>
      </c>
      <c r="F25643" s="2" t="str">
        <f>"9783110298420"</f>
        <v>9783110298420</v>
      </c>
    </row>
    <row r="25644" spans="1:6" s="3" customFormat="1" ht="29.1" customHeight="1" x14ac:dyDescent="0.25">
      <c r="A25644" s="2" t="s">
        <v>49978</v>
      </c>
      <c r="B25644" s="2" t="s">
        <v>49979</v>
      </c>
      <c r="C25644" s="2" t="s">
        <v>195</v>
      </c>
      <c r="D25644" s="2" t="s">
        <v>210</v>
      </c>
      <c r="E25644" s="2" t="str">
        <f>"9783598228100"</f>
        <v>9783598228100</v>
      </c>
      <c r="F25644" s="2" t="str">
        <f>"9783110976694"</f>
        <v>9783110976694</v>
      </c>
    </row>
    <row r="25645" spans="1:6" s="3" customFormat="1" ht="29.1" customHeight="1" x14ac:dyDescent="0.25">
      <c r="A25645" s="2" t="s">
        <v>49980</v>
      </c>
      <c r="B25645" s="2" t="s">
        <v>49981</v>
      </c>
      <c r="C25645" s="2" t="s">
        <v>195</v>
      </c>
      <c r="D25645" s="2" t="s">
        <v>81</v>
      </c>
      <c r="E25645" s="2" t="str">
        <f>"9783110149975"</f>
        <v>9783110149975</v>
      </c>
      <c r="F25645" s="2" t="str">
        <f>"9783110899504"</f>
        <v>9783110899504</v>
      </c>
    </row>
    <row r="25646" spans="1:6" s="3" customFormat="1" ht="29.1" customHeight="1" x14ac:dyDescent="0.25">
      <c r="A25646" s="2" t="s">
        <v>49982</v>
      </c>
      <c r="B25646" s="2" t="s">
        <v>49983</v>
      </c>
      <c r="C25646" s="2" t="s">
        <v>3248</v>
      </c>
      <c r="D25646" s="2" t="s">
        <v>297</v>
      </c>
      <c r="E25646" s="2" t="str">
        <f>"9780813561929"</f>
        <v>9780813561929</v>
      </c>
      <c r="F25646" s="2" t="str">
        <f>"9780813561943"</f>
        <v>9780813561943</v>
      </c>
    </row>
    <row r="25647" spans="1:6" s="3" customFormat="1" ht="29.1" customHeight="1" x14ac:dyDescent="0.25">
      <c r="A25647" s="2" t="s">
        <v>49984</v>
      </c>
      <c r="B25647" s="2" t="s">
        <v>49985</v>
      </c>
      <c r="C25647" s="2" t="s">
        <v>124</v>
      </c>
      <c r="D25647" s="2" t="s">
        <v>2208</v>
      </c>
      <c r="E25647" s="2" t="str">
        <f>"9780415624916"</f>
        <v>9780415624916</v>
      </c>
      <c r="F25647" s="2" t="str">
        <f>"9781136246630"</f>
        <v>9781136246630</v>
      </c>
    </row>
    <row r="25648" spans="1:6" s="3" customFormat="1" ht="29.1" customHeight="1" x14ac:dyDescent="0.25">
      <c r="A25648" s="2" t="s">
        <v>49986</v>
      </c>
      <c r="B25648" s="2" t="s">
        <v>49987</v>
      </c>
      <c r="C25648" s="2" t="s">
        <v>124</v>
      </c>
      <c r="D25648" s="2" t="s">
        <v>402</v>
      </c>
      <c r="E25648" s="2" t="str">
        <f>"9780415677493"</f>
        <v>9780415677493</v>
      </c>
      <c r="F25648" s="2" t="str">
        <f>"9781317974147"</f>
        <v>9781317974147</v>
      </c>
    </row>
    <row r="25649" spans="1:6" s="3" customFormat="1" ht="29.1" customHeight="1" x14ac:dyDescent="0.25">
      <c r="A25649" s="2" t="s">
        <v>49988</v>
      </c>
      <c r="B25649" s="2" t="s">
        <v>21876</v>
      </c>
      <c r="C25649" s="2" t="s">
        <v>5</v>
      </c>
      <c r="D25649" s="2" t="s">
        <v>694</v>
      </c>
      <c r="E25649" s="2" t="str">
        <f>"9783642417030"</f>
        <v>9783642417030</v>
      </c>
      <c r="F25649" s="2" t="str">
        <f>"9783642417047"</f>
        <v>9783642417047</v>
      </c>
    </row>
    <row r="25650" spans="1:6" s="3" customFormat="1" ht="29.1" customHeight="1" x14ac:dyDescent="0.25">
      <c r="A25650" s="2" t="s">
        <v>49989</v>
      </c>
      <c r="B25650" s="2" t="s">
        <v>49990</v>
      </c>
      <c r="C25650" s="2" t="s">
        <v>124</v>
      </c>
      <c r="D25650" s="2" t="s">
        <v>868</v>
      </c>
      <c r="E25650" s="2" t="str">
        <f>"9780415709668"</f>
        <v>9780415709668</v>
      </c>
      <c r="F25650" s="2" t="str">
        <f>"9781134634293"</f>
        <v>9781134634293</v>
      </c>
    </row>
    <row r="25651" spans="1:6" s="3" customFormat="1" ht="29.1" customHeight="1" x14ac:dyDescent="0.25">
      <c r="A25651" s="2" t="s">
        <v>49991</v>
      </c>
      <c r="B25651" s="2" t="s">
        <v>49992</v>
      </c>
      <c r="C25651" s="2" t="s">
        <v>8104</v>
      </c>
      <c r="D25651" s="2" t="s">
        <v>202</v>
      </c>
      <c r="E25651" s="2" t="str">
        <f>"9781782382263"</f>
        <v>9781782382263</v>
      </c>
      <c r="F25651" s="2" t="str">
        <f>"9781461952497"</f>
        <v>9781461952497</v>
      </c>
    </row>
    <row r="25652" spans="1:6" s="3" customFormat="1" ht="29.1" customHeight="1" x14ac:dyDescent="0.25">
      <c r="A25652" s="2" t="s">
        <v>49993</v>
      </c>
      <c r="B25652" s="2" t="s">
        <v>49994</v>
      </c>
      <c r="C25652" s="2" t="s">
        <v>927</v>
      </c>
      <c r="D25652" s="2" t="s">
        <v>210</v>
      </c>
      <c r="E25652" s="2" t="str">
        <f>"9780472052066"</f>
        <v>9780472052066</v>
      </c>
      <c r="F25652" s="2" t="str">
        <f>"9780472029914"</f>
        <v>9780472029914</v>
      </c>
    </row>
    <row r="25653" spans="1:6" s="3" customFormat="1" ht="29.1" customHeight="1" x14ac:dyDescent="0.25">
      <c r="A25653" s="2" t="s">
        <v>49995</v>
      </c>
      <c r="B25653" s="2" t="s">
        <v>49996</v>
      </c>
      <c r="C25653" s="2" t="s">
        <v>7395</v>
      </c>
      <c r="D25653" s="2" t="s">
        <v>49</v>
      </c>
      <c r="E25653" s="2" t="str">
        <f>"9780295993065"</f>
        <v>9780295993065</v>
      </c>
      <c r="F25653" s="2" t="str">
        <f>"9780295804842"</f>
        <v>9780295804842</v>
      </c>
    </row>
    <row r="25654" spans="1:6" s="3" customFormat="1" ht="29.1" customHeight="1" x14ac:dyDescent="0.25">
      <c r="A25654" s="2" t="s">
        <v>49997</v>
      </c>
      <c r="B25654" s="2" t="s">
        <v>49998</v>
      </c>
      <c r="C25654" s="2" t="s">
        <v>11220</v>
      </c>
      <c r="D25654" s="2" t="s">
        <v>3270</v>
      </c>
      <c r="E25654" s="2" t="str">
        <f>"9780814795569"</f>
        <v>9780814795569</v>
      </c>
      <c r="F25654" s="2" t="str">
        <f>"9780814724729"</f>
        <v>9780814724729</v>
      </c>
    </row>
    <row r="25655" spans="1:6" s="3" customFormat="1" ht="29.1" customHeight="1" x14ac:dyDescent="0.25">
      <c r="A25655" s="2" t="s">
        <v>49999</v>
      </c>
      <c r="B25655" s="2" t="s">
        <v>50000</v>
      </c>
      <c r="C25655" s="2" t="s">
        <v>11220</v>
      </c>
      <c r="D25655" s="2" t="s">
        <v>402</v>
      </c>
      <c r="E25655" s="2" t="str">
        <f>"9780814777084"</f>
        <v>9780814777084</v>
      </c>
      <c r="F25655" s="2" t="str">
        <f>"9781479802678"</f>
        <v>9781479802678</v>
      </c>
    </row>
    <row r="25656" spans="1:6" s="3" customFormat="1" ht="29.1" customHeight="1" x14ac:dyDescent="0.25">
      <c r="A25656" s="2" t="s">
        <v>50001</v>
      </c>
      <c r="B25656" s="2" t="s">
        <v>50002</v>
      </c>
      <c r="C25656" s="2" t="s">
        <v>11220</v>
      </c>
      <c r="D25656" s="2" t="s">
        <v>183</v>
      </c>
      <c r="E25656" s="2" t="str">
        <f>"9780814708439"</f>
        <v>9780814708439</v>
      </c>
      <c r="F25656" s="2" t="str">
        <f>"9780814725481"</f>
        <v>9780814725481</v>
      </c>
    </row>
    <row r="25657" spans="1:6" s="3" customFormat="1" ht="29.1" customHeight="1" x14ac:dyDescent="0.25">
      <c r="A25657" s="2" t="s">
        <v>50003</v>
      </c>
      <c r="B25657" s="2" t="s">
        <v>48002</v>
      </c>
      <c r="C25657" s="2" t="s">
        <v>316</v>
      </c>
      <c r="D25657" s="2" t="s">
        <v>317</v>
      </c>
      <c r="E25657" s="2" t="str">
        <f>"9783038358664"</f>
        <v>9783038358664</v>
      </c>
      <c r="F25657" s="2" t="str">
        <f>"9783038268864"</f>
        <v>9783038268864</v>
      </c>
    </row>
    <row r="25658" spans="1:6" s="3" customFormat="1" ht="29.1" customHeight="1" x14ac:dyDescent="0.25">
      <c r="A25658" s="2" t="s">
        <v>50004</v>
      </c>
      <c r="B25658" s="2" t="s">
        <v>50005</v>
      </c>
      <c r="C25658" s="2" t="s">
        <v>34257</v>
      </c>
      <c r="D25658" s="2" t="s">
        <v>1162</v>
      </c>
      <c r="E25658" s="2" t="str">
        <f>"9780745333793"</f>
        <v>9780745333793</v>
      </c>
      <c r="F25658" s="2" t="str">
        <f>"9781849649858"</f>
        <v>9781849649858</v>
      </c>
    </row>
    <row r="25659" spans="1:6" s="3" customFormat="1" ht="29.1" customHeight="1" x14ac:dyDescent="0.25">
      <c r="A25659" s="2" t="s">
        <v>50006</v>
      </c>
      <c r="B25659" s="2" t="s">
        <v>50007</v>
      </c>
      <c r="C25659" s="2" t="s">
        <v>195</v>
      </c>
      <c r="D25659" s="2" t="s">
        <v>118</v>
      </c>
      <c r="E25659" s="2" t="str">
        <f>"9783110260052"</f>
        <v>9783110260052</v>
      </c>
      <c r="F25659" s="2" t="str">
        <f>"9783110260779"</f>
        <v>9783110260779</v>
      </c>
    </row>
    <row r="25660" spans="1:6" s="3" customFormat="1" ht="29.1" customHeight="1" x14ac:dyDescent="0.25">
      <c r="A25660" s="2" t="s">
        <v>50008</v>
      </c>
      <c r="B25660" s="2" t="s">
        <v>50009</v>
      </c>
      <c r="C25660" s="2" t="s">
        <v>195</v>
      </c>
      <c r="D25660" s="2" t="s">
        <v>436</v>
      </c>
      <c r="E25660" s="2" t="str">
        <f>"9783110319309"</f>
        <v>9783110319309</v>
      </c>
      <c r="F25660" s="2" t="str">
        <f>"9783110319798"</f>
        <v>9783110319798</v>
      </c>
    </row>
    <row r="25661" spans="1:6" s="3" customFormat="1" ht="29.1" customHeight="1" x14ac:dyDescent="0.25">
      <c r="A25661" s="2" t="s">
        <v>50010</v>
      </c>
      <c r="B25661" s="2" t="s">
        <v>50011</v>
      </c>
      <c r="C25661" s="2" t="s">
        <v>195</v>
      </c>
      <c r="D25661" s="2" t="s">
        <v>468</v>
      </c>
      <c r="E25661" s="2" t="str">
        <f>"9783110316568"</f>
        <v>9783110316568</v>
      </c>
      <c r="F25661" s="2" t="str">
        <f>"9783110316612"</f>
        <v>9783110316612</v>
      </c>
    </row>
    <row r="25662" spans="1:6" s="3" customFormat="1" ht="29.1" customHeight="1" x14ac:dyDescent="0.25">
      <c r="A25662" s="2" t="s">
        <v>50012</v>
      </c>
      <c r="B25662" s="2" t="s">
        <v>50013</v>
      </c>
      <c r="C25662" s="2" t="s">
        <v>195</v>
      </c>
      <c r="D25662" s="2" t="s">
        <v>462</v>
      </c>
      <c r="E25662" s="2" t="str">
        <f>"9783110286984"</f>
        <v>9783110286984</v>
      </c>
      <c r="F25662" s="2" t="str">
        <f>"9783110287158"</f>
        <v>9783110287158</v>
      </c>
    </row>
    <row r="25663" spans="1:6" s="3" customFormat="1" ht="29.1" customHeight="1" x14ac:dyDescent="0.25">
      <c r="A25663" s="2" t="s">
        <v>50014</v>
      </c>
      <c r="B25663" s="2" t="s">
        <v>50015</v>
      </c>
      <c r="C25663" s="2" t="s">
        <v>195</v>
      </c>
      <c r="D25663" s="2" t="s">
        <v>3345</v>
      </c>
      <c r="E25663" s="2" t="str">
        <f>"9781614511281"</f>
        <v>9781614511281</v>
      </c>
      <c r="F25663" s="2" t="str">
        <f>"9781614511014"</f>
        <v>9781614511014</v>
      </c>
    </row>
    <row r="25664" spans="1:6" s="3" customFormat="1" ht="29.1" customHeight="1" x14ac:dyDescent="0.25">
      <c r="A25664" s="2" t="s">
        <v>50016</v>
      </c>
      <c r="B25664" s="2" t="s">
        <v>50017</v>
      </c>
      <c r="C25664" s="2" t="s">
        <v>124</v>
      </c>
      <c r="D25664" s="2" t="s">
        <v>270</v>
      </c>
      <c r="E25664" s="2" t="str">
        <f>"9780415631648"</f>
        <v>9780415631648</v>
      </c>
      <c r="F25664" s="2" t="str">
        <f>"9781317909521"</f>
        <v>9781317909521</v>
      </c>
    </row>
    <row r="25665" spans="1:6" s="3" customFormat="1" ht="29.1" customHeight="1" x14ac:dyDescent="0.25">
      <c r="A25665" s="2" t="s">
        <v>50018</v>
      </c>
      <c r="B25665" s="2" t="s">
        <v>50019</v>
      </c>
      <c r="C25665" s="2" t="s">
        <v>124</v>
      </c>
      <c r="D25665" s="2" t="s">
        <v>818</v>
      </c>
      <c r="E25665" s="2" t="str">
        <f>"9780415659383"</f>
        <v>9780415659383</v>
      </c>
      <c r="F25665" s="2" t="str">
        <f>"9781134445851"</f>
        <v>9781134445851</v>
      </c>
    </row>
    <row r="25666" spans="1:6" s="3" customFormat="1" ht="29.1" customHeight="1" x14ac:dyDescent="0.25">
      <c r="A25666" s="2" t="s">
        <v>50020</v>
      </c>
      <c r="B25666" s="2" t="s">
        <v>50021</v>
      </c>
      <c r="C25666" s="2" t="s">
        <v>29</v>
      </c>
      <c r="D25666" s="2" t="s">
        <v>107</v>
      </c>
      <c r="E25666" s="2" t="str">
        <f>"9789004255265"</f>
        <v>9789004255265</v>
      </c>
      <c r="F25666" s="2" t="str">
        <f>"9789004255753"</f>
        <v>9789004255753</v>
      </c>
    </row>
    <row r="25667" spans="1:6" s="3" customFormat="1" ht="29.1" customHeight="1" x14ac:dyDescent="0.25">
      <c r="A25667" s="2" t="s">
        <v>50022</v>
      </c>
      <c r="B25667" s="2" t="s">
        <v>50023</v>
      </c>
      <c r="C25667" s="2" t="s">
        <v>927</v>
      </c>
      <c r="D25667" s="2" t="s">
        <v>2208</v>
      </c>
      <c r="E25667" s="2" t="str">
        <f>"9780472119073"</f>
        <v>9780472119073</v>
      </c>
      <c r="F25667" s="2" t="str">
        <f>"9780472029594"</f>
        <v>9780472029594</v>
      </c>
    </row>
    <row r="25668" spans="1:6" s="3" customFormat="1" ht="29.1" customHeight="1" x14ac:dyDescent="0.25">
      <c r="A25668" s="2" t="s">
        <v>50024</v>
      </c>
      <c r="B25668" s="2" t="s">
        <v>50025</v>
      </c>
      <c r="C25668" s="2" t="s">
        <v>927</v>
      </c>
      <c r="D25668" s="2" t="s">
        <v>270</v>
      </c>
      <c r="E25668" s="2" t="str">
        <f>"9780472119011"</f>
        <v>9780472119011</v>
      </c>
      <c r="F25668" s="2" t="str">
        <f>"9780472029525"</f>
        <v>9780472029525</v>
      </c>
    </row>
    <row r="25669" spans="1:6" s="3" customFormat="1" ht="29.1" customHeight="1" x14ac:dyDescent="0.25">
      <c r="A25669" s="2" t="s">
        <v>50026</v>
      </c>
      <c r="B25669" s="2" t="s">
        <v>50027</v>
      </c>
      <c r="C25669" s="2" t="s">
        <v>1070</v>
      </c>
      <c r="D25669" s="2" t="s">
        <v>1387</v>
      </c>
      <c r="E25669" s="2" t="str">
        <f>"9781908541390"</f>
        <v>9781908541390</v>
      </c>
      <c r="F25669" s="2" t="str">
        <f>"9781908541536"</f>
        <v>9781908541536</v>
      </c>
    </row>
    <row r="25670" spans="1:6" s="3" customFormat="1" ht="29.1" customHeight="1" x14ac:dyDescent="0.25">
      <c r="A25670" s="2" t="s">
        <v>50028</v>
      </c>
      <c r="B25670" s="2" t="s">
        <v>50029</v>
      </c>
      <c r="C25670" s="2" t="s">
        <v>1070</v>
      </c>
      <c r="D25670" s="2" t="s">
        <v>1285</v>
      </c>
      <c r="E25670" s="2" t="str">
        <f>"9783805596497"</f>
        <v>9783805596497</v>
      </c>
      <c r="F25670" s="2" t="str">
        <f>"9783805596503"</f>
        <v>9783805596503</v>
      </c>
    </row>
    <row r="25671" spans="1:6" s="3" customFormat="1" ht="29.1" customHeight="1" x14ac:dyDescent="0.25">
      <c r="A25671" s="2" t="s">
        <v>50030</v>
      </c>
      <c r="B25671" s="2" t="s">
        <v>50031</v>
      </c>
      <c r="C25671" s="2" t="s">
        <v>28510</v>
      </c>
      <c r="D25671" s="2" t="s">
        <v>44</v>
      </c>
      <c r="E25671" s="2" t="str">
        <f>"9781608057405"</f>
        <v>9781608057405</v>
      </c>
      <c r="F25671" s="2" t="str">
        <f>"9781608057399"</f>
        <v>9781608057399</v>
      </c>
    </row>
    <row r="25672" spans="1:6" s="3" customFormat="1" ht="29.1" customHeight="1" x14ac:dyDescent="0.25">
      <c r="A25672" s="2" t="s">
        <v>50032</v>
      </c>
      <c r="B25672" s="2" t="s">
        <v>50033</v>
      </c>
      <c r="C25672" s="2" t="s">
        <v>29</v>
      </c>
      <c r="D25672" s="2" t="s">
        <v>3105</v>
      </c>
      <c r="E25672" s="2" t="str">
        <f>"9789004251915"</f>
        <v>9789004251915</v>
      </c>
      <c r="F25672" s="2" t="str">
        <f>"9789004252882"</f>
        <v>9789004252882</v>
      </c>
    </row>
    <row r="25673" spans="1:6" s="3" customFormat="1" ht="29.1" customHeight="1" x14ac:dyDescent="0.25">
      <c r="A25673" s="2" t="s">
        <v>50034</v>
      </c>
      <c r="B25673" s="2" t="s">
        <v>50035</v>
      </c>
      <c r="C25673" s="2" t="s">
        <v>4104</v>
      </c>
      <c r="D25673" s="2" t="s">
        <v>5607</v>
      </c>
      <c r="E25673" s="2" t="str">
        <f>"9781846319730"</f>
        <v>9781846319730</v>
      </c>
      <c r="F25673" s="2" t="str">
        <f>"9781781385760"</f>
        <v>9781781385760</v>
      </c>
    </row>
    <row r="25674" spans="1:6" s="3" customFormat="1" ht="29.1" customHeight="1" x14ac:dyDescent="0.25">
      <c r="A25674" s="2" t="s">
        <v>50036</v>
      </c>
      <c r="B25674" s="2" t="s">
        <v>39212</v>
      </c>
      <c r="C25674" s="2" t="s">
        <v>4104</v>
      </c>
      <c r="D25674" s="2" t="s">
        <v>1419</v>
      </c>
      <c r="E25674" s="2" t="str">
        <f>"9781846319433"</f>
        <v>9781846319433</v>
      </c>
      <c r="F25674" s="2" t="str">
        <f>"9781781385739"</f>
        <v>9781781385739</v>
      </c>
    </row>
    <row r="25675" spans="1:6" s="3" customFormat="1" ht="29.1" customHeight="1" x14ac:dyDescent="0.25">
      <c r="A25675" s="2" t="s">
        <v>50037</v>
      </c>
      <c r="B25675" s="2" t="s">
        <v>50038</v>
      </c>
      <c r="C25675" s="2" t="s">
        <v>4104</v>
      </c>
      <c r="D25675" s="2" t="s">
        <v>879</v>
      </c>
      <c r="E25675" s="2" t="str">
        <f>"9781846319686"</f>
        <v>9781846319686</v>
      </c>
      <c r="F25675" s="2" t="str">
        <f>"9781781385722"</f>
        <v>9781781385722</v>
      </c>
    </row>
    <row r="25676" spans="1:6" s="3" customFormat="1" ht="29.1" customHeight="1" x14ac:dyDescent="0.25">
      <c r="A25676" s="2" t="s">
        <v>50039</v>
      </c>
      <c r="B25676" s="2" t="s">
        <v>50040</v>
      </c>
      <c r="C25676" s="2" t="s">
        <v>4104</v>
      </c>
      <c r="D25676" s="2" t="s">
        <v>1999</v>
      </c>
      <c r="E25676" s="2" t="str">
        <f>"9781846319464"</f>
        <v>9781846319464</v>
      </c>
      <c r="F25676" s="2" t="str">
        <f>"9781781385678"</f>
        <v>9781781385678</v>
      </c>
    </row>
    <row r="25677" spans="1:6" s="3" customFormat="1" ht="29.1" customHeight="1" x14ac:dyDescent="0.25">
      <c r="A25677" s="2" t="s">
        <v>50041</v>
      </c>
      <c r="B25677" s="2" t="s">
        <v>50042</v>
      </c>
      <c r="C25677" s="2" t="s">
        <v>4104</v>
      </c>
      <c r="D25677" s="2" t="s">
        <v>1049</v>
      </c>
      <c r="E25677" s="2" t="str">
        <f>"9781846319761"</f>
        <v>9781846319761</v>
      </c>
      <c r="F25677" s="2" t="str">
        <f>"9781781385623"</f>
        <v>9781781385623</v>
      </c>
    </row>
    <row r="25678" spans="1:6" s="3" customFormat="1" ht="29.1" customHeight="1" x14ac:dyDescent="0.25">
      <c r="A25678" s="2" t="s">
        <v>50043</v>
      </c>
      <c r="B25678" s="2" t="s">
        <v>50044</v>
      </c>
      <c r="C25678" s="2" t="s">
        <v>4104</v>
      </c>
      <c r="D25678" s="2" t="s">
        <v>2326</v>
      </c>
      <c r="E25678" s="2" t="str">
        <f>"9781846319716"</f>
        <v>9781846319716</v>
      </c>
      <c r="F25678" s="2" t="str">
        <f>"9781781385555"</f>
        <v>9781781385555</v>
      </c>
    </row>
    <row r="25679" spans="1:6" s="3" customFormat="1" ht="29.1" customHeight="1" x14ac:dyDescent="0.25">
      <c r="A25679" s="2" t="s">
        <v>50045</v>
      </c>
      <c r="B25679" s="2" t="s">
        <v>50046</v>
      </c>
      <c r="C25679" s="2" t="s">
        <v>4104</v>
      </c>
      <c r="D25679" s="2" t="s">
        <v>162</v>
      </c>
      <c r="E25679" s="2" t="str">
        <f>"9781846319587"</f>
        <v>9781846319587</v>
      </c>
      <c r="F25679" s="2" t="str">
        <f>"9781781385524"</f>
        <v>9781781385524</v>
      </c>
    </row>
    <row r="25680" spans="1:6" s="3" customFormat="1" ht="29.1" customHeight="1" x14ac:dyDescent="0.25">
      <c r="A25680" s="2" t="s">
        <v>48857</v>
      </c>
      <c r="B25680" s="2" t="s">
        <v>50047</v>
      </c>
      <c r="C25680" s="2" t="s">
        <v>124</v>
      </c>
      <c r="D25680" s="2" t="s">
        <v>916</v>
      </c>
      <c r="E25680" s="2" t="str">
        <f>"9789089644558"</f>
        <v>9789089644558</v>
      </c>
      <c r="F25680" s="2" t="str">
        <f>"9781040780794"</f>
        <v>9781040780794</v>
      </c>
    </row>
    <row r="25681" spans="1:6" s="3" customFormat="1" ht="29.1" customHeight="1" x14ac:dyDescent="0.25">
      <c r="A25681" s="2" t="s">
        <v>50048</v>
      </c>
      <c r="B25681" s="2" t="s">
        <v>50049</v>
      </c>
      <c r="C25681" s="2" t="s">
        <v>124</v>
      </c>
      <c r="D25681" s="2" t="s">
        <v>183</v>
      </c>
      <c r="E25681" s="2" t="str">
        <f>"9789089645432"</f>
        <v>9789089645432</v>
      </c>
      <c r="F25681" s="2" t="str">
        <f>"9781040782897"</f>
        <v>9781040782897</v>
      </c>
    </row>
    <row r="25682" spans="1:6" s="3" customFormat="1" ht="29.1" customHeight="1" x14ac:dyDescent="0.25">
      <c r="A25682" s="2" t="s">
        <v>50050</v>
      </c>
      <c r="B25682" s="2" t="s">
        <v>50051</v>
      </c>
      <c r="C25682" s="2" t="s">
        <v>124</v>
      </c>
      <c r="D25682" s="2" t="s">
        <v>743</v>
      </c>
      <c r="E25682" s="2" t="str">
        <f>"9789089645005"</f>
        <v>9789089645005</v>
      </c>
      <c r="F25682" s="2" t="str">
        <f>"9781040773352"</f>
        <v>9781040773352</v>
      </c>
    </row>
    <row r="25683" spans="1:6" s="3" customFormat="1" ht="29.1" customHeight="1" x14ac:dyDescent="0.25">
      <c r="A25683" s="2" t="s">
        <v>50052</v>
      </c>
      <c r="B25683" s="2" t="s">
        <v>50053</v>
      </c>
      <c r="C25683" s="2" t="s">
        <v>124</v>
      </c>
      <c r="D25683" s="2" t="s">
        <v>1198</v>
      </c>
      <c r="E25683" s="2" t="str">
        <f>"9789089644718"</f>
        <v>9789089644718</v>
      </c>
      <c r="F25683" s="2" t="str">
        <f>"9781040775769"</f>
        <v>9781040775769</v>
      </c>
    </row>
    <row r="25684" spans="1:6" s="3" customFormat="1" ht="29.1" customHeight="1" x14ac:dyDescent="0.25">
      <c r="A25684" s="2" t="s">
        <v>50054</v>
      </c>
      <c r="B25684" s="2" t="s">
        <v>50055</v>
      </c>
      <c r="C25684" s="2" t="s">
        <v>124</v>
      </c>
      <c r="D25684" s="2" t="s">
        <v>408</v>
      </c>
      <c r="E25684" s="2" t="str">
        <f>"9789089644596"</f>
        <v>9789089644596</v>
      </c>
      <c r="F25684" s="2" t="str">
        <f>"9781040788110"</f>
        <v>9781040788110</v>
      </c>
    </row>
    <row r="25685" spans="1:6" s="3" customFormat="1" ht="29.1" customHeight="1" x14ac:dyDescent="0.25">
      <c r="A25685" s="2" t="s">
        <v>50056</v>
      </c>
      <c r="B25685" s="2" t="s">
        <v>50057</v>
      </c>
      <c r="C25685" s="2" t="s">
        <v>124</v>
      </c>
      <c r="D25685" s="2" t="s">
        <v>903</v>
      </c>
      <c r="E25685" s="2" t="str">
        <f>"9781041186892"</f>
        <v>9781041186892</v>
      </c>
      <c r="F25685" s="2" t="str">
        <f>"9781040776599"</f>
        <v>9781040776599</v>
      </c>
    </row>
    <row r="25686" spans="1:6" s="3" customFormat="1" ht="29.1" customHeight="1" x14ac:dyDescent="0.25">
      <c r="A25686" s="2" t="s">
        <v>50058</v>
      </c>
      <c r="B25686" s="2" t="s">
        <v>50059</v>
      </c>
      <c r="C25686" s="2" t="s">
        <v>124</v>
      </c>
      <c r="D25686" s="2" t="s">
        <v>6548</v>
      </c>
      <c r="E25686" s="2" t="str">
        <f>"9789089644213"</f>
        <v>9789089644213</v>
      </c>
      <c r="F25686" s="2" t="str">
        <f>"9781040778203"</f>
        <v>9781040778203</v>
      </c>
    </row>
    <row r="25687" spans="1:6" s="3" customFormat="1" ht="29.1" customHeight="1" x14ac:dyDescent="0.25">
      <c r="A25687" s="2" t="s">
        <v>50060</v>
      </c>
      <c r="B25687" s="2" t="s">
        <v>50061</v>
      </c>
      <c r="C25687" s="2" t="s">
        <v>124</v>
      </c>
      <c r="D25687" s="2" t="s">
        <v>49</v>
      </c>
      <c r="E25687" s="2" t="str">
        <f>"9789089643988"</f>
        <v>9789089643988</v>
      </c>
      <c r="F25687" s="2" t="str">
        <f>"9781040779323"</f>
        <v>9781040779323</v>
      </c>
    </row>
    <row r="25688" spans="1:6" s="3" customFormat="1" ht="29.1" customHeight="1" x14ac:dyDescent="0.25">
      <c r="A25688" s="2" t="s">
        <v>50062</v>
      </c>
      <c r="B25688" s="2" t="s">
        <v>50063</v>
      </c>
      <c r="C25688" s="2" t="s">
        <v>124</v>
      </c>
      <c r="D25688" s="2" t="s">
        <v>509</v>
      </c>
      <c r="E25688" s="2" t="str">
        <f>"9789089644121"</f>
        <v>9789089644121</v>
      </c>
      <c r="F25688" s="2" t="str">
        <f>"9781040774816"</f>
        <v>9781040774816</v>
      </c>
    </row>
    <row r="25689" spans="1:6" s="3" customFormat="1" ht="29.1" customHeight="1" x14ac:dyDescent="0.25">
      <c r="A25689" s="2" t="s">
        <v>50064</v>
      </c>
      <c r="B25689" s="2" t="s">
        <v>50065</v>
      </c>
      <c r="C25689" s="2" t="s">
        <v>124</v>
      </c>
      <c r="D25689" s="2" t="s">
        <v>66</v>
      </c>
      <c r="E25689" s="2" t="str">
        <f>"9781041177944"</f>
        <v>9781041177944</v>
      </c>
      <c r="F25689" s="2" t="str">
        <f>"9781040797914"</f>
        <v>9781040797914</v>
      </c>
    </row>
    <row r="25690" spans="1:6" s="3" customFormat="1" ht="29.1" customHeight="1" x14ac:dyDescent="0.25">
      <c r="A25690" s="2" t="s">
        <v>50066</v>
      </c>
      <c r="B25690" s="2" t="s">
        <v>1715</v>
      </c>
      <c r="C25690" s="2" t="s">
        <v>124</v>
      </c>
      <c r="D25690" s="2" t="s">
        <v>1198</v>
      </c>
      <c r="E25690" s="2" t="str">
        <f>"9789089643629"</f>
        <v>9789089643629</v>
      </c>
      <c r="F25690" s="2" t="str">
        <f>"9781040799581"</f>
        <v>9781040799581</v>
      </c>
    </row>
    <row r="25691" spans="1:6" s="3" customFormat="1" ht="29.1" customHeight="1" x14ac:dyDescent="0.25">
      <c r="A25691" s="2" t="s">
        <v>50067</v>
      </c>
      <c r="B25691" s="2" t="s">
        <v>50068</v>
      </c>
      <c r="C25691" s="2" t="s">
        <v>124</v>
      </c>
      <c r="D25691" s="2" t="s">
        <v>1198</v>
      </c>
      <c r="E25691" s="2" t="str">
        <f>"9789089645227"</f>
        <v>9789089645227</v>
      </c>
      <c r="F25691" s="2" t="str">
        <f>"9781040785430"</f>
        <v>9781040785430</v>
      </c>
    </row>
    <row r="25692" spans="1:6" s="3" customFormat="1" ht="29.1" customHeight="1" x14ac:dyDescent="0.25">
      <c r="A25692" s="2" t="s">
        <v>50069</v>
      </c>
      <c r="B25692" s="2" t="s">
        <v>50070</v>
      </c>
      <c r="C25692" s="2" t="s">
        <v>11220</v>
      </c>
      <c r="D25692" s="2" t="s">
        <v>14574</v>
      </c>
      <c r="E25692" s="2" t="str">
        <f>"9780814760864"</f>
        <v>9780814760864</v>
      </c>
      <c r="F25692" s="2" t="str">
        <f>"9780814760116"</f>
        <v>9780814760116</v>
      </c>
    </row>
    <row r="25693" spans="1:6" s="3" customFormat="1" ht="29.1" customHeight="1" x14ac:dyDescent="0.25">
      <c r="A25693" s="2" t="s">
        <v>50071</v>
      </c>
      <c r="B25693" s="2" t="s">
        <v>50072</v>
      </c>
      <c r="C25693" s="2" t="s">
        <v>11220</v>
      </c>
      <c r="D25693" s="2" t="s">
        <v>210</v>
      </c>
      <c r="E25693" s="2" t="str">
        <f>"9780814785027"</f>
        <v>9780814785027</v>
      </c>
      <c r="F25693" s="2" t="str">
        <f>"9780814744130"</f>
        <v>9780814744130</v>
      </c>
    </row>
    <row r="25694" spans="1:6" s="3" customFormat="1" ht="29.1" customHeight="1" x14ac:dyDescent="0.25">
      <c r="A25694" s="2" t="s">
        <v>50073</v>
      </c>
      <c r="B25694" s="2" t="s">
        <v>50074</v>
      </c>
      <c r="C25694" s="2" t="s">
        <v>11220</v>
      </c>
      <c r="D25694" s="2" t="s">
        <v>7669</v>
      </c>
      <c r="E25694" s="2" t="str">
        <f>"9780814723845"</f>
        <v>9780814723845</v>
      </c>
      <c r="F25694" s="2" t="str">
        <f>"9780814744420"</f>
        <v>9780814744420</v>
      </c>
    </row>
    <row r="25695" spans="1:6" s="3" customFormat="1" ht="29.1" customHeight="1" x14ac:dyDescent="0.25">
      <c r="A25695" s="2" t="s">
        <v>50075</v>
      </c>
      <c r="B25695" s="2" t="s">
        <v>50076</v>
      </c>
      <c r="C25695" s="2" t="s">
        <v>4104</v>
      </c>
      <c r="D25695" s="2" t="s">
        <v>1999</v>
      </c>
      <c r="E25695" s="2" t="str">
        <f>"9781846318610"</f>
        <v>9781846318610</v>
      </c>
      <c r="F25695" s="2" t="str">
        <f>"9781781387665"</f>
        <v>9781781387665</v>
      </c>
    </row>
    <row r="25696" spans="1:6" s="3" customFormat="1" ht="29.1" customHeight="1" x14ac:dyDescent="0.25">
      <c r="A25696" s="2" t="s">
        <v>50077</v>
      </c>
      <c r="B25696" s="2" t="s">
        <v>11443</v>
      </c>
      <c r="C25696" s="2" t="s">
        <v>4104</v>
      </c>
      <c r="D25696" s="2" t="s">
        <v>639</v>
      </c>
      <c r="E25696" s="2" t="str">
        <f>"9781846318702"</f>
        <v>9781846318702</v>
      </c>
      <c r="F25696" s="2" t="str">
        <f>"9781781386415"</f>
        <v>9781781386415</v>
      </c>
    </row>
    <row r="25697" spans="1:6" s="3" customFormat="1" ht="29.1" customHeight="1" x14ac:dyDescent="0.25">
      <c r="A25697" s="2" t="s">
        <v>50078</v>
      </c>
      <c r="B25697" s="2" t="s">
        <v>50079</v>
      </c>
      <c r="C25697" s="2" t="s">
        <v>7395</v>
      </c>
      <c r="D25697" s="2" t="s">
        <v>49</v>
      </c>
      <c r="E25697" s="2" t="str">
        <f>"9780295993263"</f>
        <v>9780295993263</v>
      </c>
      <c r="F25697" s="2" t="str">
        <f>"9780295804811"</f>
        <v>9780295804811</v>
      </c>
    </row>
    <row r="25698" spans="1:6" s="3" customFormat="1" ht="29.1" customHeight="1" x14ac:dyDescent="0.25">
      <c r="A25698" s="2" t="s">
        <v>50080</v>
      </c>
      <c r="B25698" s="2" t="s">
        <v>50081</v>
      </c>
      <c r="C25698" s="2" t="s">
        <v>7395</v>
      </c>
      <c r="D25698" s="2" t="s">
        <v>636</v>
      </c>
      <c r="E25698" s="2" t="str">
        <f>"9780295993256"</f>
        <v>9780295993256</v>
      </c>
      <c r="F25698" s="2" t="str">
        <f>"9780295804781"</f>
        <v>9780295804781</v>
      </c>
    </row>
    <row r="25699" spans="1:6" s="3" customFormat="1" ht="29.1" customHeight="1" x14ac:dyDescent="0.25">
      <c r="A25699" s="2" t="s">
        <v>50082</v>
      </c>
      <c r="B25699" s="2" t="s">
        <v>50083</v>
      </c>
      <c r="C25699" s="2" t="s">
        <v>264</v>
      </c>
      <c r="D25699" s="2" t="s">
        <v>342</v>
      </c>
      <c r="E25699" s="2" t="str">
        <f>"9781466515833"</f>
        <v>9781466515833</v>
      </c>
      <c r="F25699" s="2" t="str">
        <f>"9781466515840"</f>
        <v>9781466515840</v>
      </c>
    </row>
    <row r="25700" spans="1:6" s="3" customFormat="1" ht="29.1" customHeight="1" x14ac:dyDescent="0.25">
      <c r="A25700" s="2" t="s">
        <v>50084</v>
      </c>
      <c r="B25700" s="2" t="s">
        <v>50085</v>
      </c>
      <c r="C25700" s="2" t="s">
        <v>29</v>
      </c>
      <c r="D25700" s="2" t="s">
        <v>868</v>
      </c>
      <c r="E25700" s="2" t="str">
        <f>"9789004254916"</f>
        <v>9789004254916</v>
      </c>
      <c r="F25700" s="2" t="str">
        <f>"9789004256781"</f>
        <v>9789004256781</v>
      </c>
    </row>
    <row r="25701" spans="1:6" s="3" customFormat="1" ht="29.1" customHeight="1" x14ac:dyDescent="0.25">
      <c r="A25701" s="2" t="s">
        <v>50086</v>
      </c>
      <c r="B25701" s="2" t="s">
        <v>50087</v>
      </c>
      <c r="C25701" s="2" t="s">
        <v>11220</v>
      </c>
      <c r="D25701" s="2" t="s">
        <v>30</v>
      </c>
      <c r="E25701" s="2" t="str">
        <f>"9780814764718"</f>
        <v>9780814764718</v>
      </c>
      <c r="F25701" s="2" t="str">
        <f>"9780814770221"</f>
        <v>9780814770221</v>
      </c>
    </row>
    <row r="25702" spans="1:6" s="3" customFormat="1" ht="29.1" customHeight="1" x14ac:dyDescent="0.25">
      <c r="A25702" s="2" t="s">
        <v>50088</v>
      </c>
      <c r="B25702" s="2" t="s">
        <v>50089</v>
      </c>
      <c r="C25702" s="2" t="s">
        <v>11220</v>
      </c>
      <c r="D25702" s="2" t="s">
        <v>183</v>
      </c>
      <c r="E25702" s="2" t="str">
        <f>"9780814760949"</f>
        <v>9780814760949</v>
      </c>
      <c r="F25702" s="2" t="str">
        <f>"9780814724354"</f>
        <v>9780814724354</v>
      </c>
    </row>
    <row r="25703" spans="1:6" s="3" customFormat="1" ht="29.1" customHeight="1" x14ac:dyDescent="0.25">
      <c r="A25703" s="2" t="s">
        <v>50090</v>
      </c>
      <c r="B25703" s="2" t="s">
        <v>50091</v>
      </c>
      <c r="C25703" s="2" t="s">
        <v>4788</v>
      </c>
      <c r="D25703" s="2" t="s">
        <v>324</v>
      </c>
      <c r="E25703" s="2" t="str">
        <f>"9780748670260"</f>
        <v>9780748670260</v>
      </c>
      <c r="F25703" s="2" t="str">
        <f>"9780748670277"</f>
        <v>9780748670277</v>
      </c>
    </row>
    <row r="25704" spans="1:6" s="3" customFormat="1" ht="29.1" customHeight="1" x14ac:dyDescent="0.25">
      <c r="A25704" s="2" t="s">
        <v>50092</v>
      </c>
      <c r="B25704" s="2" t="s">
        <v>48002</v>
      </c>
      <c r="C25704" s="2" t="s">
        <v>316</v>
      </c>
      <c r="D25704" s="2" t="s">
        <v>317</v>
      </c>
      <c r="E25704" s="2" t="str">
        <f>"9783038358657"</f>
        <v>9783038358657</v>
      </c>
      <c r="F25704" s="2" t="str">
        <f>"9783038268857"</f>
        <v>9783038268857</v>
      </c>
    </row>
    <row r="25705" spans="1:6" s="3" customFormat="1" ht="29.1" customHeight="1" x14ac:dyDescent="0.25">
      <c r="A25705" s="2" t="s">
        <v>50093</v>
      </c>
      <c r="B25705" s="2" t="s">
        <v>48002</v>
      </c>
      <c r="C25705" s="2" t="s">
        <v>316</v>
      </c>
      <c r="D25705" s="2" t="s">
        <v>317</v>
      </c>
      <c r="E25705" s="2" t="str">
        <f>"9783038358640"</f>
        <v>9783038358640</v>
      </c>
      <c r="F25705" s="2" t="str">
        <f>"9783038268840"</f>
        <v>9783038268840</v>
      </c>
    </row>
    <row r="25706" spans="1:6" s="3" customFormat="1" ht="29.1" customHeight="1" x14ac:dyDescent="0.25">
      <c r="A25706" s="2" t="s">
        <v>50094</v>
      </c>
      <c r="B25706" s="2" t="s">
        <v>50095</v>
      </c>
      <c r="C25706" s="2" t="s">
        <v>316</v>
      </c>
      <c r="D25706" s="2" t="s">
        <v>317</v>
      </c>
      <c r="E25706" s="2" t="str">
        <f>"9783038358220"</f>
        <v>9783038358220</v>
      </c>
      <c r="F25706" s="2" t="str">
        <f>"9783038268420"</f>
        <v>9783038268420</v>
      </c>
    </row>
    <row r="25707" spans="1:6" s="3" customFormat="1" ht="29.1" customHeight="1" x14ac:dyDescent="0.25">
      <c r="A25707" s="2" t="s">
        <v>50096</v>
      </c>
      <c r="B25707" s="2" t="s">
        <v>50097</v>
      </c>
      <c r="C25707" s="2" t="s">
        <v>316</v>
      </c>
      <c r="D25707" s="2" t="s">
        <v>317</v>
      </c>
      <c r="E25707" s="2" t="str">
        <f>"9783038358213"</f>
        <v>9783038358213</v>
      </c>
      <c r="F25707" s="2" t="str">
        <f>"9783038268413"</f>
        <v>9783038268413</v>
      </c>
    </row>
    <row r="25708" spans="1:6" s="3" customFormat="1" ht="29.1" customHeight="1" x14ac:dyDescent="0.25">
      <c r="A25708" s="2" t="s">
        <v>50098</v>
      </c>
      <c r="B25708" s="2" t="s">
        <v>50099</v>
      </c>
      <c r="C25708" s="2" t="s">
        <v>316</v>
      </c>
      <c r="D25708" s="2" t="s">
        <v>1959</v>
      </c>
      <c r="E25708" s="2" t="str">
        <f>"9783037857854"</f>
        <v>9783037857854</v>
      </c>
      <c r="F25708" s="2" t="str">
        <f>"9783038261667"</f>
        <v>9783038261667</v>
      </c>
    </row>
    <row r="25709" spans="1:6" s="3" customFormat="1" ht="29.1" customHeight="1" x14ac:dyDescent="0.25">
      <c r="A25709" s="2" t="s">
        <v>50100</v>
      </c>
      <c r="B25709" s="2" t="s">
        <v>50101</v>
      </c>
      <c r="C25709" s="2" t="s">
        <v>8104</v>
      </c>
      <c r="D25709" s="2" t="s">
        <v>4429</v>
      </c>
      <c r="E25709" s="2" t="str">
        <f>"9780857459916"</f>
        <v>9780857459916</v>
      </c>
      <c r="F25709" s="2" t="str">
        <f>"9780857459923"</f>
        <v>9780857459923</v>
      </c>
    </row>
    <row r="25710" spans="1:6" s="3" customFormat="1" ht="29.1" customHeight="1" x14ac:dyDescent="0.25">
      <c r="A25710" s="2" t="s">
        <v>50102</v>
      </c>
      <c r="B25710" s="2" t="s">
        <v>50103</v>
      </c>
      <c r="C25710" s="2" t="s">
        <v>8040</v>
      </c>
      <c r="D25710" s="2" t="s">
        <v>1256</v>
      </c>
      <c r="E25710" s="2" t="str">
        <f>"9781783090549"</f>
        <v>9781783090549</v>
      </c>
      <c r="F25710" s="2" t="str">
        <f>"9781783090563"</f>
        <v>9781783090563</v>
      </c>
    </row>
    <row r="25711" spans="1:6" s="3" customFormat="1" ht="29.1" customHeight="1" x14ac:dyDescent="0.25">
      <c r="A25711" s="2" t="s">
        <v>50104</v>
      </c>
      <c r="B25711" s="2" t="s">
        <v>48924</v>
      </c>
      <c r="C25711" s="2" t="s">
        <v>62</v>
      </c>
      <c r="D25711" s="2" t="s">
        <v>1463</v>
      </c>
      <c r="E25711" s="2" t="str">
        <f>"9783428140916"</f>
        <v>9783428140916</v>
      </c>
      <c r="F25711" s="2" t="str">
        <f>"9783428540914"</f>
        <v>9783428540914</v>
      </c>
    </row>
    <row r="25712" spans="1:6" s="3" customFormat="1" ht="29.1" customHeight="1" x14ac:dyDescent="0.25">
      <c r="A25712" s="2" t="s">
        <v>50105</v>
      </c>
      <c r="B25712" s="2" t="s">
        <v>48924</v>
      </c>
      <c r="C25712" s="2" t="s">
        <v>62</v>
      </c>
      <c r="D25712" s="2" t="s">
        <v>1463</v>
      </c>
      <c r="E25712" s="2" t="str">
        <f>"9783428140008"</f>
        <v>9783428140008</v>
      </c>
      <c r="F25712" s="2" t="str">
        <f>"9783428540006"</f>
        <v>9783428540006</v>
      </c>
    </row>
    <row r="25713" spans="1:6" s="3" customFormat="1" ht="29.1" customHeight="1" x14ac:dyDescent="0.25">
      <c r="A25713" s="2" t="s">
        <v>30125</v>
      </c>
      <c r="B25713" s="2" t="s">
        <v>30126</v>
      </c>
      <c r="C25713" s="2" t="s">
        <v>62</v>
      </c>
      <c r="D25713" s="2" t="s">
        <v>78</v>
      </c>
      <c r="E25713" s="2" t="str">
        <f>"9783428014491"</f>
        <v>9783428014491</v>
      </c>
      <c r="F25713" s="2" t="str">
        <f>"9783428414499"</f>
        <v>9783428414499</v>
      </c>
    </row>
    <row r="25714" spans="1:6" s="3" customFormat="1" ht="29.1" customHeight="1" x14ac:dyDescent="0.25">
      <c r="A25714" s="2" t="s">
        <v>50106</v>
      </c>
      <c r="B25714" s="2" t="s">
        <v>50107</v>
      </c>
      <c r="C25714" s="2" t="s">
        <v>927</v>
      </c>
      <c r="D25714" s="2" t="s">
        <v>33</v>
      </c>
      <c r="E25714" s="2" t="str">
        <f>"9780472035687"</f>
        <v>9780472035687</v>
      </c>
      <c r="F25714" s="2" t="str">
        <f>"9780472120055"</f>
        <v>9780472120055</v>
      </c>
    </row>
    <row r="25715" spans="1:6" s="3" customFormat="1" ht="29.1" customHeight="1" x14ac:dyDescent="0.25">
      <c r="A25715" s="2" t="s">
        <v>50108</v>
      </c>
      <c r="B25715" s="2" t="s">
        <v>50109</v>
      </c>
      <c r="C25715" s="2" t="s">
        <v>195</v>
      </c>
      <c r="D25715" s="2" t="s">
        <v>1127</v>
      </c>
      <c r="E25715" s="2" t="str">
        <f>"9783764372880"</f>
        <v>9783764372880</v>
      </c>
      <c r="F25715" s="2" t="str">
        <f>"9783764378028"</f>
        <v>9783764378028</v>
      </c>
    </row>
    <row r="25716" spans="1:6" s="3" customFormat="1" ht="29.1" customHeight="1" x14ac:dyDescent="0.25">
      <c r="A25716" s="2" t="s">
        <v>50110</v>
      </c>
      <c r="B25716" s="2" t="s">
        <v>50111</v>
      </c>
      <c r="C25716" s="2" t="s">
        <v>195</v>
      </c>
      <c r="D25716" s="2" t="s">
        <v>3963</v>
      </c>
      <c r="E25716" s="2" t="str">
        <f>"9783110301816"</f>
        <v>9783110301816</v>
      </c>
      <c r="F25716" s="2" t="str">
        <f>"9783110301939"</f>
        <v>9783110301939</v>
      </c>
    </row>
    <row r="25717" spans="1:6" s="3" customFormat="1" ht="29.1" customHeight="1" x14ac:dyDescent="0.25">
      <c r="A25717" s="2" t="s">
        <v>50112</v>
      </c>
      <c r="B25717" s="2" t="s">
        <v>47548</v>
      </c>
      <c r="C25717" s="2" t="s">
        <v>195</v>
      </c>
      <c r="D25717" s="2" t="s">
        <v>14574</v>
      </c>
      <c r="E25717" s="2" t="str">
        <f>"9783110315912"</f>
        <v>9783110315912</v>
      </c>
      <c r="F25717" s="2" t="str">
        <f>"9783110315981"</f>
        <v>9783110315981</v>
      </c>
    </row>
    <row r="25718" spans="1:6" s="3" customFormat="1" ht="29.1" customHeight="1" x14ac:dyDescent="0.25">
      <c r="A25718" s="2" t="s">
        <v>50113</v>
      </c>
      <c r="B25718" s="2" t="s">
        <v>50114</v>
      </c>
      <c r="C25718" s="2" t="s">
        <v>195</v>
      </c>
      <c r="D25718" s="2" t="s">
        <v>462</v>
      </c>
      <c r="E25718" s="2" t="str">
        <f>"9783110265026"</f>
        <v>9783110265026</v>
      </c>
      <c r="F25718" s="2" t="str">
        <f>"9783110310351"</f>
        <v>9783110310351</v>
      </c>
    </row>
    <row r="25719" spans="1:6" s="3" customFormat="1" ht="29.1" customHeight="1" x14ac:dyDescent="0.25">
      <c r="A25719" s="2" t="s">
        <v>50115</v>
      </c>
      <c r="B25719" s="2" t="s">
        <v>46728</v>
      </c>
      <c r="C25719" s="2" t="s">
        <v>195</v>
      </c>
      <c r="D25719" s="2" t="s">
        <v>446</v>
      </c>
      <c r="E25719" s="2" t="str">
        <f>"9783110297003"</f>
        <v>9783110297003</v>
      </c>
      <c r="F25719" s="2" t="str">
        <f>"9783110297188"</f>
        <v>9783110297188</v>
      </c>
    </row>
    <row r="25720" spans="1:6" s="3" customFormat="1" ht="29.1" customHeight="1" x14ac:dyDescent="0.25">
      <c r="A25720" s="2" t="s">
        <v>50116</v>
      </c>
      <c r="B25720" s="2" t="s">
        <v>50117</v>
      </c>
      <c r="C25720" s="2" t="s">
        <v>195</v>
      </c>
      <c r="D25720" s="2" t="s">
        <v>459</v>
      </c>
      <c r="E25720" s="2" t="str">
        <f>"9781614511991"</f>
        <v>9781614511991</v>
      </c>
      <c r="F25720" s="2" t="str">
        <f>"9781614511472"</f>
        <v>9781614511472</v>
      </c>
    </row>
    <row r="25721" spans="1:6" s="3" customFormat="1" ht="29.1" customHeight="1" x14ac:dyDescent="0.25">
      <c r="A25721" s="2" t="s">
        <v>50118</v>
      </c>
      <c r="B25721" s="2" t="s">
        <v>50119</v>
      </c>
      <c r="C25721" s="2" t="s">
        <v>195</v>
      </c>
      <c r="D25721" s="2" t="s">
        <v>10336</v>
      </c>
      <c r="E25721" s="2" t="str">
        <f>"9783110282221"</f>
        <v>9783110282221</v>
      </c>
      <c r="F25721" s="2" t="str">
        <f>"9783110282269"</f>
        <v>9783110282269</v>
      </c>
    </row>
    <row r="25722" spans="1:6" s="3" customFormat="1" ht="29.1" customHeight="1" x14ac:dyDescent="0.25">
      <c r="A25722" s="2" t="s">
        <v>50120</v>
      </c>
      <c r="B25722" s="2" t="s">
        <v>50121</v>
      </c>
      <c r="C25722" s="2" t="s">
        <v>1070</v>
      </c>
      <c r="D25722" s="2" t="s">
        <v>1272</v>
      </c>
      <c r="E25722" s="2" t="str">
        <f>"9783318023084"</f>
        <v>9783318023084</v>
      </c>
      <c r="F25722" s="2" t="str">
        <f>"9783318023091"</f>
        <v>9783318023091</v>
      </c>
    </row>
    <row r="25723" spans="1:6" s="3" customFormat="1" ht="29.1" customHeight="1" x14ac:dyDescent="0.25">
      <c r="A25723" s="2" t="s">
        <v>50122</v>
      </c>
      <c r="B25723" s="2" t="s">
        <v>50123</v>
      </c>
      <c r="C25723" s="2" t="s">
        <v>11220</v>
      </c>
      <c r="D25723" s="2" t="s">
        <v>818</v>
      </c>
      <c r="E25723" s="2" t="str">
        <f>"9780814759370"</f>
        <v>9780814759370</v>
      </c>
      <c r="F25723" s="2" t="str">
        <f>"9780814724675"</f>
        <v>9780814724675</v>
      </c>
    </row>
    <row r="25724" spans="1:6" s="3" customFormat="1" ht="29.1" customHeight="1" x14ac:dyDescent="0.25">
      <c r="A25724" s="2" t="s">
        <v>50124</v>
      </c>
      <c r="B25724" s="2" t="s">
        <v>50125</v>
      </c>
      <c r="C25724" s="2" t="s">
        <v>29</v>
      </c>
      <c r="D25724" s="2" t="s">
        <v>606</v>
      </c>
      <c r="E25724" s="2" t="str">
        <f>"9789004260610"</f>
        <v>9789004260610</v>
      </c>
      <c r="F25724" s="2" t="str">
        <f>"9789004260627"</f>
        <v>9789004260627</v>
      </c>
    </row>
    <row r="25725" spans="1:6" s="3" customFormat="1" ht="29.1" customHeight="1" x14ac:dyDescent="0.25">
      <c r="A25725" s="2" t="s">
        <v>50126</v>
      </c>
      <c r="B25725" s="2" t="s">
        <v>50127</v>
      </c>
      <c r="C25725" s="2" t="s">
        <v>29</v>
      </c>
      <c r="D25725" s="2" t="s">
        <v>183</v>
      </c>
      <c r="E25725" s="2" t="str">
        <f>"9789004249189"</f>
        <v>9789004249189</v>
      </c>
      <c r="F25725" s="2" t="str">
        <f>"9789004254855"</f>
        <v>9789004254855</v>
      </c>
    </row>
    <row r="25726" spans="1:6" s="3" customFormat="1" ht="29.1" customHeight="1" x14ac:dyDescent="0.25">
      <c r="A25726" s="2" t="s">
        <v>50128</v>
      </c>
      <c r="B25726" s="2" t="s">
        <v>50129</v>
      </c>
      <c r="C25726" s="2" t="s">
        <v>26676</v>
      </c>
      <c r="D25726" s="2" t="s">
        <v>4238</v>
      </c>
      <c r="E25726" s="2" t="str">
        <f>"9781618112149"</f>
        <v>9781618112149</v>
      </c>
      <c r="F25726" s="2" t="str">
        <f>"9781618112156"</f>
        <v>9781618112156</v>
      </c>
    </row>
    <row r="25727" spans="1:6" s="3" customFormat="1" ht="29.1" customHeight="1" x14ac:dyDescent="0.25">
      <c r="A25727" s="2" t="s">
        <v>50130</v>
      </c>
      <c r="B25727" s="2" t="s">
        <v>50131</v>
      </c>
      <c r="C25727" s="2" t="s">
        <v>26676</v>
      </c>
      <c r="D25727" s="2" t="s">
        <v>3245</v>
      </c>
      <c r="E25727" s="2" t="str">
        <f>"9781618112460"</f>
        <v>9781618112460</v>
      </c>
      <c r="F25727" s="2" t="str">
        <f>"9781618112477"</f>
        <v>9781618112477</v>
      </c>
    </row>
    <row r="25728" spans="1:6" s="3" customFormat="1" ht="29.1" customHeight="1" x14ac:dyDescent="0.25">
      <c r="A25728" s="2" t="s">
        <v>50132</v>
      </c>
      <c r="B25728" s="2" t="s">
        <v>50133</v>
      </c>
      <c r="C25728" s="2" t="s">
        <v>26676</v>
      </c>
      <c r="D25728" s="2" t="s">
        <v>42446</v>
      </c>
      <c r="E25728" s="2" t="str">
        <f>"9781618111746"</f>
        <v>9781618111746</v>
      </c>
      <c r="F25728" s="2" t="str">
        <f>"9781618111968"</f>
        <v>9781618111968</v>
      </c>
    </row>
    <row r="25729" spans="1:6" s="3" customFormat="1" ht="29.1" customHeight="1" x14ac:dyDescent="0.25">
      <c r="A25729" s="2" t="s">
        <v>50134</v>
      </c>
      <c r="B25729" s="2" t="s">
        <v>50135</v>
      </c>
      <c r="C25729" s="2" t="s">
        <v>26676</v>
      </c>
      <c r="D25729" s="2" t="s">
        <v>4155</v>
      </c>
      <c r="E25729" s="2" t="str">
        <f>"9781936235636"</f>
        <v>9781936235636</v>
      </c>
      <c r="F25729" s="2" t="str">
        <f>"9781618110817"</f>
        <v>9781618110817</v>
      </c>
    </row>
    <row r="25730" spans="1:6" s="3" customFormat="1" ht="29.1" customHeight="1" x14ac:dyDescent="0.25">
      <c r="A25730" s="2" t="s">
        <v>50136</v>
      </c>
      <c r="B25730" s="2" t="s">
        <v>50137</v>
      </c>
      <c r="C25730" s="2" t="s">
        <v>26676</v>
      </c>
      <c r="D25730" s="2" t="s">
        <v>31629</v>
      </c>
      <c r="E25730" s="2" t="str">
        <f>"9781936235568"</f>
        <v>9781936235568</v>
      </c>
      <c r="F25730" s="2" t="str">
        <f>"9781618111234"</f>
        <v>9781618111234</v>
      </c>
    </row>
    <row r="25731" spans="1:6" s="3" customFormat="1" ht="29.1" customHeight="1" x14ac:dyDescent="0.25">
      <c r="A25731" s="2" t="s">
        <v>50138</v>
      </c>
      <c r="B25731" s="2" t="s">
        <v>50139</v>
      </c>
      <c r="C25731" s="2" t="s">
        <v>26676</v>
      </c>
      <c r="D25731" s="2" t="s">
        <v>7102</v>
      </c>
      <c r="E25731" s="2" t="str">
        <f>"9781618112675"</f>
        <v>9781618112675</v>
      </c>
      <c r="F25731" s="2" t="str">
        <f>"9781618112682"</f>
        <v>9781618112682</v>
      </c>
    </row>
    <row r="25732" spans="1:6" s="3" customFormat="1" ht="29.1" customHeight="1" x14ac:dyDescent="0.25">
      <c r="A25732" s="2" t="s">
        <v>50140</v>
      </c>
      <c r="B25732" s="2" t="s">
        <v>50141</v>
      </c>
      <c r="C25732" s="2" t="s">
        <v>26676</v>
      </c>
      <c r="D25732" s="2" t="s">
        <v>4238</v>
      </c>
      <c r="E25732" s="2" t="str">
        <f>"9781618111739"</f>
        <v>9781618111739</v>
      </c>
      <c r="F25732" s="2" t="str">
        <f>"9781618111951"</f>
        <v>9781618111951</v>
      </c>
    </row>
    <row r="25733" spans="1:6" s="3" customFormat="1" ht="29.1" customHeight="1" x14ac:dyDescent="0.25">
      <c r="A25733" s="2" t="s">
        <v>50142</v>
      </c>
      <c r="B25733" s="2" t="s">
        <v>50143</v>
      </c>
      <c r="C25733" s="2" t="s">
        <v>26676</v>
      </c>
      <c r="D25733" s="2" t="s">
        <v>2602</v>
      </c>
      <c r="E25733" s="2" t="str">
        <f>"9781618111616"</f>
        <v>9781618111616</v>
      </c>
      <c r="F25733" s="2" t="str">
        <f>"9781618111838"</f>
        <v>9781618111838</v>
      </c>
    </row>
    <row r="25734" spans="1:6" s="3" customFormat="1" ht="29.1" customHeight="1" x14ac:dyDescent="0.25">
      <c r="A25734" s="2" t="s">
        <v>50144</v>
      </c>
      <c r="B25734" s="2" t="s">
        <v>50145</v>
      </c>
      <c r="C25734" s="2" t="s">
        <v>26676</v>
      </c>
      <c r="D25734" s="2" t="s">
        <v>2602</v>
      </c>
      <c r="E25734" s="2" t="str">
        <f>"9781618111586"</f>
        <v>9781618111586</v>
      </c>
      <c r="F25734" s="2" t="str">
        <f>"9781618111807"</f>
        <v>9781618111807</v>
      </c>
    </row>
    <row r="25735" spans="1:6" s="3" customFormat="1" ht="29.1" customHeight="1" x14ac:dyDescent="0.25">
      <c r="A25735" s="2" t="s">
        <v>50146</v>
      </c>
      <c r="B25735" s="2" t="s">
        <v>42471</v>
      </c>
      <c r="C25735" s="2" t="s">
        <v>124</v>
      </c>
      <c r="D25735" s="2" t="s">
        <v>528</v>
      </c>
      <c r="E25735" s="2" t="str">
        <f>"9780415813594"</f>
        <v>9780415813594</v>
      </c>
      <c r="F25735" s="2" t="str">
        <f>"9781135081706"</f>
        <v>9781135081706</v>
      </c>
    </row>
    <row r="25736" spans="1:6" s="3" customFormat="1" ht="29.1" customHeight="1" x14ac:dyDescent="0.25">
      <c r="A25736" s="2" t="s">
        <v>50147</v>
      </c>
      <c r="B25736" s="2" t="s">
        <v>50148</v>
      </c>
      <c r="C25736" s="2" t="s">
        <v>5</v>
      </c>
      <c r="D25736" s="2" t="s">
        <v>75</v>
      </c>
      <c r="E25736" s="2" t="str">
        <f>"9783642280115"</f>
        <v>9783642280115</v>
      </c>
      <c r="F25736" s="2" t="str">
        <f>"9783642280122"</f>
        <v>9783642280122</v>
      </c>
    </row>
    <row r="25737" spans="1:6" s="3" customFormat="1" ht="29.1" customHeight="1" x14ac:dyDescent="0.25">
      <c r="A25737" s="2" t="s">
        <v>50149</v>
      </c>
      <c r="B25737" s="2" t="s">
        <v>50150</v>
      </c>
      <c r="C25737" s="2" t="s">
        <v>8104</v>
      </c>
      <c r="D25737" s="2" t="s">
        <v>183</v>
      </c>
      <c r="E25737" s="2" t="str">
        <f>"9781782383468"</f>
        <v>9781782383468</v>
      </c>
      <c r="F25737" s="2" t="str">
        <f>"9781782383475"</f>
        <v>9781782383475</v>
      </c>
    </row>
    <row r="25738" spans="1:6" s="3" customFormat="1" ht="29.1" customHeight="1" x14ac:dyDescent="0.25">
      <c r="A25738" s="2" t="s">
        <v>50151</v>
      </c>
      <c r="B25738" s="2" t="s">
        <v>50152</v>
      </c>
      <c r="C25738" s="2" t="s">
        <v>8104</v>
      </c>
      <c r="D25738" s="2" t="s">
        <v>196</v>
      </c>
      <c r="E25738" s="2" t="str">
        <f>"9781782382508"</f>
        <v>9781782382508</v>
      </c>
      <c r="F25738" s="2" t="str">
        <f>"9781782382515"</f>
        <v>9781782382515</v>
      </c>
    </row>
    <row r="25739" spans="1:6" s="3" customFormat="1" ht="29.1" customHeight="1" x14ac:dyDescent="0.25">
      <c r="A25739" s="2" t="s">
        <v>50153</v>
      </c>
      <c r="B25739" s="2" t="s">
        <v>50154</v>
      </c>
      <c r="C25739" s="2" t="s">
        <v>8104</v>
      </c>
      <c r="D25739" s="2" t="s">
        <v>1183</v>
      </c>
      <c r="E25739" s="2" t="str">
        <f>"9781782382461"</f>
        <v>9781782382461</v>
      </c>
      <c r="F25739" s="2" t="str">
        <f>"9781782382478"</f>
        <v>9781782382478</v>
      </c>
    </row>
    <row r="25740" spans="1:6" s="3" customFormat="1" ht="29.1" customHeight="1" x14ac:dyDescent="0.25">
      <c r="A25740" s="2" t="s">
        <v>50155</v>
      </c>
      <c r="B25740" s="2" t="s">
        <v>50156</v>
      </c>
      <c r="C25740" s="2" t="s">
        <v>8104</v>
      </c>
      <c r="D25740" s="2" t="s">
        <v>1466</v>
      </c>
      <c r="E25740" s="2" t="str">
        <f>"9781782380252"</f>
        <v>9781782380252</v>
      </c>
      <c r="F25740" s="2" t="str">
        <f>"9781782380269"</f>
        <v>9781782380269</v>
      </c>
    </row>
    <row r="25741" spans="1:6" s="3" customFormat="1" ht="29.1" customHeight="1" x14ac:dyDescent="0.25">
      <c r="A25741" s="2" t="s">
        <v>50157</v>
      </c>
      <c r="B25741" s="2" t="s">
        <v>50158</v>
      </c>
      <c r="C25741" s="2" t="s">
        <v>131</v>
      </c>
      <c r="D25741" s="2" t="s">
        <v>459</v>
      </c>
      <c r="E25741" s="2" t="str">
        <f>"9789027205278"</f>
        <v>9789027205278</v>
      </c>
      <c r="F25741" s="2" t="str">
        <f>"9789027271389"</f>
        <v>9789027271389</v>
      </c>
    </row>
    <row r="25742" spans="1:6" s="3" customFormat="1" ht="29.1" customHeight="1" x14ac:dyDescent="0.25">
      <c r="A25742" s="2" t="s">
        <v>50159</v>
      </c>
      <c r="B25742" s="2" t="s">
        <v>50160</v>
      </c>
      <c r="C25742" s="2" t="s">
        <v>29</v>
      </c>
      <c r="D25742" s="2" t="s">
        <v>192</v>
      </c>
      <c r="E25742" s="2" t="str">
        <f>"9789004257306"</f>
        <v>9789004257306</v>
      </c>
      <c r="F25742" s="2" t="str">
        <f>"9789004257313"</f>
        <v>9789004257313</v>
      </c>
    </row>
    <row r="25743" spans="1:6" s="3" customFormat="1" ht="29.1" customHeight="1" x14ac:dyDescent="0.25">
      <c r="A25743" s="2" t="s">
        <v>50161</v>
      </c>
      <c r="B25743" s="2" t="s">
        <v>50162</v>
      </c>
      <c r="C25743" s="2" t="s">
        <v>11220</v>
      </c>
      <c r="D25743" s="2" t="s">
        <v>1189</v>
      </c>
      <c r="E25743" s="2" t="str">
        <f>"9780814763063"</f>
        <v>9780814763063</v>
      </c>
      <c r="F25743" s="2" t="str">
        <f>"9780814763070"</f>
        <v>9780814763070</v>
      </c>
    </row>
    <row r="25744" spans="1:6" s="3" customFormat="1" ht="29.1" customHeight="1" x14ac:dyDescent="0.25">
      <c r="A25744" s="2" t="s">
        <v>50163</v>
      </c>
      <c r="B25744" s="2" t="s">
        <v>50164</v>
      </c>
      <c r="C25744" s="2" t="s">
        <v>1070</v>
      </c>
      <c r="D25744" s="2" t="s">
        <v>1387</v>
      </c>
      <c r="E25744" s="2" t="str">
        <f>"9781908541376"</f>
        <v>9781908541376</v>
      </c>
      <c r="F25744" s="2" t="str">
        <f>"9781908541499"</f>
        <v>9781908541499</v>
      </c>
    </row>
    <row r="25745" spans="1:6" s="3" customFormat="1" ht="29.1" customHeight="1" x14ac:dyDescent="0.25">
      <c r="A25745" s="2" t="s">
        <v>50165</v>
      </c>
      <c r="B25745" s="2" t="s">
        <v>50166</v>
      </c>
      <c r="C25745" s="2" t="s">
        <v>264</v>
      </c>
      <c r="D25745" s="2" t="s">
        <v>342</v>
      </c>
      <c r="E25745" s="2" t="str">
        <f>"9781439853474"</f>
        <v>9781439853474</v>
      </c>
      <c r="F25745" s="2" t="str">
        <f>"9781439853481"</f>
        <v>9781439853481</v>
      </c>
    </row>
    <row r="25746" spans="1:6" s="3" customFormat="1" ht="29.1" customHeight="1" x14ac:dyDescent="0.25">
      <c r="A25746" s="2" t="s">
        <v>50167</v>
      </c>
      <c r="B25746" s="2" t="s">
        <v>50168</v>
      </c>
      <c r="C25746" s="2" t="s">
        <v>124</v>
      </c>
      <c r="D25746" s="2" t="s">
        <v>501</v>
      </c>
      <c r="E25746" s="2" t="str">
        <f>"9780415533461"</f>
        <v>9780415533461</v>
      </c>
      <c r="F25746" s="2" t="str">
        <f>"9781136237003"</f>
        <v>9781136237003</v>
      </c>
    </row>
    <row r="25747" spans="1:6" s="3" customFormat="1" ht="29.1" customHeight="1" x14ac:dyDescent="0.25">
      <c r="A25747" s="2" t="s">
        <v>50169</v>
      </c>
      <c r="B25747" s="2" t="s">
        <v>50170</v>
      </c>
      <c r="C25747" s="2" t="s">
        <v>124</v>
      </c>
      <c r="D25747" s="2" t="s">
        <v>33</v>
      </c>
      <c r="E25747" s="2" t="str">
        <f>"9780415635516"</f>
        <v>9780415635516</v>
      </c>
      <c r="F25747" s="2" t="str">
        <f>"9781136202346"</f>
        <v>9781136202346</v>
      </c>
    </row>
    <row r="25748" spans="1:6" s="3" customFormat="1" ht="29.1" customHeight="1" x14ac:dyDescent="0.25">
      <c r="A25748" s="2" t="s">
        <v>50171</v>
      </c>
      <c r="B25748" s="2" t="s">
        <v>50172</v>
      </c>
      <c r="C25748" s="2" t="s">
        <v>195</v>
      </c>
      <c r="D25748" s="2" t="s">
        <v>11489</v>
      </c>
      <c r="E25748" s="2" t="str">
        <f>"9783110117820"</f>
        <v>9783110117820</v>
      </c>
      <c r="F25748" s="2" t="str">
        <f>"9783110894561"</f>
        <v>9783110894561</v>
      </c>
    </row>
    <row r="25749" spans="1:6" s="3" customFormat="1" ht="29.1" customHeight="1" x14ac:dyDescent="0.25">
      <c r="A25749" s="2" t="s">
        <v>50173</v>
      </c>
      <c r="B25749" s="2" t="s">
        <v>50174</v>
      </c>
      <c r="C25749" s="2" t="s">
        <v>195</v>
      </c>
      <c r="D25749" s="2" t="s">
        <v>11489</v>
      </c>
      <c r="E25749" s="2" t="str">
        <f>"9783110113679"</f>
        <v>9783110113679</v>
      </c>
      <c r="F25749" s="2" t="str">
        <f>"9783110892024"</f>
        <v>9783110892024</v>
      </c>
    </row>
    <row r="25750" spans="1:6" s="3" customFormat="1" ht="29.1" customHeight="1" x14ac:dyDescent="0.25">
      <c r="A25750" s="2" t="s">
        <v>50175</v>
      </c>
      <c r="B25750" s="2" t="s">
        <v>50176</v>
      </c>
      <c r="C25750" s="2" t="s">
        <v>195</v>
      </c>
      <c r="D25750" s="2" t="s">
        <v>11489</v>
      </c>
      <c r="E25750" s="2" t="str">
        <f>"9783110108033"</f>
        <v>9783110108033</v>
      </c>
      <c r="F25750" s="2" t="str">
        <f>"9783110905885"</f>
        <v>9783110905885</v>
      </c>
    </row>
    <row r="25751" spans="1:6" s="3" customFormat="1" ht="29.1" customHeight="1" x14ac:dyDescent="0.25">
      <c r="A25751" s="2" t="s">
        <v>50177</v>
      </c>
      <c r="B25751" s="2" t="s">
        <v>50178</v>
      </c>
      <c r="C25751" s="2" t="s">
        <v>195</v>
      </c>
      <c r="D25751" s="2" t="s">
        <v>11489</v>
      </c>
      <c r="E25751" s="2" t="str">
        <f>"9783110129441"</f>
        <v>9783110129441</v>
      </c>
      <c r="F25751" s="2" t="str">
        <f>"9783110898156"</f>
        <v>9783110898156</v>
      </c>
    </row>
    <row r="25752" spans="1:6" s="3" customFormat="1" ht="29.1" customHeight="1" x14ac:dyDescent="0.25">
      <c r="A25752" s="2" t="s">
        <v>50179</v>
      </c>
      <c r="B25752" s="2" t="s">
        <v>50180</v>
      </c>
      <c r="C25752" s="2" t="s">
        <v>195</v>
      </c>
      <c r="D25752" s="2" t="s">
        <v>11489</v>
      </c>
      <c r="E25752" s="2" t="str">
        <f>"9783110100266"</f>
        <v>9783110100266</v>
      </c>
      <c r="F25752" s="2" t="str">
        <f>"9783110871104"</f>
        <v>9783110871104</v>
      </c>
    </row>
    <row r="25753" spans="1:6" s="3" customFormat="1" ht="29.1" customHeight="1" x14ac:dyDescent="0.25">
      <c r="A25753" s="2" t="s">
        <v>50181</v>
      </c>
      <c r="B25753" s="2" t="s">
        <v>50182</v>
      </c>
      <c r="C25753" s="2" t="s">
        <v>195</v>
      </c>
      <c r="D25753" s="2" t="s">
        <v>11489</v>
      </c>
      <c r="E25753" s="2" t="str">
        <f>"9783110125665"</f>
        <v>9783110125665</v>
      </c>
      <c r="F25753" s="2" t="str">
        <f>"9783110894936"</f>
        <v>9783110894936</v>
      </c>
    </row>
    <row r="25754" spans="1:6" s="3" customFormat="1" ht="29.1" customHeight="1" x14ac:dyDescent="0.25">
      <c r="A25754" s="2" t="s">
        <v>50183</v>
      </c>
      <c r="B25754" s="2" t="s">
        <v>50184</v>
      </c>
      <c r="C25754" s="2" t="s">
        <v>195</v>
      </c>
      <c r="D25754" s="2" t="s">
        <v>11489</v>
      </c>
      <c r="E25754" s="2" t="str">
        <f>"9783110125658"</f>
        <v>9783110125658</v>
      </c>
      <c r="F25754" s="2" t="str">
        <f>"9783110894929"</f>
        <v>9783110894929</v>
      </c>
    </row>
    <row r="25755" spans="1:6" s="3" customFormat="1" ht="29.1" customHeight="1" x14ac:dyDescent="0.25">
      <c r="A25755" s="2" t="s">
        <v>50185</v>
      </c>
      <c r="B25755" s="2" t="s">
        <v>50186</v>
      </c>
      <c r="C25755" s="2" t="s">
        <v>195</v>
      </c>
      <c r="D25755" s="2" t="s">
        <v>11489</v>
      </c>
      <c r="E25755" s="2" t="str">
        <f>"9783110098167"</f>
        <v>9783110098167</v>
      </c>
      <c r="F25755" s="2" t="str">
        <f>"9783110893243"</f>
        <v>9783110893243</v>
      </c>
    </row>
    <row r="25756" spans="1:6" s="3" customFormat="1" ht="29.1" customHeight="1" x14ac:dyDescent="0.25">
      <c r="A25756" s="2" t="s">
        <v>50187</v>
      </c>
      <c r="B25756" s="2" t="s">
        <v>50188</v>
      </c>
      <c r="C25756" s="2" t="s">
        <v>195</v>
      </c>
      <c r="D25756" s="2" t="s">
        <v>11489</v>
      </c>
      <c r="E25756" s="2" t="str">
        <f>"9783110097733"</f>
        <v>9783110097733</v>
      </c>
      <c r="F25756" s="2" t="str">
        <f>"9783110873818"</f>
        <v>9783110873818</v>
      </c>
    </row>
    <row r="25757" spans="1:6" s="3" customFormat="1" ht="29.1" customHeight="1" x14ac:dyDescent="0.25">
      <c r="A25757" s="2" t="s">
        <v>50189</v>
      </c>
      <c r="B25757" s="2" t="s">
        <v>50190</v>
      </c>
      <c r="C25757" s="2" t="s">
        <v>195</v>
      </c>
      <c r="D25757" s="2" t="s">
        <v>11489</v>
      </c>
      <c r="E25757" s="2" t="str">
        <f>"9783110095555"</f>
        <v>9783110095555</v>
      </c>
      <c r="F25757" s="2" t="str">
        <f>"9783110875171"</f>
        <v>9783110875171</v>
      </c>
    </row>
    <row r="25758" spans="1:6" s="3" customFormat="1" ht="29.1" customHeight="1" x14ac:dyDescent="0.25">
      <c r="A25758" s="2" t="s">
        <v>50191</v>
      </c>
      <c r="B25758" s="2" t="s">
        <v>50192</v>
      </c>
      <c r="C25758" s="2" t="s">
        <v>195</v>
      </c>
      <c r="D25758" s="2" t="s">
        <v>11489</v>
      </c>
      <c r="E25758" s="2" t="str">
        <f>"9783110121797"</f>
        <v>9783110121797</v>
      </c>
      <c r="F25758" s="2" t="str">
        <f>"9783110890877"</f>
        <v>9783110890877</v>
      </c>
    </row>
    <row r="25759" spans="1:6" s="3" customFormat="1" ht="29.1" customHeight="1" x14ac:dyDescent="0.25">
      <c r="A25759" s="2" t="s">
        <v>50193</v>
      </c>
      <c r="B25759" s="2" t="s">
        <v>50194</v>
      </c>
      <c r="C25759" s="2" t="s">
        <v>195</v>
      </c>
      <c r="D25759" s="2" t="s">
        <v>11489</v>
      </c>
      <c r="E25759" s="2" t="str">
        <f>"9783110086140"</f>
        <v>9783110086140</v>
      </c>
      <c r="F25759" s="2" t="str">
        <f>"9783110921502"</f>
        <v>9783110921502</v>
      </c>
    </row>
    <row r="25760" spans="1:6" s="3" customFormat="1" ht="29.1" customHeight="1" x14ac:dyDescent="0.25">
      <c r="A25760" s="2" t="s">
        <v>50195</v>
      </c>
      <c r="B25760" s="2" t="s">
        <v>50196</v>
      </c>
      <c r="C25760" s="2" t="s">
        <v>195</v>
      </c>
      <c r="D25760" s="2" t="s">
        <v>11489</v>
      </c>
      <c r="E25760" s="2" t="str">
        <f>"9783110083644"</f>
        <v>9783110083644</v>
      </c>
      <c r="F25760" s="2" t="str">
        <f>"9783110873344"</f>
        <v>9783110873344</v>
      </c>
    </row>
    <row r="25761" spans="1:6" s="3" customFormat="1" ht="29.1" customHeight="1" x14ac:dyDescent="0.25">
      <c r="A25761" s="2" t="s">
        <v>50197</v>
      </c>
      <c r="B25761" s="2" t="s">
        <v>50198</v>
      </c>
      <c r="C25761" s="2" t="s">
        <v>195</v>
      </c>
      <c r="D25761" s="2" t="s">
        <v>11489</v>
      </c>
      <c r="E25761" s="2" t="str">
        <f>"9783110080254"</f>
        <v>9783110080254</v>
      </c>
      <c r="F25761" s="2" t="str">
        <f>"9783110880489"</f>
        <v>9783110880489</v>
      </c>
    </row>
    <row r="25762" spans="1:6" s="3" customFormat="1" ht="29.1" customHeight="1" x14ac:dyDescent="0.25">
      <c r="A25762" s="2" t="s">
        <v>50199</v>
      </c>
      <c r="B25762" s="2" t="s">
        <v>50200</v>
      </c>
      <c r="C25762" s="2" t="s">
        <v>195</v>
      </c>
      <c r="D25762" s="2" t="s">
        <v>11489</v>
      </c>
      <c r="E25762" s="2" t="str">
        <f>"9783110076974"</f>
        <v>9783110076974</v>
      </c>
      <c r="F25762" s="2" t="str">
        <f>"9783110921588"</f>
        <v>9783110921588</v>
      </c>
    </row>
    <row r="25763" spans="1:6" s="3" customFormat="1" ht="29.1" customHeight="1" x14ac:dyDescent="0.25">
      <c r="A25763" s="2" t="s">
        <v>50201</v>
      </c>
      <c r="B25763" s="2" t="s">
        <v>50202</v>
      </c>
      <c r="C25763" s="2" t="s">
        <v>195</v>
      </c>
      <c r="D25763" s="2" t="s">
        <v>11489</v>
      </c>
      <c r="E25763" s="2" t="str">
        <f>"9783110073225"</f>
        <v>9783110073225</v>
      </c>
      <c r="F25763" s="2" t="str">
        <f>"9783110890099"</f>
        <v>9783110890099</v>
      </c>
    </row>
    <row r="25764" spans="1:6" s="3" customFormat="1" ht="29.1" customHeight="1" x14ac:dyDescent="0.25">
      <c r="A25764" s="2" t="s">
        <v>50203</v>
      </c>
      <c r="B25764" s="2" t="s">
        <v>50204</v>
      </c>
      <c r="C25764" s="2" t="s">
        <v>195</v>
      </c>
      <c r="D25764" s="2" t="s">
        <v>11489</v>
      </c>
      <c r="E25764" s="2" t="str">
        <f>"9783110066951"</f>
        <v>9783110066951</v>
      </c>
      <c r="F25764" s="2" t="str">
        <f>"9783110902976"</f>
        <v>9783110902976</v>
      </c>
    </row>
    <row r="25765" spans="1:6" s="3" customFormat="1" ht="29.1" customHeight="1" x14ac:dyDescent="0.25">
      <c r="A25765" s="2" t="s">
        <v>50205</v>
      </c>
      <c r="B25765" s="2" t="s">
        <v>50206</v>
      </c>
      <c r="C25765" s="2" t="s">
        <v>195</v>
      </c>
      <c r="D25765" s="2" t="s">
        <v>11489</v>
      </c>
      <c r="E25765" s="2" t="str">
        <f>"9783110065794"</f>
        <v>9783110065794</v>
      </c>
      <c r="F25765" s="2" t="str">
        <f>"9783110902631"</f>
        <v>9783110902631</v>
      </c>
    </row>
    <row r="25766" spans="1:6" s="3" customFormat="1" ht="29.1" customHeight="1" x14ac:dyDescent="0.25">
      <c r="A25766" s="2" t="s">
        <v>50207</v>
      </c>
      <c r="B25766" s="2" t="s">
        <v>50208</v>
      </c>
      <c r="C25766" s="2" t="s">
        <v>195</v>
      </c>
      <c r="D25766" s="2" t="s">
        <v>11489</v>
      </c>
      <c r="E25766" s="2" t="str">
        <f>"9783110060294"</f>
        <v>9783110060294</v>
      </c>
      <c r="F25766" s="2" t="str">
        <f>"9783110882957"</f>
        <v>9783110882957</v>
      </c>
    </row>
    <row r="25767" spans="1:6" s="3" customFormat="1" ht="29.1" customHeight="1" x14ac:dyDescent="0.25">
      <c r="A25767" s="2" t="s">
        <v>50209</v>
      </c>
      <c r="B25767" s="2" t="s">
        <v>50210</v>
      </c>
      <c r="C25767" s="2" t="s">
        <v>195</v>
      </c>
      <c r="D25767" s="2" t="s">
        <v>11489</v>
      </c>
      <c r="E25767" s="2" t="str">
        <f>"9783110060287"</f>
        <v>9783110060287</v>
      </c>
      <c r="F25767" s="2" t="str">
        <f>"9783110877342"</f>
        <v>9783110877342</v>
      </c>
    </row>
    <row r="25768" spans="1:6" s="3" customFormat="1" ht="29.1" customHeight="1" x14ac:dyDescent="0.25">
      <c r="A25768" s="2" t="s">
        <v>50211</v>
      </c>
      <c r="B25768" s="2" t="s">
        <v>50212</v>
      </c>
      <c r="C25768" s="2" t="s">
        <v>195</v>
      </c>
      <c r="D25768" s="2" t="s">
        <v>11489</v>
      </c>
      <c r="E25768" s="2" t="str">
        <f>"9783110060270"</f>
        <v>9783110060270</v>
      </c>
      <c r="F25768" s="2" t="str">
        <f>"9783110876376"</f>
        <v>9783110876376</v>
      </c>
    </row>
    <row r="25769" spans="1:6" s="3" customFormat="1" ht="29.1" customHeight="1" x14ac:dyDescent="0.25">
      <c r="A25769" s="2" t="s">
        <v>50213</v>
      </c>
      <c r="B25769" s="2" t="s">
        <v>50214</v>
      </c>
      <c r="C25769" s="2" t="s">
        <v>195</v>
      </c>
      <c r="D25769" s="2" t="s">
        <v>81</v>
      </c>
      <c r="E25769" s="2" t="str">
        <f>"9783110060263"</f>
        <v>9783110060263</v>
      </c>
      <c r="F25769" s="2" t="str">
        <f>"9783110875980"</f>
        <v>9783110875980</v>
      </c>
    </row>
    <row r="25770" spans="1:6" s="3" customFormat="1" ht="29.1" customHeight="1" x14ac:dyDescent="0.25">
      <c r="A25770" s="2" t="s">
        <v>50215</v>
      </c>
      <c r="B25770" s="2" t="s">
        <v>50216</v>
      </c>
      <c r="C25770" s="2" t="s">
        <v>195</v>
      </c>
      <c r="D25770" s="2" t="s">
        <v>11489</v>
      </c>
      <c r="E25770" s="2" t="str">
        <f>"9783110060256"</f>
        <v>9783110060256</v>
      </c>
      <c r="F25770" s="2" t="str">
        <f>"9783110874914"</f>
        <v>9783110874914</v>
      </c>
    </row>
    <row r="25771" spans="1:6" s="3" customFormat="1" ht="29.1" customHeight="1" x14ac:dyDescent="0.25">
      <c r="A25771" s="2" t="s">
        <v>50217</v>
      </c>
      <c r="B25771" s="2" t="s">
        <v>50218</v>
      </c>
      <c r="C25771" s="2" t="s">
        <v>195</v>
      </c>
      <c r="D25771" s="2" t="s">
        <v>11489</v>
      </c>
      <c r="E25771" s="2" t="str">
        <f>"9783110060249"</f>
        <v>9783110060249</v>
      </c>
      <c r="F25771" s="2" t="str">
        <f>"9783110874907"</f>
        <v>9783110874907</v>
      </c>
    </row>
    <row r="25772" spans="1:6" s="3" customFormat="1" ht="29.1" customHeight="1" x14ac:dyDescent="0.25">
      <c r="A25772" s="2" t="s">
        <v>50219</v>
      </c>
      <c r="B25772" s="2" t="s">
        <v>50220</v>
      </c>
      <c r="C25772" s="2" t="s">
        <v>195</v>
      </c>
      <c r="D25772" s="2" t="s">
        <v>11489</v>
      </c>
      <c r="E25772" s="2" t="str">
        <f>"9783110060225"</f>
        <v>9783110060225</v>
      </c>
      <c r="F25772" s="2" t="str">
        <f>"9783110875119"</f>
        <v>9783110875119</v>
      </c>
    </row>
    <row r="25773" spans="1:6" s="3" customFormat="1" ht="29.1" customHeight="1" x14ac:dyDescent="0.25">
      <c r="A25773" s="2" t="s">
        <v>50221</v>
      </c>
      <c r="B25773" s="2" t="s">
        <v>50222</v>
      </c>
      <c r="C25773" s="2" t="s">
        <v>195</v>
      </c>
      <c r="D25773" s="2" t="s">
        <v>11489</v>
      </c>
      <c r="E25773" s="2" t="str">
        <f>"9783110060232"</f>
        <v>9783110060232</v>
      </c>
      <c r="F25773" s="2" t="str">
        <f>"9783110874891"</f>
        <v>9783110874891</v>
      </c>
    </row>
    <row r="25774" spans="1:6" s="3" customFormat="1" ht="29.1" customHeight="1" x14ac:dyDescent="0.25">
      <c r="A25774" s="2" t="s">
        <v>50223</v>
      </c>
      <c r="B25774" s="2" t="s">
        <v>50224</v>
      </c>
      <c r="C25774" s="2" t="s">
        <v>195</v>
      </c>
      <c r="D25774" s="2" t="s">
        <v>11489</v>
      </c>
      <c r="E25774" s="2" t="str">
        <f>"9783110060218"</f>
        <v>9783110060218</v>
      </c>
      <c r="F25774" s="2" t="str">
        <f>"9783110875102"</f>
        <v>9783110875102</v>
      </c>
    </row>
    <row r="25775" spans="1:6" s="3" customFormat="1" ht="29.1" customHeight="1" x14ac:dyDescent="0.25">
      <c r="A25775" s="2" t="s">
        <v>50225</v>
      </c>
      <c r="B25775" s="2" t="s">
        <v>50226</v>
      </c>
      <c r="C25775" s="2" t="s">
        <v>195</v>
      </c>
      <c r="D25775" s="2" t="s">
        <v>11489</v>
      </c>
      <c r="E25775" s="2" t="str">
        <f>"9783110060201"</f>
        <v>9783110060201</v>
      </c>
      <c r="F25775" s="2" t="str">
        <f>"9783110906653"</f>
        <v>9783110906653</v>
      </c>
    </row>
    <row r="25776" spans="1:6" s="3" customFormat="1" ht="29.1" customHeight="1" x14ac:dyDescent="0.25">
      <c r="A25776" s="2" t="s">
        <v>50227</v>
      </c>
      <c r="B25776" s="2" t="s">
        <v>50228</v>
      </c>
      <c r="C25776" s="2" t="s">
        <v>195</v>
      </c>
      <c r="D25776" s="2" t="s">
        <v>11489</v>
      </c>
      <c r="E25776" s="2" t="str">
        <f>"9783110060188"</f>
        <v>9783110060188</v>
      </c>
      <c r="F25776" s="2" t="str">
        <f>"9783110906646"</f>
        <v>9783110906646</v>
      </c>
    </row>
    <row r="25777" spans="1:6" s="3" customFormat="1" ht="29.1" customHeight="1" x14ac:dyDescent="0.25">
      <c r="A25777" s="2" t="s">
        <v>50229</v>
      </c>
      <c r="B25777" s="2" t="s">
        <v>50230</v>
      </c>
      <c r="C25777" s="2" t="s">
        <v>195</v>
      </c>
      <c r="D25777" s="2" t="s">
        <v>11489</v>
      </c>
      <c r="E25777" s="2" t="str">
        <f>"9783110060171"</f>
        <v>9783110060171</v>
      </c>
      <c r="F25777" s="2" t="str">
        <f>"9783110903263"</f>
        <v>9783110903263</v>
      </c>
    </row>
    <row r="25778" spans="1:6" s="3" customFormat="1" ht="29.1" customHeight="1" x14ac:dyDescent="0.25">
      <c r="A25778" s="2" t="s">
        <v>50231</v>
      </c>
      <c r="B25778" s="2" t="s">
        <v>50232</v>
      </c>
      <c r="C25778" s="2" t="s">
        <v>195</v>
      </c>
      <c r="D25778" s="2" t="s">
        <v>11489</v>
      </c>
      <c r="E25778" s="2" t="str">
        <f>"9783110060164"</f>
        <v>9783110060164</v>
      </c>
      <c r="F25778" s="2" t="str">
        <f>"9783110903256"</f>
        <v>9783110903256</v>
      </c>
    </row>
    <row r="25779" spans="1:6" s="3" customFormat="1" ht="29.1" customHeight="1" x14ac:dyDescent="0.25">
      <c r="A25779" s="2" t="s">
        <v>50233</v>
      </c>
      <c r="B25779" s="2" t="s">
        <v>50234</v>
      </c>
      <c r="C25779" s="2" t="s">
        <v>195</v>
      </c>
      <c r="D25779" s="2" t="s">
        <v>11489</v>
      </c>
      <c r="E25779" s="2" t="str">
        <f>"9783110060126"</f>
        <v>9783110060126</v>
      </c>
      <c r="F25779" s="2" t="str">
        <f>"9783110900750"</f>
        <v>9783110900750</v>
      </c>
    </row>
    <row r="25780" spans="1:6" s="3" customFormat="1" ht="29.1" customHeight="1" x14ac:dyDescent="0.25">
      <c r="A25780" s="2" t="s">
        <v>50235</v>
      </c>
      <c r="B25780" s="2" t="s">
        <v>50236</v>
      </c>
      <c r="C25780" s="2" t="s">
        <v>195</v>
      </c>
      <c r="D25780" s="2" t="s">
        <v>11489</v>
      </c>
      <c r="E25780" s="2" t="str">
        <f>"9783110060133"</f>
        <v>9783110060133</v>
      </c>
      <c r="F25780" s="2" t="str">
        <f>"9783110902013"</f>
        <v>9783110902013</v>
      </c>
    </row>
    <row r="25781" spans="1:6" s="3" customFormat="1" ht="29.1" customHeight="1" x14ac:dyDescent="0.25">
      <c r="A25781" s="2" t="s">
        <v>50237</v>
      </c>
      <c r="B25781" s="2" t="s">
        <v>50238</v>
      </c>
      <c r="C25781" s="2" t="s">
        <v>195</v>
      </c>
      <c r="D25781" s="2" t="s">
        <v>11489</v>
      </c>
      <c r="E25781" s="2" t="str">
        <f>"9783110060119"</f>
        <v>9783110060119</v>
      </c>
      <c r="F25781" s="2" t="str">
        <f>"9783110900743"</f>
        <v>9783110900743</v>
      </c>
    </row>
    <row r="25782" spans="1:6" s="3" customFormat="1" ht="29.1" customHeight="1" x14ac:dyDescent="0.25">
      <c r="A25782" s="2" t="s">
        <v>50239</v>
      </c>
      <c r="B25782" s="2" t="s">
        <v>50240</v>
      </c>
      <c r="C25782" s="2" t="s">
        <v>195</v>
      </c>
      <c r="D25782" s="2" t="s">
        <v>11489</v>
      </c>
      <c r="E25782" s="2" t="str">
        <f>"9783110060102"</f>
        <v>9783110060102</v>
      </c>
      <c r="F25782" s="2" t="str">
        <f>"9783110900736"</f>
        <v>9783110900736</v>
      </c>
    </row>
    <row r="25783" spans="1:6" s="3" customFormat="1" ht="29.1" customHeight="1" x14ac:dyDescent="0.25">
      <c r="A25783" s="2" t="s">
        <v>50241</v>
      </c>
      <c r="B25783" s="2" t="s">
        <v>50242</v>
      </c>
      <c r="C25783" s="2" t="s">
        <v>195</v>
      </c>
      <c r="D25783" s="2" t="s">
        <v>11489</v>
      </c>
      <c r="E25783" s="2" t="str">
        <f>"9783110060096"</f>
        <v>9783110060096</v>
      </c>
      <c r="F25783" s="2" t="str">
        <f>"9783110888263"</f>
        <v>9783110888263</v>
      </c>
    </row>
    <row r="25784" spans="1:6" s="3" customFormat="1" ht="29.1" customHeight="1" x14ac:dyDescent="0.25">
      <c r="A25784" s="2" t="s">
        <v>50243</v>
      </c>
      <c r="B25784" s="2" t="s">
        <v>50244</v>
      </c>
      <c r="C25784" s="2" t="s">
        <v>195</v>
      </c>
      <c r="D25784" s="2" t="s">
        <v>11489</v>
      </c>
      <c r="E25784" s="2" t="str">
        <f>"9783110060089"</f>
        <v>9783110060089</v>
      </c>
      <c r="F25784" s="2" t="str">
        <f>"9783110888256"</f>
        <v>9783110888256</v>
      </c>
    </row>
    <row r="25785" spans="1:6" s="3" customFormat="1" ht="29.1" customHeight="1" x14ac:dyDescent="0.25">
      <c r="A25785" s="2" t="s">
        <v>50245</v>
      </c>
      <c r="B25785" s="2" t="s">
        <v>50246</v>
      </c>
      <c r="C25785" s="2" t="s">
        <v>195</v>
      </c>
      <c r="D25785" s="2" t="s">
        <v>11489</v>
      </c>
      <c r="E25785" s="2" t="str">
        <f>"9783110060072"</f>
        <v>9783110060072</v>
      </c>
      <c r="F25785" s="2" t="str">
        <f>"9783110888249"</f>
        <v>9783110888249</v>
      </c>
    </row>
    <row r="25786" spans="1:6" s="3" customFormat="1" ht="29.1" customHeight="1" x14ac:dyDescent="0.25">
      <c r="A25786" s="2" t="s">
        <v>50247</v>
      </c>
      <c r="B25786" s="2" t="s">
        <v>50248</v>
      </c>
      <c r="C25786" s="2" t="s">
        <v>195</v>
      </c>
      <c r="D25786" s="2" t="s">
        <v>11489</v>
      </c>
      <c r="E25786" s="2" t="str">
        <f>"9783110060041"</f>
        <v>9783110060041</v>
      </c>
      <c r="F25786" s="2" t="str">
        <f>"9783110888218"</f>
        <v>9783110888218</v>
      </c>
    </row>
    <row r="25787" spans="1:6" s="3" customFormat="1" ht="29.1" customHeight="1" x14ac:dyDescent="0.25">
      <c r="A25787" s="2" t="s">
        <v>50249</v>
      </c>
      <c r="B25787" s="2" t="s">
        <v>50250</v>
      </c>
      <c r="C25787" s="2" t="s">
        <v>195</v>
      </c>
      <c r="D25787" s="2" t="s">
        <v>11489</v>
      </c>
      <c r="E25787" s="2" t="str">
        <f>"9783110057768"</f>
        <v>9783110057768</v>
      </c>
      <c r="F25787" s="2" t="str">
        <f>"9783110893496"</f>
        <v>9783110893496</v>
      </c>
    </row>
    <row r="25788" spans="1:6" s="3" customFormat="1" ht="29.1" customHeight="1" x14ac:dyDescent="0.25">
      <c r="A25788" s="2" t="s">
        <v>50251</v>
      </c>
      <c r="B25788" s="2" t="s">
        <v>50252</v>
      </c>
      <c r="C25788" s="2" t="s">
        <v>195</v>
      </c>
      <c r="D25788" s="2" t="s">
        <v>11489</v>
      </c>
      <c r="E25788" s="2" t="str">
        <f>"9783110046687"</f>
        <v>9783110046687</v>
      </c>
      <c r="F25788" s="2" t="str">
        <f>"9783110899085"</f>
        <v>9783110899085</v>
      </c>
    </row>
    <row r="25789" spans="1:6" s="3" customFormat="1" ht="29.1" customHeight="1" x14ac:dyDescent="0.25">
      <c r="A25789" s="2" t="s">
        <v>50253</v>
      </c>
      <c r="B25789" s="2" t="s">
        <v>50254</v>
      </c>
      <c r="C25789" s="2" t="s">
        <v>195</v>
      </c>
      <c r="D25789" s="2" t="s">
        <v>11489</v>
      </c>
      <c r="E25789" s="2" t="str">
        <f>"9783110045000"</f>
        <v>9783110045000</v>
      </c>
      <c r="F25789" s="2" t="str">
        <f>"9783110903591"</f>
        <v>9783110903591</v>
      </c>
    </row>
    <row r="25790" spans="1:6" s="3" customFormat="1" ht="29.1" customHeight="1" x14ac:dyDescent="0.25">
      <c r="A25790" s="2" t="s">
        <v>50255</v>
      </c>
      <c r="B25790" s="2" t="s">
        <v>50256</v>
      </c>
      <c r="C25790" s="2" t="s">
        <v>195</v>
      </c>
      <c r="D25790" s="2" t="s">
        <v>11489</v>
      </c>
      <c r="E25790" s="2" t="str">
        <f>"9783110174885"</f>
        <v>9783110174885</v>
      </c>
      <c r="F25790" s="2" t="str">
        <f>"9783110898743"</f>
        <v>9783110898743</v>
      </c>
    </row>
    <row r="25791" spans="1:6" s="3" customFormat="1" ht="29.1" customHeight="1" x14ac:dyDescent="0.25">
      <c r="A25791" s="2" t="s">
        <v>50257</v>
      </c>
      <c r="B25791" s="2" t="s">
        <v>50258</v>
      </c>
      <c r="C25791" s="2" t="s">
        <v>195</v>
      </c>
      <c r="D25791" s="2" t="s">
        <v>11489</v>
      </c>
      <c r="E25791" s="2" t="str">
        <f>"9783110171921"</f>
        <v>9783110171921</v>
      </c>
      <c r="F25791" s="2" t="str">
        <f>"9783110879964"</f>
        <v>9783110879964</v>
      </c>
    </row>
    <row r="25792" spans="1:6" s="3" customFormat="1" ht="29.1" customHeight="1" x14ac:dyDescent="0.25">
      <c r="A25792" s="2" t="s">
        <v>50259</v>
      </c>
      <c r="B25792" s="2" t="s">
        <v>50260</v>
      </c>
      <c r="C25792" s="2" t="s">
        <v>195</v>
      </c>
      <c r="D25792" s="2" t="s">
        <v>11489</v>
      </c>
      <c r="E25792" s="2" t="str">
        <f>"9783110143720"</f>
        <v>9783110143720</v>
      </c>
      <c r="F25792" s="2" t="str">
        <f>"9783110921380"</f>
        <v>9783110921380</v>
      </c>
    </row>
    <row r="25793" spans="1:6" s="3" customFormat="1" ht="29.1" customHeight="1" x14ac:dyDescent="0.25">
      <c r="A25793" s="2" t="s">
        <v>50261</v>
      </c>
      <c r="B25793" s="2" t="s">
        <v>50262</v>
      </c>
      <c r="C25793" s="2" t="s">
        <v>195</v>
      </c>
      <c r="D25793" s="2" t="s">
        <v>11489</v>
      </c>
      <c r="E25793" s="2" t="str">
        <f>"9783110140101"</f>
        <v>9783110140101</v>
      </c>
      <c r="F25793" s="2" t="str">
        <f>"9783110891270"</f>
        <v>9783110891270</v>
      </c>
    </row>
    <row r="25794" spans="1:6" s="3" customFormat="1" ht="29.1" customHeight="1" x14ac:dyDescent="0.25">
      <c r="A25794" s="2" t="s">
        <v>50263</v>
      </c>
      <c r="B25794" s="2" t="s">
        <v>50264</v>
      </c>
      <c r="C25794" s="2" t="s">
        <v>195</v>
      </c>
      <c r="D25794" s="2" t="s">
        <v>11489</v>
      </c>
      <c r="E25794" s="2" t="str">
        <f>"9783110135800"</f>
        <v>9783110135800</v>
      </c>
      <c r="F25794" s="2" t="str">
        <f>"9783110869668"</f>
        <v>9783110869668</v>
      </c>
    </row>
    <row r="25795" spans="1:6" s="3" customFormat="1" ht="29.1" customHeight="1" x14ac:dyDescent="0.25">
      <c r="A25795" s="2" t="s">
        <v>50265</v>
      </c>
      <c r="B25795" s="2" t="s">
        <v>50266</v>
      </c>
      <c r="C25795" s="2" t="s">
        <v>195</v>
      </c>
      <c r="D25795" s="2" t="s">
        <v>459</v>
      </c>
      <c r="E25795" s="2" t="str">
        <f>"9783110184297"</f>
        <v>9783110184297</v>
      </c>
      <c r="F25795" s="2" t="str">
        <f>"9783110896589"</f>
        <v>9783110896589</v>
      </c>
    </row>
    <row r="25796" spans="1:6" s="3" customFormat="1" ht="29.1" customHeight="1" x14ac:dyDescent="0.25">
      <c r="A25796" s="2" t="s">
        <v>50267</v>
      </c>
      <c r="B25796" s="2" t="s">
        <v>50268</v>
      </c>
      <c r="C25796" s="2" t="s">
        <v>195</v>
      </c>
      <c r="D25796" s="2" t="s">
        <v>462</v>
      </c>
      <c r="E25796" s="2" t="str">
        <f>"9783110182309"</f>
        <v>9783110182309</v>
      </c>
      <c r="F25796" s="2" t="str">
        <f>"9783110914603"</f>
        <v>9783110914603</v>
      </c>
    </row>
    <row r="25797" spans="1:6" s="3" customFormat="1" ht="29.1" customHeight="1" x14ac:dyDescent="0.25">
      <c r="A25797" s="2" t="s">
        <v>50269</v>
      </c>
      <c r="B25797" s="2" t="s">
        <v>50270</v>
      </c>
      <c r="C25797" s="2" t="s">
        <v>195</v>
      </c>
      <c r="D25797" s="2" t="s">
        <v>11489</v>
      </c>
      <c r="E25797" s="2" t="str">
        <f>"9783899491234"</f>
        <v>9783899491234</v>
      </c>
      <c r="F25797" s="2" t="str">
        <f>"9783110909852"</f>
        <v>9783110909852</v>
      </c>
    </row>
    <row r="25798" spans="1:6" s="3" customFormat="1" ht="29.1" customHeight="1" x14ac:dyDescent="0.25">
      <c r="A25798" s="2" t="s">
        <v>50271</v>
      </c>
      <c r="B25798" s="2" t="s">
        <v>50272</v>
      </c>
      <c r="C25798" s="2" t="s">
        <v>195</v>
      </c>
      <c r="D25798" s="2" t="s">
        <v>11489</v>
      </c>
      <c r="E25798" s="2" t="str">
        <f>"9783899490442"</f>
        <v>9783899490442</v>
      </c>
      <c r="F25798" s="2" t="str">
        <f>"9783110922806"</f>
        <v>9783110922806</v>
      </c>
    </row>
    <row r="25799" spans="1:6" s="3" customFormat="1" ht="29.1" customHeight="1" x14ac:dyDescent="0.25">
      <c r="A25799" s="2" t="s">
        <v>50273</v>
      </c>
      <c r="B25799" s="2" t="s">
        <v>50274</v>
      </c>
      <c r="C25799" s="2" t="s">
        <v>195</v>
      </c>
      <c r="D25799" s="2" t="s">
        <v>2048</v>
      </c>
      <c r="E25799" s="2" t="str">
        <f>"9783899494051"</f>
        <v>9783899494051</v>
      </c>
      <c r="F25799" s="2" t="str">
        <f>"9783110895476"</f>
        <v>9783110895476</v>
      </c>
    </row>
    <row r="25800" spans="1:6" s="3" customFormat="1" ht="29.1" customHeight="1" x14ac:dyDescent="0.25">
      <c r="A25800" s="2" t="s">
        <v>50275</v>
      </c>
      <c r="B25800" s="2" t="s">
        <v>50276</v>
      </c>
      <c r="C25800" s="2" t="s">
        <v>195</v>
      </c>
      <c r="D25800" s="2" t="s">
        <v>6609</v>
      </c>
      <c r="E25800" s="2" t="str">
        <f>"9783899492255"</f>
        <v>9783899492255</v>
      </c>
      <c r="F25800" s="2" t="str">
        <f>"9783110912685"</f>
        <v>9783110912685</v>
      </c>
    </row>
    <row r="25801" spans="1:6" s="3" customFormat="1" ht="29.1" customHeight="1" x14ac:dyDescent="0.25">
      <c r="A25801" s="2" t="s">
        <v>50277</v>
      </c>
      <c r="B25801" s="2" t="s">
        <v>50278</v>
      </c>
      <c r="C25801" s="2" t="s">
        <v>195</v>
      </c>
      <c r="D25801" s="2" t="s">
        <v>462</v>
      </c>
      <c r="E25801" s="2" t="str">
        <f>"9783110182477"</f>
        <v>9783110182477</v>
      </c>
      <c r="F25801" s="2" t="str">
        <f>"9783110919844"</f>
        <v>9783110919844</v>
      </c>
    </row>
    <row r="25802" spans="1:6" s="3" customFormat="1" ht="29.1" customHeight="1" x14ac:dyDescent="0.25">
      <c r="A25802" s="2" t="s">
        <v>50279</v>
      </c>
      <c r="B25802" s="2" t="s">
        <v>50280</v>
      </c>
      <c r="C25802" s="2" t="s">
        <v>195</v>
      </c>
      <c r="D25802" s="2" t="s">
        <v>11489</v>
      </c>
      <c r="E25802" s="2" t="str">
        <f>"9783110042238"</f>
        <v>9783110042238</v>
      </c>
      <c r="F25802" s="2" t="str">
        <f>"9783110890211"</f>
        <v>9783110890211</v>
      </c>
    </row>
    <row r="25803" spans="1:6" s="3" customFormat="1" ht="29.1" customHeight="1" x14ac:dyDescent="0.25">
      <c r="A25803" s="2" t="s">
        <v>50281</v>
      </c>
      <c r="B25803" s="2" t="s">
        <v>50282</v>
      </c>
      <c r="C25803" s="2" t="s">
        <v>195</v>
      </c>
      <c r="D25803" s="2" t="s">
        <v>11489</v>
      </c>
      <c r="E25803" s="2" t="str">
        <f>"9783110036848"</f>
        <v>9783110036848</v>
      </c>
      <c r="F25803" s="2" t="str">
        <f>"9783110892314"</f>
        <v>9783110892314</v>
      </c>
    </row>
    <row r="25804" spans="1:6" s="3" customFormat="1" ht="29.1" customHeight="1" x14ac:dyDescent="0.25">
      <c r="A25804" s="2" t="s">
        <v>50283</v>
      </c>
      <c r="B25804" s="2" t="s">
        <v>50284</v>
      </c>
      <c r="C25804" s="2" t="s">
        <v>195</v>
      </c>
      <c r="D25804" s="2" t="s">
        <v>11489</v>
      </c>
      <c r="E25804" s="2" t="str">
        <f>"9783110035346"</f>
        <v>9783110035346</v>
      </c>
      <c r="F25804" s="2" t="str">
        <f>"9783110907605"</f>
        <v>9783110907605</v>
      </c>
    </row>
    <row r="25805" spans="1:6" s="3" customFormat="1" ht="29.1" customHeight="1" x14ac:dyDescent="0.25">
      <c r="A25805" s="2" t="s">
        <v>50285</v>
      </c>
      <c r="B25805" s="2" t="s">
        <v>50286</v>
      </c>
      <c r="C25805" s="2" t="s">
        <v>195</v>
      </c>
      <c r="D25805" s="2" t="s">
        <v>210</v>
      </c>
      <c r="E25805" s="2" t="str">
        <f>"9783598336768"</f>
        <v>9783598336768</v>
      </c>
      <c r="F25805" s="2" t="str">
        <f>"9783110975581"</f>
        <v>9783110975581</v>
      </c>
    </row>
    <row r="25806" spans="1:6" s="3" customFormat="1" ht="29.1" customHeight="1" x14ac:dyDescent="0.25">
      <c r="A25806" s="2" t="s">
        <v>50287</v>
      </c>
      <c r="B25806" s="2" t="s">
        <v>50288</v>
      </c>
      <c r="C25806" s="2" t="s">
        <v>195</v>
      </c>
      <c r="D25806" s="2" t="s">
        <v>33</v>
      </c>
      <c r="E25806" s="2" t="str">
        <f>"9783598231827"</f>
        <v>9783598231827</v>
      </c>
      <c r="F25806" s="2" t="str">
        <f>"9783110976571"</f>
        <v>9783110976571</v>
      </c>
    </row>
    <row r="25807" spans="1:6" s="3" customFormat="1" ht="29.1" customHeight="1" x14ac:dyDescent="0.25">
      <c r="A25807" s="2" t="s">
        <v>50289</v>
      </c>
      <c r="B25807" s="2" t="s">
        <v>50290</v>
      </c>
      <c r="C25807" s="2" t="s">
        <v>195</v>
      </c>
      <c r="D25807" s="2" t="s">
        <v>33</v>
      </c>
      <c r="E25807" s="2" t="str">
        <f>"9783598231841"</f>
        <v>9783598231841</v>
      </c>
      <c r="F25807" s="2" t="str">
        <f>"9783110975833"</f>
        <v>9783110975833</v>
      </c>
    </row>
    <row r="25808" spans="1:6" s="3" customFormat="1" ht="29.1" customHeight="1" x14ac:dyDescent="0.25">
      <c r="A25808" s="2" t="s">
        <v>50291</v>
      </c>
      <c r="B25808" s="2" t="s">
        <v>50290</v>
      </c>
      <c r="C25808" s="2" t="s">
        <v>195</v>
      </c>
      <c r="D25808" s="2" t="s">
        <v>33</v>
      </c>
      <c r="E25808" s="2" t="str">
        <f>"9783598231834"</f>
        <v>9783598231834</v>
      </c>
      <c r="F25808" s="2" t="str">
        <f>"9783110975840"</f>
        <v>9783110975840</v>
      </c>
    </row>
    <row r="25809" spans="1:6" s="3" customFormat="1" ht="29.1" customHeight="1" x14ac:dyDescent="0.25">
      <c r="A25809" s="2" t="s">
        <v>50292</v>
      </c>
      <c r="B25809" s="2" t="s">
        <v>50293</v>
      </c>
      <c r="C25809" s="2" t="s">
        <v>195</v>
      </c>
      <c r="D25809" s="2" t="s">
        <v>210</v>
      </c>
      <c r="E25809" s="2" t="str">
        <f>"9783598113338"</f>
        <v>9783598113338</v>
      </c>
      <c r="F25809" s="2" t="str">
        <f>"9783110962444"</f>
        <v>9783110962444</v>
      </c>
    </row>
    <row r="25810" spans="1:6" s="3" customFormat="1" ht="29.1" customHeight="1" x14ac:dyDescent="0.25">
      <c r="A25810" s="2" t="s">
        <v>50294</v>
      </c>
      <c r="B25810" s="2" t="s">
        <v>50295</v>
      </c>
      <c r="C25810" s="2" t="s">
        <v>195</v>
      </c>
      <c r="D25810" s="2" t="s">
        <v>11489</v>
      </c>
      <c r="E25810" s="2" t="str">
        <f>"9783110015737"</f>
        <v>9783110015737</v>
      </c>
      <c r="F25810" s="2" t="str">
        <f>"9783110908831"</f>
        <v>9783110908831</v>
      </c>
    </row>
    <row r="25811" spans="1:6" s="3" customFormat="1" ht="29.1" customHeight="1" x14ac:dyDescent="0.25">
      <c r="A25811" s="2" t="s">
        <v>50296</v>
      </c>
      <c r="B25811" s="2" t="s">
        <v>50297</v>
      </c>
      <c r="C25811" s="2" t="s">
        <v>195</v>
      </c>
      <c r="D25811" s="2" t="s">
        <v>11489</v>
      </c>
      <c r="E25811" s="2" t="str">
        <f>"9783110060140"</f>
        <v>9783110060140</v>
      </c>
      <c r="F25811" s="2" t="str">
        <f>"9783110904499"</f>
        <v>9783110904499</v>
      </c>
    </row>
    <row r="25812" spans="1:6" s="3" customFormat="1" ht="29.1" customHeight="1" x14ac:dyDescent="0.25">
      <c r="A25812" s="2" t="s">
        <v>50298</v>
      </c>
      <c r="B25812" s="2" t="s">
        <v>50299</v>
      </c>
      <c r="C25812" s="2" t="s">
        <v>195</v>
      </c>
      <c r="D25812" s="2" t="s">
        <v>11489</v>
      </c>
      <c r="E25812" s="2" t="str">
        <f>"9783110168990"</f>
        <v>9783110168990</v>
      </c>
      <c r="F25812" s="2" t="str">
        <f>"9783110893533"</f>
        <v>9783110893533</v>
      </c>
    </row>
    <row r="25813" spans="1:6" s="3" customFormat="1" ht="29.1" customHeight="1" x14ac:dyDescent="0.25">
      <c r="A25813" s="2" t="s">
        <v>50300</v>
      </c>
      <c r="B25813" s="2" t="s">
        <v>47548</v>
      </c>
      <c r="C25813" s="2" t="s">
        <v>195</v>
      </c>
      <c r="D25813" s="2" t="s">
        <v>14574</v>
      </c>
      <c r="E25813" s="2" t="str">
        <f>"9783110165913"</f>
        <v>9783110165913</v>
      </c>
      <c r="F25813" s="2" t="str">
        <f>"9783110800487"</f>
        <v>9783110800487</v>
      </c>
    </row>
    <row r="25814" spans="1:6" s="3" customFormat="1" ht="29.1" customHeight="1" x14ac:dyDescent="0.25">
      <c r="A25814" s="2" t="s">
        <v>50301</v>
      </c>
      <c r="B25814" s="2" t="s">
        <v>50302</v>
      </c>
      <c r="C25814" s="2" t="s">
        <v>195</v>
      </c>
      <c r="D25814" s="2" t="s">
        <v>11489</v>
      </c>
      <c r="E25814" s="2" t="str">
        <f>"9783110165869"</f>
        <v>9783110165869</v>
      </c>
      <c r="F25814" s="2" t="str">
        <f>"9783110869996"</f>
        <v>9783110869996</v>
      </c>
    </row>
    <row r="25815" spans="1:6" s="3" customFormat="1" ht="29.1" customHeight="1" x14ac:dyDescent="0.25">
      <c r="A25815" s="2" t="s">
        <v>50303</v>
      </c>
      <c r="B25815" s="2" t="s">
        <v>50304</v>
      </c>
      <c r="C25815" s="2" t="s">
        <v>195</v>
      </c>
      <c r="D25815" s="2" t="s">
        <v>2551</v>
      </c>
      <c r="E25815" s="2" t="str">
        <f>"9783110163957"</f>
        <v>9783110163957</v>
      </c>
      <c r="F25815" s="2" t="str">
        <f>"9783110895773"</f>
        <v>9783110895773</v>
      </c>
    </row>
    <row r="25816" spans="1:6" s="3" customFormat="1" ht="29.1" customHeight="1" x14ac:dyDescent="0.25">
      <c r="A25816" s="2" t="s">
        <v>50305</v>
      </c>
      <c r="B25816" s="2" t="s">
        <v>50306</v>
      </c>
      <c r="C25816" s="2" t="s">
        <v>195</v>
      </c>
      <c r="D25816" s="2" t="s">
        <v>11489</v>
      </c>
      <c r="E25816" s="2" t="str">
        <f>"9783110161557"</f>
        <v>9783110161557</v>
      </c>
      <c r="F25816" s="2" t="str">
        <f>"9783110895834"</f>
        <v>9783110895834</v>
      </c>
    </row>
    <row r="25817" spans="1:6" s="3" customFormat="1" ht="29.1" customHeight="1" x14ac:dyDescent="0.25">
      <c r="A25817" s="2" t="s">
        <v>50307</v>
      </c>
      <c r="B25817" s="2" t="s">
        <v>50308</v>
      </c>
      <c r="C25817" s="2" t="s">
        <v>195</v>
      </c>
      <c r="D25817" s="2" t="s">
        <v>125</v>
      </c>
      <c r="E25817" s="2" t="str">
        <f>"9783110156379"</f>
        <v>9783110156379</v>
      </c>
      <c r="F25817" s="2" t="str">
        <f>"9783110893656"</f>
        <v>9783110893656</v>
      </c>
    </row>
    <row r="25818" spans="1:6" s="3" customFormat="1" ht="29.1" customHeight="1" x14ac:dyDescent="0.25">
      <c r="A25818" s="2" t="s">
        <v>50309</v>
      </c>
      <c r="B25818" s="2" t="s">
        <v>50310</v>
      </c>
      <c r="C25818" s="2" t="s">
        <v>195</v>
      </c>
      <c r="D25818" s="2" t="s">
        <v>11489</v>
      </c>
      <c r="E25818" s="2" t="str">
        <f>"9783110156201"</f>
        <v>9783110156201</v>
      </c>
      <c r="F25818" s="2" t="str">
        <f>"9783110890501"</f>
        <v>9783110890501</v>
      </c>
    </row>
    <row r="25819" spans="1:6" s="3" customFormat="1" ht="29.1" customHeight="1" x14ac:dyDescent="0.25">
      <c r="A25819" s="2" t="s">
        <v>50311</v>
      </c>
      <c r="B25819" s="2" t="s">
        <v>50312</v>
      </c>
      <c r="C25819" s="2" t="s">
        <v>195</v>
      </c>
      <c r="D25819" s="2" t="s">
        <v>2562</v>
      </c>
      <c r="E25819" s="2" t="str">
        <f>"9783110152210"</f>
        <v>9783110152210</v>
      </c>
      <c r="F25819" s="2" t="str">
        <f>"9783110898491"</f>
        <v>9783110898491</v>
      </c>
    </row>
    <row r="25820" spans="1:6" s="3" customFormat="1" ht="29.1" customHeight="1" x14ac:dyDescent="0.25">
      <c r="A25820" s="2" t="s">
        <v>50313</v>
      </c>
      <c r="B25820" s="2" t="s">
        <v>50314</v>
      </c>
      <c r="C25820" s="2" t="s">
        <v>195</v>
      </c>
      <c r="D25820" s="2" t="s">
        <v>11489</v>
      </c>
      <c r="E25820" s="2" t="str">
        <f>"9783110148510"</f>
        <v>9783110148510</v>
      </c>
      <c r="F25820" s="2" t="str">
        <f>"9783110875096"</f>
        <v>9783110875096</v>
      </c>
    </row>
    <row r="25821" spans="1:6" s="3" customFormat="1" ht="29.1" customHeight="1" x14ac:dyDescent="0.25">
      <c r="A25821" s="2" t="s">
        <v>50315</v>
      </c>
      <c r="B25821" s="2" t="s">
        <v>50316</v>
      </c>
      <c r="C25821" s="2" t="s">
        <v>264</v>
      </c>
      <c r="D25821" s="2" t="s">
        <v>4739</v>
      </c>
      <c r="E25821" s="2" t="str">
        <f>"9781466569249"</f>
        <v>9781466569249</v>
      </c>
      <c r="F25821" s="2" t="str">
        <f>"9781466569256"</f>
        <v>9781466569256</v>
      </c>
    </row>
    <row r="25822" spans="1:6" s="3" customFormat="1" ht="29.1" customHeight="1" x14ac:dyDescent="0.25">
      <c r="A25822" s="2" t="s">
        <v>50317</v>
      </c>
      <c r="B25822" s="2" t="s">
        <v>50318</v>
      </c>
      <c r="C25822" s="2" t="s">
        <v>264</v>
      </c>
      <c r="D25822" s="2" t="s">
        <v>2411</v>
      </c>
      <c r="E25822" s="2" t="str">
        <f>"9781466567504"</f>
        <v>9781466567504</v>
      </c>
      <c r="F25822" s="2" t="str">
        <f>"9781466567511"</f>
        <v>9781466567511</v>
      </c>
    </row>
    <row r="25823" spans="1:6" s="3" customFormat="1" ht="29.1" customHeight="1" x14ac:dyDescent="0.25">
      <c r="A25823" s="2" t="s">
        <v>50319</v>
      </c>
      <c r="B25823" s="2" t="s">
        <v>11225</v>
      </c>
      <c r="C25823" s="2" t="s">
        <v>11220</v>
      </c>
      <c r="D25823" s="2" t="s">
        <v>183</v>
      </c>
      <c r="E25823" s="2" t="str">
        <f>"9780814729083"</f>
        <v>9780814729083</v>
      </c>
      <c r="F25823" s="2" t="str">
        <f>"9780814729090"</f>
        <v>9780814729090</v>
      </c>
    </row>
    <row r="25824" spans="1:6" s="3" customFormat="1" ht="29.1" customHeight="1" x14ac:dyDescent="0.25">
      <c r="A25824" s="2" t="s">
        <v>50320</v>
      </c>
      <c r="B25824" s="2" t="s">
        <v>50321</v>
      </c>
      <c r="C25824" s="2" t="s">
        <v>927</v>
      </c>
      <c r="D25824" s="2" t="s">
        <v>2702</v>
      </c>
      <c r="E25824" s="2" t="str">
        <f>"9780472118823"</f>
        <v>9780472118823</v>
      </c>
      <c r="F25824" s="2" t="str">
        <f>"9780472029235"</f>
        <v>9780472029235</v>
      </c>
    </row>
    <row r="25825" spans="1:6" s="3" customFormat="1" ht="29.1" customHeight="1" x14ac:dyDescent="0.25">
      <c r="A25825" s="2" t="s">
        <v>50322</v>
      </c>
      <c r="B25825" s="2" t="s">
        <v>50323</v>
      </c>
      <c r="C25825" s="2" t="s">
        <v>927</v>
      </c>
      <c r="D25825" s="2" t="s">
        <v>1214</v>
      </c>
      <c r="E25825" s="2" t="str">
        <f>"9780472051915"</f>
        <v>9780472051915</v>
      </c>
      <c r="F25825" s="2" t="str">
        <f>"9780472028931"</f>
        <v>9780472028931</v>
      </c>
    </row>
    <row r="25826" spans="1:6" s="3" customFormat="1" ht="29.1" customHeight="1" x14ac:dyDescent="0.25">
      <c r="A25826" s="2" t="s">
        <v>50324</v>
      </c>
      <c r="B25826" s="2" t="s">
        <v>50325</v>
      </c>
      <c r="C25826" s="2" t="s">
        <v>264</v>
      </c>
      <c r="D25826" s="2" t="s">
        <v>1759</v>
      </c>
      <c r="E25826" s="2" t="str">
        <f>"9781439830130"</f>
        <v>9781439830130</v>
      </c>
      <c r="F25826" s="2" t="str">
        <f>"9781439830147"</f>
        <v>9781439830147</v>
      </c>
    </row>
    <row r="25827" spans="1:6" s="3" customFormat="1" ht="29.1" customHeight="1" x14ac:dyDescent="0.25">
      <c r="A25827" s="2" t="s">
        <v>50326</v>
      </c>
      <c r="B25827" s="2" t="s">
        <v>47469</v>
      </c>
      <c r="C25827" s="2" t="s">
        <v>124</v>
      </c>
      <c r="D25827" s="2" t="s">
        <v>818</v>
      </c>
      <c r="E25827" s="2" t="str">
        <f>"9780710305701"</f>
        <v>9780710305701</v>
      </c>
      <c r="F25827" s="2" t="str">
        <f>"9781136884863"</f>
        <v>9781136884863</v>
      </c>
    </row>
    <row r="25828" spans="1:6" s="3" customFormat="1" ht="29.1" customHeight="1" x14ac:dyDescent="0.25">
      <c r="A25828" s="2" t="s">
        <v>50327</v>
      </c>
      <c r="B25828" s="2" t="s">
        <v>50328</v>
      </c>
      <c r="C25828" s="2" t="s">
        <v>11220</v>
      </c>
      <c r="D25828" s="2" t="s">
        <v>15324</v>
      </c>
      <c r="E25828" s="2" t="str">
        <f>"9780814789308"</f>
        <v>9780814789308</v>
      </c>
      <c r="F25828" s="2" t="str">
        <f>"9780814760239"</f>
        <v>9780814760239</v>
      </c>
    </row>
    <row r="25829" spans="1:6" s="3" customFormat="1" ht="29.1" customHeight="1" x14ac:dyDescent="0.25">
      <c r="A25829" s="2" t="s">
        <v>50329</v>
      </c>
      <c r="B25829" s="2" t="s">
        <v>50330</v>
      </c>
      <c r="C25829" s="2" t="s">
        <v>11220</v>
      </c>
      <c r="D25829" s="2" t="s">
        <v>3889</v>
      </c>
      <c r="E25829" s="2" t="str">
        <f>"9780814737811"</f>
        <v>9780814737811</v>
      </c>
      <c r="F25829" s="2" t="str">
        <f>"9780814764763"</f>
        <v>9780814764763</v>
      </c>
    </row>
    <row r="25830" spans="1:6" s="3" customFormat="1" ht="29.1" customHeight="1" x14ac:dyDescent="0.25">
      <c r="A25830" s="2" t="s">
        <v>50331</v>
      </c>
      <c r="B25830" s="2" t="s">
        <v>50332</v>
      </c>
      <c r="C25830" s="2" t="s">
        <v>11220</v>
      </c>
      <c r="D25830" s="2" t="s">
        <v>7669</v>
      </c>
      <c r="E25830" s="2" t="str">
        <f>"9780814708415"</f>
        <v>9780814708415</v>
      </c>
      <c r="F25830" s="2" t="str">
        <f>"9780814723876"</f>
        <v>9780814723876</v>
      </c>
    </row>
    <row r="25831" spans="1:6" s="3" customFormat="1" ht="29.1" customHeight="1" x14ac:dyDescent="0.25">
      <c r="A25831" s="2" t="s">
        <v>50333</v>
      </c>
      <c r="B25831" s="2" t="s">
        <v>50334</v>
      </c>
      <c r="C25831" s="2" t="s">
        <v>195</v>
      </c>
      <c r="D25831" s="2" t="s">
        <v>1183</v>
      </c>
      <c r="E25831" s="2" t="str">
        <f>"9783110305494"</f>
        <v>9783110305494</v>
      </c>
      <c r="F25831" s="2" t="str">
        <f>"9783110305852"</f>
        <v>9783110305852</v>
      </c>
    </row>
    <row r="25832" spans="1:6" s="3" customFormat="1" ht="29.1" customHeight="1" x14ac:dyDescent="0.25">
      <c r="A25832" s="2" t="s">
        <v>50335</v>
      </c>
      <c r="B25832" s="2" t="s">
        <v>50336</v>
      </c>
      <c r="C25832" s="2" t="s">
        <v>195</v>
      </c>
      <c r="D25832" s="2" t="s">
        <v>2326</v>
      </c>
      <c r="E25832" s="2" t="str">
        <f>"9783110330199"</f>
        <v>9783110330199</v>
      </c>
      <c r="F25832" s="2" t="str">
        <f>"9783110330595"</f>
        <v>9783110330595</v>
      </c>
    </row>
    <row r="25833" spans="1:6" s="3" customFormat="1" ht="29.1" customHeight="1" x14ac:dyDescent="0.25">
      <c r="A25833" s="2" t="s">
        <v>20354</v>
      </c>
      <c r="B25833" s="2" t="s">
        <v>50337</v>
      </c>
      <c r="C25833" s="2" t="s">
        <v>195</v>
      </c>
      <c r="D25833" s="2" t="s">
        <v>40787</v>
      </c>
      <c r="E25833" s="2" t="str">
        <f>"9783110330137"</f>
        <v>9783110330137</v>
      </c>
      <c r="F25833" s="2" t="str">
        <f>"9783110330519"</f>
        <v>9783110330519</v>
      </c>
    </row>
    <row r="25834" spans="1:6" s="3" customFormat="1" ht="29.1" customHeight="1" x14ac:dyDescent="0.25">
      <c r="A25834" s="2" t="s">
        <v>20352</v>
      </c>
      <c r="B25834" s="2" t="s">
        <v>50337</v>
      </c>
      <c r="C25834" s="2" t="s">
        <v>195</v>
      </c>
      <c r="D25834" s="2" t="s">
        <v>40787</v>
      </c>
      <c r="E25834" s="2" t="str">
        <f>"9783110330120"</f>
        <v>9783110330120</v>
      </c>
      <c r="F25834" s="2" t="str">
        <f>"9783110330496"</f>
        <v>9783110330496</v>
      </c>
    </row>
    <row r="25835" spans="1:6" s="3" customFormat="1" ht="29.1" customHeight="1" x14ac:dyDescent="0.25">
      <c r="A25835" s="2" t="s">
        <v>50338</v>
      </c>
      <c r="B25835" s="2" t="s">
        <v>50339</v>
      </c>
      <c r="C25835" s="2" t="s">
        <v>195</v>
      </c>
      <c r="D25835" s="2" t="s">
        <v>339</v>
      </c>
      <c r="E25835" s="2" t="str">
        <f>"9783110330182"</f>
        <v>9783110330182</v>
      </c>
      <c r="F25835" s="2" t="str">
        <f>"9783110330571"</f>
        <v>9783110330571</v>
      </c>
    </row>
    <row r="25836" spans="1:6" s="3" customFormat="1" ht="29.1" customHeight="1" x14ac:dyDescent="0.25">
      <c r="A25836" s="2" t="s">
        <v>50340</v>
      </c>
      <c r="B25836" s="2" t="s">
        <v>50341</v>
      </c>
      <c r="C25836" s="2" t="s">
        <v>195</v>
      </c>
      <c r="D25836" s="2" t="s">
        <v>2326</v>
      </c>
      <c r="E25836" s="2" t="str">
        <f>"9783110328592"</f>
        <v>9783110328592</v>
      </c>
      <c r="F25836" s="2" t="str">
        <f>"9783110328912"</f>
        <v>9783110328912</v>
      </c>
    </row>
    <row r="25837" spans="1:6" s="3" customFormat="1" ht="29.1" customHeight="1" x14ac:dyDescent="0.25">
      <c r="A25837" s="2" t="s">
        <v>50342</v>
      </c>
      <c r="B25837" s="2" t="s">
        <v>50343</v>
      </c>
      <c r="C25837" s="2" t="s">
        <v>195</v>
      </c>
      <c r="D25837" s="2" t="s">
        <v>40787</v>
      </c>
      <c r="E25837" s="2" t="str">
        <f>"9783110328073"</f>
        <v>9783110328073</v>
      </c>
      <c r="F25837" s="2" t="str">
        <f>"9783110328462"</f>
        <v>9783110328462</v>
      </c>
    </row>
    <row r="25838" spans="1:6" s="3" customFormat="1" ht="29.1" customHeight="1" x14ac:dyDescent="0.25">
      <c r="A25838" s="2" t="s">
        <v>50344</v>
      </c>
      <c r="B25838" s="2" t="s">
        <v>50345</v>
      </c>
      <c r="C25838" s="2" t="s">
        <v>195</v>
      </c>
      <c r="D25838" s="2" t="s">
        <v>2326</v>
      </c>
      <c r="E25838" s="2" t="str">
        <f>"9783110329353"</f>
        <v>9783110329353</v>
      </c>
      <c r="F25838" s="2" t="str">
        <f>"9783110329490"</f>
        <v>9783110329490</v>
      </c>
    </row>
    <row r="25839" spans="1:6" s="3" customFormat="1" ht="29.1" customHeight="1" x14ac:dyDescent="0.25">
      <c r="A25839" s="2" t="s">
        <v>50346</v>
      </c>
      <c r="B25839" s="2" t="s">
        <v>50347</v>
      </c>
      <c r="C25839" s="2" t="s">
        <v>195</v>
      </c>
      <c r="D25839" s="2" t="s">
        <v>2326</v>
      </c>
      <c r="E25839" s="2" t="str">
        <f>"9783110329346"</f>
        <v>9783110329346</v>
      </c>
      <c r="F25839" s="2" t="str">
        <f>"9783110329476"</f>
        <v>9783110329476</v>
      </c>
    </row>
    <row r="25840" spans="1:6" s="3" customFormat="1" ht="29.1" customHeight="1" x14ac:dyDescent="0.25">
      <c r="A25840" s="2" t="s">
        <v>50348</v>
      </c>
      <c r="B25840" s="2" t="s">
        <v>50349</v>
      </c>
      <c r="C25840" s="2" t="s">
        <v>195</v>
      </c>
      <c r="D25840" s="2" t="s">
        <v>40787</v>
      </c>
      <c r="E25840" s="2" t="str">
        <f>"9783110328639"</f>
        <v>9783110328639</v>
      </c>
      <c r="F25840" s="2" t="str">
        <f>"9783110328998"</f>
        <v>9783110328998</v>
      </c>
    </row>
    <row r="25841" spans="1:6" s="3" customFormat="1" ht="29.1" customHeight="1" x14ac:dyDescent="0.25">
      <c r="A25841" s="2" t="s">
        <v>50350</v>
      </c>
      <c r="B25841" s="2" t="s">
        <v>50351</v>
      </c>
      <c r="C25841" s="2" t="s">
        <v>195</v>
      </c>
      <c r="D25841" s="2" t="s">
        <v>2326</v>
      </c>
      <c r="E25841" s="2" t="str">
        <f>"9783110328622"</f>
        <v>9783110328622</v>
      </c>
      <c r="F25841" s="2" t="str">
        <f>"9783110328974"</f>
        <v>9783110328974</v>
      </c>
    </row>
    <row r="25842" spans="1:6" s="3" customFormat="1" ht="29.1" customHeight="1" x14ac:dyDescent="0.25">
      <c r="A25842" s="2" t="s">
        <v>50352</v>
      </c>
      <c r="B25842" s="2" t="s">
        <v>50353</v>
      </c>
      <c r="C25842" s="2" t="s">
        <v>195</v>
      </c>
      <c r="D25842" s="2" t="s">
        <v>40787</v>
      </c>
      <c r="E25842" s="2" t="str">
        <f>"9783110328608"</f>
        <v>9783110328608</v>
      </c>
      <c r="F25842" s="2" t="str">
        <f>"9783110328936"</f>
        <v>9783110328936</v>
      </c>
    </row>
    <row r="25843" spans="1:6" s="3" customFormat="1" ht="29.1" customHeight="1" x14ac:dyDescent="0.25">
      <c r="A25843" s="2" t="s">
        <v>50354</v>
      </c>
      <c r="B25843" s="2" t="s">
        <v>50355</v>
      </c>
      <c r="C25843" s="2" t="s">
        <v>195</v>
      </c>
      <c r="D25843" s="2" t="s">
        <v>40787</v>
      </c>
      <c r="E25843" s="2" t="str">
        <f>"9783110328615"</f>
        <v>9783110328615</v>
      </c>
      <c r="F25843" s="2" t="str">
        <f>"9783110328950"</f>
        <v>9783110328950</v>
      </c>
    </row>
    <row r="25844" spans="1:6" s="3" customFormat="1" ht="29.1" customHeight="1" x14ac:dyDescent="0.25">
      <c r="A25844" s="2" t="s">
        <v>50356</v>
      </c>
      <c r="B25844" s="2" t="s">
        <v>50357</v>
      </c>
      <c r="C25844" s="2" t="s">
        <v>195</v>
      </c>
      <c r="D25844" s="2" t="s">
        <v>2326</v>
      </c>
      <c r="E25844" s="2" t="str">
        <f>"9783110328578"</f>
        <v>9783110328578</v>
      </c>
      <c r="F25844" s="2" t="str">
        <f>"9783110328875"</f>
        <v>9783110328875</v>
      </c>
    </row>
    <row r="25845" spans="1:6" s="3" customFormat="1" ht="29.1" customHeight="1" x14ac:dyDescent="0.25">
      <c r="A25845" s="2" t="s">
        <v>50358</v>
      </c>
      <c r="B25845" s="2" t="s">
        <v>50357</v>
      </c>
      <c r="C25845" s="2" t="s">
        <v>195</v>
      </c>
      <c r="D25845" s="2" t="s">
        <v>2326</v>
      </c>
      <c r="E25845" s="2" t="str">
        <f>"9783110328547"</f>
        <v>9783110328547</v>
      </c>
      <c r="F25845" s="2" t="str">
        <f>"9783110328851"</f>
        <v>9783110328851</v>
      </c>
    </row>
    <row r="25846" spans="1:6" s="3" customFormat="1" ht="29.1" customHeight="1" x14ac:dyDescent="0.25">
      <c r="A25846" s="2" t="s">
        <v>50359</v>
      </c>
      <c r="B25846" s="2" t="s">
        <v>50360</v>
      </c>
      <c r="C25846" s="2" t="s">
        <v>195</v>
      </c>
      <c r="D25846" s="2" t="s">
        <v>2326</v>
      </c>
      <c r="E25846" s="2" t="str">
        <f>"9783110328523"</f>
        <v>9783110328523</v>
      </c>
      <c r="F25846" s="2" t="str">
        <f>"9783110328813"</f>
        <v>9783110328813</v>
      </c>
    </row>
    <row r="25847" spans="1:6" s="3" customFormat="1" ht="29.1" customHeight="1" x14ac:dyDescent="0.25">
      <c r="A25847" s="2" t="s">
        <v>50361</v>
      </c>
      <c r="B25847" s="2" t="s">
        <v>50362</v>
      </c>
      <c r="C25847" s="2" t="s">
        <v>195</v>
      </c>
      <c r="D25847" s="2" t="s">
        <v>2326</v>
      </c>
      <c r="E25847" s="2" t="str">
        <f>"9783110328530"</f>
        <v>9783110328530</v>
      </c>
      <c r="F25847" s="2" t="str">
        <f>"9783110328837"</f>
        <v>9783110328837</v>
      </c>
    </row>
    <row r="25848" spans="1:6" s="3" customFormat="1" ht="29.1" customHeight="1" x14ac:dyDescent="0.25">
      <c r="A25848" s="2" t="s">
        <v>50363</v>
      </c>
      <c r="B25848" s="2" t="s">
        <v>50364</v>
      </c>
      <c r="C25848" s="2" t="s">
        <v>195</v>
      </c>
      <c r="D25848" s="2" t="s">
        <v>40787</v>
      </c>
      <c r="E25848" s="2" t="str">
        <f>"9783110328080"</f>
        <v>9783110328080</v>
      </c>
      <c r="F25848" s="2" t="str">
        <f>"9783110328486"</f>
        <v>9783110328486</v>
      </c>
    </row>
    <row r="25849" spans="1:6" s="3" customFormat="1" ht="29.1" customHeight="1" x14ac:dyDescent="0.25">
      <c r="A25849" s="2" t="s">
        <v>50365</v>
      </c>
      <c r="B25849" s="2" t="s">
        <v>50366</v>
      </c>
      <c r="C25849" s="2" t="s">
        <v>195</v>
      </c>
      <c r="D25849" s="2" t="s">
        <v>2326</v>
      </c>
      <c r="E25849" s="2" t="str">
        <f>"9783110328097"</f>
        <v>9783110328097</v>
      </c>
      <c r="F25849" s="2" t="str">
        <f>"9783110328509"</f>
        <v>9783110328509</v>
      </c>
    </row>
    <row r="25850" spans="1:6" s="3" customFormat="1" ht="29.1" customHeight="1" x14ac:dyDescent="0.25">
      <c r="A25850" s="2" t="s">
        <v>50367</v>
      </c>
      <c r="B25850" s="2" t="s">
        <v>50368</v>
      </c>
      <c r="C25850" s="2" t="s">
        <v>195</v>
      </c>
      <c r="D25850" s="2" t="s">
        <v>324</v>
      </c>
      <c r="E25850" s="2" t="str">
        <f>"9783110327267"</f>
        <v>9783110327267</v>
      </c>
      <c r="F25850" s="2" t="str">
        <f>"9783110327496"</f>
        <v>9783110327496</v>
      </c>
    </row>
    <row r="25851" spans="1:6" s="3" customFormat="1" ht="29.1" customHeight="1" x14ac:dyDescent="0.25">
      <c r="A25851" s="2" t="s">
        <v>50369</v>
      </c>
      <c r="B25851" s="2" t="s">
        <v>50370</v>
      </c>
      <c r="C25851" s="2" t="s">
        <v>195</v>
      </c>
      <c r="D25851" s="2" t="s">
        <v>339</v>
      </c>
      <c r="E25851" s="2" t="str">
        <f>"9783110326758"</f>
        <v>9783110326758</v>
      </c>
      <c r="F25851" s="2" t="str">
        <f>"9783110327212"</f>
        <v>9783110327212</v>
      </c>
    </row>
    <row r="25852" spans="1:6" s="3" customFormat="1" ht="29.1" customHeight="1" x14ac:dyDescent="0.25">
      <c r="A25852" s="2" t="s">
        <v>50371</v>
      </c>
      <c r="B25852" s="2" t="s">
        <v>50372</v>
      </c>
      <c r="C25852" s="2" t="s">
        <v>195</v>
      </c>
      <c r="D25852" s="2" t="s">
        <v>40787</v>
      </c>
      <c r="E25852" s="2" t="str">
        <f>"9783110326741"</f>
        <v>9783110326741</v>
      </c>
      <c r="F25852" s="2" t="str">
        <f>"9783110327199"</f>
        <v>9783110327199</v>
      </c>
    </row>
    <row r="25853" spans="1:6" s="3" customFormat="1" ht="29.1" customHeight="1" x14ac:dyDescent="0.25">
      <c r="A25853" s="2" t="s">
        <v>50373</v>
      </c>
      <c r="B25853" s="2" t="s">
        <v>50374</v>
      </c>
      <c r="C25853" s="2" t="s">
        <v>195</v>
      </c>
      <c r="D25853" s="2" t="s">
        <v>339</v>
      </c>
      <c r="E25853" s="2" t="str">
        <f>"9783110326635"</f>
        <v>9783110326635</v>
      </c>
      <c r="F25853" s="2" t="str">
        <f>"9783110326970"</f>
        <v>9783110326970</v>
      </c>
    </row>
    <row r="25854" spans="1:6" s="3" customFormat="1" ht="29.1" customHeight="1" x14ac:dyDescent="0.25">
      <c r="A25854" s="2" t="s">
        <v>50375</v>
      </c>
      <c r="B25854" s="2" t="s">
        <v>50376</v>
      </c>
      <c r="C25854" s="2" t="s">
        <v>195</v>
      </c>
      <c r="D25854" s="2" t="s">
        <v>2326</v>
      </c>
      <c r="E25854" s="2" t="str">
        <f>"9783110326536"</f>
        <v>9783110326536</v>
      </c>
      <c r="F25854" s="2" t="str">
        <f>"9783110326857"</f>
        <v>9783110326857</v>
      </c>
    </row>
    <row r="25855" spans="1:6" s="3" customFormat="1" ht="29.1" customHeight="1" x14ac:dyDescent="0.25">
      <c r="A25855" s="2" t="s">
        <v>50377</v>
      </c>
      <c r="B25855" s="2" t="s">
        <v>50378</v>
      </c>
      <c r="C25855" s="2" t="s">
        <v>195</v>
      </c>
      <c r="D25855" s="2" t="s">
        <v>522</v>
      </c>
      <c r="E25855" s="2" t="str">
        <f>"9783110325263"</f>
        <v>9783110325263</v>
      </c>
      <c r="F25855" s="2" t="str">
        <f>"9783110326109"</f>
        <v>9783110326109</v>
      </c>
    </row>
    <row r="25856" spans="1:6" s="3" customFormat="1" ht="29.1" customHeight="1" x14ac:dyDescent="0.25">
      <c r="A25856" s="2" t="s">
        <v>50379</v>
      </c>
      <c r="B25856" s="2" t="s">
        <v>50380</v>
      </c>
      <c r="C25856" s="2" t="s">
        <v>195</v>
      </c>
      <c r="D25856" s="2" t="s">
        <v>40787</v>
      </c>
      <c r="E25856" s="2" t="str">
        <f>"9783110325201"</f>
        <v>9783110325201</v>
      </c>
      <c r="F25856" s="2" t="str">
        <f>"9783110325980"</f>
        <v>9783110325980</v>
      </c>
    </row>
    <row r="25857" spans="1:6" s="3" customFormat="1" ht="29.1" customHeight="1" x14ac:dyDescent="0.25">
      <c r="A25857" s="2" t="s">
        <v>50381</v>
      </c>
      <c r="B25857" s="2" t="s">
        <v>50382</v>
      </c>
      <c r="C25857" s="2" t="s">
        <v>195</v>
      </c>
      <c r="D25857" s="2" t="s">
        <v>2326</v>
      </c>
      <c r="E25857" s="2" t="str">
        <f>"9783110325171"</f>
        <v>9783110325171</v>
      </c>
      <c r="F25857" s="2" t="str">
        <f>"9783110325928"</f>
        <v>9783110325928</v>
      </c>
    </row>
    <row r="25858" spans="1:6" s="3" customFormat="1" ht="29.1" customHeight="1" x14ac:dyDescent="0.25">
      <c r="A25858" s="2" t="s">
        <v>50383</v>
      </c>
      <c r="B25858" s="2" t="s">
        <v>50384</v>
      </c>
      <c r="C25858" s="2" t="s">
        <v>195</v>
      </c>
      <c r="D25858" s="2" t="s">
        <v>2326</v>
      </c>
      <c r="E25858" s="2" t="str">
        <f>"9783110325164"</f>
        <v>9783110325164</v>
      </c>
      <c r="F25858" s="2" t="str">
        <f>"9783110325904"</f>
        <v>9783110325904</v>
      </c>
    </row>
    <row r="25859" spans="1:6" s="3" customFormat="1" ht="29.1" customHeight="1" x14ac:dyDescent="0.25">
      <c r="A25859" s="2" t="s">
        <v>50385</v>
      </c>
      <c r="B25859" s="2" t="s">
        <v>50386</v>
      </c>
      <c r="C25859" s="2" t="s">
        <v>195</v>
      </c>
      <c r="D25859" s="2" t="s">
        <v>522</v>
      </c>
      <c r="E25859" s="2" t="str">
        <f>"9783110325133"</f>
        <v>9783110325133</v>
      </c>
      <c r="F25859" s="2" t="str">
        <f>"9783110325843"</f>
        <v>9783110325843</v>
      </c>
    </row>
    <row r="25860" spans="1:6" s="3" customFormat="1" ht="29.1" customHeight="1" x14ac:dyDescent="0.25">
      <c r="A25860" s="2" t="s">
        <v>50387</v>
      </c>
      <c r="B25860" s="2" t="s">
        <v>50388</v>
      </c>
      <c r="C25860" s="2" t="s">
        <v>195</v>
      </c>
      <c r="D25860" s="2" t="s">
        <v>339</v>
      </c>
      <c r="E25860" s="2" t="str">
        <f>"9783110324501"</f>
        <v>9783110324501</v>
      </c>
      <c r="F25860" s="2" t="str">
        <f>"9783110324860"</f>
        <v>9783110324860</v>
      </c>
    </row>
    <row r="25861" spans="1:6" s="3" customFormat="1" ht="29.1" customHeight="1" x14ac:dyDescent="0.25">
      <c r="A25861" s="2" t="s">
        <v>50389</v>
      </c>
      <c r="B25861" s="2" t="s">
        <v>50390</v>
      </c>
      <c r="C25861" s="2" t="s">
        <v>195</v>
      </c>
      <c r="D25861" s="2" t="s">
        <v>339</v>
      </c>
      <c r="E25861" s="2" t="str">
        <f>"9783110322880"</f>
        <v>9783110322880</v>
      </c>
      <c r="F25861" s="2" t="str">
        <f>"9783110323344"</f>
        <v>9783110323344</v>
      </c>
    </row>
    <row r="25862" spans="1:6" s="3" customFormat="1" ht="29.1" customHeight="1" x14ac:dyDescent="0.25">
      <c r="A25862" s="2" t="s">
        <v>50391</v>
      </c>
      <c r="B25862" s="2" t="s">
        <v>50392</v>
      </c>
      <c r="C25862" s="2" t="s">
        <v>195</v>
      </c>
      <c r="D25862" s="2" t="s">
        <v>339</v>
      </c>
      <c r="E25862" s="2" t="str">
        <f>"9783110322866"</f>
        <v>9783110322866</v>
      </c>
      <c r="F25862" s="2" t="str">
        <f>"9783110323306"</f>
        <v>9783110323306</v>
      </c>
    </row>
    <row r="25863" spans="1:6" s="3" customFormat="1" ht="29.1" customHeight="1" x14ac:dyDescent="0.25">
      <c r="A25863" s="2" t="s">
        <v>50393</v>
      </c>
      <c r="B25863" s="2" t="s">
        <v>50394</v>
      </c>
      <c r="C25863" s="2" t="s">
        <v>195</v>
      </c>
      <c r="D25863" s="2" t="s">
        <v>5706</v>
      </c>
      <c r="E25863" s="2" t="str">
        <f>"9783110322316"</f>
        <v>9783110322316</v>
      </c>
      <c r="F25863" s="2" t="str">
        <f>"9783110322743"</f>
        <v>9783110322743</v>
      </c>
    </row>
    <row r="25864" spans="1:6" s="3" customFormat="1" ht="29.1" customHeight="1" x14ac:dyDescent="0.25">
      <c r="A25864" s="2" t="s">
        <v>50395</v>
      </c>
      <c r="B25864" s="2" t="s">
        <v>50396</v>
      </c>
      <c r="C25864" s="2" t="s">
        <v>195</v>
      </c>
      <c r="D25864" s="2" t="s">
        <v>2326</v>
      </c>
      <c r="E25864" s="2" t="str">
        <f>"9783110322286"</f>
        <v>9783110322286</v>
      </c>
      <c r="F25864" s="2" t="str">
        <f>"9783110322682"</f>
        <v>9783110322682</v>
      </c>
    </row>
    <row r="25865" spans="1:6" s="3" customFormat="1" ht="29.1" customHeight="1" x14ac:dyDescent="0.25">
      <c r="A25865" s="2" t="s">
        <v>50397</v>
      </c>
      <c r="B25865" s="2" t="s">
        <v>50398</v>
      </c>
      <c r="C25865" s="2" t="s">
        <v>195</v>
      </c>
      <c r="D25865" s="2" t="s">
        <v>699</v>
      </c>
      <c r="E25865" s="2" t="str">
        <f>"9783110322309"</f>
        <v>9783110322309</v>
      </c>
      <c r="F25865" s="2" t="str">
        <f>"9783110322729"</f>
        <v>9783110322729</v>
      </c>
    </row>
    <row r="25866" spans="1:6" s="3" customFormat="1" ht="29.1" customHeight="1" x14ac:dyDescent="0.25">
      <c r="A25866" s="2" t="s">
        <v>50399</v>
      </c>
      <c r="B25866" s="2" t="s">
        <v>50400</v>
      </c>
      <c r="C25866" s="2" t="s">
        <v>195</v>
      </c>
      <c r="D25866" s="2" t="s">
        <v>2326</v>
      </c>
      <c r="E25866" s="2" t="str">
        <f>"9783110322293"</f>
        <v>9783110322293</v>
      </c>
      <c r="F25866" s="2" t="str">
        <f>"9783110322705"</f>
        <v>9783110322705</v>
      </c>
    </row>
    <row r="25867" spans="1:6" s="3" customFormat="1" ht="29.1" customHeight="1" x14ac:dyDescent="0.25">
      <c r="A25867" s="2" t="s">
        <v>50401</v>
      </c>
      <c r="B25867" s="2" t="s">
        <v>50402</v>
      </c>
      <c r="C25867" s="2" t="s">
        <v>195</v>
      </c>
      <c r="D25867" s="2" t="s">
        <v>2326</v>
      </c>
      <c r="E25867" s="2" t="str">
        <f>"9783110322262"</f>
        <v>9783110322262</v>
      </c>
      <c r="F25867" s="2" t="str">
        <f>"9783110322644"</f>
        <v>9783110322644</v>
      </c>
    </row>
    <row r="25868" spans="1:6" s="3" customFormat="1" ht="29.1" customHeight="1" x14ac:dyDescent="0.25">
      <c r="A25868" s="2" t="s">
        <v>50403</v>
      </c>
      <c r="B25868" s="2" t="s">
        <v>50404</v>
      </c>
      <c r="C25868" s="2" t="s">
        <v>195</v>
      </c>
      <c r="D25868" s="2" t="s">
        <v>339</v>
      </c>
      <c r="E25868" s="2" t="str">
        <f>"9783110322224"</f>
        <v>9783110322224</v>
      </c>
      <c r="F25868" s="2" t="str">
        <f>"9783110322569"</f>
        <v>9783110322569</v>
      </c>
    </row>
    <row r="25869" spans="1:6" s="3" customFormat="1" ht="29.1" customHeight="1" x14ac:dyDescent="0.25">
      <c r="A25869" s="2" t="s">
        <v>50405</v>
      </c>
      <c r="B25869" s="2" t="s">
        <v>50406</v>
      </c>
      <c r="C25869" s="2" t="s">
        <v>195</v>
      </c>
      <c r="D25869" s="2" t="s">
        <v>2326</v>
      </c>
      <c r="E25869" s="2" t="str">
        <f>"9783110322194"</f>
        <v>9783110322194</v>
      </c>
      <c r="F25869" s="2" t="str">
        <f>"9783110322507"</f>
        <v>9783110322507</v>
      </c>
    </row>
    <row r="25870" spans="1:6" s="3" customFormat="1" ht="29.1" customHeight="1" x14ac:dyDescent="0.25">
      <c r="A25870" s="2" t="s">
        <v>50407</v>
      </c>
      <c r="B25870" s="2" t="s">
        <v>50408</v>
      </c>
      <c r="C25870" s="2" t="s">
        <v>195</v>
      </c>
      <c r="D25870" s="2" t="s">
        <v>689</v>
      </c>
      <c r="E25870" s="2" t="str">
        <f>"9783110321050"</f>
        <v>9783110321050</v>
      </c>
      <c r="F25870" s="2" t="str">
        <f>"9783110321364"</f>
        <v>9783110321364</v>
      </c>
    </row>
    <row r="25871" spans="1:6" s="3" customFormat="1" ht="29.1" customHeight="1" x14ac:dyDescent="0.25">
      <c r="A25871" s="2" t="s">
        <v>50409</v>
      </c>
      <c r="B25871" s="2" t="s">
        <v>50374</v>
      </c>
      <c r="C25871" s="2" t="s">
        <v>195</v>
      </c>
      <c r="D25871" s="2" t="s">
        <v>2326</v>
      </c>
      <c r="E25871" s="2" t="str">
        <f>"9783110319996"</f>
        <v>9783110319996</v>
      </c>
      <c r="F25871" s="2" t="str">
        <f>"9783110320206"</f>
        <v>9783110320206</v>
      </c>
    </row>
    <row r="25872" spans="1:6" s="3" customFormat="1" ht="29.1" customHeight="1" x14ac:dyDescent="0.25">
      <c r="A25872" s="2" t="s">
        <v>50410</v>
      </c>
      <c r="B25872" s="2" t="s">
        <v>50412</v>
      </c>
      <c r="C25872" s="2" t="s">
        <v>195</v>
      </c>
      <c r="D25872" s="2" t="s">
        <v>50411</v>
      </c>
      <c r="E25872" s="2" t="str">
        <f>"9783110319262"</f>
        <v>9783110319262</v>
      </c>
      <c r="F25872" s="2" t="str">
        <f>"9783110319712"</f>
        <v>9783110319712</v>
      </c>
    </row>
    <row r="25873" spans="1:6" s="3" customFormat="1" ht="29.1" customHeight="1" x14ac:dyDescent="0.25">
      <c r="A25873" s="2" t="s">
        <v>50413</v>
      </c>
      <c r="B25873" s="2" t="s">
        <v>50414</v>
      </c>
      <c r="C25873" s="2" t="s">
        <v>11220</v>
      </c>
      <c r="D25873" s="2" t="s">
        <v>402</v>
      </c>
      <c r="E25873" s="2" t="str">
        <f>"9780814769744"</f>
        <v>9780814769744</v>
      </c>
      <c r="F25873" s="2" t="str">
        <f>"9780814744987"</f>
        <v>9780814744987</v>
      </c>
    </row>
    <row r="25874" spans="1:6" s="3" customFormat="1" ht="29.1" customHeight="1" x14ac:dyDescent="0.25">
      <c r="A25874" s="2" t="s">
        <v>50415</v>
      </c>
      <c r="B25874" s="2" t="s">
        <v>50416</v>
      </c>
      <c r="C25874" s="2" t="s">
        <v>34257</v>
      </c>
      <c r="D25874" s="2" t="s">
        <v>791</v>
      </c>
      <c r="E25874" s="2" t="str">
        <f>"9780745333717"</f>
        <v>9780745333717</v>
      </c>
      <c r="F25874" s="2" t="str">
        <f>"9781849649247"</f>
        <v>9781849649247</v>
      </c>
    </row>
    <row r="25875" spans="1:6" s="3" customFormat="1" ht="29.1" customHeight="1" x14ac:dyDescent="0.25">
      <c r="A25875" s="2" t="s">
        <v>50417</v>
      </c>
      <c r="B25875" s="2" t="s">
        <v>50418</v>
      </c>
      <c r="C25875" s="2" t="s">
        <v>124</v>
      </c>
      <c r="D25875" s="2" t="s">
        <v>402</v>
      </c>
      <c r="E25875" s="2" t="str">
        <f>"9780415277549"</f>
        <v>9780415277549</v>
      </c>
      <c r="F25875" s="2" t="str">
        <f>"9780203642375"</f>
        <v>9780203642375</v>
      </c>
    </row>
    <row r="25876" spans="1:6" s="3" customFormat="1" ht="29.1" customHeight="1" x14ac:dyDescent="0.25">
      <c r="A25876" s="2" t="s">
        <v>50419</v>
      </c>
      <c r="B25876" s="2" t="s">
        <v>50420</v>
      </c>
      <c r="C25876" s="2" t="s">
        <v>1070</v>
      </c>
      <c r="D25876" s="2" t="s">
        <v>1498</v>
      </c>
      <c r="E25876" s="2" t="str">
        <f>"9781908541185"</f>
        <v>9781908541185</v>
      </c>
      <c r="F25876" s="2" t="str">
        <f>"9781908541451"</f>
        <v>9781908541451</v>
      </c>
    </row>
    <row r="25877" spans="1:6" s="3" customFormat="1" ht="29.1" customHeight="1" x14ac:dyDescent="0.25">
      <c r="A25877" s="2" t="s">
        <v>50421</v>
      </c>
      <c r="B25877" s="2" t="s">
        <v>50422</v>
      </c>
      <c r="C25877" s="2" t="s">
        <v>264</v>
      </c>
      <c r="D25877" s="2" t="s">
        <v>29820</v>
      </c>
      <c r="E25877" s="2" t="str">
        <f>"9781466518186"</f>
        <v>9781466518186</v>
      </c>
      <c r="F25877" s="2" t="str">
        <f>"9781466518193"</f>
        <v>9781466518193</v>
      </c>
    </row>
    <row r="25878" spans="1:6" s="3" customFormat="1" ht="29.1" customHeight="1" x14ac:dyDescent="0.25">
      <c r="A25878" s="2" t="s">
        <v>50423</v>
      </c>
      <c r="B25878" s="2" t="s">
        <v>50424</v>
      </c>
      <c r="C25878" s="2" t="s">
        <v>927</v>
      </c>
      <c r="D25878" s="2" t="s">
        <v>297</v>
      </c>
      <c r="E25878" s="2" t="str">
        <f>"9780472051984"</f>
        <v>9780472051984</v>
      </c>
      <c r="F25878" s="2" t="str">
        <f>"9780472029471"</f>
        <v>9780472029471</v>
      </c>
    </row>
    <row r="25879" spans="1:6" s="3" customFormat="1" ht="29.1" customHeight="1" x14ac:dyDescent="0.25">
      <c r="A25879" s="2" t="s">
        <v>50425</v>
      </c>
      <c r="B25879" s="2" t="s">
        <v>50426</v>
      </c>
      <c r="C25879" s="2" t="s">
        <v>124</v>
      </c>
      <c r="D25879" s="2" t="s">
        <v>7436</v>
      </c>
      <c r="E25879" s="2" t="str">
        <f>"9781412847674"</f>
        <v>9781412847674</v>
      </c>
      <c r="F25879" s="2" t="str">
        <f>"9781412847193"</f>
        <v>9781412847193</v>
      </c>
    </row>
    <row r="25880" spans="1:6" s="3" customFormat="1" ht="29.1" customHeight="1" x14ac:dyDescent="0.25">
      <c r="A25880" s="2" t="s">
        <v>47304</v>
      </c>
      <c r="B25880" s="2" t="s">
        <v>47305</v>
      </c>
      <c r="C25880" s="2" t="s">
        <v>149</v>
      </c>
      <c r="D25880" s="2" t="s">
        <v>689</v>
      </c>
      <c r="E25880" s="2" t="str">
        <f>"9781909254459"</f>
        <v>9781909254459</v>
      </c>
      <c r="F25880" s="2" t="str">
        <f>"9781909254466"</f>
        <v>9781909254466</v>
      </c>
    </row>
    <row r="25881" spans="1:6" s="3" customFormat="1" ht="29.1" customHeight="1" x14ac:dyDescent="0.25">
      <c r="A25881" s="2" t="s">
        <v>50427</v>
      </c>
      <c r="B25881" s="2" t="s">
        <v>44834</v>
      </c>
      <c r="C25881" s="2" t="s">
        <v>149</v>
      </c>
      <c r="D25881" s="2" t="s">
        <v>3993</v>
      </c>
      <c r="E25881" s="2" t="str">
        <f>"9781909254367"</f>
        <v>9781909254367</v>
      </c>
      <c r="F25881" s="2" t="str">
        <f>"9781909254374"</f>
        <v>9781909254374</v>
      </c>
    </row>
    <row r="25882" spans="1:6" s="3" customFormat="1" ht="29.1" customHeight="1" x14ac:dyDescent="0.25">
      <c r="A25882" s="2" t="s">
        <v>50428</v>
      </c>
      <c r="B25882" s="2" t="s">
        <v>47947</v>
      </c>
      <c r="C25882" s="2" t="s">
        <v>149</v>
      </c>
      <c r="D25882" s="2" t="s">
        <v>6187</v>
      </c>
      <c r="E25882" s="2" t="str">
        <f>"9781909254213"</f>
        <v>9781909254213</v>
      </c>
      <c r="F25882" s="2" t="str">
        <f>"9781909254220"</f>
        <v>9781909254220</v>
      </c>
    </row>
    <row r="25883" spans="1:6" s="3" customFormat="1" ht="29.1" customHeight="1" x14ac:dyDescent="0.25">
      <c r="A25883" s="2" t="s">
        <v>50429</v>
      </c>
      <c r="B25883" s="2" t="s">
        <v>50430</v>
      </c>
      <c r="C25883" s="2" t="s">
        <v>149</v>
      </c>
      <c r="D25883" s="2" t="s">
        <v>9810</v>
      </c>
      <c r="E25883" s="2" t="str">
        <f>"9781909254268"</f>
        <v>9781909254268</v>
      </c>
      <c r="F25883" s="2" t="str">
        <f>"9781909254275"</f>
        <v>9781909254275</v>
      </c>
    </row>
    <row r="25884" spans="1:6" s="3" customFormat="1" ht="29.1" customHeight="1" x14ac:dyDescent="0.25">
      <c r="A25884" s="2" t="s">
        <v>50431</v>
      </c>
      <c r="B25884" s="2" t="s">
        <v>43833</v>
      </c>
      <c r="C25884" s="2" t="s">
        <v>149</v>
      </c>
      <c r="D25884" s="2" t="s">
        <v>34544</v>
      </c>
      <c r="E25884" s="2" t="str">
        <f>"9781909254169"</f>
        <v>9781909254169</v>
      </c>
      <c r="F25884" s="2" t="str">
        <f>"9781909254176"</f>
        <v>9781909254176</v>
      </c>
    </row>
    <row r="25885" spans="1:6" s="3" customFormat="1" ht="29.1" customHeight="1" x14ac:dyDescent="0.25">
      <c r="A25885" s="2" t="s">
        <v>50432</v>
      </c>
      <c r="B25885" s="2" t="s">
        <v>48824</v>
      </c>
      <c r="C25885" s="2" t="s">
        <v>149</v>
      </c>
      <c r="D25885" s="2" t="s">
        <v>1669</v>
      </c>
      <c r="E25885" s="2" t="str">
        <f>"9781909254114"</f>
        <v>9781909254114</v>
      </c>
      <c r="F25885" s="2" t="str">
        <f>"9781909254121"</f>
        <v>9781909254121</v>
      </c>
    </row>
    <row r="25886" spans="1:6" s="3" customFormat="1" ht="29.1" customHeight="1" x14ac:dyDescent="0.25">
      <c r="A25886" s="2" t="s">
        <v>50433</v>
      </c>
      <c r="B25886" s="2" t="s">
        <v>50434</v>
      </c>
      <c r="C25886" s="2" t="s">
        <v>149</v>
      </c>
      <c r="D25886" s="2" t="s">
        <v>1209</v>
      </c>
      <c r="E25886" s="2" t="str">
        <f>"9781906924935"</f>
        <v>9781906924935</v>
      </c>
      <c r="F25886" s="2" t="str">
        <f>"9781906924942"</f>
        <v>9781906924942</v>
      </c>
    </row>
    <row r="25887" spans="1:6" s="3" customFormat="1" ht="29.1" customHeight="1" x14ac:dyDescent="0.25">
      <c r="A25887" s="2" t="s">
        <v>50435</v>
      </c>
      <c r="B25887" s="2" t="s">
        <v>50436</v>
      </c>
      <c r="C25887" s="2" t="s">
        <v>149</v>
      </c>
      <c r="D25887" s="2" t="s">
        <v>1432</v>
      </c>
      <c r="E25887" s="2" t="str">
        <f>"9781906924881"</f>
        <v>9781906924881</v>
      </c>
      <c r="F25887" s="2" t="str">
        <f>"9781906924898"</f>
        <v>9781906924898</v>
      </c>
    </row>
    <row r="25888" spans="1:6" s="3" customFormat="1" ht="29.1" customHeight="1" x14ac:dyDescent="0.25">
      <c r="A25888" s="2" t="s">
        <v>50437</v>
      </c>
      <c r="B25888" s="2" t="s">
        <v>50438</v>
      </c>
      <c r="C25888" s="2" t="s">
        <v>149</v>
      </c>
      <c r="D25888" s="2" t="s">
        <v>30819</v>
      </c>
      <c r="E25888" s="2" t="str">
        <f>"9781906924782"</f>
        <v>9781906924782</v>
      </c>
      <c r="F25888" s="2" t="str">
        <f>"9781906924799"</f>
        <v>9781906924799</v>
      </c>
    </row>
    <row r="25889" spans="1:6" s="3" customFormat="1" ht="29.1" customHeight="1" x14ac:dyDescent="0.25">
      <c r="A25889" s="2" t="s">
        <v>50439</v>
      </c>
      <c r="B25889" s="2" t="s">
        <v>6208</v>
      </c>
      <c r="C25889" s="2" t="s">
        <v>149</v>
      </c>
      <c r="D25889" s="2" t="s">
        <v>6896</v>
      </c>
      <c r="E25889" s="2" t="str">
        <f>"9781906924713"</f>
        <v>9781906924713</v>
      </c>
      <c r="F25889" s="2" t="str">
        <f>"9781906924720"</f>
        <v>9781906924720</v>
      </c>
    </row>
    <row r="25890" spans="1:6" s="3" customFormat="1" ht="29.1" customHeight="1" x14ac:dyDescent="0.25">
      <c r="A25890" s="2" t="s">
        <v>50440</v>
      </c>
      <c r="B25890" s="2" t="s">
        <v>50441</v>
      </c>
      <c r="C25890" s="2" t="s">
        <v>149</v>
      </c>
      <c r="D25890" s="2" t="s">
        <v>9810</v>
      </c>
      <c r="E25890" s="2" t="str">
        <f>"9781906924669"</f>
        <v>9781906924669</v>
      </c>
      <c r="F25890" s="2" t="str">
        <f>"9781906924676"</f>
        <v>9781906924676</v>
      </c>
    </row>
    <row r="25891" spans="1:6" s="3" customFormat="1" ht="29.1" customHeight="1" x14ac:dyDescent="0.25">
      <c r="A25891" s="2" t="s">
        <v>50442</v>
      </c>
      <c r="B25891" s="2" t="s">
        <v>50444</v>
      </c>
      <c r="C25891" s="2" t="s">
        <v>149</v>
      </c>
      <c r="D25891" s="2" t="s">
        <v>50443</v>
      </c>
      <c r="E25891" s="2" t="str">
        <f>"9781906924577"</f>
        <v>9781906924577</v>
      </c>
      <c r="F25891" s="2" t="str">
        <f>"9781906924584"</f>
        <v>9781906924584</v>
      </c>
    </row>
    <row r="25892" spans="1:6" s="3" customFormat="1" ht="29.1" customHeight="1" x14ac:dyDescent="0.25">
      <c r="A25892" s="2" t="s">
        <v>50445</v>
      </c>
      <c r="B25892" s="2" t="s">
        <v>43833</v>
      </c>
      <c r="C25892" s="2" t="s">
        <v>149</v>
      </c>
      <c r="D25892" s="2" t="s">
        <v>118</v>
      </c>
      <c r="E25892" s="2" t="str">
        <f>"9781906924546"</f>
        <v>9781906924546</v>
      </c>
      <c r="F25892" s="2" t="str">
        <f>"9781906924553"</f>
        <v>9781906924553</v>
      </c>
    </row>
    <row r="25893" spans="1:6" s="3" customFormat="1" ht="29.1" customHeight="1" x14ac:dyDescent="0.25">
      <c r="A25893" s="2" t="s">
        <v>50446</v>
      </c>
      <c r="B25893" s="2" t="s">
        <v>42622</v>
      </c>
      <c r="C25893" s="2" t="s">
        <v>149</v>
      </c>
      <c r="D25893" s="2" t="s">
        <v>50447</v>
      </c>
      <c r="E25893" s="2" t="str">
        <f>"9781906924515"</f>
        <v>9781906924515</v>
      </c>
      <c r="F25893" s="2" t="str">
        <f>"9781906924522"</f>
        <v>9781906924522</v>
      </c>
    </row>
    <row r="25894" spans="1:6" s="3" customFormat="1" ht="29.1" customHeight="1" x14ac:dyDescent="0.25">
      <c r="A25894" s="2" t="s">
        <v>50448</v>
      </c>
      <c r="B25894" s="2" t="s">
        <v>50449</v>
      </c>
      <c r="C25894" s="2" t="s">
        <v>149</v>
      </c>
      <c r="D25894" s="2" t="s">
        <v>8553</v>
      </c>
      <c r="E25894" s="2" t="str">
        <f>"9781906924461"</f>
        <v>9781906924461</v>
      </c>
      <c r="F25894" s="2" t="str">
        <f>"9781906924478"</f>
        <v>9781906924478</v>
      </c>
    </row>
    <row r="25895" spans="1:6" s="3" customFormat="1" ht="29.1" customHeight="1" x14ac:dyDescent="0.25">
      <c r="A25895" s="2" t="s">
        <v>50450</v>
      </c>
      <c r="B25895" s="2" t="s">
        <v>50451</v>
      </c>
      <c r="C25895" s="2" t="s">
        <v>149</v>
      </c>
      <c r="D25895" s="2" t="s">
        <v>215</v>
      </c>
      <c r="E25895" s="2" t="str">
        <f>"9781906924430"</f>
        <v>9781906924430</v>
      </c>
      <c r="F25895" s="2" t="str">
        <f>"9781906924447"</f>
        <v>9781906924447</v>
      </c>
    </row>
    <row r="25896" spans="1:6" s="3" customFormat="1" ht="29.1" customHeight="1" x14ac:dyDescent="0.25">
      <c r="A25896" s="2" t="s">
        <v>50452</v>
      </c>
      <c r="B25896" s="2" t="s">
        <v>50453</v>
      </c>
      <c r="C25896" s="2" t="s">
        <v>149</v>
      </c>
      <c r="D25896" s="2" t="s">
        <v>2462</v>
      </c>
      <c r="E25896" s="2" t="str">
        <f>"9781906924409"</f>
        <v>9781906924409</v>
      </c>
      <c r="F25896" s="2" t="str">
        <f>"9781906924416"</f>
        <v>9781906924416</v>
      </c>
    </row>
    <row r="25897" spans="1:6" s="3" customFormat="1" ht="29.1" customHeight="1" x14ac:dyDescent="0.25">
      <c r="A25897" s="2" t="s">
        <v>50454</v>
      </c>
      <c r="B25897" s="2" t="s">
        <v>50455</v>
      </c>
      <c r="C25897" s="2" t="s">
        <v>149</v>
      </c>
      <c r="D25897" s="2" t="s">
        <v>465</v>
      </c>
      <c r="E25897" s="2" t="str">
        <f>"9781906924379"</f>
        <v>9781906924379</v>
      </c>
      <c r="F25897" s="2" t="str">
        <f>"9781906924386"</f>
        <v>9781906924386</v>
      </c>
    </row>
    <row r="25898" spans="1:6" s="3" customFormat="1" ht="29.1" customHeight="1" x14ac:dyDescent="0.25">
      <c r="A25898" s="2" t="s">
        <v>50456</v>
      </c>
      <c r="B25898" s="2" t="s">
        <v>6208</v>
      </c>
      <c r="C25898" s="2" t="s">
        <v>149</v>
      </c>
      <c r="D25898" s="2" t="s">
        <v>50457</v>
      </c>
      <c r="E25898" s="2" t="str">
        <f>"9781906924348"</f>
        <v>9781906924348</v>
      </c>
      <c r="F25898" s="2" t="str">
        <f>"9781906924355"</f>
        <v>9781906924355</v>
      </c>
    </row>
    <row r="25899" spans="1:6" s="3" customFormat="1" ht="29.1" customHeight="1" x14ac:dyDescent="0.25">
      <c r="A25899" s="2" t="s">
        <v>50458</v>
      </c>
      <c r="B25899" s="2" t="s">
        <v>50459</v>
      </c>
      <c r="C25899" s="2" t="s">
        <v>149</v>
      </c>
      <c r="D25899" s="2" t="s">
        <v>3043</v>
      </c>
      <c r="E25899" s="2" t="str">
        <f>"9781906924300"</f>
        <v>9781906924300</v>
      </c>
      <c r="F25899" s="2" t="str">
        <f>"9781906924324"</f>
        <v>9781906924324</v>
      </c>
    </row>
    <row r="25900" spans="1:6" s="3" customFormat="1" ht="29.1" customHeight="1" x14ac:dyDescent="0.25">
      <c r="A25900" s="2" t="s">
        <v>50460</v>
      </c>
      <c r="B25900" s="2" t="s">
        <v>43835</v>
      </c>
      <c r="C25900" s="2" t="s">
        <v>149</v>
      </c>
      <c r="D25900" s="2" t="s">
        <v>5832</v>
      </c>
      <c r="E25900" s="2" t="str">
        <f>"9781906924270"</f>
        <v>9781906924270</v>
      </c>
      <c r="F25900" s="2" t="str">
        <f>"9781906924294"</f>
        <v>9781906924294</v>
      </c>
    </row>
    <row r="25901" spans="1:6" s="3" customFormat="1" ht="29.1" customHeight="1" x14ac:dyDescent="0.25">
      <c r="A25901" s="2" t="s">
        <v>50461</v>
      </c>
      <c r="B25901" s="2" t="s">
        <v>50462</v>
      </c>
      <c r="C25901" s="2" t="s">
        <v>149</v>
      </c>
      <c r="D25901" s="2" t="s">
        <v>459</v>
      </c>
      <c r="E25901" s="2" t="str">
        <f>"9781906924249"</f>
        <v>9781906924249</v>
      </c>
      <c r="F25901" s="2" t="str">
        <f>"9781906924263"</f>
        <v>9781906924263</v>
      </c>
    </row>
    <row r="25902" spans="1:6" s="3" customFormat="1" ht="29.1" customHeight="1" x14ac:dyDescent="0.25">
      <c r="A25902" s="2" t="s">
        <v>50463</v>
      </c>
      <c r="B25902" s="2" t="s">
        <v>50464</v>
      </c>
      <c r="C25902" s="2" t="s">
        <v>149</v>
      </c>
      <c r="D25902" s="2" t="s">
        <v>1999</v>
      </c>
      <c r="E25902" s="2" t="str">
        <f>"9781906924218"</f>
        <v>9781906924218</v>
      </c>
      <c r="F25902" s="2" t="str">
        <f>"9781906924232"</f>
        <v>9781906924232</v>
      </c>
    </row>
    <row r="25903" spans="1:6" s="3" customFormat="1" ht="29.1" customHeight="1" x14ac:dyDescent="0.25">
      <c r="A25903" s="2" t="s">
        <v>50465</v>
      </c>
      <c r="B25903" s="2" t="s">
        <v>50466</v>
      </c>
      <c r="C25903" s="2" t="s">
        <v>149</v>
      </c>
      <c r="D25903" s="2" t="s">
        <v>8553</v>
      </c>
      <c r="E25903" s="2" t="str">
        <f>"9781906924188"</f>
        <v>9781906924188</v>
      </c>
      <c r="F25903" s="2" t="str">
        <f>"9781906924201"</f>
        <v>9781906924201</v>
      </c>
    </row>
    <row r="25904" spans="1:6" s="3" customFormat="1" ht="29.1" customHeight="1" x14ac:dyDescent="0.25">
      <c r="A25904" s="2" t="s">
        <v>50467</v>
      </c>
      <c r="B25904" s="2" t="s">
        <v>50468</v>
      </c>
      <c r="C25904" s="2" t="s">
        <v>149</v>
      </c>
      <c r="D25904" s="2" t="s">
        <v>5832</v>
      </c>
      <c r="E25904" s="2" t="str">
        <f>"9781906924157"</f>
        <v>9781906924157</v>
      </c>
      <c r="F25904" s="2" t="str">
        <f>"9781906924171"</f>
        <v>9781906924171</v>
      </c>
    </row>
    <row r="25905" spans="1:6" s="3" customFormat="1" ht="29.1" customHeight="1" x14ac:dyDescent="0.25">
      <c r="A25905" s="2" t="s">
        <v>50469</v>
      </c>
      <c r="B25905" s="2" t="s">
        <v>50470</v>
      </c>
      <c r="C25905" s="2" t="s">
        <v>149</v>
      </c>
      <c r="D25905" s="2" t="s">
        <v>45587</v>
      </c>
      <c r="E25905" s="2" t="str">
        <f>"9781906924126"</f>
        <v>9781906924126</v>
      </c>
      <c r="F25905" s="2" t="str">
        <f>"9781906924140"</f>
        <v>9781906924140</v>
      </c>
    </row>
    <row r="25906" spans="1:6" s="3" customFormat="1" ht="29.1" customHeight="1" x14ac:dyDescent="0.25">
      <c r="A25906" s="2" t="s">
        <v>50471</v>
      </c>
      <c r="B25906" s="2" t="s">
        <v>50472</v>
      </c>
      <c r="C25906" s="2" t="s">
        <v>149</v>
      </c>
      <c r="D25906" s="2" t="s">
        <v>446</v>
      </c>
      <c r="E25906" s="2" t="str">
        <f>"9781906924096"</f>
        <v>9781906924096</v>
      </c>
      <c r="F25906" s="2" t="str">
        <f>"9781906924119"</f>
        <v>9781906924119</v>
      </c>
    </row>
    <row r="25907" spans="1:6" s="3" customFormat="1" ht="29.1" customHeight="1" x14ac:dyDescent="0.25">
      <c r="A25907" s="2" t="s">
        <v>50473</v>
      </c>
      <c r="B25907" s="2" t="s">
        <v>47947</v>
      </c>
      <c r="C25907" s="2" t="s">
        <v>149</v>
      </c>
      <c r="D25907" s="2" t="s">
        <v>1183</v>
      </c>
      <c r="E25907" s="2" t="str">
        <f>"9781906924065"</f>
        <v>9781906924065</v>
      </c>
      <c r="F25907" s="2" t="str">
        <f>"9781906924089"</f>
        <v>9781906924089</v>
      </c>
    </row>
    <row r="25908" spans="1:6" s="3" customFormat="1" ht="29.1" customHeight="1" x14ac:dyDescent="0.25">
      <c r="A25908" s="2" t="s">
        <v>50474</v>
      </c>
      <c r="B25908" s="2" t="s">
        <v>50475</v>
      </c>
      <c r="C25908" s="2" t="s">
        <v>149</v>
      </c>
      <c r="D25908" s="2" t="s">
        <v>1198</v>
      </c>
      <c r="E25908" s="2" t="str">
        <f>"9781906924041"</f>
        <v>9781906924041</v>
      </c>
      <c r="F25908" s="2" t="str">
        <f>"9781906924058"</f>
        <v>9781906924058</v>
      </c>
    </row>
    <row r="25909" spans="1:6" s="3" customFormat="1" ht="29.1" customHeight="1" x14ac:dyDescent="0.25">
      <c r="A25909" s="2" t="s">
        <v>50476</v>
      </c>
      <c r="B25909" s="2" t="s">
        <v>50477</v>
      </c>
      <c r="C25909" s="2" t="s">
        <v>149</v>
      </c>
      <c r="D25909" s="2" t="s">
        <v>30364</v>
      </c>
      <c r="E25909" s="2" t="str">
        <f>"9781906924010"</f>
        <v>9781906924010</v>
      </c>
      <c r="F25909" s="2" t="str">
        <f>"9781906924027"</f>
        <v>9781906924027</v>
      </c>
    </row>
    <row r="25910" spans="1:6" s="3" customFormat="1" ht="29.1" customHeight="1" x14ac:dyDescent="0.25">
      <c r="A25910" s="2" t="s">
        <v>50478</v>
      </c>
      <c r="B25910" s="2" t="s">
        <v>50479</v>
      </c>
      <c r="C25910" s="2" t="s">
        <v>34257</v>
      </c>
      <c r="D25910" s="2" t="s">
        <v>636</v>
      </c>
      <c r="E25910" s="2" t="str">
        <f>"9780745333533"</f>
        <v>9780745333533</v>
      </c>
      <c r="F25910" s="2" t="str">
        <f>"9781849649186"</f>
        <v>9781849649186</v>
      </c>
    </row>
    <row r="25911" spans="1:6" s="3" customFormat="1" ht="29.1" customHeight="1" x14ac:dyDescent="0.25">
      <c r="A25911" s="2" t="s">
        <v>50480</v>
      </c>
      <c r="B25911" s="2" t="s">
        <v>50481</v>
      </c>
      <c r="C25911" s="2" t="s">
        <v>927</v>
      </c>
      <c r="D25911" s="2" t="s">
        <v>297</v>
      </c>
      <c r="E25911" s="2" t="str">
        <f>"9780472035373"</f>
        <v>9780472035373</v>
      </c>
      <c r="F25911" s="2" t="str">
        <f>"9780472029402"</f>
        <v>9780472029402</v>
      </c>
    </row>
    <row r="25912" spans="1:6" s="3" customFormat="1" ht="29.1" customHeight="1" x14ac:dyDescent="0.25">
      <c r="A25912" s="2" t="s">
        <v>50482</v>
      </c>
      <c r="B25912" s="2" t="s">
        <v>50483</v>
      </c>
      <c r="C25912" s="2" t="s">
        <v>34257</v>
      </c>
      <c r="D25912" s="2" t="s">
        <v>694</v>
      </c>
      <c r="E25912" s="2" t="str">
        <f>"9780745333632"</f>
        <v>9780745333632</v>
      </c>
      <c r="F25912" s="2" t="str">
        <f>"9781849648943"</f>
        <v>9781849648943</v>
      </c>
    </row>
    <row r="25913" spans="1:6" s="3" customFormat="1" ht="29.1" customHeight="1" x14ac:dyDescent="0.25">
      <c r="A25913" s="2" t="s">
        <v>45981</v>
      </c>
      <c r="B25913" s="2" t="s">
        <v>45980</v>
      </c>
      <c r="C25913" s="2" t="s">
        <v>595</v>
      </c>
      <c r="D25913" s="2" t="s">
        <v>446</v>
      </c>
      <c r="E25913" s="2" t="str">
        <f>"9783034313995"</f>
        <v>9783034313995</v>
      </c>
      <c r="F25913" s="2" t="str">
        <f>"9783035105506"</f>
        <v>9783035105506</v>
      </c>
    </row>
    <row r="25914" spans="1:6" s="3" customFormat="1" ht="29.1" customHeight="1" x14ac:dyDescent="0.25">
      <c r="A25914" s="2" t="s">
        <v>50484</v>
      </c>
      <c r="B25914" s="2" t="s">
        <v>50485</v>
      </c>
      <c r="C25914" s="2" t="s">
        <v>264</v>
      </c>
      <c r="D25914" s="2" t="s">
        <v>6212</v>
      </c>
      <c r="E25914" s="2" t="str">
        <f>"9781439886939"</f>
        <v>9781439886939</v>
      </c>
      <c r="F25914" s="2" t="str">
        <f>"9781439886946"</f>
        <v>9781439886946</v>
      </c>
    </row>
    <row r="25915" spans="1:6" s="3" customFormat="1" ht="29.1" customHeight="1" x14ac:dyDescent="0.25">
      <c r="A25915" s="2" t="s">
        <v>50486</v>
      </c>
      <c r="B25915" s="2" t="s">
        <v>50487</v>
      </c>
      <c r="C25915" s="2" t="s">
        <v>11220</v>
      </c>
      <c r="D25915" s="2" t="s">
        <v>1411</v>
      </c>
      <c r="E25915" s="2" t="str">
        <f>"9780814708453"</f>
        <v>9780814708453</v>
      </c>
      <c r="F25915" s="2" t="str">
        <f>"9780814723838"</f>
        <v>9780814723838</v>
      </c>
    </row>
    <row r="25916" spans="1:6" s="3" customFormat="1" ht="29.1" customHeight="1" x14ac:dyDescent="0.25">
      <c r="A25916" s="2" t="s">
        <v>50488</v>
      </c>
      <c r="B25916" s="2" t="s">
        <v>50489</v>
      </c>
      <c r="C25916" s="2" t="s">
        <v>29</v>
      </c>
      <c r="D25916" s="2" t="s">
        <v>150</v>
      </c>
      <c r="E25916" s="2" t="str">
        <f>"9789004251328"</f>
        <v>9789004251328</v>
      </c>
      <c r="F25916" s="2" t="str">
        <f>"9789004251335"</f>
        <v>9789004251335</v>
      </c>
    </row>
    <row r="25917" spans="1:6" s="3" customFormat="1" ht="29.1" customHeight="1" x14ac:dyDescent="0.25">
      <c r="A25917" s="2" t="s">
        <v>1277</v>
      </c>
      <c r="B25917" s="2" t="s">
        <v>50490</v>
      </c>
      <c r="C25917" s="2" t="s">
        <v>1070</v>
      </c>
      <c r="D25917" s="2" t="s">
        <v>1278</v>
      </c>
      <c r="E25917" s="2"/>
      <c r="F25917" s="2" t="str">
        <f>"9781908541444"</f>
        <v>9781908541444</v>
      </c>
    </row>
    <row r="25918" spans="1:6" s="3" customFormat="1" ht="29.1" customHeight="1" x14ac:dyDescent="0.25">
      <c r="A25918" s="2" t="s">
        <v>50491</v>
      </c>
      <c r="B25918" s="2" t="s">
        <v>50492</v>
      </c>
      <c r="C25918" s="2" t="s">
        <v>1070</v>
      </c>
      <c r="D25918" s="2" t="s">
        <v>1310</v>
      </c>
      <c r="E25918" s="2"/>
      <c r="F25918" s="2" t="str">
        <f>"9781908541352"</f>
        <v>9781908541352</v>
      </c>
    </row>
    <row r="25919" spans="1:6" s="3" customFormat="1" ht="29.1" customHeight="1" x14ac:dyDescent="0.25">
      <c r="A25919" s="2" t="s">
        <v>50493</v>
      </c>
      <c r="B25919" s="2" t="s">
        <v>50494</v>
      </c>
      <c r="C25919" s="2" t="s">
        <v>1070</v>
      </c>
      <c r="D25919" s="2" t="s">
        <v>1265</v>
      </c>
      <c r="E25919" s="2" t="str">
        <f>"9781908541369"</f>
        <v>9781908541369</v>
      </c>
      <c r="F25919" s="2" t="str">
        <f>"9781908541383"</f>
        <v>9781908541383</v>
      </c>
    </row>
    <row r="25920" spans="1:6" s="3" customFormat="1" ht="29.1" customHeight="1" x14ac:dyDescent="0.25">
      <c r="A25920" s="2" t="s">
        <v>1508</v>
      </c>
      <c r="B25920" s="2" t="s">
        <v>50495</v>
      </c>
      <c r="C25920" s="2" t="s">
        <v>1070</v>
      </c>
      <c r="D25920" s="2" t="s">
        <v>1299</v>
      </c>
      <c r="E25920" s="2" t="str">
        <f>"9781908541130"</f>
        <v>9781908541130</v>
      </c>
      <c r="F25920" s="2" t="str">
        <f>"9781908541413"</f>
        <v>9781908541413</v>
      </c>
    </row>
    <row r="25921" spans="1:6" s="3" customFormat="1" ht="29.1" customHeight="1" x14ac:dyDescent="0.25">
      <c r="A25921" s="2" t="s">
        <v>50496</v>
      </c>
      <c r="B25921" s="2" t="s">
        <v>50497</v>
      </c>
      <c r="C25921" s="2" t="s">
        <v>927</v>
      </c>
      <c r="D25921" s="2" t="s">
        <v>9</v>
      </c>
      <c r="E25921" s="2" t="str">
        <f>"9780472118786"</f>
        <v>9780472118786</v>
      </c>
      <c r="F25921" s="2" t="str">
        <f>"9780472029136"</f>
        <v>9780472029136</v>
      </c>
    </row>
    <row r="25922" spans="1:6" s="3" customFormat="1" ht="29.1" customHeight="1" x14ac:dyDescent="0.25">
      <c r="A25922" s="2" t="s">
        <v>50498</v>
      </c>
      <c r="B25922" s="2" t="s">
        <v>50499</v>
      </c>
      <c r="C25922" s="2" t="s">
        <v>927</v>
      </c>
      <c r="D25922" s="2" t="s">
        <v>9</v>
      </c>
      <c r="E25922" s="2" t="str">
        <f>"9780472118724"</f>
        <v>9780472118724</v>
      </c>
      <c r="F25922" s="2" t="str">
        <f>"9780472029075"</f>
        <v>9780472029075</v>
      </c>
    </row>
    <row r="25923" spans="1:6" s="3" customFormat="1" ht="29.1" customHeight="1" x14ac:dyDescent="0.25">
      <c r="A25923" s="2" t="s">
        <v>50500</v>
      </c>
      <c r="B25923" s="2" t="s">
        <v>50501</v>
      </c>
      <c r="C25923" s="2" t="s">
        <v>5</v>
      </c>
      <c r="D25923" s="2" t="s">
        <v>12709</v>
      </c>
      <c r="E25923" s="2" t="str">
        <f>"9784431543930"</f>
        <v>9784431543930</v>
      </c>
      <c r="F25923" s="2" t="str">
        <f>"9784431543947"</f>
        <v>9784431543947</v>
      </c>
    </row>
    <row r="25924" spans="1:6" s="3" customFormat="1" ht="29.1" customHeight="1" x14ac:dyDescent="0.25">
      <c r="A25924" s="2" t="s">
        <v>20011</v>
      </c>
      <c r="B25924" s="2" t="s">
        <v>20012</v>
      </c>
      <c r="C25924" s="2" t="s">
        <v>5</v>
      </c>
      <c r="D25924" s="2" t="s">
        <v>12</v>
      </c>
      <c r="E25924" s="2" t="str">
        <f>"9784431543275"</f>
        <v>9784431543275</v>
      </c>
      <c r="F25924" s="2" t="str">
        <f>"9784431543282"</f>
        <v>9784431543282</v>
      </c>
    </row>
    <row r="25925" spans="1:6" s="3" customFormat="1" ht="29.1" customHeight="1" x14ac:dyDescent="0.25">
      <c r="A25925" s="2" t="s">
        <v>50502</v>
      </c>
      <c r="B25925" s="2" t="s">
        <v>50503</v>
      </c>
      <c r="C25925" s="2" t="s">
        <v>4788</v>
      </c>
      <c r="D25925" s="2" t="s">
        <v>868</v>
      </c>
      <c r="E25925" s="2" t="str">
        <f>"9780748669936"</f>
        <v>9780748669936</v>
      </c>
      <c r="F25925" s="2" t="str">
        <f>"9780748669943"</f>
        <v>9780748669943</v>
      </c>
    </row>
    <row r="25926" spans="1:6" s="3" customFormat="1" ht="29.1" customHeight="1" x14ac:dyDescent="0.25">
      <c r="A25926" s="2" t="s">
        <v>50504</v>
      </c>
      <c r="B25926" s="2" t="s">
        <v>50505</v>
      </c>
      <c r="C25926" s="2" t="s">
        <v>264</v>
      </c>
      <c r="D25926" s="2" t="s">
        <v>2475</v>
      </c>
      <c r="E25926" s="2" t="str">
        <f>"9781439869895"</f>
        <v>9781439869895</v>
      </c>
      <c r="F25926" s="2" t="str">
        <f>"9781439869901"</f>
        <v>9781439869901</v>
      </c>
    </row>
    <row r="25927" spans="1:6" s="3" customFormat="1" ht="29.1" customHeight="1" x14ac:dyDescent="0.25">
      <c r="A25927" s="2" t="s">
        <v>50506</v>
      </c>
      <c r="B25927" s="2" t="s">
        <v>50507</v>
      </c>
      <c r="C25927" s="2" t="s">
        <v>62</v>
      </c>
      <c r="D25927" s="2" t="s">
        <v>4064</v>
      </c>
      <c r="E25927" s="2" t="str">
        <f>"9783428129430"</f>
        <v>9783428129430</v>
      </c>
      <c r="F25927" s="2" t="str">
        <f>"9783428529438"</f>
        <v>9783428529438</v>
      </c>
    </row>
    <row r="25928" spans="1:6" s="3" customFormat="1" ht="29.1" customHeight="1" x14ac:dyDescent="0.25">
      <c r="A25928" s="2" t="s">
        <v>50508</v>
      </c>
      <c r="B25928" s="2" t="s">
        <v>50509</v>
      </c>
      <c r="C25928" s="2" t="s">
        <v>62</v>
      </c>
      <c r="D25928" s="2" t="s">
        <v>4210</v>
      </c>
      <c r="E25928" s="2" t="str">
        <f>"9783428115358"</f>
        <v>9783428115358</v>
      </c>
      <c r="F25928" s="2" t="str">
        <f>"9783428515356"</f>
        <v>9783428515356</v>
      </c>
    </row>
    <row r="25929" spans="1:6" s="3" customFormat="1" ht="29.1" customHeight="1" x14ac:dyDescent="0.25">
      <c r="A25929" s="2" t="s">
        <v>50510</v>
      </c>
      <c r="B25929" s="2" t="s">
        <v>50511</v>
      </c>
      <c r="C25929" s="2" t="s">
        <v>62</v>
      </c>
      <c r="D25929" s="2" t="s">
        <v>36490</v>
      </c>
      <c r="E25929" s="2" t="str">
        <f>"9783428124251"</f>
        <v>9783428124251</v>
      </c>
      <c r="F25929" s="2" t="str">
        <f>"9783428524259"</f>
        <v>9783428524259</v>
      </c>
    </row>
    <row r="25930" spans="1:6" s="3" customFormat="1" ht="29.1" customHeight="1" x14ac:dyDescent="0.25">
      <c r="A25930" s="2" t="s">
        <v>50512</v>
      </c>
      <c r="B25930" s="2" t="s">
        <v>33008</v>
      </c>
      <c r="C25930" s="2" t="s">
        <v>62</v>
      </c>
      <c r="D25930" s="2" t="s">
        <v>32985</v>
      </c>
      <c r="E25930" s="2" t="str">
        <f>"9783428139460"</f>
        <v>9783428139460</v>
      </c>
      <c r="F25930" s="2" t="str">
        <f>"9783428539468"</f>
        <v>9783428539468</v>
      </c>
    </row>
    <row r="25931" spans="1:6" s="3" customFormat="1" ht="29.1" customHeight="1" x14ac:dyDescent="0.25">
      <c r="A25931" s="2" t="s">
        <v>50513</v>
      </c>
      <c r="B25931" s="2" t="s">
        <v>43134</v>
      </c>
      <c r="C25931" s="2" t="s">
        <v>62</v>
      </c>
      <c r="D25931" s="2" t="s">
        <v>350</v>
      </c>
      <c r="E25931" s="2" t="str">
        <f>"9783428138593"</f>
        <v>9783428138593</v>
      </c>
      <c r="F25931" s="2" t="str">
        <f>"9783428538591"</f>
        <v>9783428538591</v>
      </c>
    </row>
    <row r="25932" spans="1:6" s="3" customFormat="1" ht="29.1" customHeight="1" x14ac:dyDescent="0.25">
      <c r="A25932" s="2" t="s">
        <v>50514</v>
      </c>
      <c r="B25932" s="2" t="s">
        <v>48924</v>
      </c>
      <c r="C25932" s="2" t="s">
        <v>62</v>
      </c>
      <c r="D25932" s="2" t="s">
        <v>1209</v>
      </c>
      <c r="E25932" s="2" t="str">
        <f>"9783428138104"</f>
        <v>9783428138104</v>
      </c>
      <c r="F25932" s="2" t="str">
        <f>"9783428538102"</f>
        <v>9783428538102</v>
      </c>
    </row>
    <row r="25933" spans="1:6" s="3" customFormat="1" ht="29.1" customHeight="1" x14ac:dyDescent="0.25">
      <c r="A25933" s="2" t="s">
        <v>50515</v>
      </c>
      <c r="B25933" s="2" t="s">
        <v>48924</v>
      </c>
      <c r="C25933" s="2" t="s">
        <v>62</v>
      </c>
      <c r="D25933" s="2" t="s">
        <v>1624</v>
      </c>
      <c r="E25933" s="2" t="str">
        <f>"9783428137077"</f>
        <v>9783428137077</v>
      </c>
      <c r="F25933" s="2" t="str">
        <f>"9783428537075"</f>
        <v>9783428537075</v>
      </c>
    </row>
    <row r="25934" spans="1:6" s="3" customFormat="1" ht="29.1" customHeight="1" x14ac:dyDescent="0.25">
      <c r="A25934" s="2" t="s">
        <v>50516</v>
      </c>
      <c r="B25934" s="2" t="s">
        <v>48924</v>
      </c>
      <c r="C25934" s="2" t="s">
        <v>62</v>
      </c>
      <c r="D25934" s="2" t="s">
        <v>1651</v>
      </c>
      <c r="E25934" s="2" t="str">
        <f>"9783428136094"</f>
        <v>9783428136094</v>
      </c>
      <c r="F25934" s="2" t="str">
        <f>"9783428536092"</f>
        <v>9783428536092</v>
      </c>
    </row>
    <row r="25935" spans="1:6" s="3" customFormat="1" ht="29.1" customHeight="1" x14ac:dyDescent="0.25">
      <c r="A25935" s="2" t="s">
        <v>50517</v>
      </c>
      <c r="B25935" s="2" t="s">
        <v>43153</v>
      </c>
      <c r="C25935" s="2" t="s">
        <v>62</v>
      </c>
      <c r="D25935" s="2" t="s">
        <v>5758</v>
      </c>
      <c r="E25935" s="2" t="str">
        <f>"9783428135820"</f>
        <v>9783428135820</v>
      </c>
      <c r="F25935" s="2" t="str">
        <f>"9783428535828"</f>
        <v>9783428535828</v>
      </c>
    </row>
    <row r="25936" spans="1:6" s="3" customFormat="1" ht="29.1" customHeight="1" x14ac:dyDescent="0.25">
      <c r="A25936" s="2" t="s">
        <v>50518</v>
      </c>
      <c r="B25936" s="2" t="s">
        <v>33008</v>
      </c>
      <c r="C25936" s="2" t="s">
        <v>62</v>
      </c>
      <c r="D25936" s="2" t="s">
        <v>1864</v>
      </c>
      <c r="E25936" s="2" t="str">
        <f>"9783428135967"</f>
        <v>9783428135967</v>
      </c>
      <c r="F25936" s="2" t="str">
        <f>"9783428535965"</f>
        <v>9783428535965</v>
      </c>
    </row>
    <row r="25937" spans="1:6" s="3" customFormat="1" ht="29.1" customHeight="1" x14ac:dyDescent="0.25">
      <c r="A25937" s="2" t="s">
        <v>50519</v>
      </c>
      <c r="B25937" s="2" t="s">
        <v>48924</v>
      </c>
      <c r="C25937" s="2" t="s">
        <v>62</v>
      </c>
      <c r="D25937" s="2" t="s">
        <v>1437</v>
      </c>
      <c r="E25937" s="2" t="str">
        <f>"9783428134403"</f>
        <v>9783428134403</v>
      </c>
      <c r="F25937" s="2" t="str">
        <f>"9783428534401"</f>
        <v>9783428534401</v>
      </c>
    </row>
    <row r="25938" spans="1:6" s="3" customFormat="1" ht="29.1" customHeight="1" x14ac:dyDescent="0.25">
      <c r="A25938" s="2" t="s">
        <v>50520</v>
      </c>
      <c r="B25938" s="2" t="s">
        <v>50521</v>
      </c>
      <c r="C25938" s="2" t="s">
        <v>62</v>
      </c>
      <c r="D25938" s="2" t="s">
        <v>1864</v>
      </c>
      <c r="E25938" s="2" t="str">
        <f>"9783428134373"</f>
        <v>9783428134373</v>
      </c>
      <c r="F25938" s="2" t="str">
        <f>"9783428534371"</f>
        <v>9783428534371</v>
      </c>
    </row>
    <row r="25939" spans="1:6" s="3" customFormat="1" ht="29.1" customHeight="1" x14ac:dyDescent="0.25">
      <c r="A25939" s="2" t="s">
        <v>50522</v>
      </c>
      <c r="B25939" s="2" t="s">
        <v>46814</v>
      </c>
      <c r="C25939" s="2" t="s">
        <v>62</v>
      </c>
      <c r="D25939" s="2" t="s">
        <v>2005</v>
      </c>
      <c r="E25939" s="2" t="str">
        <f>"9783428134366"</f>
        <v>9783428134366</v>
      </c>
      <c r="F25939" s="2" t="str">
        <f>"9783428534364"</f>
        <v>9783428534364</v>
      </c>
    </row>
    <row r="25940" spans="1:6" s="3" customFormat="1" ht="29.1" customHeight="1" x14ac:dyDescent="0.25">
      <c r="A25940" s="2" t="s">
        <v>50523</v>
      </c>
      <c r="B25940" s="2" t="s">
        <v>43134</v>
      </c>
      <c r="C25940" s="2" t="s">
        <v>62</v>
      </c>
      <c r="D25940" s="2" t="s">
        <v>2005</v>
      </c>
      <c r="E25940" s="2" t="str">
        <f>"9783428134359"</f>
        <v>9783428134359</v>
      </c>
      <c r="F25940" s="2" t="str">
        <f>"9783428534357"</f>
        <v>9783428534357</v>
      </c>
    </row>
    <row r="25941" spans="1:6" s="3" customFormat="1" ht="29.1" customHeight="1" x14ac:dyDescent="0.25">
      <c r="A25941" s="2" t="s">
        <v>50524</v>
      </c>
      <c r="B25941" s="2" t="s">
        <v>48924</v>
      </c>
      <c r="C25941" s="2" t="s">
        <v>62</v>
      </c>
      <c r="D25941" s="2" t="s">
        <v>5758</v>
      </c>
      <c r="E25941" s="2" t="str">
        <f>"9783428133703"</f>
        <v>9783428133703</v>
      </c>
      <c r="F25941" s="2" t="str">
        <f>"9783428533701"</f>
        <v>9783428533701</v>
      </c>
    </row>
    <row r="25942" spans="1:6" s="3" customFormat="1" ht="29.1" customHeight="1" x14ac:dyDescent="0.25">
      <c r="A25942" s="2" t="s">
        <v>50525</v>
      </c>
      <c r="B25942" s="2" t="s">
        <v>50526</v>
      </c>
      <c r="C25942" s="2" t="s">
        <v>195</v>
      </c>
      <c r="D25942" s="2" t="s">
        <v>11489</v>
      </c>
      <c r="E25942" s="2" t="str">
        <f>"9783110060065"</f>
        <v>9783110060065</v>
      </c>
      <c r="F25942" s="2" t="str">
        <f>"9783110888232"</f>
        <v>9783110888232</v>
      </c>
    </row>
    <row r="25943" spans="1:6" s="3" customFormat="1" ht="29.1" customHeight="1" x14ac:dyDescent="0.25">
      <c r="A25943" s="2" t="s">
        <v>50527</v>
      </c>
      <c r="B25943" s="2" t="s">
        <v>42267</v>
      </c>
      <c r="C25943" s="2" t="s">
        <v>195</v>
      </c>
      <c r="D25943" s="2" t="s">
        <v>2551</v>
      </c>
      <c r="E25943" s="2" t="str">
        <f>"9783899493283"</f>
        <v>9783899493283</v>
      </c>
      <c r="F25943" s="2" t="str">
        <f>"9783110893052"</f>
        <v>9783110893052</v>
      </c>
    </row>
    <row r="25944" spans="1:6" s="3" customFormat="1" ht="29.1" customHeight="1" x14ac:dyDescent="0.25">
      <c r="A25944" s="2" t="s">
        <v>50528</v>
      </c>
      <c r="B25944" s="2" t="s">
        <v>50529</v>
      </c>
      <c r="C25944" s="2" t="s">
        <v>195</v>
      </c>
      <c r="D25944" s="2" t="s">
        <v>462</v>
      </c>
      <c r="E25944" s="2" t="str">
        <f>"9783110189209"</f>
        <v>9783110189209</v>
      </c>
      <c r="F25944" s="2" t="str">
        <f>"9783110891621"</f>
        <v>9783110891621</v>
      </c>
    </row>
    <row r="25945" spans="1:6" s="3" customFormat="1" ht="29.1" customHeight="1" x14ac:dyDescent="0.25">
      <c r="A25945" s="2" t="s">
        <v>50530</v>
      </c>
      <c r="B25945" s="2" t="s">
        <v>47548</v>
      </c>
      <c r="C25945" s="2" t="s">
        <v>195</v>
      </c>
      <c r="D25945" s="2" t="s">
        <v>46509</v>
      </c>
      <c r="E25945" s="2" t="str">
        <f>"9783110186680"</f>
        <v>9783110186680</v>
      </c>
      <c r="F25945" s="2" t="str">
        <f>"9783110891829"</f>
        <v>9783110891829</v>
      </c>
    </row>
    <row r="25946" spans="1:6" s="3" customFormat="1" ht="29.1" customHeight="1" x14ac:dyDescent="0.25">
      <c r="A25946" s="2" t="s">
        <v>50531</v>
      </c>
      <c r="B25946" s="2" t="s">
        <v>50532</v>
      </c>
      <c r="C25946" s="2" t="s">
        <v>195</v>
      </c>
      <c r="D25946" s="2" t="s">
        <v>446</v>
      </c>
      <c r="E25946" s="2" t="str">
        <f>"9783110184211"</f>
        <v>9783110184211</v>
      </c>
      <c r="F25946" s="2" t="str">
        <f>"9783110895445"</f>
        <v>9783110895445</v>
      </c>
    </row>
    <row r="25947" spans="1:6" s="3" customFormat="1" ht="29.1" customHeight="1" x14ac:dyDescent="0.25">
      <c r="A25947" s="2" t="s">
        <v>50533</v>
      </c>
      <c r="B25947" s="2" t="s">
        <v>50534</v>
      </c>
      <c r="C25947" s="2" t="s">
        <v>195</v>
      </c>
      <c r="D25947" s="2" t="s">
        <v>11489</v>
      </c>
      <c r="E25947" s="2" t="str">
        <f>"9783899492194"</f>
        <v>9783899492194</v>
      </c>
      <c r="F25947" s="2" t="str">
        <f>"9783110895414"</f>
        <v>9783110895414</v>
      </c>
    </row>
    <row r="25948" spans="1:6" s="3" customFormat="1" ht="29.1" customHeight="1" x14ac:dyDescent="0.25">
      <c r="A25948" s="2" t="s">
        <v>50535</v>
      </c>
      <c r="B25948" s="2" t="s">
        <v>47548</v>
      </c>
      <c r="C25948" s="2" t="s">
        <v>195</v>
      </c>
      <c r="D25948" s="2" t="s">
        <v>46509</v>
      </c>
      <c r="E25948" s="2" t="str">
        <f>"9783110194593"</f>
        <v>9783110194593</v>
      </c>
      <c r="F25948" s="2" t="str">
        <f>"9783110898897"</f>
        <v>9783110898897</v>
      </c>
    </row>
    <row r="25949" spans="1:6" s="3" customFormat="1" ht="29.1" customHeight="1" x14ac:dyDescent="0.25">
      <c r="A25949" s="2" t="s">
        <v>50536</v>
      </c>
      <c r="B25949" s="2" t="s">
        <v>50537</v>
      </c>
      <c r="C25949" s="2" t="s">
        <v>195</v>
      </c>
      <c r="D25949" s="2" t="s">
        <v>3969</v>
      </c>
      <c r="E25949" s="2" t="str">
        <f>"9783899490718"</f>
        <v>9783899490718</v>
      </c>
      <c r="F25949" s="2" t="str">
        <f>"9783110904840"</f>
        <v>9783110904840</v>
      </c>
    </row>
    <row r="25950" spans="1:6" s="3" customFormat="1" ht="29.1" customHeight="1" x14ac:dyDescent="0.25">
      <c r="A25950" s="2" t="s">
        <v>50538</v>
      </c>
      <c r="B25950" s="2" t="s">
        <v>39959</v>
      </c>
      <c r="C25950" s="2" t="s">
        <v>195</v>
      </c>
      <c r="D25950" s="2" t="s">
        <v>462</v>
      </c>
      <c r="E25950" s="2" t="str">
        <f>"9783110185393"</f>
        <v>9783110185393</v>
      </c>
      <c r="F25950" s="2" t="str">
        <f>"9783110902235"</f>
        <v>9783110902235</v>
      </c>
    </row>
    <row r="25951" spans="1:6" s="3" customFormat="1" ht="29.1" customHeight="1" x14ac:dyDescent="0.25">
      <c r="A25951" s="2" t="s">
        <v>50539</v>
      </c>
      <c r="B25951" s="2" t="s">
        <v>50540</v>
      </c>
      <c r="C25951" s="2" t="s">
        <v>195</v>
      </c>
      <c r="D25951" s="2" t="s">
        <v>11489</v>
      </c>
      <c r="E25951" s="2" t="str">
        <f>"9783110104608"</f>
        <v>9783110104608</v>
      </c>
      <c r="F25951" s="2" t="str">
        <f>"9783110906486"</f>
        <v>9783110906486</v>
      </c>
    </row>
    <row r="25952" spans="1:6" s="3" customFormat="1" ht="29.1" customHeight="1" x14ac:dyDescent="0.25">
      <c r="A25952" s="2" t="s">
        <v>50541</v>
      </c>
      <c r="B25952" s="2" t="s">
        <v>50542</v>
      </c>
      <c r="C25952" s="2" t="s">
        <v>195</v>
      </c>
      <c r="D25952" s="2" t="s">
        <v>462</v>
      </c>
      <c r="E25952" s="2" t="str">
        <f>"9783110184457"</f>
        <v>9783110184457</v>
      </c>
      <c r="F25952" s="2" t="str">
        <f>"9783110911060"</f>
        <v>9783110911060</v>
      </c>
    </row>
    <row r="25953" spans="1:6" s="3" customFormat="1" ht="29.1" customHeight="1" x14ac:dyDescent="0.25">
      <c r="A25953" s="2" t="s">
        <v>50543</v>
      </c>
      <c r="B25953" s="2" t="s">
        <v>50544</v>
      </c>
      <c r="C25953" s="2" t="s">
        <v>195</v>
      </c>
      <c r="D25953" s="2" t="s">
        <v>462</v>
      </c>
      <c r="E25953" s="2" t="str">
        <f>"9783110184396"</f>
        <v>9783110184396</v>
      </c>
      <c r="F25953" s="2" t="str">
        <f>"9783110912715"</f>
        <v>9783110912715</v>
      </c>
    </row>
    <row r="25954" spans="1:6" s="3" customFormat="1" ht="29.1" customHeight="1" x14ac:dyDescent="0.25">
      <c r="A25954" s="2" t="s">
        <v>50545</v>
      </c>
      <c r="B25954" s="2" t="s">
        <v>50546</v>
      </c>
      <c r="C25954" s="2" t="s">
        <v>195</v>
      </c>
      <c r="D25954" s="2" t="s">
        <v>11489</v>
      </c>
      <c r="E25954" s="2" t="str">
        <f>"9783899493856"</f>
        <v>9783899493856</v>
      </c>
      <c r="F25954" s="2" t="str">
        <f>"9783110914665"</f>
        <v>9783110914665</v>
      </c>
    </row>
    <row r="25955" spans="1:6" s="3" customFormat="1" ht="29.1" customHeight="1" x14ac:dyDescent="0.25">
      <c r="A25955" s="2" t="s">
        <v>50547</v>
      </c>
      <c r="B25955" s="2" t="s">
        <v>50548</v>
      </c>
      <c r="C25955" s="2" t="s">
        <v>195</v>
      </c>
      <c r="D25955" s="2" t="s">
        <v>462</v>
      </c>
      <c r="E25955" s="2" t="str">
        <f>"9783110199550"</f>
        <v>9783110199550</v>
      </c>
      <c r="F25955" s="2" t="str">
        <f>"9783110921724"</f>
        <v>9783110921724</v>
      </c>
    </row>
    <row r="25956" spans="1:6" s="3" customFormat="1" ht="29.1" customHeight="1" x14ac:dyDescent="0.25">
      <c r="A25956" s="2" t="s">
        <v>50549</v>
      </c>
      <c r="B25956" s="2" t="s">
        <v>50550</v>
      </c>
      <c r="C25956" s="2" t="s">
        <v>195</v>
      </c>
      <c r="D25956" s="2" t="s">
        <v>33</v>
      </c>
      <c r="E25956" s="2" t="str">
        <f>"9783484570054"</f>
        <v>9783484570054</v>
      </c>
      <c r="F25956" s="2" t="str">
        <f>"9783110922165"</f>
        <v>9783110922165</v>
      </c>
    </row>
    <row r="25957" spans="1:6" s="3" customFormat="1" ht="29.1" customHeight="1" x14ac:dyDescent="0.25">
      <c r="A25957" s="2" t="s">
        <v>50551</v>
      </c>
      <c r="B25957" s="2" t="s">
        <v>50552</v>
      </c>
      <c r="C25957" s="2" t="s">
        <v>195</v>
      </c>
      <c r="D25957" s="2" t="s">
        <v>462</v>
      </c>
      <c r="E25957" s="2" t="str">
        <f>"9783110194760"</f>
        <v>9783110194760</v>
      </c>
      <c r="F25957" s="2" t="str">
        <f>"9783110923865"</f>
        <v>9783110923865</v>
      </c>
    </row>
    <row r="25958" spans="1:6" s="3" customFormat="1" ht="29.1" customHeight="1" x14ac:dyDescent="0.25">
      <c r="A25958" s="2" t="s">
        <v>50553</v>
      </c>
      <c r="B25958" s="2" t="s">
        <v>50554</v>
      </c>
      <c r="C25958" s="2" t="s">
        <v>195</v>
      </c>
      <c r="D25958" s="2" t="s">
        <v>118</v>
      </c>
      <c r="E25958" s="2" t="str">
        <f>"9783110194531"</f>
        <v>9783110194531</v>
      </c>
      <c r="F25958" s="2" t="str">
        <f>"9783110926262"</f>
        <v>9783110926262</v>
      </c>
    </row>
    <row r="25959" spans="1:6" s="3" customFormat="1" ht="29.1" customHeight="1" x14ac:dyDescent="0.25">
      <c r="A25959" s="2" t="s">
        <v>50555</v>
      </c>
      <c r="B25959" s="2" t="s">
        <v>50556</v>
      </c>
      <c r="C25959" s="2" t="s">
        <v>195</v>
      </c>
      <c r="D25959" s="2" t="s">
        <v>462</v>
      </c>
      <c r="E25959" s="2" t="str">
        <f>"9783110191011"</f>
        <v>9783110191011</v>
      </c>
      <c r="F25959" s="2" t="str">
        <f>"9783110926590"</f>
        <v>9783110926590</v>
      </c>
    </row>
    <row r="25960" spans="1:6" s="3" customFormat="1" ht="29.1" customHeight="1" x14ac:dyDescent="0.25">
      <c r="A25960" s="2" t="s">
        <v>50557</v>
      </c>
      <c r="B25960" s="2" t="s">
        <v>50558</v>
      </c>
      <c r="C25960" s="2" t="s">
        <v>195</v>
      </c>
      <c r="D25960" s="2" t="s">
        <v>33</v>
      </c>
      <c r="E25960" s="2" t="str">
        <f>"9783484570078"</f>
        <v>9783484570078</v>
      </c>
      <c r="F25960" s="2" t="str">
        <f>"9783110926170"</f>
        <v>9783110926170</v>
      </c>
    </row>
    <row r="25961" spans="1:6" s="3" customFormat="1" ht="29.1" customHeight="1" x14ac:dyDescent="0.25">
      <c r="A25961" s="2" t="s">
        <v>50559</v>
      </c>
      <c r="B25961" s="2" t="s">
        <v>50560</v>
      </c>
      <c r="C25961" s="2" t="s">
        <v>195</v>
      </c>
      <c r="D25961" s="2" t="s">
        <v>462</v>
      </c>
      <c r="E25961" s="2" t="str">
        <f>"9783110188998"</f>
        <v>9783110188998</v>
      </c>
      <c r="F25961" s="2" t="str">
        <f>"9783110927405"</f>
        <v>9783110927405</v>
      </c>
    </row>
    <row r="25962" spans="1:6" s="3" customFormat="1" ht="29.1" customHeight="1" x14ac:dyDescent="0.25">
      <c r="A25962" s="2" t="s">
        <v>50561</v>
      </c>
      <c r="B25962" s="2" t="s">
        <v>50562</v>
      </c>
      <c r="C25962" s="2" t="s">
        <v>195</v>
      </c>
      <c r="D25962" s="2" t="s">
        <v>17508</v>
      </c>
      <c r="E25962" s="2" t="str">
        <f>"9783899493245"</f>
        <v>9783899493245</v>
      </c>
      <c r="F25962" s="2" t="str">
        <f>"9783110927832"</f>
        <v>9783110927832</v>
      </c>
    </row>
    <row r="25963" spans="1:6" s="3" customFormat="1" ht="29.1" customHeight="1" x14ac:dyDescent="0.25">
      <c r="A25963" s="2" t="s">
        <v>50563</v>
      </c>
      <c r="B25963" s="2" t="s">
        <v>50564</v>
      </c>
      <c r="C25963" s="2" t="s">
        <v>195</v>
      </c>
      <c r="D25963" s="2" t="s">
        <v>446</v>
      </c>
      <c r="E25963" s="2" t="str">
        <f>"9783484630376"</f>
        <v>9783484630376</v>
      </c>
      <c r="F25963" s="2" t="str">
        <f>"9783110928921"</f>
        <v>9783110928921</v>
      </c>
    </row>
    <row r="25964" spans="1:6" s="3" customFormat="1" ht="29.1" customHeight="1" x14ac:dyDescent="0.25">
      <c r="A25964" s="2" t="s">
        <v>50565</v>
      </c>
      <c r="B25964" s="2" t="s">
        <v>50566</v>
      </c>
      <c r="C25964" s="2" t="s">
        <v>195</v>
      </c>
      <c r="D25964" s="2" t="s">
        <v>210</v>
      </c>
      <c r="E25964" s="2" t="str">
        <f>"9783598117565"</f>
        <v>9783598117565</v>
      </c>
      <c r="F25964" s="2" t="str">
        <f>"9783110944846"</f>
        <v>9783110944846</v>
      </c>
    </row>
    <row r="25965" spans="1:6" s="3" customFormat="1" ht="29.1" customHeight="1" x14ac:dyDescent="0.25">
      <c r="A25965" s="2" t="s">
        <v>50567</v>
      </c>
      <c r="B25965" s="2" t="s">
        <v>50568</v>
      </c>
      <c r="C25965" s="2" t="s">
        <v>195</v>
      </c>
      <c r="D25965" s="2" t="s">
        <v>462</v>
      </c>
      <c r="E25965" s="2" t="str">
        <f>"9783110195774"</f>
        <v>9783110195774</v>
      </c>
      <c r="F25965" s="2" t="str">
        <f>"9783110942507"</f>
        <v>9783110942507</v>
      </c>
    </row>
    <row r="25966" spans="1:6" s="3" customFormat="1" ht="29.1" customHeight="1" x14ac:dyDescent="0.25">
      <c r="A25966" s="2" t="s">
        <v>50569</v>
      </c>
      <c r="B25966" s="2" t="s">
        <v>49138</v>
      </c>
      <c r="C25966" s="2" t="s">
        <v>195</v>
      </c>
      <c r="D25966" s="2" t="s">
        <v>210</v>
      </c>
      <c r="E25966" s="2" t="str">
        <f>"9783598116568"</f>
        <v>9783598116568</v>
      </c>
      <c r="F25966" s="2" t="str">
        <f>"9783110958812"</f>
        <v>9783110958812</v>
      </c>
    </row>
    <row r="25967" spans="1:6" s="3" customFormat="1" ht="29.1" customHeight="1" x14ac:dyDescent="0.25">
      <c r="A25967" s="2" t="s">
        <v>50570</v>
      </c>
      <c r="B25967" s="2" t="s">
        <v>50571</v>
      </c>
      <c r="C25967" s="2" t="s">
        <v>195</v>
      </c>
      <c r="D25967" s="2" t="s">
        <v>210</v>
      </c>
      <c r="E25967" s="2" t="str">
        <f>"9783598117756"</f>
        <v>9783598117756</v>
      </c>
      <c r="F25967" s="2" t="str">
        <f>"9783110957303"</f>
        <v>9783110957303</v>
      </c>
    </row>
    <row r="25968" spans="1:6" s="3" customFormat="1" ht="29.1" customHeight="1" x14ac:dyDescent="0.25">
      <c r="A25968" s="2" t="s">
        <v>50572</v>
      </c>
      <c r="B25968" s="2" t="s">
        <v>43153</v>
      </c>
      <c r="C25968" s="2" t="s">
        <v>62</v>
      </c>
      <c r="D25968" s="2" t="s">
        <v>50573</v>
      </c>
      <c r="E25968" s="2" t="str">
        <f>"9783428133369"</f>
        <v>9783428133369</v>
      </c>
      <c r="F25968" s="2" t="str">
        <f>"9783428533367"</f>
        <v>9783428533367</v>
      </c>
    </row>
    <row r="25969" spans="1:6" s="3" customFormat="1" ht="29.1" customHeight="1" x14ac:dyDescent="0.25">
      <c r="A25969" s="2" t="s">
        <v>43131</v>
      </c>
      <c r="B25969" s="2" t="s">
        <v>33008</v>
      </c>
      <c r="C25969" s="2" t="s">
        <v>62</v>
      </c>
      <c r="D25969" s="2" t="s">
        <v>2361</v>
      </c>
      <c r="E25969" s="2" t="str">
        <f>"9783428133055"</f>
        <v>9783428133055</v>
      </c>
      <c r="F25969" s="2" t="str">
        <f>"9783428533053"</f>
        <v>9783428533053</v>
      </c>
    </row>
    <row r="25970" spans="1:6" s="3" customFormat="1" ht="29.1" customHeight="1" x14ac:dyDescent="0.25">
      <c r="A25970" s="2" t="s">
        <v>50574</v>
      </c>
      <c r="B25970" s="2" t="s">
        <v>50575</v>
      </c>
      <c r="C25970" s="2" t="s">
        <v>62</v>
      </c>
      <c r="D25970" s="2" t="s">
        <v>1624</v>
      </c>
      <c r="E25970" s="2" t="str">
        <f>"9783428132560"</f>
        <v>9783428132560</v>
      </c>
      <c r="F25970" s="2" t="str">
        <f>"9783428532568"</f>
        <v>9783428532568</v>
      </c>
    </row>
    <row r="25971" spans="1:6" s="3" customFormat="1" ht="29.1" customHeight="1" x14ac:dyDescent="0.25">
      <c r="A25971" s="2" t="s">
        <v>50576</v>
      </c>
      <c r="B25971" s="2" t="s">
        <v>50577</v>
      </c>
      <c r="C25971" s="2" t="s">
        <v>62</v>
      </c>
      <c r="D25971" s="2" t="s">
        <v>4783</v>
      </c>
      <c r="E25971" s="2" t="str">
        <f>"9783428132546"</f>
        <v>9783428132546</v>
      </c>
      <c r="F25971" s="2" t="str">
        <f>"9783428532544"</f>
        <v>9783428532544</v>
      </c>
    </row>
    <row r="25972" spans="1:6" s="3" customFormat="1" ht="29.1" customHeight="1" x14ac:dyDescent="0.25">
      <c r="A25972" s="2" t="s">
        <v>50578</v>
      </c>
      <c r="B25972" s="2" t="s">
        <v>43113</v>
      </c>
      <c r="C25972" s="2" t="s">
        <v>62</v>
      </c>
      <c r="D25972" s="2" t="s">
        <v>1437</v>
      </c>
      <c r="E25972" s="2" t="str">
        <f>"9783428131969"</f>
        <v>9783428131969</v>
      </c>
      <c r="F25972" s="2" t="str">
        <f>"9783428531967"</f>
        <v>9783428531967</v>
      </c>
    </row>
    <row r="25973" spans="1:6" s="3" customFormat="1" ht="29.1" customHeight="1" x14ac:dyDescent="0.25">
      <c r="A25973" s="2" t="s">
        <v>50579</v>
      </c>
      <c r="B25973" s="2" t="s">
        <v>33008</v>
      </c>
      <c r="C25973" s="2" t="s">
        <v>62</v>
      </c>
      <c r="D25973" s="2" t="s">
        <v>5758</v>
      </c>
      <c r="E25973" s="2" t="str">
        <f>"9783428130948"</f>
        <v>9783428130948</v>
      </c>
      <c r="F25973" s="2" t="str">
        <f>"9783428530946"</f>
        <v>9783428530946</v>
      </c>
    </row>
    <row r="25974" spans="1:6" s="3" customFormat="1" ht="29.1" customHeight="1" x14ac:dyDescent="0.25">
      <c r="A25974" s="2" t="s">
        <v>50580</v>
      </c>
      <c r="B25974" s="2" t="s">
        <v>50575</v>
      </c>
      <c r="C25974" s="2" t="s">
        <v>62</v>
      </c>
      <c r="D25974" s="2" t="s">
        <v>1437</v>
      </c>
      <c r="E25974" s="2" t="str">
        <f>"9783428129843"</f>
        <v>9783428129843</v>
      </c>
      <c r="F25974" s="2" t="str">
        <f>"9783428529841"</f>
        <v>9783428529841</v>
      </c>
    </row>
    <row r="25975" spans="1:6" s="3" customFormat="1" ht="29.1" customHeight="1" x14ac:dyDescent="0.25">
      <c r="A25975" s="2" t="s">
        <v>50581</v>
      </c>
      <c r="B25975" s="2" t="s">
        <v>43113</v>
      </c>
      <c r="C25975" s="2" t="s">
        <v>62</v>
      </c>
      <c r="D25975" s="2" t="s">
        <v>1864</v>
      </c>
      <c r="E25975" s="2" t="str">
        <f>"9783428129836"</f>
        <v>9783428129836</v>
      </c>
      <c r="F25975" s="2" t="str">
        <f>"9783428529834"</f>
        <v>9783428529834</v>
      </c>
    </row>
    <row r="25976" spans="1:6" s="3" customFormat="1" ht="29.1" customHeight="1" x14ac:dyDescent="0.25">
      <c r="A25976" s="2" t="s">
        <v>50582</v>
      </c>
      <c r="B25976" s="2" t="s">
        <v>50521</v>
      </c>
      <c r="C25976" s="2" t="s">
        <v>62</v>
      </c>
      <c r="D25976" s="2" t="s">
        <v>3019</v>
      </c>
      <c r="E25976" s="2" t="str">
        <f>"9783428128549"</f>
        <v>9783428128549</v>
      </c>
      <c r="F25976" s="2" t="str">
        <f>"9783428528547"</f>
        <v>9783428528547</v>
      </c>
    </row>
    <row r="25977" spans="1:6" s="3" customFormat="1" ht="29.1" customHeight="1" x14ac:dyDescent="0.25">
      <c r="A25977" s="2" t="s">
        <v>50583</v>
      </c>
      <c r="B25977" s="2" t="s">
        <v>50521</v>
      </c>
      <c r="C25977" s="2" t="s">
        <v>62</v>
      </c>
      <c r="D25977" s="2" t="s">
        <v>1864</v>
      </c>
      <c r="E25977" s="2" t="str">
        <f>"9783428128532"</f>
        <v>9783428128532</v>
      </c>
      <c r="F25977" s="2" t="str">
        <f>"9783428528530"</f>
        <v>9783428528530</v>
      </c>
    </row>
    <row r="25978" spans="1:6" s="3" customFormat="1" ht="29.1" customHeight="1" x14ac:dyDescent="0.25">
      <c r="A25978" s="2" t="s">
        <v>50584</v>
      </c>
      <c r="B25978" s="2" t="s">
        <v>33008</v>
      </c>
      <c r="C25978" s="2" t="s">
        <v>62</v>
      </c>
      <c r="D25978" s="2" t="s">
        <v>1437</v>
      </c>
      <c r="E25978" s="2" t="str">
        <f>"9783428127917"</f>
        <v>9783428127917</v>
      </c>
      <c r="F25978" s="2" t="str">
        <f>"9783428527915"</f>
        <v>9783428527915</v>
      </c>
    </row>
    <row r="25979" spans="1:6" s="3" customFormat="1" ht="29.1" customHeight="1" x14ac:dyDescent="0.25">
      <c r="A25979" s="2" t="s">
        <v>50585</v>
      </c>
      <c r="B25979" s="2" t="s">
        <v>50586</v>
      </c>
      <c r="C25979" s="2" t="s">
        <v>62</v>
      </c>
      <c r="D25979" s="2" t="s">
        <v>1624</v>
      </c>
      <c r="E25979" s="2" t="str">
        <f>"9783428127061"</f>
        <v>9783428127061</v>
      </c>
      <c r="F25979" s="2" t="str">
        <f>"9783428527069"</f>
        <v>9783428527069</v>
      </c>
    </row>
    <row r="25980" spans="1:6" s="3" customFormat="1" ht="29.1" customHeight="1" x14ac:dyDescent="0.25">
      <c r="A25980" s="2" t="s">
        <v>50587</v>
      </c>
      <c r="B25980" s="2" t="s">
        <v>50575</v>
      </c>
      <c r="C25980" s="2" t="s">
        <v>62</v>
      </c>
      <c r="D25980" s="2" t="s">
        <v>5758</v>
      </c>
      <c r="E25980" s="2" t="str">
        <f>"9783428126521"</f>
        <v>9783428126521</v>
      </c>
      <c r="F25980" s="2" t="str">
        <f>"9783428526529"</f>
        <v>9783428526529</v>
      </c>
    </row>
    <row r="25981" spans="1:6" s="3" customFormat="1" ht="29.1" customHeight="1" x14ac:dyDescent="0.25">
      <c r="A25981" s="2" t="s">
        <v>50588</v>
      </c>
      <c r="B25981" s="2" t="s">
        <v>50589</v>
      </c>
      <c r="C25981" s="2" t="s">
        <v>26676</v>
      </c>
      <c r="D25981" s="2" t="s">
        <v>2602</v>
      </c>
      <c r="E25981" s="2" t="str">
        <f>"9781618112026"</f>
        <v>9781618112026</v>
      </c>
      <c r="F25981" s="2" t="str">
        <f>"9781618112033"</f>
        <v>9781618112033</v>
      </c>
    </row>
    <row r="25982" spans="1:6" s="3" customFormat="1" ht="29.1" customHeight="1" x14ac:dyDescent="0.25">
      <c r="A25982" s="2" t="s">
        <v>50590</v>
      </c>
      <c r="B25982" s="2" t="s">
        <v>50591</v>
      </c>
      <c r="C25982" s="2" t="s">
        <v>26676</v>
      </c>
      <c r="D25982" s="2" t="s">
        <v>2602</v>
      </c>
      <c r="E25982" s="2" t="str">
        <f>"9781936235490"</f>
        <v>9781936235490</v>
      </c>
      <c r="F25982" s="2" t="str">
        <f>"9781618111241"</f>
        <v>9781618111241</v>
      </c>
    </row>
    <row r="25983" spans="1:6" s="3" customFormat="1" ht="29.1" customHeight="1" x14ac:dyDescent="0.25">
      <c r="A25983" s="2" t="s">
        <v>50592</v>
      </c>
      <c r="B25983" s="2" t="s">
        <v>50593</v>
      </c>
      <c r="C25983" s="2" t="s">
        <v>62</v>
      </c>
      <c r="D25983" s="2" t="s">
        <v>1077</v>
      </c>
      <c r="E25983" s="2" t="str">
        <f>"9783428126323"</f>
        <v>9783428126323</v>
      </c>
      <c r="F25983" s="2" t="str">
        <f>"9783428526321"</f>
        <v>9783428526321</v>
      </c>
    </row>
    <row r="25984" spans="1:6" s="3" customFormat="1" ht="29.1" customHeight="1" x14ac:dyDescent="0.25">
      <c r="A25984" s="2" t="s">
        <v>50594</v>
      </c>
      <c r="B25984" s="2" t="s">
        <v>12396</v>
      </c>
      <c r="C25984" s="2" t="s">
        <v>62</v>
      </c>
      <c r="D25984" s="2" t="s">
        <v>1651</v>
      </c>
      <c r="E25984" s="2" t="str">
        <f>"9783428126316"</f>
        <v>9783428126316</v>
      </c>
      <c r="F25984" s="2" t="str">
        <f>"9783428526314"</f>
        <v>9783428526314</v>
      </c>
    </row>
    <row r="25985" spans="1:6" s="3" customFormat="1" ht="29.1" customHeight="1" x14ac:dyDescent="0.25">
      <c r="A25985" s="2" t="s">
        <v>50595</v>
      </c>
      <c r="B25985" s="2" t="s">
        <v>43113</v>
      </c>
      <c r="C25985" s="2" t="s">
        <v>62</v>
      </c>
      <c r="D25985" s="2" t="s">
        <v>1463</v>
      </c>
      <c r="E25985" s="2" t="str">
        <f>"9783428126293"</f>
        <v>9783428126293</v>
      </c>
      <c r="F25985" s="2" t="str">
        <f>"9783428526291"</f>
        <v>9783428526291</v>
      </c>
    </row>
    <row r="25986" spans="1:6" s="3" customFormat="1" ht="29.1" customHeight="1" x14ac:dyDescent="0.25">
      <c r="A25986" s="2" t="s">
        <v>50596</v>
      </c>
      <c r="B25986" s="2" t="s">
        <v>33008</v>
      </c>
      <c r="C25986" s="2" t="s">
        <v>62</v>
      </c>
      <c r="D25986" s="2" t="s">
        <v>3943</v>
      </c>
      <c r="E25986" s="2" t="str">
        <f>"9783428125005"</f>
        <v>9783428125005</v>
      </c>
      <c r="F25986" s="2" t="str">
        <f>"9783428525003"</f>
        <v>9783428525003</v>
      </c>
    </row>
    <row r="25987" spans="1:6" s="3" customFormat="1" ht="29.1" customHeight="1" x14ac:dyDescent="0.25">
      <c r="A25987" s="2" t="s">
        <v>50597</v>
      </c>
      <c r="B25987" s="2" t="s">
        <v>50575</v>
      </c>
      <c r="C25987" s="2" t="s">
        <v>62</v>
      </c>
      <c r="D25987" s="2" t="s">
        <v>4670</v>
      </c>
      <c r="E25987" s="2" t="str">
        <f>"9783428124657"</f>
        <v>9783428124657</v>
      </c>
      <c r="F25987" s="2" t="str">
        <f>"9783428524655"</f>
        <v>9783428524655</v>
      </c>
    </row>
    <row r="25988" spans="1:6" s="3" customFormat="1" ht="29.1" customHeight="1" x14ac:dyDescent="0.25">
      <c r="A25988" s="2" t="s">
        <v>50598</v>
      </c>
      <c r="B25988" s="2" t="s">
        <v>43153</v>
      </c>
      <c r="C25988" s="2" t="s">
        <v>62</v>
      </c>
      <c r="D25988" s="2" t="s">
        <v>4064</v>
      </c>
      <c r="E25988" s="2" t="str">
        <f>"9783428124558"</f>
        <v>9783428124558</v>
      </c>
      <c r="F25988" s="2" t="str">
        <f>"9783428524556"</f>
        <v>9783428524556</v>
      </c>
    </row>
    <row r="25989" spans="1:6" s="3" customFormat="1" ht="29.1" customHeight="1" x14ac:dyDescent="0.25">
      <c r="A25989" s="2" t="s">
        <v>50599</v>
      </c>
      <c r="B25989" s="2" t="s">
        <v>50601</v>
      </c>
      <c r="C25989" s="2" t="s">
        <v>62</v>
      </c>
      <c r="D25989" s="2" t="s">
        <v>50600</v>
      </c>
      <c r="E25989" s="2" t="str">
        <f>"9783428124077"</f>
        <v>9783428124077</v>
      </c>
      <c r="F25989" s="2" t="str">
        <f>"9783428524075"</f>
        <v>9783428524075</v>
      </c>
    </row>
    <row r="25990" spans="1:6" s="3" customFormat="1" ht="29.1" customHeight="1" x14ac:dyDescent="0.25">
      <c r="A25990" s="2" t="s">
        <v>50602</v>
      </c>
      <c r="B25990" s="2" t="s">
        <v>50603</v>
      </c>
      <c r="C25990" s="2" t="s">
        <v>62</v>
      </c>
      <c r="D25990" s="2" t="s">
        <v>402</v>
      </c>
      <c r="E25990" s="2" t="str">
        <f>"9783428121731"</f>
        <v>9783428121731</v>
      </c>
      <c r="F25990" s="2" t="str">
        <f>"9783428521739"</f>
        <v>9783428521739</v>
      </c>
    </row>
    <row r="25991" spans="1:6" s="3" customFormat="1" ht="29.1" customHeight="1" x14ac:dyDescent="0.25">
      <c r="A25991" s="2" t="s">
        <v>50604</v>
      </c>
      <c r="B25991" s="2" t="s">
        <v>33008</v>
      </c>
      <c r="C25991" s="2" t="s">
        <v>62</v>
      </c>
      <c r="D25991" s="2" t="s">
        <v>4783</v>
      </c>
      <c r="E25991" s="2" t="str">
        <f>"9783428121281"</f>
        <v>9783428121281</v>
      </c>
      <c r="F25991" s="2" t="str">
        <f>"9783428521289"</f>
        <v>9783428521289</v>
      </c>
    </row>
    <row r="25992" spans="1:6" s="3" customFormat="1" ht="29.1" customHeight="1" x14ac:dyDescent="0.25">
      <c r="A25992" s="2" t="s">
        <v>50605</v>
      </c>
      <c r="B25992" s="2" t="s">
        <v>46194</v>
      </c>
      <c r="C25992" s="2" t="s">
        <v>195</v>
      </c>
      <c r="D25992" s="2" t="s">
        <v>210</v>
      </c>
      <c r="E25992" s="2" t="str">
        <f>"9783598111358"</f>
        <v>9783598111358</v>
      </c>
      <c r="F25992" s="2" t="str">
        <f>"9783110961584"</f>
        <v>9783110961584</v>
      </c>
    </row>
    <row r="25993" spans="1:6" s="3" customFormat="1" ht="29.1" customHeight="1" x14ac:dyDescent="0.25">
      <c r="A25993" s="2" t="s">
        <v>50606</v>
      </c>
      <c r="B25993" s="2" t="s">
        <v>46810</v>
      </c>
      <c r="C25993" s="2" t="s">
        <v>62</v>
      </c>
      <c r="D25993" s="2" t="s">
        <v>5758</v>
      </c>
      <c r="E25993" s="2" t="str">
        <f>"9783428120628"</f>
        <v>9783428120628</v>
      </c>
      <c r="F25993" s="2" t="str">
        <f>"9783428520626"</f>
        <v>9783428520626</v>
      </c>
    </row>
    <row r="25994" spans="1:6" s="3" customFormat="1" ht="29.1" customHeight="1" x14ac:dyDescent="0.25">
      <c r="A25994" s="2" t="s">
        <v>50607</v>
      </c>
      <c r="B25994" s="2" t="s">
        <v>46831</v>
      </c>
      <c r="C25994" s="2" t="s">
        <v>62</v>
      </c>
      <c r="D25994" s="2" t="s">
        <v>1437</v>
      </c>
      <c r="E25994" s="2" t="str">
        <f>"9783428120574"</f>
        <v>9783428120574</v>
      </c>
      <c r="F25994" s="2" t="str">
        <f>"9783428520572"</f>
        <v>9783428520572</v>
      </c>
    </row>
    <row r="25995" spans="1:6" s="3" customFormat="1" ht="29.1" customHeight="1" x14ac:dyDescent="0.25">
      <c r="A25995" s="2" t="s">
        <v>50608</v>
      </c>
      <c r="B25995" s="2" t="s">
        <v>47703</v>
      </c>
      <c r="C25995" s="2" t="s">
        <v>62</v>
      </c>
      <c r="D25995" s="2" t="s">
        <v>350</v>
      </c>
      <c r="E25995" s="2" t="str">
        <f>"9783428118670"</f>
        <v>9783428118670</v>
      </c>
      <c r="F25995" s="2" t="str">
        <f>"9783428518678"</f>
        <v>9783428518678</v>
      </c>
    </row>
    <row r="25996" spans="1:6" s="3" customFormat="1" ht="29.1" customHeight="1" x14ac:dyDescent="0.25">
      <c r="A25996" s="2" t="s">
        <v>50609</v>
      </c>
      <c r="B25996" s="2" t="s">
        <v>46827</v>
      </c>
      <c r="C25996" s="2" t="s">
        <v>62</v>
      </c>
      <c r="D25996" s="2" t="s">
        <v>1864</v>
      </c>
      <c r="E25996" s="2" t="str">
        <f>"9783428118106"</f>
        <v>9783428118106</v>
      </c>
      <c r="F25996" s="2" t="str">
        <f>"9783428518104"</f>
        <v>9783428518104</v>
      </c>
    </row>
    <row r="25997" spans="1:6" s="3" customFormat="1" ht="29.1" customHeight="1" x14ac:dyDescent="0.25">
      <c r="A25997" s="2" t="s">
        <v>50610</v>
      </c>
      <c r="B25997" s="2" t="s">
        <v>50611</v>
      </c>
      <c r="C25997" s="2" t="s">
        <v>62</v>
      </c>
      <c r="D25997" s="2" t="s">
        <v>1694</v>
      </c>
      <c r="E25997" s="2" t="str">
        <f>"9783428117987"</f>
        <v>9783428117987</v>
      </c>
      <c r="F25997" s="2" t="str">
        <f>"9783428517985"</f>
        <v>9783428517985</v>
      </c>
    </row>
    <row r="25998" spans="1:6" s="3" customFormat="1" ht="29.1" customHeight="1" x14ac:dyDescent="0.25">
      <c r="A25998" s="2" t="s">
        <v>50612</v>
      </c>
      <c r="B25998" s="2" t="s">
        <v>33008</v>
      </c>
      <c r="C25998" s="2" t="s">
        <v>62</v>
      </c>
      <c r="D25998" s="2" t="s">
        <v>350</v>
      </c>
      <c r="E25998" s="2" t="str">
        <f>"9783428117352"</f>
        <v>9783428117352</v>
      </c>
      <c r="F25998" s="2" t="str">
        <f>"9783428517350"</f>
        <v>9783428517350</v>
      </c>
    </row>
    <row r="25999" spans="1:6" s="3" customFormat="1" ht="29.1" customHeight="1" x14ac:dyDescent="0.25">
      <c r="A25999" s="2" t="s">
        <v>50613</v>
      </c>
      <c r="B25999" s="2" t="s">
        <v>46831</v>
      </c>
      <c r="C25999" s="2" t="s">
        <v>62</v>
      </c>
      <c r="D25999" s="2" t="s">
        <v>1209</v>
      </c>
      <c r="E25999" s="2" t="str">
        <f>"9783428117208"</f>
        <v>9783428117208</v>
      </c>
      <c r="F25999" s="2" t="str">
        <f>"9783428517206"</f>
        <v>9783428517206</v>
      </c>
    </row>
    <row r="26000" spans="1:6" s="3" customFormat="1" ht="29.1" customHeight="1" x14ac:dyDescent="0.25">
      <c r="A26000" s="2" t="s">
        <v>50614</v>
      </c>
      <c r="B26000" s="2" t="s">
        <v>50615</v>
      </c>
      <c r="C26000" s="2" t="s">
        <v>62</v>
      </c>
      <c r="D26000" s="2" t="s">
        <v>2019</v>
      </c>
      <c r="E26000" s="2" t="str">
        <f>"9783428117192"</f>
        <v>9783428117192</v>
      </c>
      <c r="F26000" s="2" t="str">
        <f>"9783428517190"</f>
        <v>9783428517190</v>
      </c>
    </row>
    <row r="26001" spans="1:6" s="3" customFormat="1" ht="29.1" customHeight="1" x14ac:dyDescent="0.25">
      <c r="A26001" s="2" t="s">
        <v>50616</v>
      </c>
      <c r="B26001" s="2" t="s">
        <v>47703</v>
      </c>
      <c r="C26001" s="2" t="s">
        <v>62</v>
      </c>
      <c r="D26001" s="2" t="s">
        <v>4783</v>
      </c>
      <c r="E26001" s="2" t="str">
        <f>"9783428117130"</f>
        <v>9783428117130</v>
      </c>
      <c r="F26001" s="2" t="str">
        <f>"9783428517138"</f>
        <v>9783428517138</v>
      </c>
    </row>
    <row r="26002" spans="1:6" s="3" customFormat="1" ht="29.1" customHeight="1" x14ac:dyDescent="0.25">
      <c r="A26002" s="2" t="s">
        <v>50617</v>
      </c>
      <c r="B26002" s="2" t="s">
        <v>50618</v>
      </c>
      <c r="C26002" s="2" t="s">
        <v>62</v>
      </c>
      <c r="D26002" s="2" t="s">
        <v>2019</v>
      </c>
      <c r="E26002" s="2" t="str">
        <f>"9783428115747"</f>
        <v>9783428115747</v>
      </c>
      <c r="F26002" s="2" t="str">
        <f>"9783428515745"</f>
        <v>9783428515745</v>
      </c>
    </row>
    <row r="26003" spans="1:6" s="3" customFormat="1" ht="29.1" customHeight="1" x14ac:dyDescent="0.25">
      <c r="A26003" s="2" t="s">
        <v>50619</v>
      </c>
      <c r="B26003" s="2" t="s">
        <v>46823</v>
      </c>
      <c r="C26003" s="2" t="s">
        <v>62</v>
      </c>
      <c r="D26003" s="2" t="s">
        <v>46709</v>
      </c>
      <c r="E26003" s="2" t="str">
        <f>"9783428115709"</f>
        <v>9783428115709</v>
      </c>
      <c r="F26003" s="2" t="str">
        <f>"9783428515707"</f>
        <v>9783428515707</v>
      </c>
    </row>
    <row r="26004" spans="1:6" s="3" customFormat="1" ht="29.1" customHeight="1" x14ac:dyDescent="0.25">
      <c r="A26004" s="2" t="s">
        <v>50620</v>
      </c>
      <c r="B26004" s="2" t="s">
        <v>46858</v>
      </c>
      <c r="C26004" s="2" t="s">
        <v>62</v>
      </c>
      <c r="D26004" s="2" t="s">
        <v>8874</v>
      </c>
      <c r="E26004" s="2" t="str">
        <f>"9783428115693"</f>
        <v>9783428115693</v>
      </c>
      <c r="F26004" s="2" t="str">
        <f>"9783428515691"</f>
        <v>9783428515691</v>
      </c>
    </row>
    <row r="26005" spans="1:6" s="3" customFormat="1" ht="29.1" customHeight="1" x14ac:dyDescent="0.25">
      <c r="A26005" s="2" t="s">
        <v>50621</v>
      </c>
      <c r="B26005" s="2" t="s">
        <v>46839</v>
      </c>
      <c r="C26005" s="2" t="s">
        <v>62</v>
      </c>
      <c r="D26005" s="2" t="s">
        <v>4919</v>
      </c>
      <c r="E26005" s="2" t="str">
        <f>"9783428115686"</f>
        <v>9783428115686</v>
      </c>
      <c r="F26005" s="2" t="str">
        <f>"9783428515684"</f>
        <v>9783428515684</v>
      </c>
    </row>
    <row r="26006" spans="1:6" s="3" customFormat="1" ht="29.1" customHeight="1" x14ac:dyDescent="0.25">
      <c r="A26006" s="2" t="s">
        <v>50622</v>
      </c>
      <c r="B26006" s="2" t="s">
        <v>50623</v>
      </c>
      <c r="C26006" s="2" t="s">
        <v>62</v>
      </c>
      <c r="D26006" s="2" t="s">
        <v>5758</v>
      </c>
      <c r="E26006" s="2" t="str">
        <f>"9783428115556"</f>
        <v>9783428115556</v>
      </c>
      <c r="F26006" s="2" t="str">
        <f>"9783428515554"</f>
        <v>9783428515554</v>
      </c>
    </row>
    <row r="26007" spans="1:6" s="3" customFormat="1" ht="29.1" customHeight="1" x14ac:dyDescent="0.25">
      <c r="A26007" s="2" t="s">
        <v>50624</v>
      </c>
      <c r="B26007" s="2" t="s">
        <v>46827</v>
      </c>
      <c r="C26007" s="2" t="s">
        <v>62</v>
      </c>
      <c r="D26007" s="2" t="s">
        <v>5758</v>
      </c>
      <c r="E26007" s="2" t="str">
        <f>"9783428115129"</f>
        <v>9783428115129</v>
      </c>
      <c r="F26007" s="2" t="str">
        <f>"9783428515127"</f>
        <v>9783428515127</v>
      </c>
    </row>
    <row r="26008" spans="1:6" s="3" customFormat="1" ht="29.1" customHeight="1" x14ac:dyDescent="0.25">
      <c r="A26008" s="2" t="s">
        <v>50625</v>
      </c>
      <c r="B26008" s="2" t="s">
        <v>46831</v>
      </c>
      <c r="C26008" s="2" t="s">
        <v>62</v>
      </c>
      <c r="D26008" s="2" t="s">
        <v>2019</v>
      </c>
      <c r="E26008" s="2" t="str">
        <f>"9783428114054"</f>
        <v>9783428114054</v>
      </c>
      <c r="F26008" s="2" t="str">
        <f>"9783428514052"</f>
        <v>9783428514052</v>
      </c>
    </row>
    <row r="26009" spans="1:6" s="3" customFormat="1" ht="29.1" customHeight="1" x14ac:dyDescent="0.25">
      <c r="A26009" s="2" t="s">
        <v>50626</v>
      </c>
      <c r="B26009" s="2" t="s">
        <v>33008</v>
      </c>
      <c r="C26009" s="2" t="s">
        <v>62</v>
      </c>
      <c r="D26009" s="2" t="s">
        <v>350</v>
      </c>
      <c r="E26009" s="2" t="str">
        <f>"9783428114047"</f>
        <v>9783428114047</v>
      </c>
      <c r="F26009" s="2" t="str">
        <f>"9783428514045"</f>
        <v>9783428514045</v>
      </c>
    </row>
    <row r="26010" spans="1:6" s="3" customFormat="1" ht="29.1" customHeight="1" x14ac:dyDescent="0.25">
      <c r="A26010" s="2" t="s">
        <v>50627</v>
      </c>
      <c r="B26010" s="2" t="s">
        <v>50628</v>
      </c>
      <c r="C26010" s="2" t="s">
        <v>62</v>
      </c>
      <c r="D26010" s="2" t="s">
        <v>1463</v>
      </c>
      <c r="E26010" s="2" t="str">
        <f>"9783428113989"</f>
        <v>9783428113989</v>
      </c>
      <c r="F26010" s="2" t="str">
        <f>"9783428513987"</f>
        <v>9783428513987</v>
      </c>
    </row>
    <row r="26011" spans="1:6" s="3" customFormat="1" ht="29.1" customHeight="1" x14ac:dyDescent="0.25">
      <c r="A26011" s="2" t="s">
        <v>50629</v>
      </c>
      <c r="B26011" s="2" t="s">
        <v>50630</v>
      </c>
      <c r="C26011" s="2" t="s">
        <v>62</v>
      </c>
      <c r="D26011" s="2" t="s">
        <v>5758</v>
      </c>
      <c r="E26011" s="2" t="str">
        <f>"9783428113972"</f>
        <v>9783428113972</v>
      </c>
      <c r="F26011" s="2" t="str">
        <f>"9783428513970"</f>
        <v>9783428513970</v>
      </c>
    </row>
    <row r="26012" spans="1:6" s="3" customFormat="1" ht="29.1" customHeight="1" x14ac:dyDescent="0.25">
      <c r="A26012" s="2" t="s">
        <v>50631</v>
      </c>
      <c r="B26012" s="2" t="s">
        <v>50632</v>
      </c>
      <c r="C26012" s="2" t="s">
        <v>316</v>
      </c>
      <c r="D26012" s="2" t="s">
        <v>1959</v>
      </c>
      <c r="E26012" s="2" t="str">
        <f>"9783037852347"</f>
        <v>9783037852347</v>
      </c>
      <c r="F26012" s="2" t="str">
        <f>"9783038136620"</f>
        <v>9783038136620</v>
      </c>
    </row>
    <row r="26013" spans="1:6" s="3" customFormat="1" ht="29.1" customHeight="1" x14ac:dyDescent="0.25">
      <c r="A26013" s="2" t="s">
        <v>50633</v>
      </c>
      <c r="B26013" s="2" t="s">
        <v>50634</v>
      </c>
      <c r="C26013" s="2" t="s">
        <v>316</v>
      </c>
      <c r="D26013" s="2" t="s">
        <v>317</v>
      </c>
      <c r="E26013" s="2" t="str">
        <f>"9783037851135"</f>
        <v>9783037851135</v>
      </c>
      <c r="F26013" s="2" t="str">
        <f>"9783038136002"</f>
        <v>9783038136002</v>
      </c>
    </row>
    <row r="26014" spans="1:6" s="3" customFormat="1" ht="29.1" customHeight="1" x14ac:dyDescent="0.25">
      <c r="A26014" s="2" t="s">
        <v>50635</v>
      </c>
      <c r="B26014" s="2" t="s">
        <v>50636</v>
      </c>
      <c r="C26014" s="2" t="s">
        <v>264</v>
      </c>
      <c r="D26014" s="2" t="s">
        <v>7199</v>
      </c>
      <c r="E26014" s="2" t="str">
        <f>"9781439892817"</f>
        <v>9781439892817</v>
      </c>
      <c r="F26014" s="2" t="str">
        <f>"9781439892824"</f>
        <v>9781439892824</v>
      </c>
    </row>
    <row r="26015" spans="1:6" s="3" customFormat="1" ht="29.1" customHeight="1" x14ac:dyDescent="0.25">
      <c r="A26015" s="2" t="s">
        <v>50637</v>
      </c>
      <c r="B26015" s="2" t="s">
        <v>50638</v>
      </c>
      <c r="C26015" s="2" t="s">
        <v>264</v>
      </c>
      <c r="D26015" s="2" t="s">
        <v>2587</v>
      </c>
      <c r="E26015" s="2" t="str">
        <f>"9781439881354"</f>
        <v>9781439881354</v>
      </c>
      <c r="F26015" s="2" t="str">
        <f>"9781439881385"</f>
        <v>9781439881385</v>
      </c>
    </row>
    <row r="26016" spans="1:6" s="3" customFormat="1" ht="29.1" customHeight="1" x14ac:dyDescent="0.25">
      <c r="A26016" s="2" t="s">
        <v>50639</v>
      </c>
      <c r="B26016" s="2" t="s">
        <v>50640</v>
      </c>
      <c r="C26016" s="2" t="s">
        <v>8040</v>
      </c>
      <c r="D26016" s="2" t="s">
        <v>2648</v>
      </c>
      <c r="E26016" s="2" t="str">
        <f>"9781847699084"</f>
        <v>9781847699084</v>
      </c>
      <c r="F26016" s="2" t="str">
        <f>"9781847699107"</f>
        <v>9781847699107</v>
      </c>
    </row>
    <row r="26017" spans="1:6" s="3" customFormat="1" ht="29.1" customHeight="1" x14ac:dyDescent="0.25">
      <c r="A26017" s="2" t="s">
        <v>50641</v>
      </c>
      <c r="B26017" s="2" t="s">
        <v>50642</v>
      </c>
      <c r="C26017" s="2" t="s">
        <v>195</v>
      </c>
      <c r="D26017" s="2" t="s">
        <v>2713</v>
      </c>
      <c r="E26017" s="2" t="str">
        <f>"9783110290608"</f>
        <v>9783110290608</v>
      </c>
      <c r="F26017" s="2" t="str">
        <f>"9783110307894"</f>
        <v>9783110307894</v>
      </c>
    </row>
    <row r="26018" spans="1:6" s="3" customFormat="1" ht="29.1" customHeight="1" x14ac:dyDescent="0.25">
      <c r="A26018" s="2" t="s">
        <v>50643</v>
      </c>
      <c r="B26018" s="2" t="s">
        <v>50644</v>
      </c>
      <c r="C26018" s="2" t="s">
        <v>11220</v>
      </c>
      <c r="D26018" s="2" t="s">
        <v>1411</v>
      </c>
      <c r="E26018" s="2" t="str">
        <f>"9780814737200"</f>
        <v>9780814737200</v>
      </c>
      <c r="F26018" s="2" t="str">
        <f>"9780814759448"</f>
        <v>9780814759448</v>
      </c>
    </row>
    <row r="26019" spans="1:6" s="3" customFormat="1" ht="29.1" customHeight="1" x14ac:dyDescent="0.25">
      <c r="A26019" s="2" t="s">
        <v>50645</v>
      </c>
      <c r="B26019" s="2" t="s">
        <v>50646</v>
      </c>
      <c r="C26019" s="2" t="s">
        <v>195</v>
      </c>
      <c r="D26019" s="2" t="s">
        <v>436</v>
      </c>
      <c r="E26019" s="2" t="str">
        <f>"9783110277685"</f>
        <v>9783110277685</v>
      </c>
      <c r="F26019" s="2" t="str">
        <f>"9783110277722"</f>
        <v>9783110277722</v>
      </c>
    </row>
    <row r="26020" spans="1:6" s="3" customFormat="1" ht="29.1" customHeight="1" x14ac:dyDescent="0.25">
      <c r="A26020" s="2" t="s">
        <v>45981</v>
      </c>
      <c r="B26020" s="2" t="s">
        <v>45980</v>
      </c>
      <c r="C26020" s="2" t="s">
        <v>595</v>
      </c>
      <c r="D26020" s="2" t="s">
        <v>50647</v>
      </c>
      <c r="E26020" s="2" t="str">
        <f>"9783034303156"</f>
        <v>9783034303156</v>
      </c>
      <c r="F26020" s="2" t="str">
        <f>"9783035100761"</f>
        <v>9783035100761</v>
      </c>
    </row>
    <row r="26021" spans="1:6" s="3" customFormat="1" ht="29.1" customHeight="1" x14ac:dyDescent="0.25">
      <c r="A26021" s="2" t="s">
        <v>50648</v>
      </c>
      <c r="B26021" s="2" t="s">
        <v>50649</v>
      </c>
      <c r="C26021" s="2" t="s">
        <v>927</v>
      </c>
      <c r="D26021" s="2" t="s">
        <v>210</v>
      </c>
      <c r="E26021" s="2" t="str">
        <f>"9780472118502"</f>
        <v>9780472118502</v>
      </c>
      <c r="F26021" s="2" t="str">
        <f>"9780472028719"</f>
        <v>9780472028719</v>
      </c>
    </row>
    <row r="26022" spans="1:6" s="3" customFormat="1" ht="29.1" customHeight="1" x14ac:dyDescent="0.25">
      <c r="A26022" s="2" t="s">
        <v>50650</v>
      </c>
      <c r="B26022" s="2" t="s">
        <v>50651</v>
      </c>
      <c r="C26022" s="2" t="s">
        <v>927</v>
      </c>
      <c r="D26022" s="2" t="s">
        <v>33</v>
      </c>
      <c r="E26022" s="2" t="str">
        <f>"9780472118632"</f>
        <v>9780472118632</v>
      </c>
      <c r="F26022" s="2" t="str">
        <f>"9780472028924"</f>
        <v>9780472028924</v>
      </c>
    </row>
    <row r="26023" spans="1:6" s="3" customFormat="1" ht="29.1" customHeight="1" x14ac:dyDescent="0.25">
      <c r="A26023" s="2" t="s">
        <v>50652</v>
      </c>
      <c r="B26023" s="2" t="s">
        <v>50653</v>
      </c>
      <c r="C26023" s="2" t="s">
        <v>5</v>
      </c>
      <c r="D26023" s="2" t="s">
        <v>2749</v>
      </c>
      <c r="E26023" s="2" t="str">
        <f>"9789400721289"</f>
        <v>9789400721289</v>
      </c>
      <c r="F26023" s="2" t="str">
        <f>"9789400721296"</f>
        <v>9789400721296</v>
      </c>
    </row>
    <row r="26024" spans="1:6" s="3" customFormat="1" ht="29.1" customHeight="1" x14ac:dyDescent="0.25">
      <c r="A26024" s="2" t="s">
        <v>50654</v>
      </c>
      <c r="B26024" s="2" t="s">
        <v>50656</v>
      </c>
      <c r="C26024" s="2" t="s">
        <v>264</v>
      </c>
      <c r="D26024" s="2" t="s">
        <v>50655</v>
      </c>
      <c r="E26024" s="2" t="str">
        <f>"9781466507524"</f>
        <v>9781466507524</v>
      </c>
      <c r="F26024" s="2" t="str">
        <f>"9781466507531"</f>
        <v>9781466507531</v>
      </c>
    </row>
    <row r="26025" spans="1:6" s="3" customFormat="1" ht="29.1" customHeight="1" x14ac:dyDescent="0.25">
      <c r="A26025" s="2" t="s">
        <v>50657</v>
      </c>
      <c r="B26025" s="2" t="s">
        <v>50658</v>
      </c>
      <c r="C26025" s="2" t="s">
        <v>11220</v>
      </c>
      <c r="D26025" s="2" t="s">
        <v>3889</v>
      </c>
      <c r="E26025" s="2" t="str">
        <f>"9780814707944"</f>
        <v>9780814707944</v>
      </c>
      <c r="F26025" s="2" t="str">
        <f>"9780814708354"</f>
        <v>9780814708354</v>
      </c>
    </row>
    <row r="26026" spans="1:6" s="3" customFormat="1" ht="29.1" customHeight="1" x14ac:dyDescent="0.25">
      <c r="A26026" s="2" t="s">
        <v>50659</v>
      </c>
      <c r="B26026" s="2" t="s">
        <v>50660</v>
      </c>
      <c r="C26026" s="2" t="s">
        <v>11220</v>
      </c>
      <c r="D26026" s="2" t="s">
        <v>818</v>
      </c>
      <c r="E26026" s="2" t="str">
        <f>"9780814762370"</f>
        <v>9780814762370</v>
      </c>
      <c r="F26026" s="2" t="str">
        <f>"9780814762394"</f>
        <v>9780814762394</v>
      </c>
    </row>
    <row r="26027" spans="1:6" s="3" customFormat="1" ht="29.1" customHeight="1" x14ac:dyDescent="0.25">
      <c r="A26027" s="2" t="s">
        <v>50661</v>
      </c>
      <c r="B26027" s="2" t="s">
        <v>50662</v>
      </c>
      <c r="C26027" s="2" t="s">
        <v>4788</v>
      </c>
      <c r="D26027" s="2" t="s">
        <v>339</v>
      </c>
      <c r="E26027" s="2" t="str">
        <f>"9780748624218"</f>
        <v>9780748624218</v>
      </c>
      <c r="F26027" s="2" t="str">
        <f>"9780748630387"</f>
        <v>9780748630387</v>
      </c>
    </row>
    <row r="26028" spans="1:6" s="3" customFormat="1" ht="29.1" customHeight="1" x14ac:dyDescent="0.25">
      <c r="A26028" s="2" t="s">
        <v>50663</v>
      </c>
      <c r="B26028" s="2" t="s">
        <v>50664</v>
      </c>
      <c r="C26028" s="2" t="s">
        <v>4788</v>
      </c>
      <c r="D26028" s="2" t="s">
        <v>12120</v>
      </c>
      <c r="E26028" s="2" t="str">
        <f>"9780748655908"</f>
        <v>9780748655908</v>
      </c>
      <c r="F26028" s="2" t="str">
        <f>"9780748655915"</f>
        <v>9780748655915</v>
      </c>
    </row>
    <row r="26029" spans="1:6" s="3" customFormat="1" ht="29.1" customHeight="1" x14ac:dyDescent="0.25">
      <c r="A26029" s="2" t="s">
        <v>50665</v>
      </c>
      <c r="B26029" s="2" t="s">
        <v>50666</v>
      </c>
      <c r="C26029" s="2" t="s">
        <v>4788</v>
      </c>
      <c r="D26029" s="2" t="s">
        <v>270</v>
      </c>
      <c r="E26029" s="2" t="str">
        <f>"9780748664573"</f>
        <v>9780748664573</v>
      </c>
      <c r="F26029" s="2" t="str">
        <f>"9780748664597"</f>
        <v>9780748664597</v>
      </c>
    </row>
    <row r="26030" spans="1:6" s="3" customFormat="1" ht="29.1" customHeight="1" x14ac:dyDescent="0.25">
      <c r="A26030" s="2" t="s">
        <v>50667</v>
      </c>
      <c r="B26030" s="2" t="s">
        <v>45581</v>
      </c>
      <c r="C26030" s="2" t="s">
        <v>4788</v>
      </c>
      <c r="D26030" s="2" t="s">
        <v>1697</v>
      </c>
      <c r="E26030" s="2" t="str">
        <f>"9780748668175"</f>
        <v>9780748668175</v>
      </c>
      <c r="F26030" s="2" t="str">
        <f>"9780748668182"</f>
        <v>9780748668182</v>
      </c>
    </row>
    <row r="26031" spans="1:6" s="3" customFormat="1" ht="29.1" customHeight="1" x14ac:dyDescent="0.25">
      <c r="A26031" s="2" t="s">
        <v>50668</v>
      </c>
      <c r="B26031" s="2" t="s">
        <v>50669</v>
      </c>
      <c r="C26031" s="2" t="s">
        <v>264</v>
      </c>
      <c r="D26031" s="2" t="s">
        <v>7809</v>
      </c>
      <c r="E26031" s="2" t="str">
        <f>"9781439838945"</f>
        <v>9781439838945</v>
      </c>
      <c r="F26031" s="2" t="str">
        <f>"9781439838952"</f>
        <v>9781439838952</v>
      </c>
    </row>
    <row r="26032" spans="1:6" s="3" customFormat="1" ht="29.1" customHeight="1" x14ac:dyDescent="0.25">
      <c r="A26032" s="2" t="s">
        <v>50670</v>
      </c>
      <c r="B26032" s="2" t="s">
        <v>50671</v>
      </c>
      <c r="C26032" s="2" t="s">
        <v>195</v>
      </c>
      <c r="D26032" s="2" t="s">
        <v>4185</v>
      </c>
      <c r="E26032" s="2" t="str">
        <f>"9783110296938"</f>
        <v>9783110296938</v>
      </c>
      <c r="F26032" s="2" t="str">
        <f>"9783110297089"</f>
        <v>9783110297089</v>
      </c>
    </row>
    <row r="26033" spans="1:6" s="3" customFormat="1" ht="29.1" customHeight="1" x14ac:dyDescent="0.25">
      <c r="A26033" s="2" t="s">
        <v>50672</v>
      </c>
      <c r="B26033" s="2" t="s">
        <v>50673</v>
      </c>
      <c r="C26033" s="2" t="s">
        <v>195</v>
      </c>
      <c r="D26033" s="2" t="s">
        <v>459</v>
      </c>
      <c r="E26033" s="2" t="str">
        <f>"9783110300949"</f>
        <v>9783110300949</v>
      </c>
      <c r="F26033" s="2" t="str">
        <f>"9783110301090"</f>
        <v>9783110301090</v>
      </c>
    </row>
    <row r="26034" spans="1:6" s="3" customFormat="1" ht="29.1" customHeight="1" x14ac:dyDescent="0.25">
      <c r="A26034" s="2" t="s">
        <v>50674</v>
      </c>
      <c r="B26034" s="2" t="s">
        <v>50675</v>
      </c>
      <c r="C26034" s="2" t="s">
        <v>195</v>
      </c>
      <c r="D26034" s="2" t="s">
        <v>436</v>
      </c>
      <c r="E26034" s="2" t="str">
        <f>"9783110265125"</f>
        <v>9783110265125</v>
      </c>
      <c r="F26034" s="2" t="str">
        <f>"9783110265132"</f>
        <v>9783110265132</v>
      </c>
    </row>
    <row r="26035" spans="1:6" s="3" customFormat="1" ht="29.1" customHeight="1" x14ac:dyDescent="0.25">
      <c r="A26035" s="2" t="s">
        <v>50676</v>
      </c>
      <c r="B26035" s="2" t="s">
        <v>50677</v>
      </c>
      <c r="C26035" s="2" t="s">
        <v>11220</v>
      </c>
      <c r="D26035" s="2" t="s">
        <v>210</v>
      </c>
      <c r="E26035" s="2" t="str">
        <f>"9780814758908"</f>
        <v>9780814758908</v>
      </c>
      <c r="F26035" s="2" t="str">
        <f>"9780814759226"</f>
        <v>9780814759226</v>
      </c>
    </row>
    <row r="26036" spans="1:6" s="3" customFormat="1" ht="29.1" customHeight="1" x14ac:dyDescent="0.25">
      <c r="A26036" s="2" t="s">
        <v>50678</v>
      </c>
      <c r="B26036" s="2" t="s">
        <v>50679</v>
      </c>
      <c r="C26036" s="2" t="s">
        <v>11220</v>
      </c>
      <c r="D26036" s="2" t="s">
        <v>42999</v>
      </c>
      <c r="E26036" s="2" t="str">
        <f>"9780814790571"</f>
        <v>9780814790571</v>
      </c>
      <c r="F26036" s="2" t="str">
        <f>"9780814790595"</f>
        <v>9780814790595</v>
      </c>
    </row>
    <row r="26037" spans="1:6" s="3" customFormat="1" ht="29.1" customHeight="1" x14ac:dyDescent="0.25">
      <c r="A26037" s="2" t="s">
        <v>50680</v>
      </c>
      <c r="B26037" s="2" t="s">
        <v>50681</v>
      </c>
      <c r="C26037" s="2" t="s">
        <v>264</v>
      </c>
      <c r="D26037" s="2" t="s">
        <v>1585</v>
      </c>
      <c r="E26037" s="2" t="str">
        <f>"9781439869956"</f>
        <v>9781439869956</v>
      </c>
      <c r="F26037" s="2" t="str">
        <f>"9781439869970"</f>
        <v>9781439869970</v>
      </c>
    </row>
    <row r="26038" spans="1:6" s="3" customFormat="1" ht="29.1" customHeight="1" x14ac:dyDescent="0.25">
      <c r="A26038" s="2" t="s">
        <v>50682</v>
      </c>
      <c r="B26038" s="2" t="s">
        <v>50683</v>
      </c>
      <c r="C26038" s="2" t="s">
        <v>34257</v>
      </c>
      <c r="D26038" s="2" t="s">
        <v>324</v>
      </c>
      <c r="E26038" s="2" t="str">
        <f>"9780745331560"</f>
        <v>9780745331560</v>
      </c>
      <c r="F26038" s="2" t="str">
        <f>"9781849647885"</f>
        <v>9781849647885</v>
      </c>
    </row>
    <row r="26039" spans="1:6" s="3" customFormat="1" ht="29.1" customHeight="1" x14ac:dyDescent="0.25">
      <c r="A26039" s="2" t="s">
        <v>50684</v>
      </c>
      <c r="B26039" s="2" t="s">
        <v>50685</v>
      </c>
      <c r="C26039" s="2" t="s">
        <v>131</v>
      </c>
      <c r="D26039" s="2" t="s">
        <v>1248</v>
      </c>
      <c r="E26039" s="2" t="str">
        <f>"9789027256348"</f>
        <v>9789027256348</v>
      </c>
      <c r="F26039" s="2" t="str">
        <f>"9789027272379"</f>
        <v>9789027272379</v>
      </c>
    </row>
    <row r="26040" spans="1:6" s="3" customFormat="1" ht="29.1" customHeight="1" x14ac:dyDescent="0.25">
      <c r="A26040" s="2" t="s">
        <v>50686</v>
      </c>
      <c r="B26040" s="2" t="s">
        <v>50687</v>
      </c>
      <c r="C26040" s="2" t="s">
        <v>5</v>
      </c>
      <c r="D26040" s="2" t="s">
        <v>515</v>
      </c>
      <c r="E26040" s="2" t="str">
        <f>"9783642348914"</f>
        <v>9783642348914</v>
      </c>
      <c r="F26040" s="2" t="str">
        <f>"9783642348921"</f>
        <v>9783642348921</v>
      </c>
    </row>
    <row r="26041" spans="1:6" s="3" customFormat="1" ht="29.1" customHeight="1" x14ac:dyDescent="0.25">
      <c r="A26041" s="2" t="s">
        <v>50688</v>
      </c>
      <c r="B26041" s="2" t="s">
        <v>50689</v>
      </c>
      <c r="C26041" s="2" t="s">
        <v>195</v>
      </c>
      <c r="D26041" s="2" t="s">
        <v>210</v>
      </c>
      <c r="E26041" s="2" t="str">
        <f>"9783110288148"</f>
        <v>9783110288148</v>
      </c>
      <c r="F26041" s="2" t="str">
        <f>"9783110288216"</f>
        <v>9783110288216</v>
      </c>
    </row>
    <row r="26042" spans="1:6" s="3" customFormat="1" ht="29.1" customHeight="1" x14ac:dyDescent="0.25">
      <c r="A26042" s="2" t="s">
        <v>50690</v>
      </c>
      <c r="B26042" s="2" t="s">
        <v>50691</v>
      </c>
      <c r="C26042" s="2" t="s">
        <v>195</v>
      </c>
      <c r="D26042" s="2" t="s">
        <v>3345</v>
      </c>
      <c r="E26042" s="2" t="str">
        <f>"9783110286830"</f>
        <v>9783110286830</v>
      </c>
      <c r="F26042" s="2" t="str">
        <f>"9783110286885"</f>
        <v>9783110286885</v>
      </c>
    </row>
    <row r="26043" spans="1:6" s="3" customFormat="1" ht="29.1" customHeight="1" x14ac:dyDescent="0.25">
      <c r="A26043" s="2" t="s">
        <v>50692</v>
      </c>
      <c r="B26043" s="2" t="s">
        <v>50693</v>
      </c>
      <c r="C26043" s="2" t="s">
        <v>195</v>
      </c>
      <c r="D26043" s="2" t="s">
        <v>462</v>
      </c>
      <c r="E26043" s="2" t="str">
        <f>"9783110281224"</f>
        <v>9783110281224</v>
      </c>
      <c r="F26043" s="2" t="str">
        <f>"9783110281880"</f>
        <v>9783110281880</v>
      </c>
    </row>
    <row r="26044" spans="1:6" s="3" customFormat="1" ht="29.1" customHeight="1" x14ac:dyDescent="0.25">
      <c r="A26044" s="2" t="s">
        <v>50694</v>
      </c>
      <c r="B26044" s="2" t="s">
        <v>50695</v>
      </c>
      <c r="C26044" s="2" t="s">
        <v>195</v>
      </c>
      <c r="D26044" s="2" t="s">
        <v>459</v>
      </c>
      <c r="E26044" s="2" t="str">
        <f>"9781614512035"</f>
        <v>9781614512035</v>
      </c>
      <c r="F26044" s="2" t="str">
        <f>"9781614511496"</f>
        <v>9781614511496</v>
      </c>
    </row>
    <row r="26045" spans="1:6" s="3" customFormat="1" ht="29.1" customHeight="1" x14ac:dyDescent="0.25">
      <c r="A26045" s="2" t="s">
        <v>50696</v>
      </c>
      <c r="B26045" s="2" t="s">
        <v>50697</v>
      </c>
      <c r="C26045" s="2" t="s">
        <v>927</v>
      </c>
      <c r="D26045" s="2" t="s">
        <v>8788</v>
      </c>
      <c r="E26045" s="2" t="str">
        <f>"9780472051793"</f>
        <v>9780472051793</v>
      </c>
      <c r="F26045" s="2" t="str">
        <f>"9780472028917"</f>
        <v>9780472028917</v>
      </c>
    </row>
    <row r="26046" spans="1:6" s="3" customFormat="1" ht="29.1" customHeight="1" x14ac:dyDescent="0.25">
      <c r="A26046" s="2" t="s">
        <v>50698</v>
      </c>
      <c r="B26046" s="2" t="s">
        <v>50699</v>
      </c>
      <c r="C26046" s="2" t="s">
        <v>9716</v>
      </c>
      <c r="D26046" s="2" t="s">
        <v>270</v>
      </c>
      <c r="E26046" s="2" t="str">
        <f>"9781439909096"</f>
        <v>9781439909096</v>
      </c>
      <c r="F26046" s="2" t="str">
        <f>"9781439909119"</f>
        <v>9781439909119</v>
      </c>
    </row>
    <row r="26047" spans="1:6" s="3" customFormat="1" ht="29.1" customHeight="1" x14ac:dyDescent="0.25">
      <c r="A26047" s="2" t="s">
        <v>50700</v>
      </c>
      <c r="B26047" s="2" t="s">
        <v>50701</v>
      </c>
      <c r="C26047" s="2" t="s">
        <v>124</v>
      </c>
      <c r="D26047" s="2" t="s">
        <v>968</v>
      </c>
      <c r="E26047" s="2" t="str">
        <f>"9780415819343"</f>
        <v>9780415819343</v>
      </c>
      <c r="F26047" s="2" t="str">
        <f>"9781136739804"</f>
        <v>9781136739804</v>
      </c>
    </row>
    <row r="26048" spans="1:6" s="3" customFormat="1" ht="29.1" customHeight="1" x14ac:dyDescent="0.25">
      <c r="A26048" s="2" t="s">
        <v>50702</v>
      </c>
      <c r="B26048" s="2" t="s">
        <v>50703</v>
      </c>
      <c r="C26048" s="2" t="s">
        <v>7395</v>
      </c>
      <c r="D26048" s="2" t="s">
        <v>49</v>
      </c>
      <c r="E26048" s="2" t="str">
        <f>"9780295980409"</f>
        <v>9780295980409</v>
      </c>
      <c r="F26048" s="2" t="str">
        <f>"9780295997483"</f>
        <v>9780295997483</v>
      </c>
    </row>
    <row r="26049" spans="1:6" s="3" customFormat="1" ht="29.1" customHeight="1" x14ac:dyDescent="0.25">
      <c r="A26049" s="2" t="s">
        <v>50704</v>
      </c>
      <c r="B26049" s="2" t="s">
        <v>50705</v>
      </c>
      <c r="C26049" s="2" t="s">
        <v>7395</v>
      </c>
      <c r="D26049" s="2" t="s">
        <v>636</v>
      </c>
      <c r="E26049" s="2" t="str">
        <f>"9780295987293"</f>
        <v>9780295987293</v>
      </c>
      <c r="F26049" s="2" t="str">
        <f>"9780295804095"</f>
        <v>9780295804095</v>
      </c>
    </row>
    <row r="26050" spans="1:6" s="3" customFormat="1" ht="29.1" customHeight="1" x14ac:dyDescent="0.25">
      <c r="A26050" s="2" t="s">
        <v>50706</v>
      </c>
      <c r="B26050" s="2" t="s">
        <v>50707</v>
      </c>
      <c r="C26050" s="2" t="s">
        <v>7395</v>
      </c>
      <c r="D26050" s="2" t="s">
        <v>636</v>
      </c>
      <c r="E26050" s="2" t="str">
        <f>"9780295975283"</f>
        <v>9780295975283</v>
      </c>
      <c r="F26050" s="2" t="str">
        <f>"9780295804088"</f>
        <v>9780295804088</v>
      </c>
    </row>
    <row r="26051" spans="1:6" s="3" customFormat="1" ht="29.1" customHeight="1" x14ac:dyDescent="0.25">
      <c r="A26051" s="2" t="s">
        <v>50708</v>
      </c>
      <c r="B26051" s="2" t="s">
        <v>50709</v>
      </c>
      <c r="C26051" s="2" t="s">
        <v>7395</v>
      </c>
      <c r="D26051" s="2" t="s">
        <v>636</v>
      </c>
      <c r="E26051" s="2" t="str">
        <f>"9780295990682"</f>
        <v>9780295990682</v>
      </c>
      <c r="F26051" s="2" t="str">
        <f>"9780295801551"</f>
        <v>9780295801551</v>
      </c>
    </row>
    <row r="26052" spans="1:6" s="3" customFormat="1" ht="29.1" customHeight="1" x14ac:dyDescent="0.25">
      <c r="A26052" s="2" t="s">
        <v>50710</v>
      </c>
      <c r="B26052" s="2" t="s">
        <v>50711</v>
      </c>
      <c r="C26052" s="2" t="s">
        <v>316</v>
      </c>
      <c r="D26052" s="2" t="s">
        <v>1959</v>
      </c>
      <c r="E26052" s="2" t="str">
        <f>"9783037855324"</f>
        <v>9783037855324</v>
      </c>
      <c r="F26052" s="2" t="str">
        <f>"9783038139133"</f>
        <v>9783038139133</v>
      </c>
    </row>
    <row r="26053" spans="1:6" s="3" customFormat="1" ht="29.1" customHeight="1" x14ac:dyDescent="0.25">
      <c r="A26053" s="2" t="s">
        <v>50712</v>
      </c>
      <c r="B26053" s="2" t="s">
        <v>50713</v>
      </c>
      <c r="C26053" s="2" t="s">
        <v>316</v>
      </c>
      <c r="D26053" s="2" t="s">
        <v>1959</v>
      </c>
      <c r="E26053" s="2" t="str">
        <f>"9783037854327"</f>
        <v>9783037854327</v>
      </c>
      <c r="F26053" s="2" t="str">
        <f>"9783038138464"</f>
        <v>9783038138464</v>
      </c>
    </row>
    <row r="26054" spans="1:6" s="3" customFormat="1" ht="29.1" customHeight="1" x14ac:dyDescent="0.25">
      <c r="A26054" s="2" t="s">
        <v>50714</v>
      </c>
      <c r="B26054" s="2" t="s">
        <v>50715</v>
      </c>
      <c r="C26054" s="2" t="s">
        <v>316</v>
      </c>
      <c r="D26054" s="2" t="s">
        <v>317</v>
      </c>
      <c r="E26054" s="2" t="str">
        <f>"9783037853368"</f>
        <v>9783037853368</v>
      </c>
      <c r="F26054" s="2" t="str">
        <f>"9783038138280"</f>
        <v>9783038138280</v>
      </c>
    </row>
    <row r="26055" spans="1:6" s="3" customFormat="1" ht="29.1" customHeight="1" x14ac:dyDescent="0.25">
      <c r="A26055" s="2" t="s">
        <v>50716</v>
      </c>
      <c r="B26055" s="2" t="s">
        <v>48002</v>
      </c>
      <c r="C26055" s="2" t="s">
        <v>316</v>
      </c>
      <c r="D26055" s="2" t="s">
        <v>317</v>
      </c>
      <c r="E26055" s="2" t="str">
        <f>"9783038358633"</f>
        <v>9783038358633</v>
      </c>
      <c r="F26055" s="2" t="str">
        <f>"9783038268833"</f>
        <v>9783038268833</v>
      </c>
    </row>
    <row r="26056" spans="1:6" s="3" customFormat="1" ht="29.1" customHeight="1" x14ac:dyDescent="0.25">
      <c r="A26056" s="2" t="s">
        <v>50717</v>
      </c>
      <c r="B26056" s="2" t="s">
        <v>48002</v>
      </c>
      <c r="C26056" s="2" t="s">
        <v>316</v>
      </c>
      <c r="D26056" s="2" t="s">
        <v>317</v>
      </c>
      <c r="E26056" s="2" t="str">
        <f>"9783038358626"</f>
        <v>9783038358626</v>
      </c>
      <c r="F26056" s="2" t="str">
        <f>"9783038268826"</f>
        <v>9783038268826</v>
      </c>
    </row>
    <row r="26057" spans="1:6" s="3" customFormat="1" ht="29.1" customHeight="1" x14ac:dyDescent="0.25">
      <c r="A26057" s="2" t="s">
        <v>50718</v>
      </c>
      <c r="B26057" s="2" t="s">
        <v>50719</v>
      </c>
      <c r="C26057" s="2" t="s">
        <v>55</v>
      </c>
      <c r="D26057" s="2" t="s">
        <v>33</v>
      </c>
      <c r="E26057" s="2" t="str">
        <f>"9780719068782"</f>
        <v>9780719068782</v>
      </c>
      <c r="F26057" s="2" t="str">
        <f>"9781847792723"</f>
        <v>9781847792723</v>
      </c>
    </row>
    <row r="26058" spans="1:6" s="3" customFormat="1" ht="29.1" customHeight="1" x14ac:dyDescent="0.25">
      <c r="A26058" s="2" t="s">
        <v>50720</v>
      </c>
      <c r="B26058" s="2" t="s">
        <v>50721</v>
      </c>
      <c r="C26058" s="2" t="s">
        <v>26676</v>
      </c>
      <c r="D26058" s="2" t="s">
        <v>4582</v>
      </c>
      <c r="E26058" s="2" t="str">
        <f>"9781618112347"</f>
        <v>9781618112347</v>
      </c>
      <c r="F26058" s="2" t="str">
        <f>"9781618112354"</f>
        <v>9781618112354</v>
      </c>
    </row>
    <row r="26059" spans="1:6" s="3" customFormat="1" ht="29.1" customHeight="1" x14ac:dyDescent="0.25">
      <c r="A26059" s="2" t="s">
        <v>50722</v>
      </c>
      <c r="B26059" s="2" t="s">
        <v>36066</v>
      </c>
      <c r="C26059" s="2" t="s">
        <v>26676</v>
      </c>
      <c r="D26059" s="2" t="s">
        <v>3245</v>
      </c>
      <c r="E26059" s="2" t="str">
        <f>"9781936235957"</f>
        <v>9781936235957</v>
      </c>
      <c r="F26059" s="2" t="str">
        <f>"9781618111456"</f>
        <v>9781618111456</v>
      </c>
    </row>
    <row r="26060" spans="1:6" s="3" customFormat="1" ht="29.1" customHeight="1" x14ac:dyDescent="0.25">
      <c r="A26060" s="2" t="s">
        <v>50723</v>
      </c>
      <c r="B26060" s="2" t="s">
        <v>50725</v>
      </c>
      <c r="C26060" s="2" t="s">
        <v>264</v>
      </c>
      <c r="D26060" s="2" t="s">
        <v>50724</v>
      </c>
      <c r="E26060" s="2" t="str">
        <f>"9781466500556"</f>
        <v>9781466500556</v>
      </c>
      <c r="F26060" s="2" t="str">
        <f>"9781466503472"</f>
        <v>9781466503472</v>
      </c>
    </row>
    <row r="26061" spans="1:6" s="3" customFormat="1" ht="29.1" customHeight="1" x14ac:dyDescent="0.25">
      <c r="A26061" s="2" t="s">
        <v>50726</v>
      </c>
      <c r="B26061" s="2" t="s">
        <v>50727</v>
      </c>
      <c r="C26061" s="2" t="s">
        <v>316</v>
      </c>
      <c r="D26061" s="2" t="s">
        <v>317</v>
      </c>
      <c r="E26061" s="2" t="str">
        <f>"9780878493678"</f>
        <v>9780878493678</v>
      </c>
      <c r="F26061" s="2" t="str">
        <f>"9783038132097"</f>
        <v>9783038132097</v>
      </c>
    </row>
    <row r="26062" spans="1:6" s="3" customFormat="1" ht="29.1" customHeight="1" x14ac:dyDescent="0.25">
      <c r="A26062" s="2" t="s">
        <v>50728</v>
      </c>
      <c r="B26062" s="2" t="s">
        <v>50729</v>
      </c>
      <c r="C26062" s="2" t="s">
        <v>316</v>
      </c>
      <c r="D26062" s="2" t="s">
        <v>317</v>
      </c>
      <c r="E26062" s="2" t="str">
        <f>"9780878493852"</f>
        <v>9780878493852</v>
      </c>
      <c r="F26062" s="2" t="str">
        <f>"9783038132189"</f>
        <v>9783038132189</v>
      </c>
    </row>
    <row r="26063" spans="1:6" s="3" customFormat="1" ht="29.1" customHeight="1" x14ac:dyDescent="0.25">
      <c r="A26063" s="2" t="s">
        <v>50730</v>
      </c>
      <c r="B26063" s="2" t="s">
        <v>50731</v>
      </c>
      <c r="C26063" s="2" t="s">
        <v>264</v>
      </c>
      <c r="D26063" s="2" t="s">
        <v>758</v>
      </c>
      <c r="E26063" s="2" t="str">
        <f>"9781466555747"</f>
        <v>9781466555747</v>
      </c>
      <c r="F26063" s="2" t="str">
        <f>"9781466555754"</f>
        <v>9781466555754</v>
      </c>
    </row>
    <row r="26064" spans="1:6" s="3" customFormat="1" ht="29.1" customHeight="1" x14ac:dyDescent="0.25">
      <c r="A26064" s="2" t="s">
        <v>50732</v>
      </c>
      <c r="B26064" s="2" t="s">
        <v>50734</v>
      </c>
      <c r="C26064" s="2" t="s">
        <v>264</v>
      </c>
      <c r="D26064" s="2" t="s">
        <v>50733</v>
      </c>
      <c r="E26064" s="2" t="str">
        <f>"9781466552012"</f>
        <v>9781466552012</v>
      </c>
      <c r="F26064" s="2" t="str">
        <f>"9781466552029"</f>
        <v>9781466552029</v>
      </c>
    </row>
    <row r="26065" spans="1:6" s="3" customFormat="1" ht="29.1" customHeight="1" x14ac:dyDescent="0.25">
      <c r="A26065" s="2" t="s">
        <v>50735</v>
      </c>
      <c r="B26065" s="2" t="s">
        <v>50736</v>
      </c>
      <c r="C26065" s="2" t="s">
        <v>31902</v>
      </c>
      <c r="D26065" s="2" t="s">
        <v>56</v>
      </c>
      <c r="E26065" s="2" t="str">
        <f>"9782759807550"</f>
        <v>9782759807550</v>
      </c>
      <c r="F26065" s="2" t="str">
        <f>"9782759808755"</f>
        <v>9782759808755</v>
      </c>
    </row>
    <row r="26066" spans="1:6" s="3" customFormat="1" ht="29.1" customHeight="1" x14ac:dyDescent="0.25">
      <c r="A26066" s="2" t="s">
        <v>50737</v>
      </c>
      <c r="B26066" s="2" t="s">
        <v>50738</v>
      </c>
      <c r="C26066" s="2" t="s">
        <v>4104</v>
      </c>
      <c r="D26066" s="2" t="s">
        <v>1999</v>
      </c>
      <c r="E26066" s="2" t="str">
        <f>"9781846318436"</f>
        <v>9781846318436</v>
      </c>
      <c r="F26066" s="2" t="str">
        <f>"9781781388273"</f>
        <v>9781781388273</v>
      </c>
    </row>
    <row r="26067" spans="1:6" s="3" customFormat="1" ht="29.1" customHeight="1" x14ac:dyDescent="0.25">
      <c r="A26067" s="2" t="s">
        <v>50739</v>
      </c>
      <c r="B26067" s="2" t="s">
        <v>50740</v>
      </c>
      <c r="C26067" s="2" t="s">
        <v>4104</v>
      </c>
      <c r="D26067" s="2" t="s">
        <v>1411</v>
      </c>
      <c r="E26067" s="2" t="str">
        <f>"9781846318351"</f>
        <v>9781846318351</v>
      </c>
      <c r="F26067" s="2" t="str">
        <f>"9781781386590"</f>
        <v>9781781386590</v>
      </c>
    </row>
    <row r="26068" spans="1:6" s="3" customFormat="1" ht="29.1" customHeight="1" x14ac:dyDescent="0.25">
      <c r="A26068" s="2" t="s">
        <v>50741</v>
      </c>
      <c r="B26068" s="2" t="s">
        <v>50742</v>
      </c>
      <c r="C26068" s="2" t="s">
        <v>4104</v>
      </c>
      <c r="D26068" s="2" t="s">
        <v>10410</v>
      </c>
      <c r="E26068" s="2" t="str">
        <f>"9781846318290"</f>
        <v>9781846318290</v>
      </c>
      <c r="F26068" s="2" t="str">
        <f>"9781781386361"</f>
        <v>9781781386361</v>
      </c>
    </row>
    <row r="26069" spans="1:6" s="3" customFormat="1" ht="29.1" customHeight="1" x14ac:dyDescent="0.25">
      <c r="A26069" s="2" t="s">
        <v>11539</v>
      </c>
      <c r="B26069" s="2" t="s">
        <v>50743</v>
      </c>
      <c r="C26069" s="2" t="s">
        <v>124</v>
      </c>
      <c r="D26069" s="2" t="s">
        <v>818</v>
      </c>
      <c r="E26069" s="2" t="str">
        <f>"9781611322927"</f>
        <v>9781611322927</v>
      </c>
      <c r="F26069" s="2" t="str">
        <f>"9781611322941"</f>
        <v>9781611322941</v>
      </c>
    </row>
    <row r="26070" spans="1:6" s="3" customFormat="1" ht="29.1" customHeight="1" x14ac:dyDescent="0.25">
      <c r="A26070" s="2" t="s">
        <v>50744</v>
      </c>
      <c r="B26070" s="2" t="s">
        <v>50745</v>
      </c>
      <c r="C26070" s="2" t="s">
        <v>1070</v>
      </c>
      <c r="D26070" s="2" t="s">
        <v>8189</v>
      </c>
      <c r="E26070" s="2" t="str">
        <f>"9783318021882"</f>
        <v>9783318021882</v>
      </c>
      <c r="F26070" s="2" t="str">
        <f>"9783318021899"</f>
        <v>9783318021899</v>
      </c>
    </row>
    <row r="26071" spans="1:6" s="3" customFormat="1" ht="29.1" customHeight="1" x14ac:dyDescent="0.25">
      <c r="A26071" s="2" t="s">
        <v>50746</v>
      </c>
      <c r="B26071" s="2" t="s">
        <v>50747</v>
      </c>
      <c r="C26071" s="2" t="s">
        <v>124</v>
      </c>
      <c r="D26071" s="2" t="s">
        <v>183</v>
      </c>
      <c r="E26071" s="2" t="str">
        <f>"9781409425502"</f>
        <v>9781409425502</v>
      </c>
      <c r="F26071" s="2" t="str">
        <f>"9781317167822"</f>
        <v>9781317167822</v>
      </c>
    </row>
    <row r="26072" spans="1:6" s="3" customFormat="1" ht="29.1" customHeight="1" x14ac:dyDescent="0.25">
      <c r="A26072" s="2" t="s">
        <v>50748</v>
      </c>
      <c r="B26072" s="2" t="s">
        <v>50749</v>
      </c>
      <c r="C26072" s="2" t="s">
        <v>124</v>
      </c>
      <c r="D26072" s="2" t="s">
        <v>694</v>
      </c>
      <c r="E26072" s="2" t="str">
        <f>"9780415540711"</f>
        <v>9780415540711</v>
      </c>
      <c r="F26072" s="2" t="str">
        <f>"9781136255854"</f>
        <v>9781136255854</v>
      </c>
    </row>
    <row r="26073" spans="1:6" s="3" customFormat="1" ht="29.1" customHeight="1" x14ac:dyDescent="0.25">
      <c r="A26073" s="2" t="s">
        <v>50750</v>
      </c>
      <c r="B26073" s="2" t="s">
        <v>50751</v>
      </c>
      <c r="C26073" s="2" t="s">
        <v>124</v>
      </c>
      <c r="D26073" s="2" t="s">
        <v>270</v>
      </c>
      <c r="E26073" s="2" t="str">
        <f>"9780415554497"</f>
        <v>9780415554497</v>
      </c>
      <c r="F26073" s="2" t="str">
        <f>"9781136239106"</f>
        <v>9781136239106</v>
      </c>
    </row>
    <row r="26074" spans="1:6" s="3" customFormat="1" ht="29.1" customHeight="1" x14ac:dyDescent="0.25">
      <c r="A26074" s="2" t="s">
        <v>50752</v>
      </c>
      <c r="B26074" s="2" t="s">
        <v>50753</v>
      </c>
      <c r="C26074" s="2" t="s">
        <v>927</v>
      </c>
      <c r="D26074" s="2" t="s">
        <v>1816</v>
      </c>
      <c r="E26074" s="2" t="str">
        <f>"9780472035212"</f>
        <v>9780472035212</v>
      </c>
      <c r="F26074" s="2" t="str">
        <f>"9780472029174"</f>
        <v>9780472029174</v>
      </c>
    </row>
    <row r="26075" spans="1:6" s="3" customFormat="1" ht="29.1" customHeight="1" x14ac:dyDescent="0.25">
      <c r="A26075" s="2" t="s">
        <v>50754</v>
      </c>
      <c r="B26075" s="2" t="s">
        <v>50755</v>
      </c>
      <c r="C26075" s="2" t="s">
        <v>264</v>
      </c>
      <c r="D26075" s="2" t="s">
        <v>6212</v>
      </c>
      <c r="E26075" s="2" t="str">
        <f>"9781439869918"</f>
        <v>9781439869918</v>
      </c>
      <c r="F26075" s="2" t="str">
        <f>"9781439869925"</f>
        <v>9781439869925</v>
      </c>
    </row>
    <row r="26076" spans="1:6" s="3" customFormat="1" ht="29.1" customHeight="1" x14ac:dyDescent="0.25">
      <c r="A26076" s="2" t="s">
        <v>50756</v>
      </c>
      <c r="B26076" s="2" t="s">
        <v>50757</v>
      </c>
      <c r="C26076" s="2" t="s">
        <v>29</v>
      </c>
      <c r="D26076" s="2" t="s">
        <v>9739</v>
      </c>
      <c r="E26076" s="2" t="str">
        <f>"9789004232839"</f>
        <v>9789004232839</v>
      </c>
      <c r="F26076" s="2" t="str">
        <f>"9789004233263"</f>
        <v>9789004233263</v>
      </c>
    </row>
    <row r="26077" spans="1:6" s="3" customFormat="1" ht="29.1" customHeight="1" x14ac:dyDescent="0.25">
      <c r="A26077" s="2" t="s">
        <v>50758</v>
      </c>
      <c r="B26077" s="2" t="s">
        <v>50759</v>
      </c>
      <c r="C26077" s="2" t="s">
        <v>29</v>
      </c>
      <c r="D26077" s="2" t="s">
        <v>4064</v>
      </c>
      <c r="E26077" s="2" t="str">
        <f>"9789004232105"</f>
        <v>9789004232105</v>
      </c>
      <c r="F26077" s="2" t="str">
        <f>"9789004232297"</f>
        <v>9789004232297</v>
      </c>
    </row>
    <row r="26078" spans="1:6" s="3" customFormat="1" ht="29.1" customHeight="1" x14ac:dyDescent="0.25">
      <c r="A26078" s="2" t="s">
        <v>50760</v>
      </c>
      <c r="B26078" s="2" t="s">
        <v>50761</v>
      </c>
      <c r="C26078" s="2" t="s">
        <v>29</v>
      </c>
      <c r="D26078" s="2" t="s">
        <v>63</v>
      </c>
      <c r="E26078" s="2" t="str">
        <f>"9789004232846"</f>
        <v>9789004232846</v>
      </c>
      <c r="F26078" s="2" t="str">
        <f>"9789004232853"</f>
        <v>9789004232853</v>
      </c>
    </row>
    <row r="26079" spans="1:6" s="3" customFormat="1" ht="29.1" customHeight="1" x14ac:dyDescent="0.25">
      <c r="A26079" s="2" t="s">
        <v>50762</v>
      </c>
      <c r="B26079" s="2" t="s">
        <v>50764</v>
      </c>
      <c r="C26079" s="2" t="s">
        <v>29</v>
      </c>
      <c r="D26079" s="2" t="s">
        <v>50763</v>
      </c>
      <c r="E26079" s="2" t="str">
        <f>"9789004185920"</f>
        <v>9789004185920</v>
      </c>
      <c r="F26079" s="2" t="str">
        <f>"9789004187238"</f>
        <v>9789004187238</v>
      </c>
    </row>
    <row r="26080" spans="1:6" s="3" customFormat="1" ht="29.1" customHeight="1" x14ac:dyDescent="0.25">
      <c r="A26080" s="2" t="s">
        <v>50765</v>
      </c>
      <c r="B26080" s="2" t="s">
        <v>50766</v>
      </c>
      <c r="C26080" s="2" t="s">
        <v>316</v>
      </c>
      <c r="D26080" s="2" t="s">
        <v>650</v>
      </c>
      <c r="E26080" s="2" t="str">
        <f>"9780878492480"</f>
        <v>9780878492480</v>
      </c>
      <c r="F26080" s="2" t="str">
        <f>"9783038133896"</f>
        <v>9783038133896</v>
      </c>
    </row>
    <row r="26081" spans="1:6" s="3" customFormat="1" ht="29.1" customHeight="1" x14ac:dyDescent="0.25">
      <c r="A26081" s="2" t="s">
        <v>50767</v>
      </c>
      <c r="B26081" s="2" t="s">
        <v>50768</v>
      </c>
      <c r="C26081" s="2" t="s">
        <v>316</v>
      </c>
      <c r="D26081" s="2" t="s">
        <v>317</v>
      </c>
      <c r="E26081" s="2" t="str">
        <f>"9780878492343"</f>
        <v>9780878492343</v>
      </c>
      <c r="F26081" s="2" t="str">
        <f>"9783038133957"</f>
        <v>9783038133957</v>
      </c>
    </row>
    <row r="26082" spans="1:6" s="3" customFormat="1" ht="29.1" customHeight="1" x14ac:dyDescent="0.25">
      <c r="A26082" s="2" t="s">
        <v>50769</v>
      </c>
      <c r="B26082" s="2" t="s">
        <v>50770</v>
      </c>
      <c r="C26082" s="2" t="s">
        <v>316</v>
      </c>
      <c r="D26082" s="2" t="s">
        <v>317</v>
      </c>
      <c r="E26082" s="2" t="str">
        <f>"9780878492954"</f>
        <v>9780878492954</v>
      </c>
      <c r="F26082" s="2" t="str">
        <f>"9783038133414"</f>
        <v>9783038133414</v>
      </c>
    </row>
    <row r="26083" spans="1:6" s="3" customFormat="1" ht="29.1" customHeight="1" x14ac:dyDescent="0.25">
      <c r="A26083" s="2" t="s">
        <v>50771</v>
      </c>
      <c r="B26083" s="2" t="s">
        <v>50772</v>
      </c>
      <c r="C26083" s="2" t="s">
        <v>316</v>
      </c>
      <c r="D26083" s="2" t="s">
        <v>317</v>
      </c>
      <c r="E26083" s="2" t="str">
        <f>"9783037854761"</f>
        <v>9783037854761</v>
      </c>
      <c r="F26083" s="2" t="str">
        <f>"9783038138921"</f>
        <v>9783038138921</v>
      </c>
    </row>
    <row r="26084" spans="1:6" s="3" customFormat="1" ht="29.1" customHeight="1" x14ac:dyDescent="0.25">
      <c r="A26084" s="2" t="s">
        <v>50773</v>
      </c>
      <c r="B26084" s="2" t="s">
        <v>50774</v>
      </c>
      <c r="C26084" s="2" t="s">
        <v>4788</v>
      </c>
      <c r="D26084" s="2" t="s">
        <v>1956</v>
      </c>
      <c r="E26084" s="2" t="str">
        <f>"9780748645077"</f>
        <v>9780748645077</v>
      </c>
      <c r="F26084" s="2" t="str">
        <f>"9780748645084"</f>
        <v>9780748645084</v>
      </c>
    </row>
    <row r="26085" spans="1:6" s="3" customFormat="1" ht="29.1" customHeight="1" x14ac:dyDescent="0.25">
      <c r="A26085" s="2" t="s">
        <v>50775</v>
      </c>
      <c r="B26085" s="2" t="s">
        <v>50776</v>
      </c>
      <c r="C26085" s="2" t="s">
        <v>26676</v>
      </c>
      <c r="D26085" s="2" t="s">
        <v>4238</v>
      </c>
      <c r="E26085" s="2" t="str">
        <f>"9781936235766"</f>
        <v>9781936235766</v>
      </c>
      <c r="F26085" s="2" t="str">
        <f>"9781618111258"</f>
        <v>9781618111258</v>
      </c>
    </row>
    <row r="26086" spans="1:6" s="3" customFormat="1" ht="29.1" customHeight="1" x14ac:dyDescent="0.25">
      <c r="A26086" s="2" t="s">
        <v>50777</v>
      </c>
      <c r="B26086" s="2" t="s">
        <v>50778</v>
      </c>
      <c r="C26086" s="2" t="s">
        <v>11220</v>
      </c>
      <c r="D26086" s="2" t="s">
        <v>15</v>
      </c>
      <c r="E26086" s="2" t="str">
        <f>"9780814784068"</f>
        <v>9780814784068</v>
      </c>
      <c r="F26086" s="2" t="str">
        <f>"9780814759417"</f>
        <v>9780814759417</v>
      </c>
    </row>
    <row r="26087" spans="1:6" s="3" customFormat="1" ht="29.1" customHeight="1" x14ac:dyDescent="0.25">
      <c r="A26087" s="2" t="s">
        <v>50779</v>
      </c>
      <c r="B26087" s="2" t="s">
        <v>50780</v>
      </c>
      <c r="C26087" s="2" t="s">
        <v>11220</v>
      </c>
      <c r="D26087" s="2" t="s">
        <v>183</v>
      </c>
      <c r="E26087" s="2" t="str">
        <f>"9780814784044"</f>
        <v>9780814784044</v>
      </c>
      <c r="F26087" s="2" t="str">
        <f>"9780814724705"</f>
        <v>9780814724705</v>
      </c>
    </row>
    <row r="26088" spans="1:6" s="3" customFormat="1" ht="29.1" customHeight="1" x14ac:dyDescent="0.25">
      <c r="A26088" s="2" t="s">
        <v>50781</v>
      </c>
      <c r="B26088" s="2" t="s">
        <v>50782</v>
      </c>
      <c r="C26088" s="2" t="s">
        <v>11220</v>
      </c>
      <c r="D26088" s="2" t="s">
        <v>42999</v>
      </c>
      <c r="E26088" s="2" t="str">
        <f>"9780814740699"</f>
        <v>9780814740699</v>
      </c>
      <c r="F26088" s="2" t="str">
        <f>"9780814738979"</f>
        <v>9780814738979</v>
      </c>
    </row>
    <row r="26089" spans="1:6" s="3" customFormat="1" ht="29.1" customHeight="1" x14ac:dyDescent="0.25">
      <c r="A26089" s="2" t="s">
        <v>16592</v>
      </c>
      <c r="B26089" s="2" t="s">
        <v>16593</v>
      </c>
      <c r="C26089" s="2" t="s">
        <v>11220</v>
      </c>
      <c r="D26089" s="2" t="s">
        <v>1654</v>
      </c>
      <c r="E26089" s="2" t="str">
        <f>"9780814717387"</f>
        <v>9780814717387</v>
      </c>
      <c r="F26089" s="2" t="str">
        <f>"9780814717394"</f>
        <v>9780814717394</v>
      </c>
    </row>
    <row r="26090" spans="1:6" s="3" customFormat="1" ht="29.1" customHeight="1" x14ac:dyDescent="0.25">
      <c r="A26090" s="2" t="s">
        <v>50783</v>
      </c>
      <c r="B26090" s="2" t="s">
        <v>50784</v>
      </c>
      <c r="C26090" s="2" t="s">
        <v>34257</v>
      </c>
      <c r="D26090" s="2" t="s">
        <v>17987</v>
      </c>
      <c r="E26090" s="2" t="str">
        <f>"9780745331966"</f>
        <v>9780745331966</v>
      </c>
      <c r="F26090" s="2" t="str">
        <f>"9781849646918"</f>
        <v>9781849646918</v>
      </c>
    </row>
    <row r="26091" spans="1:6" s="3" customFormat="1" ht="29.1" customHeight="1" x14ac:dyDescent="0.25">
      <c r="A26091" s="2" t="s">
        <v>50785</v>
      </c>
      <c r="B26091" s="2" t="s">
        <v>50786</v>
      </c>
      <c r="C26091" s="2" t="s">
        <v>34257</v>
      </c>
      <c r="D26091" s="2" t="s">
        <v>712</v>
      </c>
      <c r="E26091" s="2" t="str">
        <f>"9780745332499"</f>
        <v>9780745332499</v>
      </c>
      <c r="F26091" s="2" t="str">
        <f>"9781849648004"</f>
        <v>9781849648004</v>
      </c>
    </row>
    <row r="26092" spans="1:6" s="3" customFormat="1" ht="29.1" customHeight="1" x14ac:dyDescent="0.25">
      <c r="A26092" s="2" t="s">
        <v>50787</v>
      </c>
      <c r="B26092" s="2" t="s">
        <v>50788</v>
      </c>
      <c r="C26092" s="2" t="s">
        <v>26676</v>
      </c>
      <c r="D26092" s="2" t="s">
        <v>10493</v>
      </c>
      <c r="E26092" s="2" t="str">
        <f>"9781934843796"</f>
        <v>9781934843796</v>
      </c>
      <c r="F26092" s="2" t="str">
        <f>"9781618110176"</f>
        <v>9781618110176</v>
      </c>
    </row>
    <row r="26093" spans="1:6" s="3" customFormat="1" ht="29.1" customHeight="1" x14ac:dyDescent="0.25">
      <c r="A26093" s="2" t="s">
        <v>50789</v>
      </c>
      <c r="B26093" s="2" t="s">
        <v>50790</v>
      </c>
      <c r="C26093" s="2" t="s">
        <v>26676</v>
      </c>
      <c r="D26093" s="2" t="s">
        <v>5560</v>
      </c>
      <c r="E26093" s="2" t="str">
        <f>"9781936235117"</f>
        <v>9781936235117</v>
      </c>
      <c r="F26093" s="2" t="str">
        <f>"9781618110114"</f>
        <v>9781618110114</v>
      </c>
    </row>
    <row r="26094" spans="1:6" s="3" customFormat="1" ht="29.1" customHeight="1" x14ac:dyDescent="0.25">
      <c r="A26094" s="2" t="s">
        <v>50791</v>
      </c>
      <c r="B26094" s="2" t="s">
        <v>50792</v>
      </c>
      <c r="C26094" s="2" t="s">
        <v>26676</v>
      </c>
      <c r="D26094" s="2" t="s">
        <v>2602</v>
      </c>
      <c r="E26094" s="2" t="str">
        <f>"9781934843659"</f>
        <v>9781934843659</v>
      </c>
      <c r="F26094" s="2" t="str">
        <f>"9781618110060"</f>
        <v>9781618110060</v>
      </c>
    </row>
    <row r="26095" spans="1:6" s="3" customFormat="1" ht="29.1" customHeight="1" x14ac:dyDescent="0.25">
      <c r="A26095" s="2" t="s">
        <v>50793</v>
      </c>
      <c r="B26095" s="2" t="s">
        <v>50794</v>
      </c>
      <c r="C26095" s="2" t="s">
        <v>26676</v>
      </c>
      <c r="D26095" s="2" t="s">
        <v>2602</v>
      </c>
      <c r="E26095" s="2" t="str">
        <f>"9781936235186"</f>
        <v>9781936235186</v>
      </c>
      <c r="F26095" s="2" t="str">
        <f>"9781618110039"</f>
        <v>9781618110039</v>
      </c>
    </row>
    <row r="26096" spans="1:6" s="3" customFormat="1" ht="29.1" customHeight="1" x14ac:dyDescent="0.25">
      <c r="A26096" s="2" t="s">
        <v>50795</v>
      </c>
      <c r="B26096" s="2" t="s">
        <v>50796</v>
      </c>
      <c r="C26096" s="2" t="s">
        <v>26676</v>
      </c>
      <c r="D26096" s="2" t="s">
        <v>4071</v>
      </c>
      <c r="E26096" s="2" t="str">
        <f>"9781936235179"</f>
        <v>9781936235179</v>
      </c>
      <c r="F26096" s="2" t="str">
        <f>"9781618110008"</f>
        <v>9781618110008</v>
      </c>
    </row>
    <row r="26097" spans="1:6" s="3" customFormat="1" ht="29.1" customHeight="1" x14ac:dyDescent="0.25">
      <c r="A26097" s="2" t="s">
        <v>50797</v>
      </c>
      <c r="B26097" s="2" t="s">
        <v>50798</v>
      </c>
      <c r="C26097" s="2" t="s">
        <v>26676</v>
      </c>
      <c r="D26097" s="2" t="s">
        <v>2602</v>
      </c>
      <c r="E26097" s="2" t="str">
        <f>"9781936235193"</f>
        <v>9781936235193</v>
      </c>
      <c r="F26097" s="2" t="str">
        <f>"9781618111340"</f>
        <v>9781618111340</v>
      </c>
    </row>
    <row r="26098" spans="1:6" s="3" customFormat="1" ht="29.1" customHeight="1" x14ac:dyDescent="0.25">
      <c r="A26098" s="2" t="s">
        <v>50799</v>
      </c>
      <c r="B26098" s="2" t="s">
        <v>50800</v>
      </c>
      <c r="C26098" s="2" t="s">
        <v>26676</v>
      </c>
      <c r="D26098" s="2" t="s">
        <v>2602</v>
      </c>
      <c r="E26098" s="2" t="str">
        <f>"9781934843819"</f>
        <v>9781934843819</v>
      </c>
      <c r="F26098" s="2" t="str">
        <f>"9781618111289"</f>
        <v>9781618111289</v>
      </c>
    </row>
    <row r="26099" spans="1:6" s="3" customFormat="1" ht="29.1" customHeight="1" x14ac:dyDescent="0.25">
      <c r="A26099" s="2" t="s">
        <v>50801</v>
      </c>
      <c r="B26099" s="2" t="s">
        <v>50802</v>
      </c>
      <c r="C26099" s="2" t="s">
        <v>26676</v>
      </c>
      <c r="D26099" s="2" t="s">
        <v>4582</v>
      </c>
      <c r="E26099" s="2" t="str">
        <f>"9781936235667"</f>
        <v>9781936235667</v>
      </c>
      <c r="F26099" s="2" t="str">
        <f>"9781618111203"</f>
        <v>9781618111203</v>
      </c>
    </row>
    <row r="26100" spans="1:6" s="3" customFormat="1" ht="29.1" customHeight="1" x14ac:dyDescent="0.25">
      <c r="A26100" s="2" t="s">
        <v>50803</v>
      </c>
      <c r="B26100" s="2" t="s">
        <v>50804</v>
      </c>
      <c r="C26100" s="2" t="s">
        <v>26676</v>
      </c>
      <c r="D26100" s="2" t="s">
        <v>916</v>
      </c>
      <c r="E26100" s="2" t="str">
        <f>"9781936235391"</f>
        <v>9781936235391</v>
      </c>
      <c r="F26100" s="2" t="str">
        <f>"9781618110411"</f>
        <v>9781618110411</v>
      </c>
    </row>
    <row r="26101" spans="1:6" s="3" customFormat="1" ht="29.1" customHeight="1" x14ac:dyDescent="0.25">
      <c r="A26101" s="2" t="s">
        <v>50805</v>
      </c>
      <c r="B26101" s="2" t="s">
        <v>50806</v>
      </c>
      <c r="C26101" s="2" t="s">
        <v>124</v>
      </c>
      <c r="D26101" s="2" t="s">
        <v>81</v>
      </c>
      <c r="E26101" s="2" t="str">
        <f>"9780754679967"</f>
        <v>9780754679967</v>
      </c>
      <c r="F26101" s="2" t="str">
        <f>"9781317132455"</f>
        <v>9781317132455</v>
      </c>
    </row>
    <row r="26102" spans="1:6" s="3" customFormat="1" ht="29.1" customHeight="1" x14ac:dyDescent="0.25">
      <c r="A26102" s="2" t="s">
        <v>50807</v>
      </c>
      <c r="B26102" s="2" t="s">
        <v>50707</v>
      </c>
      <c r="C26102" s="2" t="s">
        <v>7395</v>
      </c>
      <c r="D26102" s="2" t="s">
        <v>636</v>
      </c>
      <c r="E26102" s="2" t="str">
        <f>"9780295981222"</f>
        <v>9780295981222</v>
      </c>
      <c r="F26102" s="2" t="str">
        <f>"9780295804071"</f>
        <v>9780295804071</v>
      </c>
    </row>
    <row r="26103" spans="1:6" s="3" customFormat="1" ht="29.1" customHeight="1" x14ac:dyDescent="0.25">
      <c r="A26103" s="2" t="s">
        <v>50808</v>
      </c>
      <c r="B26103" s="2" t="s">
        <v>50809</v>
      </c>
      <c r="C26103" s="2" t="s">
        <v>195</v>
      </c>
      <c r="D26103" s="2" t="s">
        <v>459</v>
      </c>
      <c r="E26103" s="2" t="str">
        <f>"9783110284669"</f>
        <v>9783110284669</v>
      </c>
      <c r="F26103" s="2" t="str">
        <f>"9783110275681"</f>
        <v>9783110275681</v>
      </c>
    </row>
    <row r="26104" spans="1:6" s="3" customFormat="1" ht="29.1" customHeight="1" x14ac:dyDescent="0.25">
      <c r="A26104" s="2" t="s">
        <v>50810</v>
      </c>
      <c r="B26104" s="2" t="s">
        <v>50811</v>
      </c>
      <c r="C26104" s="2" t="s">
        <v>195</v>
      </c>
      <c r="D26104" s="2" t="s">
        <v>81</v>
      </c>
      <c r="E26104" s="2" t="str">
        <f>"9783110296693"</f>
        <v>9783110296693</v>
      </c>
      <c r="F26104" s="2" t="str">
        <f>"9783110296723"</f>
        <v>9783110296723</v>
      </c>
    </row>
    <row r="26105" spans="1:6" s="3" customFormat="1" ht="29.1" customHeight="1" x14ac:dyDescent="0.25">
      <c r="A26105" s="2" t="s">
        <v>50812</v>
      </c>
      <c r="B26105" s="2" t="s">
        <v>50813</v>
      </c>
      <c r="C26105" s="2" t="s">
        <v>195</v>
      </c>
      <c r="D26105" s="2" t="s">
        <v>462</v>
      </c>
      <c r="E26105" s="2" t="str">
        <f>"9783110294439"</f>
        <v>9783110294439</v>
      </c>
      <c r="F26105" s="2" t="str">
        <f>"9783110294750"</f>
        <v>9783110294750</v>
      </c>
    </row>
    <row r="26106" spans="1:6" s="3" customFormat="1" ht="29.1" customHeight="1" x14ac:dyDescent="0.25">
      <c r="A26106" s="2" t="s">
        <v>50814</v>
      </c>
      <c r="B26106" s="2" t="s">
        <v>47548</v>
      </c>
      <c r="C26106" s="2" t="s">
        <v>195</v>
      </c>
      <c r="D26106" s="2" t="s">
        <v>14574</v>
      </c>
      <c r="E26106" s="2" t="str">
        <f>"9783110289008"</f>
        <v>9783110289008</v>
      </c>
      <c r="F26106" s="2" t="str">
        <f>"9783110289039"</f>
        <v>9783110289039</v>
      </c>
    </row>
    <row r="26107" spans="1:6" s="3" customFormat="1" ht="29.1" customHeight="1" x14ac:dyDescent="0.25">
      <c r="A26107" s="2" t="s">
        <v>50815</v>
      </c>
      <c r="B26107" s="2" t="s">
        <v>50816</v>
      </c>
      <c r="C26107" s="2" t="s">
        <v>195</v>
      </c>
      <c r="D26107" s="2" t="s">
        <v>459</v>
      </c>
      <c r="E26107" s="2" t="str">
        <f>"9783110288124"</f>
        <v>9783110288124</v>
      </c>
      <c r="F26107" s="2" t="str">
        <f>"9783110288179"</f>
        <v>9783110288179</v>
      </c>
    </row>
    <row r="26108" spans="1:6" s="3" customFormat="1" ht="29.1" customHeight="1" x14ac:dyDescent="0.25">
      <c r="A26108" s="2" t="s">
        <v>50817</v>
      </c>
      <c r="B26108" s="2" t="s">
        <v>46728</v>
      </c>
      <c r="C26108" s="2" t="s">
        <v>195</v>
      </c>
      <c r="D26108" s="2" t="s">
        <v>446</v>
      </c>
      <c r="E26108" s="2" t="str">
        <f>"9783110287257"</f>
        <v>9783110287257</v>
      </c>
      <c r="F26108" s="2" t="str">
        <f>"9783110287332"</f>
        <v>9783110287332</v>
      </c>
    </row>
    <row r="26109" spans="1:6" s="3" customFormat="1" ht="29.1" customHeight="1" x14ac:dyDescent="0.25">
      <c r="A26109" s="2" t="s">
        <v>50818</v>
      </c>
      <c r="B26109" s="2" t="s">
        <v>50819</v>
      </c>
      <c r="C26109" s="2" t="s">
        <v>195</v>
      </c>
      <c r="D26109" s="2" t="s">
        <v>3130</v>
      </c>
      <c r="E26109" s="2" t="str">
        <f>"9783110278385"</f>
        <v>9783110278385</v>
      </c>
      <c r="F26109" s="2" t="str">
        <f>"9783110278552"</f>
        <v>9783110278552</v>
      </c>
    </row>
    <row r="26110" spans="1:6" s="3" customFormat="1" ht="29.1" customHeight="1" x14ac:dyDescent="0.25">
      <c r="A26110" s="2" t="s">
        <v>50820</v>
      </c>
      <c r="B26110" s="2" t="s">
        <v>50821</v>
      </c>
      <c r="C26110" s="2" t="s">
        <v>195</v>
      </c>
      <c r="D26110" s="2" t="s">
        <v>436</v>
      </c>
      <c r="E26110" s="2" t="str">
        <f>"9783110271409"</f>
        <v>9783110271409</v>
      </c>
      <c r="F26110" s="2" t="str">
        <f>"9783110271744"</f>
        <v>9783110271744</v>
      </c>
    </row>
    <row r="26111" spans="1:6" s="3" customFormat="1" ht="29.1" customHeight="1" x14ac:dyDescent="0.25">
      <c r="A26111" s="2" t="s">
        <v>50822</v>
      </c>
      <c r="B26111" s="2" t="s">
        <v>50823</v>
      </c>
      <c r="C26111" s="2" t="s">
        <v>195</v>
      </c>
      <c r="D26111" s="2" t="s">
        <v>7460</v>
      </c>
      <c r="E26111" s="2" t="str">
        <f>"9783110263510"</f>
        <v>9783110263510</v>
      </c>
      <c r="F26111" s="2" t="str">
        <f>"9783110263527"</f>
        <v>9783110263527</v>
      </c>
    </row>
    <row r="26112" spans="1:6" s="3" customFormat="1" ht="29.1" customHeight="1" x14ac:dyDescent="0.25">
      <c r="A26112" s="2" t="s">
        <v>50824</v>
      </c>
      <c r="B26112" s="2" t="s">
        <v>50825</v>
      </c>
      <c r="C26112" s="2" t="s">
        <v>195</v>
      </c>
      <c r="D26112" s="2" t="s">
        <v>3345</v>
      </c>
      <c r="E26112" s="2" t="str">
        <f>"9783110260908"</f>
        <v>9783110260908</v>
      </c>
      <c r="F26112" s="2" t="str">
        <f>"9783110260922"</f>
        <v>9783110260922</v>
      </c>
    </row>
    <row r="26113" spans="1:6" s="3" customFormat="1" ht="29.1" customHeight="1" x14ac:dyDescent="0.25">
      <c r="A26113" s="2" t="s">
        <v>49976</v>
      </c>
      <c r="B26113" s="2" t="s">
        <v>49977</v>
      </c>
      <c r="C26113" s="2" t="s">
        <v>195</v>
      </c>
      <c r="D26113" s="2" t="s">
        <v>210</v>
      </c>
      <c r="E26113" s="2" t="str">
        <f>"9783598251276"</f>
        <v>9783598251276</v>
      </c>
      <c r="F26113" s="2" t="str">
        <f>"9783110232363"</f>
        <v>9783110232363</v>
      </c>
    </row>
    <row r="26114" spans="1:6" s="3" customFormat="1" ht="29.1" customHeight="1" x14ac:dyDescent="0.25">
      <c r="A26114" s="2" t="s">
        <v>50826</v>
      </c>
      <c r="B26114" s="2" t="s">
        <v>50827</v>
      </c>
      <c r="C26114" s="2" t="s">
        <v>195</v>
      </c>
      <c r="D26114" s="2" t="s">
        <v>210</v>
      </c>
      <c r="E26114" s="2" t="str">
        <f>"9781614511274"</f>
        <v>9781614511274</v>
      </c>
      <c r="F26114" s="2" t="str">
        <f>"9781614510994"</f>
        <v>9781614510994</v>
      </c>
    </row>
    <row r="26115" spans="1:6" s="3" customFormat="1" ht="29.1" customHeight="1" x14ac:dyDescent="0.25">
      <c r="A26115" s="2" t="s">
        <v>50828</v>
      </c>
      <c r="B26115" s="2" t="s">
        <v>50829</v>
      </c>
      <c r="C26115" s="2" t="s">
        <v>26676</v>
      </c>
      <c r="D26115" s="2" t="s">
        <v>75</v>
      </c>
      <c r="E26115" s="2" t="str">
        <f>"9781934843482"</f>
        <v>9781934843482</v>
      </c>
      <c r="F26115" s="2" t="str">
        <f>"9781618111135"</f>
        <v>9781618111135</v>
      </c>
    </row>
    <row r="26116" spans="1:6" s="3" customFormat="1" ht="29.1" customHeight="1" x14ac:dyDescent="0.25">
      <c r="A26116" s="2" t="s">
        <v>50830</v>
      </c>
      <c r="B26116" s="2" t="s">
        <v>50831</v>
      </c>
      <c r="C26116" s="2" t="s">
        <v>26676</v>
      </c>
      <c r="D26116" s="2" t="s">
        <v>2602</v>
      </c>
      <c r="E26116" s="2" t="str">
        <f>"9781934843383"</f>
        <v>9781934843383</v>
      </c>
      <c r="F26116" s="2" t="str">
        <f>"9781618111159"</f>
        <v>9781618111159</v>
      </c>
    </row>
    <row r="26117" spans="1:6" s="3" customFormat="1" ht="29.1" customHeight="1" x14ac:dyDescent="0.25">
      <c r="A26117" s="2" t="s">
        <v>50832</v>
      </c>
      <c r="B26117" s="2" t="s">
        <v>50833</v>
      </c>
      <c r="C26117" s="2" t="s">
        <v>26676</v>
      </c>
      <c r="D26117" s="2" t="s">
        <v>2602</v>
      </c>
      <c r="E26117" s="2" t="str">
        <f>"9781934843239"</f>
        <v>9781934843239</v>
      </c>
      <c r="F26117" s="2" t="str">
        <f>"9781618110077"</f>
        <v>9781618110077</v>
      </c>
    </row>
    <row r="26118" spans="1:6" s="3" customFormat="1" ht="29.1" customHeight="1" x14ac:dyDescent="0.25">
      <c r="A26118" s="2" t="s">
        <v>50834</v>
      </c>
      <c r="B26118" s="2" t="s">
        <v>50835</v>
      </c>
      <c r="C26118" s="2" t="s">
        <v>26676</v>
      </c>
      <c r="D26118" s="2" t="s">
        <v>4071</v>
      </c>
      <c r="E26118" s="2" t="str">
        <f>"9781934843208"</f>
        <v>9781934843208</v>
      </c>
      <c r="F26118" s="2" t="str">
        <f>"9781618110954"</f>
        <v>9781618110954</v>
      </c>
    </row>
    <row r="26119" spans="1:6" s="3" customFormat="1" ht="29.1" customHeight="1" x14ac:dyDescent="0.25">
      <c r="A26119" s="2" t="s">
        <v>50836</v>
      </c>
      <c r="B26119" s="2" t="s">
        <v>50837</v>
      </c>
      <c r="C26119" s="2" t="s">
        <v>26676</v>
      </c>
      <c r="D26119" s="2" t="s">
        <v>2602</v>
      </c>
      <c r="E26119" s="2" t="str">
        <f>"9781934843178"</f>
        <v>9781934843178</v>
      </c>
      <c r="F26119" s="2" t="str">
        <f>"9781618110121"</f>
        <v>9781618110121</v>
      </c>
    </row>
    <row r="26120" spans="1:6" s="3" customFormat="1" ht="29.1" customHeight="1" x14ac:dyDescent="0.25">
      <c r="A26120" s="2" t="s">
        <v>50838</v>
      </c>
      <c r="B26120" s="2" t="s">
        <v>50839</v>
      </c>
      <c r="C26120" s="2" t="s">
        <v>26676</v>
      </c>
      <c r="D26120" s="2" t="s">
        <v>175</v>
      </c>
      <c r="E26120" s="2" t="str">
        <f>"9781934843123"</f>
        <v>9781934843123</v>
      </c>
      <c r="F26120" s="2" t="str">
        <f>"9781618111302"</f>
        <v>9781618111302</v>
      </c>
    </row>
    <row r="26121" spans="1:6" s="3" customFormat="1" ht="29.1" customHeight="1" x14ac:dyDescent="0.25">
      <c r="A26121" s="2" t="s">
        <v>50840</v>
      </c>
      <c r="B26121" s="2" t="s">
        <v>50841</v>
      </c>
      <c r="C26121" s="2" t="s">
        <v>26676</v>
      </c>
      <c r="D26121" s="2" t="s">
        <v>2602</v>
      </c>
      <c r="E26121" s="2" t="str">
        <f>"9781934843086"</f>
        <v>9781934843086</v>
      </c>
      <c r="F26121" s="2" t="str">
        <f>"9781618110015"</f>
        <v>9781618110015</v>
      </c>
    </row>
    <row r="26122" spans="1:6" s="3" customFormat="1" ht="29.1" customHeight="1" x14ac:dyDescent="0.25">
      <c r="A26122" s="2" t="s">
        <v>50842</v>
      </c>
      <c r="B26122" s="2" t="s">
        <v>50843</v>
      </c>
      <c r="C26122" s="2" t="s">
        <v>26676</v>
      </c>
      <c r="D26122" s="2" t="s">
        <v>5832</v>
      </c>
      <c r="E26122" s="2" t="str">
        <f>"9781934843024"</f>
        <v>9781934843024</v>
      </c>
      <c r="F26122" s="2" t="str">
        <f>"9781618110053"</f>
        <v>9781618110053</v>
      </c>
    </row>
    <row r="26123" spans="1:6" s="3" customFormat="1" ht="29.1" customHeight="1" x14ac:dyDescent="0.25">
      <c r="A26123" s="2" t="s">
        <v>50844</v>
      </c>
      <c r="B26123" s="2" t="s">
        <v>50845</v>
      </c>
      <c r="C26123" s="2" t="s">
        <v>29</v>
      </c>
      <c r="D26123" s="2" t="s">
        <v>46278</v>
      </c>
      <c r="E26123" s="2" t="str">
        <f>"9789004228917"</f>
        <v>9789004228917</v>
      </c>
      <c r="F26123" s="2" t="str">
        <f>"9789004236172"</f>
        <v>9789004236172</v>
      </c>
    </row>
    <row r="26124" spans="1:6" s="3" customFormat="1" ht="29.1" customHeight="1" x14ac:dyDescent="0.25">
      <c r="A26124" s="2" t="s">
        <v>50846</v>
      </c>
      <c r="B26124" s="2" t="s">
        <v>50847</v>
      </c>
      <c r="C26124" s="2" t="s">
        <v>595</v>
      </c>
      <c r="D26124" s="2" t="s">
        <v>270</v>
      </c>
      <c r="E26124" s="2" t="str">
        <f>"9789052017891"</f>
        <v>9789052017891</v>
      </c>
      <c r="F26124" s="2" t="str">
        <f>"9783035261356"</f>
        <v>9783035261356</v>
      </c>
    </row>
    <row r="26125" spans="1:6" s="3" customFormat="1" ht="29.1" customHeight="1" x14ac:dyDescent="0.25">
      <c r="A26125" s="2" t="s">
        <v>50848</v>
      </c>
      <c r="B26125" s="2" t="s">
        <v>50849</v>
      </c>
      <c r="C26125" s="2" t="s">
        <v>34257</v>
      </c>
      <c r="D26125" s="2" t="s">
        <v>5104</v>
      </c>
      <c r="E26125" s="2" t="str">
        <f>"9780745332758"</f>
        <v>9780745332758</v>
      </c>
      <c r="F26125" s="2" t="str">
        <f>"9781849647281"</f>
        <v>9781849647281</v>
      </c>
    </row>
    <row r="26126" spans="1:6" s="3" customFormat="1" ht="29.1" customHeight="1" x14ac:dyDescent="0.25">
      <c r="A26126" s="2" t="s">
        <v>50850</v>
      </c>
      <c r="B26126" s="2" t="s">
        <v>50851</v>
      </c>
      <c r="C26126" s="2" t="s">
        <v>264</v>
      </c>
      <c r="D26126" s="2" t="s">
        <v>81</v>
      </c>
      <c r="E26126" s="2" t="str">
        <f>"9781466507371"</f>
        <v>9781466507371</v>
      </c>
      <c r="F26126" s="2" t="str">
        <f>"9781466507395"</f>
        <v>9781466507395</v>
      </c>
    </row>
    <row r="26127" spans="1:6" s="3" customFormat="1" ht="29.1" customHeight="1" x14ac:dyDescent="0.25">
      <c r="A26127" s="2" t="s">
        <v>50852</v>
      </c>
      <c r="B26127" s="2" t="s">
        <v>50853</v>
      </c>
      <c r="C26127" s="2" t="s">
        <v>11220</v>
      </c>
      <c r="D26127" s="2" t="s">
        <v>210</v>
      </c>
      <c r="E26127" s="2" t="str">
        <f>"9780814767405"</f>
        <v>9780814767405</v>
      </c>
      <c r="F26127" s="2" t="str">
        <f>"9780814724293"</f>
        <v>9780814724293</v>
      </c>
    </row>
    <row r="26128" spans="1:6" s="3" customFormat="1" ht="29.1" customHeight="1" x14ac:dyDescent="0.25">
      <c r="A26128" s="2" t="s">
        <v>50854</v>
      </c>
      <c r="B26128" s="2" t="s">
        <v>43950</v>
      </c>
      <c r="C26128" s="2" t="s">
        <v>7163</v>
      </c>
      <c r="D26128" s="2" t="s">
        <v>50855</v>
      </c>
      <c r="E26128" s="2" t="str">
        <f>"9781570039850"</f>
        <v>9781570039850</v>
      </c>
      <c r="F26128" s="2" t="str">
        <f>"9781611172263"</f>
        <v>9781611172263</v>
      </c>
    </row>
    <row r="26129" spans="1:6" s="3" customFormat="1" ht="29.1" customHeight="1" x14ac:dyDescent="0.25">
      <c r="A26129" s="2" t="s">
        <v>50856</v>
      </c>
      <c r="B26129" s="2" t="s">
        <v>50857</v>
      </c>
      <c r="C26129" s="2" t="s">
        <v>26676</v>
      </c>
      <c r="D26129" s="2" t="s">
        <v>1419</v>
      </c>
      <c r="E26129" s="2" t="str">
        <f>"9781934843888"</f>
        <v>9781934843888</v>
      </c>
      <c r="F26129" s="2" t="str">
        <f>"9781618110206"</f>
        <v>9781618110206</v>
      </c>
    </row>
    <row r="26130" spans="1:6" s="3" customFormat="1" ht="29.1" customHeight="1" x14ac:dyDescent="0.25">
      <c r="A26130" s="2" t="s">
        <v>50858</v>
      </c>
      <c r="B26130" s="2" t="s">
        <v>50859</v>
      </c>
      <c r="C26130" s="2" t="s">
        <v>26676</v>
      </c>
      <c r="D26130" s="2" t="s">
        <v>5832</v>
      </c>
      <c r="E26130" s="2" t="str">
        <f>"9781934843895"</f>
        <v>9781934843895</v>
      </c>
      <c r="F26130" s="2" t="str">
        <f>"9781618110046"</f>
        <v>9781618110046</v>
      </c>
    </row>
    <row r="26131" spans="1:6" s="3" customFormat="1" ht="29.1" customHeight="1" x14ac:dyDescent="0.25">
      <c r="A26131" s="2" t="s">
        <v>50860</v>
      </c>
      <c r="B26131" s="2" t="s">
        <v>50861</v>
      </c>
      <c r="C26131" s="2" t="s">
        <v>26676</v>
      </c>
      <c r="D26131" s="2" t="s">
        <v>2602</v>
      </c>
      <c r="E26131" s="2" t="str">
        <f>"9781934843406"</f>
        <v>9781934843406</v>
      </c>
      <c r="F26131" s="2" t="str">
        <f>"9781618111364"</f>
        <v>9781618111364</v>
      </c>
    </row>
    <row r="26132" spans="1:6" s="3" customFormat="1" ht="29.1" customHeight="1" x14ac:dyDescent="0.25">
      <c r="A26132" s="2" t="s">
        <v>50862</v>
      </c>
      <c r="B26132" s="2" t="s">
        <v>46363</v>
      </c>
      <c r="C26132" s="2" t="s">
        <v>26676</v>
      </c>
      <c r="D26132" s="2" t="s">
        <v>2602</v>
      </c>
      <c r="E26132" s="2" t="str">
        <f>"9781934843451"</f>
        <v>9781934843451</v>
      </c>
      <c r="F26132" s="2" t="str">
        <f>"9781618111357"</f>
        <v>9781618111357</v>
      </c>
    </row>
    <row r="26133" spans="1:6" s="3" customFormat="1" ht="29.1" customHeight="1" x14ac:dyDescent="0.25">
      <c r="A26133" s="2" t="s">
        <v>50863</v>
      </c>
      <c r="B26133" s="2" t="s">
        <v>50798</v>
      </c>
      <c r="C26133" s="2" t="s">
        <v>26676</v>
      </c>
      <c r="D26133" s="2" t="s">
        <v>2602</v>
      </c>
      <c r="E26133" s="2" t="str">
        <f>"9781934843116"</f>
        <v>9781934843116</v>
      </c>
      <c r="F26133" s="2" t="str">
        <f>"9781618111326"</f>
        <v>9781618111326</v>
      </c>
    </row>
    <row r="26134" spans="1:6" s="3" customFormat="1" ht="29.1" customHeight="1" x14ac:dyDescent="0.25">
      <c r="A26134" s="2" t="s">
        <v>50864</v>
      </c>
      <c r="B26134" s="2" t="s">
        <v>50865</v>
      </c>
      <c r="C26134" s="2" t="s">
        <v>26676</v>
      </c>
      <c r="D26134" s="2" t="s">
        <v>2602</v>
      </c>
      <c r="E26134" s="2" t="str">
        <f>"9781934843680"</f>
        <v>9781934843680</v>
      </c>
      <c r="F26134" s="2" t="str">
        <f>"9781618111296"</f>
        <v>9781618111296</v>
      </c>
    </row>
    <row r="26135" spans="1:6" s="3" customFormat="1" ht="29.1" customHeight="1" x14ac:dyDescent="0.25">
      <c r="A26135" s="2" t="s">
        <v>50866</v>
      </c>
      <c r="B26135" s="2" t="s">
        <v>50867</v>
      </c>
      <c r="C26135" s="2" t="s">
        <v>26676</v>
      </c>
      <c r="D26135" s="2" t="s">
        <v>2602</v>
      </c>
      <c r="E26135" s="2" t="str">
        <f>"9781936235537"</f>
        <v>9781936235537</v>
      </c>
      <c r="F26135" s="2" t="str">
        <f>"9781618111272"</f>
        <v>9781618111272</v>
      </c>
    </row>
    <row r="26136" spans="1:6" s="3" customFormat="1" ht="29.1" customHeight="1" x14ac:dyDescent="0.25">
      <c r="A26136" s="2" t="s">
        <v>50868</v>
      </c>
      <c r="B26136" s="2" t="s">
        <v>50869</v>
      </c>
      <c r="C26136" s="2" t="s">
        <v>26676</v>
      </c>
      <c r="D26136" s="2" t="s">
        <v>2602</v>
      </c>
      <c r="E26136" s="2" t="str">
        <f>"9781934843390"</f>
        <v>9781934843390</v>
      </c>
      <c r="F26136" s="2" t="str">
        <f>"9781618110268"</f>
        <v>9781618110268</v>
      </c>
    </row>
    <row r="26137" spans="1:6" s="3" customFormat="1" ht="29.1" customHeight="1" x14ac:dyDescent="0.25">
      <c r="A26137" s="2" t="s">
        <v>50870</v>
      </c>
      <c r="B26137" s="2" t="s">
        <v>50872</v>
      </c>
      <c r="C26137" s="2" t="s">
        <v>26676</v>
      </c>
      <c r="D26137" s="2" t="s">
        <v>50871</v>
      </c>
      <c r="E26137" s="2" t="str">
        <f>"9781936235506"</f>
        <v>9781936235506</v>
      </c>
      <c r="F26137" s="2" t="str">
        <f>"9781618110091"</f>
        <v>9781618110091</v>
      </c>
    </row>
    <row r="26138" spans="1:6" s="3" customFormat="1" ht="29.1" customHeight="1" x14ac:dyDescent="0.25">
      <c r="A26138" s="2" t="s">
        <v>50873</v>
      </c>
      <c r="B26138" s="2" t="s">
        <v>50874</v>
      </c>
      <c r="C26138" s="2" t="s">
        <v>26676</v>
      </c>
      <c r="D26138" s="2" t="s">
        <v>66</v>
      </c>
      <c r="E26138" s="2" t="str">
        <f>"9781936235216"</f>
        <v>9781936235216</v>
      </c>
      <c r="F26138" s="2" t="str">
        <f>"9781618110084"</f>
        <v>9781618110084</v>
      </c>
    </row>
    <row r="26139" spans="1:6" s="3" customFormat="1" ht="29.1" customHeight="1" x14ac:dyDescent="0.25">
      <c r="A26139" s="2" t="s">
        <v>50875</v>
      </c>
      <c r="B26139" s="2" t="s">
        <v>50876</v>
      </c>
      <c r="C26139" s="2" t="s">
        <v>26676</v>
      </c>
      <c r="D26139" s="2" t="s">
        <v>14574</v>
      </c>
      <c r="E26139" s="2" t="str">
        <f>"9781936235247"</f>
        <v>9781936235247</v>
      </c>
      <c r="F26139" s="2" t="str">
        <f>"9781618110602"</f>
        <v>9781618110602</v>
      </c>
    </row>
    <row r="26140" spans="1:6" s="3" customFormat="1" ht="29.1" customHeight="1" x14ac:dyDescent="0.25">
      <c r="A26140" s="2" t="s">
        <v>566</v>
      </c>
      <c r="B26140" s="2" t="s">
        <v>50877</v>
      </c>
      <c r="C26140" s="2" t="s">
        <v>195</v>
      </c>
      <c r="D26140" s="2" t="s">
        <v>150</v>
      </c>
      <c r="E26140" s="2" t="str">
        <f>"9783110258929"</f>
        <v>9783110258929</v>
      </c>
      <c r="F26140" s="2" t="str">
        <f>"9783110258936"</f>
        <v>9783110258936</v>
      </c>
    </row>
    <row r="26141" spans="1:6" s="3" customFormat="1" ht="29.1" customHeight="1" x14ac:dyDescent="0.25">
      <c r="A26141" s="2" t="s">
        <v>50878</v>
      </c>
      <c r="B26141" s="2" t="s">
        <v>50879</v>
      </c>
      <c r="C26141" s="2" t="s">
        <v>927</v>
      </c>
      <c r="D26141" s="2" t="s">
        <v>210</v>
      </c>
      <c r="E26141" s="2" t="str">
        <f>"9780472118359"</f>
        <v>9780472118359</v>
      </c>
      <c r="F26141" s="2" t="str">
        <f>"9780472028436"</f>
        <v>9780472028436</v>
      </c>
    </row>
    <row r="26142" spans="1:6" s="3" customFormat="1" ht="29.1" customHeight="1" x14ac:dyDescent="0.25">
      <c r="A26142" s="2" t="s">
        <v>50880</v>
      </c>
      <c r="B26142" s="2" t="s">
        <v>50881</v>
      </c>
      <c r="C26142" s="2" t="s">
        <v>1070</v>
      </c>
      <c r="D26142" s="2" t="s">
        <v>1278</v>
      </c>
      <c r="E26142" s="2" t="str">
        <f>"9781908541260"</f>
        <v>9781908541260</v>
      </c>
      <c r="F26142" s="2" t="str">
        <f>"9781908541291"</f>
        <v>9781908541291</v>
      </c>
    </row>
    <row r="26143" spans="1:6" s="3" customFormat="1" ht="29.1" customHeight="1" x14ac:dyDescent="0.25">
      <c r="A26143" s="2" t="s">
        <v>50882</v>
      </c>
      <c r="B26143" s="2" t="s">
        <v>50883</v>
      </c>
      <c r="C26143" s="2" t="s">
        <v>927</v>
      </c>
      <c r="D26143" s="2" t="s">
        <v>210</v>
      </c>
      <c r="E26143" s="2" t="str">
        <f>"9780472050321"</f>
        <v>9780472050321</v>
      </c>
      <c r="F26143" s="2" t="str">
        <f>"9780472024506"</f>
        <v>9780472024506</v>
      </c>
    </row>
    <row r="26144" spans="1:6" s="3" customFormat="1" ht="29.1" customHeight="1" x14ac:dyDescent="0.25">
      <c r="A26144" s="2" t="s">
        <v>50884</v>
      </c>
      <c r="B26144" s="2" t="s">
        <v>50885</v>
      </c>
      <c r="C26144" s="2" t="s">
        <v>11220</v>
      </c>
      <c r="D26144" s="2" t="s">
        <v>30</v>
      </c>
      <c r="E26144" s="2" t="str">
        <f>"9780814732236"</f>
        <v>9780814732236</v>
      </c>
      <c r="F26144" s="2" t="str">
        <f>"9780814708293"</f>
        <v>9780814708293</v>
      </c>
    </row>
    <row r="26145" spans="1:6" s="3" customFormat="1" ht="29.1" customHeight="1" x14ac:dyDescent="0.25">
      <c r="A26145" s="2" t="s">
        <v>50886</v>
      </c>
      <c r="B26145" s="2" t="s">
        <v>50887</v>
      </c>
      <c r="C26145" s="2" t="s">
        <v>124</v>
      </c>
      <c r="D26145" s="2" t="s">
        <v>5864</v>
      </c>
      <c r="E26145" s="2" t="str">
        <f>"9781409444305"</f>
        <v>9781409444305</v>
      </c>
      <c r="F26145" s="2" t="str">
        <f>"9781317136958"</f>
        <v>9781317136958</v>
      </c>
    </row>
    <row r="26146" spans="1:6" s="3" customFormat="1" ht="29.1" customHeight="1" x14ac:dyDescent="0.25">
      <c r="A26146" s="2" t="s">
        <v>50888</v>
      </c>
      <c r="B26146" s="2" t="s">
        <v>50889</v>
      </c>
      <c r="C26146" s="2" t="s">
        <v>124</v>
      </c>
      <c r="D26146" s="2" t="s">
        <v>10410</v>
      </c>
      <c r="E26146" s="2" t="str">
        <f>"9780415510196"</f>
        <v>9780415510196</v>
      </c>
      <c r="F26146" s="2" t="str">
        <f>"9781136298066"</f>
        <v>9781136298066</v>
      </c>
    </row>
    <row r="26147" spans="1:6" s="3" customFormat="1" ht="29.1" customHeight="1" x14ac:dyDescent="0.25">
      <c r="A26147" s="2" t="s">
        <v>50890</v>
      </c>
      <c r="B26147" s="2" t="s">
        <v>50891</v>
      </c>
      <c r="C26147" s="2" t="s">
        <v>4788</v>
      </c>
      <c r="D26147" s="2" t="s">
        <v>3993</v>
      </c>
      <c r="E26147" s="2" t="str">
        <f>"9780748640409"</f>
        <v>9780748640409</v>
      </c>
      <c r="F26147" s="2" t="str">
        <f>"9780748656035"</f>
        <v>9780748656035</v>
      </c>
    </row>
    <row r="26148" spans="1:6" s="3" customFormat="1" ht="29.1" customHeight="1" x14ac:dyDescent="0.25">
      <c r="A26148" s="2" t="s">
        <v>50892</v>
      </c>
      <c r="B26148" s="2" t="s">
        <v>50893</v>
      </c>
      <c r="C26148" s="2" t="s">
        <v>7395</v>
      </c>
      <c r="D26148" s="2" t="s">
        <v>49</v>
      </c>
      <c r="E26148" s="2" t="str">
        <f>"9780295990651"</f>
        <v>9780295990651</v>
      </c>
      <c r="F26148" s="2" t="str">
        <f>"9780295801667"</f>
        <v>9780295801667</v>
      </c>
    </row>
    <row r="26149" spans="1:6" s="3" customFormat="1" ht="29.1" customHeight="1" x14ac:dyDescent="0.25">
      <c r="A26149" s="2" t="s">
        <v>50894</v>
      </c>
      <c r="B26149" s="2" t="s">
        <v>50895</v>
      </c>
      <c r="C26149" s="2" t="s">
        <v>4788</v>
      </c>
      <c r="D26149" s="2" t="s">
        <v>43269</v>
      </c>
      <c r="E26149" s="2" t="str">
        <f>"9780748641888"</f>
        <v>9780748641888</v>
      </c>
      <c r="F26149" s="2" t="str">
        <f>"9780748653843"</f>
        <v>9780748653843</v>
      </c>
    </row>
    <row r="26150" spans="1:6" s="3" customFormat="1" ht="29.1" customHeight="1" x14ac:dyDescent="0.25">
      <c r="A26150" s="2" t="s">
        <v>50896</v>
      </c>
      <c r="B26150" s="2" t="s">
        <v>44302</v>
      </c>
      <c r="C26150" s="2" t="s">
        <v>4788</v>
      </c>
      <c r="D26150" s="2" t="s">
        <v>8647</v>
      </c>
      <c r="E26150" s="2" t="str">
        <f>"9780748639557"</f>
        <v>9780748639557</v>
      </c>
      <c r="F26150" s="2" t="str">
        <f>"9780748649082"</f>
        <v>9780748649082</v>
      </c>
    </row>
    <row r="26151" spans="1:6" s="3" customFormat="1" ht="29.1" customHeight="1" x14ac:dyDescent="0.25">
      <c r="A26151" s="2" t="s">
        <v>50897</v>
      </c>
      <c r="B26151" s="2" t="s">
        <v>50898</v>
      </c>
      <c r="C26151" s="2" t="s">
        <v>4788</v>
      </c>
      <c r="D26151" s="2" t="s">
        <v>210</v>
      </c>
      <c r="E26151" s="2" t="str">
        <f>"9780748646593"</f>
        <v>9780748646593</v>
      </c>
      <c r="F26151" s="2" t="str">
        <f>"9780748646609"</f>
        <v>9780748646609</v>
      </c>
    </row>
    <row r="26152" spans="1:6" s="3" customFormat="1" ht="29.1" customHeight="1" x14ac:dyDescent="0.25">
      <c r="A26152" s="2" t="s">
        <v>50899</v>
      </c>
      <c r="B26152" s="2" t="s">
        <v>44304</v>
      </c>
      <c r="C26152" s="2" t="s">
        <v>4788</v>
      </c>
      <c r="D26152" s="2" t="s">
        <v>12120</v>
      </c>
      <c r="E26152" s="2" t="str">
        <f>"9780748646135"</f>
        <v>9780748646135</v>
      </c>
      <c r="F26152" s="2" t="str">
        <f>"9780748646142"</f>
        <v>9780748646142</v>
      </c>
    </row>
    <row r="26153" spans="1:6" s="3" customFormat="1" ht="29.1" customHeight="1" x14ac:dyDescent="0.25">
      <c r="A26153" s="2" t="s">
        <v>50900</v>
      </c>
      <c r="B26153" s="2" t="s">
        <v>50901</v>
      </c>
      <c r="C26153" s="2" t="s">
        <v>1070</v>
      </c>
      <c r="D26153" s="2" t="s">
        <v>468</v>
      </c>
      <c r="E26153" s="2" t="str">
        <f>"9783805598538"</f>
        <v>9783805598538</v>
      </c>
      <c r="F26153" s="2" t="str">
        <f>"9783805598545"</f>
        <v>9783805598545</v>
      </c>
    </row>
    <row r="26154" spans="1:6" s="3" customFormat="1" ht="29.1" customHeight="1" x14ac:dyDescent="0.25">
      <c r="A26154" s="2" t="s">
        <v>50902</v>
      </c>
      <c r="B26154" s="2" t="s">
        <v>50903</v>
      </c>
      <c r="C26154" s="2" t="s">
        <v>1070</v>
      </c>
      <c r="D26154" s="2" t="s">
        <v>1272</v>
      </c>
      <c r="E26154" s="2" t="str">
        <f>"9783805598002"</f>
        <v>9783805598002</v>
      </c>
      <c r="F26154" s="2" t="str">
        <f>"9783805598019"</f>
        <v>9783805598019</v>
      </c>
    </row>
    <row r="26155" spans="1:6" s="3" customFormat="1" ht="29.1" customHeight="1" x14ac:dyDescent="0.25">
      <c r="A26155" s="2" t="s">
        <v>50904</v>
      </c>
      <c r="B26155" s="2" t="s">
        <v>50905</v>
      </c>
      <c r="C26155" s="2" t="s">
        <v>11220</v>
      </c>
      <c r="D26155" s="2" t="s">
        <v>636</v>
      </c>
      <c r="E26155" s="2" t="str">
        <f>"9780814789506"</f>
        <v>9780814789506</v>
      </c>
      <c r="F26155" s="2" t="str">
        <f>"9780814789513"</f>
        <v>9780814789513</v>
      </c>
    </row>
    <row r="26156" spans="1:6" s="3" customFormat="1" ht="29.1" customHeight="1" x14ac:dyDescent="0.25">
      <c r="A26156" s="2" t="s">
        <v>50906</v>
      </c>
      <c r="B26156" s="2" t="s">
        <v>50907</v>
      </c>
      <c r="C26156" s="2" t="s">
        <v>29</v>
      </c>
      <c r="D26156" s="2" t="s">
        <v>118</v>
      </c>
      <c r="E26156" s="2" t="str">
        <f>"9789004222571"</f>
        <v>9789004222571</v>
      </c>
      <c r="F26156" s="2" t="str">
        <f>"9789004224384"</f>
        <v>9789004224384</v>
      </c>
    </row>
    <row r="26157" spans="1:6" s="3" customFormat="1" ht="29.1" customHeight="1" x14ac:dyDescent="0.25">
      <c r="A26157" s="2" t="s">
        <v>50908</v>
      </c>
      <c r="B26157" s="2" t="s">
        <v>50909</v>
      </c>
      <c r="C26157" s="2" t="s">
        <v>195</v>
      </c>
      <c r="D26157" s="2" t="s">
        <v>81</v>
      </c>
      <c r="E26157" s="2" t="str">
        <f>"9783110287370"</f>
        <v>9783110287370</v>
      </c>
      <c r="F26157" s="2" t="str">
        <f>"9783110287424"</f>
        <v>9783110287424</v>
      </c>
    </row>
    <row r="26158" spans="1:6" s="3" customFormat="1" ht="29.1" customHeight="1" x14ac:dyDescent="0.25">
      <c r="A26158" s="2" t="s">
        <v>50910</v>
      </c>
      <c r="B26158" s="2" t="s">
        <v>50911</v>
      </c>
      <c r="C26158" s="2" t="s">
        <v>195</v>
      </c>
      <c r="D26158" s="2" t="s">
        <v>20683</v>
      </c>
      <c r="E26158" s="2" t="str">
        <f>"9783110278590"</f>
        <v>9783110278590</v>
      </c>
      <c r="F26158" s="2" t="str">
        <f>"9783110278606"</f>
        <v>9783110278606</v>
      </c>
    </row>
    <row r="26159" spans="1:6" s="3" customFormat="1" ht="29.1" customHeight="1" x14ac:dyDescent="0.25">
      <c r="A26159" s="2" t="s">
        <v>50912</v>
      </c>
      <c r="B26159" s="2" t="s">
        <v>50913</v>
      </c>
      <c r="C26159" s="2" t="s">
        <v>195</v>
      </c>
      <c r="D26159" s="2" t="s">
        <v>699</v>
      </c>
      <c r="E26159" s="2" t="str">
        <f>"9783110204032"</f>
        <v>9783110204032</v>
      </c>
      <c r="F26159" s="2" t="str">
        <f>"9783110265408"</f>
        <v>9783110265408</v>
      </c>
    </row>
    <row r="26160" spans="1:6" s="3" customFormat="1" ht="29.1" customHeight="1" x14ac:dyDescent="0.25">
      <c r="A26160" s="2" t="s">
        <v>50914</v>
      </c>
      <c r="B26160" s="2" t="s">
        <v>50915</v>
      </c>
      <c r="C26160" s="2" t="s">
        <v>195</v>
      </c>
      <c r="D26160" s="2" t="s">
        <v>20683</v>
      </c>
      <c r="E26160" s="2" t="str">
        <f>"9783110250343"</f>
        <v>9783110250343</v>
      </c>
      <c r="F26160" s="2" t="str">
        <f>"9783110250404"</f>
        <v>9783110250404</v>
      </c>
    </row>
    <row r="26161" spans="1:6" s="3" customFormat="1" ht="29.1" customHeight="1" x14ac:dyDescent="0.25">
      <c r="A26161" s="2" t="s">
        <v>50916</v>
      </c>
      <c r="B26161" s="2" t="s">
        <v>50917</v>
      </c>
      <c r="C26161" s="2" t="s">
        <v>8104</v>
      </c>
      <c r="D26161" s="2" t="s">
        <v>818</v>
      </c>
      <c r="E26161" s="2" t="str">
        <f>"9780857452535"</f>
        <v>9780857452535</v>
      </c>
      <c r="F26161" s="2" t="str">
        <f>"9780857452542"</f>
        <v>9780857452542</v>
      </c>
    </row>
    <row r="26162" spans="1:6" s="3" customFormat="1" ht="29.1" customHeight="1" x14ac:dyDescent="0.25">
      <c r="A26162" s="2" t="s">
        <v>50918</v>
      </c>
      <c r="B26162" s="2" t="s">
        <v>50919</v>
      </c>
      <c r="C26162" s="2" t="s">
        <v>11220</v>
      </c>
      <c r="D26162" s="2" t="s">
        <v>636</v>
      </c>
      <c r="E26162" s="2" t="str">
        <f>"9780814798379"</f>
        <v>9780814798379</v>
      </c>
      <c r="F26162" s="2" t="str">
        <f>"9780814723920"</f>
        <v>9780814723920</v>
      </c>
    </row>
    <row r="26163" spans="1:6" s="3" customFormat="1" ht="29.1" customHeight="1" x14ac:dyDescent="0.25">
      <c r="A26163" s="2" t="s">
        <v>50920</v>
      </c>
      <c r="B26163" s="2" t="s">
        <v>50921</v>
      </c>
      <c r="C26163" s="2" t="s">
        <v>264</v>
      </c>
      <c r="D26163" s="2" t="s">
        <v>104</v>
      </c>
      <c r="E26163" s="2" t="str">
        <f>"9781439852880"</f>
        <v>9781439852880</v>
      </c>
      <c r="F26163" s="2" t="str">
        <f>"9781439852897"</f>
        <v>9781439852897</v>
      </c>
    </row>
    <row r="26164" spans="1:6" s="3" customFormat="1" ht="29.1" customHeight="1" x14ac:dyDescent="0.25">
      <c r="A26164" s="2" t="s">
        <v>50922</v>
      </c>
      <c r="B26164" s="2" t="s">
        <v>50923</v>
      </c>
      <c r="C26164" s="2" t="s">
        <v>11220</v>
      </c>
      <c r="D26164" s="2" t="s">
        <v>402</v>
      </c>
      <c r="E26164" s="2" t="str">
        <f>"9780814753309"</f>
        <v>9780814753309</v>
      </c>
      <c r="F26164" s="2" t="str">
        <f>"9780814753323"</f>
        <v>9780814753323</v>
      </c>
    </row>
    <row r="26165" spans="1:6" s="3" customFormat="1" ht="29.1" customHeight="1" x14ac:dyDescent="0.25">
      <c r="A26165" s="2" t="s">
        <v>50924</v>
      </c>
      <c r="B26165" s="2" t="s">
        <v>50925</v>
      </c>
      <c r="C26165" s="2" t="s">
        <v>927</v>
      </c>
      <c r="D26165" s="2" t="s">
        <v>1816</v>
      </c>
      <c r="E26165" s="2" t="str">
        <f>"9780472051717"</f>
        <v>9780472051717</v>
      </c>
      <c r="F26165" s="2" t="str">
        <f>"9780472028245"</f>
        <v>9780472028245</v>
      </c>
    </row>
    <row r="26166" spans="1:6" s="3" customFormat="1" ht="29.1" customHeight="1" x14ac:dyDescent="0.25">
      <c r="A26166" s="2" t="s">
        <v>50926</v>
      </c>
      <c r="B26166" s="2" t="s">
        <v>50927</v>
      </c>
      <c r="C26166" s="2" t="s">
        <v>195</v>
      </c>
      <c r="D26166" s="2" t="s">
        <v>436</v>
      </c>
      <c r="E26166" s="2" t="str">
        <f>"9783110267976"</f>
        <v>9783110267976</v>
      </c>
      <c r="F26166" s="2" t="str">
        <f>"9783110268188"</f>
        <v>9783110268188</v>
      </c>
    </row>
    <row r="26167" spans="1:6" s="3" customFormat="1" ht="29.1" customHeight="1" x14ac:dyDescent="0.25">
      <c r="A26167" s="2" t="s">
        <v>50928</v>
      </c>
      <c r="B26167" s="2" t="s">
        <v>50929</v>
      </c>
      <c r="C26167" s="2" t="s">
        <v>195</v>
      </c>
      <c r="D26167" s="2" t="s">
        <v>2713</v>
      </c>
      <c r="E26167" s="2" t="str">
        <f>"9783110283549"</f>
        <v>9783110283549</v>
      </c>
      <c r="F26167" s="2" t="str">
        <f>"9783110284768"</f>
        <v>9783110284768</v>
      </c>
    </row>
    <row r="26168" spans="1:6" s="3" customFormat="1" ht="29.1" customHeight="1" x14ac:dyDescent="0.25">
      <c r="A26168" s="2" t="s">
        <v>50930</v>
      </c>
      <c r="B26168" s="2" t="s">
        <v>39289</v>
      </c>
      <c r="C26168" s="2" t="s">
        <v>195</v>
      </c>
      <c r="D26168" s="2" t="s">
        <v>462</v>
      </c>
      <c r="E26168" s="2" t="str">
        <f>"9783110265682"</f>
        <v>9783110265682</v>
      </c>
      <c r="F26168" s="2" t="str">
        <f>"9783110266863"</f>
        <v>9783110266863</v>
      </c>
    </row>
    <row r="26169" spans="1:6" s="3" customFormat="1" ht="29.1" customHeight="1" x14ac:dyDescent="0.25">
      <c r="A26169" s="2" t="s">
        <v>50931</v>
      </c>
      <c r="B26169" s="2" t="s">
        <v>50932</v>
      </c>
      <c r="C26169" s="2" t="s">
        <v>9716</v>
      </c>
      <c r="D26169" s="2" t="s">
        <v>33</v>
      </c>
      <c r="E26169" s="2" t="str">
        <f>"9781439907597"</f>
        <v>9781439907597</v>
      </c>
      <c r="F26169" s="2" t="str">
        <f>"9781439907603"</f>
        <v>9781439907603</v>
      </c>
    </row>
    <row r="26170" spans="1:6" s="3" customFormat="1" ht="29.1" customHeight="1" x14ac:dyDescent="0.25">
      <c r="A26170" s="2" t="s">
        <v>50933</v>
      </c>
      <c r="B26170" s="2" t="s">
        <v>50934</v>
      </c>
      <c r="C26170" s="2" t="s">
        <v>8047</v>
      </c>
      <c r="D26170" s="2" t="s">
        <v>107</v>
      </c>
      <c r="E26170" s="2" t="str">
        <f>"9780271035307"</f>
        <v>9780271035307</v>
      </c>
      <c r="F26170" s="2" t="str">
        <f>"9780271058832"</f>
        <v>9780271058832</v>
      </c>
    </row>
    <row r="26171" spans="1:6" s="3" customFormat="1" ht="29.1" customHeight="1" x14ac:dyDescent="0.25">
      <c r="A26171" s="2" t="s">
        <v>50935</v>
      </c>
      <c r="B26171" s="2" t="s">
        <v>50936</v>
      </c>
      <c r="C26171" s="2" t="s">
        <v>11220</v>
      </c>
      <c r="D26171" s="2" t="s">
        <v>210</v>
      </c>
      <c r="E26171" s="2" t="str">
        <f>"9780814722435"</f>
        <v>9780814722435</v>
      </c>
      <c r="F26171" s="2" t="str">
        <f>"9780814724033"</f>
        <v>9780814724033</v>
      </c>
    </row>
    <row r="26172" spans="1:6" s="3" customFormat="1" ht="29.1" customHeight="1" x14ac:dyDescent="0.25">
      <c r="A26172" s="2" t="s">
        <v>50937</v>
      </c>
      <c r="B26172" s="2" t="s">
        <v>50938</v>
      </c>
      <c r="C26172" s="2" t="s">
        <v>131</v>
      </c>
      <c r="D26172" s="2" t="s">
        <v>459</v>
      </c>
      <c r="E26172" s="2" t="str">
        <f>"9789027241566"</f>
        <v>9789027241566</v>
      </c>
      <c r="F26172" s="2" t="str">
        <f>"9789027274915"</f>
        <v>9789027274915</v>
      </c>
    </row>
    <row r="26173" spans="1:6" s="3" customFormat="1" ht="29.1" customHeight="1" x14ac:dyDescent="0.25">
      <c r="A26173" s="2" t="s">
        <v>50939</v>
      </c>
      <c r="B26173" s="2" t="s">
        <v>50941</v>
      </c>
      <c r="C26173" s="2" t="s">
        <v>124</v>
      </c>
      <c r="D26173" s="2" t="s">
        <v>50940</v>
      </c>
      <c r="E26173" s="2" t="str">
        <f>"9780415561488"</f>
        <v>9780415561488</v>
      </c>
      <c r="F26173" s="2" t="str">
        <f>"9781136589324"</f>
        <v>9781136589324</v>
      </c>
    </row>
    <row r="26174" spans="1:6" s="3" customFormat="1" ht="29.1" customHeight="1" x14ac:dyDescent="0.25">
      <c r="A26174" s="2" t="s">
        <v>50942</v>
      </c>
      <c r="B26174" s="2" t="s">
        <v>50943</v>
      </c>
      <c r="C26174" s="2" t="s">
        <v>264</v>
      </c>
      <c r="D26174" s="2" t="s">
        <v>44</v>
      </c>
      <c r="E26174" s="2" t="str">
        <f>"9780415554893"</f>
        <v>9780415554893</v>
      </c>
      <c r="F26174" s="2" t="str">
        <f>"9781135197353"</f>
        <v>9781135197353</v>
      </c>
    </row>
    <row r="26175" spans="1:6" s="3" customFormat="1" ht="29.1" customHeight="1" x14ac:dyDescent="0.25">
      <c r="A26175" s="2" t="s">
        <v>50944</v>
      </c>
      <c r="B26175" s="2" t="s">
        <v>45945</v>
      </c>
      <c r="C26175" s="2" t="s">
        <v>124</v>
      </c>
      <c r="D26175" s="2" t="s">
        <v>81</v>
      </c>
      <c r="E26175" s="2" t="str">
        <f>"9780415612791"</f>
        <v>9780415612791</v>
      </c>
      <c r="F26175" s="2" t="str">
        <f>"9781136675584"</f>
        <v>9781136675584</v>
      </c>
    </row>
    <row r="26176" spans="1:6" s="3" customFormat="1" ht="29.1" customHeight="1" x14ac:dyDescent="0.25">
      <c r="A26176" s="2" t="s">
        <v>50945</v>
      </c>
      <c r="B26176" s="2" t="s">
        <v>50946</v>
      </c>
      <c r="C26176" s="2" t="s">
        <v>11220</v>
      </c>
      <c r="D26176" s="2" t="s">
        <v>183</v>
      </c>
      <c r="E26176" s="2" t="str">
        <f>"9780814743126"</f>
        <v>9780814743126</v>
      </c>
      <c r="F26176" s="2" t="str">
        <f>"9780814745052"</f>
        <v>9780814745052</v>
      </c>
    </row>
    <row r="26177" spans="1:6" s="3" customFormat="1" ht="29.1" customHeight="1" x14ac:dyDescent="0.25">
      <c r="A26177" s="2" t="s">
        <v>50947</v>
      </c>
      <c r="B26177" s="2" t="s">
        <v>50948</v>
      </c>
      <c r="C26177" s="2" t="s">
        <v>1070</v>
      </c>
      <c r="D26177" s="2" t="s">
        <v>1272</v>
      </c>
      <c r="E26177" s="2" t="str">
        <f>"9781908541123"</f>
        <v>9781908541123</v>
      </c>
      <c r="F26177" s="2" t="str">
        <f>"9781908541192"</f>
        <v>9781908541192</v>
      </c>
    </row>
    <row r="26178" spans="1:6" s="3" customFormat="1" ht="29.1" customHeight="1" x14ac:dyDescent="0.25">
      <c r="A26178" s="2" t="s">
        <v>50949</v>
      </c>
      <c r="B26178" s="2" t="s">
        <v>50950</v>
      </c>
      <c r="C26178" s="2" t="s">
        <v>1070</v>
      </c>
      <c r="D26178" s="2" t="s">
        <v>20659</v>
      </c>
      <c r="E26178" s="2" t="str">
        <f>"9781908541109"</f>
        <v>9781908541109</v>
      </c>
      <c r="F26178" s="2" t="str">
        <f>"9781908541161"</f>
        <v>9781908541161</v>
      </c>
    </row>
    <row r="26179" spans="1:6" s="3" customFormat="1" ht="29.1" customHeight="1" x14ac:dyDescent="0.25">
      <c r="A26179" s="2" t="s">
        <v>50951</v>
      </c>
      <c r="B26179" s="2" t="s">
        <v>50952</v>
      </c>
      <c r="C26179" s="2" t="s">
        <v>11220</v>
      </c>
      <c r="D26179" s="2" t="s">
        <v>81</v>
      </c>
      <c r="E26179" s="2" t="str">
        <f>"9780981576923"</f>
        <v>9780981576923</v>
      </c>
      <c r="F26179" s="2" t="str">
        <f>"9780814762929"</f>
        <v>9780814762929</v>
      </c>
    </row>
    <row r="26180" spans="1:6" s="3" customFormat="1" ht="29.1" customHeight="1" x14ac:dyDescent="0.25">
      <c r="A26180" s="2" t="s">
        <v>50953</v>
      </c>
      <c r="B26180" s="2" t="s">
        <v>50954</v>
      </c>
      <c r="C26180" s="2" t="s">
        <v>8047</v>
      </c>
      <c r="D26180" s="2" t="s">
        <v>107</v>
      </c>
      <c r="E26180" s="2" t="str">
        <f>"9780271037813"</f>
        <v>9780271037813</v>
      </c>
      <c r="F26180" s="2" t="str">
        <f>"9780271056746"</f>
        <v>9780271056746</v>
      </c>
    </row>
    <row r="26181" spans="1:6" s="3" customFormat="1" ht="29.1" customHeight="1" x14ac:dyDescent="0.25">
      <c r="A26181" s="2" t="s">
        <v>50955</v>
      </c>
      <c r="B26181" s="2" t="s">
        <v>50956</v>
      </c>
      <c r="C26181" s="2" t="s">
        <v>8047</v>
      </c>
      <c r="D26181" s="2" t="s">
        <v>1712</v>
      </c>
      <c r="E26181" s="2" t="str">
        <f>"9780271035659"</f>
        <v>9780271035659</v>
      </c>
      <c r="F26181" s="2" t="str">
        <f>"9780271056630"</f>
        <v>9780271056630</v>
      </c>
    </row>
    <row r="26182" spans="1:6" s="3" customFormat="1" ht="29.1" customHeight="1" x14ac:dyDescent="0.25">
      <c r="A26182" s="2" t="s">
        <v>50957</v>
      </c>
      <c r="B26182" s="2" t="s">
        <v>50958</v>
      </c>
      <c r="C26182" s="2" t="s">
        <v>8047</v>
      </c>
      <c r="D26182" s="2" t="s">
        <v>107</v>
      </c>
      <c r="E26182" s="2" t="str">
        <f>"9780271033969"</f>
        <v>9780271033969</v>
      </c>
      <c r="F26182" s="2" t="str">
        <f>"9780271056562"</f>
        <v>9780271056562</v>
      </c>
    </row>
    <row r="26183" spans="1:6" s="3" customFormat="1" ht="29.1" customHeight="1" x14ac:dyDescent="0.25">
      <c r="A26183" s="2" t="s">
        <v>50959</v>
      </c>
      <c r="B26183" s="2" t="s">
        <v>50960</v>
      </c>
      <c r="C26183" s="2" t="s">
        <v>4104</v>
      </c>
      <c r="D26183" s="2" t="s">
        <v>202</v>
      </c>
      <c r="E26183" s="2" t="str">
        <f>"9781846318221"</f>
        <v>9781846318221</v>
      </c>
      <c r="F26183" s="2" t="str">
        <f>"9781781387962"</f>
        <v>9781781387962</v>
      </c>
    </row>
    <row r="26184" spans="1:6" s="3" customFormat="1" ht="29.1" customHeight="1" x14ac:dyDescent="0.25">
      <c r="A26184" s="2" t="s">
        <v>50961</v>
      </c>
      <c r="B26184" s="2" t="s">
        <v>50962</v>
      </c>
      <c r="C26184" s="2" t="s">
        <v>4104</v>
      </c>
      <c r="D26184" s="2" t="s">
        <v>8388</v>
      </c>
      <c r="E26184" s="2" t="str">
        <f>"9781846317538"</f>
        <v>9781846317538</v>
      </c>
      <c r="F26184" s="2" t="str">
        <f>"9781781386095"</f>
        <v>9781781386095</v>
      </c>
    </row>
    <row r="26185" spans="1:6" s="3" customFormat="1" ht="29.1" customHeight="1" x14ac:dyDescent="0.25">
      <c r="A26185" s="2" t="s">
        <v>50963</v>
      </c>
      <c r="B26185" s="2" t="s">
        <v>50964</v>
      </c>
      <c r="C26185" s="2" t="s">
        <v>11220</v>
      </c>
      <c r="D26185" s="2" t="s">
        <v>3214</v>
      </c>
      <c r="E26185" s="2" t="str">
        <f>"9780814776452"</f>
        <v>9780814776452</v>
      </c>
      <c r="F26185" s="2" t="str">
        <f>"9780814771525"</f>
        <v>9780814771525</v>
      </c>
    </row>
    <row r="26186" spans="1:6" s="3" customFormat="1" ht="29.1" customHeight="1" x14ac:dyDescent="0.25">
      <c r="A26186" s="2" t="s">
        <v>50965</v>
      </c>
      <c r="B26186" s="2" t="s">
        <v>50966</v>
      </c>
      <c r="C26186" s="2" t="s">
        <v>195</v>
      </c>
      <c r="D26186" s="2" t="s">
        <v>118</v>
      </c>
      <c r="E26186" s="2" t="str">
        <f>"9783110245592"</f>
        <v>9783110245592</v>
      </c>
      <c r="F26186" s="2" t="str">
        <f>"9783110245608"</f>
        <v>9783110245608</v>
      </c>
    </row>
    <row r="26187" spans="1:6" s="3" customFormat="1" ht="29.1" customHeight="1" x14ac:dyDescent="0.25">
      <c r="A26187" s="2" t="s">
        <v>50967</v>
      </c>
      <c r="B26187" s="2" t="s">
        <v>50968</v>
      </c>
      <c r="C26187" s="2" t="s">
        <v>34257</v>
      </c>
      <c r="D26187" s="2" t="s">
        <v>1228</v>
      </c>
      <c r="E26187" s="2" t="str">
        <f>"9780745331409"</f>
        <v>9780745331409</v>
      </c>
      <c r="F26187" s="2" t="str">
        <f>"9781849647038"</f>
        <v>9781849647038</v>
      </c>
    </row>
    <row r="26188" spans="1:6" s="3" customFormat="1" ht="29.1" customHeight="1" x14ac:dyDescent="0.25">
      <c r="A26188" s="2" t="s">
        <v>50969</v>
      </c>
      <c r="B26188" s="2" t="s">
        <v>50970</v>
      </c>
      <c r="C26188" s="2" t="s">
        <v>34257</v>
      </c>
      <c r="D26188" s="2" t="s">
        <v>1437</v>
      </c>
      <c r="E26188" s="2" t="str">
        <f>"9780745329604"</f>
        <v>9780745329604</v>
      </c>
      <c r="F26188" s="2" t="str">
        <f>"9781849646130"</f>
        <v>9781849646130</v>
      </c>
    </row>
    <row r="26189" spans="1:6" s="3" customFormat="1" ht="29.1" customHeight="1" x14ac:dyDescent="0.25">
      <c r="A26189" s="2" t="s">
        <v>50971</v>
      </c>
      <c r="B26189" s="2" t="s">
        <v>50972</v>
      </c>
      <c r="C26189" s="2" t="s">
        <v>11220</v>
      </c>
      <c r="D26189" s="2" t="s">
        <v>16468</v>
      </c>
      <c r="E26189" s="2" t="str">
        <f>"9780814768235"</f>
        <v>9780814768235</v>
      </c>
      <c r="F26189" s="2" t="str">
        <f>"9780814768259"</f>
        <v>9780814768259</v>
      </c>
    </row>
    <row r="26190" spans="1:6" s="3" customFormat="1" ht="29.1" customHeight="1" x14ac:dyDescent="0.25">
      <c r="A26190" s="2" t="s">
        <v>50973</v>
      </c>
      <c r="B26190" s="2" t="s">
        <v>50974</v>
      </c>
      <c r="C26190" s="2" t="s">
        <v>11220</v>
      </c>
      <c r="D26190" s="2" t="s">
        <v>636</v>
      </c>
      <c r="E26190" s="2" t="str">
        <f>"9780814768051"</f>
        <v>9780814768051</v>
      </c>
      <c r="F26190" s="2" t="str">
        <f>"9780814768662"</f>
        <v>9780814768662</v>
      </c>
    </row>
    <row r="26191" spans="1:6" s="3" customFormat="1" ht="29.1" customHeight="1" x14ac:dyDescent="0.25">
      <c r="A26191" s="2" t="s">
        <v>50975</v>
      </c>
      <c r="B26191" s="2" t="s">
        <v>50976</v>
      </c>
      <c r="C26191" s="2" t="s">
        <v>11220</v>
      </c>
      <c r="D26191" s="2" t="s">
        <v>3889</v>
      </c>
      <c r="E26191" s="2" t="str">
        <f>"9780814709405"</f>
        <v>9780814709405</v>
      </c>
      <c r="F26191" s="2" t="str">
        <f>"9780814723166"</f>
        <v>9780814723166</v>
      </c>
    </row>
    <row r="26192" spans="1:6" s="3" customFormat="1" ht="29.1" customHeight="1" x14ac:dyDescent="0.25">
      <c r="A26192" s="2" t="s">
        <v>50977</v>
      </c>
      <c r="B26192" s="2" t="s">
        <v>50978</v>
      </c>
      <c r="C26192" s="2" t="s">
        <v>124</v>
      </c>
      <c r="D26192" s="2" t="s">
        <v>3214</v>
      </c>
      <c r="E26192" s="2" t="str">
        <f>"9781409429692"</f>
        <v>9781409429692</v>
      </c>
      <c r="F26192" s="2" t="str">
        <f>"9781317136651"</f>
        <v>9781317136651</v>
      </c>
    </row>
    <row r="26193" spans="1:6" s="3" customFormat="1" ht="29.1" customHeight="1" x14ac:dyDescent="0.25">
      <c r="A26193" s="2" t="s">
        <v>50979</v>
      </c>
      <c r="B26193" s="2" t="s">
        <v>50980</v>
      </c>
      <c r="C26193" s="2" t="s">
        <v>195</v>
      </c>
      <c r="D26193" s="2" t="s">
        <v>35993</v>
      </c>
      <c r="E26193" s="2" t="str">
        <f>"9781934078617"</f>
        <v>9781934078617</v>
      </c>
      <c r="F26193" s="2" t="str">
        <f>"9781934078631"</f>
        <v>9781934078631</v>
      </c>
    </row>
    <row r="26194" spans="1:6" s="3" customFormat="1" ht="29.1" customHeight="1" x14ac:dyDescent="0.25">
      <c r="A26194" s="2" t="s">
        <v>50981</v>
      </c>
      <c r="B26194" s="2" t="s">
        <v>50982</v>
      </c>
      <c r="C26194" s="2" t="s">
        <v>264</v>
      </c>
      <c r="D26194" s="2" t="s">
        <v>6212</v>
      </c>
      <c r="E26194" s="2" t="str">
        <f>"9781439866702"</f>
        <v>9781439866702</v>
      </c>
      <c r="F26194" s="2" t="str">
        <f>"9781439866955"</f>
        <v>9781439866955</v>
      </c>
    </row>
    <row r="26195" spans="1:6" s="3" customFormat="1" ht="29.1" customHeight="1" x14ac:dyDescent="0.25">
      <c r="A26195" s="2" t="s">
        <v>50983</v>
      </c>
      <c r="B26195" s="2" t="s">
        <v>50984</v>
      </c>
      <c r="C26195" s="2" t="s">
        <v>927</v>
      </c>
      <c r="D26195" s="2" t="s">
        <v>297</v>
      </c>
      <c r="E26195" s="2" t="str">
        <f>"9780472051625"</f>
        <v>9780472051625</v>
      </c>
      <c r="F26195" s="2" t="str">
        <f>"9780472027835"</f>
        <v>9780472027835</v>
      </c>
    </row>
    <row r="26196" spans="1:6" s="3" customFormat="1" ht="29.1" customHeight="1" x14ac:dyDescent="0.25">
      <c r="A26196" s="2" t="s">
        <v>50985</v>
      </c>
      <c r="B26196" s="2" t="s">
        <v>50986</v>
      </c>
      <c r="C26196" s="2" t="s">
        <v>7395</v>
      </c>
      <c r="D26196" s="2" t="s">
        <v>49</v>
      </c>
      <c r="E26196" s="2" t="str">
        <f>"9780295984810"</f>
        <v>9780295984810</v>
      </c>
      <c r="F26196" s="2" t="str">
        <f>"9780295804101"</f>
        <v>9780295804101</v>
      </c>
    </row>
    <row r="26197" spans="1:6" s="3" customFormat="1" ht="29.1" customHeight="1" x14ac:dyDescent="0.25">
      <c r="A26197" s="2" t="s">
        <v>50987</v>
      </c>
      <c r="B26197" s="2" t="s">
        <v>50988</v>
      </c>
      <c r="C26197" s="2" t="s">
        <v>264</v>
      </c>
      <c r="D26197" s="2" t="s">
        <v>2880</v>
      </c>
      <c r="E26197" s="2" t="str">
        <f>"9780738202334"</f>
        <v>9780738202334</v>
      </c>
      <c r="F26197" s="2" t="str">
        <f>"9780813346113"</f>
        <v>9780813346113</v>
      </c>
    </row>
    <row r="26198" spans="1:6" s="3" customFormat="1" ht="29.1" customHeight="1" x14ac:dyDescent="0.25">
      <c r="A26198" s="2" t="s">
        <v>50989</v>
      </c>
      <c r="B26198" s="2" t="s">
        <v>50990</v>
      </c>
      <c r="C26198" s="2" t="s">
        <v>195</v>
      </c>
      <c r="D26198" s="2" t="s">
        <v>689</v>
      </c>
      <c r="E26198" s="2" t="str">
        <f>"9783110263398"</f>
        <v>9783110263398</v>
      </c>
      <c r="F26198" s="2" t="str">
        <f>"9783110263886"</f>
        <v>9783110263886</v>
      </c>
    </row>
    <row r="26199" spans="1:6" s="3" customFormat="1" ht="29.1" customHeight="1" x14ac:dyDescent="0.25">
      <c r="A26199" s="2" t="s">
        <v>50991</v>
      </c>
      <c r="B26199" s="2" t="s">
        <v>50992</v>
      </c>
      <c r="C26199" s="2" t="s">
        <v>195</v>
      </c>
      <c r="D26199" s="2" t="s">
        <v>462</v>
      </c>
      <c r="E26199" s="2" t="str">
        <f>"9783110222135"</f>
        <v>9783110222135</v>
      </c>
      <c r="F26199" s="2" t="str">
        <f>"9783110222142"</f>
        <v>9783110222142</v>
      </c>
    </row>
    <row r="26200" spans="1:6" s="3" customFormat="1" ht="29.1" customHeight="1" x14ac:dyDescent="0.25">
      <c r="A26200" s="2" t="s">
        <v>50993</v>
      </c>
      <c r="B26200" s="2" t="s">
        <v>50994</v>
      </c>
      <c r="C26200" s="2" t="s">
        <v>264</v>
      </c>
      <c r="D26200" s="2" t="s">
        <v>9392</v>
      </c>
      <c r="E26200" s="2" t="str">
        <f>"9781439879405"</f>
        <v>9781439879405</v>
      </c>
      <c r="F26200" s="2" t="str">
        <f>"9781439879412"</f>
        <v>9781439879412</v>
      </c>
    </row>
    <row r="26201" spans="1:6" s="3" customFormat="1" ht="29.1" customHeight="1" x14ac:dyDescent="0.25">
      <c r="A26201" s="2" t="s">
        <v>50995</v>
      </c>
      <c r="B26201" s="2" t="s">
        <v>50996</v>
      </c>
      <c r="C26201" s="2" t="s">
        <v>264</v>
      </c>
      <c r="D26201" s="2" t="s">
        <v>9656</v>
      </c>
      <c r="E26201" s="2" t="str">
        <f>"9781439862094"</f>
        <v>9781439862094</v>
      </c>
      <c r="F26201" s="2" t="str">
        <f>"9781439862100"</f>
        <v>9781439862100</v>
      </c>
    </row>
    <row r="26202" spans="1:6" s="3" customFormat="1" ht="29.1" customHeight="1" x14ac:dyDescent="0.25">
      <c r="A26202" s="2" t="s">
        <v>50997</v>
      </c>
      <c r="B26202" s="2" t="s">
        <v>50998</v>
      </c>
      <c r="C26202" s="2" t="s">
        <v>8104</v>
      </c>
      <c r="D26202" s="2" t="s">
        <v>3214</v>
      </c>
      <c r="E26202" s="2" t="str">
        <f>"9781845457686"</f>
        <v>9781845457686</v>
      </c>
      <c r="F26202" s="2" t="str">
        <f>"9781845459857"</f>
        <v>9781845459857</v>
      </c>
    </row>
    <row r="26203" spans="1:6" s="3" customFormat="1" ht="29.1" customHeight="1" x14ac:dyDescent="0.25">
      <c r="A26203" s="2" t="s">
        <v>50999</v>
      </c>
      <c r="B26203" s="2" t="s">
        <v>51000</v>
      </c>
      <c r="C26203" s="2" t="s">
        <v>8104</v>
      </c>
      <c r="D26203" s="2" t="s">
        <v>1419</v>
      </c>
      <c r="E26203" s="2" t="str">
        <f>"9781845456337"</f>
        <v>9781845456337</v>
      </c>
      <c r="F26203" s="2" t="str">
        <f>"9781845458003"</f>
        <v>9781845458003</v>
      </c>
    </row>
    <row r="26204" spans="1:6" s="3" customFormat="1" ht="29.1" customHeight="1" x14ac:dyDescent="0.25">
      <c r="A26204" s="2" t="s">
        <v>51001</v>
      </c>
      <c r="B26204" s="2" t="s">
        <v>51002</v>
      </c>
      <c r="C26204" s="2" t="s">
        <v>8104</v>
      </c>
      <c r="D26204" s="2" t="s">
        <v>1183</v>
      </c>
      <c r="E26204" s="2" t="str">
        <f>"9781845455521"</f>
        <v>9781845455521</v>
      </c>
      <c r="F26204" s="2" t="str">
        <f>"9781845459017"</f>
        <v>9781845459017</v>
      </c>
    </row>
    <row r="26205" spans="1:6" s="3" customFormat="1" ht="29.1" customHeight="1" x14ac:dyDescent="0.25">
      <c r="A26205" s="2" t="s">
        <v>51003</v>
      </c>
      <c r="B26205" s="2" t="s">
        <v>51004</v>
      </c>
      <c r="C26205" s="2" t="s">
        <v>8104</v>
      </c>
      <c r="D26205" s="2" t="s">
        <v>156</v>
      </c>
      <c r="E26205" s="2" t="str">
        <f>"9781845454807"</f>
        <v>9781845454807</v>
      </c>
      <c r="F26205" s="2" t="str">
        <f>"9781845459529"</f>
        <v>9781845459529</v>
      </c>
    </row>
    <row r="26206" spans="1:6" s="3" customFormat="1" ht="29.1" customHeight="1" x14ac:dyDescent="0.25">
      <c r="A26206" s="2" t="s">
        <v>51005</v>
      </c>
      <c r="B26206" s="2" t="s">
        <v>51006</v>
      </c>
      <c r="C26206" s="2" t="s">
        <v>8104</v>
      </c>
      <c r="D26206" s="2" t="s">
        <v>882</v>
      </c>
      <c r="E26206" s="2" t="str">
        <f>"9781845454500"</f>
        <v>9781845454500</v>
      </c>
      <c r="F26206" s="2" t="str">
        <f>"9780857450319"</f>
        <v>9780857450319</v>
      </c>
    </row>
    <row r="26207" spans="1:6" s="3" customFormat="1" ht="29.1" customHeight="1" x14ac:dyDescent="0.25">
      <c r="A26207" s="2" t="s">
        <v>51007</v>
      </c>
      <c r="B26207" s="2" t="s">
        <v>51008</v>
      </c>
      <c r="C26207" s="2" t="s">
        <v>8104</v>
      </c>
      <c r="D26207" s="2" t="s">
        <v>1565</v>
      </c>
      <c r="E26207" s="2" t="str">
        <f>"9781571812681"</f>
        <v>9781571812681</v>
      </c>
      <c r="F26207" s="2" t="str">
        <f>"9781845459277"</f>
        <v>9781845459277</v>
      </c>
    </row>
    <row r="26208" spans="1:6" s="3" customFormat="1" ht="29.1" customHeight="1" x14ac:dyDescent="0.25">
      <c r="A26208" s="2" t="s">
        <v>51009</v>
      </c>
      <c r="B26208" s="2" t="s">
        <v>51010</v>
      </c>
      <c r="C26208" s="2" t="s">
        <v>8104</v>
      </c>
      <c r="D26208" s="2" t="s">
        <v>818</v>
      </c>
      <c r="E26208" s="2" t="str">
        <f>"9781845455262"</f>
        <v>9781845455262</v>
      </c>
      <c r="F26208" s="2" t="str">
        <f>"9781845458799"</f>
        <v>9781845458799</v>
      </c>
    </row>
    <row r="26209" spans="1:6" s="3" customFormat="1" ht="29.1" customHeight="1" x14ac:dyDescent="0.25">
      <c r="A26209" s="2" t="s">
        <v>51011</v>
      </c>
      <c r="B26209" s="2" t="s">
        <v>51012</v>
      </c>
      <c r="C26209" s="2" t="s">
        <v>8104</v>
      </c>
      <c r="D26209" s="2" t="s">
        <v>1183</v>
      </c>
      <c r="E26209" s="2" t="str">
        <f>"9781845456313"</f>
        <v>9781845456313</v>
      </c>
      <c r="F26209" s="2" t="str">
        <f>"9781845458126"</f>
        <v>9781845458126</v>
      </c>
    </row>
    <row r="26210" spans="1:6" s="3" customFormat="1" ht="29.1" customHeight="1" x14ac:dyDescent="0.25">
      <c r="A26210" s="2" t="s">
        <v>51013</v>
      </c>
      <c r="B26210" s="2" t="s">
        <v>51014</v>
      </c>
      <c r="C26210" s="2" t="s">
        <v>8104</v>
      </c>
      <c r="D26210" s="2" t="s">
        <v>818</v>
      </c>
      <c r="E26210" s="2" t="str">
        <f>"9781845457624"</f>
        <v>9781845457624</v>
      </c>
      <c r="F26210" s="2" t="str">
        <f>"9781845459826"</f>
        <v>9781845459826</v>
      </c>
    </row>
    <row r="26211" spans="1:6" s="3" customFormat="1" ht="29.1" customHeight="1" x14ac:dyDescent="0.25">
      <c r="A26211" s="2" t="s">
        <v>51015</v>
      </c>
      <c r="B26211" s="2" t="s">
        <v>51016</v>
      </c>
      <c r="C26211" s="2" t="s">
        <v>927</v>
      </c>
      <c r="D26211" s="2" t="s">
        <v>210</v>
      </c>
      <c r="E26211" s="2" t="str">
        <f>"9780472117833"</f>
        <v>9780472117833</v>
      </c>
      <c r="F26211" s="2" t="str">
        <f>"9780472027583"</f>
        <v>9780472027583</v>
      </c>
    </row>
    <row r="26212" spans="1:6" s="3" customFormat="1" ht="29.1" customHeight="1" x14ac:dyDescent="0.25">
      <c r="A26212" s="2" t="s">
        <v>51017</v>
      </c>
      <c r="B26212" s="2" t="s">
        <v>51018</v>
      </c>
      <c r="C26212" s="2" t="s">
        <v>1070</v>
      </c>
      <c r="D26212" s="2" t="s">
        <v>1275</v>
      </c>
      <c r="E26212" s="2" t="str">
        <f>"9781905832569"</f>
        <v>9781905832569</v>
      </c>
      <c r="F26212" s="2" t="str">
        <f>"9781905832675"</f>
        <v>9781905832675</v>
      </c>
    </row>
    <row r="26213" spans="1:6" s="3" customFormat="1" ht="29.1" customHeight="1" x14ac:dyDescent="0.25">
      <c r="A26213" s="2" t="s">
        <v>51019</v>
      </c>
      <c r="B26213" s="2" t="s">
        <v>51020</v>
      </c>
      <c r="C26213" s="2" t="s">
        <v>195</v>
      </c>
      <c r="D26213" s="2" t="s">
        <v>436</v>
      </c>
      <c r="E26213" s="2" t="str">
        <f>"9783110255089"</f>
        <v>9783110255089</v>
      </c>
      <c r="F26213" s="2" t="str">
        <f>"9783110255386"</f>
        <v>9783110255386</v>
      </c>
    </row>
    <row r="26214" spans="1:6" s="3" customFormat="1" ht="29.1" customHeight="1" x14ac:dyDescent="0.25">
      <c r="A26214" s="2" t="s">
        <v>51021</v>
      </c>
      <c r="B26214" s="2" t="s">
        <v>51022</v>
      </c>
      <c r="C26214" s="2" t="s">
        <v>7395</v>
      </c>
      <c r="D26214" s="2" t="s">
        <v>636</v>
      </c>
      <c r="E26214" s="2" t="str">
        <f>"9780295989099"</f>
        <v>9780295989099</v>
      </c>
      <c r="F26214" s="2" t="str">
        <f>"9780295800417"</f>
        <v>9780295800417</v>
      </c>
    </row>
    <row r="26215" spans="1:6" s="3" customFormat="1" ht="29.1" customHeight="1" x14ac:dyDescent="0.25">
      <c r="A26215" s="2" t="s">
        <v>51023</v>
      </c>
      <c r="B26215" s="2" t="s">
        <v>51024</v>
      </c>
      <c r="C26215" s="2" t="s">
        <v>1070</v>
      </c>
      <c r="D26215" s="2" t="s">
        <v>1313</v>
      </c>
      <c r="E26215" s="2" t="str">
        <f>"9781903734919"</f>
        <v>9781903734919</v>
      </c>
      <c r="F26215" s="2" t="str">
        <f>"9781908541116"</f>
        <v>9781908541116</v>
      </c>
    </row>
    <row r="26216" spans="1:6" s="3" customFormat="1" ht="29.1" customHeight="1" x14ac:dyDescent="0.25">
      <c r="A26216" s="2" t="s">
        <v>51025</v>
      </c>
      <c r="B26216" s="2" t="s">
        <v>51026</v>
      </c>
      <c r="C26216" s="2" t="s">
        <v>1070</v>
      </c>
      <c r="D26216" s="2" t="s">
        <v>1285</v>
      </c>
      <c r="E26216" s="2" t="str">
        <f>"9781903734940"</f>
        <v>9781903734940</v>
      </c>
      <c r="F26216" s="2" t="str">
        <f>"9781905832385"</f>
        <v>9781905832385</v>
      </c>
    </row>
    <row r="26217" spans="1:6" s="3" customFormat="1" ht="29.1" customHeight="1" x14ac:dyDescent="0.25">
      <c r="A26217" s="2" t="s">
        <v>51027</v>
      </c>
      <c r="B26217" s="2" t="s">
        <v>51028</v>
      </c>
      <c r="C26217" s="2" t="s">
        <v>1070</v>
      </c>
      <c r="D26217" s="2" t="s">
        <v>1898</v>
      </c>
      <c r="E26217" s="2" t="str">
        <f>"9781905832927"</f>
        <v>9781905832927</v>
      </c>
      <c r="F26217" s="2" t="str">
        <f>"9781908541000"</f>
        <v>9781908541000</v>
      </c>
    </row>
    <row r="26218" spans="1:6" s="3" customFormat="1" ht="29.1" customHeight="1" x14ac:dyDescent="0.25">
      <c r="A26218" s="2" t="s">
        <v>51029</v>
      </c>
      <c r="B26218" s="2" t="s">
        <v>51030</v>
      </c>
      <c r="C26218" s="2" t="s">
        <v>1070</v>
      </c>
      <c r="D26218" s="2" t="s">
        <v>1898</v>
      </c>
      <c r="E26218" s="2" t="str">
        <f>"9781905832965"</f>
        <v>9781905832965</v>
      </c>
      <c r="F26218" s="2" t="str">
        <f>"9781905832972"</f>
        <v>9781905832972</v>
      </c>
    </row>
    <row r="26219" spans="1:6" s="3" customFormat="1" ht="29.1" customHeight="1" x14ac:dyDescent="0.25">
      <c r="A26219" s="2" t="s">
        <v>51031</v>
      </c>
      <c r="B26219" s="2" t="s">
        <v>51032</v>
      </c>
      <c r="C26219" s="2" t="s">
        <v>1070</v>
      </c>
      <c r="D26219" s="2" t="s">
        <v>1310</v>
      </c>
      <c r="E26219" s="2" t="str">
        <f>"9781903734384"</f>
        <v>9781903734384</v>
      </c>
      <c r="F26219" s="2" t="str">
        <f>"9781905832088"</f>
        <v>9781905832088</v>
      </c>
    </row>
    <row r="26220" spans="1:6" s="3" customFormat="1" ht="29.1" customHeight="1" x14ac:dyDescent="0.25">
      <c r="A26220" s="2" t="s">
        <v>51033</v>
      </c>
      <c r="B26220" s="2" t="s">
        <v>51034</v>
      </c>
      <c r="C26220" s="2" t="s">
        <v>1070</v>
      </c>
      <c r="D26220" s="2" t="s">
        <v>1313</v>
      </c>
      <c r="E26220" s="2" t="str">
        <f>"9781903734650"</f>
        <v>9781903734650</v>
      </c>
      <c r="F26220" s="2" t="str">
        <f>"9781905832187"</f>
        <v>9781905832187</v>
      </c>
    </row>
    <row r="26221" spans="1:6" s="3" customFormat="1" ht="29.1" customHeight="1" x14ac:dyDescent="0.25">
      <c r="A26221" s="2" t="s">
        <v>51035</v>
      </c>
      <c r="B26221" s="2" t="s">
        <v>51036</v>
      </c>
      <c r="C26221" s="2" t="s">
        <v>1070</v>
      </c>
      <c r="D26221" s="2" t="s">
        <v>468</v>
      </c>
      <c r="E26221" s="2" t="str">
        <f>"9781903734414"</f>
        <v>9781903734414</v>
      </c>
      <c r="F26221" s="2" t="str">
        <f>"9781905832217"</f>
        <v>9781905832217</v>
      </c>
    </row>
    <row r="26222" spans="1:6" s="3" customFormat="1" ht="29.1" customHeight="1" x14ac:dyDescent="0.25">
      <c r="A26222" s="2" t="s">
        <v>51037</v>
      </c>
      <c r="B26222" s="2" t="s">
        <v>51038</v>
      </c>
      <c r="C26222" s="2" t="s">
        <v>1070</v>
      </c>
      <c r="D26222" s="2" t="s">
        <v>16423</v>
      </c>
      <c r="E26222" s="2" t="str">
        <f>"9781903734575"</f>
        <v>9781903734575</v>
      </c>
      <c r="F26222" s="2" t="str">
        <f>"9781905832279"</f>
        <v>9781905832279</v>
      </c>
    </row>
    <row r="26223" spans="1:6" s="3" customFormat="1" ht="29.1" customHeight="1" x14ac:dyDescent="0.25">
      <c r="A26223" s="2" t="s">
        <v>51039</v>
      </c>
      <c r="B26223" s="2" t="s">
        <v>51040</v>
      </c>
      <c r="C26223" s="2" t="s">
        <v>1070</v>
      </c>
      <c r="D26223" s="2" t="s">
        <v>12504</v>
      </c>
      <c r="E26223" s="2" t="str">
        <f>"9781903734957"</f>
        <v>9781903734957</v>
      </c>
      <c r="F26223" s="2" t="str">
        <f>"9781905832316"</f>
        <v>9781905832316</v>
      </c>
    </row>
    <row r="26224" spans="1:6" s="3" customFormat="1" ht="29.1" customHeight="1" x14ac:dyDescent="0.25">
      <c r="A26224" s="2" t="s">
        <v>51041</v>
      </c>
      <c r="B26224" s="2" t="s">
        <v>51042</v>
      </c>
      <c r="C26224" s="2" t="s">
        <v>1070</v>
      </c>
      <c r="D26224" s="2" t="s">
        <v>13383</v>
      </c>
      <c r="E26224" s="2" t="str">
        <f>"9781905832064"</f>
        <v>9781905832064</v>
      </c>
      <c r="F26224" s="2" t="str">
        <f>"9781905832354"</f>
        <v>9781905832354</v>
      </c>
    </row>
    <row r="26225" spans="1:6" s="3" customFormat="1" ht="29.1" customHeight="1" x14ac:dyDescent="0.25">
      <c r="A26225" s="2" t="s">
        <v>51043</v>
      </c>
      <c r="B26225" s="2" t="s">
        <v>51044</v>
      </c>
      <c r="C26225" s="2" t="s">
        <v>1070</v>
      </c>
      <c r="D26225" s="2" t="s">
        <v>1387</v>
      </c>
      <c r="E26225" s="2" t="str">
        <f>"9781903734018"</f>
        <v>9781903734018</v>
      </c>
      <c r="F26225" s="2" t="str">
        <f>"9781905832361"</f>
        <v>9781905832361</v>
      </c>
    </row>
    <row r="26226" spans="1:6" s="3" customFormat="1" ht="29.1" customHeight="1" x14ac:dyDescent="0.25">
      <c r="A26226" s="2" t="s">
        <v>51045</v>
      </c>
      <c r="B26226" s="2" t="s">
        <v>51046</v>
      </c>
      <c r="C26226" s="2" t="s">
        <v>1070</v>
      </c>
      <c r="D26226" s="2" t="s">
        <v>1898</v>
      </c>
      <c r="E26226" s="2" t="str">
        <f>"9781903734674"</f>
        <v>9781903734674</v>
      </c>
      <c r="F26226" s="2" t="str">
        <f>"9781903734971"</f>
        <v>9781903734971</v>
      </c>
    </row>
    <row r="26227" spans="1:6" s="3" customFormat="1" ht="29.1" customHeight="1" x14ac:dyDescent="0.25">
      <c r="A26227" s="2" t="s">
        <v>51047</v>
      </c>
      <c r="B26227" s="2" t="s">
        <v>51048</v>
      </c>
      <c r="C26227" s="2" t="s">
        <v>1070</v>
      </c>
      <c r="D26227" s="2" t="s">
        <v>1310</v>
      </c>
      <c r="E26227" s="2" t="str">
        <f>"9781905832507"</f>
        <v>9781905832507</v>
      </c>
      <c r="F26227" s="2" t="str">
        <f>"9781905832590"</f>
        <v>9781905832590</v>
      </c>
    </row>
    <row r="26228" spans="1:6" s="3" customFormat="1" ht="29.1" customHeight="1" x14ac:dyDescent="0.25">
      <c r="A26228" s="2" t="s">
        <v>51049</v>
      </c>
      <c r="B26228" s="2" t="s">
        <v>51050</v>
      </c>
      <c r="C26228" s="2" t="s">
        <v>1070</v>
      </c>
      <c r="D26228" s="2" t="s">
        <v>49708</v>
      </c>
      <c r="E26228" s="2" t="str">
        <f>"9781905832514"</f>
        <v>9781905832514</v>
      </c>
      <c r="F26228" s="2" t="str">
        <f>"9781905832606"</f>
        <v>9781905832606</v>
      </c>
    </row>
    <row r="26229" spans="1:6" s="3" customFormat="1" ht="29.1" customHeight="1" x14ac:dyDescent="0.25">
      <c r="A26229" s="2" t="s">
        <v>51051</v>
      </c>
      <c r="B26229" s="2" t="s">
        <v>51052</v>
      </c>
      <c r="C26229" s="2" t="s">
        <v>1070</v>
      </c>
      <c r="D26229" s="2" t="s">
        <v>1272</v>
      </c>
      <c r="E26229" s="2" t="str">
        <f>"9781903734179"</f>
        <v>9781903734179</v>
      </c>
      <c r="F26229" s="2" t="str">
        <f>"9781905832712"</f>
        <v>9781905832712</v>
      </c>
    </row>
    <row r="26230" spans="1:6" s="3" customFormat="1" ht="29.1" customHeight="1" x14ac:dyDescent="0.25">
      <c r="A26230" s="2" t="s">
        <v>51053</v>
      </c>
      <c r="B26230" s="2" t="s">
        <v>51054</v>
      </c>
      <c r="C26230" s="2" t="s">
        <v>1070</v>
      </c>
      <c r="D26230" s="2" t="s">
        <v>468</v>
      </c>
      <c r="E26230" s="2" t="str">
        <f>"9781905832521"</f>
        <v>9781905832521</v>
      </c>
      <c r="F26230" s="2" t="str">
        <f>"9781905832729"</f>
        <v>9781905832729</v>
      </c>
    </row>
    <row r="26231" spans="1:6" s="3" customFormat="1" ht="29.1" customHeight="1" x14ac:dyDescent="0.25">
      <c r="A26231" s="2" t="s">
        <v>51055</v>
      </c>
      <c r="B26231" s="2" t="s">
        <v>51056</v>
      </c>
      <c r="C26231" s="2" t="s">
        <v>1070</v>
      </c>
      <c r="D26231" s="2" t="s">
        <v>1071</v>
      </c>
      <c r="E26231" s="2" t="str">
        <f>"9781905832026"</f>
        <v>9781905832026</v>
      </c>
      <c r="F26231" s="2" t="str">
        <f>"9781905832798"</f>
        <v>9781905832798</v>
      </c>
    </row>
    <row r="26232" spans="1:6" s="3" customFormat="1" ht="29.1" customHeight="1" x14ac:dyDescent="0.25">
      <c r="A26232" s="2" t="s">
        <v>51057</v>
      </c>
      <c r="B26232" s="2" t="s">
        <v>51058</v>
      </c>
      <c r="C26232" s="2" t="s">
        <v>1070</v>
      </c>
      <c r="D26232" s="2" t="s">
        <v>165</v>
      </c>
      <c r="E26232" s="2" t="str">
        <f>"9781905832408"</f>
        <v>9781905832408</v>
      </c>
      <c r="F26232" s="2" t="str">
        <f>"9781905832804"</f>
        <v>9781905832804</v>
      </c>
    </row>
    <row r="26233" spans="1:6" s="3" customFormat="1" ht="29.1" customHeight="1" x14ac:dyDescent="0.25">
      <c r="A26233" s="2" t="s">
        <v>1515</v>
      </c>
      <c r="B26233" s="2" t="s">
        <v>51059</v>
      </c>
      <c r="C26233" s="2" t="s">
        <v>1070</v>
      </c>
      <c r="D26233" s="2" t="s">
        <v>1278</v>
      </c>
      <c r="E26233" s="2" t="str">
        <f>"9781905832637"</f>
        <v>9781905832637</v>
      </c>
      <c r="F26233" s="2" t="str">
        <f>"9781905832842"</f>
        <v>9781905832842</v>
      </c>
    </row>
    <row r="26234" spans="1:6" s="3" customFormat="1" ht="29.1" customHeight="1" x14ac:dyDescent="0.25">
      <c r="A26234" s="2" t="s">
        <v>51060</v>
      </c>
      <c r="B26234" s="2" t="s">
        <v>51061</v>
      </c>
      <c r="C26234" s="2" t="s">
        <v>1070</v>
      </c>
      <c r="D26234" s="2" t="s">
        <v>1272</v>
      </c>
      <c r="E26234" s="2" t="str">
        <f>"9781905832873"</f>
        <v>9781905832873</v>
      </c>
      <c r="F26234" s="2" t="str">
        <f>"9781905832897"</f>
        <v>9781905832897</v>
      </c>
    </row>
    <row r="26235" spans="1:6" s="3" customFormat="1" ht="29.1" customHeight="1" x14ac:dyDescent="0.25">
      <c r="A26235" s="2" t="s">
        <v>51062</v>
      </c>
      <c r="B26235" s="2" t="s">
        <v>51063</v>
      </c>
      <c r="C26235" s="2" t="s">
        <v>1070</v>
      </c>
      <c r="D26235" s="2" t="s">
        <v>49708</v>
      </c>
      <c r="E26235" s="2" t="str">
        <f>"9781905832910"</f>
        <v>9781905832910</v>
      </c>
      <c r="F26235" s="2" t="str">
        <f>"9781905832934"</f>
        <v>9781905832934</v>
      </c>
    </row>
    <row r="26236" spans="1:6" s="3" customFormat="1" ht="29.1" customHeight="1" x14ac:dyDescent="0.25">
      <c r="A26236" s="2" t="s">
        <v>51064</v>
      </c>
      <c r="B26236" s="2" t="s">
        <v>51065</v>
      </c>
      <c r="C26236" s="2" t="s">
        <v>11220</v>
      </c>
      <c r="D26236" s="2" t="s">
        <v>15</v>
      </c>
      <c r="E26236" s="2" t="str">
        <f>"9780814787007"</f>
        <v>9780814787007</v>
      </c>
      <c r="F26236" s="2" t="str">
        <f>"9780814725160"</f>
        <v>9780814725160</v>
      </c>
    </row>
    <row r="26237" spans="1:6" s="3" customFormat="1" ht="29.1" customHeight="1" x14ac:dyDescent="0.25">
      <c r="A26237" s="2" t="s">
        <v>16599</v>
      </c>
      <c r="B26237" s="2" t="s">
        <v>16600</v>
      </c>
      <c r="C26237" s="2" t="s">
        <v>11220</v>
      </c>
      <c r="D26237" s="2" t="s">
        <v>818</v>
      </c>
      <c r="E26237" s="2" t="str">
        <f>"9780814785089"</f>
        <v>9780814785089</v>
      </c>
      <c r="F26237" s="2" t="str">
        <f>"9780814785102"</f>
        <v>9780814785102</v>
      </c>
    </row>
    <row r="26238" spans="1:6" s="3" customFormat="1" ht="29.1" customHeight="1" x14ac:dyDescent="0.25">
      <c r="A26238" s="2" t="s">
        <v>51066</v>
      </c>
      <c r="B26238" s="2" t="s">
        <v>51067</v>
      </c>
      <c r="C26238" s="2" t="s">
        <v>11220</v>
      </c>
      <c r="D26238" s="2" t="s">
        <v>3889</v>
      </c>
      <c r="E26238" s="2" t="str">
        <f>"9780814742990"</f>
        <v>9780814742990</v>
      </c>
      <c r="F26238" s="2" t="str">
        <f>"9780814745045"</f>
        <v>9780814745045</v>
      </c>
    </row>
    <row r="26239" spans="1:6" s="3" customFormat="1" ht="29.1" customHeight="1" x14ac:dyDescent="0.25">
      <c r="A26239" s="2" t="s">
        <v>51068</v>
      </c>
      <c r="B26239" s="2" t="s">
        <v>51069</v>
      </c>
      <c r="C26239" s="2" t="s">
        <v>11220</v>
      </c>
      <c r="D26239" s="2" t="s">
        <v>821</v>
      </c>
      <c r="E26239" s="2" t="str">
        <f>"9780814732878"</f>
        <v>9780814732878</v>
      </c>
      <c r="F26239" s="2" t="str">
        <f>"9780814733387"</f>
        <v>9780814733387</v>
      </c>
    </row>
    <row r="26240" spans="1:6" s="3" customFormat="1" ht="29.1" customHeight="1" x14ac:dyDescent="0.25">
      <c r="A26240" s="2" t="s">
        <v>51070</v>
      </c>
      <c r="B26240" s="2" t="s">
        <v>51071</v>
      </c>
      <c r="C26240" s="2" t="s">
        <v>264</v>
      </c>
      <c r="D26240" s="2" t="s">
        <v>6212</v>
      </c>
      <c r="E26240" s="2" t="str">
        <f>"9781439854884"</f>
        <v>9781439854884</v>
      </c>
      <c r="F26240" s="2" t="str">
        <f>"9781439854976"</f>
        <v>9781439854976</v>
      </c>
    </row>
    <row r="26241" spans="1:6" s="3" customFormat="1" ht="29.1" customHeight="1" x14ac:dyDescent="0.25">
      <c r="A26241" s="2" t="s">
        <v>51072</v>
      </c>
      <c r="B26241" s="2" t="s">
        <v>51074</v>
      </c>
      <c r="C26241" s="2" t="s">
        <v>124</v>
      </c>
      <c r="D26241" s="2" t="s">
        <v>51073</v>
      </c>
      <c r="E26241" s="2" t="str">
        <f>"9781439846636"</f>
        <v>9781439846636</v>
      </c>
      <c r="F26241" s="2" t="str">
        <f>"9781439846643"</f>
        <v>9781439846643</v>
      </c>
    </row>
    <row r="26242" spans="1:6" s="3" customFormat="1" ht="29.1" customHeight="1" x14ac:dyDescent="0.25">
      <c r="A26242" s="2" t="s">
        <v>51075</v>
      </c>
      <c r="B26242" s="2" t="s">
        <v>51076</v>
      </c>
      <c r="C26242" s="2" t="s">
        <v>264</v>
      </c>
      <c r="D26242" s="2" t="s">
        <v>138</v>
      </c>
      <c r="E26242" s="2" t="str">
        <f>"9781439811634"</f>
        <v>9781439811634</v>
      </c>
      <c r="F26242" s="2" t="str">
        <f>"9781439811658"</f>
        <v>9781439811658</v>
      </c>
    </row>
    <row r="26243" spans="1:6" s="3" customFormat="1" ht="29.1" customHeight="1" x14ac:dyDescent="0.25">
      <c r="A26243" s="2" t="s">
        <v>51077</v>
      </c>
      <c r="B26243" s="2" t="s">
        <v>51078</v>
      </c>
      <c r="C26243" s="2" t="s">
        <v>29</v>
      </c>
      <c r="D26243" s="2" t="s">
        <v>4064</v>
      </c>
      <c r="E26243" s="2" t="str">
        <f>"9789004185005"</f>
        <v>9789004185005</v>
      </c>
      <c r="F26243" s="2" t="str">
        <f>"9789004225350"</f>
        <v>9789004225350</v>
      </c>
    </row>
    <row r="26244" spans="1:6" s="3" customFormat="1" ht="29.1" customHeight="1" x14ac:dyDescent="0.25">
      <c r="A26244" s="2" t="s">
        <v>51079</v>
      </c>
      <c r="B26244" s="2" t="s">
        <v>51080</v>
      </c>
      <c r="C26244" s="2" t="s">
        <v>131</v>
      </c>
      <c r="D26244" s="2" t="s">
        <v>459</v>
      </c>
      <c r="E26244" s="2" t="str">
        <f>"9789027215758"</f>
        <v>9789027215758</v>
      </c>
      <c r="F26244" s="2" t="str">
        <f>"9789027284136"</f>
        <v>9789027284136</v>
      </c>
    </row>
    <row r="26245" spans="1:6" s="3" customFormat="1" ht="29.1" customHeight="1" x14ac:dyDescent="0.25">
      <c r="A26245" s="2" t="s">
        <v>51081</v>
      </c>
      <c r="B26245" s="2" t="s">
        <v>51082</v>
      </c>
      <c r="C26245" s="2" t="s">
        <v>9716</v>
      </c>
      <c r="D26245" s="2" t="s">
        <v>33</v>
      </c>
      <c r="E26245" s="2" t="str">
        <f>"9781439906682"</f>
        <v>9781439906682</v>
      </c>
      <c r="F26245" s="2" t="str">
        <f>"9781439906699"</f>
        <v>9781439906699</v>
      </c>
    </row>
    <row r="26246" spans="1:6" s="3" customFormat="1" ht="29.1" customHeight="1" x14ac:dyDescent="0.25">
      <c r="A26246" s="2" t="s">
        <v>51083</v>
      </c>
      <c r="B26246" s="2" t="s">
        <v>51084</v>
      </c>
      <c r="C26246" s="2" t="s">
        <v>195</v>
      </c>
      <c r="D26246" s="2" t="s">
        <v>446</v>
      </c>
      <c r="E26246" s="2" t="str">
        <f>"9783110258233"</f>
        <v>9783110258233</v>
      </c>
      <c r="F26246" s="2" t="str">
        <f>"9783110258240"</f>
        <v>9783110258240</v>
      </c>
    </row>
    <row r="26247" spans="1:6" s="3" customFormat="1" ht="29.1" customHeight="1" x14ac:dyDescent="0.25">
      <c r="A26247" s="2" t="s">
        <v>51085</v>
      </c>
      <c r="B26247" s="2" t="s">
        <v>51086</v>
      </c>
      <c r="C26247" s="2" t="s">
        <v>195</v>
      </c>
      <c r="D26247" s="2" t="s">
        <v>459</v>
      </c>
      <c r="E26247" s="2" t="str">
        <f>"9783110255058"</f>
        <v>9783110255058</v>
      </c>
      <c r="F26247" s="2" t="str">
        <f>"9783110255065"</f>
        <v>9783110255065</v>
      </c>
    </row>
    <row r="26248" spans="1:6" s="3" customFormat="1" ht="29.1" customHeight="1" x14ac:dyDescent="0.25">
      <c r="A26248" s="2" t="s">
        <v>51087</v>
      </c>
      <c r="B26248" s="2" t="s">
        <v>51088</v>
      </c>
      <c r="C26248" s="2" t="s">
        <v>195</v>
      </c>
      <c r="D26248" s="2" t="s">
        <v>12450</v>
      </c>
      <c r="E26248" s="2" t="str">
        <f>"9783110239539"</f>
        <v>9783110239539</v>
      </c>
      <c r="F26248" s="2" t="str">
        <f>"9783110239546"</f>
        <v>9783110239546</v>
      </c>
    </row>
    <row r="26249" spans="1:6" s="3" customFormat="1" ht="29.1" customHeight="1" x14ac:dyDescent="0.25">
      <c r="A26249" s="2" t="s">
        <v>51089</v>
      </c>
      <c r="B26249" s="2" t="s">
        <v>51090</v>
      </c>
      <c r="C26249" s="2" t="s">
        <v>195</v>
      </c>
      <c r="D26249" s="2" t="s">
        <v>459</v>
      </c>
      <c r="E26249" s="2" t="str">
        <f>"9781614510673"</f>
        <v>9781614510673</v>
      </c>
      <c r="F26249" s="2" t="str">
        <f>"9781614510680"</f>
        <v>9781614510680</v>
      </c>
    </row>
    <row r="26250" spans="1:6" s="3" customFormat="1" ht="29.1" customHeight="1" x14ac:dyDescent="0.25">
      <c r="A26250" s="2" t="s">
        <v>51091</v>
      </c>
      <c r="B26250" s="2" t="s">
        <v>51092</v>
      </c>
      <c r="C26250" s="2" t="s">
        <v>264</v>
      </c>
      <c r="D26250" s="2" t="s">
        <v>682</v>
      </c>
      <c r="E26250" s="2" t="str">
        <f>"9781439821190"</f>
        <v>9781439821190</v>
      </c>
      <c r="F26250" s="2" t="str">
        <f>"9781439821220"</f>
        <v>9781439821220</v>
      </c>
    </row>
    <row r="26251" spans="1:6" s="3" customFormat="1" ht="29.1" customHeight="1" x14ac:dyDescent="0.25">
      <c r="A26251" s="2" t="s">
        <v>51093</v>
      </c>
      <c r="B26251" s="2" t="s">
        <v>51094</v>
      </c>
      <c r="C26251" s="2" t="s">
        <v>264</v>
      </c>
      <c r="D26251" s="2" t="s">
        <v>2083</v>
      </c>
      <c r="E26251" s="2" t="str">
        <f>"9781439816721"</f>
        <v>9781439816721</v>
      </c>
      <c r="F26251" s="2" t="str">
        <f>"9781439816738"</f>
        <v>9781439816738</v>
      </c>
    </row>
    <row r="26252" spans="1:6" s="3" customFormat="1" ht="29.1" customHeight="1" x14ac:dyDescent="0.25">
      <c r="A26252" s="2" t="s">
        <v>51095</v>
      </c>
      <c r="B26252" s="2" t="s">
        <v>51096</v>
      </c>
      <c r="C26252" s="2" t="s">
        <v>264</v>
      </c>
      <c r="D26252" s="2" t="s">
        <v>28990</v>
      </c>
      <c r="E26252" s="2" t="str">
        <f>"9781439812006"</f>
        <v>9781439812006</v>
      </c>
      <c r="F26252" s="2" t="str">
        <f>"9781439812044"</f>
        <v>9781439812044</v>
      </c>
    </row>
    <row r="26253" spans="1:6" s="3" customFormat="1" ht="29.1" customHeight="1" x14ac:dyDescent="0.25">
      <c r="A26253" s="2" t="s">
        <v>51097</v>
      </c>
      <c r="B26253" s="2" t="s">
        <v>51098</v>
      </c>
      <c r="C26253" s="2" t="s">
        <v>11220</v>
      </c>
      <c r="D26253" s="2" t="s">
        <v>1411</v>
      </c>
      <c r="E26253" s="2" t="str">
        <f>"9780814727874"</f>
        <v>9780814727874</v>
      </c>
      <c r="F26253" s="2" t="str">
        <f>"9780814728963"</f>
        <v>9780814728963</v>
      </c>
    </row>
    <row r="26254" spans="1:6" s="3" customFormat="1" ht="29.1" customHeight="1" x14ac:dyDescent="0.25">
      <c r="A26254" s="2" t="s">
        <v>51099</v>
      </c>
      <c r="B26254" s="2" t="s">
        <v>51100</v>
      </c>
      <c r="C26254" s="2" t="s">
        <v>927</v>
      </c>
      <c r="D26254" s="2" t="s">
        <v>8788</v>
      </c>
      <c r="E26254" s="2" t="str">
        <f>"9780472117857"</f>
        <v>9780472117857</v>
      </c>
      <c r="F26254" s="2" t="str">
        <f>"9780472027736"</f>
        <v>9780472027736</v>
      </c>
    </row>
    <row r="26255" spans="1:6" s="3" customFormat="1" ht="29.1" customHeight="1" x14ac:dyDescent="0.25">
      <c r="A26255" s="2" t="s">
        <v>51101</v>
      </c>
      <c r="B26255" s="2" t="s">
        <v>51102</v>
      </c>
      <c r="C26255" s="2" t="s">
        <v>927</v>
      </c>
      <c r="D26255" s="2" t="s">
        <v>270</v>
      </c>
      <c r="E26255" s="2" t="str">
        <f>"9780472117932"</f>
        <v>9780472117932</v>
      </c>
      <c r="F26255" s="2" t="str">
        <f>"9780472027750"</f>
        <v>9780472027750</v>
      </c>
    </row>
    <row r="26256" spans="1:6" s="3" customFormat="1" ht="29.1" customHeight="1" x14ac:dyDescent="0.25">
      <c r="A26256" s="2" t="s">
        <v>51103</v>
      </c>
      <c r="B26256" s="2" t="s">
        <v>35366</v>
      </c>
      <c r="C26256" s="2" t="s">
        <v>131</v>
      </c>
      <c r="D26256" s="2" t="s">
        <v>459</v>
      </c>
      <c r="E26256" s="2" t="str">
        <f>"9789027202871"</f>
        <v>9789027202871</v>
      </c>
      <c r="F26256" s="2" t="str">
        <f>"9789027284693"</f>
        <v>9789027284693</v>
      </c>
    </row>
    <row r="26257" spans="1:6" s="3" customFormat="1" ht="29.1" customHeight="1" x14ac:dyDescent="0.25">
      <c r="A26257" s="2" t="s">
        <v>51104</v>
      </c>
      <c r="B26257" s="2" t="s">
        <v>51105</v>
      </c>
      <c r="C26257" s="2" t="s">
        <v>124</v>
      </c>
      <c r="D26257" s="2" t="s">
        <v>3185</v>
      </c>
      <c r="E26257" s="2" t="str">
        <f>"9781409420217"</f>
        <v>9781409420217</v>
      </c>
      <c r="F26257" s="2" t="str">
        <f>"9781317187837"</f>
        <v>9781317187837</v>
      </c>
    </row>
    <row r="26258" spans="1:6" s="3" customFormat="1" ht="29.1" customHeight="1" x14ac:dyDescent="0.25">
      <c r="A26258" s="2" t="s">
        <v>51106</v>
      </c>
      <c r="B26258" s="2" t="s">
        <v>51107</v>
      </c>
      <c r="C26258" s="2" t="s">
        <v>124</v>
      </c>
      <c r="D26258" s="2" t="s">
        <v>1861</v>
      </c>
      <c r="E26258" s="2" t="str">
        <f>"9780566091834"</f>
        <v>9780566091834</v>
      </c>
      <c r="F26258" s="2" t="str">
        <f>"9781351961677"</f>
        <v>9781351961677</v>
      </c>
    </row>
    <row r="26259" spans="1:6" s="3" customFormat="1" ht="29.1" customHeight="1" x14ac:dyDescent="0.25">
      <c r="A26259" s="2" t="s">
        <v>51108</v>
      </c>
      <c r="B26259" s="2" t="s">
        <v>51109</v>
      </c>
      <c r="C26259" s="2" t="s">
        <v>927</v>
      </c>
      <c r="D26259" s="2" t="s">
        <v>270</v>
      </c>
      <c r="E26259" s="2" t="str">
        <f>"9780472117680"</f>
        <v>9780472117680</v>
      </c>
      <c r="F26259" s="2" t="str">
        <f>"9780472027101"</f>
        <v>9780472027101</v>
      </c>
    </row>
    <row r="26260" spans="1:6" s="3" customFormat="1" ht="29.1" customHeight="1" x14ac:dyDescent="0.25">
      <c r="A26260" s="2" t="s">
        <v>51110</v>
      </c>
      <c r="B26260" s="2" t="s">
        <v>51111</v>
      </c>
      <c r="C26260" s="2" t="s">
        <v>264</v>
      </c>
      <c r="D26260" s="2" t="s">
        <v>1162</v>
      </c>
      <c r="E26260" s="2" t="str">
        <f>"9781439849071"</f>
        <v>9781439849071</v>
      </c>
      <c r="F26260" s="2" t="str">
        <f>"9781439849095"</f>
        <v>9781439849095</v>
      </c>
    </row>
    <row r="26261" spans="1:6" s="3" customFormat="1" ht="29.1" customHeight="1" x14ac:dyDescent="0.25">
      <c r="A26261" s="2" t="s">
        <v>51112</v>
      </c>
      <c r="B26261" s="2" t="s">
        <v>51113</v>
      </c>
      <c r="C26261" s="2" t="s">
        <v>264</v>
      </c>
      <c r="D26261" s="2" t="s">
        <v>477</v>
      </c>
      <c r="E26261" s="2" t="str">
        <f>"9781439808795"</f>
        <v>9781439808795</v>
      </c>
      <c r="F26261" s="2" t="str">
        <f>"9781439808801"</f>
        <v>9781439808801</v>
      </c>
    </row>
    <row r="26262" spans="1:6" s="3" customFormat="1" ht="29.1" customHeight="1" x14ac:dyDescent="0.25">
      <c r="A26262" s="2" t="s">
        <v>51114</v>
      </c>
      <c r="B26262" s="2" t="s">
        <v>51115</v>
      </c>
      <c r="C26262" s="2" t="s">
        <v>195</v>
      </c>
      <c r="D26262" s="2" t="s">
        <v>2713</v>
      </c>
      <c r="E26262" s="2" t="str">
        <f>"9783110262322"</f>
        <v>9783110262322</v>
      </c>
      <c r="F26262" s="2" t="str">
        <f>"9783110262339"</f>
        <v>9783110262339</v>
      </c>
    </row>
    <row r="26263" spans="1:6" s="3" customFormat="1" ht="29.1" customHeight="1" x14ac:dyDescent="0.25">
      <c r="A26263" s="2" t="s">
        <v>51116</v>
      </c>
      <c r="B26263" s="2" t="s">
        <v>47639</v>
      </c>
      <c r="C26263" s="2" t="s">
        <v>195</v>
      </c>
      <c r="D26263" s="2" t="s">
        <v>446</v>
      </c>
      <c r="E26263" s="2" t="str">
        <f>"9783110258646"</f>
        <v>9783110258646</v>
      </c>
      <c r="F26263" s="2" t="str">
        <f>"9783110258660"</f>
        <v>9783110258660</v>
      </c>
    </row>
    <row r="26264" spans="1:6" s="3" customFormat="1" ht="29.1" customHeight="1" x14ac:dyDescent="0.25">
      <c r="A26264" s="2" t="s">
        <v>51117</v>
      </c>
      <c r="B26264" s="2" t="s">
        <v>50544</v>
      </c>
      <c r="C26264" s="2" t="s">
        <v>195</v>
      </c>
      <c r="D26264" s="2" t="s">
        <v>7460</v>
      </c>
      <c r="E26264" s="2" t="str">
        <f>"9783110253511"</f>
        <v>9783110253511</v>
      </c>
      <c r="F26264" s="2" t="str">
        <f>"9783110253528"</f>
        <v>9783110253528</v>
      </c>
    </row>
    <row r="26265" spans="1:6" s="3" customFormat="1" ht="29.1" customHeight="1" x14ac:dyDescent="0.25">
      <c r="A26265" s="2" t="s">
        <v>51118</v>
      </c>
      <c r="B26265" s="2" t="s">
        <v>51119</v>
      </c>
      <c r="C26265" s="2" t="s">
        <v>124</v>
      </c>
      <c r="D26265" s="2" t="s">
        <v>75</v>
      </c>
      <c r="E26265" s="2" t="str">
        <f>"9781409403937"</f>
        <v>9781409403937</v>
      </c>
      <c r="F26265" s="2" t="str">
        <f>"9781317154327"</f>
        <v>9781317154327</v>
      </c>
    </row>
    <row r="26266" spans="1:6" s="3" customFormat="1" ht="29.1" customHeight="1" x14ac:dyDescent="0.25">
      <c r="A26266" s="2" t="s">
        <v>51120</v>
      </c>
      <c r="B26266" s="2" t="s">
        <v>51121</v>
      </c>
      <c r="C26266" s="2" t="s">
        <v>124</v>
      </c>
      <c r="D26266" s="2" t="s">
        <v>818</v>
      </c>
      <c r="E26266" s="2" t="str">
        <f>"9780754678434"</f>
        <v>9780754678434</v>
      </c>
      <c r="F26266" s="2" t="str">
        <f>"9781317072669"</f>
        <v>9781317072669</v>
      </c>
    </row>
    <row r="26267" spans="1:6" s="3" customFormat="1" ht="29.1" customHeight="1" x14ac:dyDescent="0.25">
      <c r="A26267" s="2" t="s">
        <v>51122</v>
      </c>
      <c r="B26267" s="2" t="s">
        <v>51123</v>
      </c>
      <c r="C26267" s="2" t="s">
        <v>264</v>
      </c>
      <c r="D26267" s="2" t="s">
        <v>4500</v>
      </c>
      <c r="E26267" s="2" t="str">
        <f>"9781439862056"</f>
        <v>9781439862056</v>
      </c>
      <c r="F26267" s="2" t="str">
        <f>"9781439862070"</f>
        <v>9781439862070</v>
      </c>
    </row>
    <row r="26268" spans="1:6" s="3" customFormat="1" ht="29.1" customHeight="1" x14ac:dyDescent="0.25">
      <c r="A26268" s="2" t="s">
        <v>51124</v>
      </c>
      <c r="B26268" s="2" t="s">
        <v>51125</v>
      </c>
      <c r="C26268" s="2" t="s">
        <v>29</v>
      </c>
      <c r="D26268" s="2" t="s">
        <v>5695</v>
      </c>
      <c r="E26268" s="2" t="str">
        <f>"9781905246694"</f>
        <v>9781905246694</v>
      </c>
      <c r="F26268" s="2" t="str">
        <f>"9789004213043"</f>
        <v>9789004213043</v>
      </c>
    </row>
    <row r="26269" spans="1:6" s="3" customFormat="1" ht="29.1" customHeight="1" x14ac:dyDescent="0.25">
      <c r="A26269" s="2" t="s">
        <v>51126</v>
      </c>
      <c r="B26269" s="2" t="s">
        <v>51127</v>
      </c>
      <c r="C26269" s="2" t="s">
        <v>124</v>
      </c>
      <c r="D26269" s="2" t="s">
        <v>818</v>
      </c>
      <c r="E26269" s="2" t="str">
        <f>"9780754675273"</f>
        <v>9780754675273</v>
      </c>
      <c r="F26269" s="2" t="str">
        <f>"9781317072607"</f>
        <v>9781317072607</v>
      </c>
    </row>
    <row r="26270" spans="1:6" s="3" customFormat="1" ht="29.1" customHeight="1" x14ac:dyDescent="0.25">
      <c r="A26270" s="2" t="s">
        <v>51128</v>
      </c>
      <c r="B26270" s="2" t="s">
        <v>47548</v>
      </c>
      <c r="C26270" s="2" t="s">
        <v>195</v>
      </c>
      <c r="D26270" s="2" t="s">
        <v>46509</v>
      </c>
      <c r="E26270" s="2" t="str">
        <f>"9783110258059"</f>
        <v>9783110258059</v>
      </c>
      <c r="F26270" s="2" t="str">
        <f>"9783110258066"</f>
        <v>9783110258066</v>
      </c>
    </row>
    <row r="26271" spans="1:6" s="3" customFormat="1" ht="29.1" customHeight="1" x14ac:dyDescent="0.25">
      <c r="A26271" s="2" t="s">
        <v>51129</v>
      </c>
      <c r="B26271" s="2" t="s">
        <v>51130</v>
      </c>
      <c r="C26271" s="2" t="s">
        <v>195</v>
      </c>
      <c r="D26271" s="2" t="s">
        <v>118</v>
      </c>
      <c r="E26271" s="2" t="str">
        <f>"9783110254051"</f>
        <v>9783110254051</v>
      </c>
      <c r="F26271" s="2" t="str">
        <f>"9783110254068"</f>
        <v>9783110254068</v>
      </c>
    </row>
    <row r="26272" spans="1:6" s="3" customFormat="1" ht="29.1" customHeight="1" x14ac:dyDescent="0.25">
      <c r="A26272" s="2" t="s">
        <v>51131</v>
      </c>
      <c r="B26272" s="2" t="s">
        <v>51132</v>
      </c>
      <c r="C26272" s="2" t="s">
        <v>195</v>
      </c>
      <c r="D26272" s="2" t="s">
        <v>81</v>
      </c>
      <c r="E26272" s="2" t="str">
        <f>"9783110248845"</f>
        <v>9783110248845</v>
      </c>
      <c r="F26272" s="2" t="str">
        <f>"9783110248852"</f>
        <v>9783110248852</v>
      </c>
    </row>
    <row r="26273" spans="1:6" s="3" customFormat="1" ht="29.1" customHeight="1" x14ac:dyDescent="0.25">
      <c r="A26273" s="2" t="s">
        <v>51133</v>
      </c>
      <c r="B26273" s="2" t="s">
        <v>51134</v>
      </c>
      <c r="C26273" s="2" t="s">
        <v>195</v>
      </c>
      <c r="D26273" s="2" t="s">
        <v>324</v>
      </c>
      <c r="E26273" s="2" t="str">
        <f>"9783110245738"</f>
        <v>9783110245738</v>
      </c>
      <c r="F26273" s="2" t="str">
        <f>"9783110245745"</f>
        <v>9783110245745</v>
      </c>
    </row>
    <row r="26274" spans="1:6" s="3" customFormat="1" ht="29.1" customHeight="1" x14ac:dyDescent="0.25">
      <c r="A26274" s="2" t="s">
        <v>51135</v>
      </c>
      <c r="B26274" s="2" t="s">
        <v>51136</v>
      </c>
      <c r="C26274" s="2" t="s">
        <v>195</v>
      </c>
      <c r="D26274" s="2" t="s">
        <v>462</v>
      </c>
      <c r="E26274" s="2" t="str">
        <f>"9783110240870"</f>
        <v>9783110240870</v>
      </c>
      <c r="F26274" s="2" t="str">
        <f>"9783110240887"</f>
        <v>9783110240887</v>
      </c>
    </row>
    <row r="26275" spans="1:6" s="3" customFormat="1" ht="29.1" customHeight="1" x14ac:dyDescent="0.25">
      <c r="A26275" s="2" t="s">
        <v>51137</v>
      </c>
      <c r="B26275" s="2" t="s">
        <v>51138</v>
      </c>
      <c r="C26275" s="2" t="s">
        <v>195</v>
      </c>
      <c r="D26275" s="2" t="s">
        <v>4185</v>
      </c>
      <c r="E26275" s="2" t="str">
        <f>"9783110202137"</f>
        <v>9783110202137</v>
      </c>
      <c r="F26275" s="2" t="str">
        <f>"9783110216783"</f>
        <v>9783110216783</v>
      </c>
    </row>
    <row r="26276" spans="1:6" s="3" customFormat="1" ht="29.1" customHeight="1" x14ac:dyDescent="0.25">
      <c r="A26276" s="2" t="s">
        <v>51139</v>
      </c>
      <c r="B26276" s="2" t="s">
        <v>51140</v>
      </c>
      <c r="C26276" s="2" t="s">
        <v>11220</v>
      </c>
      <c r="D26276" s="2" t="s">
        <v>636</v>
      </c>
      <c r="E26276" s="2" t="str">
        <f>"9780814752616"</f>
        <v>9780814752616</v>
      </c>
      <c r="F26276" s="2" t="str">
        <f>"9780814753293"</f>
        <v>9780814753293</v>
      </c>
    </row>
    <row r="26277" spans="1:6" s="3" customFormat="1" ht="29.1" customHeight="1" x14ac:dyDescent="0.25">
      <c r="A26277" s="2" t="s">
        <v>51141</v>
      </c>
      <c r="B26277" s="2" t="s">
        <v>51142</v>
      </c>
      <c r="C26277" s="2" t="s">
        <v>11220</v>
      </c>
      <c r="D26277" s="2" t="s">
        <v>81</v>
      </c>
      <c r="E26277" s="2" t="str">
        <f>"9780814743089"</f>
        <v>9780814743089</v>
      </c>
      <c r="F26277" s="2" t="str">
        <f>"9780814743669"</f>
        <v>9780814743669</v>
      </c>
    </row>
    <row r="26278" spans="1:6" s="3" customFormat="1" ht="29.1" customHeight="1" x14ac:dyDescent="0.25">
      <c r="A26278" s="2" t="s">
        <v>51143</v>
      </c>
      <c r="B26278" s="2" t="s">
        <v>51144</v>
      </c>
      <c r="C26278" s="2" t="s">
        <v>11220</v>
      </c>
      <c r="D26278" s="2" t="s">
        <v>183</v>
      </c>
      <c r="E26278" s="2" t="str">
        <f>"9780814722664"</f>
        <v>9780814722664</v>
      </c>
      <c r="F26278" s="2" t="str">
        <f>"9780814722855"</f>
        <v>9780814722855</v>
      </c>
    </row>
    <row r="26279" spans="1:6" s="3" customFormat="1" ht="29.1" customHeight="1" x14ac:dyDescent="0.25">
      <c r="A26279" s="2" t="s">
        <v>51145</v>
      </c>
      <c r="B26279" s="2" t="s">
        <v>51146</v>
      </c>
      <c r="C26279" s="2" t="s">
        <v>11220</v>
      </c>
      <c r="D26279" s="2" t="s">
        <v>3270</v>
      </c>
      <c r="E26279" s="2" t="str">
        <f>"9780814753248"</f>
        <v>9780814753248</v>
      </c>
      <c r="F26279" s="2" t="str">
        <f>"9780814765357"</f>
        <v>9780814765357</v>
      </c>
    </row>
    <row r="26280" spans="1:6" s="3" customFormat="1" ht="29.1" customHeight="1" x14ac:dyDescent="0.25">
      <c r="A26280" s="2" t="s">
        <v>51147</v>
      </c>
      <c r="B26280" s="2" t="s">
        <v>51148</v>
      </c>
      <c r="C26280" s="2" t="s">
        <v>11220</v>
      </c>
      <c r="D26280" s="2" t="s">
        <v>297</v>
      </c>
      <c r="E26280" s="2" t="str">
        <f>"9780814752975"</f>
        <v>9780814752975</v>
      </c>
      <c r="F26280" s="2" t="str">
        <f>"9780814753460"</f>
        <v>9780814753460</v>
      </c>
    </row>
    <row r="26281" spans="1:6" s="3" customFormat="1" ht="29.1" customHeight="1" x14ac:dyDescent="0.25">
      <c r="A26281" s="2" t="s">
        <v>51149</v>
      </c>
      <c r="B26281" s="2" t="s">
        <v>51150</v>
      </c>
      <c r="C26281" s="2" t="s">
        <v>264</v>
      </c>
      <c r="D26281" s="2" t="s">
        <v>6212</v>
      </c>
      <c r="E26281" s="2" t="str">
        <f>"9781439859995"</f>
        <v>9781439859995</v>
      </c>
      <c r="F26281" s="2" t="str">
        <f>"9781439860625"</f>
        <v>9781439860625</v>
      </c>
    </row>
    <row r="26282" spans="1:6" s="3" customFormat="1" ht="29.1" customHeight="1" x14ac:dyDescent="0.25">
      <c r="A26282" s="2" t="s">
        <v>51151</v>
      </c>
      <c r="B26282" s="2" t="s">
        <v>51152</v>
      </c>
      <c r="C26282" s="2" t="s">
        <v>124</v>
      </c>
      <c r="D26282" s="2" t="s">
        <v>5794</v>
      </c>
      <c r="E26282" s="2" t="str">
        <f>"9789089643537"</f>
        <v>9789089643537</v>
      </c>
      <c r="F26282" s="2" t="str">
        <f>"9781040774694"</f>
        <v>9781040774694</v>
      </c>
    </row>
    <row r="26283" spans="1:6" s="3" customFormat="1" ht="29.1" customHeight="1" x14ac:dyDescent="0.25">
      <c r="A26283" s="2" t="s">
        <v>51153</v>
      </c>
      <c r="B26283" s="2" t="s">
        <v>51154</v>
      </c>
      <c r="C26283" s="2" t="s">
        <v>124</v>
      </c>
      <c r="D26283" s="2" t="s">
        <v>78</v>
      </c>
      <c r="E26283" s="2" t="str">
        <f>"9789089643414"</f>
        <v>9789089643414</v>
      </c>
      <c r="F26283" s="2" t="str">
        <f>"9781040778043"</f>
        <v>9781040778043</v>
      </c>
    </row>
    <row r="26284" spans="1:6" s="3" customFormat="1" ht="29.1" customHeight="1" x14ac:dyDescent="0.25">
      <c r="A26284" s="2" t="s">
        <v>51155</v>
      </c>
      <c r="B26284" s="2" t="s">
        <v>51156</v>
      </c>
      <c r="C26284" s="2" t="s">
        <v>11220</v>
      </c>
      <c r="D26284" s="2" t="s">
        <v>183</v>
      </c>
      <c r="E26284" s="2" t="str">
        <f>"9780814707333"</f>
        <v>9780814707333</v>
      </c>
      <c r="F26284" s="2" t="str">
        <f>"9780814705452"</f>
        <v>9780814705452</v>
      </c>
    </row>
    <row r="26285" spans="1:6" s="3" customFormat="1" ht="29.1" customHeight="1" x14ac:dyDescent="0.25">
      <c r="A26285" s="2" t="s">
        <v>51157</v>
      </c>
      <c r="B26285" s="2" t="s">
        <v>51158</v>
      </c>
      <c r="C26285" s="2" t="s">
        <v>11220</v>
      </c>
      <c r="D26285" s="2" t="s">
        <v>818</v>
      </c>
      <c r="E26285" s="2" t="str">
        <f>"9780814732397"</f>
        <v>9780814732397</v>
      </c>
      <c r="F26285" s="2" t="str">
        <f>"9780814733004"</f>
        <v>9780814733004</v>
      </c>
    </row>
    <row r="26286" spans="1:6" s="3" customFormat="1" ht="29.1" customHeight="1" x14ac:dyDescent="0.25">
      <c r="A26286" s="2" t="s">
        <v>51159</v>
      </c>
      <c r="B26286" s="2" t="s">
        <v>51161</v>
      </c>
      <c r="C26286" s="2" t="s">
        <v>11220</v>
      </c>
      <c r="D26286" s="2" t="s">
        <v>51160</v>
      </c>
      <c r="E26286" s="2" t="str">
        <f>"9780814741122"</f>
        <v>9780814741122</v>
      </c>
      <c r="F26286" s="2" t="str">
        <f>"9780814788592"</f>
        <v>9780814788592</v>
      </c>
    </row>
    <row r="26287" spans="1:6" s="3" customFormat="1" ht="29.1" customHeight="1" x14ac:dyDescent="0.25">
      <c r="A26287" s="2" t="s">
        <v>51162</v>
      </c>
      <c r="B26287" s="2" t="s">
        <v>51163</v>
      </c>
      <c r="C26287" s="2" t="s">
        <v>11220</v>
      </c>
      <c r="D26287" s="2" t="s">
        <v>7669</v>
      </c>
      <c r="E26287" s="2" t="str">
        <f>"9780814789544"</f>
        <v>9780814789544</v>
      </c>
      <c r="F26287" s="2" t="str">
        <f>"9780814723234"</f>
        <v>9780814723234</v>
      </c>
    </row>
    <row r="26288" spans="1:6" s="3" customFormat="1" ht="29.1" customHeight="1" x14ac:dyDescent="0.25">
      <c r="A26288" s="2" t="s">
        <v>51164</v>
      </c>
      <c r="B26288" s="2" t="s">
        <v>51165</v>
      </c>
      <c r="C26288" s="2" t="s">
        <v>11220</v>
      </c>
      <c r="D26288" s="2" t="s">
        <v>125</v>
      </c>
      <c r="E26288" s="2" t="str">
        <f>"9780814740996"</f>
        <v>9780814740996</v>
      </c>
      <c r="F26288" s="2" t="str">
        <f>"9780814738351"</f>
        <v>9780814738351</v>
      </c>
    </row>
    <row r="26289" spans="1:6" s="3" customFormat="1" ht="29.1" customHeight="1" x14ac:dyDescent="0.25">
      <c r="A26289" s="2" t="s">
        <v>51166</v>
      </c>
      <c r="B26289" s="2" t="s">
        <v>51167</v>
      </c>
      <c r="C26289" s="2" t="s">
        <v>11220</v>
      </c>
      <c r="D26289" s="2" t="s">
        <v>1186</v>
      </c>
      <c r="E26289" s="2" t="str">
        <f>"9780814748114"</f>
        <v>9780814748114</v>
      </c>
      <c r="F26289" s="2" t="str">
        <f>"9780814749470"</f>
        <v>9780814749470</v>
      </c>
    </row>
    <row r="26290" spans="1:6" s="3" customFormat="1" ht="29.1" customHeight="1" x14ac:dyDescent="0.25">
      <c r="A26290" s="2" t="s">
        <v>51168</v>
      </c>
      <c r="B26290" s="2" t="s">
        <v>51169</v>
      </c>
      <c r="C26290" s="2" t="s">
        <v>36</v>
      </c>
      <c r="D26290" s="2" t="s">
        <v>324</v>
      </c>
      <c r="E26290" s="2" t="str">
        <f>"9781847426079"</f>
        <v>9781847426079</v>
      </c>
      <c r="F26290" s="2" t="str">
        <f>"9781847426086"</f>
        <v>9781847426086</v>
      </c>
    </row>
    <row r="26291" spans="1:6" s="3" customFormat="1" ht="29.1" customHeight="1" x14ac:dyDescent="0.25">
      <c r="A26291" s="2" t="s">
        <v>51170</v>
      </c>
      <c r="B26291" s="2" t="s">
        <v>51171</v>
      </c>
      <c r="C26291" s="2" t="s">
        <v>131</v>
      </c>
      <c r="D26291" s="2" t="s">
        <v>1248</v>
      </c>
      <c r="E26291" s="2" t="str">
        <f>"9789027256195"</f>
        <v>9789027256195</v>
      </c>
      <c r="F26291" s="2" t="str">
        <f>"9789027284662"</f>
        <v>9789027284662</v>
      </c>
    </row>
    <row r="26292" spans="1:6" s="3" customFormat="1" ht="29.1" customHeight="1" x14ac:dyDescent="0.25">
      <c r="A26292" s="2" t="s">
        <v>51172</v>
      </c>
      <c r="B26292" s="2" t="s">
        <v>51173</v>
      </c>
      <c r="C26292" s="2" t="s">
        <v>124</v>
      </c>
      <c r="D26292" s="2" t="s">
        <v>270</v>
      </c>
      <c r="E26292" s="2" t="str">
        <f>"9789089643438"</f>
        <v>9789089643438</v>
      </c>
      <c r="F26292" s="2" t="str">
        <f>"9781040795552"</f>
        <v>9781040795552</v>
      </c>
    </row>
    <row r="26293" spans="1:6" s="3" customFormat="1" ht="29.1" customHeight="1" x14ac:dyDescent="0.25">
      <c r="A26293" s="2" t="s">
        <v>51174</v>
      </c>
      <c r="B26293" s="2" t="s">
        <v>51175</v>
      </c>
      <c r="C26293" s="2" t="s">
        <v>124</v>
      </c>
      <c r="D26293" s="2" t="s">
        <v>636</v>
      </c>
      <c r="E26293" s="2" t="str">
        <f>"9789089642981"</f>
        <v>9789089642981</v>
      </c>
      <c r="F26293" s="2" t="str">
        <f>"9781040778142"</f>
        <v>9781040778142</v>
      </c>
    </row>
    <row r="26294" spans="1:6" s="3" customFormat="1" ht="29.1" customHeight="1" x14ac:dyDescent="0.25">
      <c r="A26294" s="2" t="s">
        <v>51176</v>
      </c>
      <c r="B26294" s="2" t="s">
        <v>51177</v>
      </c>
      <c r="C26294" s="2" t="s">
        <v>927</v>
      </c>
      <c r="D26294" s="2" t="s">
        <v>9</v>
      </c>
      <c r="E26294" s="2" t="str">
        <f>"9780472051533"</f>
        <v>9780472051533</v>
      </c>
      <c r="F26294" s="2" t="str">
        <f>"9780472027606"</f>
        <v>9780472027606</v>
      </c>
    </row>
    <row r="26295" spans="1:6" s="3" customFormat="1" ht="29.1" customHeight="1" x14ac:dyDescent="0.25">
      <c r="A26295" s="2" t="s">
        <v>51178</v>
      </c>
      <c r="B26295" s="2" t="s">
        <v>51179</v>
      </c>
      <c r="C26295" s="2" t="s">
        <v>264</v>
      </c>
      <c r="D26295" s="2" t="s">
        <v>6212</v>
      </c>
      <c r="E26295" s="2" t="str">
        <f>"9781439816998"</f>
        <v>9781439816998</v>
      </c>
      <c r="F26295" s="2" t="str">
        <f>"9781439817001"</f>
        <v>9781439817001</v>
      </c>
    </row>
    <row r="26296" spans="1:6" s="3" customFormat="1" ht="29.1" customHeight="1" x14ac:dyDescent="0.25">
      <c r="A26296" s="2" t="s">
        <v>51180</v>
      </c>
      <c r="B26296" s="2" t="s">
        <v>51181</v>
      </c>
      <c r="C26296" s="2" t="s">
        <v>195</v>
      </c>
      <c r="D26296" s="2" t="s">
        <v>81</v>
      </c>
      <c r="E26296" s="2" t="str">
        <f>"9783110248548"</f>
        <v>9783110248548</v>
      </c>
      <c r="F26296" s="2" t="str">
        <f>"9783110262216"</f>
        <v>9783110262216</v>
      </c>
    </row>
    <row r="26297" spans="1:6" s="3" customFormat="1" ht="29.1" customHeight="1" x14ac:dyDescent="0.25">
      <c r="A26297" s="2" t="s">
        <v>51182</v>
      </c>
      <c r="B26297" s="2" t="s">
        <v>51183</v>
      </c>
      <c r="C26297" s="2" t="s">
        <v>11220</v>
      </c>
      <c r="D26297" s="2" t="s">
        <v>712</v>
      </c>
      <c r="E26297" s="2" t="str">
        <f>"9780814737309"</f>
        <v>9780814737309</v>
      </c>
      <c r="F26297" s="2" t="str">
        <f>"9780814744680"</f>
        <v>9780814744680</v>
      </c>
    </row>
    <row r="26298" spans="1:6" s="3" customFormat="1" ht="29.1" customHeight="1" x14ac:dyDescent="0.25">
      <c r="A26298" s="2" t="s">
        <v>51184</v>
      </c>
      <c r="B26298" s="2" t="s">
        <v>51185</v>
      </c>
      <c r="C26298" s="2" t="s">
        <v>11220</v>
      </c>
      <c r="D26298" s="2" t="s">
        <v>4789</v>
      </c>
      <c r="E26298" s="2" t="str">
        <f>"9780814762226"</f>
        <v>9780814762226</v>
      </c>
      <c r="F26298" s="2" t="str">
        <f>"9780814765296"</f>
        <v>9780814765296</v>
      </c>
    </row>
    <row r="26299" spans="1:6" s="3" customFormat="1" ht="29.1" customHeight="1" x14ac:dyDescent="0.25">
      <c r="A26299" s="2" t="s">
        <v>51186</v>
      </c>
      <c r="B26299" s="2" t="s">
        <v>51187</v>
      </c>
      <c r="C26299" s="2" t="s">
        <v>11220</v>
      </c>
      <c r="D26299" s="2" t="s">
        <v>1189</v>
      </c>
      <c r="E26299" s="2" t="str">
        <f>"9780814732274"</f>
        <v>9780814732274</v>
      </c>
      <c r="F26299" s="2" t="str">
        <f>"9780814733370"</f>
        <v>9780814733370</v>
      </c>
    </row>
    <row r="26300" spans="1:6" s="3" customFormat="1" ht="29.1" customHeight="1" x14ac:dyDescent="0.25">
      <c r="A26300" s="2" t="s">
        <v>51188</v>
      </c>
      <c r="B26300" s="2" t="s">
        <v>51189</v>
      </c>
      <c r="C26300" s="2" t="s">
        <v>11220</v>
      </c>
      <c r="D26300" s="2" t="s">
        <v>6548</v>
      </c>
      <c r="E26300" s="2" t="str">
        <f>"9780814773031"</f>
        <v>9780814773031</v>
      </c>
      <c r="F26300" s="2" t="str">
        <f>"9780814790724"</f>
        <v>9780814790724</v>
      </c>
    </row>
    <row r="26301" spans="1:6" s="3" customFormat="1" ht="29.1" customHeight="1" x14ac:dyDescent="0.25">
      <c r="A26301" s="2" t="s">
        <v>51190</v>
      </c>
      <c r="B26301" s="2" t="s">
        <v>51191</v>
      </c>
      <c r="C26301" s="2" t="s">
        <v>7395</v>
      </c>
      <c r="D26301" s="2" t="s">
        <v>49</v>
      </c>
      <c r="E26301" s="2" t="str">
        <f>"9780295976440"</f>
        <v>9780295976440</v>
      </c>
      <c r="F26301" s="2" t="str">
        <f>"9780295800554"</f>
        <v>9780295800554</v>
      </c>
    </row>
    <row r="26302" spans="1:6" s="3" customFormat="1" ht="29.1" customHeight="1" x14ac:dyDescent="0.25">
      <c r="A26302" s="2" t="s">
        <v>51192</v>
      </c>
      <c r="B26302" s="2" t="s">
        <v>51193</v>
      </c>
      <c r="C26302" s="2" t="s">
        <v>29</v>
      </c>
      <c r="D26302" s="2" t="s">
        <v>462</v>
      </c>
      <c r="E26302" s="2" t="str">
        <f>"9789004201927"</f>
        <v>9789004201927</v>
      </c>
      <c r="F26302" s="2" t="str">
        <f>"9789004211964"</f>
        <v>9789004211964</v>
      </c>
    </row>
    <row r="26303" spans="1:6" s="3" customFormat="1" ht="29.1" customHeight="1" x14ac:dyDescent="0.25">
      <c r="A26303" s="2" t="s">
        <v>51194</v>
      </c>
      <c r="B26303" s="2" t="s">
        <v>51195</v>
      </c>
      <c r="C26303" s="2" t="s">
        <v>7395</v>
      </c>
      <c r="D26303" s="2" t="s">
        <v>49</v>
      </c>
      <c r="E26303" s="2" t="str">
        <f>"9780295987255"</f>
        <v>9780295987255</v>
      </c>
      <c r="F26303" s="2" t="str">
        <f>"9780295801940"</f>
        <v>9780295801940</v>
      </c>
    </row>
    <row r="26304" spans="1:6" s="3" customFormat="1" ht="29.1" customHeight="1" x14ac:dyDescent="0.25">
      <c r="A26304" s="2" t="s">
        <v>51196</v>
      </c>
      <c r="B26304" s="2" t="s">
        <v>51197</v>
      </c>
      <c r="C26304" s="2" t="s">
        <v>927</v>
      </c>
      <c r="D26304" s="2" t="s">
        <v>1214</v>
      </c>
      <c r="E26304" s="2" t="str">
        <f>"9780472051496"</f>
        <v>9780472051496</v>
      </c>
      <c r="F26304" s="2" t="str">
        <f>"9780472027491"</f>
        <v>9780472027491</v>
      </c>
    </row>
    <row r="26305" spans="1:6" s="3" customFormat="1" ht="29.1" customHeight="1" x14ac:dyDescent="0.25">
      <c r="A26305" s="2" t="s">
        <v>51198</v>
      </c>
      <c r="B26305" s="2" t="s">
        <v>51199</v>
      </c>
      <c r="C26305" s="2" t="s">
        <v>264</v>
      </c>
      <c r="D26305" s="2" t="s">
        <v>6152</v>
      </c>
      <c r="E26305" s="2" t="str">
        <f>"9781439857489"</f>
        <v>9781439857489</v>
      </c>
      <c r="F26305" s="2" t="str">
        <f>"9781439858004"</f>
        <v>9781439858004</v>
      </c>
    </row>
    <row r="26306" spans="1:6" s="3" customFormat="1" ht="29.1" customHeight="1" x14ac:dyDescent="0.25">
      <c r="A26306" s="2" t="s">
        <v>51200</v>
      </c>
      <c r="B26306" s="2" t="s">
        <v>51201</v>
      </c>
      <c r="C26306" s="2" t="s">
        <v>264</v>
      </c>
      <c r="D26306" s="2" t="s">
        <v>210</v>
      </c>
      <c r="E26306" s="2" t="str">
        <f>"9781420084054"</f>
        <v>9781420084054</v>
      </c>
      <c r="F26306" s="2" t="str">
        <f>"9781420084061"</f>
        <v>9781420084061</v>
      </c>
    </row>
    <row r="26307" spans="1:6" s="3" customFormat="1" ht="29.1" customHeight="1" x14ac:dyDescent="0.25">
      <c r="A26307" s="2" t="s">
        <v>51202</v>
      </c>
      <c r="B26307" s="2" t="s">
        <v>51203</v>
      </c>
      <c r="C26307" s="2" t="s">
        <v>131</v>
      </c>
      <c r="D26307" s="2" t="s">
        <v>459</v>
      </c>
      <c r="E26307" s="2" t="str">
        <f>"9789027228451"</f>
        <v>9789027228451</v>
      </c>
      <c r="F26307" s="2" t="str">
        <f>"9789027287205"</f>
        <v>9789027287205</v>
      </c>
    </row>
    <row r="26308" spans="1:6" s="3" customFormat="1" ht="29.1" customHeight="1" x14ac:dyDescent="0.25">
      <c r="A26308" s="2" t="s">
        <v>51204</v>
      </c>
      <c r="B26308" s="2" t="s">
        <v>51205</v>
      </c>
      <c r="C26308" s="2" t="s">
        <v>36</v>
      </c>
      <c r="D26308" s="2" t="s">
        <v>639</v>
      </c>
      <c r="E26308" s="2" t="str">
        <f>"9781847428851"</f>
        <v>9781847428851</v>
      </c>
      <c r="F26308" s="2" t="str">
        <f>"9781847428868"</f>
        <v>9781847428868</v>
      </c>
    </row>
    <row r="26309" spans="1:6" s="3" customFormat="1" ht="29.1" customHeight="1" x14ac:dyDescent="0.25">
      <c r="A26309" s="2" t="s">
        <v>51206</v>
      </c>
      <c r="B26309" s="2" t="s">
        <v>51207</v>
      </c>
      <c r="C26309" s="2" t="s">
        <v>36</v>
      </c>
      <c r="D26309" s="2" t="s">
        <v>15</v>
      </c>
      <c r="E26309" s="2" t="str">
        <f>"9781847426208"</f>
        <v>9781847426208</v>
      </c>
      <c r="F26309" s="2" t="str">
        <f>"9781847426222"</f>
        <v>9781847426222</v>
      </c>
    </row>
    <row r="26310" spans="1:6" s="3" customFormat="1" ht="29.1" customHeight="1" x14ac:dyDescent="0.25">
      <c r="A26310" s="2" t="s">
        <v>51208</v>
      </c>
      <c r="B26310" s="2" t="s">
        <v>51209</v>
      </c>
      <c r="C26310" s="2" t="s">
        <v>29</v>
      </c>
      <c r="D26310" s="2" t="s">
        <v>33</v>
      </c>
      <c r="E26310" s="2" t="str">
        <f>"9789042033412"</f>
        <v>9789042033412</v>
      </c>
      <c r="F26310" s="2" t="str">
        <f>"9789401200400"</f>
        <v>9789401200400</v>
      </c>
    </row>
    <row r="26311" spans="1:6" s="3" customFormat="1" ht="29.1" customHeight="1" x14ac:dyDescent="0.25">
      <c r="A26311" s="2" t="s">
        <v>51210</v>
      </c>
      <c r="B26311" s="2" t="s">
        <v>51211</v>
      </c>
      <c r="C26311" s="2" t="s">
        <v>264</v>
      </c>
      <c r="D26311" s="2" t="s">
        <v>477</v>
      </c>
      <c r="E26311" s="2" t="str">
        <f>"9781439850725"</f>
        <v>9781439850725</v>
      </c>
      <c r="F26311" s="2" t="str">
        <f>"9781439850749"</f>
        <v>9781439850749</v>
      </c>
    </row>
    <row r="26312" spans="1:6" s="3" customFormat="1" ht="29.1" customHeight="1" x14ac:dyDescent="0.25">
      <c r="A26312" s="2" t="s">
        <v>51212</v>
      </c>
      <c r="B26312" s="2" t="s">
        <v>51213</v>
      </c>
      <c r="C26312" s="2" t="s">
        <v>11220</v>
      </c>
      <c r="D26312" s="2" t="s">
        <v>868</v>
      </c>
      <c r="E26312" s="2" t="str">
        <f>"9780814788288"</f>
        <v>9780814788288</v>
      </c>
      <c r="F26312" s="2" t="str">
        <f>"9780814788431"</f>
        <v>9780814788431</v>
      </c>
    </row>
    <row r="26313" spans="1:6" s="3" customFormat="1" ht="29.1" customHeight="1" x14ac:dyDescent="0.25">
      <c r="A26313" s="2" t="s">
        <v>51214</v>
      </c>
      <c r="B26313" s="2" t="s">
        <v>51215</v>
      </c>
      <c r="C26313" s="2" t="s">
        <v>11220</v>
      </c>
      <c r="D26313" s="2" t="s">
        <v>4789</v>
      </c>
      <c r="E26313" s="2" t="str">
        <f>"9780814794760"</f>
        <v>9780814794760</v>
      </c>
      <c r="F26313" s="2" t="str">
        <f>"9780814795415"</f>
        <v>9780814795415</v>
      </c>
    </row>
    <row r="26314" spans="1:6" s="3" customFormat="1" ht="29.1" customHeight="1" x14ac:dyDescent="0.25">
      <c r="A26314" s="2" t="s">
        <v>51216</v>
      </c>
      <c r="B26314" s="2" t="s">
        <v>51217</v>
      </c>
      <c r="C26314" s="2" t="s">
        <v>29</v>
      </c>
      <c r="D26314" s="2" t="s">
        <v>192</v>
      </c>
      <c r="E26314" s="2" t="str">
        <f>"9789004177284"</f>
        <v>9789004177284</v>
      </c>
      <c r="F26314" s="2" t="str">
        <f>"9789047430728"</f>
        <v>9789047430728</v>
      </c>
    </row>
    <row r="26315" spans="1:6" s="3" customFormat="1" ht="29.1" customHeight="1" x14ac:dyDescent="0.25">
      <c r="A26315" s="2" t="s">
        <v>51218</v>
      </c>
      <c r="B26315" s="2" t="s">
        <v>51219</v>
      </c>
      <c r="C26315" s="2" t="s">
        <v>29</v>
      </c>
      <c r="D26315" s="2" t="s">
        <v>509</v>
      </c>
      <c r="E26315" s="2" t="str">
        <f>"9789004192065"</f>
        <v>9789004192065</v>
      </c>
      <c r="F26315" s="2" t="str">
        <f>"9789004192249"</f>
        <v>9789004192249</v>
      </c>
    </row>
    <row r="26316" spans="1:6" s="3" customFormat="1" ht="29.1" customHeight="1" x14ac:dyDescent="0.25">
      <c r="A26316" s="2" t="s">
        <v>51220</v>
      </c>
      <c r="B26316" s="2" t="s">
        <v>51221</v>
      </c>
      <c r="C26316" s="2" t="s">
        <v>29</v>
      </c>
      <c r="D26316" s="2" t="s">
        <v>3910</v>
      </c>
      <c r="E26316" s="2" t="str">
        <f>"9789004187207"</f>
        <v>9789004187207</v>
      </c>
      <c r="F26316" s="2" t="str">
        <f>"9789004190092"</f>
        <v>9789004190092</v>
      </c>
    </row>
    <row r="26317" spans="1:6" s="3" customFormat="1" ht="29.1" customHeight="1" x14ac:dyDescent="0.25">
      <c r="A26317" s="2" t="s">
        <v>51222</v>
      </c>
      <c r="B26317" s="2" t="s">
        <v>51223</v>
      </c>
      <c r="C26317" s="2" t="s">
        <v>34257</v>
      </c>
      <c r="D26317" s="2" t="s">
        <v>879</v>
      </c>
      <c r="E26317" s="2" t="str">
        <f>"9780745331065"</f>
        <v>9780745331065</v>
      </c>
      <c r="F26317" s="2" t="str">
        <f>"9781849645836"</f>
        <v>9781849645836</v>
      </c>
    </row>
    <row r="26318" spans="1:6" s="3" customFormat="1" ht="29.1" customHeight="1" x14ac:dyDescent="0.25">
      <c r="A26318" s="2" t="s">
        <v>51224</v>
      </c>
      <c r="B26318" s="2" t="s">
        <v>40267</v>
      </c>
      <c r="C26318" s="2" t="s">
        <v>34257</v>
      </c>
      <c r="D26318" s="2" t="s">
        <v>818</v>
      </c>
      <c r="E26318" s="2" t="str">
        <f>"9780745330488"</f>
        <v>9780745330488</v>
      </c>
      <c r="F26318" s="2" t="str">
        <f>"9781849645652"</f>
        <v>9781849645652</v>
      </c>
    </row>
    <row r="26319" spans="1:6" s="3" customFormat="1" ht="29.1" customHeight="1" x14ac:dyDescent="0.25">
      <c r="A26319" s="2" t="s">
        <v>51225</v>
      </c>
      <c r="B26319" s="2" t="s">
        <v>51226</v>
      </c>
      <c r="C26319" s="2" t="s">
        <v>34257</v>
      </c>
      <c r="D26319" s="2" t="s">
        <v>818</v>
      </c>
      <c r="E26319" s="2" t="str">
        <f>"9780745329482"</f>
        <v>9780745329482</v>
      </c>
      <c r="F26319" s="2" t="str">
        <f>"9781849645515"</f>
        <v>9781849645515</v>
      </c>
    </row>
    <row r="26320" spans="1:6" s="3" customFormat="1" ht="29.1" customHeight="1" x14ac:dyDescent="0.25">
      <c r="A26320" s="2" t="s">
        <v>51227</v>
      </c>
      <c r="B26320" s="2" t="s">
        <v>51228</v>
      </c>
      <c r="C26320" s="2" t="s">
        <v>34257</v>
      </c>
      <c r="D26320" s="2" t="s">
        <v>5794</v>
      </c>
      <c r="E26320" s="2" t="str">
        <f>"9780745328706"</f>
        <v>9780745328706</v>
      </c>
      <c r="F26320" s="2" t="str">
        <f>"9781849645478"</f>
        <v>9781849645478</v>
      </c>
    </row>
    <row r="26321" spans="1:6" s="3" customFormat="1" ht="29.1" customHeight="1" x14ac:dyDescent="0.25">
      <c r="A26321" s="2" t="s">
        <v>51229</v>
      </c>
      <c r="B26321" s="2" t="s">
        <v>51230</v>
      </c>
      <c r="C26321" s="2" t="s">
        <v>34257</v>
      </c>
      <c r="D26321" s="2" t="s">
        <v>4133</v>
      </c>
      <c r="E26321" s="2" t="str">
        <f>"9780745327013"</f>
        <v>9780745327013</v>
      </c>
      <c r="F26321" s="2" t="str">
        <f>"9781849645393"</f>
        <v>9781849645393</v>
      </c>
    </row>
    <row r="26322" spans="1:6" s="3" customFormat="1" ht="29.1" customHeight="1" x14ac:dyDescent="0.25">
      <c r="A26322" s="2" t="s">
        <v>51231</v>
      </c>
      <c r="B26322" s="2" t="s">
        <v>51232</v>
      </c>
      <c r="C26322" s="2" t="s">
        <v>131</v>
      </c>
      <c r="D26322" s="2" t="s">
        <v>459</v>
      </c>
      <c r="E26322" s="2" t="str">
        <f>"9789027246073"</f>
        <v>9789027246073</v>
      </c>
      <c r="F26322" s="2" t="str">
        <f>"9789027286833"</f>
        <v>9789027286833</v>
      </c>
    </row>
    <row r="26323" spans="1:6" s="3" customFormat="1" ht="29.1" customHeight="1" x14ac:dyDescent="0.25">
      <c r="A26323" s="2" t="s">
        <v>51233</v>
      </c>
      <c r="B26323" s="2" t="s">
        <v>51234</v>
      </c>
      <c r="C26323" s="2" t="s">
        <v>15052</v>
      </c>
      <c r="D26323" s="2" t="s">
        <v>18866</v>
      </c>
      <c r="E26323" s="2" t="str">
        <f>"9780804761550"</f>
        <v>9780804761550</v>
      </c>
      <c r="F26323" s="2" t="str">
        <f>"9780804776400"</f>
        <v>9780804776400</v>
      </c>
    </row>
    <row r="26324" spans="1:6" s="3" customFormat="1" ht="29.1" customHeight="1" x14ac:dyDescent="0.25">
      <c r="A26324" s="2" t="s">
        <v>51235</v>
      </c>
      <c r="B26324" s="2" t="s">
        <v>51236</v>
      </c>
      <c r="C26324" s="2" t="s">
        <v>36</v>
      </c>
      <c r="D26324" s="2" t="s">
        <v>2341</v>
      </c>
      <c r="E26324" s="2" t="str">
        <f>"9781847424464"</f>
        <v>9781847424464</v>
      </c>
      <c r="F26324" s="2" t="str">
        <f>"9781847424471"</f>
        <v>9781847424471</v>
      </c>
    </row>
    <row r="26325" spans="1:6" s="3" customFormat="1" ht="29.1" customHeight="1" x14ac:dyDescent="0.25">
      <c r="A26325" s="2" t="s">
        <v>51237</v>
      </c>
      <c r="B26325" s="2" t="s">
        <v>51238</v>
      </c>
      <c r="C26325" s="2" t="s">
        <v>29</v>
      </c>
      <c r="D26325" s="2" t="s">
        <v>8199</v>
      </c>
      <c r="E26325" s="2" t="str">
        <f>"9789004139961"</f>
        <v>9789004139961</v>
      </c>
      <c r="F26325" s="2" t="str">
        <f>"9789047420217"</f>
        <v>9789047420217</v>
      </c>
    </row>
    <row r="26326" spans="1:6" s="3" customFormat="1" ht="29.1" customHeight="1" x14ac:dyDescent="0.25">
      <c r="A26326" s="2" t="s">
        <v>51239</v>
      </c>
      <c r="B26326" s="2" t="s">
        <v>51240</v>
      </c>
      <c r="C26326" s="2" t="s">
        <v>124</v>
      </c>
      <c r="D26326" s="2" t="s">
        <v>270</v>
      </c>
      <c r="E26326" s="2" t="str">
        <f>"9780415562157"</f>
        <v>9780415562157</v>
      </c>
      <c r="F26326" s="2" t="str">
        <f>"9781136755170"</f>
        <v>9781136755170</v>
      </c>
    </row>
    <row r="26327" spans="1:6" s="3" customFormat="1" ht="29.1" customHeight="1" x14ac:dyDescent="0.25">
      <c r="A26327" s="2" t="s">
        <v>51241</v>
      </c>
      <c r="B26327" s="2" t="s">
        <v>51242</v>
      </c>
      <c r="C26327" s="2" t="s">
        <v>29</v>
      </c>
      <c r="D26327" s="2" t="s">
        <v>5032</v>
      </c>
      <c r="E26327" s="2" t="str">
        <f>"9789004185043"</f>
        <v>9789004185043</v>
      </c>
      <c r="F26327" s="2" t="str">
        <f>"9789004185869"</f>
        <v>9789004185869</v>
      </c>
    </row>
    <row r="26328" spans="1:6" s="3" customFormat="1" ht="29.1" customHeight="1" x14ac:dyDescent="0.25">
      <c r="A26328" s="2" t="s">
        <v>51243</v>
      </c>
      <c r="B26328" s="2" t="s">
        <v>51244</v>
      </c>
      <c r="C26328" s="2" t="s">
        <v>29</v>
      </c>
      <c r="D26328" s="2" t="s">
        <v>7460</v>
      </c>
      <c r="E26328" s="2" t="str">
        <f>"9789004183926"</f>
        <v>9789004183926</v>
      </c>
      <c r="F26328" s="2" t="str">
        <f>"9789004193505"</f>
        <v>9789004193505</v>
      </c>
    </row>
    <row r="26329" spans="1:6" s="3" customFormat="1" ht="29.1" customHeight="1" x14ac:dyDescent="0.25">
      <c r="A26329" s="2" t="s">
        <v>51245</v>
      </c>
      <c r="B26329" s="2" t="s">
        <v>51246</v>
      </c>
      <c r="C26329" s="2" t="s">
        <v>124</v>
      </c>
      <c r="D26329" s="2" t="s">
        <v>69</v>
      </c>
      <c r="E26329" s="2" t="str">
        <f>"9789089642561"</f>
        <v>9789089642561</v>
      </c>
      <c r="F26329" s="2" t="str">
        <f>"9781040787861"</f>
        <v>9781040787861</v>
      </c>
    </row>
    <row r="26330" spans="1:6" s="3" customFormat="1" ht="29.1" customHeight="1" x14ac:dyDescent="0.25">
      <c r="A26330" s="2" t="s">
        <v>51247</v>
      </c>
      <c r="B26330" s="2" t="s">
        <v>51248</v>
      </c>
      <c r="C26330" s="2" t="s">
        <v>124</v>
      </c>
      <c r="D26330" s="2" t="s">
        <v>81</v>
      </c>
      <c r="E26330" s="2" t="str">
        <f>"9780415587136"</f>
        <v>9780415587136</v>
      </c>
      <c r="F26330" s="2" t="str">
        <f>"9781136817120"</f>
        <v>9781136817120</v>
      </c>
    </row>
    <row r="26331" spans="1:6" s="3" customFormat="1" ht="29.1" customHeight="1" x14ac:dyDescent="0.25">
      <c r="A26331" s="2" t="s">
        <v>51249</v>
      </c>
      <c r="B26331" s="2" t="s">
        <v>51250</v>
      </c>
      <c r="C26331" s="2" t="s">
        <v>927</v>
      </c>
      <c r="D26331" s="2" t="s">
        <v>33</v>
      </c>
      <c r="E26331" s="2" t="str">
        <f>"9780472050994"</f>
        <v>9780472050994</v>
      </c>
      <c r="F26331" s="2" t="str">
        <f>"9780472026708"</f>
        <v>9780472026708</v>
      </c>
    </row>
    <row r="26332" spans="1:6" s="3" customFormat="1" ht="29.1" customHeight="1" x14ac:dyDescent="0.25">
      <c r="A26332" s="2" t="s">
        <v>51251</v>
      </c>
      <c r="B26332" s="2" t="s">
        <v>51252</v>
      </c>
      <c r="C26332" s="2" t="s">
        <v>927</v>
      </c>
      <c r="D26332" s="2" t="s">
        <v>270</v>
      </c>
      <c r="E26332" s="2" t="str">
        <f>"9780472117482"</f>
        <v>9780472117482</v>
      </c>
      <c r="F26332" s="2" t="str">
        <f>"9780472026371"</f>
        <v>9780472026371</v>
      </c>
    </row>
    <row r="26333" spans="1:6" s="3" customFormat="1" ht="29.1" customHeight="1" x14ac:dyDescent="0.25">
      <c r="A26333" s="2" t="s">
        <v>51253</v>
      </c>
      <c r="B26333" s="2" t="s">
        <v>51254</v>
      </c>
      <c r="C26333" s="2" t="s">
        <v>927</v>
      </c>
      <c r="D26333" s="2" t="s">
        <v>297</v>
      </c>
      <c r="E26333" s="2" t="str">
        <f>"9780472050604"</f>
        <v>9780472050604</v>
      </c>
      <c r="F26333" s="2" t="str">
        <f>"9780472024490"</f>
        <v>9780472024490</v>
      </c>
    </row>
    <row r="26334" spans="1:6" s="3" customFormat="1" ht="29.1" customHeight="1" x14ac:dyDescent="0.25">
      <c r="A26334" s="2" t="s">
        <v>51255</v>
      </c>
      <c r="B26334" s="2" t="s">
        <v>51256</v>
      </c>
      <c r="C26334" s="2" t="s">
        <v>3169</v>
      </c>
      <c r="D26334" s="2" t="s">
        <v>5032</v>
      </c>
      <c r="E26334" s="2" t="str">
        <f>"9781580462792"</f>
        <v>9781580462792</v>
      </c>
      <c r="F26334" s="2" t="str">
        <f>"9781580467414"</f>
        <v>9781580467414</v>
      </c>
    </row>
    <row r="26335" spans="1:6" s="3" customFormat="1" ht="29.1" customHeight="1" x14ac:dyDescent="0.25">
      <c r="A26335" s="2" t="s">
        <v>51257</v>
      </c>
      <c r="B26335" s="2" t="s">
        <v>51259</v>
      </c>
      <c r="C26335" s="2" t="s">
        <v>264</v>
      </c>
      <c r="D26335" s="2" t="s">
        <v>51258</v>
      </c>
      <c r="E26335" s="2" t="str">
        <f>"9781439839157"</f>
        <v>9781439839157</v>
      </c>
      <c r="F26335" s="2" t="str">
        <f>"9781439839164"</f>
        <v>9781439839164</v>
      </c>
    </row>
    <row r="26336" spans="1:6" s="3" customFormat="1" ht="29.1" customHeight="1" x14ac:dyDescent="0.25">
      <c r="A26336" s="2" t="s">
        <v>51260</v>
      </c>
      <c r="B26336" s="2" t="s">
        <v>51261</v>
      </c>
      <c r="C26336" s="2" t="s">
        <v>264</v>
      </c>
      <c r="D26336" s="2" t="s">
        <v>984</v>
      </c>
      <c r="E26336" s="2" t="str">
        <f>"9781439817292"</f>
        <v>9781439817292</v>
      </c>
      <c r="F26336" s="2" t="str">
        <f>"9781439817315"</f>
        <v>9781439817315</v>
      </c>
    </row>
    <row r="26337" spans="1:6" s="3" customFormat="1" ht="29.1" customHeight="1" x14ac:dyDescent="0.25">
      <c r="A26337" s="2" t="s">
        <v>51262</v>
      </c>
      <c r="B26337" s="2" t="s">
        <v>51263</v>
      </c>
      <c r="C26337" s="2" t="s">
        <v>11220</v>
      </c>
      <c r="D26337" s="2" t="s">
        <v>868</v>
      </c>
      <c r="E26337" s="2" t="str">
        <f>"9780814707425"</f>
        <v>9780814707425</v>
      </c>
      <c r="F26337" s="2" t="str">
        <f>"9780814705384"</f>
        <v>9780814705384</v>
      </c>
    </row>
    <row r="26338" spans="1:6" s="3" customFormat="1" ht="29.1" customHeight="1" x14ac:dyDescent="0.25">
      <c r="A26338" s="2" t="s">
        <v>51264</v>
      </c>
      <c r="B26338" s="2" t="s">
        <v>51265</v>
      </c>
      <c r="C26338" s="2" t="s">
        <v>11220</v>
      </c>
      <c r="D26338" s="2" t="s">
        <v>4754</v>
      </c>
      <c r="E26338" s="2" t="str">
        <f>"9780814742976"</f>
        <v>9780814742976</v>
      </c>
      <c r="F26338" s="2" t="str">
        <f>"9780814743324"</f>
        <v>9780814743324</v>
      </c>
    </row>
    <row r="26339" spans="1:6" s="3" customFormat="1" ht="29.1" customHeight="1" x14ac:dyDescent="0.25">
      <c r="A26339" s="2" t="s">
        <v>51266</v>
      </c>
      <c r="B26339" s="2" t="s">
        <v>51267</v>
      </c>
      <c r="C26339" s="2" t="s">
        <v>11220</v>
      </c>
      <c r="D26339" s="2" t="s">
        <v>183</v>
      </c>
      <c r="E26339" s="2" t="str">
        <f>"9780814720776"</f>
        <v>9780814720776</v>
      </c>
      <c r="F26339" s="2" t="str">
        <f>"9780814785072"</f>
        <v>9780814785072</v>
      </c>
    </row>
    <row r="26340" spans="1:6" s="3" customFormat="1" ht="29.1" customHeight="1" x14ac:dyDescent="0.25">
      <c r="A26340" s="2" t="s">
        <v>51268</v>
      </c>
      <c r="B26340" s="2" t="s">
        <v>51269</v>
      </c>
      <c r="C26340" s="2" t="s">
        <v>124</v>
      </c>
      <c r="D26340" s="2" t="s">
        <v>270</v>
      </c>
      <c r="E26340" s="2" t="str">
        <f>"9789089642431"</f>
        <v>9789089642431</v>
      </c>
      <c r="F26340" s="2" t="str">
        <f>"9781040788141"</f>
        <v>9781040788141</v>
      </c>
    </row>
    <row r="26341" spans="1:6" s="3" customFormat="1" ht="29.1" customHeight="1" x14ac:dyDescent="0.25">
      <c r="A26341" s="2" t="s">
        <v>51270</v>
      </c>
      <c r="B26341" s="2" t="s">
        <v>51271</v>
      </c>
      <c r="C26341" s="2" t="s">
        <v>124</v>
      </c>
      <c r="D26341" s="2" t="s">
        <v>210</v>
      </c>
      <c r="E26341" s="2" t="str">
        <f>"9781041181057"</f>
        <v>9781041181057</v>
      </c>
      <c r="F26341" s="2" t="str">
        <f>"9781040777381"</f>
        <v>9781040777381</v>
      </c>
    </row>
    <row r="26342" spans="1:6" s="3" customFormat="1" ht="29.1" customHeight="1" x14ac:dyDescent="0.25">
      <c r="A26342" s="2" t="s">
        <v>51272</v>
      </c>
      <c r="B26342" s="2" t="s">
        <v>51273</v>
      </c>
      <c r="C26342" s="2" t="s">
        <v>7395</v>
      </c>
      <c r="D26342" s="2" t="s">
        <v>15855</v>
      </c>
      <c r="E26342" s="2" t="str">
        <f>"9780295981093"</f>
        <v>9780295981093</v>
      </c>
      <c r="F26342" s="2" t="str">
        <f>"9780295800226"</f>
        <v>9780295800226</v>
      </c>
    </row>
    <row r="26343" spans="1:6" s="3" customFormat="1" ht="29.1" customHeight="1" x14ac:dyDescent="0.25">
      <c r="A26343" s="2" t="s">
        <v>51274</v>
      </c>
      <c r="B26343" s="2" t="s">
        <v>51275</v>
      </c>
      <c r="C26343" s="2" t="s">
        <v>9716</v>
      </c>
      <c r="D26343" s="2" t="s">
        <v>33</v>
      </c>
      <c r="E26343" s="2" t="str">
        <f>"9781439903179"</f>
        <v>9781439903179</v>
      </c>
      <c r="F26343" s="2" t="str">
        <f>"9781439903193"</f>
        <v>9781439903193</v>
      </c>
    </row>
    <row r="26344" spans="1:6" s="3" customFormat="1" ht="29.1" customHeight="1" x14ac:dyDescent="0.25">
      <c r="A26344" s="2" t="s">
        <v>51276</v>
      </c>
      <c r="B26344" s="2" t="s">
        <v>51277</v>
      </c>
      <c r="C26344" s="2" t="s">
        <v>29</v>
      </c>
      <c r="D26344" s="2" t="s">
        <v>528</v>
      </c>
      <c r="E26344" s="2" t="str">
        <f>"9789004121157"</f>
        <v>9789004121157</v>
      </c>
      <c r="F26344" s="2" t="str">
        <f>"9789004193208"</f>
        <v>9789004193208</v>
      </c>
    </row>
    <row r="26345" spans="1:6" s="3" customFormat="1" ht="29.1" customHeight="1" x14ac:dyDescent="0.25">
      <c r="A26345" s="2" t="s">
        <v>51278</v>
      </c>
      <c r="B26345" s="2" t="s">
        <v>51279</v>
      </c>
      <c r="C26345" s="2" t="s">
        <v>927</v>
      </c>
      <c r="D26345" s="2" t="s">
        <v>8788</v>
      </c>
      <c r="E26345" s="2" t="str">
        <f>"9780472050963"</f>
        <v>9780472050963</v>
      </c>
      <c r="F26345" s="2" t="str">
        <f>"9780472027477"</f>
        <v>9780472027477</v>
      </c>
    </row>
    <row r="26346" spans="1:6" s="3" customFormat="1" ht="29.1" customHeight="1" x14ac:dyDescent="0.25">
      <c r="A26346" s="2" t="s">
        <v>51280</v>
      </c>
      <c r="B26346" s="2" t="s">
        <v>51281</v>
      </c>
      <c r="C26346" s="2" t="s">
        <v>11220</v>
      </c>
      <c r="D26346" s="2" t="s">
        <v>3155</v>
      </c>
      <c r="E26346" s="2" t="str">
        <f>"9780814740033"</f>
        <v>9780814740033</v>
      </c>
      <c r="F26346" s="2" t="str">
        <f>"9780814708804"</f>
        <v>9780814708804</v>
      </c>
    </row>
    <row r="26347" spans="1:6" s="3" customFormat="1" ht="29.1" customHeight="1" x14ac:dyDescent="0.25">
      <c r="A26347" s="2" t="s">
        <v>51282</v>
      </c>
      <c r="B26347" s="2" t="s">
        <v>51283</v>
      </c>
      <c r="C26347" s="2" t="s">
        <v>124</v>
      </c>
      <c r="D26347" s="2" t="s">
        <v>9</v>
      </c>
      <c r="E26347" s="2" t="str">
        <f>"9780415878623"</f>
        <v>9780415878623</v>
      </c>
      <c r="F26347" s="2" t="str">
        <f>"9781136838262"</f>
        <v>9781136838262</v>
      </c>
    </row>
    <row r="26348" spans="1:6" s="3" customFormat="1" ht="29.1" customHeight="1" x14ac:dyDescent="0.25">
      <c r="A26348" s="2" t="s">
        <v>51284</v>
      </c>
      <c r="B26348" s="2" t="s">
        <v>51285</v>
      </c>
      <c r="C26348" s="2" t="s">
        <v>1070</v>
      </c>
      <c r="D26348" s="2" t="s">
        <v>1299</v>
      </c>
      <c r="E26348" s="2" t="str">
        <f>"9783805595841"</f>
        <v>9783805595841</v>
      </c>
      <c r="F26348" s="2" t="str">
        <f>"9783805595858"</f>
        <v>9783805595858</v>
      </c>
    </row>
    <row r="26349" spans="1:6" s="3" customFormat="1" ht="29.1" customHeight="1" x14ac:dyDescent="0.25">
      <c r="A26349" s="2" t="s">
        <v>51286</v>
      </c>
      <c r="B26349" s="2" t="s">
        <v>51287</v>
      </c>
      <c r="C26349" s="2" t="s">
        <v>264</v>
      </c>
      <c r="D26349" s="2" t="s">
        <v>342</v>
      </c>
      <c r="E26349" s="2" t="str">
        <f>"9781439848548"</f>
        <v>9781439848548</v>
      </c>
      <c r="F26349" s="2" t="str">
        <f>"9781439848555"</f>
        <v>9781439848555</v>
      </c>
    </row>
    <row r="26350" spans="1:6" s="3" customFormat="1" ht="29.1" customHeight="1" x14ac:dyDescent="0.25">
      <c r="A26350" s="2" t="s">
        <v>51288</v>
      </c>
      <c r="B26350" s="2" t="s">
        <v>51289</v>
      </c>
      <c r="C26350" s="2" t="s">
        <v>124</v>
      </c>
      <c r="D26350" s="2" t="s">
        <v>270</v>
      </c>
      <c r="E26350" s="2" t="str">
        <f>"9780415590631"</f>
        <v>9780415590631</v>
      </c>
      <c r="F26350" s="2" t="str">
        <f>"9781136888946"</f>
        <v>9781136888946</v>
      </c>
    </row>
    <row r="26351" spans="1:6" s="3" customFormat="1" ht="29.1" customHeight="1" x14ac:dyDescent="0.25">
      <c r="A26351" s="2" t="s">
        <v>51290</v>
      </c>
      <c r="B26351" s="2" t="s">
        <v>51291</v>
      </c>
      <c r="C26351" s="2" t="s">
        <v>124</v>
      </c>
      <c r="D26351" s="2" t="s">
        <v>186</v>
      </c>
      <c r="E26351" s="2" t="str">
        <f>"9780415779340"</f>
        <v>9780415779340</v>
      </c>
      <c r="F26351" s="2" t="str">
        <f>"9781136853364"</f>
        <v>9781136853364</v>
      </c>
    </row>
    <row r="26352" spans="1:6" s="3" customFormat="1" ht="29.1" customHeight="1" x14ac:dyDescent="0.25">
      <c r="A26352" s="2" t="s">
        <v>51292</v>
      </c>
      <c r="B26352" s="2" t="s">
        <v>51293</v>
      </c>
      <c r="C26352" s="2" t="s">
        <v>124</v>
      </c>
      <c r="D26352" s="2" t="s">
        <v>270</v>
      </c>
      <c r="E26352" s="2" t="str">
        <f>"9780415553490"</f>
        <v>9780415553490</v>
      </c>
      <c r="F26352" s="2" t="str">
        <f>"9781136889363"</f>
        <v>9781136889363</v>
      </c>
    </row>
    <row r="26353" spans="1:6" s="3" customFormat="1" ht="29.1" customHeight="1" x14ac:dyDescent="0.25">
      <c r="A26353" s="2" t="s">
        <v>51294</v>
      </c>
      <c r="B26353" s="2" t="s">
        <v>51295</v>
      </c>
      <c r="C26353" s="2" t="s">
        <v>11220</v>
      </c>
      <c r="D26353" s="2" t="s">
        <v>183</v>
      </c>
      <c r="E26353" s="2" t="str">
        <f>"9780814794814"</f>
        <v>9780814794814</v>
      </c>
      <c r="F26353" s="2" t="str">
        <f>"9780814795255"</f>
        <v>9780814795255</v>
      </c>
    </row>
    <row r="26354" spans="1:6" s="3" customFormat="1" ht="29.1" customHeight="1" x14ac:dyDescent="0.25">
      <c r="A26354" s="2" t="s">
        <v>51296</v>
      </c>
      <c r="B26354" s="2" t="s">
        <v>51297</v>
      </c>
      <c r="C26354" s="2" t="s">
        <v>11220</v>
      </c>
      <c r="D26354" s="2" t="s">
        <v>15625</v>
      </c>
      <c r="E26354" s="2" t="str">
        <f>"9780814737033"</f>
        <v>9780814737033</v>
      </c>
      <c r="F26354" s="2" t="str">
        <f>"9780814790793"</f>
        <v>9780814790793</v>
      </c>
    </row>
    <row r="26355" spans="1:6" s="3" customFormat="1" ht="29.1" customHeight="1" x14ac:dyDescent="0.25">
      <c r="A26355" s="2" t="s">
        <v>51298</v>
      </c>
      <c r="B26355" s="2" t="s">
        <v>51299</v>
      </c>
      <c r="C26355" s="2" t="s">
        <v>195</v>
      </c>
      <c r="D26355" s="2" t="s">
        <v>431</v>
      </c>
      <c r="E26355" s="2" t="str">
        <f>"9783598117930"</f>
        <v>9783598117930</v>
      </c>
      <c r="F26355" s="2" t="str">
        <f>"9783598441493"</f>
        <v>9783598441493</v>
      </c>
    </row>
    <row r="26356" spans="1:6" s="3" customFormat="1" ht="29.1" customHeight="1" x14ac:dyDescent="0.25">
      <c r="A26356" s="2" t="s">
        <v>51300</v>
      </c>
      <c r="B26356" s="2" t="s">
        <v>51301</v>
      </c>
      <c r="C26356" s="2" t="s">
        <v>195</v>
      </c>
      <c r="D26356" s="2" t="s">
        <v>512</v>
      </c>
      <c r="E26356" s="2" t="str">
        <f>"9783110247268"</f>
        <v>9783110247268</v>
      </c>
      <c r="F26356" s="2" t="str">
        <f>"9783110247275"</f>
        <v>9783110247275</v>
      </c>
    </row>
    <row r="26357" spans="1:6" s="3" customFormat="1" ht="29.1" customHeight="1" x14ac:dyDescent="0.25">
      <c r="A26357" s="2" t="s">
        <v>51302</v>
      </c>
      <c r="B26357" s="2" t="s">
        <v>51303</v>
      </c>
      <c r="C26357" s="2" t="s">
        <v>195</v>
      </c>
      <c r="D26357" s="2" t="s">
        <v>4185</v>
      </c>
      <c r="E26357" s="2" t="str">
        <f>"9783110224702"</f>
        <v>9783110224702</v>
      </c>
      <c r="F26357" s="2" t="str">
        <f>"9783110224719"</f>
        <v>9783110224719</v>
      </c>
    </row>
    <row r="26358" spans="1:6" s="3" customFormat="1" ht="29.1" customHeight="1" x14ac:dyDescent="0.25">
      <c r="A26358" s="2" t="s">
        <v>51304</v>
      </c>
      <c r="B26358" s="2" t="s">
        <v>51305</v>
      </c>
      <c r="C26358" s="2" t="s">
        <v>195</v>
      </c>
      <c r="D26358" s="2" t="s">
        <v>462</v>
      </c>
      <c r="E26358" s="2" t="str">
        <f>"9783110220506"</f>
        <v>9783110220506</v>
      </c>
      <c r="F26358" s="2" t="str">
        <f>"9783110220513"</f>
        <v>9783110220513</v>
      </c>
    </row>
    <row r="26359" spans="1:6" s="3" customFormat="1" ht="29.1" customHeight="1" x14ac:dyDescent="0.25">
      <c r="A26359" s="2" t="s">
        <v>51306</v>
      </c>
      <c r="B26359" s="2" t="s">
        <v>51307</v>
      </c>
      <c r="C26359" s="2" t="s">
        <v>11220</v>
      </c>
      <c r="D26359" s="2" t="s">
        <v>16468</v>
      </c>
      <c r="E26359" s="2" t="str">
        <f>"9780814767832"</f>
        <v>9780814767832</v>
      </c>
      <c r="F26359" s="2" t="str">
        <f>"9780814768396"</f>
        <v>9780814768396</v>
      </c>
    </row>
    <row r="26360" spans="1:6" s="3" customFormat="1" ht="29.1" customHeight="1" x14ac:dyDescent="0.25">
      <c r="A26360" s="2" t="s">
        <v>51308</v>
      </c>
      <c r="B26360" s="2" t="s">
        <v>51309</v>
      </c>
      <c r="C26360" s="2" t="s">
        <v>11220</v>
      </c>
      <c r="D26360" s="2" t="s">
        <v>16597</v>
      </c>
      <c r="E26360" s="2" t="str">
        <f>"9780814785690"</f>
        <v>9780814785690</v>
      </c>
      <c r="F26360" s="2" t="str">
        <f>"9780814785737"</f>
        <v>9780814785737</v>
      </c>
    </row>
    <row r="26361" spans="1:6" s="3" customFormat="1" ht="29.1" customHeight="1" x14ac:dyDescent="0.25">
      <c r="A26361" s="2" t="s">
        <v>51310</v>
      </c>
      <c r="B26361" s="2" t="s">
        <v>51311</v>
      </c>
      <c r="C26361" s="2" t="s">
        <v>11220</v>
      </c>
      <c r="D26361" s="2" t="s">
        <v>724</v>
      </c>
      <c r="E26361" s="2" t="str">
        <f>"9780814741160"</f>
        <v>9780814741160</v>
      </c>
      <c r="F26361" s="2" t="str">
        <f>"9780814708743"</f>
        <v>9780814708743</v>
      </c>
    </row>
    <row r="26362" spans="1:6" s="3" customFormat="1" ht="29.1" customHeight="1" x14ac:dyDescent="0.25">
      <c r="A26362" s="2" t="s">
        <v>51312</v>
      </c>
      <c r="B26362" s="2" t="s">
        <v>51313</v>
      </c>
      <c r="C26362" s="2" t="s">
        <v>927</v>
      </c>
      <c r="D26362" s="2" t="s">
        <v>297</v>
      </c>
      <c r="E26362" s="2" t="str">
        <f>"9780472051090"</f>
        <v>9780472051090</v>
      </c>
      <c r="F26362" s="2" t="str">
        <f>"9780472027446"</f>
        <v>9780472027446</v>
      </c>
    </row>
    <row r="26363" spans="1:6" s="3" customFormat="1" ht="29.1" customHeight="1" x14ac:dyDescent="0.25">
      <c r="A26363" s="2" t="s">
        <v>51314</v>
      </c>
      <c r="B26363" s="2" t="s">
        <v>51315</v>
      </c>
      <c r="C26363" s="2" t="s">
        <v>124</v>
      </c>
      <c r="D26363" s="2" t="s">
        <v>4742</v>
      </c>
      <c r="E26363" s="2" t="str">
        <f>"9780415586344"</f>
        <v>9780415586344</v>
      </c>
      <c r="F26363" s="2" t="str">
        <f>"9781136906787"</f>
        <v>9781136906787</v>
      </c>
    </row>
    <row r="26364" spans="1:6" s="3" customFormat="1" ht="29.1" customHeight="1" x14ac:dyDescent="0.25">
      <c r="A26364" s="2" t="s">
        <v>51316</v>
      </c>
      <c r="B26364" s="2" t="s">
        <v>34737</v>
      </c>
      <c r="C26364" s="2" t="s">
        <v>124</v>
      </c>
      <c r="D26364" s="2" t="s">
        <v>270</v>
      </c>
      <c r="E26364" s="2" t="str">
        <f>"9780415544306"</f>
        <v>9780415544306</v>
      </c>
      <c r="F26364" s="2" t="str">
        <f>"9781136907760"</f>
        <v>9781136907760</v>
      </c>
    </row>
    <row r="26365" spans="1:6" s="3" customFormat="1" ht="29.1" customHeight="1" x14ac:dyDescent="0.25">
      <c r="A26365" s="2" t="s">
        <v>51317</v>
      </c>
      <c r="B26365" s="2" t="s">
        <v>51318</v>
      </c>
      <c r="C26365" s="2" t="s">
        <v>5</v>
      </c>
      <c r="D26365" s="2" t="s">
        <v>850</v>
      </c>
      <c r="E26365" s="2" t="str">
        <f>"9783642051685"</f>
        <v>9783642051685</v>
      </c>
      <c r="F26365" s="2" t="str">
        <f>"9783642051692"</f>
        <v>9783642051692</v>
      </c>
    </row>
    <row r="26366" spans="1:6" s="3" customFormat="1" ht="29.1" customHeight="1" x14ac:dyDescent="0.25">
      <c r="A26366" s="2" t="s">
        <v>51319</v>
      </c>
      <c r="B26366" s="2" t="s">
        <v>51320</v>
      </c>
      <c r="C26366" s="2" t="s">
        <v>131</v>
      </c>
      <c r="D26366" s="2" t="s">
        <v>47232</v>
      </c>
      <c r="E26366" s="2" t="str">
        <f>"9789027211767"</f>
        <v>9789027211767</v>
      </c>
      <c r="F26366" s="2" t="str">
        <f>"9789027287694"</f>
        <v>9789027287694</v>
      </c>
    </row>
    <row r="26367" spans="1:6" s="3" customFormat="1" ht="29.1" customHeight="1" x14ac:dyDescent="0.25">
      <c r="A26367" s="2" t="s">
        <v>51321</v>
      </c>
      <c r="B26367" s="2" t="s">
        <v>51322</v>
      </c>
      <c r="C26367" s="2" t="s">
        <v>1070</v>
      </c>
      <c r="D26367" s="2" t="s">
        <v>8189</v>
      </c>
      <c r="E26367" s="2" t="str">
        <f>"9783805594271"</f>
        <v>9783805594271</v>
      </c>
      <c r="F26367" s="2" t="str">
        <f>"9783805594288"</f>
        <v>9783805594288</v>
      </c>
    </row>
    <row r="26368" spans="1:6" s="3" customFormat="1" ht="29.1" customHeight="1" x14ac:dyDescent="0.25">
      <c r="A26368" s="2" t="s">
        <v>51323</v>
      </c>
      <c r="B26368" s="2" t="s">
        <v>51324</v>
      </c>
      <c r="C26368" s="2" t="s">
        <v>1070</v>
      </c>
      <c r="D26368" s="2" t="s">
        <v>1272</v>
      </c>
      <c r="E26368" s="2" t="str">
        <f>"9783805594042"</f>
        <v>9783805594042</v>
      </c>
      <c r="F26368" s="2" t="str">
        <f>"9783805594059"</f>
        <v>9783805594059</v>
      </c>
    </row>
    <row r="26369" spans="1:6" s="3" customFormat="1" ht="29.1" customHeight="1" x14ac:dyDescent="0.25">
      <c r="A26369" s="2" t="s">
        <v>51325</v>
      </c>
      <c r="B26369" s="2" t="s">
        <v>51326</v>
      </c>
      <c r="C26369" s="2" t="s">
        <v>124</v>
      </c>
      <c r="D26369" s="2" t="s">
        <v>81</v>
      </c>
      <c r="E26369" s="2" t="str">
        <f>"9780415562072"</f>
        <v>9780415562072</v>
      </c>
      <c r="F26369" s="2" t="str">
        <f>"9781136943508"</f>
        <v>9781136943508</v>
      </c>
    </row>
    <row r="26370" spans="1:6" s="3" customFormat="1" ht="29.1" customHeight="1" x14ac:dyDescent="0.25">
      <c r="A26370" s="2" t="s">
        <v>51327</v>
      </c>
      <c r="B26370" s="2" t="s">
        <v>51328</v>
      </c>
      <c r="C26370" s="2" t="s">
        <v>5050</v>
      </c>
      <c r="D26370" s="2" t="s">
        <v>4177</v>
      </c>
      <c r="E26370" s="2" t="str">
        <f>"9780824833879"</f>
        <v>9780824833879</v>
      </c>
      <c r="F26370" s="2" t="str">
        <f>"9780824860752"</f>
        <v>9780824860752</v>
      </c>
    </row>
    <row r="26371" spans="1:6" s="3" customFormat="1" ht="29.1" customHeight="1" x14ac:dyDescent="0.25">
      <c r="A26371" s="2" t="s">
        <v>51329</v>
      </c>
      <c r="B26371" s="2" t="s">
        <v>51330</v>
      </c>
      <c r="C26371" s="2" t="s">
        <v>11220</v>
      </c>
      <c r="D26371" s="2" t="s">
        <v>818</v>
      </c>
      <c r="E26371" s="2" t="str">
        <f>"9780814783115"</f>
        <v>9780814783115</v>
      </c>
      <c r="F26371" s="2" t="str">
        <f>"9780814784273"</f>
        <v>9780814784273</v>
      </c>
    </row>
    <row r="26372" spans="1:6" s="3" customFormat="1" ht="29.1" customHeight="1" x14ac:dyDescent="0.25">
      <c r="A26372" s="2" t="s">
        <v>51331</v>
      </c>
      <c r="B26372" s="2" t="s">
        <v>51332</v>
      </c>
      <c r="C26372" s="2" t="s">
        <v>11220</v>
      </c>
      <c r="D26372" s="2" t="s">
        <v>183</v>
      </c>
      <c r="E26372" s="2" t="str">
        <f>"9780814767603"</f>
        <v>9780814767603</v>
      </c>
      <c r="F26372" s="2" t="str">
        <f>"9780814768532"</f>
        <v>9780814768532</v>
      </c>
    </row>
    <row r="26373" spans="1:6" s="3" customFormat="1" ht="29.1" customHeight="1" x14ac:dyDescent="0.25">
      <c r="A26373" s="2" t="s">
        <v>51333</v>
      </c>
      <c r="B26373" s="2" t="s">
        <v>51334</v>
      </c>
      <c r="C26373" s="2" t="s">
        <v>11220</v>
      </c>
      <c r="D26373" s="2" t="s">
        <v>30</v>
      </c>
      <c r="E26373" s="2" t="str">
        <f>"9780814758403"</f>
        <v>9780814758403</v>
      </c>
      <c r="F26373" s="2" t="str">
        <f>"9780814759073"</f>
        <v>9780814759073</v>
      </c>
    </row>
    <row r="26374" spans="1:6" s="3" customFormat="1" ht="29.1" customHeight="1" x14ac:dyDescent="0.25">
      <c r="A26374" s="2" t="s">
        <v>51335</v>
      </c>
      <c r="B26374" s="2" t="s">
        <v>51336</v>
      </c>
      <c r="C26374" s="2" t="s">
        <v>124</v>
      </c>
      <c r="D26374" s="2" t="s">
        <v>2587</v>
      </c>
      <c r="E26374" s="2" t="str">
        <f>"9781849710923"</f>
        <v>9781849710923</v>
      </c>
      <c r="F26374" s="2" t="str">
        <f>"9781136541674"</f>
        <v>9781136541674</v>
      </c>
    </row>
    <row r="26375" spans="1:6" s="3" customFormat="1" ht="29.1" customHeight="1" x14ac:dyDescent="0.25">
      <c r="A26375" s="2" t="s">
        <v>51337</v>
      </c>
      <c r="B26375" s="2" t="s">
        <v>51338</v>
      </c>
      <c r="C26375" s="2" t="s">
        <v>195</v>
      </c>
      <c r="D26375" s="2" t="s">
        <v>431</v>
      </c>
      <c r="E26375" s="2" t="str">
        <f>"9783110232141"</f>
        <v>9783110232141</v>
      </c>
      <c r="F26375" s="2" t="str">
        <f>"9783110232158"</f>
        <v>9783110232158</v>
      </c>
    </row>
    <row r="26376" spans="1:6" s="3" customFormat="1" ht="29.1" customHeight="1" x14ac:dyDescent="0.25">
      <c r="A26376" s="2" t="s">
        <v>51339</v>
      </c>
      <c r="B26376" s="2" t="s">
        <v>51340</v>
      </c>
      <c r="C26376" s="2" t="s">
        <v>15181</v>
      </c>
      <c r="D26376" s="2" t="s">
        <v>81</v>
      </c>
      <c r="E26376" s="2" t="str">
        <f>"9789087280574"</f>
        <v>9789087280574</v>
      </c>
      <c r="F26376" s="2" t="str">
        <f>"9789400600171"</f>
        <v>9789400600171</v>
      </c>
    </row>
    <row r="26377" spans="1:6" s="3" customFormat="1" ht="29.1" customHeight="1" x14ac:dyDescent="0.25">
      <c r="A26377" s="2" t="s">
        <v>51341</v>
      </c>
      <c r="B26377" s="2" t="s">
        <v>51342</v>
      </c>
      <c r="C26377" s="2" t="s">
        <v>195</v>
      </c>
      <c r="D26377" s="2" t="s">
        <v>210</v>
      </c>
      <c r="E26377" s="2" t="str">
        <f>"9783598251269"</f>
        <v>9783598251269</v>
      </c>
      <c r="F26377" s="2" t="str">
        <f>"9783110232356"</f>
        <v>9783110232356</v>
      </c>
    </row>
    <row r="26378" spans="1:6" s="3" customFormat="1" ht="29.1" customHeight="1" x14ac:dyDescent="0.25">
      <c r="A26378" s="2" t="s">
        <v>51343</v>
      </c>
      <c r="B26378" s="2" t="s">
        <v>51344</v>
      </c>
      <c r="C26378" s="2" t="s">
        <v>195</v>
      </c>
      <c r="D26378" s="2" t="s">
        <v>4185</v>
      </c>
      <c r="E26378" s="2" t="str">
        <f>"9783110227888"</f>
        <v>9783110227888</v>
      </c>
      <c r="F26378" s="2" t="str">
        <f>"9783110227895"</f>
        <v>9783110227895</v>
      </c>
    </row>
    <row r="26379" spans="1:6" s="3" customFormat="1" ht="29.1" customHeight="1" x14ac:dyDescent="0.25">
      <c r="A26379" s="2" t="s">
        <v>51345</v>
      </c>
      <c r="B26379" s="2" t="s">
        <v>51346</v>
      </c>
      <c r="C26379" s="2" t="s">
        <v>34257</v>
      </c>
      <c r="D26379" s="2" t="s">
        <v>1437</v>
      </c>
      <c r="E26379" s="2" t="str">
        <f>"9780745329956"</f>
        <v>9780745329956</v>
      </c>
      <c r="F26379" s="2" t="str">
        <f>"9781849644501"</f>
        <v>9781849644501</v>
      </c>
    </row>
    <row r="26380" spans="1:6" s="3" customFormat="1" ht="29.1" customHeight="1" x14ac:dyDescent="0.25">
      <c r="A26380" s="2" t="s">
        <v>51347</v>
      </c>
      <c r="B26380" s="2" t="s">
        <v>51348</v>
      </c>
      <c r="C26380" s="2" t="s">
        <v>34257</v>
      </c>
      <c r="D26380" s="2" t="s">
        <v>2019</v>
      </c>
      <c r="E26380" s="2" t="str">
        <f>"9780745329970"</f>
        <v>9780745329970</v>
      </c>
      <c r="F26380" s="2" t="str">
        <f>"9781849644426"</f>
        <v>9781849644426</v>
      </c>
    </row>
    <row r="26381" spans="1:6" s="3" customFormat="1" ht="29.1" customHeight="1" x14ac:dyDescent="0.25">
      <c r="A26381" s="2" t="s">
        <v>51349</v>
      </c>
      <c r="B26381" s="2" t="s">
        <v>51350</v>
      </c>
      <c r="C26381" s="2" t="s">
        <v>34257</v>
      </c>
      <c r="D26381" s="2" t="s">
        <v>78</v>
      </c>
      <c r="E26381" s="2" t="str">
        <f>"9780745327990"</f>
        <v>9780745327990</v>
      </c>
      <c r="F26381" s="2" t="str">
        <f>"9781849644020"</f>
        <v>9781849644020</v>
      </c>
    </row>
    <row r="26382" spans="1:6" s="3" customFormat="1" ht="29.1" customHeight="1" x14ac:dyDescent="0.25">
      <c r="A26382" s="2" t="s">
        <v>51351</v>
      </c>
      <c r="B26382" s="2" t="s">
        <v>51352</v>
      </c>
      <c r="C26382" s="2" t="s">
        <v>927</v>
      </c>
      <c r="D26382" s="2" t="s">
        <v>1214</v>
      </c>
      <c r="E26382" s="2" t="str">
        <f>"9780472050925"</f>
        <v>9780472050925</v>
      </c>
      <c r="F26382" s="2" t="str">
        <f>"9780472026876"</f>
        <v>9780472026876</v>
      </c>
    </row>
    <row r="26383" spans="1:6" s="3" customFormat="1" ht="29.1" customHeight="1" x14ac:dyDescent="0.25">
      <c r="A26383" s="2" t="s">
        <v>51353</v>
      </c>
      <c r="B26383" s="2" t="s">
        <v>51354</v>
      </c>
      <c r="C26383" s="2" t="s">
        <v>927</v>
      </c>
      <c r="D26383" s="2" t="s">
        <v>297</v>
      </c>
      <c r="E26383" s="2" t="str">
        <f>"9780472050987"</f>
        <v>9780472050987</v>
      </c>
      <c r="F26383" s="2" t="str">
        <f>"9780472026715"</f>
        <v>9780472026715</v>
      </c>
    </row>
    <row r="26384" spans="1:6" s="3" customFormat="1" ht="29.1" customHeight="1" x14ac:dyDescent="0.25">
      <c r="A26384" s="2" t="s">
        <v>51355</v>
      </c>
      <c r="B26384" s="2" t="s">
        <v>51356</v>
      </c>
      <c r="C26384" s="2" t="s">
        <v>927</v>
      </c>
      <c r="D26384" s="2" t="s">
        <v>81</v>
      </c>
      <c r="E26384" s="2" t="str">
        <f>"9780472031702"</f>
        <v>9780472031702</v>
      </c>
      <c r="F26384" s="2" t="str">
        <f>"9780472024315"</f>
        <v>9780472024315</v>
      </c>
    </row>
    <row r="26385" spans="1:6" s="3" customFormat="1" ht="29.1" customHeight="1" x14ac:dyDescent="0.25">
      <c r="A26385" s="2" t="s">
        <v>51357</v>
      </c>
      <c r="B26385" s="2" t="s">
        <v>51358</v>
      </c>
      <c r="C26385" s="2" t="s">
        <v>927</v>
      </c>
      <c r="D26385" s="2" t="s">
        <v>3086</v>
      </c>
      <c r="E26385" s="2" t="str">
        <f>"9780472050802"</f>
        <v>9780472050802</v>
      </c>
      <c r="F26385" s="2" t="str">
        <f>"9780472026609"</f>
        <v>9780472026609</v>
      </c>
    </row>
    <row r="26386" spans="1:6" s="3" customFormat="1" ht="29.1" customHeight="1" x14ac:dyDescent="0.25">
      <c r="A26386" s="2" t="s">
        <v>51359</v>
      </c>
      <c r="B26386" s="2" t="s">
        <v>51360</v>
      </c>
      <c r="C26386" s="2" t="s">
        <v>124</v>
      </c>
      <c r="D26386" s="2" t="s">
        <v>186</v>
      </c>
      <c r="E26386" s="2" t="str">
        <f>"9780415550970"</f>
        <v>9780415550970</v>
      </c>
      <c r="F26386" s="2" t="str">
        <f>"9781136937545"</f>
        <v>9781136937545</v>
      </c>
    </row>
    <row r="26387" spans="1:6" s="3" customFormat="1" ht="29.1" customHeight="1" x14ac:dyDescent="0.25">
      <c r="A26387" s="2" t="s">
        <v>51361</v>
      </c>
      <c r="B26387" s="2" t="s">
        <v>51362</v>
      </c>
      <c r="C26387" s="2" t="s">
        <v>124</v>
      </c>
      <c r="D26387" s="2" t="s">
        <v>4742</v>
      </c>
      <c r="E26387" s="2" t="str">
        <f>"9780415570343"</f>
        <v>9780415570343</v>
      </c>
      <c r="F26387" s="2" t="str">
        <f>"9781136933424"</f>
        <v>9781136933424</v>
      </c>
    </row>
    <row r="26388" spans="1:6" s="3" customFormat="1" ht="29.1" customHeight="1" x14ac:dyDescent="0.25">
      <c r="A26388" s="2" t="s">
        <v>51363</v>
      </c>
      <c r="B26388" s="2" t="s">
        <v>51364</v>
      </c>
      <c r="C26388" s="2" t="s">
        <v>5050</v>
      </c>
      <c r="D26388" s="2" t="s">
        <v>1449</v>
      </c>
      <c r="E26388" s="2" t="str">
        <f>"9780824831615"</f>
        <v>9780824831615</v>
      </c>
      <c r="F26388" s="2" t="str">
        <f>"9781441656940"</f>
        <v>9781441656940</v>
      </c>
    </row>
    <row r="26389" spans="1:6" s="3" customFormat="1" ht="29.1" customHeight="1" x14ac:dyDescent="0.25">
      <c r="A26389" s="2" t="s">
        <v>51365</v>
      </c>
      <c r="B26389" s="2" t="s">
        <v>51366</v>
      </c>
      <c r="C26389" s="2" t="s">
        <v>124</v>
      </c>
      <c r="D26389" s="2" t="s">
        <v>1694</v>
      </c>
      <c r="E26389" s="2" t="str">
        <f>"9789089641267"</f>
        <v>9789089641267</v>
      </c>
      <c r="F26389" s="2" t="str">
        <f>"9781040785409"</f>
        <v>9781040785409</v>
      </c>
    </row>
    <row r="26390" spans="1:6" s="3" customFormat="1" ht="29.1" customHeight="1" x14ac:dyDescent="0.25">
      <c r="A26390" s="2" t="s">
        <v>51367</v>
      </c>
      <c r="B26390" s="2" t="s">
        <v>51368</v>
      </c>
      <c r="C26390" s="2" t="s">
        <v>124</v>
      </c>
      <c r="D26390" s="2" t="s">
        <v>509</v>
      </c>
      <c r="E26390" s="2" t="str">
        <f>"9789053565179"</f>
        <v>9789053565179</v>
      </c>
      <c r="F26390" s="2" t="str">
        <f>"9781040792841"</f>
        <v>9781040792841</v>
      </c>
    </row>
    <row r="26391" spans="1:6" s="3" customFormat="1" ht="29.1" customHeight="1" x14ac:dyDescent="0.25">
      <c r="A26391" s="2" t="s">
        <v>51369</v>
      </c>
      <c r="B26391" s="2" t="s">
        <v>51370</v>
      </c>
      <c r="C26391" s="2" t="s">
        <v>195</v>
      </c>
      <c r="D26391" s="2" t="s">
        <v>3166</v>
      </c>
      <c r="E26391" s="2" t="str">
        <f>"9783110222463"</f>
        <v>9783110222463</v>
      </c>
      <c r="F26391" s="2" t="str">
        <f>"9783110222470"</f>
        <v>9783110222470</v>
      </c>
    </row>
    <row r="26392" spans="1:6" s="3" customFormat="1" ht="29.1" customHeight="1" x14ac:dyDescent="0.25">
      <c r="A26392" s="2" t="s">
        <v>51371</v>
      </c>
      <c r="B26392" s="2" t="s">
        <v>47548</v>
      </c>
      <c r="C26392" s="2" t="s">
        <v>195</v>
      </c>
      <c r="D26392" s="2" t="s">
        <v>46509</v>
      </c>
      <c r="E26392" s="2" t="str">
        <f>"9783110219609"</f>
        <v>9783110219609</v>
      </c>
      <c r="F26392" s="2" t="str">
        <f>"9783110219616"</f>
        <v>9783110219616</v>
      </c>
    </row>
    <row r="26393" spans="1:6" s="3" customFormat="1" ht="29.1" customHeight="1" x14ac:dyDescent="0.25">
      <c r="A26393" s="2" t="s">
        <v>51372</v>
      </c>
      <c r="B26393" s="2" t="s">
        <v>51373</v>
      </c>
      <c r="C26393" s="2" t="s">
        <v>195</v>
      </c>
      <c r="D26393" s="2" t="s">
        <v>107</v>
      </c>
      <c r="E26393" s="2" t="str">
        <f>"9783110200560"</f>
        <v>9783110200560</v>
      </c>
      <c r="F26393" s="2" t="str">
        <f>"9783110210606"</f>
        <v>9783110210606</v>
      </c>
    </row>
    <row r="26394" spans="1:6" s="3" customFormat="1" ht="29.1" customHeight="1" x14ac:dyDescent="0.25">
      <c r="A26394" s="2" t="s">
        <v>51374</v>
      </c>
      <c r="B26394" s="2" t="s">
        <v>51375</v>
      </c>
      <c r="C26394" s="2" t="s">
        <v>11220</v>
      </c>
      <c r="D26394" s="2" t="s">
        <v>150</v>
      </c>
      <c r="E26394" s="2" t="str">
        <f>"9780814794159"</f>
        <v>9780814794159</v>
      </c>
      <c r="F26394" s="2" t="str">
        <f>"9780814784532"</f>
        <v>9780814784532</v>
      </c>
    </row>
    <row r="26395" spans="1:6" s="3" customFormat="1" ht="29.1" customHeight="1" x14ac:dyDescent="0.25">
      <c r="A26395" s="2" t="s">
        <v>18278</v>
      </c>
      <c r="B26395" s="2" t="s">
        <v>18279</v>
      </c>
      <c r="C26395" s="2" t="s">
        <v>11220</v>
      </c>
      <c r="D26395" s="2" t="s">
        <v>1466</v>
      </c>
      <c r="E26395" s="2" t="str">
        <f>"9780814794692"</f>
        <v>9780814794692</v>
      </c>
      <c r="F26395" s="2" t="str">
        <f>"9780814784525"</f>
        <v>9780814784525</v>
      </c>
    </row>
    <row r="26396" spans="1:6" s="3" customFormat="1" ht="29.1" customHeight="1" x14ac:dyDescent="0.25">
      <c r="A26396" s="2" t="s">
        <v>51376</v>
      </c>
      <c r="B26396" s="2" t="s">
        <v>51377</v>
      </c>
      <c r="C26396" s="2" t="s">
        <v>11220</v>
      </c>
      <c r="D26396" s="2" t="s">
        <v>818</v>
      </c>
      <c r="E26396" s="2" t="str">
        <f>"9780814796207"</f>
        <v>9780814796207</v>
      </c>
      <c r="F26396" s="2" t="str">
        <f>"9780814765005"</f>
        <v>9780814765005</v>
      </c>
    </row>
    <row r="26397" spans="1:6" s="3" customFormat="1" ht="29.1" customHeight="1" x14ac:dyDescent="0.25">
      <c r="A26397" s="2" t="s">
        <v>51378</v>
      </c>
      <c r="B26397" s="2" t="s">
        <v>51379</v>
      </c>
      <c r="C26397" s="2" t="s">
        <v>11220</v>
      </c>
      <c r="D26397" s="2" t="s">
        <v>4064</v>
      </c>
      <c r="E26397" s="2" t="str">
        <f>"9780814722343"</f>
        <v>9780814722343</v>
      </c>
      <c r="F26397" s="2" t="str">
        <f>"9780814722848"</f>
        <v>9780814722848</v>
      </c>
    </row>
    <row r="26398" spans="1:6" s="3" customFormat="1" ht="29.1" customHeight="1" x14ac:dyDescent="0.25">
      <c r="A26398" s="2" t="s">
        <v>51380</v>
      </c>
      <c r="B26398" s="2" t="s">
        <v>51381</v>
      </c>
      <c r="C26398" s="2" t="s">
        <v>195</v>
      </c>
      <c r="D26398" s="2" t="s">
        <v>431</v>
      </c>
      <c r="E26398" s="2" t="str">
        <f>"9783598220463"</f>
        <v>9783598220463</v>
      </c>
      <c r="F26398" s="2" t="str">
        <f>"9783598441790"</f>
        <v>9783598441790</v>
      </c>
    </row>
    <row r="26399" spans="1:6" s="3" customFormat="1" ht="29.1" customHeight="1" x14ac:dyDescent="0.25">
      <c r="A26399" s="2" t="s">
        <v>51382</v>
      </c>
      <c r="B26399" s="2" t="s">
        <v>51383</v>
      </c>
      <c r="C26399" s="2" t="s">
        <v>195</v>
      </c>
      <c r="D26399" s="2" t="s">
        <v>413</v>
      </c>
      <c r="E26399" s="2" t="str">
        <f>"9783110222050"</f>
        <v>9783110222050</v>
      </c>
      <c r="F26399" s="2" t="str">
        <f>"9783110223613"</f>
        <v>9783110223613</v>
      </c>
    </row>
    <row r="26400" spans="1:6" s="3" customFormat="1" ht="29.1" customHeight="1" x14ac:dyDescent="0.25">
      <c r="A26400" s="2" t="s">
        <v>51384</v>
      </c>
      <c r="B26400" s="2" t="s">
        <v>51385</v>
      </c>
      <c r="C26400" s="2" t="s">
        <v>11220</v>
      </c>
      <c r="D26400" s="2" t="s">
        <v>32956</v>
      </c>
      <c r="E26400" s="2" t="str">
        <f>"9780814758533"</f>
        <v>9780814758533</v>
      </c>
      <c r="F26400" s="2" t="str">
        <f>"9780814759080"</f>
        <v>9780814759080</v>
      </c>
    </row>
    <row r="26401" spans="1:6" s="3" customFormat="1" ht="29.1" customHeight="1" x14ac:dyDescent="0.25">
      <c r="A26401" s="2" t="s">
        <v>51386</v>
      </c>
      <c r="B26401" s="2" t="s">
        <v>51387</v>
      </c>
      <c r="C26401" s="2" t="s">
        <v>927</v>
      </c>
      <c r="D26401" s="2" t="s">
        <v>297</v>
      </c>
      <c r="E26401" s="2" t="str">
        <f>"9780472050888"</f>
        <v>9780472050888</v>
      </c>
      <c r="F26401" s="2" t="str">
        <f>"9780472022069"</f>
        <v>9780472022069</v>
      </c>
    </row>
    <row r="26402" spans="1:6" s="3" customFormat="1" ht="29.1" customHeight="1" x14ac:dyDescent="0.25">
      <c r="A26402" s="2" t="s">
        <v>51388</v>
      </c>
      <c r="B26402" s="2" t="s">
        <v>48895</v>
      </c>
      <c r="C26402" s="2" t="s">
        <v>195</v>
      </c>
      <c r="D26402" s="2" t="s">
        <v>1183</v>
      </c>
      <c r="E26402" s="2" t="str">
        <f>"9783598251238"</f>
        <v>9783598251238</v>
      </c>
      <c r="F26402" s="2" t="str">
        <f>"9783598441363"</f>
        <v>9783598441363</v>
      </c>
    </row>
    <row r="26403" spans="1:6" s="3" customFormat="1" ht="29.1" customHeight="1" x14ac:dyDescent="0.25">
      <c r="A26403" s="2" t="s">
        <v>51389</v>
      </c>
      <c r="B26403" s="2" t="s">
        <v>51390</v>
      </c>
      <c r="C26403" s="2" t="s">
        <v>195</v>
      </c>
      <c r="D26403" s="2" t="s">
        <v>431</v>
      </c>
      <c r="E26403" s="2" t="str">
        <f>"9783598220456"</f>
        <v>9783598220456</v>
      </c>
      <c r="F26403" s="2" t="str">
        <f>"9783598441783"</f>
        <v>9783598441783</v>
      </c>
    </row>
    <row r="26404" spans="1:6" s="3" customFormat="1" ht="29.1" customHeight="1" x14ac:dyDescent="0.25">
      <c r="A26404" s="2" t="s">
        <v>51391</v>
      </c>
      <c r="B26404" s="2" t="s">
        <v>51392</v>
      </c>
      <c r="C26404" s="2" t="s">
        <v>195</v>
      </c>
      <c r="D26404" s="2" t="s">
        <v>462</v>
      </c>
      <c r="E26404" s="2" t="str">
        <f>"9783110206463"</f>
        <v>9783110206463</v>
      </c>
      <c r="F26404" s="2" t="str">
        <f>"9783110216585"</f>
        <v>9783110216585</v>
      </c>
    </row>
    <row r="26405" spans="1:6" s="3" customFormat="1" ht="29.1" customHeight="1" x14ac:dyDescent="0.25">
      <c r="A26405" s="2" t="s">
        <v>51393</v>
      </c>
      <c r="B26405" s="2" t="s">
        <v>51394</v>
      </c>
      <c r="C26405" s="2" t="s">
        <v>195</v>
      </c>
      <c r="D26405" s="2" t="s">
        <v>1183</v>
      </c>
      <c r="E26405" s="2" t="str">
        <f>"9783110191004"</f>
        <v>9783110191004</v>
      </c>
      <c r="F26405" s="2" t="str">
        <f>"9783110214000"</f>
        <v>9783110214000</v>
      </c>
    </row>
    <row r="26406" spans="1:6" s="3" customFormat="1" ht="29.1" customHeight="1" x14ac:dyDescent="0.25">
      <c r="A26406" s="2" t="s">
        <v>51395</v>
      </c>
      <c r="B26406" s="2" t="s">
        <v>51396</v>
      </c>
      <c r="C26406" s="2" t="s">
        <v>131</v>
      </c>
      <c r="D26406" s="2" t="s">
        <v>459</v>
      </c>
      <c r="E26406" s="2" t="str">
        <f>"9789027211699"</f>
        <v>9789027211699</v>
      </c>
      <c r="F26406" s="2" t="str">
        <f>"9789027288486"</f>
        <v>9789027288486</v>
      </c>
    </row>
    <row r="26407" spans="1:6" s="3" customFormat="1" ht="29.1" customHeight="1" x14ac:dyDescent="0.25">
      <c r="A26407" s="2" t="s">
        <v>51397</v>
      </c>
      <c r="B26407" s="2" t="s">
        <v>51398</v>
      </c>
      <c r="C26407" s="2" t="s">
        <v>124</v>
      </c>
      <c r="D26407" s="2" t="s">
        <v>11897</v>
      </c>
      <c r="E26407" s="2" t="str">
        <f>"9780415999304"</f>
        <v>9780415999304</v>
      </c>
      <c r="F26407" s="2" t="str">
        <f>"9781135148102"</f>
        <v>9781135148102</v>
      </c>
    </row>
    <row r="26408" spans="1:6" s="3" customFormat="1" ht="29.1" customHeight="1" x14ac:dyDescent="0.25">
      <c r="A26408" s="2" t="s">
        <v>51399</v>
      </c>
      <c r="B26408" s="2" t="s">
        <v>51400</v>
      </c>
      <c r="C26408" s="2" t="s">
        <v>124</v>
      </c>
      <c r="D26408" s="2" t="s">
        <v>294</v>
      </c>
      <c r="E26408" s="2" t="str">
        <f>"9789089641908"</f>
        <v>9789089641908</v>
      </c>
      <c r="F26408" s="2" t="str">
        <f>"9781040779491"</f>
        <v>9781040779491</v>
      </c>
    </row>
    <row r="26409" spans="1:6" s="3" customFormat="1" ht="29.1" customHeight="1" x14ac:dyDescent="0.25">
      <c r="A26409" s="2" t="s">
        <v>51401</v>
      </c>
      <c r="B26409" s="2" t="s">
        <v>51402</v>
      </c>
      <c r="C26409" s="2" t="s">
        <v>124</v>
      </c>
      <c r="D26409" s="2" t="s">
        <v>270</v>
      </c>
      <c r="E26409" s="2" t="str">
        <f>"9789089641816"</f>
        <v>9789089641816</v>
      </c>
      <c r="F26409" s="2" t="str">
        <f>"9781040778074"</f>
        <v>9781040778074</v>
      </c>
    </row>
    <row r="26410" spans="1:6" s="3" customFormat="1" ht="29.1" customHeight="1" x14ac:dyDescent="0.25">
      <c r="A26410" s="2" t="s">
        <v>51403</v>
      </c>
      <c r="B26410" s="2" t="s">
        <v>51404</v>
      </c>
      <c r="C26410" s="2" t="s">
        <v>29</v>
      </c>
      <c r="D26410" s="2" t="s">
        <v>1432</v>
      </c>
      <c r="E26410" s="2" t="str">
        <f>"9789004168190"</f>
        <v>9789004168190</v>
      </c>
      <c r="F26410" s="2" t="str">
        <f>"9789047443568"</f>
        <v>9789047443568</v>
      </c>
    </row>
    <row r="26411" spans="1:6" s="3" customFormat="1" ht="29.1" customHeight="1" x14ac:dyDescent="0.25">
      <c r="A26411" s="2" t="s">
        <v>51405</v>
      </c>
      <c r="B26411" s="2" t="s">
        <v>51406</v>
      </c>
      <c r="C26411" s="2" t="s">
        <v>927</v>
      </c>
      <c r="D26411" s="2" t="s">
        <v>33</v>
      </c>
      <c r="E26411" s="2" t="str">
        <f>"9780472069910"</f>
        <v>9780472069910</v>
      </c>
      <c r="F26411" s="2" t="str">
        <f>"9780472025053"</f>
        <v>9780472025053</v>
      </c>
    </row>
    <row r="26412" spans="1:6" s="3" customFormat="1" ht="29.1" customHeight="1" x14ac:dyDescent="0.25">
      <c r="A26412" s="2" t="s">
        <v>51407</v>
      </c>
      <c r="B26412" s="2" t="s">
        <v>51408</v>
      </c>
      <c r="C26412" s="2" t="s">
        <v>927</v>
      </c>
      <c r="D26412" s="2" t="s">
        <v>81</v>
      </c>
      <c r="E26412" s="2" t="str">
        <f>"9780472069828"</f>
        <v>9780472069828</v>
      </c>
      <c r="F26412" s="2" t="str">
        <f>"9780472023172"</f>
        <v>9780472023172</v>
      </c>
    </row>
    <row r="26413" spans="1:6" s="3" customFormat="1" ht="29.1" customHeight="1" x14ac:dyDescent="0.25">
      <c r="A26413" s="2" t="s">
        <v>51409</v>
      </c>
      <c r="B26413" s="2" t="s">
        <v>51410</v>
      </c>
      <c r="C26413" s="2" t="s">
        <v>927</v>
      </c>
      <c r="D26413" s="2" t="s">
        <v>33</v>
      </c>
      <c r="E26413" s="2" t="str">
        <f>"9780472050444"</f>
        <v>9780472050444</v>
      </c>
      <c r="F26413" s="2" t="str">
        <f>"9780472024469"</f>
        <v>9780472024469</v>
      </c>
    </row>
    <row r="26414" spans="1:6" s="3" customFormat="1" ht="29.1" customHeight="1" x14ac:dyDescent="0.25">
      <c r="A26414" s="2" t="s">
        <v>51411</v>
      </c>
      <c r="B26414" s="2" t="s">
        <v>51412</v>
      </c>
      <c r="C26414" s="2" t="s">
        <v>927</v>
      </c>
      <c r="D26414" s="2" t="s">
        <v>210</v>
      </c>
      <c r="E26414" s="2" t="str">
        <f>"9780472033522"</f>
        <v>9780472033522</v>
      </c>
      <c r="F26414" s="2" t="str">
        <f>"9780472024483"</f>
        <v>9780472024483</v>
      </c>
    </row>
    <row r="26415" spans="1:6" s="3" customFormat="1" ht="29.1" customHeight="1" x14ac:dyDescent="0.25">
      <c r="A26415" s="2" t="s">
        <v>51413</v>
      </c>
      <c r="B26415" s="2" t="s">
        <v>51414</v>
      </c>
      <c r="C26415" s="2" t="s">
        <v>927</v>
      </c>
      <c r="D26415" s="2" t="s">
        <v>334</v>
      </c>
      <c r="E26415" s="2" t="str">
        <f>"9780472050345"</f>
        <v>9780472050345</v>
      </c>
      <c r="F26415" s="2" t="str">
        <f>"9780472024445"</f>
        <v>9780472024445</v>
      </c>
    </row>
    <row r="26416" spans="1:6" s="3" customFormat="1" ht="29.1" customHeight="1" x14ac:dyDescent="0.25">
      <c r="A26416" s="2" t="s">
        <v>51415</v>
      </c>
      <c r="B26416" s="2" t="s">
        <v>45503</v>
      </c>
      <c r="C26416" s="2" t="s">
        <v>927</v>
      </c>
      <c r="D26416" s="2" t="s">
        <v>81</v>
      </c>
      <c r="E26416" s="2" t="str">
        <f>"9780472030378"</f>
        <v>9780472030378</v>
      </c>
      <c r="F26416" s="2" t="str">
        <f>"9780472024926"</f>
        <v>9780472024926</v>
      </c>
    </row>
    <row r="26417" spans="1:6" s="3" customFormat="1" ht="29.1" customHeight="1" x14ac:dyDescent="0.25">
      <c r="A26417" s="2" t="s">
        <v>51416</v>
      </c>
      <c r="B26417" s="2" t="s">
        <v>51417</v>
      </c>
      <c r="C26417" s="2" t="s">
        <v>927</v>
      </c>
      <c r="D26417" s="2" t="s">
        <v>297</v>
      </c>
      <c r="E26417" s="2" t="str">
        <f>"9780472050437"</f>
        <v>9780472050437</v>
      </c>
      <c r="F26417" s="2" t="str">
        <f>"9780472024537"</f>
        <v>9780472024537</v>
      </c>
    </row>
    <row r="26418" spans="1:6" s="3" customFormat="1" ht="29.1" customHeight="1" x14ac:dyDescent="0.25">
      <c r="A26418" s="2" t="s">
        <v>51418</v>
      </c>
      <c r="B26418" s="2" t="s">
        <v>51419</v>
      </c>
      <c r="C26418" s="2" t="s">
        <v>927</v>
      </c>
      <c r="D26418" s="2" t="s">
        <v>9</v>
      </c>
      <c r="E26418" s="2" t="str">
        <f>"9780472116713"</f>
        <v>9780472116713</v>
      </c>
      <c r="F26418" s="2" t="str">
        <f>"9780472024513"</f>
        <v>9780472024513</v>
      </c>
    </row>
    <row r="26419" spans="1:6" s="3" customFormat="1" ht="29.1" customHeight="1" x14ac:dyDescent="0.25">
      <c r="A26419" s="2" t="s">
        <v>51420</v>
      </c>
      <c r="B26419" s="2" t="s">
        <v>51421</v>
      </c>
      <c r="C26419" s="2" t="s">
        <v>927</v>
      </c>
      <c r="D26419" s="2" t="s">
        <v>270</v>
      </c>
      <c r="E26419" s="2" t="str">
        <f>"9780472033911"</f>
        <v>9780472033911</v>
      </c>
      <c r="F26419" s="2" t="str">
        <f>"9780472021796"</f>
        <v>9780472021796</v>
      </c>
    </row>
    <row r="26420" spans="1:6" s="3" customFormat="1" ht="29.1" customHeight="1" x14ac:dyDescent="0.25">
      <c r="A26420" s="2" t="s">
        <v>51422</v>
      </c>
      <c r="B26420" s="2" t="s">
        <v>51423</v>
      </c>
      <c r="C26420" s="2" t="s">
        <v>927</v>
      </c>
      <c r="D26420" s="2" t="s">
        <v>81</v>
      </c>
      <c r="E26420" s="2" t="str">
        <f>"9780472033706"</f>
        <v>9780472033706</v>
      </c>
      <c r="F26420" s="2" t="str">
        <f>"9780472021994"</f>
        <v>9780472021994</v>
      </c>
    </row>
    <row r="26421" spans="1:6" s="3" customFormat="1" ht="29.1" customHeight="1" x14ac:dyDescent="0.25">
      <c r="A26421" s="2" t="s">
        <v>51424</v>
      </c>
      <c r="B26421" s="2" t="s">
        <v>16388</v>
      </c>
      <c r="C26421" s="2" t="s">
        <v>1070</v>
      </c>
      <c r="D26421" s="2" t="s">
        <v>1313</v>
      </c>
      <c r="E26421" s="2" t="str">
        <f>"9783805592314"</f>
        <v>9783805592314</v>
      </c>
      <c r="F26421" s="2" t="str">
        <f>"9783805592321"</f>
        <v>9783805592321</v>
      </c>
    </row>
    <row r="26422" spans="1:6" s="3" customFormat="1" ht="29.1" customHeight="1" x14ac:dyDescent="0.25">
      <c r="A26422" s="2" t="s">
        <v>51425</v>
      </c>
      <c r="B26422" s="2" t="s">
        <v>51426</v>
      </c>
      <c r="C26422" s="2" t="s">
        <v>29</v>
      </c>
      <c r="D26422" s="2" t="s">
        <v>509</v>
      </c>
      <c r="E26422" s="2" t="str">
        <f>"9789004166653"</f>
        <v>9789004166653</v>
      </c>
      <c r="F26422" s="2" t="str">
        <f>"9789047445029"</f>
        <v>9789047445029</v>
      </c>
    </row>
    <row r="26423" spans="1:6" s="3" customFormat="1" ht="29.1" customHeight="1" x14ac:dyDescent="0.25">
      <c r="A26423" s="2" t="s">
        <v>51427</v>
      </c>
      <c r="B26423" s="2" t="s">
        <v>51428</v>
      </c>
      <c r="C26423" s="2" t="s">
        <v>29</v>
      </c>
      <c r="D26423" s="2" t="s">
        <v>8199</v>
      </c>
      <c r="E26423" s="2" t="str">
        <f>"9789004170261"</f>
        <v>9789004170261</v>
      </c>
      <c r="F26423" s="2" t="str">
        <f>"9789047441830"</f>
        <v>9789047441830</v>
      </c>
    </row>
    <row r="26424" spans="1:6" s="3" customFormat="1" ht="29.1" customHeight="1" x14ac:dyDescent="0.25">
      <c r="A26424" s="2" t="s">
        <v>51429</v>
      </c>
      <c r="B26424" s="2" t="s">
        <v>51430</v>
      </c>
      <c r="C26424" s="2" t="s">
        <v>29</v>
      </c>
      <c r="D26424" s="2" t="s">
        <v>1432</v>
      </c>
      <c r="E26424" s="2" t="str">
        <f>"9789004166004"</f>
        <v>9789004166004</v>
      </c>
      <c r="F26424" s="2" t="str">
        <f>"9789047433255"</f>
        <v>9789047433255</v>
      </c>
    </row>
    <row r="26425" spans="1:6" s="3" customFormat="1" ht="29.1" customHeight="1" x14ac:dyDescent="0.25">
      <c r="A26425" s="2" t="s">
        <v>51431</v>
      </c>
      <c r="B26425" s="2" t="s">
        <v>51432</v>
      </c>
      <c r="C26425" s="2" t="s">
        <v>29</v>
      </c>
      <c r="D26425" s="2" t="s">
        <v>428</v>
      </c>
      <c r="E26425" s="2" t="str">
        <f>"9789004176485"</f>
        <v>9789004176485</v>
      </c>
      <c r="F26425" s="2" t="str">
        <f>"9789047429920"</f>
        <v>9789047429920</v>
      </c>
    </row>
    <row r="26426" spans="1:6" s="3" customFormat="1" ht="29.1" customHeight="1" x14ac:dyDescent="0.25">
      <c r="A26426" s="2" t="s">
        <v>51433</v>
      </c>
      <c r="B26426" s="2" t="s">
        <v>51434</v>
      </c>
      <c r="C26426" s="2" t="s">
        <v>29</v>
      </c>
      <c r="D26426" s="2" t="s">
        <v>4071</v>
      </c>
      <c r="E26426" s="2" t="str">
        <f>"9789004158474"</f>
        <v>9789004158474</v>
      </c>
      <c r="F26426" s="2" t="str">
        <f>"9789047420194"</f>
        <v>9789047420194</v>
      </c>
    </row>
    <row r="26427" spans="1:6" s="3" customFormat="1" ht="29.1" customHeight="1" x14ac:dyDescent="0.25">
      <c r="A26427" s="2" t="s">
        <v>51435</v>
      </c>
      <c r="B26427" s="2" t="s">
        <v>51436</v>
      </c>
      <c r="C26427" s="2" t="s">
        <v>124</v>
      </c>
      <c r="D26427" s="2" t="s">
        <v>1806</v>
      </c>
      <c r="E26427" s="2" t="str">
        <f>"9789089641694"</f>
        <v>9789089641694</v>
      </c>
      <c r="F26427" s="2" t="str">
        <f>"9781040776254"</f>
        <v>9781040776254</v>
      </c>
    </row>
    <row r="26428" spans="1:6" s="3" customFormat="1" ht="29.1" customHeight="1" x14ac:dyDescent="0.25">
      <c r="A26428" s="2" t="s">
        <v>51437</v>
      </c>
      <c r="B26428" s="2" t="s">
        <v>51439</v>
      </c>
      <c r="C26428" s="2" t="s">
        <v>11220</v>
      </c>
      <c r="D26428" s="2" t="s">
        <v>51438</v>
      </c>
      <c r="E26428" s="2" t="str">
        <f>"9780814748183"</f>
        <v>9780814748183</v>
      </c>
      <c r="F26428" s="2" t="str">
        <f>"9780814749128"</f>
        <v>9780814749128</v>
      </c>
    </row>
    <row r="26429" spans="1:6" s="3" customFormat="1" ht="29.1" customHeight="1" x14ac:dyDescent="0.25">
      <c r="A26429" s="2" t="s">
        <v>51440</v>
      </c>
      <c r="B26429" s="2" t="s">
        <v>51441</v>
      </c>
      <c r="C26429" s="2" t="s">
        <v>11220</v>
      </c>
      <c r="D26429" s="2" t="s">
        <v>47766</v>
      </c>
      <c r="E26429" s="2" t="str">
        <f>"9780814731949"</f>
        <v>9780814731949</v>
      </c>
      <c r="F26429" s="2" t="str">
        <f>"9780814733158"</f>
        <v>9780814733158</v>
      </c>
    </row>
    <row r="26430" spans="1:6" s="3" customFormat="1" ht="29.1" customHeight="1" x14ac:dyDescent="0.25">
      <c r="A26430" s="2" t="s">
        <v>51442</v>
      </c>
      <c r="B26430" s="2" t="s">
        <v>51443</v>
      </c>
      <c r="C26430" s="2" t="s">
        <v>11220</v>
      </c>
      <c r="D26430" s="2" t="s">
        <v>968</v>
      </c>
      <c r="E26430" s="2" t="str">
        <f>"9780814716915"</f>
        <v>9780814716915</v>
      </c>
      <c r="F26430" s="2" t="str">
        <f>"9780814772904"</f>
        <v>9780814772904</v>
      </c>
    </row>
    <row r="26431" spans="1:6" s="3" customFormat="1" ht="29.1" customHeight="1" x14ac:dyDescent="0.25">
      <c r="A26431" s="2" t="s">
        <v>51444</v>
      </c>
      <c r="B26431" s="2" t="s">
        <v>51445</v>
      </c>
      <c r="C26431" s="2" t="s">
        <v>124</v>
      </c>
      <c r="D26431" s="2" t="s">
        <v>192</v>
      </c>
      <c r="E26431" s="2" t="str">
        <f>"9780415478328"</f>
        <v>9780415478328</v>
      </c>
      <c r="F26431" s="2" t="str">
        <f>"9781135232832"</f>
        <v>9781135232832</v>
      </c>
    </row>
    <row r="26432" spans="1:6" s="3" customFormat="1" ht="29.1" customHeight="1" x14ac:dyDescent="0.25">
      <c r="A26432" s="2" t="s">
        <v>51446</v>
      </c>
      <c r="B26432" s="2" t="s">
        <v>51447</v>
      </c>
      <c r="C26432" s="2" t="s">
        <v>124</v>
      </c>
      <c r="D26432" s="2" t="s">
        <v>694</v>
      </c>
      <c r="E26432" s="2" t="str">
        <f>"9780415776073"</f>
        <v>9780415776073</v>
      </c>
      <c r="F26432" s="2" t="str">
        <f>"9781135244590"</f>
        <v>9781135244590</v>
      </c>
    </row>
    <row r="26433" spans="1:6" s="3" customFormat="1" ht="29.1" customHeight="1" x14ac:dyDescent="0.25">
      <c r="A26433" s="2" t="s">
        <v>51448</v>
      </c>
      <c r="B26433" s="2" t="s">
        <v>51449</v>
      </c>
      <c r="C26433" s="2" t="s">
        <v>195</v>
      </c>
      <c r="D26433" s="2" t="s">
        <v>1183</v>
      </c>
      <c r="E26433" s="2" t="str">
        <f>"9783110230147"</f>
        <v>9783110230147</v>
      </c>
      <c r="F26433" s="2" t="str">
        <f>"9783110230154"</f>
        <v>9783110230154</v>
      </c>
    </row>
    <row r="26434" spans="1:6" s="3" customFormat="1" ht="29.1" customHeight="1" x14ac:dyDescent="0.25">
      <c r="A26434" s="2" t="s">
        <v>51450</v>
      </c>
      <c r="B26434" s="2" t="s">
        <v>42997</v>
      </c>
      <c r="C26434" s="2" t="s">
        <v>195</v>
      </c>
      <c r="D26434" s="2" t="s">
        <v>2428</v>
      </c>
      <c r="E26434" s="2" t="str">
        <f>"9783110221718"</f>
        <v>9783110221718</v>
      </c>
      <c r="F26434" s="2" t="str">
        <f>"9783110221725"</f>
        <v>9783110221725</v>
      </c>
    </row>
    <row r="26435" spans="1:6" s="3" customFormat="1" ht="29.1" customHeight="1" x14ac:dyDescent="0.25">
      <c r="A26435" s="2" t="s">
        <v>51451</v>
      </c>
      <c r="B26435" s="2" t="s">
        <v>51452</v>
      </c>
      <c r="C26435" s="2" t="s">
        <v>11220</v>
      </c>
      <c r="D26435" s="2" t="s">
        <v>183</v>
      </c>
      <c r="E26435" s="2" t="str">
        <f>"9780814795507"</f>
        <v>9780814795507</v>
      </c>
      <c r="F26435" s="2" t="str">
        <f>"9780814759509"</f>
        <v>9780814759509</v>
      </c>
    </row>
    <row r="26436" spans="1:6" s="3" customFormat="1" ht="29.1" customHeight="1" x14ac:dyDescent="0.25">
      <c r="A26436" s="2" t="s">
        <v>51453</v>
      </c>
      <c r="B26436" s="2" t="s">
        <v>51454</v>
      </c>
      <c r="C26436" s="2" t="s">
        <v>124</v>
      </c>
      <c r="D26436" s="2" t="s">
        <v>1046</v>
      </c>
      <c r="E26436" s="2" t="str">
        <f>"9789089641076"</f>
        <v>9789089641076</v>
      </c>
      <c r="F26436" s="2" t="str">
        <f>"9781040780688"</f>
        <v>9781040780688</v>
      </c>
    </row>
    <row r="26437" spans="1:6" s="3" customFormat="1" ht="29.1" customHeight="1" x14ac:dyDescent="0.25">
      <c r="A26437" s="2" t="s">
        <v>51455</v>
      </c>
      <c r="B26437" s="2" t="s">
        <v>51456</v>
      </c>
      <c r="C26437" s="2" t="s">
        <v>124</v>
      </c>
      <c r="D26437" s="2" t="s">
        <v>69</v>
      </c>
      <c r="E26437" s="2" t="str">
        <f>"9789089640680"</f>
        <v>9789089640680</v>
      </c>
      <c r="F26437" s="2" t="str">
        <f>"9781040792858"</f>
        <v>9781040792858</v>
      </c>
    </row>
    <row r="26438" spans="1:6" s="3" customFormat="1" ht="29.1" customHeight="1" x14ac:dyDescent="0.25">
      <c r="A26438" s="2" t="s">
        <v>51457</v>
      </c>
      <c r="B26438" s="2" t="s">
        <v>51458</v>
      </c>
      <c r="C26438" s="2" t="s">
        <v>124</v>
      </c>
      <c r="D26438" s="2" t="s">
        <v>270</v>
      </c>
      <c r="E26438" s="2" t="str">
        <f>"9789053567074"</f>
        <v>9789053567074</v>
      </c>
      <c r="F26438" s="2" t="str">
        <f>"9781040798379"</f>
        <v>9781040798379</v>
      </c>
    </row>
    <row r="26439" spans="1:6" s="3" customFormat="1" ht="29.1" customHeight="1" x14ac:dyDescent="0.25">
      <c r="A26439" s="2" t="s">
        <v>51459</v>
      </c>
      <c r="B26439" s="2" t="s">
        <v>51460</v>
      </c>
      <c r="C26439" s="2" t="s">
        <v>195</v>
      </c>
      <c r="D26439" s="2" t="s">
        <v>431</v>
      </c>
      <c r="E26439" s="2" t="str">
        <f>"9783598220449"</f>
        <v>9783598220449</v>
      </c>
      <c r="F26439" s="2" t="str">
        <f>"9783598441776"</f>
        <v>9783598441776</v>
      </c>
    </row>
    <row r="26440" spans="1:6" s="3" customFormat="1" ht="29.1" customHeight="1" x14ac:dyDescent="0.25">
      <c r="A26440" s="2" t="s">
        <v>51461</v>
      </c>
      <c r="B26440" s="2" t="s">
        <v>47639</v>
      </c>
      <c r="C26440" s="2" t="s">
        <v>195</v>
      </c>
      <c r="D26440" s="2" t="s">
        <v>446</v>
      </c>
      <c r="E26440" s="2" t="str">
        <f>"9783110215618"</f>
        <v>9783110215618</v>
      </c>
      <c r="F26440" s="2" t="str">
        <f>"9783110217759"</f>
        <v>9783110217759</v>
      </c>
    </row>
    <row r="26441" spans="1:6" s="3" customFormat="1" ht="29.1" customHeight="1" x14ac:dyDescent="0.25">
      <c r="A26441" s="2" t="s">
        <v>51462</v>
      </c>
      <c r="B26441" s="2" t="s">
        <v>51463</v>
      </c>
      <c r="C26441" s="2" t="s">
        <v>11220</v>
      </c>
      <c r="D26441" s="2" t="s">
        <v>3155</v>
      </c>
      <c r="E26441" s="2" t="str">
        <f>"9780814795910"</f>
        <v>9780814795910</v>
      </c>
      <c r="F26441" s="2" t="str">
        <f>"9780814764497"</f>
        <v>9780814764497</v>
      </c>
    </row>
    <row r="26442" spans="1:6" s="3" customFormat="1" ht="29.1" customHeight="1" x14ac:dyDescent="0.25">
      <c r="A26442" s="2" t="s">
        <v>51464</v>
      </c>
      <c r="B26442" s="2" t="s">
        <v>51465</v>
      </c>
      <c r="C26442" s="2" t="s">
        <v>264</v>
      </c>
      <c r="D26442" s="2" t="s">
        <v>44</v>
      </c>
      <c r="E26442" s="2" t="str">
        <f>"9780415558549"</f>
        <v>9780415558549</v>
      </c>
      <c r="F26442" s="2" t="str">
        <f>"9781441624024"</f>
        <v>9781441624024</v>
      </c>
    </row>
    <row r="26443" spans="1:6" s="3" customFormat="1" ht="29.1" customHeight="1" x14ac:dyDescent="0.25">
      <c r="A26443" s="2" t="s">
        <v>51466</v>
      </c>
      <c r="B26443" s="2" t="s">
        <v>51467</v>
      </c>
      <c r="C26443" s="2" t="s">
        <v>264</v>
      </c>
      <c r="D26443" s="2" t="s">
        <v>1759</v>
      </c>
      <c r="E26443" s="2" t="str">
        <f>"9781584886297"</f>
        <v>9781584886297</v>
      </c>
      <c r="F26443" s="2" t="str">
        <f>"9781420011326"</f>
        <v>9781420011326</v>
      </c>
    </row>
    <row r="26444" spans="1:6" s="3" customFormat="1" ht="29.1" customHeight="1" x14ac:dyDescent="0.25">
      <c r="A26444" s="2" t="s">
        <v>16585</v>
      </c>
      <c r="B26444" s="2" t="s">
        <v>16586</v>
      </c>
      <c r="C26444" s="2" t="s">
        <v>11220</v>
      </c>
      <c r="D26444" s="2" t="s">
        <v>218</v>
      </c>
      <c r="E26444" s="2" t="str">
        <f>"9780814740576"</f>
        <v>9780814740576</v>
      </c>
      <c r="F26444" s="2" t="str">
        <f>"9780814708873"</f>
        <v>9780814708873</v>
      </c>
    </row>
    <row r="26445" spans="1:6" s="3" customFormat="1" ht="29.1" customHeight="1" x14ac:dyDescent="0.25">
      <c r="A26445" s="2" t="s">
        <v>51468</v>
      </c>
      <c r="B26445" s="2" t="s">
        <v>51469</v>
      </c>
      <c r="C26445" s="2" t="s">
        <v>11220</v>
      </c>
      <c r="D26445" s="2" t="s">
        <v>3656</v>
      </c>
      <c r="E26445" s="2" t="str">
        <f>"9780814748121"</f>
        <v>9780814748121</v>
      </c>
      <c r="F26445" s="2" t="str">
        <f>"9780814749104"</f>
        <v>9780814749104</v>
      </c>
    </row>
    <row r="26446" spans="1:6" s="3" customFormat="1" ht="29.1" customHeight="1" x14ac:dyDescent="0.25">
      <c r="A26446" s="2" t="s">
        <v>51470</v>
      </c>
      <c r="B26446" s="2" t="s">
        <v>47889</v>
      </c>
      <c r="C26446" s="2" t="s">
        <v>195</v>
      </c>
      <c r="D26446" s="2" t="s">
        <v>1183</v>
      </c>
      <c r="E26446" s="2" t="str">
        <f>"9783598251245"</f>
        <v>9783598251245</v>
      </c>
      <c r="F26446" s="2" t="str">
        <f>"9783598441295"</f>
        <v>9783598441295</v>
      </c>
    </row>
    <row r="26447" spans="1:6" s="3" customFormat="1" ht="29.1" customHeight="1" x14ac:dyDescent="0.25">
      <c r="A26447" s="2" t="s">
        <v>51471</v>
      </c>
      <c r="B26447" s="2" t="s">
        <v>51472</v>
      </c>
      <c r="C26447" s="2" t="s">
        <v>195</v>
      </c>
      <c r="D26447" s="2" t="s">
        <v>431</v>
      </c>
      <c r="E26447" s="2" t="str">
        <f>"9783598220432"</f>
        <v>9783598220432</v>
      </c>
      <c r="F26447" s="2" t="str">
        <f>"9783598441677"</f>
        <v>9783598441677</v>
      </c>
    </row>
    <row r="26448" spans="1:6" s="3" customFormat="1" ht="29.1" customHeight="1" x14ac:dyDescent="0.25">
      <c r="A26448" s="2" t="s">
        <v>51473</v>
      </c>
      <c r="B26448" s="2" t="s">
        <v>51474</v>
      </c>
      <c r="C26448" s="2" t="s">
        <v>195</v>
      </c>
      <c r="D26448" s="2" t="s">
        <v>431</v>
      </c>
      <c r="E26448" s="2" t="str">
        <f>"9783598220425"</f>
        <v>9783598220425</v>
      </c>
      <c r="F26448" s="2" t="str">
        <f>"9783598441349"</f>
        <v>9783598441349</v>
      </c>
    </row>
    <row r="26449" spans="1:6" s="3" customFormat="1" ht="29.1" customHeight="1" x14ac:dyDescent="0.25">
      <c r="A26449" s="2" t="s">
        <v>51475</v>
      </c>
      <c r="B26449" s="2" t="s">
        <v>51476</v>
      </c>
      <c r="C26449" s="2" t="s">
        <v>195</v>
      </c>
      <c r="D26449" s="2" t="s">
        <v>2713</v>
      </c>
      <c r="E26449" s="2" t="str">
        <f>"9783110209563"</f>
        <v>9783110209563</v>
      </c>
      <c r="F26449" s="2" t="str">
        <f>"9783110217360"</f>
        <v>9783110217360</v>
      </c>
    </row>
    <row r="26450" spans="1:6" s="3" customFormat="1" ht="29.1" customHeight="1" x14ac:dyDescent="0.25">
      <c r="A26450" s="2" t="s">
        <v>51477</v>
      </c>
      <c r="B26450" s="2" t="s">
        <v>47548</v>
      </c>
      <c r="C26450" s="2" t="s">
        <v>195</v>
      </c>
      <c r="D26450" s="2" t="s">
        <v>46509</v>
      </c>
      <c r="E26450" s="2" t="str">
        <f>"9783110209433"</f>
        <v>9783110209433</v>
      </c>
      <c r="F26450" s="2" t="str">
        <f>"9783110217995"</f>
        <v>9783110217995</v>
      </c>
    </row>
    <row r="26451" spans="1:6" s="3" customFormat="1" ht="29.1" customHeight="1" x14ac:dyDescent="0.25">
      <c r="A26451" s="2" t="s">
        <v>51478</v>
      </c>
      <c r="B26451" s="2" t="s">
        <v>51479</v>
      </c>
      <c r="C26451" s="2" t="s">
        <v>195</v>
      </c>
      <c r="D26451" s="2" t="s">
        <v>3130</v>
      </c>
      <c r="E26451" s="2" t="str">
        <f>"9783110206890"</f>
        <v>9783110206890</v>
      </c>
      <c r="F26451" s="2" t="str">
        <f>"9783110216561"</f>
        <v>9783110216561</v>
      </c>
    </row>
    <row r="26452" spans="1:6" s="3" customFormat="1" ht="29.1" customHeight="1" x14ac:dyDescent="0.25">
      <c r="A26452" s="2" t="s">
        <v>51480</v>
      </c>
      <c r="B26452" s="2" t="s">
        <v>51481</v>
      </c>
      <c r="C26452" s="2" t="s">
        <v>195</v>
      </c>
      <c r="D26452" s="2" t="s">
        <v>4185</v>
      </c>
      <c r="E26452" s="2" t="str">
        <f>"9783110203639"</f>
        <v>9783110203639</v>
      </c>
      <c r="F26452" s="2" t="str">
        <f>"9783110216615"</f>
        <v>9783110216615</v>
      </c>
    </row>
    <row r="26453" spans="1:6" s="3" customFormat="1" ht="29.1" customHeight="1" x14ac:dyDescent="0.25">
      <c r="A26453" s="2" t="s">
        <v>51482</v>
      </c>
      <c r="B26453" s="2" t="s">
        <v>51483</v>
      </c>
      <c r="C26453" s="2" t="s">
        <v>195</v>
      </c>
      <c r="D26453" s="2" t="s">
        <v>462</v>
      </c>
      <c r="E26453" s="2" t="str">
        <f>"9783110183580"</f>
        <v>9783110183580</v>
      </c>
      <c r="F26453" s="2" t="str">
        <f>"9783110218831"</f>
        <v>9783110218831</v>
      </c>
    </row>
    <row r="26454" spans="1:6" s="3" customFormat="1" ht="29.1" customHeight="1" x14ac:dyDescent="0.25">
      <c r="A26454" s="2" t="s">
        <v>51484</v>
      </c>
      <c r="B26454" s="2" t="s">
        <v>51483</v>
      </c>
      <c r="C26454" s="2" t="s">
        <v>195</v>
      </c>
      <c r="D26454" s="2" t="s">
        <v>462</v>
      </c>
      <c r="E26454" s="2" t="str">
        <f>"9783110183566"</f>
        <v>9783110183566</v>
      </c>
      <c r="F26454" s="2" t="str">
        <f>"9783110218848"</f>
        <v>9783110218848</v>
      </c>
    </row>
    <row r="26455" spans="1:6" s="3" customFormat="1" ht="29.1" customHeight="1" x14ac:dyDescent="0.25">
      <c r="A26455" s="2" t="s">
        <v>51485</v>
      </c>
      <c r="B26455" s="2" t="s">
        <v>51486</v>
      </c>
      <c r="C26455" s="2" t="s">
        <v>5050</v>
      </c>
      <c r="D26455" s="2" t="s">
        <v>636</v>
      </c>
      <c r="E26455" s="2" t="str">
        <f>"9780824832322"</f>
        <v>9780824832322</v>
      </c>
      <c r="F26455" s="2" t="str">
        <f>"9780824863920"</f>
        <v>9780824863920</v>
      </c>
    </row>
    <row r="26456" spans="1:6" s="3" customFormat="1" ht="29.1" customHeight="1" x14ac:dyDescent="0.25">
      <c r="A26456" s="2" t="s">
        <v>51487</v>
      </c>
      <c r="B26456" s="2" t="s">
        <v>51488</v>
      </c>
      <c r="C26456" s="2" t="s">
        <v>5050</v>
      </c>
      <c r="D26456" s="2" t="s">
        <v>1259</v>
      </c>
      <c r="E26456" s="2" t="str">
        <f>"9780824832315"</f>
        <v>9780824832315</v>
      </c>
      <c r="F26456" s="2" t="str">
        <f>"9780824862053"</f>
        <v>9780824862053</v>
      </c>
    </row>
    <row r="26457" spans="1:6" s="3" customFormat="1" ht="29.1" customHeight="1" x14ac:dyDescent="0.25">
      <c r="A26457" s="2" t="s">
        <v>51489</v>
      </c>
      <c r="B26457" s="2" t="s">
        <v>51490</v>
      </c>
      <c r="C26457" s="2" t="s">
        <v>5050</v>
      </c>
      <c r="D26457" s="2" t="s">
        <v>13300</v>
      </c>
      <c r="E26457" s="2" t="str">
        <f>"9780824832391"</f>
        <v>9780824832391</v>
      </c>
      <c r="F26457" s="2" t="str">
        <f>"9780824864231"</f>
        <v>9780824864231</v>
      </c>
    </row>
    <row r="26458" spans="1:6" s="3" customFormat="1" ht="29.1" customHeight="1" x14ac:dyDescent="0.25">
      <c r="A26458" s="2" t="s">
        <v>51491</v>
      </c>
      <c r="B26458" s="2" t="s">
        <v>51492</v>
      </c>
      <c r="C26458" s="2" t="s">
        <v>131</v>
      </c>
      <c r="D26458" s="2" t="s">
        <v>5417</v>
      </c>
      <c r="E26458" s="2" t="str">
        <f>"9789027248237"</f>
        <v>9789027248237</v>
      </c>
      <c r="F26458" s="2" t="str">
        <f>"9789027288967"</f>
        <v>9789027288967</v>
      </c>
    </row>
    <row r="26459" spans="1:6" s="3" customFormat="1" ht="29.1" customHeight="1" x14ac:dyDescent="0.25">
      <c r="A26459" s="2" t="s">
        <v>51493</v>
      </c>
      <c r="B26459" s="2" t="s">
        <v>51494</v>
      </c>
      <c r="C26459" s="2" t="s">
        <v>15181</v>
      </c>
      <c r="D26459" s="2" t="s">
        <v>259</v>
      </c>
      <c r="E26459" s="2" t="str">
        <f>"9789639776555"</f>
        <v>9789639776555</v>
      </c>
      <c r="F26459" s="2" t="str">
        <f>"9786155211812"</f>
        <v>9786155211812</v>
      </c>
    </row>
    <row r="26460" spans="1:6" s="3" customFormat="1" ht="29.1" customHeight="1" x14ac:dyDescent="0.25">
      <c r="A26460" s="2" t="s">
        <v>51495</v>
      </c>
      <c r="B26460" s="2" t="s">
        <v>51496</v>
      </c>
      <c r="C26460" s="2" t="s">
        <v>9716</v>
      </c>
      <c r="D26460" s="2" t="s">
        <v>270</v>
      </c>
      <c r="E26460" s="2" t="str">
        <f>"9781439900543"</f>
        <v>9781439900543</v>
      </c>
      <c r="F26460" s="2" t="str">
        <f>"9781439900567"</f>
        <v>9781439900567</v>
      </c>
    </row>
    <row r="26461" spans="1:6" s="3" customFormat="1" ht="29.1" customHeight="1" x14ac:dyDescent="0.25">
      <c r="A26461" s="2" t="s">
        <v>51497</v>
      </c>
      <c r="B26461" s="2" t="s">
        <v>51498</v>
      </c>
      <c r="C26461" s="2" t="s">
        <v>9716</v>
      </c>
      <c r="D26461" s="2" t="s">
        <v>33</v>
      </c>
      <c r="E26461" s="2" t="str">
        <f>"9781439900314"</f>
        <v>9781439900314</v>
      </c>
      <c r="F26461" s="2" t="str">
        <f>"9781439900338"</f>
        <v>9781439900338</v>
      </c>
    </row>
    <row r="26462" spans="1:6" s="3" customFormat="1" ht="29.1" customHeight="1" x14ac:dyDescent="0.25">
      <c r="A26462" s="2" t="s">
        <v>51499</v>
      </c>
      <c r="B26462" s="2" t="s">
        <v>51500</v>
      </c>
      <c r="C26462" s="2" t="s">
        <v>11220</v>
      </c>
      <c r="D26462" s="2" t="s">
        <v>6548</v>
      </c>
      <c r="E26462" s="2" t="str">
        <f>"9780814791134"</f>
        <v>9780814791134</v>
      </c>
      <c r="F26462" s="2" t="str">
        <f>"9780814789971"</f>
        <v>9780814789971</v>
      </c>
    </row>
    <row r="26463" spans="1:6" s="3" customFormat="1" ht="29.1" customHeight="1" x14ac:dyDescent="0.25">
      <c r="A26463" s="2" t="s">
        <v>51501</v>
      </c>
      <c r="B26463" s="2" t="s">
        <v>51502</v>
      </c>
      <c r="C26463" s="2" t="s">
        <v>11220</v>
      </c>
      <c r="D26463" s="2" t="s">
        <v>16113</v>
      </c>
      <c r="E26463" s="2" t="str">
        <f>"9780814720011"</f>
        <v>9780814720011</v>
      </c>
      <c r="F26463" s="2" t="str">
        <f>"9780814785225"</f>
        <v>9780814785225</v>
      </c>
    </row>
    <row r="26464" spans="1:6" s="3" customFormat="1" ht="29.1" customHeight="1" x14ac:dyDescent="0.25">
      <c r="A26464" s="2" t="s">
        <v>51503</v>
      </c>
      <c r="B26464" s="2" t="s">
        <v>51504</v>
      </c>
      <c r="C26464" s="2" t="s">
        <v>15181</v>
      </c>
      <c r="D26464" s="2" t="s">
        <v>210</v>
      </c>
      <c r="E26464" s="2" t="str">
        <f>"9789089640390"</f>
        <v>9789089640390</v>
      </c>
      <c r="F26464" s="2" t="str">
        <f>"9789048506149"</f>
        <v>9789048506149</v>
      </c>
    </row>
    <row r="26465" spans="1:6" s="3" customFormat="1" ht="29.1" customHeight="1" x14ac:dyDescent="0.25">
      <c r="A26465" s="2" t="s">
        <v>51505</v>
      </c>
      <c r="B26465" s="2" t="s">
        <v>51506</v>
      </c>
      <c r="C26465" s="2" t="s">
        <v>124</v>
      </c>
      <c r="D26465" s="2" t="s">
        <v>33</v>
      </c>
      <c r="E26465" s="2" t="str">
        <f>"9789089640284"</f>
        <v>9789089640284</v>
      </c>
      <c r="F26465" s="2" t="str">
        <f>"9781040782941"</f>
        <v>9781040782941</v>
      </c>
    </row>
    <row r="26466" spans="1:6" s="3" customFormat="1" ht="29.1" customHeight="1" x14ac:dyDescent="0.25">
      <c r="A26466" s="2" t="s">
        <v>51507</v>
      </c>
      <c r="B26466" s="2" t="s">
        <v>51508</v>
      </c>
      <c r="C26466" s="2" t="s">
        <v>195</v>
      </c>
      <c r="D26466" s="2" t="s">
        <v>431</v>
      </c>
      <c r="E26466" s="2" t="str">
        <f>"9783598220401"</f>
        <v>9783598220401</v>
      </c>
      <c r="F26466" s="2" t="str">
        <f>"9783598441257"</f>
        <v>9783598441257</v>
      </c>
    </row>
    <row r="26467" spans="1:6" s="3" customFormat="1" ht="29.1" customHeight="1" x14ac:dyDescent="0.25">
      <c r="A26467" s="2" t="s">
        <v>51509</v>
      </c>
      <c r="B26467" s="2" t="s">
        <v>51510</v>
      </c>
      <c r="C26467" s="2" t="s">
        <v>195</v>
      </c>
      <c r="D26467" s="2" t="s">
        <v>210</v>
      </c>
      <c r="E26467" s="2" t="str">
        <f>"9783598251252"</f>
        <v>9783598251252</v>
      </c>
      <c r="F26467" s="2" t="str">
        <f>"9783598441165"</f>
        <v>9783598441165</v>
      </c>
    </row>
    <row r="26468" spans="1:6" s="3" customFormat="1" ht="29.1" customHeight="1" x14ac:dyDescent="0.25">
      <c r="A26468" s="2" t="s">
        <v>51511</v>
      </c>
      <c r="B26468" s="2" t="s">
        <v>51512</v>
      </c>
      <c r="C26468" s="2" t="s">
        <v>195</v>
      </c>
      <c r="D26468" s="2" t="s">
        <v>107</v>
      </c>
      <c r="E26468" s="2" t="str">
        <f>"9783110202960"</f>
        <v>9783110202960</v>
      </c>
      <c r="F26468" s="2" t="str">
        <f>"9783110210682"</f>
        <v>9783110210682</v>
      </c>
    </row>
    <row r="26469" spans="1:6" s="3" customFormat="1" ht="29.1" customHeight="1" x14ac:dyDescent="0.25">
      <c r="A26469" s="2" t="s">
        <v>51513</v>
      </c>
      <c r="B26469" s="2" t="s">
        <v>51514</v>
      </c>
      <c r="C26469" s="2" t="s">
        <v>195</v>
      </c>
      <c r="D26469" s="2" t="s">
        <v>4185</v>
      </c>
      <c r="E26469" s="2" t="str">
        <f>"9783110205411"</f>
        <v>9783110205411</v>
      </c>
      <c r="F26469" s="2" t="str">
        <f>"9783110210330"</f>
        <v>9783110210330</v>
      </c>
    </row>
    <row r="26470" spans="1:6" s="3" customFormat="1" ht="29.1" customHeight="1" x14ac:dyDescent="0.25">
      <c r="A26470" s="2" t="s">
        <v>51515</v>
      </c>
      <c r="B26470" s="2" t="s">
        <v>51516</v>
      </c>
      <c r="C26470" s="2" t="s">
        <v>195</v>
      </c>
      <c r="D26470" s="2" t="s">
        <v>107</v>
      </c>
      <c r="E26470" s="2" t="str">
        <f>"9783110186215"</f>
        <v>9783110186215</v>
      </c>
      <c r="F26470" s="2" t="str">
        <f>"9783110209709"</f>
        <v>9783110209709</v>
      </c>
    </row>
    <row r="26471" spans="1:6" s="3" customFormat="1" ht="29.1" customHeight="1" x14ac:dyDescent="0.25">
      <c r="A26471" s="2" t="s">
        <v>51517</v>
      </c>
      <c r="B26471" s="2" t="s">
        <v>51518</v>
      </c>
      <c r="C26471" s="2" t="s">
        <v>195</v>
      </c>
      <c r="D26471" s="2" t="s">
        <v>431</v>
      </c>
      <c r="E26471" s="2" t="str">
        <f>"9783598243714"</f>
        <v>9783598243714</v>
      </c>
      <c r="F26471" s="2" t="str">
        <f>"9783598440113"</f>
        <v>9783598440113</v>
      </c>
    </row>
    <row r="26472" spans="1:6" s="3" customFormat="1" ht="29.1" customHeight="1" x14ac:dyDescent="0.25">
      <c r="A26472" s="2" t="s">
        <v>51519</v>
      </c>
      <c r="B26472" s="2" t="s">
        <v>51520</v>
      </c>
      <c r="C26472" s="2" t="s">
        <v>195</v>
      </c>
      <c r="D26472" s="2" t="s">
        <v>107</v>
      </c>
      <c r="E26472" s="2" t="str">
        <f>"9783110189858"</f>
        <v>9783110189858</v>
      </c>
      <c r="F26472" s="2" t="str">
        <f>"9783110210125"</f>
        <v>9783110210125</v>
      </c>
    </row>
    <row r="26473" spans="1:6" s="3" customFormat="1" ht="29.1" customHeight="1" x14ac:dyDescent="0.25">
      <c r="A26473" s="2" t="s">
        <v>51521</v>
      </c>
      <c r="B26473" s="2" t="s">
        <v>51522</v>
      </c>
      <c r="C26473" s="2" t="s">
        <v>8047</v>
      </c>
      <c r="D26473" s="2" t="s">
        <v>8388</v>
      </c>
      <c r="E26473" s="2" t="str">
        <f>"9780271034386"</f>
        <v>9780271034386</v>
      </c>
      <c r="F26473" s="2" t="str">
        <f>"9780271036519"</f>
        <v>9780271036519</v>
      </c>
    </row>
    <row r="26474" spans="1:6" s="3" customFormat="1" ht="29.1" customHeight="1" x14ac:dyDescent="0.25">
      <c r="A26474" s="2" t="s">
        <v>51523</v>
      </c>
      <c r="B26474" s="2" t="s">
        <v>51524</v>
      </c>
      <c r="C26474" s="2" t="s">
        <v>124</v>
      </c>
      <c r="D26474" s="2" t="s">
        <v>402</v>
      </c>
      <c r="E26474" s="2" t="str">
        <f>"9780754651840"</f>
        <v>9780754651840</v>
      </c>
      <c r="F26474" s="2" t="str">
        <f>"9781317137559"</f>
        <v>9781317137559</v>
      </c>
    </row>
    <row r="26475" spans="1:6" s="3" customFormat="1" ht="29.1" customHeight="1" x14ac:dyDescent="0.25">
      <c r="A26475" s="2" t="s">
        <v>51525</v>
      </c>
      <c r="B26475" s="2" t="s">
        <v>51526</v>
      </c>
      <c r="C26475" s="2" t="s">
        <v>195</v>
      </c>
      <c r="D26475" s="2" t="s">
        <v>210</v>
      </c>
      <c r="E26475" s="2" t="str">
        <f>"9783598251221"</f>
        <v>9783598251221</v>
      </c>
      <c r="F26475" s="2" t="str">
        <f>"9783598441172"</f>
        <v>9783598441172</v>
      </c>
    </row>
    <row r="26476" spans="1:6" s="3" customFormat="1" ht="29.1" customHeight="1" x14ac:dyDescent="0.25">
      <c r="A26476" s="2" t="s">
        <v>51527</v>
      </c>
      <c r="B26476" s="2" t="s">
        <v>51528</v>
      </c>
      <c r="C26476" s="2" t="s">
        <v>195</v>
      </c>
      <c r="D26476" s="2" t="s">
        <v>431</v>
      </c>
      <c r="E26476" s="2" t="str">
        <f>"9783598220333"</f>
        <v>9783598220333</v>
      </c>
      <c r="F26476" s="2" t="str">
        <f>"9783598440281"</f>
        <v>9783598440281</v>
      </c>
    </row>
    <row r="26477" spans="1:6" s="3" customFormat="1" ht="29.1" customHeight="1" x14ac:dyDescent="0.25">
      <c r="A26477" s="2" t="s">
        <v>51529</v>
      </c>
      <c r="B26477" s="2" t="s">
        <v>51530</v>
      </c>
      <c r="C26477" s="2" t="s">
        <v>195</v>
      </c>
      <c r="D26477" s="2" t="s">
        <v>431</v>
      </c>
      <c r="E26477" s="2" t="str">
        <f>"9783598220302"</f>
        <v>9783598220302</v>
      </c>
      <c r="F26477" s="2" t="str">
        <f>"9783598440243"</f>
        <v>9783598440243</v>
      </c>
    </row>
    <row r="26478" spans="1:6" s="3" customFormat="1" ht="29.1" customHeight="1" x14ac:dyDescent="0.25">
      <c r="A26478" s="2" t="s">
        <v>51531</v>
      </c>
      <c r="B26478" s="2" t="s">
        <v>51532</v>
      </c>
      <c r="C26478" s="2" t="s">
        <v>195</v>
      </c>
      <c r="D26478" s="2" t="s">
        <v>431</v>
      </c>
      <c r="E26478" s="2" t="str">
        <f>"9783598218484"</f>
        <v>9783598218484</v>
      </c>
      <c r="F26478" s="2" t="str">
        <f>"9783598440229"</f>
        <v>9783598440229</v>
      </c>
    </row>
    <row r="26479" spans="1:6" s="3" customFormat="1" ht="29.1" customHeight="1" x14ac:dyDescent="0.25">
      <c r="A26479" s="2" t="s">
        <v>51533</v>
      </c>
      <c r="B26479" s="2" t="s">
        <v>51534</v>
      </c>
      <c r="C26479" s="2" t="s">
        <v>195</v>
      </c>
      <c r="D26479" s="2" t="s">
        <v>431</v>
      </c>
      <c r="E26479" s="2" t="str">
        <f>"9783598218446"</f>
        <v>9783598218446</v>
      </c>
      <c r="F26479" s="2" t="str">
        <f>"9783598440168"</f>
        <v>9783598440168</v>
      </c>
    </row>
    <row r="26480" spans="1:6" s="3" customFormat="1" ht="29.1" customHeight="1" x14ac:dyDescent="0.25">
      <c r="A26480" s="2" t="s">
        <v>51535</v>
      </c>
      <c r="B26480" s="2" t="s">
        <v>51536</v>
      </c>
      <c r="C26480" s="2" t="s">
        <v>195</v>
      </c>
      <c r="D26480" s="2" t="s">
        <v>118</v>
      </c>
      <c r="E26480" s="2" t="str">
        <f>"9783110202496"</f>
        <v>9783110202496</v>
      </c>
      <c r="F26480" s="2" t="str">
        <f>"9783110211665"</f>
        <v>9783110211665</v>
      </c>
    </row>
    <row r="26481" spans="1:6" s="3" customFormat="1" ht="29.1" customHeight="1" x14ac:dyDescent="0.25">
      <c r="A26481" s="2" t="s">
        <v>51537</v>
      </c>
      <c r="B26481" s="2" t="s">
        <v>51538</v>
      </c>
      <c r="C26481" s="2" t="s">
        <v>195</v>
      </c>
      <c r="D26481" s="2" t="s">
        <v>462</v>
      </c>
      <c r="E26481" s="2" t="str">
        <f>"9783110182316"</f>
        <v>9783110182316</v>
      </c>
      <c r="F26481" s="2" t="str">
        <f>"9783110204711"</f>
        <v>9783110204711</v>
      </c>
    </row>
    <row r="26482" spans="1:6" s="3" customFormat="1" ht="29.1" customHeight="1" x14ac:dyDescent="0.25">
      <c r="A26482" s="2" t="s">
        <v>51539</v>
      </c>
      <c r="B26482" s="2" t="s">
        <v>51540</v>
      </c>
      <c r="C26482" s="2" t="s">
        <v>124</v>
      </c>
      <c r="D26482" s="2" t="s">
        <v>1162</v>
      </c>
      <c r="E26482" s="2" t="str">
        <f>"9789053566893"</f>
        <v>9789053566893</v>
      </c>
      <c r="F26482" s="2" t="str">
        <f>"9781040788066"</f>
        <v>9781040788066</v>
      </c>
    </row>
    <row r="26483" spans="1:6" s="3" customFormat="1" ht="29.1" customHeight="1" x14ac:dyDescent="0.25">
      <c r="A26483" s="2" t="s">
        <v>51541</v>
      </c>
      <c r="B26483" s="2" t="s">
        <v>51542</v>
      </c>
      <c r="C26483" s="2" t="s">
        <v>124</v>
      </c>
      <c r="D26483" s="2" t="s">
        <v>270</v>
      </c>
      <c r="E26483" s="2" t="str">
        <f>"9789053560327"</f>
        <v>9789053560327</v>
      </c>
      <c r="F26483" s="2" t="str">
        <f>"9781040783252"</f>
        <v>9781040783252</v>
      </c>
    </row>
    <row r="26484" spans="1:6" s="3" customFormat="1" ht="29.1" customHeight="1" x14ac:dyDescent="0.25">
      <c r="A26484" s="2" t="s">
        <v>51543</v>
      </c>
      <c r="B26484" s="2" t="s">
        <v>51544</v>
      </c>
      <c r="C26484" s="2" t="s">
        <v>124</v>
      </c>
      <c r="D26484" s="2" t="s">
        <v>653</v>
      </c>
      <c r="E26484" s="2" t="str">
        <f>"9789053569078"</f>
        <v>9789053569078</v>
      </c>
      <c r="F26484" s="2" t="str">
        <f>"9781040787878"</f>
        <v>9781040787878</v>
      </c>
    </row>
    <row r="26485" spans="1:6" s="3" customFormat="1" ht="29.1" customHeight="1" x14ac:dyDescent="0.25">
      <c r="A26485" s="2" t="s">
        <v>51545</v>
      </c>
      <c r="B26485" s="2" t="s">
        <v>51546</v>
      </c>
      <c r="C26485" s="2" t="s">
        <v>3248</v>
      </c>
      <c r="D26485" s="2" t="s">
        <v>297</v>
      </c>
      <c r="E26485" s="2" t="str">
        <f>"9780813544489"</f>
        <v>9780813544489</v>
      </c>
      <c r="F26485" s="2" t="str">
        <f>"9780813545967"</f>
        <v>9780813545967</v>
      </c>
    </row>
    <row r="26486" spans="1:6" s="3" customFormat="1" ht="29.1" customHeight="1" x14ac:dyDescent="0.25">
      <c r="A26486" s="2" t="s">
        <v>51547</v>
      </c>
      <c r="B26486" s="2" t="s">
        <v>18633</v>
      </c>
      <c r="C26486" s="2" t="s">
        <v>29</v>
      </c>
      <c r="D26486" s="2" t="s">
        <v>192</v>
      </c>
      <c r="E26486" s="2" t="str">
        <f>"9789004165151"</f>
        <v>9789004165151</v>
      </c>
      <c r="F26486" s="2" t="str">
        <f>"9789047423904"</f>
        <v>9789047423904</v>
      </c>
    </row>
    <row r="26487" spans="1:6" s="3" customFormat="1" ht="29.1" customHeight="1" x14ac:dyDescent="0.25">
      <c r="A26487" s="2" t="s">
        <v>51548</v>
      </c>
      <c r="B26487" s="2" t="s">
        <v>51549</v>
      </c>
      <c r="C26487" s="2" t="s">
        <v>29</v>
      </c>
      <c r="D26487" s="2" t="s">
        <v>7460</v>
      </c>
      <c r="E26487" s="2" t="str">
        <f>"9789004163010"</f>
        <v>9789004163010</v>
      </c>
      <c r="F26487" s="2" t="str">
        <f>"9789047423317"</f>
        <v>9789047423317</v>
      </c>
    </row>
    <row r="26488" spans="1:6" s="3" customFormat="1" ht="29.1" customHeight="1" x14ac:dyDescent="0.25">
      <c r="A26488" s="2" t="s">
        <v>51550</v>
      </c>
      <c r="B26488" s="2" t="s">
        <v>51551</v>
      </c>
      <c r="C26488" s="2" t="s">
        <v>29</v>
      </c>
      <c r="D26488" s="2" t="s">
        <v>118</v>
      </c>
      <c r="E26488" s="2" t="str">
        <f>"9789004165069"</f>
        <v>9789004165069</v>
      </c>
      <c r="F26488" s="2" t="str">
        <f>"9789047422938"</f>
        <v>9789047422938</v>
      </c>
    </row>
    <row r="26489" spans="1:6" s="3" customFormat="1" ht="29.1" customHeight="1" x14ac:dyDescent="0.25">
      <c r="A26489" s="2" t="s">
        <v>51552</v>
      </c>
      <c r="B26489" s="2" t="s">
        <v>51553</v>
      </c>
      <c r="C26489" s="2" t="s">
        <v>29</v>
      </c>
      <c r="D26489" s="2" t="s">
        <v>509</v>
      </c>
      <c r="E26489" s="2" t="str">
        <f>"9789004161535"</f>
        <v>9789004161535</v>
      </c>
      <c r="F26489" s="2" t="str">
        <f>"9789047421474"</f>
        <v>9789047421474</v>
      </c>
    </row>
    <row r="26490" spans="1:6" s="3" customFormat="1" ht="29.1" customHeight="1" x14ac:dyDescent="0.25">
      <c r="A26490" s="2" t="s">
        <v>51554</v>
      </c>
      <c r="B26490" s="2" t="s">
        <v>51555</v>
      </c>
      <c r="C26490" s="2" t="s">
        <v>29</v>
      </c>
      <c r="D26490" s="2" t="s">
        <v>118</v>
      </c>
      <c r="E26490" s="2" t="str">
        <f>"9789004160330"</f>
        <v>9789004160330</v>
      </c>
      <c r="F26490" s="2" t="str">
        <f>"9789047420637"</f>
        <v>9789047420637</v>
      </c>
    </row>
    <row r="26491" spans="1:6" s="3" customFormat="1" ht="29.1" customHeight="1" x14ac:dyDescent="0.25">
      <c r="A26491" s="2" t="s">
        <v>51556</v>
      </c>
      <c r="B26491" s="2" t="s">
        <v>51557</v>
      </c>
      <c r="C26491" s="2" t="s">
        <v>29</v>
      </c>
      <c r="D26491" s="2" t="s">
        <v>509</v>
      </c>
      <c r="E26491" s="2" t="str">
        <f>"9789004158283"</f>
        <v>9789004158283</v>
      </c>
      <c r="F26491" s="2" t="str">
        <f>"9789047419747"</f>
        <v>9789047419747</v>
      </c>
    </row>
    <row r="26492" spans="1:6" s="3" customFormat="1" ht="29.1" customHeight="1" x14ac:dyDescent="0.25">
      <c r="A26492" s="2" t="s">
        <v>51558</v>
      </c>
      <c r="B26492" s="2" t="s">
        <v>51559</v>
      </c>
      <c r="C26492" s="2" t="s">
        <v>29</v>
      </c>
      <c r="D26492" s="2" t="s">
        <v>14574</v>
      </c>
      <c r="E26492" s="2" t="str">
        <f>"9789004158238"</f>
        <v>9789004158238</v>
      </c>
      <c r="F26492" s="2" t="str">
        <f>"9789047419617"</f>
        <v>9789047419617</v>
      </c>
    </row>
    <row r="26493" spans="1:6" s="3" customFormat="1" ht="29.1" customHeight="1" x14ac:dyDescent="0.25">
      <c r="A26493" s="2" t="s">
        <v>51560</v>
      </c>
      <c r="B26493" s="2" t="s">
        <v>51561</v>
      </c>
      <c r="C26493" s="2" t="s">
        <v>29</v>
      </c>
      <c r="D26493" s="2" t="s">
        <v>1541</v>
      </c>
      <c r="E26493" s="2" t="str">
        <f>"9789004156791"</f>
        <v>9789004156791</v>
      </c>
      <c r="F26493" s="2" t="str">
        <f>"9789047419365"</f>
        <v>9789047419365</v>
      </c>
    </row>
    <row r="26494" spans="1:6" s="3" customFormat="1" ht="29.1" customHeight="1" x14ac:dyDescent="0.25">
      <c r="A26494" s="2" t="s">
        <v>51562</v>
      </c>
      <c r="B26494" s="2" t="s">
        <v>51563</v>
      </c>
      <c r="C26494" s="2" t="s">
        <v>195</v>
      </c>
      <c r="D26494" s="2" t="s">
        <v>431</v>
      </c>
      <c r="E26494" s="2" t="str">
        <f>"9783598220388"</f>
        <v>9783598220388</v>
      </c>
      <c r="F26494" s="2" t="str">
        <f>"9783598440953"</f>
        <v>9783598440953</v>
      </c>
    </row>
    <row r="26495" spans="1:6" s="3" customFormat="1" ht="29.1" customHeight="1" x14ac:dyDescent="0.25">
      <c r="A26495" s="2" t="s">
        <v>51564</v>
      </c>
      <c r="B26495" s="2" t="s">
        <v>51565</v>
      </c>
      <c r="C26495" s="2" t="s">
        <v>195</v>
      </c>
      <c r="D26495" s="2" t="s">
        <v>4185</v>
      </c>
      <c r="E26495" s="2" t="str">
        <f>"9783110191295"</f>
        <v>9783110191295</v>
      </c>
      <c r="F26495" s="2" t="str">
        <f>"9783110204261"</f>
        <v>9783110204261</v>
      </c>
    </row>
    <row r="26496" spans="1:6" s="3" customFormat="1" ht="29.1" customHeight="1" x14ac:dyDescent="0.25">
      <c r="A26496" s="2" t="s">
        <v>51566</v>
      </c>
      <c r="B26496" s="2" t="s">
        <v>51567</v>
      </c>
      <c r="C26496" s="2" t="s">
        <v>195</v>
      </c>
      <c r="D26496" s="2" t="s">
        <v>462</v>
      </c>
      <c r="E26496" s="2" t="str">
        <f>"9783110196450"</f>
        <v>9783110196450</v>
      </c>
      <c r="F26496" s="2" t="str">
        <f>"9783110203998"</f>
        <v>9783110203998</v>
      </c>
    </row>
    <row r="26497" spans="1:6" s="3" customFormat="1" ht="29.1" customHeight="1" x14ac:dyDescent="0.25">
      <c r="A26497" s="2" t="s">
        <v>51568</v>
      </c>
      <c r="B26497" s="2" t="s">
        <v>34310</v>
      </c>
      <c r="C26497" s="2" t="s">
        <v>31902</v>
      </c>
      <c r="D26497" s="2" t="s">
        <v>6</v>
      </c>
      <c r="E26497" s="2" t="str">
        <f>"9782868839381"</f>
        <v>9782868839381</v>
      </c>
      <c r="F26497" s="2" t="str">
        <f>"9782759801022"</f>
        <v>9782759801022</v>
      </c>
    </row>
    <row r="26498" spans="1:6" s="3" customFormat="1" ht="29.1" customHeight="1" x14ac:dyDescent="0.25">
      <c r="A26498" s="2" t="s">
        <v>51569</v>
      </c>
      <c r="B26498" s="2" t="s">
        <v>51570</v>
      </c>
      <c r="C26498" s="2" t="s">
        <v>4104</v>
      </c>
      <c r="D26498" s="2" t="s">
        <v>3993</v>
      </c>
      <c r="E26498" s="2" t="str">
        <f>"9780853238393"</f>
        <v>9780853238393</v>
      </c>
      <c r="F26498" s="2" t="str">
        <f>"9781781387733"</f>
        <v>9781781387733</v>
      </c>
    </row>
    <row r="26499" spans="1:6" s="3" customFormat="1" ht="29.1" customHeight="1" x14ac:dyDescent="0.25">
      <c r="A26499" s="2" t="s">
        <v>51571</v>
      </c>
      <c r="B26499" s="2" t="s">
        <v>51572</v>
      </c>
      <c r="C26499" s="2" t="s">
        <v>4104</v>
      </c>
      <c r="D26499" s="2" t="s">
        <v>1999</v>
      </c>
      <c r="E26499" s="2" t="str">
        <f>"9781846311147"</f>
        <v>9781846311147</v>
      </c>
      <c r="F26499" s="2" t="str">
        <f>"9781846313875"</f>
        <v>9781846313875</v>
      </c>
    </row>
    <row r="26500" spans="1:6" s="3" customFormat="1" ht="29.1" customHeight="1" x14ac:dyDescent="0.25">
      <c r="A26500" s="2" t="s">
        <v>51573</v>
      </c>
      <c r="B26500" s="2" t="s">
        <v>51574</v>
      </c>
      <c r="C26500" s="2" t="s">
        <v>5050</v>
      </c>
      <c r="D26500" s="2" t="s">
        <v>49736</v>
      </c>
      <c r="E26500" s="2" t="str">
        <f>"9780824831950"</f>
        <v>9780824831950</v>
      </c>
      <c r="F26500" s="2" t="str">
        <f>"9780824862282"</f>
        <v>9780824862282</v>
      </c>
    </row>
    <row r="26501" spans="1:6" s="3" customFormat="1" ht="29.1" customHeight="1" x14ac:dyDescent="0.25">
      <c r="A26501" s="2" t="s">
        <v>51575</v>
      </c>
      <c r="B26501" s="2" t="s">
        <v>51576</v>
      </c>
      <c r="C26501" s="2" t="s">
        <v>5050</v>
      </c>
      <c r="D26501" s="2" t="s">
        <v>3889</v>
      </c>
      <c r="E26501" s="2" t="str">
        <f>"9780824830731"</f>
        <v>9780824830731</v>
      </c>
      <c r="F26501" s="2" t="str">
        <f>"9781435666337"</f>
        <v>9781435666337</v>
      </c>
    </row>
    <row r="26502" spans="1:6" s="3" customFormat="1" ht="29.1" customHeight="1" x14ac:dyDescent="0.25">
      <c r="A26502" s="2" t="s">
        <v>51577</v>
      </c>
      <c r="B26502" s="2" t="s">
        <v>51578</v>
      </c>
      <c r="C26502" s="2" t="s">
        <v>29</v>
      </c>
      <c r="D26502" s="2" t="s">
        <v>509</v>
      </c>
      <c r="E26502" s="2" t="str">
        <f>"9789004154605"</f>
        <v>9789004154605</v>
      </c>
      <c r="F26502" s="2" t="str">
        <f>"9789047411345"</f>
        <v>9789047411345</v>
      </c>
    </row>
    <row r="26503" spans="1:6" s="3" customFormat="1" ht="29.1" customHeight="1" x14ac:dyDescent="0.25">
      <c r="A26503" s="2" t="s">
        <v>51579</v>
      </c>
      <c r="B26503" s="2" t="s">
        <v>51580</v>
      </c>
      <c r="C26503" s="2" t="s">
        <v>29</v>
      </c>
      <c r="D26503" s="2" t="s">
        <v>4160</v>
      </c>
      <c r="E26503" s="2" t="str">
        <f>"9789004152649"</f>
        <v>9789004152649</v>
      </c>
      <c r="F26503" s="2" t="str">
        <f>"9789047410386"</f>
        <v>9789047410386</v>
      </c>
    </row>
    <row r="26504" spans="1:6" s="3" customFormat="1" ht="29.1" customHeight="1" x14ac:dyDescent="0.25">
      <c r="A26504" s="2" t="s">
        <v>51581</v>
      </c>
      <c r="B26504" s="2" t="s">
        <v>51582</v>
      </c>
      <c r="C26504" s="2" t="s">
        <v>29</v>
      </c>
      <c r="D26504" s="2" t="s">
        <v>1432</v>
      </c>
      <c r="E26504" s="2" t="str">
        <f>"9789004153127"</f>
        <v>9789004153127</v>
      </c>
      <c r="F26504" s="2" t="str">
        <f>"9789047410638"</f>
        <v>9789047410638</v>
      </c>
    </row>
    <row r="26505" spans="1:6" s="3" customFormat="1" ht="29.1" customHeight="1" x14ac:dyDescent="0.25">
      <c r="A26505" s="2" t="s">
        <v>51583</v>
      </c>
      <c r="B26505" s="2" t="s">
        <v>51584</v>
      </c>
      <c r="C26505" s="2" t="s">
        <v>29</v>
      </c>
      <c r="D26505" s="2" t="s">
        <v>509</v>
      </c>
      <c r="E26505" s="2" t="str">
        <f>"9789004154674"</f>
        <v>9789004154674</v>
      </c>
      <c r="F26505" s="2" t="str">
        <f>"9789047411383"</f>
        <v>9789047411383</v>
      </c>
    </row>
    <row r="26506" spans="1:6" s="3" customFormat="1" ht="29.1" customHeight="1" x14ac:dyDescent="0.25">
      <c r="A26506" s="2" t="s">
        <v>51585</v>
      </c>
      <c r="B26506" s="2" t="s">
        <v>40665</v>
      </c>
      <c r="C26506" s="2" t="s">
        <v>11220</v>
      </c>
      <c r="D26506" s="2" t="s">
        <v>3889</v>
      </c>
      <c r="E26506" s="2" t="str">
        <f>"9780814798911"</f>
        <v>9780814798911</v>
      </c>
      <c r="F26506" s="2" t="str">
        <f>"9780814789988"</f>
        <v>9780814789988</v>
      </c>
    </row>
    <row r="26507" spans="1:6" s="3" customFormat="1" ht="29.1" customHeight="1" x14ac:dyDescent="0.25">
      <c r="A26507" s="2" t="s">
        <v>51586</v>
      </c>
      <c r="B26507" s="2" t="s">
        <v>51587</v>
      </c>
      <c r="C26507" s="2" t="s">
        <v>131</v>
      </c>
      <c r="D26507" s="2" t="s">
        <v>818</v>
      </c>
      <c r="E26507" s="2" t="str">
        <f>"9789027232434"</f>
        <v>9789027232434</v>
      </c>
      <c r="F26507" s="2" t="str">
        <f>"9789027291707"</f>
        <v>9789027291707</v>
      </c>
    </row>
    <row r="26508" spans="1:6" s="3" customFormat="1" ht="29.1" customHeight="1" x14ac:dyDescent="0.25">
      <c r="A26508" s="2" t="s">
        <v>51588</v>
      </c>
      <c r="B26508" s="2" t="s">
        <v>51589</v>
      </c>
      <c r="C26508" s="2" t="s">
        <v>8047</v>
      </c>
      <c r="D26508" s="2" t="s">
        <v>3394</v>
      </c>
      <c r="E26508" s="2" t="str">
        <f>"9780271032795"</f>
        <v>9780271032795</v>
      </c>
      <c r="F26508" s="2" t="str">
        <f>"9780271034997"</f>
        <v>9780271034997</v>
      </c>
    </row>
    <row r="26509" spans="1:6" s="3" customFormat="1" ht="29.1" customHeight="1" x14ac:dyDescent="0.25">
      <c r="A26509" s="2" t="s">
        <v>51590</v>
      </c>
      <c r="B26509" s="2" t="s">
        <v>51591</v>
      </c>
      <c r="C26509" s="2" t="s">
        <v>8047</v>
      </c>
      <c r="D26509" s="2" t="s">
        <v>17547</v>
      </c>
      <c r="E26509" s="2" t="str">
        <f>"9780271032696"</f>
        <v>9780271032696</v>
      </c>
      <c r="F26509" s="2" t="str">
        <f>"9780271034973"</f>
        <v>9780271034973</v>
      </c>
    </row>
    <row r="26510" spans="1:6" s="3" customFormat="1" ht="29.1" customHeight="1" x14ac:dyDescent="0.25">
      <c r="A26510" s="2" t="s">
        <v>51592</v>
      </c>
      <c r="B26510" s="2" t="s">
        <v>51593</v>
      </c>
      <c r="C26510" s="2" t="s">
        <v>8047</v>
      </c>
      <c r="D26510" s="2" t="s">
        <v>1999</v>
      </c>
      <c r="E26510" s="2" t="str">
        <f>"9780271032672"</f>
        <v>9780271032672</v>
      </c>
      <c r="F26510" s="2" t="str">
        <f>"9780271034966"</f>
        <v>9780271034966</v>
      </c>
    </row>
    <row r="26511" spans="1:6" s="3" customFormat="1" ht="29.1" customHeight="1" x14ac:dyDescent="0.25">
      <c r="A26511" s="2" t="s">
        <v>51594</v>
      </c>
      <c r="B26511" s="2" t="s">
        <v>51595</v>
      </c>
      <c r="C26511" s="2" t="s">
        <v>11220</v>
      </c>
      <c r="D26511" s="2" t="s">
        <v>16113</v>
      </c>
      <c r="E26511" s="2" t="str">
        <f>"9780814719916"</f>
        <v>9780814719916</v>
      </c>
      <c r="F26511" s="2" t="str">
        <f>"9780814785218"</f>
        <v>9780814785218</v>
      </c>
    </row>
    <row r="26512" spans="1:6" s="3" customFormat="1" ht="29.1" customHeight="1" x14ac:dyDescent="0.25">
      <c r="A26512" s="2" t="s">
        <v>51596</v>
      </c>
      <c r="B26512" s="2" t="s">
        <v>51597</v>
      </c>
      <c r="C26512" s="2" t="s">
        <v>11220</v>
      </c>
      <c r="D26512" s="2" t="s">
        <v>125</v>
      </c>
      <c r="E26512" s="2" t="str">
        <f>"9780814727607"</f>
        <v>9780814727607</v>
      </c>
      <c r="F26512" s="2" t="str">
        <f>"9780814728505"</f>
        <v>9780814728505</v>
      </c>
    </row>
    <row r="26513" spans="1:6" s="3" customFormat="1" ht="29.1" customHeight="1" x14ac:dyDescent="0.25">
      <c r="A26513" s="2" t="s">
        <v>51598</v>
      </c>
      <c r="B26513" s="2" t="s">
        <v>51599</v>
      </c>
      <c r="C26513" s="2" t="s">
        <v>11220</v>
      </c>
      <c r="D26513" s="2" t="s">
        <v>159</v>
      </c>
      <c r="E26513" s="2" t="str">
        <f>"9780814757024"</f>
        <v>9780814757024</v>
      </c>
      <c r="F26513" s="2" t="str">
        <f>"9780814762516"</f>
        <v>9780814762516</v>
      </c>
    </row>
    <row r="26514" spans="1:6" s="3" customFormat="1" ht="29.1" customHeight="1" x14ac:dyDescent="0.25">
      <c r="A26514" s="2" t="s">
        <v>16596</v>
      </c>
      <c r="B26514" s="2" t="s">
        <v>16598</v>
      </c>
      <c r="C26514" s="2" t="s">
        <v>11220</v>
      </c>
      <c r="D26514" s="2" t="s">
        <v>16597</v>
      </c>
      <c r="E26514" s="2" t="str">
        <f>"9780814757192"</f>
        <v>9780814757192</v>
      </c>
      <c r="F26514" s="2" t="str">
        <f>"9780814764428"</f>
        <v>9780814764428</v>
      </c>
    </row>
    <row r="26515" spans="1:6" s="3" customFormat="1" ht="29.1" customHeight="1" x14ac:dyDescent="0.25">
      <c r="A26515" s="2" t="s">
        <v>51600</v>
      </c>
      <c r="B26515" s="2" t="s">
        <v>51601</v>
      </c>
      <c r="C26515" s="2" t="s">
        <v>124</v>
      </c>
      <c r="D26515" s="2" t="s">
        <v>509</v>
      </c>
      <c r="E26515" s="2" t="str">
        <f>"9789053560150"</f>
        <v>9789053560150</v>
      </c>
      <c r="F26515" s="2" t="str">
        <f>"9781040778227"</f>
        <v>9781040778227</v>
      </c>
    </row>
    <row r="26516" spans="1:6" s="3" customFormat="1" ht="29.1" customHeight="1" x14ac:dyDescent="0.25">
      <c r="A26516" s="2" t="s">
        <v>51602</v>
      </c>
      <c r="B26516" s="2" t="s">
        <v>51603</v>
      </c>
      <c r="C26516" s="2" t="s">
        <v>124</v>
      </c>
      <c r="D26516" s="2" t="s">
        <v>653</v>
      </c>
      <c r="E26516" s="2" t="str">
        <f>"9789053569955"</f>
        <v>9789053569955</v>
      </c>
      <c r="F26516" s="2" t="str">
        <f>"9781040775974"</f>
        <v>9781040775974</v>
      </c>
    </row>
    <row r="26517" spans="1:6" s="3" customFormat="1" ht="29.1" customHeight="1" x14ac:dyDescent="0.25">
      <c r="A26517" s="2" t="s">
        <v>51604</v>
      </c>
      <c r="B26517" s="2" t="s">
        <v>51256</v>
      </c>
      <c r="C26517" s="2" t="s">
        <v>3169</v>
      </c>
      <c r="D26517" s="2" t="s">
        <v>1419</v>
      </c>
      <c r="E26517" s="2" t="str">
        <f>"9781580461221"</f>
        <v>9781580461221</v>
      </c>
      <c r="F26517" s="2" t="str">
        <f>"9781580466134"</f>
        <v>9781580466134</v>
      </c>
    </row>
    <row r="26518" spans="1:6" s="3" customFormat="1" ht="29.1" customHeight="1" x14ac:dyDescent="0.25">
      <c r="A26518" s="2" t="s">
        <v>51605</v>
      </c>
      <c r="B26518" s="2" t="s">
        <v>51607</v>
      </c>
      <c r="C26518" s="2" t="s">
        <v>11220</v>
      </c>
      <c r="D26518" s="2" t="s">
        <v>51606</v>
      </c>
      <c r="E26518" s="2" t="str">
        <f>"9780814719909"</f>
        <v>9780814719909</v>
      </c>
      <c r="F26518" s="2" t="str">
        <f>"9780814785171"</f>
        <v>9780814785171</v>
      </c>
    </row>
    <row r="26519" spans="1:6" s="3" customFormat="1" ht="29.1" customHeight="1" x14ac:dyDescent="0.25">
      <c r="A26519" s="2" t="s">
        <v>51608</v>
      </c>
      <c r="B26519" s="2" t="s">
        <v>51609</v>
      </c>
      <c r="C26519" s="2" t="s">
        <v>36</v>
      </c>
      <c r="D26519" s="2" t="s">
        <v>484</v>
      </c>
      <c r="E26519" s="2" t="str">
        <f>"9781861348418"</f>
        <v>9781861348418</v>
      </c>
      <c r="F26519" s="2" t="str">
        <f>"9781847421647"</f>
        <v>9781847421647</v>
      </c>
    </row>
    <row r="26520" spans="1:6" s="3" customFormat="1" ht="29.1" customHeight="1" x14ac:dyDescent="0.25">
      <c r="A26520" s="2" t="s">
        <v>51610</v>
      </c>
      <c r="B26520" s="2" t="s">
        <v>51611</v>
      </c>
      <c r="C26520" s="2" t="s">
        <v>11220</v>
      </c>
      <c r="D26520" s="2" t="s">
        <v>14574</v>
      </c>
      <c r="E26520" s="2" t="str">
        <f>"9780814752173"</f>
        <v>9780814752173</v>
      </c>
      <c r="F26520" s="2" t="str">
        <f>"9780814753385"</f>
        <v>9780814753385</v>
      </c>
    </row>
    <row r="26521" spans="1:6" s="3" customFormat="1" ht="29.1" customHeight="1" x14ac:dyDescent="0.25">
      <c r="A26521" s="2" t="s">
        <v>51612</v>
      </c>
      <c r="B26521" s="2" t="s">
        <v>51613</v>
      </c>
      <c r="C26521" s="2" t="s">
        <v>11220</v>
      </c>
      <c r="D26521" s="2" t="s">
        <v>16468</v>
      </c>
      <c r="E26521" s="2" t="str">
        <f>"9780814720103"</f>
        <v>9780814720103</v>
      </c>
      <c r="F26521" s="2" t="str">
        <f>"9780814785133"</f>
        <v>9780814785133</v>
      </c>
    </row>
    <row r="26522" spans="1:6" s="3" customFormat="1" ht="29.1" customHeight="1" x14ac:dyDescent="0.25">
      <c r="A26522" s="2" t="s">
        <v>51614</v>
      </c>
      <c r="B26522" s="2" t="s">
        <v>47623</v>
      </c>
      <c r="C26522" s="2" t="s">
        <v>11220</v>
      </c>
      <c r="D26522" s="2" t="s">
        <v>3966</v>
      </c>
      <c r="E26522" s="2" t="str">
        <f>"9780814719732"</f>
        <v>9780814719732</v>
      </c>
      <c r="F26522" s="2" t="str">
        <f>"9780814785157"</f>
        <v>9780814785157</v>
      </c>
    </row>
    <row r="26523" spans="1:6" s="3" customFormat="1" ht="29.1" customHeight="1" x14ac:dyDescent="0.25">
      <c r="A26523" s="2" t="s">
        <v>51615</v>
      </c>
      <c r="B26523" s="2" t="s">
        <v>51616</v>
      </c>
      <c r="C26523" s="2" t="s">
        <v>11220</v>
      </c>
      <c r="D26523" s="2" t="s">
        <v>4064</v>
      </c>
      <c r="E26523" s="2" t="str">
        <f>"9780814740255"</f>
        <v>9780814740255</v>
      </c>
      <c r="F26523" s="2" t="str">
        <f>"9780814708811"</f>
        <v>9780814708811</v>
      </c>
    </row>
    <row r="26524" spans="1:6" s="3" customFormat="1" ht="29.1" customHeight="1" x14ac:dyDescent="0.25">
      <c r="A26524" s="2" t="s">
        <v>51617</v>
      </c>
      <c r="B26524" s="2" t="s">
        <v>51618</v>
      </c>
      <c r="C26524" s="2" t="s">
        <v>124</v>
      </c>
      <c r="D26524" s="2" t="s">
        <v>210</v>
      </c>
      <c r="E26524" s="2" t="str">
        <f>"9780415961295"</f>
        <v>9780415961295</v>
      </c>
      <c r="F26524" s="2" t="str">
        <f>"9781135899035"</f>
        <v>9781135899035</v>
      </c>
    </row>
    <row r="26525" spans="1:6" s="3" customFormat="1" ht="29.1" customHeight="1" x14ac:dyDescent="0.25">
      <c r="A26525" s="2" t="s">
        <v>51619</v>
      </c>
      <c r="B26525" s="2" t="s">
        <v>51620</v>
      </c>
      <c r="C26525" s="2" t="s">
        <v>264</v>
      </c>
      <c r="D26525" s="2" t="s">
        <v>41287</v>
      </c>
      <c r="E26525" s="2" t="str">
        <f>"9780415409711"</f>
        <v>9780415409711</v>
      </c>
      <c r="F26525" s="2" t="str">
        <f>"9781134130313"</f>
        <v>9781134130313</v>
      </c>
    </row>
    <row r="26526" spans="1:6" s="3" customFormat="1" ht="29.1" customHeight="1" x14ac:dyDescent="0.25">
      <c r="A26526" s="2" t="s">
        <v>51621</v>
      </c>
      <c r="B26526" s="2" t="s">
        <v>51622</v>
      </c>
      <c r="C26526" s="2" t="s">
        <v>195</v>
      </c>
      <c r="D26526" s="2" t="s">
        <v>1127</v>
      </c>
      <c r="E26526" s="2" t="str">
        <f>"9783764372828"</f>
        <v>9783764372828</v>
      </c>
      <c r="F26526" s="2" t="str">
        <f>"9783764376611"</f>
        <v>9783764376611</v>
      </c>
    </row>
    <row r="26527" spans="1:6" s="3" customFormat="1" ht="29.1" customHeight="1" x14ac:dyDescent="0.25">
      <c r="A26527" s="2" t="s">
        <v>51623</v>
      </c>
      <c r="B26527" s="2" t="s">
        <v>51624</v>
      </c>
      <c r="C26527" s="2" t="s">
        <v>1070</v>
      </c>
      <c r="D26527" s="2" t="s">
        <v>1275</v>
      </c>
      <c r="E26527" s="2" t="str">
        <f>"9783805582735"</f>
        <v>9783805582735</v>
      </c>
      <c r="F26527" s="2" t="str">
        <f>"9783805581615"</f>
        <v>9783805581615</v>
      </c>
    </row>
    <row r="26528" spans="1:6" s="3" customFormat="1" ht="29.1" customHeight="1" x14ac:dyDescent="0.25">
      <c r="A26528" s="2" t="s">
        <v>51625</v>
      </c>
      <c r="B26528" s="2" t="s">
        <v>51626</v>
      </c>
      <c r="C26528" s="2" t="s">
        <v>3248</v>
      </c>
      <c r="D26528" s="2" t="s">
        <v>297</v>
      </c>
      <c r="E26528" s="2" t="str">
        <f>"9780813540405"</f>
        <v>9780813540405</v>
      </c>
      <c r="F26528" s="2" t="str">
        <f>"9780813543543"</f>
        <v>9780813543543</v>
      </c>
    </row>
    <row r="26529" spans="1:6" s="3" customFormat="1" ht="29.1" customHeight="1" x14ac:dyDescent="0.25">
      <c r="A26529" s="2" t="s">
        <v>51627</v>
      </c>
      <c r="B26529" s="2" t="s">
        <v>51628</v>
      </c>
      <c r="C26529" s="2" t="s">
        <v>124</v>
      </c>
      <c r="D26529" s="2" t="s">
        <v>33</v>
      </c>
      <c r="E26529" s="2" t="str">
        <f>"9780415423328"</f>
        <v>9780415423328</v>
      </c>
      <c r="F26529" s="2" t="str">
        <f>"9781134099023"</f>
        <v>9781134099023</v>
      </c>
    </row>
    <row r="26530" spans="1:6" s="3" customFormat="1" ht="29.1" customHeight="1" x14ac:dyDescent="0.25">
      <c r="A26530" s="2" t="s">
        <v>51629</v>
      </c>
      <c r="B26530" s="2" t="s">
        <v>51630</v>
      </c>
      <c r="C26530" s="2" t="s">
        <v>11220</v>
      </c>
      <c r="D26530" s="2" t="s">
        <v>4064</v>
      </c>
      <c r="E26530" s="2" t="str">
        <f>"9780814775790"</f>
        <v>9780814775790</v>
      </c>
      <c r="F26530" s="2" t="str">
        <f>"9780814769072"</f>
        <v>9780814769072</v>
      </c>
    </row>
    <row r="26531" spans="1:6" s="3" customFormat="1" ht="29.1" customHeight="1" x14ac:dyDescent="0.25">
      <c r="A26531" s="2" t="s">
        <v>51631</v>
      </c>
      <c r="B26531" s="2" t="s">
        <v>51632</v>
      </c>
      <c r="C26531" s="2" t="s">
        <v>11220</v>
      </c>
      <c r="D26531" s="2" t="s">
        <v>78</v>
      </c>
      <c r="E26531" s="2" t="str">
        <f>"9780814799598"</f>
        <v>9780814799598</v>
      </c>
      <c r="F26531" s="2" t="str">
        <f>"9780814723111"</f>
        <v>9780814723111</v>
      </c>
    </row>
    <row r="26532" spans="1:6" s="3" customFormat="1" ht="29.1" customHeight="1" x14ac:dyDescent="0.25">
      <c r="A26532" s="2" t="s">
        <v>51633</v>
      </c>
      <c r="B26532" s="2" t="s">
        <v>51635</v>
      </c>
      <c r="C26532" s="2" t="s">
        <v>264</v>
      </c>
      <c r="D26532" s="2" t="s">
        <v>51634</v>
      </c>
      <c r="E26532" s="2" t="str">
        <f>"9780415430531"</f>
        <v>9780415430531</v>
      </c>
      <c r="F26532" s="2" t="str">
        <f>"9781134085866"</f>
        <v>9781134085866</v>
      </c>
    </row>
    <row r="26533" spans="1:6" s="3" customFormat="1" ht="29.1" customHeight="1" x14ac:dyDescent="0.25">
      <c r="A26533" s="2" t="s">
        <v>51636</v>
      </c>
      <c r="B26533" s="2" t="s">
        <v>51637</v>
      </c>
      <c r="C26533" s="2" t="s">
        <v>29</v>
      </c>
      <c r="D26533" s="2" t="s">
        <v>509</v>
      </c>
      <c r="E26533" s="2" t="str">
        <f>"9789004148932"</f>
        <v>9789004148932</v>
      </c>
      <c r="F26533" s="2" t="str">
        <f>"9789047417958"</f>
        <v>9789047417958</v>
      </c>
    </row>
    <row r="26534" spans="1:6" s="3" customFormat="1" ht="29.1" customHeight="1" x14ac:dyDescent="0.25">
      <c r="A26534" s="2" t="s">
        <v>51638</v>
      </c>
      <c r="B26534" s="2" t="s">
        <v>44151</v>
      </c>
      <c r="C26534" s="2" t="s">
        <v>29</v>
      </c>
      <c r="D26534" s="2" t="s">
        <v>509</v>
      </c>
      <c r="E26534" s="2" t="str">
        <f>"9789004149649"</f>
        <v>9789004149649</v>
      </c>
      <c r="F26534" s="2" t="str">
        <f>"9781435614789"</f>
        <v>9781435614789</v>
      </c>
    </row>
    <row r="26535" spans="1:6" s="3" customFormat="1" ht="29.1" customHeight="1" x14ac:dyDescent="0.25">
      <c r="A26535" s="2" t="s">
        <v>51639</v>
      </c>
      <c r="B26535" s="2" t="s">
        <v>51640</v>
      </c>
      <c r="C26535" s="2" t="s">
        <v>31902</v>
      </c>
      <c r="D26535" s="2" t="s">
        <v>764</v>
      </c>
      <c r="E26535" s="2" t="str">
        <f>"9782868837516"</f>
        <v>9782868837516</v>
      </c>
      <c r="F26535" s="2" t="str">
        <f>"9782759801534"</f>
        <v>9782759801534</v>
      </c>
    </row>
    <row r="26536" spans="1:6" s="3" customFormat="1" ht="29.1" customHeight="1" x14ac:dyDescent="0.25">
      <c r="A26536" s="2" t="s">
        <v>51641</v>
      </c>
      <c r="B26536" s="2" t="s">
        <v>51642</v>
      </c>
      <c r="C26536" s="2" t="s">
        <v>264</v>
      </c>
      <c r="D26536" s="2" t="s">
        <v>7199</v>
      </c>
      <c r="E26536" s="2" t="str">
        <f>"9780849379215"</f>
        <v>9780849379215</v>
      </c>
      <c r="F26536" s="2" t="str">
        <f>"9780849379253"</f>
        <v>9780849379253</v>
      </c>
    </row>
    <row r="26537" spans="1:6" s="3" customFormat="1" ht="29.1" customHeight="1" x14ac:dyDescent="0.25">
      <c r="A26537" s="2" t="s">
        <v>51643</v>
      </c>
      <c r="B26537" s="2" t="s">
        <v>51644</v>
      </c>
      <c r="C26537" s="2" t="s">
        <v>11220</v>
      </c>
      <c r="D26537" s="2" t="s">
        <v>6103</v>
      </c>
      <c r="E26537" s="2" t="str">
        <f>"9780814782996"</f>
        <v>9780814782996</v>
      </c>
      <c r="F26537" s="2" t="str">
        <f>"9780814784259"</f>
        <v>9780814784259</v>
      </c>
    </row>
    <row r="26538" spans="1:6" s="3" customFormat="1" ht="29.1" customHeight="1" x14ac:dyDescent="0.25">
      <c r="A26538" s="2" t="s">
        <v>47765</v>
      </c>
      <c r="B26538" s="2" t="s">
        <v>47767</v>
      </c>
      <c r="C26538" s="2" t="s">
        <v>11220</v>
      </c>
      <c r="D26538" s="2" t="s">
        <v>47766</v>
      </c>
      <c r="E26538" s="2" t="str">
        <f>"9780814740248"</f>
        <v>9780814740248</v>
      </c>
      <c r="F26538" s="2"/>
    </row>
    <row r="26539" spans="1:6" s="3" customFormat="1" ht="29.1" customHeight="1" x14ac:dyDescent="0.25">
      <c r="A26539" s="2" t="s">
        <v>51645</v>
      </c>
      <c r="B26539" s="2" t="s">
        <v>51646</v>
      </c>
      <c r="C26539" s="2" t="s">
        <v>11220</v>
      </c>
      <c r="D26539" s="2" t="s">
        <v>75</v>
      </c>
      <c r="E26539" s="2" t="str">
        <f>"9780814740385"</f>
        <v>9780814740385</v>
      </c>
      <c r="F26539" s="2" t="str">
        <f>"9781429490191"</f>
        <v>9781429490191</v>
      </c>
    </row>
    <row r="26540" spans="1:6" s="3" customFormat="1" ht="29.1" customHeight="1" x14ac:dyDescent="0.25">
      <c r="A26540" s="2" t="s">
        <v>51647</v>
      </c>
      <c r="B26540" s="2" t="s">
        <v>51648</v>
      </c>
      <c r="C26540" s="2" t="s">
        <v>11220</v>
      </c>
      <c r="D26540" s="2" t="s">
        <v>4754</v>
      </c>
      <c r="E26540" s="2" t="str">
        <f>"9780814775813"</f>
        <v>9780814775813</v>
      </c>
      <c r="F26540" s="2" t="str">
        <f>"9780814769270"</f>
        <v>9780814769270</v>
      </c>
    </row>
    <row r="26541" spans="1:6" s="3" customFormat="1" ht="29.1" customHeight="1" x14ac:dyDescent="0.25">
      <c r="A26541" s="2" t="s">
        <v>51649</v>
      </c>
      <c r="B26541" s="2" t="s">
        <v>51650</v>
      </c>
      <c r="C26541" s="2" t="s">
        <v>11220</v>
      </c>
      <c r="D26541" s="2" t="s">
        <v>75</v>
      </c>
      <c r="E26541" s="2" t="str">
        <f>"9780814751220"</f>
        <v>9780814751220</v>
      </c>
      <c r="F26541" s="2" t="str">
        <f>"9780814752715"</f>
        <v>9780814752715</v>
      </c>
    </row>
    <row r="26542" spans="1:6" s="3" customFormat="1" ht="29.1" customHeight="1" x14ac:dyDescent="0.25">
      <c r="A26542" s="2" t="s">
        <v>51651</v>
      </c>
      <c r="B26542" s="2" t="s">
        <v>51652</v>
      </c>
      <c r="C26542" s="2" t="s">
        <v>11220</v>
      </c>
      <c r="D26542" s="2" t="s">
        <v>712</v>
      </c>
      <c r="E26542" s="2" t="str">
        <f>"9780814742839"</f>
        <v>9780814742839</v>
      </c>
      <c r="F26542" s="2" t="str">
        <f>"9780814743706"</f>
        <v>9780814743706</v>
      </c>
    </row>
    <row r="26543" spans="1:6" s="3" customFormat="1" ht="29.1" customHeight="1" x14ac:dyDescent="0.25">
      <c r="A26543" s="2" t="s">
        <v>51653</v>
      </c>
      <c r="B26543" s="2" t="s">
        <v>51654</v>
      </c>
      <c r="C26543" s="2" t="s">
        <v>11220</v>
      </c>
      <c r="D26543" s="2" t="s">
        <v>1565</v>
      </c>
      <c r="E26543" s="2" t="str">
        <f>"9780814716601"</f>
        <v>9780814716601</v>
      </c>
      <c r="F26543" s="2" t="str">
        <f>"9780814772973"</f>
        <v>9780814772973</v>
      </c>
    </row>
    <row r="26544" spans="1:6" s="3" customFormat="1" ht="29.1" customHeight="1" x14ac:dyDescent="0.25">
      <c r="A26544" s="2" t="s">
        <v>51655</v>
      </c>
      <c r="B26544" s="2" t="s">
        <v>51656</v>
      </c>
      <c r="C26544" s="2" t="s">
        <v>11220</v>
      </c>
      <c r="D26544" s="2" t="s">
        <v>16606</v>
      </c>
      <c r="E26544" s="2" t="str">
        <f>"9780814799444"</f>
        <v>9780814799444</v>
      </c>
      <c r="F26544" s="2" t="str">
        <f>"9780814739082"</f>
        <v>9780814739082</v>
      </c>
    </row>
    <row r="26545" spans="1:6" s="3" customFormat="1" ht="29.1" customHeight="1" x14ac:dyDescent="0.25">
      <c r="A26545" s="2" t="s">
        <v>51657</v>
      </c>
      <c r="B26545" s="2" t="s">
        <v>51658</v>
      </c>
      <c r="C26545" s="2" t="s">
        <v>9716</v>
      </c>
      <c r="D26545" s="2" t="s">
        <v>297</v>
      </c>
      <c r="E26545" s="2" t="str">
        <f>"9781592131433"</f>
        <v>9781592131433</v>
      </c>
      <c r="F26545" s="2" t="str">
        <f>"9781592131457"</f>
        <v>9781592131457</v>
      </c>
    </row>
    <row r="26546" spans="1:6" s="3" customFormat="1" ht="29.1" customHeight="1" x14ac:dyDescent="0.25">
      <c r="A26546" s="2" t="s">
        <v>51659</v>
      </c>
      <c r="B26546" s="2" t="s">
        <v>51660</v>
      </c>
      <c r="C26546" s="2" t="s">
        <v>9716</v>
      </c>
      <c r="D26546" s="2" t="s">
        <v>9</v>
      </c>
      <c r="E26546" s="2" t="str">
        <f>"9781592134908"</f>
        <v>9781592134908</v>
      </c>
      <c r="F26546" s="2" t="str">
        <f>"9781592134922"</f>
        <v>9781592134922</v>
      </c>
    </row>
    <row r="26547" spans="1:6" s="3" customFormat="1" ht="29.1" customHeight="1" x14ac:dyDescent="0.25">
      <c r="A26547" s="2" t="s">
        <v>51661</v>
      </c>
      <c r="B26547" s="2" t="s">
        <v>51662</v>
      </c>
      <c r="C26547" s="2" t="s">
        <v>9716</v>
      </c>
      <c r="D26547" s="2" t="s">
        <v>297</v>
      </c>
      <c r="E26547" s="2" t="str">
        <f>"9781592134717"</f>
        <v>9781592134717</v>
      </c>
      <c r="F26547" s="2" t="str">
        <f>"9781592134731"</f>
        <v>9781592134731</v>
      </c>
    </row>
    <row r="26548" spans="1:6" s="3" customFormat="1" ht="29.1" customHeight="1" x14ac:dyDescent="0.25">
      <c r="A26548" s="2" t="s">
        <v>51663</v>
      </c>
      <c r="B26548" s="2" t="s">
        <v>51664</v>
      </c>
      <c r="C26548" s="2" t="s">
        <v>124</v>
      </c>
      <c r="D26548" s="2" t="s">
        <v>6128</v>
      </c>
      <c r="E26548" s="2" t="str">
        <f>"9780415976756"</f>
        <v>9780415976756</v>
      </c>
      <c r="F26548" s="2" t="str">
        <f>"9781135506360"</f>
        <v>9781135506360</v>
      </c>
    </row>
    <row r="26549" spans="1:6" s="3" customFormat="1" ht="29.1" customHeight="1" x14ac:dyDescent="0.25">
      <c r="A26549" s="2" t="s">
        <v>51665</v>
      </c>
      <c r="B26549" s="2" t="s">
        <v>51666</v>
      </c>
      <c r="C26549" s="2" t="s">
        <v>264</v>
      </c>
      <c r="D26549" s="2" t="s">
        <v>5228</v>
      </c>
      <c r="E26549" s="2" t="str">
        <f>"9780415332903"</f>
        <v>9780415332903</v>
      </c>
      <c r="F26549" s="2" t="str">
        <f>"9780203022542"</f>
        <v>9780203022542</v>
      </c>
    </row>
    <row r="26550" spans="1:6" s="3" customFormat="1" ht="29.1" customHeight="1" x14ac:dyDescent="0.25">
      <c r="A26550" s="2" t="s">
        <v>51667</v>
      </c>
      <c r="B26550" s="2" t="s">
        <v>51668</v>
      </c>
      <c r="C26550" s="2" t="s">
        <v>124</v>
      </c>
      <c r="D26550" s="2" t="s">
        <v>294</v>
      </c>
      <c r="E26550" s="2" t="str">
        <f>"9789053569900"</f>
        <v>9789053569900</v>
      </c>
      <c r="F26550" s="2" t="str">
        <f>"9781040773437"</f>
        <v>9781040773437</v>
      </c>
    </row>
    <row r="26551" spans="1:6" s="3" customFormat="1" ht="29.1" customHeight="1" x14ac:dyDescent="0.25">
      <c r="A26551" s="2" t="s">
        <v>51669</v>
      </c>
      <c r="B26551" s="2" t="s">
        <v>51670</v>
      </c>
      <c r="C26551" s="2" t="s">
        <v>124</v>
      </c>
      <c r="D26551" s="2" t="s">
        <v>270</v>
      </c>
      <c r="E26551" s="2" t="str">
        <f>"9789053569306"</f>
        <v>9789053569306</v>
      </c>
      <c r="F26551" s="2" t="str">
        <f>"9781040782545"</f>
        <v>9781040782545</v>
      </c>
    </row>
    <row r="26552" spans="1:6" s="3" customFormat="1" ht="29.1" customHeight="1" x14ac:dyDescent="0.25">
      <c r="A26552" s="2" t="s">
        <v>51671</v>
      </c>
      <c r="B26552" s="2" t="s">
        <v>51672</v>
      </c>
      <c r="C26552" s="2" t="s">
        <v>124</v>
      </c>
      <c r="D26552" s="2" t="s">
        <v>270</v>
      </c>
      <c r="E26552" s="2" t="str">
        <f>"9789053568781"</f>
        <v>9789053568781</v>
      </c>
      <c r="F26552" s="2" t="str">
        <f>"9781040793152"</f>
        <v>9781040793152</v>
      </c>
    </row>
    <row r="26553" spans="1:6" s="3" customFormat="1" ht="29.1" customHeight="1" x14ac:dyDescent="0.25">
      <c r="A26553" s="2" t="s">
        <v>51673</v>
      </c>
      <c r="B26553" s="2" t="s">
        <v>51674</v>
      </c>
      <c r="C26553" s="2" t="s">
        <v>1070</v>
      </c>
      <c r="D26553" s="2" t="s">
        <v>1498</v>
      </c>
      <c r="E26553" s="2" t="str">
        <f>"9783805582377"</f>
        <v>9783805582377</v>
      </c>
      <c r="F26553" s="2" t="str">
        <f>"9783318014341"</f>
        <v>9783318014341</v>
      </c>
    </row>
    <row r="26554" spans="1:6" s="3" customFormat="1" ht="29.1" customHeight="1" x14ac:dyDescent="0.25">
      <c r="A26554" s="2" t="s">
        <v>51675</v>
      </c>
      <c r="B26554" s="2" t="s">
        <v>51676</v>
      </c>
      <c r="C26554" s="2" t="s">
        <v>124</v>
      </c>
      <c r="D26554" s="2" t="s">
        <v>33</v>
      </c>
      <c r="E26554" s="2" t="str">
        <f>"9780415975223"</f>
        <v>9780415975223</v>
      </c>
      <c r="F26554" s="2" t="str">
        <f>"9781135487881"</f>
        <v>9781135487881</v>
      </c>
    </row>
    <row r="26555" spans="1:6" s="3" customFormat="1" ht="29.1" customHeight="1" x14ac:dyDescent="0.25">
      <c r="A26555" s="2" t="s">
        <v>51677</v>
      </c>
      <c r="B26555" s="2" t="s">
        <v>51678</v>
      </c>
      <c r="C26555" s="2" t="s">
        <v>124</v>
      </c>
      <c r="D26555" s="2" t="s">
        <v>270</v>
      </c>
      <c r="E26555" s="2" t="str">
        <f>"9780415979030"</f>
        <v>9780415979030</v>
      </c>
      <c r="F26555" s="2" t="str">
        <f>"9781135864521"</f>
        <v>9781135864521</v>
      </c>
    </row>
    <row r="26556" spans="1:6" s="3" customFormat="1" ht="29.1" customHeight="1" x14ac:dyDescent="0.25">
      <c r="A26556" s="2" t="s">
        <v>51679</v>
      </c>
      <c r="B26556" s="2" t="s">
        <v>51680</v>
      </c>
      <c r="C26556" s="2" t="s">
        <v>264</v>
      </c>
      <c r="D26556" s="2" t="s">
        <v>850</v>
      </c>
      <c r="E26556" s="2" t="str">
        <f>"9780750309356"</f>
        <v>9780750309356</v>
      </c>
      <c r="F26556" s="2" t="str">
        <f>"9781420012378"</f>
        <v>9781420012378</v>
      </c>
    </row>
    <row r="26557" spans="1:6" s="3" customFormat="1" ht="29.1" customHeight="1" x14ac:dyDescent="0.25">
      <c r="A26557" s="2" t="s">
        <v>51681</v>
      </c>
      <c r="B26557" s="2" t="s">
        <v>51682</v>
      </c>
      <c r="C26557" s="2" t="s">
        <v>264</v>
      </c>
      <c r="D26557" s="2" t="s">
        <v>1059</v>
      </c>
      <c r="E26557" s="2" t="str">
        <f>"9780415370554"</f>
        <v>9780415370554</v>
      </c>
      <c r="F26557" s="2" t="str">
        <f>"9781134198849"</f>
        <v>9781134198849</v>
      </c>
    </row>
    <row r="26558" spans="1:6" s="3" customFormat="1" ht="29.1" customHeight="1" x14ac:dyDescent="0.25">
      <c r="A26558" s="2" t="s">
        <v>51683</v>
      </c>
      <c r="B26558" s="2" t="s">
        <v>51684</v>
      </c>
      <c r="C26558" s="2" t="s">
        <v>124</v>
      </c>
      <c r="D26558" s="2" t="s">
        <v>270</v>
      </c>
      <c r="E26558" s="2" t="str">
        <f>"9780415401869"</f>
        <v>9780415401869</v>
      </c>
      <c r="F26558" s="2" t="str">
        <f>"9781134143757"</f>
        <v>9781134143757</v>
      </c>
    </row>
    <row r="26559" spans="1:6" s="3" customFormat="1" ht="29.1" customHeight="1" x14ac:dyDescent="0.25">
      <c r="A26559" s="2" t="s">
        <v>51685</v>
      </c>
      <c r="B26559" s="2" t="s">
        <v>51686</v>
      </c>
      <c r="C26559" s="2" t="s">
        <v>124</v>
      </c>
      <c r="D26559" s="2" t="s">
        <v>1292</v>
      </c>
      <c r="E26559" s="2" t="str">
        <f>"9780415393232"</f>
        <v>9780415393232</v>
      </c>
      <c r="F26559" s="2" t="str">
        <f>"9781134162581"</f>
        <v>9781134162581</v>
      </c>
    </row>
    <row r="26560" spans="1:6" s="3" customFormat="1" ht="29.1" customHeight="1" x14ac:dyDescent="0.25">
      <c r="A26560" s="2" t="s">
        <v>51687</v>
      </c>
      <c r="B26560" s="2" t="s">
        <v>51688</v>
      </c>
      <c r="C26560" s="2" t="s">
        <v>124</v>
      </c>
      <c r="D26560" s="2" t="s">
        <v>1292</v>
      </c>
      <c r="E26560" s="2" t="str">
        <f>"9780415394079"</f>
        <v>9780415394079</v>
      </c>
      <c r="F26560" s="2" t="str">
        <f>"9781134161188"</f>
        <v>9781134161188</v>
      </c>
    </row>
    <row r="26561" spans="1:6" s="3" customFormat="1" ht="29.1" customHeight="1" x14ac:dyDescent="0.25">
      <c r="A26561" s="2" t="s">
        <v>51689</v>
      </c>
      <c r="B26561" s="2" t="s">
        <v>51691</v>
      </c>
      <c r="C26561" s="2" t="s">
        <v>124</v>
      </c>
      <c r="D26561" s="2" t="s">
        <v>51690</v>
      </c>
      <c r="E26561" s="2" t="str">
        <f>"9780415770859"</f>
        <v>9780415770859</v>
      </c>
      <c r="F26561" s="2" t="str">
        <f>"9781135985271"</f>
        <v>9781135985271</v>
      </c>
    </row>
    <row r="26562" spans="1:6" s="3" customFormat="1" ht="29.1" customHeight="1" x14ac:dyDescent="0.25">
      <c r="A26562" s="2" t="s">
        <v>51692</v>
      </c>
      <c r="B26562" s="2" t="s">
        <v>51693</v>
      </c>
      <c r="C26562" s="2" t="s">
        <v>124</v>
      </c>
      <c r="D26562" s="2" t="s">
        <v>1463</v>
      </c>
      <c r="E26562" s="2" t="str">
        <f>"9780415404143"</f>
        <v>9780415404143</v>
      </c>
      <c r="F26562" s="2" t="str">
        <f>"9781134138920"</f>
        <v>9781134138920</v>
      </c>
    </row>
    <row r="26563" spans="1:6" s="3" customFormat="1" ht="29.1" customHeight="1" x14ac:dyDescent="0.25">
      <c r="A26563" s="2" t="s">
        <v>51694</v>
      </c>
      <c r="B26563" s="2" t="s">
        <v>51695</v>
      </c>
      <c r="C26563" s="2" t="s">
        <v>124</v>
      </c>
      <c r="D26563" s="2" t="s">
        <v>501</v>
      </c>
      <c r="E26563" s="2" t="str">
        <f>"9780415770613"</f>
        <v>9780415770613</v>
      </c>
      <c r="F26563" s="2" t="str">
        <f>"9781135986254"</f>
        <v>9781135986254</v>
      </c>
    </row>
    <row r="26564" spans="1:6" s="3" customFormat="1" ht="29.1" customHeight="1" x14ac:dyDescent="0.25">
      <c r="A26564" s="2" t="s">
        <v>51696</v>
      </c>
      <c r="B26564" s="2" t="s">
        <v>51697</v>
      </c>
      <c r="C26564" s="2" t="s">
        <v>124</v>
      </c>
      <c r="D26564" s="2" t="s">
        <v>9</v>
      </c>
      <c r="E26564" s="2" t="str">
        <f>"9780415407441"</f>
        <v>9780415407441</v>
      </c>
      <c r="F26564" s="2" t="str">
        <f>"9781134133956"</f>
        <v>9781134133956</v>
      </c>
    </row>
    <row r="26565" spans="1:6" s="3" customFormat="1" ht="29.1" customHeight="1" x14ac:dyDescent="0.25">
      <c r="A26565" s="2" t="s">
        <v>51698</v>
      </c>
      <c r="B26565" s="2" t="s">
        <v>51699</v>
      </c>
      <c r="C26565" s="2" t="s">
        <v>124</v>
      </c>
      <c r="D26565" s="2" t="s">
        <v>9</v>
      </c>
      <c r="E26565" s="2" t="str">
        <f>"9780415365857"</f>
        <v>9780415365857</v>
      </c>
      <c r="F26565" s="2" t="str">
        <f>"9781134213962"</f>
        <v>9781134213962</v>
      </c>
    </row>
    <row r="26566" spans="1:6" s="3" customFormat="1" ht="29.1" customHeight="1" x14ac:dyDescent="0.25">
      <c r="A26566" s="2" t="s">
        <v>51700</v>
      </c>
      <c r="B26566" s="2" t="s">
        <v>51701</v>
      </c>
      <c r="C26566" s="2" t="s">
        <v>124</v>
      </c>
      <c r="D26566" s="2" t="s">
        <v>186</v>
      </c>
      <c r="E26566" s="2" t="str">
        <f>"9780415352260"</f>
        <v>9780415352260</v>
      </c>
      <c r="F26566" s="2" t="str">
        <f>"9781134262960"</f>
        <v>9781134262960</v>
      </c>
    </row>
    <row r="26567" spans="1:6" s="3" customFormat="1" ht="29.1" customHeight="1" x14ac:dyDescent="0.25">
      <c r="A26567" s="2" t="s">
        <v>51702</v>
      </c>
      <c r="B26567" s="2" t="s">
        <v>51703</v>
      </c>
      <c r="C26567" s="2" t="s">
        <v>124</v>
      </c>
      <c r="D26567" s="2" t="s">
        <v>1155</v>
      </c>
      <c r="E26567" s="2" t="str">
        <f>"9780415407694"</f>
        <v>9780415407694</v>
      </c>
      <c r="F26567" s="2" t="str">
        <f>"9781134133321"</f>
        <v>9781134133321</v>
      </c>
    </row>
    <row r="26568" spans="1:6" s="3" customFormat="1" ht="29.1" customHeight="1" x14ac:dyDescent="0.25">
      <c r="A26568" s="2" t="s">
        <v>51704</v>
      </c>
      <c r="B26568" s="2" t="s">
        <v>51705</v>
      </c>
      <c r="C26568" s="2" t="s">
        <v>124</v>
      </c>
      <c r="D26568" s="2" t="s">
        <v>1816</v>
      </c>
      <c r="E26568" s="2" t="str">
        <f>"9780415416535"</f>
        <v>9780415416535</v>
      </c>
      <c r="F26568" s="2" t="str">
        <f>"9781134117086"</f>
        <v>9781134117086</v>
      </c>
    </row>
    <row r="26569" spans="1:6" s="3" customFormat="1" ht="29.1" customHeight="1" x14ac:dyDescent="0.25">
      <c r="A26569" s="2" t="s">
        <v>51706</v>
      </c>
      <c r="B26569" s="2" t="s">
        <v>51707</v>
      </c>
      <c r="C26569" s="2" t="s">
        <v>124</v>
      </c>
      <c r="D26569" s="2" t="s">
        <v>2513</v>
      </c>
      <c r="E26569" s="2" t="str">
        <f>"9780415383615"</f>
        <v>9780415383615</v>
      </c>
      <c r="F26569" s="2" t="str">
        <f>"9781134176304"</f>
        <v>9781134176304</v>
      </c>
    </row>
    <row r="26570" spans="1:6" s="3" customFormat="1" ht="29.1" customHeight="1" x14ac:dyDescent="0.25">
      <c r="A26570" s="2" t="s">
        <v>51708</v>
      </c>
      <c r="B26570" s="2" t="s">
        <v>24472</v>
      </c>
      <c r="C26570" s="2" t="s">
        <v>124</v>
      </c>
      <c r="D26570" s="2" t="s">
        <v>15324</v>
      </c>
      <c r="E26570" s="2" t="str">
        <f>"9780415380676"</f>
        <v>9780415380676</v>
      </c>
      <c r="F26570" s="2" t="str">
        <f>"9781134179244"</f>
        <v>9781134179244</v>
      </c>
    </row>
    <row r="26571" spans="1:6" s="3" customFormat="1" ht="29.1" customHeight="1" x14ac:dyDescent="0.25">
      <c r="A26571" s="2" t="s">
        <v>51709</v>
      </c>
      <c r="B26571" s="2" t="s">
        <v>51710</v>
      </c>
      <c r="C26571" s="2" t="s">
        <v>124</v>
      </c>
      <c r="D26571" s="2" t="s">
        <v>871</v>
      </c>
      <c r="E26571" s="2" t="str">
        <f>"9789053569337"</f>
        <v>9789053569337</v>
      </c>
      <c r="F26571" s="2" t="str">
        <f>"9781040785362"</f>
        <v>9781040785362</v>
      </c>
    </row>
    <row r="26572" spans="1:6" s="3" customFormat="1" ht="29.1" customHeight="1" x14ac:dyDescent="0.25">
      <c r="A26572" s="2" t="s">
        <v>51711</v>
      </c>
      <c r="B26572" s="2" t="s">
        <v>51712</v>
      </c>
      <c r="C26572" s="2" t="s">
        <v>124</v>
      </c>
      <c r="D26572" s="2" t="s">
        <v>501</v>
      </c>
      <c r="E26572" s="2" t="str">
        <f>"9789053569290"</f>
        <v>9789053569290</v>
      </c>
      <c r="F26572" s="2" t="str">
        <f>"9781040777008"</f>
        <v>9781040777008</v>
      </c>
    </row>
    <row r="26573" spans="1:6" s="3" customFormat="1" ht="29.1" customHeight="1" x14ac:dyDescent="0.25">
      <c r="A26573" s="2" t="s">
        <v>51713</v>
      </c>
      <c r="B26573" s="2" t="s">
        <v>51714</v>
      </c>
      <c r="C26573" s="2" t="s">
        <v>124</v>
      </c>
      <c r="D26573" s="2" t="s">
        <v>5144</v>
      </c>
      <c r="E26573" s="2" t="str">
        <f>"9789053568118"</f>
        <v>9789053568118</v>
      </c>
      <c r="F26573" s="2" t="str">
        <f>"9781040782514"</f>
        <v>9781040782514</v>
      </c>
    </row>
    <row r="26574" spans="1:6" s="3" customFormat="1" ht="29.1" customHeight="1" x14ac:dyDescent="0.25">
      <c r="A26574" s="2" t="s">
        <v>51715</v>
      </c>
      <c r="B26574" s="2" t="s">
        <v>49566</v>
      </c>
      <c r="C26574" s="2" t="s">
        <v>195</v>
      </c>
      <c r="D26574" s="2" t="s">
        <v>459</v>
      </c>
      <c r="E26574" s="2" t="str">
        <f>"9783110188714"</f>
        <v>9783110188714</v>
      </c>
      <c r="F26574" s="2" t="str">
        <f>"9783110199963"</f>
        <v>9783110199963</v>
      </c>
    </row>
    <row r="26575" spans="1:6" s="3" customFormat="1" ht="29.1" customHeight="1" x14ac:dyDescent="0.25">
      <c r="A26575" s="2" t="s">
        <v>51716</v>
      </c>
      <c r="B26575" s="2" t="s">
        <v>51717</v>
      </c>
      <c r="C26575" s="2" t="s">
        <v>195</v>
      </c>
      <c r="D26575" s="2" t="s">
        <v>459</v>
      </c>
      <c r="E26575" s="2" t="str">
        <f>"9783110182569"</f>
        <v>9783110182569</v>
      </c>
      <c r="F26575" s="2" t="str">
        <f>"9781441610355"</f>
        <v>9781441610355</v>
      </c>
    </row>
    <row r="26576" spans="1:6" s="3" customFormat="1" ht="29.1" customHeight="1" x14ac:dyDescent="0.25">
      <c r="A26576" s="2" t="s">
        <v>51718</v>
      </c>
      <c r="B26576" s="2" t="s">
        <v>51719</v>
      </c>
      <c r="C26576" s="2" t="s">
        <v>11220</v>
      </c>
      <c r="D26576" s="2" t="s">
        <v>5144</v>
      </c>
      <c r="E26576" s="2" t="str">
        <f>"9780814751947"</f>
        <v>9780814751947</v>
      </c>
      <c r="F26576" s="2" t="str">
        <f>"9780814765241"</f>
        <v>9780814765241</v>
      </c>
    </row>
    <row r="26577" spans="1:6" s="3" customFormat="1" ht="29.1" customHeight="1" x14ac:dyDescent="0.25">
      <c r="A26577" s="2" t="s">
        <v>51720</v>
      </c>
      <c r="B26577" s="2" t="s">
        <v>51721</v>
      </c>
      <c r="C26577" s="2" t="s">
        <v>11220</v>
      </c>
      <c r="D26577" s="2" t="s">
        <v>183</v>
      </c>
      <c r="E26577" s="2" t="str">
        <f>"9780814727454"</f>
        <v>9780814727454</v>
      </c>
      <c r="F26577" s="2" t="str">
        <f>"9780814728598"</f>
        <v>9780814728598</v>
      </c>
    </row>
    <row r="26578" spans="1:6" s="3" customFormat="1" ht="29.1" customHeight="1" x14ac:dyDescent="0.25">
      <c r="A26578" s="2" t="s">
        <v>51722</v>
      </c>
      <c r="B26578" s="2" t="s">
        <v>51723</v>
      </c>
      <c r="C26578" s="2" t="s">
        <v>11220</v>
      </c>
      <c r="D26578" s="2" t="s">
        <v>30</v>
      </c>
      <c r="E26578" s="2" t="str">
        <f>"9780814740064"</f>
        <v>9780814740064</v>
      </c>
      <c r="F26578" s="2" t="str">
        <f>"9780814786581"</f>
        <v>9780814786581</v>
      </c>
    </row>
    <row r="26579" spans="1:6" s="3" customFormat="1" ht="29.1" customHeight="1" x14ac:dyDescent="0.25">
      <c r="A26579" s="2" t="s">
        <v>51724</v>
      </c>
      <c r="B26579" s="2" t="s">
        <v>51725</v>
      </c>
      <c r="C26579" s="2" t="s">
        <v>11220</v>
      </c>
      <c r="D26579" s="2" t="s">
        <v>402</v>
      </c>
      <c r="E26579" s="2" t="str">
        <f>"9780814758199"</f>
        <v>9780814758199</v>
      </c>
      <c r="F26579" s="2" t="str">
        <f>"9780814758816"</f>
        <v>9780814758816</v>
      </c>
    </row>
    <row r="26580" spans="1:6" s="3" customFormat="1" ht="29.1" customHeight="1" x14ac:dyDescent="0.25">
      <c r="A26580" s="2" t="s">
        <v>51726</v>
      </c>
      <c r="B26580" s="2" t="s">
        <v>51727</v>
      </c>
      <c r="C26580" s="2" t="s">
        <v>11220</v>
      </c>
      <c r="D26580" s="2" t="s">
        <v>7669</v>
      </c>
      <c r="E26580" s="2" t="str">
        <f>"9780814716502"</f>
        <v>9780814716502</v>
      </c>
      <c r="F26580" s="2" t="str">
        <f>"9780814790410"</f>
        <v>9780814790410</v>
      </c>
    </row>
    <row r="26581" spans="1:6" s="3" customFormat="1" ht="29.1" customHeight="1" x14ac:dyDescent="0.25">
      <c r="A26581" s="2" t="s">
        <v>51728</v>
      </c>
      <c r="B26581" s="2" t="s">
        <v>51729</v>
      </c>
      <c r="C26581" s="2" t="s">
        <v>11220</v>
      </c>
      <c r="D26581" s="2" t="s">
        <v>402</v>
      </c>
      <c r="E26581" s="2" t="str">
        <f>"9780814722237"</f>
        <v>9780814722237</v>
      </c>
      <c r="F26581" s="2" t="str">
        <f>"9780814790267"</f>
        <v>9780814790267</v>
      </c>
    </row>
    <row r="26582" spans="1:6" s="3" customFormat="1" ht="29.1" customHeight="1" x14ac:dyDescent="0.25">
      <c r="A26582" s="2" t="s">
        <v>51730</v>
      </c>
      <c r="B26582" s="2" t="s">
        <v>51731</v>
      </c>
      <c r="C26582" s="2" t="s">
        <v>29</v>
      </c>
      <c r="D26582" s="2" t="s">
        <v>150</v>
      </c>
      <c r="E26582" s="2" t="str">
        <f>"9789004143388"</f>
        <v>9789004143388</v>
      </c>
      <c r="F26582" s="2" t="str">
        <f>"9781429452953"</f>
        <v>9781429452953</v>
      </c>
    </row>
    <row r="26583" spans="1:6" s="3" customFormat="1" ht="29.1" customHeight="1" x14ac:dyDescent="0.25">
      <c r="A26583" s="2" t="s">
        <v>51732</v>
      </c>
      <c r="B26583" s="2" t="s">
        <v>51733</v>
      </c>
      <c r="C26583" s="2" t="s">
        <v>29</v>
      </c>
      <c r="D26583" s="2" t="s">
        <v>118</v>
      </c>
      <c r="E26583" s="2" t="str">
        <f>"9789004139275"</f>
        <v>9789004139275</v>
      </c>
      <c r="F26583" s="2" t="str">
        <f>"9781429427081"</f>
        <v>9781429427081</v>
      </c>
    </row>
    <row r="26584" spans="1:6" s="3" customFormat="1" ht="29.1" customHeight="1" x14ac:dyDescent="0.25">
      <c r="A26584" s="2" t="s">
        <v>51734</v>
      </c>
      <c r="B26584" s="2" t="s">
        <v>18633</v>
      </c>
      <c r="C26584" s="2" t="s">
        <v>29</v>
      </c>
      <c r="D26584" s="2" t="s">
        <v>192</v>
      </c>
      <c r="E26584" s="2" t="str">
        <f>"9789004140684"</f>
        <v>9789004140684</v>
      </c>
      <c r="F26584" s="2" t="str">
        <f>"9781429427227"</f>
        <v>9781429427227</v>
      </c>
    </row>
    <row r="26585" spans="1:6" s="3" customFormat="1" ht="29.1" customHeight="1" x14ac:dyDescent="0.25">
      <c r="A26585" s="2" t="s">
        <v>51735</v>
      </c>
      <c r="B26585" s="2" t="s">
        <v>18633</v>
      </c>
      <c r="C26585" s="2" t="s">
        <v>29</v>
      </c>
      <c r="D26585" s="2" t="s">
        <v>192</v>
      </c>
      <c r="E26585" s="2" t="str">
        <f>"9789004146396"</f>
        <v>9789004146396</v>
      </c>
      <c r="F26585" s="2" t="str">
        <f>"9781429427241"</f>
        <v>9781429427241</v>
      </c>
    </row>
    <row r="26586" spans="1:6" s="3" customFormat="1" ht="29.1" customHeight="1" x14ac:dyDescent="0.25">
      <c r="A26586" s="2" t="s">
        <v>51736</v>
      </c>
      <c r="B26586" s="2" t="s">
        <v>51737</v>
      </c>
      <c r="C26586" s="2" t="s">
        <v>3248</v>
      </c>
      <c r="D26586" s="2" t="s">
        <v>297</v>
      </c>
      <c r="E26586" s="2" t="str">
        <f>"9780813538136"</f>
        <v>9780813538136</v>
      </c>
      <c r="F26586" s="2" t="str">
        <f>"9780813539430"</f>
        <v>9780813539430</v>
      </c>
    </row>
    <row r="26587" spans="1:6" s="3" customFormat="1" ht="29.1" customHeight="1" x14ac:dyDescent="0.25">
      <c r="A26587" s="2" t="s">
        <v>51738</v>
      </c>
      <c r="B26587" s="2" t="s">
        <v>51739</v>
      </c>
      <c r="C26587" s="2" t="s">
        <v>124</v>
      </c>
      <c r="D26587" s="2" t="s">
        <v>2513</v>
      </c>
      <c r="E26587" s="2" t="str">
        <f>"9780415365932"</f>
        <v>9780415365932</v>
      </c>
      <c r="F26587" s="2" t="str">
        <f>"9781134213542"</f>
        <v>9781134213542</v>
      </c>
    </row>
    <row r="26588" spans="1:6" s="3" customFormat="1" ht="29.1" customHeight="1" x14ac:dyDescent="0.25">
      <c r="A26588" s="2" t="s">
        <v>51740</v>
      </c>
      <c r="B26588" s="2" t="s">
        <v>51741</v>
      </c>
      <c r="C26588" s="2" t="s">
        <v>124</v>
      </c>
      <c r="D26588" s="2" t="s">
        <v>186</v>
      </c>
      <c r="E26588" s="2" t="str">
        <f>"9780415327053"</f>
        <v>9780415327053</v>
      </c>
      <c r="F26588" s="2" t="str">
        <f>"9781134338627"</f>
        <v>9781134338627</v>
      </c>
    </row>
    <row r="26589" spans="1:6" s="3" customFormat="1" ht="29.1" customHeight="1" x14ac:dyDescent="0.25">
      <c r="A26589" s="2" t="s">
        <v>51742</v>
      </c>
      <c r="B26589" s="2" t="s">
        <v>51743</v>
      </c>
      <c r="C26589" s="2" t="s">
        <v>124</v>
      </c>
      <c r="D26589" s="2" t="s">
        <v>34178</v>
      </c>
      <c r="E26589" s="2" t="str">
        <f>"9780415385435"</f>
        <v>9780415385435</v>
      </c>
      <c r="F26589" s="2" t="str">
        <f>"9781134172245"</f>
        <v>9781134172245</v>
      </c>
    </row>
    <row r="26590" spans="1:6" s="3" customFormat="1" ht="29.1" customHeight="1" x14ac:dyDescent="0.25">
      <c r="A26590" s="2" t="s">
        <v>51744</v>
      </c>
      <c r="B26590" s="2" t="s">
        <v>51745</v>
      </c>
      <c r="C26590" s="2" t="s">
        <v>124</v>
      </c>
      <c r="D26590" s="2" t="s">
        <v>44040</v>
      </c>
      <c r="E26590" s="2" t="str">
        <f>"9780415702010"</f>
        <v>9780415702010</v>
      </c>
      <c r="F26590" s="2" t="str">
        <f>"9781135990381"</f>
        <v>9781135990381</v>
      </c>
    </row>
    <row r="26591" spans="1:6" s="3" customFormat="1" ht="29.1" customHeight="1" x14ac:dyDescent="0.25">
      <c r="A26591" s="2" t="s">
        <v>51746</v>
      </c>
      <c r="B26591" s="2" t="s">
        <v>51747</v>
      </c>
      <c r="C26591" s="2" t="s">
        <v>124</v>
      </c>
      <c r="D26591" s="2" t="s">
        <v>270</v>
      </c>
      <c r="E26591" s="2" t="str">
        <f>"9780415379472"</f>
        <v>9780415379472</v>
      </c>
      <c r="F26591" s="2" t="str">
        <f>"9781134181414"</f>
        <v>9781134181414</v>
      </c>
    </row>
    <row r="26592" spans="1:6" s="3" customFormat="1" ht="29.1" customHeight="1" x14ac:dyDescent="0.25">
      <c r="A26592" s="2" t="s">
        <v>51748</v>
      </c>
      <c r="B26592" s="2" t="s">
        <v>51749</v>
      </c>
      <c r="C26592" s="2" t="s">
        <v>124</v>
      </c>
      <c r="D26592" s="2" t="s">
        <v>1694</v>
      </c>
      <c r="E26592" s="2" t="str">
        <f>"9780415769990"</f>
        <v>9780415769990</v>
      </c>
      <c r="F26592" s="2" t="str">
        <f>"9781135988913"</f>
        <v>9781135988913</v>
      </c>
    </row>
    <row r="26593" spans="1:6" s="3" customFormat="1" ht="29.1" customHeight="1" x14ac:dyDescent="0.25">
      <c r="A26593" s="2" t="s">
        <v>51750</v>
      </c>
      <c r="B26593" s="2" t="s">
        <v>51751</v>
      </c>
      <c r="C26593" s="2" t="s">
        <v>124</v>
      </c>
      <c r="D26593" s="2" t="s">
        <v>9</v>
      </c>
      <c r="E26593" s="2" t="str">
        <f>"9780415374842"</f>
        <v>9780415374842</v>
      </c>
      <c r="F26593" s="2" t="str">
        <f>"9781134188628"</f>
        <v>9781134188628</v>
      </c>
    </row>
    <row r="26594" spans="1:6" s="3" customFormat="1" ht="29.1" customHeight="1" x14ac:dyDescent="0.25">
      <c r="A26594" s="2" t="s">
        <v>51752</v>
      </c>
      <c r="B26594" s="2" t="s">
        <v>51753</v>
      </c>
      <c r="C26594" s="2" t="s">
        <v>8047</v>
      </c>
      <c r="D26594" s="2" t="s">
        <v>215</v>
      </c>
      <c r="E26594" s="2" t="str">
        <f>"9780271022826"</f>
        <v>9780271022826</v>
      </c>
      <c r="F26594" s="2" t="str">
        <f>"9780271031606"</f>
        <v>9780271031606</v>
      </c>
    </row>
    <row r="26595" spans="1:6" s="3" customFormat="1" ht="29.1" customHeight="1" x14ac:dyDescent="0.25">
      <c r="A26595" s="2" t="s">
        <v>51754</v>
      </c>
      <c r="B26595" s="2" t="s">
        <v>51755</v>
      </c>
      <c r="C26595" s="2" t="s">
        <v>124</v>
      </c>
      <c r="D26595" s="2" t="s">
        <v>270</v>
      </c>
      <c r="E26595" s="2" t="str">
        <f>"9780415385077"</f>
        <v>9780415385077</v>
      </c>
      <c r="F26595" s="2" t="str">
        <f>"9781134173365"</f>
        <v>9781134173365</v>
      </c>
    </row>
    <row r="26596" spans="1:6" s="3" customFormat="1" ht="29.1" customHeight="1" x14ac:dyDescent="0.25">
      <c r="A26596" s="2" t="s">
        <v>51756</v>
      </c>
      <c r="B26596" s="2" t="s">
        <v>38152</v>
      </c>
      <c r="C26596" s="2" t="s">
        <v>124</v>
      </c>
      <c r="D26596" s="2" t="s">
        <v>270</v>
      </c>
      <c r="E26596" s="2" t="str">
        <f>"9780415401845"</f>
        <v>9780415401845</v>
      </c>
      <c r="F26596" s="2" t="str">
        <f>"9781134143894"</f>
        <v>9781134143894</v>
      </c>
    </row>
    <row r="26597" spans="1:6" s="3" customFormat="1" ht="29.1" customHeight="1" x14ac:dyDescent="0.25">
      <c r="A26597" s="2" t="s">
        <v>24493</v>
      </c>
      <c r="B26597" s="2" t="s">
        <v>51757</v>
      </c>
      <c r="C26597" s="2" t="s">
        <v>124</v>
      </c>
      <c r="D26597" s="2" t="s">
        <v>98</v>
      </c>
      <c r="E26597" s="2" t="str">
        <f>"9780415367844"</f>
        <v>9780415367844</v>
      </c>
      <c r="F26597" s="2" t="str">
        <f>"9781134208784"</f>
        <v>9781134208784</v>
      </c>
    </row>
    <row r="26598" spans="1:6" s="3" customFormat="1" ht="29.1" customHeight="1" x14ac:dyDescent="0.25">
      <c r="A26598" s="2" t="s">
        <v>51758</v>
      </c>
      <c r="B26598" s="2" t="s">
        <v>51759</v>
      </c>
      <c r="C26598" s="2" t="s">
        <v>124</v>
      </c>
      <c r="D26598" s="2" t="s">
        <v>186</v>
      </c>
      <c r="E26598" s="2" t="str">
        <f>"9780415362894"</f>
        <v>9780415362894</v>
      </c>
      <c r="F26598" s="2" t="str">
        <f>"9781134229857"</f>
        <v>9781134229857</v>
      </c>
    </row>
    <row r="26599" spans="1:6" s="3" customFormat="1" ht="29.1" customHeight="1" x14ac:dyDescent="0.25">
      <c r="A26599" s="2" t="s">
        <v>51760</v>
      </c>
      <c r="B26599" s="2" t="s">
        <v>51761</v>
      </c>
      <c r="C26599" s="2" t="s">
        <v>124</v>
      </c>
      <c r="D26599" s="2" t="s">
        <v>501</v>
      </c>
      <c r="E26599" s="2" t="str">
        <f>"9780415355599"</f>
        <v>9780415355599</v>
      </c>
      <c r="F26599" s="2" t="str">
        <f>"9781134253937"</f>
        <v>9781134253937</v>
      </c>
    </row>
    <row r="26600" spans="1:6" s="3" customFormat="1" ht="29.1" customHeight="1" x14ac:dyDescent="0.25">
      <c r="A26600" s="2" t="s">
        <v>51762</v>
      </c>
      <c r="B26600" s="2" t="s">
        <v>51763</v>
      </c>
      <c r="C26600" s="2" t="s">
        <v>124</v>
      </c>
      <c r="D26600" s="2" t="s">
        <v>183</v>
      </c>
      <c r="E26600" s="2" t="str">
        <f>"9780415363723"</f>
        <v>9780415363723</v>
      </c>
      <c r="F26600" s="2" t="str">
        <f>"9781134324910"</f>
        <v>9781134324910</v>
      </c>
    </row>
    <row r="26601" spans="1:6" s="3" customFormat="1" ht="29.1" customHeight="1" x14ac:dyDescent="0.25">
      <c r="A26601" s="2" t="s">
        <v>51764</v>
      </c>
      <c r="B26601" s="2" t="s">
        <v>51765</v>
      </c>
      <c r="C26601" s="2" t="s">
        <v>124</v>
      </c>
      <c r="D26601" s="2" t="s">
        <v>462</v>
      </c>
      <c r="E26601" s="2" t="str">
        <f>"9780415285506"</f>
        <v>9780415285506</v>
      </c>
      <c r="F26601" s="2" t="str">
        <f>"9781134451050"</f>
        <v>9781134451050</v>
      </c>
    </row>
    <row r="26602" spans="1:6" s="3" customFormat="1" ht="29.1" customHeight="1" x14ac:dyDescent="0.25">
      <c r="A26602" s="2" t="s">
        <v>51766</v>
      </c>
      <c r="B26602" s="2" t="s">
        <v>51767</v>
      </c>
      <c r="C26602" s="2" t="s">
        <v>124</v>
      </c>
      <c r="D26602" s="2" t="s">
        <v>353</v>
      </c>
      <c r="E26602" s="2" t="str">
        <f>"9780415348768"</f>
        <v>9780415348768</v>
      </c>
      <c r="F26602" s="2" t="str">
        <f>"9781134274581"</f>
        <v>9781134274581</v>
      </c>
    </row>
    <row r="26603" spans="1:6" s="3" customFormat="1" ht="29.1" customHeight="1" x14ac:dyDescent="0.25">
      <c r="A26603" s="2" t="s">
        <v>51768</v>
      </c>
      <c r="B26603" s="2" t="s">
        <v>51769</v>
      </c>
      <c r="C26603" s="2" t="s">
        <v>124</v>
      </c>
      <c r="D26603" s="2" t="s">
        <v>4742</v>
      </c>
      <c r="E26603" s="2" t="str">
        <f>"9780415391160"</f>
        <v>9780415391160</v>
      </c>
      <c r="F26603" s="2" t="str">
        <f>"9781134166367"</f>
        <v>9781134166367</v>
      </c>
    </row>
    <row r="26604" spans="1:6" s="3" customFormat="1" ht="29.1" customHeight="1" x14ac:dyDescent="0.25">
      <c r="A26604" s="2" t="s">
        <v>51770</v>
      </c>
      <c r="B26604" s="2" t="s">
        <v>18120</v>
      </c>
      <c r="C26604" s="2" t="s">
        <v>124</v>
      </c>
      <c r="D26604" s="2" t="s">
        <v>1956</v>
      </c>
      <c r="E26604" s="2" t="str">
        <f>"9780415390408"</f>
        <v>9780415390408</v>
      </c>
      <c r="F26604" s="2" t="str">
        <f>"9781134168255"</f>
        <v>9781134168255</v>
      </c>
    </row>
    <row r="26605" spans="1:6" s="3" customFormat="1" ht="29.1" customHeight="1" x14ac:dyDescent="0.25">
      <c r="A26605" s="2" t="s">
        <v>51771</v>
      </c>
      <c r="B26605" s="2" t="s">
        <v>51772</v>
      </c>
      <c r="C26605" s="2" t="s">
        <v>124</v>
      </c>
      <c r="D26605" s="2" t="s">
        <v>4002</v>
      </c>
      <c r="E26605" s="2" t="str">
        <f>"9780415383783"</f>
        <v>9780415383783</v>
      </c>
      <c r="F26605" s="2" t="str">
        <f>"9781134175888"</f>
        <v>9781134175888</v>
      </c>
    </row>
    <row r="26606" spans="1:6" s="3" customFormat="1" ht="29.1" customHeight="1" x14ac:dyDescent="0.25">
      <c r="A26606" s="2" t="s">
        <v>51773</v>
      </c>
      <c r="B26606" s="2" t="s">
        <v>8711</v>
      </c>
      <c r="C26606" s="2" t="s">
        <v>124</v>
      </c>
      <c r="D26606" s="2" t="s">
        <v>5104</v>
      </c>
      <c r="E26606" s="2" t="str">
        <f>"9780415383776"</f>
        <v>9780415383776</v>
      </c>
      <c r="F26606" s="2" t="str">
        <f>"9781134175956"</f>
        <v>9781134175956</v>
      </c>
    </row>
    <row r="26607" spans="1:6" s="3" customFormat="1" ht="29.1" customHeight="1" x14ac:dyDescent="0.25">
      <c r="A26607" s="2" t="s">
        <v>51774</v>
      </c>
      <c r="B26607" s="2" t="s">
        <v>51775</v>
      </c>
      <c r="C26607" s="2" t="s">
        <v>124</v>
      </c>
      <c r="D26607" s="2" t="s">
        <v>2513</v>
      </c>
      <c r="E26607" s="2" t="str">
        <f>"9780415318778"</f>
        <v>9780415318778</v>
      </c>
      <c r="F26607" s="2" t="str">
        <f>"9781134366569"</f>
        <v>9781134366569</v>
      </c>
    </row>
    <row r="26608" spans="1:6" s="3" customFormat="1" ht="29.1" customHeight="1" x14ac:dyDescent="0.25">
      <c r="A26608" s="2" t="s">
        <v>51776</v>
      </c>
      <c r="B26608" s="2" t="s">
        <v>51778</v>
      </c>
      <c r="C26608" s="2" t="s">
        <v>124</v>
      </c>
      <c r="D26608" s="2" t="s">
        <v>51777</v>
      </c>
      <c r="E26608" s="2" t="str">
        <f>"9780415368353"</f>
        <v>9780415368353</v>
      </c>
      <c r="F26608" s="2" t="str">
        <f>"9781134205981"</f>
        <v>9781134205981</v>
      </c>
    </row>
    <row r="26609" spans="1:6" s="3" customFormat="1" ht="29.1" customHeight="1" x14ac:dyDescent="0.25">
      <c r="A26609" s="2" t="s">
        <v>51779</v>
      </c>
      <c r="B26609" s="2" t="s">
        <v>51780</v>
      </c>
      <c r="C26609" s="2" t="s">
        <v>124</v>
      </c>
      <c r="D26609" s="2" t="s">
        <v>1432</v>
      </c>
      <c r="E26609" s="2" t="str">
        <f>"9780415355506"</f>
        <v>9780415355506</v>
      </c>
      <c r="F26609" s="2" t="str">
        <f>"9781134254354"</f>
        <v>9781134254354</v>
      </c>
    </row>
    <row r="26610" spans="1:6" s="3" customFormat="1" ht="29.1" customHeight="1" x14ac:dyDescent="0.25">
      <c r="A26610" s="2" t="s">
        <v>51781</v>
      </c>
      <c r="B26610" s="2" t="s">
        <v>51782</v>
      </c>
      <c r="C26610" s="2" t="s">
        <v>124</v>
      </c>
      <c r="D26610" s="2" t="s">
        <v>4071</v>
      </c>
      <c r="E26610" s="2" t="str">
        <f>"9780415400282"</f>
        <v>9780415400282</v>
      </c>
      <c r="F26610" s="2" t="str">
        <f>"9781134146758"</f>
        <v>9781134146758</v>
      </c>
    </row>
    <row r="26611" spans="1:6" s="3" customFormat="1" ht="29.1" customHeight="1" x14ac:dyDescent="0.25">
      <c r="A26611" s="2" t="s">
        <v>51783</v>
      </c>
      <c r="B26611" s="2" t="s">
        <v>51784</v>
      </c>
      <c r="C26611" s="2" t="s">
        <v>124</v>
      </c>
      <c r="D26611" s="2" t="s">
        <v>9</v>
      </c>
      <c r="E26611" s="2" t="str">
        <f>"9780415364324"</f>
        <v>9780415364324</v>
      </c>
      <c r="F26611" s="2" t="str">
        <f>"9781134220052"</f>
        <v>9781134220052</v>
      </c>
    </row>
    <row r="26612" spans="1:6" s="3" customFormat="1" ht="29.1" customHeight="1" x14ac:dyDescent="0.25">
      <c r="A26612" s="2" t="s">
        <v>51785</v>
      </c>
      <c r="B26612" s="2" t="s">
        <v>51786</v>
      </c>
      <c r="C26612" s="2" t="s">
        <v>124</v>
      </c>
      <c r="D26612" s="2" t="s">
        <v>1127</v>
      </c>
      <c r="E26612" s="2" t="str">
        <f>"9780415397391"</f>
        <v>9780415397391</v>
      </c>
      <c r="F26612" s="2" t="str">
        <f>"9781134152858"</f>
        <v>9781134152858</v>
      </c>
    </row>
    <row r="26613" spans="1:6" s="3" customFormat="1" ht="29.1" customHeight="1" x14ac:dyDescent="0.25">
      <c r="A26613" s="2" t="s">
        <v>51787</v>
      </c>
      <c r="B26613" s="2" t="s">
        <v>51788</v>
      </c>
      <c r="C26613" s="2" t="s">
        <v>124</v>
      </c>
      <c r="D26613" s="2" t="s">
        <v>339</v>
      </c>
      <c r="E26613" s="2" t="str">
        <f>"9780415398596"</f>
        <v>9780415398596</v>
      </c>
      <c r="F26613" s="2" t="str">
        <f>"9781134150687"</f>
        <v>9781134150687</v>
      </c>
    </row>
    <row r="26614" spans="1:6" s="3" customFormat="1" ht="29.1" customHeight="1" x14ac:dyDescent="0.25">
      <c r="A26614" s="2" t="s">
        <v>51789</v>
      </c>
      <c r="B26614" s="2" t="s">
        <v>51790</v>
      </c>
      <c r="C26614" s="2" t="s">
        <v>124</v>
      </c>
      <c r="D26614" s="2" t="s">
        <v>1259</v>
      </c>
      <c r="E26614" s="2" t="str">
        <f>"9780415326032"</f>
        <v>9780415326032</v>
      </c>
      <c r="F26614" s="2" t="str">
        <f>"9781134341504"</f>
        <v>9781134341504</v>
      </c>
    </row>
    <row r="26615" spans="1:6" s="3" customFormat="1" ht="29.1" customHeight="1" x14ac:dyDescent="0.25">
      <c r="A26615" s="2" t="s">
        <v>51791</v>
      </c>
      <c r="B26615" s="2" t="s">
        <v>51792</v>
      </c>
      <c r="C26615" s="2" t="s">
        <v>124</v>
      </c>
      <c r="D26615" s="2" t="s">
        <v>9739</v>
      </c>
      <c r="E26615" s="2" t="str">
        <f>"9780415770521"</f>
        <v>9780415770521</v>
      </c>
      <c r="F26615" s="2" t="str">
        <f>"9781135986742"</f>
        <v>9781135986742</v>
      </c>
    </row>
    <row r="26616" spans="1:6" s="3" customFormat="1" ht="29.1" customHeight="1" x14ac:dyDescent="0.25">
      <c r="A26616" s="2" t="s">
        <v>51793</v>
      </c>
      <c r="B26616" s="2" t="s">
        <v>51794</v>
      </c>
      <c r="C26616" s="2" t="s">
        <v>124</v>
      </c>
      <c r="D26616" s="2" t="s">
        <v>339</v>
      </c>
      <c r="E26616" s="2" t="str">
        <f>"9780415770637"</f>
        <v>9780415770637</v>
      </c>
      <c r="F26616" s="2" t="str">
        <f>"9781135986186"</f>
        <v>9781135986186</v>
      </c>
    </row>
    <row r="26617" spans="1:6" s="3" customFormat="1" ht="29.1" customHeight="1" x14ac:dyDescent="0.25">
      <c r="A26617" s="2" t="s">
        <v>51795</v>
      </c>
      <c r="B26617" s="2" t="s">
        <v>51796</v>
      </c>
      <c r="C26617" s="2" t="s">
        <v>124</v>
      </c>
      <c r="D26617" s="2" t="s">
        <v>186</v>
      </c>
      <c r="E26617" s="2" t="str">
        <f>"9780415357029"</f>
        <v>9780415357029</v>
      </c>
      <c r="F26617" s="2" t="str">
        <f>"9781134248827"</f>
        <v>9781134248827</v>
      </c>
    </row>
    <row r="26618" spans="1:6" s="3" customFormat="1" ht="29.1" customHeight="1" x14ac:dyDescent="0.25">
      <c r="A26618" s="2" t="s">
        <v>51797</v>
      </c>
      <c r="B26618" s="2" t="s">
        <v>51798</v>
      </c>
      <c r="C26618" s="2" t="s">
        <v>124</v>
      </c>
      <c r="D26618" s="2" t="s">
        <v>186</v>
      </c>
      <c r="E26618" s="2" t="str">
        <f>"9780415344371"</f>
        <v>9780415344371</v>
      </c>
      <c r="F26618" s="2" t="str">
        <f>"9781134287116"</f>
        <v>9781134287116</v>
      </c>
    </row>
    <row r="26619" spans="1:6" s="3" customFormat="1" ht="29.1" customHeight="1" x14ac:dyDescent="0.25">
      <c r="A26619" s="2" t="s">
        <v>51799</v>
      </c>
      <c r="B26619" s="2" t="s">
        <v>51800</v>
      </c>
      <c r="C26619" s="2" t="s">
        <v>124</v>
      </c>
      <c r="D26619" s="2" t="s">
        <v>186</v>
      </c>
      <c r="E26619" s="2" t="str">
        <f>"9780415324939"</f>
        <v>9780415324939</v>
      </c>
      <c r="F26619" s="2" t="str">
        <f>"9781134344239"</f>
        <v>9781134344239</v>
      </c>
    </row>
    <row r="26620" spans="1:6" s="3" customFormat="1" ht="29.1" customHeight="1" x14ac:dyDescent="0.25">
      <c r="A26620" s="2" t="s">
        <v>51801</v>
      </c>
      <c r="B26620" s="2" t="s">
        <v>51802</v>
      </c>
      <c r="C26620" s="2" t="s">
        <v>124</v>
      </c>
      <c r="D26620" s="2" t="s">
        <v>186</v>
      </c>
      <c r="E26620" s="2" t="str">
        <f>"9780415304344"</f>
        <v>9780415304344</v>
      </c>
      <c r="F26620" s="2" t="str">
        <f>"9781134408429"</f>
        <v>9781134408429</v>
      </c>
    </row>
    <row r="26621" spans="1:6" s="3" customFormat="1" ht="29.1" customHeight="1" x14ac:dyDescent="0.25">
      <c r="A26621" s="2" t="s">
        <v>51803</v>
      </c>
      <c r="B26621" s="2" t="s">
        <v>51804</v>
      </c>
      <c r="C26621" s="2" t="s">
        <v>124</v>
      </c>
      <c r="D26621" s="2" t="s">
        <v>186</v>
      </c>
      <c r="E26621" s="2" t="str">
        <f>"9780415299749"</f>
        <v>9780415299749</v>
      </c>
      <c r="F26621" s="2" t="str">
        <f>"9781134423194"</f>
        <v>9781134423194</v>
      </c>
    </row>
    <row r="26622" spans="1:6" s="3" customFormat="1" ht="29.1" customHeight="1" x14ac:dyDescent="0.25">
      <c r="A26622" s="2" t="s">
        <v>51805</v>
      </c>
      <c r="B26622" s="2" t="s">
        <v>12078</v>
      </c>
      <c r="C26622" s="2" t="s">
        <v>124</v>
      </c>
      <c r="D26622" s="2" t="s">
        <v>9</v>
      </c>
      <c r="E26622" s="2" t="str">
        <f>"9780415359405"</f>
        <v>9780415359405</v>
      </c>
      <c r="F26622" s="2" t="str">
        <f>"9781134241125"</f>
        <v>9781134241125</v>
      </c>
    </row>
    <row r="26623" spans="1:6" s="3" customFormat="1" ht="29.1" customHeight="1" x14ac:dyDescent="0.25">
      <c r="A26623" s="2" t="s">
        <v>51806</v>
      </c>
      <c r="B26623" s="2" t="s">
        <v>51807</v>
      </c>
      <c r="C26623" s="2" t="s">
        <v>124</v>
      </c>
      <c r="D26623" s="2" t="s">
        <v>5104</v>
      </c>
      <c r="E26623" s="2" t="str">
        <f>"9780415341585"</f>
        <v>9780415341585</v>
      </c>
      <c r="F26623" s="2" t="str">
        <f>"9781134294954"</f>
        <v>9781134294954</v>
      </c>
    </row>
    <row r="26624" spans="1:6" s="3" customFormat="1" ht="29.1" customHeight="1" x14ac:dyDescent="0.25">
      <c r="A26624" s="2" t="s">
        <v>51808</v>
      </c>
      <c r="B26624" s="2" t="s">
        <v>51809</v>
      </c>
      <c r="C26624" s="2" t="s">
        <v>124</v>
      </c>
      <c r="D26624" s="2" t="s">
        <v>270</v>
      </c>
      <c r="E26624" s="2" t="str">
        <f>"9780415380652"</f>
        <v>9780415380652</v>
      </c>
      <c r="F26624" s="2" t="str">
        <f>"9781134179381"</f>
        <v>9781134179381</v>
      </c>
    </row>
    <row r="26625" spans="1:6" s="3" customFormat="1" ht="29.1" customHeight="1" x14ac:dyDescent="0.25">
      <c r="A26625" s="2" t="s">
        <v>51810</v>
      </c>
      <c r="B26625" s="2" t="s">
        <v>51811</v>
      </c>
      <c r="C26625" s="2" t="s">
        <v>124</v>
      </c>
      <c r="D26625" s="2" t="s">
        <v>186</v>
      </c>
      <c r="E26625" s="2" t="str">
        <f>"9780415072564"</f>
        <v>9780415072564</v>
      </c>
      <c r="F26625" s="2" t="str">
        <f>"9781134907878"</f>
        <v>9781134907878</v>
      </c>
    </row>
    <row r="26626" spans="1:6" s="3" customFormat="1" ht="29.1" customHeight="1" x14ac:dyDescent="0.25">
      <c r="A26626" s="2" t="s">
        <v>51812</v>
      </c>
      <c r="B26626" s="2" t="s">
        <v>51813</v>
      </c>
      <c r="C26626" s="2" t="s">
        <v>124</v>
      </c>
      <c r="D26626" s="2" t="s">
        <v>402</v>
      </c>
      <c r="E26626" s="2" t="str">
        <f>"9780415372947"</f>
        <v>9780415372947</v>
      </c>
      <c r="F26626" s="2" t="str">
        <f>"9781134192052"</f>
        <v>9781134192052</v>
      </c>
    </row>
    <row r="26627" spans="1:6" s="3" customFormat="1" ht="29.1" customHeight="1" x14ac:dyDescent="0.25">
      <c r="A26627" s="2" t="s">
        <v>51814</v>
      </c>
      <c r="B26627" s="2" t="s">
        <v>51815</v>
      </c>
      <c r="C26627" s="2" t="s">
        <v>124</v>
      </c>
      <c r="D26627" s="2" t="s">
        <v>7359</v>
      </c>
      <c r="E26627" s="2" t="str">
        <f>"9780415380539"</f>
        <v>9780415380539</v>
      </c>
      <c r="F26627" s="2" t="str">
        <f>"9781134179596"</f>
        <v>9781134179596</v>
      </c>
    </row>
    <row r="26628" spans="1:6" s="3" customFormat="1" ht="29.1" customHeight="1" x14ac:dyDescent="0.25">
      <c r="A26628" s="2" t="s">
        <v>51816</v>
      </c>
      <c r="B26628" s="2" t="s">
        <v>51817</v>
      </c>
      <c r="C26628" s="2" t="s">
        <v>124</v>
      </c>
      <c r="D26628" s="2" t="s">
        <v>2019</v>
      </c>
      <c r="E26628" s="2" t="str">
        <f>"9780415380157"</f>
        <v>9780415380157</v>
      </c>
      <c r="F26628" s="2" t="str">
        <f>"9781134180578"</f>
        <v>9781134180578</v>
      </c>
    </row>
    <row r="26629" spans="1:6" s="3" customFormat="1" ht="29.1" customHeight="1" x14ac:dyDescent="0.25">
      <c r="A26629" s="2" t="s">
        <v>51818</v>
      </c>
      <c r="B26629" s="2" t="s">
        <v>51819</v>
      </c>
      <c r="C26629" s="2" t="s">
        <v>124</v>
      </c>
      <c r="D26629" s="2" t="s">
        <v>2513</v>
      </c>
      <c r="E26629" s="2" t="str">
        <f>"9780415701402"</f>
        <v>9780415701402</v>
      </c>
      <c r="F26629" s="2" t="str">
        <f>"9781135992347"</f>
        <v>9781135992347</v>
      </c>
    </row>
    <row r="26630" spans="1:6" s="3" customFormat="1" ht="29.1" customHeight="1" x14ac:dyDescent="0.25">
      <c r="A26630" s="2" t="s">
        <v>51820</v>
      </c>
      <c r="B26630" s="2" t="s">
        <v>51821</v>
      </c>
      <c r="C26630" s="2" t="s">
        <v>124</v>
      </c>
      <c r="D26630" s="2" t="s">
        <v>270</v>
      </c>
      <c r="E26630" s="2" t="str">
        <f>"9780415372060"</f>
        <v>9780415372060</v>
      </c>
      <c r="F26630" s="2" t="str">
        <f>"9781134194155"</f>
        <v>9781134194155</v>
      </c>
    </row>
    <row r="26631" spans="1:6" s="3" customFormat="1" ht="29.1" customHeight="1" x14ac:dyDescent="0.25">
      <c r="A26631" s="2" t="s">
        <v>51822</v>
      </c>
      <c r="B26631" s="2" t="s">
        <v>51823</v>
      </c>
      <c r="C26631" s="2" t="s">
        <v>8047</v>
      </c>
      <c r="D26631" s="2" t="s">
        <v>699</v>
      </c>
      <c r="E26631" s="2" t="str">
        <f>"9780271025247"</f>
        <v>9780271025247</v>
      </c>
      <c r="F26631" s="2" t="str">
        <f>"9780271030241"</f>
        <v>9780271030241</v>
      </c>
    </row>
    <row r="26632" spans="1:6" s="3" customFormat="1" ht="29.1" customHeight="1" x14ac:dyDescent="0.25">
      <c r="A26632" s="2" t="s">
        <v>51824</v>
      </c>
      <c r="B26632" s="2" t="s">
        <v>51825</v>
      </c>
      <c r="C26632" s="2" t="s">
        <v>29</v>
      </c>
      <c r="D26632" s="2" t="s">
        <v>33</v>
      </c>
      <c r="E26632" s="2" t="str">
        <f>"9789004130302"</f>
        <v>9789004130302</v>
      </c>
      <c r="F26632" s="2" t="str">
        <f>"9781429407120"</f>
        <v>9781429407120</v>
      </c>
    </row>
    <row r="26633" spans="1:6" s="3" customFormat="1" ht="29.1" customHeight="1" x14ac:dyDescent="0.25">
      <c r="A26633" s="2" t="s">
        <v>51826</v>
      </c>
      <c r="B26633" s="2" t="s">
        <v>51827</v>
      </c>
      <c r="C26633" s="2" t="s">
        <v>1070</v>
      </c>
      <c r="D26633" s="2" t="s">
        <v>8189</v>
      </c>
      <c r="E26633" s="2" t="str">
        <f>"9783805579056"</f>
        <v>9783805579056</v>
      </c>
      <c r="F26633" s="2" t="str">
        <f>"9783318015010"</f>
        <v>9783318015010</v>
      </c>
    </row>
    <row r="26634" spans="1:6" s="3" customFormat="1" ht="29.1" customHeight="1" x14ac:dyDescent="0.25">
      <c r="A26634" s="2" t="s">
        <v>51828</v>
      </c>
      <c r="B26634" s="2" t="s">
        <v>51829</v>
      </c>
      <c r="C26634" s="2" t="s">
        <v>3248</v>
      </c>
      <c r="D26634" s="2" t="s">
        <v>297</v>
      </c>
      <c r="E26634" s="2" t="str">
        <f>"9780813538020"</f>
        <v>9780813538020</v>
      </c>
      <c r="F26634" s="2" t="str">
        <f>"9780813539270"</f>
        <v>9780813539270</v>
      </c>
    </row>
    <row r="26635" spans="1:6" s="3" customFormat="1" ht="29.1" customHeight="1" x14ac:dyDescent="0.25">
      <c r="A26635" s="2" t="s">
        <v>51830</v>
      </c>
      <c r="B26635" s="2" t="s">
        <v>51831</v>
      </c>
      <c r="C26635" s="2" t="s">
        <v>124</v>
      </c>
      <c r="D26635" s="2" t="s">
        <v>4742</v>
      </c>
      <c r="E26635" s="2" t="str">
        <f>"9780415770071"</f>
        <v>9780415770071</v>
      </c>
      <c r="F26635" s="2" t="str">
        <f>"9781135988494"</f>
        <v>9781135988494</v>
      </c>
    </row>
    <row r="26636" spans="1:6" s="3" customFormat="1" ht="29.1" customHeight="1" x14ac:dyDescent="0.25">
      <c r="A26636" s="2" t="s">
        <v>51832</v>
      </c>
      <c r="B26636" s="2" t="s">
        <v>51833</v>
      </c>
      <c r="C26636" s="2" t="s">
        <v>124</v>
      </c>
      <c r="D26636" s="2" t="s">
        <v>186</v>
      </c>
      <c r="E26636" s="2" t="str">
        <f>"9780415068789"</f>
        <v>9780415068789</v>
      </c>
      <c r="F26636" s="2" t="str">
        <f>"9781134915224"</f>
        <v>9781134915224</v>
      </c>
    </row>
    <row r="26637" spans="1:6" s="3" customFormat="1" ht="29.1" customHeight="1" x14ac:dyDescent="0.25">
      <c r="A26637" s="2" t="s">
        <v>51834</v>
      </c>
      <c r="B26637" s="2" t="s">
        <v>51835</v>
      </c>
      <c r="C26637" s="2" t="s">
        <v>124</v>
      </c>
      <c r="D26637" s="2" t="s">
        <v>15324</v>
      </c>
      <c r="E26637" s="2" t="str">
        <f>"9780415368223"</f>
        <v>9780415368223</v>
      </c>
      <c r="F26637" s="2" t="str">
        <f>"9781134206827"</f>
        <v>9781134206827</v>
      </c>
    </row>
    <row r="26638" spans="1:6" s="3" customFormat="1" ht="29.1" customHeight="1" x14ac:dyDescent="0.25">
      <c r="A26638" s="2" t="s">
        <v>51836</v>
      </c>
      <c r="B26638" s="2" t="s">
        <v>51837</v>
      </c>
      <c r="C26638" s="2" t="s">
        <v>124</v>
      </c>
      <c r="D26638" s="2" t="s">
        <v>339</v>
      </c>
      <c r="E26638" s="2" t="str">
        <f>"9780415943635"</f>
        <v>9780415943635</v>
      </c>
      <c r="F26638" s="2" t="str">
        <f>"9781135946975"</f>
        <v>9781135946975</v>
      </c>
    </row>
    <row r="26639" spans="1:6" s="3" customFormat="1" ht="29.1" customHeight="1" x14ac:dyDescent="0.25">
      <c r="A26639" s="2" t="s">
        <v>51838</v>
      </c>
      <c r="B26639" s="2" t="s">
        <v>51839</v>
      </c>
      <c r="C26639" s="2" t="s">
        <v>124</v>
      </c>
      <c r="D26639" s="2" t="s">
        <v>12</v>
      </c>
      <c r="E26639" s="2" t="str">
        <f>"9780415361316"</f>
        <v>9780415361316</v>
      </c>
      <c r="F26639" s="2" t="str">
        <f>"9781134234196"</f>
        <v>9781134234196</v>
      </c>
    </row>
    <row r="26640" spans="1:6" s="3" customFormat="1" ht="29.1" customHeight="1" x14ac:dyDescent="0.25">
      <c r="A26640" s="2" t="s">
        <v>51840</v>
      </c>
      <c r="B26640" s="2" t="s">
        <v>51841</v>
      </c>
      <c r="C26640" s="2" t="s">
        <v>124</v>
      </c>
      <c r="D26640" s="2" t="s">
        <v>501</v>
      </c>
      <c r="E26640" s="2" t="str">
        <f>"9780415378208"</f>
        <v>9780415378208</v>
      </c>
      <c r="F26640" s="2" t="str">
        <f>"9781134183166"</f>
        <v>9781134183166</v>
      </c>
    </row>
    <row r="26641" spans="1:6" s="3" customFormat="1" ht="29.1" customHeight="1" x14ac:dyDescent="0.25">
      <c r="A26641" s="2" t="s">
        <v>51842</v>
      </c>
      <c r="B26641" s="2" t="s">
        <v>51843</v>
      </c>
      <c r="C26641" s="2" t="s">
        <v>124</v>
      </c>
      <c r="D26641" s="2" t="s">
        <v>183</v>
      </c>
      <c r="E26641" s="2" t="str">
        <f>"9780415076197"</f>
        <v>9780415076197</v>
      </c>
      <c r="F26641" s="2" t="str">
        <f>"9781134902750"</f>
        <v>9781134902750</v>
      </c>
    </row>
    <row r="26642" spans="1:6" s="3" customFormat="1" ht="29.1" customHeight="1" x14ac:dyDescent="0.25">
      <c r="A26642" s="2" t="s">
        <v>51844</v>
      </c>
      <c r="B26642" s="2" t="s">
        <v>51845</v>
      </c>
      <c r="C26642" s="2" t="s">
        <v>124</v>
      </c>
      <c r="D26642" s="2" t="s">
        <v>210</v>
      </c>
      <c r="E26642" s="2" t="str">
        <f>"9780415109321"</f>
        <v>9780415109321</v>
      </c>
      <c r="F26642" s="2" t="str">
        <f>"9781134838080"</f>
        <v>9781134838080</v>
      </c>
    </row>
    <row r="26643" spans="1:6" s="3" customFormat="1" ht="29.1" customHeight="1" x14ac:dyDescent="0.25">
      <c r="A26643" s="2" t="s">
        <v>51846</v>
      </c>
      <c r="B26643" s="2" t="s">
        <v>51847</v>
      </c>
      <c r="C26643" s="2" t="s">
        <v>124</v>
      </c>
      <c r="D26643" s="2" t="s">
        <v>186</v>
      </c>
      <c r="E26643" s="2" t="str">
        <f>"9780415354929"</f>
        <v>9780415354929</v>
      </c>
      <c r="F26643" s="2" t="str">
        <f>"9781134256389"</f>
        <v>9781134256389</v>
      </c>
    </row>
    <row r="26644" spans="1:6" s="3" customFormat="1" ht="29.1" customHeight="1" x14ac:dyDescent="0.25">
      <c r="A26644" s="2" t="s">
        <v>51848</v>
      </c>
      <c r="B26644" s="2" t="s">
        <v>51849</v>
      </c>
      <c r="C26644" s="2" t="s">
        <v>124</v>
      </c>
      <c r="D26644" s="2" t="s">
        <v>186</v>
      </c>
      <c r="E26644" s="2" t="str">
        <f>"9780415349529"</f>
        <v>9780415349529</v>
      </c>
      <c r="F26644" s="2" t="str">
        <f>"9781134272273"</f>
        <v>9781134272273</v>
      </c>
    </row>
    <row r="26645" spans="1:6" s="3" customFormat="1" ht="29.1" customHeight="1" x14ac:dyDescent="0.25">
      <c r="A26645" s="2" t="s">
        <v>51850</v>
      </c>
      <c r="B26645" s="2" t="s">
        <v>51851</v>
      </c>
      <c r="C26645" s="2" t="s">
        <v>124</v>
      </c>
      <c r="D26645" s="2" t="s">
        <v>270</v>
      </c>
      <c r="E26645" s="2" t="str">
        <f>"9789053568743"</f>
        <v>9789053568743</v>
      </c>
      <c r="F26645" s="2" t="str">
        <f>"9781040799710"</f>
        <v>9781040799710</v>
      </c>
    </row>
    <row r="26646" spans="1:6" s="3" customFormat="1" ht="29.1" customHeight="1" x14ac:dyDescent="0.25">
      <c r="A26646" s="2" t="s">
        <v>51852</v>
      </c>
      <c r="B26646" s="2" t="s">
        <v>1817</v>
      </c>
      <c r="C26646" s="2" t="s">
        <v>124</v>
      </c>
      <c r="D26646" s="2" t="s">
        <v>202</v>
      </c>
      <c r="E26646" s="2" t="str">
        <f>"9789053568323"</f>
        <v>9789053568323</v>
      </c>
      <c r="F26646" s="2" t="str">
        <f>"9789048509744"</f>
        <v>9789048509744</v>
      </c>
    </row>
    <row r="26647" spans="1:6" s="3" customFormat="1" ht="29.1" customHeight="1" x14ac:dyDescent="0.25">
      <c r="A26647" s="2" t="s">
        <v>51853</v>
      </c>
      <c r="B26647" s="2" t="s">
        <v>51854</v>
      </c>
      <c r="C26647" s="2" t="s">
        <v>124</v>
      </c>
      <c r="D26647" s="2" t="s">
        <v>78</v>
      </c>
      <c r="E26647" s="2" t="str">
        <f>"9789053568262"</f>
        <v>9789053568262</v>
      </c>
      <c r="F26647" s="2" t="str">
        <f>"9781040779880"</f>
        <v>9781040779880</v>
      </c>
    </row>
    <row r="26648" spans="1:6" s="3" customFormat="1" ht="29.1" customHeight="1" x14ac:dyDescent="0.25">
      <c r="A26648" s="2" t="s">
        <v>51855</v>
      </c>
      <c r="B26648" s="2" t="s">
        <v>51856</v>
      </c>
      <c r="C26648" s="2" t="s">
        <v>124</v>
      </c>
      <c r="D26648" s="2" t="s">
        <v>186</v>
      </c>
      <c r="E26648" s="2" t="str">
        <f>"9780415384940"</f>
        <v>9780415384940</v>
      </c>
      <c r="F26648" s="2" t="str">
        <f>"9781134173785"</f>
        <v>9781134173785</v>
      </c>
    </row>
    <row r="26649" spans="1:6" s="3" customFormat="1" ht="29.1" customHeight="1" x14ac:dyDescent="0.25">
      <c r="A26649" s="2" t="s">
        <v>51857</v>
      </c>
      <c r="B26649" s="2" t="s">
        <v>51858</v>
      </c>
      <c r="C26649" s="2" t="s">
        <v>124</v>
      </c>
      <c r="D26649" s="2" t="s">
        <v>270</v>
      </c>
      <c r="E26649" s="2" t="str">
        <f>"9780415378994"</f>
        <v>9780415378994</v>
      </c>
      <c r="F26649" s="2" t="str">
        <f>"9781134182114"</f>
        <v>9781134182114</v>
      </c>
    </row>
    <row r="26650" spans="1:6" s="3" customFormat="1" ht="29.1" customHeight="1" x14ac:dyDescent="0.25">
      <c r="A26650" s="2" t="s">
        <v>51859</v>
      </c>
      <c r="B26650" s="2" t="s">
        <v>51860</v>
      </c>
      <c r="C26650" s="2" t="s">
        <v>124</v>
      </c>
      <c r="D26650" s="2" t="s">
        <v>183</v>
      </c>
      <c r="E26650" s="2" t="str">
        <f>"9780415375610"</f>
        <v>9780415375610</v>
      </c>
      <c r="F26650" s="2" t="str">
        <f>"9781134186389"</f>
        <v>9781134186389</v>
      </c>
    </row>
    <row r="26651" spans="1:6" s="3" customFormat="1" ht="29.1" customHeight="1" x14ac:dyDescent="0.25">
      <c r="A26651" s="2" t="s">
        <v>51861</v>
      </c>
      <c r="B26651" s="2" t="s">
        <v>51862</v>
      </c>
      <c r="C26651" s="2" t="s">
        <v>124</v>
      </c>
      <c r="D26651" s="2" t="s">
        <v>2005</v>
      </c>
      <c r="E26651" s="2" t="str">
        <f>"9780415372077"</f>
        <v>9780415372077</v>
      </c>
      <c r="F26651" s="2" t="str">
        <f>"9781134194087"</f>
        <v>9781134194087</v>
      </c>
    </row>
    <row r="26652" spans="1:6" s="3" customFormat="1" ht="29.1" customHeight="1" x14ac:dyDescent="0.25">
      <c r="A26652" s="2" t="s">
        <v>51863</v>
      </c>
      <c r="B26652" s="2" t="s">
        <v>51864</v>
      </c>
      <c r="C26652" s="2" t="s">
        <v>124</v>
      </c>
      <c r="D26652" s="2" t="s">
        <v>186</v>
      </c>
      <c r="E26652" s="2" t="str">
        <f>"9780415365437"</f>
        <v>9780415365437</v>
      </c>
      <c r="F26652" s="2" t="str">
        <f>"9781134215645"</f>
        <v>9781134215645</v>
      </c>
    </row>
    <row r="26653" spans="1:6" s="3" customFormat="1" ht="29.1" customHeight="1" x14ac:dyDescent="0.25">
      <c r="A26653" s="2" t="s">
        <v>51865</v>
      </c>
      <c r="B26653" s="2" t="s">
        <v>51866</v>
      </c>
      <c r="C26653" s="2" t="s">
        <v>124</v>
      </c>
      <c r="D26653" s="2" t="s">
        <v>186</v>
      </c>
      <c r="E26653" s="2" t="str">
        <f>"9780415365390"</f>
        <v>9780415365390</v>
      </c>
      <c r="F26653" s="2" t="str">
        <f>"9781134215850"</f>
        <v>9781134215850</v>
      </c>
    </row>
    <row r="26654" spans="1:6" s="3" customFormat="1" ht="29.1" customHeight="1" x14ac:dyDescent="0.25">
      <c r="A26654" s="2" t="s">
        <v>51867</v>
      </c>
      <c r="B26654" s="2" t="s">
        <v>51868</v>
      </c>
      <c r="C26654" s="2" t="s">
        <v>124</v>
      </c>
      <c r="D26654" s="2" t="s">
        <v>16776</v>
      </c>
      <c r="E26654" s="2" t="str">
        <f>"9780415364102"</f>
        <v>9780415364102</v>
      </c>
      <c r="F26654" s="2" t="str">
        <f>"9781134225583"</f>
        <v>9781134225583</v>
      </c>
    </row>
    <row r="26655" spans="1:6" s="3" customFormat="1" ht="29.1" customHeight="1" x14ac:dyDescent="0.25">
      <c r="A26655" s="2" t="s">
        <v>51869</v>
      </c>
      <c r="B26655" s="2" t="s">
        <v>51870</v>
      </c>
      <c r="C26655" s="2" t="s">
        <v>124</v>
      </c>
      <c r="D26655" s="2" t="s">
        <v>334</v>
      </c>
      <c r="E26655" s="2" t="str">
        <f>"9780415341035"</f>
        <v>9780415341035</v>
      </c>
      <c r="F26655" s="2" t="str">
        <f>"9781134326662"</f>
        <v>9781134326662</v>
      </c>
    </row>
    <row r="26656" spans="1:6" s="3" customFormat="1" ht="29.1" customHeight="1" x14ac:dyDescent="0.25">
      <c r="A26656" s="2" t="s">
        <v>51871</v>
      </c>
      <c r="B26656" s="2" t="s">
        <v>51872</v>
      </c>
      <c r="C26656" s="2" t="s">
        <v>124</v>
      </c>
      <c r="D26656" s="2" t="s">
        <v>186</v>
      </c>
      <c r="E26656" s="2" t="str">
        <f>"9780415332804"</f>
        <v>9780415332804</v>
      </c>
      <c r="F26656" s="2" t="str">
        <f>"9781134319305"</f>
        <v>9781134319305</v>
      </c>
    </row>
    <row r="26657" spans="1:6" s="3" customFormat="1" ht="29.1" customHeight="1" x14ac:dyDescent="0.25">
      <c r="A26657" s="2" t="s">
        <v>51873</v>
      </c>
      <c r="B26657" s="2" t="s">
        <v>51874</v>
      </c>
      <c r="C26657" s="2" t="s">
        <v>124</v>
      </c>
      <c r="D26657" s="2" t="s">
        <v>270</v>
      </c>
      <c r="E26657" s="2" t="str">
        <f>"9780415274074"</f>
        <v>9780415274074</v>
      </c>
      <c r="F26657" s="2" t="str">
        <f>"9781134479825"</f>
        <v>9781134479825</v>
      </c>
    </row>
    <row r="26658" spans="1:6" s="3" customFormat="1" ht="29.1" customHeight="1" x14ac:dyDescent="0.25">
      <c r="A26658" s="2" t="s">
        <v>51875</v>
      </c>
      <c r="B26658" s="2" t="s">
        <v>51876</v>
      </c>
      <c r="C26658" s="2" t="s">
        <v>124</v>
      </c>
      <c r="D26658" s="2" t="s">
        <v>1432</v>
      </c>
      <c r="E26658" s="2" t="str">
        <f>"9780415363655"</f>
        <v>9780415363655</v>
      </c>
      <c r="F26658" s="2" t="str">
        <f>"9781134226634"</f>
        <v>9781134226634</v>
      </c>
    </row>
    <row r="26659" spans="1:6" s="3" customFormat="1" ht="29.1" customHeight="1" x14ac:dyDescent="0.25">
      <c r="A26659" s="2" t="s">
        <v>51877</v>
      </c>
      <c r="B26659" s="2" t="s">
        <v>51878</v>
      </c>
      <c r="C26659" s="2" t="s">
        <v>124</v>
      </c>
      <c r="D26659" s="2" t="s">
        <v>501</v>
      </c>
      <c r="E26659" s="2" t="str">
        <f>"9780415368896"</f>
        <v>9780415368896</v>
      </c>
      <c r="F26659" s="2" t="str">
        <f>"9781134204090"</f>
        <v>9781134204090</v>
      </c>
    </row>
    <row r="26660" spans="1:6" s="3" customFormat="1" ht="29.1" customHeight="1" x14ac:dyDescent="0.25">
      <c r="A26660" s="2" t="s">
        <v>51879</v>
      </c>
      <c r="B26660" s="2" t="s">
        <v>51880</v>
      </c>
      <c r="C26660" s="2" t="s">
        <v>124</v>
      </c>
      <c r="D26660" s="2" t="s">
        <v>270</v>
      </c>
      <c r="E26660" s="2" t="str">
        <f>"9780415142502"</f>
        <v>9780415142502</v>
      </c>
      <c r="F26660" s="2" t="str">
        <f>"9781134765706"</f>
        <v>9781134765706</v>
      </c>
    </row>
    <row r="26661" spans="1:6" s="3" customFormat="1" ht="29.1" customHeight="1" x14ac:dyDescent="0.25">
      <c r="A26661" s="2" t="s">
        <v>51881</v>
      </c>
      <c r="B26661" s="2" t="s">
        <v>51882</v>
      </c>
      <c r="C26661" s="2" t="s">
        <v>124</v>
      </c>
      <c r="D26661" s="2" t="s">
        <v>125</v>
      </c>
      <c r="E26661" s="2" t="str">
        <f>"9780415333955"</f>
        <v>9780415333955</v>
      </c>
      <c r="F26661" s="2" t="str">
        <f>"9781134315673"</f>
        <v>9781134315673</v>
      </c>
    </row>
    <row r="26662" spans="1:6" s="3" customFormat="1" ht="29.1" customHeight="1" x14ac:dyDescent="0.25">
      <c r="A26662" s="2" t="s">
        <v>51883</v>
      </c>
      <c r="B26662" s="2" t="s">
        <v>51884</v>
      </c>
      <c r="C26662" s="2" t="s">
        <v>124</v>
      </c>
      <c r="D26662" s="2" t="s">
        <v>1209</v>
      </c>
      <c r="E26662" s="2" t="str">
        <f>"9780415343602"</f>
        <v>9780415343602</v>
      </c>
      <c r="F26662" s="2" t="str">
        <f>"9781134289356"</f>
        <v>9781134289356</v>
      </c>
    </row>
    <row r="26663" spans="1:6" s="3" customFormat="1" ht="29.1" customHeight="1" x14ac:dyDescent="0.25">
      <c r="A26663" s="2" t="s">
        <v>51885</v>
      </c>
      <c r="B26663" s="2" t="s">
        <v>51886</v>
      </c>
      <c r="C26663" s="2" t="s">
        <v>124</v>
      </c>
      <c r="D26663" s="2" t="s">
        <v>1669</v>
      </c>
      <c r="E26663" s="2" t="str">
        <f>"9780415368056"</f>
        <v>9780415368056</v>
      </c>
      <c r="F26663" s="2" t="str">
        <f>"9781134208012"</f>
        <v>9781134208012</v>
      </c>
    </row>
    <row r="26664" spans="1:6" s="3" customFormat="1" ht="29.1" customHeight="1" x14ac:dyDescent="0.25">
      <c r="A26664" s="2" t="s">
        <v>51887</v>
      </c>
      <c r="B26664" s="2" t="s">
        <v>51888</v>
      </c>
      <c r="C26664" s="2" t="s">
        <v>124</v>
      </c>
      <c r="D26664" s="2" t="s">
        <v>13883</v>
      </c>
      <c r="E26664" s="2" t="str">
        <f>"9780415355162"</f>
        <v>9780415355162</v>
      </c>
      <c r="F26664" s="2" t="str">
        <f>"9781134255542"</f>
        <v>9781134255542</v>
      </c>
    </row>
    <row r="26665" spans="1:6" s="3" customFormat="1" ht="29.1" customHeight="1" x14ac:dyDescent="0.25">
      <c r="A26665" s="2" t="s">
        <v>51889</v>
      </c>
      <c r="B26665" s="2" t="s">
        <v>51890</v>
      </c>
      <c r="C26665" s="2" t="s">
        <v>124</v>
      </c>
      <c r="D26665" s="2" t="s">
        <v>1432</v>
      </c>
      <c r="E26665" s="2" t="str">
        <f>"9780415333672"</f>
        <v>9780415333672</v>
      </c>
      <c r="F26665" s="2" t="str">
        <f>"9781134316793"</f>
        <v>9781134316793</v>
      </c>
    </row>
    <row r="26666" spans="1:6" s="3" customFormat="1" ht="29.1" customHeight="1" x14ac:dyDescent="0.25">
      <c r="A26666" s="2" t="s">
        <v>51891</v>
      </c>
      <c r="B26666" s="2" t="s">
        <v>51892</v>
      </c>
      <c r="C26666" s="2" t="s">
        <v>124</v>
      </c>
      <c r="D26666" s="2" t="s">
        <v>2307</v>
      </c>
      <c r="E26666" s="2" t="str">
        <f>"9780415297455"</f>
        <v>9780415297455</v>
      </c>
      <c r="F26666" s="2" t="str">
        <f>"9781134431380"</f>
        <v>9781134431380</v>
      </c>
    </row>
    <row r="26667" spans="1:6" s="3" customFormat="1" ht="29.1" customHeight="1" x14ac:dyDescent="0.25">
      <c r="A26667" s="2" t="s">
        <v>51893</v>
      </c>
      <c r="B26667" s="2" t="s">
        <v>51894</v>
      </c>
      <c r="C26667" s="2" t="s">
        <v>124</v>
      </c>
      <c r="D26667" s="2" t="s">
        <v>270</v>
      </c>
      <c r="E26667" s="2" t="str">
        <f>"9780415356794"</f>
        <v>9780415356794</v>
      </c>
      <c r="F26667" s="2" t="str">
        <f>"9781134249732"</f>
        <v>9781134249732</v>
      </c>
    </row>
    <row r="26668" spans="1:6" s="3" customFormat="1" ht="29.1" customHeight="1" x14ac:dyDescent="0.25">
      <c r="A26668" s="2" t="s">
        <v>51895</v>
      </c>
      <c r="B26668" s="2" t="s">
        <v>51896</v>
      </c>
      <c r="C26668" s="2" t="s">
        <v>124</v>
      </c>
      <c r="D26668" s="2" t="s">
        <v>5060</v>
      </c>
      <c r="E26668" s="2" t="str">
        <f>"9780415181297"</f>
        <v>9780415181297</v>
      </c>
      <c r="F26668" s="2" t="str">
        <f>"9781134677016"</f>
        <v>9781134677016</v>
      </c>
    </row>
    <row r="26669" spans="1:6" s="3" customFormat="1" ht="29.1" customHeight="1" x14ac:dyDescent="0.25">
      <c r="A26669" s="2" t="s">
        <v>51897</v>
      </c>
      <c r="B26669" s="2" t="s">
        <v>51898</v>
      </c>
      <c r="C26669" s="2" t="s">
        <v>124</v>
      </c>
      <c r="D26669" s="2" t="s">
        <v>9</v>
      </c>
      <c r="E26669" s="2" t="str">
        <f>"9780415343831"</f>
        <v>9780415343831</v>
      </c>
      <c r="F26669" s="2" t="str">
        <f>"9781134288656"</f>
        <v>9781134288656</v>
      </c>
    </row>
    <row r="26670" spans="1:6" s="3" customFormat="1" ht="29.1" customHeight="1" x14ac:dyDescent="0.25">
      <c r="A26670" s="2" t="s">
        <v>51899</v>
      </c>
      <c r="B26670" s="2" t="s">
        <v>51900</v>
      </c>
      <c r="C26670" s="2" t="s">
        <v>124</v>
      </c>
      <c r="D26670" s="2" t="s">
        <v>4064</v>
      </c>
      <c r="E26670" s="2" t="str">
        <f>"9780415360999"</f>
        <v>9780415360999</v>
      </c>
      <c r="F26670" s="2" t="str">
        <f>"9781134235520"</f>
        <v>9781134235520</v>
      </c>
    </row>
    <row r="26671" spans="1:6" s="3" customFormat="1" ht="29.1" customHeight="1" x14ac:dyDescent="0.25">
      <c r="A26671" s="2" t="s">
        <v>51901</v>
      </c>
      <c r="B26671" s="2" t="s">
        <v>51902</v>
      </c>
      <c r="C26671" s="2" t="s">
        <v>124</v>
      </c>
      <c r="D26671" s="2" t="s">
        <v>183</v>
      </c>
      <c r="E26671" s="2" t="str">
        <f>"9781857283051"</f>
        <v>9781857283051</v>
      </c>
      <c r="F26671" s="2" t="str">
        <f>"9781135367312"</f>
        <v>9781135367312</v>
      </c>
    </row>
    <row r="26672" spans="1:6" s="3" customFormat="1" ht="29.1" customHeight="1" x14ac:dyDescent="0.25">
      <c r="A26672" s="2" t="s">
        <v>51903</v>
      </c>
      <c r="B26672" s="2" t="s">
        <v>51904</v>
      </c>
      <c r="C26672" s="2" t="s">
        <v>131</v>
      </c>
      <c r="D26672" s="2" t="s">
        <v>459</v>
      </c>
      <c r="E26672" s="2" t="str">
        <f>"9789027217035"</f>
        <v>9789027217035</v>
      </c>
      <c r="F26672" s="2" t="str">
        <f>"9789027295958"</f>
        <v>9789027295958</v>
      </c>
    </row>
    <row r="26673" spans="1:6" s="3" customFormat="1" ht="29.1" customHeight="1" x14ac:dyDescent="0.25">
      <c r="A26673" s="2" t="s">
        <v>51905</v>
      </c>
      <c r="B26673" s="2" t="s">
        <v>51906</v>
      </c>
      <c r="C26673" s="2" t="s">
        <v>124</v>
      </c>
      <c r="D26673" s="2" t="s">
        <v>353</v>
      </c>
      <c r="E26673" s="2" t="str">
        <f>"9780415363198"</f>
        <v>9780415363198</v>
      </c>
      <c r="F26673" s="2" t="str">
        <f>"9781134228522"</f>
        <v>9781134228522</v>
      </c>
    </row>
    <row r="26674" spans="1:6" s="3" customFormat="1" ht="29.1" customHeight="1" x14ac:dyDescent="0.25">
      <c r="A26674" s="2" t="s">
        <v>51907</v>
      </c>
      <c r="B26674" s="2" t="s">
        <v>51908</v>
      </c>
      <c r="C26674" s="2" t="s">
        <v>124</v>
      </c>
      <c r="D26674" s="2" t="s">
        <v>270</v>
      </c>
      <c r="E26674" s="2" t="str">
        <f>"9780415701846"</f>
        <v>9780415701846</v>
      </c>
      <c r="F26674" s="2" t="str">
        <f>"9781134003471"</f>
        <v>9781134003471</v>
      </c>
    </row>
    <row r="26675" spans="1:6" s="3" customFormat="1" ht="29.1" customHeight="1" x14ac:dyDescent="0.25">
      <c r="A26675" s="2" t="s">
        <v>51909</v>
      </c>
      <c r="B26675" s="2" t="s">
        <v>51910</v>
      </c>
      <c r="C26675" s="2" t="s">
        <v>124</v>
      </c>
      <c r="D26675" s="2" t="s">
        <v>2019</v>
      </c>
      <c r="E26675" s="2" t="str">
        <f>"9780415368124"</f>
        <v>9780415368124</v>
      </c>
      <c r="F26675" s="2" t="str">
        <f>"9781134207527"</f>
        <v>9781134207527</v>
      </c>
    </row>
    <row r="26676" spans="1:6" s="3" customFormat="1" ht="29.1" customHeight="1" x14ac:dyDescent="0.25">
      <c r="A26676" s="2" t="s">
        <v>51911</v>
      </c>
      <c r="B26676" s="2" t="s">
        <v>51912</v>
      </c>
      <c r="C26676" s="2" t="s">
        <v>124</v>
      </c>
      <c r="D26676" s="2" t="s">
        <v>501</v>
      </c>
      <c r="E26676" s="2" t="str">
        <f>"9780415369213"</f>
        <v>9780415369213</v>
      </c>
      <c r="F26676" s="2" t="str">
        <f>"9781134203536"</f>
        <v>9781134203536</v>
      </c>
    </row>
    <row r="26677" spans="1:6" s="3" customFormat="1" ht="29.1" customHeight="1" x14ac:dyDescent="0.25">
      <c r="A26677" s="2" t="s">
        <v>51913</v>
      </c>
      <c r="B26677" s="2" t="s">
        <v>51914</v>
      </c>
      <c r="C26677" s="2" t="s">
        <v>124</v>
      </c>
      <c r="D26677" s="2" t="s">
        <v>186</v>
      </c>
      <c r="E26677" s="2" t="str">
        <f>"9780415124300"</f>
        <v>9780415124300</v>
      </c>
      <c r="F26677" s="2" t="str">
        <f>"9781134803781"</f>
        <v>9781134803781</v>
      </c>
    </row>
    <row r="26678" spans="1:6" s="3" customFormat="1" ht="29.1" customHeight="1" x14ac:dyDescent="0.25">
      <c r="A26678" s="2" t="s">
        <v>51915</v>
      </c>
      <c r="B26678" s="2" t="s">
        <v>51916</v>
      </c>
      <c r="C26678" s="2" t="s">
        <v>124</v>
      </c>
      <c r="D26678" s="2" t="s">
        <v>33</v>
      </c>
      <c r="E26678" s="2" t="str">
        <f>"9780415971188"</f>
        <v>9780415971188</v>
      </c>
      <c r="F26678" s="2" t="str">
        <f>"9781135875510"</f>
        <v>9781135875510</v>
      </c>
    </row>
    <row r="26679" spans="1:6" s="3" customFormat="1" ht="29.1" customHeight="1" x14ac:dyDescent="0.25">
      <c r="A26679" s="2" t="s">
        <v>51917</v>
      </c>
      <c r="B26679" s="2" t="s">
        <v>49987</v>
      </c>
      <c r="C26679" s="2" t="s">
        <v>124</v>
      </c>
      <c r="D26679" s="2" t="s">
        <v>402</v>
      </c>
      <c r="E26679" s="2" t="str">
        <f>"9780415365376"</f>
        <v>9780415365376</v>
      </c>
      <c r="F26679" s="2" t="str">
        <f>"9781134215928"</f>
        <v>9781134215928</v>
      </c>
    </row>
    <row r="26680" spans="1:6" s="3" customFormat="1" ht="29.1" customHeight="1" x14ac:dyDescent="0.25">
      <c r="A26680" s="2" t="s">
        <v>51918</v>
      </c>
      <c r="B26680" s="2" t="s">
        <v>51919</v>
      </c>
      <c r="C26680" s="2" t="s">
        <v>124</v>
      </c>
      <c r="D26680" s="2" t="s">
        <v>334</v>
      </c>
      <c r="E26680" s="2" t="str">
        <f>"9780415041942"</f>
        <v>9780415041942</v>
      </c>
      <c r="F26680" s="2" t="str">
        <f>"9781134965489"</f>
        <v>9781134965489</v>
      </c>
    </row>
    <row r="26681" spans="1:6" s="3" customFormat="1" ht="29.1" customHeight="1" x14ac:dyDescent="0.25">
      <c r="A26681" s="2" t="s">
        <v>51920</v>
      </c>
      <c r="B26681" s="2" t="s">
        <v>51921</v>
      </c>
      <c r="C26681" s="2" t="s">
        <v>55</v>
      </c>
      <c r="D26681" s="2" t="s">
        <v>183</v>
      </c>
      <c r="E26681" s="2" t="str">
        <f>"9780719068546"</f>
        <v>9780719068546</v>
      </c>
      <c r="F26681" s="2" t="str">
        <f>"9781847791054"</f>
        <v>9781847791054</v>
      </c>
    </row>
    <row r="26682" spans="1:6" s="3" customFormat="1" ht="29.1" customHeight="1" x14ac:dyDescent="0.25">
      <c r="A26682" s="2" t="s">
        <v>51922</v>
      </c>
      <c r="B26682" s="2" t="s">
        <v>51923</v>
      </c>
      <c r="C26682" s="2" t="s">
        <v>55</v>
      </c>
      <c r="D26682" s="2" t="s">
        <v>9600</v>
      </c>
      <c r="E26682" s="2" t="str">
        <f>"9780719067143"</f>
        <v>9780719067143</v>
      </c>
      <c r="F26682" s="2" t="str">
        <f>"9781847791030"</f>
        <v>9781847791030</v>
      </c>
    </row>
    <row r="26683" spans="1:6" s="3" customFormat="1" ht="29.1" customHeight="1" x14ac:dyDescent="0.25">
      <c r="A26683" s="2" t="s">
        <v>51924</v>
      </c>
      <c r="B26683" s="2" t="s">
        <v>51925</v>
      </c>
      <c r="C26683" s="2" t="s">
        <v>55</v>
      </c>
      <c r="D26683" s="2" t="s">
        <v>3993</v>
      </c>
      <c r="E26683" s="2" t="str">
        <f>"9780719063183"</f>
        <v>9780719063183</v>
      </c>
      <c r="F26683" s="2" t="str">
        <f>"9781847790989"</f>
        <v>9781847790989</v>
      </c>
    </row>
    <row r="26684" spans="1:6" s="3" customFormat="1" ht="29.1" customHeight="1" x14ac:dyDescent="0.25">
      <c r="A26684" s="2" t="s">
        <v>51926</v>
      </c>
      <c r="B26684" s="2" t="s">
        <v>51927</v>
      </c>
      <c r="C26684" s="2" t="s">
        <v>124</v>
      </c>
      <c r="D26684" s="2" t="s">
        <v>6548</v>
      </c>
      <c r="E26684" s="2" t="str">
        <f>"9780415359610"</f>
        <v>9780415359610</v>
      </c>
      <c r="F26684" s="2" t="str">
        <f>"9781134240630"</f>
        <v>9781134240630</v>
      </c>
    </row>
    <row r="26685" spans="1:6" s="3" customFormat="1" ht="29.1" customHeight="1" x14ac:dyDescent="0.25">
      <c r="A26685" s="2" t="s">
        <v>51928</v>
      </c>
      <c r="B26685" s="2" t="s">
        <v>51929</v>
      </c>
      <c r="C26685" s="2" t="s">
        <v>124</v>
      </c>
      <c r="D26685" s="2" t="s">
        <v>33</v>
      </c>
      <c r="E26685" s="2" t="str">
        <f>"9780415319669"</f>
        <v>9780415319669</v>
      </c>
      <c r="F26685" s="2" t="str">
        <f>"9781134363483"</f>
        <v>9781134363483</v>
      </c>
    </row>
    <row r="26686" spans="1:6" s="3" customFormat="1" ht="29.1" customHeight="1" x14ac:dyDescent="0.25">
      <c r="A26686" s="2" t="s">
        <v>51930</v>
      </c>
      <c r="B26686" s="2" t="s">
        <v>51931</v>
      </c>
      <c r="C26686" s="2" t="s">
        <v>124</v>
      </c>
      <c r="D26686" s="2" t="s">
        <v>882</v>
      </c>
      <c r="E26686" s="2" t="str">
        <f>"9780415339377"</f>
        <v>9780415339377</v>
      </c>
      <c r="F26686" s="2" t="str">
        <f>"9781134301393"</f>
        <v>9781134301393</v>
      </c>
    </row>
    <row r="26687" spans="1:6" s="3" customFormat="1" ht="29.1" customHeight="1" x14ac:dyDescent="0.25">
      <c r="A26687" s="2" t="s">
        <v>51932</v>
      </c>
      <c r="B26687" s="2" t="s">
        <v>51933</v>
      </c>
      <c r="C26687" s="2" t="s">
        <v>124</v>
      </c>
      <c r="D26687" s="2" t="s">
        <v>1816</v>
      </c>
      <c r="E26687" s="2" t="str">
        <f>"9780415700689"</f>
        <v>9780415700689</v>
      </c>
      <c r="F26687" s="2" t="str">
        <f>"9781135994723"</f>
        <v>9781135994723</v>
      </c>
    </row>
    <row r="26688" spans="1:6" s="3" customFormat="1" ht="29.1" customHeight="1" x14ac:dyDescent="0.25">
      <c r="A26688" s="2" t="s">
        <v>51934</v>
      </c>
      <c r="B26688" s="2" t="s">
        <v>51935</v>
      </c>
      <c r="C26688" s="2" t="s">
        <v>124</v>
      </c>
      <c r="D26688" s="2" t="s">
        <v>9</v>
      </c>
      <c r="E26688" s="2" t="str">
        <f>"9780415240697"</f>
        <v>9780415240697</v>
      </c>
      <c r="F26688" s="2" t="str">
        <f>"9781134550739"</f>
        <v>9781134550739</v>
      </c>
    </row>
    <row r="26689" spans="1:6" s="3" customFormat="1" ht="29.1" customHeight="1" x14ac:dyDescent="0.25">
      <c r="A26689" s="2" t="s">
        <v>51936</v>
      </c>
      <c r="B26689" s="2" t="s">
        <v>51937</v>
      </c>
      <c r="C26689" s="2" t="s">
        <v>124</v>
      </c>
      <c r="D26689" s="2" t="s">
        <v>186</v>
      </c>
      <c r="E26689" s="2" t="str">
        <f>"9780415142359"</f>
        <v>9780415142359</v>
      </c>
      <c r="F26689" s="2" t="str">
        <f>"9781134766055"</f>
        <v>9781134766055</v>
      </c>
    </row>
    <row r="26690" spans="1:6" s="3" customFormat="1" ht="29.1" customHeight="1" x14ac:dyDescent="0.25">
      <c r="A26690" s="2" t="s">
        <v>51938</v>
      </c>
      <c r="B26690" s="2" t="s">
        <v>51939</v>
      </c>
      <c r="C26690" s="2" t="s">
        <v>124</v>
      </c>
      <c r="D26690" s="2" t="s">
        <v>2019</v>
      </c>
      <c r="E26690" s="2" t="str">
        <f>"9780415052955"</f>
        <v>9780415052955</v>
      </c>
      <c r="F26690" s="2" t="str">
        <f>"9781134939657"</f>
        <v>9781134939657</v>
      </c>
    </row>
    <row r="26691" spans="1:6" s="3" customFormat="1" ht="29.1" customHeight="1" x14ac:dyDescent="0.25">
      <c r="A26691" s="2" t="s">
        <v>51940</v>
      </c>
      <c r="B26691" s="2" t="s">
        <v>51941</v>
      </c>
      <c r="C26691" s="2" t="s">
        <v>124</v>
      </c>
      <c r="D26691" s="2" t="s">
        <v>2513</v>
      </c>
      <c r="E26691" s="2" t="str">
        <f>"9780419154105"</f>
        <v>9780419154105</v>
      </c>
      <c r="F26691" s="2" t="str">
        <f>"9781135832742"</f>
        <v>9781135832742</v>
      </c>
    </row>
    <row r="26692" spans="1:6" s="3" customFormat="1" ht="29.1" customHeight="1" x14ac:dyDescent="0.25">
      <c r="A26692" s="2" t="s">
        <v>51942</v>
      </c>
      <c r="B26692" s="2" t="s">
        <v>51943</v>
      </c>
      <c r="C26692" s="2" t="s">
        <v>124</v>
      </c>
      <c r="D26692" s="2" t="s">
        <v>9</v>
      </c>
      <c r="E26692" s="2" t="str">
        <f>"9780415362238"</f>
        <v>9780415362238</v>
      </c>
      <c r="F26692" s="2" t="str">
        <f>"9781134232307"</f>
        <v>9781134232307</v>
      </c>
    </row>
    <row r="26693" spans="1:6" s="3" customFormat="1" ht="29.1" customHeight="1" x14ac:dyDescent="0.25">
      <c r="A26693" s="2" t="s">
        <v>51944</v>
      </c>
      <c r="B26693" s="2" t="s">
        <v>51945</v>
      </c>
      <c r="C26693" s="2" t="s">
        <v>124</v>
      </c>
      <c r="D26693" s="2" t="s">
        <v>339</v>
      </c>
      <c r="E26693" s="2" t="str">
        <f>"9780415327923"</f>
        <v>9780415327923</v>
      </c>
      <c r="F26693" s="2" t="str">
        <f>"9781134336326"</f>
        <v>9781134336326</v>
      </c>
    </row>
    <row r="26694" spans="1:6" s="3" customFormat="1" ht="29.1" customHeight="1" x14ac:dyDescent="0.25">
      <c r="A26694" s="2" t="s">
        <v>51946</v>
      </c>
      <c r="B26694" s="2" t="s">
        <v>51947</v>
      </c>
      <c r="C26694" s="2" t="s">
        <v>124</v>
      </c>
      <c r="D26694" s="2" t="s">
        <v>334</v>
      </c>
      <c r="E26694" s="2" t="str">
        <f>"9780415169264"</f>
        <v>9780415169264</v>
      </c>
      <c r="F26694" s="2" t="str">
        <f>"9781134701308"</f>
        <v>9781134701308</v>
      </c>
    </row>
    <row r="26695" spans="1:6" s="3" customFormat="1" ht="29.1" customHeight="1" x14ac:dyDescent="0.25">
      <c r="A26695" s="2" t="s">
        <v>51948</v>
      </c>
      <c r="B26695" s="2" t="s">
        <v>51949</v>
      </c>
      <c r="C26695" s="2" t="s">
        <v>124</v>
      </c>
      <c r="D26695" s="2" t="s">
        <v>818</v>
      </c>
      <c r="E26695" s="2" t="str">
        <f>"9783718606245"</f>
        <v>9783718606245</v>
      </c>
      <c r="F26695" s="2" t="str">
        <f>"9781135306137"</f>
        <v>9781135306137</v>
      </c>
    </row>
    <row r="26696" spans="1:6" s="3" customFormat="1" ht="29.1" customHeight="1" x14ac:dyDescent="0.25">
      <c r="A26696" s="2" t="s">
        <v>51950</v>
      </c>
      <c r="B26696" s="2" t="s">
        <v>51951</v>
      </c>
      <c r="C26696" s="2" t="s">
        <v>124</v>
      </c>
      <c r="D26696" s="2" t="s">
        <v>186</v>
      </c>
      <c r="E26696" s="2" t="str">
        <f>"9780415341189"</f>
        <v>9780415341189</v>
      </c>
      <c r="F26696" s="2" t="str">
        <f>"9781134296354"</f>
        <v>9781134296354</v>
      </c>
    </row>
    <row r="26697" spans="1:6" s="3" customFormat="1" ht="29.1" customHeight="1" x14ac:dyDescent="0.25">
      <c r="A26697" s="2" t="s">
        <v>51952</v>
      </c>
      <c r="B26697" s="2" t="s">
        <v>51953</v>
      </c>
      <c r="C26697" s="2" t="s">
        <v>124</v>
      </c>
      <c r="D26697" s="2" t="s">
        <v>7978</v>
      </c>
      <c r="E26697" s="2" t="str">
        <f>"9780700713219"</f>
        <v>9780700713219</v>
      </c>
      <c r="F26697" s="2" t="str">
        <f>"9781135795856"</f>
        <v>9781135795856</v>
      </c>
    </row>
    <row r="26698" spans="1:6" s="3" customFormat="1" ht="29.1" customHeight="1" x14ac:dyDescent="0.25">
      <c r="A26698" s="2" t="s">
        <v>51954</v>
      </c>
      <c r="B26698" s="2" t="s">
        <v>51955</v>
      </c>
      <c r="C26698" s="2" t="s">
        <v>124</v>
      </c>
      <c r="D26698" s="2" t="s">
        <v>270</v>
      </c>
      <c r="E26698" s="2" t="str">
        <f>"9781857288681"</f>
        <v>9781857288681</v>
      </c>
      <c r="F26698" s="2" t="str">
        <f>"9781135358709"</f>
        <v>9781135358709</v>
      </c>
    </row>
    <row r="26699" spans="1:6" s="3" customFormat="1" ht="29.1" customHeight="1" x14ac:dyDescent="0.25">
      <c r="A26699" s="2" t="s">
        <v>51956</v>
      </c>
      <c r="B26699" s="2" t="s">
        <v>51957</v>
      </c>
      <c r="C26699" s="2" t="s">
        <v>124</v>
      </c>
      <c r="D26699" s="2" t="s">
        <v>2019</v>
      </c>
      <c r="E26699" s="2" t="str">
        <f>"9780415088107"</f>
        <v>9780415088107</v>
      </c>
      <c r="F26699" s="2" t="str">
        <f>"9781134881277"</f>
        <v>9781134881277</v>
      </c>
    </row>
    <row r="26700" spans="1:6" s="3" customFormat="1" ht="29.1" customHeight="1" x14ac:dyDescent="0.25">
      <c r="A26700" s="2" t="s">
        <v>51958</v>
      </c>
      <c r="B26700" s="2" t="s">
        <v>51959</v>
      </c>
      <c r="C26700" s="2" t="s">
        <v>124</v>
      </c>
      <c r="D26700" s="2" t="s">
        <v>9</v>
      </c>
      <c r="E26700" s="2" t="str">
        <f>"9780750705561"</f>
        <v>9780750705561</v>
      </c>
      <c r="F26700" s="2" t="str">
        <f>"9781135716547"</f>
        <v>9781135716547</v>
      </c>
    </row>
    <row r="26701" spans="1:6" s="3" customFormat="1" ht="29.1" customHeight="1" x14ac:dyDescent="0.25">
      <c r="A26701" s="2" t="s">
        <v>51960</v>
      </c>
      <c r="B26701" s="2" t="s">
        <v>51961</v>
      </c>
      <c r="C26701" s="2" t="s">
        <v>124</v>
      </c>
      <c r="D26701" s="2" t="s">
        <v>2513</v>
      </c>
      <c r="E26701" s="2" t="str">
        <f>"9789057005275"</f>
        <v>9789057005275</v>
      </c>
      <c r="F26701" s="2" t="str">
        <f>"9781135300111"</f>
        <v>9781135300111</v>
      </c>
    </row>
    <row r="26702" spans="1:6" s="3" customFormat="1" ht="29.1" customHeight="1" x14ac:dyDescent="0.25">
      <c r="A26702" s="2" t="s">
        <v>51962</v>
      </c>
      <c r="B26702" s="2" t="s">
        <v>51963</v>
      </c>
      <c r="C26702" s="2" t="s">
        <v>124</v>
      </c>
      <c r="D26702" s="2" t="s">
        <v>353</v>
      </c>
      <c r="E26702" s="2" t="str">
        <f>"9780415087520"</f>
        <v>9780415087520</v>
      </c>
      <c r="F26702" s="2" t="str">
        <f>"9781134882748"</f>
        <v>9781134882748</v>
      </c>
    </row>
    <row r="26703" spans="1:6" s="3" customFormat="1" ht="29.1" customHeight="1" x14ac:dyDescent="0.25">
      <c r="A26703" s="2" t="s">
        <v>51964</v>
      </c>
      <c r="B26703" s="2" t="s">
        <v>51965</v>
      </c>
      <c r="C26703" s="2" t="s">
        <v>124</v>
      </c>
      <c r="D26703" s="2" t="s">
        <v>186</v>
      </c>
      <c r="E26703" s="2" t="str">
        <f>"9780415142601"</f>
        <v>9780415142601</v>
      </c>
      <c r="F26703" s="2" t="str">
        <f>"9781134765423"</f>
        <v>9781134765423</v>
      </c>
    </row>
    <row r="26704" spans="1:6" s="3" customFormat="1" ht="29.1" customHeight="1" x14ac:dyDescent="0.25">
      <c r="A26704" s="2" t="s">
        <v>51966</v>
      </c>
      <c r="B26704" s="2" t="s">
        <v>51967</v>
      </c>
      <c r="C26704" s="2" t="s">
        <v>124</v>
      </c>
      <c r="D26704" s="2" t="s">
        <v>468</v>
      </c>
      <c r="E26704" s="2" t="str">
        <f>"9780203603031"</f>
        <v>9780203603031</v>
      </c>
      <c r="F26704" s="2" t="str">
        <f>"9781135953072"</f>
        <v>9781135953072</v>
      </c>
    </row>
    <row r="26705" spans="1:6" s="3" customFormat="1" ht="29.1" customHeight="1" x14ac:dyDescent="0.25">
      <c r="A26705" s="2" t="s">
        <v>51968</v>
      </c>
      <c r="B26705" s="2" t="s">
        <v>51969</v>
      </c>
      <c r="C26705" s="2" t="s">
        <v>124</v>
      </c>
      <c r="D26705" s="2" t="s">
        <v>334</v>
      </c>
      <c r="E26705" s="2" t="str">
        <f>"9780415354295"</f>
        <v>9780415354295</v>
      </c>
      <c r="F26705" s="2" t="str">
        <f>"9781134258130"</f>
        <v>9781134258130</v>
      </c>
    </row>
    <row r="26706" spans="1:6" s="3" customFormat="1" ht="29.1" customHeight="1" x14ac:dyDescent="0.25">
      <c r="A26706" s="2" t="s">
        <v>51970</v>
      </c>
      <c r="B26706" s="2" t="s">
        <v>51971</v>
      </c>
      <c r="C26706" s="2" t="s">
        <v>124</v>
      </c>
      <c r="D26706" s="2" t="s">
        <v>9</v>
      </c>
      <c r="E26706" s="2" t="str">
        <f>"9780750702126"</f>
        <v>9780750702126</v>
      </c>
      <c r="F26706" s="2" t="str">
        <f>"9781135721169"</f>
        <v>9781135721169</v>
      </c>
    </row>
    <row r="26707" spans="1:6" s="3" customFormat="1" ht="29.1" customHeight="1" x14ac:dyDescent="0.25">
      <c r="A26707" s="2" t="s">
        <v>51972</v>
      </c>
      <c r="B26707" s="2" t="s">
        <v>51973</v>
      </c>
      <c r="C26707" s="2" t="s">
        <v>124</v>
      </c>
      <c r="D26707" s="2" t="s">
        <v>2513</v>
      </c>
      <c r="E26707" s="2" t="str">
        <f>"9780415283663"</f>
        <v>9780415283663</v>
      </c>
      <c r="F26707" s="2" t="str">
        <f>"9781134455256"</f>
        <v>9781134455256</v>
      </c>
    </row>
    <row r="26708" spans="1:6" s="3" customFormat="1" ht="29.1" customHeight="1" x14ac:dyDescent="0.25">
      <c r="A26708" s="2" t="s">
        <v>51974</v>
      </c>
      <c r="B26708" s="2" t="s">
        <v>51975</v>
      </c>
      <c r="C26708" s="2" t="s">
        <v>124</v>
      </c>
      <c r="D26708" s="2" t="s">
        <v>339</v>
      </c>
      <c r="E26708" s="2" t="str">
        <f>"9780415309066"</f>
        <v>9780415309066</v>
      </c>
      <c r="F26708" s="2" t="str">
        <f>"9781134392537"</f>
        <v>9781134392537</v>
      </c>
    </row>
    <row r="26709" spans="1:6" s="3" customFormat="1" ht="29.1" customHeight="1" x14ac:dyDescent="0.25">
      <c r="A26709" s="2" t="s">
        <v>51976</v>
      </c>
      <c r="B26709" s="2" t="s">
        <v>51977</v>
      </c>
      <c r="C26709" s="2" t="s">
        <v>124</v>
      </c>
      <c r="D26709" s="2" t="s">
        <v>9</v>
      </c>
      <c r="E26709" s="2" t="str">
        <f>"9780750704496"</f>
        <v>9780750704496</v>
      </c>
      <c r="F26709" s="2" t="str">
        <f>"9781135792350"</f>
        <v>9781135792350</v>
      </c>
    </row>
    <row r="26710" spans="1:6" s="3" customFormat="1" ht="29.1" customHeight="1" x14ac:dyDescent="0.25">
      <c r="A26710" s="2" t="s">
        <v>51978</v>
      </c>
      <c r="B26710" s="2" t="s">
        <v>51979</v>
      </c>
      <c r="C26710" s="2" t="s">
        <v>124</v>
      </c>
      <c r="D26710" s="2" t="s">
        <v>210</v>
      </c>
      <c r="E26710" s="2" t="str">
        <f>"9780415025225"</f>
        <v>9780415025225</v>
      </c>
      <c r="F26710" s="2" t="str">
        <f>"9781134974238"</f>
        <v>9781134974238</v>
      </c>
    </row>
    <row r="26711" spans="1:6" s="3" customFormat="1" ht="29.1" customHeight="1" x14ac:dyDescent="0.25">
      <c r="A26711" s="2" t="s">
        <v>51980</v>
      </c>
      <c r="B26711" s="2" t="s">
        <v>51981</v>
      </c>
      <c r="C26711" s="2" t="s">
        <v>124</v>
      </c>
      <c r="D26711" s="2" t="s">
        <v>186</v>
      </c>
      <c r="E26711" s="2" t="str">
        <f>"9780415121187"</f>
        <v>9780415121187</v>
      </c>
      <c r="F26711" s="2" t="str">
        <f>"9781134808960"</f>
        <v>9781134808960</v>
      </c>
    </row>
    <row r="26712" spans="1:6" s="3" customFormat="1" ht="29.1" customHeight="1" x14ac:dyDescent="0.25">
      <c r="A26712" s="2" t="s">
        <v>51982</v>
      </c>
      <c r="B26712" s="2" t="s">
        <v>51983</v>
      </c>
      <c r="C26712" s="2" t="s">
        <v>124</v>
      </c>
      <c r="D26712" s="2" t="s">
        <v>1127</v>
      </c>
      <c r="E26712" s="2" t="str">
        <f>"9781857281781"</f>
        <v>9781857281781</v>
      </c>
      <c r="F26712" s="2" t="str">
        <f>"9781135369477"</f>
        <v>9781135369477</v>
      </c>
    </row>
    <row r="26713" spans="1:6" s="3" customFormat="1" ht="29.1" customHeight="1" x14ac:dyDescent="0.25">
      <c r="A26713" s="2" t="s">
        <v>51984</v>
      </c>
      <c r="B26713" s="2" t="s">
        <v>51985</v>
      </c>
      <c r="C26713" s="2" t="s">
        <v>124</v>
      </c>
      <c r="D26713" s="2" t="s">
        <v>9</v>
      </c>
      <c r="E26713" s="2" t="str">
        <f>"9781850007302"</f>
        <v>9781850007302</v>
      </c>
      <c r="F26713" s="2" t="str">
        <f>"9781135387266"</f>
        <v>9781135387266</v>
      </c>
    </row>
    <row r="26714" spans="1:6" s="3" customFormat="1" ht="29.1" customHeight="1" x14ac:dyDescent="0.25">
      <c r="A26714" s="2" t="s">
        <v>51986</v>
      </c>
      <c r="B26714" s="2" t="s">
        <v>51987</v>
      </c>
      <c r="C26714" s="2" t="s">
        <v>124</v>
      </c>
      <c r="D26714" s="2" t="s">
        <v>210</v>
      </c>
      <c r="E26714" s="2" t="str">
        <f>"9780415070560"</f>
        <v>9780415070560</v>
      </c>
      <c r="F26714" s="2" t="str">
        <f>"9781134911790"</f>
        <v>9781134911790</v>
      </c>
    </row>
    <row r="26715" spans="1:6" s="3" customFormat="1" ht="29.1" customHeight="1" x14ac:dyDescent="0.25">
      <c r="A26715" s="2" t="s">
        <v>51988</v>
      </c>
      <c r="B26715" s="2" t="s">
        <v>51989</v>
      </c>
      <c r="C26715" s="2" t="s">
        <v>124</v>
      </c>
      <c r="D26715" s="2" t="s">
        <v>297</v>
      </c>
      <c r="E26715" s="2" t="str">
        <f>"9780415345521"</f>
        <v>9780415345521</v>
      </c>
      <c r="F26715" s="2" t="str">
        <f>"9781134282494"</f>
        <v>9781134282494</v>
      </c>
    </row>
    <row r="26716" spans="1:6" s="3" customFormat="1" ht="29.1" customHeight="1" x14ac:dyDescent="0.25">
      <c r="A26716" s="2" t="s">
        <v>51990</v>
      </c>
      <c r="B26716" s="2" t="s">
        <v>51991</v>
      </c>
      <c r="C26716" s="2" t="s">
        <v>124</v>
      </c>
      <c r="D26716" s="2" t="s">
        <v>606</v>
      </c>
      <c r="E26716" s="2" t="str">
        <f>"9780415118620"</f>
        <v>9780415118620</v>
      </c>
      <c r="F26716" s="2" t="str">
        <f>"9781134814497"</f>
        <v>9781134814497</v>
      </c>
    </row>
    <row r="26717" spans="1:6" s="3" customFormat="1" ht="29.1" customHeight="1" x14ac:dyDescent="0.25">
      <c r="A26717" s="2" t="s">
        <v>51992</v>
      </c>
      <c r="B26717" s="2" t="s">
        <v>51993</v>
      </c>
      <c r="C26717" s="2" t="s">
        <v>124</v>
      </c>
      <c r="D26717" s="2" t="s">
        <v>270</v>
      </c>
      <c r="E26717" s="2" t="str">
        <f>"9780415122146"</f>
        <v>9780415122146</v>
      </c>
      <c r="F26717" s="2" t="str">
        <f>"9781134827794"</f>
        <v>9781134827794</v>
      </c>
    </row>
    <row r="26718" spans="1:6" s="3" customFormat="1" ht="29.1" customHeight="1" x14ac:dyDescent="0.25">
      <c r="A26718" s="2" t="s">
        <v>51994</v>
      </c>
      <c r="B26718" s="2" t="s">
        <v>51995</v>
      </c>
      <c r="C26718" s="2" t="s">
        <v>124</v>
      </c>
      <c r="D26718" s="2" t="s">
        <v>15</v>
      </c>
      <c r="E26718" s="2" t="str">
        <f>"9781857281880"</f>
        <v>9781857281880</v>
      </c>
      <c r="F26718" s="2" t="str">
        <f>"9781135369279"</f>
        <v>9781135369279</v>
      </c>
    </row>
    <row r="26719" spans="1:6" s="3" customFormat="1" ht="29.1" customHeight="1" x14ac:dyDescent="0.25">
      <c r="A26719" s="2" t="s">
        <v>51996</v>
      </c>
      <c r="B26719" s="2" t="s">
        <v>51971</v>
      </c>
      <c r="C26719" s="2" t="s">
        <v>124</v>
      </c>
      <c r="D26719" s="2" t="s">
        <v>9</v>
      </c>
      <c r="E26719" s="2" t="str">
        <f>"9781850005247"</f>
        <v>9781850005247</v>
      </c>
      <c r="F26719" s="2" t="str">
        <f>"9781135388591"</f>
        <v>9781135388591</v>
      </c>
    </row>
    <row r="26720" spans="1:6" s="3" customFormat="1" ht="29.1" customHeight="1" x14ac:dyDescent="0.25">
      <c r="A26720" s="2" t="s">
        <v>51997</v>
      </c>
      <c r="B26720" s="2" t="s">
        <v>51998</v>
      </c>
      <c r="C26720" s="2" t="s">
        <v>124</v>
      </c>
      <c r="D26720" s="2" t="s">
        <v>353</v>
      </c>
      <c r="E26720" s="2" t="str">
        <f>"9780415187688"</f>
        <v>9780415187688</v>
      </c>
      <c r="F26720" s="2" t="str">
        <f>"9781134661121"</f>
        <v>9781134661121</v>
      </c>
    </row>
    <row r="26721" spans="1:6" s="3" customFormat="1" ht="29.1" customHeight="1" x14ac:dyDescent="0.25">
      <c r="A26721" s="2" t="s">
        <v>51999</v>
      </c>
      <c r="B26721" s="2" t="s">
        <v>52000</v>
      </c>
      <c r="C26721" s="2" t="s">
        <v>124</v>
      </c>
      <c r="D26721" s="2" t="s">
        <v>4210</v>
      </c>
      <c r="E26721" s="2" t="str">
        <f>"9780415080880"</f>
        <v>9780415080880</v>
      </c>
      <c r="F26721" s="2" t="str">
        <f>"9781134893669"</f>
        <v>9781134893669</v>
      </c>
    </row>
    <row r="26722" spans="1:6" s="3" customFormat="1" ht="29.1" customHeight="1" x14ac:dyDescent="0.25">
      <c r="A26722" s="2" t="s">
        <v>52001</v>
      </c>
      <c r="B26722" s="2" t="s">
        <v>52002</v>
      </c>
      <c r="C26722" s="2" t="s">
        <v>124</v>
      </c>
      <c r="D26722" s="2" t="s">
        <v>186</v>
      </c>
      <c r="E26722" s="2" t="str">
        <f>"9780415369527"</f>
        <v>9780415369527</v>
      </c>
      <c r="F26722" s="2" t="str">
        <f>"9781134202270"</f>
        <v>9781134202270</v>
      </c>
    </row>
    <row r="26723" spans="1:6" s="3" customFormat="1" ht="29.1" customHeight="1" x14ac:dyDescent="0.25">
      <c r="A26723" s="2" t="s">
        <v>52003</v>
      </c>
      <c r="B26723" s="2" t="s">
        <v>52004</v>
      </c>
      <c r="C26723" s="2" t="s">
        <v>124</v>
      </c>
      <c r="D26723" s="2" t="s">
        <v>2513</v>
      </c>
      <c r="E26723" s="2" t="str">
        <f>"9780419244806"</f>
        <v>9780419244806</v>
      </c>
      <c r="F26723" s="2" t="str">
        <f>"9781135920319"</f>
        <v>9781135920319</v>
      </c>
    </row>
    <row r="26724" spans="1:6" s="3" customFormat="1" ht="29.1" customHeight="1" x14ac:dyDescent="0.25">
      <c r="A26724" s="2" t="s">
        <v>52005</v>
      </c>
      <c r="B26724" s="2" t="s">
        <v>52006</v>
      </c>
      <c r="C26724" s="2" t="s">
        <v>124</v>
      </c>
      <c r="D26724" s="2" t="s">
        <v>9</v>
      </c>
      <c r="E26724" s="2" t="str">
        <f>"9780750703383"</f>
        <v>9780750703383</v>
      </c>
      <c r="F26724" s="2" t="str">
        <f>"9781135719906"</f>
        <v>9781135719906</v>
      </c>
    </row>
    <row r="26725" spans="1:6" s="3" customFormat="1" ht="29.1" customHeight="1" x14ac:dyDescent="0.25">
      <c r="A26725" s="2" t="s">
        <v>52007</v>
      </c>
      <c r="B26725" s="2" t="s">
        <v>52008</v>
      </c>
      <c r="C26725" s="2" t="s">
        <v>124</v>
      </c>
      <c r="D26725" s="2" t="s">
        <v>868</v>
      </c>
      <c r="E26725" s="2" t="str">
        <f>"9780700710492"</f>
        <v>9780700710492</v>
      </c>
      <c r="F26725" s="2" t="str">
        <f>"9781135797539"</f>
        <v>9781135797539</v>
      </c>
    </row>
    <row r="26726" spans="1:6" s="3" customFormat="1" ht="29.1" customHeight="1" x14ac:dyDescent="0.25">
      <c r="A26726" s="2" t="s">
        <v>52009</v>
      </c>
      <c r="B26726" s="2" t="s">
        <v>52010</v>
      </c>
      <c r="C26726" s="2" t="s">
        <v>124</v>
      </c>
      <c r="D26726" s="2" t="s">
        <v>1259</v>
      </c>
      <c r="E26726" s="2" t="str">
        <f>"9780415364195"</f>
        <v>9780415364195</v>
      </c>
      <c r="F26726" s="2" t="str">
        <f>"9781134217748"</f>
        <v>9781134217748</v>
      </c>
    </row>
    <row r="26727" spans="1:6" s="3" customFormat="1" ht="29.1" customHeight="1" x14ac:dyDescent="0.25">
      <c r="A26727" s="2" t="s">
        <v>52011</v>
      </c>
      <c r="B26727" s="2" t="s">
        <v>52012</v>
      </c>
      <c r="C26727" s="2" t="s">
        <v>124</v>
      </c>
      <c r="D26727" s="2" t="s">
        <v>15</v>
      </c>
      <c r="E26727" s="2" t="str">
        <f>"9781857283600"</f>
        <v>9781857283600</v>
      </c>
      <c r="F26727" s="2" t="str">
        <f>"9781135366186"</f>
        <v>9781135366186</v>
      </c>
    </row>
    <row r="26728" spans="1:6" s="3" customFormat="1" ht="29.1" customHeight="1" x14ac:dyDescent="0.25">
      <c r="A26728" s="2" t="s">
        <v>52013</v>
      </c>
      <c r="B26728" s="2" t="s">
        <v>52014</v>
      </c>
      <c r="C26728" s="2" t="s">
        <v>124</v>
      </c>
      <c r="D26728" s="2" t="s">
        <v>339</v>
      </c>
      <c r="E26728" s="2" t="str">
        <f>"9789026519529"</f>
        <v>9789026519529</v>
      </c>
      <c r="F26728" s="2" t="str">
        <f>"9781135302283"</f>
        <v>9781135302283</v>
      </c>
    </row>
    <row r="26729" spans="1:6" s="3" customFormat="1" ht="29.1" customHeight="1" x14ac:dyDescent="0.25">
      <c r="A26729" s="2" t="s">
        <v>52015</v>
      </c>
      <c r="B26729" s="2" t="s">
        <v>52016</v>
      </c>
      <c r="C26729" s="2" t="s">
        <v>124</v>
      </c>
      <c r="D26729" s="2" t="s">
        <v>9</v>
      </c>
      <c r="E26729" s="2" t="str">
        <f>"9780415158350"</f>
        <v>9780415158350</v>
      </c>
      <c r="F26729" s="2" t="str">
        <f>"9781134726011"</f>
        <v>9781134726011</v>
      </c>
    </row>
    <row r="26730" spans="1:6" s="3" customFormat="1" ht="29.1" customHeight="1" x14ac:dyDescent="0.25">
      <c r="A26730" s="2" t="s">
        <v>52017</v>
      </c>
      <c r="B26730" s="2" t="s">
        <v>52018</v>
      </c>
      <c r="C26730" s="2" t="s">
        <v>124</v>
      </c>
      <c r="D26730" s="2" t="s">
        <v>186</v>
      </c>
      <c r="E26730" s="2" t="str">
        <f>"9780415121217"</f>
        <v>9780415121217</v>
      </c>
      <c r="F26730" s="2" t="str">
        <f>"9781134808823"</f>
        <v>9781134808823</v>
      </c>
    </row>
    <row r="26731" spans="1:6" s="3" customFormat="1" ht="29.1" customHeight="1" x14ac:dyDescent="0.25">
      <c r="A26731" s="2" t="s">
        <v>52019</v>
      </c>
      <c r="B26731" s="2" t="s">
        <v>52020</v>
      </c>
      <c r="C26731" s="2" t="s">
        <v>124</v>
      </c>
      <c r="D26731" s="2" t="s">
        <v>339</v>
      </c>
      <c r="E26731" s="2" t="str">
        <f>"9780700716838"</f>
        <v>9780700716838</v>
      </c>
      <c r="F26731" s="2" t="str">
        <f>"9781135788490"</f>
        <v>9781135788490</v>
      </c>
    </row>
    <row r="26732" spans="1:6" s="3" customFormat="1" ht="29.1" customHeight="1" x14ac:dyDescent="0.25">
      <c r="A26732" s="2" t="s">
        <v>52021</v>
      </c>
      <c r="B26732" s="2" t="s">
        <v>52022</v>
      </c>
      <c r="C26732" s="2" t="s">
        <v>124</v>
      </c>
      <c r="D26732" s="2" t="s">
        <v>186</v>
      </c>
      <c r="E26732" s="2" t="str">
        <f>"9780748402601"</f>
        <v>9780748402601</v>
      </c>
      <c r="F26732" s="2" t="str">
        <f>"9781135747558"</f>
        <v>9781135747558</v>
      </c>
    </row>
    <row r="26733" spans="1:6" s="3" customFormat="1" ht="29.1" customHeight="1" x14ac:dyDescent="0.25">
      <c r="A26733" s="2" t="s">
        <v>52023</v>
      </c>
      <c r="B26733" s="2" t="s">
        <v>52024</v>
      </c>
      <c r="C26733" s="2" t="s">
        <v>124</v>
      </c>
      <c r="D26733" s="2" t="s">
        <v>9</v>
      </c>
      <c r="E26733" s="2" t="str">
        <f>"9780750701983"</f>
        <v>9780750701983</v>
      </c>
      <c r="F26733" s="2" t="str">
        <f>"9781135721305"</f>
        <v>9781135721305</v>
      </c>
    </row>
    <row r="26734" spans="1:6" s="3" customFormat="1" ht="29.1" customHeight="1" x14ac:dyDescent="0.25">
      <c r="A26734" s="2" t="s">
        <v>52025</v>
      </c>
      <c r="B26734" s="2" t="s">
        <v>52026</v>
      </c>
      <c r="C26734" s="2" t="s">
        <v>124</v>
      </c>
      <c r="D26734" s="2" t="s">
        <v>270</v>
      </c>
      <c r="E26734" s="2" t="str">
        <f>"9780415305075"</f>
        <v>9780415305075</v>
      </c>
      <c r="F26734" s="2" t="str">
        <f>"9781134406678"</f>
        <v>9781134406678</v>
      </c>
    </row>
    <row r="26735" spans="1:6" s="3" customFormat="1" ht="29.1" customHeight="1" x14ac:dyDescent="0.25">
      <c r="A26735" s="2" t="s">
        <v>52027</v>
      </c>
      <c r="B26735" s="2" t="s">
        <v>52028</v>
      </c>
      <c r="C26735" s="2" t="s">
        <v>124</v>
      </c>
      <c r="D26735" s="2" t="s">
        <v>12</v>
      </c>
      <c r="E26735" s="2" t="str">
        <f>"9780415129329"</f>
        <v>9780415129329</v>
      </c>
      <c r="F26735" s="2" t="str">
        <f>"9781134794126"</f>
        <v>9781134794126</v>
      </c>
    </row>
    <row r="26736" spans="1:6" s="3" customFormat="1" ht="29.1" customHeight="1" x14ac:dyDescent="0.25">
      <c r="A26736" s="2" t="s">
        <v>52029</v>
      </c>
      <c r="B26736" s="2" t="s">
        <v>52030</v>
      </c>
      <c r="C26736" s="2" t="s">
        <v>124</v>
      </c>
      <c r="D26736" s="2" t="s">
        <v>186</v>
      </c>
      <c r="E26736" s="2" t="str">
        <f>"9780415178754"</f>
        <v>9780415178754</v>
      </c>
      <c r="F26736" s="2" t="str">
        <f>"9781134683024"</f>
        <v>9781134683024</v>
      </c>
    </row>
    <row r="26737" spans="1:6" s="3" customFormat="1" ht="29.1" customHeight="1" x14ac:dyDescent="0.25">
      <c r="A26737" s="2" t="s">
        <v>52031</v>
      </c>
      <c r="B26737" s="2" t="s">
        <v>52032</v>
      </c>
      <c r="C26737" s="2" t="s">
        <v>124</v>
      </c>
      <c r="D26737" s="2" t="s">
        <v>9</v>
      </c>
      <c r="E26737" s="2" t="str">
        <f>"9780415125376"</f>
        <v>9780415125376</v>
      </c>
      <c r="F26737" s="2" t="str">
        <f>"9781134801619"</f>
        <v>9781134801619</v>
      </c>
    </row>
    <row r="26738" spans="1:6" s="3" customFormat="1" ht="29.1" customHeight="1" x14ac:dyDescent="0.25">
      <c r="A26738" s="2" t="s">
        <v>52033</v>
      </c>
      <c r="B26738" s="2" t="s">
        <v>52034</v>
      </c>
      <c r="C26738" s="2" t="s">
        <v>124</v>
      </c>
      <c r="D26738" s="2" t="s">
        <v>9</v>
      </c>
      <c r="E26738" s="2" t="str">
        <f>"9780750709620"</f>
        <v>9780750709620</v>
      </c>
      <c r="F26738" s="2" t="str">
        <f>"9781135700300"</f>
        <v>9781135700300</v>
      </c>
    </row>
    <row r="26739" spans="1:6" s="3" customFormat="1" ht="29.1" customHeight="1" x14ac:dyDescent="0.25">
      <c r="A26739" s="2" t="s">
        <v>52035</v>
      </c>
      <c r="B26739" s="2" t="s">
        <v>52036</v>
      </c>
      <c r="C26739" s="2" t="s">
        <v>124</v>
      </c>
      <c r="D26739" s="2" t="s">
        <v>186</v>
      </c>
      <c r="E26739" s="2" t="str">
        <f>"9780415296946"</f>
        <v>9780415296946</v>
      </c>
      <c r="F26739" s="2" t="str">
        <f>"9781134433551"</f>
        <v>9781134433551</v>
      </c>
    </row>
    <row r="26740" spans="1:6" s="3" customFormat="1" ht="29.1" customHeight="1" x14ac:dyDescent="0.25">
      <c r="A26740" s="2" t="s">
        <v>52037</v>
      </c>
      <c r="B26740" s="2" t="s">
        <v>52038</v>
      </c>
      <c r="C26740" s="2" t="s">
        <v>124</v>
      </c>
      <c r="D26740" s="2" t="s">
        <v>9</v>
      </c>
      <c r="E26740" s="2" t="str">
        <f>"9781850006428"</f>
        <v>9781850006428</v>
      </c>
      <c r="F26740" s="2" t="str">
        <f>"9781135387822"</f>
        <v>9781135387822</v>
      </c>
    </row>
    <row r="26741" spans="1:6" s="3" customFormat="1" ht="29.1" customHeight="1" x14ac:dyDescent="0.25">
      <c r="A26741" s="2" t="s">
        <v>52039</v>
      </c>
      <c r="B26741" s="2" t="s">
        <v>52040</v>
      </c>
      <c r="C26741" s="2" t="s">
        <v>124</v>
      </c>
      <c r="D26741" s="2" t="s">
        <v>210</v>
      </c>
      <c r="E26741" s="2" t="str">
        <f>"9781857286441"</f>
        <v>9781857286441</v>
      </c>
      <c r="F26741" s="2" t="str">
        <f>"9781135361990"</f>
        <v>9781135361990</v>
      </c>
    </row>
    <row r="26742" spans="1:6" s="3" customFormat="1" ht="29.1" customHeight="1" x14ac:dyDescent="0.25">
      <c r="A26742" s="2" t="s">
        <v>52041</v>
      </c>
      <c r="B26742" s="2" t="s">
        <v>52042</v>
      </c>
      <c r="C26742" s="2" t="s">
        <v>124</v>
      </c>
      <c r="D26742" s="2" t="s">
        <v>9</v>
      </c>
      <c r="E26742" s="2" t="str">
        <f>"9781850005933"</f>
        <v>9781850005933</v>
      </c>
      <c r="F26742" s="2" t="str">
        <f>"9781135388249"</f>
        <v>9781135388249</v>
      </c>
    </row>
    <row r="26743" spans="1:6" s="3" customFormat="1" ht="29.1" customHeight="1" x14ac:dyDescent="0.25">
      <c r="A26743" s="2" t="s">
        <v>52043</v>
      </c>
      <c r="B26743" s="2" t="s">
        <v>52044</v>
      </c>
      <c r="C26743" s="2" t="s">
        <v>124</v>
      </c>
      <c r="D26743" s="2" t="s">
        <v>9</v>
      </c>
      <c r="E26743" s="2" t="str">
        <f>"9780415067041"</f>
        <v>9780415067041</v>
      </c>
      <c r="F26743" s="2" t="str">
        <f>"9781134918584"</f>
        <v>9781134918584</v>
      </c>
    </row>
    <row r="26744" spans="1:6" s="3" customFormat="1" ht="29.1" customHeight="1" x14ac:dyDescent="0.25">
      <c r="A26744" s="2" t="s">
        <v>52045</v>
      </c>
      <c r="B26744" s="2" t="s">
        <v>52046</v>
      </c>
      <c r="C26744" s="2" t="s">
        <v>124</v>
      </c>
      <c r="D26744" s="2" t="s">
        <v>402</v>
      </c>
      <c r="E26744" s="2" t="str">
        <f>"9780415259606"</f>
        <v>9780415259606</v>
      </c>
      <c r="F26744" s="2" t="str">
        <f>"9781134511679"</f>
        <v>9781134511679</v>
      </c>
    </row>
    <row r="26745" spans="1:6" s="3" customFormat="1" ht="29.1" customHeight="1" x14ac:dyDescent="0.25">
      <c r="A26745" s="2" t="s">
        <v>52047</v>
      </c>
      <c r="B26745" s="2" t="s">
        <v>52048</v>
      </c>
      <c r="C26745" s="2" t="s">
        <v>124</v>
      </c>
      <c r="D26745" s="2" t="s">
        <v>1816</v>
      </c>
      <c r="E26745" s="2" t="str">
        <f>"9780415231817"</f>
        <v>9780415231817</v>
      </c>
      <c r="F26745" s="2" t="str">
        <f>"9781134574391"</f>
        <v>9781134574391</v>
      </c>
    </row>
    <row r="26746" spans="1:6" s="3" customFormat="1" ht="29.1" customHeight="1" x14ac:dyDescent="0.25">
      <c r="A26746" s="2" t="s">
        <v>52049</v>
      </c>
      <c r="B26746" s="2" t="s">
        <v>52050</v>
      </c>
      <c r="C26746" s="2" t="s">
        <v>124</v>
      </c>
      <c r="D26746" s="2" t="s">
        <v>210</v>
      </c>
      <c r="E26746" s="2" t="str">
        <f>"9780714631585"</f>
        <v>9780714631585</v>
      </c>
      <c r="F26746" s="2" t="str">
        <f>"9781135780524"</f>
        <v>9781135780524</v>
      </c>
    </row>
    <row r="26747" spans="1:6" s="3" customFormat="1" ht="29.1" customHeight="1" x14ac:dyDescent="0.25">
      <c r="A26747" s="2" t="s">
        <v>52051</v>
      </c>
      <c r="B26747" s="2" t="s">
        <v>52052</v>
      </c>
      <c r="C26747" s="2" t="s">
        <v>124</v>
      </c>
      <c r="D26747" s="2" t="s">
        <v>9</v>
      </c>
      <c r="E26747" s="2" t="str">
        <f>"9780749428631"</f>
        <v>9780749428631</v>
      </c>
      <c r="F26747" s="2" t="str">
        <f>"9781135727819"</f>
        <v>9781135727819</v>
      </c>
    </row>
    <row r="26748" spans="1:6" s="3" customFormat="1" ht="29.1" customHeight="1" x14ac:dyDescent="0.25">
      <c r="A26748" s="2" t="s">
        <v>52053</v>
      </c>
      <c r="B26748" s="2" t="s">
        <v>52054</v>
      </c>
      <c r="C26748" s="2" t="s">
        <v>1070</v>
      </c>
      <c r="D26748" s="2" t="s">
        <v>1313</v>
      </c>
      <c r="E26748" s="2" t="str">
        <f>"9783805578462"</f>
        <v>9783805578462</v>
      </c>
      <c r="F26748" s="2" t="str">
        <f>"9783318055245"</f>
        <v>9783318055245</v>
      </c>
    </row>
    <row r="26749" spans="1:6" s="3" customFormat="1" ht="29.1" customHeight="1" x14ac:dyDescent="0.25">
      <c r="A26749" s="2" t="s">
        <v>52055</v>
      </c>
      <c r="B26749" s="2" t="s">
        <v>52056</v>
      </c>
      <c r="C26749" s="2" t="s">
        <v>124</v>
      </c>
      <c r="D26749" s="2" t="s">
        <v>2513</v>
      </c>
      <c r="E26749" s="2" t="str">
        <f>"9780415271165"</f>
        <v>9780415271165</v>
      </c>
      <c r="F26749" s="2" t="str">
        <f>"9781134488223"</f>
        <v>9781134488223</v>
      </c>
    </row>
    <row r="26750" spans="1:6" s="3" customFormat="1" ht="29.1" customHeight="1" x14ac:dyDescent="0.25">
      <c r="A26750" s="2" t="s">
        <v>52057</v>
      </c>
      <c r="B26750" s="2" t="s">
        <v>52058</v>
      </c>
      <c r="C26750" s="2" t="s">
        <v>124</v>
      </c>
      <c r="D26750" s="2" t="s">
        <v>183</v>
      </c>
      <c r="E26750" s="2" t="str">
        <f>"9780415146036"</f>
        <v>9780415146036</v>
      </c>
      <c r="F26750" s="2" t="str">
        <f>"9781134758210"</f>
        <v>9781134758210</v>
      </c>
    </row>
    <row r="26751" spans="1:6" s="3" customFormat="1" ht="29.1" customHeight="1" x14ac:dyDescent="0.25">
      <c r="A26751" s="2" t="s">
        <v>52059</v>
      </c>
      <c r="B26751" s="2" t="s">
        <v>52060</v>
      </c>
      <c r="C26751" s="2" t="s">
        <v>124</v>
      </c>
      <c r="D26751" s="2" t="s">
        <v>2513</v>
      </c>
      <c r="E26751" s="2" t="str">
        <f>"9780415286541"</f>
        <v>9780415286541</v>
      </c>
      <c r="F26751" s="2" t="str">
        <f>"9781134447909"</f>
        <v>9781134447909</v>
      </c>
    </row>
    <row r="26752" spans="1:6" s="3" customFormat="1" ht="29.1" customHeight="1" x14ac:dyDescent="0.25">
      <c r="A26752" s="2" t="s">
        <v>52061</v>
      </c>
      <c r="B26752" s="2" t="s">
        <v>52062</v>
      </c>
      <c r="C26752" s="2" t="s">
        <v>124</v>
      </c>
      <c r="D26752" s="2" t="s">
        <v>186</v>
      </c>
      <c r="E26752" s="2" t="str">
        <f>"9780415299220"</f>
        <v>9780415299220</v>
      </c>
      <c r="F26752" s="2" t="str">
        <f>"9781134424313"</f>
        <v>9781134424313</v>
      </c>
    </row>
    <row r="26753" spans="1:6" s="3" customFormat="1" ht="29.1" customHeight="1" x14ac:dyDescent="0.25">
      <c r="A26753" s="2" t="s">
        <v>52063</v>
      </c>
      <c r="B26753" s="2" t="s">
        <v>52064</v>
      </c>
      <c r="C26753" s="2" t="s">
        <v>124</v>
      </c>
      <c r="D26753" s="2" t="s">
        <v>9</v>
      </c>
      <c r="E26753" s="2" t="str">
        <f>"9780415138994"</f>
        <v>9780415138994</v>
      </c>
      <c r="F26753" s="2" t="str">
        <f>"9781134772070"</f>
        <v>9781134772070</v>
      </c>
    </row>
    <row r="26754" spans="1:6" s="3" customFormat="1" ht="29.1" customHeight="1" x14ac:dyDescent="0.25">
      <c r="A26754" s="2" t="s">
        <v>52065</v>
      </c>
      <c r="B26754" s="2" t="s">
        <v>52066</v>
      </c>
      <c r="C26754" s="2" t="s">
        <v>124</v>
      </c>
      <c r="D26754" s="2" t="s">
        <v>9</v>
      </c>
      <c r="E26754" s="2" t="str">
        <f>"9780415090766"</f>
        <v>9780415090766</v>
      </c>
      <c r="F26754" s="2" t="str">
        <f>"9781134875740"</f>
        <v>9781134875740</v>
      </c>
    </row>
    <row r="26755" spans="1:6" s="3" customFormat="1" ht="29.1" customHeight="1" x14ac:dyDescent="0.25">
      <c r="A26755" s="2" t="s">
        <v>52067</v>
      </c>
      <c r="B26755" s="2" t="s">
        <v>52068</v>
      </c>
      <c r="C26755" s="2" t="s">
        <v>124</v>
      </c>
      <c r="D26755" s="2" t="s">
        <v>186</v>
      </c>
      <c r="E26755" s="2" t="str">
        <f>"9780415125109"</f>
        <v>9780415125109</v>
      </c>
      <c r="F26755" s="2" t="str">
        <f>"9781134802104"</f>
        <v>9781134802104</v>
      </c>
    </row>
    <row r="26756" spans="1:6" s="3" customFormat="1" ht="29.1" customHeight="1" x14ac:dyDescent="0.25">
      <c r="A26756" s="2" t="s">
        <v>52069</v>
      </c>
      <c r="B26756" s="2" t="s">
        <v>52070</v>
      </c>
      <c r="C26756" s="2" t="s">
        <v>124</v>
      </c>
      <c r="D26756" s="2" t="s">
        <v>9</v>
      </c>
      <c r="E26756" s="2" t="str">
        <f>"9780750705035"</f>
        <v>9780750705035</v>
      </c>
      <c r="F26756" s="2" t="str">
        <f>"9781135717599"</f>
        <v>9781135717599</v>
      </c>
    </row>
    <row r="26757" spans="1:6" s="3" customFormat="1" ht="29.1" customHeight="1" x14ac:dyDescent="0.25">
      <c r="A26757" s="2" t="s">
        <v>52071</v>
      </c>
      <c r="B26757" s="2" t="s">
        <v>52072</v>
      </c>
      <c r="C26757" s="2" t="s">
        <v>124</v>
      </c>
      <c r="D26757" s="2" t="s">
        <v>9</v>
      </c>
      <c r="E26757" s="2" t="str">
        <f>"9781850004769"</f>
        <v>9781850004769</v>
      </c>
      <c r="F26757" s="2" t="str">
        <f>"9781135388737"</f>
        <v>9781135388737</v>
      </c>
    </row>
    <row r="26758" spans="1:6" s="3" customFormat="1" ht="29.1" customHeight="1" x14ac:dyDescent="0.25">
      <c r="A26758" s="2" t="s">
        <v>52073</v>
      </c>
      <c r="B26758" s="2" t="s">
        <v>52074</v>
      </c>
      <c r="C26758" s="2" t="s">
        <v>55</v>
      </c>
      <c r="D26758" s="2" t="s">
        <v>791</v>
      </c>
      <c r="E26758" s="2" t="str">
        <f>"9780719069024"</f>
        <v>9780719069024</v>
      </c>
      <c r="F26758" s="2" t="str">
        <f>"9781847790941"</f>
        <v>9781847790941</v>
      </c>
    </row>
    <row r="26759" spans="1:6" s="3" customFormat="1" ht="29.1" customHeight="1" x14ac:dyDescent="0.25">
      <c r="A26759" s="2" t="s">
        <v>52075</v>
      </c>
      <c r="B26759" s="2" t="s">
        <v>52076</v>
      </c>
      <c r="C26759" s="2" t="s">
        <v>55</v>
      </c>
      <c r="D26759" s="2" t="s">
        <v>270</v>
      </c>
      <c r="E26759" s="2" t="str">
        <f>"9780719067181"</f>
        <v>9780719067181</v>
      </c>
      <c r="F26759" s="2" t="str">
        <f>"9781847790880"</f>
        <v>9781847790880</v>
      </c>
    </row>
    <row r="26760" spans="1:6" s="3" customFormat="1" ht="29.1" customHeight="1" x14ac:dyDescent="0.25">
      <c r="A26760" s="2" t="s">
        <v>52077</v>
      </c>
      <c r="B26760" s="2" t="s">
        <v>52078</v>
      </c>
      <c r="C26760" s="2" t="s">
        <v>55</v>
      </c>
      <c r="D26760" s="2" t="s">
        <v>86</v>
      </c>
      <c r="E26760" s="2" t="str">
        <f>"9780719066061"</f>
        <v>9780719066061</v>
      </c>
      <c r="F26760" s="2" t="str">
        <f>"9781847790873"</f>
        <v>9781847790873</v>
      </c>
    </row>
    <row r="26761" spans="1:6" s="3" customFormat="1" ht="29.1" customHeight="1" x14ac:dyDescent="0.25">
      <c r="A26761" s="2" t="s">
        <v>52079</v>
      </c>
      <c r="B26761" s="2" t="s">
        <v>52080</v>
      </c>
      <c r="C26761" s="2" t="s">
        <v>55</v>
      </c>
      <c r="D26761" s="2" t="s">
        <v>1162</v>
      </c>
      <c r="E26761" s="2" t="str">
        <f>"9780719065989"</f>
        <v>9780719065989</v>
      </c>
      <c r="F26761" s="2" t="str">
        <f>"9781847790859"</f>
        <v>9781847790859</v>
      </c>
    </row>
    <row r="26762" spans="1:6" s="3" customFormat="1" ht="29.1" customHeight="1" x14ac:dyDescent="0.25">
      <c r="A26762" s="2" t="s">
        <v>52081</v>
      </c>
      <c r="B26762" s="2" t="s">
        <v>52082</v>
      </c>
      <c r="C26762" s="2" t="s">
        <v>55</v>
      </c>
      <c r="D26762" s="2" t="s">
        <v>1557</v>
      </c>
      <c r="E26762" s="2" t="str">
        <f>"9780719065804"</f>
        <v>9780719065804</v>
      </c>
      <c r="F26762" s="2" t="str">
        <f>"9781526137845"</f>
        <v>9781526137845</v>
      </c>
    </row>
    <row r="26763" spans="1:6" s="3" customFormat="1" ht="29.1" customHeight="1" x14ac:dyDescent="0.25">
      <c r="A26763" s="2" t="s">
        <v>52083</v>
      </c>
      <c r="B26763" s="2" t="s">
        <v>52084</v>
      </c>
      <c r="C26763" s="2" t="s">
        <v>55</v>
      </c>
      <c r="D26763" s="2" t="s">
        <v>509</v>
      </c>
      <c r="E26763" s="2" t="str">
        <f>"9780719065729"</f>
        <v>9780719065729</v>
      </c>
      <c r="F26763" s="2" t="str">
        <f>"9781847790835"</f>
        <v>9781847790835</v>
      </c>
    </row>
    <row r="26764" spans="1:6" s="3" customFormat="1" ht="29.1" customHeight="1" x14ac:dyDescent="0.25">
      <c r="A26764" s="2" t="s">
        <v>52085</v>
      </c>
      <c r="B26764" s="2" t="s">
        <v>52086</v>
      </c>
      <c r="C26764" s="2" t="s">
        <v>55</v>
      </c>
      <c r="D26764" s="2" t="s">
        <v>1046</v>
      </c>
      <c r="E26764" s="2" t="str">
        <f>"9780719065583"</f>
        <v>9780719065583</v>
      </c>
      <c r="F26764" s="2" t="str">
        <f>"9781847790828"</f>
        <v>9781847790828</v>
      </c>
    </row>
    <row r="26765" spans="1:6" s="3" customFormat="1" ht="29.1" customHeight="1" x14ac:dyDescent="0.25">
      <c r="A26765" s="2" t="s">
        <v>52087</v>
      </c>
      <c r="B26765" s="2" t="s">
        <v>52089</v>
      </c>
      <c r="C26765" s="2" t="s">
        <v>55</v>
      </c>
      <c r="D26765" s="2" t="s">
        <v>52088</v>
      </c>
      <c r="E26765" s="2" t="str">
        <f>"9780719065286"</f>
        <v>9780719065286</v>
      </c>
      <c r="F26765" s="2" t="str">
        <f>"9781847790798"</f>
        <v>9781847790798</v>
      </c>
    </row>
    <row r="26766" spans="1:6" s="3" customFormat="1" ht="29.1" customHeight="1" x14ac:dyDescent="0.25">
      <c r="A26766" s="2" t="s">
        <v>52090</v>
      </c>
      <c r="B26766" s="2" t="s">
        <v>52091</v>
      </c>
      <c r="C26766" s="2" t="s">
        <v>55</v>
      </c>
      <c r="D26766" s="2" t="s">
        <v>8388</v>
      </c>
      <c r="E26766" s="2" t="str">
        <f>"9780719064746"</f>
        <v>9780719064746</v>
      </c>
      <c r="F26766" s="2" t="str">
        <f>"9781847790767"</f>
        <v>9781847790767</v>
      </c>
    </row>
    <row r="26767" spans="1:6" s="3" customFormat="1" ht="29.1" customHeight="1" x14ac:dyDescent="0.25">
      <c r="A26767" s="2" t="s">
        <v>52092</v>
      </c>
      <c r="B26767" s="2" t="s">
        <v>52093</v>
      </c>
      <c r="C26767" s="2" t="s">
        <v>55</v>
      </c>
      <c r="D26767" s="2" t="s">
        <v>7132</v>
      </c>
      <c r="E26767" s="2" t="str">
        <f>"9780719063909"</f>
        <v>9780719063909</v>
      </c>
      <c r="F26767" s="2" t="str">
        <f>"9781847790736"</f>
        <v>9781847790736</v>
      </c>
    </row>
    <row r="26768" spans="1:6" s="3" customFormat="1" ht="29.1" customHeight="1" x14ac:dyDescent="0.25">
      <c r="A26768" s="2" t="s">
        <v>52094</v>
      </c>
      <c r="B26768" s="2" t="s">
        <v>52095</v>
      </c>
      <c r="C26768" s="2" t="s">
        <v>55</v>
      </c>
      <c r="D26768" s="2" t="s">
        <v>501</v>
      </c>
      <c r="E26768" s="2" t="str">
        <f>"9780719063701"</f>
        <v>9780719063701</v>
      </c>
      <c r="F26768" s="2" t="str">
        <f>"9781847790729"</f>
        <v>9781847790729</v>
      </c>
    </row>
    <row r="26769" spans="1:6" s="3" customFormat="1" ht="29.1" customHeight="1" x14ac:dyDescent="0.25">
      <c r="A26769" s="2" t="s">
        <v>52096</v>
      </c>
      <c r="B26769" s="2" t="s">
        <v>52097</v>
      </c>
      <c r="C26769" s="2" t="s">
        <v>55</v>
      </c>
      <c r="D26769" s="2" t="s">
        <v>1104</v>
      </c>
      <c r="E26769" s="2" t="str">
        <f>"9780719062988"</f>
        <v>9780719062988</v>
      </c>
      <c r="F26769" s="2" t="str">
        <f>"9781847790705"</f>
        <v>9781847790705</v>
      </c>
    </row>
    <row r="26770" spans="1:6" s="3" customFormat="1" ht="29.1" customHeight="1" x14ac:dyDescent="0.25">
      <c r="A26770" s="2" t="s">
        <v>52098</v>
      </c>
      <c r="B26770" s="2" t="s">
        <v>52099</v>
      </c>
      <c r="C26770" s="2" t="s">
        <v>55</v>
      </c>
      <c r="D26770" s="2" t="s">
        <v>1712</v>
      </c>
      <c r="E26770" s="2" t="str">
        <f>"9780719062353"</f>
        <v>9780719062353</v>
      </c>
      <c r="F26770" s="2" t="str">
        <f>"9781847790675"</f>
        <v>9781847790675</v>
      </c>
    </row>
    <row r="26771" spans="1:6" s="3" customFormat="1" ht="29.1" customHeight="1" x14ac:dyDescent="0.25">
      <c r="A26771" s="2" t="s">
        <v>52100</v>
      </c>
      <c r="B26771" s="2" t="s">
        <v>52101</v>
      </c>
      <c r="C26771" s="2" t="s">
        <v>55</v>
      </c>
      <c r="D26771" s="2" t="s">
        <v>7132</v>
      </c>
      <c r="E26771" s="2" t="str">
        <f>"9780719061592"</f>
        <v>9780719061592</v>
      </c>
      <c r="F26771" s="2" t="str">
        <f>"9781847790668"</f>
        <v>9781847790668</v>
      </c>
    </row>
    <row r="26772" spans="1:6" s="3" customFormat="1" ht="29.1" customHeight="1" x14ac:dyDescent="0.25">
      <c r="A26772" s="2" t="s">
        <v>52102</v>
      </c>
      <c r="B26772" s="2" t="s">
        <v>52103</v>
      </c>
      <c r="C26772" s="2" t="s">
        <v>55</v>
      </c>
      <c r="D26772" s="2" t="s">
        <v>4016</v>
      </c>
      <c r="E26772" s="2" t="str">
        <f>"9780719061196"</f>
        <v>9780719061196</v>
      </c>
      <c r="F26772" s="2" t="str">
        <f>"9781847790644"</f>
        <v>9781847790644</v>
      </c>
    </row>
    <row r="26773" spans="1:6" s="3" customFormat="1" ht="29.1" customHeight="1" x14ac:dyDescent="0.25">
      <c r="A26773" s="2" t="s">
        <v>52104</v>
      </c>
      <c r="B26773" s="2" t="s">
        <v>52105</v>
      </c>
      <c r="C26773" s="2" t="s">
        <v>55</v>
      </c>
      <c r="D26773" s="2" t="s">
        <v>1541</v>
      </c>
      <c r="E26773" s="2" t="str">
        <f>"9780719061059"</f>
        <v>9780719061059</v>
      </c>
      <c r="F26773" s="2" t="str">
        <f>"9781847790637"</f>
        <v>9781847790637</v>
      </c>
    </row>
    <row r="26774" spans="1:6" s="3" customFormat="1" ht="29.1" customHeight="1" x14ac:dyDescent="0.25">
      <c r="A26774" s="2" t="s">
        <v>52106</v>
      </c>
      <c r="B26774" s="2" t="s">
        <v>52107</v>
      </c>
      <c r="C26774" s="2" t="s">
        <v>55</v>
      </c>
      <c r="D26774" s="2" t="s">
        <v>42411</v>
      </c>
      <c r="E26774" s="2" t="str">
        <f>"9780719061042"</f>
        <v>9780719061042</v>
      </c>
      <c r="F26774" s="2" t="str">
        <f>"9781847790620"</f>
        <v>9781847790620</v>
      </c>
    </row>
    <row r="26775" spans="1:6" s="3" customFormat="1" ht="29.1" customHeight="1" x14ac:dyDescent="0.25">
      <c r="A26775" s="2" t="s">
        <v>52108</v>
      </c>
      <c r="B26775" s="2" t="s">
        <v>52109</v>
      </c>
      <c r="C26775" s="2" t="s">
        <v>55</v>
      </c>
      <c r="D26775" s="2" t="s">
        <v>10410</v>
      </c>
      <c r="E26775" s="2" t="str">
        <f>"9780719060182"</f>
        <v>9780719060182</v>
      </c>
      <c r="F26775" s="2" t="str">
        <f>"9781847790613"</f>
        <v>9781847790613</v>
      </c>
    </row>
    <row r="26776" spans="1:6" s="3" customFormat="1" ht="29.1" customHeight="1" x14ac:dyDescent="0.25">
      <c r="A26776" s="2" t="s">
        <v>52110</v>
      </c>
      <c r="B26776" s="2" t="s">
        <v>52111</v>
      </c>
      <c r="C26776" s="2" t="s">
        <v>55</v>
      </c>
      <c r="D26776" s="2" t="s">
        <v>5360</v>
      </c>
      <c r="E26776" s="2" t="str">
        <f>"9780719057465"</f>
        <v>9780719057465</v>
      </c>
      <c r="F26776" s="2" t="str">
        <f>"9781847790590"</f>
        <v>9781847790590</v>
      </c>
    </row>
    <row r="26777" spans="1:6" s="3" customFormat="1" ht="29.1" customHeight="1" x14ac:dyDescent="0.25">
      <c r="A26777" s="2" t="s">
        <v>52112</v>
      </c>
      <c r="B26777" s="2" t="s">
        <v>52113</v>
      </c>
      <c r="C26777" s="2" t="s">
        <v>55</v>
      </c>
      <c r="D26777" s="2" t="s">
        <v>501</v>
      </c>
      <c r="E26777" s="2" t="str">
        <f>"9780719043642"</f>
        <v>9780719043642</v>
      </c>
      <c r="F26777" s="2" t="str">
        <f>"9781847790583"</f>
        <v>9781847790583</v>
      </c>
    </row>
    <row r="26778" spans="1:6" s="3" customFormat="1" ht="29.1" customHeight="1" x14ac:dyDescent="0.25">
      <c r="A26778" s="2" t="s">
        <v>52114</v>
      </c>
      <c r="B26778" s="2" t="s">
        <v>52115</v>
      </c>
      <c r="C26778" s="2" t="s">
        <v>55</v>
      </c>
      <c r="D26778" s="2" t="s">
        <v>50871</v>
      </c>
      <c r="E26778" s="2" t="str">
        <f>"9780719064289"</f>
        <v>9780719064289</v>
      </c>
      <c r="F26778" s="2" t="str">
        <f>"9781847790569"</f>
        <v>9781847790569</v>
      </c>
    </row>
    <row r="26779" spans="1:6" s="3" customFormat="1" ht="29.1" customHeight="1" x14ac:dyDescent="0.25">
      <c r="A26779" s="2" t="s">
        <v>52116</v>
      </c>
      <c r="B26779" s="2" t="s">
        <v>52117</v>
      </c>
      <c r="C26779" s="2" t="s">
        <v>55</v>
      </c>
      <c r="D26779" s="2" t="s">
        <v>7132</v>
      </c>
      <c r="E26779" s="2" t="str">
        <f>"9780719063046"</f>
        <v>9780719063046</v>
      </c>
      <c r="F26779" s="2" t="str">
        <f>"9781847790538"</f>
        <v>9781847790538</v>
      </c>
    </row>
    <row r="26780" spans="1:6" s="3" customFormat="1" ht="29.1" customHeight="1" x14ac:dyDescent="0.25">
      <c r="A26780" s="2" t="s">
        <v>52118</v>
      </c>
      <c r="B26780" s="2" t="s">
        <v>52119</v>
      </c>
      <c r="C26780" s="2" t="s">
        <v>55</v>
      </c>
      <c r="D26780" s="2" t="s">
        <v>10578</v>
      </c>
      <c r="E26780" s="2" t="str">
        <f>"9780719066023"</f>
        <v>9780719066023</v>
      </c>
      <c r="F26780" s="2" t="str">
        <f>"9781847790576"</f>
        <v>9781847790576</v>
      </c>
    </row>
    <row r="26781" spans="1:6" s="3" customFormat="1" ht="29.1" customHeight="1" x14ac:dyDescent="0.25">
      <c r="A26781" s="2" t="s">
        <v>52120</v>
      </c>
      <c r="B26781" s="2" t="s">
        <v>52121</v>
      </c>
      <c r="C26781" s="2" t="s">
        <v>55</v>
      </c>
      <c r="D26781" s="2" t="s">
        <v>183</v>
      </c>
      <c r="E26781" s="2" t="str">
        <f>"9780719059773"</f>
        <v>9780719059773</v>
      </c>
      <c r="F26781" s="2" t="str">
        <f>"9781847790507"</f>
        <v>9781847790507</v>
      </c>
    </row>
    <row r="26782" spans="1:6" s="3" customFormat="1" ht="29.1" customHeight="1" x14ac:dyDescent="0.25">
      <c r="A26782" s="2" t="s">
        <v>52122</v>
      </c>
      <c r="B26782" s="2" t="s">
        <v>52123</v>
      </c>
      <c r="C26782" s="2" t="s">
        <v>55</v>
      </c>
      <c r="D26782" s="2" t="s">
        <v>183</v>
      </c>
      <c r="E26782" s="2" t="str">
        <f>"9780719062674"</f>
        <v>9780719062674</v>
      </c>
      <c r="F26782" s="2" t="str">
        <f>"9781847790521"</f>
        <v>9781847790521</v>
      </c>
    </row>
    <row r="26783" spans="1:6" s="3" customFormat="1" ht="29.1" customHeight="1" x14ac:dyDescent="0.25">
      <c r="A26783" s="2" t="s">
        <v>52124</v>
      </c>
      <c r="B26783" s="2" t="s">
        <v>52125</v>
      </c>
      <c r="C26783" s="2" t="s">
        <v>11220</v>
      </c>
      <c r="D26783" s="2" t="s">
        <v>5930</v>
      </c>
      <c r="E26783" s="2" t="str">
        <f>"9780814758137"</f>
        <v>9780814758137</v>
      </c>
      <c r="F26783" s="2" t="str">
        <f>"9780814759004"</f>
        <v>9780814759004</v>
      </c>
    </row>
    <row r="26784" spans="1:6" s="3" customFormat="1" ht="29.1" customHeight="1" x14ac:dyDescent="0.25">
      <c r="A26784" s="2" t="s">
        <v>52126</v>
      </c>
      <c r="B26784" s="2" t="s">
        <v>52127</v>
      </c>
      <c r="C26784" s="2" t="s">
        <v>11220</v>
      </c>
      <c r="D26784" s="2" t="s">
        <v>868</v>
      </c>
      <c r="E26784" s="2" t="str">
        <f>"9780814758175"</f>
        <v>9780814758175</v>
      </c>
      <c r="F26784" s="2" t="str">
        <f>"9780814759141"</f>
        <v>9780814759141</v>
      </c>
    </row>
    <row r="26785" spans="1:6" s="3" customFormat="1" ht="29.1" customHeight="1" x14ac:dyDescent="0.25">
      <c r="A26785" s="2" t="s">
        <v>52128</v>
      </c>
      <c r="B26785" s="2" t="s">
        <v>52129</v>
      </c>
      <c r="C26785" s="2" t="s">
        <v>11220</v>
      </c>
      <c r="D26785" s="2" t="s">
        <v>402</v>
      </c>
      <c r="E26785" s="2" t="str">
        <f>"9780814731536"</f>
        <v>9780814731536</v>
      </c>
      <c r="F26785" s="2" t="str">
        <f>"9780814733356"</f>
        <v>9780814733356</v>
      </c>
    </row>
    <row r="26786" spans="1:6" s="3" customFormat="1" ht="29.1" customHeight="1" x14ac:dyDescent="0.25">
      <c r="A26786" s="2" t="s">
        <v>52130</v>
      </c>
      <c r="B26786" s="2" t="s">
        <v>52131</v>
      </c>
      <c r="C26786" s="2" t="s">
        <v>55</v>
      </c>
      <c r="D26786" s="2" t="s">
        <v>3993</v>
      </c>
      <c r="E26786" s="2" t="str">
        <f>"9780719062483"</f>
        <v>9780719062483</v>
      </c>
      <c r="F26786" s="2" t="str">
        <f>"9781847790477"</f>
        <v>9781847790477</v>
      </c>
    </row>
    <row r="26787" spans="1:6" s="3" customFormat="1" ht="29.1" customHeight="1" x14ac:dyDescent="0.25">
      <c r="A26787" s="2" t="s">
        <v>52132</v>
      </c>
      <c r="B26787" s="2" t="s">
        <v>52133</v>
      </c>
      <c r="C26787" s="2" t="s">
        <v>55</v>
      </c>
      <c r="D26787" s="2" t="s">
        <v>1162</v>
      </c>
      <c r="E26787" s="2" t="str">
        <f>"9780719062322"</f>
        <v>9780719062322</v>
      </c>
      <c r="F26787" s="2" t="str">
        <f>"9781847790453"</f>
        <v>9781847790453</v>
      </c>
    </row>
    <row r="26788" spans="1:6" s="3" customFormat="1" ht="29.1" customHeight="1" x14ac:dyDescent="0.25">
      <c r="A26788" s="2" t="s">
        <v>52134</v>
      </c>
      <c r="B26788" s="2" t="s">
        <v>52135</v>
      </c>
      <c r="C26788" s="2" t="s">
        <v>55</v>
      </c>
      <c r="D26788" s="2" t="s">
        <v>1162</v>
      </c>
      <c r="E26788" s="2" t="str">
        <f>"9780719059087"</f>
        <v>9780719059087</v>
      </c>
      <c r="F26788" s="2" t="str">
        <f>"9781847790446"</f>
        <v>9781847790446</v>
      </c>
    </row>
    <row r="26789" spans="1:6" s="3" customFormat="1" ht="29.1" customHeight="1" x14ac:dyDescent="0.25">
      <c r="A26789" s="2" t="s">
        <v>52136</v>
      </c>
      <c r="B26789" s="2" t="s">
        <v>52137</v>
      </c>
      <c r="C26789" s="2" t="s">
        <v>55</v>
      </c>
      <c r="D26789" s="2" t="s">
        <v>7460</v>
      </c>
      <c r="E26789" s="2" t="str">
        <f>"9780719057144"</f>
        <v>9780719057144</v>
      </c>
      <c r="F26789" s="2" t="str">
        <f>"9781847790439"</f>
        <v>9781847790439</v>
      </c>
    </row>
    <row r="26790" spans="1:6" s="3" customFormat="1" ht="29.1" customHeight="1" x14ac:dyDescent="0.25">
      <c r="A26790" s="2" t="s">
        <v>52138</v>
      </c>
      <c r="B26790" s="2" t="s">
        <v>52139</v>
      </c>
      <c r="C26790" s="2" t="s">
        <v>55</v>
      </c>
      <c r="D26790" s="2" t="s">
        <v>694</v>
      </c>
      <c r="E26790" s="2" t="str">
        <f>"9780719062308"</f>
        <v>9780719062308</v>
      </c>
      <c r="F26790" s="2" t="str">
        <f>"9781847790361"</f>
        <v>9781847790361</v>
      </c>
    </row>
    <row r="26791" spans="1:6" s="3" customFormat="1" ht="29.1" customHeight="1" x14ac:dyDescent="0.25">
      <c r="A26791" s="2" t="s">
        <v>52140</v>
      </c>
      <c r="B26791" s="2" t="s">
        <v>52141</v>
      </c>
      <c r="C26791" s="2" t="s">
        <v>55</v>
      </c>
      <c r="D26791" s="2" t="s">
        <v>4789</v>
      </c>
      <c r="E26791" s="2" t="str">
        <f>"9780719063640"</f>
        <v>9780719063640</v>
      </c>
      <c r="F26791" s="2" t="str">
        <f>"9781847790392"</f>
        <v>9781847790392</v>
      </c>
    </row>
    <row r="26792" spans="1:6" s="3" customFormat="1" ht="29.1" customHeight="1" x14ac:dyDescent="0.25">
      <c r="A26792" s="2" t="s">
        <v>52142</v>
      </c>
      <c r="B26792" s="2" t="s">
        <v>52143</v>
      </c>
      <c r="C26792" s="2" t="s">
        <v>55</v>
      </c>
      <c r="D26792" s="2" t="s">
        <v>107</v>
      </c>
      <c r="E26792" s="2" t="str">
        <f>"9780719057380"</f>
        <v>9780719057380</v>
      </c>
      <c r="F26792" s="2" t="str">
        <f>"9781847790330"</f>
        <v>9781847790330</v>
      </c>
    </row>
    <row r="26793" spans="1:6" s="3" customFormat="1" ht="29.1" customHeight="1" x14ac:dyDescent="0.25">
      <c r="A26793" s="2" t="s">
        <v>52144</v>
      </c>
      <c r="B26793" s="2" t="s">
        <v>52145</v>
      </c>
      <c r="C26793" s="2" t="s">
        <v>55</v>
      </c>
      <c r="D26793" s="2" t="s">
        <v>202</v>
      </c>
      <c r="E26793" s="2" t="str">
        <f>"9780719063749"</f>
        <v>9780719063749</v>
      </c>
      <c r="F26793" s="2" t="str">
        <f>"9781847790408"</f>
        <v>9781847790408</v>
      </c>
    </row>
    <row r="26794" spans="1:6" s="3" customFormat="1" ht="29.1" customHeight="1" x14ac:dyDescent="0.25">
      <c r="A26794" s="2" t="s">
        <v>52146</v>
      </c>
      <c r="B26794" s="2" t="s">
        <v>52147</v>
      </c>
      <c r="C26794" s="2" t="s">
        <v>55</v>
      </c>
      <c r="D26794" s="2" t="s">
        <v>45365</v>
      </c>
      <c r="E26794" s="2" t="str">
        <f>"9780719054204"</f>
        <v>9780719054204</v>
      </c>
      <c r="F26794" s="2" t="str">
        <f>"9781847790323"</f>
        <v>9781847790323</v>
      </c>
    </row>
    <row r="26795" spans="1:6" s="3" customFormat="1" ht="29.1" customHeight="1" x14ac:dyDescent="0.25">
      <c r="A26795" s="2" t="s">
        <v>52148</v>
      </c>
      <c r="B26795" s="2" t="s">
        <v>52149</v>
      </c>
      <c r="C26795" s="2" t="s">
        <v>55</v>
      </c>
      <c r="D26795" s="2" t="s">
        <v>215</v>
      </c>
      <c r="E26795" s="2" t="str">
        <f>"9780719061387"</f>
        <v>9780719061387</v>
      </c>
      <c r="F26795" s="2" t="str">
        <f>"9781847790354"</f>
        <v>9781847790354</v>
      </c>
    </row>
    <row r="26796" spans="1:6" s="3" customFormat="1" ht="29.1" customHeight="1" x14ac:dyDescent="0.25">
      <c r="A26796" s="2" t="s">
        <v>52150</v>
      </c>
      <c r="B26796" s="2" t="s">
        <v>52151</v>
      </c>
      <c r="C26796" s="2" t="s">
        <v>55</v>
      </c>
      <c r="D26796" s="2" t="s">
        <v>3993</v>
      </c>
      <c r="E26796" s="2" t="str">
        <f>"9780719060519"</f>
        <v>9780719060519</v>
      </c>
      <c r="F26796" s="2" t="str">
        <f>"9781847790347"</f>
        <v>9781847790347</v>
      </c>
    </row>
    <row r="26797" spans="1:6" s="3" customFormat="1" ht="29.1" customHeight="1" x14ac:dyDescent="0.25">
      <c r="A26797" s="2" t="s">
        <v>52152</v>
      </c>
      <c r="B26797" s="2" t="s">
        <v>52153</v>
      </c>
      <c r="C26797" s="2" t="s">
        <v>55</v>
      </c>
      <c r="D26797" s="2" t="s">
        <v>202</v>
      </c>
      <c r="E26797" s="2" t="str">
        <f>"9780719064883"</f>
        <v>9780719064883</v>
      </c>
      <c r="F26797" s="2" t="str">
        <f>"9781847790309"</f>
        <v>9781847790309</v>
      </c>
    </row>
    <row r="26798" spans="1:6" s="3" customFormat="1" ht="29.1" customHeight="1" x14ac:dyDescent="0.25">
      <c r="A26798" s="2" t="s">
        <v>52154</v>
      </c>
      <c r="B26798" s="2" t="s">
        <v>52155</v>
      </c>
      <c r="C26798" s="2" t="s">
        <v>55</v>
      </c>
      <c r="D26798" s="2" t="s">
        <v>2019</v>
      </c>
      <c r="E26798" s="2" t="str">
        <f>"9780719064685"</f>
        <v>9780719064685</v>
      </c>
      <c r="F26798" s="2" t="str">
        <f>"9781847790293"</f>
        <v>9781847790293</v>
      </c>
    </row>
    <row r="26799" spans="1:6" s="3" customFormat="1" ht="29.1" customHeight="1" x14ac:dyDescent="0.25">
      <c r="A26799" s="2" t="s">
        <v>52156</v>
      </c>
      <c r="B26799" s="2" t="s">
        <v>52157</v>
      </c>
      <c r="C26799" s="2" t="s">
        <v>55</v>
      </c>
      <c r="D26799" s="2" t="s">
        <v>3149</v>
      </c>
      <c r="E26799" s="2" t="str">
        <f>"9780719062261"</f>
        <v>9780719062261</v>
      </c>
      <c r="F26799" s="2" t="str">
        <f>"9781847790262"</f>
        <v>9781847790262</v>
      </c>
    </row>
    <row r="26800" spans="1:6" s="3" customFormat="1" ht="29.1" customHeight="1" x14ac:dyDescent="0.25">
      <c r="A26800" s="2" t="s">
        <v>52158</v>
      </c>
      <c r="B26800" s="2" t="s">
        <v>52159</v>
      </c>
      <c r="C26800" s="2" t="s">
        <v>55</v>
      </c>
      <c r="D26800" s="2" t="s">
        <v>509</v>
      </c>
      <c r="E26800" s="2" t="str">
        <f>"9780719063428"</f>
        <v>9780719063428</v>
      </c>
      <c r="F26800" s="2" t="str">
        <f>"9781847790224"</f>
        <v>9781847790224</v>
      </c>
    </row>
    <row r="26801" spans="1:6" s="3" customFormat="1" ht="29.1" customHeight="1" x14ac:dyDescent="0.25">
      <c r="A26801" s="2" t="s">
        <v>52160</v>
      </c>
      <c r="B26801" s="2" t="s">
        <v>52161</v>
      </c>
      <c r="C26801" s="2" t="s">
        <v>55</v>
      </c>
      <c r="D26801" s="2" t="s">
        <v>7132</v>
      </c>
      <c r="E26801" s="2" t="str">
        <f>"9780719057083"</f>
        <v>9780719057083</v>
      </c>
      <c r="F26801" s="2" t="str">
        <f>"9781847790187"</f>
        <v>9781847790187</v>
      </c>
    </row>
    <row r="26802" spans="1:6" s="3" customFormat="1" ht="29.1" customHeight="1" x14ac:dyDescent="0.25">
      <c r="A26802" s="2" t="s">
        <v>52162</v>
      </c>
      <c r="B26802" s="2" t="s">
        <v>52163</v>
      </c>
      <c r="C26802" s="2" t="s">
        <v>11220</v>
      </c>
      <c r="D26802" s="2" t="s">
        <v>297</v>
      </c>
      <c r="E26802" s="2" t="str">
        <f>"9780814735428"</f>
        <v>9780814735428</v>
      </c>
      <c r="F26802" s="2" t="str">
        <f>"9780814744598"</f>
        <v>9780814744598</v>
      </c>
    </row>
    <row r="26803" spans="1:6" s="3" customFormat="1" ht="29.1" customHeight="1" x14ac:dyDescent="0.25">
      <c r="A26803" s="2" t="s">
        <v>52164</v>
      </c>
      <c r="B26803" s="2" t="s">
        <v>52165</v>
      </c>
      <c r="C26803" s="2" t="s">
        <v>11220</v>
      </c>
      <c r="D26803" s="2" t="s">
        <v>3214</v>
      </c>
      <c r="E26803" s="2" t="str">
        <f>"9780814799154"</f>
        <v>9780814799154</v>
      </c>
      <c r="F26803" s="2" t="str">
        <f>"9780814739112"</f>
        <v>9780814739112</v>
      </c>
    </row>
    <row r="26804" spans="1:6" s="3" customFormat="1" ht="29.1" customHeight="1" x14ac:dyDescent="0.25">
      <c r="A26804" s="2" t="s">
        <v>52166</v>
      </c>
      <c r="B26804" s="2" t="s">
        <v>52167</v>
      </c>
      <c r="C26804" s="2" t="s">
        <v>11220</v>
      </c>
      <c r="D26804" s="2" t="s">
        <v>183</v>
      </c>
      <c r="E26804" s="2" t="str">
        <f>"9780814751831"</f>
        <v>9780814751831</v>
      </c>
      <c r="F26804" s="2" t="str">
        <f>"9780814752937"</f>
        <v>9780814752937</v>
      </c>
    </row>
    <row r="26805" spans="1:6" s="3" customFormat="1" ht="29.1" customHeight="1" x14ac:dyDescent="0.25">
      <c r="A26805" s="2" t="s">
        <v>52168</v>
      </c>
      <c r="B26805" s="2" t="s">
        <v>52169</v>
      </c>
      <c r="C26805" s="2" t="s">
        <v>55</v>
      </c>
      <c r="D26805" s="2" t="s">
        <v>694</v>
      </c>
      <c r="E26805" s="2" t="str">
        <f>"9780719060960"</f>
        <v>9780719060960</v>
      </c>
      <c r="F26805" s="2" t="str">
        <f>"9781847790156"</f>
        <v>9781847790156</v>
      </c>
    </row>
    <row r="26806" spans="1:6" s="3" customFormat="1" ht="29.1" customHeight="1" x14ac:dyDescent="0.25">
      <c r="A26806" s="2" t="s">
        <v>52170</v>
      </c>
      <c r="B26806" s="2" t="s">
        <v>52171</v>
      </c>
      <c r="C26806" s="2" t="s">
        <v>55</v>
      </c>
      <c r="D26806" s="2" t="s">
        <v>3993</v>
      </c>
      <c r="E26806" s="2" t="str">
        <f>"9780719060557"</f>
        <v>9780719060557</v>
      </c>
      <c r="F26806" s="2" t="str">
        <f>"9781847790132"</f>
        <v>9781847790132</v>
      </c>
    </row>
    <row r="26807" spans="1:6" s="3" customFormat="1" ht="29.1" customHeight="1" x14ac:dyDescent="0.25">
      <c r="A26807" s="2" t="s">
        <v>52172</v>
      </c>
      <c r="B26807" s="2" t="s">
        <v>52173</v>
      </c>
      <c r="C26807" s="2" t="s">
        <v>124</v>
      </c>
      <c r="D26807" s="2" t="s">
        <v>9</v>
      </c>
      <c r="E26807" s="2" t="str">
        <f>"9780415275750"</f>
        <v>9780415275750</v>
      </c>
      <c r="F26807" s="2" t="str">
        <f>"9781134476329"</f>
        <v>9781134476329</v>
      </c>
    </row>
    <row r="26808" spans="1:6" s="3" customFormat="1" ht="29.1" customHeight="1" x14ac:dyDescent="0.25">
      <c r="A26808" s="2" t="s">
        <v>52174</v>
      </c>
      <c r="B26808" s="2" t="s">
        <v>52175</v>
      </c>
      <c r="C26808" s="2" t="s">
        <v>124</v>
      </c>
      <c r="D26808" s="2" t="s">
        <v>210</v>
      </c>
      <c r="E26808" s="2" t="str">
        <f>"9780415943949"</f>
        <v>9780415943949</v>
      </c>
      <c r="F26808" s="2" t="str">
        <f>"9781135946562"</f>
        <v>9781135946562</v>
      </c>
    </row>
    <row r="26809" spans="1:6" s="3" customFormat="1" ht="29.1" customHeight="1" x14ac:dyDescent="0.25">
      <c r="A26809" s="2" t="s">
        <v>52176</v>
      </c>
      <c r="B26809" s="2" t="s">
        <v>52177</v>
      </c>
      <c r="C26809" s="2" t="s">
        <v>124</v>
      </c>
      <c r="D26809" s="2" t="s">
        <v>186</v>
      </c>
      <c r="E26809" s="2" t="str">
        <f>"9780415349888"</f>
        <v>9780415349888</v>
      </c>
      <c r="F26809" s="2" t="str">
        <f>"9781134270736"</f>
        <v>9781134270736</v>
      </c>
    </row>
    <row r="26810" spans="1:6" s="3" customFormat="1" ht="29.1" customHeight="1" x14ac:dyDescent="0.25">
      <c r="A26810" s="2" t="s">
        <v>52178</v>
      </c>
      <c r="B26810" s="2" t="s">
        <v>52179</v>
      </c>
      <c r="C26810" s="2" t="s">
        <v>124</v>
      </c>
      <c r="D26810" s="2" t="s">
        <v>9</v>
      </c>
      <c r="E26810" s="2" t="str">
        <f>"9780415363587"</f>
        <v>9780415363587</v>
      </c>
      <c r="F26810" s="2" t="str">
        <f>"9781134226849"</f>
        <v>9781134226849</v>
      </c>
    </row>
    <row r="26811" spans="1:6" s="3" customFormat="1" ht="29.1" customHeight="1" x14ac:dyDescent="0.25">
      <c r="A26811" s="2" t="s">
        <v>52180</v>
      </c>
      <c r="B26811" s="2" t="s">
        <v>52181</v>
      </c>
      <c r="C26811" s="2" t="s">
        <v>124</v>
      </c>
      <c r="D26811" s="2" t="s">
        <v>186</v>
      </c>
      <c r="E26811" s="2" t="str">
        <f>"9780415323383"</f>
        <v>9780415323383</v>
      </c>
      <c r="F26811" s="2" t="str">
        <f>"9781134358588"</f>
        <v>9781134358588</v>
      </c>
    </row>
    <row r="26812" spans="1:6" s="3" customFormat="1" ht="29.1" customHeight="1" x14ac:dyDescent="0.25">
      <c r="A26812" s="2" t="s">
        <v>52182</v>
      </c>
      <c r="B26812" s="2" t="s">
        <v>52183</v>
      </c>
      <c r="C26812" s="2" t="s">
        <v>124</v>
      </c>
      <c r="D26812" s="2" t="s">
        <v>186</v>
      </c>
      <c r="E26812" s="2" t="str">
        <f>"9780415327633"</f>
        <v>9780415327633</v>
      </c>
      <c r="F26812" s="2" t="str">
        <f>"9781134336951"</f>
        <v>9781134336951</v>
      </c>
    </row>
    <row r="26813" spans="1:6" s="3" customFormat="1" ht="29.1" customHeight="1" x14ac:dyDescent="0.25">
      <c r="A26813" s="2" t="s">
        <v>52184</v>
      </c>
      <c r="B26813" s="2" t="s">
        <v>52185</v>
      </c>
      <c r="C26813" s="2" t="s">
        <v>124</v>
      </c>
      <c r="D26813" s="2" t="s">
        <v>9739</v>
      </c>
      <c r="E26813" s="2" t="str">
        <f>"9780415346528"</f>
        <v>9780415346528</v>
      </c>
      <c r="F26813" s="2" t="str">
        <f>"9781134279418"</f>
        <v>9781134279418</v>
      </c>
    </row>
    <row r="26814" spans="1:6" s="3" customFormat="1" ht="29.1" customHeight="1" x14ac:dyDescent="0.25">
      <c r="A26814" s="2" t="s">
        <v>52186</v>
      </c>
      <c r="B26814" s="2" t="s">
        <v>52187</v>
      </c>
      <c r="C26814" s="2" t="s">
        <v>124</v>
      </c>
      <c r="D26814" s="2" t="s">
        <v>1432</v>
      </c>
      <c r="E26814" s="2" t="str">
        <f>"9780415346054"</f>
        <v>9780415346054</v>
      </c>
      <c r="F26814" s="2" t="str">
        <f>"9781134281442"</f>
        <v>9781134281442</v>
      </c>
    </row>
    <row r="26815" spans="1:6" s="3" customFormat="1" ht="29.1" customHeight="1" x14ac:dyDescent="0.25">
      <c r="A26815" s="2" t="s">
        <v>52188</v>
      </c>
      <c r="B26815" s="2" t="s">
        <v>52189</v>
      </c>
      <c r="C26815" s="2" t="s">
        <v>124</v>
      </c>
      <c r="D26815" s="2" t="s">
        <v>1259</v>
      </c>
      <c r="E26815" s="2" t="str">
        <f>"9780415346795"</f>
        <v>9780415346795</v>
      </c>
      <c r="F26815" s="2" t="str">
        <f>"9781134278718"</f>
        <v>9781134278718</v>
      </c>
    </row>
    <row r="26816" spans="1:6" s="3" customFormat="1" ht="29.1" customHeight="1" x14ac:dyDescent="0.25">
      <c r="A26816" s="2" t="s">
        <v>52190</v>
      </c>
      <c r="B26816" s="2" t="s">
        <v>52191</v>
      </c>
      <c r="C26816" s="2" t="s">
        <v>124</v>
      </c>
      <c r="D26816" s="2" t="s">
        <v>186</v>
      </c>
      <c r="E26816" s="2" t="str">
        <f>"9780415344296"</f>
        <v>9780415344296</v>
      </c>
      <c r="F26816" s="2" t="str">
        <f>"9781134287604"</f>
        <v>9781134287604</v>
      </c>
    </row>
    <row r="26817" spans="1:6" s="3" customFormat="1" ht="29.1" customHeight="1" x14ac:dyDescent="0.25">
      <c r="A26817" s="2" t="s">
        <v>52192</v>
      </c>
      <c r="B26817" s="2" t="s">
        <v>52193</v>
      </c>
      <c r="C26817" s="2" t="s">
        <v>124</v>
      </c>
      <c r="D26817" s="2" t="s">
        <v>818</v>
      </c>
      <c r="E26817" s="2" t="str">
        <f>"9780815316961"</f>
        <v>9780815316961</v>
      </c>
      <c r="F26817" s="2" t="str">
        <f>"9781135582289"</f>
        <v>9781135582289</v>
      </c>
    </row>
    <row r="26818" spans="1:6" s="3" customFormat="1" ht="29.1" customHeight="1" x14ac:dyDescent="0.25">
      <c r="A26818" s="2" t="s">
        <v>52194</v>
      </c>
      <c r="B26818" s="2" t="s">
        <v>52195</v>
      </c>
      <c r="C26818" s="2" t="s">
        <v>124</v>
      </c>
      <c r="D26818" s="2" t="s">
        <v>9</v>
      </c>
      <c r="E26818" s="2" t="str">
        <f>"9780415362245"</f>
        <v>9780415362245</v>
      </c>
      <c r="F26818" s="2" t="str">
        <f>"9781134232239"</f>
        <v>9781134232239</v>
      </c>
    </row>
    <row r="26819" spans="1:6" s="3" customFormat="1" ht="29.1" customHeight="1" x14ac:dyDescent="0.25">
      <c r="A26819" s="2" t="s">
        <v>52196</v>
      </c>
      <c r="B26819" s="2" t="s">
        <v>52197</v>
      </c>
      <c r="C26819" s="2" t="s">
        <v>124</v>
      </c>
      <c r="D26819" s="2" t="s">
        <v>186</v>
      </c>
      <c r="E26819" s="2" t="str">
        <f>"9780415353984"</f>
        <v>9780415353984</v>
      </c>
      <c r="F26819" s="2" t="str">
        <f>"9781134259328"</f>
        <v>9781134259328</v>
      </c>
    </row>
    <row r="26820" spans="1:6" s="3" customFormat="1" ht="29.1" customHeight="1" x14ac:dyDescent="0.25">
      <c r="A26820" s="2" t="s">
        <v>52198</v>
      </c>
      <c r="B26820" s="2" t="s">
        <v>52199</v>
      </c>
      <c r="C26820" s="2" t="s">
        <v>1070</v>
      </c>
      <c r="D26820" s="2" t="s">
        <v>3028</v>
      </c>
      <c r="E26820" s="2" t="str">
        <f>"9783805577793"</f>
        <v>9783805577793</v>
      </c>
      <c r="F26820" s="2" t="str">
        <f>"9783318011098"</f>
        <v>9783318011098</v>
      </c>
    </row>
    <row r="26821" spans="1:6" s="3" customFormat="1" ht="29.1" customHeight="1" x14ac:dyDescent="0.25">
      <c r="A26821" s="2" t="s">
        <v>52200</v>
      </c>
      <c r="B26821" s="2" t="s">
        <v>52201</v>
      </c>
      <c r="C26821" s="2" t="s">
        <v>124</v>
      </c>
      <c r="D26821" s="2" t="s">
        <v>658</v>
      </c>
      <c r="E26821" s="2" t="str">
        <f>"9780415971454"</f>
        <v>9780415971454</v>
      </c>
      <c r="F26821" s="2" t="str">
        <f>"9781135874957"</f>
        <v>9781135874957</v>
      </c>
    </row>
    <row r="26822" spans="1:6" s="3" customFormat="1" ht="29.1" customHeight="1" x14ac:dyDescent="0.25">
      <c r="A26822" s="2" t="s">
        <v>52202</v>
      </c>
      <c r="B26822" s="2" t="s">
        <v>52203</v>
      </c>
      <c r="C26822" s="2" t="s">
        <v>124</v>
      </c>
      <c r="D26822" s="2" t="s">
        <v>186</v>
      </c>
      <c r="E26822" s="2" t="str">
        <f>"9780203686782"</f>
        <v>9780203686782</v>
      </c>
      <c r="F26822" s="2" t="str">
        <f>"9781134793143"</f>
        <v>9781134793143</v>
      </c>
    </row>
    <row r="26823" spans="1:6" s="3" customFormat="1" ht="29.1" customHeight="1" x14ac:dyDescent="0.25">
      <c r="A26823" s="2" t="s">
        <v>52204</v>
      </c>
      <c r="B26823" s="2" t="s">
        <v>52205</v>
      </c>
      <c r="C26823" s="2" t="s">
        <v>124</v>
      </c>
      <c r="D26823" s="2" t="s">
        <v>33</v>
      </c>
      <c r="E26823" s="2" t="str">
        <f>"9780415349338"</f>
        <v>9780415349338</v>
      </c>
      <c r="F26823" s="2" t="str">
        <f>"9781134273393"</f>
        <v>9781134273393</v>
      </c>
    </row>
    <row r="26824" spans="1:6" s="3" customFormat="1" ht="29.1" customHeight="1" x14ac:dyDescent="0.25">
      <c r="A26824" s="2" t="s">
        <v>52206</v>
      </c>
      <c r="B26824" s="2" t="s">
        <v>52207</v>
      </c>
      <c r="C26824" s="2" t="s">
        <v>124</v>
      </c>
      <c r="D26824" s="2" t="s">
        <v>186</v>
      </c>
      <c r="E26824" s="2" t="str">
        <f>"9780415342544"</f>
        <v>9780415342544</v>
      </c>
      <c r="F26824" s="2" t="str">
        <f>"9781134292646"</f>
        <v>9781134292646</v>
      </c>
    </row>
    <row r="26825" spans="1:6" s="3" customFormat="1" ht="29.1" customHeight="1" x14ac:dyDescent="0.25">
      <c r="A26825" s="2" t="s">
        <v>52208</v>
      </c>
      <c r="B26825" s="2" t="s">
        <v>52209</v>
      </c>
      <c r="C26825" s="2" t="s">
        <v>124</v>
      </c>
      <c r="D26825" s="2" t="s">
        <v>297</v>
      </c>
      <c r="E26825" s="2" t="str">
        <f>"9780415949705"</f>
        <v>9780415949705</v>
      </c>
      <c r="F26825" s="2" t="str">
        <f>"9781135931308"</f>
        <v>9781135931308</v>
      </c>
    </row>
    <row r="26826" spans="1:6" s="3" customFormat="1" ht="29.1" customHeight="1" x14ac:dyDescent="0.25">
      <c r="A26826" s="2" t="s">
        <v>52210</v>
      </c>
      <c r="B26826" s="2" t="s">
        <v>52211</v>
      </c>
      <c r="C26826" s="2" t="s">
        <v>124</v>
      </c>
      <c r="D26826" s="2" t="s">
        <v>353</v>
      </c>
      <c r="E26826" s="2" t="str">
        <f>"9780415192187"</f>
        <v>9780415192187</v>
      </c>
      <c r="F26826" s="2" t="str">
        <f>"9781134651887"</f>
        <v>9781134651887</v>
      </c>
    </row>
    <row r="26827" spans="1:6" s="3" customFormat="1" ht="29.1" customHeight="1" x14ac:dyDescent="0.25">
      <c r="A26827" s="2" t="s">
        <v>52212</v>
      </c>
      <c r="B26827" s="2" t="s">
        <v>52213</v>
      </c>
      <c r="C26827" s="2" t="s">
        <v>124</v>
      </c>
      <c r="D26827" s="2" t="s">
        <v>353</v>
      </c>
      <c r="E26827" s="2" t="str">
        <f>"9780203686430"</f>
        <v>9780203686430</v>
      </c>
      <c r="F26827" s="2" t="str">
        <f>"9781134513987"</f>
        <v>9781134513987</v>
      </c>
    </row>
    <row r="26828" spans="1:6" s="3" customFormat="1" ht="29.1" customHeight="1" x14ac:dyDescent="0.25">
      <c r="A26828" s="2" t="s">
        <v>52214</v>
      </c>
      <c r="B26828" s="2" t="s">
        <v>52215</v>
      </c>
      <c r="C26828" s="2" t="s">
        <v>124</v>
      </c>
      <c r="D26828" s="2" t="s">
        <v>186</v>
      </c>
      <c r="E26828" s="2" t="str">
        <f>"9780415159593"</f>
        <v>9780415159593</v>
      </c>
      <c r="F26828" s="2" t="str">
        <f>"9781134722723"</f>
        <v>9781134722723</v>
      </c>
    </row>
    <row r="26829" spans="1:6" s="3" customFormat="1" ht="29.1" customHeight="1" x14ac:dyDescent="0.25">
      <c r="A26829" s="2" t="s">
        <v>52216</v>
      </c>
      <c r="B26829" s="2" t="s">
        <v>52217</v>
      </c>
      <c r="C26829" s="2" t="s">
        <v>124</v>
      </c>
      <c r="D26829" s="2" t="s">
        <v>1816</v>
      </c>
      <c r="E26829" s="2" t="str">
        <f>"9780203685990"</f>
        <v>9780203685990</v>
      </c>
      <c r="F26829" s="2" t="str">
        <f>"9781134549269"</f>
        <v>9781134549269</v>
      </c>
    </row>
    <row r="26830" spans="1:6" s="3" customFormat="1" ht="29.1" customHeight="1" x14ac:dyDescent="0.25">
      <c r="A26830" s="2" t="s">
        <v>52218</v>
      </c>
      <c r="B26830" s="2" t="s">
        <v>52219</v>
      </c>
      <c r="C26830" s="2" t="s">
        <v>124</v>
      </c>
      <c r="D26830" s="2" t="s">
        <v>183</v>
      </c>
      <c r="E26830" s="2" t="str">
        <f>"9780415947145"</f>
        <v>9780415947145</v>
      </c>
      <c r="F26830" s="2" t="str">
        <f>"9781135938376"</f>
        <v>9781135938376</v>
      </c>
    </row>
    <row r="26831" spans="1:6" s="3" customFormat="1" ht="29.1" customHeight="1" x14ac:dyDescent="0.25">
      <c r="A26831" s="2" t="s">
        <v>50417</v>
      </c>
      <c r="B26831" s="2" t="s">
        <v>50418</v>
      </c>
      <c r="C26831" s="2" t="s">
        <v>124</v>
      </c>
      <c r="D26831" s="2" t="s">
        <v>402</v>
      </c>
      <c r="E26831" s="2"/>
      <c r="F26831" s="2"/>
    </row>
    <row r="26832" spans="1:6" s="3" customFormat="1" ht="29.1" customHeight="1" x14ac:dyDescent="0.25">
      <c r="A26832" s="2" t="s">
        <v>52220</v>
      </c>
      <c r="B26832" s="2" t="s">
        <v>52221</v>
      </c>
      <c r="C26832" s="2" t="s">
        <v>124</v>
      </c>
      <c r="D26832" s="2" t="s">
        <v>186</v>
      </c>
      <c r="E26832" s="2" t="str">
        <f>"9780415336086"</f>
        <v>9780415336086</v>
      </c>
      <c r="F26832" s="2" t="str">
        <f>"9781134306992"</f>
        <v>9781134306992</v>
      </c>
    </row>
    <row r="26833" spans="1:6" s="3" customFormat="1" ht="29.1" customHeight="1" x14ac:dyDescent="0.25">
      <c r="A26833" s="2" t="s">
        <v>52222</v>
      </c>
      <c r="B26833" s="2" t="s">
        <v>52223</v>
      </c>
      <c r="C26833" s="2" t="s">
        <v>124</v>
      </c>
      <c r="D26833" s="2" t="s">
        <v>186</v>
      </c>
      <c r="E26833" s="2" t="str">
        <f>"9780415700870"</f>
        <v>9780415700870</v>
      </c>
      <c r="F26833" s="2" t="str">
        <f>"9781135993818"</f>
        <v>9781135993818</v>
      </c>
    </row>
    <row r="26834" spans="1:6" s="3" customFormat="1" ht="29.1" customHeight="1" x14ac:dyDescent="0.25">
      <c r="A26834" s="2" t="s">
        <v>52224</v>
      </c>
      <c r="B26834" s="2" t="s">
        <v>52225</v>
      </c>
      <c r="C26834" s="2" t="s">
        <v>124</v>
      </c>
      <c r="D26834" s="2" t="s">
        <v>186</v>
      </c>
      <c r="E26834" s="2" t="str">
        <f>"9780203347980"</f>
        <v>9780203347980</v>
      </c>
      <c r="F26834" s="2" t="str">
        <f>"9781134373215"</f>
        <v>9781134373215</v>
      </c>
    </row>
    <row r="26835" spans="1:6" s="3" customFormat="1" ht="29.1" customHeight="1" x14ac:dyDescent="0.25">
      <c r="A26835" s="2" t="s">
        <v>52226</v>
      </c>
      <c r="B26835" s="2" t="s">
        <v>52227</v>
      </c>
      <c r="C26835" s="2" t="s">
        <v>124</v>
      </c>
      <c r="D26835" s="2" t="s">
        <v>984</v>
      </c>
      <c r="E26835" s="2" t="str">
        <f>"9780415312851"</f>
        <v>9780415312851</v>
      </c>
      <c r="F26835" s="2" t="str">
        <f>"9781134381470"</f>
        <v>9781134381470</v>
      </c>
    </row>
    <row r="26836" spans="1:6" s="3" customFormat="1" ht="29.1" customHeight="1" x14ac:dyDescent="0.25">
      <c r="A26836" s="2" t="s">
        <v>52228</v>
      </c>
      <c r="B26836" s="2" t="s">
        <v>52229</v>
      </c>
      <c r="C26836" s="2" t="s">
        <v>124</v>
      </c>
      <c r="D26836" s="2" t="s">
        <v>186</v>
      </c>
      <c r="E26836" s="2" t="str">
        <f>"9780415700719"</f>
        <v>9780415700719</v>
      </c>
      <c r="F26836" s="2" t="str">
        <f>"9781135994587"</f>
        <v>9781135994587</v>
      </c>
    </row>
    <row r="26837" spans="1:6" s="3" customFormat="1" ht="29.1" customHeight="1" x14ac:dyDescent="0.25">
      <c r="A26837" s="2" t="s">
        <v>52230</v>
      </c>
      <c r="B26837" s="2" t="s">
        <v>52231</v>
      </c>
      <c r="C26837" s="2" t="s">
        <v>124</v>
      </c>
      <c r="D26837" s="2" t="s">
        <v>210</v>
      </c>
      <c r="E26837" s="2" t="str">
        <f>"9780415948159"</f>
        <v>9780415948159</v>
      </c>
      <c r="F26837" s="2" t="str">
        <f>"9781135935290"</f>
        <v>9781135935290</v>
      </c>
    </row>
    <row r="26838" spans="1:6" s="3" customFormat="1" ht="29.1" customHeight="1" x14ac:dyDescent="0.25">
      <c r="A26838" s="2" t="s">
        <v>52232</v>
      </c>
      <c r="B26838" s="2" t="s">
        <v>52233</v>
      </c>
      <c r="C26838" s="2" t="s">
        <v>124</v>
      </c>
      <c r="D26838" s="2" t="s">
        <v>339</v>
      </c>
      <c r="E26838" s="2" t="str">
        <f>"9780415213653"</f>
        <v>9780415213653</v>
      </c>
      <c r="F26838" s="2" t="str">
        <f>"9781134613038"</f>
        <v>9781134613038</v>
      </c>
    </row>
    <row r="26839" spans="1:6" s="3" customFormat="1" ht="29.1" customHeight="1" x14ac:dyDescent="0.25">
      <c r="A26839" s="2" t="s">
        <v>52234</v>
      </c>
      <c r="B26839" s="2" t="s">
        <v>52235</v>
      </c>
      <c r="C26839" s="2" t="s">
        <v>124</v>
      </c>
      <c r="D26839" s="2" t="s">
        <v>270</v>
      </c>
      <c r="E26839" s="2" t="str">
        <f>"9780203684634"</f>
        <v>9780203684634</v>
      </c>
      <c r="F26839" s="2" t="str">
        <f>"9781134320431"</f>
        <v>9781134320431</v>
      </c>
    </row>
    <row r="26840" spans="1:6" s="3" customFormat="1" ht="29.1" customHeight="1" x14ac:dyDescent="0.25">
      <c r="A26840" s="2" t="s">
        <v>52236</v>
      </c>
      <c r="B26840" s="2" t="s">
        <v>52237</v>
      </c>
      <c r="C26840" s="2" t="s">
        <v>124</v>
      </c>
      <c r="D26840" s="2" t="s">
        <v>2005</v>
      </c>
      <c r="E26840" s="2" t="str">
        <f>"9780203692028"</f>
        <v>9780203692028</v>
      </c>
      <c r="F26840" s="2" t="str">
        <f>"9781134303144"</f>
        <v>9781134303144</v>
      </c>
    </row>
    <row r="26841" spans="1:6" s="3" customFormat="1" ht="29.1" customHeight="1" x14ac:dyDescent="0.25">
      <c r="A26841" s="2" t="s">
        <v>52238</v>
      </c>
      <c r="B26841" s="2" t="s">
        <v>52239</v>
      </c>
      <c r="C26841" s="2" t="s">
        <v>124</v>
      </c>
      <c r="D26841" s="2" t="s">
        <v>186</v>
      </c>
      <c r="E26841" s="2" t="str">
        <f>"9780415327626"</f>
        <v>9780415327626</v>
      </c>
      <c r="F26841" s="2" t="str">
        <f>"9781134337026"</f>
        <v>9781134337026</v>
      </c>
    </row>
    <row r="26842" spans="1:6" s="3" customFormat="1" ht="29.1" customHeight="1" x14ac:dyDescent="0.25">
      <c r="A26842" s="2" t="s">
        <v>52240</v>
      </c>
      <c r="B26842" s="2" t="s">
        <v>52241</v>
      </c>
      <c r="C26842" s="2" t="s">
        <v>124</v>
      </c>
      <c r="D26842" s="2" t="s">
        <v>270</v>
      </c>
      <c r="E26842" s="2" t="str">
        <f>"9780415336031"</f>
        <v>9780415336031</v>
      </c>
      <c r="F26842" s="2" t="str">
        <f>"9781134307272"</f>
        <v>9781134307272</v>
      </c>
    </row>
    <row r="26843" spans="1:6" s="3" customFormat="1" ht="29.1" customHeight="1" x14ac:dyDescent="0.25">
      <c r="A26843" s="2" t="s">
        <v>52242</v>
      </c>
      <c r="B26843" s="2" t="s">
        <v>52243</v>
      </c>
      <c r="C26843" s="2" t="s">
        <v>124</v>
      </c>
      <c r="D26843" s="2" t="s">
        <v>186</v>
      </c>
      <c r="E26843" s="2" t="str">
        <f>"9780415341165"</f>
        <v>9780415341165</v>
      </c>
      <c r="F26843" s="2" t="str">
        <f>"9781134296491"</f>
        <v>9781134296491</v>
      </c>
    </row>
    <row r="26844" spans="1:6" s="3" customFormat="1" ht="29.1" customHeight="1" x14ac:dyDescent="0.25">
      <c r="A26844" s="2" t="s">
        <v>52244</v>
      </c>
      <c r="B26844" s="2" t="s">
        <v>52245</v>
      </c>
      <c r="C26844" s="2" t="s">
        <v>124</v>
      </c>
      <c r="D26844" s="2" t="s">
        <v>339</v>
      </c>
      <c r="E26844" s="2" t="str">
        <f>"9780415971294"</f>
        <v>9780415971294</v>
      </c>
      <c r="F26844" s="2" t="str">
        <f>"9781135875084"</f>
        <v>9781135875084</v>
      </c>
    </row>
    <row r="26845" spans="1:6" s="3" customFormat="1" ht="29.1" customHeight="1" x14ac:dyDescent="0.25">
      <c r="A26845" s="2" t="s">
        <v>52246</v>
      </c>
      <c r="B26845" s="2" t="s">
        <v>52247</v>
      </c>
      <c r="C26845" s="2" t="s">
        <v>124</v>
      </c>
      <c r="D26845" s="2" t="s">
        <v>1432</v>
      </c>
      <c r="E26845" s="2" t="str">
        <f>"9780203389904"</f>
        <v>9780203389904</v>
      </c>
      <c r="F26845" s="2" t="str">
        <f>"9781134340941"</f>
        <v>9781134340941</v>
      </c>
    </row>
    <row r="26846" spans="1:6" s="3" customFormat="1" ht="29.1" customHeight="1" x14ac:dyDescent="0.25">
      <c r="A26846" s="2" t="s">
        <v>52248</v>
      </c>
      <c r="B26846" s="2" t="s">
        <v>52249</v>
      </c>
      <c r="C26846" s="2" t="s">
        <v>124</v>
      </c>
      <c r="D26846" s="2" t="s">
        <v>30</v>
      </c>
      <c r="E26846" s="2" t="str">
        <f>"9780203691533"</f>
        <v>9780203691533</v>
      </c>
      <c r="F26846" s="2" t="str">
        <f>"9781135431853"</f>
        <v>9781135431853</v>
      </c>
    </row>
    <row r="26847" spans="1:6" s="3" customFormat="1" ht="29.1" customHeight="1" x14ac:dyDescent="0.25">
      <c r="A26847" s="2" t="s">
        <v>52250</v>
      </c>
      <c r="B26847" s="2" t="s">
        <v>52251</v>
      </c>
      <c r="C26847" s="2" t="s">
        <v>124</v>
      </c>
      <c r="D26847" s="2" t="s">
        <v>33</v>
      </c>
      <c r="E26847" s="2" t="str">
        <f>"9780415971287"</f>
        <v>9780415971287</v>
      </c>
      <c r="F26847" s="2" t="str">
        <f>"9781135875169"</f>
        <v>9781135875169</v>
      </c>
    </row>
    <row r="26848" spans="1:6" s="3" customFormat="1" ht="29.1" customHeight="1" x14ac:dyDescent="0.25">
      <c r="A26848" s="2" t="s">
        <v>52252</v>
      </c>
      <c r="B26848" s="2" t="s">
        <v>52253</v>
      </c>
      <c r="C26848" s="2" t="s">
        <v>124</v>
      </c>
      <c r="D26848" s="2" t="s">
        <v>879</v>
      </c>
      <c r="E26848" s="2" t="str">
        <f>"9780415350327"</f>
        <v>9780415350327</v>
      </c>
      <c r="F26848" s="2" t="str">
        <f>"9781134268429"</f>
        <v>9781134268429</v>
      </c>
    </row>
    <row r="26849" spans="1:6" s="3" customFormat="1" ht="29.1" customHeight="1" x14ac:dyDescent="0.25">
      <c r="A26849" s="2" t="s">
        <v>52254</v>
      </c>
      <c r="B26849" s="2" t="s">
        <v>52255</v>
      </c>
      <c r="C26849" s="2" t="s">
        <v>124</v>
      </c>
      <c r="D26849" s="2" t="s">
        <v>270</v>
      </c>
      <c r="E26849" s="2" t="str">
        <f>"9780203607602"</f>
        <v>9780203607602</v>
      </c>
      <c r="F26849" s="2" t="str">
        <f>"9781135773809"</f>
        <v>9781135773809</v>
      </c>
    </row>
    <row r="26850" spans="1:6" s="3" customFormat="1" ht="29.1" customHeight="1" x14ac:dyDescent="0.25">
      <c r="A26850" s="2" t="s">
        <v>52256</v>
      </c>
      <c r="B26850" s="2" t="s">
        <v>52257</v>
      </c>
      <c r="C26850" s="2" t="s">
        <v>124</v>
      </c>
      <c r="D26850" s="2" t="s">
        <v>1432</v>
      </c>
      <c r="E26850" s="2" t="str">
        <f>"9780415349833"</f>
        <v>9780415349833</v>
      </c>
      <c r="F26850" s="2" t="str">
        <f>"9781134271016"</f>
        <v>9781134271016</v>
      </c>
    </row>
    <row r="26851" spans="1:6" s="3" customFormat="1" ht="29.1" customHeight="1" x14ac:dyDescent="0.25">
      <c r="A26851" s="2" t="s">
        <v>52258</v>
      </c>
      <c r="B26851" s="2" t="s">
        <v>52259</v>
      </c>
      <c r="C26851" s="2" t="s">
        <v>124</v>
      </c>
      <c r="D26851" s="2" t="s">
        <v>879</v>
      </c>
      <c r="E26851" s="2" t="str">
        <f>"9780415333917"</f>
        <v>9780415333917</v>
      </c>
      <c r="F26851" s="2" t="str">
        <f>"9781134315888"</f>
        <v>9781134315888</v>
      </c>
    </row>
    <row r="26852" spans="1:6" s="3" customFormat="1" ht="29.1" customHeight="1" x14ac:dyDescent="0.25">
      <c r="A26852" s="2" t="s">
        <v>52260</v>
      </c>
      <c r="B26852" s="2" t="s">
        <v>52261</v>
      </c>
      <c r="C26852" s="2" t="s">
        <v>1070</v>
      </c>
      <c r="D26852" s="2" t="s">
        <v>1313</v>
      </c>
      <c r="E26852" s="2" t="str">
        <f>"9783805576239"</f>
        <v>9783805576239</v>
      </c>
      <c r="F26852" s="2" t="str">
        <f>"9783318010114"</f>
        <v>9783318010114</v>
      </c>
    </row>
    <row r="26853" spans="1:6" s="3" customFormat="1" ht="29.1" customHeight="1" x14ac:dyDescent="0.25">
      <c r="A26853" s="2" t="s">
        <v>52262</v>
      </c>
      <c r="B26853" s="2" t="s">
        <v>52263</v>
      </c>
      <c r="C26853" s="2" t="s">
        <v>124</v>
      </c>
      <c r="D26853" s="2" t="s">
        <v>186</v>
      </c>
      <c r="E26853" s="2" t="str">
        <f>"9780415345170"</f>
        <v>9780415345170</v>
      </c>
      <c r="F26853" s="2" t="str">
        <f>"9781134283262"</f>
        <v>9781134283262</v>
      </c>
    </row>
    <row r="26854" spans="1:6" s="3" customFormat="1" ht="29.1" customHeight="1" x14ac:dyDescent="0.25">
      <c r="A26854" s="2" t="s">
        <v>52264</v>
      </c>
      <c r="B26854" s="2" t="s">
        <v>52265</v>
      </c>
      <c r="C26854" s="2" t="s">
        <v>124</v>
      </c>
      <c r="D26854" s="2" t="s">
        <v>1121</v>
      </c>
      <c r="E26854" s="2" t="str">
        <f>"9780203638859"</f>
        <v>9780203638859</v>
      </c>
      <c r="F26854" s="2" t="str">
        <f>"9781134475278"</f>
        <v>9781134475278</v>
      </c>
    </row>
    <row r="26855" spans="1:6" s="3" customFormat="1" ht="29.1" customHeight="1" x14ac:dyDescent="0.25">
      <c r="A26855" s="2" t="s">
        <v>52266</v>
      </c>
      <c r="B26855" s="2" t="s">
        <v>52267</v>
      </c>
      <c r="C26855" s="2" t="s">
        <v>264</v>
      </c>
      <c r="D26855" s="2" t="s">
        <v>1878</v>
      </c>
      <c r="E26855" s="2" t="str">
        <f>"9781566706889"</f>
        <v>9781566706889</v>
      </c>
      <c r="F26855" s="2" t="str">
        <f>"9780203491935"</f>
        <v>9780203491935</v>
      </c>
    </row>
    <row r="26856" spans="1:6" s="3" customFormat="1" ht="29.1" customHeight="1" x14ac:dyDescent="0.25">
      <c r="A26856" s="2" t="s">
        <v>52268</v>
      </c>
      <c r="B26856" s="2" t="s">
        <v>52269</v>
      </c>
      <c r="C26856" s="2" t="s">
        <v>124</v>
      </c>
      <c r="D26856" s="2" t="s">
        <v>3086</v>
      </c>
      <c r="E26856" s="2" t="str">
        <f>"9780203608913"</f>
        <v>9780203608913</v>
      </c>
      <c r="F26856" s="2" t="str">
        <f>"9781135762537"</f>
        <v>9781135762537</v>
      </c>
    </row>
    <row r="26857" spans="1:6" s="3" customFormat="1" ht="29.1" customHeight="1" x14ac:dyDescent="0.25">
      <c r="A26857" s="2" t="s">
        <v>52270</v>
      </c>
      <c r="B26857" s="2" t="s">
        <v>52271</v>
      </c>
      <c r="C26857" s="2" t="s">
        <v>124</v>
      </c>
      <c r="D26857" s="2" t="s">
        <v>9</v>
      </c>
      <c r="E26857" s="2" t="str">
        <f>"9780203606872"</f>
        <v>9780203606872</v>
      </c>
      <c r="F26857" s="2" t="str">
        <f>"9781135783815"</f>
        <v>9781135783815</v>
      </c>
    </row>
    <row r="26858" spans="1:6" s="3" customFormat="1" ht="29.1" customHeight="1" x14ac:dyDescent="0.25">
      <c r="A26858" s="2" t="s">
        <v>52272</v>
      </c>
      <c r="B26858" s="2" t="s">
        <v>52273</v>
      </c>
      <c r="C26858" s="2" t="s">
        <v>124</v>
      </c>
      <c r="D26858" s="2" t="s">
        <v>334</v>
      </c>
      <c r="E26858" s="2" t="str">
        <f>"9780415971072"</f>
        <v>9780415971072</v>
      </c>
      <c r="F26858" s="2" t="str">
        <f>"9781135875992"</f>
        <v>9781135875992</v>
      </c>
    </row>
    <row r="26859" spans="1:6" s="3" customFormat="1" ht="29.1" customHeight="1" x14ac:dyDescent="0.25">
      <c r="A26859" s="2" t="s">
        <v>52274</v>
      </c>
      <c r="B26859" s="2" t="s">
        <v>52275</v>
      </c>
      <c r="C26859" s="2" t="s">
        <v>124</v>
      </c>
      <c r="D26859" s="2" t="s">
        <v>210</v>
      </c>
      <c r="E26859" s="2" t="str">
        <f>"9780415968478"</f>
        <v>9780415968478</v>
      </c>
      <c r="F26859" s="2" t="str">
        <f>"9781135882587"</f>
        <v>9781135882587</v>
      </c>
    </row>
    <row r="26860" spans="1:6" s="3" customFormat="1" ht="29.1" customHeight="1" x14ac:dyDescent="0.25">
      <c r="A26860" s="2" t="s">
        <v>52276</v>
      </c>
      <c r="B26860" s="2" t="s">
        <v>52277</v>
      </c>
      <c r="C26860" s="2" t="s">
        <v>124</v>
      </c>
      <c r="D26860" s="2" t="s">
        <v>270</v>
      </c>
      <c r="E26860" s="2" t="str">
        <f>"9780415302746"</f>
        <v>9780415302746</v>
      </c>
      <c r="F26860" s="2" t="str">
        <f>"9781134414444"</f>
        <v>9781134414444</v>
      </c>
    </row>
    <row r="26861" spans="1:6" s="3" customFormat="1" ht="29.1" customHeight="1" x14ac:dyDescent="0.25">
      <c r="A26861" s="2" t="s">
        <v>52278</v>
      </c>
      <c r="B26861" s="2" t="s">
        <v>52279</v>
      </c>
      <c r="C26861" s="2" t="s">
        <v>124</v>
      </c>
      <c r="D26861" s="2" t="s">
        <v>186</v>
      </c>
      <c r="E26861" s="2" t="str">
        <f>"9780415283229"</f>
        <v>9780415283229</v>
      </c>
      <c r="F26861" s="2" t="str">
        <f>"9781134456444"</f>
        <v>9781134456444</v>
      </c>
    </row>
    <row r="26862" spans="1:6" s="3" customFormat="1" ht="29.1" customHeight="1" x14ac:dyDescent="0.25">
      <c r="A26862" s="2" t="s">
        <v>52280</v>
      </c>
      <c r="B26862" s="2" t="s">
        <v>52281</v>
      </c>
      <c r="C26862" s="2" t="s">
        <v>124</v>
      </c>
      <c r="D26862" s="2" t="s">
        <v>1259</v>
      </c>
      <c r="E26862" s="2" t="str">
        <f>"9780203354148"</f>
        <v>9780203354148</v>
      </c>
      <c r="F26862" s="2" t="str">
        <f>"9781134385959"</f>
        <v>9781134385959</v>
      </c>
    </row>
    <row r="26863" spans="1:6" s="3" customFormat="1" ht="29.1" customHeight="1" x14ac:dyDescent="0.25">
      <c r="A26863" s="2" t="s">
        <v>52282</v>
      </c>
      <c r="B26863" s="2" t="s">
        <v>52283</v>
      </c>
      <c r="C26863" s="2" t="s">
        <v>264</v>
      </c>
      <c r="D26863" s="2" t="s">
        <v>2237</v>
      </c>
      <c r="E26863" s="2" t="str">
        <f>"9781850707530"</f>
        <v>9781850707530</v>
      </c>
      <c r="F26863" s="2" t="str">
        <f>"9780203488218"</f>
        <v>9780203488218</v>
      </c>
    </row>
    <row r="26864" spans="1:6" s="3" customFormat="1" ht="29.1" customHeight="1" x14ac:dyDescent="0.25">
      <c r="A26864" s="2" t="s">
        <v>52284</v>
      </c>
      <c r="B26864" s="2" t="s">
        <v>52285</v>
      </c>
      <c r="C26864" s="2" t="s">
        <v>124</v>
      </c>
      <c r="D26864" s="2" t="s">
        <v>270</v>
      </c>
      <c r="E26864" s="2" t="str">
        <f>"9780415369749"</f>
        <v>9780415369749</v>
      </c>
      <c r="F26864" s="2" t="str">
        <f>"9781134201365"</f>
        <v>9781134201365</v>
      </c>
    </row>
    <row r="26865" spans="1:6" s="3" customFormat="1" ht="29.1" customHeight="1" x14ac:dyDescent="0.25">
      <c r="A26865" s="2" t="s">
        <v>52286</v>
      </c>
      <c r="B26865" s="2" t="s">
        <v>52287</v>
      </c>
      <c r="C26865" s="2" t="s">
        <v>124</v>
      </c>
      <c r="D26865" s="2" t="s">
        <v>3553</v>
      </c>
      <c r="E26865" s="2" t="str">
        <f>"9780415935494"</f>
        <v>9780415935494</v>
      </c>
      <c r="F26865" s="2" t="str">
        <f>"9781135951047"</f>
        <v>9781135951047</v>
      </c>
    </row>
    <row r="26866" spans="1:6" s="3" customFormat="1" ht="29.1" customHeight="1" x14ac:dyDescent="0.25">
      <c r="A26866" s="2" t="s">
        <v>52288</v>
      </c>
      <c r="B26866" s="2" t="s">
        <v>52289</v>
      </c>
      <c r="C26866" s="2" t="s">
        <v>124</v>
      </c>
      <c r="D26866" s="2" t="s">
        <v>33</v>
      </c>
      <c r="E26866" s="2" t="str">
        <f>"9780415970624"</f>
        <v>9780415970624</v>
      </c>
      <c r="F26866" s="2" t="str">
        <f>"9781135877392"</f>
        <v>9781135877392</v>
      </c>
    </row>
    <row r="26867" spans="1:6" s="3" customFormat="1" ht="29.1" customHeight="1" x14ac:dyDescent="0.25">
      <c r="A26867" s="2" t="s">
        <v>52290</v>
      </c>
      <c r="B26867" s="2" t="s">
        <v>52291</v>
      </c>
      <c r="C26867" s="2" t="s">
        <v>124</v>
      </c>
      <c r="D26867" s="2" t="s">
        <v>818</v>
      </c>
      <c r="E26867" s="2" t="str">
        <f>"9780415254434"</f>
        <v>9780415254434</v>
      </c>
      <c r="F26867" s="2" t="str">
        <f>"9781134523504"</f>
        <v>9781134523504</v>
      </c>
    </row>
    <row r="26868" spans="1:6" s="3" customFormat="1" ht="29.1" customHeight="1" x14ac:dyDescent="0.25">
      <c r="A26868" s="2" t="s">
        <v>52292</v>
      </c>
      <c r="B26868" s="2" t="s">
        <v>52293</v>
      </c>
      <c r="C26868" s="2" t="s">
        <v>124</v>
      </c>
      <c r="D26868" s="2" t="s">
        <v>270</v>
      </c>
      <c r="E26868" s="2" t="str">
        <f>"9780415223454"</f>
        <v>9780415223454</v>
      </c>
      <c r="F26868" s="2" t="str">
        <f>"9781134594481"</f>
        <v>9781134594481</v>
      </c>
    </row>
    <row r="26869" spans="1:6" s="3" customFormat="1" ht="29.1" customHeight="1" x14ac:dyDescent="0.25">
      <c r="A26869" s="2" t="s">
        <v>52294</v>
      </c>
      <c r="B26869" s="2" t="s">
        <v>52295</v>
      </c>
      <c r="C26869" s="2" t="s">
        <v>124</v>
      </c>
      <c r="D26869" s="2" t="s">
        <v>270</v>
      </c>
      <c r="E26869" s="2" t="str">
        <f>"9780203601754"</f>
        <v>9780203601754</v>
      </c>
      <c r="F26869" s="2" t="str">
        <f>"9781134367122"</f>
        <v>9781134367122</v>
      </c>
    </row>
    <row r="26870" spans="1:6" s="3" customFormat="1" ht="29.1" customHeight="1" x14ac:dyDescent="0.25">
      <c r="A26870" s="2" t="s">
        <v>52296</v>
      </c>
      <c r="B26870" s="2" t="s">
        <v>52297</v>
      </c>
      <c r="C26870" s="2" t="s">
        <v>124</v>
      </c>
      <c r="D26870" s="2" t="s">
        <v>270</v>
      </c>
      <c r="E26870" s="2" t="str">
        <f>"9789053566541"</f>
        <v>9789053566541</v>
      </c>
      <c r="F26870" s="2" t="str">
        <f>"9781040797938"</f>
        <v>9781040797938</v>
      </c>
    </row>
    <row r="26871" spans="1:6" s="3" customFormat="1" ht="29.1" customHeight="1" x14ac:dyDescent="0.25">
      <c r="A26871" s="2" t="s">
        <v>52298</v>
      </c>
      <c r="B26871" s="2" t="s">
        <v>52299</v>
      </c>
      <c r="C26871" s="2" t="s">
        <v>124</v>
      </c>
      <c r="D26871" s="2" t="s">
        <v>1127</v>
      </c>
      <c r="E26871" s="2" t="str">
        <f>"9789053565957"</f>
        <v>9789053565957</v>
      </c>
      <c r="F26871" s="2" t="str">
        <f>"9781040785386"</f>
        <v>9781040785386</v>
      </c>
    </row>
    <row r="26872" spans="1:6" s="3" customFormat="1" ht="29.1" customHeight="1" x14ac:dyDescent="0.25">
      <c r="A26872" s="2" t="s">
        <v>52300</v>
      </c>
      <c r="B26872" s="2" t="s">
        <v>52301</v>
      </c>
      <c r="C26872" s="2" t="s">
        <v>124</v>
      </c>
      <c r="D26872" s="2" t="s">
        <v>9</v>
      </c>
      <c r="E26872" s="2" t="str">
        <f>"9780415317269"</f>
        <v>9780415317269</v>
      </c>
      <c r="F26872" s="2" t="str">
        <f>"9781134371464"</f>
        <v>9781134371464</v>
      </c>
    </row>
    <row r="26873" spans="1:6" s="3" customFormat="1" ht="29.1" customHeight="1" x14ac:dyDescent="0.25">
      <c r="A26873" s="2" t="s">
        <v>52302</v>
      </c>
      <c r="B26873" s="2" t="s">
        <v>52303</v>
      </c>
      <c r="C26873" s="2" t="s">
        <v>124</v>
      </c>
      <c r="D26873" s="2" t="s">
        <v>9</v>
      </c>
      <c r="E26873" s="2" t="str">
        <f>"9780415335683"</f>
        <v>9780415335683</v>
      </c>
      <c r="F26873" s="2" t="str">
        <f>"9781134308538"</f>
        <v>9781134308538</v>
      </c>
    </row>
    <row r="26874" spans="1:6" s="3" customFormat="1" ht="29.1" customHeight="1" x14ac:dyDescent="0.25">
      <c r="A26874" s="2" t="s">
        <v>52304</v>
      </c>
      <c r="B26874" s="2" t="s">
        <v>52305</v>
      </c>
      <c r="C26874" s="2" t="s">
        <v>124</v>
      </c>
      <c r="D26874" s="2" t="s">
        <v>9</v>
      </c>
      <c r="E26874" s="2" t="str">
        <f>"9780203474020"</f>
        <v>9780203474020</v>
      </c>
      <c r="F26874" s="2" t="str">
        <f>"9781134581467"</f>
        <v>9781134581467</v>
      </c>
    </row>
    <row r="26875" spans="1:6" s="3" customFormat="1" ht="29.1" customHeight="1" x14ac:dyDescent="0.25">
      <c r="A26875" s="2" t="s">
        <v>52306</v>
      </c>
      <c r="B26875" s="2" t="s">
        <v>38292</v>
      </c>
      <c r="C26875" s="2" t="s">
        <v>11220</v>
      </c>
      <c r="D26875" s="2" t="s">
        <v>11213</v>
      </c>
      <c r="E26875" s="2" t="str">
        <f>"9780814756386"</f>
        <v>9780814756386</v>
      </c>
      <c r="F26875" s="2" t="str">
        <f>"9780814737996"</f>
        <v>9780814737996</v>
      </c>
    </row>
    <row r="26876" spans="1:6" s="3" customFormat="1" ht="29.1" customHeight="1" x14ac:dyDescent="0.25">
      <c r="A26876" s="2" t="s">
        <v>52307</v>
      </c>
      <c r="B26876" s="2" t="s">
        <v>52308</v>
      </c>
      <c r="C26876" s="2" t="s">
        <v>11220</v>
      </c>
      <c r="D26876" s="2" t="s">
        <v>1189</v>
      </c>
      <c r="E26876" s="2" t="str">
        <f>"9780814756355"</f>
        <v>9780814756355</v>
      </c>
      <c r="F26876" s="2" t="str">
        <f>"9780814723890"</f>
        <v>9780814723890</v>
      </c>
    </row>
    <row r="26877" spans="1:6" s="3" customFormat="1" ht="29.1" customHeight="1" x14ac:dyDescent="0.25">
      <c r="A26877" s="2" t="s">
        <v>52309</v>
      </c>
      <c r="B26877" s="2" t="s">
        <v>52310</v>
      </c>
      <c r="C26877" s="2" t="s">
        <v>11220</v>
      </c>
      <c r="D26877" s="2" t="s">
        <v>189</v>
      </c>
      <c r="E26877" s="2" t="str">
        <f>"9780814742525"</f>
        <v>9780814742525</v>
      </c>
      <c r="F26877" s="2" t="str">
        <f>"9780814771730"</f>
        <v>9780814771730</v>
      </c>
    </row>
    <row r="26878" spans="1:6" s="3" customFormat="1" ht="29.1" customHeight="1" x14ac:dyDescent="0.25">
      <c r="A26878" s="2" t="s">
        <v>52311</v>
      </c>
      <c r="B26878" s="2" t="s">
        <v>52312</v>
      </c>
      <c r="C26878" s="2" t="s">
        <v>1070</v>
      </c>
      <c r="D26878" s="2" t="s">
        <v>1285</v>
      </c>
      <c r="E26878" s="2" t="str">
        <f>"9783805575867"</f>
        <v>9783805575867</v>
      </c>
      <c r="F26878" s="2" t="str">
        <f>"9783318009781"</f>
        <v>9783318009781</v>
      </c>
    </row>
    <row r="26879" spans="1:6" s="3" customFormat="1" ht="29.1" customHeight="1" x14ac:dyDescent="0.25">
      <c r="A26879" s="2" t="s">
        <v>52313</v>
      </c>
      <c r="B26879" s="2" t="s">
        <v>52314</v>
      </c>
      <c r="C26879" s="2" t="s">
        <v>5050</v>
      </c>
      <c r="D26879" s="2" t="s">
        <v>13300</v>
      </c>
      <c r="E26879" s="2" t="str">
        <f>"9780824821890"</f>
        <v>9780824821890</v>
      </c>
      <c r="F26879" s="2" t="str">
        <f>"9780824864163"</f>
        <v>9780824864163</v>
      </c>
    </row>
    <row r="26880" spans="1:6" s="3" customFormat="1" ht="29.1" customHeight="1" x14ac:dyDescent="0.25">
      <c r="A26880" s="2" t="s">
        <v>52315</v>
      </c>
      <c r="B26880" s="2" t="s">
        <v>52316</v>
      </c>
      <c r="C26880" s="2" t="s">
        <v>11220</v>
      </c>
      <c r="D26880" s="2" t="s">
        <v>202</v>
      </c>
      <c r="E26880" s="2" t="str">
        <f>"9780814766897"</f>
        <v>9780814766897</v>
      </c>
      <c r="F26880" s="2" t="str">
        <f>"9780814768716"</f>
        <v>9780814768716</v>
      </c>
    </row>
    <row r="26881" spans="1:6" s="3" customFormat="1" ht="29.1" customHeight="1" x14ac:dyDescent="0.25">
      <c r="A26881" s="2" t="s">
        <v>52317</v>
      </c>
      <c r="B26881" s="2" t="s">
        <v>52319</v>
      </c>
      <c r="C26881" s="2" t="s">
        <v>11220</v>
      </c>
      <c r="D26881" s="2" t="s">
        <v>52318</v>
      </c>
      <c r="E26881" s="2" t="str">
        <f>"9780814751732"</f>
        <v>9780814751732</v>
      </c>
      <c r="F26881" s="2" t="str">
        <f>"9780814765029"</f>
        <v>9780814765029</v>
      </c>
    </row>
    <row r="26882" spans="1:6" s="3" customFormat="1" ht="29.1" customHeight="1" x14ac:dyDescent="0.25">
      <c r="A26882" s="2" t="s">
        <v>52320</v>
      </c>
      <c r="B26882" s="2" t="s">
        <v>52321</v>
      </c>
      <c r="C26882" s="2" t="s">
        <v>1070</v>
      </c>
      <c r="D26882" s="2" t="s">
        <v>2590</v>
      </c>
      <c r="E26882" s="2" t="str">
        <f>"9783805571241"</f>
        <v>9783805571241</v>
      </c>
      <c r="F26882" s="2" t="str">
        <f>"9783318006223"</f>
        <v>9783318006223</v>
      </c>
    </row>
    <row r="26883" spans="1:6" s="3" customFormat="1" ht="29.1" customHeight="1" x14ac:dyDescent="0.25">
      <c r="A26883" s="2" t="s">
        <v>52322</v>
      </c>
      <c r="B26883" s="2" t="s">
        <v>52323</v>
      </c>
      <c r="C26883" s="2" t="s">
        <v>1070</v>
      </c>
      <c r="D26883" s="2" t="s">
        <v>1498</v>
      </c>
      <c r="E26883" s="2" t="str">
        <f>"9783805571869"</f>
        <v>9783805571869</v>
      </c>
      <c r="F26883" s="2" t="str">
        <f>"9783318006681"</f>
        <v>9783318006681</v>
      </c>
    </row>
    <row r="26884" spans="1:6" s="3" customFormat="1" ht="29.1" customHeight="1" x14ac:dyDescent="0.25">
      <c r="A26884" s="2" t="s">
        <v>52324</v>
      </c>
      <c r="B26884" s="2" t="s">
        <v>52325</v>
      </c>
      <c r="C26884" s="2" t="s">
        <v>11220</v>
      </c>
      <c r="D26884" s="2" t="s">
        <v>968</v>
      </c>
      <c r="E26884" s="2" t="str">
        <f>"9780814731444"</f>
        <v>9780814731444</v>
      </c>
      <c r="F26884" s="2" t="str">
        <f>"9780814733332"</f>
        <v>9780814733332</v>
      </c>
    </row>
    <row r="26885" spans="1:6" s="3" customFormat="1" ht="29.1" customHeight="1" x14ac:dyDescent="0.25">
      <c r="A26885" s="2" t="s">
        <v>52326</v>
      </c>
      <c r="B26885" s="2" t="s">
        <v>52327</v>
      </c>
      <c r="C26885" s="2" t="s">
        <v>11220</v>
      </c>
      <c r="D26885" s="2" t="s">
        <v>4754</v>
      </c>
      <c r="E26885" s="2" t="str">
        <f>"9780814713365"</f>
        <v>9780814713365</v>
      </c>
      <c r="F26885" s="2" t="str">
        <f>"9780814739457"</f>
        <v>9780814739457</v>
      </c>
    </row>
    <row r="26886" spans="1:6" s="3" customFormat="1" ht="29.1" customHeight="1" x14ac:dyDescent="0.25">
      <c r="A26886" s="2" t="s">
        <v>52328</v>
      </c>
      <c r="B26886" s="2" t="s">
        <v>52329</v>
      </c>
      <c r="C26886" s="2" t="s">
        <v>264</v>
      </c>
      <c r="D26886" s="2" t="s">
        <v>960</v>
      </c>
      <c r="E26886" s="2" t="str">
        <f>"9780419232001"</f>
        <v>9780419232001</v>
      </c>
      <c r="F26886" s="2" t="str">
        <f>"9780203477663"</f>
        <v>9780203477663</v>
      </c>
    </row>
    <row r="26887" spans="1:6" s="3" customFormat="1" ht="29.1" customHeight="1" x14ac:dyDescent="0.25">
      <c r="A26887" s="2" t="s">
        <v>52330</v>
      </c>
      <c r="B26887" s="2" t="s">
        <v>52331</v>
      </c>
      <c r="C26887" s="2" t="s">
        <v>11220</v>
      </c>
      <c r="D26887" s="2" t="s">
        <v>11213</v>
      </c>
      <c r="E26887" s="2" t="str">
        <f>"9780814713242"</f>
        <v>9780814713242</v>
      </c>
      <c r="F26887" s="2" t="str">
        <f>"9780814723074"</f>
        <v>9780814723074</v>
      </c>
    </row>
    <row r="26888" spans="1:6" s="3" customFormat="1" ht="29.1" customHeight="1" x14ac:dyDescent="0.25">
      <c r="A26888" s="2" t="s">
        <v>52332</v>
      </c>
      <c r="B26888" s="2" t="s">
        <v>52333</v>
      </c>
      <c r="C26888" s="2" t="s">
        <v>11220</v>
      </c>
      <c r="D26888" s="2" t="s">
        <v>1162</v>
      </c>
      <c r="E26888" s="2" t="str">
        <f>"9780814747131"</f>
        <v>9780814747131</v>
      </c>
      <c r="F26888" s="2" t="str">
        <f>"9780814763520"</f>
        <v>9780814763520</v>
      </c>
    </row>
    <row r="26889" spans="1:6" s="3" customFormat="1" ht="29.1" customHeight="1" x14ac:dyDescent="0.25">
      <c r="A26889" s="2" t="s">
        <v>52334</v>
      </c>
      <c r="B26889" s="2" t="s">
        <v>52335</v>
      </c>
      <c r="C26889" s="2" t="s">
        <v>11220</v>
      </c>
      <c r="D26889" s="2" t="s">
        <v>3214</v>
      </c>
      <c r="E26889" s="2" t="str">
        <f>"9780814751527"</f>
        <v>9780814751527</v>
      </c>
      <c r="F26889" s="2" t="str">
        <f>"9780814752913"</f>
        <v>9780814752913</v>
      </c>
    </row>
    <row r="26890" spans="1:6" s="3" customFormat="1" ht="29.1" customHeight="1" x14ac:dyDescent="0.25">
      <c r="A26890" s="2" t="s">
        <v>52336</v>
      </c>
      <c r="B26890" s="2" t="s">
        <v>52337</v>
      </c>
      <c r="C26890" s="2" t="s">
        <v>11220</v>
      </c>
      <c r="D26890" s="2" t="s">
        <v>75</v>
      </c>
      <c r="E26890" s="2" t="str">
        <f>"9780814726907"</f>
        <v>9780814726907</v>
      </c>
      <c r="F26890" s="2" t="str">
        <f>"9780814728185"</f>
        <v>9780814728185</v>
      </c>
    </row>
    <row r="26891" spans="1:6" s="3" customFormat="1" ht="29.1" customHeight="1" x14ac:dyDescent="0.25">
      <c r="A26891" s="2" t="s">
        <v>52338</v>
      </c>
      <c r="B26891" s="2" t="s">
        <v>52339</v>
      </c>
      <c r="C26891" s="2" t="s">
        <v>11220</v>
      </c>
      <c r="D26891" s="2" t="s">
        <v>11213</v>
      </c>
      <c r="E26891" s="2" t="str">
        <f>"9780814766576"</f>
        <v>9780814766576</v>
      </c>
      <c r="F26891" s="2" t="str">
        <f>"9780814768150"</f>
        <v>9780814768150</v>
      </c>
    </row>
    <row r="26892" spans="1:6" s="3" customFormat="1" ht="29.1" customHeight="1" x14ac:dyDescent="0.25">
      <c r="A26892" s="2" t="s">
        <v>16587</v>
      </c>
      <c r="B26892" s="2" t="s">
        <v>16589</v>
      </c>
      <c r="C26892" s="2" t="s">
        <v>11220</v>
      </c>
      <c r="D26892" s="2" t="s">
        <v>16588</v>
      </c>
      <c r="E26892" s="2" t="str">
        <f>"9780814713266"</f>
        <v>9780814713266</v>
      </c>
      <c r="F26892" s="2" t="str">
        <f>"9780814709108"</f>
        <v>9780814709108</v>
      </c>
    </row>
    <row r="26893" spans="1:6" s="3" customFormat="1" ht="29.1" customHeight="1" x14ac:dyDescent="0.25">
      <c r="A26893" s="2" t="s">
        <v>52340</v>
      </c>
      <c r="B26893" s="2" t="s">
        <v>52341</v>
      </c>
      <c r="C26893" s="2" t="s">
        <v>11220</v>
      </c>
      <c r="D26893" s="2" t="s">
        <v>1541</v>
      </c>
      <c r="E26893" s="2" t="str">
        <f>"9780814775431"</f>
        <v>9780814775431</v>
      </c>
      <c r="F26893" s="2" t="str">
        <f>"9780814769232"</f>
        <v>9780814769232</v>
      </c>
    </row>
    <row r="26894" spans="1:6" s="3" customFormat="1" ht="29.1" customHeight="1" x14ac:dyDescent="0.25">
      <c r="A26894" s="2" t="s">
        <v>16605</v>
      </c>
      <c r="B26894" s="2" t="s">
        <v>16607</v>
      </c>
      <c r="C26894" s="2" t="s">
        <v>11220</v>
      </c>
      <c r="D26894" s="2" t="s">
        <v>16606</v>
      </c>
      <c r="E26894" s="2" t="str">
        <f>"9780814756119"</f>
        <v>9780814756119</v>
      </c>
      <c r="F26894" s="2" t="str">
        <f>"9780814759967"</f>
        <v>9780814759967</v>
      </c>
    </row>
    <row r="26895" spans="1:6" s="3" customFormat="1" ht="29.1" customHeight="1" x14ac:dyDescent="0.25">
      <c r="A26895" s="2" t="s">
        <v>52342</v>
      </c>
      <c r="B26895" s="2" t="s">
        <v>52343</v>
      </c>
      <c r="C26895" s="2" t="s">
        <v>11220</v>
      </c>
      <c r="D26895" s="2" t="s">
        <v>4238</v>
      </c>
      <c r="E26895" s="2" t="str">
        <f>"9780814774823"</f>
        <v>9780814774823</v>
      </c>
      <c r="F26895" s="2" t="str">
        <f>"9780814769409"</f>
        <v>9780814769409</v>
      </c>
    </row>
    <row r="26896" spans="1:6" s="3" customFormat="1" ht="29.1" customHeight="1" x14ac:dyDescent="0.25">
      <c r="A26896" s="2" t="s">
        <v>52344</v>
      </c>
      <c r="B26896" s="2" t="s">
        <v>52345</v>
      </c>
      <c r="C26896" s="2" t="s">
        <v>11220</v>
      </c>
      <c r="D26896" s="2" t="s">
        <v>15</v>
      </c>
      <c r="E26896" s="2" t="str">
        <f>"9780814718810"</f>
        <v>9780814718810</v>
      </c>
      <c r="F26896" s="2" t="str">
        <f>"9780814721100"</f>
        <v>9780814721100</v>
      </c>
    </row>
    <row r="26897" spans="1:6" s="3" customFormat="1" ht="29.1" customHeight="1" x14ac:dyDescent="0.25">
      <c r="A26897" s="2" t="s">
        <v>52346</v>
      </c>
      <c r="B26897" s="2" t="s">
        <v>52347</v>
      </c>
      <c r="C26897" s="2" t="s">
        <v>11220</v>
      </c>
      <c r="D26897" s="2" t="s">
        <v>183</v>
      </c>
      <c r="E26897" s="2" t="str">
        <f>"9780814715987"</f>
        <v>9780814715987</v>
      </c>
      <c r="F26897" s="2" t="str">
        <f>"9780814763995"</f>
        <v>9780814763995</v>
      </c>
    </row>
    <row r="26898" spans="1:6" s="3" customFormat="1" ht="29.1" customHeight="1" x14ac:dyDescent="0.25">
      <c r="A26898" s="2" t="s">
        <v>52348</v>
      </c>
      <c r="B26898" s="2" t="s">
        <v>52349</v>
      </c>
      <c r="C26898" s="2" t="s">
        <v>11220</v>
      </c>
      <c r="D26898" s="2" t="s">
        <v>33</v>
      </c>
      <c r="E26898" s="2" t="str">
        <f>"9780814751008"</f>
        <v>9780814751008</v>
      </c>
      <c r="F26898" s="2" t="str">
        <f>"9780814752685"</f>
        <v>9780814752685</v>
      </c>
    </row>
    <row r="26899" spans="1:6" s="3" customFormat="1" ht="29.1" customHeight="1" x14ac:dyDescent="0.25">
      <c r="A26899" s="2" t="s">
        <v>52350</v>
      </c>
      <c r="B26899" s="2" t="s">
        <v>52351</v>
      </c>
      <c r="C26899" s="2" t="s">
        <v>11220</v>
      </c>
      <c r="D26899" s="2" t="s">
        <v>202</v>
      </c>
      <c r="E26899" s="2" t="str">
        <f>"9780814779958"</f>
        <v>9780814779958</v>
      </c>
      <c r="F26899" s="2" t="str">
        <f>"9780814788752"</f>
        <v>9780814788752</v>
      </c>
    </row>
    <row r="26900" spans="1:6" s="3" customFormat="1" ht="29.1" customHeight="1" x14ac:dyDescent="0.25">
      <c r="A26900" s="2" t="s">
        <v>52352</v>
      </c>
      <c r="B26900" s="2" t="s">
        <v>52353</v>
      </c>
      <c r="C26900" s="2" t="s">
        <v>11220</v>
      </c>
      <c r="D26900" s="2" t="s">
        <v>3852</v>
      </c>
      <c r="E26900" s="2" t="str">
        <f>"9780814779170"</f>
        <v>9780814779170</v>
      </c>
      <c r="F26900" s="2" t="str">
        <f>"9780814741498"</f>
        <v>9780814741498</v>
      </c>
    </row>
    <row r="26901" spans="1:6" s="3" customFormat="1" ht="29.1" customHeight="1" x14ac:dyDescent="0.25">
      <c r="A26901" s="2" t="s">
        <v>52354</v>
      </c>
      <c r="B26901" s="2" t="s">
        <v>52355</v>
      </c>
      <c r="C26901" s="2" t="s">
        <v>11220</v>
      </c>
      <c r="D26901" s="2" t="s">
        <v>4210</v>
      </c>
      <c r="E26901" s="2" t="str">
        <f>"9780814715123"</f>
        <v>9780814715123</v>
      </c>
      <c r="F26901" s="2" t="str">
        <f>"9780814723715"</f>
        <v>9780814723715</v>
      </c>
    </row>
    <row r="26902" spans="1:6" s="3" customFormat="1" ht="29.1" customHeight="1" x14ac:dyDescent="0.25">
      <c r="A26902" s="2" t="s">
        <v>52356</v>
      </c>
      <c r="B26902" s="2" t="s">
        <v>52357</v>
      </c>
      <c r="C26902" s="2" t="s">
        <v>11220</v>
      </c>
      <c r="D26902" s="2" t="s">
        <v>81</v>
      </c>
      <c r="E26902" s="2" t="str">
        <f>"9780814755112"</f>
        <v>9780814755112</v>
      </c>
      <c r="F26902" s="2" t="str">
        <f>"9780814763223"</f>
        <v>9780814763223</v>
      </c>
    </row>
    <row r="26903" spans="1:6" s="3" customFormat="1" ht="29.1" customHeight="1" x14ac:dyDescent="0.25">
      <c r="A26903" s="2" t="s">
        <v>52358</v>
      </c>
      <c r="B26903" s="2" t="s">
        <v>52359</v>
      </c>
      <c r="C26903" s="2" t="s">
        <v>11220</v>
      </c>
      <c r="D26903" s="2" t="s">
        <v>81</v>
      </c>
      <c r="E26903" s="2" t="str">
        <f>"9780814731147"</f>
        <v>9780814731147</v>
      </c>
      <c r="F26903" s="2" t="str">
        <f>"9780814738573"</f>
        <v>9780814738573</v>
      </c>
    </row>
    <row r="26904" spans="1:6" s="3" customFormat="1" ht="29.1" customHeight="1" x14ac:dyDescent="0.25">
      <c r="A26904" s="2" t="s">
        <v>52360</v>
      </c>
      <c r="B26904" s="2" t="s">
        <v>52361</v>
      </c>
      <c r="C26904" s="2" t="s">
        <v>11220</v>
      </c>
      <c r="D26904" s="2" t="s">
        <v>5560</v>
      </c>
      <c r="E26904" s="2" t="str">
        <f>"9780814779798"</f>
        <v>9780814779798</v>
      </c>
      <c r="F26904" s="2" t="str">
        <f>"9780814771037"</f>
        <v>9780814771037</v>
      </c>
    </row>
    <row r="26905" spans="1:6" s="3" customFormat="1" ht="29.1" customHeight="1" x14ac:dyDescent="0.25">
      <c r="A26905" s="2" t="s">
        <v>52362</v>
      </c>
      <c r="B26905" s="2" t="s">
        <v>52363</v>
      </c>
      <c r="C26905" s="2" t="s">
        <v>11220</v>
      </c>
      <c r="D26905" s="2" t="s">
        <v>33</v>
      </c>
      <c r="E26905" s="2" t="str">
        <f>"9780814766569"</f>
        <v>9780814766569</v>
      </c>
      <c r="F26905" s="2" t="str">
        <f>"9780814767917"</f>
        <v>9780814767917</v>
      </c>
    </row>
    <row r="26906" spans="1:6" s="3" customFormat="1" ht="29.1" customHeight="1" x14ac:dyDescent="0.25">
      <c r="A26906" s="2" t="s">
        <v>52364</v>
      </c>
      <c r="B26906" s="2" t="s">
        <v>52365</v>
      </c>
      <c r="C26906" s="2" t="s">
        <v>11220</v>
      </c>
      <c r="D26906" s="2" t="s">
        <v>60</v>
      </c>
      <c r="E26906" s="2" t="str">
        <f>"9780814747520"</f>
        <v>9780814747520</v>
      </c>
      <c r="F26906" s="2" t="str">
        <f>"9780814749234"</f>
        <v>9780814749234</v>
      </c>
    </row>
    <row r="26907" spans="1:6" s="3" customFormat="1" ht="29.1" customHeight="1" x14ac:dyDescent="0.25">
      <c r="A26907" s="2" t="s">
        <v>52366</v>
      </c>
      <c r="B26907" s="2" t="s">
        <v>52367</v>
      </c>
      <c r="C26907" s="2" t="s">
        <v>11220</v>
      </c>
      <c r="D26907" s="2" t="s">
        <v>1416</v>
      </c>
      <c r="E26907" s="2" t="str">
        <f>"9780814757970"</f>
        <v>9780814757970</v>
      </c>
      <c r="F26907" s="2" t="str">
        <f>"9780814759271"</f>
        <v>9780814759271</v>
      </c>
    </row>
    <row r="26908" spans="1:6" s="3" customFormat="1" ht="29.1" customHeight="1" x14ac:dyDescent="0.25">
      <c r="A26908" s="2" t="s">
        <v>52368</v>
      </c>
      <c r="B26908" s="2" t="s">
        <v>52369</v>
      </c>
      <c r="C26908" s="2" t="s">
        <v>11220</v>
      </c>
      <c r="D26908" s="2" t="s">
        <v>3650</v>
      </c>
      <c r="E26908" s="2" t="str">
        <f>"9780814755471"</f>
        <v>9780814755471</v>
      </c>
      <c r="F26908" s="2" t="str">
        <f>"9780814763179"</f>
        <v>9780814763179</v>
      </c>
    </row>
    <row r="26909" spans="1:6" s="3" customFormat="1" ht="29.1" customHeight="1" x14ac:dyDescent="0.25">
      <c r="A26909" s="2" t="s">
        <v>52370</v>
      </c>
      <c r="B26909" s="2" t="s">
        <v>52371</v>
      </c>
      <c r="C26909" s="2" t="s">
        <v>11220</v>
      </c>
      <c r="D26909" s="2" t="s">
        <v>1932</v>
      </c>
      <c r="E26909" s="2" t="str">
        <f>"9780814713013"</f>
        <v>9780814713013</v>
      </c>
      <c r="F26909" s="2" t="str">
        <f>"9780814723425"</f>
        <v>9780814723425</v>
      </c>
    </row>
    <row r="26910" spans="1:6" s="3" customFormat="1" ht="29.1" customHeight="1" x14ac:dyDescent="0.25">
      <c r="A26910" s="2" t="s">
        <v>52372</v>
      </c>
      <c r="B26910" s="2" t="s">
        <v>52373</v>
      </c>
      <c r="C26910" s="2" t="s">
        <v>11220</v>
      </c>
      <c r="D26910" s="2" t="s">
        <v>9889</v>
      </c>
      <c r="E26910" s="2" t="str">
        <f>"9780814774458"</f>
        <v>9780814774458</v>
      </c>
      <c r="F26910" s="2" t="str">
        <f>"9780814771518"</f>
        <v>9780814771518</v>
      </c>
    </row>
    <row r="26911" spans="1:6" s="3" customFormat="1" ht="29.1" customHeight="1" x14ac:dyDescent="0.25">
      <c r="A26911" s="2" t="s">
        <v>52374</v>
      </c>
      <c r="B26911" s="2" t="s">
        <v>52375</v>
      </c>
      <c r="C26911" s="2" t="s">
        <v>11220</v>
      </c>
      <c r="D26911" s="2" t="s">
        <v>3839</v>
      </c>
      <c r="E26911" s="2" t="str">
        <f>"9780814782194"</f>
        <v>9780814782194</v>
      </c>
      <c r="F26911" s="2" t="str">
        <f>"9780814784488"</f>
        <v>9780814784488</v>
      </c>
    </row>
    <row r="26912" spans="1:6" s="3" customFormat="1" ht="29.1" customHeight="1" x14ac:dyDescent="0.25">
      <c r="A26912" s="2" t="s">
        <v>52376</v>
      </c>
      <c r="B26912" s="2" t="s">
        <v>52377</v>
      </c>
      <c r="C26912" s="2" t="s">
        <v>11220</v>
      </c>
      <c r="D26912" s="2" t="s">
        <v>33</v>
      </c>
      <c r="E26912" s="2" t="str">
        <f>"9780814742358"</f>
        <v>9780814742358</v>
      </c>
      <c r="F26912" s="2" t="str">
        <f>"9780814743973"</f>
        <v>9780814743973</v>
      </c>
    </row>
    <row r="26913" spans="1:6" s="3" customFormat="1" ht="29.1" customHeight="1" x14ac:dyDescent="0.25">
      <c r="A26913" s="2" t="s">
        <v>52378</v>
      </c>
      <c r="B26913" s="2" t="s">
        <v>52379</v>
      </c>
      <c r="C26913" s="2" t="s">
        <v>11220</v>
      </c>
      <c r="D26913" s="2" t="s">
        <v>712</v>
      </c>
      <c r="E26913" s="2" t="str">
        <f>"9780814730577"</f>
        <v>9780814730577</v>
      </c>
      <c r="F26913" s="2" t="str">
        <f>"9780814733486"</f>
        <v>9780814733486</v>
      </c>
    </row>
    <row r="26914" spans="1:6" s="3" customFormat="1" ht="29.1" customHeight="1" x14ac:dyDescent="0.25">
      <c r="A26914" s="2" t="s">
        <v>52380</v>
      </c>
      <c r="B26914" s="2" t="s">
        <v>52381</v>
      </c>
      <c r="C26914" s="2" t="s">
        <v>11220</v>
      </c>
      <c r="D26914" s="2" t="s">
        <v>1189</v>
      </c>
      <c r="E26914" s="2" t="str">
        <f>"9780814793398"</f>
        <v>9780814793398</v>
      </c>
      <c r="F26914" s="2" t="str">
        <f>"9780814784891"</f>
        <v>9780814784891</v>
      </c>
    </row>
    <row r="26915" spans="1:6" s="3" customFormat="1" ht="29.1" customHeight="1" x14ac:dyDescent="0.25">
      <c r="A26915" s="2" t="s">
        <v>52382</v>
      </c>
      <c r="B26915" s="2" t="s">
        <v>52383</v>
      </c>
      <c r="C26915" s="2" t="s">
        <v>11220</v>
      </c>
      <c r="D26915" s="2" t="s">
        <v>1697</v>
      </c>
      <c r="E26915" s="2" t="str">
        <f>"9780814715383"</f>
        <v>9780814715383</v>
      </c>
      <c r="F26915" s="2" t="str">
        <f>"9780814772195"</f>
        <v>9780814772195</v>
      </c>
    </row>
    <row r="26916" spans="1:6" s="3" customFormat="1" ht="29.1" customHeight="1" x14ac:dyDescent="0.25">
      <c r="A26916" s="2" t="s">
        <v>52384</v>
      </c>
      <c r="B26916" s="2" t="s">
        <v>52383</v>
      </c>
      <c r="C26916" s="2" t="s">
        <v>11220</v>
      </c>
      <c r="D26916" s="2" t="s">
        <v>81</v>
      </c>
      <c r="E26916" s="2" t="str">
        <f>"9780814715635"</f>
        <v>9780814715635</v>
      </c>
      <c r="F26916" s="2" t="str">
        <f>"9780814790175"</f>
        <v>9780814790175</v>
      </c>
    </row>
    <row r="26917" spans="1:6" s="3" customFormat="1" ht="29.1" customHeight="1" x14ac:dyDescent="0.25">
      <c r="A26917" s="2" t="s">
        <v>52385</v>
      </c>
      <c r="B26917" s="2" t="s">
        <v>52386</v>
      </c>
      <c r="C26917" s="2" t="s">
        <v>11220</v>
      </c>
      <c r="D26917" s="2" t="s">
        <v>9113</v>
      </c>
      <c r="E26917" s="2" t="str">
        <f>"9780814742297"</f>
        <v>9780814742297</v>
      </c>
      <c r="F26917" s="2" t="str">
        <f>"9780814743980"</f>
        <v>9780814743980</v>
      </c>
    </row>
    <row r="26918" spans="1:6" s="3" customFormat="1" ht="29.1" customHeight="1" x14ac:dyDescent="0.25">
      <c r="A26918" s="2" t="s">
        <v>52387</v>
      </c>
      <c r="B26918" s="2" t="s">
        <v>52388</v>
      </c>
      <c r="C26918" s="2" t="s">
        <v>11220</v>
      </c>
      <c r="D26918" s="2" t="s">
        <v>14574</v>
      </c>
      <c r="E26918" s="2" t="str">
        <f>"9780814726808"</f>
        <v>9780814726808</v>
      </c>
      <c r="F26918" s="2" t="str">
        <f>"9780814728901"</f>
        <v>9780814728901</v>
      </c>
    </row>
    <row r="26919" spans="1:6" s="3" customFormat="1" ht="29.1" customHeight="1" x14ac:dyDescent="0.25">
      <c r="A26919" s="2" t="s">
        <v>52389</v>
      </c>
      <c r="B26919" s="2" t="s">
        <v>52391</v>
      </c>
      <c r="C26919" s="2" t="s">
        <v>11220</v>
      </c>
      <c r="D26919" s="2" t="s">
        <v>52390</v>
      </c>
      <c r="E26919" s="2" t="str">
        <f>"9780814774540"</f>
        <v>9780814774540</v>
      </c>
      <c r="F26919" s="2" t="str">
        <f>"9780814769461"</f>
        <v>9780814769461</v>
      </c>
    </row>
    <row r="26920" spans="1:6" s="3" customFormat="1" ht="29.1" customHeight="1" x14ac:dyDescent="0.25">
      <c r="A26920" s="2" t="s">
        <v>52392</v>
      </c>
      <c r="B26920" s="2" t="s">
        <v>52393</v>
      </c>
      <c r="C26920" s="2" t="s">
        <v>11220</v>
      </c>
      <c r="D26920" s="2" t="s">
        <v>11897</v>
      </c>
      <c r="E26920" s="2" t="str">
        <f>"9780814755969"</f>
        <v>9780814755969</v>
      </c>
      <c r="F26920" s="2" t="str">
        <f>"9780814759714"</f>
        <v>9780814759714</v>
      </c>
    </row>
    <row r="26921" spans="1:6" s="3" customFormat="1" ht="29.1" customHeight="1" x14ac:dyDescent="0.25">
      <c r="A26921" s="2" t="s">
        <v>52394</v>
      </c>
      <c r="B26921" s="2" t="s">
        <v>52395</v>
      </c>
      <c r="C26921" s="2" t="s">
        <v>11220</v>
      </c>
      <c r="D26921" s="2" t="s">
        <v>818</v>
      </c>
      <c r="E26921" s="2" t="str">
        <f>"9780814713341"</f>
        <v>9780814713341</v>
      </c>
      <c r="F26921" s="2" t="str">
        <f>"9780814786123"</f>
        <v>9780814786123</v>
      </c>
    </row>
    <row r="26922" spans="1:6" s="3" customFormat="1" ht="29.1" customHeight="1" x14ac:dyDescent="0.25">
      <c r="A26922" s="2" t="s">
        <v>52396</v>
      </c>
      <c r="B26922" s="2" t="s">
        <v>52397</v>
      </c>
      <c r="C26922" s="2" t="s">
        <v>7395</v>
      </c>
      <c r="D26922" s="2" t="s">
        <v>43269</v>
      </c>
      <c r="E26922" s="2" t="str">
        <f>"9780295977331"</f>
        <v>9780295977331</v>
      </c>
      <c r="F26922" s="2" t="str">
        <f>"9780295980683"</f>
        <v>9780295980683</v>
      </c>
    </row>
    <row r="26923" spans="1:6" s="3" customFormat="1" ht="29.1" customHeight="1" x14ac:dyDescent="0.25">
      <c r="A26923" s="2" t="s">
        <v>52398</v>
      </c>
      <c r="B26923" s="2" t="s">
        <v>52399</v>
      </c>
      <c r="C26923" s="2" t="s">
        <v>7395</v>
      </c>
      <c r="D26923" s="2" t="s">
        <v>636</v>
      </c>
      <c r="E26923" s="2" t="str">
        <f>"9780295977881"</f>
        <v>9780295977881</v>
      </c>
      <c r="F26923" s="2" t="str">
        <f>"9780295980638"</f>
        <v>9780295980638</v>
      </c>
    </row>
    <row r="26924" spans="1:6" s="3" customFormat="1" ht="29.1" customHeight="1" x14ac:dyDescent="0.25">
      <c r="A26924" s="2" t="s">
        <v>52400</v>
      </c>
      <c r="B26924" s="2" t="s">
        <v>52401</v>
      </c>
      <c r="C26924" s="2" t="s">
        <v>11220</v>
      </c>
      <c r="D26924" s="2" t="s">
        <v>4783</v>
      </c>
      <c r="E26924" s="2" t="str">
        <f>"9780814780213"</f>
        <v>9780814780213</v>
      </c>
      <c r="F26924" s="2" t="str">
        <f>"9780814788707"</f>
        <v>9780814788707</v>
      </c>
    </row>
    <row r="26925" spans="1:6" s="3" customFormat="1" ht="29.1" customHeight="1" x14ac:dyDescent="0.25">
      <c r="A26925" s="2" t="s">
        <v>52402</v>
      </c>
      <c r="B26925" s="2" t="s">
        <v>52403</v>
      </c>
      <c r="C26925" s="2" t="s">
        <v>5050</v>
      </c>
      <c r="D26925" s="2" t="s">
        <v>13300</v>
      </c>
      <c r="E26925" s="2" t="str">
        <f>"9780824811242"</f>
        <v>9780824811242</v>
      </c>
      <c r="F26925" s="2" t="str">
        <f>"9780824847302"</f>
        <v>9780824847302</v>
      </c>
    </row>
    <row r="26926" spans="1:6" s="3" customFormat="1" ht="29.1" customHeight="1" x14ac:dyDescent="0.25">
      <c r="A26926" s="2" t="s">
        <v>16590</v>
      </c>
      <c r="B26926" s="2" t="s">
        <v>16591</v>
      </c>
      <c r="C26926" s="2" t="s">
        <v>11220</v>
      </c>
      <c r="D26926" s="2" t="s">
        <v>4064</v>
      </c>
      <c r="E26926" s="2" t="str">
        <f>"9780814718766"</f>
        <v>9780814718766</v>
      </c>
      <c r="F26926" s="2" t="str">
        <f>"9780814720981"</f>
        <v>9780814720981</v>
      </c>
    </row>
    <row r="26927" spans="1:6" s="3" customFormat="1" ht="29.1" customHeight="1" x14ac:dyDescent="0.25">
      <c r="A26927" s="2" t="s">
        <v>52404</v>
      </c>
      <c r="B26927" s="2" t="s">
        <v>52405</v>
      </c>
      <c r="C26927" s="2" t="s">
        <v>11220</v>
      </c>
      <c r="D26927" s="2" t="s">
        <v>125</v>
      </c>
      <c r="E26927" s="2" t="str">
        <f>"9780814741955"</f>
        <v>9780814741955</v>
      </c>
      <c r="F26927" s="2" t="str">
        <f>"9780814743959"</f>
        <v>9780814743959</v>
      </c>
    </row>
    <row r="26928" spans="1:6" s="3" customFormat="1" ht="29.1" customHeight="1" x14ac:dyDescent="0.25">
      <c r="A26928" s="2" t="s">
        <v>52406</v>
      </c>
      <c r="B26928" s="2" t="s">
        <v>52407</v>
      </c>
      <c r="C26928" s="2" t="s">
        <v>264</v>
      </c>
      <c r="D26928" s="2" t="s">
        <v>22070</v>
      </c>
      <c r="E26928" s="2" t="str">
        <f>"9780750305068"</f>
        <v>9780750305068</v>
      </c>
      <c r="F26928" s="2" t="str">
        <f>"9780585306636"</f>
        <v>9780585306636</v>
      </c>
    </row>
    <row r="26929" spans="1:6" s="3" customFormat="1" ht="29.1" customHeight="1" x14ac:dyDescent="0.25">
      <c r="A26929" s="2" t="s">
        <v>52408</v>
      </c>
      <c r="B26929" s="2" t="s">
        <v>52409</v>
      </c>
      <c r="C26929" s="2" t="s">
        <v>264</v>
      </c>
      <c r="D26929" s="2" t="s">
        <v>850</v>
      </c>
      <c r="E26929" s="2" t="str">
        <f>"9780750306720"</f>
        <v>9780750306720</v>
      </c>
      <c r="F26929" s="2" t="str">
        <f>"9780585307336"</f>
        <v>9780585307336</v>
      </c>
    </row>
    <row r="26930" spans="1:6" s="3" customFormat="1" ht="29.1" customHeight="1" x14ac:dyDescent="0.25">
      <c r="A26930" s="2" t="s">
        <v>52410</v>
      </c>
      <c r="B26930" s="2" t="s">
        <v>52411</v>
      </c>
      <c r="C26930" s="2" t="s">
        <v>124</v>
      </c>
      <c r="D26930" s="2" t="s">
        <v>9</v>
      </c>
      <c r="E26930" s="2" t="str">
        <f>"9780805831184"</f>
        <v>9780805831184</v>
      </c>
      <c r="F26930" s="2" t="str">
        <f>"9780585115214"</f>
        <v>9780585115214</v>
      </c>
    </row>
    <row r="26931" spans="1:6" s="3" customFormat="1" ht="29.1" customHeight="1" x14ac:dyDescent="0.25">
      <c r="A26931" s="2" t="s">
        <v>52412</v>
      </c>
      <c r="B26931" s="2" t="s">
        <v>52413</v>
      </c>
      <c r="C26931" s="2" t="s">
        <v>11220</v>
      </c>
      <c r="D26931" s="2" t="s">
        <v>4754</v>
      </c>
      <c r="E26931" s="2" t="str">
        <f>"9780814706404"</f>
        <v>9780814706404</v>
      </c>
      <c r="F26931" s="2" t="str">
        <f>"9780814707821"</f>
        <v>9780814707821</v>
      </c>
    </row>
    <row r="26932" spans="1:6" s="3" customFormat="1" ht="29.1" customHeight="1" x14ac:dyDescent="0.25">
      <c r="A26932" s="2" t="s">
        <v>52414</v>
      </c>
      <c r="B26932" s="2" t="s">
        <v>52415</v>
      </c>
      <c r="C26932" s="2" t="s">
        <v>11220</v>
      </c>
      <c r="D26932" s="2" t="s">
        <v>63</v>
      </c>
      <c r="E26932" s="2" t="str">
        <f>"9780814735336"</f>
        <v>9780814735336</v>
      </c>
      <c r="F26932" s="2" t="str">
        <f>"9780814744789"</f>
        <v>9780814744789</v>
      </c>
    </row>
    <row r="26933" spans="1:6" s="3" customFormat="1" ht="29.1" customHeight="1" x14ac:dyDescent="0.25">
      <c r="A26933" s="2" t="s">
        <v>52416</v>
      </c>
      <c r="B26933" s="2" t="s">
        <v>52417</v>
      </c>
      <c r="C26933" s="2" t="s">
        <v>11220</v>
      </c>
      <c r="D26933" s="2" t="s">
        <v>168</v>
      </c>
      <c r="E26933" s="2" t="str">
        <f>"9780814735275"</f>
        <v>9780814735275</v>
      </c>
      <c r="F26933" s="2" t="str">
        <f>"9780814744765"</f>
        <v>9780814744765</v>
      </c>
    </row>
    <row r="26934" spans="1:6" s="3" customFormat="1" ht="29.1" customHeight="1" x14ac:dyDescent="0.25">
      <c r="A26934" s="2" t="s">
        <v>52418</v>
      </c>
      <c r="B26934" s="2" t="s">
        <v>52419</v>
      </c>
      <c r="C26934" s="2" t="s">
        <v>11220</v>
      </c>
      <c r="D26934" s="2" t="s">
        <v>14352</v>
      </c>
      <c r="E26934" s="2" t="str">
        <f>"9780814735237"</f>
        <v>9780814735237</v>
      </c>
      <c r="F26934" s="2" t="str">
        <f>"9780814744840"</f>
        <v>9780814744840</v>
      </c>
    </row>
    <row r="26935" spans="1:6" s="3" customFormat="1" ht="29.1" customHeight="1" x14ac:dyDescent="0.25">
      <c r="A26935" s="2" t="s">
        <v>52420</v>
      </c>
      <c r="B26935" s="2" t="s">
        <v>52421</v>
      </c>
      <c r="C26935" s="2" t="s">
        <v>11220</v>
      </c>
      <c r="D26935" s="2" t="s">
        <v>63</v>
      </c>
      <c r="E26935" s="2" t="str">
        <f>"9780814726846"</f>
        <v>9780814726846</v>
      </c>
      <c r="F26935" s="2" t="str">
        <f>"9780814728048"</f>
        <v>9780814728048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Sommer</dc:creator>
  <cp:lastModifiedBy>acer</cp:lastModifiedBy>
  <dcterms:created xsi:type="dcterms:W3CDTF">2021-01-27T20:54:28Z</dcterms:created>
  <dcterms:modified xsi:type="dcterms:W3CDTF">2026-03-26T11:37:17Z</dcterms:modified>
</cp:coreProperties>
</file>